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yuuji\Dropbox\Kaissa Consumer\Mosaic\buckets\TRANSPOR\CSX\source\"/>
    </mc:Choice>
  </mc:AlternateContent>
  <xr:revisionPtr revIDLastSave="0" documentId="8_{3270B8D3-88A8-48BA-96BB-08EA8C744735}" xr6:coauthVersionLast="47" xr6:coauthVersionMax="47" xr10:uidLastSave="{00000000-0000-0000-0000-000000000000}"/>
  <bookViews>
    <workbookView xWindow="-98" yWindow="-98" windowWidth="21795" windowHeight="12975" tabRatio="662" firstSheet="1" activeTab="3" xr2:uid="{00000000-000D-0000-FFFF-FFFF00000000}"/>
  </bookViews>
  <sheets>
    <sheet name="__FDSCACHE__" sheetId="6" state="veryHidden" r:id="rId1"/>
    <sheet name="Disclaimer" sheetId="20" r:id="rId2"/>
    <sheet name="CSX" sheetId="1" r:id="rId3"/>
    <sheet name="Revenue" sheetId="30" r:id="rId4"/>
    <sheet name="Expense" sheetId="29" r:id="rId5"/>
    <sheet name="BS" sheetId="4" r:id="rId6"/>
    <sheet name="CF" sheetId="5"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P">#REF!</definedName>
    <definedName name="\S">[1]Model!#REF!</definedName>
    <definedName name="\X">[1]Model!#REF!</definedName>
    <definedName name="__APW_RESTORE_DATA0__" hidden="1">[2]Valuation!$B$43</definedName>
    <definedName name="__APW_RESTORE_DATA1__" hidden="1">[2]Valuation!$B$44</definedName>
    <definedName name="__FDS_HYPERLINK_TOGGLE_STATE__" hidden="1">"ON"</definedName>
    <definedName name="__FDS_UNIQUE_RANGE_ID_GENERATOR_COUNTER" hidden="1">1</definedName>
    <definedName name="__FDS_USED_FOR_REUSING_RANGE_IDS_RECYCLE" hidden="1">{1}</definedName>
    <definedName name="_1__FDSAUDITLINK__" hidden="1">{"fdsup://directions/FAT Viewer?action=UPDATE&amp;creator=factset&amp;DYN_ARGS=TRUE&amp;DOC_NAME=FAT:FQL_AUDITING_CLIENT_TEMPLATE.FAT&amp;display_string=Audit&amp;VAR:KEY=UJCHITKXCZ&amp;VAR:QUERY=RkZfTkVUX0RFQlQoQU5OLE5PVyk=&amp;WINDOW=FIRST_POPUP&amp;HEIGHT=450&amp;WIDTH=450&amp;START_MAXIMIZED=","FALSE&amp;VAR:CALENDAR=US&amp;VAR:SYMBOL=DHR&amp;VAR:INDEX=0"}</definedName>
    <definedName name="_114__FDSAUDITLINK__" hidden="1">{"fdsup://directions/FAT Viewer?action=UPDATE&amp;creator=factset&amp;DYN_ARGS=TRUE&amp;DOC_NAME=FAT:FQL_AUDITING_CLIENT_TEMPLATE.FAT&amp;display_string=Audit&amp;VAR:KEY=MZWNGJMVWT&amp;VAR:QUERY=RkZfTkVUX0RFQlQoQU5OLE5PVyk=&amp;WINDOW=FIRST_POPUP&amp;HEIGHT=450&amp;WIDTH=450&amp;START_MAXIMIZED=","FALSE&amp;VAR:CALENDAR=US&amp;VAR:SYMBOL=PKI&amp;VAR:INDEX=0"}</definedName>
    <definedName name="_16__FDSAUDITLINK__" hidden="1">{"fdsup://directions/FAT Viewer?action=UPDATE&amp;creator=factset&amp;DYN_ARGS=TRUE&amp;DOC_NAME=FAT:FQL_AUDITING_CLIENT_TEMPLATE.FAT&amp;display_string=Audit&amp;VAR:KEY=NWNEDCHIZS&amp;VAR:QUERY=RkZfU0hMRFJTX0VRKFFUUiwzODgwNywzODgwNyk=&amp;WINDOW=FIRST_POPUP&amp;HEIGHT=450&amp;WIDTH=450&amp;STAR","T_MAXIMIZED=FALSE&amp;VAR:CALENDAR=US&amp;VAR:SYMBOL=90781810&amp;VAR:INDEX=0"}</definedName>
    <definedName name="_17__FDSAUDITLINK__" hidden="1">{"fdsup://directions/FAT Viewer?action=UPDATE&amp;creator=factset&amp;DYN_ARGS=TRUE&amp;DOC_NAME=FAT:FQL_AUDITING_CLIENT_TEMPLATE.FAT&amp;display_string=Audit&amp;VAR:KEY=LEPCVCRUPQ&amp;VAR:QUERY=RkZfU0hMRFJTX0VRKFFUUiwzODgwNywzODgwNyk=&amp;WINDOW=FIRST_POPUP&amp;HEIGHT=450&amp;WIDTH=450&amp;STAR","T_MAXIMIZED=FALSE&amp;VAR:CALENDAR=US&amp;VAR:SYMBOL=48517030&amp;VAR:INDEX=0"}</definedName>
    <definedName name="_1A_FUND">[3]Funding!#REF!</definedName>
    <definedName name="_2__FDSAUDITLINK__" hidden="1">{"fdsup://directions/FAT Viewer?action=UPDATE&amp;creator=factset&amp;DYN_ARGS=TRUE&amp;DOC_NAME=FAT:FQL_AUDITING_CLIENT_TEMPLATE.FAT&amp;display_string=Audit&amp;VAR:KEY=ONKTWJEJAH&amp;VAR:QUERY=RkZfTkVUX0RFQlQoQU5OLE5PVyk=&amp;WINDOW=FIRST_POPUP&amp;HEIGHT=450&amp;WIDTH=450&amp;START_MAXIMIZED=","FALSE&amp;VAR:CALENDAR=US&amp;VAR:SYMBOL=NANO&amp;VAR:INDEX=0"}</definedName>
    <definedName name="_2A_FUND">[3]Funding!#REF!</definedName>
    <definedName name="_2H_COV">[3]Worksheet!#REF!</definedName>
    <definedName name="_3__FDSAUDITLINK__" hidden="1">{"fdsup://directions/FAT Viewer?action=UPDATE&amp;creator=factset&amp;DYN_ARGS=TRUE&amp;DOC_NAME=FAT:FQL_AUDITING_CLIENT_TEMPLATE.FAT&amp;display_string=Audit&amp;VAR:KEY=IFYRKNGFSV&amp;VAR:QUERY=RkZfTkVUX0RFQlQoQU5OLE5PVyk=&amp;WINDOW=FIRST_POPUP&amp;HEIGHT=450&amp;WIDTH=450&amp;START_MAXIMIZED=","FALSE&amp;VAR:CALENDAR=US&amp;VAR:SYMBOL=ORBK&amp;VAR:INDEX=0"}</definedName>
    <definedName name="_4__FDSAUDITLINK__" hidden="1">{"fdsup://directions/FAT Viewer?action=UPDATE&amp;creator=factset&amp;DYN_ARGS=TRUE&amp;DOC_NAME=FAT:FQL_AUDITING_CLIENT_TEMPLATE.FAT&amp;display_string=Audit&amp;VAR:KEY=OTKPMBGJQZ&amp;VAR:QUERY=RkZfTkVUX0RFQlQoQU5OLE5PVyk=&amp;WINDOW=FIRST_POPUP&amp;HEIGHT=450&amp;WIDTH=450&amp;START_MAXIMIZED=","FALSE&amp;VAR:CALENDAR=US&amp;VAR:SYMBOL=ATE&amp;VAR:INDEX=0"}</definedName>
    <definedName name="_4H_COV">[3]Worksheet!#REF!</definedName>
    <definedName name="_5__FDSAUDITLINK__" hidden="1">{"fdsup://directions/FAT Viewer?action=UPDATE&amp;creator=factset&amp;DYN_ARGS=TRUE&amp;DOC_NAME=FAT:FQL_AUDITING_CLIENT_TEMPLATE.FAT&amp;display_string=Audit&amp;VAR:KEY=WPMFKJQTAD&amp;VAR:QUERY=RkZfTkVUX0RFQlQoQU5OLE5PVyk=&amp;WINDOW=FIRST_POPUP&amp;HEIGHT=450&amp;WIDTH=450&amp;START_MAXIMIZED=","FALSE&amp;VAR:CALENDAR=US&amp;VAR:SYMBOL=LTXC&amp;VAR:INDEX=0"}</definedName>
    <definedName name="_5MKT_REL">#REF!</definedName>
    <definedName name="_6__FDSAUDITLINK__" hidden="1">{"fdsup://directions/FAT Viewer?action=UPDATE&amp;creator=factset&amp;DYN_ARGS=TRUE&amp;DOC_NAME=FAT:FQL_AUDITING_CLIENT_TEMPLATE.FAT&amp;display_string=Audit&amp;VAR:KEY=ALSVERSLKP&amp;VAR:QUERY=RkZfTkVUX0RFQlQoQU5OLE5PVyk=&amp;WINDOW=FIRST_POPUP&amp;HEIGHT=450&amp;WIDTH=450&amp;START_MAXIMIZED=","FALSE&amp;VAR:CALENDAR=US&amp;VAR:SYMBOL=TER&amp;VAR:INDEX=0"}</definedName>
    <definedName name="_6P_COV">[3]Worksheet!#REF!</definedName>
    <definedName name="_7MKT_REL">#REF!</definedName>
    <definedName name="_94__FDSAUDITLINK__" hidden="1">{"fdsup://directions/FAT Viewer?action=UPDATE&amp;creator=factset&amp;DYN_ARGS=TRUE&amp;DOC_NAME=FAT:FQL_AUDITING_CLIENT_TEMPLATE.FAT&amp;display_string=Audit&amp;VAR:KEY=GZIHWVYXCF&amp;VAR:QUERY=RkZfTkVUX0RFQlQoQU5OLE5PVyk=&amp;WINDOW=FIRST_POPUP&amp;HEIGHT=450&amp;WIDTH=450&amp;START_MAXIMIZED=","FALSE&amp;VAR:CALENDAR=US&amp;VAR:SYMBOL=MTD&amp;VAR:INDEX=0"}</definedName>
    <definedName name="_97__FDSAUDITLINK__" hidden="1">{"fdsup://directions/FAT Viewer?action=UPDATE&amp;creator=factset&amp;DYN_ARGS=TRUE&amp;DOC_NAME=FAT:FQL_AUDITING_CLIENT_TEMPLATE.FAT&amp;display_string=Audit&amp;VAR:KEY=CNCRYTCZMZ&amp;VAR:QUERY=RkZfTkVUX0RFQlQoQU5OLE5PVyk=&amp;WINDOW=FIRST_POPUP&amp;HEIGHT=450&amp;WIDTH=450&amp;START_MAXIMIZED=","FALSE&amp;VAR:CALENDAR=US&amp;VAR:SYMBOL=PKI&amp;VAR:INDEX=0"}</definedName>
    <definedName name="_9P_COV">[3]Worksheet!#REF!</definedName>
    <definedName name="_bdm.048a68db02e44a41b964e4bac5f575b9.edm" hidden="1">#REF!</definedName>
    <definedName name="_bdm.29047223dc954fd5a37fbe571ff0d8cf.edm" hidden="1">#REF!</definedName>
    <definedName name="_bdm.3178016386de4728a45a38cc3d15b727.edm" hidden="1">#REF!</definedName>
    <definedName name="_bdm.329ada9e0b8f4c90b7cbaf40b20f2eef.edm" hidden="1">#REF!</definedName>
    <definedName name="_bdm.3e4349bdd6c347c4981e218b1b364a50.edm" hidden="1">#REF!</definedName>
    <definedName name="_bdm.44453DC955EC47B7925B66A1E429B50B.edm" hidden="1">#REF!</definedName>
    <definedName name="_bdm.45d7dab799c7469ab3422d492ee0f6fe.edm" hidden="1">CSX!$1:$1048576</definedName>
    <definedName name="_bdm.5b5f55cd79de444eb42ca2795cc0f39f.edm" hidden="1">#REF!</definedName>
    <definedName name="_bdm.64aa66d5e9524c7caba18ec3299b93b2.edm" hidden="1">#N/A</definedName>
    <definedName name="_bdm.7a6c43b1638e44e4a8684c476916945c.edm" hidden="1">#REF!</definedName>
    <definedName name="_bdm.8619a56f77154a3e9687550650d60741.edm" hidden="1">#REF!</definedName>
    <definedName name="_bdm.90504543c5784eb39e2348d247993aa4.edm" localSheetId="2" hidden="1">CSX!$A$17:$LU$73</definedName>
    <definedName name="_bdm.9be82590470549d7aaf55d9e98d51550.edm" hidden="1">#REF!</definedName>
    <definedName name="_bdm.aecc8e0794984c9782a142613b652096.edm" hidden="1">#REF!</definedName>
    <definedName name="_bdm.bfd527242ec849af864aadf1367febc6.edm" hidden="1">#REF!</definedName>
    <definedName name="_bdm.E0A5EC65863C4EBE85AFCCFFAE6A2F91.edm" hidden="1">#REF!</definedName>
    <definedName name="_bdm.FC6D17ED78DA4492B365F27F628BC92B.edm" hidden="1">#REF!</definedName>
    <definedName name="_GRM1">[1]Model!#REF!</definedName>
    <definedName name="_GRM2">[1]Model!#REF!</definedName>
    <definedName name="_GRM3">[1]Model!#REF!</definedName>
    <definedName name="_Key1" hidden="1">#REF!</definedName>
    <definedName name="_NM1">[1]Model!#REF!</definedName>
    <definedName name="_NM2">[1]Model!#REF!</definedName>
    <definedName name="_NM3">[1]Model!#REF!</definedName>
    <definedName name="_OM1">[1]Model!#REF!</definedName>
    <definedName name="_OM2">[1]Model!#REF!</definedName>
    <definedName name="_OM3">[1]Model!#REF!</definedName>
    <definedName name="_Order1" hidden="1">0</definedName>
    <definedName name="_Order2" hidden="1">255</definedName>
    <definedName name="_ROA1">[1]Model!#REF!</definedName>
    <definedName name="_ROA2">[1]Model!#REF!</definedName>
    <definedName name="_ROA3">[1]Model!#REF!</definedName>
    <definedName name="_ROE1">[1]Model!#REF!</definedName>
    <definedName name="_ROE2">[1]Model!#REF!</definedName>
    <definedName name="_ROE3">[1]Model!#REF!</definedName>
    <definedName name="_Sort" hidden="1">#REF!</definedName>
    <definedName name="_Table2_Out" hidden="1">#REF!</definedName>
    <definedName name="a">[4]Q!#REF!</definedName>
    <definedName name="aa" hidden="1">{"Table1",#N/A,FALSE,"ANADARKO";"Table2",#N/A,FALSE,"ANADARKO";"Table3",#N/A,FALSE,"ANADARKO";"Table3c",#N/A,FALSE,"ANADARKO";"Table3c2",#N/A,FALSE,"ANADARKO";"Table5",#N/A,FALSE,"ANADARKO"}</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b">[5]Q!$AB$15</definedName>
    <definedName name="ac">[5]Q!$AB$18</definedName>
    <definedName name="Acquisition_Y_or_N">[6]IS!#REF!</definedName>
    <definedName name="ad">[5]Q!$AB$28</definedName>
    <definedName name="ADJ">#REF!</definedName>
    <definedName name="ae">[4]Q!#REF!</definedName>
    <definedName name="af">[4]Q!#REF!</definedName>
    <definedName name="ag">[5]Q!$AB$29</definedName>
    <definedName name="ah">[5]Q!$AB$32</definedName>
    <definedName name="ai">[5]Q!$AB$42</definedName>
    <definedName name="aj">[5]Q!$AB$43</definedName>
    <definedName name="ak">[4]Q!#REF!</definedName>
    <definedName name="AMV">[1]Model!#REF!</definedName>
    <definedName name="AMVL12MOCF">[1]Model!#REF!</definedName>
    <definedName name="AMVL12MOPPR">[1]Model!#REF!</definedName>
    <definedName name="AMVL12MSAL">[1]Model!#REF!</definedName>
    <definedName name="AMVOCF">[1]Model!#REF!</definedName>
    <definedName name="AMVOI">[1]Model!#REF!</definedName>
    <definedName name="AMVSALES">[1]Model!#REF!</definedName>
    <definedName name="anscount" hidden="1">3</definedName>
    <definedName name="ARMINE">#REF!</definedName>
    <definedName name="Assets">[7]UNPEARN_IS!#REF!</definedName>
    <definedName name="ASSUMPT1">#REF!</definedName>
    <definedName name="ASSUMPT2">#REF!</definedName>
    <definedName name="Average_Tax_Rate__LTM">[7]UNPEARN_IS!#REF!</definedName>
    <definedName name="ba">[5]Q!$AG$13</definedName>
    <definedName name="Balance_Sheet">#REF!</definedName>
    <definedName name="bb">[5]Q!$AG$15</definedName>
    <definedName name="bc">[5]Q!$AG$18</definedName>
    <definedName name="bd">[5]Q!$AG$28</definedName>
    <definedName name="be">[4]Q!#REF!</definedName>
    <definedName name="bf">[4]Q!#REF!</definedName>
    <definedName name="bg">[5]Q!$AG$29</definedName>
    <definedName name="bh">[5]Q!$AG$32</definedName>
    <definedName name="bi">[5]Q!$AG$42</definedName>
    <definedName name="bj">[5]Q!$AG$43</definedName>
    <definedName name="bk">[4]Q!#REF!</definedName>
    <definedName name="bl">[5]Q!$AA$130</definedName>
    <definedName name="BLPH1" hidden="1">#REF!</definedName>
    <definedName name="BLPH10" hidden="1">#REF!</definedName>
    <definedName name="BLPH100" hidden="1">[8]Sheet2!$A$4</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2" hidden="1">#REF!</definedName>
    <definedName name="BLPH3" hidden="1">#REF!</definedName>
    <definedName name="BLPH4" hidden="1">#REF!</definedName>
    <definedName name="BLPH44" hidden="1">[9]Sheet2!#REF!</definedName>
    <definedName name="BLPH45" hidden="1">[9]Sheet1!#REF!</definedName>
    <definedName name="BLPH47" hidden="1">[9]Sheet1!#REF!</definedName>
    <definedName name="BLPH48" hidden="1">#REF!</definedName>
    <definedName name="BLPH5" hidden="1">#REF!</definedName>
    <definedName name="BLPH6" hidden="1">#REF!</definedName>
    <definedName name="BLPH7" hidden="1">#REF!</definedName>
    <definedName name="BLPH8" hidden="1">#REF!</definedName>
    <definedName name="BLPH9" hidden="1">#REF!</definedName>
    <definedName name="BS">#REF!</definedName>
    <definedName name="ca">[5]Q!$AG$13</definedName>
    <definedName name="Cap_Ex">[7]UNPEARN_IS!#REF!</definedName>
    <definedName name="Case">'[10]DCF Valuation Analysis'!$W$108</definedName>
    <definedName name="Cash___Equivalents">[7]UNPEARN_IS!#REF!</definedName>
    <definedName name="Cash_Debt">#REF!</definedName>
    <definedName name="Cash_Flow">#REF!</definedName>
    <definedName name="CF" localSheetId="1">[11]CF!$A$1:$EF$74</definedName>
    <definedName name="CF">#REF!</definedName>
    <definedName name="CF_3RD">[1]Model!#REF!</definedName>
    <definedName name="CF_CURRMAT">[1]Model!#REF!</definedName>
    <definedName name="CFPRT">[12]ACAI!#REF!</definedName>
    <definedName name="CFYPE">[1]Model!#REF!</definedName>
    <definedName name="CINFO">#REF!</definedName>
    <definedName name="CIQWBGuid" hidden="1">"b2640575-a8e4-4474-a254-bbecc92f512d"</definedName>
    <definedName name="CIQWBInfo" hidden="1">"{ ""CIQVersion"":""9.50.2716.4594"" }"</definedName>
    <definedName name="Common_Shares_Out">[7]UNPEARN_IS!#REF!</definedName>
    <definedName name="CORINFO">#REF!</definedName>
    <definedName name="COVACC">[3]Worksheet!#REF!</definedName>
    <definedName name="Current" localSheetId="1">[2]Valuation!$D$3</definedName>
    <definedName name="CURRENT">[1]Model!#REF!</definedName>
    <definedName name="CURRRATIO">[1]Model!#REF!</definedName>
    <definedName name="Dashboard" hidden="1">{#N/A,#N/A,FALSE,"INCOME"}</definedName>
    <definedName name="Date10YR">OFFSET(#REF!,COUNTA(#REF!)-523,0,523)</definedName>
    <definedName name="DCF" hidden="1">{"fdsup://directions/FAT Viewer?action=UPDATE&amp;creator=factset&amp;DYN_ARGS=TRUE&amp;DOC_NAME=FAT:FQL_AUDITING_CLIENT_TEMPLATE.FAT&amp;display_string=Audit&amp;VAR:KEY=MZWNGJMVWT&amp;VAR:QUERY=RkZfTkVUX0RFQlQoQU5OLE5PVyk=&amp;WINDOW=FIRST_POPUP&amp;HEIGHT=450&amp;WIDTH=450&amp;START_MAXIMIZED=","FALSE&amp;VAR:CALENDAR=US&amp;VAR:SYMBOL=PKI&amp;VAR:INDEX=0"}</definedName>
    <definedName name="DEBT">'[3]Debt Runoff'!#REF!</definedName>
    <definedName name="DIRECTORY">[3]Worksheet!#REF!</definedName>
    <definedName name="DIVAL">#REF!</definedName>
    <definedName name="FCF">#REF!</definedName>
    <definedName name="FCFVAL">#REF!</definedName>
    <definedName name="FDP_0_1_aDrv" hidden="1">#REF!</definedName>
    <definedName name="FDP_0_1_aUrv" hidden="1">#REF!</definedName>
    <definedName name="FDP_1_1_aDrv" hidden="1">#REF!</definedName>
    <definedName name="FDP_1_1_aUrv" hidden="1">#REF!</definedName>
    <definedName name="FDP_10_1_aDrv" hidden="1">#REF!</definedName>
    <definedName name="FDP_10_1_aUrv" hidden="1">#REF!</definedName>
    <definedName name="FDP_100_1_aUrv" hidden="1">#REF!</definedName>
    <definedName name="FDP_101_1_aUrv" hidden="1">#REF!</definedName>
    <definedName name="FDP_102_1_aUrv" hidden="1">#REF!</definedName>
    <definedName name="FDP_102_1_dUrv" hidden="1">#REF!</definedName>
    <definedName name="FDP_103_1_aUrv" hidden="1">#REF!</definedName>
    <definedName name="FDP_104_1_aDrv" hidden="1">#REF!</definedName>
    <definedName name="FDP_104_1_aUrv" hidden="1">#REF!</definedName>
    <definedName name="FDP_105_1_aDrv" hidden="1">#REF!</definedName>
    <definedName name="FDP_105_1_aUrv" hidden="1">#REF!</definedName>
    <definedName name="FDP_106_1_aD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_1_aUrv" hidden="1">#REF!</definedName>
    <definedName name="FDP_120_1_aUrv" hidden="1">#REF!</definedName>
    <definedName name="FDP_121_1_aUrv" hidden="1">#REF!</definedName>
    <definedName name="FDP_122_1_aD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dv" hidden="1">#REF!</definedName>
    <definedName name="FDP_128_1_aUrv" hidden="1">#REF!</definedName>
    <definedName name="FDP_129_1_aUdv" hidden="1">#REF!</definedName>
    <definedName name="FDP_129_1_aUrv" hidden="1">#REF!</definedName>
    <definedName name="FDP_13_1_aDrv" hidden="1">#REF!</definedName>
    <definedName name="FDP_13_1_aUrv" hidden="1">#REF!</definedName>
    <definedName name="FDP_130_1_aUrv" hidden="1">#REF!</definedName>
    <definedName name="FDP_130_1_lDrv" hidden="1">#REF!</definedName>
    <definedName name="FDP_131_1_aDrv" hidden="1">#REF!</definedName>
    <definedName name="FDP_131_1_aSrv" hidden="1">#REF!</definedName>
    <definedName name="FDP_132_1_aDrv" hidden="1">#REF!</definedName>
    <definedName name="FDP_132_1_aUrv" hidden="1">#REF!</definedName>
    <definedName name="FDP_133_1_aDrv" hidden="1">#REF!</definedName>
    <definedName name="FDP_133_1_aUrv" hidden="1">#REF!</definedName>
    <definedName name="FDP_134_1_aDrv" hidden="1">#REF!</definedName>
    <definedName name="FDP_134_1_aUrv" hidden="1">#REF!</definedName>
    <definedName name="FDP_135_1_aDrv" hidden="1">#REF!</definedName>
    <definedName name="FDP_135_1_aUrv" hidden="1">#REF!</definedName>
    <definedName name="FDP_136_1_aDrv" hidden="1">#REF!</definedName>
    <definedName name="FDP_136_1_aSrv" hidden="1">#REF!</definedName>
    <definedName name="FDP_137_1_aDdv" hidden="1">#REF!</definedName>
    <definedName name="FDP_137_1_aDrv" hidden="1">#REF!</definedName>
    <definedName name="FDP_137_1_aUrv" hidden="1">#REF!</definedName>
    <definedName name="FDP_138_1_aDrv" hidden="1">#REF!</definedName>
    <definedName name="FDP_138_1_aUrv" hidden="1">#REF!</definedName>
    <definedName name="FDP_139_1_aSrv" hidden="1">#REF!</definedName>
    <definedName name="FDP_139_1_aUrv" hidden="1">#REF!</definedName>
    <definedName name="FDP_14_1_aDrv" hidden="1">#REF!</definedName>
    <definedName name="FDP_14_1_aUrv" hidden="1">#REF!</definedName>
    <definedName name="FDP_140_1_aD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Ddv" hidden="1">#REF!</definedName>
    <definedName name="FDP_146_1_aUrv" hidden="1">#REF!</definedName>
    <definedName name="FDP_147_1_aDrv" hidden="1">#REF!</definedName>
    <definedName name="FDP_147_1_aUrv" hidden="1">#REF!</definedName>
    <definedName name="FDP_148_1_aUrv" hidden="1">#REF!</definedName>
    <definedName name="FDP_149_1_aDrv" hidden="1">#REF!</definedName>
    <definedName name="FDP_149_1_aUrv" hidden="1">#REF!</definedName>
    <definedName name="FDP_15_1_aDrv" hidden="1">#REF!</definedName>
    <definedName name="FDP_15_1_aUrv" hidden="1">#REF!</definedName>
    <definedName name="FDP_150_1_aDrv" hidden="1">#REF!</definedName>
    <definedName name="FDP_150_1_aSrv" hidden="1">#REF!</definedName>
    <definedName name="FDP_150_1_aUrv" hidden="1">#REF!</definedName>
    <definedName name="FDP_151_1_aUrv" hidden="1">#REF!</definedName>
    <definedName name="FDP_152_1_aDrv" hidden="1">#REF!</definedName>
    <definedName name="FDP_152_1_aSrv" hidden="1">#REF!</definedName>
    <definedName name="FDP_152_1_aUrv" hidden="1">#REF!</definedName>
    <definedName name="FDP_153_1_aDrv" hidden="1">#REF!</definedName>
    <definedName name="FDP_153_1_aUrv" hidden="1">#REF!</definedName>
    <definedName name="FDP_154_1_aDrv" hidden="1">#REF!</definedName>
    <definedName name="FDP_154_1_aSrv" hidden="1">#REF!</definedName>
    <definedName name="FDP_155_1_aUrv" hidden="1">#REF!</definedName>
    <definedName name="FDP_156_1_aDrv" hidden="1">#REF!</definedName>
    <definedName name="FDP_156_1_aSrv" hidden="1">#REF!</definedName>
    <definedName name="FDP_156_1_aUrv" hidden="1">#REF!</definedName>
    <definedName name="FDP_157_1_aDrv" hidden="1">#REF!</definedName>
    <definedName name="FDP_157_1_aUrv" hidden="1">#REF!</definedName>
    <definedName name="FDP_158_1_aDrv" hidden="1">#REF!</definedName>
    <definedName name="FDP_158_1_aSrv" hidden="1">#REF!</definedName>
    <definedName name="FDP_158_1_aUrv" hidden="1">'[13]Key Analyst Data Good'!#REF!</definedName>
    <definedName name="FDP_159_1_aUrv" hidden="1">#REF!</definedName>
    <definedName name="FDP_16_1_aDrv" hidden="1">#REF!</definedName>
    <definedName name="FDP_16_1_aUrv" hidden="1">#REF!</definedName>
    <definedName name="FDP_160_1_aSrv" hidden="1">#REF!</definedName>
    <definedName name="FDP_160_1_aUrv" hidden="1">#REF!</definedName>
    <definedName name="FDP_161_1_aDrv" hidden="1">#REF!</definedName>
    <definedName name="FDP_161_1_aUrv" hidden="1">#REF!</definedName>
    <definedName name="FDP_162_1_aDrv" hidden="1">#REF!</definedName>
    <definedName name="FDP_162_1_aUrv" hidden="1">#REF!</definedName>
    <definedName name="FDP_163_1_aDrv" hidden="1">#REF!</definedName>
    <definedName name="FDP_163_1_aUrv" hidden="1">#REF!</definedName>
    <definedName name="FDP_164_1_aDrv" hidden="1">#REF!</definedName>
    <definedName name="FDP_164_1_aUrv" hidden="1">#REF!</definedName>
    <definedName name="FDP_165_1_aDrv" hidden="1">#REF!</definedName>
    <definedName name="FDP_166_1_aDrv" hidden="1">#REF!</definedName>
    <definedName name="FDP_167_1_aDrv" hidden="1">#REF!</definedName>
    <definedName name="FDP_168_1_aDrv" hidden="1">#REF!</definedName>
    <definedName name="FDP_169_1_aDrv" hidden="1">#REF!</definedName>
    <definedName name="FDP_17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4_1_aUrv" hidden="1">#REF!</definedName>
    <definedName name="FDP_175_1_aUrv" hidden="1">#REF!</definedName>
    <definedName name="FDP_176_1_aUrv" hidden="1">#REF!</definedName>
    <definedName name="FDP_177_1_aUrv" hidden="1">#REF!</definedName>
    <definedName name="FDP_178_1_aUrv" hidden="1">#REF!</definedName>
    <definedName name="FDP_179_1_aUrv" hidden="1">#REF!</definedName>
    <definedName name="FDP_18_1_aDrv" hidden="1">#REF!</definedName>
    <definedName name="FDP_18_1_aUrv" hidden="1">#REF!</definedName>
    <definedName name="FDP_180_1_aUdv" hidden="1">#REF!</definedName>
    <definedName name="FDP_181_1_aUdv" hidden="1">#REF!</definedName>
    <definedName name="FDP_182_1_aUdv" hidden="1">#REF!</definedName>
    <definedName name="FDP_183_1_aUdv" hidden="1">#REF!</definedName>
    <definedName name="FDP_184_1_aUd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_1_aDrv" hidden="1">#REF!</definedName>
    <definedName name="FDP_19_1_aUr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Drv" hidden="1">#REF!</definedName>
    <definedName name="FDP_2_1_aUrv" hidden="1">#REF!</definedName>
    <definedName name="FDP_20_1_aDrv" hidden="1">#REF!</definedName>
    <definedName name="FDP_20_1_aUrv" hidden="1">#REF!</definedName>
    <definedName name="FDP_21_1_aDrv" hidden="1">#REF!</definedName>
    <definedName name="FDP_21_1_aUrv" hidden="1">#REF!</definedName>
    <definedName name="FDP_22_1_aDrv" hidden="1">#REF!</definedName>
    <definedName name="FDP_22_1_aUrv" hidden="1">#REF!</definedName>
    <definedName name="FDP_23_1_aDrv" hidden="1">#REF!</definedName>
    <definedName name="FDP_23_1_aUrv" hidden="1">#REF!</definedName>
    <definedName name="FDP_24_1_aDrv" hidden="1">#REF!</definedName>
    <definedName name="FDP_24_1_aUdv" hidden="1">#REF!</definedName>
    <definedName name="FDP_24_1_aUrv" hidden="1">#REF!</definedName>
    <definedName name="FDP_24_1_dUdv" hidden="1">#REF!</definedName>
    <definedName name="FDP_25_1_aDrv" hidden="1">#REF!</definedName>
    <definedName name="FDP_25_1_aUrv" hidden="1">#REF!</definedName>
    <definedName name="FDP_26_1_aDrv" hidden="1">#REF!</definedName>
    <definedName name="FDP_26_1_aUrv" hidden="1">#REF!</definedName>
    <definedName name="FDP_27_1_aDrv" hidden="1">#REF!</definedName>
    <definedName name="FDP_27_1_aUrv" hidden="1">#REF!</definedName>
    <definedName name="FDP_28_1_aDrv" hidden="1">#REF!</definedName>
    <definedName name="FDP_28_1_aUrv" hidden="1">#REF!</definedName>
    <definedName name="FDP_29_1_aDrv" hidden="1">#REF!</definedName>
    <definedName name="FDP_29_1_aUrv" hidden="1">#REF!</definedName>
    <definedName name="FDP_3_1_aSrv" hidden="1">#REF!</definedName>
    <definedName name="FDP_3_1_aUrv" hidden="1">#REF!</definedName>
    <definedName name="FDP_30_1_aDrv" hidden="1">#REF!</definedName>
    <definedName name="FDP_30_1_aUrv" hidden="1">#REF!</definedName>
    <definedName name="FDP_31_1_aDrv" hidden="1">#REF!</definedName>
    <definedName name="FDP_31_1_aUrv" hidden="1">#REF!</definedName>
    <definedName name="FDP_32_1_aDrv" hidden="1">#REF!</definedName>
    <definedName name="FDP_32_1_aUrv" hidden="1">#REF!</definedName>
    <definedName name="FDP_33_1_aDrv" hidden="1">#REF!</definedName>
    <definedName name="FDP_33_1_aUrv" hidden="1">#REF!</definedName>
    <definedName name="FDP_34_1_aDrv" hidden="1">#REF!</definedName>
    <definedName name="FDP_34_1_aUrv" hidden="1">#REF!</definedName>
    <definedName name="FDP_35_1_aDrv" hidden="1">#REF!</definedName>
    <definedName name="FDP_35_1_aSrv" hidden="1">#REF!</definedName>
    <definedName name="FDP_35_1_aUrv" hidden="1">#REF!</definedName>
    <definedName name="FDP_36_1_aUrv" hidden="1">#REF!</definedName>
    <definedName name="FDP_37_1_aUrv" hidden="1">#REF!</definedName>
    <definedName name="FDP_38_1_aUrv" hidden="1">#REF!</definedName>
    <definedName name="FDP_39_1_aUrv" hidden="1">#REF!</definedName>
    <definedName name="FDP_4_1_aSrv" hidden="1">#REF!</definedName>
    <definedName name="FDP_4_1_aUrv" hidden="1">#REF!</definedName>
    <definedName name="FDP_40_1_aUrv" hidden="1">#REF!</definedName>
    <definedName name="FDP_41_1_aDdv" hidden="1">#REF!</definedName>
    <definedName name="FDP_41_1_aSrv" hidden="1">#REF!</definedName>
    <definedName name="FDP_41_1_aUrv" hidden="1">#REF!</definedName>
    <definedName name="FDP_42_1_aSrv" hidden="1">#REF!</definedName>
    <definedName name="FDP_42_1_aUrv" hidden="1">#REF!</definedName>
    <definedName name="FDP_43_1_aUrv" hidden="1">#REF!</definedName>
    <definedName name="FDP_44_1_aUrv" hidden="1">#REF!</definedName>
    <definedName name="FDP_45_1_aUrv" hidden="1">#REF!</definedName>
    <definedName name="FDP_46_1_aUrv" hidden="1">#REF!</definedName>
    <definedName name="FDP_47_1_aUrv" hidden="1">#REF!</definedName>
    <definedName name="FDP_48_1_aSrv" hidden="1">#REF!</definedName>
    <definedName name="FDP_48_1_aUrv" hidden="1">#REF!</definedName>
    <definedName name="FDP_49_1_aUrv" hidden="1">#REF!</definedName>
    <definedName name="FDP_5_1_aUrv" hidden="1">#REF!</definedName>
    <definedName name="FDP_50_1_aUrv" hidden="1">#REF!</definedName>
    <definedName name="FDP_51_1_aUrv" hidden="1">#REF!</definedName>
    <definedName name="FDP_52_1_aDdv" hidden="1">#REF!</definedName>
    <definedName name="FDP_52_1_aUrv" hidden="1">#REF!</definedName>
    <definedName name="FDP_52_1_rUrv" hidden="1">#REF!</definedName>
    <definedName name="FDP_53_1_aUrv" hidden="1">#REF!</definedName>
    <definedName name="FDP_53_1_rUrv" hidden="1">#REF!</definedName>
    <definedName name="FDP_54_1_aUrv" hidden="1">#REF!</definedName>
    <definedName name="FDP_54_1_r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Srv" hidden="1">#REF!</definedName>
    <definedName name="FDP_61_1_aUrv" hidden="1">#REF!</definedName>
    <definedName name="FDP_62_1_aSrv" hidden="1">#REF!</definedName>
    <definedName name="FDP_62_1_aUrv" hidden="1">#REF!</definedName>
    <definedName name="FDP_63_1_aDrv" hidden="1">#REF!</definedName>
    <definedName name="FDP_63_1_aUrv" hidden="1">#REF!</definedName>
    <definedName name="FDP_64_1_aDrv" hidden="1">#REF!</definedName>
    <definedName name="FDP_64_1_aSrv" hidden="1">#REF!</definedName>
    <definedName name="FDP_64_1_aUrv" hidden="1">#REF!</definedName>
    <definedName name="FDP_65_1_aDrv" hidden="1">#REF!</definedName>
    <definedName name="FDP_65_1_aSrv" hidden="1">#REF!</definedName>
    <definedName name="FDP_65_1_aUrv" hidden="1">#REF!</definedName>
    <definedName name="FDP_65_1_rUrv" hidden="1">#REF!</definedName>
    <definedName name="FDP_66_1_aSrv" hidden="1">#REF!</definedName>
    <definedName name="FDP_66_1_aUrv" hidden="1">#REF!</definedName>
    <definedName name="FDP_67_1_aUrv" hidden="1">#REF!</definedName>
    <definedName name="FDP_68_1_aSrv" hidden="1">#REF!</definedName>
    <definedName name="FDP_68_1_aUrv" hidden="1">#REF!</definedName>
    <definedName name="FDP_69_1_aUrv" hidden="1">#REF!</definedName>
    <definedName name="FDP_7_1_aUrv" hidden="1">#REF!</definedName>
    <definedName name="FDP_70_1_aDrv" hidden="1">#REF!</definedName>
    <definedName name="FDP_70_1_aSrv" hidden="1">#REF!</definedName>
    <definedName name="FDP_70_1_aUrv" hidden="1">#REF!</definedName>
    <definedName name="FDP_70_1_rUrv" hidden="1">#REF!</definedName>
    <definedName name="FDP_71_1_aSrv" hidden="1">#REF!</definedName>
    <definedName name="FDP_71_1_aUrv" hidden="1">#REF!</definedName>
    <definedName name="FDP_72_1_aDrv" hidden="1">#REF!</definedName>
    <definedName name="FDP_72_1_aSrv" hidden="1">#REF!</definedName>
    <definedName name="FDP_72_1_aUrv" hidden="1">#REF!</definedName>
    <definedName name="FDP_73_1_aDrv" hidden="1">#REF!</definedName>
    <definedName name="FDP_73_1_aUrv" hidden="1">#REF!</definedName>
    <definedName name="FDP_74_1_aSrv" hidden="1">#REF!</definedName>
    <definedName name="FDP_74_1_aUrv" hidden="1">#REF!</definedName>
    <definedName name="FDP_75_1_aSrv" hidden="1">#REF!</definedName>
    <definedName name="FDP_76_1_aSrv" hidden="1">#REF!</definedName>
    <definedName name="FDP_76_1_aUrv" hidden="1">#REF!</definedName>
    <definedName name="FDP_77_1_aSrv" hidden="1">#REF!</definedName>
    <definedName name="FDP_77_1_aUrv" hidden="1">#REF!</definedName>
    <definedName name="FDP_78_1_aSrv" hidden="1">#REF!</definedName>
    <definedName name="FDP_78_1_aUrv" hidden="1">#REF!</definedName>
    <definedName name="FDP_79_1_aSrv" hidden="1">#REF!</definedName>
    <definedName name="FDP_79_1_aUrv" hidden="1">#REF!</definedName>
    <definedName name="FDP_8_1_aDrv" hidden="1">#REF!</definedName>
    <definedName name="FDP_8_1_aUdv" hidden="1">#REF!</definedName>
    <definedName name="FDP_8_1_dUdv" hidden="1">#REF!</definedName>
    <definedName name="FDP_80_1_aSrv" hidden="1">#REF!</definedName>
    <definedName name="FDP_80_1_aUrv" hidden="1">#REF!</definedName>
    <definedName name="FDP_81_1_aSrv" hidden="1">#REF!</definedName>
    <definedName name="FDP_82_1_aSrv" hidden="1">#REF!</definedName>
    <definedName name="FDP_82_1_aUrv" hidden="1">#REF!</definedName>
    <definedName name="FDP_83_1_aSrv" hidden="1">#REF!</definedName>
    <definedName name="FDP_84_1_aUrv" hidden="1">#REF!</definedName>
    <definedName name="FDP_85_1_aUrv" hidden="1">#REF!</definedName>
    <definedName name="FDP_86_1_aUrv" hidden="1">#REF!</definedName>
    <definedName name="FDP_87_1_aSrv" hidden="1">#REF!</definedName>
    <definedName name="FDP_87_1_aUrv" hidden="1">#REF!</definedName>
    <definedName name="FDP_88_1_aUrv" hidden="1">#REF!</definedName>
    <definedName name="FDP_89_1_aSrv" hidden="1">#REF!</definedName>
    <definedName name="FDP_9_1_aDrv" hidden="1">#REF!</definedName>
    <definedName name="FDP_90_1_aUrv" hidden="1">#REF!</definedName>
    <definedName name="FDP_91_1_aUrv" hidden="1">#REF!</definedName>
    <definedName name="FDP_92_1_aSrv" hidden="1">#REF!</definedName>
    <definedName name="FDP_93_1_aD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YRGP">[1]Model!#REF!</definedName>
    <definedName name="FYRNI">[1]Model!#REF!</definedName>
    <definedName name="FYROI">[1]Model!#REF!</definedName>
    <definedName name="FYRSALES">[1]Model!#REF!</definedName>
    <definedName name="HCOV">[3]Worksheet!#REF!</definedName>
    <definedName name="INIT">#REF!</definedName>
    <definedName name="INTCOV">[1]Model!#REF!</definedName>
    <definedName name="IPO_shares">#REF!</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DUSTRY_REC_NO" hidden="1">"c4454"</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_REUT" hidden="1">"c5425"</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DATE" hidden="1">"c12212"</definedName>
    <definedName name="IQ_FFO_EST_DET_EST_DATE_CIQ" hidden="1">"c12267"</definedName>
    <definedName name="IQ_FFO_EST_DET_EST_DATE_REUT" hidden="1">"c12295"</definedName>
    <definedName name="IQ_FFO_EST_DET_EST_INCL" hidden="1">"c12349"</definedName>
    <definedName name="IQ_FFO_EST_DET_EST_INCL_CIQ" hidden="1">"c12395"</definedName>
    <definedName name="IQ_FFO_EST_DET_EST_INCL_REUT" hidden="1">"c12419"</definedName>
    <definedName name="IQ_FFO_EST_DET_EST_ORIGIN" hidden="1">"c12722"</definedName>
    <definedName name="IQ_FFO_EST_DET_EST_ORIGIN_CIQ" hidden="1">"c12720"</definedName>
    <definedName name="IQ_FFO_EST_DET_EST_ORIGIN_REUT" hidden="1">"c12724"</definedName>
    <definedName name="IQ_FFO_EST_DET_EST_REUT" hidden="1">"c12153"</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39995.7461805556</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"c5615"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_REUT" hidden="1">"c5375"</definedName>
    <definedName name="IQ_NI_GW_GUIDANCE" hidden="1">"c4471"</definedName>
    <definedName name="IQ_NI_GW_HIGH_EST_REUT" hidden="1">"c5377"</definedName>
    <definedName name="IQ_NI_GW_HIGH_GUIDANCE" hidden="1">"c4178"</definedName>
    <definedName name="IQ_NI_GW_LOW_EST_REUT" hidden="1">"c5378"</definedName>
    <definedName name="IQ_NI_GW_LOW_GUIDANCE" hidden="1">"c4218"</definedName>
    <definedName name="IQ_NI_GW_MEDIAN_EST_REUT" hidden="1">"c5376"</definedName>
    <definedName name="IQ_NI_GW_NUM_EST_REUT" hidden="1">"c5379"</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39545.5986342593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 localSheetId="1">[11]IS!$A$1:$EF$119</definedName>
    <definedName name="IS">#REF!</definedName>
    <definedName name="L.T._Debt">[7]UNPEARN_IS!#REF!</definedName>
    <definedName name="L12MGM">[1]Model!#REF!</definedName>
    <definedName name="L12MNI">[1]Model!#REF!</definedName>
    <definedName name="L12MNM">[1]Model!#REF!</definedName>
    <definedName name="L12MOM">[1]Model!#REF!</definedName>
    <definedName name="L12MSALES">[1]Model!#REF!</definedName>
    <definedName name="LEAP">#REF!</definedName>
    <definedName name="limcount" hidden="1">1</definedName>
    <definedName name="List2">'[10]LBO Analysis'!$D$93:$D$104</definedName>
    <definedName name="ll" hidden="1">{"Table1",#N/A,FALSE,"ANADARKO";"Table2",#N/A,FALSE,"ANADARKO";"Table3",#N/A,FALSE,"ANADARKO";"Table3c",#N/A,FALSE,"ANADARKO";"Table3c2",#N/A,FALSE,"ANADARKO";"Table5",#N/A,FALSE,"ANADARKO"}</definedName>
    <definedName name="lnk_CoName" hidden="1">#REF!</definedName>
    <definedName name="lnk_countryID" hidden="1">#REF!</definedName>
    <definedName name="lnk_cpyID" hidden="1">#REF!</definedName>
    <definedName name="lnk_display_Currency" hidden="1">#REF!</definedName>
    <definedName name="lnk_drate_update"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TD_SE">[1]Model!#REF!</definedName>
    <definedName name="ltdocf">[1]Model!#REF!</definedName>
    <definedName name="LTDSE">[1]Model!#REF!</definedName>
    <definedName name="MARKET1">#REF!</definedName>
    <definedName name="MARKET2">#REF!</definedName>
    <definedName name="MARKET3">#REF!</definedName>
    <definedName name="MARKET4">#REF!</definedName>
    <definedName name="MHO">#REF!</definedName>
    <definedName name="MonitorCol">1</definedName>
    <definedName name="MonitorRow">1</definedName>
    <definedName name="MV">[1]Model!#REF!</definedName>
    <definedName name="MVBV">[1]Model!#REF!</definedName>
    <definedName name="MVL12MNI">[1]Model!#REF!</definedName>
    <definedName name="NETMARG1YRPRIOR">[1]Model!#REF!</definedName>
    <definedName name="NETMARG2YRPRIOR">[1]Model!#REF!</definedName>
    <definedName name="NETMARG3YRAVG">[1]Model!#REF!</definedName>
    <definedName name="NETMARG3YRPRIOR">[1]Model!#REF!</definedName>
    <definedName name="NETWORTH">[1]Model!#REF!</definedName>
    <definedName name="NFYPE">[1]Model!#REF!</definedName>
    <definedName name="NI">[1]Model!#REF!</definedName>
    <definedName name="NI1YRGR">[1]Model!#REF!</definedName>
    <definedName name="NI3YRGR">[1]Model!#REF!</definedName>
    <definedName name="NONLEAP">#REF!</definedName>
    <definedName name="OCF">[1]Model!#REF!</definedName>
    <definedName name="OPERINC">[1]Model!#REF!</definedName>
    <definedName name="OPERINC1YRGR">[1]Model!#REF!</definedName>
    <definedName name="OPERINC3YRGR">[1]Model!#REF!</definedName>
    <definedName name="OPPR1YRPRIOR">[1]Model!#REF!</definedName>
    <definedName name="OPPR2YRPRIOR">[1]Model!#REF!</definedName>
    <definedName name="OPPR3YRAVG">[1]Model!#REF!</definedName>
    <definedName name="OPPR3YRPRIOR">[1]Model!#REF!</definedName>
    <definedName name="page1">#REF!</definedName>
    <definedName name="page2">#REF!</definedName>
    <definedName name="page3">#REF!</definedName>
    <definedName name="page4">#REF!</definedName>
    <definedName name="page5">#REF!</definedName>
    <definedName name="Preferred_Stock">[7]UNPEARN_IS!#REF!</definedName>
    <definedName name="PREMBK">[1]Model!#REF!</definedName>
    <definedName name="PREMST">[1]Model!#REF!</definedName>
    <definedName name="Price10YR">OFFSET(#REF!,COUNTA(#REF!)-523,0,523)</definedName>
    <definedName name="_xlnm.Print_Area" localSheetId="2">CSX!$A$17:$LU$73</definedName>
    <definedName name="_xlnm.Print_Area" localSheetId="1">Disclaimer!$A$2:$L$57</definedName>
    <definedName name="Print_Area_MI">'[14]OILS&amp;D'!$A$1:$AW$46</definedName>
    <definedName name="Print1">#REF!</definedName>
    <definedName name="PRINTALL">#REF!</definedName>
    <definedName name="PRL12MNI">[1]Model!#REF!</definedName>
    <definedName name="Profit_Loss">#REF!</definedName>
    <definedName name="QUICK">[1]Model!#REF!</definedName>
    <definedName name="QUICKRATIO">[1]Model!#REF!</definedName>
    <definedName name="qwe" hidden="1">{#N/A,#N/A,FALSE,"INCOME"}</definedName>
    <definedName name="results">#REF!</definedName>
    <definedName name="REV">[15]REV!$A$1:$DO$453</definedName>
    <definedName name="ROA1YRPRIOR">[1]Model!#REF!</definedName>
    <definedName name="ROA2YRPRIOR">[1]Model!#REF!</definedName>
    <definedName name="ROA3YRAVG">[1]Model!#REF!</definedName>
    <definedName name="ROA3YRPRIOR">[1]Model!#REF!</definedName>
    <definedName name="ROE">#REF!</definedName>
    <definedName name="ROE1YRPRIOR">[1]Model!#REF!</definedName>
    <definedName name="ROE2YRPRIOR">[1]Model!#REF!</definedName>
    <definedName name="ROE3YRAVG">[1]Model!#REF!</definedName>
    <definedName name="ROE3YRPRIOR">[1]Model!#REF!</definedName>
    <definedName name="S.T._Debt___Current_Portion_of_L.T.">[7]UNPEARN_IS!#REF!</definedName>
    <definedName name="SALES">[1]Model!#REF!</definedName>
    <definedName name="SALES1YRGR">[1]Model!#REF!</definedName>
    <definedName name="SALES3YRGR">[1]Model!#REF!</definedName>
    <definedName name="SEGADAT2">[3]Summary!#REF!</definedName>
    <definedName name="SEGHDAT2">[3]Summary!#REF!</definedName>
    <definedName name="Segment_Data">[16]Q!#REF!</definedName>
    <definedName name="Segments">#REF!</definedName>
    <definedName name="SEGPDAT2">[3]Summary!#REF!</definedName>
    <definedName name="sencount" hidden="1">1</definedName>
    <definedName name="SENSITIV">#REF!</definedName>
    <definedName name="Share_Data">#REF!,#REF!</definedName>
    <definedName name="SORT1">[1]Model!#REF!</definedName>
    <definedName name="SORT2">[1]Model!#REF!</definedName>
    <definedName name="SORT3">[1]Model!#REF!</definedName>
    <definedName name="SORT4">[1]Model!#REF!</definedName>
    <definedName name="STOCK_PERFORMANCE">#REF!</definedName>
    <definedName name="Stockholders__Equity">[7]UNPEARN_IS!#REF!</definedName>
    <definedName name="SUMMARY">#REF!</definedName>
    <definedName name="SUMREP">#REF!</definedName>
    <definedName name="Target">[2]Valuation!$D$4</definedName>
    <definedName name="TCOV">[3]Worksheet!#REF!</definedName>
    <definedName name="ten">10</definedName>
    <definedName name="thd">1000</definedName>
    <definedName name="TLSE">[1]Model!#REF!</definedName>
    <definedName name="TOTASS">[1]Model!#REF!</definedName>
    <definedName name="TOTLIAB_SE">[1]Model!#REF!</definedName>
    <definedName name="TOTVAL">[1]Model!#REF!</definedName>
    <definedName name="Utility" hidden="1">{"Table1",#N/A,FALSE,"ANADARKO";"Table2",#N/A,FALSE,"ANADARKO";"Table3",#N/A,FALSE,"ANADARKO";"Table3c",#N/A,FALSE,"ANADARKO";"Table3c2",#N/A,FALSE,"ANADARKO";"Table5",#N/A,FALSE,"ANADARKO"}</definedName>
    <definedName name="VAL">#REF!</definedName>
    <definedName name="Val_Table">#REF!</definedName>
    <definedName name="wrn.94._.to._.00._.IS." hidden="1">{#N/A,#N/A,FALSE,"INCOME"}</definedName>
    <definedName name="wrn.all." hidden="1">{"cf",#N/A,FALSE,"Annual";"is",#N/A,FALSE,"Annual";"geo",#N/A,FALSE,"Annual";"jwt",#N/A,FALSE,"Annual";"om",#N/A,FALSE,"Annual";"other",#N/A,FALSE,"Annual";"omcontd",#N/A,FALSE,"Annual"}</definedName>
    <definedName name="wrn.ANADARKO." hidden="1">{"Table1",#N/A,FALSE,"ANADARKO";"Table2",#N/A,FALSE,"ANADARKO";"Table3",#N/A,FALSE,"ANADARKO";"Table3c",#N/A,FALSE,"ANADARKO";"Table3c2",#N/A,FALSE,"ANADARKO";"Table5",#N/A,FALSE,"ANADARKO"}</definedName>
    <definedName name="wrn.Annual._.EPS._.Change." hidden="1">{"Annual EPS Change",#N/A,FALSE,"CNIEARN2"}</definedName>
    <definedName name="wrn.CHESAPEAKE." hidden="1">{"CASHFLOW",#N/A,FALSE,"CHESAPEA";"ASSETVALUE",#N/A,FALSE,"CHESAPEA";"DATA",#N/A,FALSE,"CHESAPEA";"INCOME",#N/A,FALSE,"CHESAPEA"}</definedName>
    <definedName name="wrn.CPR._.Financials." hidden="1">{"CPR Income Statement",#N/A,FALSE,"CPEARN";"CPR Balance Sheet",#N/A,FALSE,"CPEARN";"CPR Cash Flow",#N/A,FALSE,"CPEARN"}</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{"ecpcash",#N/A,FALSE,"ECPann";"ecpinc",#N/A,FALSE,"ECPann";"ecpindia",#N/A,FALSE,"ECPann";"ecpmun",#N/A,FALSE,"ECPann";"ecpphoenix",#N/A,FALSE,"ECPann";"ecpothe",#N/A,FALSE,"ECPann";"ecpbalsht",#N/A,FALSE,"ECPann";"ecpwestech",#N/A,FALSE,"ECPann"}</definedName>
    <definedName name="wrn.Fax." hidden="1">{"fax",#N/A,FALSE,"BS";"fax",#N/A,FALSE,"IS";"fax",#N/A,FALSE,"CF"}</definedName>
    <definedName name="wrn.Financials." hidden="1">{"Income Statement",#N/A,FALSE,"CHRW EARN";"Cash Flow",#N/A,FALSE,"CHRW EARN";"Balance Sheet",#N/A,FALSE,"CHRW EARN"}</definedName>
    <definedName name="wrn.gciall." hidden="1">{"gcicash",#N/A,FALSE,"GCIINC";"gciinc",#N/A,FALSE,"GCIINC";"gciexclusa",#N/A,FALSE,"GCIINC";"usatdy",#N/A,FALSE,"GCIINC"}</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riall." hidden="1">{"kricash",#N/A,FALSE,"INC";"kriinc",#N/A,FALSE,"INC";"kripapers",#N/A,FALSE,"INC";"krimiami",#N/A,FALSE,"INC";"krimiami1",#N/A,FALSE,"INC";"kriother",#N/A,FALSE,"INC";"kripaper",#N/A,FALSE,"INC"}</definedName>
    <definedName name="wrn.mhpall." hidden="1">{"mhpcash",#N/A,FALSE,"MHPNEWX";"mhpinc",#N/A,FALSE,"MHPNEWX";"mhptax",#N/A,FALSE,"MHPNEWX";"mhpbroad",#N/A,FALSE,"MHPNEWX";"mhpeduc",#N/A,FALSE,"MHPNEWX";"mhpfin",#N/A,FALSE,"MHPNEWX";"mhpinfo",#N/A,FALSE,"MHPNEWX"}</definedName>
    <definedName name="wrn.mniall." hidden="1">{"mnifirst",#N/A,FALSE,"MCQTRS";"mnisecond",#N/A,FALSE,"MCQTRS";"mnithird",#N/A,FALSE,"MCQTRS";"mnifourth",#N/A,FALSE,"MCQTRS";"mnifull",#N/A,FALSE,"MCQTRS"}</definedName>
    <definedName name="wrn.mniannual." hidden="1">{"mnicash",#N/A,FALSE,"MCINC2";"mniinc",#N/A,FALSE,"MCINC2";"mniperchng",#N/A,FALSE,"MCINC2";"mnipprinc",#N/A,FALSE,"MCINC2";"mnianch",#N/A,FALSE,"MCINC2";"mnianctri",#N/A,FALSE,"MCINC2";"mnimodtac",#N/A,FALSE,"MCINC2";"mnisac",#N/A,FALSE,"MCINC2";"rock",#N/A,FALSE,"MCINC2";"tri",#N/A,FALSE,"MCINC2";"mnifresno",#N/A,FALSE,"MCINC2"}</definedName>
    <definedName name="wrn.Model." hidden="1">{"EM",#N/A,FALSE,"EM";"BS",#N/A,FALSE,"BS";"CF",#N/A,FALSE,"CF"}</definedName>
    <definedName name="wrn.nytaann." hidden="1">{"nytacash",#N/A,FALSE,"GLOBEINC";"nytainc",#N/A,FALSE,"GLOBEINC";"nytanyt",#N/A,FALSE,"GLOBEINC";"nytareg",#N/A,FALSE,"GLOBEINC";"nytaglobe",#N/A,FALSE,"GLOBEINC";"nytapprttl",#N/A,FALSE,"GLOBEINC"}</definedName>
    <definedName name="wrn.printqtr." hidden="1">{"nytasecond",#N/A,FALSE,"NYTQTRS";"nytafirst",#N/A,FALSE,"NYTQTRS";"nytathird",#N/A,FALSE,"NYTQTRS";"nytafourth",#N/A,FALSE,"NYTQTRS";"nytafull",#N/A,FALSE,"NYTQTRS"}</definedName>
    <definedName name="wrn.Quarterly._.Analysis." hidden="1">{"Quarterly Analysis",#N/A,FALSE,"CPEARN"}</definedName>
    <definedName name="wrn.sspall." hidden="1">{"sspcash",#N/A,FALSE,"EWSINCX";"sspinc",#N/A,FALSE,"EWSINCX";"ssptax",#N/A,FALSE,"EWSINCX";"ssppub",#N/A,FALSE,"EWSINCX";"sspperchgetc",#N/A,FALSE,"EWSINCX";"sspevan",#N/A,FALSE,"EWSINCX";"sspbroad",#N/A,FALSE,"EWSINCX";"sspbroadcont",#N/A,FALSE,"EWSINCX";"sspcable",#N/A,FALSE,"EWSINCX"}</definedName>
    <definedName name="wrn.TMCALL." hidden="1">{"tmccash",#N/A,FALSE,"INCX";"tmcinc",#N/A,FALSE,"INCX";"tmcpretx",#N/A,FALSE,"INCX";"tmcadrev",#N/A,FALSE,"INCX";"tmcbooks",#N/A,FALSE,"INCX"}</definedName>
    <definedName name="wrn.TP." hidden="1">{"Page 1",#N/A,TRUE,"Calculations";"Page 2",#N/A,TRUE,"Calculations";"Page 3",#N/A,TRUE,"Calculations";"Page 4",#N/A,TRUE,"Calculations";"Page 6",#N/A,TRUE,"Calculations";"Page 7",#N/A,TRUE,"Calculations";"Page 8",#N/A,TRUE,"Calculations";"Page 9",#N/A,TRUE,"Calculations";"Page 10",#N/A,TRUE,"Calculations";"Page 11",#N/A,TRUE,"Calculations";"Page 12",#N/A,TRUE,"Calculations";"Page 13",#N/A,TRUE,"Calculations";"Page 14",#N/A,TRUE,"Calculations"}</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yy" hidden="1">{#N/A,#N/A,FALSE,"INCOME"}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Y2" i="1" l="1"/>
  <c r="KX2" i="1"/>
  <c r="KW2" i="1"/>
  <c r="KV2" i="1"/>
  <c r="LF2" i="1"/>
  <c r="LE2" i="1"/>
  <c r="LD2" i="1"/>
  <c r="LC2" i="1"/>
  <c r="LT2" i="1"/>
  <c r="LS2" i="1"/>
  <c r="LR2" i="1"/>
  <c r="LQ2" i="1"/>
  <c r="LJ2" i="1"/>
  <c r="LK2" i="1"/>
  <c r="LL2" i="1"/>
  <c r="LM2" i="1"/>
  <c r="D63" i="1"/>
  <c r="E63" i="1"/>
  <c r="F63" i="1"/>
  <c r="G63" i="1"/>
  <c r="H63" i="1"/>
  <c r="I63" i="1"/>
  <c r="J63" i="1"/>
  <c r="K63" i="1"/>
  <c r="L63" i="1"/>
  <c r="M63" i="1"/>
  <c r="N63" i="1"/>
  <c r="O63" i="1"/>
  <c r="P63" i="1"/>
  <c r="Q63" i="1"/>
  <c r="R63" i="1"/>
  <c r="S63" i="1"/>
  <c r="T63" i="1"/>
  <c r="U63" i="1"/>
  <c r="V63" i="1"/>
  <c r="W63" i="1"/>
  <c r="X63" i="1"/>
  <c r="Y63" i="1"/>
  <c r="Z63" i="1"/>
  <c r="AA63" i="1"/>
  <c r="AB63" i="1"/>
  <c r="AC63" i="1"/>
  <c r="AD63" i="1"/>
  <c r="AE63" i="1"/>
  <c r="AF63" i="1"/>
  <c r="AG63" i="1"/>
  <c r="AH63" i="1"/>
  <c r="AI63" i="1"/>
  <c r="AJ63" i="1"/>
  <c r="AK63" i="1"/>
  <c r="AL63" i="1"/>
  <c r="AM63" i="1"/>
  <c r="AN63" i="1"/>
  <c r="AO63" i="1"/>
  <c r="AP63" i="1"/>
  <c r="AQ63" i="1"/>
  <c r="AR63" i="1"/>
  <c r="AS63" i="1"/>
  <c r="AT63" i="1"/>
  <c r="AU63" i="1"/>
  <c r="AV63" i="1"/>
  <c r="AW63" i="1"/>
  <c r="AX63" i="1"/>
  <c r="AY63" i="1"/>
  <c r="AZ63" i="1"/>
  <c r="BA63" i="1"/>
  <c r="BY63" i="1"/>
  <c r="BZ63" i="1"/>
  <c r="CA63" i="1"/>
  <c r="CB63" i="1"/>
  <c r="CC63" i="1"/>
  <c r="CF63" i="1"/>
  <c r="CG63" i="1"/>
  <c r="CH63" i="1"/>
  <c r="CI63" i="1"/>
  <c r="CJ63" i="1"/>
  <c r="CM63" i="1"/>
  <c r="CN63" i="1"/>
  <c r="CO63" i="1"/>
  <c r="CP63" i="1"/>
  <c r="CQ63" i="1"/>
  <c r="CT63" i="1"/>
  <c r="CU63" i="1"/>
  <c r="CV63" i="1"/>
  <c r="CW63" i="1"/>
  <c r="CX63" i="1"/>
  <c r="DA63" i="1"/>
  <c r="DB63" i="1"/>
  <c r="DC63" i="1"/>
  <c r="DD63" i="1"/>
  <c r="DE63" i="1"/>
  <c r="DH63" i="1"/>
  <c r="DI63" i="1"/>
  <c r="DJ63" i="1"/>
  <c r="DK63" i="1"/>
  <c r="DL63" i="1"/>
  <c r="DO63" i="1"/>
  <c r="DP63" i="1"/>
  <c r="DQ63" i="1"/>
  <c r="DR63" i="1"/>
  <c r="DS63" i="1"/>
  <c r="DV63" i="1"/>
  <c r="DW63" i="1"/>
  <c r="DX63" i="1"/>
  <c r="DY63" i="1"/>
  <c r="DZ63" i="1"/>
  <c r="EC63" i="1"/>
  <c r="ED63" i="1"/>
  <c r="EE63" i="1"/>
  <c r="EF63" i="1"/>
  <c r="EG63" i="1"/>
  <c r="EJ63" i="1"/>
  <c r="EK63" i="1"/>
  <c r="EL63" i="1"/>
  <c r="EM63" i="1"/>
  <c r="EN63" i="1"/>
  <c r="EQ63" i="1"/>
  <c r="ER63" i="1"/>
  <c r="ES63" i="1"/>
  <c r="ET63" i="1"/>
  <c r="EU63" i="1"/>
  <c r="EX63" i="1"/>
  <c r="EY63" i="1"/>
  <c r="EZ63" i="1"/>
  <c r="FA63" i="1"/>
  <c r="FB63" i="1"/>
  <c r="FE63" i="1"/>
  <c r="FF63" i="1"/>
  <c r="FG63" i="1"/>
  <c r="FH63" i="1"/>
  <c r="FI63" i="1"/>
  <c r="FL63" i="1"/>
  <c r="FM63" i="1"/>
  <c r="FN63" i="1"/>
  <c r="FO63" i="1"/>
  <c r="FP63" i="1"/>
  <c r="FS63" i="1"/>
  <c r="FT63" i="1"/>
  <c r="FU63" i="1"/>
  <c r="FV63" i="1"/>
  <c r="FW63" i="1"/>
  <c r="FZ63" i="1"/>
  <c r="GA63" i="1"/>
  <c r="GB63" i="1"/>
  <c r="GC63" i="1"/>
  <c r="GD63" i="1"/>
  <c r="GG63" i="1"/>
  <c r="GH63" i="1"/>
  <c r="GI63" i="1"/>
  <c r="GJ63" i="1"/>
  <c r="GK63" i="1"/>
  <c r="GN63" i="1"/>
  <c r="GO63" i="1"/>
  <c r="GP63" i="1"/>
  <c r="GQ63" i="1"/>
  <c r="GR63" i="1"/>
  <c r="GU63" i="1"/>
  <c r="GV63" i="1"/>
  <c r="GW63" i="1"/>
  <c r="GX63" i="1"/>
  <c r="GY63" i="1"/>
  <c r="HB63" i="1"/>
  <c r="HC63" i="1"/>
  <c r="HD63" i="1"/>
  <c r="HE63" i="1"/>
  <c r="HF63" i="1"/>
  <c r="HI63" i="1"/>
  <c r="HJ63" i="1"/>
  <c r="HK63" i="1"/>
  <c r="HL63" i="1"/>
  <c r="HM63" i="1"/>
  <c r="HP63" i="1"/>
  <c r="HQ63" i="1"/>
  <c r="HR63" i="1"/>
  <c r="HS63" i="1"/>
  <c r="HT63" i="1"/>
  <c r="HW63" i="1"/>
  <c r="HX63" i="1"/>
  <c r="HY63" i="1"/>
  <c r="HZ63" i="1"/>
  <c r="IA63" i="1"/>
  <c r="ID63" i="1"/>
  <c r="IE63" i="1"/>
  <c r="IF63" i="1"/>
  <c r="IG63" i="1"/>
  <c r="IH63" i="1"/>
  <c r="IK63" i="1"/>
  <c r="IL63" i="1"/>
  <c r="IM63" i="1"/>
  <c r="IN63" i="1"/>
  <c r="IO63" i="1"/>
  <c r="IR63" i="1"/>
  <c r="IS63" i="1"/>
  <c r="IT63" i="1"/>
  <c r="IU63" i="1"/>
  <c r="IV63" i="1"/>
  <c r="IY63" i="1"/>
  <c r="IZ63" i="1"/>
  <c r="JA63" i="1"/>
  <c r="JB63" i="1"/>
  <c r="JC63" i="1"/>
  <c r="JF63" i="1"/>
  <c r="JG63" i="1"/>
  <c r="JH63" i="1"/>
  <c r="JI63" i="1"/>
  <c r="JJ63" i="1"/>
  <c r="JM63" i="1"/>
  <c r="JN63" i="1"/>
  <c r="JO63" i="1"/>
  <c r="JP63" i="1"/>
  <c r="JQ63" i="1"/>
  <c r="JT63" i="1"/>
  <c r="JU63" i="1"/>
  <c r="JV63" i="1"/>
  <c r="JW63" i="1"/>
  <c r="JX63" i="1"/>
  <c r="KA63" i="1"/>
  <c r="KB63" i="1"/>
  <c r="KC63" i="1"/>
  <c r="KD63" i="1"/>
  <c r="KE63" i="1"/>
  <c r="KH63" i="1"/>
  <c r="KI63" i="1"/>
  <c r="KJ63" i="1"/>
  <c r="KK63" i="1"/>
  <c r="KL63" i="1"/>
  <c r="KO63" i="1"/>
  <c r="KP63" i="1"/>
  <c r="KQ63" i="1"/>
  <c r="KR63" i="1"/>
  <c r="KS63" i="1"/>
  <c r="KV63" i="1"/>
  <c r="KW63" i="1"/>
  <c r="KX63" i="1"/>
  <c r="KY63" i="1"/>
  <c r="KZ63" i="1"/>
  <c r="LC63" i="1"/>
  <c r="LD63" i="1"/>
  <c r="LE63" i="1"/>
  <c r="LF63" i="1"/>
  <c r="LG63" i="1"/>
  <c r="LJ63" i="1"/>
  <c r="LK63" i="1"/>
  <c r="LL63" i="1"/>
  <c r="LM63" i="1"/>
  <c r="LN63" i="1"/>
  <c r="LQ63" i="1"/>
  <c r="LR63" i="1"/>
  <c r="LS63" i="1"/>
  <c r="LT63" i="1"/>
  <c r="LU63" i="1"/>
  <c r="LX63" i="1"/>
  <c r="LY63" i="1"/>
  <c r="LZ63" i="1"/>
  <c r="MA63" i="1"/>
  <c r="MB63" i="1"/>
  <c r="ME63" i="1"/>
  <c r="MF63" i="1"/>
  <c r="MG63" i="1"/>
  <c r="MH63" i="1"/>
  <c r="MI63" i="1"/>
  <c r="GF75" i="5"/>
  <c r="GF76" i="5"/>
  <c r="LO92" i="30"/>
  <c r="LH92" i="30"/>
  <c r="LA92" i="30"/>
  <c r="KT92" i="30"/>
  <c r="IW92" i="30"/>
  <c r="JD92" i="30"/>
  <c r="JK92" i="30"/>
  <c r="JR92" i="30"/>
  <c r="JY92" i="30"/>
  <c r="KF92" i="30"/>
  <c r="KM92" i="30"/>
  <c r="LK24" i="29"/>
  <c r="LK23" i="29"/>
  <c r="LK22" i="29"/>
  <c r="LK21" i="29"/>
  <c r="LK20" i="29"/>
  <c r="LK19" i="29"/>
  <c r="LR9" i="29" l="1"/>
  <c r="LO9" i="29"/>
  <c r="LP9" i="29" s="1"/>
  <c r="LQ9" i="29" s="1"/>
  <c r="GD57" i="5"/>
  <c r="GD56" i="5"/>
  <c r="GD53" i="5"/>
  <c r="GD52" i="5"/>
  <c r="GD54" i="5"/>
  <c r="GD55" i="5"/>
  <c r="GD45" i="5"/>
  <c r="GD44" i="5"/>
  <c r="GD43" i="5"/>
  <c r="GD42" i="5"/>
  <c r="GD38" i="5"/>
  <c r="GD37" i="5"/>
  <c r="GD31" i="5"/>
  <c r="GD11" i="5"/>
  <c r="GD9" i="5"/>
  <c r="HX52" i="4"/>
  <c r="HX33" i="4"/>
  <c r="HX26" i="4"/>
  <c r="HX22" i="4"/>
  <c r="HX20" i="4"/>
  <c r="HX12" i="4"/>
  <c r="LM46" i="1"/>
  <c r="LK8" i="29"/>
  <c r="LK7" i="29"/>
  <c r="LK137" i="29"/>
  <c r="LK133" i="29"/>
  <c r="LK134" i="29" s="1"/>
  <c r="LK130" i="29"/>
  <c r="LK120" i="29"/>
  <c r="LK118" i="29"/>
  <c r="LK114" i="29"/>
  <c r="LL111" i="29"/>
  <c r="LK86" i="29"/>
  <c r="LL84" i="29"/>
  <c r="LM60" i="1"/>
  <c r="LM95" i="1"/>
  <c r="LK297" i="30"/>
  <c r="LK289" i="30"/>
  <c r="LK290" i="30" s="1"/>
  <c r="LK274" i="30"/>
  <c r="LK273" i="30"/>
  <c r="LK276" i="30" s="1"/>
  <c r="LK277" i="30" s="1"/>
  <c r="LK270" i="30"/>
  <c r="LK271" i="30" s="1"/>
  <c r="LK263" i="30"/>
  <c r="LK264" i="30" s="1"/>
  <c r="LK261" i="30"/>
  <c r="LK260" i="30"/>
  <c r="LK254" i="30"/>
  <c r="LK253" i="30"/>
  <c r="LK251" i="30"/>
  <c r="LK250" i="30"/>
  <c r="LK243" i="30"/>
  <c r="LK246" i="30" s="1"/>
  <c r="LK247" i="30" s="1"/>
  <c r="LK240" i="30"/>
  <c r="LK241" i="30" s="1"/>
  <c r="LK233" i="30"/>
  <c r="LK236" i="30" s="1"/>
  <c r="LK237" i="30" s="1"/>
  <c r="LK230" i="30"/>
  <c r="LK231" i="30" s="1"/>
  <c r="LK229" i="30"/>
  <c r="LK226" i="30"/>
  <c r="LK227" i="30" s="1"/>
  <c r="LK223" i="30"/>
  <c r="LK224" i="30" s="1"/>
  <c r="LK220" i="30"/>
  <c r="LK221" i="30" s="1"/>
  <c r="LK213" i="30"/>
  <c r="LK216" i="30" s="1"/>
  <c r="LK217" i="30" s="1"/>
  <c r="LK210" i="30"/>
  <c r="LK211" i="30" s="1"/>
  <c r="LK204" i="30"/>
  <c r="LK203" i="30"/>
  <c r="LK206" i="30" s="1"/>
  <c r="LK207" i="30" s="1"/>
  <c r="LK200" i="30"/>
  <c r="LK201" i="30" s="1"/>
  <c r="LK193" i="30"/>
  <c r="LK196" i="30" s="1"/>
  <c r="LK197" i="30" s="1"/>
  <c r="LK190" i="30"/>
  <c r="LK191" i="30" s="1"/>
  <c r="LK183" i="30"/>
  <c r="LK186" i="30" s="1"/>
  <c r="LK187" i="30" s="1"/>
  <c r="LK180" i="30"/>
  <c r="LK181" i="30" s="1"/>
  <c r="LK173" i="30"/>
  <c r="LK174" i="30" s="1"/>
  <c r="LK170" i="30"/>
  <c r="LK171" i="30" s="1"/>
  <c r="LK58" i="30"/>
  <c r="LK57" i="30"/>
  <c r="LQ29" i="1" l="1"/>
  <c r="LK266" i="30"/>
  <c r="LK267" i="30" s="1"/>
  <c r="LK244" i="30"/>
  <c r="LK234" i="30"/>
  <c r="LK214" i="30"/>
  <c r="LK219" i="30"/>
  <c r="LK194" i="30"/>
  <c r="LK176" i="30"/>
  <c r="LK177" i="30" s="1"/>
  <c r="LK184" i="30"/>
  <c r="MB154" i="29"/>
  <c r="MB3" i="29"/>
  <c r="MB155" i="29" s="1"/>
  <c r="MB2" i="29"/>
  <c r="MB277" i="30"/>
  <c r="MB276" i="30"/>
  <c r="MB274" i="30"/>
  <c r="MB273" i="30"/>
  <c r="MB271" i="30"/>
  <c r="MB270" i="30"/>
  <c r="MB269" i="30"/>
  <c r="MB267" i="30"/>
  <c r="MB266" i="30"/>
  <c r="MB264" i="30"/>
  <c r="MB263" i="30"/>
  <c r="MB261" i="30"/>
  <c r="MB260" i="30"/>
  <c r="MB259" i="30"/>
  <c r="MB257" i="30"/>
  <c r="MB256" i="30"/>
  <c r="MB254" i="30"/>
  <c r="MB253" i="30"/>
  <c r="MB251" i="30"/>
  <c r="MB250" i="30"/>
  <c r="MB249" i="30"/>
  <c r="MB247" i="30"/>
  <c r="MB246" i="30"/>
  <c r="MB244" i="30"/>
  <c r="MB243" i="30"/>
  <c r="MB241" i="30"/>
  <c r="MB240" i="30"/>
  <c r="MB239" i="30"/>
  <c r="MB237" i="30"/>
  <c r="MB236" i="30"/>
  <c r="MB234" i="30"/>
  <c r="MB233" i="30"/>
  <c r="MB231" i="30"/>
  <c r="MB230" i="30"/>
  <c r="MB229" i="30"/>
  <c r="MB227" i="30"/>
  <c r="MB226" i="30"/>
  <c r="MB224" i="30"/>
  <c r="MB223" i="30"/>
  <c r="MB221" i="30"/>
  <c r="MB220" i="30"/>
  <c r="MB219" i="30"/>
  <c r="MB217" i="30"/>
  <c r="MB216" i="30"/>
  <c r="MB214" i="30"/>
  <c r="MB213" i="30"/>
  <c r="MB211" i="30"/>
  <c r="MB210" i="30"/>
  <c r="MB209" i="30"/>
  <c r="MB207" i="30"/>
  <c r="MB206" i="30"/>
  <c r="MB204" i="30"/>
  <c r="MB203" i="30"/>
  <c r="MB201" i="30"/>
  <c r="MB200" i="30"/>
  <c r="MB199" i="30"/>
  <c r="MB197" i="30"/>
  <c r="MB196" i="30"/>
  <c r="MB194" i="30"/>
  <c r="MB193" i="30"/>
  <c r="MB191" i="30"/>
  <c r="MB190" i="30"/>
  <c r="MB189" i="30"/>
  <c r="MB187" i="30"/>
  <c r="MB186" i="30"/>
  <c r="MB184" i="30"/>
  <c r="MB183" i="30"/>
  <c r="MB181" i="30"/>
  <c r="MB180" i="30"/>
  <c r="MB179" i="30"/>
  <c r="MB177" i="30"/>
  <c r="MB176" i="30"/>
  <c r="MB174" i="30"/>
  <c r="MB173" i="30"/>
  <c r="MB171" i="30"/>
  <c r="MB170" i="30"/>
  <c r="MB169" i="30"/>
  <c r="MB168" i="30"/>
  <c r="MB165" i="30"/>
  <c r="MB5" i="30"/>
  <c r="MB4" i="30"/>
  <c r="MD98" i="1"/>
  <c r="MD96" i="1"/>
  <c r="MD95" i="1"/>
  <c r="MD94" i="1"/>
  <c r="MD93" i="1"/>
  <c r="MD91" i="1"/>
  <c r="MD90" i="1"/>
  <c r="MD89" i="1"/>
  <c r="MD88" i="1"/>
  <c r="MD86" i="1"/>
  <c r="MD85" i="1"/>
  <c r="MD84" i="1"/>
  <c r="MD83" i="1"/>
  <c r="MD81" i="1"/>
  <c r="MD80" i="1"/>
  <c r="MD79" i="1"/>
  <c r="MD78" i="1"/>
  <c r="MD76" i="1"/>
  <c r="MD75" i="1"/>
  <c r="MD18" i="1"/>
  <c r="MD17" i="1"/>
  <c r="Z118" i="5"/>
  <c r="BA190" i="29"/>
  <c r="BA185" i="29"/>
  <c r="BA180" i="29"/>
  <c r="BA176" i="29"/>
  <c r="BA172" i="29"/>
  <c r="BA168" i="29"/>
  <c r="BA164" i="29"/>
  <c r="BA160" i="29"/>
  <c r="BA150" i="29"/>
  <c r="BA149" i="29"/>
  <c r="BA147" i="29"/>
  <c r="BA146" i="29"/>
  <c r="BA145" i="29"/>
  <c r="BA144" i="29"/>
  <c r="BA143" i="29"/>
  <c r="BA142" i="29"/>
  <c r="BA141" i="29"/>
  <c r="BA128" i="29"/>
  <c r="BA127" i="29"/>
  <c r="BA126" i="29"/>
  <c r="BA125" i="29"/>
  <c r="BA124" i="29"/>
  <c r="BA123" i="29"/>
  <c r="BA122" i="29"/>
  <c r="BA121" i="29"/>
  <c r="BA111" i="29"/>
  <c r="BA110" i="29"/>
  <c r="BA109" i="29"/>
  <c r="BA103" i="29"/>
  <c r="BA102" i="29"/>
  <c r="BA101" i="29"/>
  <c r="BA100" i="29"/>
  <c r="BA70" i="29"/>
  <c r="BA69" i="29"/>
  <c r="BA67" i="29"/>
  <c r="BA66" i="29"/>
  <c r="BA63" i="29"/>
  <c r="BA62" i="29"/>
  <c r="BA61" i="29"/>
  <c r="BA60" i="29"/>
  <c r="BA59" i="29"/>
  <c r="BA56" i="29"/>
  <c r="BA55" i="29"/>
  <c r="BA54" i="29"/>
  <c r="BA53" i="29"/>
  <c r="BA52" i="29"/>
  <c r="BA51" i="29"/>
  <c r="BA50" i="29"/>
  <c r="BA47" i="29"/>
  <c r="BA46" i="29"/>
  <c r="BA45" i="29"/>
  <c r="BA44" i="29"/>
  <c r="BA43" i="29"/>
  <c r="BA42" i="29"/>
  <c r="BA39" i="29"/>
  <c r="BA38" i="29"/>
  <c r="BA37" i="29"/>
  <c r="BA36" i="29"/>
  <c r="BA35" i="29"/>
  <c r="BA34" i="29"/>
  <c r="BA33" i="29"/>
  <c r="BA32" i="29"/>
  <c r="BA155" i="29"/>
  <c r="BA566" i="30"/>
  <c r="BA565" i="30"/>
  <c r="BA564" i="30"/>
  <c r="BA563" i="30"/>
  <c r="BA562" i="30"/>
  <c r="BA558" i="30"/>
  <c r="BA557" i="30"/>
  <c r="BA556" i="30"/>
  <c r="BA555" i="30"/>
  <c r="BA554" i="30"/>
  <c r="BA553" i="30"/>
  <c r="BA552" i="30"/>
  <c r="BA551" i="30"/>
  <c r="BA546" i="30"/>
  <c r="BA545" i="30"/>
  <c r="BA544" i="30"/>
  <c r="BA541" i="30"/>
  <c r="BA540" i="30"/>
  <c r="BA539" i="30"/>
  <c r="BA536" i="30"/>
  <c r="BA535" i="30"/>
  <c r="BA534" i="30"/>
  <c r="BA531" i="30"/>
  <c r="BA530" i="30"/>
  <c r="BA529" i="30"/>
  <c r="BA526" i="30"/>
  <c r="BA525" i="30"/>
  <c r="BA524" i="30"/>
  <c r="BA518" i="30"/>
  <c r="BA517" i="30"/>
  <c r="BA516" i="30"/>
  <c r="BA515" i="30"/>
  <c r="BA514" i="30"/>
  <c r="BA513" i="30"/>
  <c r="BA510" i="30"/>
  <c r="BA502" i="30"/>
  <c r="BA494" i="30"/>
  <c r="BA493" i="30"/>
  <c r="BA492" i="30"/>
  <c r="BA491" i="30"/>
  <c r="BA490" i="30"/>
  <c r="BA489" i="30"/>
  <c r="BA486" i="30"/>
  <c r="BA484" i="30"/>
  <c r="BA483" i="30"/>
  <c r="BA482" i="30"/>
  <c r="BA481" i="30"/>
  <c r="BA480" i="30"/>
  <c r="BA479" i="30"/>
  <c r="BA478" i="30"/>
  <c r="BA474" i="30"/>
  <c r="BA473" i="30"/>
  <c r="BA472" i="30"/>
  <c r="BA471" i="30"/>
  <c r="BA470" i="30"/>
  <c r="BA469" i="30"/>
  <c r="BA465" i="30"/>
  <c r="BA458" i="30"/>
  <c r="BA450" i="30"/>
  <c r="BA449" i="30"/>
  <c r="BA448" i="30"/>
  <c r="BA447" i="30"/>
  <c r="BA446" i="30"/>
  <c r="BA445" i="30"/>
  <c r="BA442" i="30"/>
  <c r="BA441" i="30"/>
  <c r="BA440" i="30"/>
  <c r="BA439" i="30"/>
  <c r="BA438" i="30"/>
  <c r="BA437" i="30"/>
  <c r="BA436" i="30"/>
  <c r="BA435" i="30"/>
  <c r="BA429" i="30"/>
  <c r="BA420" i="30"/>
  <c r="BA419" i="30"/>
  <c r="BA418" i="30"/>
  <c r="BA417" i="30"/>
  <c r="BA416" i="30"/>
  <c r="BA415" i="30"/>
  <c r="BA414" i="30"/>
  <c r="BA412" i="30"/>
  <c r="BA411" i="30"/>
  <c r="BA410" i="30"/>
  <c r="BA409" i="30"/>
  <c r="BA408" i="30"/>
  <c r="BA407" i="30"/>
  <c r="BA406" i="30"/>
  <c r="BA405" i="30"/>
  <c r="BA404" i="30"/>
  <c r="BA403" i="30"/>
  <c r="BA402" i="30"/>
  <c r="BA401" i="30"/>
  <c r="BA400" i="30"/>
  <c r="BA399" i="30"/>
  <c r="BA398" i="30"/>
  <c r="BA397" i="30"/>
  <c r="BA396" i="30"/>
  <c r="BA395" i="30"/>
  <c r="BA394" i="30"/>
  <c r="BA393" i="30"/>
  <c r="BA392" i="30"/>
  <c r="BA391" i="30"/>
  <c r="BA390" i="30"/>
  <c r="BA389" i="30"/>
  <c r="BA388" i="30"/>
  <c r="BA387" i="30"/>
  <c r="BA386" i="30"/>
  <c r="BA384" i="30"/>
  <c r="BA383" i="30"/>
  <c r="BA382" i="30"/>
  <c r="BA381" i="30"/>
  <c r="BA380" i="30"/>
  <c r="BA379" i="30"/>
  <c r="BA378" i="30"/>
  <c r="BA377" i="30"/>
  <c r="BA376" i="30"/>
  <c r="BA372" i="30"/>
  <c r="BA371" i="30"/>
  <c r="BA361" i="30"/>
  <c r="BA360" i="30"/>
  <c r="BA359" i="30"/>
  <c r="BA357" i="30"/>
  <c r="BA356" i="30"/>
  <c r="BA351" i="30"/>
  <c r="BA350" i="30"/>
  <c r="BA348" i="30"/>
  <c r="BA347" i="30"/>
  <c r="BA346" i="30"/>
  <c r="BA345" i="30"/>
  <c r="BA339" i="30"/>
  <c r="BA287" i="30"/>
  <c r="BA286" i="30"/>
  <c r="BA284" i="30"/>
  <c r="BA283" i="30"/>
  <c r="BA134" i="30"/>
  <c r="BA133" i="30"/>
  <c r="BA130" i="30"/>
  <c r="BA129" i="30"/>
  <c r="BA124" i="30"/>
  <c r="BA123" i="30"/>
  <c r="BA122" i="30"/>
  <c r="BA88" i="30"/>
  <c r="BA87" i="30"/>
  <c r="BA84" i="30"/>
  <c r="BA83" i="30"/>
  <c r="BA78" i="30"/>
  <c r="BA77" i="30"/>
  <c r="BA76" i="30"/>
  <c r="BA29" i="30"/>
  <c r="BA28" i="30"/>
  <c r="BA25" i="30"/>
  <c r="BA24" i="30"/>
  <c r="BA23" i="30"/>
  <c r="BA18" i="30"/>
  <c r="BA17" i="30"/>
  <c r="BA16" i="30"/>
  <c r="BA69" i="1"/>
  <c r="BA39" i="1"/>
  <c r="BA5" i="1"/>
  <c r="GY149" i="5"/>
  <c r="GX149" i="5"/>
  <c r="GW149" i="5"/>
  <c r="GV149" i="5"/>
  <c r="GR149" i="5"/>
  <c r="GQ149" i="5"/>
  <c r="GP149" i="5"/>
  <c r="GO149" i="5"/>
  <c r="GK149" i="5"/>
  <c r="GJ149" i="5"/>
  <c r="GI149" i="5"/>
  <c r="GH149" i="5"/>
  <c r="LJ8" i="29"/>
  <c r="LP113" i="29"/>
  <c r="LQ113" i="29" s="1"/>
  <c r="LR113" i="29" s="1"/>
  <c r="LV113" i="29" s="1"/>
  <c r="LW113" i="29" s="1"/>
  <c r="LX113" i="29" s="1"/>
  <c r="LY113" i="29" s="1"/>
  <c r="MC113" i="29" s="1"/>
  <c r="MD113" i="29" s="1"/>
  <c r="ME113" i="29" s="1"/>
  <c r="MF113" i="29" s="1"/>
  <c r="LU259" i="30"/>
  <c r="LU249" i="30"/>
  <c r="LU229" i="30"/>
  <c r="LU219" i="30"/>
  <c r="LU209" i="30"/>
  <c r="LU199" i="30"/>
  <c r="LU189" i="30"/>
  <c r="LU179" i="30"/>
  <c r="GU180" i="5" l="1"/>
  <c r="GY153" i="5"/>
  <c r="GZ153" i="5" s="1"/>
  <c r="Z153" i="5" s="1"/>
  <c r="GX153" i="5"/>
  <c r="GW153" i="5"/>
  <c r="GV153" i="5"/>
  <c r="GY55" i="5"/>
  <c r="GX55" i="5"/>
  <c r="GW55" i="5"/>
  <c r="GV55" i="5"/>
  <c r="GY146" i="5"/>
  <c r="GX146" i="5"/>
  <c r="GW146" i="5"/>
  <c r="GV146" i="5"/>
  <c r="GY134" i="5"/>
  <c r="GZ134" i="5" s="1"/>
  <c r="Z134" i="5" s="1"/>
  <c r="GX134" i="5"/>
  <c r="GW134" i="5"/>
  <c r="GV134" i="5"/>
  <c r="GY131" i="5"/>
  <c r="GZ131" i="5" s="1"/>
  <c r="Z131" i="5" s="1"/>
  <c r="GX131" i="5"/>
  <c r="GW131" i="5"/>
  <c r="GV131" i="5"/>
  <c r="GY128" i="5"/>
  <c r="GZ128" i="5" s="1"/>
  <c r="Z128" i="5" s="1"/>
  <c r="GX128" i="5"/>
  <c r="GW128" i="5"/>
  <c r="GV128" i="5"/>
  <c r="GU69" i="5"/>
  <c r="GY57" i="5"/>
  <c r="GX57" i="5"/>
  <c r="GW57" i="5"/>
  <c r="GV57" i="5"/>
  <c r="GZ56" i="5"/>
  <c r="GZ53" i="5"/>
  <c r="GY52" i="5"/>
  <c r="GX52" i="5"/>
  <c r="GW52" i="5"/>
  <c r="GV52" i="5"/>
  <c r="GY51" i="5"/>
  <c r="GX51" i="5"/>
  <c r="GW51" i="5"/>
  <c r="GV51" i="5"/>
  <c r="GZ45" i="5"/>
  <c r="GY44" i="5"/>
  <c r="GX44" i="5"/>
  <c r="GW44" i="5"/>
  <c r="GV44" i="5"/>
  <c r="GY43" i="5"/>
  <c r="GX43" i="5"/>
  <c r="GW43" i="5"/>
  <c r="GV43" i="5"/>
  <c r="GZ42" i="5"/>
  <c r="GZ41" i="5"/>
  <c r="GZ40" i="5"/>
  <c r="GZ39" i="5"/>
  <c r="GY38" i="5"/>
  <c r="GX38" i="5"/>
  <c r="GW38" i="5"/>
  <c r="GV38" i="5"/>
  <c r="GZ24" i="5"/>
  <c r="GZ23" i="5"/>
  <c r="GZ22" i="5"/>
  <c r="GZ21" i="5"/>
  <c r="GZ20" i="5"/>
  <c r="GZ19" i="5"/>
  <c r="GZ18" i="5"/>
  <c r="GZ17" i="5"/>
  <c r="GY16" i="5"/>
  <c r="GX16" i="5"/>
  <c r="GW16" i="5"/>
  <c r="GV16" i="5"/>
  <c r="GZ15" i="5"/>
  <c r="GZ14" i="5"/>
  <c r="GW13" i="5"/>
  <c r="GZ5" i="5"/>
  <c r="IO128" i="4"/>
  <c r="IS92" i="4"/>
  <c r="IR92" i="4"/>
  <c r="IQ92" i="4"/>
  <c r="IP92" i="4"/>
  <c r="IT5" i="4"/>
  <c r="IT65" i="4" s="1"/>
  <c r="AF65" i="4" s="1"/>
  <c r="MF115" i="29"/>
  <c r="MF118" i="29" s="1"/>
  <c r="ME115" i="29"/>
  <c r="ME118" i="29" s="1"/>
  <c r="MD115" i="29"/>
  <c r="MD118" i="29" s="1"/>
  <c r="MC115" i="29"/>
  <c r="MC118" i="29" s="1"/>
  <c r="MG113" i="29"/>
  <c r="BA113" i="29" s="1"/>
  <c r="MG76" i="29"/>
  <c r="MG17" i="29"/>
  <c r="BA17" i="29" s="1"/>
  <c r="MG13" i="29"/>
  <c r="MG3" i="29"/>
  <c r="MG155" i="29" s="1"/>
  <c r="MG334" i="30"/>
  <c r="MG111" i="30"/>
  <c r="BA111" i="30" s="1"/>
  <c r="MG65" i="30"/>
  <c r="BA65" i="30" s="1"/>
  <c r="MG5" i="30"/>
  <c r="MI80" i="1"/>
  <c r="MI79" i="1"/>
  <c r="MI70" i="1"/>
  <c r="MI58" i="1"/>
  <c r="MI57" i="1"/>
  <c r="MI56" i="1"/>
  <c r="MI53" i="1"/>
  <c r="MI40" i="1"/>
  <c r="MI38" i="1"/>
  <c r="MH33" i="1"/>
  <c r="MG33" i="1"/>
  <c r="MF33" i="1"/>
  <c r="ME33" i="1"/>
  <c r="MI32" i="1"/>
  <c r="BA32" i="1" s="1"/>
  <c r="BA12" i="29" s="1"/>
  <c r="MH32" i="1"/>
  <c r="MG32" i="1"/>
  <c r="MF32" i="1"/>
  <c r="ME32" i="1"/>
  <c r="MI18" i="1"/>
  <c r="GC141" i="5"/>
  <c r="GC138" i="5"/>
  <c r="GC115" i="5"/>
  <c r="GC105" i="5"/>
  <c r="GC102" i="5"/>
  <c r="GC98" i="5"/>
  <c r="GB141" i="5"/>
  <c r="GB138" i="5"/>
  <c r="GB115" i="5"/>
  <c r="GB105" i="5"/>
  <c r="GB102" i="5"/>
  <c r="GB98" i="5"/>
  <c r="GB31" i="5"/>
  <c r="GC31" i="5" s="1"/>
  <c r="GB30" i="5"/>
  <c r="GC30" i="5" s="1"/>
  <c r="GB29" i="5"/>
  <c r="GC29" i="5" s="1"/>
  <c r="GB28" i="5"/>
  <c r="GC28" i="5" s="1"/>
  <c r="GB27" i="5"/>
  <c r="GC27" i="5" s="1"/>
  <c r="GB24" i="5"/>
  <c r="GC24" i="5" s="1"/>
  <c r="GB23" i="5"/>
  <c r="GC23" i="5" s="1"/>
  <c r="GB22" i="5"/>
  <c r="GC22" i="5" s="1"/>
  <c r="GB21" i="5"/>
  <c r="GC21" i="5" s="1"/>
  <c r="GB20" i="5"/>
  <c r="GC20" i="5" s="1"/>
  <c r="GB19" i="5"/>
  <c r="GC19" i="5" s="1"/>
  <c r="GB18" i="5"/>
  <c r="GC18" i="5" s="1"/>
  <c r="GB17" i="5"/>
  <c r="GC17" i="5" s="1"/>
  <c r="GB16" i="5"/>
  <c r="GC16" i="5" s="1"/>
  <c r="GB15" i="5"/>
  <c r="GC15" i="5" s="1"/>
  <c r="GB14" i="5"/>
  <c r="GC14" i="5" s="1"/>
  <c r="HW43" i="4"/>
  <c r="GC112" i="5" s="1"/>
  <c r="HW19" i="4"/>
  <c r="LL95" i="1"/>
  <c r="LL78" i="1"/>
  <c r="LL79" i="1"/>
  <c r="LL46" i="1"/>
  <c r="LL56" i="1"/>
  <c r="LJ7" i="29"/>
  <c r="LJ91" i="29" s="1"/>
  <c r="LJ137" i="29"/>
  <c r="LJ133" i="29"/>
  <c r="LJ86" i="29"/>
  <c r="LJ289" i="30"/>
  <c r="LJ290" i="30" s="1"/>
  <c r="LJ263" i="30"/>
  <c r="LJ260" i="30"/>
  <c r="LJ253" i="30"/>
  <c r="LJ250" i="30"/>
  <c r="LJ240" i="30"/>
  <c r="LJ233" i="30"/>
  <c r="LJ230" i="30"/>
  <c r="LJ223" i="30"/>
  <c r="LJ220" i="30"/>
  <c r="LJ213" i="30"/>
  <c r="LJ210" i="30"/>
  <c r="LJ203" i="30"/>
  <c r="LJ200" i="30"/>
  <c r="LJ193" i="30"/>
  <c r="LJ190" i="30"/>
  <c r="LJ183" i="30"/>
  <c r="LJ180" i="30"/>
  <c r="LJ173" i="30"/>
  <c r="LJ170" i="30"/>
  <c r="LJ57" i="30"/>
  <c r="LJ58" i="30"/>
  <c r="LJ13" i="29"/>
  <c r="LJ236" i="30" l="1"/>
  <c r="MI33" i="1"/>
  <c r="BA33" i="1" s="1"/>
  <c r="BA13" i="29" s="1"/>
  <c r="GC147" i="5"/>
  <c r="LJ196" i="30"/>
  <c r="GC145" i="5"/>
  <c r="GY13" i="5"/>
  <c r="Z24" i="5"/>
  <c r="GZ57" i="5"/>
  <c r="BA56" i="1"/>
  <c r="MG166" i="30"/>
  <c r="BA166" i="30" s="1"/>
  <c r="BA5" i="30"/>
  <c r="GZ72" i="5"/>
  <c r="Z72" i="5" s="1"/>
  <c r="Z5" i="5"/>
  <c r="Z17" i="5"/>
  <c r="Z39" i="5"/>
  <c r="GZ44" i="5"/>
  <c r="BA57" i="1"/>
  <c r="Z18" i="5"/>
  <c r="Z40" i="5"/>
  <c r="MI76" i="1"/>
  <c r="BA18" i="1"/>
  <c r="BA76" i="1" s="1"/>
  <c r="BA58" i="1"/>
  <c r="Z14" i="5"/>
  <c r="Z19" i="5"/>
  <c r="Z41" i="5"/>
  <c r="MF98" i="1"/>
  <c r="BA70" i="1"/>
  <c r="Z15" i="5"/>
  <c r="Z20" i="5"/>
  <c r="Z42" i="5"/>
  <c r="MG98" i="1"/>
  <c r="GV13" i="5"/>
  <c r="Z21" i="5"/>
  <c r="GZ38" i="5"/>
  <c r="GZ43" i="5"/>
  <c r="Z45" i="5"/>
  <c r="GZ52" i="5"/>
  <c r="MH98" i="1"/>
  <c r="GB147" i="5"/>
  <c r="GC139" i="5"/>
  <c r="BA38" i="1"/>
  <c r="Z22" i="5"/>
  <c r="GZ51" i="5"/>
  <c r="Z53" i="5"/>
  <c r="GC142" i="5"/>
  <c r="IT92" i="4"/>
  <c r="AF92" i="4" s="1"/>
  <c r="BA40" i="1"/>
  <c r="GX13" i="5"/>
  <c r="Z23" i="5"/>
  <c r="Z56" i="5"/>
  <c r="GV150" i="5"/>
  <c r="GZ55" i="5"/>
  <c r="GW150" i="5"/>
  <c r="GY150" i="5"/>
  <c r="GZ150" i="5" s="1"/>
  <c r="Z150" i="5" s="1"/>
  <c r="ME98" i="1"/>
  <c r="GX150" i="5"/>
  <c r="GZ16" i="5"/>
  <c r="GZ159" i="5"/>
  <c r="Z159" i="5" s="1"/>
  <c r="MG118" i="29"/>
  <c r="GC146" i="5"/>
  <c r="GC144" i="5"/>
  <c r="LL80" i="1"/>
  <c r="LJ186" i="30"/>
  <c r="LJ216" i="30"/>
  <c r="LJ206" i="30"/>
  <c r="LJ226" i="30"/>
  <c r="LJ176" i="30"/>
  <c r="LJ297" i="30"/>
  <c r="LJ256" i="30"/>
  <c r="LJ266" i="30"/>
  <c r="LJ270" i="30"/>
  <c r="Z52" i="5" l="1"/>
  <c r="MG115" i="29"/>
  <c r="BA118" i="29"/>
  <c r="MI98" i="1"/>
  <c r="Z55" i="5"/>
  <c r="GZ152" i="5"/>
  <c r="Z152" i="5" s="1"/>
  <c r="Z57" i="5"/>
  <c r="GZ13" i="5"/>
  <c r="Z16" i="5"/>
  <c r="GZ133" i="5"/>
  <c r="Z133" i="5" s="1"/>
  <c r="Z43" i="5"/>
  <c r="Z51" i="5"/>
  <c r="GZ130" i="5"/>
  <c r="Z130" i="5" s="1"/>
  <c r="Z44" i="5"/>
  <c r="GZ127" i="5"/>
  <c r="Z127" i="5" s="1"/>
  <c r="Z38" i="5"/>
  <c r="GZ149" i="5"/>
  <c r="Z149" i="5" s="1"/>
  <c r="LT73" i="1"/>
  <c r="Z13" i="5" l="1"/>
  <c r="MG114" i="29"/>
  <c r="BA114" i="29" s="1"/>
  <c r="BA115" i="29"/>
  <c r="MB38" i="1" l="1"/>
  <c r="GD149" i="5"/>
  <c r="LN259" i="30" l="1"/>
  <c r="LN249" i="30"/>
  <c r="LN229" i="30"/>
  <c r="LN219" i="30"/>
  <c r="LN209" i="30"/>
  <c r="LN199" i="30"/>
  <c r="LN189" i="30"/>
  <c r="LN179" i="30"/>
  <c r="LK79" i="1" l="1"/>
  <c r="LJ79" i="1"/>
  <c r="LK78" i="1"/>
  <c r="LJ78" i="1"/>
  <c r="HV43" i="4"/>
  <c r="GB112" i="5" s="1"/>
  <c r="LK95" i="1"/>
  <c r="LK93" i="1"/>
  <c r="LJ80" i="1" l="1"/>
  <c r="LK80" i="1"/>
  <c r="LK94" i="1"/>
  <c r="LI58" i="30"/>
  <c r="GB57" i="5"/>
  <c r="GB56" i="5"/>
  <c r="GB55" i="5"/>
  <c r="GC55" i="5" s="1"/>
  <c r="GB54" i="5"/>
  <c r="GB53" i="5"/>
  <c r="GC53" i="5" s="1"/>
  <c r="GB52" i="5"/>
  <c r="GC52" i="5" s="1"/>
  <c r="GB51" i="5"/>
  <c r="GC51" i="5" s="1"/>
  <c r="GB45" i="5"/>
  <c r="GC45" i="5" s="1"/>
  <c r="GB44" i="5"/>
  <c r="GB43" i="5"/>
  <c r="GB42" i="5"/>
  <c r="GC42" i="5" s="1"/>
  <c r="GB41" i="5"/>
  <c r="GC41" i="5" s="1"/>
  <c r="GB40" i="5"/>
  <c r="GC40" i="5" s="1"/>
  <c r="GB39" i="5"/>
  <c r="GC39" i="5" s="1"/>
  <c r="GB38" i="5"/>
  <c r="GB37" i="5"/>
  <c r="GB11" i="5"/>
  <c r="GB10" i="5"/>
  <c r="GB9" i="5"/>
  <c r="GC9" i="5" s="1"/>
  <c r="HV24" i="4"/>
  <c r="HV11" i="4"/>
  <c r="LI137" i="29"/>
  <c r="LI133" i="29"/>
  <c r="LI86" i="29"/>
  <c r="LI85" i="29"/>
  <c r="LI305" i="30"/>
  <c r="LI289" i="30"/>
  <c r="LI290" i="30" s="1"/>
  <c r="LI263" i="30"/>
  <c r="LI266" i="30" s="1"/>
  <c r="LI260" i="30"/>
  <c r="LI253" i="30"/>
  <c r="LI250" i="30"/>
  <c r="LI240" i="30"/>
  <c r="LI233" i="30"/>
  <c r="LI230" i="30"/>
  <c r="LJ229" i="30" s="1"/>
  <c r="LI223" i="30"/>
  <c r="LI220" i="30"/>
  <c r="LJ219" i="30" s="1"/>
  <c r="LI213" i="30"/>
  <c r="LI210" i="30"/>
  <c r="LI203" i="30"/>
  <c r="LI200" i="30"/>
  <c r="LI193" i="30"/>
  <c r="LI190" i="30"/>
  <c r="LI183" i="30"/>
  <c r="LI180" i="30"/>
  <c r="LI173" i="30"/>
  <c r="LI170" i="30"/>
  <c r="LI57" i="30"/>
  <c r="LN169" i="30"/>
  <c r="LN190" i="30"/>
  <c r="LN180" i="30"/>
  <c r="GC43" i="5" l="1"/>
  <c r="GC133" i="5" s="1"/>
  <c r="GB133" i="5"/>
  <c r="GC44" i="5"/>
  <c r="GC130" i="5" s="1"/>
  <c r="GB130" i="5"/>
  <c r="GC56" i="5"/>
  <c r="GC149" i="5" s="1"/>
  <c r="GB149" i="5"/>
  <c r="GB85" i="5"/>
  <c r="GC10" i="5"/>
  <c r="GC85" i="5" s="1"/>
  <c r="GC57" i="5"/>
  <c r="GC152" i="5" s="1"/>
  <c r="GB152" i="5"/>
  <c r="GB127" i="5"/>
  <c r="GC38" i="5"/>
  <c r="GC127" i="5" s="1"/>
  <c r="GB92" i="5"/>
  <c r="GC11" i="5"/>
  <c r="GC92" i="5" s="1"/>
  <c r="GC37" i="5"/>
  <c r="GC122" i="5" s="1"/>
  <c r="GB122" i="5"/>
  <c r="GC54" i="5"/>
  <c r="LI176" i="30"/>
  <c r="LI196" i="30"/>
  <c r="LI297" i="30"/>
  <c r="LI216" i="30"/>
  <c r="LI226" i="30"/>
  <c r="LI236" i="30"/>
  <c r="LI186" i="30"/>
  <c r="LI270" i="30"/>
  <c r="LI206" i="30"/>
  <c r="LI256" i="30"/>
  <c r="GA152" i="5"/>
  <c r="GA153" i="5" s="1"/>
  <c r="GA149" i="5"/>
  <c r="GA141" i="5"/>
  <c r="GB142" i="5" s="1"/>
  <c r="GA138" i="5"/>
  <c r="GA134" i="5"/>
  <c r="GA130" i="5"/>
  <c r="GA127" i="5"/>
  <c r="GA122" i="5"/>
  <c r="GA105" i="5"/>
  <c r="GA102" i="5"/>
  <c r="GA98" i="5"/>
  <c r="GA92" i="5"/>
  <c r="GA85" i="5"/>
  <c r="GA26" i="5"/>
  <c r="GA13" i="5"/>
  <c r="HU43" i="4"/>
  <c r="HU32" i="4"/>
  <c r="HU24" i="4"/>
  <c r="HU19" i="4"/>
  <c r="HU11" i="4"/>
  <c r="LH137" i="29"/>
  <c r="LH133" i="29"/>
  <c r="LH91" i="29"/>
  <c r="LH86" i="29"/>
  <c r="LH85" i="29"/>
  <c r="LH263" i="30"/>
  <c r="LH260" i="30"/>
  <c r="LH253" i="30"/>
  <c r="LH250" i="30"/>
  <c r="LH240" i="30"/>
  <c r="LH233" i="30"/>
  <c r="LH230" i="30"/>
  <c r="LH223" i="30"/>
  <c r="LH220" i="30"/>
  <c r="LH213" i="30"/>
  <c r="LH210" i="30"/>
  <c r="LH203" i="30"/>
  <c r="LH200" i="30"/>
  <c r="LH193" i="30"/>
  <c r="LH190" i="30"/>
  <c r="LH183" i="30"/>
  <c r="LH180" i="30"/>
  <c r="LH173" i="30"/>
  <c r="LH170" i="30"/>
  <c r="LJ95" i="1"/>
  <c r="LJ93" i="1"/>
  <c r="LH289" i="30"/>
  <c r="LH290" i="30" s="1"/>
  <c r="LH58" i="30"/>
  <c r="LH57" i="30"/>
  <c r="GC128" i="5" l="1"/>
  <c r="GB131" i="5"/>
  <c r="GC86" i="5"/>
  <c r="GB145" i="5"/>
  <c r="GB144" i="5" s="1"/>
  <c r="GB139" i="5"/>
  <c r="GB146" i="5" s="1"/>
  <c r="GB150" i="5"/>
  <c r="GA150" i="5"/>
  <c r="GC150" i="5"/>
  <c r="GA128" i="5"/>
  <c r="GB128" i="5"/>
  <c r="GC131" i="5"/>
  <c r="GB153" i="5"/>
  <c r="GB134" i="5"/>
  <c r="GC134" i="5"/>
  <c r="GC153" i="5"/>
  <c r="LI229" i="30"/>
  <c r="GB86" i="5"/>
  <c r="GA131" i="5"/>
  <c r="LI219" i="30"/>
  <c r="LH256" i="30"/>
  <c r="GA147" i="5"/>
  <c r="LH176" i="30"/>
  <c r="LH266" i="30"/>
  <c r="LH270" i="30"/>
  <c r="LJ94" i="1"/>
  <c r="LJ96" i="1" s="1"/>
  <c r="LH196" i="30"/>
  <c r="LH216" i="30"/>
  <c r="LH186" i="30"/>
  <c r="LO190" i="30"/>
  <c r="LO180" i="30"/>
  <c r="GA86" i="5"/>
  <c r="LH297" i="30"/>
  <c r="LH236" i="30"/>
  <c r="LH226" i="30"/>
  <c r="LH206" i="30"/>
  <c r="LF95" i="1" l="1"/>
  <c r="LF93" i="1"/>
  <c r="LF79" i="1"/>
  <c r="LF78" i="1"/>
  <c r="FX174" i="5"/>
  <c r="FX77" i="5" s="1"/>
  <c r="FX152" i="5"/>
  <c r="FW141" i="5"/>
  <c r="FW138" i="5"/>
  <c r="FX133" i="5"/>
  <c r="FX130" i="5"/>
  <c r="FX127" i="5"/>
  <c r="FX122" i="5"/>
  <c r="FX123" i="5" s="1"/>
  <c r="FW115" i="5"/>
  <c r="FW105" i="5"/>
  <c r="FW102" i="5"/>
  <c r="FW98" i="5"/>
  <c r="FX92" i="5"/>
  <c r="FX93" i="5" s="1"/>
  <c r="FX85" i="5"/>
  <c r="FX88" i="5" s="1"/>
  <c r="FX26" i="5"/>
  <c r="HQ117" i="4"/>
  <c r="HR100" i="4"/>
  <c r="HQ92" i="4"/>
  <c r="HR77" i="4"/>
  <c r="HQ56" i="4"/>
  <c r="HQ118" i="4" s="1"/>
  <c r="HQ43" i="4"/>
  <c r="FW112" i="5" s="1"/>
  <c r="HR39" i="4"/>
  <c r="FX138" i="5" s="1"/>
  <c r="HR37" i="4"/>
  <c r="HR36" i="4"/>
  <c r="HR35" i="4"/>
  <c r="HR34" i="4"/>
  <c r="HR33" i="4"/>
  <c r="HQ32" i="4"/>
  <c r="HR26" i="4"/>
  <c r="HR25" i="4"/>
  <c r="HR23" i="4"/>
  <c r="HR22" i="4"/>
  <c r="HR21" i="4"/>
  <c r="HR20" i="4"/>
  <c r="HR15" i="4"/>
  <c r="FX102" i="5" s="1"/>
  <c r="HR14" i="4"/>
  <c r="HR13" i="4"/>
  <c r="FX105" i="5" s="1"/>
  <c r="HR12" i="4"/>
  <c r="HR10" i="4"/>
  <c r="HR9" i="4"/>
  <c r="FX98" i="5" s="1"/>
  <c r="HQ19" i="4"/>
  <c r="HQ11" i="4"/>
  <c r="GA139" i="5" l="1"/>
  <c r="HR24" i="4"/>
  <c r="FX125" i="5"/>
  <c r="FW147" i="5"/>
  <c r="HR32" i="4"/>
  <c r="HR41" i="4" s="1"/>
  <c r="HR19" i="4"/>
  <c r="HQ119" i="4"/>
  <c r="HQ120" i="4"/>
  <c r="HR11" i="4"/>
  <c r="HR17" i="4" s="1"/>
  <c r="LF80" i="1"/>
  <c r="FX90" i="5"/>
  <c r="LL17" i="29"/>
  <c r="HR28" i="4" l="1"/>
  <c r="HR112" i="4"/>
  <c r="LD115" i="29"/>
  <c r="LD114" i="29" s="1"/>
  <c r="LF56" i="1"/>
  <c r="LF46" i="1"/>
  <c r="LD137" i="29"/>
  <c r="LD130" i="29"/>
  <c r="LE111" i="29"/>
  <c r="LD86" i="29"/>
  <c r="LD58" i="30"/>
  <c r="LD57" i="30"/>
  <c r="LD289" i="30"/>
  <c r="LD290" i="30" s="1"/>
  <c r="LD263" i="30"/>
  <c r="LD260" i="30"/>
  <c r="LD253" i="30"/>
  <c r="LD250" i="30"/>
  <c r="LD240" i="30"/>
  <c r="LD233" i="30"/>
  <c r="LD230" i="30"/>
  <c r="LH229" i="30" s="1"/>
  <c r="LD223" i="30"/>
  <c r="LD220" i="30"/>
  <c r="LH219" i="30" s="1"/>
  <c r="LD213" i="30"/>
  <c r="LD210" i="30"/>
  <c r="LD203" i="30"/>
  <c r="LD200" i="30"/>
  <c r="LD193" i="30"/>
  <c r="LD190" i="30"/>
  <c r="LD183" i="30"/>
  <c r="LD180" i="30"/>
  <c r="LD173" i="30"/>
  <c r="LD170" i="30"/>
  <c r="LZ3" i="29"/>
  <c r="LZ155" i="29" s="1"/>
  <c r="LZ13" i="29"/>
  <c r="LZ17" i="29"/>
  <c r="LZ76" i="29"/>
  <c r="LZ113" i="29"/>
  <c r="LD186" i="30" l="1"/>
  <c r="LD206" i="30"/>
  <c r="LD226" i="30"/>
  <c r="LD236" i="30"/>
  <c r="LD256" i="30"/>
  <c r="LD216" i="30"/>
  <c r="LD196" i="30"/>
  <c r="LD176" i="30"/>
  <c r="LD266" i="30"/>
  <c r="LD297" i="30"/>
  <c r="LD270" i="30"/>
  <c r="LR190" i="30" l="1"/>
  <c r="LO189" i="30"/>
  <c r="LR180" i="30"/>
  <c r="LO179" i="30"/>
  <c r="FP141" i="5"/>
  <c r="FO141" i="5"/>
  <c r="FN141" i="5"/>
  <c r="FM141" i="5"/>
  <c r="FP138" i="5"/>
  <c r="FO138" i="5"/>
  <c r="FN138" i="5"/>
  <c r="FM138" i="5"/>
  <c r="FI141" i="5"/>
  <c r="FH141" i="5"/>
  <c r="FG141" i="5"/>
  <c r="FF141" i="5"/>
  <c r="FI138" i="5"/>
  <c r="FH138" i="5"/>
  <c r="FG138" i="5"/>
  <c r="FF138" i="5"/>
  <c r="AQ138" i="5"/>
  <c r="AR138" i="5"/>
  <c r="AS138" i="5"/>
  <c r="AT138" i="5"/>
  <c r="AQ141" i="5"/>
  <c r="AR141" i="5"/>
  <c r="AS141" i="5"/>
  <c r="AT141" i="5"/>
  <c r="BA141" i="5"/>
  <c r="AZ141" i="5"/>
  <c r="AY141" i="5"/>
  <c r="AX141" i="5"/>
  <c r="BA138" i="5"/>
  <c r="AZ138" i="5"/>
  <c r="AY138" i="5"/>
  <c r="AX138" i="5"/>
  <c r="BH141" i="5"/>
  <c r="BG141" i="5"/>
  <c r="BF141" i="5"/>
  <c r="BE141" i="5"/>
  <c r="BH138" i="5"/>
  <c r="BG138" i="5"/>
  <c r="BF138" i="5"/>
  <c r="BE138" i="5"/>
  <c r="BO141" i="5"/>
  <c r="BN141" i="5"/>
  <c r="BM141" i="5"/>
  <c r="BL141" i="5"/>
  <c r="BO138" i="5"/>
  <c r="BN138" i="5"/>
  <c r="BM138" i="5"/>
  <c r="BL138" i="5"/>
  <c r="BV141" i="5"/>
  <c r="BU141" i="5"/>
  <c r="BT141" i="5"/>
  <c r="BS141" i="5"/>
  <c r="BV138" i="5"/>
  <c r="BU138" i="5"/>
  <c r="BT138" i="5"/>
  <c r="BS138" i="5"/>
  <c r="CC141" i="5"/>
  <c r="CB141" i="5"/>
  <c r="CA141" i="5"/>
  <c r="BZ141" i="5"/>
  <c r="CC138" i="5"/>
  <c r="CB138" i="5"/>
  <c r="CA138" i="5"/>
  <c r="BZ138" i="5"/>
  <c r="CJ141" i="5"/>
  <c r="CI141" i="5"/>
  <c r="CH141" i="5"/>
  <c r="CG141" i="5"/>
  <c r="CJ138" i="5"/>
  <c r="CI138" i="5"/>
  <c r="CH138" i="5"/>
  <c r="CG138" i="5"/>
  <c r="CQ141" i="5"/>
  <c r="CP141" i="5"/>
  <c r="CO141" i="5"/>
  <c r="CN141" i="5"/>
  <c r="CQ138" i="5"/>
  <c r="CP138" i="5"/>
  <c r="CO138" i="5"/>
  <c r="CN138" i="5"/>
  <c r="CX141" i="5"/>
  <c r="CW141" i="5"/>
  <c r="CV141" i="5"/>
  <c r="CU141" i="5"/>
  <c r="CX138" i="5"/>
  <c r="CW138" i="5"/>
  <c r="CV138" i="5"/>
  <c r="CU138" i="5"/>
  <c r="DE141" i="5"/>
  <c r="DD141" i="5"/>
  <c r="DC141" i="5"/>
  <c r="DB141" i="5"/>
  <c r="DE138" i="5"/>
  <c r="DD138" i="5"/>
  <c r="DC138" i="5"/>
  <c r="DB138" i="5"/>
  <c r="DL141" i="5"/>
  <c r="DK141" i="5"/>
  <c r="DJ141" i="5"/>
  <c r="DI141" i="5"/>
  <c r="DL138" i="5"/>
  <c r="DK138" i="5"/>
  <c r="DJ138" i="5"/>
  <c r="DI138" i="5"/>
  <c r="DS141" i="5"/>
  <c r="DR141" i="5"/>
  <c r="DQ141" i="5"/>
  <c r="DP141" i="5"/>
  <c r="DS138" i="5"/>
  <c r="DR138" i="5"/>
  <c r="DQ138" i="5"/>
  <c r="DP138" i="5"/>
  <c r="DZ141" i="5"/>
  <c r="DY141" i="5"/>
  <c r="DX141" i="5"/>
  <c r="DW141" i="5"/>
  <c r="DZ138" i="5"/>
  <c r="DY138" i="5"/>
  <c r="DX138" i="5"/>
  <c r="DW138" i="5"/>
  <c r="EG141" i="5"/>
  <c r="EF141" i="5"/>
  <c r="EE141" i="5"/>
  <c r="ED141" i="5"/>
  <c r="EG138" i="5"/>
  <c r="EF138" i="5"/>
  <c r="EE138" i="5"/>
  <c r="ED138" i="5"/>
  <c r="EN141" i="5"/>
  <c r="EM141" i="5"/>
  <c r="EL141" i="5"/>
  <c r="EK141" i="5"/>
  <c r="EN138" i="5"/>
  <c r="EM138" i="5"/>
  <c r="EL138" i="5"/>
  <c r="EK138" i="5"/>
  <c r="EU141" i="5"/>
  <c r="ET141" i="5"/>
  <c r="ES141" i="5"/>
  <c r="ER141" i="5"/>
  <c r="EU138" i="5"/>
  <c r="ET138" i="5"/>
  <c r="ES138" i="5"/>
  <c r="ER138" i="5"/>
  <c r="LN40" i="1"/>
  <c r="CW145" i="5" l="1"/>
  <c r="CB145" i="5"/>
  <c r="BU145" i="5"/>
  <c r="AZ145" i="5"/>
  <c r="EE145" i="5"/>
  <c r="AR145" i="5"/>
  <c r="EG139" i="5"/>
  <c r="DZ142" i="5"/>
  <c r="AR142" i="5"/>
  <c r="AR139" i="5"/>
  <c r="AU145" i="5"/>
  <c r="EN142" i="5"/>
  <c r="FO145" i="5"/>
  <c r="CQ145" i="5"/>
  <c r="BV145" i="5"/>
  <c r="AZ147" i="5"/>
  <c r="AZ144" i="5" s="1"/>
  <c r="FO147" i="5"/>
  <c r="BV147" i="5"/>
  <c r="BA147" i="5"/>
  <c r="CV145" i="5"/>
  <c r="CA145" i="5"/>
  <c r="BF145" i="5"/>
  <c r="FG145" i="5"/>
  <c r="CJ139" i="5"/>
  <c r="CW147" i="5"/>
  <c r="CW146" i="5" s="1"/>
  <c r="BO139" i="5"/>
  <c r="CB147" i="5"/>
  <c r="CB144" i="5" s="1"/>
  <c r="EL142" i="5"/>
  <c r="FG142" i="5"/>
  <c r="BM142" i="5"/>
  <c r="BH142" i="5"/>
  <c r="CH142" i="5"/>
  <c r="DI142" i="5"/>
  <c r="EE142" i="5"/>
  <c r="CO142" i="5"/>
  <c r="ES145" i="5"/>
  <c r="BL142" i="5"/>
  <c r="ED142" i="5"/>
  <c r="ET145" i="5"/>
  <c r="EK142" i="5"/>
  <c r="DW139" i="5"/>
  <c r="DP142" i="5"/>
  <c r="DC145" i="5"/>
  <c r="BG147" i="5"/>
  <c r="AZ142" i="5"/>
  <c r="FO142" i="5"/>
  <c r="DX142" i="5"/>
  <c r="DY145" i="5"/>
  <c r="EU147" i="5"/>
  <c r="CA142" i="5"/>
  <c r="BE142" i="5"/>
  <c r="DJ142" i="5"/>
  <c r="ET147" i="5"/>
  <c r="CH145" i="5"/>
  <c r="ER139" i="5"/>
  <c r="DZ147" i="5"/>
  <c r="DI139" i="5"/>
  <c r="DR147" i="5"/>
  <c r="CQ147" i="5"/>
  <c r="BT145" i="5"/>
  <c r="DL142" i="5"/>
  <c r="FI142" i="5"/>
  <c r="EM142" i="5"/>
  <c r="DQ142" i="5"/>
  <c r="DL145" i="5"/>
  <c r="CP142" i="5"/>
  <c r="CU142" i="5"/>
  <c r="BT142" i="5"/>
  <c r="CX139" i="5"/>
  <c r="ES142" i="5"/>
  <c r="EF145" i="5"/>
  <c r="DW142" i="5"/>
  <c r="DD147" i="5"/>
  <c r="CV142" i="5"/>
  <c r="BV142" i="5"/>
  <c r="AY142" i="5"/>
  <c r="FP147" i="5"/>
  <c r="DK145" i="5"/>
  <c r="CC139" i="5"/>
  <c r="FM142" i="5"/>
  <c r="EU142" i="5"/>
  <c r="CX142" i="5"/>
  <c r="CI147" i="5"/>
  <c r="BZ142" i="5"/>
  <c r="BM145" i="5"/>
  <c r="BH147" i="5"/>
  <c r="FH145" i="5"/>
  <c r="FN142" i="5"/>
  <c r="EL145" i="5"/>
  <c r="DL147" i="5"/>
  <c r="DC142" i="5"/>
  <c r="CO145" i="5"/>
  <c r="BN145" i="5"/>
  <c r="AT147" i="5"/>
  <c r="DQ145" i="5"/>
  <c r="CP145" i="5"/>
  <c r="BN147" i="5"/>
  <c r="BF142" i="5"/>
  <c r="FI147" i="5"/>
  <c r="EM147" i="5"/>
  <c r="EF142" i="5"/>
  <c r="CQ139" i="5"/>
  <c r="CC142" i="5"/>
  <c r="FP145" i="5"/>
  <c r="EU139" i="5"/>
  <c r="FI145" i="5"/>
  <c r="EM145" i="5"/>
  <c r="EK139" i="5"/>
  <c r="EG142" i="5"/>
  <c r="DX145" i="5"/>
  <c r="DR145" i="5"/>
  <c r="DP139" i="5"/>
  <c r="DS142" i="5"/>
  <c r="DJ145" i="5"/>
  <c r="DE147" i="5"/>
  <c r="DB142" i="5"/>
  <c r="CQ142" i="5"/>
  <c r="CJ147" i="5"/>
  <c r="CG142" i="5"/>
  <c r="BV139" i="5"/>
  <c r="BO147" i="5"/>
  <c r="BG142" i="5"/>
  <c r="BH145" i="5"/>
  <c r="AR147" i="5"/>
  <c r="AT145" i="5"/>
  <c r="FI139" i="5"/>
  <c r="FN145" i="5"/>
  <c r="DE139" i="5"/>
  <c r="EF147" i="5"/>
  <c r="DY142" i="5"/>
  <c r="DS139" i="5"/>
  <c r="DK142" i="5"/>
  <c r="DD142" i="5"/>
  <c r="CX147" i="5"/>
  <c r="CP147" i="5"/>
  <c r="CN142" i="5"/>
  <c r="CI142" i="5"/>
  <c r="CC147" i="5"/>
  <c r="BU147" i="5"/>
  <c r="BU144" i="5" s="1"/>
  <c r="BS142" i="5"/>
  <c r="BG145" i="5"/>
  <c r="BH139" i="5"/>
  <c r="AY145" i="5"/>
  <c r="BA145" i="5"/>
  <c r="FH147" i="5"/>
  <c r="FM139" i="5"/>
  <c r="EG145" i="5"/>
  <c r="DR142" i="5"/>
  <c r="BU142" i="5"/>
  <c r="BO145" i="5"/>
  <c r="ET142" i="5"/>
  <c r="EN139" i="5"/>
  <c r="ET139" i="5"/>
  <c r="EU145" i="5"/>
  <c r="EN147" i="5"/>
  <c r="EN145" i="5"/>
  <c r="EG147" i="5"/>
  <c r="DY147" i="5"/>
  <c r="DZ139" i="5"/>
  <c r="DZ145" i="5"/>
  <c r="DS147" i="5"/>
  <c r="DK147" i="5"/>
  <c r="DL139" i="5"/>
  <c r="DD145" i="5"/>
  <c r="DB139" i="5"/>
  <c r="DE142" i="5"/>
  <c r="CW142" i="5"/>
  <c r="CX145" i="5"/>
  <c r="CI145" i="5"/>
  <c r="CG139" i="5"/>
  <c r="CJ142" i="5"/>
  <c r="CB142" i="5"/>
  <c r="CC145" i="5"/>
  <c r="BL139" i="5"/>
  <c r="BO142" i="5"/>
  <c r="BN142" i="5"/>
  <c r="BA139" i="5"/>
  <c r="BA142" i="5"/>
  <c r="AS145" i="5"/>
  <c r="AS142" i="5"/>
  <c r="FP139" i="5"/>
  <c r="FP142" i="5"/>
  <c r="FN139" i="5"/>
  <c r="FO139" i="5"/>
  <c r="FM147" i="5"/>
  <c r="FN147" i="5"/>
  <c r="FH142" i="5"/>
  <c r="FG139" i="5"/>
  <c r="FH139" i="5"/>
  <c r="FF147" i="5"/>
  <c r="FG147" i="5"/>
  <c r="AS147" i="5"/>
  <c r="AT139" i="5"/>
  <c r="AS139" i="5"/>
  <c r="AT142" i="5"/>
  <c r="AX142" i="5"/>
  <c r="AX139" i="5"/>
  <c r="AY139" i="5"/>
  <c r="AZ139" i="5"/>
  <c r="AX147" i="5"/>
  <c r="AY147" i="5"/>
  <c r="BE139" i="5"/>
  <c r="BF139" i="5"/>
  <c r="BG139" i="5"/>
  <c r="BE147" i="5"/>
  <c r="BF147" i="5"/>
  <c r="BM139" i="5"/>
  <c r="BN139" i="5"/>
  <c r="BL147" i="5"/>
  <c r="BM147" i="5"/>
  <c r="BT139" i="5"/>
  <c r="BU139" i="5"/>
  <c r="BS139" i="5"/>
  <c r="BS147" i="5"/>
  <c r="BT147" i="5"/>
  <c r="BZ139" i="5"/>
  <c r="CA139" i="5"/>
  <c r="CB139" i="5"/>
  <c r="BZ147" i="5"/>
  <c r="CA147" i="5"/>
  <c r="CJ145" i="5"/>
  <c r="CH139" i="5"/>
  <c r="CI139" i="5"/>
  <c r="CG147" i="5"/>
  <c r="CH147" i="5"/>
  <c r="CN139" i="5"/>
  <c r="CO139" i="5"/>
  <c r="CP139" i="5"/>
  <c r="CN147" i="5"/>
  <c r="CO147" i="5"/>
  <c r="CU139" i="5"/>
  <c r="CV139" i="5"/>
  <c r="CW139" i="5"/>
  <c r="CU147" i="5"/>
  <c r="CV147" i="5"/>
  <c r="DE145" i="5"/>
  <c r="DC139" i="5"/>
  <c r="DD139" i="5"/>
  <c r="DB147" i="5"/>
  <c r="DC147" i="5"/>
  <c r="DJ139" i="5"/>
  <c r="DK139" i="5"/>
  <c r="DI147" i="5"/>
  <c r="DJ147" i="5"/>
  <c r="DS145" i="5"/>
  <c r="DQ139" i="5"/>
  <c r="DR139" i="5"/>
  <c r="DP147" i="5"/>
  <c r="DQ147" i="5"/>
  <c r="DX139" i="5"/>
  <c r="DY139" i="5"/>
  <c r="DW147" i="5"/>
  <c r="DX147" i="5"/>
  <c r="ED139" i="5"/>
  <c r="EE139" i="5"/>
  <c r="EF139" i="5"/>
  <c r="ED147" i="5"/>
  <c r="EE147" i="5"/>
  <c r="EL139" i="5"/>
  <c r="EM139" i="5"/>
  <c r="EK147" i="5"/>
  <c r="EL147" i="5"/>
  <c r="ER142" i="5"/>
  <c r="ES139" i="5"/>
  <c r="ER147" i="5"/>
  <c r="ES147" i="5"/>
  <c r="EF146" i="5" l="1"/>
  <c r="AR144" i="5"/>
  <c r="DK144" i="5"/>
  <c r="FO144" i="5"/>
  <c r="CB146" i="5"/>
  <c r="DY146" i="5"/>
  <c r="CW144" i="5"/>
  <c r="AZ146" i="5"/>
  <c r="BV146" i="5"/>
  <c r="EG144" i="5"/>
  <c r="FO146" i="5"/>
  <c r="FP144" i="5"/>
  <c r="CQ144" i="5"/>
  <c r="DK146" i="5"/>
  <c r="BV144" i="5"/>
  <c r="CQ146" i="5"/>
  <c r="CP146" i="5"/>
  <c r="BH146" i="5"/>
  <c r="DR144" i="5"/>
  <c r="BN144" i="5"/>
  <c r="FH144" i="5"/>
  <c r="CI144" i="5"/>
  <c r="EF144" i="5"/>
  <c r="CI146" i="5"/>
  <c r="CC144" i="5"/>
  <c r="AT146" i="5"/>
  <c r="FP146" i="5"/>
  <c r="DL144" i="5"/>
  <c r="ET144" i="5"/>
  <c r="DZ144" i="5"/>
  <c r="EM146" i="5"/>
  <c r="CJ144" i="5"/>
  <c r="FI146" i="5"/>
  <c r="DR146" i="5"/>
  <c r="DE144" i="5"/>
  <c r="BU146" i="5"/>
  <c r="EG146" i="5"/>
  <c r="BO144" i="5"/>
  <c r="BN146" i="5"/>
  <c r="EU144" i="5"/>
  <c r="EN144" i="5"/>
  <c r="BA144" i="5"/>
  <c r="CP144" i="5"/>
  <c r="DY144" i="5"/>
  <c r="FI144" i="5"/>
  <c r="ET146" i="5"/>
  <c r="BH144" i="5"/>
  <c r="EU146" i="5"/>
  <c r="CX146" i="5"/>
  <c r="DL146" i="5"/>
  <c r="AT144" i="5"/>
  <c r="BG144" i="5"/>
  <c r="EM144" i="5"/>
  <c r="FH146" i="5"/>
  <c r="CC146" i="5"/>
  <c r="DD146" i="5"/>
  <c r="DS144" i="5"/>
  <c r="BO146" i="5"/>
  <c r="BG146" i="5"/>
  <c r="EN146" i="5"/>
  <c r="DD144" i="5"/>
  <c r="CX144" i="5"/>
  <c r="AR146" i="5"/>
  <c r="BA146" i="5"/>
  <c r="DZ146" i="5"/>
  <c r="FN144" i="5"/>
  <c r="FN146" i="5"/>
  <c r="FG144" i="5"/>
  <c r="FG146" i="5"/>
  <c r="AS146" i="5"/>
  <c r="AS144" i="5"/>
  <c r="AY144" i="5"/>
  <c r="AY146" i="5"/>
  <c r="BF144" i="5"/>
  <c r="BF146" i="5"/>
  <c r="BM144" i="5"/>
  <c r="BM146" i="5"/>
  <c r="BT144" i="5"/>
  <c r="BT146" i="5"/>
  <c r="CA144" i="5"/>
  <c r="CA146" i="5"/>
  <c r="CH144" i="5"/>
  <c r="CH146" i="5"/>
  <c r="CJ146" i="5"/>
  <c r="CO144" i="5"/>
  <c r="CO146" i="5"/>
  <c r="CV144" i="5"/>
  <c r="CV146" i="5"/>
  <c r="DC144" i="5"/>
  <c r="DC146" i="5"/>
  <c r="DE146" i="5"/>
  <c r="DJ144" i="5"/>
  <c r="DJ146" i="5"/>
  <c r="DS146" i="5"/>
  <c r="DQ144" i="5"/>
  <c r="DQ146" i="5"/>
  <c r="DX144" i="5"/>
  <c r="DX146" i="5"/>
  <c r="EE144" i="5"/>
  <c r="EE146" i="5"/>
  <c r="EL144" i="5"/>
  <c r="EL146" i="5"/>
  <c r="ES144" i="5"/>
  <c r="ES146" i="5"/>
  <c r="LE79" i="1" l="1"/>
  <c r="LE95" i="1"/>
  <c r="Y118" i="5"/>
  <c r="AZ190" i="29"/>
  <c r="AZ185" i="29"/>
  <c r="AZ180" i="29"/>
  <c r="AZ176" i="29"/>
  <c r="AZ172" i="29"/>
  <c r="AZ168" i="29"/>
  <c r="AZ164" i="29"/>
  <c r="AZ160" i="29"/>
  <c r="AZ150" i="29"/>
  <c r="AZ149" i="29"/>
  <c r="AZ147" i="29"/>
  <c r="AZ146" i="29"/>
  <c r="AZ145" i="29"/>
  <c r="AZ144" i="29"/>
  <c r="AZ143" i="29"/>
  <c r="AZ142" i="29"/>
  <c r="AZ141" i="29"/>
  <c r="AZ128" i="29"/>
  <c r="AZ127" i="29"/>
  <c r="AZ126" i="29"/>
  <c r="AZ125" i="29"/>
  <c r="AZ124" i="29"/>
  <c r="AZ123" i="29"/>
  <c r="AZ122" i="29"/>
  <c r="AZ121" i="29"/>
  <c r="AZ111" i="29"/>
  <c r="AZ110" i="29"/>
  <c r="AZ109" i="29"/>
  <c r="AZ103" i="29"/>
  <c r="AZ102" i="29"/>
  <c r="AZ101" i="29"/>
  <c r="AZ100" i="29"/>
  <c r="AZ70" i="29"/>
  <c r="AZ69" i="29"/>
  <c r="AZ67" i="29"/>
  <c r="AZ66" i="29"/>
  <c r="AZ63" i="29"/>
  <c r="AZ62" i="29"/>
  <c r="AZ61" i="29"/>
  <c r="AZ60" i="29"/>
  <c r="AZ59" i="29"/>
  <c r="AZ56" i="29"/>
  <c r="AZ55" i="29"/>
  <c r="AZ54" i="29"/>
  <c r="AZ53" i="29"/>
  <c r="AZ52" i="29"/>
  <c r="AZ51" i="29"/>
  <c r="AZ50" i="29"/>
  <c r="AZ47" i="29"/>
  <c r="AZ46" i="29"/>
  <c r="AZ45" i="29"/>
  <c r="AZ44" i="29"/>
  <c r="AZ43" i="29"/>
  <c r="AZ42" i="29"/>
  <c r="AZ39" i="29"/>
  <c r="AZ38" i="29"/>
  <c r="AZ37" i="29"/>
  <c r="AZ36" i="29"/>
  <c r="AZ35" i="29"/>
  <c r="AZ34" i="29"/>
  <c r="AZ33" i="29"/>
  <c r="AZ32" i="29"/>
  <c r="AZ155" i="29"/>
  <c r="AZ566" i="30"/>
  <c r="AZ565" i="30"/>
  <c r="AZ564" i="30"/>
  <c r="AZ563" i="30"/>
  <c r="AZ562" i="30"/>
  <c r="AZ558" i="30"/>
  <c r="AZ557" i="30"/>
  <c r="AZ556" i="30"/>
  <c r="AZ555" i="30"/>
  <c r="AZ554" i="30"/>
  <c r="AZ553" i="30"/>
  <c r="AZ552" i="30"/>
  <c r="AZ551" i="30"/>
  <c r="AZ546" i="30"/>
  <c r="AZ545" i="30"/>
  <c r="AZ544" i="30"/>
  <c r="AZ541" i="30"/>
  <c r="AZ540" i="30"/>
  <c r="AZ539" i="30"/>
  <c r="AZ536" i="30"/>
  <c r="AZ535" i="30"/>
  <c r="AZ534" i="30"/>
  <c r="AZ531" i="30"/>
  <c r="AZ530" i="30"/>
  <c r="AZ529" i="30"/>
  <c r="AZ526" i="30"/>
  <c r="AZ525" i="30"/>
  <c r="AZ524" i="30"/>
  <c r="AZ518" i="30"/>
  <c r="AZ517" i="30"/>
  <c r="AZ516" i="30"/>
  <c r="AZ515" i="30"/>
  <c r="AZ514" i="30"/>
  <c r="AZ513" i="30"/>
  <c r="AZ510" i="30"/>
  <c r="AZ502" i="30"/>
  <c r="AZ494" i="30"/>
  <c r="AZ493" i="30"/>
  <c r="AZ492" i="30"/>
  <c r="AZ491" i="30"/>
  <c r="AZ490" i="30"/>
  <c r="AZ489" i="30"/>
  <c r="AZ486" i="30"/>
  <c r="AZ484" i="30"/>
  <c r="AZ483" i="30"/>
  <c r="AZ482" i="30"/>
  <c r="AZ481" i="30"/>
  <c r="AZ480" i="30"/>
  <c r="AZ479" i="30"/>
  <c r="AZ478" i="30"/>
  <c r="AZ474" i="30"/>
  <c r="AZ473" i="30"/>
  <c r="AZ472" i="30"/>
  <c r="AZ471" i="30"/>
  <c r="AZ470" i="30"/>
  <c r="AZ469" i="30"/>
  <c r="AZ465" i="30"/>
  <c r="AZ458" i="30"/>
  <c r="AZ450" i="30"/>
  <c r="AZ449" i="30"/>
  <c r="AZ448" i="30"/>
  <c r="AZ447" i="30"/>
  <c r="AZ446" i="30"/>
  <c r="AZ445" i="30"/>
  <c r="AZ442" i="30"/>
  <c r="AZ441" i="30"/>
  <c r="AZ440" i="30"/>
  <c r="AZ439" i="30"/>
  <c r="AZ438" i="30"/>
  <c r="AZ437" i="30"/>
  <c r="AZ436" i="30"/>
  <c r="AZ435" i="30"/>
  <c r="AZ429" i="30"/>
  <c r="AZ420" i="30"/>
  <c r="AZ419" i="30"/>
  <c r="AZ418" i="30"/>
  <c r="AZ417" i="30"/>
  <c r="AZ416" i="30"/>
  <c r="AZ415" i="30"/>
  <c r="AZ414" i="30"/>
  <c r="AZ412" i="30"/>
  <c r="AZ411" i="30"/>
  <c r="AZ410" i="30"/>
  <c r="AZ409" i="30"/>
  <c r="AZ408" i="30"/>
  <c r="AZ407" i="30"/>
  <c r="AZ406" i="30"/>
  <c r="AZ405" i="30"/>
  <c r="AZ404" i="30"/>
  <c r="AZ403" i="30"/>
  <c r="AZ402" i="30"/>
  <c r="AZ401" i="30"/>
  <c r="AZ400" i="30"/>
  <c r="AZ399" i="30"/>
  <c r="AZ398" i="30"/>
  <c r="AZ397" i="30"/>
  <c r="AZ396" i="30"/>
  <c r="AZ395" i="30"/>
  <c r="AZ394" i="30"/>
  <c r="AZ393" i="30"/>
  <c r="AZ392" i="30"/>
  <c r="AZ391" i="30"/>
  <c r="AZ390" i="30"/>
  <c r="AZ389" i="30"/>
  <c r="AZ388" i="30"/>
  <c r="AZ387" i="30"/>
  <c r="AZ386" i="30"/>
  <c r="AZ384" i="30"/>
  <c r="AZ383" i="30"/>
  <c r="AZ382" i="30"/>
  <c r="AZ381" i="30"/>
  <c r="AZ380" i="30"/>
  <c r="AZ379" i="30"/>
  <c r="AZ378" i="30"/>
  <c r="AZ377" i="30"/>
  <c r="AZ376" i="30"/>
  <c r="AZ372" i="30"/>
  <c r="AZ371" i="30"/>
  <c r="AZ361" i="30"/>
  <c r="AZ360" i="30"/>
  <c r="AZ359" i="30"/>
  <c r="AZ357" i="30"/>
  <c r="AZ356" i="30"/>
  <c r="AZ351" i="30"/>
  <c r="AZ350" i="30"/>
  <c r="AZ348" i="30"/>
  <c r="AZ347" i="30"/>
  <c r="AZ346" i="30"/>
  <c r="AZ345" i="30"/>
  <c r="AZ339" i="30"/>
  <c r="AZ287" i="30"/>
  <c r="AZ286" i="30"/>
  <c r="AZ284" i="30"/>
  <c r="AZ283" i="30"/>
  <c r="AZ134" i="30"/>
  <c r="AZ133" i="30"/>
  <c r="AZ130" i="30"/>
  <c r="AZ129" i="30"/>
  <c r="AZ124" i="30"/>
  <c r="AZ123" i="30"/>
  <c r="AZ122" i="30"/>
  <c r="AZ88" i="30"/>
  <c r="AZ87" i="30"/>
  <c r="AZ84" i="30"/>
  <c r="AZ83" i="30"/>
  <c r="AZ78" i="30"/>
  <c r="AZ77" i="30"/>
  <c r="AZ76" i="30"/>
  <c r="AZ29" i="30"/>
  <c r="AZ28" i="30"/>
  <c r="AZ25" i="30"/>
  <c r="AZ24" i="30"/>
  <c r="AZ23" i="30"/>
  <c r="AZ18" i="30"/>
  <c r="AZ17" i="30"/>
  <c r="AZ16" i="30"/>
  <c r="AZ69" i="1"/>
  <c r="AZ39" i="1"/>
  <c r="AZ5" i="1"/>
  <c r="AZ17" i="29"/>
  <c r="IH128" i="4"/>
  <c r="IL92" i="4"/>
  <c r="IK92" i="4"/>
  <c r="IJ92" i="4"/>
  <c r="II92" i="4"/>
  <c r="IM5" i="4"/>
  <c r="IM65" i="4" s="1"/>
  <c r="AE65" i="4" s="1"/>
  <c r="GN180" i="5"/>
  <c r="GN69" i="5" s="1"/>
  <c r="GR153" i="5"/>
  <c r="GS153" i="5" s="1"/>
  <c r="Y153" i="5" s="1"/>
  <c r="GQ153" i="5"/>
  <c r="GP153" i="5"/>
  <c r="GO153" i="5"/>
  <c r="GR146" i="5"/>
  <c r="GQ146" i="5"/>
  <c r="GP146" i="5"/>
  <c r="GO146" i="5"/>
  <c r="GR134" i="5"/>
  <c r="GS134" i="5" s="1"/>
  <c r="Y134" i="5" s="1"/>
  <c r="GQ134" i="5"/>
  <c r="GP134" i="5"/>
  <c r="GO134" i="5"/>
  <c r="GR131" i="5"/>
  <c r="GS131" i="5" s="1"/>
  <c r="Y131" i="5" s="1"/>
  <c r="GQ131" i="5"/>
  <c r="GP131" i="5"/>
  <c r="GO131" i="5"/>
  <c r="GR128" i="5"/>
  <c r="GS128" i="5" s="1"/>
  <c r="Y128" i="5" s="1"/>
  <c r="GQ128" i="5"/>
  <c r="GP128" i="5"/>
  <c r="GO128" i="5"/>
  <c r="GR57" i="5"/>
  <c r="GQ57" i="5"/>
  <c r="GP57" i="5"/>
  <c r="GO57" i="5"/>
  <c r="GS56" i="5"/>
  <c r="GS53" i="5"/>
  <c r="GR52" i="5"/>
  <c r="GQ52" i="5"/>
  <c r="GP52" i="5"/>
  <c r="GO52" i="5"/>
  <c r="GR51" i="5"/>
  <c r="GQ51" i="5"/>
  <c r="GP51" i="5"/>
  <c r="GO51" i="5"/>
  <c r="GS45" i="5"/>
  <c r="GR44" i="5"/>
  <c r="GQ44" i="5"/>
  <c r="GP44" i="5"/>
  <c r="GO44" i="5"/>
  <c r="GR43" i="5"/>
  <c r="GQ43" i="5"/>
  <c r="GP43" i="5"/>
  <c r="GO43" i="5"/>
  <c r="GS42" i="5"/>
  <c r="GS41" i="5"/>
  <c r="GS40" i="5"/>
  <c r="GS39" i="5"/>
  <c r="GR38" i="5"/>
  <c r="GQ38" i="5"/>
  <c r="GP38" i="5"/>
  <c r="GO38" i="5"/>
  <c r="GS24" i="5"/>
  <c r="GS23" i="5"/>
  <c r="GS22" i="5"/>
  <c r="GS21" i="5"/>
  <c r="GS20" i="5"/>
  <c r="GS19" i="5"/>
  <c r="GS18" i="5"/>
  <c r="GS17" i="5"/>
  <c r="GR16" i="5"/>
  <c r="GQ16" i="5"/>
  <c r="GP16" i="5"/>
  <c r="GO16" i="5"/>
  <c r="GS15" i="5"/>
  <c r="GS14" i="5"/>
  <c r="GS5" i="5"/>
  <c r="GS72" i="5" s="1"/>
  <c r="Y72" i="5" s="1"/>
  <c r="LU154" i="29"/>
  <c r="LY115" i="29"/>
  <c r="LY118" i="29" s="1"/>
  <c r="LX115" i="29"/>
  <c r="LX118" i="29" s="1"/>
  <c r="LW115" i="29"/>
  <c r="LW118" i="29" s="1"/>
  <c r="LV115" i="29"/>
  <c r="LV118" i="29" s="1"/>
  <c r="AZ113" i="29"/>
  <c r="MB33" i="1"/>
  <c r="AZ33" i="1" s="1"/>
  <c r="AZ13" i="29" s="1"/>
  <c r="LU3" i="29"/>
  <c r="LU155" i="29" s="1"/>
  <c r="LU2" i="29"/>
  <c r="LZ334" i="30"/>
  <c r="LU277" i="30"/>
  <c r="LU276" i="30"/>
  <c r="LU274" i="30"/>
  <c r="LU273" i="30"/>
  <c r="LU271" i="30"/>
  <c r="LU270" i="30"/>
  <c r="LU269" i="30"/>
  <c r="LU267" i="30"/>
  <c r="LU266" i="30"/>
  <c r="LU264" i="30"/>
  <c r="LU263" i="30"/>
  <c r="LU261" i="30"/>
  <c r="LU260" i="30"/>
  <c r="LU257" i="30"/>
  <c r="LU256" i="30"/>
  <c r="LU254" i="30"/>
  <c r="LU253" i="30"/>
  <c r="LU251" i="30"/>
  <c r="LU250" i="30"/>
  <c r="LU247" i="30"/>
  <c r="LU246" i="30"/>
  <c r="LU244" i="30"/>
  <c r="LU243" i="30"/>
  <c r="LU241" i="30"/>
  <c r="LU240" i="30"/>
  <c r="LU239" i="30"/>
  <c r="LU237" i="30"/>
  <c r="LU236" i="30"/>
  <c r="LU234" i="30"/>
  <c r="LU233" i="30"/>
  <c r="LU231" i="30"/>
  <c r="LU230" i="30"/>
  <c r="LU227" i="30"/>
  <c r="LU226" i="30"/>
  <c r="LU224" i="30"/>
  <c r="LU223" i="30"/>
  <c r="LU221" i="30"/>
  <c r="LU220" i="30"/>
  <c r="LU217" i="30"/>
  <c r="LU216" i="30"/>
  <c r="LU214" i="30"/>
  <c r="LU213" i="30"/>
  <c r="LU211" i="30"/>
  <c r="LU210" i="30"/>
  <c r="LU207" i="30"/>
  <c r="LU206" i="30"/>
  <c r="LU204" i="30"/>
  <c r="LU203" i="30"/>
  <c r="LU201" i="30"/>
  <c r="LU200" i="30"/>
  <c r="LU197" i="30"/>
  <c r="LU196" i="30"/>
  <c r="LU194" i="30"/>
  <c r="LU193" i="30"/>
  <c r="LU191" i="30"/>
  <c r="LU190" i="30"/>
  <c r="LU187" i="30"/>
  <c r="LU186" i="30"/>
  <c r="LU184" i="30"/>
  <c r="LU183" i="30"/>
  <c r="LU181" i="30"/>
  <c r="LU180" i="30"/>
  <c r="LU177" i="30"/>
  <c r="LU176" i="30"/>
  <c r="LU174" i="30"/>
  <c r="LU173" i="30"/>
  <c r="LU171" i="30"/>
  <c r="LU170" i="30"/>
  <c r="LU169" i="30"/>
  <c r="LU168" i="30"/>
  <c r="LU165" i="30"/>
  <c r="LZ111" i="30"/>
  <c r="AZ111" i="30" s="1"/>
  <c r="LZ65" i="30"/>
  <c r="AZ65" i="30" s="1"/>
  <c r="LZ5" i="30"/>
  <c r="LZ166" i="30" s="1"/>
  <c r="AZ166" i="30" s="1"/>
  <c r="LU5" i="30"/>
  <c r="LU4" i="30"/>
  <c r="LW98" i="1"/>
  <c r="LW96" i="1"/>
  <c r="LW95" i="1"/>
  <c r="LW94" i="1"/>
  <c r="LW93" i="1"/>
  <c r="LW91" i="1"/>
  <c r="LW90" i="1"/>
  <c r="LW89" i="1"/>
  <c r="LW88" i="1"/>
  <c r="LW86" i="1"/>
  <c r="LW85" i="1"/>
  <c r="LW84" i="1"/>
  <c r="LW83" i="1"/>
  <c r="LW81" i="1"/>
  <c r="MB80" i="1"/>
  <c r="LW80" i="1"/>
  <c r="MB79" i="1"/>
  <c r="LW79" i="1"/>
  <c r="LW78" i="1"/>
  <c r="LW76" i="1"/>
  <c r="LW75" i="1"/>
  <c r="MB70" i="1"/>
  <c r="MB58" i="1"/>
  <c r="MB57" i="1"/>
  <c r="MB56" i="1"/>
  <c r="MB53" i="1"/>
  <c r="MB40" i="1"/>
  <c r="MA33" i="1"/>
  <c r="LZ33" i="1"/>
  <c r="LY33" i="1"/>
  <c r="LX33" i="1"/>
  <c r="MB18" i="1"/>
  <c r="MB76" i="1" s="1"/>
  <c r="LW18" i="1"/>
  <c r="LW17" i="1"/>
  <c r="HC56" i="4"/>
  <c r="HB56" i="4"/>
  <c r="HC32" i="4"/>
  <c r="HG19" i="4"/>
  <c r="HH32" i="4"/>
  <c r="HJ24" i="4"/>
  <c r="HP117" i="4"/>
  <c r="HP92" i="4"/>
  <c r="HP56" i="4"/>
  <c r="HP119" i="4" s="1"/>
  <c r="HP43" i="4"/>
  <c r="FV112" i="5" s="1"/>
  <c r="HP32" i="4"/>
  <c r="HP24" i="4"/>
  <c r="HP19" i="4"/>
  <c r="HP11" i="4"/>
  <c r="LC57" i="30"/>
  <c r="LC58" i="30"/>
  <c r="FV141" i="5"/>
  <c r="FW142" i="5" s="1"/>
  <c r="FV138" i="5"/>
  <c r="FV115" i="5"/>
  <c r="FV98" i="5"/>
  <c r="LC137" i="29"/>
  <c r="LC133" i="29"/>
  <c r="LJ134" i="29" s="1"/>
  <c r="LC115" i="29"/>
  <c r="LC114" i="29" s="1"/>
  <c r="LC86" i="29"/>
  <c r="LC289" i="30"/>
  <c r="LC297" i="30" s="1"/>
  <c r="LC263" i="30"/>
  <c r="LJ264" i="30" s="1"/>
  <c r="LC260" i="30"/>
  <c r="LJ261" i="30" s="1"/>
  <c r="LC253" i="30"/>
  <c r="LJ254" i="30" s="1"/>
  <c r="LC250" i="30"/>
  <c r="LJ251" i="30" s="1"/>
  <c r="LC240" i="30"/>
  <c r="LJ241" i="30" s="1"/>
  <c r="LC233" i="30"/>
  <c r="LJ234" i="30" s="1"/>
  <c r="LC230" i="30"/>
  <c r="LJ231" i="30" s="1"/>
  <c r="LC223" i="30"/>
  <c r="LJ224" i="30" s="1"/>
  <c r="LC220" i="30"/>
  <c r="LJ221" i="30" s="1"/>
  <c r="LC213" i="30"/>
  <c r="LJ214" i="30" s="1"/>
  <c r="LC210" i="30"/>
  <c r="LJ211" i="30" s="1"/>
  <c r="LC203" i="30"/>
  <c r="LJ204" i="30" s="1"/>
  <c r="LC200" i="30"/>
  <c r="LJ201" i="30" s="1"/>
  <c r="LC193" i="30"/>
  <c r="LJ194" i="30" s="1"/>
  <c r="LC190" i="30"/>
  <c r="LJ191" i="30" s="1"/>
  <c r="LC183" i="30"/>
  <c r="LJ184" i="30" s="1"/>
  <c r="LC180" i="30"/>
  <c r="LJ181" i="30" s="1"/>
  <c r="LC173" i="30"/>
  <c r="LJ174" i="30" s="1"/>
  <c r="LC170" i="30"/>
  <c r="LJ171" i="30" s="1"/>
  <c r="LQ190" i="30" l="1"/>
  <c r="LR189" i="30" s="1"/>
  <c r="LQ180" i="30"/>
  <c r="LR179" i="30" s="1"/>
  <c r="LC186" i="30"/>
  <c r="LJ187" i="30" s="1"/>
  <c r="LC266" i="30"/>
  <c r="LJ267" i="30" s="1"/>
  <c r="LC176" i="30"/>
  <c r="LJ177" i="30" s="1"/>
  <c r="FW139" i="5"/>
  <c r="FW145" i="5"/>
  <c r="LC226" i="30"/>
  <c r="LJ227" i="30" s="1"/>
  <c r="Y40" i="5"/>
  <c r="Y53" i="5"/>
  <c r="Y39" i="5"/>
  <c r="Y41" i="5"/>
  <c r="Y56" i="5"/>
  <c r="Y42" i="5"/>
  <c r="Y45" i="5"/>
  <c r="Y23" i="5"/>
  <c r="Y24" i="5"/>
  <c r="Y17" i="5"/>
  <c r="Y18" i="5"/>
  <c r="Y14" i="5"/>
  <c r="Y19" i="5"/>
  <c r="Y22" i="5"/>
  <c r="Y15" i="5"/>
  <c r="Y20" i="5"/>
  <c r="Y21" i="5"/>
  <c r="AZ56" i="1"/>
  <c r="AZ57" i="1"/>
  <c r="AZ58" i="1"/>
  <c r="AZ70" i="1"/>
  <c r="AZ38" i="1"/>
  <c r="GO13" i="5"/>
  <c r="GP13" i="5"/>
  <c r="GQ13" i="5"/>
  <c r="LZ118" i="29"/>
  <c r="LZ115" i="29" s="1"/>
  <c r="LZ114" i="29" s="1"/>
  <c r="GR13" i="5"/>
  <c r="LC290" i="30"/>
  <c r="IM92" i="4"/>
  <c r="AE92" i="4" s="1"/>
  <c r="AZ5" i="30"/>
  <c r="LC216" i="30"/>
  <c r="LJ217" i="30" s="1"/>
  <c r="LC256" i="30"/>
  <c r="LJ257" i="30" s="1"/>
  <c r="GS159" i="5"/>
  <c r="Y159" i="5" s="1"/>
  <c r="AZ18" i="1"/>
  <c r="AZ76" i="1" s="1"/>
  <c r="LC236" i="30"/>
  <c r="LJ237" i="30" s="1"/>
  <c r="LC196" i="30"/>
  <c r="LJ197" i="30" s="1"/>
  <c r="LC270" i="30"/>
  <c r="LJ271" i="30" s="1"/>
  <c r="HP120" i="4"/>
  <c r="LC206" i="30"/>
  <c r="LJ207" i="30" s="1"/>
  <c r="Y5" i="5"/>
  <c r="GS52" i="5"/>
  <c r="AZ40" i="1"/>
  <c r="GS38" i="5"/>
  <c r="GS43" i="5"/>
  <c r="HP118" i="4"/>
  <c r="GS44" i="5"/>
  <c r="GS57" i="5"/>
  <c r="GS51" i="5"/>
  <c r="GS16" i="5"/>
  <c r="FV147" i="5"/>
  <c r="FW146" i="5" l="1"/>
  <c r="FW144" i="5"/>
  <c r="Y52" i="5"/>
  <c r="GS133" i="5"/>
  <c r="Y133" i="5" s="1"/>
  <c r="Y43" i="5"/>
  <c r="GS13" i="5"/>
  <c r="Y16" i="5"/>
  <c r="GS152" i="5"/>
  <c r="Y152" i="5" s="1"/>
  <c r="Y57" i="5"/>
  <c r="GS130" i="5"/>
  <c r="Y130" i="5" s="1"/>
  <c r="Y44" i="5"/>
  <c r="GS127" i="5"/>
  <c r="Y127" i="5" s="1"/>
  <c r="Y38" i="5"/>
  <c r="Y51" i="5"/>
  <c r="AZ118" i="29"/>
  <c r="Y13" i="5" l="1"/>
  <c r="AZ114" i="29"/>
  <c r="AZ115" i="29"/>
  <c r="HO117" i="4"/>
  <c r="HN117" i="4"/>
  <c r="HJ117" i="4"/>
  <c r="HI117" i="4"/>
  <c r="HH117" i="4"/>
  <c r="HG117" i="4"/>
  <c r="HC117" i="4"/>
  <c r="HB117" i="4"/>
  <c r="HA117" i="4"/>
  <c r="GZ117" i="4"/>
  <c r="GV117" i="4"/>
  <c r="GU117" i="4"/>
  <c r="GT117" i="4"/>
  <c r="GS117" i="4"/>
  <c r="GO117" i="4"/>
  <c r="GN117" i="4"/>
  <c r="GM117" i="4"/>
  <c r="GL117" i="4"/>
  <c r="GH117" i="4"/>
  <c r="GG117" i="4"/>
  <c r="GF117" i="4"/>
  <c r="GE117" i="4"/>
  <c r="GA117" i="4"/>
  <c r="FZ117" i="4"/>
  <c r="FY117" i="4"/>
  <c r="FX117" i="4"/>
  <c r="FT117" i="4"/>
  <c r="FS117" i="4"/>
  <c r="FR117" i="4"/>
  <c r="FQ117" i="4"/>
  <c r="FM117" i="4"/>
  <c r="FL117" i="4"/>
  <c r="FK117" i="4"/>
  <c r="FJ117" i="4"/>
  <c r="FF117" i="4"/>
  <c r="FE117" i="4"/>
  <c r="FD117" i="4"/>
  <c r="FC117" i="4"/>
  <c r="EY117" i="4"/>
  <c r="EX117" i="4"/>
  <c r="EW117" i="4"/>
  <c r="EV117" i="4"/>
  <c r="ER117" i="4"/>
  <c r="EQ117" i="4"/>
  <c r="EP117" i="4"/>
  <c r="EO117" i="4"/>
  <c r="EK117" i="4"/>
  <c r="EJ117" i="4"/>
  <c r="EI117" i="4"/>
  <c r="EH117" i="4"/>
  <c r="ED117" i="4"/>
  <c r="EC117" i="4"/>
  <c r="EB117" i="4"/>
  <c r="EA117" i="4"/>
  <c r="DW117" i="4"/>
  <c r="DV117" i="4"/>
  <c r="DU117" i="4"/>
  <c r="DT117" i="4"/>
  <c r="DP117" i="4"/>
  <c r="DO117" i="4"/>
  <c r="DN117" i="4"/>
  <c r="DM117" i="4"/>
  <c r="DI117" i="4"/>
  <c r="DH117" i="4"/>
  <c r="DG117" i="4"/>
  <c r="DF117" i="4"/>
  <c r="DB117" i="4"/>
  <c r="DA117" i="4"/>
  <c r="CZ117" i="4"/>
  <c r="CY117" i="4"/>
  <c r="CU117" i="4"/>
  <c r="CT117" i="4"/>
  <c r="CS117" i="4"/>
  <c r="CR117" i="4"/>
  <c r="AX117" i="4"/>
  <c r="AW117" i="4"/>
  <c r="AV117" i="4"/>
  <c r="AU117" i="4"/>
  <c r="BE117" i="4"/>
  <c r="BD117" i="4"/>
  <c r="BC117" i="4"/>
  <c r="BB117" i="4"/>
  <c r="BL117" i="4"/>
  <c r="BK117" i="4"/>
  <c r="BJ117" i="4"/>
  <c r="BI117" i="4"/>
  <c r="BS117" i="4"/>
  <c r="BR117" i="4"/>
  <c r="BQ117" i="4"/>
  <c r="BP117" i="4"/>
  <c r="BZ117" i="4"/>
  <c r="BY117" i="4"/>
  <c r="BX117" i="4"/>
  <c r="BW117" i="4"/>
  <c r="CG117" i="4"/>
  <c r="CF117" i="4"/>
  <c r="CE117" i="4"/>
  <c r="CD117" i="4"/>
  <c r="CN117" i="4"/>
  <c r="CM117" i="4"/>
  <c r="CL117" i="4"/>
  <c r="CK117" i="4"/>
  <c r="GV108" i="29"/>
  <c r="GU108" i="29"/>
  <c r="GT108" i="29"/>
  <c r="GS108" i="29"/>
  <c r="GZ108" i="29"/>
  <c r="HA108" i="29"/>
  <c r="HB108" i="29"/>
  <c r="HC108" i="29"/>
  <c r="HG108" i="29"/>
  <c r="HH108" i="29"/>
  <c r="LN154" i="29"/>
  <c r="LG154" i="29"/>
  <c r="KZ154" i="29"/>
  <c r="KL154" i="29"/>
  <c r="KE154" i="29"/>
  <c r="JX154" i="29"/>
  <c r="JQ154" i="29"/>
  <c r="JJ154" i="29"/>
  <c r="JC154" i="29"/>
  <c r="IV154" i="29"/>
  <c r="IO154" i="29"/>
  <c r="IH154" i="29"/>
  <c r="IA154" i="29"/>
  <c r="HT154" i="29"/>
  <c r="HM154" i="29"/>
  <c r="HF154" i="29"/>
  <c r="GY154" i="29"/>
  <c r="GR154" i="29"/>
  <c r="GK154" i="29"/>
  <c r="GD154" i="29"/>
  <c r="FW154" i="29"/>
  <c r="FP154" i="29"/>
  <c r="FI154" i="29"/>
  <c r="FB154" i="29"/>
  <c r="EU154" i="29"/>
  <c r="EN154" i="29"/>
  <c r="EG154" i="29"/>
  <c r="DZ154" i="29"/>
  <c r="DS154" i="29"/>
  <c r="DL154" i="29"/>
  <c r="DE154" i="29"/>
  <c r="CX154" i="29"/>
  <c r="CQ154" i="29"/>
  <c r="CJ154" i="29"/>
  <c r="CC154" i="29"/>
  <c r="BV154" i="29"/>
  <c r="BO154" i="29"/>
  <c r="GI350" i="30" l="1"/>
  <c r="LN165" i="30"/>
  <c r="LG165" i="30"/>
  <c r="KZ165" i="30"/>
  <c r="KS165" i="30"/>
  <c r="KL165" i="30"/>
  <c r="KE165" i="30"/>
  <c r="JX165" i="30"/>
  <c r="JQ165" i="30"/>
  <c r="JJ165" i="30"/>
  <c r="JC165" i="30"/>
  <c r="IV165" i="30"/>
  <c r="IO165" i="30"/>
  <c r="IH165" i="30"/>
  <c r="IA165" i="30"/>
  <c r="HT165" i="30"/>
  <c r="HM165" i="30"/>
  <c r="HF165" i="30"/>
  <c r="GY165" i="30"/>
  <c r="GR165" i="30"/>
  <c r="GK165" i="30"/>
  <c r="GD165" i="30"/>
  <c r="FW165" i="30"/>
  <c r="FP165" i="30"/>
  <c r="FI165" i="30"/>
  <c r="FB165" i="30"/>
  <c r="EU165" i="30"/>
  <c r="EN165" i="30"/>
  <c r="EG165" i="30"/>
  <c r="DZ165" i="30"/>
  <c r="DS165" i="30"/>
  <c r="DL165" i="30"/>
  <c r="DE165" i="30"/>
  <c r="CX165" i="30"/>
  <c r="CQ165" i="30"/>
  <c r="CJ165" i="30"/>
  <c r="CC165" i="30"/>
  <c r="BV165" i="30"/>
  <c r="BO165" i="30"/>
  <c r="HQ348" i="30"/>
  <c r="JZ348" i="30"/>
  <c r="JZ347" i="30"/>
  <c r="JZ346" i="30"/>
  <c r="JZ351" i="30"/>
  <c r="JZ350" i="30"/>
  <c r="LV9" i="29" l="1"/>
  <c r="GD98" i="1"/>
  <c r="GB98" i="1"/>
  <c r="GA98" i="1"/>
  <c r="FZ98" i="1"/>
  <c r="GK98" i="1"/>
  <c r="GG98" i="1"/>
  <c r="GR98" i="1"/>
  <c r="GN98" i="1"/>
  <c r="GY98" i="1"/>
  <c r="GU98" i="1"/>
  <c r="HF98" i="1"/>
  <c r="HD98" i="1"/>
  <c r="HC98" i="1"/>
  <c r="HB98" i="1"/>
  <c r="HM98" i="1"/>
  <c r="HI98" i="1"/>
  <c r="HT98" i="1"/>
  <c r="HP98" i="1"/>
  <c r="HV98" i="1"/>
  <c r="HW98" i="1"/>
  <c r="IA98" i="1"/>
  <c r="IH98" i="1"/>
  <c r="ID98" i="1"/>
  <c r="IO98" i="1"/>
  <c r="IK98" i="1"/>
  <c r="IV98" i="1"/>
  <c r="IR98" i="1"/>
  <c r="JC98" i="1"/>
  <c r="IY98" i="1"/>
  <c r="JJ98" i="1"/>
  <c r="JF98" i="1"/>
  <c r="JQ98" i="1"/>
  <c r="JM98" i="1"/>
  <c r="JX98" i="1"/>
  <c r="JT98" i="1"/>
  <c r="KE98" i="1"/>
  <c r="KA98" i="1"/>
  <c r="KL98" i="1"/>
  <c r="KH98" i="1"/>
  <c r="KS98" i="1"/>
  <c r="KO98" i="1"/>
  <c r="KZ98" i="1"/>
  <c r="KV98" i="1"/>
  <c r="LC98" i="1"/>
  <c r="LW9" i="29" l="1"/>
  <c r="LX29" i="1"/>
  <c r="GO85" i="5"/>
  <c r="GO86" i="5" s="1"/>
  <c r="GO10" i="5"/>
  <c r="GP85" i="5"/>
  <c r="LX9" i="29"/>
  <c r="LY29" i="1"/>
  <c r="GP10" i="5"/>
  <c r="LP98" i="1"/>
  <c r="LP96" i="1"/>
  <c r="LP95" i="1"/>
  <c r="LP94" i="1"/>
  <c r="LP93" i="1"/>
  <c r="LP91" i="1"/>
  <c r="LP90" i="1"/>
  <c r="LP89" i="1"/>
  <c r="LP88" i="1"/>
  <c r="LP86" i="1"/>
  <c r="LP85" i="1"/>
  <c r="LP84" i="1"/>
  <c r="LP83" i="1"/>
  <c r="LP81" i="1"/>
  <c r="LP80" i="1"/>
  <c r="LP79" i="1"/>
  <c r="LP78" i="1"/>
  <c r="LI98" i="1"/>
  <c r="LI96" i="1"/>
  <c r="LI95" i="1"/>
  <c r="LI94" i="1"/>
  <c r="LI93" i="1"/>
  <c r="LI91" i="1"/>
  <c r="LI90" i="1"/>
  <c r="LI89" i="1"/>
  <c r="LI88" i="1"/>
  <c r="LI86" i="1"/>
  <c r="LI85" i="1"/>
  <c r="LI84" i="1"/>
  <c r="LI83" i="1"/>
  <c r="LI81" i="1"/>
  <c r="LI80" i="1"/>
  <c r="LI79" i="1"/>
  <c r="LI78" i="1"/>
  <c r="LB98" i="1"/>
  <c r="LB96" i="1"/>
  <c r="LB95" i="1"/>
  <c r="LB94" i="1"/>
  <c r="LB93" i="1"/>
  <c r="LB91" i="1"/>
  <c r="LB90" i="1"/>
  <c r="LB89" i="1"/>
  <c r="LB88" i="1"/>
  <c r="LB86" i="1"/>
  <c r="LB85" i="1"/>
  <c r="LB84" i="1"/>
  <c r="LB83" i="1"/>
  <c r="LB81" i="1"/>
  <c r="LB80" i="1"/>
  <c r="LB79" i="1"/>
  <c r="LB78" i="1"/>
  <c r="KU98" i="1"/>
  <c r="KU96" i="1"/>
  <c r="KU95" i="1"/>
  <c r="KU94" i="1"/>
  <c r="KU93" i="1"/>
  <c r="KU91" i="1"/>
  <c r="KU90" i="1"/>
  <c r="KU89" i="1"/>
  <c r="KU88" i="1"/>
  <c r="KU86" i="1"/>
  <c r="KU85" i="1"/>
  <c r="KU84" i="1"/>
  <c r="KU83" i="1"/>
  <c r="KU81" i="1"/>
  <c r="KU80" i="1"/>
  <c r="KU79" i="1"/>
  <c r="KU78" i="1"/>
  <c r="KN98" i="1"/>
  <c r="KN96" i="1"/>
  <c r="KN95" i="1"/>
  <c r="KN94" i="1"/>
  <c r="KN93" i="1"/>
  <c r="KN91" i="1"/>
  <c r="KN90" i="1"/>
  <c r="KN89" i="1"/>
  <c r="KN88" i="1"/>
  <c r="KN86" i="1"/>
  <c r="KN85" i="1"/>
  <c r="KN84" i="1"/>
  <c r="KN83" i="1"/>
  <c r="KN81" i="1"/>
  <c r="KN80" i="1"/>
  <c r="KN79" i="1"/>
  <c r="KN78" i="1"/>
  <c r="KG98" i="1"/>
  <c r="KG96" i="1"/>
  <c r="KG95" i="1"/>
  <c r="KG94" i="1"/>
  <c r="KG93" i="1"/>
  <c r="KG91" i="1"/>
  <c r="KG90" i="1"/>
  <c r="KG89" i="1"/>
  <c r="KG88" i="1"/>
  <c r="KG86" i="1"/>
  <c r="KG85" i="1"/>
  <c r="KG84" i="1"/>
  <c r="KG83" i="1"/>
  <c r="KG81" i="1"/>
  <c r="KG80" i="1"/>
  <c r="KG79" i="1"/>
  <c r="KG78" i="1"/>
  <c r="JZ98" i="1"/>
  <c r="JZ96" i="1"/>
  <c r="JZ95" i="1"/>
  <c r="JZ94" i="1"/>
  <c r="JZ93" i="1"/>
  <c r="JZ91" i="1"/>
  <c r="JZ90" i="1"/>
  <c r="JZ89" i="1"/>
  <c r="JZ88" i="1"/>
  <c r="JZ86" i="1"/>
  <c r="JZ85" i="1"/>
  <c r="JZ84" i="1"/>
  <c r="JZ83" i="1"/>
  <c r="JZ81" i="1"/>
  <c r="JZ80" i="1"/>
  <c r="JZ79" i="1"/>
  <c r="JZ78" i="1"/>
  <c r="JS98" i="1"/>
  <c r="JS96" i="1"/>
  <c r="JS95" i="1"/>
  <c r="JS94" i="1"/>
  <c r="JS93" i="1"/>
  <c r="JS91" i="1"/>
  <c r="JS90" i="1"/>
  <c r="JS89" i="1"/>
  <c r="JS88" i="1"/>
  <c r="JS86" i="1"/>
  <c r="JS85" i="1"/>
  <c r="JS84" i="1"/>
  <c r="JS83" i="1"/>
  <c r="JS81" i="1"/>
  <c r="JS80" i="1"/>
  <c r="JS79" i="1"/>
  <c r="JS78" i="1"/>
  <c r="JL98" i="1"/>
  <c r="JL96" i="1"/>
  <c r="JL95" i="1"/>
  <c r="JL94" i="1"/>
  <c r="JL93" i="1"/>
  <c r="JL91" i="1"/>
  <c r="JL90" i="1"/>
  <c r="JL89" i="1"/>
  <c r="JL88" i="1"/>
  <c r="JL86" i="1"/>
  <c r="JL85" i="1"/>
  <c r="JL84" i="1"/>
  <c r="JL83" i="1"/>
  <c r="JL81" i="1"/>
  <c r="JL80" i="1"/>
  <c r="JL79" i="1"/>
  <c r="JL78" i="1"/>
  <c r="JE98" i="1"/>
  <c r="JE96" i="1"/>
  <c r="JE95" i="1"/>
  <c r="JE94" i="1"/>
  <c r="JE93" i="1"/>
  <c r="JE91" i="1"/>
  <c r="JE90" i="1"/>
  <c r="JE89" i="1"/>
  <c r="JE88" i="1"/>
  <c r="JE86" i="1"/>
  <c r="JE85" i="1"/>
  <c r="JE84" i="1"/>
  <c r="JE83" i="1"/>
  <c r="JE81" i="1"/>
  <c r="JE80" i="1"/>
  <c r="JE79" i="1"/>
  <c r="JE78" i="1"/>
  <c r="IX98" i="1"/>
  <c r="IX96" i="1"/>
  <c r="IX95" i="1"/>
  <c r="IX94" i="1"/>
  <c r="IX93" i="1"/>
  <c r="IX91" i="1"/>
  <c r="IX90" i="1"/>
  <c r="IX89" i="1"/>
  <c r="IX88" i="1"/>
  <c r="IX86" i="1"/>
  <c r="IX85" i="1"/>
  <c r="IX84" i="1"/>
  <c r="IX83" i="1"/>
  <c r="IX81" i="1"/>
  <c r="IX80" i="1"/>
  <c r="IX79" i="1"/>
  <c r="IX78" i="1"/>
  <c r="IQ98" i="1"/>
  <c r="IQ96" i="1"/>
  <c r="IQ95" i="1"/>
  <c r="IQ94" i="1"/>
  <c r="IQ93" i="1"/>
  <c r="IQ91" i="1"/>
  <c r="IQ90" i="1"/>
  <c r="IQ89" i="1"/>
  <c r="IQ88" i="1"/>
  <c r="IQ86" i="1"/>
  <c r="IQ85" i="1"/>
  <c r="IQ84" i="1"/>
  <c r="IQ83" i="1"/>
  <c r="IQ81" i="1"/>
  <c r="IQ80" i="1"/>
  <c r="IQ79" i="1"/>
  <c r="IQ78" i="1"/>
  <c r="IJ98" i="1"/>
  <c r="IJ96" i="1"/>
  <c r="IJ95" i="1"/>
  <c r="IJ94" i="1"/>
  <c r="IJ93" i="1"/>
  <c r="IJ91" i="1"/>
  <c r="IJ90" i="1"/>
  <c r="IJ89" i="1"/>
  <c r="IJ88" i="1"/>
  <c r="IJ86" i="1"/>
  <c r="IJ85" i="1"/>
  <c r="IJ84" i="1"/>
  <c r="IJ83" i="1"/>
  <c r="IJ81" i="1"/>
  <c r="IJ80" i="1"/>
  <c r="IJ79" i="1"/>
  <c r="IJ78" i="1"/>
  <c r="KS81" i="1"/>
  <c r="BQ75" i="1"/>
  <c r="BX75" i="1"/>
  <c r="CE75" i="1"/>
  <c r="CL75" i="1"/>
  <c r="CS75" i="1"/>
  <c r="CZ75" i="1"/>
  <c r="DG75" i="1"/>
  <c r="DN75" i="1"/>
  <c r="DU75" i="1"/>
  <c r="EB75" i="1"/>
  <c r="EI75" i="1"/>
  <c r="EP75" i="1"/>
  <c r="EW75" i="1"/>
  <c r="FD75" i="1"/>
  <c r="FK75" i="1"/>
  <c r="FR75" i="1"/>
  <c r="FY75" i="1"/>
  <c r="GF75" i="1"/>
  <c r="GM75" i="1"/>
  <c r="GT75" i="1"/>
  <c r="HA75" i="1"/>
  <c r="HH75" i="1"/>
  <c r="HO75" i="1"/>
  <c r="HV75" i="1"/>
  <c r="IC75" i="1"/>
  <c r="IJ75" i="1"/>
  <c r="IQ75" i="1"/>
  <c r="IX75" i="1"/>
  <c r="JE75" i="1"/>
  <c r="JL75" i="1"/>
  <c r="JS75" i="1"/>
  <c r="JZ75" i="1"/>
  <c r="KG75" i="1"/>
  <c r="KN75" i="1"/>
  <c r="KU75" i="1"/>
  <c r="LB75" i="1"/>
  <c r="LI75" i="1"/>
  <c r="LP75" i="1"/>
  <c r="BQ76" i="1"/>
  <c r="BX76" i="1"/>
  <c r="CE76" i="1"/>
  <c r="CL76" i="1"/>
  <c r="CS76" i="1"/>
  <c r="CZ76" i="1"/>
  <c r="DG76" i="1"/>
  <c r="DN76" i="1"/>
  <c r="DU76" i="1"/>
  <c r="EB76" i="1"/>
  <c r="EI76" i="1"/>
  <c r="EP76" i="1"/>
  <c r="EW76" i="1"/>
  <c r="FD76" i="1"/>
  <c r="FK76" i="1"/>
  <c r="FR76" i="1"/>
  <c r="FY76" i="1"/>
  <c r="GF76" i="1"/>
  <c r="GM76" i="1"/>
  <c r="GT76" i="1"/>
  <c r="HA76" i="1"/>
  <c r="HH76" i="1"/>
  <c r="HO76" i="1"/>
  <c r="HV76" i="1"/>
  <c r="IC76" i="1"/>
  <c r="IJ76" i="1"/>
  <c r="IQ76" i="1"/>
  <c r="IX76" i="1"/>
  <c r="JE76" i="1"/>
  <c r="JL76" i="1"/>
  <c r="JS76" i="1"/>
  <c r="JZ76" i="1"/>
  <c r="KG76" i="1"/>
  <c r="KN76" i="1"/>
  <c r="KU76" i="1"/>
  <c r="LB76" i="1"/>
  <c r="LI76" i="1"/>
  <c r="LP76" i="1"/>
  <c r="BQ78" i="1"/>
  <c r="BX78" i="1"/>
  <c r="CE78" i="1"/>
  <c r="CL78" i="1"/>
  <c r="CS78" i="1"/>
  <c r="CZ78" i="1"/>
  <c r="DG78" i="1"/>
  <c r="DN78" i="1"/>
  <c r="DU78" i="1"/>
  <c r="EB78" i="1"/>
  <c r="EI78" i="1"/>
  <c r="EP78" i="1"/>
  <c r="EW78" i="1"/>
  <c r="FD78" i="1"/>
  <c r="FK78" i="1"/>
  <c r="FR78" i="1"/>
  <c r="FY78" i="1"/>
  <c r="GF78" i="1"/>
  <c r="GM78" i="1"/>
  <c r="GT78" i="1"/>
  <c r="HA78" i="1"/>
  <c r="HH78" i="1"/>
  <c r="HO78" i="1"/>
  <c r="HV78" i="1"/>
  <c r="IC78" i="1"/>
  <c r="ID78" i="1"/>
  <c r="IH78" i="1" s="1"/>
  <c r="IE78" i="1"/>
  <c r="IF78" i="1"/>
  <c r="IG78" i="1"/>
  <c r="IK78" i="1"/>
  <c r="IL78" i="1"/>
  <c r="IM78" i="1"/>
  <c r="IN78" i="1"/>
  <c r="IR78" i="1"/>
  <c r="IV78" i="1" s="1"/>
  <c r="IS78" i="1"/>
  <c r="IT78" i="1"/>
  <c r="IU78" i="1"/>
  <c r="IY78" i="1"/>
  <c r="IZ78" i="1"/>
  <c r="JA78" i="1"/>
  <c r="JB78" i="1"/>
  <c r="JF78" i="1"/>
  <c r="JJ78" i="1" s="1"/>
  <c r="JG78" i="1"/>
  <c r="JH78" i="1"/>
  <c r="JI78" i="1"/>
  <c r="JM78" i="1"/>
  <c r="JN78" i="1"/>
  <c r="JO78" i="1"/>
  <c r="JP78" i="1"/>
  <c r="JT78" i="1"/>
  <c r="JX78" i="1" s="1"/>
  <c r="JU78" i="1"/>
  <c r="JV78" i="1"/>
  <c r="JW78" i="1"/>
  <c r="KA78" i="1"/>
  <c r="KB78" i="1"/>
  <c r="KC78" i="1"/>
  <c r="KD78" i="1"/>
  <c r="KH78" i="1"/>
  <c r="KL78" i="1" s="1"/>
  <c r="KI78" i="1"/>
  <c r="KJ78" i="1"/>
  <c r="KK78" i="1"/>
  <c r="KO78" i="1"/>
  <c r="KP78" i="1"/>
  <c r="KQ78" i="1"/>
  <c r="KR78" i="1"/>
  <c r="KV78" i="1"/>
  <c r="KZ78" i="1" s="1"/>
  <c r="KW78" i="1"/>
  <c r="KX78" i="1"/>
  <c r="KY78" i="1"/>
  <c r="LC78" i="1"/>
  <c r="LD78" i="1"/>
  <c r="LE78" i="1"/>
  <c r="LE80" i="1" s="1"/>
  <c r="BQ79" i="1"/>
  <c r="BX79" i="1"/>
  <c r="CE79" i="1"/>
  <c r="CL79" i="1"/>
  <c r="CS79" i="1"/>
  <c r="CZ79" i="1"/>
  <c r="DG79" i="1"/>
  <c r="DN79" i="1"/>
  <c r="DU79" i="1"/>
  <c r="EB79" i="1"/>
  <c r="EI79" i="1"/>
  <c r="EP79" i="1"/>
  <c r="EW79" i="1"/>
  <c r="FD79" i="1"/>
  <c r="FK79" i="1"/>
  <c r="FR79" i="1"/>
  <c r="FY79" i="1"/>
  <c r="GF79" i="1"/>
  <c r="GM79" i="1"/>
  <c r="GT79" i="1"/>
  <c r="HA79" i="1"/>
  <c r="HH79" i="1"/>
  <c r="HO79" i="1"/>
  <c r="HV79" i="1"/>
  <c r="IC79" i="1"/>
  <c r="IE79" i="1"/>
  <c r="IF79" i="1"/>
  <c r="IG79" i="1"/>
  <c r="IK79" i="1"/>
  <c r="IL79" i="1"/>
  <c r="IM79" i="1"/>
  <c r="IN79" i="1"/>
  <c r="IR79" i="1"/>
  <c r="IS79" i="1"/>
  <c r="IT79" i="1"/>
  <c r="IU79" i="1"/>
  <c r="IY79" i="1"/>
  <c r="IZ79" i="1"/>
  <c r="JA79" i="1"/>
  <c r="JB79" i="1"/>
  <c r="JF79" i="1"/>
  <c r="JG79" i="1"/>
  <c r="JH79" i="1"/>
  <c r="JI79" i="1"/>
  <c r="JM79" i="1"/>
  <c r="JN79" i="1"/>
  <c r="JO79" i="1"/>
  <c r="JP79" i="1"/>
  <c r="JT79" i="1"/>
  <c r="JU79" i="1"/>
  <c r="JV79" i="1"/>
  <c r="JW79" i="1"/>
  <c r="KA79" i="1"/>
  <c r="KB79" i="1"/>
  <c r="KC79" i="1"/>
  <c r="KD79" i="1"/>
  <c r="KH79" i="1"/>
  <c r="KI79" i="1"/>
  <c r="KJ79" i="1"/>
  <c r="KK79" i="1"/>
  <c r="KO79" i="1"/>
  <c r="KP79" i="1"/>
  <c r="KQ79" i="1"/>
  <c r="KR79" i="1"/>
  <c r="KV79" i="1"/>
  <c r="KW79" i="1"/>
  <c r="KX79" i="1"/>
  <c r="KY79" i="1"/>
  <c r="LC79" i="1"/>
  <c r="LD79" i="1"/>
  <c r="LN79" i="1"/>
  <c r="LU79" i="1"/>
  <c r="BQ80" i="1"/>
  <c r="BX80" i="1"/>
  <c r="CE80" i="1"/>
  <c r="CL80" i="1"/>
  <c r="CS80" i="1"/>
  <c r="CZ80" i="1"/>
  <c r="DG80" i="1"/>
  <c r="DN80" i="1"/>
  <c r="DU80" i="1"/>
  <c r="EB80" i="1"/>
  <c r="EI80" i="1"/>
  <c r="EP80" i="1"/>
  <c r="EW80" i="1"/>
  <c r="FD80" i="1"/>
  <c r="FK80" i="1"/>
  <c r="FR80" i="1"/>
  <c r="FY80" i="1"/>
  <c r="GF80" i="1"/>
  <c r="GM80" i="1"/>
  <c r="GT80" i="1"/>
  <c r="HA80" i="1"/>
  <c r="HH80" i="1"/>
  <c r="HO80" i="1"/>
  <c r="HV80" i="1"/>
  <c r="IC80" i="1"/>
  <c r="LU80" i="1"/>
  <c r="BQ81" i="1"/>
  <c r="BX81" i="1"/>
  <c r="CE81" i="1"/>
  <c r="CL81" i="1"/>
  <c r="CS81" i="1"/>
  <c r="CZ81" i="1"/>
  <c r="DG81" i="1"/>
  <c r="DN81" i="1"/>
  <c r="DU81" i="1"/>
  <c r="EB81" i="1"/>
  <c r="EI81" i="1"/>
  <c r="EP81" i="1"/>
  <c r="EW81" i="1"/>
  <c r="FD81" i="1"/>
  <c r="FK81" i="1"/>
  <c r="FR81" i="1"/>
  <c r="FY81" i="1"/>
  <c r="GF81" i="1"/>
  <c r="GM81" i="1"/>
  <c r="GT81" i="1"/>
  <c r="HA81" i="1"/>
  <c r="HH81" i="1"/>
  <c r="HO81" i="1"/>
  <c r="HV81" i="1"/>
  <c r="IC81" i="1"/>
  <c r="IH81" i="1"/>
  <c r="IO81" i="1"/>
  <c r="IV81" i="1"/>
  <c r="JC81" i="1"/>
  <c r="JJ81" i="1"/>
  <c r="JQ81" i="1"/>
  <c r="JX81" i="1"/>
  <c r="KE81" i="1"/>
  <c r="KL81" i="1"/>
  <c r="KZ81" i="1"/>
  <c r="BQ83" i="1"/>
  <c r="BX83" i="1"/>
  <c r="CE83" i="1"/>
  <c r="CL83" i="1"/>
  <c r="CS83" i="1"/>
  <c r="CZ83" i="1"/>
  <c r="DG83" i="1"/>
  <c r="DN83" i="1"/>
  <c r="DU83" i="1"/>
  <c r="EB83" i="1"/>
  <c r="EI83" i="1"/>
  <c r="EP83" i="1"/>
  <c r="EW83" i="1"/>
  <c r="FD83" i="1"/>
  <c r="FK83" i="1"/>
  <c r="FR83" i="1"/>
  <c r="FY83" i="1"/>
  <c r="GF83" i="1"/>
  <c r="GM83" i="1"/>
  <c r="GT83" i="1"/>
  <c r="HA83" i="1"/>
  <c r="HH83" i="1"/>
  <c r="HO83" i="1"/>
  <c r="HV83" i="1"/>
  <c r="IC83" i="1"/>
  <c r="BQ84" i="1"/>
  <c r="BX84" i="1"/>
  <c r="CE84" i="1"/>
  <c r="CL84" i="1"/>
  <c r="CS84" i="1"/>
  <c r="CZ84" i="1"/>
  <c r="DG84" i="1"/>
  <c r="DN84" i="1"/>
  <c r="DU84" i="1"/>
  <c r="EB84" i="1"/>
  <c r="EI84" i="1"/>
  <c r="EP84" i="1"/>
  <c r="EW84" i="1"/>
  <c r="FD84" i="1"/>
  <c r="FK84" i="1"/>
  <c r="FR84" i="1"/>
  <c r="FY84" i="1"/>
  <c r="GF84" i="1"/>
  <c r="GM84" i="1"/>
  <c r="GT84" i="1"/>
  <c r="HA84" i="1"/>
  <c r="HH84" i="1"/>
  <c r="HO84" i="1"/>
  <c r="HV84" i="1"/>
  <c r="IC84" i="1"/>
  <c r="BQ85" i="1"/>
  <c r="BX85" i="1"/>
  <c r="CE85" i="1"/>
  <c r="CL85" i="1"/>
  <c r="CS85" i="1"/>
  <c r="CZ85" i="1"/>
  <c r="DG85" i="1"/>
  <c r="DN85" i="1"/>
  <c r="DU85" i="1"/>
  <c r="EB85" i="1"/>
  <c r="EI85" i="1"/>
  <c r="EP85" i="1"/>
  <c r="EW85" i="1"/>
  <c r="FD85" i="1"/>
  <c r="FK85" i="1"/>
  <c r="FR85" i="1"/>
  <c r="FY85" i="1"/>
  <c r="GF85" i="1"/>
  <c r="GM85" i="1"/>
  <c r="GT85" i="1"/>
  <c r="HA85" i="1"/>
  <c r="HH85" i="1"/>
  <c r="HO85" i="1"/>
  <c r="HV85" i="1"/>
  <c r="IC85" i="1"/>
  <c r="BQ86" i="1"/>
  <c r="BX86" i="1"/>
  <c r="CE86" i="1"/>
  <c r="CL86" i="1"/>
  <c r="CS86" i="1"/>
  <c r="CZ86" i="1"/>
  <c r="DG86" i="1"/>
  <c r="DN86" i="1"/>
  <c r="DU86" i="1"/>
  <c r="EB86" i="1"/>
  <c r="EI86" i="1"/>
  <c r="EP86" i="1"/>
  <c r="EW86" i="1"/>
  <c r="FD86" i="1"/>
  <c r="FK86" i="1"/>
  <c r="FR86" i="1"/>
  <c r="FY86" i="1"/>
  <c r="GF86" i="1"/>
  <c r="GM86" i="1"/>
  <c r="GT86" i="1"/>
  <c r="HA86" i="1"/>
  <c r="HH86" i="1"/>
  <c r="HO86" i="1"/>
  <c r="HV86" i="1"/>
  <c r="IC86" i="1"/>
  <c r="BQ88" i="1"/>
  <c r="BX88" i="1"/>
  <c r="CE88" i="1"/>
  <c r="CL88" i="1"/>
  <c r="CS88" i="1"/>
  <c r="CZ88" i="1"/>
  <c r="DG88" i="1"/>
  <c r="DN88" i="1"/>
  <c r="DU88" i="1"/>
  <c r="EB88" i="1"/>
  <c r="EI88" i="1"/>
  <c r="EP88" i="1"/>
  <c r="EW88" i="1"/>
  <c r="FD88" i="1"/>
  <c r="FK88" i="1"/>
  <c r="FR88" i="1"/>
  <c r="FY88" i="1"/>
  <c r="GF88" i="1"/>
  <c r="GM88" i="1"/>
  <c r="GT88" i="1"/>
  <c r="HA88" i="1"/>
  <c r="HH88" i="1"/>
  <c r="HO88" i="1"/>
  <c r="HV88" i="1"/>
  <c r="IC88" i="1"/>
  <c r="BQ89" i="1"/>
  <c r="BX89" i="1"/>
  <c r="CE89" i="1"/>
  <c r="CL89" i="1"/>
  <c r="CS89" i="1"/>
  <c r="CZ89" i="1"/>
  <c r="DG89" i="1"/>
  <c r="DN89" i="1"/>
  <c r="DU89" i="1"/>
  <c r="EB89" i="1"/>
  <c r="EI89" i="1"/>
  <c r="EP89" i="1"/>
  <c r="EW89" i="1"/>
  <c r="FD89" i="1"/>
  <c r="FK89" i="1"/>
  <c r="FR89" i="1"/>
  <c r="FY89" i="1"/>
  <c r="GF89" i="1"/>
  <c r="GM89" i="1"/>
  <c r="GT89" i="1"/>
  <c r="HA89" i="1"/>
  <c r="HH89" i="1"/>
  <c r="HO89" i="1"/>
  <c r="HV89" i="1"/>
  <c r="IC89" i="1"/>
  <c r="BQ90" i="1"/>
  <c r="BX90" i="1"/>
  <c r="CE90" i="1"/>
  <c r="CL90" i="1"/>
  <c r="CS90" i="1"/>
  <c r="CZ90" i="1"/>
  <c r="DG90" i="1"/>
  <c r="DN90" i="1"/>
  <c r="DU90" i="1"/>
  <c r="EB90" i="1"/>
  <c r="EI90" i="1"/>
  <c r="EP90" i="1"/>
  <c r="EW90" i="1"/>
  <c r="FD90" i="1"/>
  <c r="FK90" i="1"/>
  <c r="FR90" i="1"/>
  <c r="FY90" i="1"/>
  <c r="GF90" i="1"/>
  <c r="GM90" i="1"/>
  <c r="GT90" i="1"/>
  <c r="HA90" i="1"/>
  <c r="HH90" i="1"/>
  <c r="HO90" i="1"/>
  <c r="HV90" i="1"/>
  <c r="IC90" i="1"/>
  <c r="BQ91" i="1"/>
  <c r="BX91" i="1"/>
  <c r="CE91" i="1"/>
  <c r="CL91" i="1"/>
  <c r="CS91" i="1"/>
  <c r="CZ91" i="1"/>
  <c r="DG91" i="1"/>
  <c r="DN91" i="1"/>
  <c r="DU91" i="1"/>
  <c r="EB91" i="1"/>
  <c r="EI91" i="1"/>
  <c r="EP91" i="1"/>
  <c r="EW91" i="1"/>
  <c r="FD91" i="1"/>
  <c r="FK91" i="1"/>
  <c r="FR91" i="1"/>
  <c r="FY91" i="1"/>
  <c r="GF91" i="1"/>
  <c r="GM91" i="1"/>
  <c r="GT91" i="1"/>
  <c r="HA91" i="1"/>
  <c r="HH91" i="1"/>
  <c r="HO91" i="1"/>
  <c r="HV91" i="1"/>
  <c r="IC91" i="1"/>
  <c r="BQ93" i="1"/>
  <c r="BR93" i="1"/>
  <c r="BS93" i="1"/>
  <c r="BT93" i="1"/>
  <c r="BU93" i="1"/>
  <c r="BV93" i="1"/>
  <c r="BX93" i="1"/>
  <c r="BY93" i="1"/>
  <c r="BZ93" i="1"/>
  <c r="CA93" i="1"/>
  <c r="CB93" i="1"/>
  <c r="CC93" i="1"/>
  <c r="CE93" i="1"/>
  <c r="CF93" i="1"/>
  <c r="CG93" i="1"/>
  <c r="CH93" i="1"/>
  <c r="CI93" i="1"/>
  <c r="CJ93" i="1"/>
  <c r="CL93" i="1"/>
  <c r="CM93" i="1"/>
  <c r="CN93" i="1"/>
  <c r="CO93" i="1"/>
  <c r="CP93" i="1"/>
  <c r="CQ93" i="1"/>
  <c r="CS93" i="1"/>
  <c r="CT93" i="1"/>
  <c r="CU93" i="1"/>
  <c r="CV93" i="1"/>
  <c r="CW93" i="1"/>
  <c r="CX93" i="1"/>
  <c r="CZ93" i="1"/>
  <c r="DA93" i="1"/>
  <c r="DB93" i="1"/>
  <c r="DC93" i="1"/>
  <c r="DD93" i="1"/>
  <c r="DE93" i="1"/>
  <c r="DG93" i="1"/>
  <c r="DH93" i="1"/>
  <c r="DI93" i="1"/>
  <c r="DJ93" i="1"/>
  <c r="DK93" i="1"/>
  <c r="DL93" i="1"/>
  <c r="DN93" i="1"/>
  <c r="DO93" i="1"/>
  <c r="DP93" i="1"/>
  <c r="DQ93" i="1"/>
  <c r="DR93" i="1"/>
  <c r="DS93" i="1"/>
  <c r="DU93" i="1"/>
  <c r="DV93" i="1"/>
  <c r="DW93" i="1"/>
  <c r="DX93" i="1"/>
  <c r="DY93" i="1"/>
  <c r="DZ93" i="1"/>
  <c r="EB93" i="1"/>
  <c r="EC93" i="1"/>
  <c r="ED93" i="1"/>
  <c r="EE93" i="1"/>
  <c r="EF93" i="1"/>
  <c r="EG93" i="1"/>
  <c r="EI93" i="1"/>
  <c r="EJ93" i="1"/>
  <c r="EK93" i="1"/>
  <c r="EL93" i="1"/>
  <c r="EM93" i="1"/>
  <c r="EN93" i="1"/>
  <c r="EP93" i="1"/>
  <c r="EQ93" i="1"/>
  <c r="ER93" i="1"/>
  <c r="ES93" i="1"/>
  <c r="ET93" i="1"/>
  <c r="EU93" i="1"/>
  <c r="EW93" i="1"/>
  <c r="EX93" i="1"/>
  <c r="EY93" i="1"/>
  <c r="EZ93" i="1"/>
  <c r="FA93" i="1"/>
  <c r="FB93" i="1"/>
  <c r="FD93" i="1"/>
  <c r="FE93" i="1"/>
  <c r="FF93" i="1"/>
  <c r="FG93" i="1"/>
  <c r="FH93" i="1"/>
  <c r="FI93" i="1"/>
  <c r="FK93" i="1"/>
  <c r="FL93" i="1"/>
  <c r="FM93" i="1"/>
  <c r="FN93" i="1"/>
  <c r="FO93" i="1"/>
  <c r="FP93" i="1"/>
  <c r="FR93" i="1"/>
  <c r="FS93" i="1"/>
  <c r="FT93" i="1"/>
  <c r="FU93" i="1"/>
  <c r="FV93" i="1"/>
  <c r="FW93" i="1"/>
  <c r="FY93" i="1"/>
  <c r="FZ93" i="1"/>
  <c r="GA93" i="1"/>
  <c r="GB93" i="1"/>
  <c r="GC93" i="1"/>
  <c r="GD93" i="1"/>
  <c r="GF93" i="1"/>
  <c r="GG93" i="1"/>
  <c r="GH93" i="1"/>
  <c r="GI93" i="1"/>
  <c r="GJ93" i="1"/>
  <c r="GK93" i="1"/>
  <c r="GM93" i="1"/>
  <c r="GN93" i="1"/>
  <c r="GO93" i="1"/>
  <c r="GP93" i="1"/>
  <c r="GQ93" i="1"/>
  <c r="GR93" i="1"/>
  <c r="GT93" i="1"/>
  <c r="GU93" i="1"/>
  <c r="GV93" i="1"/>
  <c r="GW93" i="1"/>
  <c r="GX93" i="1"/>
  <c r="GY93" i="1"/>
  <c r="HA93" i="1"/>
  <c r="HB93" i="1"/>
  <c r="HC93" i="1"/>
  <c r="HD93" i="1"/>
  <c r="HE93" i="1"/>
  <c r="HF93" i="1"/>
  <c r="HH93" i="1"/>
  <c r="HI93" i="1"/>
  <c r="HJ93" i="1"/>
  <c r="HK93" i="1"/>
  <c r="HL93" i="1"/>
  <c r="HM93" i="1"/>
  <c r="HO93" i="1"/>
  <c r="HP93" i="1"/>
  <c r="HQ93" i="1"/>
  <c r="HR93" i="1"/>
  <c r="HS93" i="1"/>
  <c r="HT93" i="1"/>
  <c r="HV93" i="1"/>
  <c r="HW93" i="1"/>
  <c r="HX93" i="1"/>
  <c r="HY93" i="1"/>
  <c r="HZ93" i="1"/>
  <c r="IA93" i="1"/>
  <c r="IC93" i="1"/>
  <c r="ID93" i="1"/>
  <c r="IE93" i="1"/>
  <c r="IF93" i="1"/>
  <c r="IG93" i="1"/>
  <c r="IH93" i="1"/>
  <c r="IK93" i="1"/>
  <c r="IL93" i="1"/>
  <c r="IM93" i="1"/>
  <c r="IN93" i="1"/>
  <c r="IO93" i="1"/>
  <c r="IR93" i="1"/>
  <c r="IS93" i="1"/>
  <c r="IT93" i="1"/>
  <c r="IU93" i="1"/>
  <c r="IV93" i="1"/>
  <c r="IY93" i="1"/>
  <c r="IZ93" i="1"/>
  <c r="JA93" i="1"/>
  <c r="JB93" i="1"/>
  <c r="JC93" i="1"/>
  <c r="JF93" i="1"/>
  <c r="JG93" i="1"/>
  <c r="JH93" i="1"/>
  <c r="JI93" i="1"/>
  <c r="JJ93" i="1"/>
  <c r="JM93" i="1"/>
  <c r="JN93" i="1"/>
  <c r="JO93" i="1"/>
  <c r="JP93" i="1"/>
  <c r="JQ93" i="1"/>
  <c r="JT93" i="1"/>
  <c r="JU93" i="1"/>
  <c r="JV93" i="1"/>
  <c r="JW93" i="1"/>
  <c r="JX93" i="1"/>
  <c r="KA93" i="1"/>
  <c r="KB93" i="1"/>
  <c r="KC93" i="1"/>
  <c r="KD93" i="1"/>
  <c r="KE93" i="1"/>
  <c r="KH93" i="1"/>
  <c r="KO93" i="1"/>
  <c r="KP93" i="1"/>
  <c r="KQ93" i="1"/>
  <c r="KS93" i="1"/>
  <c r="KV93" i="1"/>
  <c r="KW93" i="1"/>
  <c r="KX93" i="1"/>
  <c r="KZ93" i="1"/>
  <c r="LC93" i="1"/>
  <c r="LD93" i="1"/>
  <c r="BQ94" i="1"/>
  <c r="BX94" i="1"/>
  <c r="CE94" i="1"/>
  <c r="CL94" i="1"/>
  <c r="CS94" i="1"/>
  <c r="CZ94" i="1"/>
  <c r="DG94" i="1"/>
  <c r="DN94" i="1"/>
  <c r="DU94" i="1"/>
  <c r="EB94" i="1"/>
  <c r="EI94" i="1"/>
  <c r="EP94" i="1"/>
  <c r="EW94" i="1"/>
  <c r="FD94" i="1"/>
  <c r="FK94" i="1"/>
  <c r="FR94" i="1"/>
  <c r="FY94" i="1"/>
  <c r="GF94" i="1"/>
  <c r="GM94" i="1"/>
  <c r="GT94" i="1"/>
  <c r="HA94" i="1"/>
  <c r="HH94" i="1"/>
  <c r="HO94" i="1"/>
  <c r="HV94" i="1"/>
  <c r="IC94" i="1"/>
  <c r="BQ95" i="1"/>
  <c r="BX95" i="1"/>
  <c r="CE95" i="1"/>
  <c r="CL95" i="1"/>
  <c r="CS95" i="1"/>
  <c r="CZ95" i="1"/>
  <c r="DG95" i="1"/>
  <c r="DN95" i="1"/>
  <c r="DR95" i="1"/>
  <c r="DS95" i="1"/>
  <c r="DU95" i="1"/>
  <c r="DV95" i="1"/>
  <c r="DW95" i="1"/>
  <c r="DY95" i="1"/>
  <c r="DZ95" i="1"/>
  <c r="EB95" i="1"/>
  <c r="EC95" i="1"/>
  <c r="ED95" i="1"/>
  <c r="EE95" i="1"/>
  <c r="EF95" i="1"/>
  <c r="EG95" i="1"/>
  <c r="EI95" i="1"/>
  <c r="EJ95" i="1"/>
  <c r="EK95" i="1"/>
  <c r="EL95" i="1"/>
  <c r="EM95" i="1"/>
  <c r="EN95" i="1"/>
  <c r="EP95" i="1"/>
  <c r="EQ95" i="1"/>
  <c r="ER95" i="1"/>
  <c r="ES95" i="1"/>
  <c r="ET95" i="1"/>
  <c r="EU95" i="1"/>
  <c r="EW95" i="1"/>
  <c r="EX95" i="1"/>
  <c r="EY95" i="1"/>
  <c r="EZ95" i="1"/>
  <c r="FA95" i="1"/>
  <c r="FB95" i="1"/>
  <c r="FD95" i="1"/>
  <c r="FE95" i="1"/>
  <c r="FF95" i="1"/>
  <c r="FG95" i="1"/>
  <c r="FH95" i="1"/>
  <c r="FI95" i="1"/>
  <c r="FK95" i="1"/>
  <c r="FL95" i="1"/>
  <c r="FM95" i="1"/>
  <c r="FN95" i="1"/>
  <c r="FO95" i="1"/>
  <c r="FP95" i="1"/>
  <c r="FR95" i="1"/>
  <c r="FS95" i="1"/>
  <c r="FT95" i="1"/>
  <c r="FU95" i="1"/>
  <c r="FV95" i="1"/>
  <c r="FW95" i="1"/>
  <c r="FY95" i="1"/>
  <c r="FZ95" i="1"/>
  <c r="GA95" i="1"/>
  <c r="GB95" i="1"/>
  <c r="GC95" i="1"/>
  <c r="GD95" i="1"/>
  <c r="GF95" i="1"/>
  <c r="GG95" i="1"/>
  <c r="GH95" i="1"/>
  <c r="GI95" i="1"/>
  <c r="GJ95" i="1"/>
  <c r="GK95" i="1"/>
  <c r="GM95" i="1"/>
  <c r="GN95" i="1"/>
  <c r="GO95" i="1"/>
  <c r="GP95" i="1"/>
  <c r="GQ95" i="1"/>
  <c r="GR95" i="1"/>
  <c r="GT95" i="1"/>
  <c r="GU95" i="1"/>
  <c r="GV95" i="1"/>
  <c r="GW95" i="1"/>
  <c r="GX95" i="1"/>
  <c r="GY95" i="1"/>
  <c r="HA95" i="1"/>
  <c r="HB95" i="1"/>
  <c r="HC95" i="1"/>
  <c r="HD95" i="1"/>
  <c r="HE95" i="1"/>
  <c r="HF95" i="1"/>
  <c r="HH95" i="1"/>
  <c r="HI95" i="1"/>
  <c r="HJ95" i="1"/>
  <c r="HK95" i="1"/>
  <c r="HL95" i="1"/>
  <c r="HM95" i="1"/>
  <c r="HO95" i="1"/>
  <c r="HP95" i="1"/>
  <c r="HQ95" i="1"/>
  <c r="HR95" i="1"/>
  <c r="HS95" i="1"/>
  <c r="HT95" i="1"/>
  <c r="HV95" i="1"/>
  <c r="HW95" i="1"/>
  <c r="HX95" i="1"/>
  <c r="HY95" i="1"/>
  <c r="HZ95" i="1"/>
  <c r="IA95" i="1"/>
  <c r="IC95" i="1"/>
  <c r="ID95" i="1"/>
  <c r="IE95" i="1"/>
  <c r="IF95" i="1"/>
  <c r="IG95" i="1"/>
  <c r="IH95" i="1"/>
  <c r="IK95" i="1"/>
  <c r="IL95" i="1"/>
  <c r="IM95" i="1"/>
  <c r="IN95" i="1"/>
  <c r="IO95" i="1"/>
  <c r="IR95" i="1"/>
  <c r="IS95" i="1"/>
  <c r="IT95" i="1"/>
  <c r="IU95" i="1"/>
  <c r="IV95" i="1"/>
  <c r="IY95" i="1"/>
  <c r="IZ95" i="1"/>
  <c r="JA95" i="1"/>
  <c r="JB95" i="1"/>
  <c r="JC95" i="1"/>
  <c r="JF95" i="1"/>
  <c r="JG95" i="1"/>
  <c r="JH95" i="1"/>
  <c r="JI95" i="1"/>
  <c r="JJ95" i="1"/>
  <c r="JM95" i="1"/>
  <c r="JN95" i="1"/>
  <c r="JO95" i="1"/>
  <c r="JP95" i="1"/>
  <c r="JQ95" i="1"/>
  <c r="JT95" i="1"/>
  <c r="JU95" i="1"/>
  <c r="JV95" i="1"/>
  <c r="JW95" i="1"/>
  <c r="JX95" i="1"/>
  <c r="KA95" i="1"/>
  <c r="KB95" i="1"/>
  <c r="KC95" i="1"/>
  <c r="KD95" i="1"/>
  <c r="KE95" i="1"/>
  <c r="KH95" i="1"/>
  <c r="KI95" i="1"/>
  <c r="KJ95" i="1"/>
  <c r="KK95" i="1"/>
  <c r="KL95" i="1"/>
  <c r="KO95" i="1"/>
  <c r="KP95" i="1"/>
  <c r="KQ95" i="1"/>
  <c r="KR95" i="1"/>
  <c r="KS95" i="1"/>
  <c r="KV95" i="1"/>
  <c r="KW95" i="1"/>
  <c r="KX95" i="1"/>
  <c r="KY95" i="1"/>
  <c r="KZ95" i="1"/>
  <c r="LC95" i="1"/>
  <c r="LD95" i="1"/>
  <c r="BQ96" i="1"/>
  <c r="BX96" i="1"/>
  <c r="CE96" i="1"/>
  <c r="CL96" i="1"/>
  <c r="CS96" i="1"/>
  <c r="CZ96" i="1"/>
  <c r="DG96" i="1"/>
  <c r="DN96" i="1"/>
  <c r="DU96" i="1"/>
  <c r="EB96" i="1"/>
  <c r="EI96" i="1"/>
  <c r="EP96" i="1"/>
  <c r="EW96" i="1"/>
  <c r="FD96" i="1"/>
  <c r="FK96" i="1"/>
  <c r="FR96" i="1"/>
  <c r="FY96" i="1"/>
  <c r="GF96" i="1"/>
  <c r="GM96" i="1"/>
  <c r="GT96" i="1"/>
  <c r="HA96" i="1"/>
  <c r="HH96" i="1"/>
  <c r="HO96" i="1"/>
  <c r="HV96" i="1"/>
  <c r="IC96" i="1"/>
  <c r="BQ98" i="1"/>
  <c r="BX98" i="1"/>
  <c r="CE98" i="1"/>
  <c r="CL98" i="1"/>
  <c r="CS98" i="1"/>
  <c r="CZ98" i="1"/>
  <c r="DG98" i="1"/>
  <c r="DN98" i="1"/>
  <c r="DU98" i="1"/>
  <c r="EB98" i="1"/>
  <c r="EI98" i="1"/>
  <c r="EP98" i="1"/>
  <c r="EW98" i="1"/>
  <c r="FD98" i="1"/>
  <c r="FK98" i="1"/>
  <c r="FR98" i="1"/>
  <c r="FY98" i="1"/>
  <c r="GF98" i="1"/>
  <c r="GM98" i="1"/>
  <c r="GT98" i="1"/>
  <c r="HA98" i="1"/>
  <c r="HH98" i="1"/>
  <c r="HO98" i="1"/>
  <c r="IC98" i="1"/>
  <c r="GP86" i="5" l="1"/>
  <c r="ID80" i="1"/>
  <c r="KZ94" i="1"/>
  <c r="KZ96" i="1" s="1"/>
  <c r="JG80" i="1"/>
  <c r="GQ85" i="5"/>
  <c r="GQ86" i="5" s="1"/>
  <c r="LY9" i="29"/>
  <c r="KD94" i="1"/>
  <c r="KD96" i="1" s="1"/>
  <c r="JN94" i="1"/>
  <c r="JN96" i="1" s="1"/>
  <c r="IV94" i="1"/>
  <c r="IV96" i="1" s="1"/>
  <c r="IF94" i="1"/>
  <c r="IF96" i="1" s="1"/>
  <c r="HR94" i="1"/>
  <c r="HR96" i="1" s="1"/>
  <c r="HD94" i="1"/>
  <c r="HD96" i="1" s="1"/>
  <c r="GP94" i="1"/>
  <c r="GP96" i="1" s="1"/>
  <c r="GB94" i="1"/>
  <c r="GB96" i="1" s="1"/>
  <c r="FN94" i="1"/>
  <c r="FN96" i="1" s="1"/>
  <c r="EZ94" i="1"/>
  <c r="EZ96" i="1" s="1"/>
  <c r="JF80" i="1"/>
  <c r="LZ29" i="1"/>
  <c r="LD94" i="1"/>
  <c r="LD96" i="1" s="1"/>
  <c r="JQ94" i="1"/>
  <c r="JQ96" i="1" s="1"/>
  <c r="JA94" i="1"/>
  <c r="JA96" i="1" s="1"/>
  <c r="IK94" i="1"/>
  <c r="IK96" i="1" s="1"/>
  <c r="KA94" i="1"/>
  <c r="KA96" i="1" s="1"/>
  <c r="JI94" i="1"/>
  <c r="JI96" i="1" s="1"/>
  <c r="KR80" i="1"/>
  <c r="JW80" i="1"/>
  <c r="GQ10" i="5"/>
  <c r="EL94" i="1"/>
  <c r="EL96" i="1" s="1"/>
  <c r="KD80" i="1"/>
  <c r="JI80" i="1"/>
  <c r="JH80" i="1"/>
  <c r="JT94" i="1"/>
  <c r="JT96" i="1" s="1"/>
  <c r="JB94" i="1"/>
  <c r="JB96" i="1" s="1"/>
  <c r="IL94" i="1"/>
  <c r="IL96" i="1" s="1"/>
  <c r="HW94" i="1"/>
  <c r="HW96" i="1" s="1"/>
  <c r="HI94" i="1"/>
  <c r="HI96" i="1" s="1"/>
  <c r="GU94" i="1"/>
  <c r="GU96" i="1" s="1"/>
  <c r="GG94" i="1"/>
  <c r="GG96" i="1" s="1"/>
  <c r="FS94" i="1"/>
  <c r="FS96" i="1" s="1"/>
  <c r="FE94" i="1"/>
  <c r="FE96" i="1" s="1"/>
  <c r="EQ94" i="1"/>
  <c r="EQ96" i="1" s="1"/>
  <c r="EC94" i="1"/>
  <c r="EC96" i="1" s="1"/>
  <c r="KV94" i="1"/>
  <c r="KV96" i="1" s="1"/>
  <c r="KP94" i="1"/>
  <c r="KP96" i="1" s="1"/>
  <c r="JX94" i="1"/>
  <c r="JX96" i="1" s="1"/>
  <c r="JH94" i="1"/>
  <c r="JH96" i="1" s="1"/>
  <c r="IR94" i="1"/>
  <c r="IR96" i="1" s="1"/>
  <c r="DR94" i="1"/>
  <c r="DR96" i="1" s="1"/>
  <c r="JW94" i="1"/>
  <c r="JW96" i="1" s="1"/>
  <c r="JG94" i="1"/>
  <c r="JG96" i="1" s="1"/>
  <c r="IO94" i="1"/>
  <c r="IO96" i="1" s="1"/>
  <c r="HZ94" i="1"/>
  <c r="HZ96" i="1" s="1"/>
  <c r="HL94" i="1"/>
  <c r="HL96" i="1" s="1"/>
  <c r="GX94" i="1"/>
  <c r="GX96" i="1" s="1"/>
  <c r="GJ94" i="1"/>
  <c r="GJ96" i="1" s="1"/>
  <c r="FV94" i="1"/>
  <c r="FV96" i="1" s="1"/>
  <c r="FH94" i="1"/>
  <c r="FH96" i="1" s="1"/>
  <c r="ET94" i="1"/>
  <c r="ET96" i="1" s="1"/>
  <c r="EF94" i="1"/>
  <c r="EF96" i="1" s="1"/>
  <c r="KC94" i="1"/>
  <c r="KC96" i="1" s="1"/>
  <c r="JM94" i="1"/>
  <c r="JM96" i="1" s="1"/>
  <c r="IU94" i="1"/>
  <c r="IU96" i="1" s="1"/>
  <c r="IE94" i="1"/>
  <c r="IE96" i="1" s="1"/>
  <c r="HQ94" i="1"/>
  <c r="HQ96" i="1" s="1"/>
  <c r="GO94" i="1"/>
  <c r="GO96" i="1" s="1"/>
  <c r="GA94" i="1"/>
  <c r="GA96" i="1" s="1"/>
  <c r="EY94" i="1"/>
  <c r="EY96" i="1" s="1"/>
  <c r="EK94" i="1"/>
  <c r="EK96" i="1" s="1"/>
  <c r="DV94" i="1"/>
  <c r="DV96" i="1" s="1"/>
  <c r="KB94" i="1"/>
  <c r="KB96" i="1" s="1"/>
  <c r="JJ94" i="1"/>
  <c r="JJ96" i="1" s="1"/>
  <c r="IT94" i="1"/>
  <c r="IT96" i="1" s="1"/>
  <c r="ID94" i="1"/>
  <c r="ID96" i="1" s="1"/>
  <c r="HP94" i="1"/>
  <c r="HP96" i="1" s="1"/>
  <c r="HB94" i="1"/>
  <c r="HB96" i="1" s="1"/>
  <c r="GN94" i="1"/>
  <c r="GN96" i="1" s="1"/>
  <c r="FZ94" i="1"/>
  <c r="FZ96" i="1" s="1"/>
  <c r="FL94" i="1"/>
  <c r="FL96" i="1" s="1"/>
  <c r="EX94" i="1"/>
  <c r="EX96" i="1" s="1"/>
  <c r="EJ94" i="1"/>
  <c r="EJ96" i="1" s="1"/>
  <c r="LC94" i="1"/>
  <c r="LC96" i="1" s="1"/>
  <c r="JU80" i="1"/>
  <c r="KX94" i="1"/>
  <c r="KX96" i="1" s="1"/>
  <c r="KW94" i="1"/>
  <c r="KW96" i="1" s="1"/>
  <c r="IR80" i="1"/>
  <c r="IN80" i="1"/>
  <c r="IV79" i="1"/>
  <c r="KQ94" i="1"/>
  <c r="KQ96" i="1" s="1"/>
  <c r="KO94" i="1"/>
  <c r="KO96" i="1" s="1"/>
  <c r="JV80" i="1"/>
  <c r="JU94" i="1"/>
  <c r="JU96" i="1" s="1"/>
  <c r="JC94" i="1"/>
  <c r="JC96" i="1" s="1"/>
  <c r="IM94" i="1"/>
  <c r="IM96" i="1" s="1"/>
  <c r="HX94" i="1"/>
  <c r="HX96" i="1" s="1"/>
  <c r="HJ94" i="1"/>
  <c r="HJ96" i="1" s="1"/>
  <c r="GV94" i="1"/>
  <c r="GV96" i="1" s="1"/>
  <c r="GH94" i="1"/>
  <c r="GH96" i="1" s="1"/>
  <c r="FT94" i="1"/>
  <c r="FT96" i="1" s="1"/>
  <c r="FF94" i="1"/>
  <c r="FF96" i="1" s="1"/>
  <c r="ER94" i="1"/>
  <c r="ER96" i="1" s="1"/>
  <c r="ED94" i="1"/>
  <c r="ED96" i="1" s="1"/>
  <c r="IH79" i="1"/>
  <c r="KS94" i="1"/>
  <c r="KS96" i="1" s="1"/>
  <c r="JV94" i="1"/>
  <c r="JV96" i="1" s="1"/>
  <c r="JF94" i="1"/>
  <c r="JF96" i="1" s="1"/>
  <c r="IN94" i="1"/>
  <c r="IN96" i="1" s="1"/>
  <c r="HY94" i="1"/>
  <c r="HY96" i="1" s="1"/>
  <c r="HK94" i="1"/>
  <c r="HK96" i="1" s="1"/>
  <c r="GW94" i="1"/>
  <c r="GW96" i="1" s="1"/>
  <c r="GI94" i="1"/>
  <c r="GI96" i="1" s="1"/>
  <c r="FU94" i="1"/>
  <c r="FU96" i="1" s="1"/>
  <c r="FG94" i="1"/>
  <c r="FG96" i="1" s="1"/>
  <c r="ES94" i="1"/>
  <c r="ES96" i="1" s="1"/>
  <c r="EE94" i="1"/>
  <c r="EE96" i="1" s="1"/>
  <c r="KX80" i="1"/>
  <c r="IG80" i="1"/>
  <c r="KH94" i="1"/>
  <c r="KH96" i="1" s="1"/>
  <c r="JP94" i="1"/>
  <c r="JP96" i="1" s="1"/>
  <c r="IZ94" i="1"/>
  <c r="IZ96" i="1" s="1"/>
  <c r="IH94" i="1"/>
  <c r="IH96" i="1" s="1"/>
  <c r="HT94" i="1"/>
  <c r="HT96" i="1" s="1"/>
  <c r="HF94" i="1"/>
  <c r="HF96" i="1" s="1"/>
  <c r="GR94" i="1"/>
  <c r="GR96" i="1" s="1"/>
  <c r="GD94" i="1"/>
  <c r="GD96" i="1" s="1"/>
  <c r="FP94" i="1"/>
  <c r="FP96" i="1" s="1"/>
  <c r="FB94" i="1"/>
  <c r="FB96" i="1" s="1"/>
  <c r="EN94" i="1"/>
  <c r="EN96" i="1" s="1"/>
  <c r="DZ94" i="1"/>
  <c r="DZ96" i="1" s="1"/>
  <c r="KE94" i="1"/>
  <c r="KE96" i="1" s="1"/>
  <c r="JO94" i="1"/>
  <c r="JO96" i="1" s="1"/>
  <c r="IY94" i="1"/>
  <c r="IY96" i="1" s="1"/>
  <c r="IG94" i="1"/>
  <c r="IG96" i="1" s="1"/>
  <c r="HS94" i="1"/>
  <c r="HS96" i="1" s="1"/>
  <c r="HE94" i="1"/>
  <c r="HE96" i="1" s="1"/>
  <c r="GQ94" i="1"/>
  <c r="GQ96" i="1" s="1"/>
  <c r="GC94" i="1"/>
  <c r="GC96" i="1" s="1"/>
  <c r="FO94" i="1"/>
  <c r="FO96" i="1" s="1"/>
  <c r="FA94" i="1"/>
  <c r="FA96" i="1" s="1"/>
  <c r="EM94" i="1"/>
  <c r="EM96" i="1" s="1"/>
  <c r="DY94" i="1"/>
  <c r="DY96" i="1" s="1"/>
  <c r="IE80" i="1"/>
  <c r="JX79" i="1"/>
  <c r="KY80" i="1"/>
  <c r="KI80" i="1"/>
  <c r="JA80" i="1"/>
  <c r="KL79" i="1"/>
  <c r="JP80" i="1"/>
  <c r="KW80" i="1"/>
  <c r="JO80" i="1"/>
  <c r="IF80" i="1"/>
  <c r="KZ79" i="1"/>
  <c r="KC80" i="1"/>
  <c r="IU80" i="1"/>
  <c r="IT80" i="1"/>
  <c r="DS94" i="1"/>
  <c r="DS96" i="1" s="1"/>
  <c r="KQ80" i="1"/>
  <c r="IS80" i="1"/>
  <c r="IA94" i="1"/>
  <c r="IA96" i="1" s="1"/>
  <c r="HM94" i="1"/>
  <c r="HM96" i="1" s="1"/>
  <c r="GY94" i="1"/>
  <c r="GY96" i="1" s="1"/>
  <c r="GK94" i="1"/>
  <c r="GK96" i="1" s="1"/>
  <c r="FW94" i="1"/>
  <c r="FW96" i="1" s="1"/>
  <c r="FI94" i="1"/>
  <c r="FI96" i="1" s="1"/>
  <c r="EU94" i="1"/>
  <c r="EU96" i="1" s="1"/>
  <c r="EG94" i="1"/>
  <c r="EG96" i="1" s="1"/>
  <c r="HC94" i="1"/>
  <c r="HC96" i="1" s="1"/>
  <c r="FM94" i="1"/>
  <c r="FM96" i="1" s="1"/>
  <c r="DW94" i="1"/>
  <c r="DW96" i="1" s="1"/>
  <c r="JJ79" i="1"/>
  <c r="KK80" i="1"/>
  <c r="IM80" i="1"/>
  <c r="IS94" i="1"/>
  <c r="IS96" i="1" s="1"/>
  <c r="KJ80" i="1"/>
  <c r="KH80" i="1"/>
  <c r="JB80" i="1"/>
  <c r="JT80" i="1"/>
  <c r="KV80" i="1"/>
  <c r="KO80" i="1"/>
  <c r="KS78" i="1"/>
  <c r="IO79" i="1"/>
  <c r="IL80" i="1"/>
  <c r="LC80" i="1"/>
  <c r="LG78" i="1"/>
  <c r="JC79" i="1"/>
  <c r="IZ80" i="1"/>
  <c r="IK80" i="1"/>
  <c r="IO78" i="1"/>
  <c r="JQ79" i="1"/>
  <c r="JN80" i="1"/>
  <c r="IY80" i="1"/>
  <c r="JC78" i="1"/>
  <c r="KE79" i="1"/>
  <c r="KB80" i="1"/>
  <c r="JM80" i="1"/>
  <c r="JQ78" i="1"/>
  <c r="KS79" i="1"/>
  <c r="KP80" i="1"/>
  <c r="LD80" i="1"/>
  <c r="KA80" i="1"/>
  <c r="KE78" i="1"/>
  <c r="GR85" i="5" l="1"/>
  <c r="MC9" i="29"/>
  <c r="MA29" i="1"/>
  <c r="GR10" i="5"/>
  <c r="LZ9" i="29"/>
  <c r="JJ80" i="1"/>
  <c r="GS10" i="5"/>
  <c r="Y10" i="5" s="1"/>
  <c r="GR88" i="5"/>
  <c r="GR86" i="5"/>
  <c r="GS86" i="5" s="1"/>
  <c r="Y86" i="5" s="1"/>
  <c r="JX80" i="1"/>
  <c r="KL80" i="1"/>
  <c r="IH80" i="1"/>
  <c r="IV80" i="1"/>
  <c r="KZ80" i="1"/>
  <c r="LG80" i="1"/>
  <c r="KE80" i="1"/>
  <c r="JC80" i="1"/>
  <c r="KS80" i="1"/>
  <c r="IO80" i="1"/>
  <c r="JQ80" i="1"/>
  <c r="MD9" i="29" l="1"/>
  <c r="GV85" i="5"/>
  <c r="GV10" i="5"/>
  <c r="ME29" i="1"/>
  <c r="IL77" i="4"/>
  <c r="GS85" i="5"/>
  <c r="Y85" i="5" s="1"/>
  <c r="MB29" i="1"/>
  <c r="AZ29" i="1" s="1"/>
  <c r="AZ9" i="29" s="1"/>
  <c r="IM77" i="4"/>
  <c r="AE77" i="4" s="1"/>
  <c r="KY46" i="1"/>
  <c r="KY27" i="1"/>
  <c r="GS88" i="5" l="1"/>
  <c r="Y88" i="5" s="1"/>
  <c r="GV88" i="5"/>
  <c r="GV86" i="5"/>
  <c r="ME9" i="29"/>
  <c r="GW85" i="5"/>
  <c r="GW88" i="5" s="1"/>
  <c r="GW10" i="5"/>
  <c r="MF29" i="1"/>
  <c r="IP77" i="4"/>
  <c r="FU115" i="5"/>
  <c r="FU112" i="5"/>
  <c r="FU105" i="5"/>
  <c r="FU102" i="5"/>
  <c r="FU98" i="5"/>
  <c r="FU17" i="5"/>
  <c r="FU18" i="5"/>
  <c r="FU24" i="5"/>
  <c r="FU23" i="5"/>
  <c r="FU22" i="5"/>
  <c r="FU21" i="5"/>
  <c r="FU20" i="5"/>
  <c r="FU19" i="5"/>
  <c r="FU16" i="5"/>
  <c r="FU15" i="5"/>
  <c r="FU14" i="5"/>
  <c r="HO56" i="4"/>
  <c r="HO120" i="4" s="1"/>
  <c r="HO32" i="4"/>
  <c r="HO19" i="4"/>
  <c r="HO11" i="4"/>
  <c r="KX46" i="1"/>
  <c r="KV28" i="1"/>
  <c r="KV27" i="1"/>
  <c r="IQ77" i="4" l="1"/>
  <c r="GW86" i="5"/>
  <c r="MG29" i="1"/>
  <c r="GX85" i="5"/>
  <c r="GX10" i="5"/>
  <c r="MF9" i="29"/>
  <c r="FV20" i="5"/>
  <c r="FW20" i="5" s="1"/>
  <c r="FV15" i="5"/>
  <c r="FW15" i="5" s="1"/>
  <c r="FV21" i="5"/>
  <c r="FW21" i="5" s="1"/>
  <c r="FV18" i="5"/>
  <c r="FW18" i="5" s="1"/>
  <c r="FV14" i="5"/>
  <c r="FW14" i="5" s="1"/>
  <c r="FV22" i="5"/>
  <c r="FW22" i="5" s="1"/>
  <c r="FV17" i="5"/>
  <c r="FW17" i="5" s="1"/>
  <c r="FV24" i="5"/>
  <c r="FW24" i="5" s="1"/>
  <c r="FV16" i="5"/>
  <c r="FW16" i="5" s="1"/>
  <c r="FV19" i="5"/>
  <c r="FW19" i="5" s="1"/>
  <c r="FV23" i="5"/>
  <c r="FW23" i="5" s="1"/>
  <c r="HO118" i="4"/>
  <c r="HO119" i="4"/>
  <c r="FU141" i="5"/>
  <c r="FV142" i="5" s="1"/>
  <c r="FU138" i="5"/>
  <c r="KV46" i="1"/>
  <c r="LC46" i="1"/>
  <c r="KW46" i="1"/>
  <c r="LA8" i="29"/>
  <c r="LA7" i="29"/>
  <c r="FU57" i="5"/>
  <c r="FU56" i="5"/>
  <c r="FV56" i="5" s="1"/>
  <c r="FU55" i="5"/>
  <c r="FU54" i="5"/>
  <c r="FU53" i="5"/>
  <c r="FU52" i="5"/>
  <c r="FV52" i="5" s="1"/>
  <c r="FU51" i="5"/>
  <c r="FU38" i="5"/>
  <c r="FU45" i="5"/>
  <c r="FU44" i="5"/>
  <c r="FU43" i="5"/>
  <c r="FU42" i="5"/>
  <c r="FU41" i="5"/>
  <c r="FU40" i="5"/>
  <c r="FU39" i="5"/>
  <c r="FU37" i="5"/>
  <c r="FU11" i="5"/>
  <c r="FU10" i="5"/>
  <c r="FU9" i="5"/>
  <c r="KW29" i="1"/>
  <c r="KW28" i="1"/>
  <c r="KW27" i="1"/>
  <c r="LB312" i="30"/>
  <c r="LB323" i="30" s="1"/>
  <c r="LB311" i="30"/>
  <c r="LB322" i="30" s="1"/>
  <c r="LB305" i="30"/>
  <c r="LB307" i="30" s="1"/>
  <c r="LB137" i="29"/>
  <c r="LB133" i="29"/>
  <c r="LI134" i="29" s="1"/>
  <c r="LB130" i="29"/>
  <c r="LB91" i="29"/>
  <c r="LB82" i="29"/>
  <c r="LB86" i="29"/>
  <c r="LB294" i="30"/>
  <c r="LB293" i="30"/>
  <c r="LB289" i="30"/>
  <c r="LB263" i="30"/>
  <c r="LI264" i="30" s="1"/>
  <c r="LB260" i="30"/>
  <c r="LI261" i="30" s="1"/>
  <c r="LB253" i="30"/>
  <c r="LI254" i="30" s="1"/>
  <c r="LB250" i="30"/>
  <c r="LI251" i="30" s="1"/>
  <c r="LB240" i="30"/>
  <c r="LI241" i="30" s="1"/>
  <c r="LB233" i="30"/>
  <c r="LI234" i="30" s="1"/>
  <c r="LB230" i="30"/>
  <c r="LI231" i="30" s="1"/>
  <c r="LB223" i="30"/>
  <c r="LI224" i="30" s="1"/>
  <c r="LB220" i="30"/>
  <c r="LI221" i="30" s="1"/>
  <c r="LB213" i="30"/>
  <c r="LI214" i="30" s="1"/>
  <c r="LB210" i="30"/>
  <c r="LI211" i="30" s="1"/>
  <c r="LB203" i="30"/>
  <c r="LI204" i="30" s="1"/>
  <c r="LB200" i="30"/>
  <c r="LI201" i="30" s="1"/>
  <c r="LB193" i="30"/>
  <c r="LI194" i="30" s="1"/>
  <c r="LB190" i="30"/>
  <c r="LI191" i="30" s="1"/>
  <c r="LB183" i="30"/>
  <c r="LI184" i="30" s="1"/>
  <c r="LB180" i="30"/>
  <c r="LI181" i="30" s="1"/>
  <c r="LB173" i="30"/>
  <c r="LI174" i="30" s="1"/>
  <c r="LB170" i="30"/>
  <c r="LI171" i="30" s="1"/>
  <c r="LB105" i="30"/>
  <c r="LB106" i="30"/>
  <c r="LB95" i="30"/>
  <c r="LB96" i="30"/>
  <c r="LB97" i="30"/>
  <c r="LB98" i="30"/>
  <c r="LB99" i="30"/>
  <c r="LB100" i="30"/>
  <c r="LB101" i="30"/>
  <c r="LB58" i="30"/>
  <c r="LB57" i="30"/>
  <c r="LD46" i="1"/>
  <c r="MG9" i="29" l="1"/>
  <c r="GY85" i="5"/>
  <c r="GY10" i="5"/>
  <c r="MH29" i="1"/>
  <c r="GY86" i="5"/>
  <c r="GZ86" i="5" s="1"/>
  <c r="Z86" i="5" s="1"/>
  <c r="GY88" i="5"/>
  <c r="GX88" i="5"/>
  <c r="GX86" i="5"/>
  <c r="IR77" i="4"/>
  <c r="LP180" i="30"/>
  <c r="LL180" i="30"/>
  <c r="LP190" i="30"/>
  <c r="LL190" i="30"/>
  <c r="HQ95" i="4"/>
  <c r="FV42" i="5"/>
  <c r="FW42" i="5" s="1"/>
  <c r="FV38" i="5"/>
  <c r="FW38" i="5" s="1"/>
  <c r="FV54" i="5"/>
  <c r="FV41" i="5"/>
  <c r="FW41" i="5" s="1"/>
  <c r="FV53" i="5"/>
  <c r="FW53" i="5" s="1"/>
  <c r="FV9" i="5"/>
  <c r="FW9" i="5" s="1"/>
  <c r="FV39" i="5"/>
  <c r="FV51" i="5"/>
  <c r="FW51" i="5" s="1"/>
  <c r="FW13" i="5"/>
  <c r="FV45" i="5"/>
  <c r="FW45" i="5" s="1"/>
  <c r="FV40" i="5"/>
  <c r="FW40" i="5" s="1"/>
  <c r="FV44" i="5"/>
  <c r="LB297" i="30"/>
  <c r="HP95" i="4"/>
  <c r="FU133" i="5"/>
  <c r="FV43" i="5"/>
  <c r="FV133" i="5" s="1"/>
  <c r="LD98" i="1"/>
  <c r="FV55" i="5"/>
  <c r="FV149" i="5" s="1"/>
  <c r="FU85" i="5"/>
  <c r="FV10" i="5"/>
  <c r="FV85" i="5" s="1"/>
  <c r="FU152" i="5"/>
  <c r="FV57" i="5"/>
  <c r="FV152" i="5" s="1"/>
  <c r="FU122" i="5"/>
  <c r="FV37" i="5"/>
  <c r="FV122" i="5" s="1"/>
  <c r="FU92" i="5"/>
  <c r="FV11" i="5"/>
  <c r="FV92" i="5" s="1"/>
  <c r="FV145" i="5"/>
  <c r="FV139" i="5"/>
  <c r="LB176" i="30"/>
  <c r="LI177" i="30" s="1"/>
  <c r="LB206" i="30"/>
  <c r="LI207" i="30" s="1"/>
  <c r="LB186" i="30"/>
  <c r="LI187" i="30" s="1"/>
  <c r="FU149" i="5"/>
  <c r="FU130" i="5"/>
  <c r="FU127" i="5"/>
  <c r="LB236" i="30"/>
  <c r="LI237" i="30" s="1"/>
  <c r="LB216" i="30"/>
  <c r="LI217" i="30" s="1"/>
  <c r="LB266" i="30"/>
  <c r="LI267" i="30" s="1"/>
  <c r="LB290" i="30"/>
  <c r="LB270" i="30"/>
  <c r="LI271" i="30" s="1"/>
  <c r="LB256" i="30"/>
  <c r="LI257" i="30" s="1"/>
  <c r="LB226" i="30"/>
  <c r="LI227" i="30" s="1"/>
  <c r="LB196" i="30"/>
  <c r="LI197" i="30" s="1"/>
  <c r="MI29" i="1" l="1"/>
  <c r="BA29" i="1" s="1"/>
  <c r="BA9" i="29" s="1"/>
  <c r="GZ85" i="5"/>
  <c r="IS77" i="4"/>
  <c r="GZ10" i="5"/>
  <c r="GZ88" i="5"/>
  <c r="Z88" i="5" s="1"/>
  <c r="Z85" i="5"/>
  <c r="LQ189" i="30"/>
  <c r="LP189" i="30"/>
  <c r="LQ179" i="30"/>
  <c r="LP179" i="30"/>
  <c r="FV130" i="5"/>
  <c r="FW44" i="5"/>
  <c r="FW130" i="5" s="1"/>
  <c r="FV127" i="5"/>
  <c r="FW39" i="5"/>
  <c r="FW127" i="5" s="1"/>
  <c r="FW10" i="5"/>
  <c r="FW85" i="5" s="1"/>
  <c r="FW43" i="5"/>
  <c r="FW133" i="5" s="1"/>
  <c r="FW134" i="5" s="1"/>
  <c r="FX134" i="5" s="1"/>
  <c r="FW11" i="5"/>
  <c r="FW92" i="5" s="1"/>
  <c r="FW37" i="5"/>
  <c r="FW122" i="5" s="1"/>
  <c r="FU134" i="5"/>
  <c r="FW55" i="5"/>
  <c r="FW54" i="5"/>
  <c r="FW174" i="5" s="1"/>
  <c r="FV134" i="5"/>
  <c r="FW57" i="5"/>
  <c r="FV146" i="5"/>
  <c r="FV144" i="5"/>
  <c r="GA88" i="5" l="1"/>
  <c r="GA90" i="5" s="1"/>
  <c r="GC88" i="5"/>
  <c r="GB174" i="5"/>
  <c r="GA93" i="5"/>
  <c r="GC93" i="5"/>
  <c r="IT77" i="4"/>
  <c r="AF77" i="4" s="1"/>
  <c r="Z10" i="5"/>
  <c r="GA123" i="5"/>
  <c r="GA125" i="5" s="1"/>
  <c r="GC123" i="5"/>
  <c r="GB123" i="5"/>
  <c r="GB88" i="5"/>
  <c r="GB93" i="5"/>
  <c r="HQ77" i="4"/>
  <c r="HQ100" i="4"/>
  <c r="LP297" i="30"/>
  <c r="GB125" i="5" l="1"/>
  <c r="GC125" i="5"/>
  <c r="GC90" i="5"/>
  <c r="GB90" i="5"/>
  <c r="LW297" i="30"/>
  <c r="MD297" i="30" s="1"/>
  <c r="LN3" i="29" l="1"/>
  <c r="LN2" i="29"/>
  <c r="LG3" i="29"/>
  <c r="LG2" i="29"/>
  <c r="KZ3" i="29"/>
  <c r="KZ2" i="29"/>
  <c r="KS3" i="29"/>
  <c r="KS2" i="29"/>
  <c r="KL3" i="29"/>
  <c r="KL2" i="29"/>
  <c r="KE3" i="29"/>
  <c r="KE2" i="29"/>
  <c r="JX3" i="29"/>
  <c r="JX2" i="29"/>
  <c r="JQ3" i="29"/>
  <c r="JQ2" i="29"/>
  <c r="JJ3" i="29"/>
  <c r="JJ2" i="29"/>
  <c r="JC3" i="29"/>
  <c r="JC2" i="29"/>
  <c r="IV3" i="29"/>
  <c r="IV2" i="29"/>
  <c r="IO3" i="29"/>
  <c r="IO2" i="29"/>
  <c r="IH3" i="29"/>
  <c r="IH2" i="29"/>
  <c r="IA3" i="29"/>
  <c r="IA2" i="29"/>
  <c r="HT3" i="29"/>
  <c r="HT2" i="29"/>
  <c r="HM3" i="29"/>
  <c r="HM2" i="29"/>
  <c r="HF3" i="29"/>
  <c r="HF2" i="29"/>
  <c r="GY3" i="29"/>
  <c r="GY2" i="29"/>
  <c r="GR3" i="29"/>
  <c r="GR2" i="29"/>
  <c r="GK3" i="29"/>
  <c r="GK2" i="29"/>
  <c r="GD3" i="29"/>
  <c r="GD2" i="29"/>
  <c r="FW3" i="29"/>
  <c r="FW2" i="29"/>
  <c r="FP3" i="29"/>
  <c r="FP2" i="29"/>
  <c r="FI3" i="29"/>
  <c r="FI2" i="29"/>
  <c r="FN3" i="29"/>
  <c r="FB3" i="29"/>
  <c r="FB2" i="29"/>
  <c r="EU3" i="29"/>
  <c r="EU2" i="29"/>
  <c r="EN3" i="29"/>
  <c r="EN2" i="29"/>
  <c r="EG3" i="29"/>
  <c r="EG2" i="29"/>
  <c r="DZ3" i="29"/>
  <c r="DZ2" i="29"/>
  <c r="DS3" i="29"/>
  <c r="DS2" i="29"/>
  <c r="DL3" i="29"/>
  <c r="DL2" i="29"/>
  <c r="DE3" i="29"/>
  <c r="DE2" i="29"/>
  <c r="CX3" i="29"/>
  <c r="CX2" i="29"/>
  <c r="CQ3" i="29"/>
  <c r="CQ2" i="29"/>
  <c r="CJ3" i="29"/>
  <c r="CJ2" i="29"/>
  <c r="CC3" i="29"/>
  <c r="CC2" i="29"/>
  <c r="BV3" i="29"/>
  <c r="BV2" i="29"/>
  <c r="BO3" i="29"/>
  <c r="BO2" i="29"/>
  <c r="LN5" i="30"/>
  <c r="LN4" i="30"/>
  <c r="LG5" i="30"/>
  <c r="LG4" i="30"/>
  <c r="KZ5" i="30"/>
  <c r="KZ4" i="30"/>
  <c r="KS5" i="30"/>
  <c r="KS4" i="30"/>
  <c r="KL5" i="30"/>
  <c r="KL4" i="30"/>
  <c r="KE5" i="30"/>
  <c r="KE4" i="30"/>
  <c r="JX5" i="30"/>
  <c r="JX4" i="30"/>
  <c r="JQ5" i="30"/>
  <c r="JQ4" i="30"/>
  <c r="JJ5" i="30"/>
  <c r="JJ4" i="30"/>
  <c r="JC5" i="30"/>
  <c r="JC4" i="30"/>
  <c r="IV5" i="30"/>
  <c r="IV4" i="30"/>
  <c r="IO5" i="30"/>
  <c r="IO4" i="30"/>
  <c r="IH5" i="30"/>
  <c r="IH4" i="30"/>
  <c r="IA5" i="30"/>
  <c r="IA4" i="30"/>
  <c r="HT5" i="30"/>
  <c r="HT4" i="30"/>
  <c r="HM5" i="30"/>
  <c r="HM4" i="30"/>
  <c r="HF5" i="30"/>
  <c r="HF4" i="30"/>
  <c r="GY5" i="30"/>
  <c r="GY4" i="30"/>
  <c r="GR5" i="30"/>
  <c r="GR4" i="30"/>
  <c r="GK5" i="30"/>
  <c r="GK4" i="30"/>
  <c r="GD5" i="30"/>
  <c r="GD4" i="30"/>
  <c r="FW5" i="30"/>
  <c r="FW4" i="30"/>
  <c r="FP5" i="30"/>
  <c r="FP4" i="30"/>
  <c r="FI5" i="30"/>
  <c r="FI4" i="30"/>
  <c r="FB5" i="30"/>
  <c r="FB4" i="30"/>
  <c r="EU5" i="30"/>
  <c r="EU4" i="30"/>
  <c r="EN5" i="30"/>
  <c r="EN4" i="30"/>
  <c r="EG5" i="30"/>
  <c r="EG4" i="30"/>
  <c r="DZ5" i="30"/>
  <c r="DZ4" i="30"/>
  <c r="DS5" i="30"/>
  <c r="DS4" i="30"/>
  <c r="DL5" i="30"/>
  <c r="DL4" i="30"/>
  <c r="DE5" i="30"/>
  <c r="DE4" i="30"/>
  <c r="CX5" i="30"/>
  <c r="CX4" i="30"/>
  <c r="CQ5" i="30"/>
  <c r="CQ4" i="30"/>
  <c r="CJ5" i="30"/>
  <c r="CJ4" i="30"/>
  <c r="CC5" i="30"/>
  <c r="CC4" i="30"/>
  <c r="BV5" i="30"/>
  <c r="BV4" i="30"/>
  <c r="BO5" i="30"/>
  <c r="BO4" i="30"/>
  <c r="LP18" i="1"/>
  <c r="LP17" i="1"/>
  <c r="LI18" i="1"/>
  <c r="LI17" i="1"/>
  <c r="LB18" i="1"/>
  <c r="LB17" i="1"/>
  <c r="KU18" i="1"/>
  <c r="KU17" i="1"/>
  <c r="KN18" i="1"/>
  <c r="KN17" i="1"/>
  <c r="KG18" i="1"/>
  <c r="KG17" i="1"/>
  <c r="JZ18" i="1"/>
  <c r="JZ17" i="1"/>
  <c r="JS18" i="1"/>
  <c r="JS17" i="1"/>
  <c r="JL18" i="1"/>
  <c r="JL17" i="1"/>
  <c r="JE18" i="1"/>
  <c r="JE17" i="1"/>
  <c r="IX18" i="1"/>
  <c r="IX17" i="1"/>
  <c r="IQ18" i="1"/>
  <c r="IQ17" i="1"/>
  <c r="IJ18" i="1"/>
  <c r="IJ17" i="1"/>
  <c r="IC18" i="1"/>
  <c r="IC17" i="1"/>
  <c r="HV18" i="1"/>
  <c r="HV17" i="1"/>
  <c r="HO18" i="1"/>
  <c r="HO17" i="1"/>
  <c r="HH18" i="1"/>
  <c r="HH17" i="1"/>
  <c r="HA18" i="1"/>
  <c r="HA17" i="1"/>
  <c r="GT18" i="1"/>
  <c r="GT17" i="1"/>
  <c r="GM18" i="1"/>
  <c r="GM17" i="1"/>
  <c r="GF18" i="1"/>
  <c r="GF17" i="1"/>
  <c r="FY18" i="1"/>
  <c r="FY17" i="1"/>
  <c r="FR18" i="1"/>
  <c r="FR17" i="1"/>
  <c r="FK18" i="1"/>
  <c r="FK17" i="1"/>
  <c r="FD18" i="1"/>
  <c r="FD17" i="1"/>
  <c r="EW18" i="1"/>
  <c r="EW17" i="1"/>
  <c r="EP18" i="1"/>
  <c r="EP17" i="1"/>
  <c r="EI18" i="1"/>
  <c r="EI17" i="1"/>
  <c r="EB18" i="1"/>
  <c r="EB17" i="1"/>
  <c r="DU18" i="1"/>
  <c r="DU17" i="1"/>
  <c r="DN18" i="1"/>
  <c r="DN17" i="1"/>
  <c r="DG18" i="1"/>
  <c r="DG17" i="1"/>
  <c r="CZ18" i="1"/>
  <c r="CZ17" i="1"/>
  <c r="CS18" i="1"/>
  <c r="CS17" i="1"/>
  <c r="CL18" i="1"/>
  <c r="CL17" i="1"/>
  <c r="CE18" i="1"/>
  <c r="CE17" i="1"/>
  <c r="BX18" i="1"/>
  <c r="BX17" i="1"/>
  <c r="BQ18" i="1"/>
  <c r="BQ17" i="1"/>
  <c r="FT92" i="5"/>
  <c r="FW93" i="5" s="1"/>
  <c r="FW94" i="5" s="1"/>
  <c r="FT85" i="5"/>
  <c r="FT98" i="5"/>
  <c r="FT102" i="5"/>
  <c r="FT105" i="5"/>
  <c r="FT152" i="5"/>
  <c r="FT149" i="5"/>
  <c r="FT141" i="5"/>
  <c r="FU142" i="5" s="1"/>
  <c r="FT138" i="5"/>
  <c r="FU139" i="5" s="1"/>
  <c r="FT130" i="5"/>
  <c r="FW131" i="5" s="1"/>
  <c r="FX131" i="5" s="1"/>
  <c r="FT127" i="5"/>
  <c r="FW128" i="5" s="1"/>
  <c r="FX128" i="5" s="1"/>
  <c r="FT122" i="5"/>
  <c r="FW123" i="5" s="1"/>
  <c r="FW88" i="5" l="1"/>
  <c r="FW86" i="5"/>
  <c r="FX86" i="5" s="1"/>
  <c r="FW125" i="5"/>
  <c r="FT150" i="5"/>
  <c r="FV150" i="5"/>
  <c r="FU131" i="5"/>
  <c r="FV131" i="5"/>
  <c r="FT153" i="5"/>
  <c r="FV153" i="5"/>
  <c r="FV86" i="5"/>
  <c r="FU128" i="5"/>
  <c r="FV128" i="5"/>
  <c r="FU86" i="5"/>
  <c r="FT86" i="5"/>
  <c r="FT147" i="5"/>
  <c r="HN95" i="4"/>
  <c r="HN92" i="4"/>
  <c r="HN43" i="4"/>
  <c r="HN24" i="4"/>
  <c r="HN19" i="4"/>
  <c r="HN11" i="4"/>
  <c r="HN32" i="4"/>
  <c r="HJ32" i="4"/>
  <c r="HN56" i="4"/>
  <c r="HN120" i="4" s="1"/>
  <c r="FW90" i="5" l="1"/>
  <c r="HN119" i="4"/>
  <c r="HN118" i="4"/>
  <c r="LA312" i="30" l="1"/>
  <c r="LA311" i="30"/>
  <c r="LC33" i="1"/>
  <c r="LC32" i="1"/>
  <c r="LC31" i="1"/>
  <c r="LC30" i="1"/>
  <c r="LA130" i="29" s="1"/>
  <c r="LC29" i="1"/>
  <c r="LC28" i="1"/>
  <c r="LC27" i="1"/>
  <c r="LA88" i="29" s="1"/>
  <c r="LA137" i="29"/>
  <c r="LA133" i="29"/>
  <c r="LH134" i="29" s="1"/>
  <c r="LA115" i="29"/>
  <c r="LA119" i="29"/>
  <c r="LA86" i="29"/>
  <c r="LA85" i="29"/>
  <c r="LA305" i="30"/>
  <c r="LA307" i="30" s="1"/>
  <c r="LA294" i="30"/>
  <c r="LA293" i="30"/>
  <c r="LA289" i="30"/>
  <c r="KY60" i="1"/>
  <c r="KY93" i="1" s="1"/>
  <c r="KY94" i="1" s="1"/>
  <c r="KY96" i="1" s="1"/>
  <c r="LA263" i="30"/>
  <c r="LH264" i="30" s="1"/>
  <c r="LA260" i="30"/>
  <c r="LH261" i="30" s="1"/>
  <c r="LA253" i="30"/>
  <c r="LH254" i="30" s="1"/>
  <c r="LA250" i="30"/>
  <c r="LH251" i="30" s="1"/>
  <c r="LA240" i="30"/>
  <c r="LH241" i="30" s="1"/>
  <c r="LA233" i="30"/>
  <c r="LH234" i="30" s="1"/>
  <c r="LA230" i="30"/>
  <c r="LH231" i="30" s="1"/>
  <c r="LA223" i="30"/>
  <c r="LH224" i="30" s="1"/>
  <c r="LA220" i="30"/>
  <c r="LH221" i="30" s="1"/>
  <c r="LA213" i="30"/>
  <c r="LH214" i="30" s="1"/>
  <c r="LA210" i="30"/>
  <c r="LH211" i="30" s="1"/>
  <c r="LA203" i="30"/>
  <c r="LH204" i="30" s="1"/>
  <c r="LA200" i="30"/>
  <c r="LH201" i="30" s="1"/>
  <c r="LA193" i="30"/>
  <c r="LH194" i="30" s="1"/>
  <c r="LA190" i="30"/>
  <c r="LH191" i="30" s="1"/>
  <c r="LA183" i="30"/>
  <c r="LH184" i="30" s="1"/>
  <c r="LA180" i="30"/>
  <c r="LH181" i="30" s="1"/>
  <c r="LA173" i="30"/>
  <c r="LH174" i="30" s="1"/>
  <c r="LA170" i="30"/>
  <c r="LH171" i="30" s="1"/>
  <c r="LA132" i="30"/>
  <c r="LA131" i="30"/>
  <c r="LA121" i="30"/>
  <c r="LA120" i="30"/>
  <c r="LA119" i="30"/>
  <c r="LA118" i="30"/>
  <c r="LA117" i="30"/>
  <c r="LA116" i="30"/>
  <c r="LA115" i="30"/>
  <c r="LA58" i="30"/>
  <c r="LA57" i="30"/>
  <c r="LA106" i="30"/>
  <c r="LA105" i="30"/>
  <c r="LA100" i="30"/>
  <c r="LA99" i="30"/>
  <c r="LA98" i="30"/>
  <c r="LA97" i="30"/>
  <c r="LA96" i="30"/>
  <c r="LA95" i="30"/>
  <c r="D2" i="29"/>
  <c r="KZ277" i="30"/>
  <c r="KZ276" i="30"/>
  <c r="KZ274" i="30"/>
  <c r="KZ273" i="30"/>
  <c r="KZ271" i="30"/>
  <c r="KZ270" i="30"/>
  <c r="KZ269" i="30"/>
  <c r="KW263" i="30"/>
  <c r="LD264" i="30" s="1"/>
  <c r="KV263" i="30"/>
  <c r="LC264" i="30" s="1"/>
  <c r="KU263" i="30"/>
  <c r="LB264" i="30" s="1"/>
  <c r="KT263" i="30"/>
  <c r="KW260" i="30"/>
  <c r="LD261" i="30" s="1"/>
  <c r="KV260" i="30"/>
  <c r="KU260" i="30"/>
  <c r="LB261" i="30" s="1"/>
  <c r="KT260" i="30"/>
  <c r="KW253" i="30"/>
  <c r="LD254" i="30" s="1"/>
  <c r="KV253" i="30"/>
  <c r="LC254" i="30" s="1"/>
  <c r="KU253" i="30"/>
  <c r="LB254" i="30" s="1"/>
  <c r="KT253" i="30"/>
  <c r="KW250" i="30"/>
  <c r="KV250" i="30"/>
  <c r="LC251" i="30" s="1"/>
  <c r="KU250" i="30"/>
  <c r="LB251" i="30" s="1"/>
  <c r="KT250" i="30"/>
  <c r="KW240" i="30"/>
  <c r="LD241" i="30" s="1"/>
  <c r="KV240" i="30"/>
  <c r="LC241" i="30" s="1"/>
  <c r="KU240" i="30"/>
  <c r="LB241" i="30" s="1"/>
  <c r="KT240" i="30"/>
  <c r="KW233" i="30"/>
  <c r="LD234" i="30" s="1"/>
  <c r="KV233" i="30"/>
  <c r="LC234" i="30" s="1"/>
  <c r="KU233" i="30"/>
  <c r="LB234" i="30" s="1"/>
  <c r="KT233" i="30"/>
  <c r="KW230" i="30"/>
  <c r="LD231" i="30" s="1"/>
  <c r="KV230" i="30"/>
  <c r="LC231" i="30" s="1"/>
  <c r="KU230" i="30"/>
  <c r="LB231" i="30" s="1"/>
  <c r="KT230" i="30"/>
  <c r="KW223" i="30"/>
  <c r="LD224" i="30" s="1"/>
  <c r="KV223" i="30"/>
  <c r="LC224" i="30" s="1"/>
  <c r="KU223" i="30"/>
  <c r="LB224" i="30" s="1"/>
  <c r="KT223" i="30"/>
  <c r="KW220" i="30"/>
  <c r="LD221" i="30" s="1"/>
  <c r="KV220" i="30"/>
  <c r="LC221" i="30" s="1"/>
  <c r="KU220" i="30"/>
  <c r="LB221" i="30" s="1"/>
  <c r="KT220" i="30"/>
  <c r="KW213" i="30"/>
  <c r="LD214" i="30" s="1"/>
  <c r="KV213" i="30"/>
  <c r="LC214" i="30" s="1"/>
  <c r="KU213" i="30"/>
  <c r="LB214" i="30" s="1"/>
  <c r="KT213" i="30"/>
  <c r="KW210" i="30"/>
  <c r="LD211" i="30" s="1"/>
  <c r="KV210" i="30"/>
  <c r="LC211" i="30" s="1"/>
  <c r="KU210" i="30"/>
  <c r="LB211" i="30" s="1"/>
  <c r="KT210" i="30"/>
  <c r="KW203" i="30"/>
  <c r="LD204" i="30" s="1"/>
  <c r="KV203" i="30"/>
  <c r="LC204" i="30" s="1"/>
  <c r="KU203" i="30"/>
  <c r="LB204" i="30" s="1"/>
  <c r="KT203" i="30"/>
  <c r="KW200" i="30"/>
  <c r="LD201" i="30" s="1"/>
  <c r="KV200" i="30"/>
  <c r="KU200" i="30"/>
  <c r="LB201" i="30" s="1"/>
  <c r="KT200" i="30"/>
  <c r="KW193" i="30"/>
  <c r="LD194" i="30" s="1"/>
  <c r="KV193" i="30"/>
  <c r="LC194" i="30" s="1"/>
  <c r="KU193" i="30"/>
  <c r="LB194" i="30" s="1"/>
  <c r="KT193" i="30"/>
  <c r="KW190" i="30"/>
  <c r="LD191" i="30" s="1"/>
  <c r="KV190" i="30"/>
  <c r="LC191" i="30" s="1"/>
  <c r="KU190" i="30"/>
  <c r="LB191" i="30" s="1"/>
  <c r="KT190" i="30"/>
  <c r="KW183" i="30"/>
  <c r="LD184" i="30" s="1"/>
  <c r="KV183" i="30"/>
  <c r="LC184" i="30" s="1"/>
  <c r="KU183" i="30"/>
  <c r="LB184" i="30" s="1"/>
  <c r="KT183" i="30"/>
  <c r="KW180" i="30"/>
  <c r="LD181" i="30" s="1"/>
  <c r="KV180" i="30"/>
  <c r="LC181" i="30" s="1"/>
  <c r="KU180" i="30"/>
  <c r="LB181" i="30" s="1"/>
  <c r="KT180" i="30"/>
  <c r="KW173" i="30"/>
  <c r="LD174" i="30" s="1"/>
  <c r="KV173" i="30"/>
  <c r="LC174" i="30" s="1"/>
  <c r="KU173" i="30"/>
  <c r="LB174" i="30" s="1"/>
  <c r="KT173" i="30"/>
  <c r="KW170" i="30"/>
  <c r="LD171" i="30" s="1"/>
  <c r="KV170" i="30"/>
  <c r="LC171" i="30" s="1"/>
  <c r="KU170" i="30"/>
  <c r="LB171" i="30" s="1"/>
  <c r="KT170" i="30"/>
  <c r="KP263" i="30"/>
  <c r="KO263" i="30"/>
  <c r="KN263" i="30"/>
  <c r="KM263" i="30"/>
  <c r="KP260" i="30"/>
  <c r="KO260" i="30"/>
  <c r="KN260" i="30"/>
  <c r="KM260" i="30"/>
  <c r="KP253" i="30"/>
  <c r="KO253" i="30"/>
  <c r="KN253" i="30"/>
  <c r="KM253" i="30"/>
  <c r="KP250" i="30"/>
  <c r="KO250" i="30"/>
  <c r="KN250" i="30"/>
  <c r="KM250" i="30"/>
  <c r="KP240" i="30"/>
  <c r="KO240" i="30"/>
  <c r="KN240" i="30"/>
  <c r="KM240" i="30"/>
  <c r="KP233" i="30"/>
  <c r="KO233" i="30"/>
  <c r="KN233" i="30"/>
  <c r="KM233" i="30"/>
  <c r="KP230" i="30"/>
  <c r="KO230" i="30"/>
  <c r="KN230" i="30"/>
  <c r="KM230" i="30"/>
  <c r="KP223" i="30"/>
  <c r="KO223" i="30"/>
  <c r="KN223" i="30"/>
  <c r="KM223" i="30"/>
  <c r="KP220" i="30"/>
  <c r="KO220" i="30"/>
  <c r="KN220" i="30"/>
  <c r="KM220" i="30"/>
  <c r="KP213" i="30"/>
  <c r="KO213" i="30"/>
  <c r="KN213" i="30"/>
  <c r="KM213" i="30"/>
  <c r="KP210" i="30"/>
  <c r="KO210" i="30"/>
  <c r="KN210" i="30"/>
  <c r="KM210" i="30"/>
  <c r="KP203" i="30"/>
  <c r="KO203" i="30"/>
  <c r="KN203" i="30"/>
  <c r="KM203" i="30"/>
  <c r="KP200" i="30"/>
  <c r="KO200" i="30"/>
  <c r="KN200" i="30"/>
  <c r="KM200" i="30"/>
  <c r="KP193" i="30"/>
  <c r="KO193" i="30"/>
  <c r="KN193" i="30"/>
  <c r="KM193" i="30"/>
  <c r="KP190" i="30"/>
  <c r="KO190" i="30"/>
  <c r="KN190" i="30"/>
  <c r="KM190" i="30"/>
  <c r="KP183" i="30"/>
  <c r="KO183" i="30"/>
  <c r="KN183" i="30"/>
  <c r="KM183" i="30"/>
  <c r="KP180" i="30"/>
  <c r="KO180" i="30"/>
  <c r="KN180" i="30"/>
  <c r="KM180" i="30"/>
  <c r="KP173" i="30"/>
  <c r="KO173" i="30"/>
  <c r="KN173" i="30"/>
  <c r="KM173" i="30"/>
  <c r="KP170" i="30"/>
  <c r="KO170" i="30"/>
  <c r="KN170" i="30"/>
  <c r="KM170" i="30"/>
  <c r="KI263" i="30"/>
  <c r="KH263" i="30"/>
  <c r="KG263" i="30"/>
  <c r="KF263" i="30"/>
  <c r="KI260" i="30"/>
  <c r="KH260" i="30"/>
  <c r="KG260" i="30"/>
  <c r="KF260" i="30"/>
  <c r="KI253" i="30"/>
  <c r="KH253" i="30"/>
  <c r="KG253" i="30"/>
  <c r="KF253" i="30"/>
  <c r="KI250" i="30"/>
  <c r="KH250" i="30"/>
  <c r="KG250" i="30"/>
  <c r="KF250" i="30"/>
  <c r="KI240" i="30"/>
  <c r="KH240" i="30"/>
  <c r="KG240" i="30"/>
  <c r="KF240" i="30"/>
  <c r="KI233" i="30"/>
  <c r="KH233" i="30"/>
  <c r="KG233" i="30"/>
  <c r="KF233" i="30"/>
  <c r="KI230" i="30"/>
  <c r="KH230" i="30"/>
  <c r="KG230" i="30"/>
  <c r="KF230" i="30"/>
  <c r="KI223" i="30"/>
  <c r="KH223" i="30"/>
  <c r="KG223" i="30"/>
  <c r="KF223" i="30"/>
  <c r="KI220" i="30"/>
  <c r="KH220" i="30"/>
  <c r="KG220" i="30"/>
  <c r="KF220" i="30"/>
  <c r="KI213" i="30"/>
  <c r="KH213" i="30"/>
  <c r="KG213" i="30"/>
  <c r="KF213" i="30"/>
  <c r="KI210" i="30"/>
  <c r="KH210" i="30"/>
  <c r="KG210" i="30"/>
  <c r="KF210" i="30"/>
  <c r="KI203" i="30"/>
  <c r="KH203" i="30"/>
  <c r="KG203" i="30"/>
  <c r="KF203" i="30"/>
  <c r="KI200" i="30"/>
  <c r="KH200" i="30"/>
  <c r="KG200" i="30"/>
  <c r="KF200" i="30"/>
  <c r="KI193" i="30"/>
  <c r="KH193" i="30"/>
  <c r="KG193" i="30"/>
  <c r="KF193" i="30"/>
  <c r="KI190" i="30"/>
  <c r="KH190" i="30"/>
  <c r="KG190" i="30"/>
  <c r="KF190" i="30"/>
  <c r="KI183" i="30"/>
  <c r="KH183" i="30"/>
  <c r="KG183" i="30"/>
  <c r="KF183" i="30"/>
  <c r="KI180" i="30"/>
  <c r="KH180" i="30"/>
  <c r="KG180" i="30"/>
  <c r="KF180" i="30"/>
  <c r="KI173" i="30"/>
  <c r="KH173" i="30"/>
  <c r="KG173" i="30"/>
  <c r="KF173" i="30"/>
  <c r="KI170" i="30"/>
  <c r="KH170" i="30"/>
  <c r="KG170" i="30"/>
  <c r="KF170" i="30"/>
  <c r="KB263" i="30"/>
  <c r="KA263" i="30"/>
  <c r="JZ263" i="30"/>
  <c r="JY263" i="30"/>
  <c r="KB260" i="30"/>
  <c r="KA260" i="30"/>
  <c r="JZ260" i="30"/>
  <c r="JY260" i="30"/>
  <c r="KB253" i="30"/>
  <c r="KA253" i="30"/>
  <c r="JZ253" i="30"/>
  <c r="JY253" i="30"/>
  <c r="KB250" i="30"/>
  <c r="KA250" i="30"/>
  <c r="JZ250" i="30"/>
  <c r="JY250" i="30"/>
  <c r="KB240" i="30"/>
  <c r="KA240" i="30"/>
  <c r="JZ240" i="30"/>
  <c r="JY240" i="30"/>
  <c r="KB233" i="30"/>
  <c r="KA233" i="30"/>
  <c r="JZ233" i="30"/>
  <c r="JY233" i="30"/>
  <c r="KB230" i="30"/>
  <c r="KA230" i="30"/>
  <c r="JZ230" i="30"/>
  <c r="JY230" i="30"/>
  <c r="KB223" i="30"/>
  <c r="KA223" i="30"/>
  <c r="JZ223" i="30"/>
  <c r="JY223" i="30"/>
  <c r="KB220" i="30"/>
  <c r="KA220" i="30"/>
  <c r="JZ220" i="30"/>
  <c r="JY220" i="30"/>
  <c r="KB213" i="30"/>
  <c r="KA213" i="30"/>
  <c r="JZ213" i="30"/>
  <c r="JY213" i="30"/>
  <c r="KB210" i="30"/>
  <c r="KA210" i="30"/>
  <c r="JZ210" i="30"/>
  <c r="JY210" i="30"/>
  <c r="KB203" i="30"/>
  <c r="KA203" i="30"/>
  <c r="JZ203" i="30"/>
  <c r="JY203" i="30"/>
  <c r="KB200" i="30"/>
  <c r="KA200" i="30"/>
  <c r="JZ200" i="30"/>
  <c r="JY200" i="30"/>
  <c r="KB193" i="30"/>
  <c r="KA193" i="30"/>
  <c r="JZ193" i="30"/>
  <c r="JY193" i="30"/>
  <c r="KB190" i="30"/>
  <c r="KA190" i="30"/>
  <c r="JZ190" i="30"/>
  <c r="JY190" i="30"/>
  <c r="KB183" i="30"/>
  <c r="KA183" i="30"/>
  <c r="JZ183" i="30"/>
  <c r="JY183" i="30"/>
  <c r="KB180" i="30"/>
  <c r="KA180" i="30"/>
  <c r="JZ180" i="30"/>
  <c r="JY180" i="30"/>
  <c r="KB173" i="30"/>
  <c r="KA173" i="30"/>
  <c r="JZ173" i="30"/>
  <c r="JY173" i="30"/>
  <c r="KB170" i="30"/>
  <c r="KA170" i="30"/>
  <c r="JZ170" i="30"/>
  <c r="JY170" i="30"/>
  <c r="JU263" i="30"/>
  <c r="JT263" i="30"/>
  <c r="JS263" i="30"/>
  <c r="JR263" i="30"/>
  <c r="JU260" i="30"/>
  <c r="JT260" i="30"/>
  <c r="JS260" i="30"/>
  <c r="JR260" i="30"/>
  <c r="JU253" i="30"/>
  <c r="JT253" i="30"/>
  <c r="JS253" i="30"/>
  <c r="JR253" i="30"/>
  <c r="JU250" i="30"/>
  <c r="JT250" i="30"/>
  <c r="JS250" i="30"/>
  <c r="JR250" i="30"/>
  <c r="JU240" i="30"/>
  <c r="JT240" i="30"/>
  <c r="JS240" i="30"/>
  <c r="JR240" i="30"/>
  <c r="JU233" i="30"/>
  <c r="JT233" i="30"/>
  <c r="JS233" i="30"/>
  <c r="JR233" i="30"/>
  <c r="JU230" i="30"/>
  <c r="JT230" i="30"/>
  <c r="JS230" i="30"/>
  <c r="JR230" i="30"/>
  <c r="JU223" i="30"/>
  <c r="JT223" i="30"/>
  <c r="JS223" i="30"/>
  <c r="JR223" i="30"/>
  <c r="JU220" i="30"/>
  <c r="JT220" i="30"/>
  <c r="JS220" i="30"/>
  <c r="JR220" i="30"/>
  <c r="JU213" i="30"/>
  <c r="JT213" i="30"/>
  <c r="JS213" i="30"/>
  <c r="JR213" i="30"/>
  <c r="JU210" i="30"/>
  <c r="JT210" i="30"/>
  <c r="JS210" i="30"/>
  <c r="JR210" i="30"/>
  <c r="JU203" i="30"/>
  <c r="JT203" i="30"/>
  <c r="JS203" i="30"/>
  <c r="JR203" i="30"/>
  <c r="JU200" i="30"/>
  <c r="JT200" i="30"/>
  <c r="JS200" i="30"/>
  <c r="JR200" i="30"/>
  <c r="JU193" i="30"/>
  <c r="JT193" i="30"/>
  <c r="JS193" i="30"/>
  <c r="JR193" i="30"/>
  <c r="JU190" i="30"/>
  <c r="JT190" i="30"/>
  <c r="JS190" i="30"/>
  <c r="JR190" i="30"/>
  <c r="JU183" i="30"/>
  <c r="JT183" i="30"/>
  <c r="JS183" i="30"/>
  <c r="JR183" i="30"/>
  <c r="JU180" i="30"/>
  <c r="JT180" i="30"/>
  <c r="JS180" i="30"/>
  <c r="JR180" i="30"/>
  <c r="JU173" i="30"/>
  <c r="JT173" i="30"/>
  <c r="JS173" i="30"/>
  <c r="JR173" i="30"/>
  <c r="JU170" i="30"/>
  <c r="JT170" i="30"/>
  <c r="JS170" i="30"/>
  <c r="JR170" i="30"/>
  <c r="JN263" i="30"/>
  <c r="JM263" i="30"/>
  <c r="JL263" i="30"/>
  <c r="JK263" i="30"/>
  <c r="JN260" i="30"/>
  <c r="JM260" i="30"/>
  <c r="JL260" i="30"/>
  <c r="JK260" i="30"/>
  <c r="JN253" i="30"/>
  <c r="JM253" i="30"/>
  <c r="JL253" i="30"/>
  <c r="JK253" i="30"/>
  <c r="JN250" i="30"/>
  <c r="JM250" i="30"/>
  <c r="JL250" i="30"/>
  <c r="JK250" i="30"/>
  <c r="JN240" i="30"/>
  <c r="JM240" i="30"/>
  <c r="JL240" i="30"/>
  <c r="JK240" i="30"/>
  <c r="JN233" i="30"/>
  <c r="JM233" i="30"/>
  <c r="JL233" i="30"/>
  <c r="JK233" i="30"/>
  <c r="JN230" i="30"/>
  <c r="JM230" i="30"/>
  <c r="JL230" i="30"/>
  <c r="JK230" i="30"/>
  <c r="JN223" i="30"/>
  <c r="JM223" i="30"/>
  <c r="JL223" i="30"/>
  <c r="JK223" i="30"/>
  <c r="JN220" i="30"/>
  <c r="JM220" i="30"/>
  <c r="JL220" i="30"/>
  <c r="JK220" i="30"/>
  <c r="JN213" i="30"/>
  <c r="JM213" i="30"/>
  <c r="JL213" i="30"/>
  <c r="JK213" i="30"/>
  <c r="JN210" i="30"/>
  <c r="JM210" i="30"/>
  <c r="JL210" i="30"/>
  <c r="JK210" i="30"/>
  <c r="JN203" i="30"/>
  <c r="JM203" i="30"/>
  <c r="JL203" i="30"/>
  <c r="JK203" i="30"/>
  <c r="JN200" i="30"/>
  <c r="JM200" i="30"/>
  <c r="JL200" i="30"/>
  <c r="JK200" i="30"/>
  <c r="JN193" i="30"/>
  <c r="JM193" i="30"/>
  <c r="JL193" i="30"/>
  <c r="JK193" i="30"/>
  <c r="JN190" i="30"/>
  <c r="JM190" i="30"/>
  <c r="JL190" i="30"/>
  <c r="JK190" i="30"/>
  <c r="JN183" i="30"/>
  <c r="JM183" i="30"/>
  <c r="JL183" i="30"/>
  <c r="JK183" i="30"/>
  <c r="JN180" i="30"/>
  <c r="JM180" i="30"/>
  <c r="JL180" i="30"/>
  <c r="JK180" i="30"/>
  <c r="JN173" i="30"/>
  <c r="JM173" i="30"/>
  <c r="JL173" i="30"/>
  <c r="JK173" i="30"/>
  <c r="JN170" i="30"/>
  <c r="JM170" i="30"/>
  <c r="JL170" i="30"/>
  <c r="JK170" i="30"/>
  <c r="JG263" i="30"/>
  <c r="JF263" i="30"/>
  <c r="JE263" i="30"/>
  <c r="JD263" i="30"/>
  <c r="JG260" i="30"/>
  <c r="JF260" i="30"/>
  <c r="JE260" i="30"/>
  <c r="JD260" i="30"/>
  <c r="JG253" i="30"/>
  <c r="JF253" i="30"/>
  <c r="JE253" i="30"/>
  <c r="JD253" i="30"/>
  <c r="JG250" i="30"/>
  <c r="JF250" i="30"/>
  <c r="JE250" i="30"/>
  <c r="JD250" i="30"/>
  <c r="JG240" i="30"/>
  <c r="JF240" i="30"/>
  <c r="JE240" i="30"/>
  <c r="JD240" i="30"/>
  <c r="JG233" i="30"/>
  <c r="JF233" i="30"/>
  <c r="JE233" i="30"/>
  <c r="JD233" i="30"/>
  <c r="JG230" i="30"/>
  <c r="JF230" i="30"/>
  <c r="JE230" i="30"/>
  <c r="JD230" i="30"/>
  <c r="JG223" i="30"/>
  <c r="JF223" i="30"/>
  <c r="JE223" i="30"/>
  <c r="JD223" i="30"/>
  <c r="JG220" i="30"/>
  <c r="JF220" i="30"/>
  <c r="JE220" i="30"/>
  <c r="JD220" i="30"/>
  <c r="JG213" i="30"/>
  <c r="JF213" i="30"/>
  <c r="JE213" i="30"/>
  <c r="JD213" i="30"/>
  <c r="JG210" i="30"/>
  <c r="JF210" i="30"/>
  <c r="JE210" i="30"/>
  <c r="JD210" i="30"/>
  <c r="JG203" i="30"/>
  <c r="JF203" i="30"/>
  <c r="JE203" i="30"/>
  <c r="JD203" i="30"/>
  <c r="JG200" i="30"/>
  <c r="JF200" i="30"/>
  <c r="JE200" i="30"/>
  <c r="JD200" i="30"/>
  <c r="JG193" i="30"/>
  <c r="JF193" i="30"/>
  <c r="JE193" i="30"/>
  <c r="JD193" i="30"/>
  <c r="JG190" i="30"/>
  <c r="JF190" i="30"/>
  <c r="JE190" i="30"/>
  <c r="JD190" i="30"/>
  <c r="JG183" i="30"/>
  <c r="JF183" i="30"/>
  <c r="JE183" i="30"/>
  <c r="JD183" i="30"/>
  <c r="JG180" i="30"/>
  <c r="JF180" i="30"/>
  <c r="JE180" i="30"/>
  <c r="JD180" i="30"/>
  <c r="JG173" i="30"/>
  <c r="JF173" i="30"/>
  <c r="JE173" i="30"/>
  <c r="JD173" i="30"/>
  <c r="JG170" i="30"/>
  <c r="JF170" i="30"/>
  <c r="JE170" i="30"/>
  <c r="JD170" i="30"/>
  <c r="IZ263" i="30"/>
  <c r="IY263" i="30"/>
  <c r="IX263" i="30"/>
  <c r="IW263" i="30"/>
  <c r="IZ260" i="30"/>
  <c r="IY260" i="30"/>
  <c r="IX260" i="30"/>
  <c r="IW260" i="30"/>
  <c r="IZ253" i="30"/>
  <c r="IY253" i="30"/>
  <c r="IX253" i="30"/>
  <c r="IW253" i="30"/>
  <c r="IZ250" i="30"/>
  <c r="IY250" i="30"/>
  <c r="IX250" i="30"/>
  <c r="IW250" i="30"/>
  <c r="IZ240" i="30"/>
  <c r="IY240" i="30"/>
  <c r="IX240" i="30"/>
  <c r="IW240" i="30"/>
  <c r="IZ233" i="30"/>
  <c r="IY233" i="30"/>
  <c r="IX233" i="30"/>
  <c r="IW233" i="30"/>
  <c r="IZ230" i="30"/>
  <c r="IY230" i="30"/>
  <c r="IX230" i="30"/>
  <c r="IW230" i="30"/>
  <c r="IZ223" i="30"/>
  <c r="IY223" i="30"/>
  <c r="IX223" i="30"/>
  <c r="IW223" i="30"/>
  <c r="IZ220" i="30"/>
  <c r="IY220" i="30"/>
  <c r="IX220" i="30"/>
  <c r="IW220" i="30"/>
  <c r="IZ213" i="30"/>
  <c r="IY213" i="30"/>
  <c r="IX213" i="30"/>
  <c r="IW213" i="30"/>
  <c r="IZ210" i="30"/>
  <c r="IY210" i="30"/>
  <c r="IX210" i="30"/>
  <c r="IW210" i="30"/>
  <c r="IZ203" i="30"/>
  <c r="IY203" i="30"/>
  <c r="IX203" i="30"/>
  <c r="IW203" i="30"/>
  <c r="IZ200" i="30"/>
  <c r="IY200" i="30"/>
  <c r="IX200" i="30"/>
  <c r="IW200" i="30"/>
  <c r="IZ193" i="30"/>
  <c r="IY193" i="30"/>
  <c r="IX193" i="30"/>
  <c r="IW193" i="30"/>
  <c r="IZ190" i="30"/>
  <c r="IY190" i="30"/>
  <c r="IX190" i="30"/>
  <c r="IW190" i="30"/>
  <c r="IZ183" i="30"/>
  <c r="IY183" i="30"/>
  <c r="IX183" i="30"/>
  <c r="IW183" i="30"/>
  <c r="IZ180" i="30"/>
  <c r="IY180" i="30"/>
  <c r="IX180" i="30"/>
  <c r="IW180" i="30"/>
  <c r="IZ173" i="30"/>
  <c r="IY173" i="30"/>
  <c r="IX173" i="30"/>
  <c r="IW173" i="30"/>
  <c r="IZ170" i="30"/>
  <c r="IY170" i="30"/>
  <c r="IX170" i="30"/>
  <c r="IW170" i="30"/>
  <c r="IV170" i="30"/>
  <c r="IV171" i="30"/>
  <c r="IV173" i="30"/>
  <c r="IV174" i="30"/>
  <c r="IV176" i="30"/>
  <c r="IV177" i="30"/>
  <c r="IV179" i="30"/>
  <c r="IV180" i="30"/>
  <c r="IV181" i="30"/>
  <c r="IV183" i="30"/>
  <c r="IV184" i="30"/>
  <c r="IV186" i="30"/>
  <c r="IV187" i="30"/>
  <c r="IV189" i="30"/>
  <c r="IV190" i="30"/>
  <c r="IV191" i="30"/>
  <c r="IV193" i="30"/>
  <c r="IV194" i="30"/>
  <c r="IV196" i="30"/>
  <c r="IV197" i="30"/>
  <c r="IV199" i="30"/>
  <c r="IV200" i="30"/>
  <c r="IV201" i="30"/>
  <c r="IV203" i="30"/>
  <c r="IV204" i="30"/>
  <c r="IV206" i="30"/>
  <c r="IV207" i="30"/>
  <c r="IV209" i="30"/>
  <c r="IV210" i="30"/>
  <c r="IV211" i="30"/>
  <c r="IV213" i="30"/>
  <c r="IV214" i="30"/>
  <c r="IV216" i="30"/>
  <c r="IV217" i="30"/>
  <c r="IV219" i="30"/>
  <c r="IV220" i="30"/>
  <c r="IV221" i="30"/>
  <c r="IV223" i="30"/>
  <c r="IV224" i="30"/>
  <c r="IV226" i="30"/>
  <c r="IV227" i="30"/>
  <c r="IV229" i="30"/>
  <c r="IV230" i="30"/>
  <c r="IV231" i="30"/>
  <c r="IV233" i="30"/>
  <c r="IV234" i="30"/>
  <c r="IV236" i="30"/>
  <c r="IV237" i="30"/>
  <c r="IV239" i="30"/>
  <c r="IV240" i="30"/>
  <c r="IV241" i="30"/>
  <c r="IV243" i="30"/>
  <c r="IV244" i="30"/>
  <c r="IV246" i="30"/>
  <c r="IV247" i="30"/>
  <c r="IV249" i="30"/>
  <c r="IV250" i="30"/>
  <c r="IV251" i="30"/>
  <c r="IV253" i="30"/>
  <c r="IV254" i="30"/>
  <c r="IV256" i="30"/>
  <c r="IV257" i="30"/>
  <c r="IV259" i="30"/>
  <c r="IV260" i="30"/>
  <c r="IV261" i="30"/>
  <c r="IV263" i="30"/>
  <c r="IV264" i="30"/>
  <c r="IV266" i="30"/>
  <c r="IV267" i="30"/>
  <c r="IV269" i="30"/>
  <c r="IV270" i="30"/>
  <c r="IV271" i="30"/>
  <c r="IV273" i="30"/>
  <c r="IV274" i="30"/>
  <c r="IV276" i="30"/>
  <c r="IV277" i="30"/>
  <c r="IS263" i="30"/>
  <c r="IR263" i="30"/>
  <c r="IQ263" i="30"/>
  <c r="IP263" i="30"/>
  <c r="IS260" i="30"/>
  <c r="IR260" i="30"/>
  <c r="IQ260" i="30"/>
  <c r="IP260" i="30"/>
  <c r="IS253" i="30"/>
  <c r="IR253" i="30"/>
  <c r="IQ253" i="30"/>
  <c r="IP253" i="30"/>
  <c r="IS250" i="30"/>
  <c r="IR250" i="30"/>
  <c r="IQ250" i="30"/>
  <c r="IP250" i="30"/>
  <c r="IS240" i="30"/>
  <c r="IR240" i="30"/>
  <c r="IQ240" i="30"/>
  <c r="IP240" i="30"/>
  <c r="IS233" i="30"/>
  <c r="IR233" i="30"/>
  <c r="IQ233" i="30"/>
  <c r="IP233" i="30"/>
  <c r="IS230" i="30"/>
  <c r="IR230" i="30"/>
  <c r="IQ230" i="30"/>
  <c r="IP230" i="30"/>
  <c r="IS223" i="30"/>
  <c r="IR223" i="30"/>
  <c r="IQ223" i="30"/>
  <c r="IP223" i="30"/>
  <c r="IS220" i="30"/>
  <c r="IR220" i="30"/>
  <c r="IQ220" i="30"/>
  <c r="IP220" i="30"/>
  <c r="IS213" i="30"/>
  <c r="IR213" i="30"/>
  <c r="IQ213" i="30"/>
  <c r="IP213" i="30"/>
  <c r="IS210" i="30"/>
  <c r="IR210" i="30"/>
  <c r="IQ210" i="30"/>
  <c r="IP210" i="30"/>
  <c r="IS203" i="30"/>
  <c r="IR203" i="30"/>
  <c r="IQ203" i="30"/>
  <c r="IP203" i="30"/>
  <c r="IS200" i="30"/>
  <c r="IR200" i="30"/>
  <c r="IQ200" i="30"/>
  <c r="IP200" i="30"/>
  <c r="IS193" i="30"/>
  <c r="IR193" i="30"/>
  <c r="IQ193" i="30"/>
  <c r="IP193" i="30"/>
  <c r="IS190" i="30"/>
  <c r="IR190" i="30"/>
  <c r="IQ190" i="30"/>
  <c r="IP190" i="30"/>
  <c r="IS183" i="30"/>
  <c r="IR183" i="30"/>
  <c r="IQ183" i="30"/>
  <c r="IP183" i="30"/>
  <c r="IS180" i="30"/>
  <c r="IR180" i="30"/>
  <c r="IQ180" i="30"/>
  <c r="IP180" i="30"/>
  <c r="IS173" i="30"/>
  <c r="IR173" i="30"/>
  <c r="IQ173" i="30"/>
  <c r="IP173" i="30"/>
  <c r="IS170" i="30"/>
  <c r="IR170" i="30"/>
  <c r="IQ170" i="30"/>
  <c r="IP170" i="30"/>
  <c r="IL263" i="30"/>
  <c r="IK263" i="30"/>
  <c r="IJ263" i="30"/>
  <c r="II263" i="30"/>
  <c r="IL260" i="30"/>
  <c r="IK260" i="30"/>
  <c r="IJ260" i="30"/>
  <c r="II260" i="30"/>
  <c r="IL253" i="30"/>
  <c r="IK253" i="30"/>
  <c r="IJ253" i="30"/>
  <c r="II253" i="30"/>
  <c r="IL250" i="30"/>
  <c r="IK250" i="30"/>
  <c r="IJ250" i="30"/>
  <c r="II250" i="30"/>
  <c r="IL240" i="30"/>
  <c r="IK240" i="30"/>
  <c r="IJ240" i="30"/>
  <c r="II240" i="30"/>
  <c r="IL233" i="30"/>
  <c r="IK233" i="30"/>
  <c r="IJ233" i="30"/>
  <c r="II233" i="30"/>
  <c r="IL230" i="30"/>
  <c r="IK230" i="30"/>
  <c r="IJ230" i="30"/>
  <c r="II230" i="30"/>
  <c r="IL223" i="30"/>
  <c r="IK223" i="30"/>
  <c r="IJ223" i="30"/>
  <c r="II223" i="30"/>
  <c r="IL220" i="30"/>
  <c r="IK220" i="30"/>
  <c r="IJ220" i="30"/>
  <c r="II220" i="30"/>
  <c r="IL213" i="30"/>
  <c r="IK213" i="30"/>
  <c r="IJ213" i="30"/>
  <c r="II213" i="30"/>
  <c r="IL210" i="30"/>
  <c r="IK210" i="30"/>
  <c r="IJ210" i="30"/>
  <c r="II210" i="30"/>
  <c r="IL203" i="30"/>
  <c r="IK203" i="30"/>
  <c r="IJ203" i="30"/>
  <c r="II203" i="30"/>
  <c r="IL200" i="30"/>
  <c r="IK200" i="30"/>
  <c r="IJ200" i="30"/>
  <c r="II200" i="30"/>
  <c r="IL193" i="30"/>
  <c r="IK193" i="30"/>
  <c r="IJ193" i="30"/>
  <c r="II193" i="30"/>
  <c r="IL190" i="30"/>
  <c r="IK190" i="30"/>
  <c r="IJ190" i="30"/>
  <c r="II190" i="30"/>
  <c r="IL183" i="30"/>
  <c r="IK183" i="30"/>
  <c r="IJ183" i="30"/>
  <c r="II183" i="30"/>
  <c r="IL180" i="30"/>
  <c r="IK180" i="30"/>
  <c r="IJ180" i="30"/>
  <c r="II180" i="30"/>
  <c r="IL173" i="30"/>
  <c r="IK173" i="30"/>
  <c r="IJ173" i="30"/>
  <c r="II173" i="30"/>
  <c r="IL170" i="30"/>
  <c r="IK170" i="30"/>
  <c r="IJ170" i="30"/>
  <c r="II170" i="30"/>
  <c r="IE263" i="30"/>
  <c r="ID263" i="30"/>
  <c r="IC263" i="30"/>
  <c r="IB263" i="30"/>
  <c r="IE260" i="30"/>
  <c r="ID260" i="30"/>
  <c r="IC260" i="30"/>
  <c r="IB260" i="30"/>
  <c r="IE253" i="30"/>
  <c r="ID253" i="30"/>
  <c r="IC253" i="30"/>
  <c r="IB253" i="30"/>
  <c r="IE250" i="30"/>
  <c r="ID250" i="30"/>
  <c r="IC250" i="30"/>
  <c r="IB250" i="30"/>
  <c r="IE240" i="30"/>
  <c r="ID240" i="30"/>
  <c r="IC240" i="30"/>
  <c r="IB240" i="30"/>
  <c r="IE233" i="30"/>
  <c r="ID233" i="30"/>
  <c r="IC233" i="30"/>
  <c r="IB233" i="30"/>
  <c r="IE230" i="30"/>
  <c r="ID230" i="30"/>
  <c r="IC230" i="30"/>
  <c r="IB230" i="30"/>
  <c r="IE223" i="30"/>
  <c r="ID223" i="30"/>
  <c r="IC223" i="30"/>
  <c r="IB223" i="30"/>
  <c r="IE220" i="30"/>
  <c r="ID220" i="30"/>
  <c r="IC220" i="30"/>
  <c r="IB220" i="30"/>
  <c r="IE213" i="30"/>
  <c r="ID213" i="30"/>
  <c r="IC213" i="30"/>
  <c r="IB213" i="30"/>
  <c r="IE210" i="30"/>
  <c r="ID210" i="30"/>
  <c r="IC210" i="30"/>
  <c r="IB210" i="30"/>
  <c r="IE203" i="30"/>
  <c r="ID203" i="30"/>
  <c r="IC203" i="30"/>
  <c r="IB203" i="30"/>
  <c r="IE200" i="30"/>
  <c r="ID200" i="30"/>
  <c r="IC200" i="30"/>
  <c r="IB200" i="30"/>
  <c r="IE193" i="30"/>
  <c r="ID193" i="30"/>
  <c r="IC193" i="30"/>
  <c r="IB193" i="30"/>
  <c r="IE190" i="30"/>
  <c r="ID190" i="30"/>
  <c r="IC190" i="30"/>
  <c r="IB190" i="30"/>
  <c r="IE183" i="30"/>
  <c r="ID183" i="30"/>
  <c r="IC183" i="30"/>
  <c r="IB183" i="30"/>
  <c r="IE180" i="30"/>
  <c r="ID180" i="30"/>
  <c r="IC180" i="30"/>
  <c r="IB180" i="30"/>
  <c r="IE173" i="30"/>
  <c r="ID173" i="30"/>
  <c r="IC173" i="30"/>
  <c r="IB173" i="30"/>
  <c r="IE170" i="30"/>
  <c r="ID170" i="30"/>
  <c r="IC170" i="30"/>
  <c r="IB170" i="30"/>
  <c r="HX263" i="30"/>
  <c r="HW263" i="30"/>
  <c r="HV263" i="30"/>
  <c r="HU263" i="30"/>
  <c r="HX260" i="30"/>
  <c r="HW260" i="30"/>
  <c r="HV260" i="30"/>
  <c r="HU260" i="30"/>
  <c r="HX253" i="30"/>
  <c r="HW253" i="30"/>
  <c r="HV253" i="30"/>
  <c r="HU253" i="30"/>
  <c r="HX250" i="30"/>
  <c r="HW250" i="30"/>
  <c r="HV250" i="30"/>
  <c r="HU250" i="30"/>
  <c r="HX240" i="30"/>
  <c r="HW240" i="30"/>
  <c r="HV240" i="30"/>
  <c r="HU240" i="30"/>
  <c r="HX233" i="30"/>
  <c r="HW233" i="30"/>
  <c r="HV233" i="30"/>
  <c r="HU233" i="30"/>
  <c r="HX230" i="30"/>
  <c r="HW230" i="30"/>
  <c r="HV230" i="30"/>
  <c r="HU230" i="30"/>
  <c r="HX223" i="30"/>
  <c r="HW223" i="30"/>
  <c r="HV223" i="30"/>
  <c r="HU223" i="30"/>
  <c r="HX220" i="30"/>
  <c r="HW220" i="30"/>
  <c r="HV220" i="30"/>
  <c r="HU220" i="30"/>
  <c r="HX213" i="30"/>
  <c r="HW213" i="30"/>
  <c r="HV213" i="30"/>
  <c r="HU213" i="30"/>
  <c r="HX210" i="30"/>
  <c r="HW210" i="30"/>
  <c r="HV210" i="30"/>
  <c r="HU210" i="30"/>
  <c r="HX203" i="30"/>
  <c r="HW203" i="30"/>
  <c r="HV203" i="30"/>
  <c r="HU203" i="30"/>
  <c r="HX200" i="30"/>
  <c r="HW200" i="30"/>
  <c r="HV200" i="30"/>
  <c r="HU200" i="30"/>
  <c r="HX193" i="30"/>
  <c r="HW193" i="30"/>
  <c r="HV193" i="30"/>
  <c r="HU193" i="30"/>
  <c r="HX190" i="30"/>
  <c r="HW190" i="30"/>
  <c r="HV190" i="30"/>
  <c r="HU190" i="30"/>
  <c r="HX183" i="30"/>
  <c r="HW183" i="30"/>
  <c r="HV183" i="30"/>
  <c r="HU183" i="30"/>
  <c r="HX180" i="30"/>
  <c r="HW180" i="30"/>
  <c r="HV180" i="30"/>
  <c r="HU180" i="30"/>
  <c r="HX173" i="30"/>
  <c r="HW173" i="30"/>
  <c r="HV173" i="30"/>
  <c r="HU173" i="30"/>
  <c r="HX170" i="30"/>
  <c r="HW170" i="30"/>
  <c r="HV170" i="30"/>
  <c r="HU170" i="30"/>
  <c r="HQ263" i="30"/>
  <c r="HP263" i="30"/>
  <c r="HO263" i="30"/>
  <c r="HN263" i="30"/>
  <c r="HQ260" i="30"/>
  <c r="HP260" i="30"/>
  <c r="HO260" i="30"/>
  <c r="HN260" i="30"/>
  <c r="HQ253" i="30"/>
  <c r="HP253" i="30"/>
  <c r="HO253" i="30"/>
  <c r="HN253" i="30"/>
  <c r="HQ250" i="30"/>
  <c r="HP250" i="30"/>
  <c r="HO250" i="30"/>
  <c r="HN250" i="30"/>
  <c r="HQ240" i="30"/>
  <c r="HP240" i="30"/>
  <c r="HO240" i="30"/>
  <c r="HN240" i="30"/>
  <c r="HQ233" i="30"/>
  <c r="HP233" i="30"/>
  <c r="HO233" i="30"/>
  <c r="HN233" i="30"/>
  <c r="HQ230" i="30"/>
  <c r="HP230" i="30"/>
  <c r="HO230" i="30"/>
  <c r="HN230" i="30"/>
  <c r="HQ223" i="30"/>
  <c r="HP223" i="30"/>
  <c r="HO223" i="30"/>
  <c r="HN223" i="30"/>
  <c r="HQ220" i="30"/>
  <c r="HP220" i="30"/>
  <c r="HO220" i="30"/>
  <c r="HN220" i="30"/>
  <c r="HQ213" i="30"/>
  <c r="HP213" i="30"/>
  <c r="HO213" i="30"/>
  <c r="HN213" i="30"/>
  <c r="HQ210" i="30"/>
  <c r="HP210" i="30"/>
  <c r="HO210" i="30"/>
  <c r="HN210" i="30"/>
  <c r="HQ203" i="30"/>
  <c r="HP203" i="30"/>
  <c r="HO203" i="30"/>
  <c r="HN203" i="30"/>
  <c r="HQ200" i="30"/>
  <c r="HP200" i="30"/>
  <c r="HO200" i="30"/>
  <c r="HN200" i="30"/>
  <c r="HQ193" i="30"/>
  <c r="HP193" i="30"/>
  <c r="HO193" i="30"/>
  <c r="HN193" i="30"/>
  <c r="HQ190" i="30"/>
  <c r="HP190" i="30"/>
  <c r="HO190" i="30"/>
  <c r="HN190" i="30"/>
  <c r="HQ183" i="30"/>
  <c r="HP183" i="30"/>
  <c r="HO183" i="30"/>
  <c r="HN183" i="30"/>
  <c r="HQ180" i="30"/>
  <c r="HP180" i="30"/>
  <c r="HO180" i="30"/>
  <c r="HN180" i="30"/>
  <c r="HQ173" i="30"/>
  <c r="HP173" i="30"/>
  <c r="HO173" i="30"/>
  <c r="HN173" i="30"/>
  <c r="HQ170" i="30"/>
  <c r="HP170" i="30"/>
  <c r="HO170" i="30"/>
  <c r="HN170" i="30"/>
  <c r="HJ263" i="30"/>
  <c r="HI263" i="30"/>
  <c r="HH263" i="30"/>
  <c r="HG263" i="30"/>
  <c r="HJ260" i="30"/>
  <c r="HI260" i="30"/>
  <c r="HH260" i="30"/>
  <c r="HG260" i="30"/>
  <c r="HJ253" i="30"/>
  <c r="HI253" i="30"/>
  <c r="HH253" i="30"/>
  <c r="HG253" i="30"/>
  <c r="HJ250" i="30"/>
  <c r="HI250" i="30"/>
  <c r="HH250" i="30"/>
  <c r="HG250" i="30"/>
  <c r="HJ240" i="30"/>
  <c r="HI240" i="30"/>
  <c r="HH240" i="30"/>
  <c r="HG240" i="30"/>
  <c r="HJ233" i="30"/>
  <c r="HI233" i="30"/>
  <c r="HH233" i="30"/>
  <c r="HG233" i="30"/>
  <c r="HJ230" i="30"/>
  <c r="HI230" i="30"/>
  <c r="HH230" i="30"/>
  <c r="HG230" i="30"/>
  <c r="HJ223" i="30"/>
  <c r="HI223" i="30"/>
  <c r="HH223" i="30"/>
  <c r="HG223" i="30"/>
  <c r="HJ220" i="30"/>
  <c r="HI220" i="30"/>
  <c r="HH220" i="30"/>
  <c r="HG220" i="30"/>
  <c r="HJ213" i="30"/>
  <c r="HI213" i="30"/>
  <c r="HH213" i="30"/>
  <c r="HG213" i="30"/>
  <c r="HJ210" i="30"/>
  <c r="HI210" i="30"/>
  <c r="HH210" i="30"/>
  <c r="HG210" i="30"/>
  <c r="HJ203" i="30"/>
  <c r="HI203" i="30"/>
  <c r="HH203" i="30"/>
  <c r="HG203" i="30"/>
  <c r="HJ200" i="30"/>
  <c r="HI200" i="30"/>
  <c r="HH200" i="30"/>
  <c r="HG200" i="30"/>
  <c r="HJ193" i="30"/>
  <c r="HI193" i="30"/>
  <c r="HH193" i="30"/>
  <c r="HG193" i="30"/>
  <c r="HJ190" i="30"/>
  <c r="HI190" i="30"/>
  <c r="HH190" i="30"/>
  <c r="HG190" i="30"/>
  <c r="HJ183" i="30"/>
  <c r="HI183" i="30"/>
  <c r="HH183" i="30"/>
  <c r="HG183" i="30"/>
  <c r="HJ180" i="30"/>
  <c r="HI180" i="30"/>
  <c r="HH180" i="30"/>
  <c r="HG180" i="30"/>
  <c r="HJ173" i="30"/>
  <c r="HI173" i="30"/>
  <c r="HH173" i="30"/>
  <c r="HG173" i="30"/>
  <c r="HJ170" i="30"/>
  <c r="HI170" i="30"/>
  <c r="HH170" i="30"/>
  <c r="HG170" i="30"/>
  <c r="HC263" i="30"/>
  <c r="HB263" i="30"/>
  <c r="HA263" i="30"/>
  <c r="GZ263" i="30"/>
  <c r="HC260" i="30"/>
  <c r="HB260" i="30"/>
  <c r="HA260" i="30"/>
  <c r="GZ260" i="30"/>
  <c r="HC253" i="30"/>
  <c r="HB253" i="30"/>
  <c r="HA253" i="30"/>
  <c r="GZ253" i="30"/>
  <c r="HC250" i="30"/>
  <c r="HB250" i="30"/>
  <c r="HA250" i="30"/>
  <c r="GZ250" i="30"/>
  <c r="HC240" i="30"/>
  <c r="HB240" i="30"/>
  <c r="HA240" i="30"/>
  <c r="GZ240" i="30"/>
  <c r="HC233" i="30"/>
  <c r="HB233" i="30"/>
  <c r="HA233" i="30"/>
  <c r="GZ233" i="30"/>
  <c r="HC230" i="30"/>
  <c r="HB230" i="30"/>
  <c r="HA230" i="30"/>
  <c r="GZ230" i="30"/>
  <c r="HC223" i="30"/>
  <c r="HB223" i="30"/>
  <c r="HA223" i="30"/>
  <c r="GZ223" i="30"/>
  <c r="HC220" i="30"/>
  <c r="HB220" i="30"/>
  <c r="HA220" i="30"/>
  <c r="GZ220" i="30"/>
  <c r="HC213" i="30"/>
  <c r="HB213" i="30"/>
  <c r="HA213" i="30"/>
  <c r="GZ213" i="30"/>
  <c r="HC210" i="30"/>
  <c r="HB210" i="30"/>
  <c r="HA210" i="30"/>
  <c r="GZ210" i="30"/>
  <c r="HC203" i="30"/>
  <c r="HB203" i="30"/>
  <c r="HA203" i="30"/>
  <c r="GZ203" i="30"/>
  <c r="HC200" i="30"/>
  <c r="HB200" i="30"/>
  <c r="HA200" i="30"/>
  <c r="GZ200" i="30"/>
  <c r="HC193" i="30"/>
  <c r="HB193" i="30"/>
  <c r="HA193" i="30"/>
  <c r="GZ193" i="30"/>
  <c r="HC190" i="30"/>
  <c r="HB190" i="30"/>
  <c r="HA190" i="30"/>
  <c r="GZ190" i="30"/>
  <c r="HC183" i="30"/>
  <c r="HB183" i="30"/>
  <c r="HA183" i="30"/>
  <c r="GZ183" i="30"/>
  <c r="HC180" i="30"/>
  <c r="HB180" i="30"/>
  <c r="HA180" i="30"/>
  <c r="GZ180" i="30"/>
  <c r="HC173" i="30"/>
  <c r="HB173" i="30"/>
  <c r="HA173" i="30"/>
  <c r="GZ173" i="30"/>
  <c r="HC170" i="30"/>
  <c r="HB170" i="30"/>
  <c r="HA170" i="30"/>
  <c r="GZ170" i="30"/>
  <c r="GV263" i="30"/>
  <c r="GU263" i="30"/>
  <c r="GT263" i="30"/>
  <c r="GS263" i="30"/>
  <c r="GV260" i="30"/>
  <c r="GU260" i="30"/>
  <c r="GT260" i="30"/>
  <c r="GS260" i="30"/>
  <c r="GV253" i="30"/>
  <c r="GU253" i="30"/>
  <c r="GT253" i="30"/>
  <c r="GS253" i="30"/>
  <c r="GV250" i="30"/>
  <c r="GU250" i="30"/>
  <c r="GT250" i="30"/>
  <c r="GS250" i="30"/>
  <c r="GV240" i="30"/>
  <c r="GU240" i="30"/>
  <c r="GT240" i="30"/>
  <c r="GS240" i="30"/>
  <c r="GV233" i="30"/>
  <c r="GU233" i="30"/>
  <c r="GT233" i="30"/>
  <c r="GS233" i="30"/>
  <c r="GV230" i="30"/>
  <c r="GU230" i="30"/>
  <c r="GT230" i="30"/>
  <c r="GS230" i="30"/>
  <c r="GV223" i="30"/>
  <c r="GU223" i="30"/>
  <c r="GT223" i="30"/>
  <c r="GS223" i="30"/>
  <c r="GV220" i="30"/>
  <c r="GU220" i="30"/>
  <c r="GT220" i="30"/>
  <c r="GS220" i="30"/>
  <c r="GV213" i="30"/>
  <c r="GU213" i="30"/>
  <c r="GT213" i="30"/>
  <c r="GS213" i="30"/>
  <c r="GV210" i="30"/>
  <c r="GU210" i="30"/>
  <c r="GT210" i="30"/>
  <c r="GS210" i="30"/>
  <c r="GV203" i="30"/>
  <c r="GU203" i="30"/>
  <c r="GT203" i="30"/>
  <c r="GS203" i="30"/>
  <c r="GV200" i="30"/>
  <c r="GU200" i="30"/>
  <c r="GT200" i="30"/>
  <c r="GS200" i="30"/>
  <c r="GV193" i="30"/>
  <c r="GU193" i="30"/>
  <c r="GT193" i="30"/>
  <c r="GS193" i="30"/>
  <c r="GV190" i="30"/>
  <c r="GU190" i="30"/>
  <c r="GT190" i="30"/>
  <c r="GS190" i="30"/>
  <c r="GV183" i="30"/>
  <c r="GU183" i="30"/>
  <c r="GT183" i="30"/>
  <c r="GS183" i="30"/>
  <c r="GV180" i="30"/>
  <c r="GU180" i="30"/>
  <c r="GT180" i="30"/>
  <c r="GS180" i="30"/>
  <c r="GV173" i="30"/>
  <c r="GU173" i="30"/>
  <c r="GT173" i="30"/>
  <c r="GS173" i="30"/>
  <c r="GV170" i="30"/>
  <c r="GU170" i="30"/>
  <c r="GT170" i="30"/>
  <c r="GS170" i="30"/>
  <c r="GO263" i="30"/>
  <c r="GN263" i="30"/>
  <c r="GM263" i="30"/>
  <c r="GL263" i="30"/>
  <c r="GO260" i="30"/>
  <c r="GN260" i="30"/>
  <c r="GM260" i="30"/>
  <c r="GL260" i="30"/>
  <c r="GO253" i="30"/>
  <c r="GN253" i="30"/>
  <c r="GM253" i="30"/>
  <c r="GL253" i="30"/>
  <c r="GO250" i="30"/>
  <c r="GN250" i="30"/>
  <c r="GM250" i="30"/>
  <c r="GL250" i="30"/>
  <c r="GO240" i="30"/>
  <c r="GN240" i="30"/>
  <c r="GM240" i="30"/>
  <c r="GL240" i="30"/>
  <c r="GO233" i="30"/>
  <c r="GN233" i="30"/>
  <c r="GM233" i="30"/>
  <c r="GL233" i="30"/>
  <c r="GO230" i="30"/>
  <c r="GN230" i="30"/>
  <c r="GM230" i="30"/>
  <c r="GL230" i="30"/>
  <c r="GO223" i="30"/>
  <c r="GN223" i="30"/>
  <c r="GM223" i="30"/>
  <c r="GL223" i="30"/>
  <c r="GO220" i="30"/>
  <c r="GN220" i="30"/>
  <c r="GM220" i="30"/>
  <c r="GL220" i="30"/>
  <c r="GO213" i="30"/>
  <c r="GN213" i="30"/>
  <c r="GM213" i="30"/>
  <c r="GL213" i="30"/>
  <c r="GO210" i="30"/>
  <c r="GN210" i="30"/>
  <c r="GM210" i="30"/>
  <c r="GL210" i="30"/>
  <c r="GO203" i="30"/>
  <c r="GN203" i="30"/>
  <c r="GM203" i="30"/>
  <c r="GL203" i="30"/>
  <c r="GO200" i="30"/>
  <c r="GN200" i="30"/>
  <c r="GM200" i="30"/>
  <c r="GL200" i="30"/>
  <c r="GO193" i="30"/>
  <c r="GN193" i="30"/>
  <c r="GM193" i="30"/>
  <c r="GL193" i="30"/>
  <c r="GO190" i="30"/>
  <c r="GN190" i="30"/>
  <c r="GM190" i="30"/>
  <c r="GL190" i="30"/>
  <c r="GO183" i="30"/>
  <c r="GN183" i="30"/>
  <c r="GM183" i="30"/>
  <c r="GL183" i="30"/>
  <c r="GO180" i="30"/>
  <c r="GN180" i="30"/>
  <c r="GM180" i="30"/>
  <c r="GL180" i="30"/>
  <c r="GO173" i="30"/>
  <c r="GN173" i="30"/>
  <c r="GM173" i="30"/>
  <c r="GL173" i="30"/>
  <c r="GO170" i="30"/>
  <c r="GN170" i="30"/>
  <c r="GM170" i="30"/>
  <c r="GL170" i="30"/>
  <c r="GH263" i="30"/>
  <c r="GG263" i="30"/>
  <c r="GF263" i="30"/>
  <c r="GE263" i="30"/>
  <c r="GH260" i="30"/>
  <c r="GG260" i="30"/>
  <c r="GF260" i="30"/>
  <c r="GE260" i="30"/>
  <c r="GH253" i="30"/>
  <c r="GG253" i="30"/>
  <c r="GF253" i="30"/>
  <c r="GE253" i="30"/>
  <c r="GH250" i="30"/>
  <c r="GG250" i="30"/>
  <c r="GF250" i="30"/>
  <c r="GE250" i="30"/>
  <c r="GH240" i="30"/>
  <c r="GG240" i="30"/>
  <c r="GF240" i="30"/>
  <c r="GE240" i="30"/>
  <c r="GH233" i="30"/>
  <c r="GG233" i="30"/>
  <c r="GF233" i="30"/>
  <c r="GE233" i="30"/>
  <c r="GH230" i="30"/>
  <c r="GG230" i="30"/>
  <c r="GF230" i="30"/>
  <c r="GE230" i="30"/>
  <c r="GH223" i="30"/>
  <c r="GG223" i="30"/>
  <c r="GF223" i="30"/>
  <c r="GE223" i="30"/>
  <c r="GH220" i="30"/>
  <c r="GG220" i="30"/>
  <c r="GF220" i="30"/>
  <c r="GE220" i="30"/>
  <c r="GH213" i="30"/>
  <c r="GG213" i="30"/>
  <c r="GF213" i="30"/>
  <c r="GE213" i="30"/>
  <c r="GH210" i="30"/>
  <c r="GG210" i="30"/>
  <c r="GF210" i="30"/>
  <c r="GE210" i="30"/>
  <c r="GH203" i="30"/>
  <c r="GG203" i="30"/>
  <c r="GF203" i="30"/>
  <c r="GE203" i="30"/>
  <c r="GH200" i="30"/>
  <c r="GG200" i="30"/>
  <c r="GF200" i="30"/>
  <c r="GE200" i="30"/>
  <c r="GH193" i="30"/>
  <c r="GG193" i="30"/>
  <c r="GF193" i="30"/>
  <c r="GE193" i="30"/>
  <c r="GH190" i="30"/>
  <c r="GG190" i="30"/>
  <c r="GF190" i="30"/>
  <c r="GE190" i="30"/>
  <c r="GH183" i="30"/>
  <c r="GG183" i="30"/>
  <c r="GF183" i="30"/>
  <c r="GE183" i="30"/>
  <c r="GH180" i="30"/>
  <c r="GG180" i="30"/>
  <c r="GF180" i="30"/>
  <c r="GE180" i="30"/>
  <c r="GH173" i="30"/>
  <c r="GG173" i="30"/>
  <c r="GF173" i="30"/>
  <c r="GE173" i="30"/>
  <c r="GH170" i="30"/>
  <c r="GG170" i="30"/>
  <c r="GF170" i="30"/>
  <c r="GE170" i="30"/>
  <c r="GA263" i="30"/>
  <c r="FZ263" i="30"/>
  <c r="FY263" i="30"/>
  <c r="FX263" i="30"/>
  <c r="GA260" i="30"/>
  <c r="FZ260" i="30"/>
  <c r="FY260" i="30"/>
  <c r="FX260" i="30"/>
  <c r="GA253" i="30"/>
  <c r="FZ253" i="30"/>
  <c r="FY253" i="30"/>
  <c r="FX253" i="30"/>
  <c r="GA250" i="30"/>
  <c r="FZ250" i="30"/>
  <c r="FY250" i="30"/>
  <c r="FX250" i="30"/>
  <c r="GA240" i="30"/>
  <c r="FZ240" i="30"/>
  <c r="FY240" i="30"/>
  <c r="FX240" i="30"/>
  <c r="GA233" i="30"/>
  <c r="FZ233" i="30"/>
  <c r="FY233" i="30"/>
  <c r="FX233" i="30"/>
  <c r="GA230" i="30"/>
  <c r="FZ230" i="30"/>
  <c r="FY230" i="30"/>
  <c r="FX230" i="30"/>
  <c r="GA223" i="30"/>
  <c r="FZ223" i="30"/>
  <c r="FY223" i="30"/>
  <c r="FX223" i="30"/>
  <c r="GA220" i="30"/>
  <c r="FZ220" i="30"/>
  <c r="FY220" i="30"/>
  <c r="FX220" i="30"/>
  <c r="GA213" i="30"/>
  <c r="FZ213" i="30"/>
  <c r="FY213" i="30"/>
  <c r="FX213" i="30"/>
  <c r="GA210" i="30"/>
  <c r="FZ210" i="30"/>
  <c r="FY210" i="30"/>
  <c r="FX210" i="30"/>
  <c r="GA203" i="30"/>
  <c r="FZ203" i="30"/>
  <c r="FY203" i="30"/>
  <c r="FX203" i="30"/>
  <c r="GA200" i="30"/>
  <c r="FZ200" i="30"/>
  <c r="FY200" i="30"/>
  <c r="FX200" i="30"/>
  <c r="GA193" i="30"/>
  <c r="FZ193" i="30"/>
  <c r="FY193" i="30"/>
  <c r="FX193" i="30"/>
  <c r="GA190" i="30"/>
  <c r="FZ190" i="30"/>
  <c r="FY190" i="30"/>
  <c r="FX190" i="30"/>
  <c r="GA183" i="30"/>
  <c r="FZ183" i="30"/>
  <c r="FY183" i="30"/>
  <c r="FX183" i="30"/>
  <c r="GA180" i="30"/>
  <c r="FZ180" i="30"/>
  <c r="FY180" i="30"/>
  <c r="FX180" i="30"/>
  <c r="GA173" i="30"/>
  <c r="FZ173" i="30"/>
  <c r="FY173" i="30"/>
  <c r="FX173" i="30"/>
  <c r="GA170" i="30"/>
  <c r="FZ170" i="30"/>
  <c r="FY170" i="30"/>
  <c r="FX170" i="30"/>
  <c r="FT263" i="30"/>
  <c r="FS263" i="30"/>
  <c r="FR263" i="30"/>
  <c r="FQ263" i="30"/>
  <c r="FT260" i="30"/>
  <c r="FS260" i="30"/>
  <c r="FR260" i="30"/>
  <c r="FQ260" i="30"/>
  <c r="FT233" i="30"/>
  <c r="FS233" i="30"/>
  <c r="FR233" i="30"/>
  <c r="FQ233" i="30"/>
  <c r="FT230" i="30"/>
  <c r="FS230" i="30"/>
  <c r="FR230" i="30"/>
  <c r="FQ230" i="30"/>
  <c r="FT223" i="30"/>
  <c r="FS223" i="30"/>
  <c r="FR223" i="30"/>
  <c r="FQ223" i="30"/>
  <c r="FT220" i="30"/>
  <c r="FS220" i="30"/>
  <c r="FR220" i="30"/>
  <c r="FQ220" i="30"/>
  <c r="FT213" i="30"/>
  <c r="FS213" i="30"/>
  <c r="FR213" i="30"/>
  <c r="FQ213" i="30"/>
  <c r="FT210" i="30"/>
  <c r="FS210" i="30"/>
  <c r="FR210" i="30"/>
  <c r="FQ210" i="30"/>
  <c r="FU203" i="30"/>
  <c r="FT203" i="30"/>
  <c r="FS203" i="30"/>
  <c r="FR203" i="30"/>
  <c r="FQ203" i="30"/>
  <c r="FU200" i="30"/>
  <c r="FT200" i="30"/>
  <c r="FS200" i="30"/>
  <c r="FR200" i="30"/>
  <c r="FQ200" i="30"/>
  <c r="FT193" i="30"/>
  <c r="FS193" i="30"/>
  <c r="FR193" i="30"/>
  <c r="FQ193" i="30"/>
  <c r="FT190" i="30"/>
  <c r="FS190" i="30"/>
  <c r="FR190" i="30"/>
  <c r="FQ190" i="30"/>
  <c r="FT173" i="30"/>
  <c r="FS173" i="30"/>
  <c r="FR173" i="30"/>
  <c r="FQ173" i="30"/>
  <c r="FT170" i="30"/>
  <c r="FS170" i="30"/>
  <c r="FR170" i="30"/>
  <c r="FQ170" i="30"/>
  <c r="FM263" i="30"/>
  <c r="FL263" i="30"/>
  <c r="FK263" i="30"/>
  <c r="FJ263" i="30"/>
  <c r="FM260" i="30"/>
  <c r="FL260" i="30"/>
  <c r="FK260" i="30"/>
  <c r="FJ260" i="30"/>
  <c r="FJ240" i="30"/>
  <c r="FM233" i="30"/>
  <c r="FL233" i="30"/>
  <c r="FK233" i="30"/>
  <c r="FJ233" i="30"/>
  <c r="FM230" i="30"/>
  <c r="FL230" i="30"/>
  <c r="FK230" i="30"/>
  <c r="FJ230" i="30"/>
  <c r="FM223" i="30"/>
  <c r="FL223" i="30"/>
  <c r="FK223" i="30"/>
  <c r="FJ223" i="30"/>
  <c r="FM220" i="30"/>
  <c r="FL220" i="30"/>
  <c r="FK220" i="30"/>
  <c r="FJ220" i="30"/>
  <c r="FM213" i="30"/>
  <c r="FL213" i="30"/>
  <c r="FK213" i="30"/>
  <c r="FJ213" i="30"/>
  <c r="FM210" i="30"/>
  <c r="FL210" i="30"/>
  <c r="FK210" i="30"/>
  <c r="FJ210" i="30"/>
  <c r="FN203" i="30"/>
  <c r="FM203" i="30"/>
  <c r="FL203" i="30"/>
  <c r="FK203" i="30"/>
  <c r="FJ203" i="30"/>
  <c r="FN200" i="30"/>
  <c r="FM200" i="30"/>
  <c r="FL200" i="30"/>
  <c r="FK200" i="30"/>
  <c r="FJ200" i="30"/>
  <c r="FM193" i="30"/>
  <c r="FL193" i="30"/>
  <c r="FK193" i="30"/>
  <c r="FJ193" i="30"/>
  <c r="FM190" i="30"/>
  <c r="FL190" i="30"/>
  <c r="FK190" i="30"/>
  <c r="FJ190" i="30"/>
  <c r="FJ183" i="30"/>
  <c r="FJ180" i="30"/>
  <c r="FM173" i="30"/>
  <c r="FL173" i="30"/>
  <c r="FK173" i="30"/>
  <c r="FJ173" i="30"/>
  <c r="FM170" i="30"/>
  <c r="FL170" i="30"/>
  <c r="FK170" i="30"/>
  <c r="FJ170" i="30"/>
  <c r="FF263" i="30"/>
  <c r="FE263" i="30"/>
  <c r="FD263" i="30"/>
  <c r="FC263" i="30"/>
  <c r="FF260" i="30"/>
  <c r="FE260" i="30"/>
  <c r="FD260" i="30"/>
  <c r="FC260" i="30"/>
  <c r="FF240" i="30"/>
  <c r="FE240" i="30"/>
  <c r="FD240" i="30"/>
  <c r="FC240" i="30"/>
  <c r="FF233" i="30"/>
  <c r="FE233" i="30"/>
  <c r="FD233" i="30"/>
  <c r="FC233" i="30"/>
  <c r="FF230" i="30"/>
  <c r="FE230" i="30"/>
  <c r="FD230" i="30"/>
  <c r="FC230" i="30"/>
  <c r="FF223" i="30"/>
  <c r="FE223" i="30"/>
  <c r="FD223" i="30"/>
  <c r="FC223" i="30"/>
  <c r="FF220" i="30"/>
  <c r="FE220" i="30"/>
  <c r="FD220" i="30"/>
  <c r="FC220" i="30"/>
  <c r="FF213" i="30"/>
  <c r="FE213" i="30"/>
  <c r="FD213" i="30"/>
  <c r="FC213" i="30"/>
  <c r="FF210" i="30"/>
  <c r="FE210" i="30"/>
  <c r="FD210" i="30"/>
  <c r="FC210" i="30"/>
  <c r="FG203" i="30"/>
  <c r="FF203" i="30"/>
  <c r="FE203" i="30"/>
  <c r="FD203" i="30"/>
  <c r="FC203" i="30"/>
  <c r="FG200" i="30"/>
  <c r="FF200" i="30"/>
  <c r="FE200" i="30"/>
  <c r="FD200" i="30"/>
  <c r="FC200" i="30"/>
  <c r="FF193" i="30"/>
  <c r="FE193" i="30"/>
  <c r="FD193" i="30"/>
  <c r="FC193" i="30"/>
  <c r="FF190" i="30"/>
  <c r="FE190" i="30"/>
  <c r="FD190" i="30"/>
  <c r="FC190" i="30"/>
  <c r="FF183" i="30"/>
  <c r="FE183" i="30"/>
  <c r="FD183" i="30"/>
  <c r="FC183" i="30"/>
  <c r="FF180" i="30"/>
  <c r="FE180" i="30"/>
  <c r="FD180" i="30"/>
  <c r="FC180" i="30"/>
  <c r="FF173" i="30"/>
  <c r="FE173" i="30"/>
  <c r="FD173" i="30"/>
  <c r="FC173" i="30"/>
  <c r="FF170" i="30"/>
  <c r="FE170" i="30"/>
  <c r="FD170" i="30"/>
  <c r="FC170" i="30"/>
  <c r="EY263" i="30"/>
  <c r="EX263" i="30"/>
  <c r="EW263" i="30"/>
  <c r="EV263" i="30"/>
  <c r="EY260" i="30"/>
  <c r="EX260" i="30"/>
  <c r="EW260" i="30"/>
  <c r="EV260" i="30"/>
  <c r="EY240" i="30"/>
  <c r="EX240" i="30"/>
  <c r="EW240" i="30"/>
  <c r="EV240" i="30"/>
  <c r="EY233" i="30"/>
  <c r="EX233" i="30"/>
  <c r="EW233" i="30"/>
  <c r="EV233" i="30"/>
  <c r="EY230" i="30"/>
  <c r="EX230" i="30"/>
  <c r="EW230" i="30"/>
  <c r="EV230" i="30"/>
  <c r="EY223" i="30"/>
  <c r="EX223" i="30"/>
  <c r="EW223" i="30"/>
  <c r="EV223" i="30"/>
  <c r="EY220" i="30"/>
  <c r="EX220" i="30"/>
  <c r="EW220" i="30"/>
  <c r="EV220" i="30"/>
  <c r="EY213" i="30"/>
  <c r="EX213" i="30"/>
  <c r="EW213" i="30"/>
  <c r="EV213" i="30"/>
  <c r="EY210" i="30"/>
  <c r="EX210" i="30"/>
  <c r="EW210" i="30"/>
  <c r="EV210" i="30"/>
  <c r="EZ203" i="30"/>
  <c r="EY203" i="30"/>
  <c r="EX203" i="30"/>
  <c r="EW203" i="30"/>
  <c r="EV203" i="30"/>
  <c r="EZ200" i="30"/>
  <c r="EY200" i="30"/>
  <c r="EX200" i="30"/>
  <c r="EW200" i="30"/>
  <c r="EV200" i="30"/>
  <c r="EY193" i="30"/>
  <c r="EX193" i="30"/>
  <c r="EW193" i="30"/>
  <c r="EV193" i="30"/>
  <c r="EY190" i="30"/>
  <c r="EX190" i="30"/>
  <c r="EW190" i="30"/>
  <c r="EV190" i="30"/>
  <c r="EY183" i="30"/>
  <c r="EX183" i="30"/>
  <c r="EW183" i="30"/>
  <c r="EV183" i="30"/>
  <c r="EY180" i="30"/>
  <c r="EX180" i="30"/>
  <c r="EW180" i="30"/>
  <c r="EV180" i="30"/>
  <c r="EY173" i="30"/>
  <c r="EX173" i="30"/>
  <c r="EW173" i="30"/>
  <c r="EV173" i="30"/>
  <c r="EY170" i="30"/>
  <c r="EX170" i="30"/>
  <c r="EW170" i="30"/>
  <c r="EV170" i="30"/>
  <c r="ER263" i="30"/>
  <c r="EQ263" i="30"/>
  <c r="EP263" i="30"/>
  <c r="EO263" i="30"/>
  <c r="ER260" i="30"/>
  <c r="EQ260" i="30"/>
  <c r="EP260" i="30"/>
  <c r="EO260" i="30"/>
  <c r="ER240" i="30"/>
  <c r="EQ240" i="30"/>
  <c r="EP240" i="30"/>
  <c r="EO240" i="30"/>
  <c r="ER233" i="30"/>
  <c r="EQ233" i="30"/>
  <c r="EP233" i="30"/>
  <c r="EO233" i="30"/>
  <c r="ER230" i="30"/>
  <c r="EQ230" i="30"/>
  <c r="EP230" i="30"/>
  <c r="EO230" i="30"/>
  <c r="ER223" i="30"/>
  <c r="EQ223" i="30"/>
  <c r="EP223" i="30"/>
  <c r="EO223" i="30"/>
  <c r="ER220" i="30"/>
  <c r="EQ220" i="30"/>
  <c r="EP220" i="30"/>
  <c r="EO220" i="30"/>
  <c r="ER213" i="30"/>
  <c r="EQ213" i="30"/>
  <c r="EP213" i="30"/>
  <c r="EO213" i="30"/>
  <c r="ER210" i="30"/>
  <c r="EQ210" i="30"/>
  <c r="EP210" i="30"/>
  <c r="EO210" i="30"/>
  <c r="ES203" i="30"/>
  <c r="ER203" i="30"/>
  <c r="EQ203" i="30"/>
  <c r="EP203" i="30"/>
  <c r="EO203" i="30"/>
  <c r="ES200" i="30"/>
  <c r="ER200" i="30"/>
  <c r="EQ200" i="30"/>
  <c r="EP200" i="30"/>
  <c r="EO200" i="30"/>
  <c r="ER193" i="30"/>
  <c r="EQ193" i="30"/>
  <c r="EP193" i="30"/>
  <c r="EO193" i="30"/>
  <c r="ER190" i="30"/>
  <c r="EQ190" i="30"/>
  <c r="EP190" i="30"/>
  <c r="EO190" i="30"/>
  <c r="ER183" i="30"/>
  <c r="EQ183" i="30"/>
  <c r="EP183" i="30"/>
  <c r="EO183" i="30"/>
  <c r="ER180" i="30"/>
  <c r="EQ180" i="30"/>
  <c r="EP180" i="30"/>
  <c r="EO180" i="30"/>
  <c r="ER173" i="30"/>
  <c r="EQ173" i="30"/>
  <c r="EP173" i="30"/>
  <c r="EO173" i="30"/>
  <c r="ER170" i="30"/>
  <c r="EQ170" i="30"/>
  <c r="EP170" i="30"/>
  <c r="EO170" i="30"/>
  <c r="EK263" i="30"/>
  <c r="EJ263" i="30"/>
  <c r="EI263" i="30"/>
  <c r="EH263" i="30"/>
  <c r="EK260" i="30"/>
  <c r="EJ260" i="30"/>
  <c r="EI260" i="30"/>
  <c r="EH260" i="30"/>
  <c r="EK240" i="30"/>
  <c r="EJ240" i="30"/>
  <c r="EI240" i="30"/>
  <c r="EH240" i="30"/>
  <c r="EK233" i="30"/>
  <c r="EJ233" i="30"/>
  <c r="EI233" i="30"/>
  <c r="EH233" i="30"/>
  <c r="EK230" i="30"/>
  <c r="EJ230" i="30"/>
  <c r="EI230" i="30"/>
  <c r="EH230" i="30"/>
  <c r="EK223" i="30"/>
  <c r="EJ223" i="30"/>
  <c r="EI223" i="30"/>
  <c r="EH223" i="30"/>
  <c r="EK220" i="30"/>
  <c r="EJ220" i="30"/>
  <c r="EI220" i="30"/>
  <c r="EH220" i="30"/>
  <c r="EK213" i="30"/>
  <c r="EJ213" i="30"/>
  <c r="EI213" i="30"/>
  <c r="EH213" i="30"/>
  <c r="EK210" i="30"/>
  <c r="EJ210" i="30"/>
  <c r="EI210" i="30"/>
  <c r="EH210" i="30"/>
  <c r="EK203" i="30"/>
  <c r="EJ203" i="30"/>
  <c r="EI203" i="30"/>
  <c r="EH203" i="30"/>
  <c r="EK200" i="30"/>
  <c r="EJ200" i="30"/>
  <c r="EI200" i="30"/>
  <c r="EH200" i="30"/>
  <c r="EK193" i="30"/>
  <c r="EJ193" i="30"/>
  <c r="EI193" i="30"/>
  <c r="EH193" i="30"/>
  <c r="EK190" i="30"/>
  <c r="EJ190" i="30"/>
  <c r="EI190" i="30"/>
  <c r="EH190" i="30"/>
  <c r="EK183" i="30"/>
  <c r="EJ183" i="30"/>
  <c r="EI183" i="30"/>
  <c r="EH183" i="30"/>
  <c r="EK180" i="30"/>
  <c r="EJ180" i="30"/>
  <c r="EI180" i="30"/>
  <c r="EH180" i="30"/>
  <c r="EK173" i="30"/>
  <c r="EJ173" i="30"/>
  <c r="EI173" i="30"/>
  <c r="EH173" i="30"/>
  <c r="EK170" i="30"/>
  <c r="EJ170" i="30"/>
  <c r="EI170" i="30"/>
  <c r="EH170" i="30"/>
  <c r="ED263" i="30"/>
  <c r="EC263" i="30"/>
  <c r="EB263" i="30"/>
  <c r="ED260" i="30"/>
  <c r="EC260" i="30"/>
  <c r="EB260" i="30"/>
  <c r="EA260" i="30"/>
  <c r="ED240" i="30"/>
  <c r="EC240" i="30"/>
  <c r="EB240" i="30"/>
  <c r="EA240" i="30"/>
  <c r="ED233" i="30"/>
  <c r="EC233" i="30"/>
  <c r="EB233" i="30"/>
  <c r="EA233" i="30"/>
  <c r="ED230" i="30"/>
  <c r="EC230" i="30"/>
  <c r="EB230" i="30"/>
  <c r="EA230" i="30"/>
  <c r="ED223" i="30"/>
  <c r="EC223" i="30"/>
  <c r="EB223" i="30"/>
  <c r="EA223" i="30"/>
  <c r="ED220" i="30"/>
  <c r="EC220" i="30"/>
  <c r="EB220" i="30"/>
  <c r="EA220" i="30"/>
  <c r="ED213" i="30"/>
  <c r="EC213" i="30"/>
  <c r="EB213" i="30"/>
  <c r="EA213" i="30"/>
  <c r="ED210" i="30"/>
  <c r="EC210" i="30"/>
  <c r="EB210" i="30"/>
  <c r="EA210" i="30"/>
  <c r="ED203" i="30"/>
  <c r="EC203" i="30"/>
  <c r="EB203" i="30"/>
  <c r="EA203" i="30"/>
  <c r="ED200" i="30"/>
  <c r="EC200" i="30"/>
  <c r="EB200" i="30"/>
  <c r="EA200" i="30"/>
  <c r="ED193" i="30"/>
  <c r="EC193" i="30"/>
  <c r="EB193" i="30"/>
  <c r="EA193" i="30"/>
  <c r="ED190" i="30"/>
  <c r="EC190" i="30"/>
  <c r="EB190" i="30"/>
  <c r="EA190" i="30"/>
  <c r="ED183" i="30"/>
  <c r="EC183" i="30"/>
  <c r="EB183" i="30"/>
  <c r="EA183" i="30"/>
  <c r="ED180" i="30"/>
  <c r="EC180" i="30"/>
  <c r="EB180" i="30"/>
  <c r="EA180" i="30"/>
  <c r="ED173" i="30"/>
  <c r="EC173" i="30"/>
  <c r="EB173" i="30"/>
  <c r="EA173" i="30"/>
  <c r="ED170" i="30"/>
  <c r="EC170" i="30"/>
  <c r="EB170" i="30"/>
  <c r="EA170" i="30"/>
  <c r="DW263" i="30"/>
  <c r="DV263" i="30"/>
  <c r="DU263" i="30"/>
  <c r="DT263" i="30"/>
  <c r="DW260" i="30"/>
  <c r="DV260" i="30"/>
  <c r="DU260" i="30"/>
  <c r="DT260" i="30"/>
  <c r="DW240" i="30"/>
  <c r="DV240" i="30"/>
  <c r="DU240" i="30"/>
  <c r="DT240" i="30"/>
  <c r="DW233" i="30"/>
  <c r="DV233" i="30"/>
  <c r="DU233" i="30"/>
  <c r="DT233" i="30"/>
  <c r="DW230" i="30"/>
  <c r="DV230" i="30"/>
  <c r="DU230" i="30"/>
  <c r="DT230" i="30"/>
  <c r="DW223" i="30"/>
  <c r="DV223" i="30"/>
  <c r="DU223" i="30"/>
  <c r="DT223" i="30"/>
  <c r="DW220" i="30"/>
  <c r="DV220" i="30"/>
  <c r="DU220" i="30"/>
  <c r="DT220" i="30"/>
  <c r="DW213" i="30"/>
  <c r="DV213" i="30"/>
  <c r="DU213" i="30"/>
  <c r="DT213" i="30"/>
  <c r="DW210" i="30"/>
  <c r="DV210" i="30"/>
  <c r="DU210" i="30"/>
  <c r="DT210" i="30"/>
  <c r="DW203" i="30"/>
  <c r="DV203" i="30"/>
  <c r="DU203" i="30"/>
  <c r="DT203" i="30"/>
  <c r="DW200" i="30"/>
  <c r="DV200" i="30"/>
  <c r="DU200" i="30"/>
  <c r="DT200" i="30"/>
  <c r="DW193" i="30"/>
  <c r="DV193" i="30"/>
  <c r="DU193" i="30"/>
  <c r="DT193" i="30"/>
  <c r="DW190" i="30"/>
  <c r="DV190" i="30"/>
  <c r="DU190" i="30"/>
  <c r="DT190" i="30"/>
  <c r="DW183" i="30"/>
  <c r="DV183" i="30"/>
  <c r="DU183" i="30"/>
  <c r="DT183" i="30"/>
  <c r="DW180" i="30"/>
  <c r="DV180" i="30"/>
  <c r="DU180" i="30"/>
  <c r="DT180" i="30"/>
  <c r="DW173" i="30"/>
  <c r="DV173" i="30"/>
  <c r="DU173" i="30"/>
  <c r="DT173" i="30"/>
  <c r="DW170" i="30"/>
  <c r="DV170" i="30"/>
  <c r="DU170" i="30"/>
  <c r="DT170" i="30"/>
  <c r="DP263" i="30"/>
  <c r="DO263" i="30"/>
  <c r="DN263" i="30"/>
  <c r="DM263" i="30"/>
  <c r="DP260" i="30"/>
  <c r="DO260" i="30"/>
  <c r="DN260" i="30"/>
  <c r="DM260" i="30"/>
  <c r="DP240" i="30"/>
  <c r="DO240" i="30"/>
  <c r="DN240" i="30"/>
  <c r="DM240" i="30"/>
  <c r="DP233" i="30"/>
  <c r="DO233" i="30"/>
  <c r="DN233" i="30"/>
  <c r="DM233" i="30"/>
  <c r="DP230" i="30"/>
  <c r="DO230" i="30"/>
  <c r="DN230" i="30"/>
  <c r="DM230" i="30"/>
  <c r="DP223" i="30"/>
  <c r="DO223" i="30"/>
  <c r="DN223" i="30"/>
  <c r="DM223" i="30"/>
  <c r="DP220" i="30"/>
  <c r="DO220" i="30"/>
  <c r="DN220" i="30"/>
  <c r="DM220" i="30"/>
  <c r="DP213" i="30"/>
  <c r="DO213" i="30"/>
  <c r="DN213" i="30"/>
  <c r="DM213" i="30"/>
  <c r="DP210" i="30"/>
  <c r="DO210" i="30"/>
  <c r="DN210" i="30"/>
  <c r="DM210" i="30"/>
  <c r="DP203" i="30"/>
  <c r="DO203" i="30"/>
  <c r="DN203" i="30"/>
  <c r="DM203" i="30"/>
  <c r="DP200" i="30"/>
  <c r="DO200" i="30"/>
  <c r="DN200" i="30"/>
  <c r="DM200" i="30"/>
  <c r="DP193" i="30"/>
  <c r="DO193" i="30"/>
  <c r="DN193" i="30"/>
  <c r="DM193" i="30"/>
  <c r="DP190" i="30"/>
  <c r="DO190" i="30"/>
  <c r="DN190" i="30"/>
  <c r="DM190" i="30"/>
  <c r="DP183" i="30"/>
  <c r="DO183" i="30"/>
  <c r="DN183" i="30"/>
  <c r="DM183" i="30"/>
  <c r="DP180" i="30"/>
  <c r="DO180" i="30"/>
  <c r="DN180" i="30"/>
  <c r="DM180" i="30"/>
  <c r="DP173" i="30"/>
  <c r="DO173" i="30"/>
  <c r="DN173" i="30"/>
  <c r="DM173" i="30"/>
  <c r="DP170" i="30"/>
  <c r="DO170" i="30"/>
  <c r="DN170" i="30"/>
  <c r="DM170" i="30"/>
  <c r="DI263" i="30"/>
  <c r="DH263" i="30"/>
  <c r="DG263" i="30"/>
  <c r="DF263" i="30"/>
  <c r="DI260" i="30"/>
  <c r="DH260" i="30"/>
  <c r="DG260" i="30"/>
  <c r="DF260" i="30"/>
  <c r="DI240" i="30"/>
  <c r="DH240" i="30"/>
  <c r="DG240" i="30"/>
  <c r="DF240" i="30"/>
  <c r="DI233" i="30"/>
  <c r="DH233" i="30"/>
  <c r="DG233" i="30"/>
  <c r="DF233" i="30"/>
  <c r="DI230" i="30"/>
  <c r="DH230" i="30"/>
  <c r="DG230" i="30"/>
  <c r="DF230" i="30"/>
  <c r="DI223" i="30"/>
  <c r="DH223" i="30"/>
  <c r="DG223" i="30"/>
  <c r="DF223" i="30"/>
  <c r="DI220" i="30"/>
  <c r="DH220" i="30"/>
  <c r="DG220" i="30"/>
  <c r="DF220" i="30"/>
  <c r="DI213" i="30"/>
  <c r="DH213" i="30"/>
  <c r="DG213" i="30"/>
  <c r="DF213" i="30"/>
  <c r="DI210" i="30"/>
  <c r="DH210" i="30"/>
  <c r="DG210" i="30"/>
  <c r="DF210" i="30"/>
  <c r="DI203" i="30"/>
  <c r="DH203" i="30"/>
  <c r="DG203" i="30"/>
  <c r="DF203" i="30"/>
  <c r="DI200" i="30"/>
  <c r="DH200" i="30"/>
  <c r="DG200" i="30"/>
  <c r="DF200" i="30"/>
  <c r="DI193" i="30"/>
  <c r="DH193" i="30"/>
  <c r="DG193" i="30"/>
  <c r="DF193" i="30"/>
  <c r="DI190" i="30"/>
  <c r="DH190" i="30"/>
  <c r="DG190" i="30"/>
  <c r="DF190" i="30"/>
  <c r="DI183" i="30"/>
  <c r="DH183" i="30"/>
  <c r="DG183" i="30"/>
  <c r="DF183" i="30"/>
  <c r="DI180" i="30"/>
  <c r="DH180" i="30"/>
  <c r="DG180" i="30"/>
  <c r="DF180" i="30"/>
  <c r="DI173" i="30"/>
  <c r="DH173" i="30"/>
  <c r="DG173" i="30"/>
  <c r="DF173" i="30"/>
  <c r="DI170" i="30"/>
  <c r="DH170" i="30"/>
  <c r="DG170" i="30"/>
  <c r="DF170" i="30"/>
  <c r="DB263" i="30"/>
  <c r="DA263" i="30"/>
  <c r="CZ263" i="30"/>
  <c r="CY263" i="30"/>
  <c r="DB260" i="30"/>
  <c r="DA260" i="30"/>
  <c r="CZ260" i="30"/>
  <c r="CY260" i="30"/>
  <c r="DB240" i="30"/>
  <c r="DA240" i="30"/>
  <c r="CZ240" i="30"/>
  <c r="CY240" i="30"/>
  <c r="DB233" i="30"/>
  <c r="DA233" i="30"/>
  <c r="CZ233" i="30"/>
  <c r="CY233" i="30"/>
  <c r="DB230" i="30"/>
  <c r="DA230" i="30"/>
  <c r="CZ230" i="30"/>
  <c r="CY230" i="30"/>
  <c r="DB223" i="30"/>
  <c r="DA223" i="30"/>
  <c r="CZ223" i="30"/>
  <c r="CY223" i="30"/>
  <c r="DB220" i="30"/>
  <c r="DA220" i="30"/>
  <c r="CZ220" i="30"/>
  <c r="CY220" i="30"/>
  <c r="DB213" i="30"/>
  <c r="DA213" i="30"/>
  <c r="CZ213" i="30"/>
  <c r="CY213" i="30"/>
  <c r="DB210" i="30"/>
  <c r="DA210" i="30"/>
  <c r="CZ210" i="30"/>
  <c r="CY210" i="30"/>
  <c r="DB203" i="30"/>
  <c r="DA203" i="30"/>
  <c r="CZ203" i="30"/>
  <c r="CY203" i="30"/>
  <c r="DB200" i="30"/>
  <c r="DA200" i="30"/>
  <c r="CZ200" i="30"/>
  <c r="CY200" i="30"/>
  <c r="DB193" i="30"/>
  <c r="DA193" i="30"/>
  <c r="CZ193" i="30"/>
  <c r="CY193" i="30"/>
  <c r="DB190" i="30"/>
  <c r="DA190" i="30"/>
  <c r="CZ190" i="30"/>
  <c r="CY190" i="30"/>
  <c r="DB183" i="30"/>
  <c r="DA183" i="30"/>
  <c r="CZ183" i="30"/>
  <c r="CY183" i="30"/>
  <c r="DB180" i="30"/>
  <c r="DA180" i="30"/>
  <c r="CZ180" i="30"/>
  <c r="CY180" i="30"/>
  <c r="DB173" i="30"/>
  <c r="DA173" i="30"/>
  <c r="CZ173" i="30"/>
  <c r="CY173" i="30"/>
  <c r="DB170" i="30"/>
  <c r="DA170" i="30"/>
  <c r="CZ170" i="30"/>
  <c r="CY170" i="30"/>
  <c r="CU263" i="30"/>
  <c r="CT263" i="30"/>
  <c r="CS263" i="30"/>
  <c r="CR263" i="30"/>
  <c r="CU260" i="30"/>
  <c r="CT260" i="30"/>
  <c r="CS260" i="30"/>
  <c r="CR260" i="30"/>
  <c r="CU240" i="30"/>
  <c r="CT240" i="30"/>
  <c r="CS240" i="30"/>
  <c r="CR240" i="30"/>
  <c r="CU233" i="30"/>
  <c r="CT233" i="30"/>
  <c r="CS233" i="30"/>
  <c r="CR233" i="30"/>
  <c r="CU230" i="30"/>
  <c r="CT230" i="30"/>
  <c r="CS230" i="30"/>
  <c r="CR230" i="30"/>
  <c r="CU223" i="30"/>
  <c r="CT223" i="30"/>
  <c r="CS223" i="30"/>
  <c r="CR223" i="30"/>
  <c r="CU220" i="30"/>
  <c r="CT220" i="30"/>
  <c r="CS220" i="30"/>
  <c r="CR220" i="30"/>
  <c r="CU213" i="30"/>
  <c r="CT213" i="30"/>
  <c r="CS213" i="30"/>
  <c r="CR213" i="30"/>
  <c r="CU210" i="30"/>
  <c r="CT210" i="30"/>
  <c r="CS210" i="30"/>
  <c r="CR210" i="30"/>
  <c r="CU203" i="30"/>
  <c r="CT203" i="30"/>
  <c r="CS203" i="30"/>
  <c r="CR203" i="30"/>
  <c r="CU200" i="30"/>
  <c r="CT200" i="30"/>
  <c r="CS200" i="30"/>
  <c r="CR200" i="30"/>
  <c r="CU193" i="30"/>
  <c r="CT193" i="30"/>
  <c r="CS193" i="30"/>
  <c r="CR193" i="30"/>
  <c r="CU190" i="30"/>
  <c r="CT190" i="30"/>
  <c r="CS190" i="30"/>
  <c r="CR190" i="30"/>
  <c r="CU183" i="30"/>
  <c r="CT183" i="30"/>
  <c r="CS183" i="30"/>
  <c r="CR183" i="30"/>
  <c r="CU180" i="30"/>
  <c r="CT180" i="30"/>
  <c r="CS180" i="30"/>
  <c r="CR180" i="30"/>
  <c r="CU173" i="30"/>
  <c r="CT173" i="30"/>
  <c r="CS173" i="30"/>
  <c r="CR173" i="30"/>
  <c r="CU170" i="30"/>
  <c r="CT170" i="30"/>
  <c r="CS170" i="30"/>
  <c r="CR170" i="30"/>
  <c r="CN263" i="30"/>
  <c r="CM263" i="30"/>
  <c r="CL263" i="30"/>
  <c r="CK263" i="30"/>
  <c r="CN260" i="30"/>
  <c r="CM260" i="30"/>
  <c r="CL260" i="30"/>
  <c r="CK260" i="30"/>
  <c r="CN240" i="30"/>
  <c r="CM240" i="30"/>
  <c r="CL240" i="30"/>
  <c r="CK240" i="30"/>
  <c r="CN233" i="30"/>
  <c r="CM233" i="30"/>
  <c r="CL233" i="30"/>
  <c r="CK233" i="30"/>
  <c r="CN230" i="30"/>
  <c r="CM230" i="30"/>
  <c r="CL230" i="30"/>
  <c r="CK230" i="30"/>
  <c r="CN223" i="30"/>
  <c r="CM223" i="30"/>
  <c r="CL223" i="30"/>
  <c r="CK223" i="30"/>
  <c r="CN220" i="30"/>
  <c r="CM220" i="30"/>
  <c r="CL220" i="30"/>
  <c r="CK220" i="30"/>
  <c r="CN213" i="30"/>
  <c r="CM213" i="30"/>
  <c r="CL213" i="30"/>
  <c r="CK213" i="30"/>
  <c r="CN210" i="30"/>
  <c r="CM210" i="30"/>
  <c r="CL210" i="30"/>
  <c r="CK210" i="30"/>
  <c r="CN203" i="30"/>
  <c r="CM203" i="30"/>
  <c r="CL203" i="30"/>
  <c r="CK203" i="30"/>
  <c r="CN200" i="30"/>
  <c r="CM200" i="30"/>
  <c r="CL200" i="30"/>
  <c r="CK200" i="30"/>
  <c r="CN193" i="30"/>
  <c r="CM193" i="30"/>
  <c r="CL193" i="30"/>
  <c r="CK193" i="30"/>
  <c r="CN190" i="30"/>
  <c r="CM190" i="30"/>
  <c r="CL190" i="30"/>
  <c r="CK190" i="30"/>
  <c r="CN183" i="30"/>
  <c r="CM183" i="30"/>
  <c r="CL183" i="30"/>
  <c r="CK183" i="30"/>
  <c r="CN180" i="30"/>
  <c r="CM180" i="30"/>
  <c r="CL180" i="30"/>
  <c r="CK180" i="30"/>
  <c r="CN173" i="30"/>
  <c r="CM173" i="30"/>
  <c r="CL173" i="30"/>
  <c r="CK173" i="30"/>
  <c r="CN170" i="30"/>
  <c r="CM170" i="30"/>
  <c r="CL170" i="30"/>
  <c r="CK170" i="30"/>
  <c r="CG263" i="30"/>
  <c r="CF263" i="30"/>
  <c r="CE263" i="30"/>
  <c r="CD263" i="30"/>
  <c r="CG260" i="30"/>
  <c r="CF260" i="30"/>
  <c r="CE260" i="30"/>
  <c r="CD260" i="30"/>
  <c r="CG253" i="30"/>
  <c r="CF253" i="30"/>
  <c r="CE253" i="30"/>
  <c r="CD253" i="30"/>
  <c r="CG250" i="30"/>
  <c r="CF250" i="30"/>
  <c r="CE250" i="30"/>
  <c r="CD250" i="30"/>
  <c r="CG240" i="30"/>
  <c r="CF240" i="30"/>
  <c r="CE240" i="30"/>
  <c r="CD240" i="30"/>
  <c r="CG233" i="30"/>
  <c r="CF233" i="30"/>
  <c r="CE233" i="30"/>
  <c r="CD233" i="30"/>
  <c r="CG230" i="30"/>
  <c r="CF230" i="30"/>
  <c r="CE230" i="30"/>
  <c r="CD230" i="30"/>
  <c r="CG223" i="30"/>
  <c r="CF223" i="30"/>
  <c r="CE223" i="30"/>
  <c r="CD223" i="30"/>
  <c r="CG220" i="30"/>
  <c r="CF220" i="30"/>
  <c r="CE220" i="30"/>
  <c r="CD220" i="30"/>
  <c r="CG213" i="30"/>
  <c r="CF213" i="30"/>
  <c r="CE213" i="30"/>
  <c r="CD213" i="30"/>
  <c r="CG210" i="30"/>
  <c r="CF210" i="30"/>
  <c r="CE210" i="30"/>
  <c r="CD210" i="30"/>
  <c r="CG203" i="30"/>
  <c r="CF203" i="30"/>
  <c r="CE203" i="30"/>
  <c r="CD203" i="30"/>
  <c r="CG200" i="30"/>
  <c r="CF200" i="30"/>
  <c r="CE200" i="30"/>
  <c r="CD200" i="30"/>
  <c r="CG193" i="30"/>
  <c r="CF193" i="30"/>
  <c r="CE193" i="30"/>
  <c r="CD193" i="30"/>
  <c r="CG190" i="30"/>
  <c r="CF190" i="30"/>
  <c r="CE190" i="30"/>
  <c r="CD190" i="30"/>
  <c r="CG183" i="30"/>
  <c r="CF183" i="30"/>
  <c r="CE183" i="30"/>
  <c r="CD183" i="30"/>
  <c r="CG180" i="30"/>
  <c r="CF180" i="30"/>
  <c r="CE180" i="30"/>
  <c r="CD180" i="30"/>
  <c r="CG173" i="30"/>
  <c r="CF173" i="30"/>
  <c r="CE173" i="30"/>
  <c r="CD173" i="30"/>
  <c r="CG170" i="30"/>
  <c r="CF170" i="30"/>
  <c r="CE170" i="30"/>
  <c r="CD170" i="30"/>
  <c r="BZ240" i="30"/>
  <c r="BY240" i="30"/>
  <c r="BX240" i="30"/>
  <c r="BW240" i="30"/>
  <c r="BZ263" i="30"/>
  <c r="BY263" i="30"/>
  <c r="BX263" i="30"/>
  <c r="BW263" i="30"/>
  <c r="BZ260" i="30"/>
  <c r="BY260" i="30"/>
  <c r="BX260" i="30"/>
  <c r="BW260" i="30"/>
  <c r="BZ253" i="30"/>
  <c r="BY253" i="30"/>
  <c r="BX253" i="30"/>
  <c r="BW253" i="30"/>
  <c r="BZ250" i="30"/>
  <c r="BY250" i="30"/>
  <c r="BX250" i="30"/>
  <c r="BW250" i="30"/>
  <c r="BZ233" i="30"/>
  <c r="BY233" i="30"/>
  <c r="BX233" i="30"/>
  <c r="BW233" i="30"/>
  <c r="BZ230" i="30"/>
  <c r="BY230" i="30"/>
  <c r="BX230" i="30"/>
  <c r="BW230" i="30"/>
  <c r="BZ223" i="30"/>
  <c r="BY223" i="30"/>
  <c r="BX223" i="30"/>
  <c r="BW223" i="30"/>
  <c r="BZ220" i="30"/>
  <c r="BY220" i="30"/>
  <c r="BX220" i="30"/>
  <c r="BW220" i="30"/>
  <c r="BZ213" i="30"/>
  <c r="BY213" i="30"/>
  <c r="BX213" i="30"/>
  <c r="BW213" i="30"/>
  <c r="BZ210" i="30"/>
  <c r="BY210" i="30"/>
  <c r="BX210" i="30"/>
  <c r="BW210" i="30"/>
  <c r="BZ203" i="30"/>
  <c r="BY203" i="30"/>
  <c r="BX203" i="30"/>
  <c r="BW203" i="30"/>
  <c r="BZ200" i="30"/>
  <c r="BY200" i="30"/>
  <c r="BX200" i="30"/>
  <c r="BW200" i="30"/>
  <c r="BZ193" i="30"/>
  <c r="BY193" i="30"/>
  <c r="BX193" i="30"/>
  <c r="BW193" i="30"/>
  <c r="BZ190" i="30"/>
  <c r="BY190" i="30"/>
  <c r="BX190" i="30"/>
  <c r="BW190" i="30"/>
  <c r="BZ183" i="30"/>
  <c r="BY183" i="30"/>
  <c r="BX183" i="30"/>
  <c r="BW183" i="30"/>
  <c r="BZ180" i="30"/>
  <c r="BY180" i="30"/>
  <c r="BX180" i="30"/>
  <c r="BW180" i="30"/>
  <c r="BZ173" i="30"/>
  <c r="BY173" i="30"/>
  <c r="BX173" i="30"/>
  <c r="BW173" i="30"/>
  <c r="BZ170" i="30"/>
  <c r="BY170" i="30"/>
  <c r="BX170" i="30"/>
  <c r="BW170" i="30"/>
  <c r="KS189" i="30"/>
  <c r="LG277" i="30"/>
  <c r="LG276" i="30"/>
  <c r="LG274" i="30"/>
  <c r="LG273" i="30"/>
  <c r="LG271" i="30"/>
  <c r="LG270" i="30"/>
  <c r="LG269" i="30"/>
  <c r="LG267" i="30"/>
  <c r="LG266" i="30"/>
  <c r="LG264" i="30"/>
  <c r="LG263" i="30"/>
  <c r="LG261" i="30"/>
  <c r="LG260" i="30"/>
  <c r="LG259" i="30"/>
  <c r="LG257" i="30"/>
  <c r="LG256" i="30"/>
  <c r="LG254" i="30"/>
  <c r="LG253" i="30"/>
  <c r="LG251" i="30"/>
  <c r="LG250" i="30"/>
  <c r="LG249" i="30"/>
  <c r="LG247" i="30"/>
  <c r="LG246" i="30"/>
  <c r="LG244" i="30"/>
  <c r="LG243" i="30"/>
  <c r="LG241" i="30"/>
  <c r="LG240" i="30"/>
  <c r="LG239" i="30"/>
  <c r="LG237" i="30"/>
  <c r="LG236" i="30"/>
  <c r="LG234" i="30"/>
  <c r="LG233" i="30"/>
  <c r="LG231" i="30"/>
  <c r="LG230" i="30"/>
  <c r="LG229" i="30"/>
  <c r="LG227" i="30"/>
  <c r="LG226" i="30"/>
  <c r="LG224" i="30"/>
  <c r="LG223" i="30"/>
  <c r="LG221" i="30"/>
  <c r="LG220" i="30"/>
  <c r="LG219" i="30"/>
  <c r="LG217" i="30"/>
  <c r="LG216" i="30"/>
  <c r="LG214" i="30"/>
  <c r="LG213" i="30"/>
  <c r="LG211" i="30"/>
  <c r="LG210" i="30"/>
  <c r="LG209" i="30"/>
  <c r="LG207" i="30"/>
  <c r="LG206" i="30"/>
  <c r="LG204" i="30"/>
  <c r="LG203" i="30"/>
  <c r="LG201" i="30"/>
  <c r="LG200" i="30"/>
  <c r="LG199" i="30"/>
  <c r="LG197" i="30"/>
  <c r="LG196" i="30"/>
  <c r="LG194" i="30"/>
  <c r="LG193" i="30"/>
  <c r="LG191" i="30"/>
  <c r="LG190" i="30"/>
  <c r="LG189" i="30"/>
  <c r="LG187" i="30"/>
  <c r="LG186" i="30"/>
  <c r="LG184" i="30"/>
  <c r="LG183" i="30"/>
  <c r="LG181" i="30"/>
  <c r="LG180" i="30"/>
  <c r="LG179" i="30"/>
  <c r="LG177" i="30"/>
  <c r="LG176" i="30"/>
  <c r="LG174" i="30"/>
  <c r="LG173" i="30"/>
  <c r="LG171" i="30"/>
  <c r="LG170" i="30"/>
  <c r="LG169" i="30"/>
  <c r="KZ267" i="30"/>
  <c r="KZ266" i="30"/>
  <c r="KZ264" i="30"/>
  <c r="KZ263" i="30"/>
  <c r="KZ261" i="30"/>
  <c r="KZ260" i="30"/>
  <c r="KZ259" i="30"/>
  <c r="KZ257" i="30"/>
  <c r="KZ256" i="30"/>
  <c r="KZ254" i="30"/>
  <c r="KZ253" i="30"/>
  <c r="KZ251" i="30"/>
  <c r="KZ250" i="30"/>
  <c r="KZ249" i="30"/>
  <c r="KZ247" i="30"/>
  <c r="KZ246" i="30"/>
  <c r="KZ244" i="30"/>
  <c r="KZ243" i="30"/>
  <c r="KZ241" i="30"/>
  <c r="KZ240" i="30"/>
  <c r="KZ239" i="30"/>
  <c r="KZ237" i="30"/>
  <c r="KZ236" i="30"/>
  <c r="KZ234" i="30"/>
  <c r="KZ233" i="30"/>
  <c r="KZ231" i="30"/>
  <c r="KZ230" i="30"/>
  <c r="KZ229" i="30"/>
  <c r="KZ227" i="30"/>
  <c r="KZ226" i="30"/>
  <c r="KZ224" i="30"/>
  <c r="KZ223" i="30"/>
  <c r="KZ221" i="30"/>
  <c r="KZ220" i="30"/>
  <c r="KZ219" i="30"/>
  <c r="KZ217" i="30"/>
  <c r="KZ216" i="30"/>
  <c r="KZ214" i="30"/>
  <c r="KZ213" i="30"/>
  <c r="KZ211" i="30"/>
  <c r="KZ210" i="30"/>
  <c r="KZ209" i="30"/>
  <c r="KZ207" i="30"/>
  <c r="KZ206" i="30"/>
  <c r="KZ204" i="30"/>
  <c r="KZ203" i="30"/>
  <c r="KZ201" i="30"/>
  <c r="KZ200" i="30"/>
  <c r="KZ199" i="30"/>
  <c r="KZ197" i="30"/>
  <c r="KZ196" i="30"/>
  <c r="KZ194" i="30"/>
  <c r="KZ193" i="30"/>
  <c r="KZ191" i="30"/>
  <c r="KZ190" i="30"/>
  <c r="KZ189" i="30"/>
  <c r="KZ187" i="30"/>
  <c r="KZ186" i="30"/>
  <c r="KZ184" i="30"/>
  <c r="KZ183" i="30"/>
  <c r="KZ181" i="30"/>
  <c r="KZ180" i="30"/>
  <c r="KZ179" i="30"/>
  <c r="KZ177" i="30"/>
  <c r="KZ176" i="30"/>
  <c r="KZ174" i="30"/>
  <c r="KZ173" i="30"/>
  <c r="KZ171" i="30"/>
  <c r="KZ170" i="30"/>
  <c r="KZ169" i="30"/>
  <c r="KS277" i="30"/>
  <c r="KS276" i="30"/>
  <c r="KS274" i="30"/>
  <c r="KS273" i="30"/>
  <c r="KS271" i="30"/>
  <c r="KS270" i="30"/>
  <c r="KS269" i="30"/>
  <c r="KS267" i="30"/>
  <c r="KS266" i="30"/>
  <c r="KS264" i="30"/>
  <c r="KS263" i="30"/>
  <c r="KS261" i="30"/>
  <c r="KS260" i="30"/>
  <c r="KS259" i="30"/>
  <c r="KS257" i="30"/>
  <c r="KS256" i="30"/>
  <c r="KS254" i="30"/>
  <c r="KS253" i="30"/>
  <c r="KS251" i="30"/>
  <c r="KS250" i="30"/>
  <c r="KS249" i="30"/>
  <c r="KS247" i="30"/>
  <c r="KS246" i="30"/>
  <c r="KS244" i="30"/>
  <c r="KS243" i="30"/>
  <c r="KS241" i="30"/>
  <c r="KS240" i="30"/>
  <c r="KS239" i="30"/>
  <c r="KS237" i="30"/>
  <c r="KS236" i="30"/>
  <c r="KS234" i="30"/>
  <c r="KS233" i="30"/>
  <c r="KS231" i="30"/>
  <c r="KS230" i="30"/>
  <c r="KS229" i="30"/>
  <c r="KS227" i="30"/>
  <c r="KS226" i="30"/>
  <c r="KS224" i="30"/>
  <c r="KS223" i="30"/>
  <c r="KS221" i="30"/>
  <c r="KS220" i="30"/>
  <c r="KS219" i="30"/>
  <c r="KS217" i="30"/>
  <c r="KS216" i="30"/>
  <c r="KS214" i="30"/>
  <c r="KS213" i="30"/>
  <c r="KS211" i="30"/>
  <c r="KS210" i="30"/>
  <c r="KS209" i="30"/>
  <c r="KS207" i="30"/>
  <c r="KS206" i="30"/>
  <c r="KS204" i="30"/>
  <c r="KS203" i="30"/>
  <c r="KS201" i="30"/>
  <c r="KS200" i="30"/>
  <c r="KS199" i="30"/>
  <c r="KS197" i="30"/>
  <c r="KS196" i="30"/>
  <c r="KS194" i="30"/>
  <c r="KS193" i="30"/>
  <c r="KS191" i="30"/>
  <c r="KS190" i="30"/>
  <c r="KS187" i="30"/>
  <c r="KS186" i="30"/>
  <c r="KS184" i="30"/>
  <c r="KS183" i="30"/>
  <c r="KS181" i="30"/>
  <c r="KS180" i="30"/>
  <c r="KS179" i="30"/>
  <c r="KS177" i="30"/>
  <c r="KS176" i="30"/>
  <c r="KS174" i="30"/>
  <c r="KS173" i="30"/>
  <c r="KS171" i="30"/>
  <c r="KS170" i="30"/>
  <c r="KS169" i="30"/>
  <c r="KL277" i="30"/>
  <c r="KL276" i="30"/>
  <c r="KL274" i="30"/>
  <c r="KL273" i="30"/>
  <c r="KL271" i="30"/>
  <c r="KL270" i="30"/>
  <c r="KL269" i="30"/>
  <c r="KL267" i="30"/>
  <c r="KL266" i="30"/>
  <c r="KL264" i="30"/>
  <c r="KL263" i="30"/>
  <c r="KL261" i="30"/>
  <c r="KL260" i="30"/>
  <c r="KL259" i="30"/>
  <c r="KL257" i="30"/>
  <c r="KL256" i="30"/>
  <c r="KL254" i="30"/>
  <c r="KL253" i="30"/>
  <c r="KL251" i="30"/>
  <c r="KL250" i="30"/>
  <c r="KL249" i="30"/>
  <c r="KL247" i="30"/>
  <c r="KL246" i="30"/>
  <c r="KL244" i="30"/>
  <c r="KL243" i="30"/>
  <c r="KL241" i="30"/>
  <c r="KL240" i="30"/>
  <c r="KL239" i="30"/>
  <c r="KL237" i="30"/>
  <c r="KL236" i="30"/>
  <c r="KL234" i="30"/>
  <c r="KL233" i="30"/>
  <c r="KL231" i="30"/>
  <c r="KL230" i="30"/>
  <c r="KL229" i="30"/>
  <c r="KL227" i="30"/>
  <c r="KL226" i="30"/>
  <c r="KL224" i="30"/>
  <c r="KL223" i="30"/>
  <c r="KL221" i="30"/>
  <c r="KL220" i="30"/>
  <c r="KL219" i="30"/>
  <c r="KL217" i="30"/>
  <c r="KL216" i="30"/>
  <c r="KL214" i="30"/>
  <c r="KL213" i="30"/>
  <c r="KL211" i="30"/>
  <c r="KL210" i="30"/>
  <c r="KL209" i="30"/>
  <c r="KL207" i="30"/>
  <c r="KL206" i="30"/>
  <c r="KL204" i="30"/>
  <c r="KL203" i="30"/>
  <c r="KL201" i="30"/>
  <c r="KL200" i="30"/>
  <c r="KL199" i="30"/>
  <c r="KL197" i="30"/>
  <c r="KL196" i="30"/>
  <c r="KL194" i="30"/>
  <c r="KL193" i="30"/>
  <c r="KL191" i="30"/>
  <c r="KL190" i="30"/>
  <c r="KL189" i="30"/>
  <c r="KL187" i="30"/>
  <c r="KL186" i="30"/>
  <c r="KL184" i="30"/>
  <c r="KL183" i="30"/>
  <c r="KL181" i="30"/>
  <c r="KL180" i="30"/>
  <c r="KL179" i="30"/>
  <c r="KL177" i="30"/>
  <c r="KL176" i="30"/>
  <c r="KL174" i="30"/>
  <c r="KL173" i="30"/>
  <c r="KL171" i="30"/>
  <c r="KL170" i="30"/>
  <c r="KL169" i="30"/>
  <c r="KE277" i="30"/>
  <c r="KE276" i="30"/>
  <c r="KE274" i="30"/>
  <c r="KE273" i="30"/>
  <c r="KE271" i="30"/>
  <c r="KE270" i="30"/>
  <c r="KE269" i="30"/>
  <c r="KE267" i="30"/>
  <c r="KE266" i="30"/>
  <c r="KE264" i="30"/>
  <c r="KE263" i="30"/>
  <c r="KE261" i="30"/>
  <c r="KE260" i="30"/>
  <c r="KE259" i="30"/>
  <c r="KE257" i="30"/>
  <c r="KE256" i="30"/>
  <c r="KE254" i="30"/>
  <c r="KE253" i="30"/>
  <c r="KE251" i="30"/>
  <c r="KE250" i="30"/>
  <c r="KE249" i="30"/>
  <c r="KE247" i="30"/>
  <c r="KE246" i="30"/>
  <c r="KE244" i="30"/>
  <c r="KE243" i="30"/>
  <c r="KE241" i="30"/>
  <c r="KE240" i="30"/>
  <c r="KE239" i="30"/>
  <c r="KE237" i="30"/>
  <c r="KE236" i="30"/>
  <c r="KE234" i="30"/>
  <c r="KE233" i="30"/>
  <c r="KE231" i="30"/>
  <c r="KE230" i="30"/>
  <c r="KE229" i="30"/>
  <c r="KE227" i="30"/>
  <c r="KE226" i="30"/>
  <c r="KE224" i="30"/>
  <c r="KE223" i="30"/>
  <c r="KE221" i="30"/>
  <c r="KE220" i="30"/>
  <c r="KE219" i="30"/>
  <c r="KE217" i="30"/>
  <c r="KE216" i="30"/>
  <c r="KE214" i="30"/>
  <c r="KE213" i="30"/>
  <c r="KE211" i="30"/>
  <c r="KE210" i="30"/>
  <c r="KE209" i="30"/>
  <c r="KE207" i="30"/>
  <c r="KE206" i="30"/>
  <c r="KE204" i="30"/>
  <c r="KE203" i="30"/>
  <c r="KE201" i="30"/>
  <c r="KE200" i="30"/>
  <c r="KE199" i="30"/>
  <c r="KE197" i="30"/>
  <c r="KE196" i="30"/>
  <c r="KE194" i="30"/>
  <c r="KE193" i="30"/>
  <c r="KE191" i="30"/>
  <c r="KE190" i="30"/>
  <c r="KE189" i="30"/>
  <c r="KE187" i="30"/>
  <c r="KE186" i="30"/>
  <c r="KE184" i="30"/>
  <c r="KE183" i="30"/>
  <c r="KE181" i="30"/>
  <c r="KE180" i="30"/>
  <c r="KE179" i="30"/>
  <c r="KE177" i="30"/>
  <c r="KE176" i="30"/>
  <c r="KE174" i="30"/>
  <c r="KE173" i="30"/>
  <c r="KE171" i="30"/>
  <c r="KE170" i="30"/>
  <c r="KE169" i="30"/>
  <c r="JX277" i="30"/>
  <c r="JX276" i="30"/>
  <c r="JX274" i="30"/>
  <c r="JX273" i="30"/>
  <c r="JX271" i="30"/>
  <c r="JX270" i="30"/>
  <c r="JX269" i="30"/>
  <c r="JX267" i="30"/>
  <c r="JX266" i="30"/>
  <c r="JX264" i="30"/>
  <c r="JX263" i="30"/>
  <c r="JX261" i="30"/>
  <c r="JX260" i="30"/>
  <c r="JX259" i="30"/>
  <c r="JX257" i="30"/>
  <c r="JX256" i="30"/>
  <c r="JX254" i="30"/>
  <c r="JX253" i="30"/>
  <c r="JX251" i="30"/>
  <c r="JX250" i="30"/>
  <c r="JX249" i="30"/>
  <c r="JX247" i="30"/>
  <c r="JX246" i="30"/>
  <c r="JX244" i="30"/>
  <c r="JX243" i="30"/>
  <c r="JX241" i="30"/>
  <c r="JX240" i="30"/>
  <c r="JX239" i="30"/>
  <c r="JX237" i="30"/>
  <c r="JX236" i="30"/>
  <c r="JX234" i="30"/>
  <c r="JX233" i="30"/>
  <c r="JX231" i="30"/>
  <c r="JX230" i="30"/>
  <c r="JX229" i="30"/>
  <c r="JX227" i="30"/>
  <c r="JX226" i="30"/>
  <c r="JX224" i="30"/>
  <c r="JX223" i="30"/>
  <c r="JX221" i="30"/>
  <c r="JX220" i="30"/>
  <c r="JX219" i="30"/>
  <c r="JX217" i="30"/>
  <c r="JX216" i="30"/>
  <c r="JX214" i="30"/>
  <c r="JX213" i="30"/>
  <c r="JX211" i="30"/>
  <c r="JX210" i="30"/>
  <c r="JX209" i="30"/>
  <c r="JX207" i="30"/>
  <c r="JX206" i="30"/>
  <c r="JX204" i="30"/>
  <c r="JX203" i="30"/>
  <c r="JX201" i="30"/>
  <c r="JX200" i="30"/>
  <c r="JX199" i="30"/>
  <c r="JX197" i="30"/>
  <c r="JX196" i="30"/>
  <c r="JX194" i="30"/>
  <c r="JX193" i="30"/>
  <c r="JX191" i="30"/>
  <c r="JX190" i="30"/>
  <c r="JX189" i="30"/>
  <c r="JX187" i="30"/>
  <c r="JX186" i="30"/>
  <c r="JX184" i="30"/>
  <c r="JX183" i="30"/>
  <c r="JX181" i="30"/>
  <c r="JX180" i="30"/>
  <c r="JX179" i="30"/>
  <c r="JX177" i="30"/>
  <c r="JX176" i="30"/>
  <c r="JX174" i="30"/>
  <c r="JX173" i="30"/>
  <c r="JX171" i="30"/>
  <c r="JX170" i="30"/>
  <c r="JX169" i="30"/>
  <c r="JQ277" i="30"/>
  <c r="JQ276" i="30"/>
  <c r="JQ274" i="30"/>
  <c r="JQ273" i="30"/>
  <c r="JQ271" i="30"/>
  <c r="JQ270" i="30"/>
  <c r="JQ269" i="30"/>
  <c r="JQ267" i="30"/>
  <c r="JQ266" i="30"/>
  <c r="JQ264" i="30"/>
  <c r="JQ263" i="30"/>
  <c r="JQ261" i="30"/>
  <c r="JQ260" i="30"/>
  <c r="JQ259" i="30"/>
  <c r="JQ257" i="30"/>
  <c r="JQ256" i="30"/>
  <c r="JQ254" i="30"/>
  <c r="JQ253" i="30"/>
  <c r="JQ251" i="30"/>
  <c r="JQ250" i="30"/>
  <c r="JQ249" i="30"/>
  <c r="JQ247" i="30"/>
  <c r="JQ246" i="30"/>
  <c r="JQ244" i="30"/>
  <c r="JQ243" i="30"/>
  <c r="JQ241" i="30"/>
  <c r="JQ240" i="30"/>
  <c r="JQ239" i="30"/>
  <c r="JQ237" i="30"/>
  <c r="JQ236" i="30"/>
  <c r="JQ234" i="30"/>
  <c r="JQ233" i="30"/>
  <c r="JQ231" i="30"/>
  <c r="JQ230" i="30"/>
  <c r="JQ229" i="30"/>
  <c r="JQ227" i="30"/>
  <c r="JQ226" i="30"/>
  <c r="JQ224" i="30"/>
  <c r="JQ223" i="30"/>
  <c r="JQ221" i="30"/>
  <c r="JQ220" i="30"/>
  <c r="JQ219" i="30"/>
  <c r="JQ217" i="30"/>
  <c r="JQ216" i="30"/>
  <c r="JQ214" i="30"/>
  <c r="JQ213" i="30"/>
  <c r="JQ211" i="30"/>
  <c r="JQ210" i="30"/>
  <c r="JQ209" i="30"/>
  <c r="JQ207" i="30"/>
  <c r="JQ206" i="30"/>
  <c r="JQ204" i="30"/>
  <c r="JQ203" i="30"/>
  <c r="JQ201" i="30"/>
  <c r="JQ200" i="30"/>
  <c r="JQ199" i="30"/>
  <c r="JQ197" i="30"/>
  <c r="JQ196" i="30"/>
  <c r="JQ194" i="30"/>
  <c r="JQ193" i="30"/>
  <c r="JQ191" i="30"/>
  <c r="JQ190" i="30"/>
  <c r="JQ189" i="30"/>
  <c r="JQ187" i="30"/>
  <c r="JQ186" i="30"/>
  <c r="JQ184" i="30"/>
  <c r="JQ183" i="30"/>
  <c r="JQ181" i="30"/>
  <c r="JQ180" i="30"/>
  <c r="JQ179" i="30"/>
  <c r="JQ177" i="30"/>
  <c r="JQ176" i="30"/>
  <c r="JQ174" i="30"/>
  <c r="JQ173" i="30"/>
  <c r="JQ171" i="30"/>
  <c r="JQ170" i="30"/>
  <c r="JQ169" i="30"/>
  <c r="JJ277" i="30"/>
  <c r="JJ276" i="30"/>
  <c r="JJ274" i="30"/>
  <c r="JJ273" i="30"/>
  <c r="JJ271" i="30"/>
  <c r="JJ270" i="30"/>
  <c r="JJ269" i="30"/>
  <c r="JJ267" i="30"/>
  <c r="JJ266" i="30"/>
  <c r="JJ264" i="30"/>
  <c r="JJ263" i="30"/>
  <c r="JJ261" i="30"/>
  <c r="JJ260" i="30"/>
  <c r="JJ259" i="30"/>
  <c r="JJ257" i="30"/>
  <c r="JJ256" i="30"/>
  <c r="JJ254" i="30"/>
  <c r="JJ253" i="30"/>
  <c r="JJ251" i="30"/>
  <c r="JJ250" i="30"/>
  <c r="JJ249" i="30"/>
  <c r="JJ247" i="30"/>
  <c r="JJ246" i="30"/>
  <c r="JJ244" i="30"/>
  <c r="JJ243" i="30"/>
  <c r="JJ241" i="30"/>
  <c r="JJ240" i="30"/>
  <c r="JJ239" i="30"/>
  <c r="JJ237" i="30"/>
  <c r="JJ236" i="30"/>
  <c r="JJ234" i="30"/>
  <c r="JJ233" i="30"/>
  <c r="JJ231" i="30"/>
  <c r="JJ230" i="30"/>
  <c r="JJ229" i="30"/>
  <c r="JJ227" i="30"/>
  <c r="JJ226" i="30"/>
  <c r="JJ224" i="30"/>
  <c r="JJ223" i="30"/>
  <c r="JJ221" i="30"/>
  <c r="JJ220" i="30"/>
  <c r="JJ219" i="30"/>
  <c r="JJ217" i="30"/>
  <c r="JJ216" i="30"/>
  <c r="JJ214" i="30"/>
  <c r="JJ213" i="30"/>
  <c r="JJ211" i="30"/>
  <c r="JJ210" i="30"/>
  <c r="JJ209" i="30"/>
  <c r="JJ207" i="30"/>
  <c r="JJ206" i="30"/>
  <c r="JJ204" i="30"/>
  <c r="JJ203" i="30"/>
  <c r="JJ201" i="30"/>
  <c r="JJ200" i="30"/>
  <c r="JJ199" i="30"/>
  <c r="JJ197" i="30"/>
  <c r="JJ196" i="30"/>
  <c r="JJ194" i="30"/>
  <c r="JJ193" i="30"/>
  <c r="JJ191" i="30"/>
  <c r="JJ190" i="30"/>
  <c r="JJ189" i="30"/>
  <c r="JJ187" i="30"/>
  <c r="JJ186" i="30"/>
  <c r="JJ184" i="30"/>
  <c r="JJ183" i="30"/>
  <c r="JJ181" i="30"/>
  <c r="JJ180" i="30"/>
  <c r="JJ179" i="30"/>
  <c r="JJ177" i="30"/>
  <c r="JJ176" i="30"/>
  <c r="JJ174" i="30"/>
  <c r="JJ173" i="30"/>
  <c r="JJ171" i="30"/>
  <c r="JJ170" i="30"/>
  <c r="JJ169" i="30"/>
  <c r="JC277" i="30"/>
  <c r="JC276" i="30"/>
  <c r="JC274" i="30"/>
  <c r="JC273" i="30"/>
  <c r="JC271" i="30"/>
  <c r="JC270" i="30"/>
  <c r="JC269" i="30"/>
  <c r="JC267" i="30"/>
  <c r="JC266" i="30"/>
  <c r="JC264" i="30"/>
  <c r="JC263" i="30"/>
  <c r="JC261" i="30"/>
  <c r="JC260" i="30"/>
  <c r="JC259" i="30"/>
  <c r="JC257" i="30"/>
  <c r="JC256" i="30"/>
  <c r="JC254" i="30"/>
  <c r="JC253" i="30"/>
  <c r="JC251" i="30"/>
  <c r="JC250" i="30"/>
  <c r="JC249" i="30"/>
  <c r="JC247" i="30"/>
  <c r="JC246" i="30"/>
  <c r="JC244" i="30"/>
  <c r="JC243" i="30"/>
  <c r="JC241" i="30"/>
  <c r="JC240" i="30"/>
  <c r="JC239" i="30"/>
  <c r="JC237" i="30"/>
  <c r="JC236" i="30"/>
  <c r="JC234" i="30"/>
  <c r="JC233" i="30"/>
  <c r="JC231" i="30"/>
  <c r="JC230" i="30"/>
  <c r="JC229" i="30"/>
  <c r="JC227" i="30"/>
  <c r="JC226" i="30"/>
  <c r="JC224" i="30"/>
  <c r="JC223" i="30"/>
  <c r="JC221" i="30"/>
  <c r="JC220" i="30"/>
  <c r="JC219" i="30"/>
  <c r="JC217" i="30"/>
  <c r="JC216" i="30"/>
  <c r="JC214" i="30"/>
  <c r="JC213" i="30"/>
  <c r="JC211" i="30"/>
  <c r="JC210" i="30"/>
  <c r="JC209" i="30"/>
  <c r="JC207" i="30"/>
  <c r="JC206" i="30"/>
  <c r="JC204" i="30"/>
  <c r="JC203" i="30"/>
  <c r="JC201" i="30"/>
  <c r="JC200" i="30"/>
  <c r="JC199" i="30"/>
  <c r="JC197" i="30"/>
  <c r="JC196" i="30"/>
  <c r="JC194" i="30"/>
  <c r="JC193" i="30"/>
  <c r="JC191" i="30"/>
  <c r="JC190" i="30"/>
  <c r="JC189" i="30"/>
  <c r="JC187" i="30"/>
  <c r="JC186" i="30"/>
  <c r="JC184" i="30"/>
  <c r="JC183" i="30"/>
  <c r="JC181" i="30"/>
  <c r="JC180" i="30"/>
  <c r="JC179" i="30"/>
  <c r="JC177" i="30"/>
  <c r="JC176" i="30"/>
  <c r="JC174" i="30"/>
  <c r="JC173" i="30"/>
  <c r="JC171" i="30"/>
  <c r="JC170" i="30"/>
  <c r="JC169" i="30"/>
  <c r="IV169" i="30"/>
  <c r="IO277" i="30"/>
  <c r="IO276" i="30"/>
  <c r="IO274" i="30"/>
  <c r="IO273" i="30"/>
  <c r="IO271" i="30"/>
  <c r="IO270" i="30"/>
  <c r="IO269" i="30"/>
  <c r="IO267" i="30"/>
  <c r="IO266" i="30"/>
  <c r="IO264" i="30"/>
  <c r="IO263" i="30"/>
  <c r="IO261" i="30"/>
  <c r="IO260" i="30"/>
  <c r="IO259" i="30"/>
  <c r="IO257" i="30"/>
  <c r="IO256" i="30"/>
  <c r="IO254" i="30"/>
  <c r="IO253" i="30"/>
  <c r="IO251" i="30"/>
  <c r="IO250" i="30"/>
  <c r="IO249" i="30"/>
  <c r="IO247" i="30"/>
  <c r="IO246" i="30"/>
  <c r="IO244" i="30"/>
  <c r="IO243" i="30"/>
  <c r="IO241" i="30"/>
  <c r="IO240" i="30"/>
  <c r="IO239" i="30"/>
  <c r="IO237" i="30"/>
  <c r="IO236" i="30"/>
  <c r="IO234" i="30"/>
  <c r="IO233" i="30"/>
  <c r="IO231" i="30"/>
  <c r="IO230" i="30"/>
  <c r="IO229" i="30"/>
  <c r="IO227" i="30"/>
  <c r="IO226" i="30"/>
  <c r="IO224" i="30"/>
  <c r="IO223" i="30"/>
  <c r="IO221" i="30"/>
  <c r="IO220" i="30"/>
  <c r="IO219" i="30"/>
  <c r="IO217" i="30"/>
  <c r="IO216" i="30"/>
  <c r="IO214" i="30"/>
  <c r="IO213" i="30"/>
  <c r="IO211" i="30"/>
  <c r="IO210" i="30"/>
  <c r="IO209" i="30"/>
  <c r="IO207" i="30"/>
  <c r="IO206" i="30"/>
  <c r="IO204" i="30"/>
  <c r="IO203" i="30"/>
  <c r="IO201" i="30"/>
  <c r="IO200" i="30"/>
  <c r="IO199" i="30"/>
  <c r="IO197" i="30"/>
  <c r="IO196" i="30"/>
  <c r="IO194" i="30"/>
  <c r="IO193" i="30"/>
  <c r="IO191" i="30"/>
  <c r="IO190" i="30"/>
  <c r="IO189" i="30"/>
  <c r="IO187" i="30"/>
  <c r="IO186" i="30"/>
  <c r="IO184" i="30"/>
  <c r="IO183" i="30"/>
  <c r="IO181" i="30"/>
  <c r="IO180" i="30"/>
  <c r="IO179" i="30"/>
  <c r="IO177" i="30"/>
  <c r="IO176" i="30"/>
  <c r="IO174" i="30"/>
  <c r="IO173" i="30"/>
  <c r="IO171" i="30"/>
  <c r="IO170" i="30"/>
  <c r="IO169" i="30"/>
  <c r="IH277" i="30"/>
  <c r="IH276" i="30"/>
  <c r="IH274" i="30"/>
  <c r="IH273" i="30"/>
  <c r="IH271" i="30"/>
  <c r="IH270" i="30"/>
  <c r="IH269" i="30"/>
  <c r="IH267" i="30"/>
  <c r="IH266" i="30"/>
  <c r="IH264" i="30"/>
  <c r="IH263" i="30"/>
  <c r="IH261" i="30"/>
  <c r="IH260" i="30"/>
  <c r="IH259" i="30"/>
  <c r="IH257" i="30"/>
  <c r="IH256" i="30"/>
  <c r="IH254" i="30"/>
  <c r="IH253" i="30"/>
  <c r="IH251" i="30"/>
  <c r="IH250" i="30"/>
  <c r="IH249" i="30"/>
  <c r="IH247" i="30"/>
  <c r="IH246" i="30"/>
  <c r="IH244" i="30"/>
  <c r="IH243" i="30"/>
  <c r="IH241" i="30"/>
  <c r="IH240" i="30"/>
  <c r="IH239" i="30"/>
  <c r="IH237" i="30"/>
  <c r="IH236" i="30"/>
  <c r="IH234" i="30"/>
  <c r="IH233" i="30"/>
  <c r="IH231" i="30"/>
  <c r="IH230" i="30"/>
  <c r="IH229" i="30"/>
  <c r="IH227" i="30"/>
  <c r="IH226" i="30"/>
  <c r="IH224" i="30"/>
  <c r="IH223" i="30"/>
  <c r="IH221" i="30"/>
  <c r="IH220" i="30"/>
  <c r="IH219" i="30"/>
  <c r="IH217" i="30"/>
  <c r="IH216" i="30"/>
  <c r="IH214" i="30"/>
  <c r="IH213" i="30"/>
  <c r="IH211" i="30"/>
  <c r="IH210" i="30"/>
  <c r="IH209" i="30"/>
  <c r="IH207" i="30"/>
  <c r="IH206" i="30"/>
  <c r="IH204" i="30"/>
  <c r="IH203" i="30"/>
  <c r="IH201" i="30"/>
  <c r="IH200" i="30"/>
  <c r="IH199" i="30"/>
  <c r="IH197" i="30"/>
  <c r="IH196" i="30"/>
  <c r="IH194" i="30"/>
  <c r="IH193" i="30"/>
  <c r="IH191" i="30"/>
  <c r="IH190" i="30"/>
  <c r="IH189" i="30"/>
  <c r="IH187" i="30"/>
  <c r="IH186" i="30"/>
  <c r="IH184" i="30"/>
  <c r="IH183" i="30"/>
  <c r="IH181" i="30"/>
  <c r="IH180" i="30"/>
  <c r="IH179" i="30"/>
  <c r="IH177" i="30"/>
  <c r="IH176" i="30"/>
  <c r="IH174" i="30"/>
  <c r="IH173" i="30"/>
  <c r="IH171" i="30"/>
  <c r="IH170" i="30"/>
  <c r="IH169" i="30"/>
  <c r="IA277" i="30"/>
  <c r="IA276" i="30"/>
  <c r="IA274" i="30"/>
  <c r="IA273" i="30"/>
  <c r="IA271" i="30"/>
  <c r="IA270" i="30"/>
  <c r="IA269" i="30"/>
  <c r="IA267" i="30"/>
  <c r="IA266" i="30"/>
  <c r="IA264" i="30"/>
  <c r="IA263" i="30"/>
  <c r="IA261" i="30"/>
  <c r="IA260" i="30"/>
  <c r="IA259" i="30"/>
  <c r="IA257" i="30"/>
  <c r="IA256" i="30"/>
  <c r="IA254" i="30"/>
  <c r="IA253" i="30"/>
  <c r="IA251" i="30"/>
  <c r="IA250" i="30"/>
  <c r="IA249" i="30"/>
  <c r="IA247" i="30"/>
  <c r="IA246" i="30"/>
  <c r="IA244" i="30"/>
  <c r="IA243" i="30"/>
  <c r="IA241" i="30"/>
  <c r="IA240" i="30"/>
  <c r="IA239" i="30"/>
  <c r="IA237" i="30"/>
  <c r="IA236" i="30"/>
  <c r="IA234" i="30"/>
  <c r="IA233" i="30"/>
  <c r="IA231" i="30"/>
  <c r="IA230" i="30"/>
  <c r="IA229" i="30"/>
  <c r="IA227" i="30"/>
  <c r="IA226" i="30"/>
  <c r="IA224" i="30"/>
  <c r="IA223" i="30"/>
  <c r="IA221" i="30"/>
  <c r="IA220" i="30"/>
  <c r="IA219" i="30"/>
  <c r="IA217" i="30"/>
  <c r="IA216" i="30"/>
  <c r="IA214" i="30"/>
  <c r="IA213" i="30"/>
  <c r="IA211" i="30"/>
  <c r="IA210" i="30"/>
  <c r="IA209" i="30"/>
  <c r="IA207" i="30"/>
  <c r="IA206" i="30"/>
  <c r="IA204" i="30"/>
  <c r="IA203" i="30"/>
  <c r="IA201" i="30"/>
  <c r="IA200" i="30"/>
  <c r="IA199" i="30"/>
  <c r="IA197" i="30"/>
  <c r="IA196" i="30"/>
  <c r="IA194" i="30"/>
  <c r="IA193" i="30"/>
  <c r="IA191" i="30"/>
  <c r="IA190" i="30"/>
  <c r="IA189" i="30"/>
  <c r="IA187" i="30"/>
  <c r="IA186" i="30"/>
  <c r="IA184" i="30"/>
  <c r="IA183" i="30"/>
  <c r="IA181" i="30"/>
  <c r="IA180" i="30"/>
  <c r="IA179" i="30"/>
  <c r="IA177" i="30"/>
  <c r="IA176" i="30"/>
  <c r="IA174" i="30"/>
  <c r="IA173" i="30"/>
  <c r="IA171" i="30"/>
  <c r="IA170" i="30"/>
  <c r="IA169" i="30"/>
  <c r="HT277" i="30"/>
  <c r="HT276" i="30"/>
  <c r="HT274" i="30"/>
  <c r="HT273" i="30"/>
  <c r="HT271" i="30"/>
  <c r="HT270" i="30"/>
  <c r="HT269" i="30"/>
  <c r="HT267" i="30"/>
  <c r="HT266" i="30"/>
  <c r="HT264" i="30"/>
  <c r="HT263" i="30"/>
  <c r="HT261" i="30"/>
  <c r="HT260" i="30"/>
  <c r="HT259" i="30"/>
  <c r="HT257" i="30"/>
  <c r="HT256" i="30"/>
  <c r="HT254" i="30"/>
  <c r="HT253" i="30"/>
  <c r="HT251" i="30"/>
  <c r="HT250" i="30"/>
  <c r="HT249" i="30"/>
  <c r="HT247" i="30"/>
  <c r="HT246" i="30"/>
  <c r="HT244" i="30"/>
  <c r="HT243" i="30"/>
  <c r="HT241" i="30"/>
  <c r="HT240" i="30"/>
  <c r="HT239" i="30"/>
  <c r="HT237" i="30"/>
  <c r="HT236" i="30"/>
  <c r="HT234" i="30"/>
  <c r="HT233" i="30"/>
  <c r="HT231" i="30"/>
  <c r="HT230" i="30"/>
  <c r="HT229" i="30"/>
  <c r="HT227" i="30"/>
  <c r="HT226" i="30"/>
  <c r="HT224" i="30"/>
  <c r="HT223" i="30"/>
  <c r="HT221" i="30"/>
  <c r="HT220" i="30"/>
  <c r="HT219" i="30"/>
  <c r="HT217" i="30"/>
  <c r="HT216" i="30"/>
  <c r="HT214" i="30"/>
  <c r="HT213" i="30"/>
  <c r="HT211" i="30"/>
  <c r="HT210" i="30"/>
  <c r="HT209" i="30"/>
  <c r="HT207" i="30"/>
  <c r="HT206" i="30"/>
  <c r="HT204" i="30"/>
  <c r="HT203" i="30"/>
  <c r="HT201" i="30"/>
  <c r="HT200" i="30"/>
  <c r="HT199" i="30"/>
  <c r="HT197" i="30"/>
  <c r="HT196" i="30"/>
  <c r="HT194" i="30"/>
  <c r="HT193" i="30"/>
  <c r="HT191" i="30"/>
  <c r="HT190" i="30"/>
  <c r="HT189" i="30"/>
  <c r="HT187" i="30"/>
  <c r="HT186" i="30"/>
  <c r="HT184" i="30"/>
  <c r="HT183" i="30"/>
  <c r="HT181" i="30"/>
  <c r="HT180" i="30"/>
  <c r="HT179" i="30"/>
  <c r="HT177" i="30"/>
  <c r="HT176" i="30"/>
  <c r="HT174" i="30"/>
  <c r="HT173" i="30"/>
  <c r="HT171" i="30"/>
  <c r="HT170" i="30"/>
  <c r="HT169" i="30"/>
  <c r="HM277" i="30"/>
  <c r="HM276" i="30"/>
  <c r="HM274" i="30"/>
  <c r="HM273" i="30"/>
  <c r="HM271" i="30"/>
  <c r="HM270" i="30"/>
  <c r="HM269" i="30"/>
  <c r="HM267" i="30"/>
  <c r="HM266" i="30"/>
  <c r="HM264" i="30"/>
  <c r="HM263" i="30"/>
  <c r="HM261" i="30"/>
  <c r="HM260" i="30"/>
  <c r="HM259" i="30"/>
  <c r="HM257" i="30"/>
  <c r="HM256" i="30"/>
  <c r="HM254" i="30"/>
  <c r="HM253" i="30"/>
  <c r="HM251" i="30"/>
  <c r="HM250" i="30"/>
  <c r="HM249" i="30"/>
  <c r="HM247" i="30"/>
  <c r="HM246" i="30"/>
  <c r="HM244" i="30"/>
  <c r="HM243" i="30"/>
  <c r="HM241" i="30"/>
  <c r="HM240" i="30"/>
  <c r="HM239" i="30"/>
  <c r="HM237" i="30"/>
  <c r="HM236" i="30"/>
  <c r="HM234" i="30"/>
  <c r="HM233" i="30"/>
  <c r="HM231" i="30"/>
  <c r="HM230" i="30"/>
  <c r="HM229" i="30"/>
  <c r="HM227" i="30"/>
  <c r="HM226" i="30"/>
  <c r="HM224" i="30"/>
  <c r="HM223" i="30"/>
  <c r="HM221" i="30"/>
  <c r="HM220" i="30"/>
  <c r="HM219" i="30"/>
  <c r="HM217" i="30"/>
  <c r="HM216" i="30"/>
  <c r="HM214" i="30"/>
  <c r="HM213" i="30"/>
  <c r="HM211" i="30"/>
  <c r="HM210" i="30"/>
  <c r="HM209" i="30"/>
  <c r="HM207" i="30"/>
  <c r="HM206" i="30"/>
  <c r="HM204" i="30"/>
  <c r="HM203" i="30"/>
  <c r="HM201" i="30"/>
  <c r="HM200" i="30"/>
  <c r="HM199" i="30"/>
  <c r="HM197" i="30"/>
  <c r="HM196" i="30"/>
  <c r="HM194" i="30"/>
  <c r="HM193" i="30"/>
  <c r="HM191" i="30"/>
  <c r="HM190" i="30"/>
  <c r="HM189" i="30"/>
  <c r="HM187" i="30"/>
  <c r="HM186" i="30"/>
  <c r="HM184" i="30"/>
  <c r="HM183" i="30"/>
  <c r="HM181" i="30"/>
  <c r="HM180" i="30"/>
  <c r="HM179" i="30"/>
  <c r="HM177" i="30"/>
  <c r="HM176" i="30"/>
  <c r="HM174" i="30"/>
  <c r="HM173" i="30"/>
  <c r="HM171" i="30"/>
  <c r="HM170" i="30"/>
  <c r="HM169" i="30"/>
  <c r="HF277" i="30"/>
  <c r="HF276" i="30"/>
  <c r="HF274" i="30"/>
  <c r="HF273" i="30"/>
  <c r="HF271" i="30"/>
  <c r="HF270" i="30"/>
  <c r="HF269" i="30"/>
  <c r="HF267" i="30"/>
  <c r="HF266" i="30"/>
  <c r="HF264" i="30"/>
  <c r="HF263" i="30"/>
  <c r="HF261" i="30"/>
  <c r="HF260" i="30"/>
  <c r="HF259" i="30"/>
  <c r="HF257" i="30"/>
  <c r="HF256" i="30"/>
  <c r="HF254" i="30"/>
  <c r="HF253" i="30"/>
  <c r="HF251" i="30"/>
  <c r="HF250" i="30"/>
  <c r="HF249" i="30"/>
  <c r="HF247" i="30"/>
  <c r="HF246" i="30"/>
  <c r="HF244" i="30"/>
  <c r="HF243" i="30"/>
  <c r="HF241" i="30"/>
  <c r="HF240" i="30"/>
  <c r="HF239" i="30"/>
  <c r="HF237" i="30"/>
  <c r="HF236" i="30"/>
  <c r="HF234" i="30"/>
  <c r="HF233" i="30"/>
  <c r="HF231" i="30"/>
  <c r="HF230" i="30"/>
  <c r="HF229" i="30"/>
  <c r="HF227" i="30"/>
  <c r="HF226" i="30"/>
  <c r="HF224" i="30"/>
  <c r="HF223" i="30"/>
  <c r="HF221" i="30"/>
  <c r="HF220" i="30"/>
  <c r="HF219" i="30"/>
  <c r="HF217" i="30"/>
  <c r="HF216" i="30"/>
  <c r="HF214" i="30"/>
  <c r="HF213" i="30"/>
  <c r="HF211" i="30"/>
  <c r="HF210" i="30"/>
  <c r="HF209" i="30"/>
  <c r="HF207" i="30"/>
  <c r="HF206" i="30"/>
  <c r="HF204" i="30"/>
  <c r="HF203" i="30"/>
  <c r="HF201" i="30"/>
  <c r="HF200" i="30"/>
  <c r="HF199" i="30"/>
  <c r="HF197" i="30"/>
  <c r="HF196" i="30"/>
  <c r="HF194" i="30"/>
  <c r="HF193" i="30"/>
  <c r="HF191" i="30"/>
  <c r="HF190" i="30"/>
  <c r="HF189" i="30"/>
  <c r="HF187" i="30"/>
  <c r="HF186" i="30"/>
  <c r="HF184" i="30"/>
  <c r="HF183" i="30"/>
  <c r="HF181" i="30"/>
  <c r="HF180" i="30"/>
  <c r="HF179" i="30"/>
  <c r="HF177" i="30"/>
  <c r="HF176" i="30"/>
  <c r="HF174" i="30"/>
  <c r="HF173" i="30"/>
  <c r="HF171" i="30"/>
  <c r="HF170" i="30"/>
  <c r="HF169" i="30"/>
  <c r="GY277" i="30"/>
  <c r="GY276" i="30"/>
  <c r="GY274" i="30"/>
  <c r="GY273" i="30"/>
  <c r="GY271" i="30"/>
  <c r="GY270" i="30"/>
  <c r="GY269" i="30"/>
  <c r="GY267" i="30"/>
  <c r="GY266" i="30"/>
  <c r="GY264" i="30"/>
  <c r="GY263" i="30"/>
  <c r="GY261" i="30"/>
  <c r="GY260" i="30"/>
  <c r="GY259" i="30"/>
  <c r="GY257" i="30"/>
  <c r="GY256" i="30"/>
  <c r="GY254" i="30"/>
  <c r="GY253" i="30"/>
  <c r="GY251" i="30"/>
  <c r="GY250" i="30"/>
  <c r="GY249" i="30"/>
  <c r="GY247" i="30"/>
  <c r="GY246" i="30"/>
  <c r="GY244" i="30"/>
  <c r="GY243" i="30"/>
  <c r="GY241" i="30"/>
  <c r="GY240" i="30"/>
  <c r="GY239" i="30"/>
  <c r="GY237" i="30"/>
  <c r="GY236" i="30"/>
  <c r="GY234" i="30"/>
  <c r="GY233" i="30"/>
  <c r="GY231" i="30"/>
  <c r="GY230" i="30"/>
  <c r="GY229" i="30"/>
  <c r="GY227" i="30"/>
  <c r="GY226" i="30"/>
  <c r="GY224" i="30"/>
  <c r="GY223" i="30"/>
  <c r="GY221" i="30"/>
  <c r="GY220" i="30"/>
  <c r="GY219" i="30"/>
  <c r="GY217" i="30"/>
  <c r="GY216" i="30"/>
  <c r="GY214" i="30"/>
  <c r="GY213" i="30"/>
  <c r="GY211" i="30"/>
  <c r="GY210" i="30"/>
  <c r="GY209" i="30"/>
  <c r="GY207" i="30"/>
  <c r="GY206" i="30"/>
  <c r="GY204" i="30"/>
  <c r="GY203" i="30"/>
  <c r="GY201" i="30"/>
  <c r="GY200" i="30"/>
  <c r="GY199" i="30"/>
  <c r="GY197" i="30"/>
  <c r="GY196" i="30"/>
  <c r="GY194" i="30"/>
  <c r="GY193" i="30"/>
  <c r="GY191" i="30"/>
  <c r="GY190" i="30"/>
  <c r="GY189" i="30"/>
  <c r="GY187" i="30"/>
  <c r="GY186" i="30"/>
  <c r="GY184" i="30"/>
  <c r="GY183" i="30"/>
  <c r="GY181" i="30"/>
  <c r="GY180" i="30"/>
  <c r="GY179" i="30"/>
  <c r="GY177" i="30"/>
  <c r="GY176" i="30"/>
  <c r="GY174" i="30"/>
  <c r="GY173" i="30"/>
  <c r="GY171" i="30"/>
  <c r="GY170" i="30"/>
  <c r="GY169" i="30"/>
  <c r="GR277" i="30"/>
  <c r="GR276" i="30"/>
  <c r="GR274" i="30"/>
  <c r="GR273" i="30"/>
  <c r="GR271" i="30"/>
  <c r="GR270" i="30"/>
  <c r="GR269" i="30"/>
  <c r="GR267" i="30"/>
  <c r="GR266" i="30"/>
  <c r="GR264" i="30"/>
  <c r="GR263" i="30"/>
  <c r="GR261" i="30"/>
  <c r="GR260" i="30"/>
  <c r="GR259" i="30"/>
  <c r="GR257" i="30"/>
  <c r="GR256" i="30"/>
  <c r="GR254" i="30"/>
  <c r="GR253" i="30"/>
  <c r="GR251" i="30"/>
  <c r="GR250" i="30"/>
  <c r="GR249" i="30"/>
  <c r="GR247" i="30"/>
  <c r="GR246" i="30"/>
  <c r="GR244" i="30"/>
  <c r="GR243" i="30"/>
  <c r="GR241" i="30"/>
  <c r="GR240" i="30"/>
  <c r="GR239" i="30"/>
  <c r="GR237" i="30"/>
  <c r="GR236" i="30"/>
  <c r="GR234" i="30"/>
  <c r="GR233" i="30"/>
  <c r="GR231" i="30"/>
  <c r="GR230" i="30"/>
  <c r="GR229" i="30"/>
  <c r="GR227" i="30"/>
  <c r="GR226" i="30"/>
  <c r="GR224" i="30"/>
  <c r="GR223" i="30"/>
  <c r="GR221" i="30"/>
  <c r="GR220" i="30"/>
  <c r="GR219" i="30"/>
  <c r="GR217" i="30"/>
  <c r="GR216" i="30"/>
  <c r="GR214" i="30"/>
  <c r="GR213" i="30"/>
  <c r="GR211" i="30"/>
  <c r="GR210" i="30"/>
  <c r="GR209" i="30"/>
  <c r="GR207" i="30"/>
  <c r="GR206" i="30"/>
  <c r="GR204" i="30"/>
  <c r="GR203" i="30"/>
  <c r="GR201" i="30"/>
  <c r="GR200" i="30"/>
  <c r="GR199" i="30"/>
  <c r="GR197" i="30"/>
  <c r="GR196" i="30"/>
  <c r="GR194" i="30"/>
  <c r="GR193" i="30"/>
  <c r="GR191" i="30"/>
  <c r="GR190" i="30"/>
  <c r="GR189" i="30"/>
  <c r="GR187" i="30"/>
  <c r="GR186" i="30"/>
  <c r="GR184" i="30"/>
  <c r="GR183" i="30"/>
  <c r="GR181" i="30"/>
  <c r="GR180" i="30"/>
  <c r="GR179" i="30"/>
  <c r="GR177" i="30"/>
  <c r="GR176" i="30"/>
  <c r="GR174" i="30"/>
  <c r="GR173" i="30"/>
  <c r="GR171" i="30"/>
  <c r="GR170" i="30"/>
  <c r="GR169" i="30"/>
  <c r="GK277" i="30"/>
  <c r="GK276" i="30"/>
  <c r="GK274" i="30"/>
  <c r="GK273" i="30"/>
  <c r="GK271" i="30"/>
  <c r="GK270" i="30"/>
  <c r="GK269" i="30"/>
  <c r="GK267" i="30"/>
  <c r="GK266" i="30"/>
  <c r="GK264" i="30"/>
  <c r="GK263" i="30"/>
  <c r="GK261" i="30"/>
  <c r="GK260" i="30"/>
  <c r="GK259" i="30"/>
  <c r="GK257" i="30"/>
  <c r="GK256" i="30"/>
  <c r="GK254" i="30"/>
  <c r="GK253" i="30"/>
  <c r="GK251" i="30"/>
  <c r="GK250" i="30"/>
  <c r="GK249" i="30"/>
  <c r="GK247" i="30"/>
  <c r="GK246" i="30"/>
  <c r="GK244" i="30"/>
  <c r="GK243" i="30"/>
  <c r="GK241" i="30"/>
  <c r="GK240" i="30"/>
  <c r="GK239" i="30"/>
  <c r="GK237" i="30"/>
  <c r="GK236" i="30"/>
  <c r="GK234" i="30"/>
  <c r="GK233" i="30"/>
  <c r="GK231" i="30"/>
  <c r="GK230" i="30"/>
  <c r="GK229" i="30"/>
  <c r="GK227" i="30"/>
  <c r="GK226" i="30"/>
  <c r="GK224" i="30"/>
  <c r="GK223" i="30"/>
  <c r="GK221" i="30"/>
  <c r="GK220" i="30"/>
  <c r="GK219" i="30"/>
  <c r="GK217" i="30"/>
  <c r="GK216" i="30"/>
  <c r="GK214" i="30"/>
  <c r="GK213" i="30"/>
  <c r="GK211" i="30"/>
  <c r="GK210" i="30"/>
  <c r="GK209" i="30"/>
  <c r="GK207" i="30"/>
  <c r="GK206" i="30"/>
  <c r="GK204" i="30"/>
  <c r="GK203" i="30"/>
  <c r="GK201" i="30"/>
  <c r="GK200" i="30"/>
  <c r="GK199" i="30"/>
  <c r="GK197" i="30"/>
  <c r="GK196" i="30"/>
  <c r="GK194" i="30"/>
  <c r="GK193" i="30"/>
  <c r="GK191" i="30"/>
  <c r="GK190" i="30"/>
  <c r="GK189" i="30"/>
  <c r="GK187" i="30"/>
  <c r="GK186" i="30"/>
  <c r="GK184" i="30"/>
  <c r="GK183" i="30"/>
  <c r="GK181" i="30"/>
  <c r="GK180" i="30"/>
  <c r="GK179" i="30"/>
  <c r="GK177" i="30"/>
  <c r="GK176" i="30"/>
  <c r="GK174" i="30"/>
  <c r="GK173" i="30"/>
  <c r="GK171" i="30"/>
  <c r="GK170" i="30"/>
  <c r="GK169" i="30"/>
  <c r="GD277" i="30"/>
  <c r="GD276" i="30"/>
  <c r="GD274" i="30"/>
  <c r="GD273" i="30"/>
  <c r="GD271" i="30"/>
  <c r="GD270" i="30"/>
  <c r="GD269" i="30"/>
  <c r="GD267" i="30"/>
  <c r="GD266" i="30"/>
  <c r="GD264" i="30"/>
  <c r="GD263" i="30"/>
  <c r="GD261" i="30"/>
  <c r="GD260" i="30"/>
  <c r="GD259" i="30"/>
  <c r="GD257" i="30"/>
  <c r="GD256" i="30"/>
  <c r="GD254" i="30"/>
  <c r="GD253" i="30"/>
  <c r="GD251" i="30"/>
  <c r="GD250" i="30"/>
  <c r="GD249" i="30"/>
  <c r="GD247" i="30"/>
  <c r="GD246" i="30"/>
  <c r="GD244" i="30"/>
  <c r="GD243" i="30"/>
  <c r="GD241" i="30"/>
  <c r="GD240" i="30"/>
  <c r="GD239" i="30"/>
  <c r="GD237" i="30"/>
  <c r="GD236" i="30"/>
  <c r="GD234" i="30"/>
  <c r="GD233" i="30"/>
  <c r="GD231" i="30"/>
  <c r="GD230" i="30"/>
  <c r="GD229" i="30"/>
  <c r="GD227" i="30"/>
  <c r="GD226" i="30"/>
  <c r="GD224" i="30"/>
  <c r="GD223" i="30"/>
  <c r="GD221" i="30"/>
  <c r="GD220" i="30"/>
  <c r="GD219" i="30"/>
  <c r="GD217" i="30"/>
  <c r="GD216" i="30"/>
  <c r="GD214" i="30"/>
  <c r="GD213" i="30"/>
  <c r="GD211" i="30"/>
  <c r="GD210" i="30"/>
  <c r="GD209" i="30"/>
  <c r="GD207" i="30"/>
  <c r="GD206" i="30"/>
  <c r="GD204" i="30"/>
  <c r="GD203" i="30"/>
  <c r="GD201" i="30"/>
  <c r="GD200" i="30"/>
  <c r="GD199" i="30"/>
  <c r="GD197" i="30"/>
  <c r="GD196" i="30"/>
  <c r="GD194" i="30"/>
  <c r="GD193" i="30"/>
  <c r="GD191" i="30"/>
  <c r="GD190" i="30"/>
  <c r="GD189" i="30"/>
  <c r="GD187" i="30"/>
  <c r="GD186" i="30"/>
  <c r="GD184" i="30"/>
  <c r="GD183" i="30"/>
  <c r="GD181" i="30"/>
  <c r="GD180" i="30"/>
  <c r="GD179" i="30"/>
  <c r="GD177" i="30"/>
  <c r="GD176" i="30"/>
  <c r="GD174" i="30"/>
  <c r="GD173" i="30"/>
  <c r="GD171" i="30"/>
  <c r="GD170" i="30"/>
  <c r="GD169" i="30"/>
  <c r="FW277" i="30"/>
  <c r="FW276" i="30"/>
  <c r="FW274" i="30"/>
  <c r="FW273" i="30"/>
  <c r="FW271" i="30"/>
  <c r="FW270" i="30"/>
  <c r="FW269" i="30"/>
  <c r="FW267" i="30"/>
  <c r="FW266" i="30"/>
  <c r="FW264" i="30"/>
  <c r="FW263" i="30"/>
  <c r="FW261" i="30"/>
  <c r="FW260" i="30"/>
  <c r="FW259" i="30"/>
  <c r="FW257" i="30"/>
  <c r="FW256" i="30"/>
  <c r="FW254" i="30"/>
  <c r="FW253" i="30"/>
  <c r="FW251" i="30"/>
  <c r="FW250" i="30"/>
  <c r="FW249" i="30"/>
  <c r="FW247" i="30"/>
  <c r="FW246" i="30"/>
  <c r="FW244" i="30"/>
  <c r="FW243" i="30"/>
  <c r="FW241" i="30"/>
  <c r="FW240" i="30"/>
  <c r="FW239" i="30"/>
  <c r="FW237" i="30"/>
  <c r="FW236" i="30"/>
  <c r="FW234" i="30"/>
  <c r="FW233" i="30"/>
  <c r="FW231" i="30"/>
  <c r="FW230" i="30"/>
  <c r="FW229" i="30"/>
  <c r="FW227" i="30"/>
  <c r="FW226" i="30"/>
  <c r="FW224" i="30"/>
  <c r="FW223" i="30"/>
  <c r="FW221" i="30"/>
  <c r="FW220" i="30"/>
  <c r="FW219" i="30"/>
  <c r="FW217" i="30"/>
  <c r="FW216" i="30"/>
  <c r="FW214" i="30"/>
  <c r="FW213" i="30"/>
  <c r="FW211" i="30"/>
  <c r="FW210" i="30"/>
  <c r="FW209" i="30"/>
  <c r="FW207" i="30"/>
  <c r="FW206" i="30"/>
  <c r="FW204" i="30"/>
  <c r="FW203" i="30"/>
  <c r="FW201" i="30"/>
  <c r="FW200" i="30"/>
  <c r="FW199" i="30"/>
  <c r="FW197" i="30"/>
  <c r="FW196" i="30"/>
  <c r="FW194" i="30"/>
  <c r="FW193" i="30"/>
  <c r="FW191" i="30"/>
  <c r="FW190" i="30"/>
  <c r="FW189" i="30"/>
  <c r="FW187" i="30"/>
  <c r="FW186" i="30"/>
  <c r="FW184" i="30"/>
  <c r="FW183" i="30"/>
  <c r="FW181" i="30"/>
  <c r="FW180" i="30"/>
  <c r="FW179" i="30"/>
  <c r="FW177" i="30"/>
  <c r="FW176" i="30"/>
  <c r="FW174" i="30"/>
  <c r="FW173" i="30"/>
  <c r="FW171" i="30"/>
  <c r="FW170" i="30"/>
  <c r="FW169" i="30"/>
  <c r="FP277" i="30"/>
  <c r="FP276" i="30"/>
  <c r="FP274" i="30"/>
  <c r="FP273" i="30"/>
  <c r="FP271" i="30"/>
  <c r="FP270" i="30"/>
  <c r="FP269" i="30"/>
  <c r="FP267" i="30"/>
  <c r="FP266" i="30"/>
  <c r="FP264" i="30"/>
  <c r="FP263" i="30"/>
  <c r="FP261" i="30"/>
  <c r="FP260" i="30"/>
  <c r="FP259" i="30"/>
  <c r="FP257" i="30"/>
  <c r="FP256" i="30"/>
  <c r="FP254" i="30"/>
  <c r="FP253" i="30"/>
  <c r="FP251" i="30"/>
  <c r="FP250" i="30"/>
  <c r="FP249" i="30"/>
  <c r="FP247" i="30"/>
  <c r="FP246" i="30"/>
  <c r="FP244" i="30"/>
  <c r="FP243" i="30"/>
  <c r="FP241" i="30"/>
  <c r="FP240" i="30"/>
  <c r="FP239" i="30"/>
  <c r="FP237" i="30"/>
  <c r="FP236" i="30"/>
  <c r="FP234" i="30"/>
  <c r="FP233" i="30"/>
  <c r="FP231" i="30"/>
  <c r="FP230" i="30"/>
  <c r="FP229" i="30"/>
  <c r="FP227" i="30"/>
  <c r="FP226" i="30"/>
  <c r="FP224" i="30"/>
  <c r="FP223" i="30"/>
  <c r="FP221" i="30"/>
  <c r="FP220" i="30"/>
  <c r="FP219" i="30"/>
  <c r="FP217" i="30"/>
  <c r="FP216" i="30"/>
  <c r="FP214" i="30"/>
  <c r="FP213" i="30"/>
  <c r="FP211" i="30"/>
  <c r="FP210" i="30"/>
  <c r="FP209" i="30"/>
  <c r="FP207" i="30"/>
  <c r="FP206" i="30"/>
  <c r="FP204" i="30"/>
  <c r="FP203" i="30"/>
  <c r="FP201" i="30"/>
  <c r="FP200" i="30"/>
  <c r="FP199" i="30"/>
  <c r="FP197" i="30"/>
  <c r="FP196" i="30"/>
  <c r="FP194" i="30"/>
  <c r="FP193" i="30"/>
  <c r="FP191" i="30"/>
  <c r="FP190" i="30"/>
  <c r="FP189" i="30"/>
  <c r="FP187" i="30"/>
  <c r="FP186" i="30"/>
  <c r="FP184" i="30"/>
  <c r="FP183" i="30"/>
  <c r="FP181" i="30"/>
  <c r="FP180" i="30"/>
  <c r="FP179" i="30"/>
  <c r="FP177" i="30"/>
  <c r="FP176" i="30"/>
  <c r="FP174" i="30"/>
  <c r="FP173" i="30"/>
  <c r="FP171" i="30"/>
  <c r="FP170" i="30"/>
  <c r="FP169" i="30"/>
  <c r="FI277" i="30"/>
  <c r="FI276" i="30"/>
  <c r="FI274" i="30"/>
  <c r="FI273" i="30"/>
  <c r="FI271" i="30"/>
  <c r="FI270" i="30"/>
  <c r="FI269" i="30"/>
  <c r="FI267" i="30"/>
  <c r="FI266" i="30"/>
  <c r="FI264" i="30"/>
  <c r="FI263" i="30"/>
  <c r="FI261" i="30"/>
  <c r="FI260" i="30"/>
  <c r="FI259" i="30"/>
  <c r="FI257" i="30"/>
  <c r="FI256" i="30"/>
  <c r="FI254" i="30"/>
  <c r="FI253" i="30"/>
  <c r="FI251" i="30"/>
  <c r="FI250" i="30"/>
  <c r="FI249" i="30"/>
  <c r="FI247" i="30"/>
  <c r="FI246" i="30"/>
  <c r="FI244" i="30"/>
  <c r="FI243" i="30"/>
  <c r="FI241" i="30"/>
  <c r="FI240" i="30"/>
  <c r="FI239" i="30"/>
  <c r="FI237" i="30"/>
  <c r="FI236" i="30"/>
  <c r="FI234" i="30"/>
  <c r="FI233" i="30"/>
  <c r="FI231" i="30"/>
  <c r="FI230" i="30"/>
  <c r="FI229" i="30"/>
  <c r="FI227" i="30"/>
  <c r="FI226" i="30"/>
  <c r="FI224" i="30"/>
  <c r="FI223" i="30"/>
  <c r="FI221" i="30"/>
  <c r="FI220" i="30"/>
  <c r="FI219" i="30"/>
  <c r="FI217" i="30"/>
  <c r="FI216" i="30"/>
  <c r="FI214" i="30"/>
  <c r="FI213" i="30"/>
  <c r="FI211" i="30"/>
  <c r="FI210" i="30"/>
  <c r="FI209" i="30"/>
  <c r="FI207" i="30"/>
  <c r="FI206" i="30"/>
  <c r="FI204" i="30"/>
  <c r="FI203" i="30"/>
  <c r="FI201" i="30"/>
  <c r="FI200" i="30"/>
  <c r="FI199" i="30"/>
  <c r="FI197" i="30"/>
  <c r="FI196" i="30"/>
  <c r="FI194" i="30"/>
  <c r="FI193" i="30"/>
  <c r="FI191" i="30"/>
  <c r="FI190" i="30"/>
  <c r="FI189" i="30"/>
  <c r="FI187" i="30"/>
  <c r="FI186" i="30"/>
  <c r="FI184" i="30"/>
  <c r="FI183" i="30"/>
  <c r="FI181" i="30"/>
  <c r="FI180" i="30"/>
  <c r="FI179" i="30"/>
  <c r="FI177" i="30"/>
  <c r="FI176" i="30"/>
  <c r="FI174" i="30"/>
  <c r="FI173" i="30"/>
  <c r="FI171" i="30"/>
  <c r="FI170" i="30"/>
  <c r="FI169" i="30"/>
  <c r="FB277" i="30"/>
  <c r="FB276" i="30"/>
  <c r="FB274" i="30"/>
  <c r="FB273" i="30"/>
  <c r="FB271" i="30"/>
  <c r="FB270" i="30"/>
  <c r="FB269" i="30"/>
  <c r="FB267" i="30"/>
  <c r="FB266" i="30"/>
  <c r="FB264" i="30"/>
  <c r="FB263" i="30"/>
  <c r="FB261" i="30"/>
  <c r="FB260" i="30"/>
  <c r="FB259" i="30"/>
  <c r="FB257" i="30"/>
  <c r="FB256" i="30"/>
  <c r="FB254" i="30"/>
  <c r="FB253" i="30"/>
  <c r="FB251" i="30"/>
  <c r="FB250" i="30"/>
  <c r="FB249" i="30"/>
  <c r="FB247" i="30"/>
  <c r="FB246" i="30"/>
  <c r="FB244" i="30"/>
  <c r="FB243" i="30"/>
  <c r="FB241" i="30"/>
  <c r="FB240" i="30"/>
  <c r="FB239" i="30"/>
  <c r="FB237" i="30"/>
  <c r="FB236" i="30"/>
  <c r="FB234" i="30"/>
  <c r="FB233" i="30"/>
  <c r="FB231" i="30"/>
  <c r="FB230" i="30"/>
  <c r="FB229" i="30"/>
  <c r="FB227" i="30"/>
  <c r="FB226" i="30"/>
  <c r="FB224" i="30"/>
  <c r="FB223" i="30"/>
  <c r="FB221" i="30"/>
  <c r="FB220" i="30"/>
  <c r="FB219" i="30"/>
  <c r="FB217" i="30"/>
  <c r="FB216" i="30"/>
  <c r="FB214" i="30"/>
  <c r="FB213" i="30"/>
  <c r="FB211" i="30"/>
  <c r="FB210" i="30"/>
  <c r="FB209" i="30"/>
  <c r="FB207" i="30"/>
  <c r="FB206" i="30"/>
  <c r="FB204" i="30"/>
  <c r="FB203" i="30"/>
  <c r="FB201" i="30"/>
  <c r="FB200" i="30"/>
  <c r="FB199" i="30"/>
  <c r="FB197" i="30"/>
  <c r="FB196" i="30"/>
  <c r="FB194" i="30"/>
  <c r="FB193" i="30"/>
  <c r="FB191" i="30"/>
  <c r="FB190" i="30"/>
  <c r="FB189" i="30"/>
  <c r="FB187" i="30"/>
  <c r="FB186" i="30"/>
  <c r="FB184" i="30"/>
  <c r="FB183" i="30"/>
  <c r="FB181" i="30"/>
  <c r="FB180" i="30"/>
  <c r="FB179" i="30"/>
  <c r="FB177" i="30"/>
  <c r="FB176" i="30"/>
  <c r="FB174" i="30"/>
  <c r="FB173" i="30"/>
  <c r="FB171" i="30"/>
  <c r="FB170" i="30"/>
  <c r="FB169" i="30"/>
  <c r="EU277" i="30"/>
  <c r="EU276" i="30"/>
  <c r="EU274" i="30"/>
  <c r="EU273" i="30"/>
  <c r="EU271" i="30"/>
  <c r="EU270" i="30"/>
  <c r="EU269" i="30"/>
  <c r="EU267" i="30"/>
  <c r="EU266" i="30"/>
  <c r="EU264" i="30"/>
  <c r="EU263" i="30"/>
  <c r="EU261" i="30"/>
  <c r="EU260" i="30"/>
  <c r="EU259" i="30"/>
  <c r="EU257" i="30"/>
  <c r="EU256" i="30"/>
  <c r="EU254" i="30"/>
  <c r="EU253" i="30"/>
  <c r="EU251" i="30"/>
  <c r="EU250" i="30"/>
  <c r="EU249" i="30"/>
  <c r="EU247" i="30"/>
  <c r="EU246" i="30"/>
  <c r="EU244" i="30"/>
  <c r="EU243" i="30"/>
  <c r="EU241" i="30"/>
  <c r="EU240" i="30"/>
  <c r="EU239" i="30"/>
  <c r="EU237" i="30"/>
  <c r="EU236" i="30"/>
  <c r="EU234" i="30"/>
  <c r="EU233" i="30"/>
  <c r="EU231" i="30"/>
  <c r="EU230" i="30"/>
  <c r="EU229" i="30"/>
  <c r="EU227" i="30"/>
  <c r="EU226" i="30"/>
  <c r="EU224" i="30"/>
  <c r="EU223" i="30"/>
  <c r="EU221" i="30"/>
  <c r="EU220" i="30"/>
  <c r="EU219" i="30"/>
  <c r="EU217" i="30"/>
  <c r="EU216" i="30"/>
  <c r="EU214" i="30"/>
  <c r="EU213" i="30"/>
  <c r="EU211" i="30"/>
  <c r="EU210" i="30"/>
  <c r="EU209" i="30"/>
  <c r="EU207" i="30"/>
  <c r="EU206" i="30"/>
  <c r="EU204" i="30"/>
  <c r="EU203" i="30"/>
  <c r="EU201" i="30"/>
  <c r="EU200" i="30"/>
  <c r="EU199" i="30"/>
  <c r="EU197" i="30"/>
  <c r="EU196" i="30"/>
  <c r="EU194" i="30"/>
  <c r="EU193" i="30"/>
  <c r="EU191" i="30"/>
  <c r="EU190" i="30"/>
  <c r="EU189" i="30"/>
  <c r="EU187" i="30"/>
  <c r="EU186" i="30"/>
  <c r="EU184" i="30"/>
  <c r="EU183" i="30"/>
  <c r="EU181" i="30"/>
  <c r="EU180" i="30"/>
  <c r="EU179" i="30"/>
  <c r="EU177" i="30"/>
  <c r="EU176" i="30"/>
  <c r="EU174" i="30"/>
  <c r="EU173" i="30"/>
  <c r="EU171" i="30"/>
  <c r="EU170" i="30"/>
  <c r="EU169" i="30"/>
  <c r="EN277" i="30"/>
  <c r="EN276" i="30"/>
  <c r="EN274" i="30"/>
  <c r="EN273" i="30"/>
  <c r="EN271" i="30"/>
  <c r="EN270" i="30"/>
  <c r="EN269" i="30"/>
  <c r="EN267" i="30"/>
  <c r="EN266" i="30"/>
  <c r="EN264" i="30"/>
  <c r="EN263" i="30"/>
  <c r="EN261" i="30"/>
  <c r="EN260" i="30"/>
  <c r="EN259" i="30"/>
  <c r="EN257" i="30"/>
  <c r="EN256" i="30"/>
  <c r="EN254" i="30"/>
  <c r="EN253" i="30"/>
  <c r="EN251" i="30"/>
  <c r="EN250" i="30"/>
  <c r="EN249" i="30"/>
  <c r="EN247" i="30"/>
  <c r="EN246" i="30"/>
  <c r="EN244" i="30"/>
  <c r="EN243" i="30"/>
  <c r="EN241" i="30"/>
  <c r="EN240" i="30"/>
  <c r="EN239" i="30"/>
  <c r="EN237" i="30"/>
  <c r="EN236" i="30"/>
  <c r="EN234" i="30"/>
  <c r="EN233" i="30"/>
  <c r="EN231" i="30"/>
  <c r="EN230" i="30"/>
  <c r="EN229" i="30"/>
  <c r="EN227" i="30"/>
  <c r="EN226" i="30"/>
  <c r="EN224" i="30"/>
  <c r="EN223" i="30"/>
  <c r="EN221" i="30"/>
  <c r="EN220" i="30"/>
  <c r="EN219" i="30"/>
  <c r="EN217" i="30"/>
  <c r="EN216" i="30"/>
  <c r="EN214" i="30"/>
  <c r="EN213" i="30"/>
  <c r="EN211" i="30"/>
  <c r="EN210" i="30"/>
  <c r="EN209" i="30"/>
  <c r="EN207" i="30"/>
  <c r="EN206" i="30"/>
  <c r="EN204" i="30"/>
  <c r="EN203" i="30"/>
  <c r="EN201" i="30"/>
  <c r="EN200" i="30"/>
  <c r="EN199" i="30"/>
  <c r="EN197" i="30"/>
  <c r="EN196" i="30"/>
  <c r="EN194" i="30"/>
  <c r="EN193" i="30"/>
  <c r="EN191" i="30"/>
  <c r="EN190" i="30"/>
  <c r="EN189" i="30"/>
  <c r="EN187" i="30"/>
  <c r="EN186" i="30"/>
  <c r="EN184" i="30"/>
  <c r="EN183" i="30"/>
  <c r="EN181" i="30"/>
  <c r="EN180" i="30"/>
  <c r="EN179" i="30"/>
  <c r="EN177" i="30"/>
  <c r="EN176" i="30"/>
  <c r="EN174" i="30"/>
  <c r="EN173" i="30"/>
  <c r="EN171" i="30"/>
  <c r="EN170" i="30"/>
  <c r="EN169" i="30"/>
  <c r="EG277" i="30"/>
  <c r="EG276" i="30"/>
  <c r="EG274" i="30"/>
  <c r="EG273" i="30"/>
  <c r="EG271" i="30"/>
  <c r="EG270" i="30"/>
  <c r="EG269" i="30"/>
  <c r="EG267" i="30"/>
  <c r="EG266" i="30"/>
  <c r="EG264" i="30"/>
  <c r="EG263" i="30"/>
  <c r="EG261" i="30"/>
  <c r="EG260" i="30"/>
  <c r="EG259" i="30"/>
  <c r="EG257" i="30"/>
  <c r="EG256" i="30"/>
  <c r="EG254" i="30"/>
  <c r="EG253" i="30"/>
  <c r="EG251" i="30"/>
  <c r="EG250" i="30"/>
  <c r="EG249" i="30"/>
  <c r="EG247" i="30"/>
  <c r="EG246" i="30"/>
  <c r="EG244" i="30"/>
  <c r="EG243" i="30"/>
  <c r="EG241" i="30"/>
  <c r="EG240" i="30"/>
  <c r="EG239" i="30"/>
  <c r="EG237" i="30"/>
  <c r="EG236" i="30"/>
  <c r="EG234" i="30"/>
  <c r="EG233" i="30"/>
  <c r="EG231" i="30"/>
  <c r="EG230" i="30"/>
  <c r="EG229" i="30"/>
  <c r="EG227" i="30"/>
  <c r="EG226" i="30"/>
  <c r="EG224" i="30"/>
  <c r="EG223" i="30"/>
  <c r="EG221" i="30"/>
  <c r="EG220" i="30"/>
  <c r="EG219" i="30"/>
  <c r="EG217" i="30"/>
  <c r="EG216" i="30"/>
  <c r="EG214" i="30"/>
  <c r="EG213" i="30"/>
  <c r="EG211" i="30"/>
  <c r="EG210" i="30"/>
  <c r="EG209" i="30"/>
  <c r="EG207" i="30"/>
  <c r="EG206" i="30"/>
  <c r="EG204" i="30"/>
  <c r="EG203" i="30"/>
  <c r="EG201" i="30"/>
  <c r="EG200" i="30"/>
  <c r="EG199" i="30"/>
  <c r="EG197" i="30"/>
  <c r="EG196" i="30"/>
  <c r="EG194" i="30"/>
  <c r="EG193" i="30"/>
  <c r="EG191" i="30"/>
  <c r="EG190" i="30"/>
  <c r="EG189" i="30"/>
  <c r="EG187" i="30"/>
  <c r="EG186" i="30"/>
  <c r="EG184" i="30"/>
  <c r="EG183" i="30"/>
  <c r="EG181" i="30"/>
  <c r="EG180" i="30"/>
  <c r="EG179" i="30"/>
  <c r="EG177" i="30"/>
  <c r="EG176" i="30"/>
  <c r="EG174" i="30"/>
  <c r="EG173" i="30"/>
  <c r="EG171" i="30"/>
  <c r="EG170" i="30"/>
  <c r="EG169" i="30"/>
  <c r="DZ277" i="30"/>
  <c r="DZ276" i="30"/>
  <c r="DZ274" i="30"/>
  <c r="DZ273" i="30"/>
  <c r="DZ271" i="30"/>
  <c r="DZ270" i="30"/>
  <c r="DZ269" i="30"/>
  <c r="DZ267" i="30"/>
  <c r="DZ266" i="30"/>
  <c r="DZ264" i="30"/>
  <c r="DZ263" i="30"/>
  <c r="DZ261" i="30"/>
  <c r="DZ260" i="30"/>
  <c r="DZ259" i="30"/>
  <c r="DZ257" i="30"/>
  <c r="DZ256" i="30"/>
  <c r="DZ254" i="30"/>
  <c r="DZ253" i="30"/>
  <c r="DZ251" i="30"/>
  <c r="DZ250" i="30"/>
  <c r="DZ249" i="30"/>
  <c r="DZ247" i="30"/>
  <c r="DZ246" i="30"/>
  <c r="DZ244" i="30"/>
  <c r="DZ243" i="30"/>
  <c r="DZ241" i="30"/>
  <c r="DZ240" i="30"/>
  <c r="DZ239" i="30"/>
  <c r="DZ237" i="30"/>
  <c r="DZ236" i="30"/>
  <c r="DZ234" i="30"/>
  <c r="DZ233" i="30"/>
  <c r="DZ231" i="30"/>
  <c r="DZ230" i="30"/>
  <c r="DZ229" i="30"/>
  <c r="DZ227" i="30"/>
  <c r="DZ226" i="30"/>
  <c r="DZ224" i="30"/>
  <c r="DZ223" i="30"/>
  <c r="DZ221" i="30"/>
  <c r="DZ220" i="30"/>
  <c r="DZ219" i="30"/>
  <c r="DZ217" i="30"/>
  <c r="DZ216" i="30"/>
  <c r="DZ214" i="30"/>
  <c r="DZ213" i="30"/>
  <c r="DZ211" i="30"/>
  <c r="DZ210" i="30"/>
  <c r="DZ209" i="30"/>
  <c r="DZ207" i="30"/>
  <c r="DZ206" i="30"/>
  <c r="DZ204" i="30"/>
  <c r="DZ203" i="30"/>
  <c r="DZ201" i="30"/>
  <c r="DZ200" i="30"/>
  <c r="DZ199" i="30"/>
  <c r="DZ197" i="30"/>
  <c r="DZ196" i="30"/>
  <c r="DZ194" i="30"/>
  <c r="DZ193" i="30"/>
  <c r="DZ191" i="30"/>
  <c r="DZ190" i="30"/>
  <c r="DZ189" i="30"/>
  <c r="DZ187" i="30"/>
  <c r="DZ186" i="30"/>
  <c r="DZ184" i="30"/>
  <c r="DZ183" i="30"/>
  <c r="DZ181" i="30"/>
  <c r="DZ180" i="30"/>
  <c r="DZ179" i="30"/>
  <c r="DZ177" i="30"/>
  <c r="DZ176" i="30"/>
  <c r="DZ174" i="30"/>
  <c r="DZ173" i="30"/>
  <c r="DZ171" i="30"/>
  <c r="DZ170" i="30"/>
  <c r="DZ169" i="30"/>
  <c r="DS277" i="30"/>
  <c r="DS276" i="30"/>
  <c r="DS274" i="30"/>
  <c r="DS273" i="30"/>
  <c r="DS271" i="30"/>
  <c r="DS270" i="30"/>
  <c r="DS269" i="30"/>
  <c r="DS267" i="30"/>
  <c r="DS266" i="30"/>
  <c r="DS264" i="30"/>
  <c r="DS263" i="30"/>
  <c r="DS261" i="30"/>
  <c r="DS260" i="30"/>
  <c r="DS259" i="30"/>
  <c r="DS257" i="30"/>
  <c r="DS256" i="30"/>
  <c r="DS254" i="30"/>
  <c r="DS253" i="30"/>
  <c r="DS251" i="30"/>
  <c r="DS250" i="30"/>
  <c r="DS249" i="30"/>
  <c r="DS247" i="30"/>
  <c r="DS246" i="30"/>
  <c r="DS244" i="30"/>
  <c r="DS243" i="30"/>
  <c r="DS241" i="30"/>
  <c r="DS240" i="30"/>
  <c r="DS239" i="30"/>
  <c r="DS237" i="30"/>
  <c r="DS236" i="30"/>
  <c r="DS234" i="30"/>
  <c r="DS233" i="30"/>
  <c r="DS231" i="30"/>
  <c r="DS230" i="30"/>
  <c r="DS229" i="30"/>
  <c r="DS227" i="30"/>
  <c r="DS226" i="30"/>
  <c r="DS224" i="30"/>
  <c r="DS223" i="30"/>
  <c r="DS221" i="30"/>
  <c r="DS220" i="30"/>
  <c r="DS219" i="30"/>
  <c r="DS217" i="30"/>
  <c r="DS216" i="30"/>
  <c r="DS214" i="30"/>
  <c r="DS213" i="30"/>
  <c r="DS211" i="30"/>
  <c r="DS210" i="30"/>
  <c r="DS209" i="30"/>
  <c r="DS207" i="30"/>
  <c r="DS206" i="30"/>
  <c r="DS204" i="30"/>
  <c r="DS203" i="30"/>
  <c r="DS201" i="30"/>
  <c r="DS200" i="30"/>
  <c r="DS199" i="30"/>
  <c r="DS197" i="30"/>
  <c r="DS196" i="30"/>
  <c r="DS194" i="30"/>
  <c r="DS193" i="30"/>
  <c r="DS191" i="30"/>
  <c r="DS190" i="30"/>
  <c r="DS189" i="30"/>
  <c r="DS187" i="30"/>
  <c r="DS186" i="30"/>
  <c r="DS184" i="30"/>
  <c r="DS183" i="30"/>
  <c r="DS181" i="30"/>
  <c r="DS180" i="30"/>
  <c r="DS179" i="30"/>
  <c r="DS177" i="30"/>
  <c r="DS176" i="30"/>
  <c r="DS174" i="30"/>
  <c r="DS173" i="30"/>
  <c r="DS171" i="30"/>
  <c r="DS170" i="30"/>
  <c r="DS169" i="30"/>
  <c r="DL277" i="30"/>
  <c r="DL276" i="30"/>
  <c r="DL274" i="30"/>
  <c r="DL273" i="30"/>
  <c r="DL271" i="30"/>
  <c r="DL270" i="30"/>
  <c r="DL269" i="30"/>
  <c r="DL267" i="30"/>
  <c r="DL266" i="30"/>
  <c r="DL264" i="30"/>
  <c r="DL263" i="30"/>
  <c r="DL261" i="30"/>
  <c r="DL260" i="30"/>
  <c r="DL259" i="30"/>
  <c r="DL257" i="30"/>
  <c r="DL256" i="30"/>
  <c r="DL254" i="30"/>
  <c r="DL253" i="30"/>
  <c r="DL251" i="30"/>
  <c r="DL250" i="30"/>
  <c r="DL249" i="30"/>
  <c r="DL247" i="30"/>
  <c r="DL246" i="30"/>
  <c r="DL244" i="30"/>
  <c r="DL243" i="30"/>
  <c r="DL241" i="30"/>
  <c r="DL240" i="30"/>
  <c r="DL239" i="30"/>
  <c r="DL237" i="30"/>
  <c r="DL236" i="30"/>
  <c r="DL234" i="30"/>
  <c r="DL233" i="30"/>
  <c r="DL231" i="30"/>
  <c r="DL230" i="30"/>
  <c r="DL229" i="30"/>
  <c r="DL227" i="30"/>
  <c r="DL226" i="30"/>
  <c r="DL224" i="30"/>
  <c r="DL223" i="30"/>
  <c r="DL221" i="30"/>
  <c r="DL220" i="30"/>
  <c r="DL219" i="30"/>
  <c r="DL217" i="30"/>
  <c r="DL216" i="30"/>
  <c r="DL214" i="30"/>
  <c r="DL213" i="30"/>
  <c r="DL211" i="30"/>
  <c r="DL210" i="30"/>
  <c r="DL209" i="30"/>
  <c r="DL207" i="30"/>
  <c r="DL206" i="30"/>
  <c r="DL204" i="30"/>
  <c r="DL203" i="30"/>
  <c r="DL201" i="30"/>
  <c r="DL200" i="30"/>
  <c r="DL199" i="30"/>
  <c r="DL197" i="30"/>
  <c r="DL196" i="30"/>
  <c r="DL194" i="30"/>
  <c r="DL193" i="30"/>
  <c r="DL191" i="30"/>
  <c r="DL190" i="30"/>
  <c r="DL189" i="30"/>
  <c r="DL187" i="30"/>
  <c r="DL186" i="30"/>
  <c r="DL184" i="30"/>
  <c r="DL183" i="30"/>
  <c r="DL181" i="30"/>
  <c r="DL180" i="30"/>
  <c r="DL179" i="30"/>
  <c r="DL177" i="30"/>
  <c r="DL176" i="30"/>
  <c r="DL174" i="30"/>
  <c r="DL173" i="30"/>
  <c r="DL171" i="30"/>
  <c r="DL170" i="30"/>
  <c r="DL169" i="30"/>
  <c r="DE277" i="30"/>
  <c r="DE276" i="30"/>
  <c r="DE274" i="30"/>
  <c r="DE273" i="30"/>
  <c r="DE271" i="30"/>
  <c r="DE270" i="30"/>
  <c r="DE269" i="30"/>
  <c r="DE267" i="30"/>
  <c r="DE266" i="30"/>
  <c r="DE264" i="30"/>
  <c r="DE263" i="30"/>
  <c r="DE261" i="30"/>
  <c r="DE260" i="30"/>
  <c r="DE259" i="30"/>
  <c r="DE257" i="30"/>
  <c r="DE256" i="30"/>
  <c r="DE254" i="30"/>
  <c r="DE253" i="30"/>
  <c r="DE251" i="30"/>
  <c r="DE250" i="30"/>
  <c r="DE249" i="30"/>
  <c r="DE247" i="30"/>
  <c r="DE246" i="30"/>
  <c r="DE244" i="30"/>
  <c r="DE243" i="30"/>
  <c r="DE241" i="30"/>
  <c r="DE240" i="30"/>
  <c r="DE239" i="30"/>
  <c r="DE237" i="30"/>
  <c r="DE236" i="30"/>
  <c r="DE234" i="30"/>
  <c r="DE233" i="30"/>
  <c r="DE231" i="30"/>
  <c r="DE230" i="30"/>
  <c r="DE229" i="30"/>
  <c r="DE227" i="30"/>
  <c r="DE226" i="30"/>
  <c r="DE224" i="30"/>
  <c r="DE223" i="30"/>
  <c r="DE221" i="30"/>
  <c r="DE220" i="30"/>
  <c r="DE219" i="30"/>
  <c r="DE217" i="30"/>
  <c r="DE216" i="30"/>
  <c r="DE214" i="30"/>
  <c r="DE213" i="30"/>
  <c r="DE211" i="30"/>
  <c r="DE210" i="30"/>
  <c r="DE209" i="30"/>
  <c r="DE207" i="30"/>
  <c r="DE206" i="30"/>
  <c r="DE204" i="30"/>
  <c r="DE203" i="30"/>
  <c r="DE201" i="30"/>
  <c r="DE200" i="30"/>
  <c r="DE199" i="30"/>
  <c r="DE197" i="30"/>
  <c r="DE196" i="30"/>
  <c r="DE194" i="30"/>
  <c r="DE193" i="30"/>
  <c r="DE191" i="30"/>
  <c r="DE190" i="30"/>
  <c r="DE189" i="30"/>
  <c r="DE187" i="30"/>
  <c r="DE186" i="30"/>
  <c r="DE184" i="30"/>
  <c r="DE183" i="30"/>
  <c r="DE181" i="30"/>
  <c r="DE180" i="30"/>
  <c r="DE179" i="30"/>
  <c r="DE177" i="30"/>
  <c r="DE176" i="30"/>
  <c r="DE174" i="30"/>
  <c r="DE173" i="30"/>
  <c r="DE171" i="30"/>
  <c r="DE170" i="30"/>
  <c r="DE169" i="30"/>
  <c r="CX277" i="30"/>
  <c r="CX276" i="30"/>
  <c r="CX274" i="30"/>
  <c r="CX273" i="30"/>
  <c r="CX271" i="30"/>
  <c r="CX270" i="30"/>
  <c r="CX269" i="30"/>
  <c r="CX267" i="30"/>
  <c r="CX266" i="30"/>
  <c r="CX264" i="30"/>
  <c r="CX263" i="30"/>
  <c r="CX261" i="30"/>
  <c r="CX260" i="30"/>
  <c r="CX259" i="30"/>
  <c r="CX257" i="30"/>
  <c r="CX256" i="30"/>
  <c r="CX254" i="30"/>
  <c r="CX253" i="30"/>
  <c r="CX251" i="30"/>
  <c r="CX250" i="30"/>
  <c r="CX249" i="30"/>
  <c r="CX247" i="30"/>
  <c r="CX246" i="30"/>
  <c r="CX244" i="30"/>
  <c r="CX243" i="30"/>
  <c r="CX241" i="30"/>
  <c r="CX240" i="30"/>
  <c r="CX239" i="30"/>
  <c r="CX237" i="30"/>
  <c r="CX236" i="30"/>
  <c r="CX234" i="30"/>
  <c r="CX233" i="30"/>
  <c r="CX231" i="30"/>
  <c r="CX230" i="30"/>
  <c r="CX229" i="30"/>
  <c r="CX227" i="30"/>
  <c r="CX226" i="30"/>
  <c r="CX224" i="30"/>
  <c r="CX223" i="30"/>
  <c r="CX221" i="30"/>
  <c r="CX220" i="30"/>
  <c r="CX219" i="30"/>
  <c r="CX217" i="30"/>
  <c r="CX216" i="30"/>
  <c r="CX214" i="30"/>
  <c r="CX213" i="30"/>
  <c r="CX211" i="30"/>
  <c r="CX210" i="30"/>
  <c r="CX209" i="30"/>
  <c r="CX207" i="30"/>
  <c r="CX206" i="30"/>
  <c r="CX204" i="30"/>
  <c r="CX203" i="30"/>
  <c r="CX201" i="30"/>
  <c r="CX200" i="30"/>
  <c r="CX199" i="30"/>
  <c r="CX197" i="30"/>
  <c r="CX196" i="30"/>
  <c r="CX194" i="30"/>
  <c r="CX193" i="30"/>
  <c r="CX191" i="30"/>
  <c r="CX190" i="30"/>
  <c r="CX189" i="30"/>
  <c r="CX187" i="30"/>
  <c r="CX186" i="30"/>
  <c r="CX184" i="30"/>
  <c r="CX183" i="30"/>
  <c r="CX181" i="30"/>
  <c r="CX180" i="30"/>
  <c r="CX179" i="30"/>
  <c r="CX177" i="30"/>
  <c r="CX176" i="30"/>
  <c r="CX174" i="30"/>
  <c r="CX173" i="30"/>
  <c r="CX171" i="30"/>
  <c r="CX170" i="30"/>
  <c r="CX169" i="30"/>
  <c r="CQ277" i="30"/>
  <c r="CQ276" i="30"/>
  <c r="CQ274" i="30"/>
  <c r="CQ273" i="30"/>
  <c r="CQ271" i="30"/>
  <c r="CQ270" i="30"/>
  <c r="CQ269" i="30"/>
  <c r="CQ267" i="30"/>
  <c r="CQ266" i="30"/>
  <c r="CQ264" i="30"/>
  <c r="CQ263" i="30"/>
  <c r="CQ261" i="30"/>
  <c r="CQ260" i="30"/>
  <c r="CQ259" i="30"/>
  <c r="CQ257" i="30"/>
  <c r="CQ256" i="30"/>
  <c r="CQ254" i="30"/>
  <c r="CQ253" i="30"/>
  <c r="CQ251" i="30"/>
  <c r="CQ250" i="30"/>
  <c r="CQ249" i="30"/>
  <c r="CQ247" i="30"/>
  <c r="CQ246" i="30"/>
  <c r="CQ244" i="30"/>
  <c r="CQ243" i="30"/>
  <c r="CQ241" i="30"/>
  <c r="CQ240" i="30"/>
  <c r="CQ239" i="30"/>
  <c r="CQ237" i="30"/>
  <c r="CQ236" i="30"/>
  <c r="CQ234" i="30"/>
  <c r="CQ233" i="30"/>
  <c r="CQ231" i="30"/>
  <c r="CQ230" i="30"/>
  <c r="CQ229" i="30"/>
  <c r="CQ227" i="30"/>
  <c r="CQ226" i="30"/>
  <c r="CQ224" i="30"/>
  <c r="CQ223" i="30"/>
  <c r="CQ221" i="30"/>
  <c r="CQ220" i="30"/>
  <c r="CQ219" i="30"/>
  <c r="CQ217" i="30"/>
  <c r="CQ216" i="30"/>
  <c r="CQ214" i="30"/>
  <c r="CQ213" i="30"/>
  <c r="CQ211" i="30"/>
  <c r="CQ210" i="30"/>
  <c r="CQ209" i="30"/>
  <c r="CQ207" i="30"/>
  <c r="CQ206" i="30"/>
  <c r="CQ204" i="30"/>
  <c r="CQ203" i="30"/>
  <c r="CQ201" i="30"/>
  <c r="CQ200" i="30"/>
  <c r="CQ199" i="30"/>
  <c r="CQ197" i="30"/>
  <c r="CQ196" i="30"/>
  <c r="CQ194" i="30"/>
  <c r="CQ193" i="30"/>
  <c r="CQ191" i="30"/>
  <c r="CQ190" i="30"/>
  <c r="CQ189" i="30"/>
  <c r="CQ187" i="30"/>
  <c r="CQ186" i="30"/>
  <c r="CQ184" i="30"/>
  <c r="CQ183" i="30"/>
  <c r="CQ181" i="30"/>
  <c r="CQ180" i="30"/>
  <c r="CQ179" i="30"/>
  <c r="CQ177" i="30"/>
  <c r="CQ176" i="30"/>
  <c r="CQ174" i="30"/>
  <c r="CQ173" i="30"/>
  <c r="CQ171" i="30"/>
  <c r="CQ170" i="30"/>
  <c r="CQ169" i="30"/>
  <c r="CJ277" i="30"/>
  <c r="CJ276" i="30"/>
  <c r="CJ274" i="30"/>
  <c r="CJ273" i="30"/>
  <c r="CJ271" i="30"/>
  <c r="CJ270" i="30"/>
  <c r="CJ269" i="30"/>
  <c r="CJ267" i="30"/>
  <c r="CJ266" i="30"/>
  <c r="CJ264" i="30"/>
  <c r="CJ263" i="30"/>
  <c r="CJ261" i="30"/>
  <c r="CJ260" i="30"/>
  <c r="CJ259" i="30"/>
  <c r="CJ257" i="30"/>
  <c r="CJ256" i="30"/>
  <c r="CJ254" i="30"/>
  <c r="CJ253" i="30"/>
  <c r="CJ251" i="30"/>
  <c r="CJ250" i="30"/>
  <c r="CJ249" i="30"/>
  <c r="CJ247" i="30"/>
  <c r="CJ246" i="30"/>
  <c r="CJ244" i="30"/>
  <c r="CJ243" i="30"/>
  <c r="CJ241" i="30"/>
  <c r="CJ240" i="30"/>
  <c r="CJ239" i="30"/>
  <c r="CJ237" i="30"/>
  <c r="CJ236" i="30"/>
  <c r="CJ234" i="30"/>
  <c r="CJ233" i="30"/>
  <c r="CJ231" i="30"/>
  <c r="CJ230" i="30"/>
  <c r="CJ229" i="30"/>
  <c r="CJ227" i="30"/>
  <c r="CJ226" i="30"/>
  <c r="CJ224" i="30"/>
  <c r="CJ223" i="30"/>
  <c r="CJ221" i="30"/>
  <c r="CJ220" i="30"/>
  <c r="CJ219" i="30"/>
  <c r="CJ217" i="30"/>
  <c r="CJ216" i="30"/>
  <c r="CJ214" i="30"/>
  <c r="CJ213" i="30"/>
  <c r="CJ211" i="30"/>
  <c r="CJ210" i="30"/>
  <c r="CJ209" i="30"/>
  <c r="CJ207" i="30"/>
  <c r="CJ206" i="30"/>
  <c r="CJ204" i="30"/>
  <c r="CJ203" i="30"/>
  <c r="CJ201" i="30"/>
  <c r="CJ200" i="30"/>
  <c r="CJ199" i="30"/>
  <c r="CJ197" i="30"/>
  <c r="CJ196" i="30"/>
  <c r="CJ194" i="30"/>
  <c r="CJ193" i="30"/>
  <c r="CJ191" i="30"/>
  <c r="CJ190" i="30"/>
  <c r="CJ189" i="30"/>
  <c r="CJ187" i="30"/>
  <c r="CJ186" i="30"/>
  <c r="CJ184" i="30"/>
  <c r="CJ183" i="30"/>
  <c r="CJ181" i="30"/>
  <c r="CJ180" i="30"/>
  <c r="CJ179" i="30"/>
  <c r="CJ177" i="30"/>
  <c r="CJ176" i="30"/>
  <c r="CJ174" i="30"/>
  <c r="CJ173" i="30"/>
  <c r="CJ171" i="30"/>
  <c r="CJ170" i="30"/>
  <c r="CJ169" i="30"/>
  <c r="CC277" i="30"/>
  <c r="CC276" i="30"/>
  <c r="CC274" i="30"/>
  <c r="CC273" i="30"/>
  <c r="CC271" i="30"/>
  <c r="CC270" i="30"/>
  <c r="CC269" i="30"/>
  <c r="CC267" i="30"/>
  <c r="CC266" i="30"/>
  <c r="CC264" i="30"/>
  <c r="CC263" i="30"/>
  <c r="CC261" i="30"/>
  <c r="CC260" i="30"/>
  <c r="CC259" i="30"/>
  <c r="CC257" i="30"/>
  <c r="CC256" i="30"/>
  <c r="CC254" i="30"/>
  <c r="CC253" i="30"/>
  <c r="CC251" i="30"/>
  <c r="CC250" i="30"/>
  <c r="CC249" i="30"/>
  <c r="CC247" i="30"/>
  <c r="CC246" i="30"/>
  <c r="CC244" i="30"/>
  <c r="CC243" i="30"/>
  <c r="CC241" i="30"/>
  <c r="CC240" i="30"/>
  <c r="CC239" i="30"/>
  <c r="CC237" i="30"/>
  <c r="CC236" i="30"/>
  <c r="CC234" i="30"/>
  <c r="CC233" i="30"/>
  <c r="CC231" i="30"/>
  <c r="CC230" i="30"/>
  <c r="CC229" i="30"/>
  <c r="CC227" i="30"/>
  <c r="CC226" i="30"/>
  <c r="CC224" i="30"/>
  <c r="CC223" i="30"/>
  <c r="CC221" i="30"/>
  <c r="CC220" i="30"/>
  <c r="CC219" i="30"/>
  <c r="CC217" i="30"/>
  <c r="CC216" i="30"/>
  <c r="CC214" i="30"/>
  <c r="CC213" i="30"/>
  <c r="CC211" i="30"/>
  <c r="CC210" i="30"/>
  <c r="CC209" i="30"/>
  <c r="CC207" i="30"/>
  <c r="CC206" i="30"/>
  <c r="CC204" i="30"/>
  <c r="CC203" i="30"/>
  <c r="CC201" i="30"/>
  <c r="CC200" i="30"/>
  <c r="CC199" i="30"/>
  <c r="CC197" i="30"/>
  <c r="CC196" i="30"/>
  <c r="CC194" i="30"/>
  <c r="CC193" i="30"/>
  <c r="CC191" i="30"/>
  <c r="CC190" i="30"/>
  <c r="CC189" i="30"/>
  <c r="CC187" i="30"/>
  <c r="CC186" i="30"/>
  <c r="CC184" i="30"/>
  <c r="CC183" i="30"/>
  <c r="CC181" i="30"/>
  <c r="CC180" i="30"/>
  <c r="CC179" i="30"/>
  <c r="CC177" i="30"/>
  <c r="CC176" i="30"/>
  <c r="CC174" i="30"/>
  <c r="CC173" i="30"/>
  <c r="CC171" i="30"/>
  <c r="CC170" i="30"/>
  <c r="CC169" i="30"/>
  <c r="BV277" i="30"/>
  <c r="BV276" i="30"/>
  <c r="BV274" i="30"/>
  <c r="BV273" i="30"/>
  <c r="BV271" i="30"/>
  <c r="BV270" i="30"/>
  <c r="BV269" i="30"/>
  <c r="BV267" i="30"/>
  <c r="BV266" i="30"/>
  <c r="BV264" i="30"/>
  <c r="BV263" i="30"/>
  <c r="BV261" i="30"/>
  <c r="BV260" i="30"/>
  <c r="BV259" i="30"/>
  <c r="BV257" i="30"/>
  <c r="BV256" i="30"/>
  <c r="BV254" i="30"/>
  <c r="BV253" i="30"/>
  <c r="BV251" i="30"/>
  <c r="BV250" i="30"/>
  <c r="BV249" i="30"/>
  <c r="BV247" i="30"/>
  <c r="BV246" i="30"/>
  <c r="BV244" i="30"/>
  <c r="BV243" i="30"/>
  <c r="BV241" i="30"/>
  <c r="BV240" i="30"/>
  <c r="BV239" i="30"/>
  <c r="BV237" i="30"/>
  <c r="BV236" i="30"/>
  <c r="BV234" i="30"/>
  <c r="BV233" i="30"/>
  <c r="BV231" i="30"/>
  <c r="BV230" i="30"/>
  <c r="BV229" i="30"/>
  <c r="BV227" i="30"/>
  <c r="BV226" i="30"/>
  <c r="BV224" i="30"/>
  <c r="BV223" i="30"/>
  <c r="BV221" i="30"/>
  <c r="BV220" i="30"/>
  <c r="BV219" i="30"/>
  <c r="BV217" i="30"/>
  <c r="BV216" i="30"/>
  <c r="BV214" i="30"/>
  <c r="BV213" i="30"/>
  <c r="BV211" i="30"/>
  <c r="BV210" i="30"/>
  <c r="BV209" i="30"/>
  <c r="BV207" i="30"/>
  <c r="BV206" i="30"/>
  <c r="BV204" i="30"/>
  <c r="BV203" i="30"/>
  <c r="BV201" i="30"/>
  <c r="BV200" i="30"/>
  <c r="BV199" i="30"/>
  <c r="BV197" i="30"/>
  <c r="BV196" i="30"/>
  <c r="BV194" i="30"/>
  <c r="BV193" i="30"/>
  <c r="BV191" i="30"/>
  <c r="BV190" i="30"/>
  <c r="BV189" i="30"/>
  <c r="BV187" i="30"/>
  <c r="BV186" i="30"/>
  <c r="BV184" i="30"/>
  <c r="BV183" i="30"/>
  <c r="BV181" i="30"/>
  <c r="BV180" i="30"/>
  <c r="BV179" i="30"/>
  <c r="BV177" i="30"/>
  <c r="BV176" i="30"/>
  <c r="BV174" i="30"/>
  <c r="BV173" i="30"/>
  <c r="BV171" i="30"/>
  <c r="BV170" i="30"/>
  <c r="BV169" i="30"/>
  <c r="BO277" i="30"/>
  <c r="BO276" i="30"/>
  <c r="BO274" i="30"/>
  <c r="BO273" i="30"/>
  <c r="BO271" i="30"/>
  <c r="BO270" i="30"/>
  <c r="BO269" i="30"/>
  <c r="BO267" i="30"/>
  <c r="BO266" i="30"/>
  <c r="BO264" i="30"/>
  <c r="BO263" i="30"/>
  <c r="BO261" i="30"/>
  <c r="BO260" i="30"/>
  <c r="BO259" i="30"/>
  <c r="BO257" i="30"/>
  <c r="BO256" i="30"/>
  <c r="BO254" i="30"/>
  <c r="BO253" i="30"/>
  <c r="BO251" i="30"/>
  <c r="BO250" i="30"/>
  <c r="BO249" i="30"/>
  <c r="BO247" i="30"/>
  <c r="BO246" i="30"/>
  <c r="BO244" i="30"/>
  <c r="BO243" i="30"/>
  <c r="BO241" i="30"/>
  <c r="BO240" i="30"/>
  <c r="BO239" i="30"/>
  <c r="BO237" i="30"/>
  <c r="BO236" i="30"/>
  <c r="BO234" i="30"/>
  <c r="BO233" i="30"/>
  <c r="BO231" i="30"/>
  <c r="BO230" i="30"/>
  <c r="BO229" i="30"/>
  <c r="BO227" i="30"/>
  <c r="BO226" i="30"/>
  <c r="BO224" i="30"/>
  <c r="BO223" i="30"/>
  <c r="BO221" i="30"/>
  <c r="BO220" i="30"/>
  <c r="BO219" i="30"/>
  <c r="BO217" i="30"/>
  <c r="BO216" i="30"/>
  <c r="BO214" i="30"/>
  <c r="BO213" i="30"/>
  <c r="BO211" i="30"/>
  <c r="BO210" i="30"/>
  <c r="BO209" i="30"/>
  <c r="BO207" i="30"/>
  <c r="BO206" i="30"/>
  <c r="BO204" i="30"/>
  <c r="BO203" i="30"/>
  <c r="BO201" i="30"/>
  <c r="BO200" i="30"/>
  <c r="BO199" i="30"/>
  <c r="BO197" i="30"/>
  <c r="BO196" i="30"/>
  <c r="BO194" i="30"/>
  <c r="BO193" i="30"/>
  <c r="BO191" i="30"/>
  <c r="BO190" i="30"/>
  <c r="BO189" i="30"/>
  <c r="BO187" i="30"/>
  <c r="BO186" i="30"/>
  <c r="BO184" i="30"/>
  <c r="BO183" i="30"/>
  <c r="BO181" i="30"/>
  <c r="BO180" i="30"/>
  <c r="BO179" i="30"/>
  <c r="BO177" i="30"/>
  <c r="BO176" i="30"/>
  <c r="BO174" i="30"/>
  <c r="BO173" i="30"/>
  <c r="BO171" i="30"/>
  <c r="BO170" i="30"/>
  <c r="BO169" i="30"/>
  <c r="LN277" i="30"/>
  <c r="LN276" i="30"/>
  <c r="LN274" i="30"/>
  <c r="LN273" i="30"/>
  <c r="LN271" i="30"/>
  <c r="LN270" i="30"/>
  <c r="LN269" i="30"/>
  <c r="LN267" i="30"/>
  <c r="LN266" i="30"/>
  <c r="LN264" i="30"/>
  <c r="LN263" i="30"/>
  <c r="LN261" i="30"/>
  <c r="LN260" i="30"/>
  <c r="LN257" i="30"/>
  <c r="LN256" i="30"/>
  <c r="LN254" i="30"/>
  <c r="LN253" i="30"/>
  <c r="LN251" i="30"/>
  <c r="LN250" i="30"/>
  <c r="LN247" i="30"/>
  <c r="LN246" i="30"/>
  <c r="LN244" i="30"/>
  <c r="LN243" i="30"/>
  <c r="LN241" i="30"/>
  <c r="LN240" i="30"/>
  <c r="LN239" i="30"/>
  <c r="LN237" i="30"/>
  <c r="LN236" i="30"/>
  <c r="LN234" i="30"/>
  <c r="LN233" i="30"/>
  <c r="LN231" i="30"/>
  <c r="LN230" i="30"/>
  <c r="LN227" i="30"/>
  <c r="LN226" i="30"/>
  <c r="LN224" i="30"/>
  <c r="LN223" i="30"/>
  <c r="LN221" i="30"/>
  <c r="LN220" i="30"/>
  <c r="LN217" i="30"/>
  <c r="LN216" i="30"/>
  <c r="LN214" i="30"/>
  <c r="LN213" i="30"/>
  <c r="LN211" i="30"/>
  <c r="LN210" i="30"/>
  <c r="LN207" i="30"/>
  <c r="LN206" i="30"/>
  <c r="LN204" i="30"/>
  <c r="LN203" i="30"/>
  <c r="LN201" i="30"/>
  <c r="LN200" i="30"/>
  <c r="LN197" i="30"/>
  <c r="LN196" i="30"/>
  <c r="LN194" i="30"/>
  <c r="LN193" i="30"/>
  <c r="LN191" i="30"/>
  <c r="LN187" i="30"/>
  <c r="LN186" i="30"/>
  <c r="LN184" i="30"/>
  <c r="LN183" i="30"/>
  <c r="LN181" i="30"/>
  <c r="LN177" i="30"/>
  <c r="LN176" i="30"/>
  <c r="LN174" i="30"/>
  <c r="LN173" i="30"/>
  <c r="LN171" i="30"/>
  <c r="LN170" i="30"/>
  <c r="IX231" i="30" l="1"/>
  <c r="FK261" i="30"/>
  <c r="EV181" i="30"/>
  <c r="EV194" i="30"/>
  <c r="LD251" i="30"/>
  <c r="JR184" i="30"/>
  <c r="LA114" i="29"/>
  <c r="LA290" i="30"/>
  <c r="LC201" i="30"/>
  <c r="LC261" i="30"/>
  <c r="HN80" i="4"/>
  <c r="IY191" i="30"/>
  <c r="IZ191" i="30"/>
  <c r="FJ201" i="30"/>
  <c r="GA236" i="30"/>
  <c r="GO181" i="30"/>
  <c r="GH270" i="30"/>
  <c r="GV254" i="30"/>
  <c r="HC201" i="30"/>
  <c r="HC214" i="30"/>
  <c r="HC216" i="30"/>
  <c r="HX251" i="30"/>
  <c r="IE261" i="30"/>
  <c r="IS201" i="30"/>
  <c r="IS214" i="30"/>
  <c r="KB231" i="30"/>
  <c r="KW201" i="30"/>
  <c r="IS270" i="30"/>
  <c r="KB270" i="30"/>
  <c r="LD98" i="30"/>
  <c r="LD97" i="30"/>
  <c r="LD96" i="30"/>
  <c r="LD95" i="30"/>
  <c r="LC105" i="30"/>
  <c r="LH96" i="30"/>
  <c r="LH97" i="30"/>
  <c r="LH98" i="30"/>
  <c r="EK261" i="30"/>
  <c r="FT261" i="30"/>
  <c r="GF194" i="30"/>
  <c r="FY266" i="30"/>
  <c r="GM191" i="30"/>
  <c r="GM221" i="30"/>
  <c r="GT184" i="30"/>
  <c r="GT251" i="30"/>
  <c r="HV196" i="30"/>
  <c r="IC234" i="30"/>
  <c r="IQ261" i="30"/>
  <c r="IQ226" i="30"/>
  <c r="IX270" i="30"/>
  <c r="JZ226" i="30"/>
  <c r="KN266" i="30"/>
  <c r="KH191" i="30"/>
  <c r="KH204" i="30"/>
  <c r="CU201" i="30"/>
  <c r="IR181" i="30"/>
  <c r="LO250" i="30"/>
  <c r="CE196" i="30"/>
  <c r="CE226" i="30"/>
  <c r="GF191" i="30"/>
  <c r="GF234" i="30"/>
  <c r="GM171" i="30"/>
  <c r="GT181" i="30"/>
  <c r="HA191" i="30"/>
  <c r="CU214" i="30"/>
  <c r="IX261" i="30"/>
  <c r="IX204" i="30"/>
  <c r="FD174" i="30"/>
  <c r="FF261" i="30"/>
  <c r="FS236" i="30"/>
  <c r="GN191" i="30"/>
  <c r="HP231" i="30"/>
  <c r="HW226" i="30"/>
  <c r="JM236" i="30"/>
  <c r="ES206" i="30"/>
  <c r="CD234" i="30"/>
  <c r="BW266" i="30"/>
  <c r="EA234" i="30"/>
  <c r="EI266" i="30"/>
  <c r="EO194" i="30"/>
  <c r="EX231" i="30"/>
  <c r="GH181" i="30"/>
  <c r="GH261" i="30"/>
  <c r="GO191" i="30"/>
  <c r="HJ254" i="30"/>
  <c r="HQ270" i="30"/>
  <c r="IE191" i="30"/>
  <c r="IE204" i="30"/>
  <c r="CS211" i="30"/>
  <c r="DV261" i="30"/>
  <c r="FX194" i="30"/>
  <c r="GU191" i="30"/>
  <c r="IK191" i="30"/>
  <c r="HC266" i="30"/>
  <c r="BW216" i="30"/>
  <c r="CK206" i="30"/>
  <c r="GE221" i="30"/>
  <c r="HU176" i="30"/>
  <c r="II224" i="30"/>
  <c r="EA211" i="30"/>
  <c r="KT214" i="30"/>
  <c r="DG196" i="30"/>
  <c r="BY236" i="30"/>
  <c r="ER196" i="30"/>
  <c r="HC234" i="30"/>
  <c r="IS221" i="30"/>
  <c r="IZ266" i="30"/>
  <c r="JN186" i="30"/>
  <c r="JU196" i="30"/>
  <c r="JU201" i="30"/>
  <c r="CS266" i="30"/>
  <c r="DN171" i="30"/>
  <c r="FM236" i="30"/>
  <c r="GE184" i="30"/>
  <c r="GE186" i="30"/>
  <c r="GL194" i="30"/>
  <c r="GL224" i="30"/>
  <c r="GL261" i="30"/>
  <c r="JN236" i="30"/>
  <c r="KI174" i="30"/>
  <c r="CF191" i="30"/>
  <c r="CF221" i="30"/>
  <c r="CM216" i="30"/>
  <c r="EV186" i="30"/>
  <c r="HA251" i="30"/>
  <c r="HA270" i="30"/>
  <c r="HO221" i="30"/>
  <c r="IC224" i="30"/>
  <c r="IC226" i="30"/>
  <c r="IQ171" i="30"/>
  <c r="IQ264" i="30"/>
  <c r="IQ186" i="30"/>
  <c r="DW231" i="30"/>
  <c r="DW261" i="30"/>
  <c r="EZ206" i="30"/>
  <c r="HW186" i="30"/>
  <c r="JL256" i="30"/>
  <c r="JF194" i="30"/>
  <c r="KW226" i="30"/>
  <c r="LD227" i="30" s="1"/>
  <c r="CN266" i="30"/>
  <c r="EV171" i="30"/>
  <c r="FJ261" i="30"/>
  <c r="KN181" i="30"/>
  <c r="KN221" i="30"/>
  <c r="JT181" i="30"/>
  <c r="KA236" i="30"/>
  <c r="FT211" i="30"/>
  <c r="GL221" i="30"/>
  <c r="HU224" i="30"/>
  <c r="IB221" i="30"/>
  <c r="IW186" i="30"/>
  <c r="JN201" i="30"/>
  <c r="JG256" i="30"/>
  <c r="JN226" i="30"/>
  <c r="JN270" i="30"/>
  <c r="LA270" i="30"/>
  <c r="LH271" i="30" s="1"/>
  <c r="LA120" i="29"/>
  <c r="EK221" i="30"/>
  <c r="CN261" i="30"/>
  <c r="DP234" i="30"/>
  <c r="EY231" i="30"/>
  <c r="FD234" i="30"/>
  <c r="HN270" i="30"/>
  <c r="II270" i="30"/>
  <c r="LA264" i="30"/>
  <c r="FT214" i="30"/>
  <c r="EV234" i="30"/>
  <c r="FR204" i="30"/>
  <c r="IS261" i="30"/>
  <c r="JK206" i="30"/>
  <c r="CG206" i="30"/>
  <c r="FF221" i="30"/>
  <c r="FF181" i="30"/>
  <c r="FM196" i="30"/>
  <c r="GF251" i="30"/>
  <c r="GF186" i="30"/>
  <c r="GT191" i="30"/>
  <c r="HU184" i="30"/>
  <c r="HU216" i="30"/>
  <c r="II221" i="30"/>
  <c r="JM176" i="30"/>
  <c r="KB191" i="30"/>
  <c r="KB254" i="30"/>
  <c r="KW191" i="30"/>
  <c r="DM184" i="30"/>
  <c r="ER206" i="30"/>
  <c r="IP226" i="30"/>
  <c r="IW171" i="30"/>
  <c r="IW184" i="30"/>
  <c r="IZ196" i="30"/>
  <c r="JG224" i="30"/>
  <c r="JL266" i="30"/>
  <c r="JY226" i="30"/>
  <c r="KT221" i="30"/>
  <c r="KW236" i="30"/>
  <c r="LD237" i="30" s="1"/>
  <c r="DU264" i="30"/>
  <c r="ER236" i="30"/>
  <c r="DA174" i="30"/>
  <c r="DV226" i="30"/>
  <c r="EJ231" i="30"/>
  <c r="EJ261" i="30"/>
  <c r="HJ191" i="30"/>
  <c r="JE194" i="30"/>
  <c r="EW186" i="30"/>
  <c r="JS191" i="30"/>
  <c r="JR221" i="30"/>
  <c r="EA261" i="30"/>
  <c r="EB266" i="30"/>
  <c r="EI186" i="30"/>
  <c r="EI211" i="30"/>
  <c r="EV266" i="30"/>
  <c r="GG191" i="30"/>
  <c r="GG234" i="30"/>
  <c r="HV236" i="30"/>
  <c r="JG231" i="30"/>
  <c r="JG270" i="30"/>
  <c r="JG266" i="30"/>
  <c r="KT186" i="30"/>
  <c r="KT211" i="30"/>
  <c r="KW254" i="30"/>
  <c r="BX176" i="30"/>
  <c r="BX236" i="30"/>
  <c r="CE186" i="30"/>
  <c r="CL211" i="30"/>
  <c r="CS204" i="30"/>
  <c r="CS264" i="30"/>
  <c r="DN226" i="30"/>
  <c r="FM231" i="30"/>
  <c r="FT266" i="30"/>
  <c r="GH174" i="30"/>
  <c r="GH191" i="30"/>
  <c r="GH234" i="30"/>
  <c r="GV261" i="30"/>
  <c r="HP236" i="30"/>
  <c r="HW254" i="30"/>
  <c r="IK194" i="30"/>
  <c r="IR221" i="30"/>
  <c r="JZ184" i="30"/>
  <c r="EC231" i="30"/>
  <c r="FC226" i="30"/>
  <c r="GE194" i="30"/>
  <c r="FX266" i="30"/>
  <c r="HC256" i="30"/>
  <c r="HJ264" i="30"/>
  <c r="HX206" i="30"/>
  <c r="IE270" i="30"/>
  <c r="IS191" i="30"/>
  <c r="JE184" i="30"/>
  <c r="JN206" i="30"/>
  <c r="E2" i="29"/>
  <c r="F2" i="29" s="1"/>
  <c r="G2" i="29" s="1"/>
  <c r="H2" i="29" s="1"/>
  <c r="I2" i="29" s="1"/>
  <c r="J2" i="29" s="1"/>
  <c r="K2" i="29" s="1"/>
  <c r="L2" i="29" s="1"/>
  <c r="M2" i="29" s="1"/>
  <c r="N2" i="29" s="1"/>
  <c r="O2" i="29" s="1"/>
  <c r="P2" i="29" s="1"/>
  <c r="Q2" i="29" s="1"/>
  <c r="R2" i="29" s="1"/>
  <c r="S2" i="29" s="1"/>
  <c r="T2" i="29" s="1"/>
  <c r="U2" i="29" s="1"/>
  <c r="V2" i="29" s="1"/>
  <c r="W2" i="29" s="1"/>
  <c r="X2" i="29" s="1"/>
  <c r="Y2" i="29" s="1"/>
  <c r="Z2" i="29" s="1"/>
  <c r="AA2" i="29" s="1"/>
  <c r="AB2" i="29" s="1"/>
  <c r="AC2" i="29" s="1"/>
  <c r="AD2" i="29" s="1"/>
  <c r="AE2" i="29" s="1"/>
  <c r="AF2" i="29" s="1"/>
  <c r="AG2" i="29" s="1"/>
  <c r="AH2" i="29" s="1"/>
  <c r="AI2" i="29" s="1"/>
  <c r="AJ2" i="29" s="1"/>
  <c r="AK2" i="29" s="1"/>
  <c r="AL2" i="29" s="1"/>
  <c r="AM2" i="29" s="1"/>
  <c r="AN2" i="29" s="1"/>
  <c r="AO2" i="29" s="1"/>
  <c r="AP2" i="29" s="1"/>
  <c r="AQ2" i="29" s="1"/>
  <c r="AR2" i="29" s="1"/>
  <c r="AS2" i="29" s="1"/>
  <c r="AT2" i="29" s="1"/>
  <c r="AU2" i="29" s="1"/>
  <c r="CF231" i="30"/>
  <c r="GS186" i="30"/>
  <c r="KH194" i="30"/>
  <c r="KO194" i="30"/>
  <c r="CG191" i="30"/>
  <c r="CG194" i="30"/>
  <c r="CN181" i="30"/>
  <c r="CU196" i="30"/>
  <c r="DB234" i="30"/>
  <c r="DH201" i="30"/>
  <c r="DO196" i="30"/>
  <c r="DV186" i="30"/>
  <c r="DU231" i="30"/>
  <c r="DU234" i="30"/>
  <c r="EB226" i="30"/>
  <c r="EB231" i="30"/>
  <c r="EI261" i="30"/>
  <c r="EJ236" i="30"/>
  <c r="EV264" i="30"/>
  <c r="FE231" i="30"/>
  <c r="FL171" i="30"/>
  <c r="FM206" i="30"/>
  <c r="FR171" i="30"/>
  <c r="FY224" i="30"/>
  <c r="HN194" i="30"/>
  <c r="HN221" i="30"/>
  <c r="HN234" i="30"/>
  <c r="HQ261" i="30"/>
  <c r="HX171" i="30"/>
  <c r="HX184" i="30"/>
  <c r="IR201" i="30"/>
  <c r="IR214" i="30"/>
  <c r="IQ266" i="30"/>
  <c r="IW251" i="30"/>
  <c r="JG194" i="30"/>
  <c r="JS171" i="30"/>
  <c r="JR194" i="30"/>
  <c r="JR254" i="30"/>
  <c r="JR261" i="30"/>
  <c r="JY171" i="30"/>
  <c r="JZ171" i="30"/>
  <c r="KB181" i="30"/>
  <c r="KI231" i="30"/>
  <c r="KI234" i="30"/>
  <c r="KO221" i="30"/>
  <c r="KU201" i="30"/>
  <c r="CF234" i="30"/>
  <c r="DA194" i="30"/>
  <c r="DU191" i="30"/>
  <c r="HW261" i="30"/>
  <c r="ID181" i="30"/>
  <c r="ID204" i="30"/>
  <c r="IZ256" i="30"/>
  <c r="JU221" i="30"/>
  <c r="KO206" i="30"/>
  <c r="CD171" i="30"/>
  <c r="CD181" i="30"/>
  <c r="CK236" i="30"/>
  <c r="CR186" i="30"/>
  <c r="CY171" i="30"/>
  <c r="DW226" i="30"/>
  <c r="DV266" i="30"/>
  <c r="EC196" i="30"/>
  <c r="EC221" i="30"/>
  <c r="EC236" i="30"/>
  <c r="EP206" i="30"/>
  <c r="EY174" i="30"/>
  <c r="FF191" i="30"/>
  <c r="EX206" i="30"/>
  <c r="EW221" i="30"/>
  <c r="EW266" i="30"/>
  <c r="FK171" i="30"/>
  <c r="FF214" i="30"/>
  <c r="FN206" i="30"/>
  <c r="FT221" i="30"/>
  <c r="GU196" i="30"/>
  <c r="HB201" i="30"/>
  <c r="HH191" i="30"/>
  <c r="HO181" i="30"/>
  <c r="IP194" i="30"/>
  <c r="IP221" i="30"/>
  <c r="IR191" i="30"/>
  <c r="IS196" i="30"/>
  <c r="IS206" i="30"/>
  <c r="IR224" i="30"/>
  <c r="JE201" i="30"/>
  <c r="JE234" i="30"/>
  <c r="IX256" i="30"/>
  <c r="IX266" i="30"/>
  <c r="JD196" i="30"/>
  <c r="JM191" i="30"/>
  <c r="JL211" i="30"/>
  <c r="JU261" i="30"/>
  <c r="KA181" i="30"/>
  <c r="JS251" i="30"/>
  <c r="KF214" i="30"/>
  <c r="KF221" i="30"/>
  <c r="KO204" i="30"/>
  <c r="KP214" i="30"/>
  <c r="KW231" i="30"/>
  <c r="KV196" i="30"/>
  <c r="LC197" i="30" s="1"/>
  <c r="KU251" i="30"/>
  <c r="DU194" i="30"/>
  <c r="EW181" i="30"/>
  <c r="GS194" i="30"/>
  <c r="GZ191" i="30"/>
  <c r="CZ176" i="30"/>
  <c r="CZ211" i="30"/>
  <c r="EA181" i="30"/>
  <c r="ED216" i="30"/>
  <c r="ED236" i="30"/>
  <c r="EH181" i="30"/>
  <c r="EH234" i="30"/>
  <c r="EH261" i="30"/>
  <c r="EH266" i="30"/>
  <c r="EX236" i="30"/>
  <c r="FC266" i="30"/>
  <c r="FL191" i="30"/>
  <c r="FL194" i="30"/>
  <c r="FR211" i="30"/>
  <c r="GV174" i="30"/>
  <c r="HC186" i="30"/>
  <c r="HJ214" i="30"/>
  <c r="HI196" i="30"/>
  <c r="HI221" i="30"/>
  <c r="HI236" i="30"/>
  <c r="HW214" i="30"/>
  <c r="HW221" i="30"/>
  <c r="HW234" i="30"/>
  <c r="HV256" i="30"/>
  <c r="IZ231" i="30"/>
  <c r="IY194" i="30"/>
  <c r="IY204" i="30"/>
  <c r="IY236" i="30"/>
  <c r="IY251" i="30"/>
  <c r="JF171" i="30"/>
  <c r="JF174" i="30"/>
  <c r="JE191" i="30"/>
  <c r="JD214" i="30"/>
  <c r="JD221" i="30"/>
  <c r="JK174" i="30"/>
  <c r="JU191" i="30"/>
  <c r="JN196" i="30"/>
  <c r="JU181" i="30"/>
  <c r="JT234" i="30"/>
  <c r="JZ194" i="30"/>
  <c r="JZ251" i="30"/>
  <c r="JZ254" i="30"/>
  <c r="KG194" i="30"/>
  <c r="KU174" i="30"/>
  <c r="KU181" i="30"/>
  <c r="KM226" i="30"/>
  <c r="KM261" i="30"/>
  <c r="BW176" i="30"/>
  <c r="CG254" i="30"/>
  <c r="CG176" i="30"/>
  <c r="CG181" i="30"/>
  <c r="CF196" i="30"/>
  <c r="CF201" i="30"/>
  <c r="CF206" i="30"/>
  <c r="CF256" i="30"/>
  <c r="CF261" i="30"/>
  <c r="CF264" i="30"/>
  <c r="CM171" i="30"/>
  <c r="CM174" i="30"/>
  <c r="CM181" i="30"/>
  <c r="BW270" i="30"/>
  <c r="CD186" i="30"/>
  <c r="CD184" i="30"/>
  <c r="CF236" i="30"/>
  <c r="CN194" i="30"/>
  <c r="BY226" i="30"/>
  <c r="BX256" i="30"/>
  <c r="CE174" i="30"/>
  <c r="CD191" i="30"/>
  <c r="CD196" i="30"/>
  <c r="CD211" i="30"/>
  <c r="CD214" i="30"/>
  <c r="CD221" i="30"/>
  <c r="CD226" i="30"/>
  <c r="BZ186" i="30"/>
  <c r="CG201" i="30"/>
  <c r="CG214" i="30"/>
  <c r="BZ226" i="30"/>
  <c r="BZ236" i="30"/>
  <c r="BY256" i="30"/>
  <c r="BY266" i="30"/>
  <c r="CF171" i="30"/>
  <c r="CF174" i="30"/>
  <c r="CF181" i="30"/>
  <c r="CF184" i="30"/>
  <c r="CE206" i="30"/>
  <c r="CE214" i="30"/>
  <c r="CE221" i="30"/>
  <c r="CE224" i="30"/>
  <c r="CD231" i="30"/>
  <c r="CG236" i="30"/>
  <c r="CE251" i="30"/>
  <c r="CE254" i="30"/>
  <c r="CE261" i="30"/>
  <c r="CL171" i="30"/>
  <c r="CL231" i="30"/>
  <c r="CN186" i="30"/>
  <c r="CM226" i="30"/>
  <c r="CU176" i="30"/>
  <c r="CR221" i="30"/>
  <c r="CR226" i="30"/>
  <c r="CR234" i="30"/>
  <c r="CR261" i="30"/>
  <c r="CR266" i="30"/>
  <c r="DA181" i="30"/>
  <c r="CZ201" i="30"/>
  <c r="CZ216" i="30"/>
  <c r="CZ236" i="30"/>
  <c r="CY266" i="30"/>
  <c r="DF174" i="30"/>
  <c r="DF191" i="30"/>
  <c r="DI221" i="30"/>
  <c r="DI264" i="30"/>
  <c r="DP181" i="30"/>
  <c r="DP194" i="30"/>
  <c r="DO221" i="30"/>
  <c r="DN231" i="30"/>
  <c r="DM261" i="30"/>
  <c r="DT171" i="30"/>
  <c r="DT176" i="30"/>
  <c r="DT186" i="30"/>
  <c r="DW191" i="30"/>
  <c r="DV196" i="30"/>
  <c r="DU201" i="30"/>
  <c r="DU204" i="30"/>
  <c r="DU211" i="30"/>
  <c r="DU216" i="30"/>
  <c r="DU221" i="30"/>
  <c r="DV236" i="30"/>
  <c r="DU261" i="30"/>
  <c r="DT264" i="30"/>
  <c r="ED181" i="30"/>
  <c r="ED184" i="30"/>
  <c r="ED191" i="30"/>
  <c r="ED194" i="30"/>
  <c r="EA221" i="30"/>
  <c r="EB234" i="30"/>
  <c r="EH204" i="30"/>
  <c r="EH211" i="30"/>
  <c r="EK216" i="30"/>
  <c r="EI231" i="30"/>
  <c r="EX181" i="30"/>
  <c r="EQ191" i="30"/>
  <c r="EP221" i="30"/>
  <c r="EV261" i="30"/>
  <c r="EO266" i="30"/>
  <c r="EY181" i="30"/>
  <c r="EX191" i="30"/>
  <c r="EX196" i="30"/>
  <c r="EY216" i="30"/>
  <c r="FD261" i="30"/>
  <c r="FF171" i="30"/>
  <c r="FF176" i="30"/>
  <c r="FE181" i="30"/>
  <c r="FE201" i="30"/>
  <c r="FD206" i="30"/>
  <c r="FJ211" i="30"/>
  <c r="FJ214" i="30"/>
  <c r="FF216" i="30"/>
  <c r="FF266" i="30"/>
  <c r="FJ174" i="30"/>
  <c r="FJ176" i="30"/>
  <c r="FJ194" i="30"/>
  <c r="FN201" i="30"/>
  <c r="FK211" i="30"/>
  <c r="FK224" i="30"/>
  <c r="FL266" i="30"/>
  <c r="CD251" i="30"/>
  <c r="CD261" i="30"/>
  <c r="CD266" i="30"/>
  <c r="CK176" i="30"/>
  <c r="CK181" i="30"/>
  <c r="CK196" i="30"/>
  <c r="CM206" i="30"/>
  <c r="CM211" i="30"/>
  <c r="CN221" i="30"/>
  <c r="CN224" i="30"/>
  <c r="CL261" i="30"/>
  <c r="CT196" i="30"/>
  <c r="DB174" i="30"/>
  <c r="DB181" i="30"/>
  <c r="DA206" i="30"/>
  <c r="DA221" i="30"/>
  <c r="DA236" i="30"/>
  <c r="CZ264" i="30"/>
  <c r="DF231" i="30"/>
  <c r="DF236" i="30"/>
  <c r="DM171" i="30"/>
  <c r="DM186" i="30"/>
  <c r="DM191" i="30"/>
  <c r="DP201" i="30"/>
  <c r="DP206" i="30"/>
  <c r="DP216" i="30"/>
  <c r="DP221" i="30"/>
  <c r="DO231" i="30"/>
  <c r="DO234" i="30"/>
  <c r="DN266" i="30"/>
  <c r="DU171" i="30"/>
  <c r="DU176" i="30"/>
  <c r="DW194" i="30"/>
  <c r="DV221" i="30"/>
  <c r="DW234" i="30"/>
  <c r="EA171" i="30"/>
  <c r="EA186" i="30"/>
  <c r="EA194" i="30"/>
  <c r="EA224" i="30"/>
  <c r="EB224" i="30"/>
  <c r="ED231" i="30"/>
  <c r="EK171" i="30"/>
  <c r="EK181" i="30"/>
  <c r="EI206" i="30"/>
  <c r="EH221" i="30"/>
  <c r="EQ216" i="30"/>
  <c r="EP261" i="30"/>
  <c r="EP266" i="30"/>
  <c r="EW171" i="30"/>
  <c r="EY201" i="30"/>
  <c r="EV211" i="30"/>
  <c r="EV221" i="30"/>
  <c r="EW226" i="30"/>
  <c r="FF196" i="30"/>
  <c r="FF201" i="30"/>
  <c r="FD211" i="30"/>
  <c r="FD214" i="30"/>
  <c r="FC236" i="30"/>
  <c r="FJ181" i="30"/>
  <c r="FK194" i="30"/>
  <c r="FL211" i="30"/>
  <c r="FL221" i="30"/>
  <c r="FL236" i="30"/>
  <c r="FT171" i="30"/>
  <c r="FT196" i="30"/>
  <c r="FT201" i="30"/>
  <c r="FT226" i="30"/>
  <c r="FT236" i="30"/>
  <c r="FY206" i="30"/>
  <c r="GF206" i="30"/>
  <c r="GF211" i="30"/>
  <c r="GF224" i="30"/>
  <c r="GF231" i="30"/>
  <c r="GF261" i="30"/>
  <c r="GF266" i="30"/>
  <c r="CL186" i="30"/>
  <c r="CL191" i="30"/>
  <c r="CK201" i="30"/>
  <c r="CN234" i="30"/>
  <c r="CL264" i="30"/>
  <c r="CS184" i="30"/>
  <c r="CS191" i="30"/>
  <c r="CU206" i="30"/>
  <c r="CZ171" i="30"/>
  <c r="CY186" i="30"/>
  <c r="CY191" i="30"/>
  <c r="DA196" i="30"/>
  <c r="DB201" i="30"/>
  <c r="DB206" i="30"/>
  <c r="DB211" i="30"/>
  <c r="DB221" i="30"/>
  <c r="DB224" i="30"/>
  <c r="DA261" i="30"/>
  <c r="DA264" i="30"/>
  <c r="DG201" i="30"/>
  <c r="DG211" i="30"/>
  <c r="DG231" i="30"/>
  <c r="DN181" i="30"/>
  <c r="DN191" i="30"/>
  <c r="DM211" i="30"/>
  <c r="DM221" i="30"/>
  <c r="DP236" i="30"/>
  <c r="DO264" i="30"/>
  <c r="DV181" i="30"/>
  <c r="DW201" i="30"/>
  <c r="DW204" i="30"/>
  <c r="DW211" i="30"/>
  <c r="DW221" i="30"/>
  <c r="DW224" i="30"/>
  <c r="EB171" i="30"/>
  <c r="EB181" i="30"/>
  <c r="EB186" i="30"/>
  <c r="EB191" i="30"/>
  <c r="ED204" i="30"/>
  <c r="EK191" i="30"/>
  <c r="EK194" i="30"/>
  <c r="EI221" i="30"/>
  <c r="EH224" i="30"/>
  <c r="EH226" i="30"/>
  <c r="ER201" i="30"/>
  <c r="EQ204" i="30"/>
  <c r="ER231" i="30"/>
  <c r="EV196" i="30"/>
  <c r="EV201" i="30"/>
  <c r="EW216" i="30"/>
  <c r="EY236" i="30"/>
  <c r="EY261" i="30"/>
  <c r="FC186" i="30"/>
  <c r="FE214" i="30"/>
  <c r="FD224" i="30"/>
  <c r="FD231" i="30"/>
  <c r="FJ186" i="30"/>
  <c r="FM221" i="30"/>
  <c r="FK266" i="30"/>
  <c r="FJ266" i="30"/>
  <c r="FQ171" i="30"/>
  <c r="FQ191" i="30"/>
  <c r="CM184" i="30"/>
  <c r="CL206" i="30"/>
  <c r="CN211" i="30"/>
  <c r="CT204" i="30"/>
  <c r="CU234" i="30"/>
  <c r="CZ191" i="30"/>
  <c r="CY204" i="30"/>
  <c r="CY211" i="30"/>
  <c r="CY214" i="30"/>
  <c r="CY224" i="30"/>
  <c r="DB261" i="30"/>
  <c r="DB266" i="30"/>
  <c r="DI171" i="30"/>
  <c r="DH266" i="30"/>
  <c r="DO181" i="30"/>
  <c r="DO191" i="30"/>
  <c r="DO194" i="30"/>
  <c r="DN224" i="30"/>
  <c r="DW171" i="30"/>
  <c r="DW181" i="30"/>
  <c r="DW184" i="30"/>
  <c r="DT211" i="30"/>
  <c r="DT216" i="30"/>
  <c r="DT226" i="30"/>
  <c r="DW266" i="30"/>
  <c r="EC171" i="30"/>
  <c r="EC181" i="30"/>
  <c r="EC194" i="30"/>
  <c r="EI171" i="30"/>
  <c r="EH186" i="30"/>
  <c r="EK196" i="30"/>
  <c r="EK201" i="30"/>
  <c r="EJ221" i="30"/>
  <c r="EI224" i="30"/>
  <c r="EK236" i="30"/>
  <c r="EP181" i="30"/>
  <c r="ER204" i="30"/>
  <c r="EO214" i="30"/>
  <c r="EO226" i="30"/>
  <c r="ER264" i="30"/>
  <c r="EX221" i="30"/>
  <c r="EW261" i="30"/>
  <c r="FD181" i="30"/>
  <c r="FD184" i="30"/>
  <c r="FD191" i="30"/>
  <c r="FD194" i="30"/>
  <c r="FD201" i="30"/>
  <c r="FE224" i="30"/>
  <c r="FJ171" i="30"/>
  <c r="FJ184" i="30"/>
  <c r="FM194" i="30"/>
  <c r="FJ216" i="30"/>
  <c r="FJ226" i="30"/>
  <c r="FL234" i="30"/>
  <c r="FL261" i="30"/>
  <c r="FK264" i="30"/>
  <c r="FY191" i="30"/>
  <c r="FR201" i="30"/>
  <c r="FR226" i="30"/>
  <c r="FY234" i="30"/>
  <c r="FX186" i="30"/>
  <c r="GA194" i="30"/>
  <c r="GM211" i="30"/>
  <c r="GM224" i="30"/>
  <c r="GM231" i="30"/>
  <c r="GM236" i="30"/>
  <c r="GM261" i="30"/>
  <c r="GM264" i="30"/>
  <c r="GT171" i="30"/>
  <c r="GT204" i="30"/>
  <c r="GT214" i="30"/>
  <c r="GT224" i="30"/>
  <c r="GT231" i="30"/>
  <c r="GT261" i="30"/>
  <c r="GT266" i="30"/>
  <c r="HA171" i="30"/>
  <c r="HA174" i="30"/>
  <c r="HA186" i="30"/>
  <c r="GZ196" i="30"/>
  <c r="HC226" i="30"/>
  <c r="HJ176" i="30"/>
  <c r="HI206" i="30"/>
  <c r="HH256" i="30"/>
  <c r="HQ256" i="30"/>
  <c r="HX226" i="30"/>
  <c r="ID236" i="30"/>
  <c r="ID261" i="30"/>
  <c r="IJ216" i="30"/>
  <c r="IJ236" i="30"/>
  <c r="IQ251" i="30"/>
  <c r="IW191" i="30"/>
  <c r="IX216" i="30"/>
  <c r="IX221" i="30"/>
  <c r="IX226" i="30"/>
  <c r="JF201" i="30"/>
  <c r="JK184" i="30"/>
  <c r="KG206" i="30"/>
  <c r="KG204" i="30"/>
  <c r="KW266" i="30"/>
  <c r="LD267" i="30" s="1"/>
  <c r="KW261" i="30"/>
  <c r="FQ236" i="30"/>
  <c r="FZ196" i="30"/>
  <c r="FZ231" i="30"/>
  <c r="GG194" i="30"/>
  <c r="GG204" i="30"/>
  <c r="GG221" i="30"/>
  <c r="GG231" i="30"/>
  <c r="GG236" i="30"/>
  <c r="GG261" i="30"/>
  <c r="GN181" i="30"/>
  <c r="GN196" i="30"/>
  <c r="GN221" i="30"/>
  <c r="GN231" i="30"/>
  <c r="GN236" i="30"/>
  <c r="GN261" i="30"/>
  <c r="GT186" i="30"/>
  <c r="GV196" i="30"/>
  <c r="GU221" i="30"/>
  <c r="GU231" i="30"/>
  <c r="GU236" i="30"/>
  <c r="HB171" i="30"/>
  <c r="HB184" i="30"/>
  <c r="HA196" i="30"/>
  <c r="HA201" i="30"/>
  <c r="HA204" i="30"/>
  <c r="HA211" i="30"/>
  <c r="GZ226" i="30"/>
  <c r="GZ236" i="30"/>
  <c r="GZ266" i="30"/>
  <c r="HG171" i="30"/>
  <c r="HG181" i="30"/>
  <c r="HG186" i="30"/>
  <c r="HJ201" i="30"/>
  <c r="HJ216" i="30"/>
  <c r="HJ221" i="30"/>
  <c r="HJ231" i="30"/>
  <c r="HJ234" i="30"/>
  <c r="HO191" i="30"/>
  <c r="HO206" i="30"/>
  <c r="HO226" i="30"/>
  <c r="HN261" i="30"/>
  <c r="HU191" i="30"/>
  <c r="HU196" i="30"/>
  <c r="HU206" i="30"/>
  <c r="HU231" i="30"/>
  <c r="HU236" i="30"/>
  <c r="HU251" i="30"/>
  <c r="HX266" i="30"/>
  <c r="IE176" i="30"/>
  <c r="IL191" i="30"/>
  <c r="IL194" i="30"/>
  <c r="IL201" i="30"/>
  <c r="IL214" i="30"/>
  <c r="IE221" i="30"/>
  <c r="IE231" i="30"/>
  <c r="IE234" i="30"/>
  <c r="IE256" i="30"/>
  <c r="IL261" i="30"/>
  <c r="IK196" i="30"/>
  <c r="IK206" i="30"/>
  <c r="IK236" i="30"/>
  <c r="IK266" i="30"/>
  <c r="IS194" i="30"/>
  <c r="IQ211" i="30"/>
  <c r="IQ221" i="30"/>
  <c r="IR231" i="30"/>
  <c r="IR236" i="30"/>
  <c r="IX174" i="30"/>
  <c r="IX181" i="30"/>
  <c r="IX186" i="30"/>
  <c r="IZ201" i="30"/>
  <c r="IY211" i="30"/>
  <c r="IY221" i="30"/>
  <c r="IX234" i="30"/>
  <c r="IZ270" i="30"/>
  <c r="IW266" i="30"/>
  <c r="JE231" i="30"/>
  <c r="JE251" i="30"/>
  <c r="JM221" i="30"/>
  <c r="KA191" i="30"/>
  <c r="JT191" i="30"/>
  <c r="KB201" i="30"/>
  <c r="KB224" i="30"/>
  <c r="KB236" i="30"/>
  <c r="KB234" i="30"/>
  <c r="KN201" i="30"/>
  <c r="KM221" i="30"/>
  <c r="KM224" i="30"/>
  <c r="KP254" i="30"/>
  <c r="KU254" i="30"/>
  <c r="GA256" i="30"/>
  <c r="GH176" i="30"/>
  <c r="GH196" i="30"/>
  <c r="GH201" i="30"/>
  <c r="GH206" i="30"/>
  <c r="GH216" i="30"/>
  <c r="GH221" i="30"/>
  <c r="GH236" i="30"/>
  <c r="GH254" i="30"/>
  <c r="GO194" i="30"/>
  <c r="GO201" i="30"/>
  <c r="GO206" i="30"/>
  <c r="GO216" i="30"/>
  <c r="GO221" i="30"/>
  <c r="GO231" i="30"/>
  <c r="GO236" i="30"/>
  <c r="GV171" i="30"/>
  <c r="HC221" i="30"/>
  <c r="GV234" i="30"/>
  <c r="HC254" i="30"/>
  <c r="HC261" i="30"/>
  <c r="HC264" i="30"/>
  <c r="HC176" i="30"/>
  <c r="HB194" i="30"/>
  <c r="HB206" i="30"/>
  <c r="HA224" i="30"/>
  <c r="HA231" i="30"/>
  <c r="HH251" i="30"/>
  <c r="HA254" i="30"/>
  <c r="HH261" i="30"/>
  <c r="HA266" i="30"/>
  <c r="HH181" i="30"/>
  <c r="HG211" i="30"/>
  <c r="HG226" i="30"/>
  <c r="HJ251" i="30"/>
  <c r="HQ176" i="30"/>
  <c r="HO251" i="30"/>
  <c r="HO261" i="30"/>
  <c r="HO266" i="30"/>
  <c r="HV176" i="30"/>
  <c r="HV181" i="30"/>
  <c r="HV201" i="30"/>
  <c r="HV216" i="30"/>
  <c r="HV221" i="30"/>
  <c r="HV254" i="30"/>
  <c r="IB171" i="30"/>
  <c r="IB181" i="30"/>
  <c r="IB186" i="30"/>
  <c r="IB261" i="30"/>
  <c r="IB264" i="30"/>
  <c r="IB266" i="30"/>
  <c r="IL196" i="30"/>
  <c r="IS181" i="30"/>
  <c r="IS184" i="30"/>
  <c r="IP224" i="30"/>
  <c r="IS236" i="30"/>
  <c r="IY181" i="30"/>
  <c r="IY184" i="30"/>
  <c r="IW201" i="30"/>
  <c r="IZ211" i="30"/>
  <c r="IZ214" i="30"/>
  <c r="IY261" i="30"/>
  <c r="JD186" i="30"/>
  <c r="JG196" i="30"/>
  <c r="JN191" i="30"/>
  <c r="JR181" i="30"/>
  <c r="JY261" i="30"/>
  <c r="JY266" i="30"/>
  <c r="KF171" i="30"/>
  <c r="KI181" i="30"/>
  <c r="KI196" i="30"/>
  <c r="KW196" i="30"/>
  <c r="LD197" i="30" s="1"/>
  <c r="KW194" i="30"/>
  <c r="LA221" i="30"/>
  <c r="FR266" i="30"/>
  <c r="GF171" i="30"/>
  <c r="GF181" i="30"/>
  <c r="FX236" i="30"/>
  <c r="GE211" i="30"/>
  <c r="GE234" i="30"/>
  <c r="GE251" i="30"/>
  <c r="GE264" i="30"/>
  <c r="GL171" i="30"/>
  <c r="GS181" i="30"/>
  <c r="GL184" i="30"/>
  <c r="GL211" i="30"/>
  <c r="GL226" i="30"/>
  <c r="GL251" i="30"/>
  <c r="GL264" i="30"/>
  <c r="GV181" i="30"/>
  <c r="HC184" i="30"/>
  <c r="GS221" i="30"/>
  <c r="GS226" i="30"/>
  <c r="GS254" i="30"/>
  <c r="GS261" i="30"/>
  <c r="GS266" i="30"/>
  <c r="GZ181" i="30"/>
  <c r="GZ186" i="30"/>
  <c r="HC206" i="30"/>
  <c r="HI181" i="30"/>
  <c r="HH211" i="30"/>
  <c r="HH231" i="30"/>
  <c r="HG266" i="30"/>
  <c r="HN181" i="30"/>
  <c r="HN186" i="30"/>
  <c r="HQ191" i="30"/>
  <c r="HX204" i="30"/>
  <c r="HQ221" i="30"/>
  <c r="HX231" i="30"/>
  <c r="HQ236" i="30"/>
  <c r="ID194" i="30"/>
  <c r="HW201" i="30"/>
  <c r="HW206" i="30"/>
  <c r="HV261" i="30"/>
  <c r="IC186" i="30"/>
  <c r="IJ191" i="30"/>
  <c r="IC206" i="30"/>
  <c r="IC211" i="30"/>
  <c r="IC251" i="30"/>
  <c r="IC264" i="30"/>
  <c r="II186" i="30"/>
  <c r="II226" i="30"/>
  <c r="IP181" i="30"/>
  <c r="IP184" i="30"/>
  <c r="IP186" i="30"/>
  <c r="IR194" i="30"/>
  <c r="IS204" i="30"/>
  <c r="IS216" i="30"/>
  <c r="JG191" i="30"/>
  <c r="IY196" i="30"/>
  <c r="IX206" i="30"/>
  <c r="IW211" i="30"/>
  <c r="IW214" i="30"/>
  <c r="IW221" i="30"/>
  <c r="IW226" i="30"/>
  <c r="IY231" i="30"/>
  <c r="IZ261" i="30"/>
  <c r="JE171" i="30"/>
  <c r="JE174" i="30"/>
  <c r="JE186" i="30"/>
  <c r="JG201" i="30"/>
  <c r="JU216" i="30"/>
  <c r="JU236" i="30"/>
  <c r="JU234" i="30"/>
  <c r="KI256" i="30"/>
  <c r="KP191" i="30"/>
  <c r="KP196" i="30"/>
  <c r="KP194" i="30"/>
  <c r="KT224" i="30"/>
  <c r="LA184" i="30"/>
  <c r="LA186" i="30"/>
  <c r="LH187" i="30" s="1"/>
  <c r="JG206" i="30"/>
  <c r="JE261" i="30"/>
  <c r="JL171" i="30"/>
  <c r="JM196" i="30"/>
  <c r="JL201" i="30"/>
  <c r="JK211" i="30"/>
  <c r="JN221" i="30"/>
  <c r="JM234" i="30"/>
  <c r="JK251" i="30"/>
  <c r="JN266" i="30"/>
  <c r="JT171" i="30"/>
  <c r="JS186" i="30"/>
  <c r="JU184" i="30"/>
  <c r="JS196" i="30"/>
  <c r="JR211" i="30"/>
  <c r="JR226" i="30"/>
  <c r="JS261" i="30"/>
  <c r="JS264" i="30"/>
  <c r="JY174" i="30"/>
  <c r="JY181" i="30"/>
  <c r="KI191" i="30"/>
  <c r="KA196" i="30"/>
  <c r="JY204" i="30"/>
  <c r="JY211" i="30"/>
  <c r="JY224" i="30"/>
  <c r="JY236" i="30"/>
  <c r="KG171" i="30"/>
  <c r="KG174" i="30"/>
  <c r="KF181" i="30"/>
  <c r="KF186" i="30"/>
  <c r="KF191" i="30"/>
  <c r="KG211" i="30"/>
  <c r="KG226" i="30"/>
  <c r="KG227" i="30" s="1"/>
  <c r="KF226" i="30"/>
  <c r="KF236" i="30"/>
  <c r="KF266" i="30"/>
  <c r="KM186" i="30"/>
  <c r="KM211" i="30"/>
  <c r="KN226" i="30"/>
  <c r="KM231" i="30"/>
  <c r="KM254" i="30"/>
  <c r="KP264" i="30"/>
  <c r="KW171" i="30"/>
  <c r="KW174" i="30"/>
  <c r="KT196" i="30"/>
  <c r="KU206" i="30"/>
  <c r="LB207" i="30" s="1"/>
  <c r="KU211" i="30"/>
  <c r="KU221" i="30"/>
  <c r="KV236" i="30"/>
  <c r="LC237" i="30" s="1"/>
  <c r="KV254" i="30"/>
  <c r="KW264" i="30"/>
  <c r="LA171" i="30"/>
  <c r="LA206" i="30"/>
  <c r="LH207" i="30" s="1"/>
  <c r="LA224" i="30"/>
  <c r="LA251" i="30"/>
  <c r="JD226" i="30"/>
  <c r="JG234" i="30"/>
  <c r="JG254" i="30"/>
  <c r="JM181" i="30"/>
  <c r="JK226" i="30"/>
  <c r="JU231" i="30"/>
  <c r="JL251" i="30"/>
  <c r="JL254" i="30"/>
  <c r="JT194" i="30"/>
  <c r="JS204" i="30"/>
  <c r="JS211" i="30"/>
  <c r="JS214" i="30"/>
  <c r="JS221" i="30"/>
  <c r="JS226" i="30"/>
  <c r="JZ227" i="30" s="1"/>
  <c r="JS231" i="30"/>
  <c r="JT261" i="30"/>
  <c r="KB194" i="30"/>
  <c r="JZ206" i="30"/>
  <c r="JZ211" i="30"/>
  <c r="JZ224" i="30"/>
  <c r="JZ231" i="30"/>
  <c r="KB256" i="30"/>
  <c r="KA261" i="30"/>
  <c r="KG191" i="30"/>
  <c r="KI204" i="30"/>
  <c r="KG231" i="30"/>
  <c r="KG236" i="30"/>
  <c r="KG266" i="30"/>
  <c r="KU184" i="30"/>
  <c r="KN214" i="30"/>
  <c r="KM266" i="30"/>
  <c r="KT174" i="30"/>
  <c r="KW186" i="30"/>
  <c r="LD187" i="30" s="1"/>
  <c r="KV191" i="30"/>
  <c r="KU231" i="30"/>
  <c r="KU236" i="30"/>
  <c r="LB237" i="30" s="1"/>
  <c r="KW256" i="30"/>
  <c r="LD257" i="30" s="1"/>
  <c r="KU261" i="30"/>
  <c r="LA191" i="30"/>
  <c r="LA211" i="30"/>
  <c r="LA231" i="30"/>
  <c r="LA256" i="30"/>
  <c r="LH257" i="30" s="1"/>
  <c r="LA322" i="30"/>
  <c r="JE211" i="30"/>
  <c r="JE216" i="30"/>
  <c r="JE224" i="30"/>
  <c r="JD254" i="30"/>
  <c r="JG264" i="30"/>
  <c r="JN181" i="30"/>
  <c r="JN194" i="30"/>
  <c r="JM206" i="30"/>
  <c r="JM216" i="30"/>
  <c r="JL221" i="30"/>
  <c r="JL226" i="30"/>
  <c r="JK231" i="30"/>
  <c r="JU176" i="30"/>
  <c r="JT201" i="30"/>
  <c r="JT204" i="30"/>
  <c r="JT214" i="30"/>
  <c r="JT221" i="30"/>
  <c r="JT224" i="30"/>
  <c r="JT231" i="30"/>
  <c r="JT236" i="30"/>
  <c r="JR251" i="30"/>
  <c r="KB171" i="30"/>
  <c r="JZ191" i="30"/>
  <c r="JY196" i="30"/>
  <c r="JY194" i="30"/>
  <c r="KA211" i="30"/>
  <c r="KA221" i="30"/>
  <c r="KA231" i="30"/>
  <c r="KA234" i="30"/>
  <c r="JY251" i="30"/>
  <c r="KB261" i="30"/>
  <c r="KI176" i="30"/>
  <c r="KH181" i="30"/>
  <c r="KH196" i="30"/>
  <c r="KF201" i="30"/>
  <c r="KI211" i="30"/>
  <c r="KI214" i="30"/>
  <c r="KI221" i="30"/>
  <c r="KH231" i="30"/>
  <c r="KH254" i="30"/>
  <c r="KH261" i="30"/>
  <c r="KH264" i="30"/>
  <c r="KO174" i="30"/>
  <c r="KO184" i="30"/>
  <c r="KO191" i="30"/>
  <c r="KO196" i="30"/>
  <c r="KP201" i="30"/>
  <c r="KO236" i="30"/>
  <c r="KO251" i="30"/>
  <c r="KU176" i="30"/>
  <c r="LB177" i="30" s="1"/>
  <c r="KW184" i="30"/>
  <c r="KW211" i="30"/>
  <c r="KW221" i="30"/>
  <c r="KW224" i="30"/>
  <c r="KU256" i="30"/>
  <c r="LB257" i="30" s="1"/>
  <c r="KU266" i="30"/>
  <c r="LA236" i="30"/>
  <c r="LH237" i="30" s="1"/>
  <c r="LA261" i="30"/>
  <c r="LA323" i="30"/>
  <c r="LA216" i="30"/>
  <c r="LH217" i="30" s="1"/>
  <c r="LA226" i="30"/>
  <c r="LH227" i="30" s="1"/>
  <c r="LA297" i="30"/>
  <c r="LA196" i="30"/>
  <c r="LH197" i="30" s="1"/>
  <c r="LA266" i="30"/>
  <c r="LH267" i="30" s="1"/>
  <c r="LA176" i="30"/>
  <c r="LH177" i="30" s="1"/>
  <c r="LA174" i="30"/>
  <c r="LA201" i="30"/>
  <c r="LA214" i="30"/>
  <c r="LA241" i="30"/>
  <c r="LA254" i="30"/>
  <c r="LA204" i="30"/>
  <c r="LA181" i="30"/>
  <c r="LA194" i="30"/>
  <c r="LA234" i="30"/>
  <c r="CE201" i="30"/>
  <c r="CL204" i="30"/>
  <c r="CK214" i="30"/>
  <c r="DB186" i="30"/>
  <c r="DB184" i="30"/>
  <c r="CG171" i="30"/>
  <c r="CG264" i="30"/>
  <c r="ER171" i="30"/>
  <c r="EP236" i="30"/>
  <c r="EP234" i="30"/>
  <c r="FL226" i="30"/>
  <c r="FL224" i="30"/>
  <c r="BX270" i="30"/>
  <c r="CG204" i="30"/>
  <c r="CE211" i="30"/>
  <c r="CF216" i="30"/>
  <c r="CF224" i="30"/>
  <c r="CE236" i="30"/>
  <c r="CD236" i="30"/>
  <c r="CF251" i="30"/>
  <c r="CG256" i="30"/>
  <c r="CG261" i="30"/>
  <c r="CN176" i="30"/>
  <c r="CL184" i="30"/>
  <c r="CN201" i="30"/>
  <c r="CN214" i="30"/>
  <c r="CM224" i="30"/>
  <c r="CK234" i="30"/>
  <c r="CS221" i="30"/>
  <c r="CS231" i="30"/>
  <c r="CZ231" i="30"/>
  <c r="DM174" i="30"/>
  <c r="DM196" i="30"/>
  <c r="DM194" i="30"/>
  <c r="DU181" i="30"/>
  <c r="DU226" i="30"/>
  <c r="DU224" i="30"/>
  <c r="EC191" i="30"/>
  <c r="EJ191" i="30"/>
  <c r="ER191" i="30"/>
  <c r="FE194" i="30"/>
  <c r="FE196" i="30"/>
  <c r="FX191" i="30"/>
  <c r="FD221" i="30"/>
  <c r="FK221" i="30"/>
  <c r="FM264" i="30"/>
  <c r="FT264" i="30"/>
  <c r="CN174" i="30"/>
  <c r="CL224" i="30"/>
  <c r="CN264" i="30"/>
  <c r="EP224" i="30"/>
  <c r="EP226" i="30"/>
  <c r="FS194" i="30"/>
  <c r="FZ194" i="30"/>
  <c r="FS196" i="30"/>
  <c r="BW196" i="30"/>
  <c r="BW206" i="30"/>
  <c r="BY270" i="30"/>
  <c r="CG174" i="30"/>
  <c r="CE191" i="30"/>
  <c r="CD194" i="30"/>
  <c r="CF211" i="30"/>
  <c r="CG216" i="30"/>
  <c r="CG221" i="30"/>
  <c r="CG224" i="30"/>
  <c r="CE234" i="30"/>
  <c r="CG251" i="30"/>
  <c r="CD264" i="30"/>
  <c r="CK174" i="30"/>
  <c r="CK194" i="30"/>
  <c r="CK204" i="30"/>
  <c r="CK211" i="30"/>
  <c r="CK216" i="30"/>
  <c r="CN216" i="30"/>
  <c r="CL236" i="30"/>
  <c r="CS171" i="30"/>
  <c r="DF206" i="30"/>
  <c r="DF204" i="30"/>
  <c r="DN186" i="30"/>
  <c r="DN184" i="30"/>
  <c r="EO184" i="30"/>
  <c r="EO186" i="30"/>
  <c r="EQ261" i="30"/>
  <c r="EX261" i="30"/>
  <c r="EW194" i="30"/>
  <c r="EW234" i="30"/>
  <c r="FF186" i="30"/>
  <c r="FF184" i="30"/>
  <c r="FL196" i="30"/>
  <c r="GG181" i="30"/>
  <c r="CN191" i="30"/>
  <c r="EP191" i="30"/>
  <c r="EW191" i="30"/>
  <c r="CL214" i="30"/>
  <c r="BX196" i="30"/>
  <c r="BW226" i="30"/>
  <c r="BZ270" i="30"/>
  <c r="CF194" i="30"/>
  <c r="CD204" i="30"/>
  <c r="CG211" i="30"/>
  <c r="CG231" i="30"/>
  <c r="CE270" i="30"/>
  <c r="CF254" i="30"/>
  <c r="CL174" i="30"/>
  <c r="CN184" i="30"/>
  <c r="CL196" i="30"/>
  <c r="CL216" i="30"/>
  <c r="CK224" i="30"/>
  <c r="CK231" i="30"/>
  <c r="CM234" i="30"/>
  <c r="CT171" i="30"/>
  <c r="CU221" i="30"/>
  <c r="DI186" i="30"/>
  <c r="DI184" i="30"/>
  <c r="DW216" i="30"/>
  <c r="DW214" i="30"/>
  <c r="ED201" i="30"/>
  <c r="EP196" i="30"/>
  <c r="EP194" i="30"/>
  <c r="EO221" i="30"/>
  <c r="EV184" i="30"/>
  <c r="EW206" i="30"/>
  <c r="EW204" i="30"/>
  <c r="FF206" i="30"/>
  <c r="FF204" i="30"/>
  <c r="FU204" i="30"/>
  <c r="FU206" i="30"/>
  <c r="BY196" i="30"/>
  <c r="BY216" i="30"/>
  <c r="BX226" i="30"/>
  <c r="BW256" i="30"/>
  <c r="CD174" i="30"/>
  <c r="CE184" i="30"/>
  <c r="CE204" i="30"/>
  <c r="CF214" i="30"/>
  <c r="CD224" i="30"/>
  <c r="CG234" i="30"/>
  <c r="CK184" i="30"/>
  <c r="CK191" i="30"/>
  <c r="CM194" i="30"/>
  <c r="CM201" i="30"/>
  <c r="CM204" i="30"/>
  <c r="CM214" i="30"/>
  <c r="CK221" i="30"/>
  <c r="CL226" i="30"/>
  <c r="CL227" i="30" s="1"/>
  <c r="CR191" i="30"/>
  <c r="CR214" i="30"/>
  <c r="CY226" i="30"/>
  <c r="DF181" i="30"/>
  <c r="DM181" i="30"/>
  <c r="DH216" i="30"/>
  <c r="DH214" i="30"/>
  <c r="DN211" i="30"/>
  <c r="DM266" i="30"/>
  <c r="EB196" i="30"/>
  <c r="EB194" i="30"/>
  <c r="EI194" i="30"/>
  <c r="EO204" i="30"/>
  <c r="EW231" i="30"/>
  <c r="EP231" i="30"/>
  <c r="EY196" i="30"/>
  <c r="EY194" i="30"/>
  <c r="EV214" i="30"/>
  <c r="EV226" i="30"/>
  <c r="EV224" i="30"/>
  <c r="FE236" i="30"/>
  <c r="DW176" i="30"/>
  <c r="DW174" i="30"/>
  <c r="CE181" i="30"/>
  <c r="CG196" i="30"/>
  <c r="CF204" i="30"/>
  <c r="CE266" i="30"/>
  <c r="CN196" i="30"/>
  <c r="CN206" i="30"/>
  <c r="CL221" i="30"/>
  <c r="CM231" i="30"/>
  <c r="CT231" i="30"/>
  <c r="CU181" i="30"/>
  <c r="CU194" i="30"/>
  <c r="CS226" i="30"/>
  <c r="CS224" i="30"/>
  <c r="DM226" i="30"/>
  <c r="DM224" i="30"/>
  <c r="DU186" i="30"/>
  <c r="DU184" i="30"/>
  <c r="ED176" i="30"/>
  <c r="ED174" i="30"/>
  <c r="EK174" i="30"/>
  <c r="EB221" i="30"/>
  <c r="EW224" i="30"/>
  <c r="FF236" i="30"/>
  <c r="FF234" i="30"/>
  <c r="FM234" i="30"/>
  <c r="FL231" i="30"/>
  <c r="FR176" i="30"/>
  <c r="FR174" i="30"/>
  <c r="CL201" i="30"/>
  <c r="CE171" i="30"/>
  <c r="CF176" i="30"/>
  <c r="CG184" i="30"/>
  <c r="CE194" i="30"/>
  <c r="CD201" i="30"/>
  <c r="CD206" i="30"/>
  <c r="CE231" i="30"/>
  <c r="CD254" i="30"/>
  <c r="CE264" i="30"/>
  <c r="CK171" i="30"/>
  <c r="CL176" i="30"/>
  <c r="CL181" i="30"/>
  <c r="CM186" i="30"/>
  <c r="CM191" i="30"/>
  <c r="CM221" i="30"/>
  <c r="CN226" i="30"/>
  <c r="CN231" i="30"/>
  <c r="CK261" i="30"/>
  <c r="CM266" i="30"/>
  <c r="CM264" i="30"/>
  <c r="CR181" i="30"/>
  <c r="CT191" i="30"/>
  <c r="CT234" i="30"/>
  <c r="DA234" i="30"/>
  <c r="CT236" i="30"/>
  <c r="EJ196" i="30"/>
  <c r="EJ194" i="30"/>
  <c r="FM204" i="30"/>
  <c r="CM261" i="30"/>
  <c r="CU171" i="30"/>
  <c r="CU174" i="30"/>
  <c r="CS186" i="30"/>
  <c r="CS214" i="30"/>
  <c r="CT221" i="30"/>
  <c r="CT224" i="30"/>
  <c r="CZ174" i="30"/>
  <c r="CY196" i="30"/>
  <c r="CY201" i="30"/>
  <c r="CZ206" i="30"/>
  <c r="CY221" i="30"/>
  <c r="CZ226" i="30"/>
  <c r="DB226" i="30"/>
  <c r="DF171" i="30"/>
  <c r="DG176" i="30"/>
  <c r="DG181" i="30"/>
  <c r="DF201" i="30"/>
  <c r="DG206" i="30"/>
  <c r="DH211" i="30"/>
  <c r="DI216" i="30"/>
  <c r="DG234" i="30"/>
  <c r="DF264" i="30"/>
  <c r="DN174" i="30"/>
  <c r="DO184" i="30"/>
  <c r="DN196" i="30"/>
  <c r="DP196" i="30"/>
  <c r="DM204" i="30"/>
  <c r="DM214" i="30"/>
  <c r="DN221" i="30"/>
  <c r="DM231" i="30"/>
  <c r="DM236" i="30"/>
  <c r="DO236" i="30"/>
  <c r="DN261" i="30"/>
  <c r="DP264" i="30"/>
  <c r="DV184" i="30"/>
  <c r="DW186" i="30"/>
  <c r="DV194" i="30"/>
  <c r="DV224" i="30"/>
  <c r="DV234" i="30"/>
  <c r="DW264" i="30"/>
  <c r="ED171" i="30"/>
  <c r="ED196" i="30"/>
  <c r="EA204" i="30"/>
  <c r="EB211" i="30"/>
  <c r="ED221" i="30"/>
  <c r="EA226" i="30"/>
  <c r="EI181" i="30"/>
  <c r="EH184" i="30"/>
  <c r="EH201" i="30"/>
  <c r="EH214" i="30"/>
  <c r="EI226" i="30"/>
  <c r="EK231" i="30"/>
  <c r="EI234" i="30"/>
  <c r="EP184" i="30"/>
  <c r="EQ194" i="30"/>
  <c r="EO201" i="30"/>
  <c r="EP214" i="30"/>
  <c r="EQ224" i="30"/>
  <c r="EQ234" i="30"/>
  <c r="ER261" i="30"/>
  <c r="EW184" i="30"/>
  <c r="EW201" i="30"/>
  <c r="EV231" i="30"/>
  <c r="EX234" i="30"/>
  <c r="EW264" i="30"/>
  <c r="FD171" i="30"/>
  <c r="FF174" i="30"/>
  <c r="FE191" i="30"/>
  <c r="FG204" i="30"/>
  <c r="FE211" i="30"/>
  <c r="FE221" i="30"/>
  <c r="FF226" i="30"/>
  <c r="FC264" i="30"/>
  <c r="FN204" i="30"/>
  <c r="FJ221" i="30"/>
  <c r="FM224" i="30"/>
  <c r="FJ231" i="30"/>
  <c r="FJ236" i="30"/>
  <c r="FS174" i="30"/>
  <c r="FU201" i="30"/>
  <c r="FQ221" i="30"/>
  <c r="FX221" i="30"/>
  <c r="FS224" i="30"/>
  <c r="FY171" i="30"/>
  <c r="GA206" i="30"/>
  <c r="GA204" i="30"/>
  <c r="CR184" i="30"/>
  <c r="CR196" i="30"/>
  <c r="CR204" i="30"/>
  <c r="CR211" i="30"/>
  <c r="CT214" i="30"/>
  <c r="CU224" i="30"/>
  <c r="CU231" i="30"/>
  <c r="CU261" i="30"/>
  <c r="DB171" i="30"/>
  <c r="CY184" i="30"/>
  <c r="CZ196" i="30"/>
  <c r="DA211" i="30"/>
  <c r="DA214" i="30"/>
  <c r="CZ221" i="30"/>
  <c r="DA224" i="30"/>
  <c r="CY236" i="30"/>
  <c r="DG171" i="30"/>
  <c r="DH176" i="30"/>
  <c r="DH181" i="30"/>
  <c r="DG191" i="30"/>
  <c r="DH206" i="30"/>
  <c r="DF224" i="30"/>
  <c r="DH234" i="30"/>
  <c r="DG264" i="30"/>
  <c r="DO174" i="30"/>
  <c r="DP184" i="30"/>
  <c r="DM201" i="30"/>
  <c r="DN206" i="30"/>
  <c r="DN214" i="30"/>
  <c r="DO224" i="30"/>
  <c r="DN236" i="30"/>
  <c r="DO261" i="30"/>
  <c r="DU174" i="30"/>
  <c r="DU214" i="30"/>
  <c r="DT261" i="30"/>
  <c r="DT266" i="30"/>
  <c r="EA184" i="30"/>
  <c r="EA201" i="30"/>
  <c r="EB206" i="30"/>
  <c r="EA214" i="30"/>
  <c r="EC261" i="30"/>
  <c r="EB264" i="30"/>
  <c r="EH171" i="30"/>
  <c r="EJ181" i="30"/>
  <c r="EI184" i="30"/>
  <c r="EI191" i="30"/>
  <c r="EI201" i="30"/>
  <c r="EJ206" i="30"/>
  <c r="EI214" i="30"/>
  <c r="EH231" i="30"/>
  <c r="EJ234" i="30"/>
  <c r="EI264" i="30"/>
  <c r="EO174" i="30"/>
  <c r="EQ184" i="30"/>
  <c r="ER194" i="30"/>
  <c r="EP201" i="30"/>
  <c r="EO211" i="30"/>
  <c r="EQ221" i="30"/>
  <c r="ER224" i="30"/>
  <c r="ER234" i="30"/>
  <c r="EX201" i="30"/>
  <c r="EY206" i="30"/>
  <c r="EX214" i="30"/>
  <c r="EX224" i="30"/>
  <c r="EV236" i="30"/>
  <c r="EY234" i="30"/>
  <c r="FD176" i="30"/>
  <c r="FG201" i="30"/>
  <c r="FD204" i="30"/>
  <c r="FC261" i="30"/>
  <c r="FD266" i="30"/>
  <c r="FK174" i="30"/>
  <c r="FJ204" i="30"/>
  <c r="FK231" i="30"/>
  <c r="FK236" i="30"/>
  <c r="FJ264" i="30"/>
  <c r="FS171" i="30"/>
  <c r="FT176" i="30"/>
  <c r="GA174" i="30"/>
  <c r="FS191" i="30"/>
  <c r="FQ214" i="30"/>
  <c r="FR221" i="30"/>
  <c r="FX211" i="30"/>
  <c r="CS196" i="30"/>
  <c r="CR201" i="30"/>
  <c r="CS206" i="30"/>
  <c r="CU216" i="30"/>
  <c r="CR264" i="30"/>
  <c r="CZ184" i="30"/>
  <c r="DA191" i="30"/>
  <c r="DA201" i="30"/>
  <c r="DB216" i="30"/>
  <c r="CY231" i="30"/>
  <c r="CY264" i="30"/>
  <c r="DH171" i="30"/>
  <c r="DI176" i="30"/>
  <c r="DI181" i="30"/>
  <c r="DF196" i="30"/>
  <c r="DI204" i="30"/>
  <c r="DG214" i="30"/>
  <c r="DG224" i="30"/>
  <c r="DH231" i="30"/>
  <c r="DI234" i="30"/>
  <c r="DF261" i="30"/>
  <c r="DO171" i="30"/>
  <c r="DP176" i="30"/>
  <c r="DP191" i="30"/>
  <c r="DN201" i="30"/>
  <c r="DO206" i="30"/>
  <c r="DO214" i="30"/>
  <c r="DP224" i="30"/>
  <c r="DP261" i="30"/>
  <c r="DT191" i="30"/>
  <c r="DT196" i="30"/>
  <c r="DT231" i="30"/>
  <c r="DT236" i="30"/>
  <c r="DU266" i="30"/>
  <c r="EB184" i="30"/>
  <c r="EB201" i="30"/>
  <c r="EC206" i="30"/>
  <c r="EB214" i="30"/>
  <c r="EA231" i="30"/>
  <c r="EC234" i="30"/>
  <c r="ED261" i="30"/>
  <c r="EH194" i="30"/>
  <c r="EJ201" i="30"/>
  <c r="EK206" i="30"/>
  <c r="EJ214" i="30"/>
  <c r="EJ224" i="30"/>
  <c r="EH236" i="30"/>
  <c r="EK234" i="30"/>
  <c r="EP174" i="30"/>
  <c r="EQ181" i="30"/>
  <c r="ER184" i="30"/>
  <c r="EQ201" i="30"/>
  <c r="EP211" i="30"/>
  <c r="ER216" i="30"/>
  <c r="ER221" i="30"/>
  <c r="EO261" i="30"/>
  <c r="EV174" i="30"/>
  <c r="EY191" i="30"/>
  <c r="EX211" i="30"/>
  <c r="EY224" i="30"/>
  <c r="EW236" i="30"/>
  <c r="FC174" i="30"/>
  <c r="FE264" i="30"/>
  <c r="FL174" i="30"/>
  <c r="FK204" i="30"/>
  <c r="FJ224" i="30"/>
  <c r="FM261" i="30"/>
  <c r="FT191" i="30"/>
  <c r="GA191" i="30"/>
  <c r="FT194" i="30"/>
  <c r="FQ211" i="30"/>
  <c r="FR216" i="30"/>
  <c r="FS221" i="30"/>
  <c r="FY174" i="30"/>
  <c r="FY211" i="30"/>
  <c r="FY221" i="30"/>
  <c r="FY231" i="30"/>
  <c r="CR174" i="30"/>
  <c r="CS181" i="30"/>
  <c r="CT184" i="30"/>
  <c r="CT194" i="30"/>
  <c r="CS201" i="30"/>
  <c r="CT206" i="30"/>
  <c r="CT211" i="30"/>
  <c r="CY174" i="30"/>
  <c r="DB191" i="30"/>
  <c r="DB196" i="30"/>
  <c r="DG194" i="30"/>
  <c r="DI201" i="30"/>
  <c r="DI211" i="30"/>
  <c r="DH224" i="30"/>
  <c r="DI231" i="30"/>
  <c r="DG261" i="30"/>
  <c r="DP171" i="30"/>
  <c r="DO201" i="30"/>
  <c r="DO211" i="30"/>
  <c r="DP231" i="30"/>
  <c r="DT184" i="30"/>
  <c r="DU196" i="30"/>
  <c r="DT204" i="30"/>
  <c r="DT224" i="30"/>
  <c r="DU236" i="30"/>
  <c r="DV264" i="30"/>
  <c r="EC201" i="30"/>
  <c r="ED206" i="30"/>
  <c r="EC214" i="30"/>
  <c r="EC224" i="30"/>
  <c r="EA236" i="30"/>
  <c r="ED234" i="30"/>
  <c r="EH174" i="30"/>
  <c r="EJ211" i="30"/>
  <c r="EK224" i="30"/>
  <c r="EI236" i="30"/>
  <c r="EQ174" i="30"/>
  <c r="ER181" i="30"/>
  <c r="EQ211" i="30"/>
  <c r="EO234" i="30"/>
  <c r="EW176" i="30"/>
  <c r="EV191" i="30"/>
  <c r="EX194" i="30"/>
  <c r="EY211" i="30"/>
  <c r="FC171" i="30"/>
  <c r="FF194" i="30"/>
  <c r="FF224" i="30"/>
  <c r="FF231" i="30"/>
  <c r="FE261" i="30"/>
  <c r="FM171" i="30"/>
  <c r="FM174" i="30"/>
  <c r="FM191" i="30"/>
  <c r="FK201" i="30"/>
  <c r="FL206" i="30"/>
  <c r="FL264" i="30"/>
  <c r="FQ204" i="30"/>
  <c r="FS214" i="30"/>
  <c r="FT224" i="30"/>
  <c r="FS261" i="30"/>
  <c r="FZ261" i="30"/>
  <c r="GF184" i="30"/>
  <c r="FY186" i="30"/>
  <c r="FZ191" i="30"/>
  <c r="FZ201" i="30"/>
  <c r="FZ221" i="30"/>
  <c r="CS174" i="30"/>
  <c r="CT181" i="30"/>
  <c r="CU184" i="30"/>
  <c r="CU191" i="30"/>
  <c r="CT201" i="30"/>
  <c r="CU211" i="30"/>
  <c r="CS261" i="30"/>
  <c r="CT264" i="30"/>
  <c r="DA171" i="30"/>
  <c r="CZ204" i="30"/>
  <c r="CZ214" i="30"/>
  <c r="DA231" i="30"/>
  <c r="DB236" i="30"/>
  <c r="DB264" i="30"/>
  <c r="DG174" i="30"/>
  <c r="DF184" i="30"/>
  <c r="DH194" i="30"/>
  <c r="DF221" i="30"/>
  <c r="DI226" i="30"/>
  <c r="DG236" i="30"/>
  <c r="DH261" i="30"/>
  <c r="DP174" i="30"/>
  <c r="DP211" i="30"/>
  <c r="DT174" i="30"/>
  <c r="DV191" i="30"/>
  <c r="DT201" i="30"/>
  <c r="DU206" i="30"/>
  <c r="DT214" i="30"/>
  <c r="DV231" i="30"/>
  <c r="EA174" i="30"/>
  <c r="EC211" i="30"/>
  <c r="ED224" i="30"/>
  <c r="EB236" i="30"/>
  <c r="EB261" i="30"/>
  <c r="EI174" i="30"/>
  <c r="EH191" i="30"/>
  <c r="EI204" i="30"/>
  <c r="EK211" i="30"/>
  <c r="EO171" i="30"/>
  <c r="ER176" i="30"/>
  <c r="EP204" i="30"/>
  <c r="ER211" i="30"/>
  <c r="EQ214" i="30"/>
  <c r="EQ231" i="30"/>
  <c r="EO264" i="30"/>
  <c r="EX174" i="30"/>
  <c r="EX184" i="30"/>
  <c r="EX204" i="30"/>
  <c r="EY214" i="30"/>
  <c r="EX264" i="30"/>
  <c r="FE174" i="30"/>
  <c r="FC184" i="30"/>
  <c r="FC204" i="30"/>
  <c r="FG206" i="30"/>
  <c r="FF211" i="30"/>
  <c r="FL201" i="30"/>
  <c r="FK214" i="30"/>
  <c r="FK226" i="30"/>
  <c r="FT174" i="30"/>
  <c r="FR191" i="30"/>
  <c r="FQ201" i="30"/>
  <c r="FR206" i="30"/>
  <c r="FY204" i="30"/>
  <c r="FS211" i="30"/>
  <c r="FT216" i="30"/>
  <c r="FS234" i="30"/>
  <c r="GE171" i="30"/>
  <c r="FX171" i="30"/>
  <c r="GA201" i="30"/>
  <c r="GA221" i="30"/>
  <c r="CK264" i="30"/>
  <c r="CR171" i="30"/>
  <c r="CT174" i="30"/>
  <c r="CR236" i="30"/>
  <c r="CU236" i="30"/>
  <c r="CT261" i="30"/>
  <c r="CU264" i="30"/>
  <c r="CY181" i="30"/>
  <c r="CZ186" i="30"/>
  <c r="DB214" i="30"/>
  <c r="CZ224" i="30"/>
  <c r="DB231" i="30"/>
  <c r="DH174" i="30"/>
  <c r="DG184" i="30"/>
  <c r="DH191" i="30"/>
  <c r="DI194" i="30"/>
  <c r="DI206" i="30"/>
  <c r="DF214" i="30"/>
  <c r="DG221" i="30"/>
  <c r="DI261" i="30"/>
  <c r="DH264" i="30"/>
  <c r="DN204" i="30"/>
  <c r="DP214" i="30"/>
  <c r="DM234" i="30"/>
  <c r="DM264" i="30"/>
  <c r="DW196" i="30"/>
  <c r="DV206" i="30"/>
  <c r="DW236" i="30"/>
  <c r="EB174" i="30"/>
  <c r="EA191" i="30"/>
  <c r="EB204" i="30"/>
  <c r="ED211" i="30"/>
  <c r="EC264" i="30"/>
  <c r="EJ174" i="30"/>
  <c r="EJ184" i="30"/>
  <c r="EH196" i="30"/>
  <c r="EJ204" i="30"/>
  <c r="EK214" i="30"/>
  <c r="EJ264" i="30"/>
  <c r="EP171" i="30"/>
  <c r="EO181" i="30"/>
  <c r="EP186" i="30"/>
  <c r="ER214" i="30"/>
  <c r="EP264" i="30"/>
  <c r="EX171" i="30"/>
  <c r="EY176" i="30"/>
  <c r="EY186" i="30"/>
  <c r="EW196" i="30"/>
  <c r="EZ201" i="30"/>
  <c r="EY204" i="30"/>
  <c r="EY266" i="30"/>
  <c r="FE171" i="30"/>
  <c r="FC181" i="30"/>
  <c r="FD186" i="30"/>
  <c r="FC196" i="30"/>
  <c r="FC201" i="30"/>
  <c r="FC214" i="30"/>
  <c r="FC224" i="30"/>
  <c r="FC231" i="30"/>
  <c r="FD236" i="30"/>
  <c r="FD264" i="30"/>
  <c r="FJ191" i="30"/>
  <c r="FJ196" i="30"/>
  <c r="FM201" i="30"/>
  <c r="FL214" i="30"/>
  <c r="FJ234" i="30"/>
  <c r="FQ196" i="30"/>
  <c r="FS206" i="30"/>
  <c r="FQ231" i="30"/>
  <c r="FX224" i="30"/>
  <c r="CL266" i="30"/>
  <c r="CR194" i="30"/>
  <c r="CR224" i="30"/>
  <c r="CR231" i="30"/>
  <c r="CS236" i="30"/>
  <c r="DB176" i="30"/>
  <c r="CZ181" i="30"/>
  <c r="DA184" i="30"/>
  <c r="DB194" i="30"/>
  <c r="CY261" i="30"/>
  <c r="CZ266" i="30"/>
  <c r="DI174" i="30"/>
  <c r="DH184" i="30"/>
  <c r="DI191" i="30"/>
  <c r="DF211" i="30"/>
  <c r="DG216" i="30"/>
  <c r="DH221" i="30"/>
  <c r="DI224" i="30"/>
  <c r="DO204" i="30"/>
  <c r="DN264" i="30"/>
  <c r="DV171" i="30"/>
  <c r="DV174" i="30"/>
  <c r="DT181" i="30"/>
  <c r="DV201" i="30"/>
  <c r="DW206" i="30"/>
  <c r="DV211" i="30"/>
  <c r="DV214" i="30"/>
  <c r="DT221" i="30"/>
  <c r="EC174" i="30"/>
  <c r="EC184" i="30"/>
  <c r="EA196" i="30"/>
  <c r="EC204" i="30"/>
  <c r="ED214" i="30"/>
  <c r="ED264" i="30"/>
  <c r="EJ171" i="30"/>
  <c r="EK176" i="30"/>
  <c r="EK184" i="30"/>
  <c r="EI196" i="30"/>
  <c r="EK204" i="30"/>
  <c r="EK264" i="30"/>
  <c r="EQ171" i="30"/>
  <c r="ER174" i="30"/>
  <c r="EO191" i="30"/>
  <c r="EQ196" i="30"/>
  <c r="EO224" i="30"/>
  <c r="EO231" i="30"/>
  <c r="EQ236" i="30"/>
  <c r="EQ264" i="30"/>
  <c r="EY171" i="30"/>
  <c r="EV204" i="30"/>
  <c r="EZ204" i="30"/>
  <c r="EW211" i="30"/>
  <c r="EY221" i="30"/>
  <c r="FE184" i="30"/>
  <c r="FC191" i="30"/>
  <c r="FD196" i="30"/>
  <c r="FE206" i="30"/>
  <c r="FC211" i="30"/>
  <c r="FD216" i="30"/>
  <c r="FC221" i="30"/>
  <c r="FD226" i="30"/>
  <c r="FE234" i="30"/>
  <c r="FF264" i="30"/>
  <c r="FK191" i="30"/>
  <c r="FK196" i="30"/>
  <c r="FL204" i="30"/>
  <c r="FM211" i="30"/>
  <c r="FM214" i="30"/>
  <c r="FK234" i="30"/>
  <c r="FQ174" i="30"/>
  <c r="FR196" i="30"/>
  <c r="FY194" i="30"/>
  <c r="FS201" i="30"/>
  <c r="FT206" i="30"/>
  <c r="FR214" i="30"/>
  <c r="FQ224" i="30"/>
  <c r="FQ226" i="30"/>
  <c r="FR231" i="30"/>
  <c r="FQ264" i="30"/>
  <c r="FQ266" i="30"/>
  <c r="FX264" i="30"/>
  <c r="FR224" i="30"/>
  <c r="FT231" i="30"/>
  <c r="FT234" i="30"/>
  <c r="FR261" i="30"/>
  <c r="GA171" i="30"/>
  <c r="GA196" i="30"/>
  <c r="FX204" i="30"/>
  <c r="FX226" i="30"/>
  <c r="FX234" i="30"/>
  <c r="FZ264" i="30"/>
  <c r="GG174" i="30"/>
  <c r="GG184" i="30"/>
  <c r="GH194" i="30"/>
  <c r="GH214" i="30"/>
  <c r="GF221" i="30"/>
  <c r="GE224" i="30"/>
  <c r="GH251" i="30"/>
  <c r="GE261" i="30"/>
  <c r="GO171" i="30"/>
  <c r="GL181" i="30"/>
  <c r="GO196" i="30"/>
  <c r="GL204" i="30"/>
  <c r="GL214" i="30"/>
  <c r="GM226" i="30"/>
  <c r="GM234" i="30"/>
  <c r="GO270" i="30"/>
  <c r="GM251" i="30"/>
  <c r="GO261" i="30"/>
  <c r="GL266" i="30"/>
  <c r="GS174" i="30"/>
  <c r="GU194" i="30"/>
  <c r="GT201" i="30"/>
  <c r="GU206" i="30"/>
  <c r="GU211" i="30"/>
  <c r="GT264" i="30"/>
  <c r="HC174" i="30"/>
  <c r="HA184" i="30"/>
  <c r="HC191" i="30"/>
  <c r="HC194" i="30"/>
  <c r="HA206" i="30"/>
  <c r="HA236" i="30"/>
  <c r="HG174" i="30"/>
  <c r="HH206" i="30"/>
  <c r="HH214" i="30"/>
  <c r="HH226" i="30"/>
  <c r="HI254" i="30"/>
  <c r="HJ266" i="30"/>
  <c r="HO184" i="30"/>
  <c r="HP194" i="30"/>
  <c r="HO201" i="30"/>
  <c r="HQ216" i="30"/>
  <c r="HN264" i="30"/>
  <c r="HU174" i="30"/>
  <c r="HW181" i="30"/>
  <c r="HX191" i="30"/>
  <c r="HW194" i="30"/>
  <c r="HW231" i="30"/>
  <c r="HW236" i="30"/>
  <c r="HV264" i="30"/>
  <c r="IC174" i="30"/>
  <c r="IB191" i="30"/>
  <c r="IC204" i="30"/>
  <c r="IE211" i="30"/>
  <c r="IE236" i="30"/>
  <c r="IB251" i="30"/>
  <c r="II171" i="30"/>
  <c r="II191" i="30"/>
  <c r="IK204" i="30"/>
  <c r="II231" i="30"/>
  <c r="IJ251" i="30"/>
  <c r="IP171" i="30"/>
  <c r="IS176" i="30"/>
  <c r="IS174" i="30"/>
  <c r="IS256" i="30"/>
  <c r="IS254" i="30"/>
  <c r="IP264" i="30"/>
  <c r="IP266" i="30"/>
  <c r="IZ181" i="30"/>
  <c r="IZ226" i="30"/>
  <c r="IZ221" i="30"/>
  <c r="JL174" i="30"/>
  <c r="JL176" i="30"/>
  <c r="JS184" i="30"/>
  <c r="JL186" i="30"/>
  <c r="JL184" i="30"/>
  <c r="JZ261" i="30"/>
  <c r="KI236" i="30"/>
  <c r="KO181" i="30"/>
  <c r="KP251" i="30"/>
  <c r="KW251" i="30"/>
  <c r="KW234" i="30"/>
  <c r="FX201" i="30"/>
  <c r="FX214" i="30"/>
  <c r="FY226" i="30"/>
  <c r="FY227" i="30" s="1"/>
  <c r="GA231" i="30"/>
  <c r="GA264" i="30"/>
  <c r="GG171" i="30"/>
  <c r="GH184" i="30"/>
  <c r="GF196" i="30"/>
  <c r="GG196" i="30"/>
  <c r="GH204" i="30"/>
  <c r="GO174" i="30"/>
  <c r="GM181" i="30"/>
  <c r="GL201" i="30"/>
  <c r="GM206" i="30"/>
  <c r="GM214" i="30"/>
  <c r="GL231" i="30"/>
  <c r="GN234" i="30"/>
  <c r="GL254" i="30"/>
  <c r="GM266" i="30"/>
  <c r="GT174" i="30"/>
  <c r="GU181" i="30"/>
  <c r="GU184" i="30"/>
  <c r="GU201" i="30"/>
  <c r="GV206" i="30"/>
  <c r="GV211" i="30"/>
  <c r="GV214" i="30"/>
  <c r="GV221" i="30"/>
  <c r="GT226" i="30"/>
  <c r="GS236" i="30"/>
  <c r="GV236" i="30"/>
  <c r="GU251" i="30"/>
  <c r="HC171" i="30"/>
  <c r="HA176" i="30"/>
  <c r="HC211" i="30"/>
  <c r="GZ224" i="30"/>
  <c r="GZ231" i="30"/>
  <c r="HB234" i="30"/>
  <c r="HH174" i="30"/>
  <c r="HH184" i="30"/>
  <c r="HG191" i="30"/>
  <c r="HG196" i="30"/>
  <c r="HG201" i="30"/>
  <c r="HI214" i="30"/>
  <c r="HI224" i="30"/>
  <c r="HG231" i="30"/>
  <c r="HG236" i="30"/>
  <c r="HI251" i="30"/>
  <c r="HJ256" i="30"/>
  <c r="HH264" i="30"/>
  <c r="HN174" i="30"/>
  <c r="HP184" i="30"/>
  <c r="HQ194" i="30"/>
  <c r="HP201" i="30"/>
  <c r="HQ206" i="30"/>
  <c r="HP211" i="30"/>
  <c r="HO224" i="30"/>
  <c r="HO231" i="30"/>
  <c r="HN254" i="30"/>
  <c r="HV171" i="30"/>
  <c r="HU186" i="30"/>
  <c r="HX186" i="30"/>
  <c r="HU211" i="30"/>
  <c r="HV214" i="30"/>
  <c r="HX221" i="30"/>
  <c r="HX234" i="30"/>
  <c r="HW264" i="30"/>
  <c r="ID174" i="30"/>
  <c r="ID184" i="30"/>
  <c r="IB196" i="30"/>
  <c r="IE194" i="30"/>
  <c r="IE201" i="30"/>
  <c r="IE214" i="30"/>
  <c r="IC221" i="30"/>
  <c r="IB224" i="30"/>
  <c r="IC266" i="30"/>
  <c r="II174" i="30"/>
  <c r="IL181" i="30"/>
  <c r="II211" i="30"/>
  <c r="IJ221" i="30"/>
  <c r="IJ231" i="30"/>
  <c r="IL234" i="30"/>
  <c r="IR184" i="30"/>
  <c r="IP196" i="30"/>
  <c r="IW194" i="30"/>
  <c r="IP211" i="30"/>
  <c r="IQ231" i="30"/>
  <c r="JM224" i="30"/>
  <c r="JL236" i="30"/>
  <c r="JS234" i="30"/>
  <c r="JL234" i="30"/>
  <c r="JK266" i="30"/>
  <c r="JK264" i="30"/>
  <c r="JR186" i="30"/>
  <c r="JR236" i="30"/>
  <c r="JR234" i="30"/>
  <c r="JZ181" i="30"/>
  <c r="KG181" i="30"/>
  <c r="JZ186" i="30"/>
  <c r="KB221" i="30"/>
  <c r="KI261" i="30"/>
  <c r="KP261" i="30"/>
  <c r="KP181" i="30"/>
  <c r="KW181" i="30"/>
  <c r="FR264" i="30"/>
  <c r="FY201" i="30"/>
  <c r="FZ206" i="30"/>
  <c r="FY214" i="30"/>
  <c r="FX231" i="30"/>
  <c r="FZ234" i="30"/>
  <c r="FX261" i="30"/>
  <c r="GH171" i="30"/>
  <c r="GE181" i="30"/>
  <c r="GE204" i="30"/>
  <c r="GE226" i="30"/>
  <c r="GF264" i="30"/>
  <c r="GM184" i="30"/>
  <c r="GM201" i="30"/>
  <c r="GN206" i="30"/>
  <c r="GN214" i="30"/>
  <c r="GN224" i="30"/>
  <c r="GL236" i="30"/>
  <c r="GO234" i="30"/>
  <c r="GM254" i="30"/>
  <c r="GS171" i="30"/>
  <c r="GU174" i="30"/>
  <c r="GV184" i="30"/>
  <c r="GV191" i="30"/>
  <c r="GS224" i="30"/>
  <c r="GS231" i="30"/>
  <c r="GT236" i="30"/>
  <c r="GV251" i="30"/>
  <c r="GZ174" i="30"/>
  <c r="HC181" i="30"/>
  <c r="HB196" i="30"/>
  <c r="GZ204" i="30"/>
  <c r="GZ214" i="30"/>
  <c r="HC251" i="30"/>
  <c r="GZ264" i="30"/>
  <c r="HI174" i="30"/>
  <c r="HI184" i="30"/>
  <c r="HH196" i="30"/>
  <c r="HH201" i="30"/>
  <c r="HJ206" i="30"/>
  <c r="HI211" i="30"/>
  <c r="HJ224" i="30"/>
  <c r="HH236" i="30"/>
  <c r="HO174" i="30"/>
  <c r="HP181" i="30"/>
  <c r="HQ184" i="30"/>
  <c r="HQ211" i="30"/>
  <c r="HQ214" i="30"/>
  <c r="HN226" i="30"/>
  <c r="HO234" i="30"/>
  <c r="HO254" i="30"/>
  <c r="HP261" i="30"/>
  <c r="HP266" i="30"/>
  <c r="HW171" i="30"/>
  <c r="HW176" i="30"/>
  <c r="HU181" i="30"/>
  <c r="HV184" i="30"/>
  <c r="HU194" i="30"/>
  <c r="HX211" i="30"/>
  <c r="HX261" i="30"/>
  <c r="ID171" i="30"/>
  <c r="IE184" i="30"/>
  <c r="IC196" i="30"/>
  <c r="IJ194" i="30"/>
  <c r="ID196" i="30"/>
  <c r="IB211" i="30"/>
  <c r="ID221" i="30"/>
  <c r="IC231" i="30"/>
  <c r="IB254" i="30"/>
  <c r="IC261" i="30"/>
  <c r="IE266" i="30"/>
  <c r="IJ174" i="30"/>
  <c r="IK181" i="30"/>
  <c r="IJ211" i="30"/>
  <c r="IK231" i="30"/>
  <c r="IK234" i="30"/>
  <c r="IR171" i="30"/>
  <c r="IQ196" i="30"/>
  <c r="IX194" i="30"/>
  <c r="IQ194" i="30"/>
  <c r="IR204" i="30"/>
  <c r="IP236" i="30"/>
  <c r="IW234" i="30"/>
  <c r="IP234" i="30"/>
  <c r="IW261" i="30"/>
  <c r="IP261" i="30"/>
  <c r="IZ204" i="30"/>
  <c r="IW264" i="30"/>
  <c r="JF224" i="30"/>
  <c r="JR266" i="30"/>
  <c r="JR264" i="30"/>
  <c r="KM196" i="30"/>
  <c r="KM194" i="30"/>
  <c r="FZ214" i="30"/>
  <c r="FZ224" i="30"/>
  <c r="GA234" i="30"/>
  <c r="FY261" i="30"/>
  <c r="GE201" i="30"/>
  <c r="GE214" i="30"/>
  <c r="GF226" i="30"/>
  <c r="GH231" i="30"/>
  <c r="GE266" i="30"/>
  <c r="GL186" i="30"/>
  <c r="GN201" i="30"/>
  <c r="GN211" i="30"/>
  <c r="GO224" i="30"/>
  <c r="GN254" i="30"/>
  <c r="GN264" i="30"/>
  <c r="GT211" i="30"/>
  <c r="GU234" i="30"/>
  <c r="GS264" i="30"/>
  <c r="GZ171" i="30"/>
  <c r="GZ184" i="30"/>
  <c r="GZ194" i="30"/>
  <c r="GZ201" i="30"/>
  <c r="GZ211" i="30"/>
  <c r="HA216" i="30"/>
  <c r="GZ221" i="30"/>
  <c r="HB224" i="30"/>
  <c r="HB231" i="30"/>
  <c r="GZ254" i="30"/>
  <c r="HH171" i="30"/>
  <c r="HJ181" i="30"/>
  <c r="HJ184" i="30"/>
  <c r="HI191" i="30"/>
  <c r="HI201" i="30"/>
  <c r="HJ211" i="30"/>
  <c r="HI231" i="30"/>
  <c r="HH254" i="30"/>
  <c r="HJ261" i="30"/>
  <c r="HP174" i="30"/>
  <c r="HQ181" i="30"/>
  <c r="HO204" i="30"/>
  <c r="HQ231" i="30"/>
  <c r="HQ234" i="30"/>
  <c r="HN251" i="30"/>
  <c r="HP254" i="30"/>
  <c r="HQ264" i="30"/>
  <c r="HX176" i="30"/>
  <c r="HW184" i="30"/>
  <c r="HU201" i="30"/>
  <c r="HV206" i="30"/>
  <c r="HX224" i="30"/>
  <c r="HV234" i="30"/>
  <c r="IE171" i="30"/>
  <c r="IE196" i="30"/>
  <c r="IB204" i="30"/>
  <c r="IB226" i="30"/>
  <c r="ID231" i="30"/>
  <c r="IB234" i="30"/>
  <c r="IC254" i="30"/>
  <c r="ID264" i="30"/>
  <c r="IK174" i="30"/>
  <c r="IJ226" i="30"/>
  <c r="IJ224" i="30"/>
  <c r="IL231" i="30"/>
  <c r="IS231" i="30"/>
  <c r="IL236" i="30"/>
  <c r="IK254" i="30"/>
  <c r="II264" i="30"/>
  <c r="IQ224" i="30"/>
  <c r="IX171" i="30"/>
  <c r="IY224" i="30"/>
  <c r="IX251" i="30"/>
  <c r="JG176" i="30"/>
  <c r="JN174" i="30"/>
  <c r="JG174" i="30"/>
  <c r="JR171" i="30"/>
  <c r="JK171" i="30"/>
  <c r="JN234" i="30"/>
  <c r="KT204" i="30"/>
  <c r="FR236" i="30"/>
  <c r="FX174" i="30"/>
  <c r="FZ211" i="30"/>
  <c r="GA216" i="30"/>
  <c r="GA224" i="30"/>
  <c r="FY236" i="30"/>
  <c r="FZ236" i="30"/>
  <c r="FY264" i="30"/>
  <c r="GF201" i="30"/>
  <c r="GF214" i="30"/>
  <c r="GE231" i="30"/>
  <c r="GE254" i="30"/>
  <c r="GL174" i="30"/>
  <c r="GM186" i="30"/>
  <c r="GM194" i="30"/>
  <c r="GO211" i="30"/>
  <c r="GN251" i="30"/>
  <c r="GO256" i="30"/>
  <c r="GO264" i="30"/>
  <c r="GU171" i="30"/>
  <c r="GV194" i="30"/>
  <c r="GV201" i="30"/>
  <c r="GU204" i="30"/>
  <c r="GS214" i="30"/>
  <c r="GT221" i="30"/>
  <c r="GU224" i="30"/>
  <c r="HB174" i="30"/>
  <c r="HB204" i="30"/>
  <c r="HB214" i="30"/>
  <c r="HA221" i="30"/>
  <c r="HC231" i="30"/>
  <c r="GZ251" i="30"/>
  <c r="GZ261" i="30"/>
  <c r="HB264" i="30"/>
  <c r="HI171" i="30"/>
  <c r="HJ194" i="30"/>
  <c r="HH204" i="30"/>
  <c r="HH221" i="30"/>
  <c r="HG224" i="30"/>
  <c r="HJ236" i="30"/>
  <c r="HG264" i="30"/>
  <c r="HN171" i="30"/>
  <c r="HP191" i="30"/>
  <c r="HO194" i="30"/>
  <c r="HQ201" i="30"/>
  <c r="HP204" i="30"/>
  <c r="HO211" i="30"/>
  <c r="HN224" i="30"/>
  <c r="HN231" i="30"/>
  <c r="HW191" i="30"/>
  <c r="HW196" i="30"/>
  <c r="HW204" i="30"/>
  <c r="HU214" i="30"/>
  <c r="HU254" i="30"/>
  <c r="HU261" i="30"/>
  <c r="HU264" i="30"/>
  <c r="IE174" i="30"/>
  <c r="IC181" i="30"/>
  <c r="IB184" i="30"/>
  <c r="IB201" i="30"/>
  <c r="IB214" i="30"/>
  <c r="ID254" i="30"/>
  <c r="IE264" i="30"/>
  <c r="IJ186" i="30"/>
  <c r="IQ184" i="30"/>
  <c r="IL211" i="30"/>
  <c r="II251" i="30"/>
  <c r="IL256" i="30"/>
  <c r="IL254" i="30"/>
  <c r="IZ174" i="30"/>
  <c r="JS181" i="30"/>
  <c r="JL181" i="30"/>
  <c r="JU206" i="30"/>
  <c r="JU204" i="30"/>
  <c r="KB204" i="30"/>
  <c r="JZ236" i="30"/>
  <c r="JZ234" i="30"/>
  <c r="JZ266" i="30"/>
  <c r="JZ264" i="30"/>
  <c r="KU216" i="30"/>
  <c r="LB217" i="30" s="1"/>
  <c r="KU214" i="30"/>
  <c r="KU226" i="30"/>
  <c r="LB227" i="30" s="1"/>
  <c r="KU224" i="30"/>
  <c r="GA211" i="30"/>
  <c r="GA261" i="30"/>
  <c r="GG201" i="30"/>
  <c r="GG214" i="30"/>
  <c r="GG224" i="30"/>
  <c r="GF254" i="30"/>
  <c r="GM174" i="30"/>
  <c r="GL191" i="30"/>
  <c r="GN194" i="30"/>
  <c r="GM204" i="30"/>
  <c r="GO214" i="30"/>
  <c r="GO251" i="30"/>
  <c r="GV224" i="30"/>
  <c r="GV231" i="30"/>
  <c r="GU264" i="30"/>
  <c r="HB211" i="30"/>
  <c r="HB221" i="30"/>
  <c r="HA256" i="30"/>
  <c r="HB254" i="30"/>
  <c r="HA261" i="30"/>
  <c r="HJ171" i="30"/>
  <c r="HJ174" i="30"/>
  <c r="HG184" i="30"/>
  <c r="HJ204" i="30"/>
  <c r="HH216" i="30"/>
  <c r="HH224" i="30"/>
  <c r="HJ270" i="30"/>
  <c r="HG261" i="30"/>
  <c r="HH266" i="30"/>
  <c r="HO171" i="30"/>
  <c r="HO186" i="30"/>
  <c r="HP196" i="30"/>
  <c r="HQ204" i="30"/>
  <c r="HN214" i="30"/>
  <c r="HO236" i="30"/>
  <c r="HP251" i="30"/>
  <c r="HO264" i="30"/>
  <c r="HU171" i="30"/>
  <c r="HV174" i="30"/>
  <c r="HX181" i="30"/>
  <c r="HX194" i="30"/>
  <c r="HV211" i="30"/>
  <c r="HU226" i="30"/>
  <c r="HV251" i="30"/>
  <c r="HX264" i="30"/>
  <c r="IC184" i="30"/>
  <c r="IC191" i="30"/>
  <c r="IC201" i="30"/>
  <c r="ID206" i="30"/>
  <c r="IC214" i="30"/>
  <c r="IB231" i="30"/>
  <c r="ID234" i="30"/>
  <c r="ID251" i="30"/>
  <c r="IJ171" i="30"/>
  <c r="IK184" i="30"/>
  <c r="II261" i="30"/>
  <c r="IX191" i="30"/>
  <c r="IQ191" i="30"/>
  <c r="IZ171" i="30"/>
  <c r="JG171" i="30"/>
  <c r="IZ184" i="30"/>
  <c r="IZ186" i="30"/>
  <c r="JG184" i="30"/>
  <c r="IX211" i="30"/>
  <c r="JE226" i="30"/>
  <c r="JE221" i="30"/>
  <c r="JY186" i="30"/>
  <c r="JY184" i="30"/>
  <c r="KB216" i="30"/>
  <c r="KB214" i="30"/>
  <c r="KG186" i="30"/>
  <c r="KG184" i="30"/>
  <c r="KT236" i="30"/>
  <c r="LH147" i="30"/>
  <c r="FZ174" i="30"/>
  <c r="FX196" i="30"/>
  <c r="FZ204" i="30"/>
  <c r="GA214" i="30"/>
  <c r="GE174" i="30"/>
  <c r="GG211" i="30"/>
  <c r="GH224" i="30"/>
  <c r="GF236" i="30"/>
  <c r="GG254" i="30"/>
  <c r="GG264" i="30"/>
  <c r="GN174" i="30"/>
  <c r="GN184" i="30"/>
  <c r="GL196" i="30"/>
  <c r="GN204" i="30"/>
  <c r="GO254" i="30"/>
  <c r="GS196" i="30"/>
  <c r="GS204" i="30"/>
  <c r="GS211" i="30"/>
  <c r="GU214" i="30"/>
  <c r="GS234" i="30"/>
  <c r="GT254" i="30"/>
  <c r="GU261" i="30"/>
  <c r="GV264" i="30"/>
  <c r="HA181" i="30"/>
  <c r="HB236" i="30"/>
  <c r="HB251" i="30"/>
  <c r="HB261" i="30"/>
  <c r="HH176" i="30"/>
  <c r="HH194" i="30"/>
  <c r="HH234" i="30"/>
  <c r="HG254" i="30"/>
  <c r="HI264" i="30"/>
  <c r="HP171" i="30"/>
  <c r="HQ174" i="30"/>
  <c r="HN191" i="30"/>
  <c r="HQ196" i="30"/>
  <c r="HN204" i="30"/>
  <c r="HO214" i="30"/>
  <c r="HP221" i="30"/>
  <c r="HP224" i="30"/>
  <c r="HP234" i="30"/>
  <c r="HQ251" i="30"/>
  <c r="HQ254" i="30"/>
  <c r="HN266" i="30"/>
  <c r="HW174" i="30"/>
  <c r="HW211" i="30"/>
  <c r="HW216" i="30"/>
  <c r="HU221" i="30"/>
  <c r="HV224" i="30"/>
  <c r="HU234" i="30"/>
  <c r="HW251" i="30"/>
  <c r="HW256" i="30"/>
  <c r="IC171" i="30"/>
  <c r="IE181" i="30"/>
  <c r="ID191" i="30"/>
  <c r="IB194" i="30"/>
  <c r="ID201" i="30"/>
  <c r="IE206" i="30"/>
  <c r="ID214" i="30"/>
  <c r="ID224" i="30"/>
  <c r="IB236" i="30"/>
  <c r="IE251" i="30"/>
  <c r="IK171" i="30"/>
  <c r="II181" i="30"/>
  <c r="II196" i="30"/>
  <c r="II194" i="30"/>
  <c r="IJ201" i="30"/>
  <c r="IL204" i="30"/>
  <c r="IK221" i="30"/>
  <c r="II234" i="30"/>
  <c r="IK251" i="30"/>
  <c r="IL264" i="30"/>
  <c r="JS266" i="30"/>
  <c r="KI201" i="30"/>
  <c r="KH236" i="30"/>
  <c r="KH234" i="30"/>
  <c r="KF251" i="30"/>
  <c r="KM171" i="30"/>
  <c r="FS231" i="30"/>
  <c r="FQ261" i="30"/>
  <c r="FS264" i="30"/>
  <c r="FZ171" i="30"/>
  <c r="GA176" i="30"/>
  <c r="FY196" i="30"/>
  <c r="GF174" i="30"/>
  <c r="GE191" i="30"/>
  <c r="GF204" i="30"/>
  <c r="GH211" i="30"/>
  <c r="GG251" i="30"/>
  <c r="GH256" i="30"/>
  <c r="GH264" i="30"/>
  <c r="GN171" i="30"/>
  <c r="GO176" i="30"/>
  <c r="GO184" i="30"/>
  <c r="GM196" i="30"/>
  <c r="GL234" i="30"/>
  <c r="GS184" i="30"/>
  <c r="GS191" i="30"/>
  <c r="GT196" i="30"/>
  <c r="GS201" i="30"/>
  <c r="GT206" i="30"/>
  <c r="GS251" i="30"/>
  <c r="GU254" i="30"/>
  <c r="HB181" i="30"/>
  <c r="HB191" i="30"/>
  <c r="HA214" i="30"/>
  <c r="HC224" i="30"/>
  <c r="GZ234" i="30"/>
  <c r="HA264" i="30"/>
  <c r="HJ186" i="30"/>
  <c r="HI194" i="30"/>
  <c r="HG204" i="30"/>
  <c r="HG214" i="30"/>
  <c r="HG221" i="30"/>
  <c r="HJ226" i="30"/>
  <c r="HI234" i="30"/>
  <c r="HG251" i="30"/>
  <c r="HI261" i="30"/>
  <c r="HQ171" i="30"/>
  <c r="HN184" i="30"/>
  <c r="HO196" i="30"/>
  <c r="HN201" i="30"/>
  <c r="HN211" i="30"/>
  <c r="HP214" i="30"/>
  <c r="HQ224" i="30"/>
  <c r="HV194" i="30"/>
  <c r="HU204" i="30"/>
  <c r="HX216" i="30"/>
  <c r="HW224" i="30"/>
  <c r="HX256" i="30"/>
  <c r="HU266" i="30"/>
  <c r="IB174" i="30"/>
  <c r="IC194" i="30"/>
  <c r="ID211" i="30"/>
  <c r="IE216" i="30"/>
  <c r="IE224" i="30"/>
  <c r="IC236" i="30"/>
  <c r="IE254" i="30"/>
  <c r="IJ181" i="30"/>
  <c r="IJ184" i="30"/>
  <c r="IJ204" i="30"/>
  <c r="IL221" i="30"/>
  <c r="IK261" i="30"/>
  <c r="II266" i="30"/>
  <c r="IR174" i="30"/>
  <c r="IR196" i="30"/>
  <c r="IS234" i="30"/>
  <c r="IZ234" i="30"/>
  <c r="JG181" i="30"/>
  <c r="JG211" i="30"/>
  <c r="JG221" i="30"/>
  <c r="JF231" i="30"/>
  <c r="JF236" i="30"/>
  <c r="JD264" i="30"/>
  <c r="JD266" i="30"/>
  <c r="JK214" i="30"/>
  <c r="KG251" i="30"/>
  <c r="KN251" i="30"/>
  <c r="KN171" i="30"/>
  <c r="KU171" i="30"/>
  <c r="KU191" i="30"/>
  <c r="KN191" i="30"/>
  <c r="KP236" i="30"/>
  <c r="KP234" i="30"/>
  <c r="KT264" i="30"/>
  <c r="KT266" i="30"/>
  <c r="IL176" i="30"/>
  <c r="IL184" i="30"/>
  <c r="IJ196" i="30"/>
  <c r="IL251" i="30"/>
  <c r="IS171" i="30"/>
  <c r="IP204" i="30"/>
  <c r="IP254" i="30"/>
  <c r="IW181" i="30"/>
  <c r="IW196" i="30"/>
  <c r="IZ194" i="30"/>
  <c r="IZ224" i="30"/>
  <c r="IW231" i="30"/>
  <c r="IY234" i="30"/>
  <c r="IW254" i="30"/>
  <c r="IX264" i="30"/>
  <c r="JE181" i="30"/>
  <c r="JF196" i="30"/>
  <c r="JD204" i="30"/>
  <c r="JD211" i="30"/>
  <c r="JF221" i="30"/>
  <c r="JG226" i="30"/>
  <c r="JG236" i="30"/>
  <c r="JD251" i="30"/>
  <c r="JE256" i="30"/>
  <c r="JD261" i="30"/>
  <c r="JE266" i="30"/>
  <c r="JM174" i="30"/>
  <c r="JM184" i="30"/>
  <c r="JK196" i="30"/>
  <c r="JK204" i="30"/>
  <c r="JL214" i="30"/>
  <c r="JN224" i="30"/>
  <c r="JL231" i="30"/>
  <c r="JK261" i="30"/>
  <c r="JR174" i="30"/>
  <c r="JS194" i="30"/>
  <c r="JT211" i="30"/>
  <c r="JU224" i="30"/>
  <c r="JS236" i="30"/>
  <c r="JS254" i="30"/>
  <c r="JZ174" i="30"/>
  <c r="JY191" i="30"/>
  <c r="KA194" i="30"/>
  <c r="JZ204" i="30"/>
  <c r="KB211" i="30"/>
  <c r="JY221" i="30"/>
  <c r="KA254" i="30"/>
  <c r="KA264" i="30"/>
  <c r="KH174" i="30"/>
  <c r="KH184" i="30"/>
  <c r="KF196" i="30"/>
  <c r="KI194" i="30"/>
  <c r="KG221" i="30"/>
  <c r="KF224" i="30"/>
  <c r="KH251" i="30"/>
  <c r="KI264" i="30"/>
  <c r="KO171" i="30"/>
  <c r="KP176" i="30"/>
  <c r="KP184" i="30"/>
  <c r="KN196" i="30"/>
  <c r="KP204" i="30"/>
  <c r="KN224" i="30"/>
  <c r="KN231" i="30"/>
  <c r="KN261" i="30"/>
  <c r="KM264" i="30"/>
  <c r="KT201" i="30"/>
  <c r="KV214" i="30"/>
  <c r="KV224" i="30"/>
  <c r="KT231" i="30"/>
  <c r="KT261" i="30"/>
  <c r="IL171" i="30"/>
  <c r="II204" i="30"/>
  <c r="IJ261" i="30"/>
  <c r="IQ181" i="30"/>
  <c r="IP201" i="30"/>
  <c r="IQ206" i="30"/>
  <c r="IP214" i="30"/>
  <c r="IQ234" i="30"/>
  <c r="IQ254" i="30"/>
  <c r="IR261" i="30"/>
  <c r="IR264" i="30"/>
  <c r="IX176" i="30"/>
  <c r="IX196" i="30"/>
  <c r="IW236" i="30"/>
  <c r="IX254" i="30"/>
  <c r="JD201" i="30"/>
  <c r="JE206" i="30"/>
  <c r="JF214" i="30"/>
  <c r="JF254" i="30"/>
  <c r="JF264" i="30"/>
  <c r="JN176" i="30"/>
  <c r="JN184" i="30"/>
  <c r="JK191" i="30"/>
  <c r="JL196" i="30"/>
  <c r="JL206" i="30"/>
  <c r="JM214" i="30"/>
  <c r="JM231" i="30"/>
  <c r="JL261" i="30"/>
  <c r="JM264" i="30"/>
  <c r="JS174" i="30"/>
  <c r="JR191" i="30"/>
  <c r="JU211" i="30"/>
  <c r="JT254" i="30"/>
  <c r="JT264" i="30"/>
  <c r="KA174" i="30"/>
  <c r="KA184" i="30"/>
  <c r="KA204" i="30"/>
  <c r="JZ221" i="30"/>
  <c r="KA251" i="30"/>
  <c r="KB264" i="30"/>
  <c r="KH171" i="30"/>
  <c r="KI184" i="30"/>
  <c r="KG196" i="30"/>
  <c r="KF211" i="30"/>
  <c r="KH221" i="30"/>
  <c r="KG224" i="30"/>
  <c r="KI251" i="30"/>
  <c r="KF261" i="30"/>
  <c r="KP171" i="30"/>
  <c r="KM181" i="30"/>
  <c r="KM204" i="30"/>
  <c r="KN211" i="30"/>
  <c r="KP221" i="30"/>
  <c r="KO231" i="30"/>
  <c r="KM234" i="30"/>
  <c r="KM251" i="30"/>
  <c r="KO261" i="30"/>
  <c r="KN264" i="30"/>
  <c r="KT184" i="30"/>
  <c r="KT191" i="30"/>
  <c r="KU196" i="30"/>
  <c r="LB197" i="30" s="1"/>
  <c r="KV206" i="30"/>
  <c r="KV211" i="30"/>
  <c r="KW216" i="30"/>
  <c r="LD217" i="30" s="1"/>
  <c r="KV221" i="30"/>
  <c r="KV234" i="30"/>
  <c r="KT254" i="30"/>
  <c r="KV264" i="30"/>
  <c r="LE190" i="30"/>
  <c r="LE71" i="30" s="1"/>
  <c r="LC100" i="30"/>
  <c r="IL174" i="30"/>
  <c r="II184" i="30"/>
  <c r="II201" i="30"/>
  <c r="IJ206" i="30"/>
  <c r="II216" i="30"/>
  <c r="IJ234" i="30"/>
  <c r="IL270" i="30"/>
  <c r="IJ264" i="30"/>
  <c r="IQ201" i="30"/>
  <c r="IR206" i="30"/>
  <c r="IQ214" i="30"/>
  <c r="IP231" i="30"/>
  <c r="IR234" i="30"/>
  <c r="IP251" i="30"/>
  <c r="IR254" i="30"/>
  <c r="IS264" i="30"/>
  <c r="IW174" i="30"/>
  <c r="IX184" i="30"/>
  <c r="IW204" i="30"/>
  <c r="IW224" i="30"/>
  <c r="IX236" i="30"/>
  <c r="IY254" i="30"/>
  <c r="JD184" i="30"/>
  <c r="JD191" i="30"/>
  <c r="JE196" i="30"/>
  <c r="JF206" i="30"/>
  <c r="JF211" i="30"/>
  <c r="JG216" i="30"/>
  <c r="JF251" i="30"/>
  <c r="JF261" i="30"/>
  <c r="JN171" i="30"/>
  <c r="JL191" i="30"/>
  <c r="JN216" i="30"/>
  <c r="JK224" i="30"/>
  <c r="JK254" i="30"/>
  <c r="JN264" i="30"/>
  <c r="JT174" i="30"/>
  <c r="JT184" i="30"/>
  <c r="JR196" i="30"/>
  <c r="JU194" i="30"/>
  <c r="JU214" i="30"/>
  <c r="JR224" i="30"/>
  <c r="JT251" i="30"/>
  <c r="JU256" i="30"/>
  <c r="JU264" i="30"/>
  <c r="KA171" i="30"/>
  <c r="KB176" i="30"/>
  <c r="KB184" i="30"/>
  <c r="JZ196" i="30"/>
  <c r="KB251" i="30"/>
  <c r="KI171" i="30"/>
  <c r="KF204" i="30"/>
  <c r="KF234" i="30"/>
  <c r="KI254" i="30"/>
  <c r="KG261" i="30"/>
  <c r="KF264" i="30"/>
  <c r="KP174" i="30"/>
  <c r="KM184" i="30"/>
  <c r="KM201" i="30"/>
  <c r="KN206" i="30"/>
  <c r="KM214" i="30"/>
  <c r="KP231" i="30"/>
  <c r="KN234" i="30"/>
  <c r="KT181" i="30"/>
  <c r="KU186" i="30"/>
  <c r="LB187" i="30" s="1"/>
  <c r="KV194" i="30"/>
  <c r="KV201" i="30"/>
  <c r="KW206" i="30"/>
  <c r="LD207" i="30" s="1"/>
  <c r="KV231" i="30"/>
  <c r="KW270" i="30"/>
  <c r="LD271" i="30" s="1"/>
  <c r="KT251" i="30"/>
  <c r="KV261" i="30"/>
  <c r="LD99" i="30"/>
  <c r="LD100" i="30"/>
  <c r="IX224" i="30"/>
  <c r="IZ236" i="30"/>
  <c r="JD181" i="30"/>
  <c r="JN211" i="30"/>
  <c r="JL224" i="30"/>
  <c r="JT196" i="30"/>
  <c r="JS224" i="30"/>
  <c r="JU251" i="30"/>
  <c r="KB196" i="30"/>
  <c r="JY234" i="30"/>
  <c r="JY264" i="30"/>
  <c r="KF184" i="30"/>
  <c r="KG234" i="30"/>
  <c r="KI270" i="30"/>
  <c r="KG264" i="30"/>
  <c r="KN184" i="30"/>
  <c r="KO234" i="30"/>
  <c r="KV184" i="30"/>
  <c r="LH142" i="30"/>
  <c r="IK201" i="30"/>
  <c r="IL206" i="30"/>
  <c r="IK214" i="30"/>
  <c r="IK226" i="30"/>
  <c r="II236" i="30"/>
  <c r="II256" i="30"/>
  <c r="IJ266" i="30"/>
  <c r="IP174" i="30"/>
  <c r="IR211" i="30"/>
  <c r="IS224" i="30"/>
  <c r="IQ236" i="30"/>
  <c r="IR251" i="30"/>
  <c r="IY174" i="30"/>
  <c r="IX201" i="30"/>
  <c r="IY206" i="30"/>
  <c r="IX214" i="30"/>
  <c r="IZ251" i="30"/>
  <c r="IY264" i="30"/>
  <c r="JD174" i="30"/>
  <c r="JF184" i="30"/>
  <c r="JF191" i="30"/>
  <c r="JE214" i="30"/>
  <c r="JD236" i="30"/>
  <c r="JE254" i="30"/>
  <c r="JE264" i="30"/>
  <c r="JM201" i="30"/>
  <c r="JL216" i="30"/>
  <c r="JN231" i="30"/>
  <c r="JM254" i="30"/>
  <c r="JU171" i="30"/>
  <c r="JR204" i="30"/>
  <c r="JU254" i="30"/>
  <c r="KB174" i="30"/>
  <c r="JY201" i="30"/>
  <c r="JY214" i="30"/>
  <c r="KG201" i="30"/>
  <c r="KH206" i="30"/>
  <c r="KG214" i="30"/>
  <c r="KF231" i="30"/>
  <c r="KO201" i="30"/>
  <c r="KP206" i="30"/>
  <c r="KO214" i="30"/>
  <c r="KO224" i="30"/>
  <c r="KM236" i="30"/>
  <c r="KN254" i="30"/>
  <c r="KT171" i="30"/>
  <c r="KV181" i="30"/>
  <c r="KU204" i="30"/>
  <c r="KW214" i="30"/>
  <c r="KU234" i="30"/>
  <c r="KV251" i="30"/>
  <c r="KU264" i="30"/>
  <c r="IK211" i="30"/>
  <c r="IL216" i="30"/>
  <c r="IL224" i="30"/>
  <c r="IJ254" i="30"/>
  <c r="IQ174" i="30"/>
  <c r="IP191" i="30"/>
  <c r="IQ204" i="30"/>
  <c r="IS211" i="30"/>
  <c r="IS251" i="30"/>
  <c r="IY171" i="30"/>
  <c r="IZ176" i="30"/>
  <c r="IY201" i="30"/>
  <c r="IZ206" i="30"/>
  <c r="IY214" i="30"/>
  <c r="IZ254" i="30"/>
  <c r="IZ264" i="30"/>
  <c r="JD171" i="30"/>
  <c r="JE176" i="30"/>
  <c r="JF181" i="30"/>
  <c r="JG186" i="30"/>
  <c r="JE204" i="30"/>
  <c r="JG214" i="30"/>
  <c r="JD224" i="30"/>
  <c r="JD231" i="30"/>
  <c r="JE236" i="30"/>
  <c r="JE270" i="30"/>
  <c r="JK186" i="30"/>
  <c r="JL194" i="30"/>
  <c r="JN204" i="30"/>
  <c r="JK221" i="30"/>
  <c r="JN256" i="30"/>
  <c r="JM261" i="30"/>
  <c r="JL264" i="30"/>
  <c r="JU174" i="30"/>
  <c r="JR201" i="30"/>
  <c r="JS206" i="30"/>
  <c r="JR214" i="30"/>
  <c r="JU270" i="30"/>
  <c r="JZ201" i="30"/>
  <c r="KA206" i="30"/>
  <c r="JZ214" i="30"/>
  <c r="JY231" i="30"/>
  <c r="KF194" i="30"/>
  <c r="KH201" i="30"/>
  <c r="KI206" i="30"/>
  <c r="KH214" i="30"/>
  <c r="KH224" i="30"/>
  <c r="KF254" i="30"/>
  <c r="KM174" i="30"/>
  <c r="KN186" i="30"/>
  <c r="KN194" i="30"/>
  <c r="KO211" i="30"/>
  <c r="KP216" i="30"/>
  <c r="KP224" i="30"/>
  <c r="KN236" i="30"/>
  <c r="KO254" i="30"/>
  <c r="KO264" i="30"/>
  <c r="KV174" i="30"/>
  <c r="KU194" i="30"/>
  <c r="KW204" i="30"/>
  <c r="KT226" i="30"/>
  <c r="IZ216" i="30"/>
  <c r="JG204" i="30"/>
  <c r="JF234" i="30"/>
  <c r="JG251" i="30"/>
  <c r="JG261" i="30"/>
  <c r="JK181" i="30"/>
  <c r="JM194" i="30"/>
  <c r="JK236" i="30"/>
  <c r="JN251" i="30"/>
  <c r="JN261" i="30"/>
  <c r="JS201" i="30"/>
  <c r="JT206" i="30"/>
  <c r="JR231" i="30"/>
  <c r="KA201" i="30"/>
  <c r="KB206" i="30"/>
  <c r="KA214" i="30"/>
  <c r="KA224" i="30"/>
  <c r="JY254" i="30"/>
  <c r="KF174" i="30"/>
  <c r="KH211" i="30"/>
  <c r="KI216" i="30"/>
  <c r="KI224" i="30"/>
  <c r="KG254" i="30"/>
  <c r="KN174" i="30"/>
  <c r="KM191" i="30"/>
  <c r="KN204" i="30"/>
  <c r="KP211" i="30"/>
  <c r="KP256" i="30"/>
  <c r="KW176" i="30"/>
  <c r="LD177" i="30" s="1"/>
  <c r="LH101" i="30"/>
  <c r="LH100" i="30"/>
  <c r="LO200" i="30"/>
  <c r="LE180" i="30"/>
  <c r="LE70" i="30" s="1"/>
  <c r="GL241" i="30"/>
  <c r="DG241" i="30"/>
  <c r="KT241" i="30"/>
  <c r="CT241" i="30"/>
  <c r="DF241" i="30"/>
  <c r="FF241" i="30"/>
  <c r="GT241" i="30"/>
  <c r="HQ241" i="30"/>
  <c r="JM270" i="30"/>
  <c r="JD241" i="30"/>
  <c r="KI241" i="30"/>
  <c r="DM241" i="30"/>
  <c r="JF241" i="30"/>
  <c r="DN241" i="30"/>
  <c r="DV241" i="30"/>
  <c r="EI241" i="30"/>
  <c r="IZ241" i="30"/>
  <c r="JR241" i="30"/>
  <c r="KV241" i="30"/>
  <c r="EJ241" i="30"/>
  <c r="EV241" i="30"/>
  <c r="JS241" i="30"/>
  <c r="EA241" i="30"/>
  <c r="EW241" i="30"/>
  <c r="GF241" i="30"/>
  <c r="HB241" i="30"/>
  <c r="IS241" i="30"/>
  <c r="CZ241" i="30"/>
  <c r="GG241" i="30"/>
  <c r="IB241" i="30"/>
  <c r="HV270" i="30"/>
  <c r="HV241" i="30"/>
  <c r="DA241" i="30"/>
  <c r="FD241" i="30"/>
  <c r="GA270" i="30"/>
  <c r="GH241" i="30"/>
  <c r="HW270" i="30"/>
  <c r="HW241" i="30"/>
  <c r="DB241" i="30"/>
  <c r="GM241" i="30"/>
  <c r="GS241" i="30"/>
  <c r="JS270" i="30"/>
  <c r="FJ241" i="30"/>
  <c r="KU270" i="30"/>
  <c r="LB271" i="30" s="1"/>
  <c r="KU241" i="30"/>
  <c r="CF270" i="30"/>
  <c r="CF241" i="30"/>
  <c r="DU241" i="30"/>
  <c r="EB241" i="30"/>
  <c r="HC270" i="30"/>
  <c r="HC241" i="30"/>
  <c r="IC241" i="30"/>
  <c r="KP270" i="30"/>
  <c r="KP241" i="30"/>
  <c r="CL241" i="30"/>
  <c r="CU241" i="30"/>
  <c r="ER241" i="30"/>
  <c r="DH241" i="30"/>
  <c r="DO241" i="30"/>
  <c r="EC241" i="30"/>
  <c r="EX241" i="30"/>
  <c r="GN241" i="30"/>
  <c r="GU241" i="30"/>
  <c r="HG241" i="30"/>
  <c r="ID241" i="30"/>
  <c r="IJ241" i="30"/>
  <c r="JT241" i="30"/>
  <c r="JY241" i="30"/>
  <c r="FC241" i="30"/>
  <c r="HA241" i="30"/>
  <c r="HH241" i="30"/>
  <c r="IK241" i="30"/>
  <c r="JZ241" i="30"/>
  <c r="CM241" i="30"/>
  <c r="EK241" i="30"/>
  <c r="HI241" i="30"/>
  <c r="IP241" i="30"/>
  <c r="IW241" i="30"/>
  <c r="KA241" i="30"/>
  <c r="KF241" i="30"/>
  <c r="CG241" i="30"/>
  <c r="DP241" i="30"/>
  <c r="DW241" i="30"/>
  <c r="ED241" i="30"/>
  <c r="EO241" i="30"/>
  <c r="EY241" i="30"/>
  <c r="FE241" i="30"/>
  <c r="GO241" i="30"/>
  <c r="GV241" i="30"/>
  <c r="HO241" i="30"/>
  <c r="IE241" i="30"/>
  <c r="IQ241" i="30"/>
  <c r="IX241" i="30"/>
  <c r="JU241" i="30"/>
  <c r="KG241" i="30"/>
  <c r="KM241" i="30"/>
  <c r="KW241" i="30"/>
  <c r="CR241" i="30"/>
  <c r="CY241" i="30"/>
  <c r="EP241" i="30"/>
  <c r="GZ241" i="30"/>
  <c r="HP241" i="30"/>
  <c r="IL241" i="30"/>
  <c r="IR241" i="30"/>
  <c r="IY241" i="30"/>
  <c r="JE241" i="30"/>
  <c r="JL241" i="30"/>
  <c r="KH241" i="30"/>
  <c r="KN241" i="30"/>
  <c r="CD241" i="30"/>
  <c r="CK241" i="30"/>
  <c r="CS241" i="30"/>
  <c r="DT241" i="30"/>
  <c r="EH241" i="30"/>
  <c r="EQ241" i="30"/>
  <c r="GE241" i="30"/>
  <c r="HJ241" i="30"/>
  <c r="HU241" i="30"/>
  <c r="JG241" i="30"/>
  <c r="JM241" i="30"/>
  <c r="JL270" i="30"/>
  <c r="KB241" i="30"/>
  <c r="KO241" i="30"/>
  <c r="KT194" i="30"/>
  <c r="KV204" i="30"/>
  <c r="KT234" i="30"/>
  <c r="KT176" i="30"/>
  <c r="KV186" i="30"/>
  <c r="LC187" i="30" s="1"/>
  <c r="KT216" i="30"/>
  <c r="KV226" i="30"/>
  <c r="LC227" i="30" s="1"/>
  <c r="KT256" i="30"/>
  <c r="KV266" i="30"/>
  <c r="LC267" i="30" s="1"/>
  <c r="KT270" i="30"/>
  <c r="KV176" i="30"/>
  <c r="LC177" i="30" s="1"/>
  <c r="KT206" i="30"/>
  <c r="KV216" i="30"/>
  <c r="LC217" i="30" s="1"/>
  <c r="KV256" i="30"/>
  <c r="LC257" i="30" s="1"/>
  <c r="KV270" i="30"/>
  <c r="LC271" i="30" s="1"/>
  <c r="KV171" i="30"/>
  <c r="KM176" i="30"/>
  <c r="KO186" i="30"/>
  <c r="KM216" i="30"/>
  <c r="KO226" i="30"/>
  <c r="KM256" i="30"/>
  <c r="KO266" i="30"/>
  <c r="KM270" i="30"/>
  <c r="KN176" i="30"/>
  <c r="KP186" i="30"/>
  <c r="KN216" i="30"/>
  <c r="KP226" i="30"/>
  <c r="KN256" i="30"/>
  <c r="KP266" i="30"/>
  <c r="KN270" i="30"/>
  <c r="KO176" i="30"/>
  <c r="KM206" i="30"/>
  <c r="KO216" i="30"/>
  <c r="KO256" i="30"/>
  <c r="KO270" i="30"/>
  <c r="KF176" i="30"/>
  <c r="KH186" i="30"/>
  <c r="KF216" i="30"/>
  <c r="KH226" i="30"/>
  <c r="KF256" i="30"/>
  <c r="KH266" i="30"/>
  <c r="KF270" i="30"/>
  <c r="KG176" i="30"/>
  <c r="KI186" i="30"/>
  <c r="KG216" i="30"/>
  <c r="KI226" i="30"/>
  <c r="KG256" i="30"/>
  <c r="KI266" i="30"/>
  <c r="KG270" i="30"/>
  <c r="KH176" i="30"/>
  <c r="KF206" i="30"/>
  <c r="KH216" i="30"/>
  <c r="KH256" i="30"/>
  <c r="KH270" i="30"/>
  <c r="JY176" i="30"/>
  <c r="KA186" i="30"/>
  <c r="JY216" i="30"/>
  <c r="KA226" i="30"/>
  <c r="JY256" i="30"/>
  <c r="KA266" i="30"/>
  <c r="JY270" i="30"/>
  <c r="JZ176" i="30"/>
  <c r="KB186" i="30"/>
  <c r="JZ216" i="30"/>
  <c r="KB226" i="30"/>
  <c r="JZ256" i="30"/>
  <c r="KB266" i="30"/>
  <c r="JZ270" i="30"/>
  <c r="KA176" i="30"/>
  <c r="JY206" i="30"/>
  <c r="KA216" i="30"/>
  <c r="KA256" i="30"/>
  <c r="KA270" i="30"/>
  <c r="JR176" i="30"/>
  <c r="JT186" i="30"/>
  <c r="JR216" i="30"/>
  <c r="JT226" i="30"/>
  <c r="JR256" i="30"/>
  <c r="JT266" i="30"/>
  <c r="JR270" i="30"/>
  <c r="JU226" i="30"/>
  <c r="JS256" i="30"/>
  <c r="JU266" i="30"/>
  <c r="JT176" i="30"/>
  <c r="JR206" i="30"/>
  <c r="JT216" i="30"/>
  <c r="JT256" i="30"/>
  <c r="JT270" i="30"/>
  <c r="JS176" i="30"/>
  <c r="JU186" i="30"/>
  <c r="JS216" i="30"/>
  <c r="JL204" i="30"/>
  <c r="JN214" i="30"/>
  <c r="JN241" i="30"/>
  <c r="JN254" i="30"/>
  <c r="JK194" i="30"/>
  <c r="JM204" i="30"/>
  <c r="JK234" i="30"/>
  <c r="JK176" i="30"/>
  <c r="JM186" i="30"/>
  <c r="JK216" i="30"/>
  <c r="JM226" i="30"/>
  <c r="JK256" i="30"/>
  <c r="JM266" i="30"/>
  <c r="JK270" i="30"/>
  <c r="JM171" i="30"/>
  <c r="JK201" i="30"/>
  <c r="JM211" i="30"/>
  <c r="JK241" i="30"/>
  <c r="JM251" i="30"/>
  <c r="JM256" i="30"/>
  <c r="JD194" i="30"/>
  <c r="JF204" i="30"/>
  <c r="JD234" i="30"/>
  <c r="JD176" i="30"/>
  <c r="JF186" i="30"/>
  <c r="JD216" i="30"/>
  <c r="JF226" i="30"/>
  <c r="JD256" i="30"/>
  <c r="JF266" i="30"/>
  <c r="JD270" i="30"/>
  <c r="JF176" i="30"/>
  <c r="JD206" i="30"/>
  <c r="JF216" i="30"/>
  <c r="JF256" i="30"/>
  <c r="JF270" i="30"/>
  <c r="IW176" i="30"/>
  <c r="IY186" i="30"/>
  <c r="IW216" i="30"/>
  <c r="IY226" i="30"/>
  <c r="IW256" i="30"/>
  <c r="IY266" i="30"/>
  <c r="IW270" i="30"/>
  <c r="IY176" i="30"/>
  <c r="IW206" i="30"/>
  <c r="IY216" i="30"/>
  <c r="IY256" i="30"/>
  <c r="IY270" i="30"/>
  <c r="IP176" i="30"/>
  <c r="IR186" i="30"/>
  <c r="IP216" i="30"/>
  <c r="IR226" i="30"/>
  <c r="IP256" i="30"/>
  <c r="IR266" i="30"/>
  <c r="IP270" i="30"/>
  <c r="IQ176" i="30"/>
  <c r="IS186" i="30"/>
  <c r="IQ216" i="30"/>
  <c r="IS226" i="30"/>
  <c r="IQ256" i="30"/>
  <c r="IS266" i="30"/>
  <c r="IQ270" i="30"/>
  <c r="IR176" i="30"/>
  <c r="IP206" i="30"/>
  <c r="IR216" i="30"/>
  <c r="IR256" i="30"/>
  <c r="IR270" i="30"/>
  <c r="II176" i="30"/>
  <c r="IK186" i="30"/>
  <c r="IL186" i="30"/>
  <c r="IL226" i="30"/>
  <c r="IL266" i="30"/>
  <c r="II206" i="30"/>
  <c r="IK216" i="30"/>
  <c r="II214" i="30"/>
  <c r="IK224" i="30"/>
  <c r="II241" i="30"/>
  <c r="II254" i="30"/>
  <c r="IK264" i="30"/>
  <c r="IJ176" i="30"/>
  <c r="IJ256" i="30"/>
  <c r="IJ270" i="30"/>
  <c r="IK176" i="30"/>
  <c r="IK256" i="30"/>
  <c r="IK270" i="30"/>
  <c r="IJ214" i="30"/>
  <c r="IB176" i="30"/>
  <c r="ID186" i="30"/>
  <c r="IB216" i="30"/>
  <c r="ID226" i="30"/>
  <c r="IB256" i="30"/>
  <c r="ID266" i="30"/>
  <c r="IB270" i="30"/>
  <c r="IC176" i="30"/>
  <c r="IE186" i="30"/>
  <c r="IC216" i="30"/>
  <c r="IE226" i="30"/>
  <c r="IC256" i="30"/>
  <c r="IC270" i="30"/>
  <c r="ID176" i="30"/>
  <c r="IB206" i="30"/>
  <c r="ID216" i="30"/>
  <c r="ID256" i="30"/>
  <c r="ID270" i="30"/>
  <c r="HX174" i="30"/>
  <c r="HV191" i="30"/>
  <c r="HX201" i="30"/>
  <c r="HV204" i="30"/>
  <c r="HX214" i="30"/>
  <c r="HV231" i="30"/>
  <c r="HX241" i="30"/>
  <c r="HX254" i="30"/>
  <c r="HV186" i="30"/>
  <c r="HX196" i="30"/>
  <c r="HV226" i="30"/>
  <c r="HX236" i="30"/>
  <c r="HV266" i="30"/>
  <c r="HU256" i="30"/>
  <c r="HW266" i="30"/>
  <c r="HU270" i="30"/>
  <c r="HX270" i="30"/>
  <c r="HN176" i="30"/>
  <c r="HP186" i="30"/>
  <c r="HP226" i="30"/>
  <c r="HO176" i="30"/>
  <c r="HQ186" i="30"/>
  <c r="HO216" i="30"/>
  <c r="HQ226" i="30"/>
  <c r="HO256" i="30"/>
  <c r="HQ266" i="30"/>
  <c r="HO270" i="30"/>
  <c r="HP176" i="30"/>
  <c r="HN206" i="30"/>
  <c r="HP216" i="30"/>
  <c r="HP256" i="30"/>
  <c r="HP270" i="30"/>
  <c r="HN216" i="30"/>
  <c r="HN256" i="30"/>
  <c r="HN241" i="30"/>
  <c r="HP264" i="30"/>
  <c r="HN196" i="30"/>
  <c r="HP206" i="30"/>
  <c r="HN236" i="30"/>
  <c r="HH186" i="30"/>
  <c r="HG194" i="30"/>
  <c r="HJ196" i="30"/>
  <c r="HI204" i="30"/>
  <c r="HG234" i="30"/>
  <c r="HG176" i="30"/>
  <c r="HI186" i="30"/>
  <c r="HG216" i="30"/>
  <c r="HI226" i="30"/>
  <c r="HG256" i="30"/>
  <c r="HI266" i="30"/>
  <c r="HG270" i="30"/>
  <c r="HH270" i="30"/>
  <c r="HI176" i="30"/>
  <c r="HG206" i="30"/>
  <c r="HI216" i="30"/>
  <c r="HI256" i="30"/>
  <c r="HI270" i="30"/>
  <c r="HC196" i="30"/>
  <c r="HA226" i="30"/>
  <c r="HC236" i="30"/>
  <c r="GZ176" i="30"/>
  <c r="HB186" i="30"/>
  <c r="HA194" i="30"/>
  <c r="HC204" i="30"/>
  <c r="GZ216" i="30"/>
  <c r="HB226" i="30"/>
  <c r="HA234" i="30"/>
  <c r="GZ256" i="30"/>
  <c r="HB266" i="30"/>
  <c r="GZ270" i="30"/>
  <c r="HB176" i="30"/>
  <c r="GZ206" i="30"/>
  <c r="HB216" i="30"/>
  <c r="HB256" i="30"/>
  <c r="HB270" i="30"/>
  <c r="GS176" i="30"/>
  <c r="GU186" i="30"/>
  <c r="GT194" i="30"/>
  <c r="GV204" i="30"/>
  <c r="GS216" i="30"/>
  <c r="GU226" i="30"/>
  <c r="GT234" i="30"/>
  <c r="GS256" i="30"/>
  <c r="GU266" i="30"/>
  <c r="GS270" i="30"/>
  <c r="GT176" i="30"/>
  <c r="GV186" i="30"/>
  <c r="GT216" i="30"/>
  <c r="GV226" i="30"/>
  <c r="GT256" i="30"/>
  <c r="GV266" i="30"/>
  <c r="GT270" i="30"/>
  <c r="GU176" i="30"/>
  <c r="GS206" i="30"/>
  <c r="GU216" i="30"/>
  <c r="GU256" i="30"/>
  <c r="GU270" i="30"/>
  <c r="GV176" i="30"/>
  <c r="GV216" i="30"/>
  <c r="GV256" i="30"/>
  <c r="GV270" i="30"/>
  <c r="GL176" i="30"/>
  <c r="GN186" i="30"/>
  <c r="GO204" i="30"/>
  <c r="GL216" i="30"/>
  <c r="GN226" i="30"/>
  <c r="GL256" i="30"/>
  <c r="GN266" i="30"/>
  <c r="GL270" i="30"/>
  <c r="GM176" i="30"/>
  <c r="GO186" i="30"/>
  <c r="GO226" i="30"/>
  <c r="GN176" i="30"/>
  <c r="GL206" i="30"/>
  <c r="GN216" i="30"/>
  <c r="GN256" i="30"/>
  <c r="GN270" i="30"/>
  <c r="GM216" i="30"/>
  <c r="GM256" i="30"/>
  <c r="GO266" i="30"/>
  <c r="GM270" i="30"/>
  <c r="GE176" i="30"/>
  <c r="GG186" i="30"/>
  <c r="GE216" i="30"/>
  <c r="GG226" i="30"/>
  <c r="GE256" i="30"/>
  <c r="GG266" i="30"/>
  <c r="GE270" i="30"/>
  <c r="GF176" i="30"/>
  <c r="GH186" i="30"/>
  <c r="GH266" i="30"/>
  <c r="GG176" i="30"/>
  <c r="GE206" i="30"/>
  <c r="GG216" i="30"/>
  <c r="GG256" i="30"/>
  <c r="GG270" i="30"/>
  <c r="GF216" i="30"/>
  <c r="GH226" i="30"/>
  <c r="GF256" i="30"/>
  <c r="GF270" i="30"/>
  <c r="GE196" i="30"/>
  <c r="GG206" i="30"/>
  <c r="GE236" i="30"/>
  <c r="FX176" i="30"/>
  <c r="FZ186" i="30"/>
  <c r="FX216" i="30"/>
  <c r="FZ226" i="30"/>
  <c r="FX256" i="30"/>
  <c r="FZ266" i="30"/>
  <c r="FX270" i="30"/>
  <c r="FY176" i="30"/>
  <c r="GA186" i="30"/>
  <c r="FY216" i="30"/>
  <c r="GA226" i="30"/>
  <c r="FY256" i="30"/>
  <c r="FY270" i="30"/>
  <c r="GA266" i="30"/>
  <c r="FZ176" i="30"/>
  <c r="FX206" i="30"/>
  <c r="FZ216" i="30"/>
  <c r="FZ256" i="30"/>
  <c r="FZ270" i="30"/>
  <c r="FQ194" i="30"/>
  <c r="FS204" i="30"/>
  <c r="FQ234" i="30"/>
  <c r="FQ176" i="30"/>
  <c r="FR194" i="30"/>
  <c r="FT204" i="30"/>
  <c r="FQ216" i="30"/>
  <c r="FS226" i="30"/>
  <c r="FR234" i="30"/>
  <c r="FS266" i="30"/>
  <c r="FS176" i="30"/>
  <c r="FQ206" i="30"/>
  <c r="FS216" i="30"/>
  <c r="FK176" i="30"/>
  <c r="FK216" i="30"/>
  <c r="FM226" i="30"/>
  <c r="FM266" i="30"/>
  <c r="FL176" i="30"/>
  <c r="FJ206" i="30"/>
  <c r="FL216" i="30"/>
  <c r="FM176" i="30"/>
  <c r="FK206" i="30"/>
  <c r="FM216" i="30"/>
  <c r="FC194" i="30"/>
  <c r="FE204" i="30"/>
  <c r="FC234" i="30"/>
  <c r="FC176" i="30"/>
  <c r="FE186" i="30"/>
  <c r="FC216" i="30"/>
  <c r="FE226" i="30"/>
  <c r="FE266" i="30"/>
  <c r="FE176" i="30"/>
  <c r="FC206" i="30"/>
  <c r="FE216" i="30"/>
  <c r="EV176" i="30"/>
  <c r="EX186" i="30"/>
  <c r="EV216" i="30"/>
  <c r="EX226" i="30"/>
  <c r="EX266" i="30"/>
  <c r="EY226" i="30"/>
  <c r="EX176" i="30"/>
  <c r="EV206" i="30"/>
  <c r="EX216" i="30"/>
  <c r="EW174" i="30"/>
  <c r="EY184" i="30"/>
  <c r="EW214" i="30"/>
  <c r="EY264" i="30"/>
  <c r="EO176" i="30"/>
  <c r="EQ186" i="30"/>
  <c r="EO216" i="30"/>
  <c r="EQ226" i="30"/>
  <c r="EQ266" i="30"/>
  <c r="EP176" i="30"/>
  <c r="ER186" i="30"/>
  <c r="EP216" i="30"/>
  <c r="ER226" i="30"/>
  <c r="ER266" i="30"/>
  <c r="EQ176" i="30"/>
  <c r="EO206" i="30"/>
  <c r="EO196" i="30"/>
  <c r="EQ206" i="30"/>
  <c r="EO236" i="30"/>
  <c r="EH176" i="30"/>
  <c r="EH216" i="30"/>
  <c r="EJ266" i="30"/>
  <c r="EI176" i="30"/>
  <c r="EK186" i="30"/>
  <c r="EI216" i="30"/>
  <c r="EK226" i="30"/>
  <c r="EK266" i="30"/>
  <c r="EJ186" i="30"/>
  <c r="EJ226" i="30"/>
  <c r="EJ176" i="30"/>
  <c r="EH206" i="30"/>
  <c r="EJ216" i="30"/>
  <c r="EA176" i="30"/>
  <c r="EC186" i="30"/>
  <c r="EA216" i="30"/>
  <c r="EC226" i="30"/>
  <c r="EC266" i="30"/>
  <c r="ED186" i="30"/>
  <c r="EB216" i="30"/>
  <c r="ED226" i="30"/>
  <c r="ED266" i="30"/>
  <c r="EC176" i="30"/>
  <c r="EA206" i="30"/>
  <c r="EC216" i="30"/>
  <c r="EB176" i="30"/>
  <c r="DT194" i="30"/>
  <c r="DV204" i="30"/>
  <c r="DT234" i="30"/>
  <c r="DV176" i="30"/>
  <c r="DT206" i="30"/>
  <c r="DV216" i="30"/>
  <c r="DM176" i="30"/>
  <c r="DO186" i="30"/>
  <c r="DN194" i="30"/>
  <c r="DP204" i="30"/>
  <c r="DM216" i="30"/>
  <c r="DO226" i="30"/>
  <c r="DN234" i="30"/>
  <c r="DO266" i="30"/>
  <c r="DN176" i="30"/>
  <c r="DP186" i="30"/>
  <c r="DN216" i="30"/>
  <c r="DP226" i="30"/>
  <c r="DP266" i="30"/>
  <c r="DO176" i="30"/>
  <c r="DM206" i="30"/>
  <c r="DO216" i="30"/>
  <c r="DF186" i="30"/>
  <c r="DH196" i="30"/>
  <c r="DG204" i="30"/>
  <c r="DI214" i="30"/>
  <c r="DF226" i="30"/>
  <c r="DH236" i="30"/>
  <c r="DI241" i="30"/>
  <c r="DF266" i="30"/>
  <c r="DG186" i="30"/>
  <c r="DF194" i="30"/>
  <c r="DI196" i="30"/>
  <c r="DH204" i="30"/>
  <c r="DG226" i="30"/>
  <c r="DF234" i="30"/>
  <c r="DI236" i="30"/>
  <c r="DG266" i="30"/>
  <c r="DF176" i="30"/>
  <c r="DH186" i="30"/>
  <c r="DF216" i="30"/>
  <c r="DH226" i="30"/>
  <c r="DI266" i="30"/>
  <c r="CY194" i="30"/>
  <c r="DA204" i="30"/>
  <c r="CY234" i="30"/>
  <c r="CY176" i="30"/>
  <c r="DA186" i="30"/>
  <c r="CZ194" i="30"/>
  <c r="DB204" i="30"/>
  <c r="CY216" i="30"/>
  <c r="DA226" i="30"/>
  <c r="CZ234" i="30"/>
  <c r="CZ261" i="30"/>
  <c r="DA266" i="30"/>
  <c r="DA176" i="30"/>
  <c r="CY206" i="30"/>
  <c r="DA216" i="30"/>
  <c r="CR176" i="30"/>
  <c r="CT186" i="30"/>
  <c r="CS194" i="30"/>
  <c r="CU204" i="30"/>
  <c r="CR216" i="30"/>
  <c r="CT226" i="30"/>
  <c r="CS234" i="30"/>
  <c r="CT266" i="30"/>
  <c r="CS176" i="30"/>
  <c r="CU186" i="30"/>
  <c r="CS216" i="30"/>
  <c r="CU226" i="30"/>
  <c r="CU266" i="30"/>
  <c r="CT176" i="30"/>
  <c r="CR206" i="30"/>
  <c r="CT216" i="30"/>
  <c r="CN171" i="30"/>
  <c r="CK186" i="30"/>
  <c r="CM196" i="30"/>
  <c r="CK226" i="30"/>
  <c r="CM236" i="30"/>
  <c r="CN241" i="30"/>
  <c r="CK266" i="30"/>
  <c r="CN236" i="30"/>
  <c r="CL194" i="30"/>
  <c r="CN204" i="30"/>
  <c r="CL234" i="30"/>
  <c r="CM176" i="30"/>
  <c r="CD176" i="30"/>
  <c r="CF186" i="30"/>
  <c r="CD216" i="30"/>
  <c r="CF226" i="30"/>
  <c r="CD256" i="30"/>
  <c r="CF266" i="30"/>
  <c r="CD270" i="30"/>
  <c r="CE176" i="30"/>
  <c r="CE216" i="30"/>
  <c r="CE256" i="30"/>
  <c r="CG186" i="30"/>
  <c r="CG270" i="30"/>
  <c r="CG226" i="30"/>
  <c r="CG266" i="30"/>
  <c r="CE241" i="30"/>
  <c r="BY176" i="30"/>
  <c r="BZ196" i="30"/>
  <c r="BX206" i="30"/>
  <c r="BW236" i="30"/>
  <c r="BZ176" i="30"/>
  <c r="BY206" i="30"/>
  <c r="CF207" i="30" s="1"/>
  <c r="BW186" i="30"/>
  <c r="BZ206" i="30"/>
  <c r="BX216" i="30"/>
  <c r="BZ256" i="30"/>
  <c r="BX266" i="30"/>
  <c r="BX186" i="30"/>
  <c r="BY186" i="30"/>
  <c r="BZ216" i="30"/>
  <c r="BZ266" i="30"/>
  <c r="LE170" i="30"/>
  <c r="LE69" i="30" s="1"/>
  <c r="LO249" i="30" l="1"/>
  <c r="LO199" i="30"/>
  <c r="GZ227" i="30"/>
  <c r="GH237" i="30"/>
  <c r="GA237" i="30"/>
  <c r="KN267" i="30"/>
  <c r="LQ200" i="30"/>
  <c r="IS271" i="30"/>
  <c r="FC187" i="30"/>
  <c r="ID187" i="30"/>
  <c r="LR250" i="30"/>
  <c r="LK105" i="30"/>
  <c r="CG237" i="30"/>
  <c r="KO197" i="30"/>
  <c r="FC267" i="30"/>
  <c r="EZ207" i="30"/>
  <c r="FK217" i="30"/>
  <c r="LJ106" i="30"/>
  <c r="DG177" i="30"/>
  <c r="IQ217" i="30"/>
  <c r="FQ217" i="30"/>
  <c r="LK147" i="30"/>
  <c r="LJ147" i="30"/>
  <c r="LK146" i="30"/>
  <c r="KI271" i="30"/>
  <c r="HX217" i="30"/>
  <c r="FY267" i="30"/>
  <c r="FY197" i="30"/>
  <c r="FX237" i="30"/>
  <c r="FD267" i="30"/>
  <c r="LQ260" i="30"/>
  <c r="HJ217" i="30"/>
  <c r="JN257" i="30"/>
  <c r="EW207" i="30"/>
  <c r="KB271" i="30"/>
  <c r="EI187" i="30"/>
  <c r="GF267" i="30"/>
  <c r="GH271" i="30"/>
  <c r="GO271" i="30"/>
  <c r="JE217" i="30"/>
  <c r="HX271" i="30"/>
  <c r="FS227" i="30"/>
  <c r="JE271" i="30"/>
  <c r="IB207" i="30"/>
  <c r="KV207" i="30"/>
  <c r="LC207" i="30"/>
  <c r="HB237" i="30"/>
  <c r="LO72" i="30"/>
  <c r="LO98" i="30" s="1"/>
  <c r="LV200" i="30"/>
  <c r="LO70" i="30"/>
  <c r="LV180" i="30"/>
  <c r="HC237" i="30"/>
  <c r="LQ70" i="30"/>
  <c r="LX180" i="30"/>
  <c r="LO71" i="30"/>
  <c r="LV190" i="30"/>
  <c r="LO85" i="30"/>
  <c r="LV250" i="30"/>
  <c r="GF207" i="30"/>
  <c r="LC312" i="30"/>
  <c r="CE227" i="30"/>
  <c r="JN237" i="30"/>
  <c r="CD217" i="30"/>
  <c r="HQ267" i="30"/>
  <c r="KW197" i="30"/>
  <c r="CE257" i="30"/>
  <c r="EB177" i="30"/>
  <c r="CN237" i="30"/>
  <c r="GV207" i="30"/>
  <c r="JU237" i="30"/>
  <c r="JU227" i="30"/>
  <c r="EV227" i="30"/>
  <c r="CF267" i="30"/>
  <c r="JN227" i="30"/>
  <c r="EB217" i="30"/>
  <c r="CF271" i="30"/>
  <c r="HA267" i="30"/>
  <c r="FM177" i="30"/>
  <c r="IC237" i="30"/>
  <c r="JG267" i="30"/>
  <c r="EX217" i="30"/>
  <c r="HJ267" i="30"/>
  <c r="GM207" i="30"/>
  <c r="CE197" i="30"/>
  <c r="IZ197" i="30"/>
  <c r="CL197" i="30"/>
  <c r="KU267" i="30"/>
  <c r="LB267" i="30"/>
  <c r="IC197" i="30"/>
  <c r="FC237" i="30"/>
  <c r="FS237" i="30"/>
  <c r="FJ237" i="30"/>
  <c r="JG197" i="30"/>
  <c r="LG79" i="1"/>
  <c r="LD105" i="30"/>
  <c r="LC106" i="30"/>
  <c r="LC98" i="30"/>
  <c r="LC96" i="30"/>
  <c r="LC95" i="30"/>
  <c r="LH95" i="30"/>
  <c r="LI95" i="30"/>
  <c r="LH105" i="30"/>
  <c r="LI97" i="30"/>
  <c r="LI96" i="30"/>
  <c r="ER197" i="30"/>
  <c r="DO217" i="30"/>
  <c r="FK177" i="30"/>
  <c r="IY237" i="30"/>
  <c r="ED217" i="30"/>
  <c r="KP177" i="30"/>
  <c r="GM187" i="30"/>
  <c r="CR237" i="30"/>
  <c r="IC257" i="30"/>
  <c r="IE227" i="30"/>
  <c r="FT207" i="30"/>
  <c r="CK237" i="30"/>
  <c r="JF197" i="30"/>
  <c r="HN227" i="30"/>
  <c r="GF187" i="30"/>
  <c r="CM177" i="30"/>
  <c r="FM207" i="30"/>
  <c r="IP271" i="30"/>
  <c r="JT197" i="30"/>
  <c r="CT187" i="30"/>
  <c r="HC197" i="30"/>
  <c r="JU187" i="30"/>
  <c r="DU237" i="30"/>
  <c r="IX187" i="30"/>
  <c r="EC267" i="30"/>
  <c r="CR207" i="30"/>
  <c r="HJ187" i="30"/>
  <c r="JS207" i="30"/>
  <c r="IP257" i="30"/>
  <c r="JS267" i="30"/>
  <c r="HN187" i="30"/>
  <c r="LA271" i="30"/>
  <c r="IX227" i="30"/>
  <c r="GO217" i="30"/>
  <c r="CG177" i="30"/>
  <c r="GS187" i="30"/>
  <c r="HG227" i="30"/>
  <c r="EK237" i="30"/>
  <c r="CT267" i="30"/>
  <c r="FD187" i="30"/>
  <c r="GA267" i="30"/>
  <c r="EI227" i="30"/>
  <c r="CN177" i="30"/>
  <c r="GZ187" i="30"/>
  <c r="FJ227" i="30"/>
  <c r="ID227" i="30"/>
  <c r="KF197" i="30"/>
  <c r="JU197" i="30"/>
  <c r="KB197" i="30"/>
  <c r="EJ197" i="30"/>
  <c r="II267" i="30"/>
  <c r="FU207" i="30"/>
  <c r="EI267" i="30"/>
  <c r="HU187" i="30"/>
  <c r="CE177" i="30"/>
  <c r="ID177" i="30"/>
  <c r="CS187" i="30"/>
  <c r="DT227" i="30"/>
  <c r="KH197" i="30"/>
  <c r="DI197" i="30"/>
  <c r="DG197" i="30"/>
  <c r="DW237" i="30"/>
  <c r="GT207" i="30"/>
  <c r="CR197" i="30"/>
  <c r="IZ217" i="30"/>
  <c r="FR227" i="30"/>
  <c r="EP267" i="30"/>
  <c r="DI267" i="30"/>
  <c r="EK177" i="30"/>
  <c r="DU267" i="30"/>
  <c r="FD217" i="30"/>
  <c r="KF267" i="30"/>
  <c r="IZ237" i="30"/>
  <c r="KG237" i="30"/>
  <c r="EA227" i="30"/>
  <c r="DP187" i="30"/>
  <c r="JL187" i="30"/>
  <c r="DF227" i="30"/>
  <c r="IE207" i="30"/>
  <c r="EX197" i="30"/>
  <c r="EA177" i="30"/>
  <c r="HQ187" i="30"/>
  <c r="HJ227" i="30"/>
  <c r="KT197" i="30"/>
  <c r="FG207" i="30"/>
  <c r="DW217" i="30"/>
  <c r="HO177" i="30"/>
  <c r="CU217" i="30"/>
  <c r="CN207" i="30"/>
  <c r="JU267" i="30"/>
  <c r="FM197" i="30"/>
  <c r="IB177" i="30"/>
  <c r="KB177" i="30"/>
  <c r="HJ257" i="30"/>
  <c r="CM217" i="30"/>
  <c r="ER237" i="30"/>
  <c r="FT237" i="30"/>
  <c r="CU187" i="30"/>
  <c r="HU177" i="30"/>
  <c r="IR207" i="30"/>
  <c r="HQ177" i="30"/>
  <c r="FR267" i="30"/>
  <c r="KI237" i="30"/>
  <c r="LA197" i="30"/>
  <c r="GH207" i="30"/>
  <c r="JL217" i="30"/>
  <c r="IC177" i="30"/>
  <c r="HQ271" i="30"/>
  <c r="CZ267" i="30"/>
  <c r="DF267" i="30"/>
  <c r="CS267" i="30"/>
  <c r="EA187" i="30"/>
  <c r="CR217" i="30"/>
  <c r="KW267" i="30"/>
  <c r="IE267" i="30"/>
  <c r="GE227" i="30"/>
  <c r="KW237" i="30"/>
  <c r="ID207" i="30"/>
  <c r="CT217" i="30"/>
  <c r="CG207" i="30"/>
  <c r="ID257" i="30"/>
  <c r="DP217" i="30"/>
  <c r="JT237" i="30"/>
  <c r="GH217" i="30"/>
  <c r="GM267" i="30"/>
  <c r="DN197" i="30"/>
  <c r="HP237" i="30"/>
  <c r="JS257" i="30"/>
  <c r="HX207" i="30"/>
  <c r="II197" i="30"/>
  <c r="FC197" i="30"/>
  <c r="FE237" i="30"/>
  <c r="HW237" i="30"/>
  <c r="FQ267" i="30"/>
  <c r="EP187" i="30"/>
  <c r="CR177" i="30"/>
  <c r="FM217" i="30"/>
  <c r="CK227" i="30"/>
  <c r="IL177" i="30"/>
  <c r="HU227" i="30"/>
  <c r="EK217" i="30"/>
  <c r="CE207" i="30"/>
  <c r="IL271" i="30"/>
  <c r="DB177" i="30"/>
  <c r="CD267" i="30"/>
  <c r="CM237" i="30"/>
  <c r="HH271" i="30"/>
  <c r="KI217" i="30"/>
  <c r="GM197" i="30"/>
  <c r="EY207" i="30"/>
  <c r="EY237" i="30"/>
  <c r="CE237" i="30"/>
  <c r="GE237" i="30"/>
  <c r="FT197" i="30"/>
  <c r="IX267" i="30"/>
  <c r="IW187" i="30"/>
  <c r="CF237" i="30"/>
  <c r="JE227" i="30"/>
  <c r="FE207" i="30"/>
  <c r="CL187" i="30"/>
  <c r="CE187" i="30"/>
  <c r="IC217" i="30"/>
  <c r="FJ267" i="30"/>
  <c r="EV267" i="30"/>
  <c r="JL271" i="30"/>
  <c r="JZ187" i="30"/>
  <c r="DI207" i="30"/>
  <c r="IW227" i="30"/>
  <c r="JD187" i="30"/>
  <c r="DA237" i="30"/>
  <c r="JS227" i="30"/>
  <c r="IP227" i="30"/>
  <c r="HB187" i="30"/>
  <c r="GA197" i="30"/>
  <c r="FF267" i="30"/>
  <c r="HI207" i="30"/>
  <c r="DH237" i="30"/>
  <c r="EC227" i="30"/>
  <c r="EA217" i="30"/>
  <c r="IK267" i="30"/>
  <c r="HA227" i="30"/>
  <c r="LP220" i="30"/>
  <c r="HP207" i="30"/>
  <c r="HX197" i="30"/>
  <c r="GG197" i="30"/>
  <c r="DU207" i="30"/>
  <c r="DT267" i="30"/>
  <c r="FZ197" i="30"/>
  <c r="HJ177" i="30"/>
  <c r="HN271" i="30"/>
  <c r="GE197" i="30"/>
  <c r="IR267" i="30"/>
  <c r="FD227" i="30"/>
  <c r="CU177" i="30"/>
  <c r="CE271" i="30"/>
  <c r="GE187" i="30"/>
  <c r="CL207" i="30"/>
  <c r="DI187" i="30"/>
  <c r="GL187" i="30"/>
  <c r="FZ177" i="30"/>
  <c r="GM217" i="30"/>
  <c r="EQ187" i="30"/>
  <c r="GG267" i="30"/>
  <c r="JG217" i="30"/>
  <c r="EV207" i="30"/>
  <c r="FX177" i="30"/>
  <c r="JE237" i="30"/>
  <c r="FS207" i="30"/>
  <c r="IK237" i="30"/>
  <c r="JU271" i="30"/>
  <c r="GU197" i="30"/>
  <c r="KT187" i="30"/>
  <c r="JY237" i="30"/>
  <c r="IP187" i="30"/>
  <c r="IR237" i="30"/>
  <c r="LE210" i="30"/>
  <c r="LE73" i="30" s="1"/>
  <c r="JT207" i="30"/>
  <c r="IL257" i="30"/>
  <c r="KI257" i="30"/>
  <c r="GU237" i="30"/>
  <c r="DB207" i="30"/>
  <c r="JY227" i="30"/>
  <c r="ED227" i="30"/>
  <c r="JR267" i="30"/>
  <c r="HB197" i="30"/>
  <c r="KM267" i="30"/>
  <c r="ED187" i="30"/>
  <c r="JN271" i="30"/>
  <c r="KN227" i="30"/>
  <c r="JR257" i="30"/>
  <c r="LE250" i="30"/>
  <c r="LE85" i="30" s="1"/>
  <c r="LE260" i="30"/>
  <c r="LE86" i="30" s="1"/>
  <c r="KH237" i="30"/>
  <c r="ER217" i="30"/>
  <c r="KV237" i="30"/>
  <c r="KM187" i="30"/>
  <c r="JN207" i="30"/>
  <c r="HX237" i="30"/>
  <c r="IJ207" i="30"/>
  <c r="KW217" i="30"/>
  <c r="HG237" i="30"/>
  <c r="JD267" i="30"/>
  <c r="KB237" i="30"/>
  <c r="JU207" i="30"/>
  <c r="IW267" i="30"/>
  <c r="DV197" i="30"/>
  <c r="KG187" i="30"/>
  <c r="ID217" i="30"/>
  <c r="JM207" i="30"/>
  <c r="DU227" i="30"/>
  <c r="FY217" i="30"/>
  <c r="IB217" i="30"/>
  <c r="JZ197" i="30"/>
  <c r="IX197" i="30"/>
  <c r="HX257" i="30"/>
  <c r="EI197" i="30"/>
  <c r="JN197" i="30"/>
  <c r="IS197" i="30"/>
  <c r="EP207" i="30"/>
  <c r="EJ237" i="30"/>
  <c r="CU227" i="30"/>
  <c r="JR207" i="30"/>
  <c r="GE267" i="30"/>
  <c r="JE187" i="30"/>
  <c r="HA187" i="30"/>
  <c r="FJ187" i="30"/>
  <c r="CY187" i="30"/>
  <c r="KV197" i="30"/>
  <c r="IZ257" i="30"/>
  <c r="II187" i="30"/>
  <c r="KT267" i="30"/>
  <c r="GT237" i="30"/>
  <c r="FZ207" i="30"/>
  <c r="HB207" i="30"/>
  <c r="EA197" i="30"/>
  <c r="CD187" i="30"/>
  <c r="EJ267" i="30"/>
  <c r="GH267" i="30"/>
  <c r="HX177" i="30"/>
  <c r="DG237" i="30"/>
  <c r="JR227" i="30"/>
  <c r="IX207" i="30"/>
  <c r="KP197" i="30"/>
  <c r="EC237" i="30"/>
  <c r="IJ177" i="30"/>
  <c r="JM217" i="30"/>
  <c r="JM177" i="30"/>
  <c r="LO183" i="30"/>
  <c r="IW197" i="30"/>
  <c r="FQ227" i="30"/>
  <c r="CZ227" i="30"/>
  <c r="JG257" i="30"/>
  <c r="EO237" i="30"/>
  <c r="KN207" i="30"/>
  <c r="JL197" i="30"/>
  <c r="HU267" i="30"/>
  <c r="GH177" i="30"/>
  <c r="HH177" i="30"/>
  <c r="II227" i="30"/>
  <c r="GS267" i="30"/>
  <c r="FJ197" i="30"/>
  <c r="EW267" i="30"/>
  <c r="LA187" i="30"/>
  <c r="CM207" i="30"/>
  <c r="JT177" i="30"/>
  <c r="JK197" i="30"/>
  <c r="DW197" i="30"/>
  <c r="EO187" i="30"/>
  <c r="KF237" i="30"/>
  <c r="HG267" i="30"/>
  <c r="JG271" i="30"/>
  <c r="HO207" i="30"/>
  <c r="EC177" i="30"/>
  <c r="EJ227" i="30"/>
  <c r="HB227" i="30"/>
  <c r="GO177" i="30"/>
  <c r="HQ257" i="30"/>
  <c r="HQ217" i="30"/>
  <c r="DW207" i="30"/>
  <c r="KF227" i="30"/>
  <c r="JN267" i="30"/>
  <c r="DG187" i="30"/>
  <c r="KA207" i="30"/>
  <c r="IB237" i="30"/>
  <c r="HQ237" i="30"/>
  <c r="EW197" i="30"/>
  <c r="CS207" i="30"/>
  <c r="DM237" i="30"/>
  <c r="JT217" i="30"/>
  <c r="DM207" i="30"/>
  <c r="EK267" i="30"/>
  <c r="FK207" i="30"/>
  <c r="FS267" i="30"/>
  <c r="GO227" i="30"/>
  <c r="HH187" i="30"/>
  <c r="IL267" i="30"/>
  <c r="KW177" i="30"/>
  <c r="JE267" i="30"/>
  <c r="IJ197" i="30"/>
  <c r="EQ237" i="30"/>
  <c r="DO207" i="30"/>
  <c r="DG207" i="30"/>
  <c r="GO237" i="30"/>
  <c r="DA197" i="30"/>
  <c r="DA207" i="30"/>
  <c r="EC197" i="30"/>
  <c r="KM227" i="30"/>
  <c r="DG217" i="30"/>
  <c r="FS217" i="30"/>
  <c r="GN217" i="30"/>
  <c r="DF217" i="30"/>
  <c r="FX207" i="30"/>
  <c r="IE187" i="30"/>
  <c r="KP257" i="30"/>
  <c r="KN187" i="30"/>
  <c r="IQ237" i="30"/>
  <c r="GH257" i="30"/>
  <c r="FK267" i="30"/>
  <c r="GS227" i="30"/>
  <c r="CY267" i="30"/>
  <c r="HV271" i="30"/>
  <c r="IZ207" i="30"/>
  <c r="IE217" i="30"/>
  <c r="KB217" i="30"/>
  <c r="HH257" i="30"/>
  <c r="IJ187" i="30"/>
  <c r="IL237" i="30"/>
  <c r="DI227" i="30"/>
  <c r="EW237" i="30"/>
  <c r="DH207" i="30"/>
  <c r="EB227" i="30"/>
  <c r="CN217" i="30"/>
  <c r="DT187" i="30"/>
  <c r="CD197" i="30"/>
  <c r="CF257" i="30"/>
  <c r="CD257" i="30"/>
  <c r="EC187" i="30"/>
  <c r="EV217" i="30"/>
  <c r="HN237" i="30"/>
  <c r="FQ177" i="30"/>
  <c r="GA227" i="30"/>
  <c r="IZ271" i="30"/>
  <c r="LR223" i="30"/>
  <c r="JK187" i="30"/>
  <c r="KM237" i="30"/>
  <c r="JE257" i="30"/>
  <c r="JK227" i="30"/>
  <c r="IR197" i="30"/>
  <c r="HA197" i="30"/>
  <c r="HH267" i="30"/>
  <c r="HH217" i="30"/>
  <c r="HW197" i="30"/>
  <c r="GA217" i="30"/>
  <c r="JY267" i="30"/>
  <c r="HV207" i="30"/>
  <c r="HG197" i="30"/>
  <c r="DP207" i="30"/>
  <c r="FF237" i="30"/>
  <c r="DW177" i="30"/>
  <c r="EO267" i="30"/>
  <c r="GZ267" i="30"/>
  <c r="EH187" i="30"/>
  <c r="CG227" i="30"/>
  <c r="EP177" i="30"/>
  <c r="CT227" i="30"/>
  <c r="DO177" i="30"/>
  <c r="ED267" i="30"/>
  <c r="GV177" i="30"/>
  <c r="CD271" i="30"/>
  <c r="HO257" i="30"/>
  <c r="HV267" i="30"/>
  <c r="HV187" i="30"/>
  <c r="IW217" i="30"/>
  <c r="JM271" i="30"/>
  <c r="JT257" i="30"/>
  <c r="JZ271" i="30"/>
  <c r="KT217" i="30"/>
  <c r="LQ170" i="30"/>
  <c r="KT227" i="30"/>
  <c r="JD237" i="30"/>
  <c r="IY207" i="30"/>
  <c r="KU197" i="30"/>
  <c r="JN177" i="30"/>
  <c r="JE207" i="30"/>
  <c r="HN267" i="30"/>
  <c r="GS197" i="30"/>
  <c r="GF237" i="30"/>
  <c r="HP197" i="30"/>
  <c r="KU227" i="30"/>
  <c r="HJ207" i="30"/>
  <c r="GT227" i="30"/>
  <c r="GO197" i="30"/>
  <c r="FK197" i="30"/>
  <c r="CS237" i="30"/>
  <c r="DV207" i="30"/>
  <c r="EI237" i="30"/>
  <c r="DB197" i="30"/>
  <c r="CT207" i="30"/>
  <c r="IB187" i="30"/>
  <c r="CF197" i="30"/>
  <c r="GO207" i="30"/>
  <c r="DT207" i="30"/>
  <c r="IS267" i="30"/>
  <c r="KI187" i="30"/>
  <c r="DA187" i="30"/>
  <c r="EI217" i="30"/>
  <c r="ER227" i="30"/>
  <c r="EY227" i="30"/>
  <c r="EX187" i="30"/>
  <c r="FE177" i="30"/>
  <c r="FL217" i="30"/>
  <c r="GG207" i="30"/>
  <c r="GL177" i="30"/>
  <c r="GS207" i="30"/>
  <c r="GT257" i="30"/>
  <c r="GT177" i="30"/>
  <c r="HP217" i="30"/>
  <c r="IC271" i="30"/>
  <c r="IL227" i="30"/>
  <c r="IR227" i="30"/>
  <c r="IW207" i="30"/>
  <c r="JF187" i="30"/>
  <c r="JM267" i="30"/>
  <c r="JZ177" i="30"/>
  <c r="KA227" i="30"/>
  <c r="KF207" i="30"/>
  <c r="KN257" i="30"/>
  <c r="LO173" i="30"/>
  <c r="LH141" i="30"/>
  <c r="LE220" i="30"/>
  <c r="LE74" i="30" s="1"/>
  <c r="JG187" i="30"/>
  <c r="IL207" i="30"/>
  <c r="KU187" i="30"/>
  <c r="JN217" i="30"/>
  <c r="JG227" i="30"/>
  <c r="IY197" i="30"/>
  <c r="FX197" i="30"/>
  <c r="IK207" i="30"/>
  <c r="IC207" i="30"/>
  <c r="FY237" i="30"/>
  <c r="GM237" i="30"/>
  <c r="HP267" i="30"/>
  <c r="HH197" i="30"/>
  <c r="IB197" i="30"/>
  <c r="GV237" i="30"/>
  <c r="JS187" i="30"/>
  <c r="JL177" i="30"/>
  <c r="FX227" i="30"/>
  <c r="FD197" i="30"/>
  <c r="EQ197" i="30"/>
  <c r="CL267" i="30"/>
  <c r="EY177" i="30"/>
  <c r="FK227" i="30"/>
  <c r="FM237" i="30"/>
  <c r="DT197" i="30"/>
  <c r="DF197" i="30"/>
  <c r="CZ207" i="30"/>
  <c r="FC227" i="30"/>
  <c r="ED237" i="30"/>
  <c r="CD207" i="30"/>
  <c r="CY227" i="30"/>
  <c r="CD227" i="30"/>
  <c r="FL197" i="30"/>
  <c r="LA237" i="30"/>
  <c r="LA257" i="30"/>
  <c r="JD227" i="30"/>
  <c r="GN237" i="30"/>
  <c r="KA237" i="30"/>
  <c r="EO227" i="30"/>
  <c r="FF217" i="30"/>
  <c r="LR173" i="30"/>
  <c r="LK141" i="30"/>
  <c r="KH217" i="30"/>
  <c r="LQ250" i="30"/>
  <c r="LO223" i="30"/>
  <c r="LH146" i="30"/>
  <c r="CT177" i="30"/>
  <c r="DA177" i="30"/>
  <c r="DA227" i="30"/>
  <c r="CY177" i="30"/>
  <c r="DF177" i="30"/>
  <c r="EC217" i="30"/>
  <c r="EK187" i="30"/>
  <c r="EH177" i="30"/>
  <c r="FJ207" i="30"/>
  <c r="GG227" i="30"/>
  <c r="HB267" i="30"/>
  <c r="GZ217" i="30"/>
  <c r="HI177" i="30"/>
  <c r="HG257" i="30"/>
  <c r="HU257" i="30"/>
  <c r="IP217" i="30"/>
  <c r="IY177" i="30"/>
  <c r="JD257" i="30"/>
  <c r="JK177" i="30"/>
  <c r="KA177" i="30"/>
  <c r="KB227" i="30"/>
  <c r="KF217" i="30"/>
  <c r="KO177" i="30"/>
  <c r="KV177" i="30"/>
  <c r="LE230" i="30"/>
  <c r="LE75" i="30" s="1"/>
  <c r="IZ177" i="30"/>
  <c r="IJ237" i="30"/>
  <c r="KP207" i="30"/>
  <c r="II237" i="30"/>
  <c r="JU177" i="30"/>
  <c r="JU257" i="30"/>
  <c r="LC99" i="30"/>
  <c r="IW237" i="30"/>
  <c r="JY187" i="30"/>
  <c r="HC207" i="30"/>
  <c r="FR237" i="30"/>
  <c r="CZ187" i="30"/>
  <c r="CU207" i="30"/>
  <c r="CZ237" i="30"/>
  <c r="IC187" i="30"/>
  <c r="CY237" i="30"/>
  <c r="FR177" i="30"/>
  <c r="FE197" i="30"/>
  <c r="LA177" i="30"/>
  <c r="LA227" i="30"/>
  <c r="LJ98" i="30"/>
  <c r="CK197" i="30"/>
  <c r="DA217" i="30"/>
  <c r="DV217" i="30"/>
  <c r="EH207" i="30"/>
  <c r="EQ177" i="30"/>
  <c r="GN267" i="30"/>
  <c r="GU257" i="30"/>
  <c r="GZ257" i="30"/>
  <c r="HQ227" i="30"/>
  <c r="HP227" i="30"/>
  <c r="II207" i="30"/>
  <c r="IR257" i="30"/>
  <c r="JM227" i="30"/>
  <c r="JS217" i="30"/>
  <c r="KA187" i="30"/>
  <c r="KH257" i="30"/>
  <c r="KG217" i="30"/>
  <c r="KO187" i="30"/>
  <c r="LY180" i="30"/>
  <c r="MF180" i="30" s="1"/>
  <c r="LE200" i="30"/>
  <c r="LE72" i="30" s="1"/>
  <c r="JE177" i="30"/>
  <c r="KW257" i="30"/>
  <c r="LL191" i="30"/>
  <c r="JS237" i="30"/>
  <c r="JL267" i="30"/>
  <c r="HH237" i="30"/>
  <c r="EC207" i="30"/>
  <c r="DT237" i="30"/>
  <c r="DN237" i="30"/>
  <c r="DU187" i="30"/>
  <c r="LA267" i="30"/>
  <c r="HG187" i="30"/>
  <c r="JY177" i="30"/>
  <c r="KI267" i="30"/>
  <c r="KF257" i="30"/>
  <c r="EP227" i="30"/>
  <c r="LA217" i="30"/>
  <c r="LA207" i="30"/>
  <c r="KG207" i="30"/>
  <c r="LQ173" i="30"/>
  <c r="LJ141" i="30"/>
  <c r="LP173" i="30"/>
  <c r="LI141" i="30"/>
  <c r="LR200" i="30"/>
  <c r="LO263" i="30"/>
  <c r="LQ263" i="30"/>
  <c r="LX263" i="30" s="1"/>
  <c r="LP263" i="30"/>
  <c r="LW263" i="30" s="1"/>
  <c r="LO253" i="30"/>
  <c r="LQ253" i="30"/>
  <c r="LP253" i="30"/>
  <c r="LI151" i="30"/>
  <c r="LO233" i="30"/>
  <c r="LR233" i="30"/>
  <c r="LQ233" i="30"/>
  <c r="LO213" i="30"/>
  <c r="LH145" i="30"/>
  <c r="LR213" i="30"/>
  <c r="LK145" i="30"/>
  <c r="LO203" i="30"/>
  <c r="LH144" i="30"/>
  <c r="LR203" i="30"/>
  <c r="LK144" i="30"/>
  <c r="LO193" i="30"/>
  <c r="LH143" i="30"/>
  <c r="FZ237" i="30"/>
  <c r="GG237" i="30"/>
  <c r="CK267" i="30"/>
  <c r="CR267" i="30"/>
  <c r="CS217" i="30"/>
  <c r="CZ217" i="30"/>
  <c r="CY207" i="30"/>
  <c r="CY217" i="30"/>
  <c r="DN177" i="30"/>
  <c r="DU177" i="30"/>
  <c r="DV177" i="30"/>
  <c r="EO207" i="30"/>
  <c r="EQ267" i="30"/>
  <c r="EV177" i="30"/>
  <c r="FS177" i="30"/>
  <c r="GF217" i="30"/>
  <c r="GN227" i="30"/>
  <c r="GS177" i="30"/>
  <c r="HO217" i="30"/>
  <c r="HV217" i="30"/>
  <c r="LK143" i="30"/>
  <c r="HO237" i="30"/>
  <c r="HV237" i="30"/>
  <c r="EB207" i="30"/>
  <c r="EI207" i="30"/>
  <c r="DH187" i="30"/>
  <c r="DO267" i="30"/>
  <c r="DV267" i="30"/>
  <c r="DO187" i="30"/>
  <c r="DV187" i="30"/>
  <c r="EJ187" i="30"/>
  <c r="EH217" i="30"/>
  <c r="EX177" i="30"/>
  <c r="FE227" i="30"/>
  <c r="GN177" i="30"/>
  <c r="GL217" i="30"/>
  <c r="IQ257" i="30"/>
  <c r="IX257" i="30"/>
  <c r="FR207" i="30"/>
  <c r="FY207" i="30"/>
  <c r="FT177" i="30"/>
  <c r="FL227" i="30"/>
  <c r="CD177" i="30"/>
  <c r="CK177" i="30"/>
  <c r="IL217" i="30"/>
  <c r="IS217" i="30"/>
  <c r="CG187" i="30"/>
  <c r="CN187" i="30"/>
  <c r="CS177" i="30"/>
  <c r="CZ177" i="30"/>
  <c r="DM177" i="30"/>
  <c r="DT177" i="30"/>
  <c r="EQ227" i="30"/>
  <c r="FC217" i="30"/>
  <c r="FJ217" i="30"/>
  <c r="GG257" i="30"/>
  <c r="HB257" i="30"/>
  <c r="CF177" i="30"/>
  <c r="CK217" i="30"/>
  <c r="GV217" i="30"/>
  <c r="HC217" i="30"/>
  <c r="CF227" i="30"/>
  <c r="CM227" i="30"/>
  <c r="DA267" i="30"/>
  <c r="DG267" i="30"/>
  <c r="DN267" i="30"/>
  <c r="EA207" i="30"/>
  <c r="EJ217" i="30"/>
  <c r="EQ217" i="30"/>
  <c r="EK227" i="30"/>
  <c r="ER267" i="30"/>
  <c r="EO217" i="30"/>
  <c r="EX267" i="30"/>
  <c r="FE217" i="30"/>
  <c r="FZ227" i="30"/>
  <c r="KP227" i="30"/>
  <c r="KW227" i="30"/>
  <c r="IJ267" i="30"/>
  <c r="IQ267" i="30"/>
  <c r="DH267" i="30"/>
  <c r="EY197" i="30"/>
  <c r="FF197" i="30"/>
  <c r="CG267" i="30"/>
  <c r="CN267" i="30"/>
  <c r="FE267" i="30"/>
  <c r="FL267" i="30"/>
  <c r="DH197" i="30"/>
  <c r="DO197" i="30"/>
  <c r="DP267" i="30"/>
  <c r="DW267" i="30"/>
  <c r="DO227" i="30"/>
  <c r="DV227" i="30"/>
  <c r="EQ207" i="30"/>
  <c r="EX207" i="30"/>
  <c r="FC207" i="30"/>
  <c r="FE187" i="30"/>
  <c r="FL177" i="30"/>
  <c r="FZ217" i="30"/>
  <c r="FX217" i="30"/>
  <c r="GG217" i="30"/>
  <c r="JF237" i="30"/>
  <c r="JM237" i="30"/>
  <c r="KN237" i="30"/>
  <c r="KU237" i="30"/>
  <c r="CE217" i="30"/>
  <c r="CM197" i="30"/>
  <c r="CT197" i="30"/>
  <c r="DI237" i="30"/>
  <c r="DP237" i="30"/>
  <c r="DF187" i="30"/>
  <c r="DM187" i="30"/>
  <c r="DP227" i="30"/>
  <c r="DW227" i="30"/>
  <c r="DM217" i="30"/>
  <c r="DT217" i="30"/>
  <c r="EO197" i="30"/>
  <c r="EV197" i="30"/>
  <c r="EP217" i="30"/>
  <c r="EW217" i="30"/>
  <c r="EX227" i="30"/>
  <c r="FC177" i="30"/>
  <c r="FJ177" i="30"/>
  <c r="FM267" i="30"/>
  <c r="FT267" i="30"/>
  <c r="GE207" i="30"/>
  <c r="HV227" i="30"/>
  <c r="IC227" i="30"/>
  <c r="IL187" i="30"/>
  <c r="KP271" i="30"/>
  <c r="KW271" i="30"/>
  <c r="KH207" i="30"/>
  <c r="KO207" i="30"/>
  <c r="IJ227" i="30"/>
  <c r="IQ227" i="30"/>
  <c r="CR227" i="30"/>
  <c r="DG227" i="30"/>
  <c r="DN227" i="30"/>
  <c r="CF187" i="30"/>
  <c r="CK187" i="30"/>
  <c r="CR187" i="30"/>
  <c r="CU267" i="30"/>
  <c r="DB267" i="30"/>
  <c r="DH227" i="30"/>
  <c r="DN217" i="30"/>
  <c r="DU217" i="30"/>
  <c r="EJ177" i="30"/>
  <c r="EI177" i="30"/>
  <c r="ER187" i="30"/>
  <c r="EO177" i="30"/>
  <c r="FM227" i="30"/>
  <c r="FT227" i="30"/>
  <c r="FQ207" i="30"/>
  <c r="FY177" i="30"/>
  <c r="GF257" i="30"/>
  <c r="GG177" i="30"/>
  <c r="GE217" i="30"/>
  <c r="GV257" i="30"/>
  <c r="HC257" i="30"/>
  <c r="GH187" i="30"/>
  <c r="GO187" i="30"/>
  <c r="GU177" i="30"/>
  <c r="GZ177" i="30"/>
  <c r="HI217" i="30"/>
  <c r="HN257" i="30"/>
  <c r="HN207" i="30"/>
  <c r="IK177" i="30"/>
  <c r="IS227" i="30"/>
  <c r="IY187" i="30"/>
  <c r="JF217" i="30"/>
  <c r="JF227" i="30"/>
  <c r="JK257" i="30"/>
  <c r="JS177" i="30"/>
  <c r="KA267" i="30"/>
  <c r="KG177" i="30"/>
  <c r="KH187" i="30"/>
  <c r="KO217" i="30"/>
  <c r="KN217" i="30"/>
  <c r="KO227" i="30"/>
  <c r="KV187" i="30"/>
  <c r="II257" i="30"/>
  <c r="JR197" i="30"/>
  <c r="JF207" i="30"/>
  <c r="KG197" i="30"/>
  <c r="JD197" i="30"/>
  <c r="HA257" i="30"/>
  <c r="KF187" i="30"/>
  <c r="JL257" i="30"/>
  <c r="IE197" i="30"/>
  <c r="HA217" i="30"/>
  <c r="KM197" i="30"/>
  <c r="JL237" i="30"/>
  <c r="IS207" i="30"/>
  <c r="IL197" i="30"/>
  <c r="HQ207" i="30"/>
  <c r="HI237" i="30"/>
  <c r="HA177" i="30"/>
  <c r="KI197" i="30"/>
  <c r="HA237" i="30"/>
  <c r="GU207" i="30"/>
  <c r="FX267" i="30"/>
  <c r="EB237" i="30"/>
  <c r="GT187" i="30"/>
  <c r="FL207" i="30"/>
  <c r="EY217" i="30"/>
  <c r="EK207" i="30"/>
  <c r="DI177" i="30"/>
  <c r="DO237" i="30"/>
  <c r="CY197" i="30"/>
  <c r="CT237" i="30"/>
  <c r="EB197" i="30"/>
  <c r="DH217" i="30"/>
  <c r="EV187" i="30"/>
  <c r="DN187" i="30"/>
  <c r="FF177" i="30"/>
  <c r="GF177" i="30"/>
  <c r="GG187" i="30"/>
  <c r="GN257" i="30"/>
  <c r="GM177" i="30"/>
  <c r="GU267" i="30"/>
  <c r="HB217" i="30"/>
  <c r="HG207" i="30"/>
  <c r="HI227" i="30"/>
  <c r="HN217" i="30"/>
  <c r="IK187" i="30"/>
  <c r="IR217" i="30"/>
  <c r="IY267" i="30"/>
  <c r="IW177" i="30"/>
  <c r="JD207" i="30"/>
  <c r="JD217" i="30"/>
  <c r="JT227" i="30"/>
  <c r="KA257" i="30"/>
  <c r="KB267" i="30"/>
  <c r="JY257" i="30"/>
  <c r="KH177" i="30"/>
  <c r="KF177" i="30"/>
  <c r="KM207" i="30"/>
  <c r="KP187" i="30"/>
  <c r="KM217" i="30"/>
  <c r="KV257" i="30"/>
  <c r="KV267" i="30"/>
  <c r="KT177" i="30"/>
  <c r="KB207" i="30"/>
  <c r="JK237" i="30"/>
  <c r="KP217" i="30"/>
  <c r="JK207" i="30"/>
  <c r="JE197" i="30"/>
  <c r="JY197" i="30"/>
  <c r="KP237" i="30"/>
  <c r="HW217" i="30"/>
  <c r="JM197" i="30"/>
  <c r="JN187" i="30"/>
  <c r="HU217" i="30"/>
  <c r="JG177" i="30"/>
  <c r="ID197" i="30"/>
  <c r="HU207" i="30"/>
  <c r="JR237" i="30"/>
  <c r="HX187" i="30"/>
  <c r="GF197" i="30"/>
  <c r="IS257" i="30"/>
  <c r="IK197" i="30"/>
  <c r="HA207" i="30"/>
  <c r="GM227" i="30"/>
  <c r="HX227" i="30"/>
  <c r="EY187" i="30"/>
  <c r="HV177" i="30"/>
  <c r="ER177" i="30"/>
  <c r="EA237" i="30"/>
  <c r="FQ237" i="30"/>
  <c r="CN227" i="30"/>
  <c r="FN207" i="30"/>
  <c r="CS227" i="30"/>
  <c r="CN197" i="30"/>
  <c r="EB187" i="30"/>
  <c r="CU197" i="30"/>
  <c r="CF217" i="30"/>
  <c r="EX237" i="30"/>
  <c r="GE177" i="30"/>
  <c r="GN187" i="30"/>
  <c r="GV267" i="30"/>
  <c r="GS257" i="30"/>
  <c r="GU187" i="30"/>
  <c r="GZ207" i="30"/>
  <c r="HG217" i="30"/>
  <c r="HP177" i="30"/>
  <c r="HW267" i="30"/>
  <c r="ID267" i="30"/>
  <c r="IJ257" i="30"/>
  <c r="IK217" i="30"/>
  <c r="II177" i="30"/>
  <c r="IP207" i="30"/>
  <c r="IS187" i="30"/>
  <c r="IY257" i="30"/>
  <c r="IW257" i="30"/>
  <c r="JR217" i="30"/>
  <c r="JZ257" i="30"/>
  <c r="KH267" i="30"/>
  <c r="KN177" i="30"/>
  <c r="KT257" i="30"/>
  <c r="HJ271" i="30"/>
  <c r="KI207" i="30"/>
  <c r="JZ207" i="30"/>
  <c r="IK227" i="30"/>
  <c r="KI177" i="30"/>
  <c r="IQ207" i="30"/>
  <c r="HC267" i="30"/>
  <c r="JZ267" i="30"/>
  <c r="KG267" i="30"/>
  <c r="IZ267" i="30"/>
  <c r="IQ197" i="30"/>
  <c r="IP197" i="30"/>
  <c r="FR197" i="30"/>
  <c r="HO267" i="30"/>
  <c r="DU197" i="30"/>
  <c r="ID237" i="30"/>
  <c r="FK237" i="30"/>
  <c r="FD177" i="30"/>
  <c r="DN207" i="30"/>
  <c r="FF227" i="30"/>
  <c r="FL237" i="30"/>
  <c r="DF207" i="30"/>
  <c r="CK207" i="30"/>
  <c r="CG217" i="30"/>
  <c r="FS197" i="30"/>
  <c r="ER207" i="30"/>
  <c r="EW187" i="30"/>
  <c r="HJ197" i="30"/>
  <c r="IB257" i="30"/>
  <c r="IQ177" i="30"/>
  <c r="JF177" i="30"/>
  <c r="KW187" i="30"/>
  <c r="JG207" i="30"/>
  <c r="KW207" i="30"/>
  <c r="HO187" i="30"/>
  <c r="HJ237" i="30"/>
  <c r="IQ187" i="30"/>
  <c r="GL237" i="30"/>
  <c r="JR187" i="30"/>
  <c r="IC267" i="30"/>
  <c r="JL227" i="30"/>
  <c r="IZ227" i="30"/>
  <c r="IS177" i="30"/>
  <c r="HH227" i="30"/>
  <c r="HW207" i="30"/>
  <c r="CU237" i="30"/>
  <c r="HX267" i="30"/>
  <c r="GZ197" i="30"/>
  <c r="FR217" i="30"/>
  <c r="GA207" i="30"/>
  <c r="DB227" i="30"/>
  <c r="HO227" i="30"/>
  <c r="GE257" i="30"/>
  <c r="GO267" i="30"/>
  <c r="GL207" i="30"/>
  <c r="GL257" i="30"/>
  <c r="GV227" i="30"/>
  <c r="HB177" i="30"/>
  <c r="HI187" i="30"/>
  <c r="HN197" i="30"/>
  <c r="HP187" i="30"/>
  <c r="IR177" i="30"/>
  <c r="IR187" i="30"/>
  <c r="JD177" i="30"/>
  <c r="JK217" i="30"/>
  <c r="JT187" i="30"/>
  <c r="KA217" i="30"/>
  <c r="JZ217" i="30"/>
  <c r="JY217" i="30"/>
  <c r="KG257" i="30"/>
  <c r="KO267" i="30"/>
  <c r="KM177" i="30"/>
  <c r="KV217" i="30"/>
  <c r="KU257" i="30"/>
  <c r="IX177" i="30"/>
  <c r="LI99" i="30"/>
  <c r="KU207" i="30"/>
  <c r="KN197" i="30"/>
  <c r="JU217" i="30"/>
  <c r="HO197" i="30"/>
  <c r="GT197" i="30"/>
  <c r="KO237" i="30"/>
  <c r="HW257" i="30"/>
  <c r="GL197" i="30"/>
  <c r="IS237" i="30"/>
  <c r="IE257" i="30"/>
  <c r="KU217" i="30"/>
  <c r="JZ237" i="30"/>
  <c r="GO257" i="30"/>
  <c r="GF227" i="30"/>
  <c r="KA197" i="30"/>
  <c r="IX217" i="30"/>
  <c r="GS237" i="30"/>
  <c r="IB267" i="30"/>
  <c r="GL267" i="30"/>
  <c r="FD237" i="30"/>
  <c r="EH197" i="30"/>
  <c r="HC177" i="30"/>
  <c r="FT217" i="30"/>
  <c r="HU237" i="30"/>
  <c r="ED207" i="30"/>
  <c r="GT267" i="30"/>
  <c r="EV237" i="30"/>
  <c r="DH177" i="30"/>
  <c r="CZ197" i="30"/>
  <c r="DW187" i="30"/>
  <c r="DI217" i="30"/>
  <c r="CM187" i="30"/>
  <c r="ED177" i="30"/>
  <c r="DM227" i="30"/>
  <c r="CE267" i="30"/>
  <c r="GN197" i="30"/>
  <c r="FF207" i="30"/>
  <c r="DF237" i="30"/>
  <c r="EB267" i="30"/>
  <c r="CG257" i="30"/>
  <c r="EP237" i="30"/>
  <c r="FZ267" i="30"/>
  <c r="GH227" i="30"/>
  <c r="GM257" i="30"/>
  <c r="GU217" i="30"/>
  <c r="GT217" i="30"/>
  <c r="GU227" i="30"/>
  <c r="HG177" i="30"/>
  <c r="HP257" i="30"/>
  <c r="HN177" i="30"/>
  <c r="IK257" i="30"/>
  <c r="IP177" i="30"/>
  <c r="IY217" i="30"/>
  <c r="IY227" i="30"/>
  <c r="JF257" i="30"/>
  <c r="JF267" i="30"/>
  <c r="JM257" i="30"/>
  <c r="JR177" i="30"/>
  <c r="JY207" i="30"/>
  <c r="KB187" i="30"/>
  <c r="KI227" i="30"/>
  <c r="KH227" i="30"/>
  <c r="KO257" i="30"/>
  <c r="KP267" i="30"/>
  <c r="KM257" i="30"/>
  <c r="KT207" i="30"/>
  <c r="KV227" i="30"/>
  <c r="KU177" i="30"/>
  <c r="JS197" i="30"/>
  <c r="IX237" i="30"/>
  <c r="II217" i="30"/>
  <c r="KB257" i="30"/>
  <c r="JL207" i="30"/>
  <c r="JG237" i="30"/>
  <c r="IJ217" i="30"/>
  <c r="GA177" i="30"/>
  <c r="HQ197" i="30"/>
  <c r="HW187" i="30"/>
  <c r="HC227" i="30"/>
  <c r="LH99" i="30"/>
  <c r="IE177" i="30"/>
  <c r="HW177" i="30"/>
  <c r="JK267" i="30"/>
  <c r="HH207" i="30"/>
  <c r="FQ197" i="30"/>
  <c r="EY267" i="30"/>
  <c r="DB237" i="30"/>
  <c r="HU197" i="30"/>
  <c r="EW177" i="30"/>
  <c r="EH237" i="30"/>
  <c r="DP177" i="30"/>
  <c r="DB217" i="30"/>
  <c r="DV237" i="30"/>
  <c r="EH227" i="30"/>
  <c r="DM267" i="30"/>
  <c r="EP197" i="30"/>
  <c r="FF187" i="30"/>
  <c r="CL237" i="30"/>
  <c r="EW227" i="30"/>
  <c r="FD207" i="30"/>
  <c r="DM197" i="30"/>
  <c r="DB187" i="30"/>
  <c r="GV187" i="30"/>
  <c r="HC187" i="30"/>
  <c r="GS217" i="30"/>
  <c r="HI257" i="30"/>
  <c r="HI267" i="30"/>
  <c r="JM187" i="30"/>
  <c r="JT267" i="30"/>
  <c r="KT237" i="30"/>
  <c r="IZ187" i="30"/>
  <c r="HV257" i="30"/>
  <c r="IB227" i="30"/>
  <c r="HV197" i="30"/>
  <c r="IP237" i="30"/>
  <c r="GN207" i="30"/>
  <c r="IP267" i="30"/>
  <c r="IE237" i="30"/>
  <c r="HW227" i="30"/>
  <c r="HI197" i="30"/>
  <c r="GL227" i="30"/>
  <c r="GH197" i="30"/>
  <c r="GZ237" i="30"/>
  <c r="CS197" i="30"/>
  <c r="EJ207" i="30"/>
  <c r="ED197" i="30"/>
  <c r="DP197" i="30"/>
  <c r="CM267" i="30"/>
  <c r="CL177" i="30"/>
  <c r="CG197" i="30"/>
  <c r="GV197" i="30"/>
  <c r="CL217" i="30"/>
  <c r="CD237" i="30"/>
  <c r="EK197" i="30"/>
  <c r="LL170" i="30"/>
  <c r="LL171" i="30" s="1"/>
  <c r="LO230" i="30"/>
  <c r="LO220" i="30"/>
  <c r="LW180" i="30"/>
  <c r="LL181" i="30"/>
  <c r="LR170" i="30"/>
  <c r="LP170" i="30"/>
  <c r="LQ169" i="30" s="1"/>
  <c r="LO170" i="30"/>
  <c r="GL271" i="30"/>
  <c r="JD271" i="30"/>
  <c r="JS271" i="30"/>
  <c r="KN271" i="30"/>
  <c r="KM271" i="30"/>
  <c r="IE271" i="30"/>
  <c r="IJ271" i="30"/>
  <c r="HC271" i="30"/>
  <c r="KT271" i="30"/>
  <c r="JR271" i="30"/>
  <c r="GF271" i="30"/>
  <c r="KG271" i="30"/>
  <c r="GT271" i="30"/>
  <c r="HG271" i="30"/>
  <c r="KF271" i="30"/>
  <c r="HA271" i="30"/>
  <c r="GS271" i="30"/>
  <c r="IB271" i="30"/>
  <c r="JK271" i="30"/>
  <c r="II271" i="30"/>
  <c r="KU271" i="30"/>
  <c r="HW271" i="30"/>
  <c r="GM271" i="30"/>
  <c r="HO271" i="30"/>
  <c r="IQ271" i="30"/>
  <c r="IX271" i="30"/>
  <c r="IW271" i="30"/>
  <c r="JY271" i="30"/>
  <c r="KV271" i="30"/>
  <c r="KO271" i="30"/>
  <c r="KH271" i="30"/>
  <c r="KA271" i="30"/>
  <c r="JT271" i="30"/>
  <c r="JF271" i="30"/>
  <c r="IY271" i="30"/>
  <c r="IR271" i="30"/>
  <c r="IK271" i="30"/>
  <c r="ID271" i="30"/>
  <c r="HU271" i="30"/>
  <c r="HP271" i="30"/>
  <c r="HI271" i="30"/>
  <c r="HB271" i="30"/>
  <c r="GZ271" i="30"/>
  <c r="GV271" i="30"/>
  <c r="GU271" i="30"/>
  <c r="GN271" i="30"/>
  <c r="GE271" i="30"/>
  <c r="GG271" i="30"/>
  <c r="CG271" i="30"/>
  <c r="LE176" i="30"/>
  <c r="LR249" i="30" l="1"/>
  <c r="LR169" i="30"/>
  <c r="LW132" i="30"/>
  <c r="MD263" i="30"/>
  <c r="MD132" i="30" s="1"/>
  <c r="MD152" i="30" s="1"/>
  <c r="LX132" i="30"/>
  <c r="ME263" i="30"/>
  <c r="ME132" i="30" s="1"/>
  <c r="LV249" i="30"/>
  <c r="MC250" i="30"/>
  <c r="LO229" i="30"/>
  <c r="LO219" i="30"/>
  <c r="LP219" i="30"/>
  <c r="LQ72" i="30"/>
  <c r="LQ98" i="30" s="1"/>
  <c r="LR199" i="30"/>
  <c r="LV199" i="30"/>
  <c r="MC200" i="30"/>
  <c r="LV189" i="30"/>
  <c r="MC190" i="30"/>
  <c r="LY179" i="30"/>
  <c r="ME180" i="30"/>
  <c r="LX179" i="30"/>
  <c r="MD180" i="30"/>
  <c r="LV179" i="30"/>
  <c r="LW179" i="30"/>
  <c r="MC180" i="30"/>
  <c r="LP169" i="30"/>
  <c r="LO169" i="30"/>
  <c r="MF70" i="30"/>
  <c r="LX200" i="30"/>
  <c r="LX72" i="30" s="1"/>
  <c r="LO105" i="30"/>
  <c r="LO303" i="30" s="1"/>
  <c r="LO312" i="30" s="1"/>
  <c r="LR85" i="30"/>
  <c r="LY250" i="30"/>
  <c r="LK101" i="30"/>
  <c r="LV71" i="30"/>
  <c r="LV97" i="30" s="1"/>
  <c r="LW70" i="30"/>
  <c r="LO97" i="30"/>
  <c r="LK95" i="30"/>
  <c r="LJ95" i="30"/>
  <c r="LX260" i="30"/>
  <c r="LQ86" i="30"/>
  <c r="LQ106" i="30" s="1"/>
  <c r="LV253" i="30"/>
  <c r="MC253" i="30" s="1"/>
  <c r="MC131" i="30" s="1"/>
  <c r="LR210" i="30"/>
  <c r="LR73" i="30" s="1"/>
  <c r="LV193" i="30"/>
  <c r="MC193" i="30" s="1"/>
  <c r="MC117" i="30" s="1"/>
  <c r="LJ143" i="30"/>
  <c r="LQ183" i="30"/>
  <c r="LQ186" i="30" s="1"/>
  <c r="LO96" i="30"/>
  <c r="LO297" i="30"/>
  <c r="LJ152" i="30"/>
  <c r="LR121" i="30"/>
  <c r="LR147" i="30" s="1"/>
  <c r="LY233" i="30"/>
  <c r="LO121" i="30"/>
  <c r="LO147" i="30" s="1"/>
  <c r="LV233" i="30"/>
  <c r="MC233" i="30" s="1"/>
  <c r="MC121" i="30" s="1"/>
  <c r="LO118" i="30"/>
  <c r="LO144" i="30" s="1"/>
  <c r="LV203" i="30"/>
  <c r="MC203" i="30" s="1"/>
  <c r="MC118" i="30" s="1"/>
  <c r="LV70" i="30"/>
  <c r="LR119" i="30"/>
  <c r="LR145" i="30" s="1"/>
  <c r="LY213" i="30"/>
  <c r="MF213" i="30" s="1"/>
  <c r="MF119" i="30" s="1"/>
  <c r="LO116" i="30"/>
  <c r="LO142" i="30" s="1"/>
  <c r="LV183" i="30"/>
  <c r="MC183" i="30" s="1"/>
  <c r="MC116" i="30" s="1"/>
  <c r="LV72" i="30"/>
  <c r="LO132" i="30"/>
  <c r="LV263" i="30"/>
  <c r="LO74" i="30"/>
  <c r="LO100" i="30" s="1"/>
  <c r="LV220" i="30"/>
  <c r="LX70" i="30"/>
  <c r="LR118" i="30"/>
  <c r="LR144" i="30" s="1"/>
  <c r="LY203" i="30"/>
  <c r="LP71" i="30"/>
  <c r="LW190" i="30"/>
  <c r="LQ121" i="30"/>
  <c r="LQ147" i="30" s="1"/>
  <c r="LX233" i="30"/>
  <c r="ME233" i="30" s="1"/>
  <c r="ME121" i="30" s="1"/>
  <c r="LR72" i="30"/>
  <c r="LR98" i="30" s="1"/>
  <c r="LY200" i="30"/>
  <c r="MF200" i="30" s="1"/>
  <c r="LR71" i="30"/>
  <c r="LY190" i="30"/>
  <c r="MF190" i="30" s="1"/>
  <c r="LY70" i="30"/>
  <c r="LZ180" i="30"/>
  <c r="LQ131" i="30"/>
  <c r="LQ151" i="30" s="1"/>
  <c r="LX253" i="30"/>
  <c r="ME253" i="30" s="1"/>
  <c r="ME131" i="30" s="1"/>
  <c r="LP131" i="30"/>
  <c r="LP151" i="30" s="1"/>
  <c r="LW253" i="30"/>
  <c r="MD253" i="30" s="1"/>
  <c r="MD131" i="30" s="1"/>
  <c r="LQ85" i="30"/>
  <c r="LQ105" i="30" s="1"/>
  <c r="LX250" i="30"/>
  <c r="LV85" i="30"/>
  <c r="LO75" i="30"/>
  <c r="LO101" i="30" s="1"/>
  <c r="LV230" i="30"/>
  <c r="LR120" i="30"/>
  <c r="LR146" i="30" s="1"/>
  <c r="LY223" i="30"/>
  <c r="MF223" i="30" s="1"/>
  <c r="MF120" i="30" s="1"/>
  <c r="LO120" i="30"/>
  <c r="LO146" i="30" s="1"/>
  <c r="LV223" i="30"/>
  <c r="MC223" i="30" s="1"/>
  <c r="MC120" i="30" s="1"/>
  <c r="LP74" i="30"/>
  <c r="LW220" i="30"/>
  <c r="LR69" i="30"/>
  <c r="LY170" i="30"/>
  <c r="LQ69" i="30"/>
  <c r="LX170" i="30"/>
  <c r="ME170" i="30" s="1"/>
  <c r="LP69" i="30"/>
  <c r="LW170" i="30"/>
  <c r="LO69" i="30"/>
  <c r="LV170" i="30"/>
  <c r="LR115" i="30"/>
  <c r="LR141" i="30" s="1"/>
  <c r="LY173" i="30"/>
  <c r="MF173" i="30" s="1"/>
  <c r="MF115" i="30" s="1"/>
  <c r="LQ115" i="30"/>
  <c r="LQ141" i="30" s="1"/>
  <c r="LX173" i="30"/>
  <c r="ME173" i="30" s="1"/>
  <c r="ME115" i="30" s="1"/>
  <c r="LP115" i="30"/>
  <c r="LP141" i="30" s="1"/>
  <c r="LW173" i="30"/>
  <c r="MD173" i="30" s="1"/>
  <c r="MD115" i="30" s="1"/>
  <c r="LO115" i="30"/>
  <c r="LO141" i="30" s="1"/>
  <c r="LV173" i="30"/>
  <c r="MC173" i="30" s="1"/>
  <c r="MC115" i="30" s="1"/>
  <c r="LO119" i="30"/>
  <c r="LO145" i="30" s="1"/>
  <c r="LV213" i="30"/>
  <c r="MC213" i="30" s="1"/>
  <c r="MC119" i="30" s="1"/>
  <c r="LQ96" i="30"/>
  <c r="LH151" i="30"/>
  <c r="LC323" i="30"/>
  <c r="LH312" i="30"/>
  <c r="LH323" i="30" s="1"/>
  <c r="LD312" i="30"/>
  <c r="LD323" i="30" s="1"/>
  <c r="LE303" i="30"/>
  <c r="LE312" i="30" s="1"/>
  <c r="LI152" i="30"/>
  <c r="LH152" i="30"/>
  <c r="LC311" i="30"/>
  <c r="LC322" i="30" s="1"/>
  <c r="LI100" i="30"/>
  <c r="LD106" i="30"/>
  <c r="LC97" i="30"/>
  <c r="LJ105" i="30"/>
  <c r="LK98" i="30"/>
  <c r="LJ96" i="30"/>
  <c r="LH106" i="30"/>
  <c r="LK97" i="30"/>
  <c r="LI105" i="30"/>
  <c r="LK96" i="30"/>
  <c r="LK99" i="30"/>
  <c r="LP200" i="30"/>
  <c r="LE240" i="30"/>
  <c r="LE270" i="30" s="1"/>
  <c r="LI98" i="30"/>
  <c r="LO186" i="30"/>
  <c r="LO187" i="30" s="1"/>
  <c r="LJ151" i="30"/>
  <c r="LQ176" i="30"/>
  <c r="LQ177" i="30" s="1"/>
  <c r="LL230" i="30"/>
  <c r="LL231" i="30" s="1"/>
  <c r="LO206" i="30"/>
  <c r="LO207" i="30" s="1"/>
  <c r="LE266" i="30"/>
  <c r="LE263" i="30" s="1"/>
  <c r="LL200" i="30"/>
  <c r="LL201" i="30" s="1"/>
  <c r="LR183" i="30"/>
  <c r="LK142" i="30"/>
  <c r="LR70" i="30"/>
  <c r="LQ230" i="30"/>
  <c r="LJ101" i="30"/>
  <c r="LQ210" i="30"/>
  <c r="LJ99" i="30"/>
  <c r="LP230" i="30"/>
  <c r="LI101" i="30"/>
  <c r="LL220" i="30"/>
  <c r="LL221" i="30" s="1"/>
  <c r="LJ100" i="30"/>
  <c r="LI147" i="30"/>
  <c r="LR220" i="30"/>
  <c r="LK100" i="30"/>
  <c r="LI145" i="30"/>
  <c r="LP213" i="30"/>
  <c r="LJ142" i="30"/>
  <c r="LP260" i="30"/>
  <c r="LQ259" i="30" s="1"/>
  <c r="LX190" i="30"/>
  <c r="LP183" i="30"/>
  <c r="LI142" i="30"/>
  <c r="LP70" i="30"/>
  <c r="LP96" i="30" s="1"/>
  <c r="LL250" i="30"/>
  <c r="LL251" i="30" s="1"/>
  <c r="LR260" i="30"/>
  <c r="LR259" i="30" s="1"/>
  <c r="LQ132" i="30"/>
  <c r="LQ266" i="30"/>
  <c r="LQ267" i="30" s="1"/>
  <c r="LR263" i="30"/>
  <c r="LY263" i="30" s="1"/>
  <c r="LP132" i="30"/>
  <c r="LO256" i="30"/>
  <c r="LO257" i="30" s="1"/>
  <c r="LO131" i="30"/>
  <c r="LK151" i="30"/>
  <c r="LK256" i="30"/>
  <c r="LK257" i="30" s="1"/>
  <c r="LR253" i="30"/>
  <c r="LQ256" i="30"/>
  <c r="LQ257" i="30" s="1"/>
  <c r="LP233" i="30"/>
  <c r="LJ146" i="30"/>
  <c r="LQ223" i="30"/>
  <c r="LP223" i="30"/>
  <c r="LI146" i="30"/>
  <c r="LQ213" i="30"/>
  <c r="LJ145" i="30"/>
  <c r="LR206" i="30"/>
  <c r="LR207" i="30" s="1"/>
  <c r="LQ203" i="30"/>
  <c r="LJ144" i="30"/>
  <c r="LP203" i="30"/>
  <c r="LI144" i="30"/>
  <c r="LE196" i="30"/>
  <c r="LE193" i="30" s="1"/>
  <c r="LP193" i="30"/>
  <c r="LI143" i="30"/>
  <c r="LO117" i="30"/>
  <c r="LO143" i="30" s="1"/>
  <c r="LO196" i="30"/>
  <c r="LO197" i="30" s="1"/>
  <c r="LE186" i="30"/>
  <c r="LE183" i="30" s="1"/>
  <c r="LE256" i="30"/>
  <c r="LE226" i="30"/>
  <c r="LE216" i="30"/>
  <c r="LR193" i="30"/>
  <c r="LY193" i="30" s="1"/>
  <c r="MF193" i="30" s="1"/>
  <c r="MF117" i="30" s="1"/>
  <c r="LE206" i="30"/>
  <c r="LO210" i="30"/>
  <c r="LL210" i="30"/>
  <c r="LL211" i="30" s="1"/>
  <c r="LQ220" i="30"/>
  <c r="LE236" i="30"/>
  <c r="LP210" i="30"/>
  <c r="LR230" i="30"/>
  <c r="LO260" i="30"/>
  <c r="LL260" i="30"/>
  <c r="LL261" i="30" s="1"/>
  <c r="LP250" i="30"/>
  <c r="LQ193" i="30"/>
  <c r="LO236" i="30"/>
  <c r="LO226" i="30"/>
  <c r="LS180" i="30"/>
  <c r="LS181" i="30" s="1"/>
  <c r="LR176" i="30"/>
  <c r="LR177" i="30" s="1"/>
  <c r="LP176" i="30"/>
  <c r="LP177" i="30" s="1"/>
  <c r="LL176" i="30"/>
  <c r="LO176" i="30"/>
  <c r="LS170" i="30"/>
  <c r="LS171" i="30" s="1"/>
  <c r="LE173" i="30"/>
  <c r="ME152" i="30" l="1"/>
  <c r="LR105" i="30"/>
  <c r="LR96" i="30"/>
  <c r="LV132" i="30"/>
  <c r="MC263" i="30"/>
  <c r="MC132" i="30" s="1"/>
  <c r="MC152" i="30" s="1"/>
  <c r="LY132" i="30"/>
  <c r="MF263" i="30"/>
  <c r="MF132" i="30" s="1"/>
  <c r="MF152" i="30" s="1"/>
  <c r="LY121" i="30"/>
  <c r="MF233" i="30"/>
  <c r="MF121" i="30" s="1"/>
  <c r="LY118" i="30"/>
  <c r="LY144" i="30" s="1"/>
  <c r="MF203" i="30"/>
  <c r="MF118" i="30" s="1"/>
  <c r="MG180" i="30"/>
  <c r="MG181" i="30" s="1"/>
  <c r="LX266" i="30"/>
  <c r="LX267" i="30" s="1"/>
  <c r="ME260" i="30"/>
  <c r="LP259" i="30"/>
  <c r="LO259" i="30"/>
  <c r="LY249" i="30"/>
  <c r="ME250" i="30"/>
  <c r="LQ249" i="30"/>
  <c r="LP249" i="30"/>
  <c r="MC256" i="30"/>
  <c r="MC249" i="30"/>
  <c r="MC85" i="30"/>
  <c r="LR229" i="30"/>
  <c r="LQ229" i="30"/>
  <c r="LP229" i="30"/>
  <c r="LV229" i="30"/>
  <c r="MC230" i="30"/>
  <c r="LR219" i="30"/>
  <c r="LQ219" i="30"/>
  <c r="MD220" i="30"/>
  <c r="LW219" i="30"/>
  <c r="LV219" i="30"/>
  <c r="MC220" i="30"/>
  <c r="LR209" i="30"/>
  <c r="LW210" i="30"/>
  <c r="LQ209" i="30"/>
  <c r="LP209" i="30"/>
  <c r="LO209" i="30"/>
  <c r="LY199" i="30"/>
  <c r="ME200" i="30"/>
  <c r="LQ199" i="30"/>
  <c r="LP199" i="30"/>
  <c r="MC206" i="30"/>
  <c r="MC199" i="30"/>
  <c r="MC72" i="30"/>
  <c r="LY189" i="30"/>
  <c r="ME190" i="30"/>
  <c r="LX189" i="30"/>
  <c r="MD190" i="30"/>
  <c r="LW189" i="30"/>
  <c r="MC189" i="30"/>
  <c r="MC196" i="30"/>
  <c r="MC71" i="30"/>
  <c r="MF179" i="30"/>
  <c r="ME70" i="30"/>
  <c r="ME179" i="30"/>
  <c r="MD70" i="30"/>
  <c r="MC186" i="30"/>
  <c r="MD179" i="30"/>
  <c r="MC179" i="30"/>
  <c r="MC70" i="30"/>
  <c r="MF170" i="30"/>
  <c r="MF169" i="30" s="1"/>
  <c r="LY169" i="30"/>
  <c r="MC170" i="30"/>
  <c r="MC169" i="30" s="1"/>
  <c r="LV169" i="30"/>
  <c r="MD170" i="30"/>
  <c r="MD176" i="30" s="1"/>
  <c r="LX169" i="30"/>
  <c r="LW169" i="30"/>
  <c r="ME69" i="30"/>
  <c r="ME176" i="30"/>
  <c r="LY85" i="30"/>
  <c r="LY105" i="30" s="1"/>
  <c r="MF250" i="30"/>
  <c r="MF72" i="30"/>
  <c r="MF196" i="30"/>
  <c r="MF71" i="30"/>
  <c r="MF96" i="30"/>
  <c r="LV131" i="30"/>
  <c r="LV151" i="30" s="1"/>
  <c r="LV121" i="30"/>
  <c r="MC147" i="30" s="1"/>
  <c r="LX121" i="30"/>
  <c r="ME147" i="30" s="1"/>
  <c r="LY119" i="30"/>
  <c r="LY145" i="30" s="1"/>
  <c r="LV118" i="30"/>
  <c r="LV12" i="30" s="1"/>
  <c r="LV117" i="30"/>
  <c r="LV143" i="30" s="1"/>
  <c r="LV116" i="30"/>
  <c r="LV142" i="30" s="1"/>
  <c r="LQ116" i="30"/>
  <c r="LQ142" i="30" s="1"/>
  <c r="LX131" i="30"/>
  <c r="LX151" i="30" s="1"/>
  <c r="LW131" i="30"/>
  <c r="LW151" i="30" s="1"/>
  <c r="LR216" i="30"/>
  <c r="LR217" i="30" s="1"/>
  <c r="LV256" i="30"/>
  <c r="LV257" i="30" s="1"/>
  <c r="LX86" i="30"/>
  <c r="LX27" i="30" s="1"/>
  <c r="LY230" i="30"/>
  <c r="LV74" i="30"/>
  <c r="LV100" i="30" s="1"/>
  <c r="LY220" i="30"/>
  <c r="MF220" i="30" s="1"/>
  <c r="LY210" i="30"/>
  <c r="LW71" i="30"/>
  <c r="LW97" i="30" s="1"/>
  <c r="LY71" i="30"/>
  <c r="LY97" i="30" s="1"/>
  <c r="LP97" i="30"/>
  <c r="LP95" i="30"/>
  <c r="LR97" i="30"/>
  <c r="LR95" i="30"/>
  <c r="LQ95" i="30"/>
  <c r="LV196" i="30"/>
  <c r="LV197" i="30" s="1"/>
  <c r="LY253" i="30"/>
  <c r="LW223" i="30"/>
  <c r="LX220" i="30"/>
  <c r="LX213" i="30"/>
  <c r="ME213" i="30" s="1"/>
  <c r="ME119" i="30" s="1"/>
  <c r="LV210" i="30"/>
  <c r="LX203" i="30"/>
  <c r="ME203" i="30" s="1"/>
  <c r="ME118" i="30" s="1"/>
  <c r="LX193" i="30"/>
  <c r="ME193" i="30" s="1"/>
  <c r="ME117" i="30" s="1"/>
  <c r="LW193" i="30"/>
  <c r="MD193" i="30" s="1"/>
  <c r="MD117" i="30" s="1"/>
  <c r="LX183" i="30"/>
  <c r="ME183" i="30" s="1"/>
  <c r="ME116" i="30" s="1"/>
  <c r="LX147" i="30"/>
  <c r="LO95" i="30"/>
  <c r="LP100" i="30"/>
  <c r="LH294" i="30"/>
  <c r="LH295" i="30"/>
  <c r="LV297" i="30"/>
  <c r="MC297" i="30" s="1"/>
  <c r="LW152" i="30"/>
  <c r="LQ152" i="30"/>
  <c r="LO152" i="30"/>
  <c r="LV206" i="30"/>
  <c r="LV207" i="30" s="1"/>
  <c r="LV186" i="30"/>
  <c r="LV187" i="30" s="1"/>
  <c r="LY147" i="30"/>
  <c r="LP121" i="30"/>
  <c r="LP147" i="30" s="1"/>
  <c r="LW233" i="30"/>
  <c r="LP86" i="30"/>
  <c r="LW260" i="30"/>
  <c r="LP72" i="30"/>
  <c r="LW200" i="30"/>
  <c r="LV152" i="30"/>
  <c r="LX152" i="30"/>
  <c r="LR86" i="30"/>
  <c r="LY260" i="30"/>
  <c r="MF260" i="30" s="1"/>
  <c r="LW96" i="30"/>
  <c r="LR116" i="30"/>
  <c r="LR142" i="30" s="1"/>
  <c r="LY183" i="30"/>
  <c r="MF183" i="30" s="1"/>
  <c r="LV98" i="30"/>
  <c r="LP118" i="30"/>
  <c r="LP144" i="30" s="1"/>
  <c r="LW203" i="30"/>
  <c r="LQ73" i="30"/>
  <c r="LQ99" i="30" s="1"/>
  <c r="LX210" i="30"/>
  <c r="LO86" i="30"/>
  <c r="LO289" i="30" s="1"/>
  <c r="LV260" i="30"/>
  <c r="LX96" i="30"/>
  <c r="LX98" i="30"/>
  <c r="LV96" i="30"/>
  <c r="LY72" i="30"/>
  <c r="LY206" i="30"/>
  <c r="LZ181" i="30"/>
  <c r="LY96" i="30"/>
  <c r="LZ70" i="30"/>
  <c r="LZ190" i="30"/>
  <c r="LX71" i="30"/>
  <c r="LX85" i="30"/>
  <c r="LX256" i="30"/>
  <c r="LX257" i="30" s="1"/>
  <c r="LP85" i="30"/>
  <c r="LP105" i="30" s="1"/>
  <c r="LP303" i="30" s="1"/>
  <c r="LW250" i="30"/>
  <c r="LV105" i="30"/>
  <c r="LV303" i="30" s="1"/>
  <c r="LQ75" i="30"/>
  <c r="LQ101" i="30" s="1"/>
  <c r="LX230" i="30"/>
  <c r="LV236" i="30"/>
  <c r="LV237" i="30" s="1"/>
  <c r="LV75" i="30"/>
  <c r="LP75" i="30"/>
  <c r="LP101" i="30" s="1"/>
  <c r="LW230" i="30"/>
  <c r="LY120" i="30"/>
  <c r="MF146" i="30" s="1"/>
  <c r="LQ120" i="30"/>
  <c r="LQ146" i="30" s="1"/>
  <c r="LX223" i="30"/>
  <c r="ME223" i="30" s="1"/>
  <c r="ME120" i="30" s="1"/>
  <c r="LV120" i="30"/>
  <c r="MC146" i="30" s="1"/>
  <c r="LV226" i="30"/>
  <c r="LV227" i="30" s="1"/>
  <c r="LW74" i="30"/>
  <c r="LY69" i="30"/>
  <c r="LX69" i="30"/>
  <c r="LW69" i="30"/>
  <c r="LV69" i="30"/>
  <c r="LZ170" i="30"/>
  <c r="LZ171" i="30" s="1"/>
  <c r="LY115" i="30"/>
  <c r="MF141" i="30" s="1"/>
  <c r="LY176" i="30"/>
  <c r="LY177" i="30" s="1"/>
  <c r="LX115" i="30"/>
  <c r="ME141" i="30" s="1"/>
  <c r="LX176" i="30"/>
  <c r="LX177" i="30" s="1"/>
  <c r="LW115" i="30"/>
  <c r="MD141" i="30" s="1"/>
  <c r="LW176" i="30"/>
  <c r="LW177" i="30" s="1"/>
  <c r="LV115" i="30"/>
  <c r="MC141" i="30" s="1"/>
  <c r="LV176" i="30"/>
  <c r="LP119" i="30"/>
  <c r="LP145" i="30" s="1"/>
  <c r="LW213" i="30"/>
  <c r="MD213" i="30" s="1"/>
  <c r="MD119" i="30" s="1"/>
  <c r="LV119" i="30"/>
  <c r="MC145" i="30" s="1"/>
  <c r="LY117" i="30"/>
  <c r="MF143" i="30" s="1"/>
  <c r="LY196" i="30"/>
  <c r="LP116" i="30"/>
  <c r="LP142" i="30" s="1"/>
  <c r="LW183" i="30"/>
  <c r="MD183" i="30" s="1"/>
  <c r="MD116" i="30" s="1"/>
  <c r="LO151" i="30"/>
  <c r="LO323" i="30"/>
  <c r="LR99" i="30"/>
  <c r="LH311" i="30"/>
  <c r="LH322" i="30" s="1"/>
  <c r="LD311" i="30"/>
  <c r="LD322" i="30" s="1"/>
  <c r="LE302" i="30"/>
  <c r="LE311" i="30" s="1"/>
  <c r="LI312" i="30"/>
  <c r="LI323" i="30" s="1"/>
  <c r="LK312" i="30"/>
  <c r="LK323" i="30" s="1"/>
  <c r="LR303" i="30"/>
  <c r="LP152" i="30"/>
  <c r="LK152" i="30"/>
  <c r="LJ311" i="30"/>
  <c r="LJ322" i="30" s="1"/>
  <c r="LQ302" i="30"/>
  <c r="LQ303" i="30"/>
  <c r="LJ312" i="30"/>
  <c r="LJ323" i="30" s="1"/>
  <c r="LS200" i="30"/>
  <c r="LS201" i="30" s="1"/>
  <c r="LG81" i="1"/>
  <c r="LI106" i="30"/>
  <c r="LK106" i="30"/>
  <c r="LJ97" i="30"/>
  <c r="LP186" i="30"/>
  <c r="LP187" i="30" s="1"/>
  <c r="LL186" i="30"/>
  <c r="LL187" i="30" s="1"/>
  <c r="LP206" i="30"/>
  <c r="LP207" i="30" s="1"/>
  <c r="LR186" i="30"/>
  <c r="LL206" i="30"/>
  <c r="LL203" i="30" s="1"/>
  <c r="LQ236" i="30"/>
  <c r="LQ237" i="30" s="1"/>
  <c r="LQ71" i="30"/>
  <c r="LS190" i="30"/>
  <c r="LS191" i="30" s="1"/>
  <c r="LP216" i="30"/>
  <c r="LP217" i="30" s="1"/>
  <c r="LP73" i="30"/>
  <c r="LP99" i="30" s="1"/>
  <c r="LP240" i="30"/>
  <c r="LP241" i="30" s="1"/>
  <c r="LO240" i="30"/>
  <c r="LO270" i="30" s="1"/>
  <c r="LO73" i="30"/>
  <c r="LO99" i="30" s="1"/>
  <c r="LP266" i="30"/>
  <c r="LP267" i="30" s="1"/>
  <c r="LS220" i="30"/>
  <c r="LS221" i="30" s="1"/>
  <c r="LQ74" i="30"/>
  <c r="LQ100" i="30" s="1"/>
  <c r="LQ187" i="30"/>
  <c r="LR74" i="30"/>
  <c r="LR100" i="30" s="1"/>
  <c r="LR226" i="30"/>
  <c r="LR227" i="30" s="1"/>
  <c r="LR236" i="30"/>
  <c r="LR237" i="30" s="1"/>
  <c r="LR75" i="30"/>
  <c r="LR101" i="30" s="1"/>
  <c r="LL236" i="30"/>
  <c r="LL233" i="30" s="1"/>
  <c r="LR132" i="30"/>
  <c r="LR266" i="30"/>
  <c r="LR267" i="30" s="1"/>
  <c r="LR256" i="30"/>
  <c r="LR257" i="30" s="1"/>
  <c r="LR131" i="30"/>
  <c r="LR151" i="30" s="1"/>
  <c r="LP236" i="30"/>
  <c r="LP237" i="30" s="1"/>
  <c r="LL226" i="30"/>
  <c r="LL227" i="30" s="1"/>
  <c r="LP120" i="30"/>
  <c r="LP146" i="30" s="1"/>
  <c r="LP226" i="30"/>
  <c r="LP227" i="30" s="1"/>
  <c r="LQ119" i="30"/>
  <c r="LQ145" i="30" s="1"/>
  <c r="LQ216" i="30"/>
  <c r="LQ217" i="30" s="1"/>
  <c r="LQ118" i="30"/>
  <c r="LQ144" i="30" s="1"/>
  <c r="LQ206" i="30"/>
  <c r="LQ207" i="30" s="1"/>
  <c r="LP117" i="30"/>
  <c r="LP143" i="30" s="1"/>
  <c r="LP196" i="30"/>
  <c r="LP197" i="30" s="1"/>
  <c r="LR196" i="30"/>
  <c r="LR197" i="30" s="1"/>
  <c r="LR117" i="30"/>
  <c r="LR143" i="30" s="1"/>
  <c r="LQ196" i="30"/>
  <c r="LQ197" i="30" s="1"/>
  <c r="LQ117" i="30"/>
  <c r="LQ143" i="30" s="1"/>
  <c r="LL240" i="30"/>
  <c r="LL241" i="30" s="1"/>
  <c r="LO266" i="30"/>
  <c r="LS260" i="30"/>
  <c r="LS261" i="30" s="1"/>
  <c r="LE213" i="30"/>
  <c r="LL216" i="30"/>
  <c r="LL217" i="30" s="1"/>
  <c r="LS230" i="30"/>
  <c r="LS231" i="30" s="1"/>
  <c r="LL196" i="30"/>
  <c r="LE233" i="30"/>
  <c r="LO216" i="30"/>
  <c r="LS210" i="30"/>
  <c r="LS211" i="30" s="1"/>
  <c r="LR240" i="30"/>
  <c r="LR241" i="30" s="1"/>
  <c r="LL256" i="30"/>
  <c r="LE223" i="30"/>
  <c r="LP256" i="30"/>
  <c r="LS250" i="30"/>
  <c r="LS251" i="30" s="1"/>
  <c r="LE203" i="30"/>
  <c r="LE253" i="30"/>
  <c r="LL266" i="30"/>
  <c r="LQ240" i="30"/>
  <c r="LQ226" i="30"/>
  <c r="LQ227" i="30" s="1"/>
  <c r="LO237" i="30"/>
  <c r="LO227" i="30"/>
  <c r="LO177" i="30"/>
  <c r="LS176" i="30"/>
  <c r="LL173" i="30"/>
  <c r="LL174" i="30" s="1"/>
  <c r="LL177" i="30"/>
  <c r="LP98" i="30" l="1"/>
  <c r="LW196" i="30"/>
  <c r="LW117" i="30"/>
  <c r="MG190" i="30"/>
  <c r="MG191" i="30" s="1"/>
  <c r="MF147" i="30"/>
  <c r="MF144" i="30"/>
  <c r="MF206" i="30"/>
  <c r="MF207" i="30" s="1"/>
  <c r="LV147" i="30"/>
  <c r="ME186" i="30"/>
  <c r="LY131" i="30"/>
  <c r="LY26" i="30" s="1"/>
  <c r="MF253" i="30"/>
  <c r="MF131" i="30" s="1"/>
  <c r="ME151" i="30"/>
  <c r="MD151" i="30"/>
  <c r="MC151" i="30"/>
  <c r="LW121" i="30"/>
  <c r="MD233" i="30"/>
  <c r="MD121" i="30" s="1"/>
  <c r="MD147" i="30" s="1"/>
  <c r="LW120" i="30"/>
  <c r="MD223" i="30"/>
  <c r="MD120" i="30" s="1"/>
  <c r="MD146" i="30" s="1"/>
  <c r="MF145" i="30"/>
  <c r="LW118" i="30"/>
  <c r="LW144" i="30" s="1"/>
  <c r="MD203" i="30"/>
  <c r="MD118" i="30" s="1"/>
  <c r="MC144" i="30"/>
  <c r="MD143" i="30"/>
  <c r="MC143" i="30"/>
  <c r="MF116" i="30"/>
  <c r="MF186" i="30"/>
  <c r="MD186" i="30"/>
  <c r="MC142" i="30"/>
  <c r="MC69" i="30"/>
  <c r="MC95" i="30" s="1"/>
  <c r="LY259" i="30"/>
  <c r="MF259" i="30"/>
  <c r="ME266" i="30"/>
  <c r="ME267" i="30" s="1"/>
  <c r="ME86" i="30"/>
  <c r="LX259" i="30"/>
  <c r="MD260" i="30"/>
  <c r="LW259" i="30"/>
  <c r="LV259" i="30"/>
  <c r="MC260" i="30"/>
  <c r="ME85" i="30"/>
  <c r="MF249" i="30"/>
  <c r="ME256" i="30"/>
  <c r="ME257" i="30" s="1"/>
  <c r="LX249" i="30"/>
  <c r="MD250" i="30"/>
  <c r="MG250" i="30" s="1"/>
  <c r="LW249" i="30"/>
  <c r="MC26" i="30"/>
  <c r="MC105" i="30"/>
  <c r="MC303" i="30" s="1"/>
  <c r="MC312" i="30" s="1"/>
  <c r="MC257" i="30"/>
  <c r="LY229" i="30"/>
  <c r="ME230" i="30"/>
  <c r="LX229" i="30"/>
  <c r="MD230" i="30"/>
  <c r="MD229" i="30" s="1"/>
  <c r="LW229" i="30"/>
  <c r="MC229" i="30"/>
  <c r="MC75" i="30"/>
  <c r="MC236" i="30"/>
  <c r="MC237" i="30" s="1"/>
  <c r="LY226" i="30"/>
  <c r="LX74" i="30"/>
  <c r="LX100" i="30" s="1"/>
  <c r="LY219" i="30"/>
  <c r="ME220" i="30"/>
  <c r="ME219" i="30" s="1"/>
  <c r="LX219" i="30"/>
  <c r="MD74" i="30"/>
  <c r="MC226" i="30"/>
  <c r="MC227" i="30" s="1"/>
  <c r="MD219" i="30"/>
  <c r="MC219" i="30"/>
  <c r="MC74" i="30"/>
  <c r="LY209" i="30"/>
  <c r="ME210" i="30"/>
  <c r="LW73" i="30"/>
  <c r="LX209" i="30"/>
  <c r="MD210" i="30"/>
  <c r="LV240" i="30"/>
  <c r="LV241" i="30" s="1"/>
  <c r="LV209" i="30"/>
  <c r="LW209" i="30"/>
  <c r="MC210" i="30"/>
  <c r="MG70" i="30"/>
  <c r="BA70" i="30" s="1"/>
  <c r="BA180" i="30" s="1"/>
  <c r="ME206" i="30"/>
  <c r="MF199" i="30"/>
  <c r="ME72" i="30"/>
  <c r="LX199" i="30"/>
  <c r="MD200" i="30"/>
  <c r="LW199" i="30"/>
  <c r="MC98" i="30"/>
  <c r="MC12" i="30"/>
  <c r="MC45" i="30" s="1"/>
  <c r="MC207" i="30"/>
  <c r="ME196" i="30"/>
  <c r="MF189" i="30"/>
  <c r="ME71" i="30"/>
  <c r="MD189" i="30"/>
  <c r="MD196" i="30"/>
  <c r="MD197" i="30" s="1"/>
  <c r="ME189" i="30"/>
  <c r="MD71" i="30"/>
  <c r="MC97" i="30"/>
  <c r="MC11" i="30"/>
  <c r="MC197" i="30"/>
  <c r="ME96" i="30"/>
  <c r="ME10" i="30"/>
  <c r="MD96" i="30"/>
  <c r="MD10" i="30"/>
  <c r="MC96" i="30"/>
  <c r="MC10" i="30"/>
  <c r="MC187" i="30"/>
  <c r="MF69" i="30"/>
  <c r="MF9" i="30" s="1"/>
  <c r="MF176" i="30"/>
  <c r="MD69" i="30"/>
  <c r="MD9" i="30" s="1"/>
  <c r="MG170" i="30"/>
  <c r="MG171" i="30" s="1"/>
  <c r="MC176" i="30"/>
  <c r="MC177" i="30" s="1"/>
  <c r="ME169" i="30"/>
  <c r="MD169" i="30"/>
  <c r="ME177" i="30"/>
  <c r="ME9" i="30"/>
  <c r="ME95" i="30"/>
  <c r="MD177" i="30"/>
  <c r="MF266" i="30"/>
  <c r="MF86" i="30"/>
  <c r="MF85" i="30"/>
  <c r="LY236" i="30"/>
  <c r="LY237" i="30" s="1"/>
  <c r="MF230" i="30"/>
  <c r="MF226" i="30"/>
  <c r="MF74" i="30"/>
  <c r="LY216" i="30"/>
  <c r="LY217" i="30" s="1"/>
  <c r="MF210" i="30"/>
  <c r="MF98" i="30"/>
  <c r="MF12" i="30"/>
  <c r="MF97" i="30"/>
  <c r="MF11" i="30"/>
  <c r="MF197" i="30"/>
  <c r="MF177" i="30"/>
  <c r="LV144" i="30"/>
  <c r="LX106" i="30"/>
  <c r="LX302" i="30" s="1"/>
  <c r="LY73" i="30"/>
  <c r="LY99" i="30" s="1"/>
  <c r="LY240" i="30"/>
  <c r="LY241" i="30" s="1"/>
  <c r="LV26" i="30"/>
  <c r="LV10" i="30"/>
  <c r="LV11" i="30"/>
  <c r="LX119" i="30"/>
  <c r="ME145" i="30" s="1"/>
  <c r="LX118" i="30"/>
  <c r="LX12" i="30" s="1"/>
  <c r="LX117" i="30"/>
  <c r="LX143" i="30" s="1"/>
  <c r="LY256" i="30"/>
  <c r="LY257" i="30" s="1"/>
  <c r="LY75" i="30"/>
  <c r="LY101" i="30" s="1"/>
  <c r="LZ220" i="30"/>
  <c r="LZ221" i="30" s="1"/>
  <c r="LY74" i="30"/>
  <c r="LY100" i="30" s="1"/>
  <c r="LV73" i="30"/>
  <c r="LV13" i="30" s="1"/>
  <c r="LQ97" i="30"/>
  <c r="LV216" i="30"/>
  <c r="LV217" i="30" s="1"/>
  <c r="LZ210" i="30"/>
  <c r="LZ211" i="30" s="1"/>
  <c r="LX196" i="30"/>
  <c r="LX197" i="30" s="1"/>
  <c r="LX206" i="30"/>
  <c r="LX207" i="30" s="1"/>
  <c r="LW226" i="30"/>
  <c r="LW227" i="30" s="1"/>
  <c r="LX116" i="30"/>
  <c r="ME142" i="30" s="1"/>
  <c r="LX186" i="30"/>
  <c r="LX187" i="30" s="1"/>
  <c r="LN82" i="1"/>
  <c r="LW240" i="30"/>
  <c r="LW241" i="30" s="1"/>
  <c r="LX240" i="30"/>
  <c r="LX270" i="30" s="1"/>
  <c r="LH293" i="30"/>
  <c r="LO106" i="30"/>
  <c r="LO302" i="30" s="1"/>
  <c r="LO311" i="30" s="1"/>
  <c r="LO322" i="30" s="1"/>
  <c r="LP289" i="30"/>
  <c r="LP295" i="30" s="1"/>
  <c r="LY152" i="30"/>
  <c r="LR106" i="30"/>
  <c r="LR302" i="30" s="1"/>
  <c r="LR311" i="30" s="1"/>
  <c r="LR322" i="30" s="1"/>
  <c r="LW147" i="30"/>
  <c r="LP106" i="30"/>
  <c r="LP302" i="30" s="1"/>
  <c r="LP311" i="30" s="1"/>
  <c r="LP322" i="30" s="1"/>
  <c r="LY116" i="30"/>
  <c r="LY186" i="30"/>
  <c r="LY86" i="30"/>
  <c r="LY266" i="30"/>
  <c r="LY267" i="30" s="1"/>
  <c r="LW72" i="30"/>
  <c r="LW206" i="30"/>
  <c r="LW207" i="30" s="1"/>
  <c r="LZ260" i="30"/>
  <c r="LZ261" i="30" s="1"/>
  <c r="LV266" i="30"/>
  <c r="LV86" i="30"/>
  <c r="LW86" i="30"/>
  <c r="LW266" i="30"/>
  <c r="LW267" i="30" s="1"/>
  <c r="LX73" i="30"/>
  <c r="LX216" i="30"/>
  <c r="LX217" i="30" s="1"/>
  <c r="LI295" i="30"/>
  <c r="LZ200" i="30"/>
  <c r="LZ201" i="30" s="1"/>
  <c r="LW99" i="30"/>
  <c r="LY207" i="30"/>
  <c r="LY98" i="30"/>
  <c r="LY12" i="30"/>
  <c r="AZ70" i="30"/>
  <c r="AZ180" i="30" s="1"/>
  <c r="LZ71" i="30"/>
  <c r="LX97" i="30"/>
  <c r="LZ191" i="30"/>
  <c r="LY151" i="30"/>
  <c r="LY303" i="30"/>
  <c r="LX105" i="30"/>
  <c r="LX303" i="30" s="1"/>
  <c r="LX26" i="30"/>
  <c r="LW256" i="30"/>
  <c r="LW85" i="30"/>
  <c r="LZ250" i="30"/>
  <c r="LZ251" i="30" s="1"/>
  <c r="LV312" i="30"/>
  <c r="LX236" i="30"/>
  <c r="LX237" i="30" s="1"/>
  <c r="LX75" i="30"/>
  <c r="LV15" i="30"/>
  <c r="LV101" i="30"/>
  <c r="LW236" i="30"/>
  <c r="LW75" i="30"/>
  <c r="LZ230" i="30"/>
  <c r="LZ231" i="30" s="1"/>
  <c r="LY227" i="30"/>
  <c r="LY146" i="30"/>
  <c r="LX120" i="30"/>
  <c r="ME146" i="30" s="1"/>
  <c r="LX226" i="30"/>
  <c r="LX227" i="30" s="1"/>
  <c r="LW146" i="30"/>
  <c r="LV146" i="30"/>
  <c r="LV14" i="30"/>
  <c r="LW100" i="30"/>
  <c r="LW14" i="30"/>
  <c r="LY95" i="30"/>
  <c r="LX95" i="30"/>
  <c r="LW95" i="30"/>
  <c r="LV95" i="30"/>
  <c r="LZ69" i="30"/>
  <c r="LY141" i="30"/>
  <c r="LY9" i="30"/>
  <c r="LX141" i="30"/>
  <c r="LX9" i="30"/>
  <c r="LW141" i="30"/>
  <c r="LW9" i="30"/>
  <c r="LZ176" i="30"/>
  <c r="LV177" i="30"/>
  <c r="LV9" i="30"/>
  <c r="LV141" i="30"/>
  <c r="LW119" i="30"/>
  <c r="MD145" i="30" s="1"/>
  <c r="LW216" i="30"/>
  <c r="LW217" i="30" s="1"/>
  <c r="LV145" i="30"/>
  <c r="LY197" i="30"/>
  <c r="LY143" i="30"/>
  <c r="LY11" i="30"/>
  <c r="LW197" i="30"/>
  <c r="LW143" i="30"/>
  <c r="LW11" i="30"/>
  <c r="LW116" i="30"/>
  <c r="MD142" i="30" s="1"/>
  <c r="LW186" i="30"/>
  <c r="MD187" i="30" s="1"/>
  <c r="LI311" i="30"/>
  <c r="LI322" i="30" s="1"/>
  <c r="LO295" i="30"/>
  <c r="LO288" i="30"/>
  <c r="LK311" i="30"/>
  <c r="LK322" i="30" s="1"/>
  <c r="LL302" i="30"/>
  <c r="LP312" i="30"/>
  <c r="LP323" i="30" s="1"/>
  <c r="LR312" i="30"/>
  <c r="LR323" i="30" s="1"/>
  <c r="LR152" i="30"/>
  <c r="LQ311" i="30"/>
  <c r="LQ322" i="30" s="1"/>
  <c r="LQ312" i="30"/>
  <c r="LQ323" i="30" s="1"/>
  <c r="LS303" i="30"/>
  <c r="LN78" i="1"/>
  <c r="LL183" i="30"/>
  <c r="LL184" i="30" s="1"/>
  <c r="LO241" i="30"/>
  <c r="LS206" i="30"/>
  <c r="LS203" i="30" s="1"/>
  <c r="LS204" i="30" s="1"/>
  <c r="LL237" i="30"/>
  <c r="LL207" i="30"/>
  <c r="LL223" i="30"/>
  <c r="LL224" i="30" s="1"/>
  <c r="LP270" i="30"/>
  <c r="LP271" i="30" s="1"/>
  <c r="LS226" i="30"/>
  <c r="LS223" i="30" s="1"/>
  <c r="LR187" i="30"/>
  <c r="LS186" i="30"/>
  <c r="LS196" i="30"/>
  <c r="LS193" i="30" s="1"/>
  <c r="LS236" i="30"/>
  <c r="LS237" i="30" s="1"/>
  <c r="LS240" i="30"/>
  <c r="LS270" i="30" s="1"/>
  <c r="LL234" i="30"/>
  <c r="LL270" i="30"/>
  <c r="LL271" i="30" s="1"/>
  <c r="LL213" i="30"/>
  <c r="LL214" i="30" s="1"/>
  <c r="LL257" i="30"/>
  <c r="LL253" i="30"/>
  <c r="LL254" i="30" s="1"/>
  <c r="LO217" i="30"/>
  <c r="LS216" i="30"/>
  <c r="LO267" i="30"/>
  <c r="LS266" i="30"/>
  <c r="LL193" i="30"/>
  <c r="LL194" i="30" s="1"/>
  <c r="LL197" i="30"/>
  <c r="LR270" i="30"/>
  <c r="LR271" i="30" s="1"/>
  <c r="LL204" i="30"/>
  <c r="LL263" i="30"/>
  <c r="LL267" i="30"/>
  <c r="LS256" i="30"/>
  <c r="LP257" i="30"/>
  <c r="LQ270" i="30"/>
  <c r="LQ271" i="30" s="1"/>
  <c r="LQ241" i="30"/>
  <c r="LS177" i="30"/>
  <c r="LS173" i="30"/>
  <c r="LS174" i="30" s="1"/>
  <c r="LO271" i="30"/>
  <c r="MG186" i="30" l="1"/>
  <c r="MG183" i="30" s="1"/>
  <c r="MF151" i="30"/>
  <c r="MC9" i="30"/>
  <c r="MG71" i="30"/>
  <c r="BA71" i="30" s="1"/>
  <c r="BA190" i="30" s="1"/>
  <c r="BA181" i="30"/>
  <c r="MF256" i="30"/>
  <c r="MF257" i="30" s="1"/>
  <c r="MG96" i="30"/>
  <c r="BA96" i="30" s="1"/>
  <c r="MF95" i="30"/>
  <c r="MD226" i="30"/>
  <c r="MD227" i="30" s="1"/>
  <c r="MD144" i="30"/>
  <c r="LX145" i="30"/>
  <c r="ME144" i="30"/>
  <c r="LX11" i="30"/>
  <c r="ME143" i="30"/>
  <c r="MF142" i="30"/>
  <c r="MF10" i="30"/>
  <c r="MG10" i="30" s="1"/>
  <c r="BA10" i="30" s="1"/>
  <c r="BA183" i="30" s="1"/>
  <c r="MG176" i="30"/>
  <c r="MG177" i="30" s="1"/>
  <c r="MG220" i="30"/>
  <c r="MG221" i="30" s="1"/>
  <c r="MD240" i="30"/>
  <c r="MD270" i="30" s="1"/>
  <c r="MG69" i="30"/>
  <c r="BA69" i="30" s="1"/>
  <c r="MD95" i="30"/>
  <c r="MG260" i="30"/>
  <c r="MG261" i="30" s="1"/>
  <c r="ME27" i="30"/>
  <c r="ME53" i="30" s="1"/>
  <c r="ME106" i="30"/>
  <c r="ME302" i="30" s="1"/>
  <c r="ME311" i="30" s="1"/>
  <c r="ME259" i="30"/>
  <c r="MD86" i="30"/>
  <c r="MD266" i="30"/>
  <c r="MD267" i="30" s="1"/>
  <c r="MD259" i="30"/>
  <c r="MC259" i="30"/>
  <c r="MC86" i="30"/>
  <c r="MC266" i="30"/>
  <c r="MC267" i="30" s="1"/>
  <c r="ME26" i="30"/>
  <c r="ME52" i="30" s="1"/>
  <c r="ME105" i="30"/>
  <c r="ME303" i="30" s="1"/>
  <c r="ME312" i="30" s="1"/>
  <c r="MD256" i="30"/>
  <c r="MD257" i="30" s="1"/>
  <c r="ME249" i="30"/>
  <c r="MD85" i="30"/>
  <c r="MG85" i="30" s="1"/>
  <c r="MD249" i="30"/>
  <c r="MC317" i="30"/>
  <c r="MC323" i="30"/>
  <c r="MC52" i="30"/>
  <c r="MF229" i="30"/>
  <c r="ME236" i="30"/>
  <c r="ME237" i="30" s="1"/>
  <c r="ME75" i="30"/>
  <c r="ME229" i="30"/>
  <c r="MD236" i="30"/>
  <c r="MD237" i="30" s="1"/>
  <c r="MD75" i="30"/>
  <c r="MC101" i="30"/>
  <c r="MC15" i="30"/>
  <c r="MC48" i="30" s="1"/>
  <c r="ME226" i="30"/>
  <c r="ME227" i="30" s="1"/>
  <c r="MF219" i="30"/>
  <c r="ME74" i="30"/>
  <c r="MG74" i="30" s="1"/>
  <c r="BA74" i="30" s="1"/>
  <c r="BA220" i="30" s="1"/>
  <c r="MD14" i="30"/>
  <c r="MD47" i="30" s="1"/>
  <c r="MD100" i="30"/>
  <c r="LV270" i="30"/>
  <c r="LV271" i="30" s="1"/>
  <c r="MC100" i="30"/>
  <c r="MC14" i="30"/>
  <c r="MC47" i="30" s="1"/>
  <c r="LY13" i="30"/>
  <c r="MF209" i="30"/>
  <c r="ME216" i="30"/>
  <c r="ME217" i="30" s="1"/>
  <c r="ME73" i="30"/>
  <c r="ME240" i="30"/>
  <c r="ME270" i="30" s="1"/>
  <c r="ME271" i="30" s="1"/>
  <c r="ME209" i="30"/>
  <c r="MD73" i="30"/>
  <c r="MD216" i="30"/>
  <c r="MD217" i="30" s="1"/>
  <c r="MC209" i="30"/>
  <c r="MD209" i="30"/>
  <c r="MC216" i="30"/>
  <c r="MC217" i="30" s="1"/>
  <c r="MC73" i="30"/>
  <c r="MC240" i="30"/>
  <c r="ME98" i="30"/>
  <c r="ME12" i="30"/>
  <c r="ME45" i="30" s="1"/>
  <c r="ME207" i="30"/>
  <c r="MD206" i="30"/>
  <c r="ME199" i="30"/>
  <c r="MD72" i="30"/>
  <c r="MG200" i="30"/>
  <c r="MG201" i="30" s="1"/>
  <c r="MD199" i="30"/>
  <c r="MG196" i="30"/>
  <c r="MG193" i="30" s="1"/>
  <c r="ME97" i="30"/>
  <c r="ME11" i="30"/>
  <c r="ME44" i="30" s="1"/>
  <c r="ME197" i="30"/>
  <c r="MD97" i="30"/>
  <c r="MD11" i="30"/>
  <c r="MD44" i="30" s="1"/>
  <c r="MC44" i="30"/>
  <c r="ME187" i="30"/>
  <c r="MC43" i="30"/>
  <c r="ME42" i="30"/>
  <c r="MD42" i="30"/>
  <c r="MC42" i="30"/>
  <c r="MF27" i="30"/>
  <c r="MF106" i="30"/>
  <c r="MF267" i="30"/>
  <c r="MG251" i="30"/>
  <c r="MF105" i="30"/>
  <c r="MF303" i="30" s="1"/>
  <c r="MF26" i="30"/>
  <c r="MG230" i="30"/>
  <c r="MG231" i="30" s="1"/>
  <c r="MF236" i="30"/>
  <c r="MF75" i="30"/>
  <c r="MF100" i="30"/>
  <c r="MF14" i="30"/>
  <c r="MF227" i="30"/>
  <c r="MG226" i="30"/>
  <c r="MF216" i="30"/>
  <c r="MF73" i="30"/>
  <c r="MG210" i="30"/>
  <c r="MG211" i="30" s="1"/>
  <c r="MF240" i="30"/>
  <c r="MF241" i="30" s="1"/>
  <c r="MF45" i="30"/>
  <c r="MG97" i="30"/>
  <c r="BA97" i="30" s="1"/>
  <c r="MF44" i="30"/>
  <c r="LY187" i="30"/>
  <c r="MF187" i="30"/>
  <c r="MF42" i="30"/>
  <c r="MG9" i="30"/>
  <c r="BA9" i="30" s="1"/>
  <c r="LY80" i="30"/>
  <c r="LY90" i="30" s="1"/>
  <c r="LY15" i="30"/>
  <c r="LX144" i="30"/>
  <c r="LY270" i="30"/>
  <c r="LY271" i="30" s="1"/>
  <c r="LV80" i="30"/>
  <c r="LV90" i="30" s="1"/>
  <c r="LV99" i="30"/>
  <c r="LY14" i="30"/>
  <c r="LZ196" i="30"/>
  <c r="LZ193" i="30" s="1"/>
  <c r="LZ194" i="30" s="1"/>
  <c r="LZ74" i="30"/>
  <c r="AZ74" i="30" s="1"/>
  <c r="AZ220" i="30" s="1"/>
  <c r="LW270" i="30"/>
  <c r="LW271" i="30" s="1"/>
  <c r="LX142" i="30"/>
  <c r="LX10" i="30"/>
  <c r="ME43" i="30" s="1"/>
  <c r="LZ240" i="30"/>
  <c r="LZ241" i="30" s="1"/>
  <c r="LX241" i="30"/>
  <c r="LX80" i="30"/>
  <c r="LX90" i="30" s="1"/>
  <c r="LI293" i="30"/>
  <c r="LP288" i="30"/>
  <c r="LI294" i="30"/>
  <c r="LW80" i="30"/>
  <c r="LW90" i="30" s="1"/>
  <c r="LZ73" i="30"/>
  <c r="AZ73" i="30" s="1"/>
  <c r="AZ210" i="30" s="1"/>
  <c r="LZ216" i="30"/>
  <c r="LZ217" i="30" s="1"/>
  <c r="LY312" i="30"/>
  <c r="LY323" i="30" s="1"/>
  <c r="LY328" i="30" s="1"/>
  <c r="LX312" i="30"/>
  <c r="LX317" i="30" s="1"/>
  <c r="LX311" i="30"/>
  <c r="LX322" i="30" s="1"/>
  <c r="LX327" i="30" s="1"/>
  <c r="LW98" i="30"/>
  <c r="LW12" i="30"/>
  <c r="LZ12" i="30" s="1"/>
  <c r="LZ226" i="30"/>
  <c r="LZ227" i="30" s="1"/>
  <c r="LX99" i="30"/>
  <c r="LX13" i="30"/>
  <c r="LW106" i="30"/>
  <c r="LW302" i="30" s="1"/>
  <c r="LW27" i="30"/>
  <c r="LW289" i="30"/>
  <c r="LY27" i="30"/>
  <c r="LY106" i="30"/>
  <c r="LY302" i="30" s="1"/>
  <c r="LZ72" i="30"/>
  <c r="AZ72" i="30" s="1"/>
  <c r="AZ200" i="30" s="1"/>
  <c r="LV289" i="30"/>
  <c r="LV106" i="30"/>
  <c r="LV302" i="30" s="1"/>
  <c r="LZ86" i="30"/>
  <c r="LV27" i="30"/>
  <c r="LY142" i="30"/>
  <c r="LY10" i="30"/>
  <c r="LV267" i="30"/>
  <c r="LZ266" i="30"/>
  <c r="LZ11" i="30"/>
  <c r="LZ117" i="30" s="1"/>
  <c r="LZ206" i="30"/>
  <c r="LZ207" i="30" s="1"/>
  <c r="AZ71" i="30"/>
  <c r="AZ190" i="30" s="1"/>
  <c r="LV20" i="30"/>
  <c r="LW105" i="30"/>
  <c r="LW303" i="30" s="1"/>
  <c r="LW26" i="30"/>
  <c r="LZ85" i="30"/>
  <c r="AZ85" i="30" s="1"/>
  <c r="LW257" i="30"/>
  <c r="LZ256" i="30"/>
  <c r="LZ253" i="30" s="1"/>
  <c r="LV317" i="30"/>
  <c r="LV323" i="30"/>
  <c r="LV328" i="30" s="1"/>
  <c r="LX101" i="30"/>
  <c r="LX15" i="30"/>
  <c r="LZ75" i="30"/>
  <c r="LW15" i="30"/>
  <c r="LW101" i="30"/>
  <c r="LW237" i="30"/>
  <c r="LZ236" i="30"/>
  <c r="LX146" i="30"/>
  <c r="LX14" i="30"/>
  <c r="LX271" i="30"/>
  <c r="AZ69" i="30"/>
  <c r="LZ9" i="30"/>
  <c r="LZ173" i="30"/>
  <c r="LZ174" i="30" s="1"/>
  <c r="LZ177" i="30"/>
  <c r="LW145" i="30"/>
  <c r="LW13" i="30"/>
  <c r="LW187" i="30"/>
  <c r="LZ186" i="30"/>
  <c r="MG187" i="30" s="1"/>
  <c r="LW142" i="30"/>
  <c r="LW10" i="30"/>
  <c r="MD43" i="30" s="1"/>
  <c r="LS302" i="30"/>
  <c r="LO294" i="30"/>
  <c r="LO285" i="30"/>
  <c r="LM80" i="1"/>
  <c r="LS224" i="30"/>
  <c r="LS207" i="30"/>
  <c r="LS227" i="30"/>
  <c r="LS233" i="30"/>
  <c r="LS234" i="30" s="1"/>
  <c r="LS241" i="30"/>
  <c r="LS183" i="30"/>
  <c r="LS184" i="30" s="1"/>
  <c r="LS187" i="30"/>
  <c r="LS197" i="30"/>
  <c r="LS213" i="30"/>
  <c r="LS214" i="30" s="1"/>
  <c r="LS217" i="30"/>
  <c r="LS194" i="30"/>
  <c r="LS253" i="30"/>
  <c r="LS254" i="30" s="1"/>
  <c r="LS257" i="30"/>
  <c r="LS267" i="30"/>
  <c r="LS263" i="30"/>
  <c r="LS264" i="30" s="1"/>
  <c r="LS271" i="30"/>
  <c r="ME80" i="30" l="1"/>
  <c r="ME90" i="30" s="1"/>
  <c r="MF43" i="30"/>
  <c r="BA191" i="30"/>
  <c r="BA173" i="30"/>
  <c r="MD241" i="30"/>
  <c r="MG95" i="30"/>
  <c r="BA95" i="30" s="1"/>
  <c r="BA186" i="30"/>
  <c r="BA85" i="30"/>
  <c r="BA250" i="30" s="1"/>
  <c r="BA221" i="30"/>
  <c r="BA170" i="30"/>
  <c r="BA176" i="30"/>
  <c r="MG116" i="30"/>
  <c r="BA116" i="30" s="1"/>
  <c r="MG173" i="30"/>
  <c r="MG174" i="30" s="1"/>
  <c r="MG86" i="30"/>
  <c r="BA86" i="30" s="1"/>
  <c r="BA260" i="30" s="1"/>
  <c r="MD80" i="30"/>
  <c r="MD81" i="30" s="1"/>
  <c r="MG11" i="30"/>
  <c r="BA11" i="30" s="1"/>
  <c r="BA193" i="30" s="1"/>
  <c r="MG266" i="30"/>
  <c r="MG263" i="30" s="1"/>
  <c r="ME316" i="30"/>
  <c r="ME322" i="30"/>
  <c r="ME327" i="30" s="1"/>
  <c r="MD106" i="30"/>
  <c r="MD302" i="30" s="1"/>
  <c r="MD311" i="30" s="1"/>
  <c r="MD289" i="30"/>
  <c r="MD27" i="30"/>
  <c r="MD53" i="30" s="1"/>
  <c r="MC106" i="30"/>
  <c r="MC302" i="30" s="1"/>
  <c r="MC311" i="30" s="1"/>
  <c r="MC27" i="30"/>
  <c r="MC53" i="30" s="1"/>
  <c r="MC289" i="30"/>
  <c r="MG256" i="30"/>
  <c r="MG257" i="30" s="1"/>
  <c r="ME317" i="30"/>
  <c r="ME323" i="30"/>
  <c r="MD105" i="30"/>
  <c r="MD303" i="30" s="1"/>
  <c r="MD312" i="30" s="1"/>
  <c r="MD26" i="30"/>
  <c r="MD52" i="30" s="1"/>
  <c r="MC328" i="30"/>
  <c r="ME101" i="30"/>
  <c r="ME15" i="30"/>
  <c r="ME48" i="30" s="1"/>
  <c r="MD101" i="30"/>
  <c r="MD15" i="30"/>
  <c r="MD48" i="30" s="1"/>
  <c r="ME241" i="30"/>
  <c r="ME100" i="30"/>
  <c r="ME14" i="30"/>
  <c r="ME47" i="30" s="1"/>
  <c r="ME99" i="30"/>
  <c r="ME13" i="30"/>
  <c r="MD99" i="30"/>
  <c r="MD13" i="30"/>
  <c r="MD46" i="30" s="1"/>
  <c r="MC241" i="30"/>
  <c r="MC270" i="30"/>
  <c r="MC271" i="30" s="1"/>
  <c r="MC99" i="30"/>
  <c r="MC13" i="30"/>
  <c r="MC80" i="30"/>
  <c r="MC90" i="30" s="1"/>
  <c r="MC108" i="30" s="1"/>
  <c r="MC137" i="29" s="1"/>
  <c r="MD98" i="30"/>
  <c r="MD12" i="30"/>
  <c r="MG72" i="30"/>
  <c r="MD207" i="30"/>
  <c r="MG206" i="30"/>
  <c r="MG203" i="30" s="1"/>
  <c r="LV243" i="30"/>
  <c r="LV246" i="30" s="1"/>
  <c r="ME91" i="30"/>
  <c r="ME108" i="30"/>
  <c r="ME137" i="29" s="1"/>
  <c r="ME103" i="30"/>
  <c r="ME81" i="30"/>
  <c r="MD271" i="30"/>
  <c r="MF53" i="30"/>
  <c r="MF302" i="30"/>
  <c r="MG105" i="30"/>
  <c r="BA105" i="30" s="1"/>
  <c r="MF52" i="30"/>
  <c r="MF312" i="30"/>
  <c r="MF101" i="30"/>
  <c r="MG75" i="30"/>
  <c r="MF15" i="30"/>
  <c r="MF237" i="30"/>
  <c r="MG236" i="30"/>
  <c r="LZ14" i="30"/>
  <c r="AZ14" i="30" s="1"/>
  <c r="AZ223" i="30" s="1"/>
  <c r="MG223" i="30"/>
  <c r="MG227" i="30"/>
  <c r="MG100" i="30"/>
  <c r="BA100" i="30" s="1"/>
  <c r="MF47" i="30"/>
  <c r="MF270" i="30"/>
  <c r="MF271" i="30" s="1"/>
  <c r="MG240" i="30"/>
  <c r="MG270" i="30" s="1"/>
  <c r="MF99" i="30"/>
  <c r="MF13" i="30"/>
  <c r="MG73" i="30"/>
  <c r="BA73" i="30" s="1"/>
  <c r="BA210" i="30" s="1"/>
  <c r="BA211" i="30" s="1"/>
  <c r="MF80" i="30"/>
  <c r="MF90" i="30" s="1"/>
  <c r="MF108" i="30" s="1"/>
  <c r="MF137" i="29" s="1"/>
  <c r="MF217" i="30"/>
  <c r="MG216" i="30"/>
  <c r="MG194" i="30"/>
  <c r="MG197" i="30"/>
  <c r="MG115" i="30"/>
  <c r="BA115" i="30" s="1"/>
  <c r="MG42" i="30"/>
  <c r="BA42" i="30" s="1"/>
  <c r="LZ197" i="30"/>
  <c r="LZ270" i="30"/>
  <c r="LZ271" i="30" s="1"/>
  <c r="LZ13" i="30"/>
  <c r="LZ119" i="30" s="1"/>
  <c r="LN80" i="1"/>
  <c r="LX316" i="30"/>
  <c r="LV126" i="30"/>
  <c r="LX323" i="30"/>
  <c r="LX328" i="30" s="1"/>
  <c r="LZ213" i="30"/>
  <c r="LZ214" i="30" s="1"/>
  <c r="LV31" i="30"/>
  <c r="LV273" i="30" s="1"/>
  <c r="LY317" i="30"/>
  <c r="LP285" i="30"/>
  <c r="LP294" i="30"/>
  <c r="LX20" i="30"/>
  <c r="LX126" i="30" s="1"/>
  <c r="LZ80" i="30"/>
  <c r="AZ80" i="30" s="1"/>
  <c r="AZ250" i="30"/>
  <c r="LY311" i="30"/>
  <c r="LY316" i="30" s="1"/>
  <c r="LW311" i="30"/>
  <c r="LW316" i="30" s="1"/>
  <c r="LY20" i="30"/>
  <c r="LY126" i="30" s="1"/>
  <c r="LZ223" i="30"/>
  <c r="LZ224" i="30" s="1"/>
  <c r="LZ267" i="30"/>
  <c r="LZ263" i="30"/>
  <c r="LZ264" i="30" s="1"/>
  <c r="LW295" i="30"/>
  <c r="LW288" i="30"/>
  <c r="LW294" i="30" s="1"/>
  <c r="AZ11" i="30"/>
  <c r="AZ193" i="30" s="1"/>
  <c r="AZ196" i="30" s="1"/>
  <c r="LZ27" i="30"/>
  <c r="LZ203" i="30"/>
  <c r="LZ204" i="30" s="1"/>
  <c r="AZ86" i="30"/>
  <c r="LV311" i="30"/>
  <c r="LZ302" i="30"/>
  <c r="LV295" i="30"/>
  <c r="LV288" i="30"/>
  <c r="LV285" i="30" s="1"/>
  <c r="AZ12" i="30"/>
  <c r="AZ203" i="30" s="1"/>
  <c r="LZ118" i="30"/>
  <c r="LZ26" i="30"/>
  <c r="LW312" i="30"/>
  <c r="LZ303" i="30"/>
  <c r="LZ312" i="30" s="1"/>
  <c r="AZ312" i="30" s="1"/>
  <c r="LZ257" i="30"/>
  <c r="LZ254" i="30"/>
  <c r="LZ233" i="30"/>
  <c r="LZ234" i="30" s="1"/>
  <c r="LZ237" i="30"/>
  <c r="LZ15" i="30"/>
  <c r="AZ75" i="30"/>
  <c r="AZ230" i="30" s="1"/>
  <c r="AZ170" i="30"/>
  <c r="AZ9" i="30"/>
  <c r="AZ173" i="30" s="1"/>
  <c r="BA174" i="30" s="1"/>
  <c r="LZ115" i="30"/>
  <c r="AZ117" i="30"/>
  <c r="LZ10" i="30"/>
  <c r="MG43" i="30" s="1"/>
  <c r="BA43" i="30" s="1"/>
  <c r="LW20" i="30"/>
  <c r="LZ183" i="30"/>
  <c r="LZ187" i="30"/>
  <c r="LO293" i="30"/>
  <c r="LN168" i="30"/>
  <c r="LG168" i="30"/>
  <c r="KZ168" i="30"/>
  <c r="KS168" i="30"/>
  <c r="KL168" i="30"/>
  <c r="KE168" i="30"/>
  <c r="JX168" i="30"/>
  <c r="JQ168" i="30"/>
  <c r="JJ168" i="30"/>
  <c r="JC168" i="30"/>
  <c r="IV168" i="30"/>
  <c r="IO168" i="30"/>
  <c r="IH168" i="30"/>
  <c r="IA168" i="30"/>
  <c r="HT168" i="30"/>
  <c r="HM168" i="30"/>
  <c r="HF168" i="30"/>
  <c r="GY168" i="30"/>
  <c r="GR168" i="30"/>
  <c r="GK168" i="30"/>
  <c r="GD168" i="30"/>
  <c r="FW168" i="30"/>
  <c r="FP168" i="30"/>
  <c r="FI168" i="30"/>
  <c r="FB168" i="30"/>
  <c r="EU168" i="30"/>
  <c r="EN168" i="30"/>
  <c r="EG168" i="30"/>
  <c r="DZ168" i="30"/>
  <c r="DS168" i="30"/>
  <c r="DE168" i="30"/>
  <c r="DL168" i="30"/>
  <c r="CX168" i="30"/>
  <c r="CQ168" i="30"/>
  <c r="CJ168" i="30"/>
  <c r="CC168" i="30"/>
  <c r="BV168" i="30"/>
  <c r="BO168" i="30"/>
  <c r="MD90" i="30" l="1"/>
  <c r="MD91" i="30" s="1"/>
  <c r="MD103" i="30"/>
  <c r="MG14" i="30"/>
  <c r="BA14" i="30" s="1"/>
  <c r="BA223" i="30" s="1"/>
  <c r="BA224" i="30" s="1"/>
  <c r="MG101" i="30"/>
  <c r="BA101" i="30" s="1"/>
  <c r="BA75" i="30"/>
  <c r="BA230" i="30" s="1"/>
  <c r="BA231" i="30" s="1"/>
  <c r="BA194" i="30"/>
  <c r="BA196" i="30"/>
  <c r="BA197" i="30" s="1"/>
  <c r="BA171" i="30"/>
  <c r="BA251" i="30"/>
  <c r="MG98" i="30"/>
  <c r="BA98" i="30" s="1"/>
  <c r="BA72" i="30"/>
  <c r="MG117" i="30"/>
  <c r="MG253" i="30"/>
  <c r="MG254" i="30" s="1"/>
  <c r="MG44" i="30"/>
  <c r="BA44" i="30" s="1"/>
  <c r="MG106" i="30"/>
  <c r="BA106" i="30" s="1"/>
  <c r="MG267" i="30"/>
  <c r="MG303" i="30"/>
  <c r="MG312" i="30" s="1"/>
  <c r="BA312" i="30" s="1"/>
  <c r="MG26" i="30"/>
  <c r="MG52" i="30" s="1"/>
  <c r="BA52" i="30" s="1"/>
  <c r="LZ120" i="30"/>
  <c r="AZ120" i="30" s="1"/>
  <c r="MD20" i="30"/>
  <c r="MD31" i="30" s="1"/>
  <c r="MD273" i="30" s="1"/>
  <c r="MG207" i="30"/>
  <c r="MG27" i="30"/>
  <c r="BA27" i="30" s="1"/>
  <c r="BA263" i="30" s="1"/>
  <c r="MD288" i="30"/>
  <c r="MD294" i="30" s="1"/>
  <c r="MD295" i="30"/>
  <c r="MD316" i="30"/>
  <c r="MD322" i="30"/>
  <c r="MC295" i="30"/>
  <c r="MC288" i="30"/>
  <c r="MC294" i="30" s="1"/>
  <c r="MC316" i="30"/>
  <c r="MC322" i="30"/>
  <c r="ME328" i="30"/>
  <c r="MD317" i="30"/>
  <c r="MD323" i="30"/>
  <c r="MC91" i="30"/>
  <c r="MC103" i="30"/>
  <c r="MC81" i="30"/>
  <c r="ME46" i="30"/>
  <c r="ME20" i="30"/>
  <c r="ME50" i="30" s="1"/>
  <c r="MC46" i="30"/>
  <c r="MC20" i="30"/>
  <c r="MD45" i="30"/>
  <c r="MG12" i="30"/>
  <c r="BA12" i="30" s="1"/>
  <c r="MG241" i="30"/>
  <c r="MG141" i="30"/>
  <c r="MF311" i="30"/>
  <c r="MG302" i="30"/>
  <c r="MG264" i="30"/>
  <c r="MF317" i="30"/>
  <c r="MF323" i="30"/>
  <c r="MF328" i="30" s="1"/>
  <c r="MG233" i="30"/>
  <c r="MG234" i="30" s="1"/>
  <c r="MG237" i="30"/>
  <c r="MF48" i="30"/>
  <c r="MG15" i="30"/>
  <c r="BA15" i="30" s="1"/>
  <c r="MF103" i="30"/>
  <c r="MF81" i="30"/>
  <c r="MF91" i="30"/>
  <c r="MG47" i="30"/>
  <c r="BA47" i="30" s="1"/>
  <c r="MG224" i="30"/>
  <c r="MG217" i="30"/>
  <c r="MG213" i="30"/>
  <c r="MG214" i="30" s="1"/>
  <c r="MG99" i="30"/>
  <c r="BA99" i="30" s="1"/>
  <c r="MG80" i="30"/>
  <c r="BA80" i="30" s="1"/>
  <c r="AZ13" i="30"/>
  <c r="AZ213" i="30" s="1"/>
  <c r="AZ216" i="30" s="1"/>
  <c r="MF46" i="30"/>
  <c r="MG13" i="30"/>
  <c r="BA13" i="30" s="1"/>
  <c r="BA213" i="30" s="1"/>
  <c r="MF20" i="30"/>
  <c r="MF21" i="30" s="1"/>
  <c r="MG204" i="30"/>
  <c r="LZ184" i="30"/>
  <c r="MG184" i="30"/>
  <c r="MG271" i="30"/>
  <c r="LX31" i="30"/>
  <c r="LX273" i="30" s="1"/>
  <c r="LX243" i="30"/>
  <c r="LX246" i="30" s="1"/>
  <c r="LZ90" i="30"/>
  <c r="AZ90" i="30" s="1"/>
  <c r="LY31" i="30"/>
  <c r="LY273" i="30" s="1"/>
  <c r="LW322" i="30"/>
  <c r="LW327" i="30" s="1"/>
  <c r="LY322" i="30"/>
  <c r="LY327" i="30" s="1"/>
  <c r="LP293" i="30"/>
  <c r="LW285" i="30"/>
  <c r="LW293" i="30" s="1"/>
  <c r="AZ260" i="30"/>
  <c r="BA261" i="30" s="1"/>
  <c r="LY243" i="30"/>
  <c r="LY246" i="30" s="1"/>
  <c r="AZ27" i="30"/>
  <c r="LZ132" i="30"/>
  <c r="LV293" i="30"/>
  <c r="LV294" i="30"/>
  <c r="AZ240" i="30"/>
  <c r="LZ311" i="30"/>
  <c r="AZ302" i="30"/>
  <c r="LV316" i="30"/>
  <c r="LV322" i="30"/>
  <c r="LV327" i="30" s="1"/>
  <c r="AZ118" i="30"/>
  <c r="AZ206" i="30"/>
  <c r="LW323" i="30"/>
  <c r="LW328" i="30" s="1"/>
  <c r="LW317" i="30"/>
  <c r="AZ26" i="30"/>
  <c r="LZ131" i="30"/>
  <c r="AZ15" i="30"/>
  <c r="AZ233" i="30" s="1"/>
  <c r="LZ121" i="30"/>
  <c r="AZ226" i="30"/>
  <c r="AZ115" i="30"/>
  <c r="AZ176" i="30"/>
  <c r="BA177" i="30" s="1"/>
  <c r="AZ119" i="30"/>
  <c r="LV276" i="30"/>
  <c r="LW243" i="30"/>
  <c r="LW126" i="30"/>
  <c r="LW31" i="30"/>
  <c r="AZ10" i="30"/>
  <c r="LZ20" i="30"/>
  <c r="LZ116" i="30"/>
  <c r="MG142" i="30" s="1"/>
  <c r="BA142" i="30" s="1"/>
  <c r="GL5" i="5"/>
  <c r="GL159" i="5" s="1"/>
  <c r="GE5" i="5"/>
  <c r="GE72" i="5" s="1"/>
  <c r="FX5" i="5"/>
  <c r="FX159" i="5" s="1"/>
  <c r="FQ5" i="5"/>
  <c r="FJ5" i="5"/>
  <c r="FJ159" i="5" s="1"/>
  <c r="FC5" i="5"/>
  <c r="EV5" i="5"/>
  <c r="EV159" i="5" s="1"/>
  <c r="EO5" i="5"/>
  <c r="EH5" i="5"/>
  <c r="EH159" i="5" s="1"/>
  <c r="EA5" i="5"/>
  <c r="DT5" i="5"/>
  <c r="DT159" i="5" s="1"/>
  <c r="DM5" i="5"/>
  <c r="DF5" i="5"/>
  <c r="DF159" i="5" s="1"/>
  <c r="CY5" i="5"/>
  <c r="CR5" i="5"/>
  <c r="CR159" i="5" s="1"/>
  <c r="CK5" i="5"/>
  <c r="CD5" i="5"/>
  <c r="CD159" i="5" s="1"/>
  <c r="BW5" i="5"/>
  <c r="BP5" i="5"/>
  <c r="BP159" i="5" s="1"/>
  <c r="BI5" i="5"/>
  <c r="BB5" i="5"/>
  <c r="BB159" i="5" s="1"/>
  <c r="AU5" i="5"/>
  <c r="IF5" i="4"/>
  <c r="IF65" i="4" s="1"/>
  <c r="HY5" i="4"/>
  <c r="HY65" i="4" s="1"/>
  <c r="HR5" i="4"/>
  <c r="HR65" i="4" s="1"/>
  <c r="HK5" i="4"/>
  <c r="HK65" i="4" s="1"/>
  <c r="HD5" i="4"/>
  <c r="HD65" i="4" s="1"/>
  <c r="GW5" i="4"/>
  <c r="GW65" i="4" s="1"/>
  <c r="GP5" i="4"/>
  <c r="GP65" i="4" s="1"/>
  <c r="GI5" i="4"/>
  <c r="GI65" i="4" s="1"/>
  <c r="GB5" i="4"/>
  <c r="GB65" i="4" s="1"/>
  <c r="FU5" i="4"/>
  <c r="FU65" i="4" s="1"/>
  <c r="FN5" i="4"/>
  <c r="FN65" i="4" s="1"/>
  <c r="FG5" i="4"/>
  <c r="FG65" i="4" s="1"/>
  <c r="EZ5" i="4"/>
  <c r="EZ65" i="4" s="1"/>
  <c r="ES5" i="4"/>
  <c r="ES65" i="4" s="1"/>
  <c r="EL5" i="4"/>
  <c r="EL65" i="4" s="1"/>
  <c r="EE5" i="4"/>
  <c r="EE65" i="4" s="1"/>
  <c r="DX5" i="4"/>
  <c r="DX65" i="4" s="1"/>
  <c r="DQ5" i="4"/>
  <c r="DQ65" i="4" s="1"/>
  <c r="DJ5" i="4"/>
  <c r="DJ65" i="4" s="1"/>
  <c r="DC5" i="4"/>
  <c r="DC65" i="4" s="1"/>
  <c r="CV5" i="4"/>
  <c r="CV65" i="4" s="1"/>
  <c r="CO5" i="4"/>
  <c r="CO65" i="4" s="1"/>
  <c r="CH5" i="4"/>
  <c r="CH65" i="4" s="1"/>
  <c r="CA5" i="4"/>
  <c r="CA65" i="4" s="1"/>
  <c r="BT5" i="4"/>
  <c r="BT65" i="4" s="1"/>
  <c r="BM5" i="4"/>
  <c r="BM65" i="4" s="1"/>
  <c r="BF5" i="4"/>
  <c r="BF65" i="4" s="1"/>
  <c r="AY5" i="4"/>
  <c r="AY65" i="4" s="1"/>
  <c r="LS334" i="30"/>
  <c r="LL334" i="30"/>
  <c r="LE334" i="30"/>
  <c r="KX334" i="30"/>
  <c r="KQ334" i="30"/>
  <c r="KJ334" i="30"/>
  <c r="KC334" i="30"/>
  <c r="JV334" i="30"/>
  <c r="JO334" i="30"/>
  <c r="JH334" i="30"/>
  <c r="JA334" i="30"/>
  <c r="IT334" i="30"/>
  <c r="IM334" i="30"/>
  <c r="IF334" i="30"/>
  <c r="HY334" i="30"/>
  <c r="HR334" i="30"/>
  <c r="HK334" i="30"/>
  <c r="HD334" i="30"/>
  <c r="GW334" i="30"/>
  <c r="GP334" i="30"/>
  <c r="GI334" i="30"/>
  <c r="GB334" i="30"/>
  <c r="FU334" i="30"/>
  <c r="FN334" i="30"/>
  <c r="FG334" i="30"/>
  <c r="EZ334" i="30"/>
  <c r="ES334" i="30"/>
  <c r="EL334" i="30"/>
  <c r="EE334" i="30"/>
  <c r="DX334" i="30"/>
  <c r="DQ334" i="30"/>
  <c r="DJ334" i="30"/>
  <c r="DC334" i="30"/>
  <c r="CV334" i="30"/>
  <c r="CO334" i="30"/>
  <c r="CH334" i="30"/>
  <c r="CA334" i="30"/>
  <c r="LS111" i="30"/>
  <c r="LL111" i="30"/>
  <c r="LE111" i="30"/>
  <c r="KX111" i="30"/>
  <c r="KQ111" i="30"/>
  <c r="KJ111" i="30"/>
  <c r="KC111" i="30"/>
  <c r="JV111" i="30"/>
  <c r="JO111" i="30"/>
  <c r="JH111" i="30"/>
  <c r="JA111" i="30"/>
  <c r="IT111" i="30"/>
  <c r="IM111" i="30"/>
  <c r="IF111" i="30"/>
  <c r="HY111" i="30"/>
  <c r="HR111" i="30"/>
  <c r="HK111" i="30"/>
  <c r="HD111" i="30"/>
  <c r="GW111" i="30"/>
  <c r="GP111" i="30"/>
  <c r="GI111" i="30"/>
  <c r="GB111" i="30"/>
  <c r="FU111" i="30"/>
  <c r="FN111" i="30"/>
  <c r="FG111" i="30"/>
  <c r="EZ111" i="30"/>
  <c r="ES111" i="30"/>
  <c r="EL111" i="30"/>
  <c r="EE111" i="30"/>
  <c r="DX111" i="30"/>
  <c r="DQ111" i="30"/>
  <c r="DJ111" i="30"/>
  <c r="DC111" i="30"/>
  <c r="CV111" i="30"/>
  <c r="CO111" i="30"/>
  <c r="CH111" i="30"/>
  <c r="CA111" i="30"/>
  <c r="LS65" i="30"/>
  <c r="LL65" i="30"/>
  <c r="LE65" i="30"/>
  <c r="KX65" i="30"/>
  <c r="KQ65" i="30"/>
  <c r="KJ65" i="30"/>
  <c r="KC65" i="30"/>
  <c r="JV65" i="30"/>
  <c r="JO65" i="30"/>
  <c r="JH65" i="30"/>
  <c r="JA65" i="30"/>
  <c r="IT65" i="30"/>
  <c r="IM65" i="30"/>
  <c r="IF65" i="30"/>
  <c r="HY65" i="30"/>
  <c r="HR65" i="30"/>
  <c r="HK65" i="30"/>
  <c r="HD65" i="30"/>
  <c r="GW65" i="30"/>
  <c r="GP65" i="30"/>
  <c r="GI65" i="30"/>
  <c r="GB65" i="30"/>
  <c r="FU65" i="30"/>
  <c r="FN65" i="30"/>
  <c r="FG65" i="30"/>
  <c r="EZ65" i="30"/>
  <c r="ES65" i="30"/>
  <c r="EL65" i="30"/>
  <c r="EE65" i="30"/>
  <c r="DX65" i="30"/>
  <c r="DQ65" i="30"/>
  <c r="DJ65" i="30"/>
  <c r="DC65" i="30"/>
  <c r="CV65" i="30"/>
  <c r="CO65" i="30"/>
  <c r="CH65" i="30"/>
  <c r="CA65" i="30"/>
  <c r="LS5" i="30"/>
  <c r="LS166" i="30" s="1"/>
  <c r="AY166" i="30" s="1"/>
  <c r="LL5" i="30"/>
  <c r="LL166" i="30" s="1"/>
  <c r="AX166" i="30" s="1"/>
  <c r="LE5" i="30"/>
  <c r="LE166" i="30" s="1"/>
  <c r="AW166" i="30" s="1"/>
  <c r="KX5" i="30"/>
  <c r="KX166" i="30" s="1"/>
  <c r="AV166" i="30" s="1"/>
  <c r="KQ5" i="30"/>
  <c r="KQ166" i="30" s="1"/>
  <c r="AU166" i="30" s="1"/>
  <c r="KJ5" i="30"/>
  <c r="KJ166" i="30" s="1"/>
  <c r="AT166" i="30" s="1"/>
  <c r="KC5" i="30"/>
  <c r="KC166" i="30" s="1"/>
  <c r="AS166" i="30" s="1"/>
  <c r="JV5" i="30"/>
  <c r="JV166" i="30" s="1"/>
  <c r="AR166" i="30" s="1"/>
  <c r="JO5" i="30"/>
  <c r="JO166" i="30" s="1"/>
  <c r="AQ166" i="30" s="1"/>
  <c r="JH5" i="30"/>
  <c r="JH166" i="30" s="1"/>
  <c r="AP166" i="30" s="1"/>
  <c r="JA5" i="30"/>
  <c r="JA166" i="30" s="1"/>
  <c r="AO166" i="30" s="1"/>
  <c r="IT5" i="30"/>
  <c r="IT166" i="30" s="1"/>
  <c r="AN166" i="30" s="1"/>
  <c r="IM5" i="30"/>
  <c r="IM166" i="30" s="1"/>
  <c r="AM166" i="30" s="1"/>
  <c r="IF5" i="30"/>
  <c r="IF166" i="30" s="1"/>
  <c r="AL166" i="30" s="1"/>
  <c r="HY5" i="30"/>
  <c r="HY166" i="30" s="1"/>
  <c r="AK166" i="30" s="1"/>
  <c r="HR5" i="30"/>
  <c r="HR166" i="30" s="1"/>
  <c r="AJ166" i="30" s="1"/>
  <c r="HK5" i="30"/>
  <c r="HK166" i="30" s="1"/>
  <c r="AI166" i="30" s="1"/>
  <c r="HD5" i="30"/>
  <c r="HD166" i="30" s="1"/>
  <c r="AH166" i="30" s="1"/>
  <c r="GW5" i="30"/>
  <c r="GW166" i="30" s="1"/>
  <c r="AG166" i="30" s="1"/>
  <c r="GP5" i="30"/>
  <c r="GP166" i="30" s="1"/>
  <c r="AF166" i="30" s="1"/>
  <c r="GI5" i="30"/>
  <c r="GI166" i="30" s="1"/>
  <c r="AE166" i="30" s="1"/>
  <c r="GB5" i="30"/>
  <c r="GB166" i="30" s="1"/>
  <c r="AD166" i="30" s="1"/>
  <c r="FU5" i="30"/>
  <c r="FU166" i="30" s="1"/>
  <c r="AC166" i="30" s="1"/>
  <c r="FN5" i="30"/>
  <c r="FN166" i="30" s="1"/>
  <c r="AB166" i="30" s="1"/>
  <c r="FG5" i="30"/>
  <c r="FG166" i="30" s="1"/>
  <c r="AA166" i="30" s="1"/>
  <c r="EZ5" i="30"/>
  <c r="EZ166" i="30" s="1"/>
  <c r="Z166" i="30" s="1"/>
  <c r="ES5" i="30"/>
  <c r="ES166" i="30" s="1"/>
  <c r="Y166" i="30" s="1"/>
  <c r="EL5" i="30"/>
  <c r="EL166" i="30" s="1"/>
  <c r="X166" i="30" s="1"/>
  <c r="EE5" i="30"/>
  <c r="EE166" i="30" s="1"/>
  <c r="W166" i="30" s="1"/>
  <c r="DX5" i="30"/>
  <c r="DX166" i="30" s="1"/>
  <c r="V166" i="30" s="1"/>
  <c r="DQ5" i="30"/>
  <c r="DQ166" i="30" s="1"/>
  <c r="U166" i="30" s="1"/>
  <c r="DJ5" i="30"/>
  <c r="DJ166" i="30" s="1"/>
  <c r="T166" i="30" s="1"/>
  <c r="DC5" i="30"/>
  <c r="DC166" i="30" s="1"/>
  <c r="S166" i="30" s="1"/>
  <c r="CV5" i="30"/>
  <c r="CV166" i="30" s="1"/>
  <c r="R166" i="30" s="1"/>
  <c r="CO5" i="30"/>
  <c r="CO166" i="30" s="1"/>
  <c r="Q166" i="30" s="1"/>
  <c r="CH5" i="30"/>
  <c r="CH166" i="30" s="1"/>
  <c r="P166" i="30" s="1"/>
  <c r="CA5" i="30"/>
  <c r="CA166" i="30" s="1"/>
  <c r="O166" i="30" s="1"/>
  <c r="LN155" i="29"/>
  <c r="LG155" i="29"/>
  <c r="KZ155" i="29"/>
  <c r="KL155" i="29"/>
  <c r="KE155" i="29"/>
  <c r="JX155" i="29"/>
  <c r="JQ155" i="29"/>
  <c r="JJ155" i="29"/>
  <c r="JC155" i="29"/>
  <c r="IV155" i="29"/>
  <c r="IO155" i="29"/>
  <c r="IH155" i="29"/>
  <c r="IA155" i="29"/>
  <c r="HT155" i="29"/>
  <c r="HM155" i="29"/>
  <c r="HF155" i="29"/>
  <c r="GY155" i="29"/>
  <c r="GR155" i="29"/>
  <c r="GK155" i="29"/>
  <c r="GD155" i="29"/>
  <c r="FW155" i="29"/>
  <c r="FP155" i="29"/>
  <c r="FI155" i="29"/>
  <c r="FB155" i="29"/>
  <c r="EU155" i="29"/>
  <c r="EN155" i="29"/>
  <c r="EG155" i="29"/>
  <c r="DZ155" i="29"/>
  <c r="DS155" i="29"/>
  <c r="DL155" i="29"/>
  <c r="DE155" i="29"/>
  <c r="CX155" i="29"/>
  <c r="CQ155" i="29"/>
  <c r="CJ155" i="29"/>
  <c r="CC155" i="29"/>
  <c r="BV155" i="29"/>
  <c r="LS76" i="29"/>
  <c r="LL76" i="29"/>
  <c r="LE76" i="29"/>
  <c r="KX76" i="29"/>
  <c r="KQ76" i="29"/>
  <c r="KJ76" i="29"/>
  <c r="KC76" i="29"/>
  <c r="JV76" i="29"/>
  <c r="JO76" i="29"/>
  <c r="JH76" i="29"/>
  <c r="JA76" i="29"/>
  <c r="IT76" i="29"/>
  <c r="IM76" i="29"/>
  <c r="IF76" i="29"/>
  <c r="HY76" i="29"/>
  <c r="HR76" i="29"/>
  <c r="HK76" i="29"/>
  <c r="HD76" i="29"/>
  <c r="GW76" i="29"/>
  <c r="GP76" i="29"/>
  <c r="GI76" i="29"/>
  <c r="GB76" i="29"/>
  <c r="FU76" i="29"/>
  <c r="FN76" i="29"/>
  <c r="FG76" i="29"/>
  <c r="EZ76" i="29"/>
  <c r="ES76" i="29"/>
  <c r="EL76" i="29"/>
  <c r="EE76" i="29"/>
  <c r="DX76" i="29"/>
  <c r="DQ76" i="29"/>
  <c r="DJ76" i="29"/>
  <c r="DC76" i="29"/>
  <c r="CV76" i="29"/>
  <c r="CO76" i="29"/>
  <c r="CH76" i="29"/>
  <c r="CA76" i="29"/>
  <c r="LS17" i="29"/>
  <c r="LE17" i="29"/>
  <c r="KX17" i="29"/>
  <c r="KQ17" i="29"/>
  <c r="KJ17" i="29"/>
  <c r="KC17" i="29"/>
  <c r="JV17" i="29"/>
  <c r="JO17" i="29"/>
  <c r="JH17" i="29"/>
  <c r="JA17" i="29"/>
  <c r="IT17" i="29"/>
  <c r="IM17" i="29"/>
  <c r="IF17" i="29"/>
  <c r="HY17" i="29"/>
  <c r="HR17" i="29"/>
  <c r="HK17" i="29"/>
  <c r="HD17" i="29"/>
  <c r="GW17" i="29"/>
  <c r="GP17" i="29"/>
  <c r="GI17" i="29"/>
  <c r="GB17" i="29"/>
  <c r="FU17" i="29"/>
  <c r="FN17" i="29"/>
  <c r="FG17" i="29"/>
  <c r="EZ17" i="29"/>
  <c r="ES17" i="29"/>
  <c r="EL17" i="29"/>
  <c r="EE17" i="29"/>
  <c r="DX17" i="29"/>
  <c r="DQ17" i="29"/>
  <c r="DJ17" i="29"/>
  <c r="DC17" i="29"/>
  <c r="CV17" i="29"/>
  <c r="CO17" i="29"/>
  <c r="CH17" i="29"/>
  <c r="CA17" i="29"/>
  <c r="LS3" i="29"/>
  <c r="LS155" i="29" s="1"/>
  <c r="LL3" i="29"/>
  <c r="LL155" i="29" s="1"/>
  <c r="LE3" i="29"/>
  <c r="LE155" i="29" s="1"/>
  <c r="KX3" i="29"/>
  <c r="KQ3" i="29"/>
  <c r="KQ155" i="29" s="1"/>
  <c r="KJ3" i="29"/>
  <c r="KJ155" i="29" s="1"/>
  <c r="KC3" i="29"/>
  <c r="KC155" i="29" s="1"/>
  <c r="JV3" i="29"/>
  <c r="JV155" i="29" s="1"/>
  <c r="JO3" i="29"/>
  <c r="JO155" i="29" s="1"/>
  <c r="JH3" i="29"/>
  <c r="JH155" i="29" s="1"/>
  <c r="JA3" i="29"/>
  <c r="JA155" i="29" s="1"/>
  <c r="IT3" i="29"/>
  <c r="IT155" i="29" s="1"/>
  <c r="IM3" i="29"/>
  <c r="IM155" i="29" s="1"/>
  <c r="IF3" i="29"/>
  <c r="IF155" i="29" s="1"/>
  <c r="HY3" i="29"/>
  <c r="HY155" i="29" s="1"/>
  <c r="HR3" i="29"/>
  <c r="HR155" i="29" s="1"/>
  <c r="HK3" i="29"/>
  <c r="HK155" i="29" s="1"/>
  <c r="HD3" i="29"/>
  <c r="HD155" i="29" s="1"/>
  <c r="GW3" i="29"/>
  <c r="GW155" i="29" s="1"/>
  <c r="GP3" i="29"/>
  <c r="GP155" i="29" s="1"/>
  <c r="GI3" i="29"/>
  <c r="GI155" i="29" s="1"/>
  <c r="GB3" i="29"/>
  <c r="GB155" i="29" s="1"/>
  <c r="FU3" i="29"/>
  <c r="FU155" i="29" s="1"/>
  <c r="FN155" i="29"/>
  <c r="FG3" i="29"/>
  <c r="FG155" i="29" s="1"/>
  <c r="EZ3" i="29"/>
  <c r="EZ155" i="29" s="1"/>
  <c r="ES3" i="29"/>
  <c r="ES155" i="29" s="1"/>
  <c r="EL3" i="29"/>
  <c r="EL155" i="29" s="1"/>
  <c r="EE3" i="29"/>
  <c r="EE155" i="29" s="1"/>
  <c r="DX3" i="29"/>
  <c r="DX155" i="29" s="1"/>
  <c r="DQ3" i="29"/>
  <c r="DQ155" i="29" s="1"/>
  <c r="DJ3" i="29"/>
  <c r="DJ155" i="29" s="1"/>
  <c r="DC3" i="29"/>
  <c r="DC155" i="29" s="1"/>
  <c r="CV3" i="29"/>
  <c r="CV155" i="29" s="1"/>
  <c r="CO3" i="29"/>
  <c r="CO155" i="29" s="1"/>
  <c r="CH3" i="29"/>
  <c r="CH155" i="29" s="1"/>
  <c r="CA3" i="29"/>
  <c r="CA155" i="29" s="1"/>
  <c r="BT3" i="29"/>
  <c r="BP3" i="29"/>
  <c r="BT2" i="29"/>
  <c r="BS2" i="29"/>
  <c r="BR2" i="29"/>
  <c r="BQ2" i="29"/>
  <c r="BP2" i="29"/>
  <c r="BP154" i="29" s="1"/>
  <c r="KZ18" i="1"/>
  <c r="KZ76" i="1" s="1"/>
  <c r="KS18" i="1"/>
  <c r="KS76" i="1" s="1"/>
  <c r="KL18" i="1"/>
  <c r="KL76" i="1" s="1"/>
  <c r="KE18" i="1"/>
  <c r="KE76" i="1" s="1"/>
  <c r="JX18" i="1"/>
  <c r="JX76" i="1" s="1"/>
  <c r="JQ18" i="1"/>
  <c r="JQ76" i="1" s="1"/>
  <c r="JJ18" i="1"/>
  <c r="JJ76" i="1" s="1"/>
  <c r="JC18" i="1"/>
  <c r="JC76" i="1" s="1"/>
  <c r="IV18" i="1"/>
  <c r="IV76" i="1" s="1"/>
  <c r="IO18" i="1"/>
  <c r="IO76" i="1" s="1"/>
  <c r="IH18" i="1"/>
  <c r="IH76" i="1" s="1"/>
  <c r="IA18" i="1"/>
  <c r="IA76" i="1" s="1"/>
  <c r="HT18" i="1"/>
  <c r="HT76" i="1" s="1"/>
  <c r="HM18" i="1"/>
  <c r="HM76" i="1" s="1"/>
  <c r="HF18" i="1"/>
  <c r="HF76" i="1" s="1"/>
  <c r="GY18" i="1"/>
  <c r="GY76" i="1" s="1"/>
  <c r="GR18" i="1"/>
  <c r="GR76" i="1" s="1"/>
  <c r="GK18" i="1"/>
  <c r="GK76" i="1" s="1"/>
  <c r="GD18" i="1"/>
  <c r="GD76" i="1" s="1"/>
  <c r="FW18" i="1"/>
  <c r="FW76" i="1" s="1"/>
  <c r="FP18" i="1"/>
  <c r="FP76" i="1" s="1"/>
  <c r="FI18" i="1"/>
  <c r="FI76" i="1" s="1"/>
  <c r="FB18" i="1"/>
  <c r="FB76" i="1" s="1"/>
  <c r="EU18" i="1"/>
  <c r="EU76" i="1" s="1"/>
  <c r="EN18" i="1"/>
  <c r="EN76" i="1" s="1"/>
  <c r="EG18" i="1"/>
  <c r="EG76" i="1" s="1"/>
  <c r="DZ18" i="1"/>
  <c r="DZ76" i="1" s="1"/>
  <c r="DS18" i="1"/>
  <c r="DS76" i="1" s="1"/>
  <c r="DL18" i="1"/>
  <c r="DL76" i="1" s="1"/>
  <c r="DE18" i="1"/>
  <c r="DE76" i="1" s="1"/>
  <c r="CX18" i="1"/>
  <c r="CX76" i="1" s="1"/>
  <c r="CQ18" i="1"/>
  <c r="CQ76" i="1" s="1"/>
  <c r="CJ18" i="1"/>
  <c r="CJ76" i="1" s="1"/>
  <c r="BR18" i="1"/>
  <c r="BR76" i="1" s="1"/>
  <c r="BS5" i="1"/>
  <c r="BT5" i="1" s="1"/>
  <c r="BU5" i="1" s="1"/>
  <c r="BU18" i="1" s="1"/>
  <c r="BU76" i="1" s="1"/>
  <c r="BY5" i="1"/>
  <c r="LU18" i="1"/>
  <c r="LU76" i="1" s="1"/>
  <c r="LN18" i="1"/>
  <c r="LN76" i="1" s="1"/>
  <c r="LG18" i="1"/>
  <c r="LG76" i="1" s="1"/>
  <c r="MG131" i="30" l="1"/>
  <c r="BA131" i="30" s="1"/>
  <c r="MG120" i="30"/>
  <c r="BA120" i="30" s="1"/>
  <c r="MD108" i="30"/>
  <c r="MD137" i="29" s="1"/>
  <c r="BA226" i="30"/>
  <c r="MG317" i="30"/>
  <c r="BA317" i="30" s="1"/>
  <c r="BA233" i="30"/>
  <c r="BA234" i="30" s="1"/>
  <c r="MD285" i="30"/>
  <c r="MD293" i="30" s="1"/>
  <c r="MD50" i="30"/>
  <c r="BA216" i="30"/>
  <c r="BA217" i="30" s="1"/>
  <c r="BA214" i="30"/>
  <c r="MG146" i="30"/>
  <c r="BA146" i="30" s="1"/>
  <c r="BA26" i="30"/>
  <c r="BA253" i="30" s="1"/>
  <c r="MG143" i="30"/>
  <c r="BA143" i="30" s="1"/>
  <c r="BA117" i="30"/>
  <c r="MD21" i="30"/>
  <c r="BA200" i="30"/>
  <c r="BA201" i="30" s="1"/>
  <c r="BA240" i="30"/>
  <c r="BA203" i="30"/>
  <c r="MD126" i="30"/>
  <c r="MD149" i="30" s="1"/>
  <c r="BA227" i="30"/>
  <c r="MG311" i="30"/>
  <c r="BA311" i="30" s="1"/>
  <c r="BA302" i="30"/>
  <c r="MD243" i="30"/>
  <c r="MD246" i="30" s="1"/>
  <c r="BA266" i="30"/>
  <c r="MG53" i="30"/>
  <c r="BA53" i="30" s="1"/>
  <c r="MG90" i="30"/>
  <c r="MG91" i="30" s="1"/>
  <c r="BA91" i="30" s="1"/>
  <c r="MG132" i="30"/>
  <c r="MD55" i="30"/>
  <c r="MD327" i="30"/>
  <c r="MC327" i="30"/>
  <c r="MC285" i="30"/>
  <c r="MD328" i="30"/>
  <c r="ME21" i="30"/>
  <c r="ME31" i="30"/>
  <c r="ME273" i="30" s="1"/>
  <c r="ME276" i="30" s="1"/>
  <c r="ME243" i="30"/>
  <c r="ME246" i="30" s="1"/>
  <c r="ME247" i="30" s="1"/>
  <c r="ME126" i="30"/>
  <c r="MC21" i="30"/>
  <c r="MC50" i="30"/>
  <c r="MC243" i="30"/>
  <c r="MC126" i="30"/>
  <c r="MC31" i="30"/>
  <c r="MG118" i="30"/>
  <c r="MG45" i="30"/>
  <c r="BA45" i="30" s="1"/>
  <c r="MD32" i="30"/>
  <c r="MD276" i="30"/>
  <c r="MF316" i="30"/>
  <c r="MF322" i="30"/>
  <c r="MF327" i="30" s="1"/>
  <c r="MG151" i="30"/>
  <c r="BA151" i="30" s="1"/>
  <c r="MG323" i="30"/>
  <c r="BA323" i="30" s="1"/>
  <c r="MG121" i="30"/>
  <c r="MG48" i="30"/>
  <c r="BA48" i="30" s="1"/>
  <c r="MG103" i="30"/>
  <c r="BA103" i="30" s="1"/>
  <c r="MF126" i="30"/>
  <c r="MF31" i="30"/>
  <c r="MF273" i="30" s="1"/>
  <c r="MF274" i="30" s="1"/>
  <c r="MF243" i="30"/>
  <c r="MF246" i="30" s="1"/>
  <c r="MF247" i="30" s="1"/>
  <c r="MG46" i="30"/>
  <c r="BA46" i="30" s="1"/>
  <c r="MG119" i="30"/>
  <c r="MG20" i="30"/>
  <c r="MF50" i="30"/>
  <c r="MG81" i="30"/>
  <c r="BA81" i="30" s="1"/>
  <c r="LM78" i="1"/>
  <c r="LM81" i="1" s="1"/>
  <c r="LQ78" i="1" s="1"/>
  <c r="LU82" i="1" s="1"/>
  <c r="AZ270" i="30"/>
  <c r="AZ263" i="30"/>
  <c r="AZ266" i="30" s="1"/>
  <c r="AZ183" i="30"/>
  <c r="AZ253" i="30"/>
  <c r="AZ256" i="30" s="1"/>
  <c r="AZ311" i="30"/>
  <c r="AZ132" i="30"/>
  <c r="LZ322" i="30"/>
  <c r="LZ323" i="30"/>
  <c r="AZ323" i="30" s="1"/>
  <c r="AZ131" i="30"/>
  <c r="AZ121" i="30"/>
  <c r="AZ236" i="30"/>
  <c r="LX276" i="30"/>
  <c r="LY276" i="30"/>
  <c r="AZ116" i="30"/>
  <c r="AZ20" i="30"/>
  <c r="LZ126" i="30"/>
  <c r="LZ243" i="30"/>
  <c r="LZ31" i="30"/>
  <c r="LW273" i="30"/>
  <c r="MD274" i="30" s="1"/>
  <c r="LW246" i="30"/>
  <c r="BP76" i="29"/>
  <c r="BP17" i="29"/>
  <c r="BZ5" i="1"/>
  <c r="BW111" i="30"/>
  <c r="BW334" i="30"/>
  <c r="BW65" i="30"/>
  <c r="BW5" i="30"/>
  <c r="BW166" i="30" s="1"/>
  <c r="BR3" i="29"/>
  <c r="BP155" i="29"/>
  <c r="BS3" i="29"/>
  <c r="BP75" i="29"/>
  <c r="CF5" i="1"/>
  <c r="BP16" i="29"/>
  <c r="BQ3" i="29"/>
  <c r="BW3" i="29"/>
  <c r="FQ159" i="5"/>
  <c r="FQ72" i="5"/>
  <c r="FC72" i="5"/>
  <c r="FC159" i="5"/>
  <c r="BI159" i="5"/>
  <c r="BI72" i="5"/>
  <c r="EO159" i="5"/>
  <c r="EO72" i="5"/>
  <c r="BW72" i="5"/>
  <c r="BW159" i="5"/>
  <c r="CK159" i="5"/>
  <c r="CK72" i="5"/>
  <c r="CY72" i="5"/>
  <c r="CY159" i="5"/>
  <c r="DM159" i="5"/>
  <c r="DM72" i="5"/>
  <c r="EA72" i="5"/>
  <c r="EA159" i="5"/>
  <c r="BB72" i="5"/>
  <c r="CD72" i="5"/>
  <c r="DF72" i="5"/>
  <c r="EH72" i="5"/>
  <c r="FJ72" i="5"/>
  <c r="GL72" i="5"/>
  <c r="GE159" i="5"/>
  <c r="BP72" i="5"/>
  <c r="CR72" i="5"/>
  <c r="DT72" i="5"/>
  <c r="EV72" i="5"/>
  <c r="FX72" i="5"/>
  <c r="BS18" i="1"/>
  <c r="BS76" i="1" s="1"/>
  <c r="BT18" i="1"/>
  <c r="BT76" i="1" s="1"/>
  <c r="MG316" i="30" l="1"/>
  <c r="BA316" i="30" s="1"/>
  <c r="BA236" i="30"/>
  <c r="MD127" i="30"/>
  <c r="MD247" i="30"/>
  <c r="BA264" i="30"/>
  <c r="MG108" i="30"/>
  <c r="BA108" i="30" s="1"/>
  <c r="MG322" i="30"/>
  <c r="BA322" i="30" s="1"/>
  <c r="BA237" i="30"/>
  <c r="BA267" i="30"/>
  <c r="MD244" i="30"/>
  <c r="BA254" i="30"/>
  <c r="BA256" i="30"/>
  <c r="BA257" i="30" s="1"/>
  <c r="BA206" i="30"/>
  <c r="BA207" i="30" s="1"/>
  <c r="BA204" i="30"/>
  <c r="BA270" i="30"/>
  <c r="BA271" i="30" s="1"/>
  <c r="BA241" i="30"/>
  <c r="MG152" i="30"/>
  <c r="BA152" i="30" s="1"/>
  <c r="BA132" i="30"/>
  <c r="AZ186" i="30"/>
  <c r="BA187" i="30" s="1"/>
  <c r="BA184" i="30"/>
  <c r="BA20" i="30"/>
  <c r="BA243" i="30" s="1"/>
  <c r="MG144" i="30"/>
  <c r="BA144" i="30" s="1"/>
  <c r="BA118" i="30"/>
  <c r="MG145" i="30"/>
  <c r="BA145" i="30" s="1"/>
  <c r="BA119" i="30"/>
  <c r="MG147" i="30"/>
  <c r="BA147" i="30" s="1"/>
  <c r="BA121" i="30"/>
  <c r="BA90" i="30"/>
  <c r="ME55" i="30"/>
  <c r="ME274" i="30"/>
  <c r="ME32" i="30"/>
  <c r="LN81" i="1"/>
  <c r="MC293" i="30"/>
  <c r="ME244" i="30"/>
  <c r="ME127" i="30"/>
  <c r="ME149" i="30"/>
  <c r="MC273" i="30"/>
  <c r="MC32" i="30"/>
  <c r="MC55" i="30"/>
  <c r="MC127" i="30"/>
  <c r="MC149" i="30"/>
  <c r="MC246" i="30"/>
  <c r="MC247" i="30" s="1"/>
  <c r="MC244" i="30"/>
  <c r="ME277" i="30"/>
  <c r="MG328" i="30"/>
  <c r="BA328" i="30" s="1"/>
  <c r="MF55" i="30"/>
  <c r="MF276" i="30"/>
  <c r="MF277" i="30" s="1"/>
  <c r="MF244" i="30"/>
  <c r="MF32" i="30"/>
  <c r="MG126" i="30"/>
  <c r="MG31" i="30"/>
  <c r="MG243" i="30"/>
  <c r="MG244" i="30" s="1"/>
  <c r="MG21" i="30"/>
  <c r="BA21" i="30" s="1"/>
  <c r="MG50" i="30"/>
  <c r="BA50" i="30" s="1"/>
  <c r="MF149" i="30"/>
  <c r="MF127" i="30"/>
  <c r="AZ243" i="30"/>
  <c r="AZ246" i="30" s="1"/>
  <c r="AZ322" i="30"/>
  <c r="AZ31" i="30"/>
  <c r="AZ273" i="30" s="1"/>
  <c r="LZ273" i="30"/>
  <c r="LW276" i="30"/>
  <c r="MD277" i="30" s="1"/>
  <c r="LZ246" i="30"/>
  <c r="AZ126" i="30"/>
  <c r="LQ81" i="1"/>
  <c r="LU78" i="1"/>
  <c r="BW155" i="29"/>
  <c r="BW76" i="29"/>
  <c r="BW17" i="29"/>
  <c r="CG5" i="1"/>
  <c r="CD111" i="30"/>
  <c r="CD334" i="30"/>
  <c r="CD5" i="30"/>
  <c r="CD166" i="30" s="1"/>
  <c r="CD65" i="30"/>
  <c r="CF18" i="1"/>
  <c r="CF76" i="1" s="1"/>
  <c r="CD3" i="29"/>
  <c r="CM5" i="1"/>
  <c r="CA5" i="1"/>
  <c r="BX111" i="30"/>
  <c r="BX334" i="30"/>
  <c r="BX5" i="30"/>
  <c r="BX166" i="30" s="1"/>
  <c r="BX65" i="30"/>
  <c r="BX76" i="29"/>
  <c r="BX17" i="29"/>
  <c r="BX3" i="29"/>
  <c r="MG327" i="30" l="1"/>
  <c r="BA327" i="30" s="1"/>
  <c r="BA244" i="30"/>
  <c r="BA246" i="30"/>
  <c r="BA247" i="30" s="1"/>
  <c r="MG273" i="30"/>
  <c r="MG276" i="30" s="1"/>
  <c r="BA31" i="30"/>
  <c r="BA273" i="30" s="1"/>
  <c r="MG149" i="30"/>
  <c r="BA149" i="30" s="1"/>
  <c r="BA126" i="30"/>
  <c r="MG246" i="30"/>
  <c r="MG247" i="30" s="1"/>
  <c r="MC276" i="30"/>
  <c r="MC277" i="30" s="1"/>
  <c r="MC274" i="30"/>
  <c r="MG32" i="30"/>
  <c r="BA32" i="30" s="1"/>
  <c r="MG55" i="30"/>
  <c r="BA55" i="30" s="1"/>
  <c r="MG127" i="30"/>
  <c r="BA127" i="30" s="1"/>
  <c r="LZ276" i="30"/>
  <c r="AZ276" i="30"/>
  <c r="LR78" i="1"/>
  <c r="LR81" i="1" s="1"/>
  <c r="LQ93" i="1"/>
  <c r="LQ60" i="1" s="1"/>
  <c r="BX155" i="29"/>
  <c r="CB5" i="1"/>
  <c r="BY111" i="30"/>
  <c r="BY334" i="30"/>
  <c r="BY5" i="30"/>
  <c r="BY166" i="30" s="1"/>
  <c r="BY65" i="30"/>
  <c r="BY17" i="29"/>
  <c r="BY3" i="29"/>
  <c r="BY76" i="29"/>
  <c r="CH5" i="1"/>
  <c r="CE334" i="30"/>
  <c r="CE111" i="30"/>
  <c r="CE5" i="30"/>
  <c r="CE166" i="30" s="1"/>
  <c r="CE65" i="30"/>
  <c r="CE17" i="29"/>
  <c r="CG18" i="1"/>
  <c r="CG76" i="1" s="1"/>
  <c r="CE3" i="29"/>
  <c r="CE155" i="29" s="1"/>
  <c r="CE76" i="29"/>
  <c r="CN5" i="1"/>
  <c r="CK334" i="30"/>
  <c r="CK111" i="30"/>
  <c r="CK5" i="30"/>
  <c r="CK166" i="30" s="1"/>
  <c r="CK65" i="30"/>
  <c r="CM18" i="1"/>
  <c r="CM76" i="1" s="1"/>
  <c r="CT5" i="1"/>
  <c r="CK3" i="29"/>
  <c r="CD155" i="29"/>
  <c r="CD17" i="29"/>
  <c r="CD76" i="29"/>
  <c r="MG274" i="30" l="1"/>
  <c r="BA274" i="30"/>
  <c r="BA276" i="30"/>
  <c r="BA277" i="30" s="1"/>
  <c r="MG277" i="30"/>
  <c r="LS78" i="1"/>
  <c r="LS81" i="1" s="1"/>
  <c r="LR93" i="1"/>
  <c r="LR60" i="1" s="1"/>
  <c r="BY155" i="29"/>
  <c r="CU5" i="1"/>
  <c r="CR334" i="30"/>
  <c r="CR111" i="30"/>
  <c r="CR65" i="30"/>
  <c r="CR5" i="30"/>
  <c r="CR166" i="30" s="1"/>
  <c r="CR3" i="29"/>
  <c r="DA5" i="1"/>
  <c r="CT18" i="1"/>
  <c r="CT76" i="1" s="1"/>
  <c r="CO5" i="1"/>
  <c r="CL334" i="30"/>
  <c r="CL111" i="30"/>
  <c r="CL65" i="30"/>
  <c r="CL5" i="30"/>
  <c r="CL166" i="30" s="1"/>
  <c r="CL76" i="29"/>
  <c r="CN18" i="1"/>
  <c r="CN76" i="1" s="1"/>
  <c r="CL3" i="29"/>
  <c r="CL155" i="29" s="1"/>
  <c r="CL17" i="29"/>
  <c r="CK155" i="29"/>
  <c r="CK17" i="29"/>
  <c r="CK76" i="29"/>
  <c r="CI5" i="1"/>
  <c r="CF334" i="30"/>
  <c r="CF111" i="30"/>
  <c r="CF5" i="30"/>
  <c r="CF166" i="30" s="1"/>
  <c r="CF65" i="30"/>
  <c r="CF17" i="29"/>
  <c r="CH18" i="1"/>
  <c r="CH76" i="1" s="1"/>
  <c r="CF3" i="29"/>
  <c r="CF155" i="29" s="1"/>
  <c r="CF76" i="29"/>
  <c r="BZ334" i="30"/>
  <c r="BZ111" i="30"/>
  <c r="BZ5" i="30"/>
  <c r="BZ166" i="30" s="1"/>
  <c r="BZ65" i="30"/>
  <c r="BZ17" i="29"/>
  <c r="BZ3" i="29"/>
  <c r="BZ76" i="29"/>
  <c r="LT78" i="1" l="1"/>
  <c r="LT81" i="1" s="1"/>
  <c r="LX78" i="1" s="1"/>
  <c r="MB82" i="1" s="1"/>
  <c r="LS93" i="1"/>
  <c r="LS60" i="1" s="1"/>
  <c r="BZ155" i="29"/>
  <c r="DB5" i="1"/>
  <c r="CY111" i="30"/>
  <c r="CY334" i="30"/>
  <c r="CY65" i="30"/>
  <c r="CY5" i="30"/>
  <c r="CY166" i="30" s="1"/>
  <c r="CY3" i="29"/>
  <c r="DH5" i="1"/>
  <c r="DA18" i="1"/>
  <c r="DA76" i="1" s="1"/>
  <c r="CR155" i="29"/>
  <c r="CR76" i="29"/>
  <c r="CR17" i="29"/>
  <c r="CG334" i="30"/>
  <c r="CG111" i="30"/>
  <c r="CG65" i="30"/>
  <c r="CG5" i="30"/>
  <c r="CG166" i="30" s="1"/>
  <c r="CG76" i="29"/>
  <c r="CI18" i="1"/>
  <c r="CI76" i="1" s="1"/>
  <c r="CG3" i="29"/>
  <c r="CG17" i="29"/>
  <c r="CP5" i="1"/>
  <c r="CM334" i="30"/>
  <c r="CM111" i="30"/>
  <c r="CM65" i="30"/>
  <c r="CM5" i="30"/>
  <c r="CM166" i="30" s="1"/>
  <c r="CM76" i="29"/>
  <c r="CM3" i="29"/>
  <c r="CM155" i="29" s="1"/>
  <c r="CM17" i="29"/>
  <c r="CO18" i="1"/>
  <c r="CO76" i="1" s="1"/>
  <c r="CV5" i="1"/>
  <c r="CS111" i="30"/>
  <c r="CS334" i="30"/>
  <c r="CS65" i="30"/>
  <c r="CS5" i="30"/>
  <c r="CS166" i="30" s="1"/>
  <c r="CS76" i="29"/>
  <c r="CS3" i="29"/>
  <c r="CS155" i="29" s="1"/>
  <c r="CS17" i="29"/>
  <c r="CU18" i="1"/>
  <c r="CU76" i="1" s="1"/>
  <c r="MB78" i="1" l="1"/>
  <c r="LX81" i="1"/>
  <c r="LU81" i="1"/>
  <c r="LT93" i="1"/>
  <c r="CG155" i="29"/>
  <c r="DI5" i="1"/>
  <c r="DF111" i="30"/>
  <c r="DF334" i="30"/>
  <c r="DF5" i="30"/>
  <c r="DF166" i="30" s="1"/>
  <c r="DF65" i="30"/>
  <c r="DH18" i="1"/>
  <c r="DH76" i="1" s="1"/>
  <c r="DF3" i="29"/>
  <c r="DO5" i="1"/>
  <c r="CY76" i="29"/>
  <c r="CY155" i="29"/>
  <c r="CY17" i="29"/>
  <c r="CW5" i="1"/>
  <c r="CT111" i="30"/>
  <c r="CT334" i="30"/>
  <c r="CT65" i="30"/>
  <c r="CT5" i="30"/>
  <c r="CT166" i="30" s="1"/>
  <c r="CT76" i="29"/>
  <c r="CT3" i="29"/>
  <c r="CT155" i="29" s="1"/>
  <c r="CT17" i="29"/>
  <c r="CV18" i="1"/>
  <c r="CV76" i="1" s="1"/>
  <c r="CN111" i="30"/>
  <c r="CN334" i="30"/>
  <c r="CN65" i="30"/>
  <c r="CN5" i="30"/>
  <c r="CN166" i="30" s="1"/>
  <c r="CN76" i="29"/>
  <c r="CN3" i="29"/>
  <c r="CN17" i="29"/>
  <c r="CP18" i="1"/>
  <c r="CP76" i="1" s="1"/>
  <c r="DC5" i="1"/>
  <c r="CZ111" i="30"/>
  <c r="CZ334" i="30"/>
  <c r="CZ5" i="30"/>
  <c r="CZ166" i="30" s="1"/>
  <c r="CZ65" i="30"/>
  <c r="CZ76" i="29"/>
  <c r="CZ17" i="29"/>
  <c r="DB18" i="1"/>
  <c r="DB76" i="1" s="1"/>
  <c r="CZ3" i="29"/>
  <c r="CZ155" i="29" s="1"/>
  <c r="LX93" i="1" l="1"/>
  <c r="LY78" i="1"/>
  <c r="LY81" i="1" s="1"/>
  <c r="LU93" i="1"/>
  <c r="LT60" i="1"/>
  <c r="CN155" i="29"/>
  <c r="DP5" i="1"/>
  <c r="DM334" i="30"/>
  <c r="DM111" i="30"/>
  <c r="DM5" i="30"/>
  <c r="DM166" i="30" s="1"/>
  <c r="DM65" i="30"/>
  <c r="DO18" i="1"/>
  <c r="DO76" i="1" s="1"/>
  <c r="DV5" i="1"/>
  <c r="DM3" i="29"/>
  <c r="DF155" i="29"/>
  <c r="DF76" i="29"/>
  <c r="DF17" i="29"/>
  <c r="DD5" i="1"/>
  <c r="DA111" i="30"/>
  <c r="DA334" i="30"/>
  <c r="DA5" i="30"/>
  <c r="DA166" i="30" s="1"/>
  <c r="DA65" i="30"/>
  <c r="DA76" i="29"/>
  <c r="DA17" i="29"/>
  <c r="DC18" i="1"/>
  <c r="DC76" i="1" s="1"/>
  <c r="DA3" i="29"/>
  <c r="DA155" i="29" s="1"/>
  <c r="CU111" i="30"/>
  <c r="CU334" i="30"/>
  <c r="CU5" i="30"/>
  <c r="CU166" i="30" s="1"/>
  <c r="CU65" i="30"/>
  <c r="CU76" i="29"/>
  <c r="CU17" i="29"/>
  <c r="CW18" i="1"/>
  <c r="CW76" i="1" s="1"/>
  <c r="CU3" i="29"/>
  <c r="DJ5" i="1"/>
  <c r="DG334" i="30"/>
  <c r="DG111" i="30"/>
  <c r="DG5" i="30"/>
  <c r="DG166" i="30" s="1"/>
  <c r="DG65" i="30"/>
  <c r="DG76" i="29"/>
  <c r="DG17" i="29"/>
  <c r="DI18" i="1"/>
  <c r="DI76" i="1" s="1"/>
  <c r="DG3" i="29"/>
  <c r="DG155" i="29" s="1"/>
  <c r="FQ26" i="5"/>
  <c r="FP24" i="5"/>
  <c r="FP23" i="5"/>
  <c r="FP22" i="5"/>
  <c r="FP21" i="5"/>
  <c r="FP20" i="5"/>
  <c r="FP19" i="5"/>
  <c r="FP16" i="5"/>
  <c r="FP15" i="5"/>
  <c r="FP14" i="5"/>
  <c r="FQ12" i="5"/>
  <c r="FQ13" i="5"/>
  <c r="HJ43" i="4"/>
  <c r="HJ19" i="4"/>
  <c r="HJ11" i="4"/>
  <c r="N154" i="29"/>
  <c r="O154" i="29"/>
  <c r="P154" i="29"/>
  <c r="Q154" i="29"/>
  <c r="R154" i="29"/>
  <c r="S154" i="29"/>
  <c r="T154" i="29"/>
  <c r="U154" i="29"/>
  <c r="V154" i="29"/>
  <c r="W154" i="29"/>
  <c r="X154" i="29"/>
  <c r="Y154" i="29"/>
  <c r="Z154" i="29"/>
  <c r="AA154" i="29"/>
  <c r="AB154" i="29"/>
  <c r="AC154" i="29"/>
  <c r="AD154" i="29"/>
  <c r="AE154" i="29"/>
  <c r="AF154" i="29"/>
  <c r="AG154" i="29"/>
  <c r="AH154" i="29"/>
  <c r="AI154" i="29"/>
  <c r="AJ154" i="29"/>
  <c r="AK154" i="29"/>
  <c r="AL154" i="29"/>
  <c r="AM154" i="29"/>
  <c r="AN154" i="29"/>
  <c r="AO154" i="29"/>
  <c r="AP154" i="29"/>
  <c r="AQ154" i="29"/>
  <c r="AR154" i="29"/>
  <c r="AS154" i="29"/>
  <c r="AT154" i="29"/>
  <c r="AU154" i="29"/>
  <c r="BQ154" i="29"/>
  <c r="BR154" i="29"/>
  <c r="BS154" i="29"/>
  <c r="BT154" i="29"/>
  <c r="KR154" i="29"/>
  <c r="KS154" i="29"/>
  <c r="B155" i="29"/>
  <c r="C155" i="29"/>
  <c r="D155" i="29"/>
  <c r="E155" i="29"/>
  <c r="F155" i="29"/>
  <c r="G155" i="29"/>
  <c r="H155" i="29"/>
  <c r="I155" i="29"/>
  <c r="J155" i="29"/>
  <c r="K155" i="29"/>
  <c r="L155" i="29"/>
  <c r="M155" i="29"/>
  <c r="N155" i="29"/>
  <c r="O155" i="29"/>
  <c r="P155" i="29"/>
  <c r="Q155" i="29"/>
  <c r="R155" i="29"/>
  <c r="S155" i="29"/>
  <c r="T155" i="29"/>
  <c r="U155" i="29"/>
  <c r="V155" i="29"/>
  <c r="W155" i="29"/>
  <c r="X155" i="29"/>
  <c r="Y155" i="29"/>
  <c r="Z155" i="29"/>
  <c r="AA155" i="29"/>
  <c r="AB155" i="29"/>
  <c r="AC155" i="29"/>
  <c r="AD155" i="29"/>
  <c r="AE155" i="29"/>
  <c r="AF155" i="29"/>
  <c r="AG155" i="29"/>
  <c r="AH155" i="29"/>
  <c r="AI155" i="29"/>
  <c r="AJ155" i="29"/>
  <c r="AK155" i="29"/>
  <c r="AL155" i="29"/>
  <c r="AM155" i="29"/>
  <c r="AN155" i="29"/>
  <c r="AO155" i="29"/>
  <c r="AP155" i="29"/>
  <c r="AQ155" i="29"/>
  <c r="AR155" i="29"/>
  <c r="AS155" i="29"/>
  <c r="AT155" i="29"/>
  <c r="AU155" i="29"/>
  <c r="AV155" i="29"/>
  <c r="AW155" i="29"/>
  <c r="AX155" i="29"/>
  <c r="AY155" i="29"/>
  <c r="BO155" i="29"/>
  <c r="BQ155" i="29"/>
  <c r="BR155" i="29"/>
  <c r="BS155" i="29"/>
  <c r="BT155" i="29"/>
  <c r="KR155" i="29"/>
  <c r="KS155" i="29"/>
  <c r="KX155" i="29"/>
  <c r="AY566" i="30"/>
  <c r="AX566" i="30"/>
  <c r="AW566" i="30"/>
  <c r="AV566" i="30"/>
  <c r="AU566" i="30"/>
  <c r="AT566" i="30"/>
  <c r="AS566" i="30"/>
  <c r="AR566" i="30"/>
  <c r="AQ566" i="30"/>
  <c r="AP566" i="30"/>
  <c r="AO566" i="30"/>
  <c r="AN566" i="30"/>
  <c r="AM566" i="30"/>
  <c r="AL566" i="30"/>
  <c r="AK566" i="30"/>
  <c r="AJ566" i="30"/>
  <c r="AI566" i="30"/>
  <c r="AH566" i="30"/>
  <c r="AG566" i="30"/>
  <c r="AF566" i="30"/>
  <c r="AE566" i="30"/>
  <c r="AD566" i="30"/>
  <c r="AC566" i="30"/>
  <c r="AB566" i="30"/>
  <c r="AA566" i="30"/>
  <c r="Z566" i="30"/>
  <c r="Y566" i="30"/>
  <c r="X566" i="30"/>
  <c r="W566" i="30"/>
  <c r="V566" i="30"/>
  <c r="U566" i="30"/>
  <c r="T566" i="30"/>
  <c r="S566" i="30"/>
  <c r="R566" i="30"/>
  <c r="Q566" i="30"/>
  <c r="P566" i="30"/>
  <c r="O566" i="30"/>
  <c r="N566" i="30"/>
  <c r="AY565" i="30"/>
  <c r="AX565" i="30"/>
  <c r="AW565" i="30"/>
  <c r="AV565" i="30"/>
  <c r="AU565" i="30"/>
  <c r="AT565" i="30"/>
  <c r="AS565" i="30"/>
  <c r="AR565" i="30"/>
  <c r="AQ565" i="30"/>
  <c r="AP565" i="30"/>
  <c r="AO565" i="30"/>
  <c r="AN565" i="30"/>
  <c r="AM565" i="30"/>
  <c r="AL565" i="30"/>
  <c r="AK565" i="30"/>
  <c r="AJ565" i="30"/>
  <c r="AI565" i="30"/>
  <c r="AH565" i="30"/>
  <c r="AG565" i="30"/>
  <c r="AF565" i="30"/>
  <c r="AE565" i="30"/>
  <c r="AD565" i="30"/>
  <c r="AC565" i="30"/>
  <c r="AB565" i="30"/>
  <c r="AA565" i="30"/>
  <c r="Z565" i="30"/>
  <c r="Y565" i="30"/>
  <c r="X565" i="30"/>
  <c r="W565" i="30"/>
  <c r="V565" i="30"/>
  <c r="U565" i="30"/>
  <c r="T565" i="30"/>
  <c r="S565" i="30"/>
  <c r="R565" i="30"/>
  <c r="Q565" i="30"/>
  <c r="P565" i="30"/>
  <c r="O565" i="30"/>
  <c r="N565" i="30"/>
  <c r="AY564" i="30"/>
  <c r="AX564" i="30"/>
  <c r="AW564" i="30"/>
  <c r="AV564" i="30"/>
  <c r="AU564" i="30"/>
  <c r="AT564" i="30"/>
  <c r="AS564" i="30"/>
  <c r="AR564" i="30"/>
  <c r="AQ564" i="30"/>
  <c r="AP564" i="30"/>
  <c r="AO564" i="30"/>
  <c r="AN564" i="30"/>
  <c r="AM564" i="30"/>
  <c r="AL564" i="30"/>
  <c r="AK564" i="30"/>
  <c r="AJ564" i="30"/>
  <c r="AI564" i="30"/>
  <c r="AH564" i="30"/>
  <c r="AG564" i="30"/>
  <c r="AF564" i="30"/>
  <c r="AE564" i="30"/>
  <c r="AD564" i="30"/>
  <c r="AC564" i="30"/>
  <c r="AB564" i="30"/>
  <c r="AA564" i="30"/>
  <c r="Z564" i="30"/>
  <c r="Y564" i="30"/>
  <c r="X564" i="30"/>
  <c r="W564" i="30"/>
  <c r="V564" i="30"/>
  <c r="U564" i="30"/>
  <c r="T564" i="30"/>
  <c r="S564" i="30"/>
  <c r="R564" i="30"/>
  <c r="Q564" i="30"/>
  <c r="P564" i="30"/>
  <c r="O564" i="30"/>
  <c r="N564" i="30"/>
  <c r="AY563" i="30"/>
  <c r="AX563" i="30"/>
  <c r="AW563" i="30"/>
  <c r="AV563" i="30"/>
  <c r="AU563" i="30"/>
  <c r="AT563" i="30"/>
  <c r="AS563" i="30"/>
  <c r="AR563" i="30"/>
  <c r="AQ563" i="30"/>
  <c r="AP563" i="30"/>
  <c r="AO563" i="30"/>
  <c r="AN563" i="30"/>
  <c r="AM563" i="30"/>
  <c r="AL563" i="30"/>
  <c r="AK563" i="30"/>
  <c r="AJ563" i="30"/>
  <c r="AI563" i="30"/>
  <c r="AH563" i="30"/>
  <c r="AG563" i="30"/>
  <c r="AF563" i="30"/>
  <c r="AE563" i="30"/>
  <c r="AD563" i="30"/>
  <c r="AC563" i="30"/>
  <c r="AB563" i="30"/>
  <c r="AA563" i="30"/>
  <c r="Z563" i="30"/>
  <c r="Y563" i="30"/>
  <c r="X563" i="30"/>
  <c r="W563" i="30"/>
  <c r="V563" i="30"/>
  <c r="U563" i="30"/>
  <c r="T563" i="30"/>
  <c r="S563" i="30"/>
  <c r="R563" i="30"/>
  <c r="Q563" i="30"/>
  <c r="P563" i="30"/>
  <c r="O563" i="30"/>
  <c r="N563" i="30"/>
  <c r="AY562" i="30"/>
  <c r="AX562" i="30"/>
  <c r="AW562" i="30"/>
  <c r="AV562" i="30"/>
  <c r="AU562" i="30"/>
  <c r="AT562" i="30"/>
  <c r="AS562" i="30"/>
  <c r="AR562" i="30"/>
  <c r="AQ562" i="30"/>
  <c r="AP562" i="30"/>
  <c r="AO562" i="30"/>
  <c r="AN562" i="30"/>
  <c r="AM562" i="30"/>
  <c r="AL562" i="30"/>
  <c r="AK562" i="30"/>
  <c r="AJ562" i="30"/>
  <c r="AI562" i="30"/>
  <c r="AH562" i="30"/>
  <c r="AG562" i="30"/>
  <c r="AF562" i="30"/>
  <c r="AE562" i="30"/>
  <c r="AD562" i="30"/>
  <c r="AC562" i="30"/>
  <c r="AB562" i="30"/>
  <c r="AA562" i="30"/>
  <c r="Z562" i="30"/>
  <c r="Y562" i="30"/>
  <c r="X562" i="30"/>
  <c r="W562" i="30"/>
  <c r="V562" i="30"/>
  <c r="U562" i="30"/>
  <c r="T562" i="30"/>
  <c r="S562" i="30"/>
  <c r="R562" i="30"/>
  <c r="Q562" i="30"/>
  <c r="P562" i="30"/>
  <c r="O562" i="30"/>
  <c r="N562" i="30"/>
  <c r="AY558" i="30"/>
  <c r="AX558" i="30"/>
  <c r="AW558" i="30"/>
  <c r="AV558" i="30"/>
  <c r="AU558" i="30"/>
  <c r="AT558" i="30"/>
  <c r="AS558" i="30"/>
  <c r="AR558" i="30"/>
  <c r="AQ558" i="30"/>
  <c r="AP558" i="30"/>
  <c r="AO558" i="30"/>
  <c r="AN558" i="30"/>
  <c r="AM558" i="30"/>
  <c r="AL558" i="30"/>
  <c r="AK558" i="30"/>
  <c r="AJ558" i="30"/>
  <c r="AI558" i="30"/>
  <c r="AH558" i="30"/>
  <c r="AG558" i="30"/>
  <c r="AF558" i="30"/>
  <c r="AE558" i="30"/>
  <c r="AD558" i="30"/>
  <c r="AC558" i="30"/>
  <c r="AB558" i="30"/>
  <c r="AA558" i="30"/>
  <c r="Z558" i="30"/>
  <c r="Y558" i="30"/>
  <c r="X558" i="30"/>
  <c r="W558" i="30"/>
  <c r="V558" i="30"/>
  <c r="U558" i="30"/>
  <c r="T558" i="30"/>
  <c r="S558" i="30"/>
  <c r="R558" i="30"/>
  <c r="Q558" i="30"/>
  <c r="P558" i="30"/>
  <c r="O558" i="30"/>
  <c r="N558" i="30"/>
  <c r="AY557" i="30"/>
  <c r="AX557" i="30"/>
  <c r="AW557" i="30"/>
  <c r="AV557" i="30"/>
  <c r="AU557" i="30"/>
  <c r="AT557" i="30"/>
  <c r="AS557" i="30"/>
  <c r="AR557" i="30"/>
  <c r="AQ557" i="30"/>
  <c r="AP557" i="30"/>
  <c r="AO557" i="30"/>
  <c r="AN557" i="30"/>
  <c r="AM557" i="30"/>
  <c r="AL557" i="30"/>
  <c r="AK557" i="30"/>
  <c r="AJ557" i="30"/>
  <c r="AI557" i="30"/>
  <c r="AH557" i="30"/>
  <c r="AG557" i="30"/>
  <c r="AF557" i="30"/>
  <c r="AE557" i="30"/>
  <c r="AD557" i="30"/>
  <c r="AC557" i="30"/>
  <c r="AB557" i="30"/>
  <c r="AA557" i="30"/>
  <c r="Z557" i="30"/>
  <c r="Y557" i="30"/>
  <c r="X557" i="30"/>
  <c r="W557" i="30"/>
  <c r="V557" i="30"/>
  <c r="U557" i="30"/>
  <c r="T557" i="30"/>
  <c r="S557" i="30"/>
  <c r="R557" i="30"/>
  <c r="Q557" i="30"/>
  <c r="P557" i="30"/>
  <c r="O557" i="30"/>
  <c r="N557" i="30"/>
  <c r="AY556" i="30"/>
  <c r="AX556" i="30"/>
  <c r="AW556" i="30"/>
  <c r="AV556" i="30"/>
  <c r="AU556" i="30"/>
  <c r="AT556" i="30"/>
  <c r="AS556" i="30"/>
  <c r="AR556" i="30"/>
  <c r="AQ556" i="30"/>
  <c r="AP556" i="30"/>
  <c r="AO556" i="30"/>
  <c r="AN556" i="30"/>
  <c r="AM556" i="30"/>
  <c r="AL556" i="30"/>
  <c r="AK556" i="30"/>
  <c r="AJ556" i="30"/>
  <c r="AI556" i="30"/>
  <c r="AH556" i="30"/>
  <c r="AG556" i="30"/>
  <c r="AF556" i="30"/>
  <c r="AE556" i="30"/>
  <c r="AD556" i="30"/>
  <c r="AC556" i="30"/>
  <c r="AB556" i="30"/>
  <c r="AA556" i="30"/>
  <c r="Z556" i="30"/>
  <c r="Y556" i="30"/>
  <c r="X556" i="30"/>
  <c r="W556" i="30"/>
  <c r="V556" i="30"/>
  <c r="U556" i="30"/>
  <c r="T556" i="30"/>
  <c r="S556" i="30"/>
  <c r="R556" i="30"/>
  <c r="Q556" i="30"/>
  <c r="P556" i="30"/>
  <c r="O556" i="30"/>
  <c r="N556" i="30"/>
  <c r="AY555" i="30"/>
  <c r="AX555" i="30"/>
  <c r="AW555" i="30"/>
  <c r="AV555" i="30"/>
  <c r="AU555" i="30"/>
  <c r="AT555" i="30"/>
  <c r="AS555" i="30"/>
  <c r="AR555" i="30"/>
  <c r="AQ555" i="30"/>
  <c r="AP555" i="30"/>
  <c r="AO555" i="30"/>
  <c r="AN555" i="30"/>
  <c r="AM555" i="30"/>
  <c r="AL555" i="30"/>
  <c r="AK555" i="30"/>
  <c r="AJ555" i="30"/>
  <c r="AI555" i="30"/>
  <c r="AH555" i="30"/>
  <c r="AG555" i="30"/>
  <c r="AF555" i="30"/>
  <c r="AE555" i="30"/>
  <c r="AD555" i="30"/>
  <c r="AC555" i="30"/>
  <c r="AB555" i="30"/>
  <c r="AA555" i="30"/>
  <c r="Z555" i="30"/>
  <c r="Y555" i="30"/>
  <c r="X555" i="30"/>
  <c r="W555" i="30"/>
  <c r="V555" i="30"/>
  <c r="U555" i="30"/>
  <c r="T555" i="30"/>
  <c r="S555" i="30"/>
  <c r="R555" i="30"/>
  <c r="Q555" i="30"/>
  <c r="P555" i="30"/>
  <c r="O555" i="30"/>
  <c r="N555" i="30"/>
  <c r="AY554" i="30"/>
  <c r="AX554" i="30"/>
  <c r="AW554" i="30"/>
  <c r="AV554" i="30"/>
  <c r="AU554" i="30"/>
  <c r="AT554" i="30"/>
  <c r="AS554" i="30"/>
  <c r="AR554" i="30"/>
  <c r="AQ554" i="30"/>
  <c r="AP554" i="30"/>
  <c r="AO554" i="30"/>
  <c r="AN554" i="30"/>
  <c r="AM554" i="30"/>
  <c r="AL554" i="30"/>
  <c r="AK554" i="30"/>
  <c r="AJ554" i="30"/>
  <c r="AI554" i="30"/>
  <c r="AH554" i="30"/>
  <c r="AG554" i="30"/>
  <c r="AF554" i="30"/>
  <c r="AE554" i="30"/>
  <c r="AD554" i="30"/>
  <c r="AC554" i="30"/>
  <c r="AB554" i="30"/>
  <c r="AA554" i="30"/>
  <c r="Z554" i="30"/>
  <c r="Y554" i="30"/>
  <c r="X554" i="30"/>
  <c r="W554" i="30"/>
  <c r="V554" i="30"/>
  <c r="U554" i="30"/>
  <c r="T554" i="30"/>
  <c r="S554" i="30"/>
  <c r="R554" i="30"/>
  <c r="Q554" i="30"/>
  <c r="P554" i="30"/>
  <c r="O554" i="30"/>
  <c r="N554" i="30"/>
  <c r="AY553" i="30"/>
  <c r="AX553" i="30"/>
  <c r="AW553" i="30"/>
  <c r="AV553" i="30"/>
  <c r="AU553" i="30"/>
  <c r="AT553" i="30"/>
  <c r="AS553" i="30"/>
  <c r="AR553" i="30"/>
  <c r="AQ553" i="30"/>
  <c r="AP553" i="30"/>
  <c r="AO553" i="30"/>
  <c r="AN553" i="30"/>
  <c r="AM553" i="30"/>
  <c r="AL553" i="30"/>
  <c r="AK553" i="30"/>
  <c r="AJ553" i="30"/>
  <c r="AI553" i="30"/>
  <c r="AH553" i="30"/>
  <c r="AG553" i="30"/>
  <c r="AF553" i="30"/>
  <c r="AE553" i="30"/>
  <c r="AD553" i="30"/>
  <c r="AC553" i="30"/>
  <c r="AB553" i="30"/>
  <c r="AA553" i="30"/>
  <c r="Z553" i="30"/>
  <c r="Y553" i="30"/>
  <c r="X553" i="30"/>
  <c r="W553" i="30"/>
  <c r="V553" i="30"/>
  <c r="U553" i="30"/>
  <c r="T553" i="30"/>
  <c r="S553" i="30"/>
  <c r="R553" i="30"/>
  <c r="Q553" i="30"/>
  <c r="P553" i="30"/>
  <c r="O553" i="30"/>
  <c r="N553" i="30"/>
  <c r="AY552" i="30"/>
  <c r="AX552" i="30"/>
  <c r="AW552" i="30"/>
  <c r="AV552" i="30"/>
  <c r="AU552" i="30"/>
  <c r="AT552" i="30"/>
  <c r="AS552" i="30"/>
  <c r="AR552" i="30"/>
  <c r="AQ552" i="30"/>
  <c r="AP552" i="30"/>
  <c r="AO552" i="30"/>
  <c r="AN552" i="30"/>
  <c r="AM552" i="30"/>
  <c r="AL552" i="30"/>
  <c r="AK552" i="30"/>
  <c r="AJ552" i="30"/>
  <c r="AI552" i="30"/>
  <c r="AH552" i="30"/>
  <c r="AG552" i="30"/>
  <c r="AF552" i="30"/>
  <c r="AE552" i="30"/>
  <c r="AD552" i="30"/>
  <c r="AC552" i="30"/>
  <c r="AB552" i="30"/>
  <c r="AA552" i="30"/>
  <c r="Z552" i="30"/>
  <c r="Y552" i="30"/>
  <c r="X552" i="30"/>
  <c r="W552" i="30"/>
  <c r="V552" i="30"/>
  <c r="U552" i="30"/>
  <c r="T552" i="30"/>
  <c r="S552" i="30"/>
  <c r="R552" i="30"/>
  <c r="Q552" i="30"/>
  <c r="P552" i="30"/>
  <c r="O552" i="30"/>
  <c r="N552" i="30"/>
  <c r="AY551" i="30"/>
  <c r="AX551" i="30"/>
  <c r="AW551" i="30"/>
  <c r="AV551" i="30"/>
  <c r="AU551" i="30"/>
  <c r="AT551" i="30"/>
  <c r="AS551" i="30"/>
  <c r="AR551" i="30"/>
  <c r="AQ551" i="30"/>
  <c r="AP551" i="30"/>
  <c r="AO551" i="30"/>
  <c r="AN551" i="30"/>
  <c r="AM551" i="30"/>
  <c r="AL551" i="30"/>
  <c r="AK551" i="30"/>
  <c r="AJ551" i="30"/>
  <c r="AI551" i="30"/>
  <c r="AH551" i="30"/>
  <c r="AG551" i="30"/>
  <c r="AF551" i="30"/>
  <c r="AE551" i="30"/>
  <c r="AD551" i="30"/>
  <c r="AC551" i="30"/>
  <c r="AB551" i="30"/>
  <c r="AA551" i="30"/>
  <c r="Z551" i="30"/>
  <c r="Y551" i="30"/>
  <c r="X551" i="30"/>
  <c r="W551" i="30"/>
  <c r="V551" i="30"/>
  <c r="U551" i="30"/>
  <c r="T551" i="30"/>
  <c r="S551" i="30"/>
  <c r="R551" i="30"/>
  <c r="Q551" i="30"/>
  <c r="P551" i="30"/>
  <c r="O551" i="30"/>
  <c r="N551" i="30"/>
  <c r="AY546" i="30"/>
  <c r="AX546" i="30"/>
  <c r="AW546" i="30"/>
  <c r="AV546" i="30"/>
  <c r="AU546" i="30"/>
  <c r="AT546" i="30"/>
  <c r="AS546" i="30"/>
  <c r="AR546" i="30"/>
  <c r="AQ546" i="30"/>
  <c r="AP546" i="30"/>
  <c r="AO546" i="30"/>
  <c r="AN546" i="30"/>
  <c r="AM546" i="30"/>
  <c r="AL546" i="30"/>
  <c r="AK546" i="30"/>
  <c r="AJ546" i="30"/>
  <c r="AI546" i="30"/>
  <c r="AH546" i="30"/>
  <c r="AG546" i="30"/>
  <c r="AF546" i="30"/>
  <c r="AE546" i="30"/>
  <c r="AD546" i="30"/>
  <c r="AC546" i="30"/>
  <c r="AB546" i="30"/>
  <c r="AA546" i="30"/>
  <c r="Z546" i="30"/>
  <c r="Y546" i="30"/>
  <c r="X546" i="30"/>
  <c r="W546" i="30"/>
  <c r="V546" i="30"/>
  <c r="U546" i="30"/>
  <c r="T546" i="30"/>
  <c r="S546" i="30"/>
  <c r="R546" i="30"/>
  <c r="Q546" i="30"/>
  <c r="P546" i="30"/>
  <c r="O546" i="30"/>
  <c r="N546" i="30"/>
  <c r="AY545" i="30"/>
  <c r="AX545" i="30"/>
  <c r="AW545" i="30"/>
  <c r="AV545" i="30"/>
  <c r="AU545" i="30"/>
  <c r="AT545" i="30"/>
  <c r="AS545" i="30"/>
  <c r="AR545" i="30"/>
  <c r="AQ545" i="30"/>
  <c r="AP545" i="30"/>
  <c r="AO545" i="30"/>
  <c r="AN545" i="30"/>
  <c r="AM545" i="30"/>
  <c r="AL545" i="30"/>
  <c r="AK545" i="30"/>
  <c r="AJ545" i="30"/>
  <c r="AI545" i="30"/>
  <c r="AH545" i="30"/>
  <c r="AG545" i="30"/>
  <c r="AF545" i="30"/>
  <c r="AE545" i="30"/>
  <c r="AD545" i="30"/>
  <c r="AC545" i="30"/>
  <c r="AB545" i="30"/>
  <c r="AA545" i="30"/>
  <c r="Z545" i="30"/>
  <c r="Y545" i="30"/>
  <c r="X545" i="30"/>
  <c r="W545" i="30"/>
  <c r="V545" i="30"/>
  <c r="U545" i="30"/>
  <c r="T545" i="30"/>
  <c r="S545" i="30"/>
  <c r="R545" i="30"/>
  <c r="Q545" i="30"/>
  <c r="P545" i="30"/>
  <c r="O545" i="30"/>
  <c r="N545" i="30"/>
  <c r="AY544" i="30"/>
  <c r="AX544" i="30"/>
  <c r="AW544" i="30"/>
  <c r="AV544" i="30"/>
  <c r="AU544" i="30"/>
  <c r="AT544" i="30"/>
  <c r="AS544" i="30"/>
  <c r="AR544" i="30"/>
  <c r="AQ544" i="30"/>
  <c r="AP544" i="30"/>
  <c r="AO544" i="30"/>
  <c r="AN544" i="30"/>
  <c r="AM544" i="30"/>
  <c r="AL544" i="30"/>
  <c r="AK544" i="30"/>
  <c r="AJ544" i="30"/>
  <c r="AI544" i="30"/>
  <c r="AH544" i="30"/>
  <c r="AG544" i="30"/>
  <c r="AF544" i="30"/>
  <c r="AE544" i="30"/>
  <c r="AD544" i="30"/>
  <c r="AC544" i="30"/>
  <c r="AB544" i="30"/>
  <c r="AA544" i="30"/>
  <c r="Z544" i="30"/>
  <c r="Y544" i="30"/>
  <c r="X544" i="30"/>
  <c r="W544" i="30"/>
  <c r="V544" i="30"/>
  <c r="U544" i="30"/>
  <c r="T544" i="30"/>
  <c r="S544" i="30"/>
  <c r="R544" i="30"/>
  <c r="Q544" i="30"/>
  <c r="P544" i="30"/>
  <c r="O544" i="30"/>
  <c r="N544" i="30"/>
  <c r="AY541" i="30"/>
  <c r="AX541" i="30"/>
  <c r="AW541" i="30"/>
  <c r="AV541" i="30"/>
  <c r="AU541" i="30"/>
  <c r="AT541" i="30"/>
  <c r="AS541" i="30"/>
  <c r="AR541" i="30"/>
  <c r="AQ541" i="30"/>
  <c r="AP541" i="30"/>
  <c r="AO541" i="30"/>
  <c r="AN541" i="30"/>
  <c r="AM541" i="30"/>
  <c r="AL541" i="30"/>
  <c r="AK541" i="30"/>
  <c r="AJ541" i="30"/>
  <c r="AI541" i="30"/>
  <c r="AH541" i="30"/>
  <c r="AG541" i="30"/>
  <c r="AF541" i="30"/>
  <c r="AE541" i="30"/>
  <c r="AD541" i="30"/>
  <c r="AC541" i="30"/>
  <c r="AB541" i="30"/>
  <c r="AA541" i="30"/>
  <c r="Z541" i="30"/>
  <c r="Y541" i="30"/>
  <c r="X541" i="30"/>
  <c r="W541" i="30"/>
  <c r="V541" i="30"/>
  <c r="U541" i="30"/>
  <c r="T541" i="30"/>
  <c r="S541" i="30"/>
  <c r="R541" i="30"/>
  <c r="Q541" i="30"/>
  <c r="P541" i="30"/>
  <c r="O541" i="30"/>
  <c r="N541" i="30"/>
  <c r="AY540" i="30"/>
  <c r="AX540" i="30"/>
  <c r="AW540" i="30"/>
  <c r="AV540" i="30"/>
  <c r="AU540" i="30"/>
  <c r="AT540" i="30"/>
  <c r="AS540" i="30"/>
  <c r="AR540" i="30"/>
  <c r="AQ540" i="30"/>
  <c r="AP540" i="30"/>
  <c r="AO540" i="30"/>
  <c r="AN540" i="30"/>
  <c r="AM540" i="30"/>
  <c r="AL540" i="30"/>
  <c r="AK540" i="30"/>
  <c r="AJ540" i="30"/>
  <c r="AI540" i="30"/>
  <c r="AH540" i="30"/>
  <c r="AG540" i="30"/>
  <c r="AF540" i="30"/>
  <c r="AE540" i="30"/>
  <c r="AD540" i="30"/>
  <c r="AC540" i="30"/>
  <c r="AB540" i="30"/>
  <c r="AA540" i="30"/>
  <c r="Z540" i="30"/>
  <c r="Y540" i="30"/>
  <c r="X540" i="30"/>
  <c r="W540" i="30"/>
  <c r="V540" i="30"/>
  <c r="U540" i="30"/>
  <c r="T540" i="30"/>
  <c r="S540" i="30"/>
  <c r="R540" i="30"/>
  <c r="Q540" i="30"/>
  <c r="P540" i="30"/>
  <c r="O540" i="30"/>
  <c r="N540" i="30"/>
  <c r="AY539" i="30"/>
  <c r="AX539" i="30"/>
  <c r="AW539" i="30"/>
  <c r="AV539" i="30"/>
  <c r="AU539" i="30"/>
  <c r="AT539" i="30"/>
  <c r="AS539" i="30"/>
  <c r="AR539" i="30"/>
  <c r="AQ539" i="30"/>
  <c r="AP539" i="30"/>
  <c r="AO539" i="30"/>
  <c r="AN539" i="30"/>
  <c r="AM539" i="30"/>
  <c r="AL539" i="30"/>
  <c r="AK539" i="30"/>
  <c r="AJ539" i="30"/>
  <c r="AI539" i="30"/>
  <c r="AH539" i="30"/>
  <c r="AG539" i="30"/>
  <c r="AF539" i="30"/>
  <c r="AE539" i="30"/>
  <c r="AD539" i="30"/>
  <c r="AC539" i="30"/>
  <c r="AB539" i="30"/>
  <c r="AA539" i="30"/>
  <c r="Z539" i="30"/>
  <c r="Y539" i="30"/>
  <c r="X539" i="30"/>
  <c r="W539" i="30"/>
  <c r="V539" i="30"/>
  <c r="U539" i="30"/>
  <c r="T539" i="30"/>
  <c r="S539" i="30"/>
  <c r="R539" i="30"/>
  <c r="Q539" i="30"/>
  <c r="P539" i="30"/>
  <c r="O539" i="30"/>
  <c r="N539" i="30"/>
  <c r="AY536" i="30"/>
  <c r="AX536" i="30"/>
  <c r="AW536" i="30"/>
  <c r="AV536" i="30"/>
  <c r="AU536" i="30"/>
  <c r="AT536" i="30"/>
  <c r="AS536" i="30"/>
  <c r="AR536" i="30"/>
  <c r="AQ536" i="30"/>
  <c r="AP536" i="30"/>
  <c r="AO536" i="30"/>
  <c r="AN536" i="30"/>
  <c r="AM536" i="30"/>
  <c r="AL536" i="30"/>
  <c r="AK536" i="30"/>
  <c r="AJ536" i="30"/>
  <c r="AI536" i="30"/>
  <c r="AH536" i="30"/>
  <c r="AG536" i="30"/>
  <c r="AF536" i="30"/>
  <c r="AE536" i="30"/>
  <c r="AD536" i="30"/>
  <c r="AC536" i="30"/>
  <c r="AB536" i="30"/>
  <c r="AA536" i="30"/>
  <c r="Z536" i="30"/>
  <c r="Y536" i="30"/>
  <c r="X536" i="30"/>
  <c r="W536" i="30"/>
  <c r="V536" i="30"/>
  <c r="U536" i="30"/>
  <c r="T536" i="30"/>
  <c r="S536" i="30"/>
  <c r="R536" i="30"/>
  <c r="Q536" i="30"/>
  <c r="P536" i="30"/>
  <c r="O536" i="30"/>
  <c r="N536" i="30"/>
  <c r="AY535" i="30"/>
  <c r="AX535" i="30"/>
  <c r="AW535" i="30"/>
  <c r="AV535" i="30"/>
  <c r="AU535" i="30"/>
  <c r="AT535" i="30"/>
  <c r="AS535" i="30"/>
  <c r="AR535" i="30"/>
  <c r="AQ535" i="30"/>
  <c r="AP535" i="30"/>
  <c r="AO535" i="30"/>
  <c r="AN535" i="30"/>
  <c r="AM535" i="30"/>
  <c r="AL535" i="30"/>
  <c r="AK535" i="30"/>
  <c r="AJ535" i="30"/>
  <c r="AI535" i="30"/>
  <c r="AH535" i="30"/>
  <c r="AG535" i="30"/>
  <c r="AF535" i="30"/>
  <c r="AE535" i="30"/>
  <c r="AD535" i="30"/>
  <c r="AC535" i="30"/>
  <c r="AB535" i="30"/>
  <c r="AA535" i="30"/>
  <c r="Z535" i="30"/>
  <c r="Y535" i="30"/>
  <c r="X535" i="30"/>
  <c r="W535" i="30"/>
  <c r="V535" i="30"/>
  <c r="U535" i="30"/>
  <c r="T535" i="30"/>
  <c r="S535" i="30"/>
  <c r="R535" i="30"/>
  <c r="Q535" i="30"/>
  <c r="P535" i="30"/>
  <c r="O535" i="30"/>
  <c r="N535" i="30"/>
  <c r="AY534" i="30"/>
  <c r="AX534" i="30"/>
  <c r="AW534" i="30"/>
  <c r="AV534" i="30"/>
  <c r="AU534" i="30"/>
  <c r="AT534" i="30"/>
  <c r="AS534" i="30"/>
  <c r="AR534" i="30"/>
  <c r="AQ534" i="30"/>
  <c r="AP534" i="30"/>
  <c r="AO534" i="30"/>
  <c r="AN534" i="30"/>
  <c r="AM534" i="30"/>
  <c r="AL534" i="30"/>
  <c r="AK534" i="30"/>
  <c r="AJ534" i="30"/>
  <c r="AI534" i="30"/>
  <c r="AH534" i="30"/>
  <c r="AG534" i="30"/>
  <c r="AF534" i="30"/>
  <c r="AE534" i="30"/>
  <c r="AD534" i="30"/>
  <c r="AC534" i="30"/>
  <c r="AB534" i="30"/>
  <c r="AA534" i="30"/>
  <c r="Z534" i="30"/>
  <c r="Y534" i="30"/>
  <c r="X534" i="30"/>
  <c r="W534" i="30"/>
  <c r="V534" i="30"/>
  <c r="U534" i="30"/>
  <c r="T534" i="30"/>
  <c r="S534" i="30"/>
  <c r="R534" i="30"/>
  <c r="Q534" i="30"/>
  <c r="P534" i="30"/>
  <c r="O534" i="30"/>
  <c r="N534" i="30"/>
  <c r="AY531" i="30"/>
  <c r="AX531" i="30"/>
  <c r="AW531" i="30"/>
  <c r="AV531" i="30"/>
  <c r="AU531" i="30"/>
  <c r="AT531" i="30"/>
  <c r="AS531" i="30"/>
  <c r="AR531" i="30"/>
  <c r="AQ531" i="30"/>
  <c r="AP531" i="30"/>
  <c r="AO531" i="30"/>
  <c r="AN531" i="30"/>
  <c r="AM531" i="30"/>
  <c r="AL531" i="30"/>
  <c r="AK531" i="30"/>
  <c r="AJ531" i="30"/>
  <c r="AI531" i="30"/>
  <c r="AH531" i="30"/>
  <c r="AG531" i="30"/>
  <c r="AF531" i="30"/>
  <c r="AE531" i="30"/>
  <c r="AD531" i="30"/>
  <c r="AC531" i="30"/>
  <c r="AB531" i="30"/>
  <c r="AA531" i="30"/>
  <c r="Z531" i="30"/>
  <c r="Y531" i="30"/>
  <c r="X531" i="30"/>
  <c r="W531" i="30"/>
  <c r="V531" i="30"/>
  <c r="U531" i="30"/>
  <c r="T531" i="30"/>
  <c r="S531" i="30"/>
  <c r="R531" i="30"/>
  <c r="Q531" i="30"/>
  <c r="P531" i="30"/>
  <c r="O531" i="30"/>
  <c r="N531" i="30"/>
  <c r="AY530" i="30"/>
  <c r="AX530" i="30"/>
  <c r="AW530" i="30"/>
  <c r="AV530" i="30"/>
  <c r="AU530" i="30"/>
  <c r="AT530" i="30"/>
  <c r="AS530" i="30"/>
  <c r="AR530" i="30"/>
  <c r="AQ530" i="30"/>
  <c r="AP530" i="30"/>
  <c r="AO530" i="30"/>
  <c r="AN530" i="30"/>
  <c r="AM530" i="30"/>
  <c r="AL530" i="30"/>
  <c r="AK530" i="30"/>
  <c r="AJ530" i="30"/>
  <c r="AI530" i="30"/>
  <c r="AH530" i="30"/>
  <c r="AG530" i="30"/>
  <c r="AF530" i="30"/>
  <c r="AE530" i="30"/>
  <c r="AD530" i="30"/>
  <c r="AC530" i="30"/>
  <c r="AB530" i="30"/>
  <c r="AA530" i="30"/>
  <c r="Z530" i="30"/>
  <c r="Y530" i="30"/>
  <c r="X530" i="30"/>
  <c r="W530" i="30"/>
  <c r="V530" i="30"/>
  <c r="U530" i="30"/>
  <c r="T530" i="30"/>
  <c r="S530" i="30"/>
  <c r="R530" i="30"/>
  <c r="Q530" i="30"/>
  <c r="P530" i="30"/>
  <c r="O530" i="30"/>
  <c r="N530" i="30"/>
  <c r="AY529" i="30"/>
  <c r="AX529" i="30"/>
  <c r="AW529" i="30"/>
  <c r="AV529" i="30"/>
  <c r="AU529" i="30"/>
  <c r="AT529" i="30"/>
  <c r="AS529" i="30"/>
  <c r="AR529" i="30"/>
  <c r="AQ529" i="30"/>
  <c r="AP529" i="30"/>
  <c r="AO529" i="30"/>
  <c r="AN529" i="30"/>
  <c r="AM529" i="30"/>
  <c r="AL529" i="30"/>
  <c r="AK529" i="30"/>
  <c r="AJ529" i="30"/>
  <c r="AI529" i="30"/>
  <c r="AH529" i="30"/>
  <c r="AG529" i="30"/>
  <c r="AF529" i="30"/>
  <c r="AE529" i="30"/>
  <c r="AD529" i="30"/>
  <c r="AC529" i="30"/>
  <c r="AB529" i="30"/>
  <c r="AA529" i="30"/>
  <c r="Z529" i="30"/>
  <c r="Y529" i="30"/>
  <c r="X529" i="30"/>
  <c r="W529" i="30"/>
  <c r="V529" i="30"/>
  <c r="U529" i="30"/>
  <c r="T529" i="30"/>
  <c r="S529" i="30"/>
  <c r="R529" i="30"/>
  <c r="Q529" i="30"/>
  <c r="P529" i="30"/>
  <c r="O529" i="30"/>
  <c r="N529" i="30"/>
  <c r="AY526" i="30"/>
  <c r="AX526" i="30"/>
  <c r="AW526" i="30"/>
  <c r="AV526" i="30"/>
  <c r="AU526" i="30"/>
  <c r="AT526" i="30"/>
  <c r="AS526" i="30"/>
  <c r="AR526" i="30"/>
  <c r="AQ526" i="30"/>
  <c r="AP526" i="30"/>
  <c r="AO526" i="30"/>
  <c r="AN526" i="30"/>
  <c r="AM526" i="30"/>
  <c r="AL526" i="30"/>
  <c r="AK526" i="30"/>
  <c r="AJ526" i="30"/>
  <c r="AI526" i="30"/>
  <c r="AH526" i="30"/>
  <c r="AG526" i="30"/>
  <c r="AF526" i="30"/>
  <c r="AE526" i="30"/>
  <c r="AD526" i="30"/>
  <c r="AC526" i="30"/>
  <c r="AB526" i="30"/>
  <c r="AA526" i="30"/>
  <c r="Z526" i="30"/>
  <c r="Y526" i="30"/>
  <c r="X526" i="30"/>
  <c r="W526" i="30"/>
  <c r="V526" i="30"/>
  <c r="U526" i="30"/>
  <c r="T526" i="30"/>
  <c r="S526" i="30"/>
  <c r="R526" i="30"/>
  <c r="Q526" i="30"/>
  <c r="P526" i="30"/>
  <c r="O526" i="30"/>
  <c r="N526" i="30"/>
  <c r="AY525" i="30"/>
  <c r="AX525" i="30"/>
  <c r="AW525" i="30"/>
  <c r="AV525" i="30"/>
  <c r="AU525" i="30"/>
  <c r="AT525" i="30"/>
  <c r="AS525" i="30"/>
  <c r="AR525" i="30"/>
  <c r="AQ525" i="30"/>
  <c r="AP525" i="30"/>
  <c r="AO525" i="30"/>
  <c r="AN525" i="30"/>
  <c r="AM525" i="30"/>
  <c r="AL525" i="30"/>
  <c r="AK525" i="30"/>
  <c r="AJ525" i="30"/>
  <c r="AI525" i="30"/>
  <c r="AH525" i="30"/>
  <c r="AG525" i="30"/>
  <c r="AF525" i="30"/>
  <c r="AE525" i="30"/>
  <c r="AD525" i="30"/>
  <c r="AC525" i="30"/>
  <c r="AB525" i="30"/>
  <c r="AA525" i="30"/>
  <c r="Z525" i="30"/>
  <c r="Y525" i="30"/>
  <c r="X525" i="30"/>
  <c r="W525" i="30"/>
  <c r="V525" i="30"/>
  <c r="U525" i="30"/>
  <c r="T525" i="30"/>
  <c r="S525" i="30"/>
  <c r="R525" i="30"/>
  <c r="Q525" i="30"/>
  <c r="P525" i="30"/>
  <c r="O525" i="30"/>
  <c r="N525" i="30"/>
  <c r="AY524" i="30"/>
  <c r="AX524" i="30"/>
  <c r="AW524" i="30"/>
  <c r="AV524" i="30"/>
  <c r="AU524" i="30"/>
  <c r="AT524" i="30"/>
  <c r="AS524" i="30"/>
  <c r="AR524" i="30"/>
  <c r="AQ524" i="30"/>
  <c r="AP524" i="30"/>
  <c r="AO524" i="30"/>
  <c r="AN524" i="30"/>
  <c r="AM524" i="30"/>
  <c r="AL524" i="30"/>
  <c r="AK524" i="30"/>
  <c r="AJ524" i="30"/>
  <c r="AI524" i="30"/>
  <c r="AH524" i="30"/>
  <c r="AG524" i="30"/>
  <c r="AF524" i="30"/>
  <c r="AE524" i="30"/>
  <c r="AD524" i="30"/>
  <c r="AC524" i="30"/>
  <c r="AB524" i="30"/>
  <c r="AA524" i="30"/>
  <c r="Z524" i="30"/>
  <c r="Y524" i="30"/>
  <c r="X524" i="30"/>
  <c r="W524" i="30"/>
  <c r="V524" i="30"/>
  <c r="U524" i="30"/>
  <c r="T524" i="30"/>
  <c r="S524" i="30"/>
  <c r="R524" i="30"/>
  <c r="Q524" i="30"/>
  <c r="P524" i="30"/>
  <c r="O524" i="30"/>
  <c r="N524" i="30"/>
  <c r="AY518" i="30"/>
  <c r="AX518" i="30"/>
  <c r="AW518" i="30"/>
  <c r="AV518" i="30"/>
  <c r="AU518" i="30"/>
  <c r="AT518" i="30"/>
  <c r="AS518" i="30"/>
  <c r="AR518" i="30"/>
  <c r="AQ518" i="30"/>
  <c r="AP518" i="30"/>
  <c r="AO518" i="30"/>
  <c r="AN518" i="30"/>
  <c r="AM518" i="30"/>
  <c r="AL518" i="30"/>
  <c r="AK518" i="30"/>
  <c r="AJ518" i="30"/>
  <c r="AI518" i="30"/>
  <c r="AH518" i="30"/>
  <c r="AG518" i="30"/>
  <c r="AF518" i="30"/>
  <c r="AE518" i="30"/>
  <c r="AD518" i="30"/>
  <c r="AC518" i="30"/>
  <c r="AB518" i="30"/>
  <c r="AA518" i="30"/>
  <c r="Z518" i="30"/>
  <c r="Y518" i="30"/>
  <c r="X518" i="30"/>
  <c r="W518" i="30"/>
  <c r="V518" i="30"/>
  <c r="U518" i="30"/>
  <c r="T518" i="30"/>
  <c r="S518" i="30"/>
  <c r="R518" i="30"/>
  <c r="Q518" i="30"/>
  <c r="P518" i="30"/>
  <c r="O518" i="30"/>
  <c r="N518" i="30"/>
  <c r="AY517" i="30"/>
  <c r="AX517" i="30"/>
  <c r="AW517" i="30"/>
  <c r="AV517" i="30"/>
  <c r="AU517" i="30"/>
  <c r="AT517" i="30"/>
  <c r="AS517" i="30"/>
  <c r="AR517" i="30"/>
  <c r="AQ517" i="30"/>
  <c r="AP517" i="30"/>
  <c r="AO517" i="30"/>
  <c r="AN517" i="30"/>
  <c r="AM517" i="30"/>
  <c r="AL517" i="30"/>
  <c r="AK517" i="30"/>
  <c r="AJ517" i="30"/>
  <c r="AI517" i="30"/>
  <c r="AH517" i="30"/>
  <c r="AG517" i="30"/>
  <c r="AF517" i="30"/>
  <c r="AE517" i="30"/>
  <c r="AD517" i="30"/>
  <c r="AC517" i="30"/>
  <c r="AB517" i="30"/>
  <c r="AA517" i="30"/>
  <c r="Z517" i="30"/>
  <c r="Y517" i="30"/>
  <c r="X517" i="30"/>
  <c r="W517" i="30"/>
  <c r="V517" i="30"/>
  <c r="U517" i="30"/>
  <c r="T517" i="30"/>
  <c r="S517" i="30"/>
  <c r="R517" i="30"/>
  <c r="Q517" i="30"/>
  <c r="P517" i="30"/>
  <c r="O517" i="30"/>
  <c r="N517" i="30"/>
  <c r="AY516" i="30"/>
  <c r="AX516" i="30"/>
  <c r="AW516" i="30"/>
  <c r="AV516" i="30"/>
  <c r="AU516" i="30"/>
  <c r="AT516" i="30"/>
  <c r="AS516" i="30"/>
  <c r="AR516" i="30"/>
  <c r="AQ516" i="30"/>
  <c r="AP516" i="30"/>
  <c r="AO516" i="30"/>
  <c r="AN516" i="30"/>
  <c r="AM516" i="30"/>
  <c r="AL516" i="30"/>
  <c r="AK516" i="30"/>
  <c r="AJ516" i="30"/>
  <c r="AI516" i="30"/>
  <c r="AH516" i="30"/>
  <c r="AG516" i="30"/>
  <c r="AF516" i="30"/>
  <c r="AE516" i="30"/>
  <c r="AD516" i="30"/>
  <c r="AC516" i="30"/>
  <c r="AB516" i="30"/>
  <c r="AA516" i="30"/>
  <c r="Z516" i="30"/>
  <c r="Y516" i="30"/>
  <c r="X516" i="30"/>
  <c r="W516" i="30"/>
  <c r="V516" i="30"/>
  <c r="U516" i="30"/>
  <c r="T516" i="30"/>
  <c r="S516" i="30"/>
  <c r="R516" i="30"/>
  <c r="Q516" i="30"/>
  <c r="P516" i="30"/>
  <c r="O516" i="30"/>
  <c r="N516" i="30"/>
  <c r="AY515" i="30"/>
  <c r="AX515" i="30"/>
  <c r="AW515" i="30"/>
  <c r="AV515" i="30"/>
  <c r="AU515" i="30"/>
  <c r="AT515" i="30"/>
  <c r="AS515" i="30"/>
  <c r="AR515" i="30"/>
  <c r="AQ515" i="30"/>
  <c r="AP515" i="30"/>
  <c r="AO515" i="30"/>
  <c r="AN515" i="30"/>
  <c r="AM515" i="30"/>
  <c r="AL515" i="30"/>
  <c r="AK515" i="30"/>
  <c r="AJ515" i="30"/>
  <c r="AI515" i="30"/>
  <c r="AH515" i="30"/>
  <c r="AG515" i="30"/>
  <c r="AF515" i="30"/>
  <c r="AE515" i="30"/>
  <c r="AD515" i="30"/>
  <c r="AC515" i="30"/>
  <c r="AB515" i="30"/>
  <c r="AA515" i="30"/>
  <c r="Z515" i="30"/>
  <c r="Y515" i="30"/>
  <c r="X515" i="30"/>
  <c r="W515" i="30"/>
  <c r="V515" i="30"/>
  <c r="U515" i="30"/>
  <c r="T515" i="30"/>
  <c r="S515" i="30"/>
  <c r="R515" i="30"/>
  <c r="Q515" i="30"/>
  <c r="P515" i="30"/>
  <c r="O515" i="30"/>
  <c r="N515" i="30"/>
  <c r="AY514" i="30"/>
  <c r="AX514" i="30"/>
  <c r="AW514" i="30"/>
  <c r="AV514" i="30"/>
  <c r="AU514" i="30"/>
  <c r="AT514" i="30"/>
  <c r="AS514" i="30"/>
  <c r="AR514" i="30"/>
  <c r="AQ514" i="30"/>
  <c r="AP514" i="30"/>
  <c r="AO514" i="30"/>
  <c r="AN514" i="30"/>
  <c r="AM514" i="30"/>
  <c r="AL514" i="30"/>
  <c r="AK514" i="30"/>
  <c r="AJ514" i="30"/>
  <c r="AI514" i="30"/>
  <c r="AH514" i="30"/>
  <c r="AG514" i="30"/>
  <c r="AF514" i="30"/>
  <c r="AE514" i="30"/>
  <c r="AD514" i="30"/>
  <c r="AC514" i="30"/>
  <c r="AB514" i="30"/>
  <c r="AA514" i="30"/>
  <c r="Z514" i="30"/>
  <c r="Y514" i="30"/>
  <c r="X514" i="30"/>
  <c r="W514" i="30"/>
  <c r="V514" i="30"/>
  <c r="U514" i="30"/>
  <c r="T514" i="30"/>
  <c r="S514" i="30"/>
  <c r="R514" i="30"/>
  <c r="Q514" i="30"/>
  <c r="P514" i="30"/>
  <c r="O514" i="30"/>
  <c r="N514" i="30"/>
  <c r="AY513" i="30"/>
  <c r="AX513" i="30"/>
  <c r="AW513" i="30"/>
  <c r="AV513" i="30"/>
  <c r="AU513" i="30"/>
  <c r="AT513" i="30"/>
  <c r="AS513" i="30"/>
  <c r="AR513" i="30"/>
  <c r="AQ513" i="30"/>
  <c r="AP513" i="30"/>
  <c r="AO513" i="30"/>
  <c r="AN513" i="30"/>
  <c r="AM513" i="30"/>
  <c r="AL513" i="30"/>
  <c r="AK513" i="30"/>
  <c r="AJ513" i="30"/>
  <c r="AI513" i="30"/>
  <c r="AH513" i="30"/>
  <c r="AG513" i="30"/>
  <c r="AF513" i="30"/>
  <c r="AE513" i="30"/>
  <c r="AD513" i="30"/>
  <c r="AC513" i="30"/>
  <c r="AB513" i="30"/>
  <c r="AA513" i="30"/>
  <c r="Z513" i="30"/>
  <c r="Y513" i="30"/>
  <c r="X513" i="30"/>
  <c r="W513" i="30"/>
  <c r="V513" i="30"/>
  <c r="U513" i="30"/>
  <c r="T513" i="30"/>
  <c r="S513" i="30"/>
  <c r="R513" i="30"/>
  <c r="Q513" i="30"/>
  <c r="P513" i="30"/>
  <c r="O513" i="30"/>
  <c r="N513" i="30"/>
  <c r="AY510" i="30"/>
  <c r="AX510" i="30"/>
  <c r="AW510" i="30"/>
  <c r="AV510" i="30"/>
  <c r="AU510" i="30"/>
  <c r="AT510" i="30"/>
  <c r="AS510" i="30"/>
  <c r="AR510" i="30"/>
  <c r="AQ510" i="30"/>
  <c r="AP510" i="30"/>
  <c r="AO510" i="30"/>
  <c r="AN510" i="30"/>
  <c r="AM510" i="30"/>
  <c r="AL510" i="30"/>
  <c r="AK510" i="30"/>
  <c r="AJ510" i="30"/>
  <c r="AI510" i="30"/>
  <c r="AH510" i="30"/>
  <c r="AG510" i="30"/>
  <c r="AF510" i="30"/>
  <c r="AE510" i="30"/>
  <c r="AD510" i="30"/>
  <c r="AC510" i="30"/>
  <c r="AB510" i="30"/>
  <c r="AA510" i="30"/>
  <c r="Z510" i="30"/>
  <c r="Y510" i="30"/>
  <c r="X510" i="30"/>
  <c r="W510" i="30"/>
  <c r="V510" i="30"/>
  <c r="U510" i="30"/>
  <c r="T510" i="30"/>
  <c r="S510" i="30"/>
  <c r="R510" i="30"/>
  <c r="Q510" i="30"/>
  <c r="P510" i="30"/>
  <c r="O510" i="30"/>
  <c r="N510" i="30"/>
  <c r="AY502" i="30"/>
  <c r="AX502" i="30"/>
  <c r="AW502" i="30"/>
  <c r="AV502" i="30"/>
  <c r="AU502" i="30"/>
  <c r="AT502" i="30"/>
  <c r="AS502" i="30"/>
  <c r="AR502" i="30"/>
  <c r="AQ502" i="30"/>
  <c r="AP502" i="30"/>
  <c r="AO502" i="30"/>
  <c r="AN502" i="30"/>
  <c r="AM502" i="30"/>
  <c r="AL502" i="30"/>
  <c r="AK502" i="30"/>
  <c r="AJ502" i="30"/>
  <c r="AI502" i="30"/>
  <c r="AH502" i="30"/>
  <c r="AG502" i="30"/>
  <c r="AF502" i="30"/>
  <c r="AE502" i="30"/>
  <c r="AD502" i="30"/>
  <c r="AC502" i="30"/>
  <c r="AB502" i="30"/>
  <c r="AA502" i="30"/>
  <c r="Z502" i="30"/>
  <c r="Y502" i="30"/>
  <c r="X502" i="30"/>
  <c r="W502" i="30"/>
  <c r="V502" i="30"/>
  <c r="U502" i="30"/>
  <c r="T502" i="30"/>
  <c r="S502" i="30"/>
  <c r="R502" i="30"/>
  <c r="Q502" i="30"/>
  <c r="P502" i="30"/>
  <c r="O502" i="30"/>
  <c r="N502" i="30"/>
  <c r="AY494" i="30"/>
  <c r="AX494" i="30"/>
  <c r="AW494" i="30"/>
  <c r="AV494" i="30"/>
  <c r="AU494" i="30"/>
  <c r="AT494" i="30"/>
  <c r="AS494" i="30"/>
  <c r="AR494" i="30"/>
  <c r="AQ494" i="30"/>
  <c r="AP494" i="30"/>
  <c r="AO494" i="30"/>
  <c r="AN494" i="30"/>
  <c r="AM494" i="30"/>
  <c r="AL494" i="30"/>
  <c r="AK494" i="30"/>
  <c r="AJ494" i="30"/>
  <c r="AI494" i="30"/>
  <c r="AH494" i="30"/>
  <c r="AG494" i="30"/>
  <c r="AF494" i="30"/>
  <c r="AE494" i="30"/>
  <c r="AD494" i="30"/>
  <c r="AC494" i="30"/>
  <c r="AB494" i="30"/>
  <c r="AA494" i="30"/>
  <c r="Z494" i="30"/>
  <c r="Y494" i="30"/>
  <c r="X494" i="30"/>
  <c r="W494" i="30"/>
  <c r="V494" i="30"/>
  <c r="U494" i="30"/>
  <c r="T494" i="30"/>
  <c r="S494" i="30"/>
  <c r="R494" i="30"/>
  <c r="Q494" i="30"/>
  <c r="P494" i="30"/>
  <c r="O494" i="30"/>
  <c r="N494" i="30"/>
  <c r="AY493" i="30"/>
  <c r="AX493" i="30"/>
  <c r="AW493" i="30"/>
  <c r="AV493" i="30"/>
  <c r="AU493" i="30"/>
  <c r="AT493" i="30"/>
  <c r="AS493" i="30"/>
  <c r="AR493" i="30"/>
  <c r="AQ493" i="30"/>
  <c r="AP493" i="30"/>
  <c r="AO493" i="30"/>
  <c r="AN493" i="30"/>
  <c r="AM493" i="30"/>
  <c r="AL493" i="30"/>
  <c r="AK493" i="30"/>
  <c r="AJ493" i="30"/>
  <c r="AI493" i="30"/>
  <c r="AH493" i="30"/>
  <c r="AG493" i="30"/>
  <c r="AF493" i="30"/>
  <c r="AE493" i="30"/>
  <c r="AD493" i="30"/>
  <c r="AC493" i="30"/>
  <c r="AB493" i="30"/>
  <c r="AA493" i="30"/>
  <c r="Z493" i="30"/>
  <c r="Y493" i="30"/>
  <c r="X493" i="30"/>
  <c r="W493" i="30"/>
  <c r="V493" i="30"/>
  <c r="U493" i="30"/>
  <c r="T493" i="30"/>
  <c r="S493" i="30"/>
  <c r="R493" i="30"/>
  <c r="Q493" i="30"/>
  <c r="P493" i="30"/>
  <c r="O493" i="30"/>
  <c r="N493" i="30"/>
  <c r="AY492" i="30"/>
  <c r="AX492" i="30"/>
  <c r="AW492" i="30"/>
  <c r="AV492" i="30"/>
  <c r="AU492" i="30"/>
  <c r="AT492" i="30"/>
  <c r="AS492" i="30"/>
  <c r="AR492" i="30"/>
  <c r="AQ492" i="30"/>
  <c r="AP492" i="30"/>
  <c r="AO492" i="30"/>
  <c r="AN492" i="30"/>
  <c r="AM492" i="30"/>
  <c r="AL492" i="30"/>
  <c r="AK492" i="30"/>
  <c r="AJ492" i="30"/>
  <c r="AI492" i="30"/>
  <c r="AH492" i="30"/>
  <c r="AG492" i="30"/>
  <c r="AF492" i="30"/>
  <c r="AE492" i="30"/>
  <c r="AD492" i="30"/>
  <c r="AC492" i="30"/>
  <c r="AB492" i="30"/>
  <c r="AA492" i="30"/>
  <c r="Z492" i="30"/>
  <c r="Y492" i="30"/>
  <c r="X492" i="30"/>
  <c r="W492" i="30"/>
  <c r="V492" i="30"/>
  <c r="U492" i="30"/>
  <c r="T492" i="30"/>
  <c r="S492" i="30"/>
  <c r="R492" i="30"/>
  <c r="Q492" i="30"/>
  <c r="P492" i="30"/>
  <c r="O492" i="30"/>
  <c r="N492" i="30"/>
  <c r="AY491" i="30"/>
  <c r="AX491" i="30"/>
  <c r="AW491" i="30"/>
  <c r="AV491" i="30"/>
  <c r="AU491" i="30"/>
  <c r="AT491" i="30"/>
  <c r="AS491" i="30"/>
  <c r="AR491" i="30"/>
  <c r="AQ491" i="30"/>
  <c r="AP491" i="30"/>
  <c r="AO491" i="30"/>
  <c r="AN491" i="30"/>
  <c r="AM491" i="30"/>
  <c r="AL491" i="30"/>
  <c r="AK491" i="30"/>
  <c r="AJ491" i="30"/>
  <c r="AI491" i="30"/>
  <c r="AH491" i="30"/>
  <c r="AG491" i="30"/>
  <c r="AF491" i="30"/>
  <c r="AE491" i="30"/>
  <c r="AD491" i="30"/>
  <c r="AC491" i="30"/>
  <c r="AB491" i="30"/>
  <c r="AA491" i="30"/>
  <c r="Z491" i="30"/>
  <c r="Y491" i="30"/>
  <c r="X491" i="30"/>
  <c r="W491" i="30"/>
  <c r="V491" i="30"/>
  <c r="U491" i="30"/>
  <c r="T491" i="30"/>
  <c r="S491" i="30"/>
  <c r="R491" i="30"/>
  <c r="Q491" i="30"/>
  <c r="P491" i="30"/>
  <c r="O491" i="30"/>
  <c r="N491" i="30"/>
  <c r="AY490" i="30"/>
  <c r="AX490" i="30"/>
  <c r="AW490" i="30"/>
  <c r="AV490" i="30"/>
  <c r="AU490" i="30"/>
  <c r="AT490" i="30"/>
  <c r="AS490" i="30"/>
  <c r="AR490" i="30"/>
  <c r="AQ490" i="30"/>
  <c r="AP490" i="30"/>
  <c r="AO490" i="30"/>
  <c r="AN490" i="30"/>
  <c r="AM490" i="30"/>
  <c r="AL490" i="30"/>
  <c r="AK490" i="30"/>
  <c r="AJ490" i="30"/>
  <c r="AI490" i="30"/>
  <c r="AH490" i="30"/>
  <c r="AG490" i="30"/>
  <c r="AF490" i="30"/>
  <c r="AE490" i="30"/>
  <c r="AD490" i="30"/>
  <c r="AC490" i="30"/>
  <c r="AB490" i="30"/>
  <c r="AA490" i="30"/>
  <c r="Z490" i="30"/>
  <c r="Y490" i="30"/>
  <c r="X490" i="30"/>
  <c r="W490" i="30"/>
  <c r="V490" i="30"/>
  <c r="U490" i="30"/>
  <c r="T490" i="30"/>
  <c r="S490" i="30"/>
  <c r="R490" i="30"/>
  <c r="Q490" i="30"/>
  <c r="P490" i="30"/>
  <c r="O490" i="30"/>
  <c r="N490" i="30"/>
  <c r="AY489" i="30"/>
  <c r="AX489" i="30"/>
  <c r="AW489" i="30"/>
  <c r="AV489" i="30"/>
  <c r="AU489" i="30"/>
  <c r="AT489" i="30"/>
  <c r="AS489" i="30"/>
  <c r="AR489" i="30"/>
  <c r="AQ489" i="30"/>
  <c r="AP489" i="30"/>
  <c r="AO489" i="30"/>
  <c r="AN489" i="30"/>
  <c r="AM489" i="30"/>
  <c r="AL489" i="30"/>
  <c r="AK489" i="30"/>
  <c r="AJ489" i="30"/>
  <c r="AI489" i="30"/>
  <c r="AH489" i="30"/>
  <c r="AG489" i="30"/>
  <c r="AF489" i="30"/>
  <c r="AE489" i="30"/>
  <c r="AD489" i="30"/>
  <c r="AC489" i="30"/>
  <c r="AB489" i="30"/>
  <c r="AA489" i="30"/>
  <c r="Z489" i="30"/>
  <c r="Y489" i="30"/>
  <c r="X489" i="30"/>
  <c r="W489" i="30"/>
  <c r="V489" i="30"/>
  <c r="U489" i="30"/>
  <c r="T489" i="30"/>
  <c r="S489" i="30"/>
  <c r="R489" i="30"/>
  <c r="Q489" i="30"/>
  <c r="P489" i="30"/>
  <c r="O489" i="30"/>
  <c r="N489" i="30"/>
  <c r="AY486" i="30"/>
  <c r="AX486" i="30"/>
  <c r="AW486" i="30"/>
  <c r="AV486" i="30"/>
  <c r="AU486" i="30"/>
  <c r="AT486" i="30"/>
  <c r="AS486" i="30"/>
  <c r="AR486" i="30"/>
  <c r="AQ486" i="30"/>
  <c r="AP486" i="30"/>
  <c r="AO486" i="30"/>
  <c r="AN486" i="30"/>
  <c r="AM486" i="30"/>
  <c r="AL486" i="30"/>
  <c r="AK486" i="30"/>
  <c r="AJ486" i="30"/>
  <c r="AI486" i="30"/>
  <c r="AH486" i="30"/>
  <c r="AG486" i="30"/>
  <c r="AF486" i="30"/>
  <c r="AE486" i="30"/>
  <c r="AD486" i="30"/>
  <c r="AC486" i="30"/>
  <c r="AB486" i="30"/>
  <c r="AA486" i="30"/>
  <c r="Z486" i="30"/>
  <c r="Y486" i="30"/>
  <c r="X486" i="30"/>
  <c r="W486" i="30"/>
  <c r="V486" i="30"/>
  <c r="U486" i="30"/>
  <c r="T486" i="30"/>
  <c r="S486" i="30"/>
  <c r="R486" i="30"/>
  <c r="Q486" i="30"/>
  <c r="P486" i="30"/>
  <c r="O486" i="30"/>
  <c r="N486" i="30"/>
  <c r="AY484" i="30"/>
  <c r="AX484" i="30"/>
  <c r="AW484" i="30"/>
  <c r="AV484" i="30"/>
  <c r="AU484" i="30"/>
  <c r="AT484" i="30"/>
  <c r="AS484" i="30"/>
  <c r="AR484" i="30"/>
  <c r="AQ484" i="30"/>
  <c r="AP484" i="30"/>
  <c r="AO484" i="30"/>
  <c r="AN484" i="30"/>
  <c r="AM484" i="30"/>
  <c r="AL484" i="30"/>
  <c r="AK484" i="30"/>
  <c r="AJ484" i="30"/>
  <c r="AI484" i="30"/>
  <c r="AH484" i="30"/>
  <c r="AG484" i="30"/>
  <c r="AF484" i="30"/>
  <c r="AE484" i="30"/>
  <c r="AD484" i="30"/>
  <c r="AC484" i="30"/>
  <c r="AB484" i="30"/>
  <c r="AA484" i="30"/>
  <c r="Z484" i="30"/>
  <c r="Y484" i="30"/>
  <c r="X484" i="30"/>
  <c r="W484" i="30"/>
  <c r="V484" i="30"/>
  <c r="U484" i="30"/>
  <c r="T484" i="30"/>
  <c r="S484" i="30"/>
  <c r="R484" i="30"/>
  <c r="Q484" i="30"/>
  <c r="P484" i="30"/>
  <c r="O484" i="30"/>
  <c r="N484" i="30"/>
  <c r="AY483" i="30"/>
  <c r="AX483" i="30"/>
  <c r="AW483" i="30"/>
  <c r="AV483" i="30"/>
  <c r="AU483" i="30"/>
  <c r="AT483" i="30"/>
  <c r="AS483" i="30"/>
  <c r="AR483" i="30"/>
  <c r="AQ483" i="30"/>
  <c r="AP483" i="30"/>
  <c r="AO483" i="30"/>
  <c r="AN483" i="30"/>
  <c r="AM483" i="30"/>
  <c r="AL483" i="30"/>
  <c r="AK483" i="30"/>
  <c r="AJ483" i="30"/>
  <c r="AI483" i="30"/>
  <c r="AH483" i="30"/>
  <c r="AG483" i="30"/>
  <c r="AF483" i="30"/>
  <c r="AE483" i="30"/>
  <c r="AD483" i="30"/>
  <c r="AC483" i="30"/>
  <c r="AB483" i="30"/>
  <c r="AA483" i="30"/>
  <c r="Z483" i="30"/>
  <c r="Y483" i="30"/>
  <c r="X483" i="30"/>
  <c r="W483" i="30"/>
  <c r="V483" i="30"/>
  <c r="U483" i="30"/>
  <c r="T483" i="30"/>
  <c r="S483" i="30"/>
  <c r="R483" i="30"/>
  <c r="Q483" i="30"/>
  <c r="P483" i="30"/>
  <c r="O483" i="30"/>
  <c r="N483" i="30"/>
  <c r="AY482" i="30"/>
  <c r="AX482" i="30"/>
  <c r="AW482" i="30"/>
  <c r="AV482" i="30"/>
  <c r="AU482" i="30"/>
  <c r="AT482" i="30"/>
  <c r="AS482" i="30"/>
  <c r="AR482" i="30"/>
  <c r="AQ482" i="30"/>
  <c r="AP482" i="30"/>
  <c r="AO482" i="30"/>
  <c r="AN482" i="30"/>
  <c r="AM482" i="30"/>
  <c r="AL482" i="30"/>
  <c r="AK482" i="30"/>
  <c r="AJ482" i="30"/>
  <c r="AI482" i="30"/>
  <c r="AH482" i="30"/>
  <c r="AG482" i="30"/>
  <c r="AF482" i="30"/>
  <c r="AE482" i="30"/>
  <c r="AD482" i="30"/>
  <c r="AC482" i="30"/>
  <c r="AB482" i="30"/>
  <c r="AA482" i="30"/>
  <c r="Z482" i="30"/>
  <c r="Y482" i="30"/>
  <c r="X482" i="30"/>
  <c r="W482" i="30"/>
  <c r="V482" i="30"/>
  <c r="U482" i="30"/>
  <c r="T482" i="30"/>
  <c r="S482" i="30"/>
  <c r="R482" i="30"/>
  <c r="Q482" i="30"/>
  <c r="P482" i="30"/>
  <c r="O482" i="30"/>
  <c r="N482" i="30"/>
  <c r="AY481" i="30"/>
  <c r="AX481" i="30"/>
  <c r="AW481" i="30"/>
  <c r="AV481" i="30"/>
  <c r="AU481" i="30"/>
  <c r="AT481" i="30"/>
  <c r="AS481" i="30"/>
  <c r="AR481" i="30"/>
  <c r="AQ481" i="30"/>
  <c r="AP481" i="30"/>
  <c r="AO481" i="30"/>
  <c r="AN481" i="30"/>
  <c r="AM481" i="30"/>
  <c r="AL481" i="30"/>
  <c r="AK481" i="30"/>
  <c r="AJ481" i="30"/>
  <c r="AI481" i="30"/>
  <c r="AH481" i="30"/>
  <c r="AG481" i="30"/>
  <c r="AF481" i="30"/>
  <c r="AE481" i="30"/>
  <c r="AD481" i="30"/>
  <c r="AC481" i="30"/>
  <c r="AB481" i="30"/>
  <c r="AA481" i="30"/>
  <c r="Z481" i="30"/>
  <c r="Y481" i="30"/>
  <c r="X481" i="30"/>
  <c r="W481" i="30"/>
  <c r="V481" i="30"/>
  <c r="U481" i="30"/>
  <c r="T481" i="30"/>
  <c r="S481" i="30"/>
  <c r="R481" i="30"/>
  <c r="Q481" i="30"/>
  <c r="P481" i="30"/>
  <c r="O481" i="30"/>
  <c r="N481" i="30"/>
  <c r="AY480" i="30"/>
  <c r="AX480" i="30"/>
  <c r="AW480" i="30"/>
  <c r="AV480" i="30"/>
  <c r="AU480" i="30"/>
  <c r="AT480" i="30"/>
  <c r="AS480" i="30"/>
  <c r="AR480" i="30"/>
  <c r="AQ480" i="30"/>
  <c r="AP480" i="30"/>
  <c r="AO480" i="30"/>
  <c r="AN480" i="30"/>
  <c r="AM480" i="30"/>
  <c r="AL480" i="30"/>
  <c r="AK480" i="30"/>
  <c r="AJ480" i="30"/>
  <c r="AI480" i="30"/>
  <c r="AH480" i="30"/>
  <c r="AG480" i="30"/>
  <c r="AF480" i="30"/>
  <c r="AE480" i="30"/>
  <c r="AD480" i="30"/>
  <c r="AC480" i="30"/>
  <c r="AB480" i="30"/>
  <c r="AA480" i="30"/>
  <c r="Z480" i="30"/>
  <c r="Y480" i="30"/>
  <c r="X480" i="30"/>
  <c r="W480" i="30"/>
  <c r="V480" i="30"/>
  <c r="U480" i="30"/>
  <c r="T480" i="30"/>
  <c r="S480" i="30"/>
  <c r="R480" i="30"/>
  <c r="Q480" i="30"/>
  <c r="P480" i="30"/>
  <c r="O480" i="30"/>
  <c r="N480" i="30"/>
  <c r="AY479" i="30"/>
  <c r="AX479" i="30"/>
  <c r="AW479" i="30"/>
  <c r="AV479" i="30"/>
  <c r="AU479" i="30"/>
  <c r="AT479" i="30"/>
  <c r="AS479" i="30"/>
  <c r="AR479" i="30"/>
  <c r="AQ479" i="30"/>
  <c r="AP479" i="30"/>
  <c r="AO479" i="30"/>
  <c r="AN479" i="30"/>
  <c r="AM479" i="30"/>
  <c r="AL479" i="30"/>
  <c r="AK479" i="30"/>
  <c r="AJ479" i="30"/>
  <c r="AI479" i="30"/>
  <c r="AH479" i="30"/>
  <c r="AG479" i="30"/>
  <c r="AF479" i="30"/>
  <c r="AE479" i="30"/>
  <c r="AD479" i="30"/>
  <c r="AC479" i="30"/>
  <c r="AB479" i="30"/>
  <c r="AA479" i="30"/>
  <c r="Z479" i="30"/>
  <c r="Y479" i="30"/>
  <c r="X479" i="30"/>
  <c r="W479" i="30"/>
  <c r="V479" i="30"/>
  <c r="U479" i="30"/>
  <c r="T479" i="30"/>
  <c r="S479" i="30"/>
  <c r="R479" i="30"/>
  <c r="Q479" i="30"/>
  <c r="P479" i="30"/>
  <c r="O479" i="30"/>
  <c r="N479" i="30"/>
  <c r="AY478" i="30"/>
  <c r="AX478" i="30"/>
  <c r="AW478" i="30"/>
  <c r="AV478" i="30"/>
  <c r="AU478" i="30"/>
  <c r="AT478" i="30"/>
  <c r="AS478" i="30"/>
  <c r="AR478" i="30"/>
  <c r="AQ478" i="30"/>
  <c r="AP478" i="30"/>
  <c r="AO478" i="30"/>
  <c r="AN478" i="30"/>
  <c r="AM478" i="30"/>
  <c r="AL478" i="30"/>
  <c r="AK478" i="30"/>
  <c r="AJ478" i="30"/>
  <c r="AI478" i="30"/>
  <c r="AH478" i="30"/>
  <c r="AG478" i="30"/>
  <c r="AF478" i="30"/>
  <c r="AE478" i="30"/>
  <c r="AD478" i="30"/>
  <c r="AC478" i="30"/>
  <c r="AB478" i="30"/>
  <c r="AA478" i="30"/>
  <c r="Z478" i="30"/>
  <c r="Y478" i="30"/>
  <c r="X478" i="30"/>
  <c r="W478" i="30"/>
  <c r="V478" i="30"/>
  <c r="U478" i="30"/>
  <c r="T478" i="30"/>
  <c r="S478" i="30"/>
  <c r="R478" i="30"/>
  <c r="Q478" i="30"/>
  <c r="P478" i="30"/>
  <c r="O478" i="30"/>
  <c r="N478" i="30"/>
  <c r="AY474" i="30"/>
  <c r="AX474" i="30"/>
  <c r="AW474" i="30"/>
  <c r="AV474" i="30"/>
  <c r="AU474" i="30"/>
  <c r="AT474" i="30"/>
  <c r="AS474" i="30"/>
  <c r="AR474" i="30"/>
  <c r="AQ474" i="30"/>
  <c r="AP474" i="30"/>
  <c r="AO474" i="30"/>
  <c r="AN474" i="30"/>
  <c r="AM474" i="30"/>
  <c r="AL474" i="30"/>
  <c r="AK474" i="30"/>
  <c r="AJ474" i="30"/>
  <c r="AI474" i="30"/>
  <c r="AH474" i="30"/>
  <c r="AG474" i="30"/>
  <c r="AF474" i="30"/>
  <c r="AE474" i="30"/>
  <c r="AD474" i="30"/>
  <c r="AC474" i="30"/>
  <c r="AB474" i="30"/>
  <c r="AA474" i="30"/>
  <c r="Z474" i="30"/>
  <c r="Y474" i="30"/>
  <c r="X474" i="30"/>
  <c r="W474" i="30"/>
  <c r="V474" i="30"/>
  <c r="U474" i="30"/>
  <c r="T474" i="30"/>
  <c r="S474" i="30"/>
  <c r="R474" i="30"/>
  <c r="Q474" i="30"/>
  <c r="P474" i="30"/>
  <c r="O474" i="30"/>
  <c r="N474" i="30"/>
  <c r="AY473" i="30"/>
  <c r="AX473" i="30"/>
  <c r="AW473" i="30"/>
  <c r="AV473" i="30"/>
  <c r="AU473" i="30"/>
  <c r="AT473" i="30"/>
  <c r="AS473" i="30"/>
  <c r="AR473" i="30"/>
  <c r="AQ473" i="30"/>
  <c r="AP473" i="30"/>
  <c r="AO473" i="30"/>
  <c r="AN473" i="30"/>
  <c r="AM473" i="30"/>
  <c r="AL473" i="30"/>
  <c r="AK473" i="30"/>
  <c r="AJ473" i="30"/>
  <c r="AI473" i="30"/>
  <c r="AH473" i="30"/>
  <c r="AG473" i="30"/>
  <c r="AF473" i="30"/>
  <c r="AE473" i="30"/>
  <c r="AD473" i="30"/>
  <c r="AC473" i="30"/>
  <c r="AB473" i="30"/>
  <c r="AA473" i="30"/>
  <c r="Z473" i="30"/>
  <c r="Y473" i="30"/>
  <c r="X473" i="30"/>
  <c r="W473" i="30"/>
  <c r="V473" i="30"/>
  <c r="U473" i="30"/>
  <c r="T473" i="30"/>
  <c r="S473" i="30"/>
  <c r="R473" i="30"/>
  <c r="Q473" i="30"/>
  <c r="P473" i="30"/>
  <c r="O473" i="30"/>
  <c r="N473" i="30"/>
  <c r="AY472" i="30"/>
  <c r="AX472" i="30"/>
  <c r="AW472" i="30"/>
  <c r="AV472" i="30"/>
  <c r="AU472" i="30"/>
  <c r="AT472" i="30"/>
  <c r="AS472" i="30"/>
  <c r="AR472" i="30"/>
  <c r="AQ472" i="30"/>
  <c r="AP472" i="30"/>
  <c r="AO472" i="30"/>
  <c r="AN472" i="30"/>
  <c r="AM472" i="30"/>
  <c r="AL472" i="30"/>
  <c r="AK472" i="30"/>
  <c r="AJ472" i="30"/>
  <c r="AI472" i="30"/>
  <c r="AH472" i="30"/>
  <c r="AG472" i="30"/>
  <c r="AF472" i="30"/>
  <c r="AE472" i="30"/>
  <c r="AD472" i="30"/>
  <c r="AC472" i="30"/>
  <c r="AB472" i="30"/>
  <c r="AA472" i="30"/>
  <c r="Z472" i="30"/>
  <c r="Y472" i="30"/>
  <c r="X472" i="30"/>
  <c r="W472" i="30"/>
  <c r="V472" i="30"/>
  <c r="U472" i="30"/>
  <c r="T472" i="30"/>
  <c r="S472" i="30"/>
  <c r="R472" i="30"/>
  <c r="Q472" i="30"/>
  <c r="P472" i="30"/>
  <c r="O472" i="30"/>
  <c r="N472" i="30"/>
  <c r="AY471" i="30"/>
  <c r="AX471" i="30"/>
  <c r="AW471" i="30"/>
  <c r="AV471" i="30"/>
  <c r="AU471" i="30"/>
  <c r="AT471" i="30"/>
  <c r="AS471" i="30"/>
  <c r="AR471" i="30"/>
  <c r="AQ471" i="30"/>
  <c r="AP471" i="30"/>
  <c r="AO471" i="30"/>
  <c r="AN471" i="30"/>
  <c r="AM471" i="30"/>
  <c r="AL471" i="30"/>
  <c r="AK471" i="30"/>
  <c r="AJ471" i="30"/>
  <c r="AI471" i="30"/>
  <c r="AH471" i="30"/>
  <c r="AG471" i="30"/>
  <c r="AF471" i="30"/>
  <c r="AE471" i="30"/>
  <c r="AD471" i="30"/>
  <c r="AC471" i="30"/>
  <c r="AB471" i="30"/>
  <c r="AA471" i="30"/>
  <c r="Z471" i="30"/>
  <c r="Y471" i="30"/>
  <c r="X471" i="30"/>
  <c r="W471" i="30"/>
  <c r="V471" i="30"/>
  <c r="U471" i="30"/>
  <c r="T471" i="30"/>
  <c r="S471" i="30"/>
  <c r="R471" i="30"/>
  <c r="Q471" i="30"/>
  <c r="P471" i="30"/>
  <c r="O471" i="30"/>
  <c r="N471" i="30"/>
  <c r="AY470" i="30"/>
  <c r="AX470" i="30"/>
  <c r="AW470" i="30"/>
  <c r="AV470" i="30"/>
  <c r="AU470" i="30"/>
  <c r="AT470" i="30"/>
  <c r="AS470" i="30"/>
  <c r="AR470" i="30"/>
  <c r="AQ470" i="30"/>
  <c r="AP470" i="30"/>
  <c r="AO470" i="30"/>
  <c r="AN470" i="30"/>
  <c r="AM470" i="30"/>
  <c r="AL470" i="30"/>
  <c r="AK470" i="30"/>
  <c r="AJ470" i="30"/>
  <c r="AI470" i="30"/>
  <c r="AH470" i="30"/>
  <c r="AG470" i="30"/>
  <c r="AF470" i="30"/>
  <c r="AE470" i="30"/>
  <c r="AD470" i="30"/>
  <c r="AC470" i="30"/>
  <c r="AB470" i="30"/>
  <c r="AA470" i="30"/>
  <c r="Z470" i="30"/>
  <c r="Y470" i="30"/>
  <c r="X470" i="30"/>
  <c r="W470" i="30"/>
  <c r="V470" i="30"/>
  <c r="U470" i="30"/>
  <c r="T470" i="30"/>
  <c r="S470" i="30"/>
  <c r="R470" i="30"/>
  <c r="Q470" i="30"/>
  <c r="P470" i="30"/>
  <c r="O470" i="30"/>
  <c r="N470" i="30"/>
  <c r="AY469" i="30"/>
  <c r="AX469" i="30"/>
  <c r="AW469" i="30"/>
  <c r="AV469" i="30"/>
  <c r="AU469" i="30"/>
  <c r="AT469" i="30"/>
  <c r="AS469" i="30"/>
  <c r="AR469" i="30"/>
  <c r="AQ469" i="30"/>
  <c r="AP469" i="30"/>
  <c r="AO469" i="30"/>
  <c r="AN469" i="30"/>
  <c r="AM469" i="30"/>
  <c r="AL469" i="30"/>
  <c r="AK469" i="30"/>
  <c r="AJ469" i="30"/>
  <c r="AI469" i="30"/>
  <c r="AH469" i="30"/>
  <c r="AG469" i="30"/>
  <c r="AF469" i="30"/>
  <c r="AE469" i="30"/>
  <c r="AD469" i="30"/>
  <c r="AC469" i="30"/>
  <c r="AB469" i="30"/>
  <c r="AA469" i="30"/>
  <c r="Z469" i="30"/>
  <c r="Y469" i="30"/>
  <c r="X469" i="30"/>
  <c r="W469" i="30"/>
  <c r="V469" i="30"/>
  <c r="U469" i="30"/>
  <c r="T469" i="30"/>
  <c r="S469" i="30"/>
  <c r="R469" i="30"/>
  <c r="Q469" i="30"/>
  <c r="P469" i="30"/>
  <c r="O469" i="30"/>
  <c r="N469" i="30"/>
  <c r="AY465" i="30"/>
  <c r="AX465" i="30"/>
  <c r="AW465" i="30"/>
  <c r="AV465" i="30"/>
  <c r="AU465" i="30"/>
  <c r="AT465" i="30"/>
  <c r="AS465" i="30"/>
  <c r="AR465" i="30"/>
  <c r="AQ465" i="30"/>
  <c r="AP465" i="30"/>
  <c r="AO465" i="30"/>
  <c r="AN465" i="30"/>
  <c r="AM465" i="30"/>
  <c r="AL465" i="30"/>
  <c r="AK465" i="30"/>
  <c r="AJ465" i="30"/>
  <c r="AI465" i="30"/>
  <c r="AH465" i="30"/>
  <c r="AG465" i="30"/>
  <c r="AF465" i="30"/>
  <c r="AE465" i="30"/>
  <c r="AD465" i="30"/>
  <c r="AC465" i="30"/>
  <c r="AB465" i="30"/>
  <c r="AA465" i="30"/>
  <c r="Z465" i="30"/>
  <c r="Y465" i="30"/>
  <c r="X465" i="30"/>
  <c r="W465" i="30"/>
  <c r="V465" i="30"/>
  <c r="U465" i="30"/>
  <c r="T465" i="30"/>
  <c r="S465" i="30"/>
  <c r="R465" i="30"/>
  <c r="Q465" i="30"/>
  <c r="P465" i="30"/>
  <c r="O465" i="30"/>
  <c r="N465" i="30"/>
  <c r="AY458" i="30"/>
  <c r="AX458" i="30"/>
  <c r="AW458" i="30"/>
  <c r="AV458" i="30"/>
  <c r="AU458" i="30"/>
  <c r="AT458" i="30"/>
  <c r="AS458" i="30"/>
  <c r="AR458" i="30"/>
  <c r="AQ458" i="30"/>
  <c r="AP458" i="30"/>
  <c r="AO458" i="30"/>
  <c r="AN458" i="30"/>
  <c r="AM458" i="30"/>
  <c r="AL458" i="30"/>
  <c r="AK458" i="30"/>
  <c r="AJ458" i="30"/>
  <c r="AI458" i="30"/>
  <c r="AH458" i="30"/>
  <c r="AG458" i="30"/>
  <c r="AF458" i="30"/>
  <c r="AE458" i="30"/>
  <c r="AD458" i="30"/>
  <c r="AC458" i="30"/>
  <c r="AB458" i="30"/>
  <c r="AA458" i="30"/>
  <c r="Z458" i="30"/>
  <c r="Y458" i="30"/>
  <c r="X458" i="30"/>
  <c r="W458" i="30"/>
  <c r="V458" i="30"/>
  <c r="U458" i="30"/>
  <c r="T458" i="30"/>
  <c r="S458" i="30"/>
  <c r="R458" i="30"/>
  <c r="Q458" i="30"/>
  <c r="P458" i="30"/>
  <c r="O458" i="30"/>
  <c r="N458" i="30"/>
  <c r="AY450" i="30"/>
  <c r="AX450" i="30"/>
  <c r="AW450" i="30"/>
  <c r="AV450" i="30"/>
  <c r="AU450" i="30"/>
  <c r="AT450" i="30"/>
  <c r="AS450" i="30"/>
  <c r="AR450" i="30"/>
  <c r="AQ450" i="30"/>
  <c r="AP450" i="30"/>
  <c r="AO450" i="30"/>
  <c r="AN450" i="30"/>
  <c r="AM450" i="30"/>
  <c r="AL450" i="30"/>
  <c r="AK450" i="30"/>
  <c r="AJ450" i="30"/>
  <c r="AI450" i="30"/>
  <c r="AH450" i="30"/>
  <c r="AG450" i="30"/>
  <c r="AF450" i="30"/>
  <c r="AE450" i="30"/>
  <c r="AD450" i="30"/>
  <c r="AC450" i="30"/>
  <c r="AB450" i="30"/>
  <c r="AA450" i="30"/>
  <c r="Z450" i="30"/>
  <c r="Y450" i="30"/>
  <c r="X450" i="30"/>
  <c r="W450" i="30"/>
  <c r="V450" i="30"/>
  <c r="U450" i="30"/>
  <c r="T450" i="30"/>
  <c r="S450" i="30"/>
  <c r="R450" i="30"/>
  <c r="Q450" i="30"/>
  <c r="P450" i="30"/>
  <c r="O450" i="30"/>
  <c r="N450" i="30"/>
  <c r="AY449" i="30"/>
  <c r="AX449" i="30"/>
  <c r="AW449" i="30"/>
  <c r="AV449" i="30"/>
  <c r="AU449" i="30"/>
  <c r="AT449" i="30"/>
  <c r="AS449" i="30"/>
  <c r="AR449" i="30"/>
  <c r="AQ449" i="30"/>
  <c r="AP449" i="30"/>
  <c r="AO449" i="30"/>
  <c r="AN449" i="30"/>
  <c r="AM449" i="30"/>
  <c r="AL449" i="30"/>
  <c r="AK449" i="30"/>
  <c r="AJ449" i="30"/>
  <c r="AI449" i="30"/>
  <c r="AH449" i="30"/>
  <c r="AG449" i="30"/>
  <c r="AF449" i="30"/>
  <c r="AE449" i="30"/>
  <c r="AD449" i="30"/>
  <c r="AC449" i="30"/>
  <c r="AB449" i="30"/>
  <c r="AA449" i="30"/>
  <c r="Z449" i="30"/>
  <c r="Y449" i="30"/>
  <c r="X449" i="30"/>
  <c r="W449" i="30"/>
  <c r="V449" i="30"/>
  <c r="U449" i="30"/>
  <c r="T449" i="30"/>
  <c r="S449" i="30"/>
  <c r="R449" i="30"/>
  <c r="Q449" i="30"/>
  <c r="P449" i="30"/>
  <c r="O449" i="30"/>
  <c r="N449" i="30"/>
  <c r="AY448" i="30"/>
  <c r="AX448" i="30"/>
  <c r="AW448" i="30"/>
  <c r="AV448" i="30"/>
  <c r="AU448" i="30"/>
  <c r="AT448" i="30"/>
  <c r="AS448" i="30"/>
  <c r="AR448" i="30"/>
  <c r="AQ448" i="30"/>
  <c r="AP448" i="30"/>
  <c r="AO448" i="30"/>
  <c r="AN448" i="30"/>
  <c r="AM448" i="30"/>
  <c r="AL448" i="30"/>
  <c r="AK448" i="30"/>
  <c r="AJ448" i="30"/>
  <c r="AI448" i="30"/>
  <c r="AH448" i="30"/>
  <c r="AG448" i="30"/>
  <c r="AF448" i="30"/>
  <c r="AE448" i="30"/>
  <c r="AD448" i="30"/>
  <c r="AC448" i="30"/>
  <c r="AB448" i="30"/>
  <c r="AA448" i="30"/>
  <c r="Z448" i="30"/>
  <c r="Y448" i="30"/>
  <c r="X448" i="30"/>
  <c r="W448" i="30"/>
  <c r="V448" i="30"/>
  <c r="U448" i="30"/>
  <c r="T448" i="30"/>
  <c r="S448" i="30"/>
  <c r="R448" i="30"/>
  <c r="Q448" i="30"/>
  <c r="P448" i="30"/>
  <c r="O448" i="30"/>
  <c r="N448" i="30"/>
  <c r="AY447" i="30"/>
  <c r="AX447" i="30"/>
  <c r="AW447" i="30"/>
  <c r="AV447" i="30"/>
  <c r="AU447" i="30"/>
  <c r="AT447" i="30"/>
  <c r="AS447" i="30"/>
  <c r="AR447" i="30"/>
  <c r="AQ447" i="30"/>
  <c r="AP447" i="30"/>
  <c r="AO447" i="30"/>
  <c r="AN447" i="30"/>
  <c r="AM447" i="30"/>
  <c r="AL447" i="30"/>
  <c r="AK447" i="30"/>
  <c r="AJ447" i="30"/>
  <c r="AI447" i="30"/>
  <c r="AH447" i="30"/>
  <c r="AG447" i="30"/>
  <c r="AF447" i="30"/>
  <c r="AE447" i="30"/>
  <c r="AD447" i="30"/>
  <c r="AC447" i="30"/>
  <c r="AB447" i="30"/>
  <c r="AA447" i="30"/>
  <c r="Z447" i="30"/>
  <c r="Y447" i="30"/>
  <c r="X447" i="30"/>
  <c r="W447" i="30"/>
  <c r="V447" i="30"/>
  <c r="U447" i="30"/>
  <c r="T447" i="30"/>
  <c r="S447" i="30"/>
  <c r="R447" i="30"/>
  <c r="Q447" i="30"/>
  <c r="P447" i="30"/>
  <c r="O447" i="30"/>
  <c r="N447" i="30"/>
  <c r="AY446" i="30"/>
  <c r="AX446" i="30"/>
  <c r="AW446" i="30"/>
  <c r="AV446" i="30"/>
  <c r="AU446" i="30"/>
  <c r="AT446" i="30"/>
  <c r="AS446" i="30"/>
  <c r="AR446" i="30"/>
  <c r="AQ446" i="30"/>
  <c r="AP446" i="30"/>
  <c r="AO446" i="30"/>
  <c r="AN446" i="30"/>
  <c r="AM446" i="30"/>
  <c r="AL446" i="30"/>
  <c r="AK446" i="30"/>
  <c r="AJ446" i="30"/>
  <c r="AI446" i="30"/>
  <c r="AH446" i="30"/>
  <c r="AG446" i="30"/>
  <c r="AF446" i="30"/>
  <c r="AE446" i="30"/>
  <c r="AD446" i="30"/>
  <c r="AC446" i="30"/>
  <c r="AB446" i="30"/>
  <c r="AA446" i="30"/>
  <c r="Z446" i="30"/>
  <c r="Y446" i="30"/>
  <c r="X446" i="30"/>
  <c r="W446" i="30"/>
  <c r="V446" i="30"/>
  <c r="U446" i="30"/>
  <c r="T446" i="30"/>
  <c r="S446" i="30"/>
  <c r="R446" i="30"/>
  <c r="Q446" i="30"/>
  <c r="P446" i="30"/>
  <c r="O446" i="30"/>
  <c r="N446" i="30"/>
  <c r="AY445" i="30"/>
  <c r="AX445" i="30"/>
  <c r="AW445" i="30"/>
  <c r="AV445" i="30"/>
  <c r="AU445" i="30"/>
  <c r="AT445" i="30"/>
  <c r="AS445" i="30"/>
  <c r="AR445" i="30"/>
  <c r="AQ445" i="30"/>
  <c r="AP445" i="30"/>
  <c r="AO445" i="30"/>
  <c r="AN445" i="30"/>
  <c r="AM445" i="30"/>
  <c r="AL445" i="30"/>
  <c r="AK445" i="30"/>
  <c r="AJ445" i="30"/>
  <c r="AI445" i="30"/>
  <c r="AH445" i="30"/>
  <c r="AG445" i="30"/>
  <c r="AF445" i="30"/>
  <c r="AE445" i="30"/>
  <c r="AD445" i="30"/>
  <c r="AC445" i="30"/>
  <c r="AB445" i="30"/>
  <c r="AA445" i="30"/>
  <c r="Z445" i="30"/>
  <c r="Y445" i="30"/>
  <c r="X445" i="30"/>
  <c r="W445" i="30"/>
  <c r="V445" i="30"/>
  <c r="U445" i="30"/>
  <c r="T445" i="30"/>
  <c r="S445" i="30"/>
  <c r="R445" i="30"/>
  <c r="Q445" i="30"/>
  <c r="P445" i="30"/>
  <c r="O445" i="30"/>
  <c r="N445" i="30"/>
  <c r="AY442" i="30"/>
  <c r="AX442" i="30"/>
  <c r="AW442" i="30"/>
  <c r="AV442" i="30"/>
  <c r="AU442" i="30"/>
  <c r="AT442" i="30"/>
  <c r="AS442" i="30"/>
  <c r="AR442" i="30"/>
  <c r="AQ442" i="30"/>
  <c r="AP442" i="30"/>
  <c r="AO442" i="30"/>
  <c r="AN442" i="30"/>
  <c r="AM442" i="30"/>
  <c r="AL442" i="30"/>
  <c r="AK442" i="30"/>
  <c r="AJ442" i="30"/>
  <c r="AI442" i="30"/>
  <c r="AH442" i="30"/>
  <c r="AG442" i="30"/>
  <c r="AF442" i="30"/>
  <c r="AE442" i="30"/>
  <c r="AD442" i="30"/>
  <c r="AC442" i="30"/>
  <c r="AB442" i="30"/>
  <c r="AA442" i="30"/>
  <c r="Z442" i="30"/>
  <c r="Y442" i="30"/>
  <c r="X442" i="30"/>
  <c r="W442" i="30"/>
  <c r="V442" i="30"/>
  <c r="U442" i="30"/>
  <c r="T442" i="30"/>
  <c r="S442" i="30"/>
  <c r="R442" i="30"/>
  <c r="Q442" i="30"/>
  <c r="P442" i="30"/>
  <c r="O442" i="30"/>
  <c r="N442" i="30"/>
  <c r="AY441" i="30"/>
  <c r="AX441" i="30"/>
  <c r="AW441" i="30"/>
  <c r="AV441" i="30"/>
  <c r="AU441" i="30"/>
  <c r="AT441" i="30"/>
  <c r="AS441" i="30"/>
  <c r="AR441" i="30"/>
  <c r="AQ441" i="30"/>
  <c r="AP441" i="30"/>
  <c r="AO441" i="30"/>
  <c r="AN441" i="30"/>
  <c r="AM441" i="30"/>
  <c r="AL441" i="30"/>
  <c r="AK441" i="30"/>
  <c r="AJ441" i="30"/>
  <c r="AI441" i="30"/>
  <c r="AH441" i="30"/>
  <c r="AG441" i="30"/>
  <c r="AF441" i="30"/>
  <c r="AE441" i="30"/>
  <c r="AD441" i="30"/>
  <c r="AC441" i="30"/>
  <c r="AB441" i="30"/>
  <c r="AA441" i="30"/>
  <c r="Z441" i="30"/>
  <c r="Y441" i="30"/>
  <c r="X441" i="30"/>
  <c r="W441" i="30"/>
  <c r="V441" i="30"/>
  <c r="U441" i="30"/>
  <c r="T441" i="30"/>
  <c r="S441" i="30"/>
  <c r="R441" i="30"/>
  <c r="Q441" i="30"/>
  <c r="P441" i="30"/>
  <c r="O441" i="30"/>
  <c r="N441" i="30"/>
  <c r="AY440" i="30"/>
  <c r="AX440" i="30"/>
  <c r="AW440" i="30"/>
  <c r="AV440" i="30"/>
  <c r="AU440" i="30"/>
  <c r="AT440" i="30"/>
  <c r="AS440" i="30"/>
  <c r="AR440" i="30"/>
  <c r="AQ440" i="30"/>
  <c r="AP440" i="30"/>
  <c r="AO440" i="30"/>
  <c r="AN440" i="30"/>
  <c r="AM440" i="30"/>
  <c r="AL440" i="30"/>
  <c r="AK440" i="30"/>
  <c r="AJ440" i="30"/>
  <c r="AI440" i="30"/>
  <c r="AH440" i="30"/>
  <c r="AG440" i="30"/>
  <c r="AF440" i="30"/>
  <c r="AE440" i="30"/>
  <c r="AD440" i="30"/>
  <c r="AC440" i="30"/>
  <c r="AB440" i="30"/>
  <c r="AA440" i="30"/>
  <c r="Z440" i="30"/>
  <c r="Y440" i="30"/>
  <c r="X440" i="30"/>
  <c r="W440" i="30"/>
  <c r="V440" i="30"/>
  <c r="U440" i="30"/>
  <c r="T440" i="30"/>
  <c r="S440" i="30"/>
  <c r="R440" i="30"/>
  <c r="Q440" i="30"/>
  <c r="P440" i="30"/>
  <c r="O440" i="30"/>
  <c r="N440" i="30"/>
  <c r="AY439" i="30"/>
  <c r="AX439" i="30"/>
  <c r="AW439" i="30"/>
  <c r="AV439" i="30"/>
  <c r="AU439" i="30"/>
  <c r="AT439" i="30"/>
  <c r="AS439" i="30"/>
  <c r="AR439" i="30"/>
  <c r="AQ439" i="30"/>
  <c r="AP439" i="30"/>
  <c r="AO439" i="30"/>
  <c r="AN439" i="30"/>
  <c r="AM439" i="30"/>
  <c r="AL439" i="30"/>
  <c r="AK439" i="30"/>
  <c r="AJ439" i="30"/>
  <c r="AI439" i="30"/>
  <c r="AH439" i="30"/>
  <c r="AG439" i="30"/>
  <c r="AF439" i="30"/>
  <c r="AE439" i="30"/>
  <c r="AD439" i="30"/>
  <c r="AC439" i="30"/>
  <c r="AB439" i="30"/>
  <c r="AA439" i="30"/>
  <c r="Z439" i="30"/>
  <c r="Y439" i="30"/>
  <c r="X439" i="30"/>
  <c r="W439" i="30"/>
  <c r="V439" i="30"/>
  <c r="U439" i="30"/>
  <c r="T439" i="30"/>
  <c r="S439" i="30"/>
  <c r="R439" i="30"/>
  <c r="Q439" i="30"/>
  <c r="P439" i="30"/>
  <c r="O439" i="30"/>
  <c r="N439" i="30"/>
  <c r="AY438" i="30"/>
  <c r="AX438" i="30"/>
  <c r="AW438" i="30"/>
  <c r="AV438" i="30"/>
  <c r="AU438" i="30"/>
  <c r="AT438" i="30"/>
  <c r="AS438" i="30"/>
  <c r="AR438" i="30"/>
  <c r="AQ438" i="30"/>
  <c r="AP438" i="30"/>
  <c r="AO438" i="30"/>
  <c r="AN438" i="30"/>
  <c r="AM438" i="30"/>
  <c r="AL438" i="30"/>
  <c r="AK438" i="30"/>
  <c r="AJ438" i="30"/>
  <c r="AI438" i="30"/>
  <c r="AH438" i="30"/>
  <c r="AG438" i="30"/>
  <c r="AF438" i="30"/>
  <c r="AE438" i="30"/>
  <c r="AD438" i="30"/>
  <c r="AC438" i="30"/>
  <c r="AB438" i="30"/>
  <c r="AA438" i="30"/>
  <c r="Z438" i="30"/>
  <c r="Y438" i="30"/>
  <c r="X438" i="30"/>
  <c r="W438" i="30"/>
  <c r="V438" i="30"/>
  <c r="U438" i="30"/>
  <c r="T438" i="30"/>
  <c r="S438" i="30"/>
  <c r="R438" i="30"/>
  <c r="Q438" i="30"/>
  <c r="P438" i="30"/>
  <c r="O438" i="30"/>
  <c r="N438" i="30"/>
  <c r="AY437" i="30"/>
  <c r="AX437" i="30"/>
  <c r="AW437" i="30"/>
  <c r="AV437" i="30"/>
  <c r="AU437" i="30"/>
  <c r="AT437" i="30"/>
  <c r="AS437" i="30"/>
  <c r="AR437" i="30"/>
  <c r="AQ437" i="30"/>
  <c r="AP437" i="30"/>
  <c r="AO437" i="30"/>
  <c r="AN437" i="30"/>
  <c r="AM437" i="30"/>
  <c r="AL437" i="30"/>
  <c r="AK437" i="30"/>
  <c r="AJ437" i="30"/>
  <c r="AI437" i="30"/>
  <c r="AH437" i="30"/>
  <c r="AG437" i="30"/>
  <c r="AF437" i="30"/>
  <c r="AE437" i="30"/>
  <c r="AD437" i="30"/>
  <c r="AC437" i="30"/>
  <c r="AB437" i="30"/>
  <c r="AA437" i="30"/>
  <c r="Z437" i="30"/>
  <c r="Y437" i="30"/>
  <c r="X437" i="30"/>
  <c r="W437" i="30"/>
  <c r="V437" i="30"/>
  <c r="U437" i="30"/>
  <c r="T437" i="30"/>
  <c r="S437" i="30"/>
  <c r="R437" i="30"/>
  <c r="Q437" i="30"/>
  <c r="P437" i="30"/>
  <c r="O437" i="30"/>
  <c r="N437" i="30"/>
  <c r="AY436" i="30"/>
  <c r="AX436" i="30"/>
  <c r="AW436" i="30"/>
  <c r="AV436" i="30"/>
  <c r="AU436" i="30"/>
  <c r="AT436" i="30"/>
  <c r="AS436" i="30"/>
  <c r="AR436" i="30"/>
  <c r="AQ436" i="30"/>
  <c r="AP436" i="30"/>
  <c r="AO436" i="30"/>
  <c r="AN436" i="30"/>
  <c r="AM436" i="30"/>
  <c r="AL436" i="30"/>
  <c r="AK436" i="30"/>
  <c r="AJ436" i="30"/>
  <c r="AI436" i="30"/>
  <c r="AH436" i="30"/>
  <c r="AG436" i="30"/>
  <c r="AF436" i="30"/>
  <c r="AE436" i="30"/>
  <c r="AD436" i="30"/>
  <c r="AC436" i="30"/>
  <c r="AB436" i="30"/>
  <c r="AA436" i="30"/>
  <c r="Z436" i="30"/>
  <c r="Y436" i="30"/>
  <c r="X436" i="30"/>
  <c r="W436" i="30"/>
  <c r="V436" i="30"/>
  <c r="U436" i="30"/>
  <c r="T436" i="30"/>
  <c r="S436" i="30"/>
  <c r="R436" i="30"/>
  <c r="Q436" i="30"/>
  <c r="P436" i="30"/>
  <c r="O436" i="30"/>
  <c r="N436" i="30"/>
  <c r="AY435" i="30"/>
  <c r="AX435" i="30"/>
  <c r="AW435" i="30"/>
  <c r="AV435" i="30"/>
  <c r="AU435" i="30"/>
  <c r="AT435" i="30"/>
  <c r="AS435" i="30"/>
  <c r="AR435" i="30"/>
  <c r="AQ435" i="30"/>
  <c r="AP435" i="30"/>
  <c r="AO435" i="30"/>
  <c r="AN435" i="30"/>
  <c r="AM435" i="30"/>
  <c r="AL435" i="30"/>
  <c r="AK435" i="30"/>
  <c r="AJ435" i="30"/>
  <c r="AI435" i="30"/>
  <c r="AH435" i="30"/>
  <c r="AG435" i="30"/>
  <c r="AF435" i="30"/>
  <c r="AE435" i="30"/>
  <c r="AD435" i="30"/>
  <c r="AC435" i="30"/>
  <c r="AB435" i="30"/>
  <c r="AA435" i="30"/>
  <c r="Z435" i="30"/>
  <c r="Y435" i="30"/>
  <c r="X435" i="30"/>
  <c r="W435" i="30"/>
  <c r="V435" i="30"/>
  <c r="U435" i="30"/>
  <c r="T435" i="30"/>
  <c r="S435" i="30"/>
  <c r="R435" i="30"/>
  <c r="Q435" i="30"/>
  <c r="P435" i="30"/>
  <c r="O435" i="30"/>
  <c r="N435" i="30"/>
  <c r="AY429" i="30"/>
  <c r="AX429" i="30"/>
  <c r="AW429" i="30"/>
  <c r="AV429" i="30"/>
  <c r="AU429" i="30"/>
  <c r="AT429" i="30"/>
  <c r="AS429" i="30"/>
  <c r="AR429" i="30"/>
  <c r="AQ429" i="30"/>
  <c r="AP429" i="30"/>
  <c r="AO429" i="30"/>
  <c r="AN429" i="30"/>
  <c r="AM429" i="30"/>
  <c r="AL429" i="30"/>
  <c r="AK429" i="30"/>
  <c r="AJ429" i="30"/>
  <c r="AI429" i="30"/>
  <c r="AH429" i="30"/>
  <c r="AG429" i="30"/>
  <c r="AF429" i="30"/>
  <c r="AE429" i="30"/>
  <c r="AD429" i="30"/>
  <c r="AC429" i="30"/>
  <c r="AB429" i="30"/>
  <c r="AA429" i="30"/>
  <c r="Z429" i="30"/>
  <c r="Y429" i="30"/>
  <c r="X429" i="30"/>
  <c r="W429" i="30"/>
  <c r="V429" i="30"/>
  <c r="U429" i="30"/>
  <c r="T429" i="30"/>
  <c r="S429" i="30"/>
  <c r="R429" i="30"/>
  <c r="Q429" i="30"/>
  <c r="P429" i="30"/>
  <c r="O429" i="30"/>
  <c r="N429" i="30"/>
  <c r="AY420" i="30"/>
  <c r="AX420" i="30"/>
  <c r="AW420" i="30"/>
  <c r="AV420" i="30"/>
  <c r="AU420" i="30"/>
  <c r="AT420" i="30"/>
  <c r="AS420" i="30"/>
  <c r="AR420" i="30"/>
  <c r="AQ420" i="30"/>
  <c r="AP420" i="30"/>
  <c r="AO420" i="30"/>
  <c r="AN420" i="30"/>
  <c r="AM420" i="30"/>
  <c r="AL420" i="30"/>
  <c r="AK420" i="30"/>
  <c r="AJ420" i="30"/>
  <c r="AI420" i="30"/>
  <c r="AH420" i="30"/>
  <c r="AG420" i="30"/>
  <c r="AF420" i="30"/>
  <c r="AE420" i="30"/>
  <c r="AD420" i="30"/>
  <c r="AC420" i="30"/>
  <c r="AB420" i="30"/>
  <c r="AA420" i="30"/>
  <c r="Z420" i="30"/>
  <c r="Y420" i="30"/>
  <c r="X420" i="30"/>
  <c r="W420" i="30"/>
  <c r="V420" i="30"/>
  <c r="U420" i="30"/>
  <c r="T420" i="30"/>
  <c r="S420" i="30"/>
  <c r="R420" i="30"/>
  <c r="Q420" i="30"/>
  <c r="P420" i="30"/>
  <c r="O420" i="30"/>
  <c r="N420" i="30"/>
  <c r="AY419" i="30"/>
  <c r="AX419" i="30"/>
  <c r="AW419" i="30"/>
  <c r="AV419" i="30"/>
  <c r="AU419" i="30"/>
  <c r="AT419" i="30"/>
  <c r="AS419" i="30"/>
  <c r="AR419" i="30"/>
  <c r="AQ419" i="30"/>
  <c r="AP419" i="30"/>
  <c r="AO419" i="30"/>
  <c r="AN419" i="30"/>
  <c r="AM419" i="30"/>
  <c r="AL419" i="30"/>
  <c r="AK419" i="30"/>
  <c r="AJ419" i="30"/>
  <c r="AI419" i="30"/>
  <c r="AH419" i="30"/>
  <c r="AG419" i="30"/>
  <c r="AF419" i="30"/>
  <c r="AE419" i="30"/>
  <c r="AD419" i="30"/>
  <c r="AC419" i="30"/>
  <c r="AB419" i="30"/>
  <c r="AA419" i="30"/>
  <c r="Z419" i="30"/>
  <c r="Y419" i="30"/>
  <c r="X419" i="30"/>
  <c r="W419" i="30"/>
  <c r="V419" i="30"/>
  <c r="U419" i="30"/>
  <c r="T419" i="30"/>
  <c r="S419" i="30"/>
  <c r="R419" i="30"/>
  <c r="Q419" i="30"/>
  <c r="P419" i="30"/>
  <c r="O419" i="30"/>
  <c r="N419" i="30"/>
  <c r="AY418" i="30"/>
  <c r="AX418" i="30"/>
  <c r="AW418" i="30"/>
  <c r="AV418" i="30"/>
  <c r="AU418" i="30"/>
  <c r="AT418" i="30"/>
  <c r="AS418" i="30"/>
  <c r="AR418" i="30"/>
  <c r="AQ418" i="30"/>
  <c r="AP418" i="30"/>
  <c r="AO418" i="30"/>
  <c r="AN418" i="30"/>
  <c r="AM418" i="30"/>
  <c r="AL418" i="30"/>
  <c r="AK418" i="30"/>
  <c r="AJ418" i="30"/>
  <c r="AI418" i="30"/>
  <c r="AH418" i="30"/>
  <c r="AG418" i="30"/>
  <c r="AF418" i="30"/>
  <c r="AE418" i="30"/>
  <c r="AD418" i="30"/>
  <c r="AC418" i="30"/>
  <c r="AB418" i="30"/>
  <c r="AA418" i="30"/>
  <c r="Z418" i="30"/>
  <c r="Y418" i="30"/>
  <c r="X418" i="30"/>
  <c r="W418" i="30"/>
  <c r="V418" i="30"/>
  <c r="U418" i="30"/>
  <c r="T418" i="30"/>
  <c r="S418" i="30"/>
  <c r="R418" i="30"/>
  <c r="Q418" i="30"/>
  <c r="P418" i="30"/>
  <c r="O418" i="30"/>
  <c r="N418" i="30"/>
  <c r="AY417" i="30"/>
  <c r="AX417" i="30"/>
  <c r="AW417" i="30"/>
  <c r="AV417" i="30"/>
  <c r="AU417" i="30"/>
  <c r="AT417" i="30"/>
  <c r="AS417" i="30"/>
  <c r="AR417" i="30"/>
  <c r="AQ417" i="30"/>
  <c r="AP417" i="30"/>
  <c r="AO417" i="30"/>
  <c r="AN417" i="30"/>
  <c r="AM417" i="30"/>
  <c r="AL417" i="30"/>
  <c r="AK417" i="30"/>
  <c r="AJ417" i="30"/>
  <c r="AI417" i="30"/>
  <c r="AH417" i="30"/>
  <c r="AG417" i="30"/>
  <c r="AF417" i="30"/>
  <c r="AE417" i="30"/>
  <c r="AD417" i="30"/>
  <c r="AC417" i="30"/>
  <c r="AB417" i="30"/>
  <c r="AA417" i="30"/>
  <c r="Z417" i="30"/>
  <c r="Y417" i="30"/>
  <c r="X417" i="30"/>
  <c r="W417" i="30"/>
  <c r="V417" i="30"/>
  <c r="U417" i="30"/>
  <c r="T417" i="30"/>
  <c r="S417" i="30"/>
  <c r="R417" i="30"/>
  <c r="Q417" i="30"/>
  <c r="P417" i="30"/>
  <c r="O417" i="30"/>
  <c r="N417" i="30"/>
  <c r="AY416" i="30"/>
  <c r="AX416" i="30"/>
  <c r="AW416" i="30"/>
  <c r="AV416" i="30"/>
  <c r="AU416" i="30"/>
  <c r="AT416" i="30"/>
  <c r="AS416" i="30"/>
  <c r="AR416" i="30"/>
  <c r="AQ416" i="30"/>
  <c r="AP416" i="30"/>
  <c r="AO416" i="30"/>
  <c r="AN416" i="30"/>
  <c r="AM416" i="30"/>
  <c r="AL416" i="30"/>
  <c r="AK416" i="30"/>
  <c r="AJ416" i="30"/>
  <c r="AI416" i="30"/>
  <c r="AH416" i="30"/>
  <c r="AG416" i="30"/>
  <c r="AF416" i="30"/>
  <c r="AE416" i="30"/>
  <c r="AD416" i="30"/>
  <c r="AC416" i="30"/>
  <c r="AB416" i="30"/>
  <c r="AA416" i="30"/>
  <c r="Z416" i="30"/>
  <c r="Y416" i="30"/>
  <c r="X416" i="30"/>
  <c r="W416" i="30"/>
  <c r="V416" i="30"/>
  <c r="U416" i="30"/>
  <c r="T416" i="30"/>
  <c r="S416" i="30"/>
  <c r="R416" i="30"/>
  <c r="Q416" i="30"/>
  <c r="P416" i="30"/>
  <c r="O416" i="30"/>
  <c r="N416" i="30"/>
  <c r="AY415" i="30"/>
  <c r="AX415" i="30"/>
  <c r="AW415" i="30"/>
  <c r="AV415" i="30"/>
  <c r="AU415" i="30"/>
  <c r="AT415" i="30"/>
  <c r="AS415" i="30"/>
  <c r="AR415" i="30"/>
  <c r="AQ415" i="30"/>
  <c r="AP415" i="30"/>
  <c r="AO415" i="30"/>
  <c r="AN415" i="30"/>
  <c r="AM415" i="30"/>
  <c r="AL415" i="30"/>
  <c r="AK415" i="30"/>
  <c r="AJ415" i="30"/>
  <c r="AI415" i="30"/>
  <c r="AH415" i="30"/>
  <c r="AG415" i="30"/>
  <c r="AF415" i="30"/>
  <c r="AE415" i="30"/>
  <c r="AD415" i="30"/>
  <c r="AC415" i="30"/>
  <c r="AB415" i="30"/>
  <c r="AA415" i="30"/>
  <c r="Z415" i="30"/>
  <c r="Y415" i="30"/>
  <c r="X415" i="30"/>
  <c r="W415" i="30"/>
  <c r="V415" i="30"/>
  <c r="U415" i="30"/>
  <c r="T415" i="30"/>
  <c r="S415" i="30"/>
  <c r="R415" i="30"/>
  <c r="Q415" i="30"/>
  <c r="P415" i="30"/>
  <c r="O415" i="30"/>
  <c r="N415" i="30"/>
  <c r="AY414" i="30"/>
  <c r="AX414" i="30"/>
  <c r="AW414" i="30"/>
  <c r="AV414" i="30"/>
  <c r="AU414" i="30"/>
  <c r="AT414" i="30"/>
  <c r="AS414" i="30"/>
  <c r="AR414" i="30"/>
  <c r="AQ414" i="30"/>
  <c r="AP414" i="30"/>
  <c r="AO414" i="30"/>
  <c r="AN414" i="30"/>
  <c r="AM414" i="30"/>
  <c r="AL414" i="30"/>
  <c r="AK414" i="30"/>
  <c r="AJ414" i="30"/>
  <c r="AI414" i="30"/>
  <c r="AH414" i="30"/>
  <c r="AG414" i="30"/>
  <c r="AF414" i="30"/>
  <c r="AE414" i="30"/>
  <c r="AD414" i="30"/>
  <c r="AC414" i="30"/>
  <c r="AB414" i="30"/>
  <c r="AA414" i="30"/>
  <c r="Z414" i="30"/>
  <c r="Y414" i="30"/>
  <c r="X414" i="30"/>
  <c r="W414" i="30"/>
  <c r="V414" i="30"/>
  <c r="U414" i="30"/>
  <c r="T414" i="30"/>
  <c r="S414" i="30"/>
  <c r="R414" i="30"/>
  <c r="Q414" i="30"/>
  <c r="P414" i="30"/>
  <c r="O414" i="30"/>
  <c r="N414" i="30"/>
  <c r="AY412" i="30"/>
  <c r="AX412" i="30"/>
  <c r="AW412" i="30"/>
  <c r="AV412" i="30"/>
  <c r="AU412" i="30"/>
  <c r="AT412" i="30"/>
  <c r="AS412" i="30"/>
  <c r="AR412" i="30"/>
  <c r="AQ412" i="30"/>
  <c r="AP412" i="30"/>
  <c r="AO412" i="30"/>
  <c r="AN412" i="30"/>
  <c r="AM412" i="30"/>
  <c r="AL412" i="30"/>
  <c r="AK412" i="30"/>
  <c r="AJ412" i="30"/>
  <c r="AI412" i="30"/>
  <c r="AH412" i="30"/>
  <c r="AG412" i="30"/>
  <c r="AF412" i="30"/>
  <c r="AE412" i="30"/>
  <c r="AD412" i="30"/>
  <c r="AC412" i="30"/>
  <c r="AB412" i="30"/>
  <c r="AA412" i="30"/>
  <c r="Z412" i="30"/>
  <c r="Y412" i="30"/>
  <c r="X412" i="30"/>
  <c r="W412" i="30"/>
  <c r="V412" i="30"/>
  <c r="U412" i="30"/>
  <c r="T412" i="30"/>
  <c r="S412" i="30"/>
  <c r="R412" i="30"/>
  <c r="Q412" i="30"/>
  <c r="P412" i="30"/>
  <c r="O412" i="30"/>
  <c r="N412" i="30"/>
  <c r="KQ411" i="30"/>
  <c r="AU411" i="30" s="1"/>
  <c r="AY411" i="30"/>
  <c r="AX411" i="30"/>
  <c r="AW411" i="30"/>
  <c r="AV411" i="30"/>
  <c r="AT411" i="30"/>
  <c r="AS411" i="30"/>
  <c r="AR411" i="30"/>
  <c r="AQ411" i="30"/>
  <c r="AP411" i="30"/>
  <c r="AO411" i="30"/>
  <c r="AN411" i="30"/>
  <c r="AM411" i="30"/>
  <c r="AL411" i="30"/>
  <c r="AK411" i="30"/>
  <c r="AJ411" i="30"/>
  <c r="AI411" i="30"/>
  <c r="AH411" i="30"/>
  <c r="AG411" i="30"/>
  <c r="AF411" i="30"/>
  <c r="AE411" i="30"/>
  <c r="AD411" i="30"/>
  <c r="AC411" i="30"/>
  <c r="AB411" i="30"/>
  <c r="AA411" i="30"/>
  <c r="Z411" i="30"/>
  <c r="Y411" i="30"/>
  <c r="X411" i="30"/>
  <c r="W411" i="30"/>
  <c r="V411" i="30"/>
  <c r="U411" i="30"/>
  <c r="T411" i="30"/>
  <c r="S411" i="30"/>
  <c r="R411" i="30"/>
  <c r="Q411" i="30"/>
  <c r="P411" i="30"/>
  <c r="O411" i="30"/>
  <c r="N411" i="30"/>
  <c r="AY410" i="30"/>
  <c r="AX410" i="30"/>
  <c r="AW410" i="30"/>
  <c r="AV410" i="30"/>
  <c r="AU410" i="30"/>
  <c r="AT410" i="30"/>
  <c r="AS410" i="30"/>
  <c r="AR410" i="30"/>
  <c r="AQ410" i="30"/>
  <c r="AP410" i="30"/>
  <c r="AO410" i="30"/>
  <c r="AN410" i="30"/>
  <c r="AM410" i="30"/>
  <c r="AL410" i="30"/>
  <c r="AK410" i="30"/>
  <c r="AJ410" i="30"/>
  <c r="AI410" i="30"/>
  <c r="AH410" i="30"/>
  <c r="AG410" i="30"/>
  <c r="AF410" i="30"/>
  <c r="AE410" i="30"/>
  <c r="AD410" i="30"/>
  <c r="AC410" i="30"/>
  <c r="AB410" i="30"/>
  <c r="AA410" i="30"/>
  <c r="Z410" i="30"/>
  <c r="Y410" i="30"/>
  <c r="X410" i="30"/>
  <c r="W410" i="30"/>
  <c r="V410" i="30"/>
  <c r="U410" i="30"/>
  <c r="T410" i="30"/>
  <c r="S410" i="30"/>
  <c r="R410" i="30"/>
  <c r="Q410" i="30"/>
  <c r="P410" i="30"/>
  <c r="O410" i="30"/>
  <c r="N410" i="30"/>
  <c r="AY409" i="30"/>
  <c r="AX409" i="30"/>
  <c r="AW409" i="30"/>
  <c r="AV409" i="30"/>
  <c r="AU409" i="30"/>
  <c r="AT409" i="30"/>
  <c r="AS409" i="30"/>
  <c r="AR409" i="30"/>
  <c r="AQ409" i="30"/>
  <c r="AP409" i="30"/>
  <c r="AO409" i="30"/>
  <c r="AN409" i="30"/>
  <c r="AM409" i="30"/>
  <c r="AL409" i="30"/>
  <c r="AK409" i="30"/>
  <c r="AJ409" i="30"/>
  <c r="AI409" i="30"/>
  <c r="AH409" i="30"/>
  <c r="AG409" i="30"/>
  <c r="AF409" i="30"/>
  <c r="AE409" i="30"/>
  <c r="AD409" i="30"/>
  <c r="AC409" i="30"/>
  <c r="AB409" i="30"/>
  <c r="AA409" i="30"/>
  <c r="Z409" i="30"/>
  <c r="Y409" i="30"/>
  <c r="X409" i="30"/>
  <c r="W409" i="30"/>
  <c r="V409" i="30"/>
  <c r="U409" i="30"/>
  <c r="T409" i="30"/>
  <c r="S409" i="30"/>
  <c r="R409" i="30"/>
  <c r="Q409" i="30"/>
  <c r="P409" i="30"/>
  <c r="O409" i="30"/>
  <c r="N409" i="30"/>
  <c r="AY408" i="30"/>
  <c r="AX408" i="30"/>
  <c r="AW408" i="30"/>
  <c r="AV408" i="30"/>
  <c r="AU408" i="30"/>
  <c r="AT408" i="30"/>
  <c r="AS408" i="30"/>
  <c r="AR408" i="30"/>
  <c r="AQ408" i="30"/>
  <c r="AP408" i="30"/>
  <c r="AO408" i="30"/>
  <c r="AN408" i="30"/>
  <c r="AM408" i="30"/>
  <c r="AL408" i="30"/>
  <c r="AK408" i="30"/>
  <c r="AJ408" i="30"/>
  <c r="AI408" i="30"/>
  <c r="AH408" i="30"/>
  <c r="AG408" i="30"/>
  <c r="AF408" i="30"/>
  <c r="AE408" i="30"/>
  <c r="AD408" i="30"/>
  <c r="AC408" i="30"/>
  <c r="AB408" i="30"/>
  <c r="AA408" i="30"/>
  <c r="Z408" i="30"/>
  <c r="Y408" i="30"/>
  <c r="X408" i="30"/>
  <c r="W408" i="30"/>
  <c r="V408" i="30"/>
  <c r="U408" i="30"/>
  <c r="T408" i="30"/>
  <c r="S408" i="30"/>
  <c r="R408" i="30"/>
  <c r="Q408" i="30"/>
  <c r="P408" i="30"/>
  <c r="O408" i="30"/>
  <c r="N408" i="30"/>
  <c r="AY407" i="30"/>
  <c r="AX407" i="30"/>
  <c r="AW407" i="30"/>
  <c r="AV407" i="30"/>
  <c r="AU407" i="30"/>
  <c r="AT407" i="30"/>
  <c r="AS407" i="30"/>
  <c r="AR407" i="30"/>
  <c r="AQ407" i="30"/>
  <c r="AP407" i="30"/>
  <c r="AO407" i="30"/>
  <c r="AN407" i="30"/>
  <c r="AM407" i="30"/>
  <c r="AL407" i="30"/>
  <c r="AK407" i="30"/>
  <c r="AJ407" i="30"/>
  <c r="AI407" i="30"/>
  <c r="AH407" i="30"/>
  <c r="AG407" i="30"/>
  <c r="AF407" i="30"/>
  <c r="AE407" i="30"/>
  <c r="AD407" i="30"/>
  <c r="AC407" i="30"/>
  <c r="AB407" i="30"/>
  <c r="AA407" i="30"/>
  <c r="Z407" i="30"/>
  <c r="Y407" i="30"/>
  <c r="X407" i="30"/>
  <c r="W407" i="30"/>
  <c r="V407" i="30"/>
  <c r="U407" i="30"/>
  <c r="T407" i="30"/>
  <c r="S407" i="30"/>
  <c r="R407" i="30"/>
  <c r="Q407" i="30"/>
  <c r="P407" i="30"/>
  <c r="O407" i="30"/>
  <c r="N407" i="30"/>
  <c r="AY406" i="30"/>
  <c r="AX406" i="30"/>
  <c r="AW406" i="30"/>
  <c r="AV406" i="30"/>
  <c r="AU406" i="30"/>
  <c r="AT406" i="30"/>
  <c r="AS406" i="30"/>
  <c r="AR406" i="30"/>
  <c r="AQ406" i="30"/>
  <c r="AP406" i="30"/>
  <c r="AO406" i="30"/>
  <c r="AN406" i="30"/>
  <c r="AM406" i="30"/>
  <c r="AL406" i="30"/>
  <c r="AK406" i="30"/>
  <c r="AJ406" i="30"/>
  <c r="AI406" i="30"/>
  <c r="AH406" i="30"/>
  <c r="AG406" i="30"/>
  <c r="AF406" i="30"/>
  <c r="AE406" i="30"/>
  <c r="AD406" i="30"/>
  <c r="AC406" i="30"/>
  <c r="AB406" i="30"/>
  <c r="AA406" i="30"/>
  <c r="Z406" i="30"/>
  <c r="Y406" i="30"/>
  <c r="X406" i="30"/>
  <c r="W406" i="30"/>
  <c r="V406" i="30"/>
  <c r="U406" i="30"/>
  <c r="T406" i="30"/>
  <c r="S406" i="30"/>
  <c r="R406" i="30"/>
  <c r="Q406" i="30"/>
  <c r="P406" i="30"/>
  <c r="O406" i="30"/>
  <c r="N406" i="30"/>
  <c r="AY405" i="30"/>
  <c r="AX405" i="30"/>
  <c r="AW405" i="30"/>
  <c r="AV405" i="30"/>
  <c r="AU405" i="30"/>
  <c r="AT405" i="30"/>
  <c r="AS405" i="30"/>
  <c r="AR405" i="30"/>
  <c r="AQ405" i="30"/>
  <c r="AP405" i="30"/>
  <c r="AO405" i="30"/>
  <c r="AN405" i="30"/>
  <c r="AM405" i="30"/>
  <c r="AL405" i="30"/>
  <c r="AK405" i="30"/>
  <c r="AJ405" i="30"/>
  <c r="AI405" i="30"/>
  <c r="AH405" i="30"/>
  <c r="AG405" i="30"/>
  <c r="AF405" i="30"/>
  <c r="AE405" i="30"/>
  <c r="AD405" i="30"/>
  <c r="AC405" i="30"/>
  <c r="AB405" i="30"/>
  <c r="AA405" i="30"/>
  <c r="Z405" i="30"/>
  <c r="Y405" i="30"/>
  <c r="X405" i="30"/>
  <c r="W405" i="30"/>
  <c r="V405" i="30"/>
  <c r="U405" i="30"/>
  <c r="T405" i="30"/>
  <c r="S405" i="30"/>
  <c r="R405" i="30"/>
  <c r="Q405" i="30"/>
  <c r="P405" i="30"/>
  <c r="O405" i="30"/>
  <c r="N405" i="30"/>
  <c r="AY404" i="30"/>
  <c r="AX404" i="30"/>
  <c r="AW404" i="30"/>
  <c r="AV404" i="30"/>
  <c r="AU404" i="30"/>
  <c r="AT404" i="30"/>
  <c r="AS404" i="30"/>
  <c r="AR404" i="30"/>
  <c r="AQ404" i="30"/>
  <c r="AP404" i="30"/>
  <c r="AO404" i="30"/>
  <c r="AN404" i="30"/>
  <c r="AM404" i="30"/>
  <c r="AL404" i="30"/>
  <c r="AK404" i="30"/>
  <c r="AJ404" i="30"/>
  <c r="AI404" i="30"/>
  <c r="AH404" i="30"/>
  <c r="AG404" i="30"/>
  <c r="AF404" i="30"/>
  <c r="AE404" i="30"/>
  <c r="AD404" i="30"/>
  <c r="AC404" i="30"/>
  <c r="AB404" i="30"/>
  <c r="AA404" i="30"/>
  <c r="Z404" i="30"/>
  <c r="Y404" i="30"/>
  <c r="X404" i="30"/>
  <c r="W404" i="30"/>
  <c r="V404" i="30"/>
  <c r="U404" i="30"/>
  <c r="T404" i="30"/>
  <c r="S404" i="30"/>
  <c r="R404" i="30"/>
  <c r="Q404" i="30"/>
  <c r="P404" i="30"/>
  <c r="O404" i="30"/>
  <c r="N404" i="30"/>
  <c r="AY403" i="30"/>
  <c r="AX403" i="30"/>
  <c r="AW403" i="30"/>
  <c r="AV403" i="30"/>
  <c r="AU403" i="30"/>
  <c r="AT403" i="30"/>
  <c r="AS403" i="30"/>
  <c r="AR403" i="30"/>
  <c r="AQ403" i="30"/>
  <c r="AP403" i="30"/>
  <c r="AO403" i="30"/>
  <c r="AN403" i="30"/>
  <c r="AM403" i="30"/>
  <c r="AL403" i="30"/>
  <c r="AK403" i="30"/>
  <c r="AJ403" i="30"/>
  <c r="AI403" i="30"/>
  <c r="AH403" i="30"/>
  <c r="AG403" i="30"/>
  <c r="AF403" i="30"/>
  <c r="AE403" i="30"/>
  <c r="AD403" i="30"/>
  <c r="AC403" i="30"/>
  <c r="AB403" i="30"/>
  <c r="AA403" i="30"/>
  <c r="Z403" i="30"/>
  <c r="Y403" i="30"/>
  <c r="X403" i="30"/>
  <c r="W403" i="30"/>
  <c r="V403" i="30"/>
  <c r="U403" i="30"/>
  <c r="T403" i="30"/>
  <c r="S403" i="30"/>
  <c r="R403" i="30"/>
  <c r="Q403" i="30"/>
  <c r="P403" i="30"/>
  <c r="O403" i="30"/>
  <c r="N403" i="30"/>
  <c r="AY402" i="30"/>
  <c r="AX402" i="30"/>
  <c r="AW402" i="30"/>
  <c r="AV402" i="30"/>
  <c r="AU402" i="30"/>
  <c r="AT402" i="30"/>
  <c r="AS402" i="30"/>
  <c r="AR402" i="30"/>
  <c r="AQ402" i="30"/>
  <c r="AP402" i="30"/>
  <c r="AO402" i="30"/>
  <c r="AN402" i="30"/>
  <c r="AM402" i="30"/>
  <c r="AL402" i="30"/>
  <c r="AK402" i="30"/>
  <c r="AJ402" i="30"/>
  <c r="AI402" i="30"/>
  <c r="AH402" i="30"/>
  <c r="AG402" i="30"/>
  <c r="AF402" i="30"/>
  <c r="AE402" i="30"/>
  <c r="AD402" i="30"/>
  <c r="AC402" i="30"/>
  <c r="AB402" i="30"/>
  <c r="AA402" i="30"/>
  <c r="Z402" i="30"/>
  <c r="Y402" i="30"/>
  <c r="X402" i="30"/>
  <c r="W402" i="30"/>
  <c r="V402" i="30"/>
  <c r="U402" i="30"/>
  <c r="T402" i="30"/>
  <c r="S402" i="30"/>
  <c r="R402" i="30"/>
  <c r="Q402" i="30"/>
  <c r="P402" i="30"/>
  <c r="O402" i="30"/>
  <c r="N402" i="30"/>
  <c r="AY401" i="30"/>
  <c r="AX401" i="30"/>
  <c r="AW401" i="30"/>
  <c r="AV401" i="30"/>
  <c r="AU401" i="30"/>
  <c r="AT401" i="30"/>
  <c r="AS401" i="30"/>
  <c r="AR401" i="30"/>
  <c r="AQ401" i="30"/>
  <c r="AP401" i="30"/>
  <c r="AO401" i="30"/>
  <c r="AN401" i="30"/>
  <c r="AM401" i="30"/>
  <c r="AL401" i="30"/>
  <c r="AK401" i="30"/>
  <c r="AJ401" i="30"/>
  <c r="AI401" i="30"/>
  <c r="AH401" i="30"/>
  <c r="AG401" i="30"/>
  <c r="AF401" i="30"/>
  <c r="AE401" i="30"/>
  <c r="AD401" i="30"/>
  <c r="AC401" i="30"/>
  <c r="AB401" i="30"/>
  <c r="AA401" i="30"/>
  <c r="Z401" i="30"/>
  <c r="Y401" i="30"/>
  <c r="X401" i="30"/>
  <c r="W401" i="30"/>
  <c r="V401" i="30"/>
  <c r="U401" i="30"/>
  <c r="T401" i="30"/>
  <c r="S401" i="30"/>
  <c r="R401" i="30"/>
  <c r="Q401" i="30"/>
  <c r="P401" i="30"/>
  <c r="O401" i="30"/>
  <c r="N401" i="30"/>
  <c r="AY400" i="30"/>
  <c r="AX400" i="30"/>
  <c r="AW400" i="30"/>
  <c r="AV400" i="30"/>
  <c r="AU400" i="30"/>
  <c r="AT400" i="30"/>
  <c r="AS400" i="30"/>
  <c r="AR400" i="30"/>
  <c r="AQ400" i="30"/>
  <c r="AP400" i="30"/>
  <c r="AO400" i="30"/>
  <c r="AN400" i="30"/>
  <c r="AM400" i="30"/>
  <c r="AL400" i="30"/>
  <c r="AK400" i="30"/>
  <c r="AJ400" i="30"/>
  <c r="AI400" i="30"/>
  <c r="AH400" i="30"/>
  <c r="AG400" i="30"/>
  <c r="AF400" i="30"/>
  <c r="AE400" i="30"/>
  <c r="AD400" i="30"/>
  <c r="AC400" i="30"/>
  <c r="AB400" i="30"/>
  <c r="AA400" i="30"/>
  <c r="Z400" i="30"/>
  <c r="Y400" i="30"/>
  <c r="X400" i="30"/>
  <c r="W400" i="30"/>
  <c r="V400" i="30"/>
  <c r="U400" i="30"/>
  <c r="T400" i="30"/>
  <c r="S400" i="30"/>
  <c r="R400" i="30"/>
  <c r="Q400" i="30"/>
  <c r="P400" i="30"/>
  <c r="O400" i="30"/>
  <c r="N400" i="30"/>
  <c r="AY399" i="30"/>
  <c r="AX399" i="30"/>
  <c r="AW399" i="30"/>
  <c r="AV399" i="30"/>
  <c r="AU399" i="30"/>
  <c r="AT399" i="30"/>
  <c r="AS399" i="30"/>
  <c r="AR399" i="30"/>
  <c r="AQ399" i="30"/>
  <c r="AP399" i="30"/>
  <c r="AO399" i="30"/>
  <c r="AN399" i="30"/>
  <c r="AM399" i="30"/>
  <c r="AL399" i="30"/>
  <c r="AK399" i="30"/>
  <c r="AJ399" i="30"/>
  <c r="AI399" i="30"/>
  <c r="AH399" i="30"/>
  <c r="AG399" i="30"/>
  <c r="AF399" i="30"/>
  <c r="AE399" i="30"/>
  <c r="AD399" i="30"/>
  <c r="AC399" i="30"/>
  <c r="AB399" i="30"/>
  <c r="AA399" i="30"/>
  <c r="Z399" i="30"/>
  <c r="Y399" i="30"/>
  <c r="X399" i="30"/>
  <c r="W399" i="30"/>
  <c r="V399" i="30"/>
  <c r="U399" i="30"/>
  <c r="T399" i="30"/>
  <c r="S399" i="30"/>
  <c r="R399" i="30"/>
  <c r="Q399" i="30"/>
  <c r="P399" i="30"/>
  <c r="O399" i="30"/>
  <c r="N399" i="30"/>
  <c r="AY398" i="30"/>
  <c r="AX398" i="30"/>
  <c r="AW398" i="30"/>
  <c r="AV398" i="30"/>
  <c r="AU398" i="30"/>
  <c r="AT398" i="30"/>
  <c r="AS398" i="30"/>
  <c r="AR398" i="30"/>
  <c r="AQ398" i="30"/>
  <c r="AP398" i="30"/>
  <c r="AO398" i="30"/>
  <c r="AN398" i="30"/>
  <c r="AM398" i="30"/>
  <c r="AL398" i="30"/>
  <c r="AK398" i="30"/>
  <c r="AJ398" i="30"/>
  <c r="AI398" i="30"/>
  <c r="AH398" i="30"/>
  <c r="AG398" i="30"/>
  <c r="AF398" i="30"/>
  <c r="AE398" i="30"/>
  <c r="AD398" i="30"/>
  <c r="AC398" i="30"/>
  <c r="AB398" i="30"/>
  <c r="AA398" i="30"/>
  <c r="Z398" i="30"/>
  <c r="Y398" i="30"/>
  <c r="X398" i="30"/>
  <c r="W398" i="30"/>
  <c r="V398" i="30"/>
  <c r="U398" i="30"/>
  <c r="T398" i="30"/>
  <c r="S398" i="30"/>
  <c r="R398" i="30"/>
  <c r="Q398" i="30"/>
  <c r="P398" i="30"/>
  <c r="O398" i="30"/>
  <c r="N398" i="30"/>
  <c r="AY397" i="30"/>
  <c r="AX397" i="30"/>
  <c r="AW397" i="30"/>
  <c r="AV397" i="30"/>
  <c r="AU397" i="30"/>
  <c r="AT397" i="30"/>
  <c r="AS397" i="30"/>
  <c r="AR397" i="30"/>
  <c r="AQ397" i="30"/>
  <c r="AP397" i="30"/>
  <c r="AO397" i="30"/>
  <c r="AN397" i="30"/>
  <c r="AM397" i="30"/>
  <c r="AL397" i="30"/>
  <c r="AK397" i="30"/>
  <c r="AJ397" i="30"/>
  <c r="AI397" i="30"/>
  <c r="AH397" i="30"/>
  <c r="AG397" i="30"/>
  <c r="AF397" i="30"/>
  <c r="AE397" i="30"/>
  <c r="AD397" i="30"/>
  <c r="AC397" i="30"/>
  <c r="AB397" i="30"/>
  <c r="AA397" i="30"/>
  <c r="Z397" i="30"/>
  <c r="Y397" i="30"/>
  <c r="X397" i="30"/>
  <c r="W397" i="30"/>
  <c r="V397" i="30"/>
  <c r="U397" i="30"/>
  <c r="T397" i="30"/>
  <c r="S397" i="30"/>
  <c r="R397" i="30"/>
  <c r="Q397" i="30"/>
  <c r="P397" i="30"/>
  <c r="O397" i="30"/>
  <c r="N397" i="30"/>
  <c r="AY396" i="30"/>
  <c r="AX396" i="30"/>
  <c r="AW396" i="30"/>
  <c r="AV396" i="30"/>
  <c r="AU396" i="30"/>
  <c r="AT396" i="30"/>
  <c r="AS396" i="30"/>
  <c r="AR396" i="30"/>
  <c r="AQ396" i="30"/>
  <c r="AP396" i="30"/>
  <c r="AO396" i="30"/>
  <c r="AN396" i="30"/>
  <c r="AM396" i="30"/>
  <c r="AL396" i="30"/>
  <c r="AK396" i="30"/>
  <c r="AJ396" i="30"/>
  <c r="AI396" i="30"/>
  <c r="AH396" i="30"/>
  <c r="AG396" i="30"/>
  <c r="AF396" i="30"/>
  <c r="AE396" i="30"/>
  <c r="AD396" i="30"/>
  <c r="AC396" i="30"/>
  <c r="AB396" i="30"/>
  <c r="AA396" i="30"/>
  <c r="Z396" i="30"/>
  <c r="Y396" i="30"/>
  <c r="X396" i="30"/>
  <c r="W396" i="30"/>
  <c r="V396" i="30"/>
  <c r="U396" i="30"/>
  <c r="T396" i="30"/>
  <c r="S396" i="30"/>
  <c r="R396" i="30"/>
  <c r="Q396" i="30"/>
  <c r="P396" i="30"/>
  <c r="O396" i="30"/>
  <c r="N396" i="30"/>
  <c r="AY395" i="30"/>
  <c r="AX395" i="30"/>
  <c r="AW395" i="30"/>
  <c r="AV395" i="30"/>
  <c r="AU395" i="30"/>
  <c r="AT395" i="30"/>
  <c r="AS395" i="30"/>
  <c r="AR395" i="30"/>
  <c r="AQ395" i="30"/>
  <c r="AP395" i="30"/>
  <c r="AO395" i="30"/>
  <c r="AN395" i="30"/>
  <c r="AM395" i="30"/>
  <c r="AL395" i="30"/>
  <c r="AK395" i="30"/>
  <c r="AJ395" i="30"/>
  <c r="AI395" i="30"/>
  <c r="AH395" i="30"/>
  <c r="AG395" i="30"/>
  <c r="AF395" i="30"/>
  <c r="AE395" i="30"/>
  <c r="AD395" i="30"/>
  <c r="AC395" i="30"/>
  <c r="AB395" i="30"/>
  <c r="AA395" i="30"/>
  <c r="Z395" i="30"/>
  <c r="Y395" i="30"/>
  <c r="X395" i="30"/>
  <c r="W395" i="30"/>
  <c r="V395" i="30"/>
  <c r="U395" i="30"/>
  <c r="T395" i="30"/>
  <c r="S395" i="30"/>
  <c r="R395" i="30"/>
  <c r="Q395" i="30"/>
  <c r="P395" i="30"/>
  <c r="O395" i="30"/>
  <c r="N395" i="30"/>
  <c r="AY394" i="30"/>
  <c r="AX394" i="30"/>
  <c r="AW394" i="30"/>
  <c r="AV394" i="30"/>
  <c r="AU394" i="30"/>
  <c r="AT394" i="30"/>
  <c r="AS394" i="30"/>
  <c r="AR394" i="30"/>
  <c r="AQ394" i="30"/>
  <c r="AP394" i="30"/>
  <c r="AO394" i="30"/>
  <c r="AN394" i="30"/>
  <c r="AM394" i="30"/>
  <c r="AL394" i="30"/>
  <c r="AK394" i="30"/>
  <c r="AJ394" i="30"/>
  <c r="AI394" i="30"/>
  <c r="AH394" i="30"/>
  <c r="AG394" i="30"/>
  <c r="AF394" i="30"/>
  <c r="AE394" i="30"/>
  <c r="AD394" i="30"/>
  <c r="AC394" i="30"/>
  <c r="AB394" i="30"/>
  <c r="AA394" i="30"/>
  <c r="Z394" i="30"/>
  <c r="Y394" i="30"/>
  <c r="X394" i="30"/>
  <c r="W394" i="30"/>
  <c r="V394" i="30"/>
  <c r="U394" i="30"/>
  <c r="T394" i="30"/>
  <c r="S394" i="30"/>
  <c r="R394" i="30"/>
  <c r="Q394" i="30"/>
  <c r="P394" i="30"/>
  <c r="O394" i="30"/>
  <c r="N394" i="30"/>
  <c r="AY393" i="30"/>
  <c r="AX393" i="30"/>
  <c r="AW393" i="30"/>
  <c r="AV393" i="30"/>
  <c r="AU393" i="30"/>
  <c r="AT393" i="30"/>
  <c r="AS393" i="30"/>
  <c r="AR393" i="30"/>
  <c r="AQ393" i="30"/>
  <c r="AP393" i="30"/>
  <c r="AO393" i="30"/>
  <c r="AN393" i="30"/>
  <c r="AM393" i="30"/>
  <c r="AL393" i="30"/>
  <c r="AK393" i="30"/>
  <c r="AJ393" i="30"/>
  <c r="AI393" i="30"/>
  <c r="AH393" i="30"/>
  <c r="AG393" i="30"/>
  <c r="AF393" i="30"/>
  <c r="AE393" i="30"/>
  <c r="AD393" i="30"/>
  <c r="AC393" i="30"/>
  <c r="AB393" i="30"/>
  <c r="AA393" i="30"/>
  <c r="Z393" i="30"/>
  <c r="Y393" i="30"/>
  <c r="X393" i="30"/>
  <c r="W393" i="30"/>
  <c r="V393" i="30"/>
  <c r="U393" i="30"/>
  <c r="T393" i="30"/>
  <c r="S393" i="30"/>
  <c r="R393" i="30"/>
  <c r="Q393" i="30"/>
  <c r="P393" i="30"/>
  <c r="O393" i="30"/>
  <c r="N393" i="30"/>
  <c r="AY392" i="30"/>
  <c r="AX392" i="30"/>
  <c r="AW392" i="30"/>
  <c r="AV392" i="30"/>
  <c r="AU392" i="30"/>
  <c r="AT392" i="30"/>
  <c r="AS392" i="30"/>
  <c r="AR392" i="30"/>
  <c r="AQ392" i="30"/>
  <c r="AP392" i="30"/>
  <c r="AO392" i="30"/>
  <c r="AN392" i="30"/>
  <c r="AM392" i="30"/>
  <c r="AL392" i="30"/>
  <c r="AK392" i="30"/>
  <c r="AJ392" i="30"/>
  <c r="AI392" i="30"/>
  <c r="AH392" i="30"/>
  <c r="AG392" i="30"/>
  <c r="AF392" i="30"/>
  <c r="AE392" i="30"/>
  <c r="AD392" i="30"/>
  <c r="AC392" i="30"/>
  <c r="AB392" i="30"/>
  <c r="AA392" i="30"/>
  <c r="Z392" i="30"/>
  <c r="Y392" i="30"/>
  <c r="X392" i="30"/>
  <c r="W392" i="30"/>
  <c r="V392" i="30"/>
  <c r="U392" i="30"/>
  <c r="T392" i="30"/>
  <c r="S392" i="30"/>
  <c r="R392" i="30"/>
  <c r="Q392" i="30"/>
  <c r="P392" i="30"/>
  <c r="O392" i="30"/>
  <c r="N392" i="30"/>
  <c r="AY391" i="30"/>
  <c r="AX391" i="30"/>
  <c r="AW391" i="30"/>
  <c r="AV391" i="30"/>
  <c r="AU391" i="30"/>
  <c r="AT391" i="30"/>
  <c r="AS391" i="30"/>
  <c r="AR391" i="30"/>
  <c r="AQ391" i="30"/>
  <c r="AP391" i="30"/>
  <c r="AO391" i="30"/>
  <c r="AN391" i="30"/>
  <c r="AM391" i="30"/>
  <c r="AL391" i="30"/>
  <c r="AK391" i="30"/>
  <c r="AJ391" i="30"/>
  <c r="AI391" i="30"/>
  <c r="AH391" i="30"/>
  <c r="AG391" i="30"/>
  <c r="AF391" i="30"/>
  <c r="AE391" i="30"/>
  <c r="AD391" i="30"/>
  <c r="AC391" i="30"/>
  <c r="AB391" i="30"/>
  <c r="AA391" i="30"/>
  <c r="Z391" i="30"/>
  <c r="Y391" i="30"/>
  <c r="X391" i="30"/>
  <c r="W391" i="30"/>
  <c r="V391" i="30"/>
  <c r="U391" i="30"/>
  <c r="T391" i="30"/>
  <c r="S391" i="30"/>
  <c r="R391" i="30"/>
  <c r="Q391" i="30"/>
  <c r="P391" i="30"/>
  <c r="O391" i="30"/>
  <c r="N391" i="30"/>
  <c r="AY390" i="30"/>
  <c r="AX390" i="30"/>
  <c r="AW390" i="30"/>
  <c r="AV390" i="30"/>
  <c r="AU390" i="30"/>
  <c r="AT390" i="30"/>
  <c r="AS390" i="30"/>
  <c r="AR390" i="30"/>
  <c r="AQ390" i="30"/>
  <c r="AP390" i="30"/>
  <c r="AO390" i="30"/>
  <c r="AN390" i="30"/>
  <c r="AM390" i="30"/>
  <c r="AL390" i="30"/>
  <c r="AK390" i="30"/>
  <c r="AJ390" i="30"/>
  <c r="AI390" i="30"/>
  <c r="AH390" i="30"/>
  <c r="AG390" i="30"/>
  <c r="AF390" i="30"/>
  <c r="AE390" i="30"/>
  <c r="AD390" i="30"/>
  <c r="AC390" i="30"/>
  <c r="AB390" i="30"/>
  <c r="AA390" i="30"/>
  <c r="Z390" i="30"/>
  <c r="Y390" i="30"/>
  <c r="X390" i="30"/>
  <c r="W390" i="30"/>
  <c r="V390" i="30"/>
  <c r="U390" i="30"/>
  <c r="T390" i="30"/>
  <c r="S390" i="30"/>
  <c r="R390" i="30"/>
  <c r="Q390" i="30"/>
  <c r="P390" i="30"/>
  <c r="O390" i="30"/>
  <c r="N390" i="30"/>
  <c r="AY389" i="30"/>
  <c r="AX389" i="30"/>
  <c r="AW389" i="30"/>
  <c r="AV389" i="30"/>
  <c r="AU389" i="30"/>
  <c r="AT389" i="30"/>
  <c r="AS389" i="30"/>
  <c r="AR389" i="30"/>
  <c r="AQ389" i="30"/>
  <c r="AP389" i="30"/>
  <c r="AO389" i="30"/>
  <c r="AN389" i="30"/>
  <c r="AM389" i="30"/>
  <c r="AL389" i="30"/>
  <c r="AK389" i="30"/>
  <c r="AJ389" i="30"/>
  <c r="AI389" i="30"/>
  <c r="AH389" i="30"/>
  <c r="AG389" i="30"/>
  <c r="AF389" i="30"/>
  <c r="AE389" i="30"/>
  <c r="AD389" i="30"/>
  <c r="AC389" i="30"/>
  <c r="AB389" i="30"/>
  <c r="AA389" i="30"/>
  <c r="Z389" i="30"/>
  <c r="Y389" i="30"/>
  <c r="X389" i="30"/>
  <c r="W389" i="30"/>
  <c r="V389" i="30"/>
  <c r="U389" i="30"/>
  <c r="T389" i="30"/>
  <c r="S389" i="30"/>
  <c r="R389" i="30"/>
  <c r="Q389" i="30"/>
  <c r="P389" i="30"/>
  <c r="O389" i="30"/>
  <c r="N389" i="30"/>
  <c r="AY388" i="30"/>
  <c r="AX388" i="30"/>
  <c r="AW388" i="30"/>
  <c r="AV388" i="30"/>
  <c r="AU388" i="30"/>
  <c r="AT388" i="30"/>
  <c r="AS388" i="30"/>
  <c r="AR388" i="30"/>
  <c r="AQ388" i="30"/>
  <c r="AP388" i="30"/>
  <c r="AO388" i="30"/>
  <c r="AN388" i="30"/>
  <c r="AM388" i="30"/>
  <c r="AL388" i="30"/>
  <c r="AK388" i="30"/>
  <c r="AJ388" i="30"/>
  <c r="AI388" i="30"/>
  <c r="AH388" i="30"/>
  <c r="AG388" i="30"/>
  <c r="AF388" i="30"/>
  <c r="AE388" i="30"/>
  <c r="AD388" i="30"/>
  <c r="AC388" i="30"/>
  <c r="AB388" i="30"/>
  <c r="AA388" i="30"/>
  <c r="Z388" i="30"/>
  <c r="Y388" i="30"/>
  <c r="X388" i="30"/>
  <c r="W388" i="30"/>
  <c r="V388" i="30"/>
  <c r="U388" i="30"/>
  <c r="T388" i="30"/>
  <c r="S388" i="30"/>
  <c r="R388" i="30"/>
  <c r="Q388" i="30"/>
  <c r="P388" i="30"/>
  <c r="O388" i="30"/>
  <c r="N388" i="30"/>
  <c r="AY387" i="30"/>
  <c r="AX387" i="30"/>
  <c r="AW387" i="30"/>
  <c r="AV387" i="30"/>
  <c r="AU387" i="30"/>
  <c r="AT387" i="30"/>
  <c r="AS387" i="30"/>
  <c r="AR387" i="30"/>
  <c r="AQ387" i="30"/>
  <c r="AP387" i="30"/>
  <c r="AO387" i="30"/>
  <c r="AN387" i="30"/>
  <c r="AM387" i="30"/>
  <c r="AL387" i="30"/>
  <c r="AK387" i="30"/>
  <c r="AJ387" i="30"/>
  <c r="AI387" i="30"/>
  <c r="AH387" i="30"/>
  <c r="AG387" i="30"/>
  <c r="AF387" i="30"/>
  <c r="AE387" i="30"/>
  <c r="AD387" i="30"/>
  <c r="AC387" i="30"/>
  <c r="AB387" i="30"/>
  <c r="AA387" i="30"/>
  <c r="Z387" i="30"/>
  <c r="Y387" i="30"/>
  <c r="X387" i="30"/>
  <c r="W387" i="30"/>
  <c r="V387" i="30"/>
  <c r="U387" i="30"/>
  <c r="T387" i="30"/>
  <c r="S387" i="30"/>
  <c r="R387" i="30"/>
  <c r="Q387" i="30"/>
  <c r="P387" i="30"/>
  <c r="O387" i="30"/>
  <c r="N387" i="30"/>
  <c r="AY386" i="30"/>
  <c r="AX386" i="30"/>
  <c r="AW386" i="30"/>
  <c r="AV386" i="30"/>
  <c r="AU386" i="30"/>
  <c r="AT386" i="30"/>
  <c r="AS386" i="30"/>
  <c r="AR386" i="30"/>
  <c r="AQ386" i="30"/>
  <c r="AP386" i="30"/>
  <c r="AO386" i="30"/>
  <c r="AN386" i="30"/>
  <c r="AM386" i="30"/>
  <c r="AL386" i="30"/>
  <c r="AK386" i="30"/>
  <c r="AJ386" i="30"/>
  <c r="AI386" i="30"/>
  <c r="AH386" i="30"/>
  <c r="AG386" i="30"/>
  <c r="AF386" i="30"/>
  <c r="AE386" i="30"/>
  <c r="AD386" i="30"/>
  <c r="AC386" i="30"/>
  <c r="AB386" i="30"/>
  <c r="AA386" i="30"/>
  <c r="Z386" i="30"/>
  <c r="Y386" i="30"/>
  <c r="X386" i="30"/>
  <c r="W386" i="30"/>
  <c r="V386" i="30"/>
  <c r="U386" i="30"/>
  <c r="T386" i="30"/>
  <c r="S386" i="30"/>
  <c r="R386" i="30"/>
  <c r="Q386" i="30"/>
  <c r="P386" i="30"/>
  <c r="O386" i="30"/>
  <c r="N386" i="30"/>
  <c r="AY384" i="30"/>
  <c r="AX384" i="30"/>
  <c r="AW384" i="30"/>
  <c r="AV384" i="30"/>
  <c r="AU384" i="30"/>
  <c r="AT384" i="30"/>
  <c r="AS384" i="30"/>
  <c r="AR384" i="30"/>
  <c r="AQ384" i="30"/>
  <c r="AP384" i="30"/>
  <c r="AO384" i="30"/>
  <c r="AN384" i="30"/>
  <c r="AM384" i="30"/>
  <c r="AL384" i="30"/>
  <c r="AK384" i="30"/>
  <c r="AJ384" i="30"/>
  <c r="AI384" i="30"/>
  <c r="AH384" i="30"/>
  <c r="AG384" i="30"/>
  <c r="AF384" i="30"/>
  <c r="AE384" i="30"/>
  <c r="AD384" i="30"/>
  <c r="AC384" i="30"/>
  <c r="AB384" i="30"/>
  <c r="AA384" i="30"/>
  <c r="Z384" i="30"/>
  <c r="Y384" i="30"/>
  <c r="X384" i="30"/>
  <c r="W384" i="30"/>
  <c r="V384" i="30"/>
  <c r="U384" i="30"/>
  <c r="T384" i="30"/>
  <c r="S384" i="30"/>
  <c r="R384" i="30"/>
  <c r="Q384" i="30"/>
  <c r="P384" i="30"/>
  <c r="O384" i="30"/>
  <c r="N384" i="30"/>
  <c r="AY383" i="30"/>
  <c r="AX383" i="30"/>
  <c r="AW383" i="30"/>
  <c r="AV383" i="30"/>
  <c r="AU383" i="30"/>
  <c r="AT383" i="30"/>
  <c r="AS383" i="30"/>
  <c r="AR383" i="30"/>
  <c r="AQ383" i="30"/>
  <c r="AP383" i="30"/>
  <c r="AO383" i="30"/>
  <c r="AN383" i="30"/>
  <c r="AM383" i="30"/>
  <c r="AL383" i="30"/>
  <c r="AK383" i="30"/>
  <c r="AJ383" i="30"/>
  <c r="AI383" i="30"/>
  <c r="AH383" i="30"/>
  <c r="AG383" i="30"/>
  <c r="AF383" i="30"/>
  <c r="AE383" i="30"/>
  <c r="AD383" i="30"/>
  <c r="AC383" i="30"/>
  <c r="AB383" i="30"/>
  <c r="AA383" i="30"/>
  <c r="Z383" i="30"/>
  <c r="Y383" i="30"/>
  <c r="X383" i="30"/>
  <c r="W383" i="30"/>
  <c r="V383" i="30"/>
  <c r="U383" i="30"/>
  <c r="T383" i="30"/>
  <c r="S383" i="30"/>
  <c r="R383" i="30"/>
  <c r="Q383" i="30"/>
  <c r="P383" i="30"/>
  <c r="O383" i="30"/>
  <c r="N383" i="30"/>
  <c r="AY382" i="30"/>
  <c r="AX382" i="30"/>
  <c r="AW382" i="30"/>
  <c r="AV382" i="30"/>
  <c r="AU382" i="30"/>
  <c r="AT382" i="30"/>
  <c r="AS382" i="30"/>
  <c r="AR382" i="30"/>
  <c r="AQ382" i="30"/>
  <c r="AP382" i="30"/>
  <c r="AO382" i="30"/>
  <c r="AN382" i="30"/>
  <c r="AM382" i="30"/>
  <c r="AL382" i="30"/>
  <c r="AK382" i="30"/>
  <c r="AJ382" i="30"/>
  <c r="AI382" i="30"/>
  <c r="AH382" i="30"/>
  <c r="AG382" i="30"/>
  <c r="AF382" i="30"/>
  <c r="AE382" i="30"/>
  <c r="AD382" i="30"/>
  <c r="AC382" i="30"/>
  <c r="AB382" i="30"/>
  <c r="AA382" i="30"/>
  <c r="Z382" i="30"/>
  <c r="Y382" i="30"/>
  <c r="X382" i="30"/>
  <c r="W382" i="30"/>
  <c r="V382" i="30"/>
  <c r="U382" i="30"/>
  <c r="T382" i="30"/>
  <c r="S382" i="30"/>
  <c r="R382" i="30"/>
  <c r="Q382" i="30"/>
  <c r="P382" i="30"/>
  <c r="O382" i="30"/>
  <c r="N382" i="30"/>
  <c r="AY381" i="30"/>
  <c r="AX381" i="30"/>
  <c r="AW381" i="30"/>
  <c r="AV381" i="30"/>
  <c r="AU381" i="30"/>
  <c r="AT381" i="30"/>
  <c r="AS381" i="30"/>
  <c r="AR381" i="30"/>
  <c r="AQ381" i="30"/>
  <c r="AP381" i="30"/>
  <c r="AO381" i="30"/>
  <c r="AN381" i="30"/>
  <c r="AM381" i="30"/>
  <c r="AL381" i="30"/>
  <c r="AK381" i="30"/>
  <c r="AJ381" i="30"/>
  <c r="AI381" i="30"/>
  <c r="AH381" i="30"/>
  <c r="AG381" i="30"/>
  <c r="AF381" i="30"/>
  <c r="AE381" i="30"/>
  <c r="AD381" i="30"/>
  <c r="AC381" i="30"/>
  <c r="AB381" i="30"/>
  <c r="AA381" i="30"/>
  <c r="Z381" i="30"/>
  <c r="Y381" i="30"/>
  <c r="X381" i="30"/>
  <c r="W381" i="30"/>
  <c r="V381" i="30"/>
  <c r="U381" i="30"/>
  <c r="T381" i="30"/>
  <c r="S381" i="30"/>
  <c r="R381" i="30"/>
  <c r="Q381" i="30"/>
  <c r="P381" i="30"/>
  <c r="O381" i="30"/>
  <c r="N381" i="30"/>
  <c r="AY380" i="30"/>
  <c r="AX380" i="30"/>
  <c r="AW380" i="30"/>
  <c r="AV380" i="30"/>
  <c r="AU380" i="30"/>
  <c r="AT380" i="30"/>
  <c r="AS380" i="30"/>
  <c r="AR380" i="30"/>
  <c r="AQ380" i="30"/>
  <c r="AP380" i="30"/>
  <c r="AO380" i="30"/>
  <c r="AN380" i="30"/>
  <c r="AM380" i="30"/>
  <c r="AL380" i="30"/>
  <c r="AK380" i="30"/>
  <c r="AJ380" i="30"/>
  <c r="AI380" i="30"/>
  <c r="AH380" i="30"/>
  <c r="AG380" i="30"/>
  <c r="AF380" i="30"/>
  <c r="AE380" i="30"/>
  <c r="AD380" i="30"/>
  <c r="AC380" i="30"/>
  <c r="AB380" i="30"/>
  <c r="AA380" i="30"/>
  <c r="Z380" i="30"/>
  <c r="Y380" i="30"/>
  <c r="X380" i="30"/>
  <c r="W380" i="30"/>
  <c r="V380" i="30"/>
  <c r="U380" i="30"/>
  <c r="T380" i="30"/>
  <c r="S380" i="30"/>
  <c r="R380" i="30"/>
  <c r="Q380" i="30"/>
  <c r="P380" i="30"/>
  <c r="O380" i="30"/>
  <c r="N380" i="30"/>
  <c r="AY379" i="30"/>
  <c r="AX379" i="30"/>
  <c r="AW379" i="30"/>
  <c r="AV379" i="30"/>
  <c r="AU379" i="30"/>
  <c r="AT379" i="30"/>
  <c r="AS379" i="30"/>
  <c r="AR379" i="30"/>
  <c r="AQ379" i="30"/>
  <c r="AP379" i="30"/>
  <c r="AO379" i="30"/>
  <c r="AN379" i="30"/>
  <c r="AM379" i="30"/>
  <c r="AL379" i="30"/>
  <c r="AK379" i="30"/>
  <c r="AJ379" i="30"/>
  <c r="AI379" i="30"/>
  <c r="AH379" i="30"/>
  <c r="AG379" i="30"/>
  <c r="AF379" i="30"/>
  <c r="AE379" i="30"/>
  <c r="AD379" i="30"/>
  <c r="AC379" i="30"/>
  <c r="AB379" i="30"/>
  <c r="AA379" i="30"/>
  <c r="Z379" i="30"/>
  <c r="Y379" i="30"/>
  <c r="X379" i="30"/>
  <c r="W379" i="30"/>
  <c r="V379" i="30"/>
  <c r="U379" i="30"/>
  <c r="T379" i="30"/>
  <c r="S379" i="30"/>
  <c r="R379" i="30"/>
  <c r="Q379" i="30"/>
  <c r="P379" i="30"/>
  <c r="O379" i="30"/>
  <c r="N379" i="30"/>
  <c r="AY378" i="30"/>
  <c r="AX378" i="30"/>
  <c r="AW378" i="30"/>
  <c r="AV378" i="30"/>
  <c r="AU378" i="30"/>
  <c r="AT378" i="30"/>
  <c r="AS378" i="30"/>
  <c r="AR378" i="30"/>
  <c r="AQ378" i="30"/>
  <c r="AP378" i="30"/>
  <c r="AO378" i="30"/>
  <c r="AN378" i="30"/>
  <c r="AM378" i="30"/>
  <c r="AL378" i="30"/>
  <c r="AK378" i="30"/>
  <c r="AJ378" i="30"/>
  <c r="AI378" i="30"/>
  <c r="AH378" i="30"/>
  <c r="AG378" i="30"/>
  <c r="AF378" i="30"/>
  <c r="AE378" i="30"/>
  <c r="AD378" i="30"/>
  <c r="AC378" i="30"/>
  <c r="AB378" i="30"/>
  <c r="AA378" i="30"/>
  <c r="Z378" i="30"/>
  <c r="Y378" i="30"/>
  <c r="X378" i="30"/>
  <c r="W378" i="30"/>
  <c r="V378" i="30"/>
  <c r="U378" i="30"/>
  <c r="T378" i="30"/>
  <c r="S378" i="30"/>
  <c r="R378" i="30"/>
  <c r="Q378" i="30"/>
  <c r="P378" i="30"/>
  <c r="O378" i="30"/>
  <c r="N378" i="30"/>
  <c r="AY377" i="30"/>
  <c r="AX377" i="30"/>
  <c r="AW377" i="30"/>
  <c r="AV377" i="30"/>
  <c r="AU377" i="30"/>
  <c r="AT377" i="30"/>
  <c r="AS377" i="30"/>
  <c r="AR377" i="30"/>
  <c r="AQ377" i="30"/>
  <c r="AP377" i="30"/>
  <c r="AO377" i="30"/>
  <c r="AN377" i="30"/>
  <c r="AM377" i="30"/>
  <c r="AL377" i="30"/>
  <c r="AK377" i="30"/>
  <c r="AJ377" i="30"/>
  <c r="AI377" i="30"/>
  <c r="AH377" i="30"/>
  <c r="AG377" i="30"/>
  <c r="AF377" i="30"/>
  <c r="AE377" i="30"/>
  <c r="AD377" i="30"/>
  <c r="AC377" i="30"/>
  <c r="AB377" i="30"/>
  <c r="AA377" i="30"/>
  <c r="Z377" i="30"/>
  <c r="Y377" i="30"/>
  <c r="X377" i="30"/>
  <c r="W377" i="30"/>
  <c r="V377" i="30"/>
  <c r="U377" i="30"/>
  <c r="T377" i="30"/>
  <c r="S377" i="30"/>
  <c r="R377" i="30"/>
  <c r="Q377" i="30"/>
  <c r="P377" i="30"/>
  <c r="O377" i="30"/>
  <c r="N377" i="30"/>
  <c r="AY376" i="30"/>
  <c r="AX376" i="30"/>
  <c r="AW376" i="30"/>
  <c r="AV376" i="30"/>
  <c r="AU376" i="30"/>
  <c r="AT376" i="30"/>
  <c r="AS376" i="30"/>
  <c r="AR376" i="30"/>
  <c r="AQ376" i="30"/>
  <c r="AP376" i="30"/>
  <c r="AO376" i="30"/>
  <c r="AN376" i="30"/>
  <c r="AM376" i="30"/>
  <c r="AL376" i="30"/>
  <c r="AK376" i="30"/>
  <c r="AJ376" i="30"/>
  <c r="AI376" i="30"/>
  <c r="AH376" i="30"/>
  <c r="AG376" i="30"/>
  <c r="AF376" i="30"/>
  <c r="AE376" i="30"/>
  <c r="AD376" i="30"/>
  <c r="AC376" i="30"/>
  <c r="AB376" i="30"/>
  <c r="AA376" i="30"/>
  <c r="Z376" i="30"/>
  <c r="Y376" i="30"/>
  <c r="X376" i="30"/>
  <c r="W376" i="30"/>
  <c r="V376" i="30"/>
  <c r="U376" i="30"/>
  <c r="T376" i="30"/>
  <c r="S376" i="30"/>
  <c r="R376" i="30"/>
  <c r="Q376" i="30"/>
  <c r="P376" i="30"/>
  <c r="O376" i="30"/>
  <c r="N376" i="30"/>
  <c r="AY372" i="30"/>
  <c r="AX372" i="30"/>
  <c r="AW372" i="30"/>
  <c r="AV372" i="30"/>
  <c r="AU372" i="30"/>
  <c r="AT372" i="30"/>
  <c r="AS372" i="30"/>
  <c r="AR372" i="30"/>
  <c r="AQ372" i="30"/>
  <c r="AP372" i="30"/>
  <c r="AO372" i="30"/>
  <c r="AN372" i="30"/>
  <c r="AM372" i="30"/>
  <c r="AL372" i="30"/>
  <c r="AK372" i="30"/>
  <c r="AJ372" i="30"/>
  <c r="AI372" i="30"/>
  <c r="AH372" i="30"/>
  <c r="AG372" i="30"/>
  <c r="AF372" i="30"/>
  <c r="AE372" i="30"/>
  <c r="AD372" i="30"/>
  <c r="AC372" i="30"/>
  <c r="AB372" i="30"/>
  <c r="AA372" i="30"/>
  <c r="Z372" i="30"/>
  <c r="Y372" i="30"/>
  <c r="X372" i="30"/>
  <c r="W372" i="30"/>
  <c r="V372" i="30"/>
  <c r="U372" i="30"/>
  <c r="T372" i="30"/>
  <c r="S372" i="30"/>
  <c r="R372" i="30"/>
  <c r="Q372" i="30"/>
  <c r="P372" i="30"/>
  <c r="O372" i="30"/>
  <c r="N372" i="30"/>
  <c r="FU371" i="30"/>
  <c r="FN371" i="30" s="1"/>
  <c r="AY371" i="30"/>
  <c r="AX371" i="30"/>
  <c r="AW371" i="30"/>
  <c r="AV371" i="30"/>
  <c r="AU371" i="30"/>
  <c r="AT371" i="30"/>
  <c r="AS371" i="30"/>
  <c r="AR371" i="30"/>
  <c r="AQ371" i="30"/>
  <c r="AP371" i="30"/>
  <c r="AO371" i="30"/>
  <c r="AN371" i="30"/>
  <c r="AM371" i="30"/>
  <c r="AL371" i="30"/>
  <c r="AK371" i="30"/>
  <c r="AJ371" i="30"/>
  <c r="AI371" i="30"/>
  <c r="AH371" i="30"/>
  <c r="AG371" i="30"/>
  <c r="AF371" i="30"/>
  <c r="AE371" i="30"/>
  <c r="AD371" i="30"/>
  <c r="AY361" i="30"/>
  <c r="AX361" i="30"/>
  <c r="AW361" i="30"/>
  <c r="AV361" i="30"/>
  <c r="AU361" i="30"/>
  <c r="AT361" i="30"/>
  <c r="AS361" i="30"/>
  <c r="AR361" i="30"/>
  <c r="AQ361" i="30"/>
  <c r="AP361" i="30"/>
  <c r="AO361" i="30"/>
  <c r="AN361" i="30"/>
  <c r="AM361" i="30"/>
  <c r="AL361" i="30"/>
  <c r="AK361" i="30"/>
  <c r="AJ361" i="30"/>
  <c r="AI361" i="30"/>
  <c r="AH361" i="30"/>
  <c r="AG361" i="30"/>
  <c r="AF361" i="30"/>
  <c r="AE361" i="30"/>
  <c r="AD361" i="30"/>
  <c r="AC361" i="30"/>
  <c r="AB361" i="30"/>
  <c r="AA361" i="30"/>
  <c r="Z361" i="30"/>
  <c r="Y361" i="30"/>
  <c r="X361" i="30"/>
  <c r="W361" i="30"/>
  <c r="V361" i="30"/>
  <c r="U361" i="30"/>
  <c r="T361" i="30"/>
  <c r="S361" i="30"/>
  <c r="R361" i="30"/>
  <c r="Q361" i="30"/>
  <c r="P361" i="30"/>
  <c r="O361" i="30"/>
  <c r="N361" i="30"/>
  <c r="AY360" i="30"/>
  <c r="AX360" i="30"/>
  <c r="AW360" i="30"/>
  <c r="AV360" i="30"/>
  <c r="AU360" i="30"/>
  <c r="AT360" i="30"/>
  <c r="AS360" i="30"/>
  <c r="AR360" i="30"/>
  <c r="AQ360" i="30"/>
  <c r="AP360" i="30"/>
  <c r="AO360" i="30"/>
  <c r="AN360" i="30"/>
  <c r="AM360" i="30"/>
  <c r="AL360" i="30"/>
  <c r="AK360" i="30"/>
  <c r="AJ360" i="30"/>
  <c r="AI360" i="30"/>
  <c r="AH360" i="30"/>
  <c r="AG360" i="30"/>
  <c r="AF360" i="30"/>
  <c r="AE360" i="30"/>
  <c r="AD360" i="30"/>
  <c r="AC360" i="30"/>
  <c r="AB360" i="30"/>
  <c r="AA360" i="30"/>
  <c r="Z360" i="30"/>
  <c r="Y360" i="30"/>
  <c r="X360" i="30"/>
  <c r="W360" i="30"/>
  <c r="V360" i="30"/>
  <c r="U360" i="30"/>
  <c r="T360" i="30"/>
  <c r="S360" i="30"/>
  <c r="R360" i="30"/>
  <c r="Q360" i="30"/>
  <c r="P360" i="30"/>
  <c r="O360" i="30"/>
  <c r="N360" i="30"/>
  <c r="AY359" i="30"/>
  <c r="AX359" i="30"/>
  <c r="AW359" i="30"/>
  <c r="AV359" i="30"/>
  <c r="AU359" i="30"/>
  <c r="AT359" i="30"/>
  <c r="AS359" i="30"/>
  <c r="AR359" i="30"/>
  <c r="AQ359" i="30"/>
  <c r="AP359" i="30"/>
  <c r="AO359" i="30"/>
  <c r="AN359" i="30"/>
  <c r="AM359" i="30"/>
  <c r="AL359" i="30"/>
  <c r="AK359" i="30"/>
  <c r="AJ359" i="30"/>
  <c r="AI359" i="30"/>
  <c r="AH359" i="30"/>
  <c r="AG359" i="30"/>
  <c r="AF359" i="30"/>
  <c r="AE359" i="30"/>
  <c r="AD359" i="30"/>
  <c r="AC359" i="30"/>
  <c r="AB359" i="30"/>
  <c r="AA359" i="30"/>
  <c r="Z359" i="30"/>
  <c r="Y359" i="30"/>
  <c r="X359" i="30"/>
  <c r="W359" i="30"/>
  <c r="V359" i="30"/>
  <c r="U359" i="30"/>
  <c r="T359" i="30"/>
  <c r="S359" i="30"/>
  <c r="R359" i="30"/>
  <c r="Q359" i="30"/>
  <c r="P359" i="30"/>
  <c r="O359" i="30"/>
  <c r="N359" i="30"/>
  <c r="AY357" i="30"/>
  <c r="AX357" i="30"/>
  <c r="AW357" i="30"/>
  <c r="AV357" i="30"/>
  <c r="AU357" i="30"/>
  <c r="AT357" i="30"/>
  <c r="AS357" i="30"/>
  <c r="AR357" i="30"/>
  <c r="AQ357" i="30"/>
  <c r="AP357" i="30"/>
  <c r="AO357" i="30"/>
  <c r="AN357" i="30"/>
  <c r="AM357" i="30"/>
  <c r="AL357" i="30"/>
  <c r="AK357" i="30"/>
  <c r="AJ357" i="30"/>
  <c r="AI357" i="30"/>
  <c r="AH357" i="30"/>
  <c r="AG357" i="30"/>
  <c r="AF357" i="30"/>
  <c r="AE357" i="30"/>
  <c r="AD357" i="30"/>
  <c r="AC357" i="30"/>
  <c r="AB357" i="30"/>
  <c r="AA357" i="30"/>
  <c r="Z357" i="30"/>
  <c r="Y357" i="30"/>
  <c r="X357" i="30"/>
  <c r="W357" i="30"/>
  <c r="V357" i="30"/>
  <c r="U357" i="30"/>
  <c r="T357" i="30"/>
  <c r="S357" i="30"/>
  <c r="R357" i="30"/>
  <c r="Q357" i="30"/>
  <c r="P357" i="30"/>
  <c r="O357" i="30"/>
  <c r="N357" i="30"/>
  <c r="AY356" i="30"/>
  <c r="AX356" i="30"/>
  <c r="AW356" i="30"/>
  <c r="AV356" i="30"/>
  <c r="AU356" i="30"/>
  <c r="AT356" i="30"/>
  <c r="AS356" i="30"/>
  <c r="AR356" i="30"/>
  <c r="AQ356" i="30"/>
  <c r="AP356" i="30"/>
  <c r="AO356" i="30"/>
  <c r="AN356" i="30"/>
  <c r="AM356" i="30"/>
  <c r="AL356" i="30"/>
  <c r="AK356" i="30"/>
  <c r="AJ356" i="30"/>
  <c r="AI356" i="30"/>
  <c r="AH356" i="30"/>
  <c r="AG356" i="30"/>
  <c r="AF356" i="30"/>
  <c r="AE356" i="30"/>
  <c r="AD356" i="30"/>
  <c r="AC356" i="30"/>
  <c r="AB356" i="30"/>
  <c r="AA356" i="30"/>
  <c r="Z356" i="30"/>
  <c r="Y356" i="30"/>
  <c r="X356" i="30"/>
  <c r="W356" i="30"/>
  <c r="V356" i="30"/>
  <c r="U356" i="30"/>
  <c r="T356" i="30"/>
  <c r="S356" i="30"/>
  <c r="R356" i="30"/>
  <c r="Q356" i="30"/>
  <c r="P356" i="30"/>
  <c r="O356" i="30"/>
  <c r="N356" i="30"/>
  <c r="AY351" i="30"/>
  <c r="AX351" i="30"/>
  <c r="AW351" i="30"/>
  <c r="AV351" i="30"/>
  <c r="AU351" i="30"/>
  <c r="AT351" i="30"/>
  <c r="AS351" i="30"/>
  <c r="AR351" i="30"/>
  <c r="AQ351" i="30"/>
  <c r="AP351" i="30"/>
  <c r="AO351" i="30"/>
  <c r="AN351" i="30"/>
  <c r="AM351" i="30"/>
  <c r="AL351" i="30"/>
  <c r="AK351" i="30"/>
  <c r="AJ351" i="30"/>
  <c r="AI351" i="30"/>
  <c r="AH351" i="30"/>
  <c r="AG351" i="30"/>
  <c r="AF351" i="30"/>
  <c r="AD351" i="30"/>
  <c r="AC351" i="30"/>
  <c r="AB351" i="30"/>
  <c r="AA351" i="30"/>
  <c r="Z351" i="30"/>
  <c r="Y351" i="30"/>
  <c r="X351" i="30"/>
  <c r="W351" i="30"/>
  <c r="V351" i="30"/>
  <c r="U351" i="30"/>
  <c r="T351" i="30"/>
  <c r="S351" i="30"/>
  <c r="R351" i="30"/>
  <c r="Q351" i="30"/>
  <c r="P351" i="30"/>
  <c r="O351" i="30"/>
  <c r="N351" i="30"/>
  <c r="AY350" i="30"/>
  <c r="AX350" i="30"/>
  <c r="AW350" i="30"/>
  <c r="AV350" i="30"/>
  <c r="AU350" i="30"/>
  <c r="AT350" i="30"/>
  <c r="AS350" i="30"/>
  <c r="AR350" i="30"/>
  <c r="AQ350" i="30"/>
  <c r="AP350" i="30"/>
  <c r="AO350" i="30"/>
  <c r="AN350" i="30"/>
  <c r="AM350" i="30"/>
  <c r="AL350" i="30"/>
  <c r="AK350" i="30"/>
  <c r="AJ350" i="30"/>
  <c r="AI350" i="30"/>
  <c r="AH350" i="30"/>
  <c r="AG350" i="30"/>
  <c r="AF350" i="30"/>
  <c r="AE350" i="30"/>
  <c r="AD350" i="30"/>
  <c r="AC350" i="30"/>
  <c r="AB350" i="30"/>
  <c r="AA350" i="30"/>
  <c r="Z350" i="30"/>
  <c r="Y350" i="30"/>
  <c r="X350" i="30"/>
  <c r="W350" i="30"/>
  <c r="V350" i="30"/>
  <c r="U350" i="30"/>
  <c r="T350" i="30"/>
  <c r="S350" i="30"/>
  <c r="R350" i="30"/>
  <c r="Q350" i="30"/>
  <c r="P350" i="30"/>
  <c r="O350" i="30"/>
  <c r="N350" i="30"/>
  <c r="AY348" i="30"/>
  <c r="AX348" i="30"/>
  <c r="AW348" i="30"/>
  <c r="AV348" i="30"/>
  <c r="AU348" i="30"/>
  <c r="AT348" i="30"/>
  <c r="AS348" i="30"/>
  <c r="AR348" i="30"/>
  <c r="AQ348" i="30"/>
  <c r="AP348" i="30"/>
  <c r="AO348" i="30"/>
  <c r="AN348" i="30"/>
  <c r="AM348" i="30"/>
  <c r="AL348" i="30"/>
  <c r="AK348" i="30"/>
  <c r="AJ348" i="30"/>
  <c r="AI348" i="30"/>
  <c r="AH348" i="30"/>
  <c r="AG348" i="30"/>
  <c r="AF348" i="30"/>
  <c r="AE348" i="30"/>
  <c r="AD348" i="30"/>
  <c r="AC348" i="30"/>
  <c r="AB348" i="30"/>
  <c r="AA348" i="30"/>
  <c r="Z348" i="30"/>
  <c r="Y348" i="30"/>
  <c r="X348" i="30"/>
  <c r="W348" i="30"/>
  <c r="V348" i="30"/>
  <c r="U348" i="30"/>
  <c r="T348" i="30"/>
  <c r="S348" i="30"/>
  <c r="R348" i="30"/>
  <c r="Q348" i="30"/>
  <c r="P348" i="30"/>
  <c r="O348" i="30"/>
  <c r="N348" i="30"/>
  <c r="AY347" i="30"/>
  <c r="AX347" i="30"/>
  <c r="AW347" i="30"/>
  <c r="AV347" i="30"/>
  <c r="AU347" i="30"/>
  <c r="AT347" i="30"/>
  <c r="AS347" i="30"/>
  <c r="AR347" i="30"/>
  <c r="AQ347" i="30"/>
  <c r="AP347" i="30"/>
  <c r="AO347" i="30"/>
  <c r="AN347" i="30"/>
  <c r="AM347" i="30"/>
  <c r="AL347" i="30"/>
  <c r="AK347" i="30"/>
  <c r="AJ347" i="30"/>
  <c r="AI347" i="30"/>
  <c r="AH347" i="30"/>
  <c r="AG347" i="30"/>
  <c r="AF347" i="30"/>
  <c r="AE347" i="30"/>
  <c r="AD347" i="30"/>
  <c r="AC347" i="30"/>
  <c r="AB347" i="30"/>
  <c r="AA347" i="30"/>
  <c r="Z347" i="30"/>
  <c r="Y347" i="30"/>
  <c r="X347" i="30"/>
  <c r="W347" i="30"/>
  <c r="V347" i="30"/>
  <c r="U347" i="30"/>
  <c r="T347" i="30"/>
  <c r="S347" i="30"/>
  <c r="R347" i="30"/>
  <c r="Q347" i="30"/>
  <c r="P347" i="30"/>
  <c r="O347" i="30"/>
  <c r="N347" i="30"/>
  <c r="AY346" i="30"/>
  <c r="AX346" i="30"/>
  <c r="AW346" i="30"/>
  <c r="AV346" i="30"/>
  <c r="AU346" i="30"/>
  <c r="AT346" i="30"/>
  <c r="AS346" i="30"/>
  <c r="AR346" i="30"/>
  <c r="AQ346" i="30"/>
  <c r="AP346" i="30"/>
  <c r="AO346" i="30"/>
  <c r="AN346" i="30"/>
  <c r="AM346" i="30"/>
  <c r="AL346" i="30"/>
  <c r="AK346" i="30"/>
  <c r="AJ346" i="30"/>
  <c r="AI346" i="30"/>
  <c r="AH346" i="30"/>
  <c r="AG346" i="30"/>
  <c r="AF346" i="30"/>
  <c r="AE346" i="30"/>
  <c r="AD346" i="30"/>
  <c r="AC346" i="30"/>
  <c r="AB346" i="30"/>
  <c r="AA346" i="30"/>
  <c r="Z346" i="30"/>
  <c r="Y346" i="30"/>
  <c r="X346" i="30"/>
  <c r="W346" i="30"/>
  <c r="V346" i="30"/>
  <c r="U346" i="30"/>
  <c r="T346" i="30"/>
  <c r="S346" i="30"/>
  <c r="R346" i="30"/>
  <c r="Q346" i="30"/>
  <c r="P346" i="30"/>
  <c r="O346" i="30"/>
  <c r="N346" i="30"/>
  <c r="AY345" i="30"/>
  <c r="AX345" i="30"/>
  <c r="AW345" i="30"/>
  <c r="AV345" i="30"/>
  <c r="AU345" i="30"/>
  <c r="AT345" i="30"/>
  <c r="AS345" i="30"/>
  <c r="AR345" i="30"/>
  <c r="AQ345" i="30"/>
  <c r="AP345" i="30"/>
  <c r="AO345" i="30"/>
  <c r="AN345" i="30"/>
  <c r="AM345" i="30"/>
  <c r="AL345" i="30"/>
  <c r="AK345" i="30"/>
  <c r="AJ345" i="30"/>
  <c r="AI345" i="30"/>
  <c r="AH345" i="30"/>
  <c r="AG345" i="30"/>
  <c r="AF345" i="30"/>
  <c r="AE345" i="30"/>
  <c r="AD345" i="30"/>
  <c r="AC345" i="30"/>
  <c r="AB345" i="30"/>
  <c r="AA345" i="30"/>
  <c r="Z345" i="30"/>
  <c r="Y345" i="30"/>
  <c r="X345" i="30"/>
  <c r="W345" i="30"/>
  <c r="V345" i="30"/>
  <c r="U345" i="30"/>
  <c r="T345" i="30"/>
  <c r="S345" i="30"/>
  <c r="R345" i="30"/>
  <c r="Q345" i="30"/>
  <c r="P345" i="30"/>
  <c r="O345" i="30"/>
  <c r="N345" i="30"/>
  <c r="AY339" i="30"/>
  <c r="AX339" i="30"/>
  <c r="AW339" i="30"/>
  <c r="AV339" i="30"/>
  <c r="AU339" i="30"/>
  <c r="AT339" i="30"/>
  <c r="AS339" i="30"/>
  <c r="AR339" i="30"/>
  <c r="AQ339" i="30"/>
  <c r="AP339" i="30"/>
  <c r="AO339" i="30"/>
  <c r="AN339" i="30"/>
  <c r="AM339" i="30"/>
  <c r="AL339" i="30"/>
  <c r="AK339" i="30"/>
  <c r="AJ339" i="30"/>
  <c r="AI339" i="30"/>
  <c r="AH339" i="30"/>
  <c r="AG339" i="30"/>
  <c r="AF339" i="30"/>
  <c r="AE339" i="30"/>
  <c r="AD339" i="30"/>
  <c r="AC339" i="30"/>
  <c r="AB339" i="30"/>
  <c r="AA339" i="30"/>
  <c r="Z339" i="30"/>
  <c r="Y339" i="30"/>
  <c r="X339" i="30"/>
  <c r="W339" i="30"/>
  <c r="V339" i="30"/>
  <c r="U339" i="30"/>
  <c r="T339" i="30"/>
  <c r="S339" i="30"/>
  <c r="R339" i="30"/>
  <c r="Q339" i="30"/>
  <c r="P339" i="30"/>
  <c r="O339" i="30"/>
  <c r="N339" i="30"/>
  <c r="BT334" i="30"/>
  <c r="BS334" i="30"/>
  <c r="BR334" i="30"/>
  <c r="BQ334" i="30"/>
  <c r="BP334" i="30"/>
  <c r="BS333" i="30"/>
  <c r="BR333" i="30"/>
  <c r="BQ333" i="30"/>
  <c r="BP333" i="30"/>
  <c r="AI161" i="30"/>
  <c r="AH161" i="30"/>
  <c r="AG161" i="30"/>
  <c r="AF161" i="30"/>
  <c r="AE161" i="30"/>
  <c r="AD161" i="30"/>
  <c r="AC161" i="30"/>
  <c r="AB161" i="30"/>
  <c r="AA161" i="30"/>
  <c r="Z161" i="30"/>
  <c r="Y161" i="30"/>
  <c r="X161" i="30"/>
  <c r="W161" i="30"/>
  <c r="V161" i="30"/>
  <c r="U161" i="30"/>
  <c r="T161" i="30"/>
  <c r="S161" i="30"/>
  <c r="R161" i="30"/>
  <c r="Q161" i="30"/>
  <c r="P161" i="30"/>
  <c r="O161" i="30"/>
  <c r="N161" i="30"/>
  <c r="AF160" i="30"/>
  <c r="AE160" i="30"/>
  <c r="AD160" i="30"/>
  <c r="AC160" i="30"/>
  <c r="AB160" i="30"/>
  <c r="AA160" i="30"/>
  <c r="Z160" i="30"/>
  <c r="Y160" i="30"/>
  <c r="X160" i="30"/>
  <c r="W160" i="30"/>
  <c r="V160" i="30"/>
  <c r="U160" i="30"/>
  <c r="T160" i="30"/>
  <c r="S160" i="30"/>
  <c r="R160" i="30"/>
  <c r="Q160" i="30"/>
  <c r="P160" i="30"/>
  <c r="O160" i="30"/>
  <c r="N160" i="30"/>
  <c r="AE159" i="30"/>
  <c r="AD159" i="30"/>
  <c r="AC159" i="30"/>
  <c r="AB159" i="30"/>
  <c r="AA159" i="30"/>
  <c r="Z159" i="30"/>
  <c r="Y159" i="30"/>
  <c r="X159" i="30"/>
  <c r="W159" i="30"/>
  <c r="V159" i="30"/>
  <c r="U159" i="30"/>
  <c r="T159" i="30"/>
  <c r="S159" i="30"/>
  <c r="R159" i="30"/>
  <c r="Q159" i="30"/>
  <c r="P159" i="30"/>
  <c r="O159" i="30"/>
  <c r="N159" i="30"/>
  <c r="N154" i="30"/>
  <c r="N152" i="30"/>
  <c r="N151" i="30"/>
  <c r="N149" i="30"/>
  <c r="N147" i="30"/>
  <c r="N146" i="30"/>
  <c r="N145" i="30"/>
  <c r="N144" i="30"/>
  <c r="N143" i="30"/>
  <c r="N142" i="30"/>
  <c r="KX134" i="30"/>
  <c r="AV134" i="30" s="1"/>
  <c r="KW134" i="30"/>
  <c r="KV134" i="30"/>
  <c r="KU134" i="30"/>
  <c r="KT134" i="30"/>
  <c r="KQ134" i="30"/>
  <c r="AU134" i="30" s="1"/>
  <c r="KP134" i="30"/>
  <c r="KO134" i="30"/>
  <c r="KN134" i="30"/>
  <c r="KM134" i="30"/>
  <c r="KJ134" i="30"/>
  <c r="AT134" i="30" s="1"/>
  <c r="KI134" i="30"/>
  <c r="KH134" i="30"/>
  <c r="KG134" i="30"/>
  <c r="KF134" i="30"/>
  <c r="KC134" i="30"/>
  <c r="AS134" i="30" s="1"/>
  <c r="KB134" i="30"/>
  <c r="KA134" i="30"/>
  <c r="JZ134" i="30"/>
  <c r="JY134" i="30"/>
  <c r="JV134" i="30"/>
  <c r="AR134" i="30" s="1"/>
  <c r="JU134" i="30"/>
  <c r="JT134" i="30"/>
  <c r="JS134" i="30"/>
  <c r="JR134" i="30"/>
  <c r="JO134" i="30"/>
  <c r="AQ134" i="30" s="1"/>
  <c r="JN134" i="30"/>
  <c r="JM134" i="30"/>
  <c r="JL134" i="30"/>
  <c r="JK134" i="30"/>
  <c r="JH134" i="30"/>
  <c r="AP134" i="30" s="1"/>
  <c r="JG134" i="30"/>
  <c r="JF134" i="30"/>
  <c r="JE134" i="30"/>
  <c r="JD134" i="30"/>
  <c r="JA134" i="30"/>
  <c r="AO134" i="30" s="1"/>
  <c r="IZ134" i="30"/>
  <c r="IY134" i="30"/>
  <c r="IX134" i="30"/>
  <c r="IW134" i="30"/>
  <c r="IT134" i="30"/>
  <c r="AN134" i="30" s="1"/>
  <c r="IS134" i="30"/>
  <c r="IR134" i="30"/>
  <c r="IQ134" i="30"/>
  <c r="IP134" i="30"/>
  <c r="IM134" i="30"/>
  <c r="AM134" i="30" s="1"/>
  <c r="IL134" i="30"/>
  <c r="IK134" i="30"/>
  <c r="IJ134" i="30"/>
  <c r="II134" i="30"/>
  <c r="IF134" i="30"/>
  <c r="AL134" i="30" s="1"/>
  <c r="IE134" i="30"/>
  <c r="ID134" i="30"/>
  <c r="IC134" i="30"/>
  <c r="IB134" i="30"/>
  <c r="HY134" i="30"/>
  <c r="AK134" i="30" s="1"/>
  <c r="HX134" i="30"/>
  <c r="HW134" i="30"/>
  <c r="HV134" i="30"/>
  <c r="HU134" i="30"/>
  <c r="HR134" i="30"/>
  <c r="AJ134" i="30" s="1"/>
  <c r="HQ134" i="30"/>
  <c r="HP134" i="30"/>
  <c r="HO134" i="30"/>
  <c r="HN134" i="30"/>
  <c r="HK134" i="30"/>
  <c r="AI134" i="30" s="1"/>
  <c r="HJ134" i="30"/>
  <c r="HI134" i="30"/>
  <c r="HH134" i="30"/>
  <c r="HG134" i="30"/>
  <c r="HD134" i="30"/>
  <c r="AH134" i="30" s="1"/>
  <c r="HC134" i="30"/>
  <c r="HB134" i="30"/>
  <c r="HA134" i="30"/>
  <c r="GZ134" i="30"/>
  <c r="GW134" i="30"/>
  <c r="AG134" i="30" s="1"/>
  <c r="GV134" i="30"/>
  <c r="GU134" i="30"/>
  <c r="GT134" i="30"/>
  <c r="GS134" i="30"/>
  <c r="GP134" i="30"/>
  <c r="AF134" i="30" s="1"/>
  <c r="GO134" i="30"/>
  <c r="GN134" i="30"/>
  <c r="GM134" i="30"/>
  <c r="GL134" i="30"/>
  <c r="GI134" i="30"/>
  <c r="AE134" i="30" s="1"/>
  <c r="GH134" i="30"/>
  <c r="GG134" i="30"/>
  <c r="GF134" i="30"/>
  <c r="GE134" i="30"/>
  <c r="GB134" i="30"/>
  <c r="AD134" i="30" s="1"/>
  <c r="GA134" i="30"/>
  <c r="FZ134" i="30"/>
  <c r="FY134" i="30"/>
  <c r="FX134" i="30"/>
  <c r="FU134" i="30"/>
  <c r="AC134" i="30" s="1"/>
  <c r="FT134" i="30"/>
  <c r="FS134" i="30"/>
  <c r="FR134" i="30"/>
  <c r="FQ134" i="30"/>
  <c r="FM134" i="30"/>
  <c r="FL134" i="30"/>
  <c r="FK134" i="30"/>
  <c r="FJ134" i="30"/>
  <c r="FF134" i="30"/>
  <c r="FE134" i="30"/>
  <c r="FD134" i="30"/>
  <c r="FC134" i="30"/>
  <c r="EY134" i="30"/>
  <c r="EX134" i="30"/>
  <c r="EW134" i="30"/>
  <c r="EV134" i="30"/>
  <c r="ER134" i="30"/>
  <c r="EQ134" i="30"/>
  <c r="EP134" i="30"/>
  <c r="EO134" i="30"/>
  <c r="EK134" i="30"/>
  <c r="EJ134" i="30"/>
  <c r="EI134" i="30"/>
  <c r="EH134" i="30"/>
  <c r="ED134" i="30"/>
  <c r="EC134" i="30"/>
  <c r="EB134" i="30"/>
  <c r="EA134" i="30"/>
  <c r="DX134" i="30"/>
  <c r="V134" i="30" s="1"/>
  <c r="DW134" i="30"/>
  <c r="DV134" i="30"/>
  <c r="DU134" i="30"/>
  <c r="DT134" i="30"/>
  <c r="DQ134" i="30"/>
  <c r="U134" i="30" s="1"/>
  <c r="DP134" i="30"/>
  <c r="DO134" i="30"/>
  <c r="DN134" i="30"/>
  <c r="DM134" i="30"/>
  <c r="DJ134" i="30"/>
  <c r="T134" i="30" s="1"/>
  <c r="DI134" i="30"/>
  <c r="DH134" i="30"/>
  <c r="DG134" i="30"/>
  <c r="DF134" i="30"/>
  <c r="DC134" i="30"/>
  <c r="S134" i="30" s="1"/>
  <c r="DB134" i="30"/>
  <c r="DA134" i="30"/>
  <c r="CZ134" i="30"/>
  <c r="CY134" i="30"/>
  <c r="CV134" i="30"/>
  <c r="R134" i="30" s="1"/>
  <c r="CU134" i="30"/>
  <c r="CT134" i="30"/>
  <c r="CS134" i="30"/>
  <c r="CR134" i="30"/>
  <c r="CO134" i="30"/>
  <c r="Q134" i="30" s="1"/>
  <c r="CN134" i="30"/>
  <c r="CM134" i="30"/>
  <c r="CL134" i="30"/>
  <c r="CK134" i="30"/>
  <c r="CH134" i="30"/>
  <c r="P134" i="30" s="1"/>
  <c r="CG134" i="30"/>
  <c r="CF134" i="30"/>
  <c r="CE134" i="30"/>
  <c r="CD134" i="30"/>
  <c r="CA134" i="30"/>
  <c r="O134" i="30" s="1"/>
  <c r="BZ134" i="30"/>
  <c r="BY134" i="30"/>
  <c r="BX134" i="30"/>
  <c r="BW134" i="30"/>
  <c r="BT134" i="30"/>
  <c r="N134" i="30" s="1"/>
  <c r="BS134" i="30"/>
  <c r="BR134" i="30"/>
  <c r="BQ134" i="30"/>
  <c r="BP134" i="30"/>
  <c r="AY134" i="30"/>
  <c r="AX134" i="30"/>
  <c r="AW134" i="30"/>
  <c r="M134" i="30"/>
  <c r="L134" i="30"/>
  <c r="K134" i="30"/>
  <c r="J134" i="30"/>
  <c r="I134" i="30"/>
  <c r="H134" i="30"/>
  <c r="G134" i="30"/>
  <c r="F134" i="30"/>
  <c r="E134" i="30"/>
  <c r="D134" i="30"/>
  <c r="C134" i="30"/>
  <c r="KX133" i="30"/>
  <c r="AV133" i="30" s="1"/>
  <c r="KW133" i="30"/>
  <c r="KV133" i="30"/>
  <c r="KU133" i="30"/>
  <c r="KT133" i="30"/>
  <c r="KQ133" i="30"/>
  <c r="AU133" i="30" s="1"/>
  <c r="KP133" i="30"/>
  <c r="KO133" i="30"/>
  <c r="KN133" i="30"/>
  <c r="KM133" i="30"/>
  <c r="KJ133" i="30"/>
  <c r="AT133" i="30" s="1"/>
  <c r="KI133" i="30"/>
  <c r="KH133" i="30"/>
  <c r="KG133" i="30"/>
  <c r="KF133" i="30"/>
  <c r="KC133" i="30"/>
  <c r="AS133" i="30" s="1"/>
  <c r="KB133" i="30"/>
  <c r="KA133" i="30"/>
  <c r="JZ133" i="30"/>
  <c r="JY133" i="30"/>
  <c r="JV133" i="30"/>
  <c r="AR133" i="30" s="1"/>
  <c r="JU133" i="30"/>
  <c r="JT133" i="30"/>
  <c r="JS133" i="30"/>
  <c r="JR133" i="30"/>
  <c r="JO133" i="30"/>
  <c r="AQ133" i="30" s="1"/>
  <c r="JN133" i="30"/>
  <c r="JM133" i="30"/>
  <c r="JL133" i="30"/>
  <c r="JK133" i="30"/>
  <c r="JH133" i="30"/>
  <c r="AP133" i="30" s="1"/>
  <c r="JG133" i="30"/>
  <c r="JF133" i="30"/>
  <c r="JE133" i="30"/>
  <c r="JD133" i="30"/>
  <c r="JA133" i="30"/>
  <c r="AO133" i="30" s="1"/>
  <c r="IZ133" i="30"/>
  <c r="IY133" i="30"/>
  <c r="IX133" i="30"/>
  <c r="IW133" i="30"/>
  <c r="IT133" i="30"/>
  <c r="AN133" i="30" s="1"/>
  <c r="IS133" i="30"/>
  <c r="IR133" i="30"/>
  <c r="IQ133" i="30"/>
  <c r="IP133" i="30"/>
  <c r="IM133" i="30"/>
  <c r="AM133" i="30" s="1"/>
  <c r="IL133" i="30"/>
  <c r="IK133" i="30"/>
  <c r="IJ133" i="30"/>
  <c r="II133" i="30"/>
  <c r="IF133" i="30"/>
  <c r="AL133" i="30" s="1"/>
  <c r="IE133" i="30"/>
  <c r="ID133" i="30"/>
  <c r="IC133" i="30"/>
  <c r="IB133" i="30"/>
  <c r="HY133" i="30"/>
  <c r="AK133" i="30" s="1"/>
  <c r="HX133" i="30"/>
  <c r="HW133" i="30"/>
  <c r="HV133" i="30"/>
  <c r="HU133" i="30"/>
  <c r="HR133" i="30"/>
  <c r="AJ133" i="30" s="1"/>
  <c r="HQ133" i="30"/>
  <c r="HP133" i="30"/>
  <c r="HO133" i="30"/>
  <c r="HN133" i="30"/>
  <c r="HK133" i="30"/>
  <c r="AI133" i="30" s="1"/>
  <c r="HJ133" i="30"/>
  <c r="HI133" i="30"/>
  <c r="HH133" i="30"/>
  <c r="HG133" i="30"/>
  <c r="HD133" i="30"/>
  <c r="AH133" i="30" s="1"/>
  <c r="HC133" i="30"/>
  <c r="HB133" i="30"/>
  <c r="HA133" i="30"/>
  <c r="GZ133" i="30"/>
  <c r="GW133" i="30"/>
  <c r="AG133" i="30" s="1"/>
  <c r="GV133" i="30"/>
  <c r="GU133" i="30"/>
  <c r="GT133" i="30"/>
  <c r="GS133" i="30"/>
  <c r="GP133" i="30"/>
  <c r="AF133" i="30" s="1"/>
  <c r="GO133" i="30"/>
  <c r="GN133" i="30"/>
  <c r="GM133" i="30"/>
  <c r="GL133" i="30"/>
  <c r="GI133" i="30"/>
  <c r="AE133" i="30" s="1"/>
  <c r="GH133" i="30"/>
  <c r="GG133" i="30"/>
  <c r="GF133" i="30"/>
  <c r="GE133" i="30"/>
  <c r="GB133" i="30"/>
  <c r="AD133" i="30" s="1"/>
  <c r="GA133" i="30"/>
  <c r="FZ133" i="30"/>
  <c r="FY133" i="30"/>
  <c r="FX133" i="30"/>
  <c r="FT133" i="30"/>
  <c r="FS133" i="30"/>
  <c r="FR133" i="30"/>
  <c r="FQ133" i="30"/>
  <c r="FM133" i="30"/>
  <c r="FL133" i="30"/>
  <c r="FK133" i="30"/>
  <c r="FJ133" i="30"/>
  <c r="FF133" i="30"/>
  <c r="FE133" i="30"/>
  <c r="FD133" i="30"/>
  <c r="FC133" i="30"/>
  <c r="EY133" i="30"/>
  <c r="EX133" i="30"/>
  <c r="EW133" i="30"/>
  <c r="EV133" i="30"/>
  <c r="ER133" i="30"/>
  <c r="EQ133" i="30"/>
  <c r="EP133" i="30"/>
  <c r="EO133" i="30"/>
  <c r="EK133" i="30"/>
  <c r="EJ133" i="30"/>
  <c r="EI133" i="30"/>
  <c r="EH133" i="30"/>
  <c r="ED133" i="30"/>
  <c r="EC133" i="30"/>
  <c r="EB133" i="30"/>
  <c r="EA133" i="30"/>
  <c r="DX133" i="30"/>
  <c r="V133" i="30" s="1"/>
  <c r="DW133" i="30"/>
  <c r="DV133" i="30"/>
  <c r="DU133" i="30"/>
  <c r="DT133" i="30"/>
  <c r="DQ133" i="30"/>
  <c r="U133" i="30" s="1"/>
  <c r="DP133" i="30"/>
  <c r="DO133" i="30"/>
  <c r="DN133" i="30"/>
  <c r="DM133" i="30"/>
  <c r="DJ133" i="30"/>
  <c r="T133" i="30" s="1"/>
  <c r="DI133" i="30"/>
  <c r="DH133" i="30"/>
  <c r="DG133" i="30"/>
  <c r="DF133" i="30"/>
  <c r="DC133" i="30"/>
  <c r="S133" i="30" s="1"/>
  <c r="DB133" i="30"/>
  <c r="DA133" i="30"/>
  <c r="CZ133" i="30"/>
  <c r="CY133" i="30"/>
  <c r="CV133" i="30"/>
  <c r="R133" i="30" s="1"/>
  <c r="CU133" i="30"/>
  <c r="CT133" i="30"/>
  <c r="CS133" i="30"/>
  <c r="CR133" i="30"/>
  <c r="CO133" i="30"/>
  <c r="Q133" i="30" s="1"/>
  <c r="CN133" i="30"/>
  <c r="CM133" i="30"/>
  <c r="CL133" i="30"/>
  <c r="CK133" i="30"/>
  <c r="CH133" i="30"/>
  <c r="P133" i="30" s="1"/>
  <c r="CG133" i="30"/>
  <c r="CF133" i="30"/>
  <c r="CE133" i="30"/>
  <c r="CD133" i="30"/>
  <c r="CA133" i="30"/>
  <c r="O133" i="30" s="1"/>
  <c r="BZ133" i="30"/>
  <c r="BY133" i="30"/>
  <c r="BX133" i="30"/>
  <c r="BW133" i="30"/>
  <c r="BT133" i="30"/>
  <c r="N133" i="30" s="1"/>
  <c r="BS133" i="30"/>
  <c r="BR133" i="30"/>
  <c r="BQ133" i="30"/>
  <c r="BP133" i="30"/>
  <c r="AY133" i="30"/>
  <c r="AX133" i="30"/>
  <c r="AW133" i="30"/>
  <c r="M133" i="30"/>
  <c r="L133" i="30"/>
  <c r="K133" i="30"/>
  <c r="J133" i="30"/>
  <c r="I133" i="30"/>
  <c r="H133" i="30"/>
  <c r="G133" i="30"/>
  <c r="F133" i="30"/>
  <c r="E133" i="30"/>
  <c r="D133" i="30"/>
  <c r="C133" i="30"/>
  <c r="KW132" i="30"/>
  <c r="KV132" i="30"/>
  <c r="KU132" i="30"/>
  <c r="KT132" i="30"/>
  <c r="KP132" i="30"/>
  <c r="KO132" i="30"/>
  <c r="KN132" i="30"/>
  <c r="KM132" i="30"/>
  <c r="KI132" i="30"/>
  <c r="KH132" i="30"/>
  <c r="KG132" i="30"/>
  <c r="KF132" i="30"/>
  <c r="KB132" i="30"/>
  <c r="KA132" i="30"/>
  <c r="JZ132" i="30"/>
  <c r="JY132" i="30"/>
  <c r="JU132" i="30"/>
  <c r="JT132" i="30"/>
  <c r="JS132" i="30"/>
  <c r="JR132" i="30"/>
  <c r="JN132" i="30"/>
  <c r="JM132" i="30"/>
  <c r="JL132" i="30"/>
  <c r="JK132" i="30"/>
  <c r="JG132" i="30"/>
  <c r="JF132" i="30"/>
  <c r="JE132" i="30"/>
  <c r="JD132" i="30"/>
  <c r="IZ132" i="30"/>
  <c r="IY132" i="30"/>
  <c r="IX132" i="30"/>
  <c r="IW132" i="30"/>
  <c r="IS132" i="30"/>
  <c r="IR132" i="30"/>
  <c r="IQ132" i="30"/>
  <c r="IP132" i="30"/>
  <c r="IL132" i="30"/>
  <c r="IK132" i="30"/>
  <c r="IJ132" i="30"/>
  <c r="II132" i="30"/>
  <c r="IE132" i="30"/>
  <c r="ID132" i="30"/>
  <c r="IC132" i="30"/>
  <c r="IB132" i="30"/>
  <c r="HX132" i="30"/>
  <c r="HW132" i="30"/>
  <c r="HV132" i="30"/>
  <c r="HU132" i="30"/>
  <c r="HQ132" i="30"/>
  <c r="HP132" i="30"/>
  <c r="HO132" i="30"/>
  <c r="HN132" i="30"/>
  <c r="HJ132" i="30"/>
  <c r="HI132" i="30"/>
  <c r="HH132" i="30"/>
  <c r="HG132" i="30"/>
  <c r="HC132" i="30"/>
  <c r="HB132" i="30"/>
  <c r="HA132" i="30"/>
  <c r="GZ132" i="30"/>
  <c r="GV132" i="30"/>
  <c r="GU132" i="30"/>
  <c r="GT132" i="30"/>
  <c r="GS132" i="30"/>
  <c r="GO132" i="30"/>
  <c r="GN132" i="30"/>
  <c r="GM132" i="30"/>
  <c r="GL132" i="30"/>
  <c r="GH132" i="30"/>
  <c r="GG132" i="30"/>
  <c r="GF132" i="30"/>
  <c r="GE132" i="30"/>
  <c r="GA132" i="30"/>
  <c r="FZ132" i="30"/>
  <c r="FY132" i="30"/>
  <c r="FX132" i="30"/>
  <c r="FT132" i="30"/>
  <c r="FS132" i="30"/>
  <c r="FR132" i="30"/>
  <c r="FQ132" i="30"/>
  <c r="FM132" i="30"/>
  <c r="FL132" i="30"/>
  <c r="FK132" i="30"/>
  <c r="FJ132" i="30"/>
  <c r="FF132" i="30"/>
  <c r="FE132" i="30"/>
  <c r="FD132" i="30"/>
  <c r="FC132" i="30"/>
  <c r="EY132" i="30"/>
  <c r="EX132" i="30"/>
  <c r="EW132" i="30"/>
  <c r="EV132" i="30"/>
  <c r="ER132" i="30"/>
  <c r="EQ132" i="30"/>
  <c r="EP132" i="30"/>
  <c r="EO132" i="30"/>
  <c r="EK132" i="30"/>
  <c r="EJ132" i="30"/>
  <c r="EI132" i="30"/>
  <c r="EH132" i="30"/>
  <c r="ED132" i="30"/>
  <c r="EC132" i="30"/>
  <c r="EB132" i="30"/>
  <c r="DW132" i="30"/>
  <c r="DV132" i="30"/>
  <c r="DU132" i="30"/>
  <c r="DT132" i="30"/>
  <c r="DP132" i="30"/>
  <c r="DO132" i="30"/>
  <c r="DN132" i="30"/>
  <c r="DM132" i="30"/>
  <c r="DI132" i="30"/>
  <c r="DH132" i="30"/>
  <c r="DG132" i="30"/>
  <c r="DF132" i="30"/>
  <c r="DB132" i="30"/>
  <c r="DA132" i="30"/>
  <c r="CZ132" i="30"/>
  <c r="CY132" i="30"/>
  <c r="CU132" i="30"/>
  <c r="CT132" i="30"/>
  <c r="CS132" i="30"/>
  <c r="CR132" i="30"/>
  <c r="CN132" i="30"/>
  <c r="CM132" i="30"/>
  <c r="CL132" i="30"/>
  <c r="CK132" i="30"/>
  <c r="CG132" i="30"/>
  <c r="CF132" i="30"/>
  <c r="CE132" i="30"/>
  <c r="CD132" i="30"/>
  <c r="BZ132" i="30"/>
  <c r="BY132" i="30"/>
  <c r="BX132" i="30"/>
  <c r="BW132" i="30"/>
  <c r="M132" i="30"/>
  <c r="L132" i="30"/>
  <c r="K132" i="30"/>
  <c r="J132" i="30"/>
  <c r="I132" i="30"/>
  <c r="H132" i="30"/>
  <c r="G132" i="30"/>
  <c r="F132" i="30"/>
  <c r="E132" i="30"/>
  <c r="D132" i="30"/>
  <c r="C132" i="30"/>
  <c r="KW131" i="30"/>
  <c r="LD151" i="30" s="1"/>
  <c r="KV131" i="30"/>
  <c r="LC151" i="30" s="1"/>
  <c r="KU131" i="30"/>
  <c r="LB151" i="30" s="1"/>
  <c r="KT131" i="30"/>
  <c r="LA151" i="30" s="1"/>
  <c r="KP131" i="30"/>
  <c r="KO131" i="30"/>
  <c r="KN131" i="30"/>
  <c r="KM131" i="30"/>
  <c r="KI131" i="30"/>
  <c r="KH131" i="30"/>
  <c r="KG131" i="30"/>
  <c r="KF131" i="30"/>
  <c r="KB131" i="30"/>
  <c r="KA131" i="30"/>
  <c r="JZ131" i="30"/>
  <c r="JY131" i="30"/>
  <c r="JU131" i="30"/>
  <c r="JT131" i="30"/>
  <c r="JS131" i="30"/>
  <c r="JR131" i="30"/>
  <c r="JN131" i="30"/>
  <c r="JM131" i="30"/>
  <c r="JL131" i="30"/>
  <c r="JK131" i="30"/>
  <c r="JG131" i="30"/>
  <c r="JF131" i="30"/>
  <c r="JE131" i="30"/>
  <c r="JD131" i="30"/>
  <c r="IZ131" i="30"/>
  <c r="IY131" i="30"/>
  <c r="IX131" i="30"/>
  <c r="IW131" i="30"/>
  <c r="IS131" i="30"/>
  <c r="IR131" i="30"/>
  <c r="IQ131" i="30"/>
  <c r="IP131" i="30"/>
  <c r="IL131" i="30"/>
  <c r="IK131" i="30"/>
  <c r="IJ131" i="30"/>
  <c r="II131" i="30"/>
  <c r="IE131" i="30"/>
  <c r="ID131" i="30"/>
  <c r="IC131" i="30"/>
  <c r="IB131" i="30"/>
  <c r="HX131" i="30"/>
  <c r="HW131" i="30"/>
  <c r="HV131" i="30"/>
  <c r="HU131" i="30"/>
  <c r="HQ131" i="30"/>
  <c r="HP131" i="30"/>
  <c r="HO131" i="30"/>
  <c r="HN131" i="30"/>
  <c r="HJ131" i="30"/>
  <c r="HI131" i="30"/>
  <c r="HH131" i="30"/>
  <c r="HG131" i="30"/>
  <c r="HC131" i="30"/>
  <c r="HB131" i="30"/>
  <c r="HA131" i="30"/>
  <c r="GZ131" i="30"/>
  <c r="GV131" i="30"/>
  <c r="GU131" i="30"/>
  <c r="GT131" i="30"/>
  <c r="GS131" i="30"/>
  <c r="GO131" i="30"/>
  <c r="GN131" i="30"/>
  <c r="GM131" i="30"/>
  <c r="GL131" i="30"/>
  <c r="GH131" i="30"/>
  <c r="GG131" i="30"/>
  <c r="GF131" i="30"/>
  <c r="GE131" i="30"/>
  <c r="GA131" i="30"/>
  <c r="FZ131" i="30"/>
  <c r="FY131" i="30"/>
  <c r="FX131" i="30"/>
  <c r="CG131" i="30"/>
  <c r="CF131" i="30"/>
  <c r="CE131" i="30"/>
  <c r="CD131" i="30"/>
  <c r="BZ131" i="30"/>
  <c r="BY131" i="30"/>
  <c r="BX131" i="30"/>
  <c r="BW131" i="30"/>
  <c r="M131" i="30"/>
  <c r="L131" i="30"/>
  <c r="K131" i="30"/>
  <c r="J131" i="30"/>
  <c r="I131" i="30"/>
  <c r="H131" i="30"/>
  <c r="D131" i="30"/>
  <c r="C131" i="30"/>
  <c r="KX130" i="30"/>
  <c r="AV130" i="30" s="1"/>
  <c r="KW130" i="30"/>
  <c r="KV130" i="30"/>
  <c r="KU130" i="30"/>
  <c r="KT130" i="30"/>
  <c r="KQ130" i="30"/>
  <c r="AU130" i="30" s="1"/>
  <c r="KP130" i="30"/>
  <c r="KO130" i="30"/>
  <c r="KN130" i="30"/>
  <c r="KM130" i="30"/>
  <c r="KJ130" i="30"/>
  <c r="AT130" i="30" s="1"/>
  <c r="KI130" i="30"/>
  <c r="KH130" i="30"/>
  <c r="KG130" i="30"/>
  <c r="KF130" i="30"/>
  <c r="KC130" i="30"/>
  <c r="AS130" i="30" s="1"/>
  <c r="KB130" i="30"/>
  <c r="KA130" i="30"/>
  <c r="JZ130" i="30"/>
  <c r="JY130" i="30"/>
  <c r="JV130" i="30"/>
  <c r="AR130" i="30" s="1"/>
  <c r="JU130" i="30"/>
  <c r="JT130" i="30"/>
  <c r="JS130" i="30"/>
  <c r="JR130" i="30"/>
  <c r="IK130" i="30"/>
  <c r="IJ130" i="30"/>
  <c r="II130" i="30"/>
  <c r="IE130" i="30"/>
  <c r="ID130" i="30"/>
  <c r="IC130" i="30"/>
  <c r="IB130" i="30"/>
  <c r="HX130" i="30"/>
  <c r="HW130" i="30"/>
  <c r="HV130" i="30"/>
  <c r="HU130" i="30"/>
  <c r="HQ130" i="30"/>
  <c r="HP130" i="30"/>
  <c r="HO130" i="30"/>
  <c r="HN130" i="30"/>
  <c r="HK130" i="30"/>
  <c r="AI130" i="30" s="1"/>
  <c r="HJ130" i="30"/>
  <c r="HI130" i="30"/>
  <c r="HH130" i="30"/>
  <c r="HG130" i="30"/>
  <c r="HC130" i="30"/>
  <c r="HB130" i="30"/>
  <c r="HA130" i="30"/>
  <c r="GZ130" i="30"/>
  <c r="GV130" i="30"/>
  <c r="GU130" i="30"/>
  <c r="GT130" i="30"/>
  <c r="GS130" i="30"/>
  <c r="GO130" i="30"/>
  <c r="GN130" i="30"/>
  <c r="GM130" i="30"/>
  <c r="GL130" i="30"/>
  <c r="GH130" i="30"/>
  <c r="GG130" i="30"/>
  <c r="GF130" i="30"/>
  <c r="GE130" i="30"/>
  <c r="GA130" i="30"/>
  <c r="FZ130" i="30"/>
  <c r="FY130" i="30"/>
  <c r="FX130" i="30"/>
  <c r="FT130" i="30"/>
  <c r="FS130" i="30"/>
  <c r="FR130" i="30"/>
  <c r="FQ130" i="30"/>
  <c r="FM130" i="30"/>
  <c r="FL130" i="30"/>
  <c r="FK130" i="30"/>
  <c r="FJ130" i="30"/>
  <c r="FF130" i="30"/>
  <c r="FE130" i="30"/>
  <c r="FD130" i="30"/>
  <c r="FC130" i="30"/>
  <c r="EY130" i="30"/>
  <c r="EX130" i="30"/>
  <c r="EW130" i="30"/>
  <c r="EV130" i="30"/>
  <c r="ER130" i="30"/>
  <c r="EQ130" i="30"/>
  <c r="EP130" i="30"/>
  <c r="EO130" i="30"/>
  <c r="EK130" i="30"/>
  <c r="EJ130" i="30"/>
  <c r="EI130" i="30"/>
  <c r="EH130" i="30"/>
  <c r="ED130" i="30"/>
  <c r="EC130" i="30"/>
  <c r="EB130" i="30"/>
  <c r="EA130" i="30"/>
  <c r="DW130" i="30"/>
  <c r="DV130" i="30"/>
  <c r="DU130" i="30"/>
  <c r="DT130" i="30"/>
  <c r="DP130" i="30"/>
  <c r="DO130" i="30"/>
  <c r="DN130" i="30"/>
  <c r="DM130" i="30"/>
  <c r="DI130" i="30"/>
  <c r="DH130" i="30"/>
  <c r="DG130" i="30"/>
  <c r="DF130" i="30"/>
  <c r="DB130" i="30"/>
  <c r="DA130" i="30"/>
  <c r="CZ130" i="30"/>
  <c r="CY130" i="30"/>
  <c r="CU130" i="30"/>
  <c r="CT130" i="30"/>
  <c r="CS130" i="30"/>
  <c r="CR130" i="30"/>
  <c r="CN130" i="30"/>
  <c r="CL130" i="30"/>
  <c r="CK130" i="30"/>
  <c r="CH130" i="30"/>
  <c r="P130" i="30" s="1"/>
  <c r="CG130" i="30"/>
  <c r="CF130" i="30"/>
  <c r="CE130" i="30"/>
  <c r="CD130" i="30"/>
  <c r="CA130" i="30"/>
  <c r="O130" i="30" s="1"/>
  <c r="BZ130" i="30"/>
  <c r="BY130" i="30"/>
  <c r="BX130" i="30"/>
  <c r="BW130" i="30"/>
  <c r="BT130" i="30"/>
  <c r="N130" i="30" s="1"/>
  <c r="BS130" i="30"/>
  <c r="BR130" i="30"/>
  <c r="BQ130" i="30"/>
  <c r="BP130" i="30"/>
  <c r="AY130" i="30"/>
  <c r="AX130" i="30"/>
  <c r="AW130" i="30"/>
  <c r="M130" i="30"/>
  <c r="L130" i="30"/>
  <c r="K130" i="30"/>
  <c r="J130" i="30"/>
  <c r="I130" i="30"/>
  <c r="H130" i="30"/>
  <c r="G130" i="30"/>
  <c r="F130" i="30"/>
  <c r="E130" i="30"/>
  <c r="D130" i="30"/>
  <c r="C130" i="30"/>
  <c r="KX129" i="30"/>
  <c r="AV129" i="30" s="1"/>
  <c r="KW129" i="30"/>
  <c r="KV129" i="30"/>
  <c r="KU129" i="30"/>
  <c r="KT129" i="30"/>
  <c r="KQ129" i="30"/>
  <c r="AU129" i="30" s="1"/>
  <c r="KP129" i="30"/>
  <c r="KO129" i="30"/>
  <c r="KN129" i="30"/>
  <c r="KM129" i="30"/>
  <c r="KJ129" i="30"/>
  <c r="AT129" i="30" s="1"/>
  <c r="KI129" i="30"/>
  <c r="KH129" i="30"/>
  <c r="KG129" i="30"/>
  <c r="KF129" i="30"/>
  <c r="KC129" i="30"/>
  <c r="AS129" i="30" s="1"/>
  <c r="KB129" i="30"/>
  <c r="KA129" i="30"/>
  <c r="JZ129" i="30"/>
  <c r="JY129" i="30"/>
  <c r="JV129" i="30"/>
  <c r="AR129" i="30" s="1"/>
  <c r="JU129" i="30"/>
  <c r="JT129" i="30"/>
  <c r="JS129" i="30"/>
  <c r="JR129" i="30"/>
  <c r="IK129" i="30"/>
  <c r="IJ129" i="30"/>
  <c r="II129" i="30"/>
  <c r="IE129" i="30"/>
  <c r="ID129" i="30"/>
  <c r="IC129" i="30"/>
  <c r="IB129" i="30"/>
  <c r="HX129" i="30"/>
  <c r="HW129" i="30"/>
  <c r="HV129" i="30"/>
  <c r="HU129" i="30"/>
  <c r="HQ129" i="30"/>
  <c r="HP129" i="30"/>
  <c r="HO129" i="30"/>
  <c r="HN129" i="30"/>
  <c r="HK129" i="30"/>
  <c r="AI129" i="30" s="1"/>
  <c r="HJ129" i="30"/>
  <c r="HI129" i="30"/>
  <c r="HH129" i="30"/>
  <c r="HG129" i="30"/>
  <c r="HC129" i="30"/>
  <c r="HB129" i="30"/>
  <c r="HA129" i="30"/>
  <c r="GZ129" i="30"/>
  <c r="GV129" i="30"/>
  <c r="GU129" i="30"/>
  <c r="GT129" i="30"/>
  <c r="GS129" i="30"/>
  <c r="GO129" i="30"/>
  <c r="GN129" i="30"/>
  <c r="GM129" i="30"/>
  <c r="GL129" i="30"/>
  <c r="GH129" i="30"/>
  <c r="GG129" i="30"/>
  <c r="GF129" i="30"/>
  <c r="GE129" i="30"/>
  <c r="GA129" i="30"/>
  <c r="FZ129" i="30"/>
  <c r="FY129" i="30"/>
  <c r="FX129" i="30"/>
  <c r="FT129" i="30"/>
  <c r="FS129" i="30"/>
  <c r="FR129" i="30"/>
  <c r="FQ129" i="30"/>
  <c r="FM129" i="30"/>
  <c r="FL129" i="30"/>
  <c r="FK129" i="30"/>
  <c r="FJ129" i="30"/>
  <c r="FF129" i="30"/>
  <c r="FE129" i="30"/>
  <c r="FD129" i="30"/>
  <c r="FC129" i="30"/>
  <c r="EY129" i="30"/>
  <c r="EX129" i="30"/>
  <c r="EW129" i="30"/>
  <c r="EV129" i="30"/>
  <c r="ER129" i="30"/>
  <c r="EQ129" i="30"/>
  <c r="EP129" i="30"/>
  <c r="EO129" i="30"/>
  <c r="EK129" i="30"/>
  <c r="EJ129" i="30"/>
  <c r="EI129" i="30"/>
  <c r="EH129" i="30"/>
  <c r="ED129" i="30"/>
  <c r="EC129" i="30"/>
  <c r="EB129" i="30"/>
  <c r="EA129" i="30"/>
  <c r="DW129" i="30"/>
  <c r="DV129" i="30"/>
  <c r="DU129" i="30"/>
  <c r="DT129" i="30"/>
  <c r="DO129" i="30"/>
  <c r="DN129" i="30"/>
  <c r="DM129" i="30"/>
  <c r="DI129" i="30"/>
  <c r="DH129" i="30"/>
  <c r="DG129" i="30"/>
  <c r="DF129" i="30"/>
  <c r="DB129" i="30"/>
  <c r="DA129" i="30"/>
  <c r="CZ129" i="30"/>
  <c r="CY129" i="30"/>
  <c r="CU129" i="30"/>
  <c r="CT129" i="30"/>
  <c r="CS129" i="30"/>
  <c r="CR129" i="30"/>
  <c r="CN129" i="30"/>
  <c r="CM129" i="30"/>
  <c r="CL129" i="30"/>
  <c r="CK129" i="30"/>
  <c r="CH129" i="30"/>
  <c r="P129" i="30" s="1"/>
  <c r="CG129" i="30"/>
  <c r="CF129" i="30"/>
  <c r="CE129" i="30"/>
  <c r="CD129" i="30"/>
  <c r="CA129" i="30"/>
  <c r="O129" i="30" s="1"/>
  <c r="BZ129" i="30"/>
  <c r="BY129" i="30"/>
  <c r="BX129" i="30"/>
  <c r="BW129" i="30"/>
  <c r="BT129" i="30"/>
  <c r="N129" i="30" s="1"/>
  <c r="BS129" i="30"/>
  <c r="BR129" i="30"/>
  <c r="BQ129" i="30"/>
  <c r="BP129" i="30"/>
  <c r="AY129" i="30"/>
  <c r="AX129" i="30"/>
  <c r="AW129" i="30"/>
  <c r="M129" i="30"/>
  <c r="L129" i="30"/>
  <c r="K129" i="30"/>
  <c r="J129" i="30"/>
  <c r="I129" i="30"/>
  <c r="H129" i="30"/>
  <c r="G129" i="30"/>
  <c r="F129" i="30"/>
  <c r="E129" i="30"/>
  <c r="D129" i="30"/>
  <c r="C129" i="30"/>
  <c r="KX124" i="30"/>
  <c r="AV124" i="30" s="1"/>
  <c r="KW124" i="30"/>
  <c r="KV124" i="30"/>
  <c r="KU124" i="30"/>
  <c r="KT124" i="30"/>
  <c r="KQ124" i="30"/>
  <c r="AU124" i="30" s="1"/>
  <c r="KP124" i="30"/>
  <c r="KO124" i="30"/>
  <c r="KN124" i="30"/>
  <c r="KM124" i="30"/>
  <c r="KJ124" i="30"/>
  <c r="AT124" i="30" s="1"/>
  <c r="KI124" i="30"/>
  <c r="KH124" i="30"/>
  <c r="KG124" i="30"/>
  <c r="KF124" i="30"/>
  <c r="KC124" i="30"/>
  <c r="AS124" i="30" s="1"/>
  <c r="KB124" i="30"/>
  <c r="KA124" i="30"/>
  <c r="JZ124" i="30"/>
  <c r="JY124" i="30"/>
  <c r="JV124" i="30"/>
  <c r="AR124" i="30" s="1"/>
  <c r="JU124" i="30"/>
  <c r="JT124" i="30"/>
  <c r="JS124" i="30"/>
  <c r="JR124" i="30"/>
  <c r="JO124" i="30"/>
  <c r="AQ124" i="30" s="1"/>
  <c r="JN124" i="30"/>
  <c r="JM124" i="30"/>
  <c r="JL124" i="30"/>
  <c r="JK124" i="30"/>
  <c r="JH124" i="30"/>
  <c r="AP124" i="30" s="1"/>
  <c r="JG124" i="30"/>
  <c r="JF124" i="30"/>
  <c r="JE124" i="30"/>
  <c r="JD124" i="30"/>
  <c r="JA124" i="30"/>
  <c r="AO124" i="30" s="1"/>
  <c r="IZ124" i="30"/>
  <c r="IY124" i="30"/>
  <c r="IX124" i="30"/>
  <c r="IW124" i="30"/>
  <c r="IT124" i="30"/>
  <c r="AN124" i="30" s="1"/>
  <c r="IS124" i="30"/>
  <c r="IR124" i="30"/>
  <c r="IQ124" i="30"/>
  <c r="IP124" i="30"/>
  <c r="IM124" i="30"/>
  <c r="AM124" i="30" s="1"/>
  <c r="IL124" i="30"/>
  <c r="IK124" i="30"/>
  <c r="IJ124" i="30"/>
  <c r="II124" i="30"/>
  <c r="IF124" i="30"/>
  <c r="AL124" i="30" s="1"/>
  <c r="IE124" i="30"/>
  <c r="ID124" i="30"/>
  <c r="IC124" i="30"/>
  <c r="IB124" i="30"/>
  <c r="HX124" i="30"/>
  <c r="HW124" i="30"/>
  <c r="HV124" i="30"/>
  <c r="HU124" i="30"/>
  <c r="HQ124" i="30"/>
  <c r="HP124" i="30"/>
  <c r="HO124" i="30"/>
  <c r="HN124" i="30"/>
  <c r="HJ124" i="30"/>
  <c r="HI124" i="30"/>
  <c r="HH124" i="30"/>
  <c r="HG124" i="30"/>
  <c r="HD124" i="30"/>
  <c r="AH124" i="30" s="1"/>
  <c r="HC124" i="30"/>
  <c r="HB124" i="30"/>
  <c r="HA124" i="30"/>
  <c r="GZ124" i="30"/>
  <c r="GW124" i="30"/>
  <c r="AG124" i="30" s="1"/>
  <c r="GV124" i="30"/>
  <c r="GU124" i="30"/>
  <c r="GT124" i="30"/>
  <c r="GS124" i="30"/>
  <c r="GP124" i="30"/>
  <c r="AF124" i="30" s="1"/>
  <c r="GO124" i="30"/>
  <c r="GN124" i="30"/>
  <c r="GM124" i="30"/>
  <c r="GL124" i="30"/>
  <c r="GI124" i="30"/>
  <c r="AE124" i="30" s="1"/>
  <c r="GH124" i="30"/>
  <c r="GG124" i="30"/>
  <c r="GF124" i="30"/>
  <c r="GE124" i="30"/>
  <c r="GB124" i="30"/>
  <c r="AD124" i="30" s="1"/>
  <c r="GA124" i="30"/>
  <c r="FZ124" i="30"/>
  <c r="FY124" i="30"/>
  <c r="FX124" i="30"/>
  <c r="FU124" i="30"/>
  <c r="AC124" i="30" s="1"/>
  <c r="FT124" i="30"/>
  <c r="FS124" i="30"/>
  <c r="FR124" i="30"/>
  <c r="FQ124" i="30"/>
  <c r="FN124" i="30"/>
  <c r="AB124" i="30" s="1"/>
  <c r="FM124" i="30"/>
  <c r="FL124" i="30"/>
  <c r="FK124" i="30"/>
  <c r="FJ124" i="30"/>
  <c r="FG124" i="30"/>
  <c r="AA124" i="30" s="1"/>
  <c r="FF124" i="30"/>
  <c r="FE124" i="30"/>
  <c r="FD124" i="30"/>
  <c r="FC124" i="30"/>
  <c r="EZ124" i="30"/>
  <c r="Z124" i="30" s="1"/>
  <c r="EY124" i="30"/>
  <c r="EX124" i="30"/>
  <c r="EW124" i="30"/>
  <c r="EV124" i="30"/>
  <c r="ES124" i="30"/>
  <c r="Y124" i="30" s="1"/>
  <c r="ER124" i="30"/>
  <c r="EQ124" i="30"/>
  <c r="EP124" i="30"/>
  <c r="EO124" i="30"/>
  <c r="EL124" i="30"/>
  <c r="X124" i="30" s="1"/>
  <c r="EK124" i="30"/>
  <c r="EJ124" i="30"/>
  <c r="EI124" i="30"/>
  <c r="EH124" i="30"/>
  <c r="EE124" i="30"/>
  <c r="W124" i="30" s="1"/>
  <c r="ED124" i="30"/>
  <c r="EC124" i="30"/>
  <c r="EB124" i="30"/>
  <c r="EA124" i="30"/>
  <c r="DX124" i="30"/>
  <c r="V124" i="30" s="1"/>
  <c r="DW124" i="30"/>
  <c r="DV124" i="30"/>
  <c r="DU124" i="30"/>
  <c r="DT124" i="30"/>
  <c r="DQ124" i="30"/>
  <c r="U124" i="30" s="1"/>
  <c r="DP124" i="30"/>
  <c r="DO124" i="30"/>
  <c r="DN124" i="30"/>
  <c r="DM124" i="30"/>
  <c r="DJ124" i="30"/>
  <c r="T124" i="30" s="1"/>
  <c r="DI124" i="30"/>
  <c r="DH124" i="30"/>
  <c r="DG124" i="30"/>
  <c r="DF124" i="30"/>
  <c r="DC124" i="30"/>
  <c r="S124" i="30" s="1"/>
  <c r="DB124" i="30"/>
  <c r="DA124" i="30"/>
  <c r="CZ124" i="30"/>
  <c r="CY124" i="30"/>
  <c r="CV124" i="30"/>
  <c r="R124" i="30" s="1"/>
  <c r="CU124" i="30"/>
  <c r="CT124" i="30"/>
  <c r="CS124" i="30"/>
  <c r="CR124" i="30"/>
  <c r="CO124" i="30"/>
  <c r="Q124" i="30" s="1"/>
  <c r="CN124" i="30"/>
  <c r="CM124" i="30"/>
  <c r="CL124" i="30"/>
  <c r="CK124" i="30"/>
  <c r="CH124" i="30"/>
  <c r="P124" i="30" s="1"/>
  <c r="CG124" i="30"/>
  <c r="CF124" i="30"/>
  <c r="CE124" i="30"/>
  <c r="CD124" i="30"/>
  <c r="CA124" i="30"/>
  <c r="O124" i="30" s="1"/>
  <c r="BZ124" i="30"/>
  <c r="BY124" i="30"/>
  <c r="BX124" i="30"/>
  <c r="BW124" i="30"/>
  <c r="BT124" i="30"/>
  <c r="N124" i="30" s="1"/>
  <c r="BS124" i="30"/>
  <c r="BR124" i="30"/>
  <c r="BQ124" i="30"/>
  <c r="BP124" i="30"/>
  <c r="AY124" i="30"/>
  <c r="AX124" i="30"/>
  <c r="AW124" i="30"/>
  <c r="M124" i="30"/>
  <c r="L124" i="30"/>
  <c r="K124" i="30"/>
  <c r="J124" i="30"/>
  <c r="I124" i="30"/>
  <c r="H124" i="30"/>
  <c r="G124" i="30"/>
  <c r="F124" i="30"/>
  <c r="E124" i="30"/>
  <c r="D124" i="30"/>
  <c r="C124" i="30"/>
  <c r="KX123" i="30"/>
  <c r="AV123" i="30" s="1"/>
  <c r="KW123" i="30"/>
  <c r="KV123" i="30"/>
  <c r="KU123" i="30"/>
  <c r="KT123" i="30"/>
  <c r="KQ123" i="30"/>
  <c r="AU123" i="30" s="1"/>
  <c r="KP123" i="30"/>
  <c r="KO123" i="30"/>
  <c r="KN123" i="30"/>
  <c r="KM123" i="30"/>
  <c r="KJ123" i="30"/>
  <c r="AT123" i="30" s="1"/>
  <c r="KI123" i="30"/>
  <c r="KH123" i="30"/>
  <c r="KG123" i="30"/>
  <c r="KF123" i="30"/>
  <c r="KC123" i="30"/>
  <c r="AS123" i="30" s="1"/>
  <c r="KB123" i="30"/>
  <c r="KA123" i="30"/>
  <c r="JZ123" i="30"/>
  <c r="JY123" i="30"/>
  <c r="JV123" i="30"/>
  <c r="AR123" i="30" s="1"/>
  <c r="JU123" i="30"/>
  <c r="JT123" i="30"/>
  <c r="JS123" i="30"/>
  <c r="JR123" i="30"/>
  <c r="JO123" i="30"/>
  <c r="AQ123" i="30" s="1"/>
  <c r="JN123" i="30"/>
  <c r="JM123" i="30"/>
  <c r="JL123" i="30"/>
  <c r="JK123" i="30"/>
  <c r="JH123" i="30"/>
  <c r="AP123" i="30" s="1"/>
  <c r="JG123" i="30"/>
  <c r="JF123" i="30"/>
  <c r="JE123" i="30"/>
  <c r="JD123" i="30"/>
  <c r="JA123" i="30"/>
  <c r="AO123" i="30" s="1"/>
  <c r="IZ123" i="30"/>
  <c r="IY123" i="30"/>
  <c r="IX123" i="30"/>
  <c r="IW123" i="30"/>
  <c r="IT123" i="30"/>
  <c r="AN123" i="30" s="1"/>
  <c r="IS123" i="30"/>
  <c r="IR123" i="30"/>
  <c r="IQ123" i="30"/>
  <c r="IP123" i="30"/>
  <c r="IM123" i="30"/>
  <c r="AM123" i="30" s="1"/>
  <c r="IL123" i="30"/>
  <c r="IK123" i="30"/>
  <c r="IJ123" i="30"/>
  <c r="II123" i="30"/>
  <c r="IF123" i="30"/>
  <c r="AL123" i="30" s="1"/>
  <c r="IE123" i="30"/>
  <c r="ID123" i="30"/>
  <c r="IC123" i="30"/>
  <c r="IB123" i="30"/>
  <c r="HY123" i="30"/>
  <c r="AK123" i="30" s="1"/>
  <c r="HX123" i="30"/>
  <c r="HW123" i="30"/>
  <c r="HV123" i="30"/>
  <c r="HU123" i="30"/>
  <c r="HR123" i="30"/>
  <c r="AJ123" i="30" s="1"/>
  <c r="HQ123" i="30"/>
  <c r="HP123" i="30"/>
  <c r="HO123" i="30"/>
  <c r="HN123" i="30"/>
  <c r="HK123" i="30"/>
  <c r="AI123" i="30" s="1"/>
  <c r="HJ123" i="30"/>
  <c r="HI123" i="30"/>
  <c r="HH123" i="30"/>
  <c r="HG123" i="30"/>
  <c r="HD123" i="30"/>
  <c r="AH123" i="30" s="1"/>
  <c r="HC123" i="30"/>
  <c r="HB123" i="30"/>
  <c r="HA123" i="30"/>
  <c r="GZ123" i="30"/>
  <c r="GW123" i="30"/>
  <c r="AG123" i="30" s="1"/>
  <c r="GV123" i="30"/>
  <c r="GU123" i="30"/>
  <c r="GT123" i="30"/>
  <c r="GS123" i="30"/>
  <c r="GP123" i="30"/>
  <c r="AF123" i="30" s="1"/>
  <c r="GO123" i="30"/>
  <c r="GN123" i="30"/>
  <c r="GM123" i="30"/>
  <c r="GL123" i="30"/>
  <c r="GI123" i="30"/>
  <c r="AE123" i="30" s="1"/>
  <c r="GH123" i="30"/>
  <c r="GG123" i="30"/>
  <c r="GF123" i="30"/>
  <c r="GE123" i="30"/>
  <c r="GB123" i="30"/>
  <c r="AD123" i="30" s="1"/>
  <c r="GA123" i="30"/>
  <c r="FZ123" i="30"/>
  <c r="FY123" i="30"/>
  <c r="FX123" i="30"/>
  <c r="FU123" i="30"/>
  <c r="AC123" i="30" s="1"/>
  <c r="FT123" i="30"/>
  <c r="FS123" i="30"/>
  <c r="FR123" i="30"/>
  <c r="FQ123" i="30"/>
  <c r="FN123" i="30"/>
  <c r="AB123" i="30" s="1"/>
  <c r="FM123" i="30"/>
  <c r="FL123" i="30"/>
  <c r="FK123" i="30"/>
  <c r="FJ123" i="30"/>
  <c r="FG123" i="30"/>
  <c r="AA123" i="30" s="1"/>
  <c r="FF123" i="30"/>
  <c r="FE123" i="30"/>
  <c r="FD123" i="30"/>
  <c r="FC123" i="30"/>
  <c r="EZ123" i="30"/>
  <c r="Z123" i="30" s="1"/>
  <c r="EY123" i="30"/>
  <c r="EX123" i="30"/>
  <c r="EW123" i="30"/>
  <c r="EV123" i="30"/>
  <c r="ES123" i="30"/>
  <c r="Y123" i="30" s="1"/>
  <c r="ER123" i="30"/>
  <c r="EQ123" i="30"/>
  <c r="EP123" i="30"/>
  <c r="EO123" i="30"/>
  <c r="EL123" i="30"/>
  <c r="X123" i="30" s="1"/>
  <c r="EK123" i="30"/>
  <c r="EJ123" i="30"/>
  <c r="EI123" i="30"/>
  <c r="EH123" i="30"/>
  <c r="EE123" i="30"/>
  <c r="W123" i="30" s="1"/>
  <c r="ED123" i="30"/>
  <c r="EC123" i="30"/>
  <c r="EB123" i="30"/>
  <c r="EA123" i="30"/>
  <c r="DX123" i="30"/>
  <c r="V123" i="30" s="1"/>
  <c r="DW123" i="30"/>
  <c r="DV123" i="30"/>
  <c r="DU123" i="30"/>
  <c r="DT123" i="30"/>
  <c r="DQ123" i="30"/>
  <c r="U123" i="30" s="1"/>
  <c r="DP123" i="30"/>
  <c r="DO123" i="30"/>
  <c r="DN123" i="30"/>
  <c r="DM123" i="30"/>
  <c r="DJ123" i="30"/>
  <c r="T123" i="30" s="1"/>
  <c r="DI123" i="30"/>
  <c r="DH123" i="30"/>
  <c r="DG123" i="30"/>
  <c r="DF123" i="30"/>
  <c r="DC123" i="30"/>
  <c r="S123" i="30" s="1"/>
  <c r="DB123" i="30"/>
  <c r="DA123" i="30"/>
  <c r="CZ123" i="30"/>
  <c r="CY123" i="30"/>
  <c r="CV123" i="30"/>
  <c r="R123" i="30" s="1"/>
  <c r="CU123" i="30"/>
  <c r="CT123" i="30"/>
  <c r="CS123" i="30"/>
  <c r="CR123" i="30"/>
  <c r="CO123" i="30"/>
  <c r="Q123" i="30" s="1"/>
  <c r="CN123" i="30"/>
  <c r="CM123" i="30"/>
  <c r="CL123" i="30"/>
  <c r="CK123" i="30"/>
  <c r="CH123" i="30"/>
  <c r="P123" i="30" s="1"/>
  <c r="CG123" i="30"/>
  <c r="CF123" i="30"/>
  <c r="CE123" i="30"/>
  <c r="CD123" i="30"/>
  <c r="CA123" i="30"/>
  <c r="O123" i="30" s="1"/>
  <c r="BZ123" i="30"/>
  <c r="BY123" i="30"/>
  <c r="BX123" i="30"/>
  <c r="BW123" i="30"/>
  <c r="BT123" i="30"/>
  <c r="N123" i="30" s="1"/>
  <c r="BS123" i="30"/>
  <c r="BR123" i="30"/>
  <c r="BQ123" i="30"/>
  <c r="BP123" i="30"/>
  <c r="AY123" i="30"/>
  <c r="AX123" i="30"/>
  <c r="AW123" i="30"/>
  <c r="M123" i="30"/>
  <c r="L123" i="30"/>
  <c r="K123" i="30"/>
  <c r="J123" i="30"/>
  <c r="I123" i="30"/>
  <c r="H123" i="30"/>
  <c r="G123" i="30"/>
  <c r="F123" i="30"/>
  <c r="E123" i="30"/>
  <c r="D123" i="30"/>
  <c r="C123" i="30"/>
  <c r="KX122" i="30"/>
  <c r="AV122" i="30" s="1"/>
  <c r="KW122" i="30"/>
  <c r="KV122" i="30"/>
  <c r="KU122" i="30"/>
  <c r="KT122" i="30"/>
  <c r="KQ122" i="30"/>
  <c r="AU122" i="30" s="1"/>
  <c r="KP122" i="30"/>
  <c r="KO122" i="30"/>
  <c r="KN122" i="30"/>
  <c r="KM122" i="30"/>
  <c r="KJ122" i="30"/>
  <c r="AT122" i="30" s="1"/>
  <c r="KI122" i="30"/>
  <c r="KH122" i="30"/>
  <c r="KG122" i="30"/>
  <c r="KF122" i="30"/>
  <c r="KC122" i="30"/>
  <c r="AS122" i="30" s="1"/>
  <c r="KB122" i="30"/>
  <c r="KA122" i="30"/>
  <c r="JZ122" i="30"/>
  <c r="JY122" i="30"/>
  <c r="JV122" i="30"/>
  <c r="AR122" i="30" s="1"/>
  <c r="JU122" i="30"/>
  <c r="JT122" i="30"/>
  <c r="JS122" i="30"/>
  <c r="JR122" i="30"/>
  <c r="JO122" i="30"/>
  <c r="AQ122" i="30" s="1"/>
  <c r="JN122" i="30"/>
  <c r="JM122" i="30"/>
  <c r="JL122" i="30"/>
  <c r="JK122" i="30"/>
  <c r="JH122" i="30"/>
  <c r="AP122" i="30" s="1"/>
  <c r="JG122" i="30"/>
  <c r="JF122" i="30"/>
  <c r="JE122" i="30"/>
  <c r="JD122" i="30"/>
  <c r="JA122" i="30"/>
  <c r="AO122" i="30" s="1"/>
  <c r="IZ122" i="30"/>
  <c r="IY122" i="30"/>
  <c r="IX122" i="30"/>
  <c r="IW122" i="30"/>
  <c r="IT122" i="30"/>
  <c r="AN122" i="30" s="1"/>
  <c r="IS122" i="30"/>
  <c r="IR122" i="30"/>
  <c r="IQ122" i="30"/>
  <c r="IP122" i="30"/>
  <c r="IM122" i="30"/>
  <c r="AM122" i="30" s="1"/>
  <c r="IL122" i="30"/>
  <c r="IK122" i="30"/>
  <c r="IJ122" i="30"/>
  <c r="II122" i="30"/>
  <c r="IF122" i="30"/>
  <c r="AL122" i="30" s="1"/>
  <c r="IE122" i="30"/>
  <c r="ID122" i="30"/>
  <c r="IC122" i="30"/>
  <c r="IB122" i="30"/>
  <c r="HY122" i="30"/>
  <c r="AK122" i="30" s="1"/>
  <c r="HX122" i="30"/>
  <c r="HW122" i="30"/>
  <c r="HV122" i="30"/>
  <c r="HU122" i="30"/>
  <c r="HR122" i="30"/>
  <c r="AJ122" i="30" s="1"/>
  <c r="HQ122" i="30"/>
  <c r="HP122" i="30"/>
  <c r="HO122" i="30"/>
  <c r="HN122" i="30"/>
  <c r="HK122" i="30"/>
  <c r="AI122" i="30" s="1"/>
  <c r="HJ122" i="30"/>
  <c r="HI122" i="30"/>
  <c r="HH122" i="30"/>
  <c r="HG122" i="30"/>
  <c r="HD122" i="30"/>
  <c r="AH122" i="30" s="1"/>
  <c r="HC122" i="30"/>
  <c r="HB122" i="30"/>
  <c r="HA122" i="30"/>
  <c r="GZ122" i="30"/>
  <c r="GW122" i="30"/>
  <c r="AG122" i="30" s="1"/>
  <c r="GV122" i="30"/>
  <c r="GU122" i="30"/>
  <c r="GT122" i="30"/>
  <c r="GS122" i="30"/>
  <c r="GP122" i="30"/>
  <c r="AF122" i="30" s="1"/>
  <c r="GO122" i="30"/>
  <c r="GN122" i="30"/>
  <c r="GM122" i="30"/>
  <c r="GL122" i="30"/>
  <c r="GI122" i="30"/>
  <c r="AE122" i="30" s="1"/>
  <c r="GH122" i="30"/>
  <c r="GG122" i="30"/>
  <c r="GF122" i="30"/>
  <c r="GE122" i="30"/>
  <c r="GB122" i="30"/>
  <c r="AD122" i="30" s="1"/>
  <c r="GA122" i="30"/>
  <c r="FZ122" i="30"/>
  <c r="FY122" i="30"/>
  <c r="FX122" i="30"/>
  <c r="FU122" i="30"/>
  <c r="AC122" i="30" s="1"/>
  <c r="FT122" i="30"/>
  <c r="FS122" i="30"/>
  <c r="FR122" i="30"/>
  <c r="FQ122" i="30"/>
  <c r="FN122" i="30"/>
  <c r="AB122" i="30" s="1"/>
  <c r="FM122" i="30"/>
  <c r="FL122" i="30"/>
  <c r="FK122" i="30"/>
  <c r="FJ122" i="30"/>
  <c r="FG122" i="30"/>
  <c r="AA122" i="30" s="1"/>
  <c r="FF122" i="30"/>
  <c r="FE122" i="30"/>
  <c r="FD122" i="30"/>
  <c r="FC122" i="30"/>
  <c r="EZ122" i="30"/>
  <c r="Z122" i="30" s="1"/>
  <c r="EY122" i="30"/>
  <c r="EX122" i="30"/>
  <c r="EW122" i="30"/>
  <c r="EV122" i="30"/>
  <c r="ES122" i="30"/>
  <c r="Y122" i="30" s="1"/>
  <c r="ER122" i="30"/>
  <c r="EQ122" i="30"/>
  <c r="EP122" i="30"/>
  <c r="EO122" i="30"/>
  <c r="EK122" i="30"/>
  <c r="EJ122" i="30"/>
  <c r="EI122" i="30"/>
  <c r="EH122" i="30"/>
  <c r="ED122" i="30"/>
  <c r="EC122" i="30"/>
  <c r="EB122" i="30"/>
  <c r="EA122" i="30"/>
  <c r="DW122" i="30"/>
  <c r="DV122" i="30"/>
  <c r="DU122" i="30"/>
  <c r="DT122" i="30"/>
  <c r="DP122" i="30"/>
  <c r="DO122" i="30"/>
  <c r="DN122" i="30"/>
  <c r="DM122" i="30"/>
  <c r="DI122" i="30"/>
  <c r="DH122" i="30"/>
  <c r="DG122" i="30"/>
  <c r="DF122" i="30"/>
  <c r="DB122" i="30"/>
  <c r="DA122" i="30"/>
  <c r="CZ122" i="30"/>
  <c r="CY122" i="30"/>
  <c r="CU122" i="30"/>
  <c r="CT122" i="30"/>
  <c r="CS122" i="30"/>
  <c r="CR122" i="30"/>
  <c r="CN122" i="30"/>
  <c r="CM122" i="30"/>
  <c r="CL122" i="30"/>
  <c r="CK122" i="30"/>
  <c r="CG122" i="30"/>
  <c r="CF122" i="30"/>
  <c r="CE122" i="30"/>
  <c r="CD122" i="30"/>
  <c r="BZ122" i="30"/>
  <c r="BY122" i="30"/>
  <c r="BX122" i="30"/>
  <c r="BW122" i="30"/>
  <c r="AY122" i="30"/>
  <c r="AX122" i="30"/>
  <c r="AW122" i="30"/>
  <c r="M122" i="30"/>
  <c r="L122" i="30"/>
  <c r="K122" i="30"/>
  <c r="J122" i="30"/>
  <c r="D122" i="30"/>
  <c r="C122" i="30"/>
  <c r="KW121" i="30"/>
  <c r="LD147" i="30" s="1"/>
  <c r="KV121" i="30"/>
  <c r="LC147" i="30" s="1"/>
  <c r="KU121" i="30"/>
  <c r="LB147" i="30" s="1"/>
  <c r="KT121" i="30"/>
  <c r="LA147" i="30" s="1"/>
  <c r="KP121" i="30"/>
  <c r="KO121" i="30"/>
  <c r="KN121" i="30"/>
  <c r="KM121" i="30"/>
  <c r="KI121" i="30"/>
  <c r="KH121" i="30"/>
  <c r="KG121" i="30"/>
  <c r="KF121" i="30"/>
  <c r="KB121" i="30"/>
  <c r="KA121" i="30"/>
  <c r="JZ121" i="30"/>
  <c r="JY121" i="30"/>
  <c r="JU121" i="30"/>
  <c r="JT121" i="30"/>
  <c r="JS121" i="30"/>
  <c r="JR121" i="30"/>
  <c r="JN121" i="30"/>
  <c r="JM121" i="30"/>
  <c r="JL121" i="30"/>
  <c r="JK121" i="30"/>
  <c r="JG121" i="30"/>
  <c r="JF121" i="30"/>
  <c r="JE121" i="30"/>
  <c r="JD121" i="30"/>
  <c r="IZ121" i="30"/>
  <c r="IY121" i="30"/>
  <c r="IX121" i="30"/>
  <c r="IW121" i="30"/>
  <c r="IS121" i="30"/>
  <c r="IR121" i="30"/>
  <c r="IQ121" i="30"/>
  <c r="IP121" i="30"/>
  <c r="IL121" i="30"/>
  <c r="IK121" i="30"/>
  <c r="IJ121" i="30"/>
  <c r="II121" i="30"/>
  <c r="IE121" i="30"/>
  <c r="ID121" i="30"/>
  <c r="IC121" i="30"/>
  <c r="IB121" i="30"/>
  <c r="HX121" i="30"/>
  <c r="HW121" i="30"/>
  <c r="HV121" i="30"/>
  <c r="HU121" i="30"/>
  <c r="HQ121" i="30"/>
  <c r="HP121" i="30"/>
  <c r="HO121" i="30"/>
  <c r="HN121" i="30"/>
  <c r="HJ121" i="30"/>
  <c r="HI121" i="30"/>
  <c r="HH121" i="30"/>
  <c r="HG121" i="30"/>
  <c r="HC121" i="30"/>
  <c r="HB121" i="30"/>
  <c r="HA121" i="30"/>
  <c r="GZ121" i="30"/>
  <c r="GV121" i="30"/>
  <c r="GU121" i="30"/>
  <c r="GT121" i="30"/>
  <c r="GS121" i="30"/>
  <c r="GO121" i="30"/>
  <c r="GN121" i="30"/>
  <c r="GM121" i="30"/>
  <c r="GL121" i="30"/>
  <c r="GH121" i="30"/>
  <c r="GG121" i="30"/>
  <c r="GF121" i="30"/>
  <c r="GE121" i="30"/>
  <c r="GA121" i="30"/>
  <c r="FZ121" i="30"/>
  <c r="FY121" i="30"/>
  <c r="FX121" i="30"/>
  <c r="FT121" i="30"/>
  <c r="FS121" i="30"/>
  <c r="FR121" i="30"/>
  <c r="FQ121" i="30"/>
  <c r="FM121" i="30"/>
  <c r="FL121" i="30"/>
  <c r="FK121" i="30"/>
  <c r="FJ121" i="30"/>
  <c r="FF121" i="30"/>
  <c r="FE121" i="30"/>
  <c r="FD121" i="30"/>
  <c r="FC121" i="30"/>
  <c r="EY121" i="30"/>
  <c r="EX121" i="30"/>
  <c r="EW121" i="30"/>
  <c r="EV121" i="30"/>
  <c r="ER121" i="30"/>
  <c r="EQ121" i="30"/>
  <c r="EP121" i="30"/>
  <c r="EO121" i="30"/>
  <c r="EK121" i="30"/>
  <c r="EJ121" i="30"/>
  <c r="EI121" i="30"/>
  <c r="EH121" i="30"/>
  <c r="ED121" i="30"/>
  <c r="EC121" i="30"/>
  <c r="EB121" i="30"/>
  <c r="EA121" i="30"/>
  <c r="DW121" i="30"/>
  <c r="DV121" i="30"/>
  <c r="DU121" i="30"/>
  <c r="DT121" i="30"/>
  <c r="DP121" i="30"/>
  <c r="DO121" i="30"/>
  <c r="DN121" i="30"/>
  <c r="DM121" i="30"/>
  <c r="DI121" i="30"/>
  <c r="DH121" i="30"/>
  <c r="DG121" i="30"/>
  <c r="DF121" i="30"/>
  <c r="DB121" i="30"/>
  <c r="DA121" i="30"/>
  <c r="CZ121" i="30"/>
  <c r="CY121" i="30"/>
  <c r="CU121" i="30"/>
  <c r="CT121" i="30"/>
  <c r="CS121" i="30"/>
  <c r="CR121" i="30"/>
  <c r="CN121" i="30"/>
  <c r="CM121" i="30"/>
  <c r="CL121" i="30"/>
  <c r="CK121" i="30"/>
  <c r="CG121" i="30"/>
  <c r="CF121" i="30"/>
  <c r="CE121" i="30"/>
  <c r="CD121" i="30"/>
  <c r="BZ121" i="30"/>
  <c r="BY121" i="30"/>
  <c r="BX121" i="30"/>
  <c r="BW121" i="30"/>
  <c r="M121" i="30"/>
  <c r="L121" i="30"/>
  <c r="K121" i="30"/>
  <c r="J121" i="30"/>
  <c r="I121" i="30"/>
  <c r="H121" i="30"/>
  <c r="D121" i="30"/>
  <c r="C121" i="30"/>
  <c r="KW120" i="30"/>
  <c r="LD146" i="30" s="1"/>
  <c r="KV120" i="30"/>
  <c r="LC146" i="30" s="1"/>
  <c r="KU120" i="30"/>
  <c r="LB146" i="30" s="1"/>
  <c r="KT120" i="30"/>
  <c r="LA146" i="30" s="1"/>
  <c r="KP120" i="30"/>
  <c r="KO120" i="30"/>
  <c r="KN120" i="30"/>
  <c r="KM120" i="30"/>
  <c r="KI120" i="30"/>
  <c r="KH120" i="30"/>
  <c r="KG120" i="30"/>
  <c r="KF120" i="30"/>
  <c r="KB120" i="30"/>
  <c r="KA120" i="30"/>
  <c r="JZ120" i="30"/>
  <c r="JY120" i="30"/>
  <c r="JU120" i="30"/>
  <c r="JT120" i="30"/>
  <c r="JS120" i="30"/>
  <c r="JR120" i="30"/>
  <c r="JN120" i="30"/>
  <c r="JM120" i="30"/>
  <c r="JL120" i="30"/>
  <c r="JK120" i="30"/>
  <c r="JG120" i="30"/>
  <c r="JF120" i="30"/>
  <c r="JE120" i="30"/>
  <c r="JD120" i="30"/>
  <c r="IZ120" i="30"/>
  <c r="IY120" i="30"/>
  <c r="IX120" i="30"/>
  <c r="IW120" i="30"/>
  <c r="IS120" i="30"/>
  <c r="IR120" i="30"/>
  <c r="IQ120" i="30"/>
  <c r="IP120" i="30"/>
  <c r="IL120" i="30"/>
  <c r="IK120" i="30"/>
  <c r="IJ120" i="30"/>
  <c r="II120" i="30"/>
  <c r="IE120" i="30"/>
  <c r="ID120" i="30"/>
  <c r="IC120" i="30"/>
  <c r="IB120" i="30"/>
  <c r="HX120" i="30"/>
  <c r="HW120" i="30"/>
  <c r="HV120" i="30"/>
  <c r="HU120" i="30"/>
  <c r="HQ120" i="30"/>
  <c r="HP120" i="30"/>
  <c r="HO120" i="30"/>
  <c r="HN120" i="30"/>
  <c r="HJ120" i="30"/>
  <c r="HI120" i="30"/>
  <c r="HH120" i="30"/>
  <c r="HG120" i="30"/>
  <c r="HC120" i="30"/>
  <c r="HB120" i="30"/>
  <c r="HA120" i="30"/>
  <c r="GZ120" i="30"/>
  <c r="GV120" i="30"/>
  <c r="GU120" i="30"/>
  <c r="GT120" i="30"/>
  <c r="GS120" i="30"/>
  <c r="GO120" i="30"/>
  <c r="GN120" i="30"/>
  <c r="GM120" i="30"/>
  <c r="GL120" i="30"/>
  <c r="GH120" i="30"/>
  <c r="GG120" i="30"/>
  <c r="GF120" i="30"/>
  <c r="GE120" i="30"/>
  <c r="GA120" i="30"/>
  <c r="FZ120" i="30"/>
  <c r="FY120" i="30"/>
  <c r="FX120" i="30"/>
  <c r="FT120" i="30"/>
  <c r="FS120" i="30"/>
  <c r="FR120" i="30"/>
  <c r="FQ120" i="30"/>
  <c r="FM120" i="30"/>
  <c r="FL120" i="30"/>
  <c r="FK120" i="30"/>
  <c r="FJ120" i="30"/>
  <c r="FF120" i="30"/>
  <c r="FE120" i="30"/>
  <c r="FD120" i="30"/>
  <c r="FC120" i="30"/>
  <c r="EY120" i="30"/>
  <c r="EX120" i="30"/>
  <c r="EW120" i="30"/>
  <c r="EV120" i="30"/>
  <c r="ER120" i="30"/>
  <c r="EQ120" i="30"/>
  <c r="EP120" i="30"/>
  <c r="EO120" i="30"/>
  <c r="EK120" i="30"/>
  <c r="EJ120" i="30"/>
  <c r="EI120" i="30"/>
  <c r="EH120" i="30"/>
  <c r="ED120" i="30"/>
  <c r="EC120" i="30"/>
  <c r="EB120" i="30"/>
  <c r="EA120" i="30"/>
  <c r="DW120" i="30"/>
  <c r="DV120" i="30"/>
  <c r="DU120" i="30"/>
  <c r="DT120" i="30"/>
  <c r="DP120" i="30"/>
  <c r="DO120" i="30"/>
  <c r="DN120" i="30"/>
  <c r="DM120" i="30"/>
  <c r="DI120" i="30"/>
  <c r="DH120" i="30"/>
  <c r="DG120" i="30"/>
  <c r="DF120" i="30"/>
  <c r="DB120" i="30"/>
  <c r="DA120" i="30"/>
  <c r="CZ120" i="30"/>
  <c r="CY120" i="30"/>
  <c r="CU120" i="30"/>
  <c r="CT120" i="30"/>
  <c r="CS120" i="30"/>
  <c r="CR120" i="30"/>
  <c r="CN120" i="30"/>
  <c r="CM120" i="30"/>
  <c r="CL120" i="30"/>
  <c r="CK120" i="30"/>
  <c r="CG120" i="30"/>
  <c r="CF120" i="30"/>
  <c r="CE120" i="30"/>
  <c r="CD120" i="30"/>
  <c r="BZ120" i="30"/>
  <c r="BY120" i="30"/>
  <c r="BX120" i="30"/>
  <c r="BW120" i="30"/>
  <c r="M120" i="30"/>
  <c r="L120" i="30"/>
  <c r="K120" i="30"/>
  <c r="J120" i="30"/>
  <c r="H120" i="30"/>
  <c r="D120" i="30"/>
  <c r="C120" i="30"/>
  <c r="KW119" i="30"/>
  <c r="LD145" i="30" s="1"/>
  <c r="KV119" i="30"/>
  <c r="LC145" i="30" s="1"/>
  <c r="KU119" i="30"/>
  <c r="LB145" i="30" s="1"/>
  <c r="KT119" i="30"/>
  <c r="LA145" i="30" s="1"/>
  <c r="KP119" i="30"/>
  <c r="KO119" i="30"/>
  <c r="KN119" i="30"/>
  <c r="KM119" i="30"/>
  <c r="KI119" i="30"/>
  <c r="KH119" i="30"/>
  <c r="KG119" i="30"/>
  <c r="KF119" i="30"/>
  <c r="KB119" i="30"/>
  <c r="KA119" i="30"/>
  <c r="JZ119" i="30"/>
  <c r="JY119" i="30"/>
  <c r="JU119" i="30"/>
  <c r="JT119" i="30"/>
  <c r="JS119" i="30"/>
  <c r="JR119" i="30"/>
  <c r="JN119" i="30"/>
  <c r="JM119" i="30"/>
  <c r="JL119" i="30"/>
  <c r="JK119" i="30"/>
  <c r="JG119" i="30"/>
  <c r="JF119" i="30"/>
  <c r="JE119" i="30"/>
  <c r="JD119" i="30"/>
  <c r="IZ119" i="30"/>
  <c r="IY119" i="30"/>
  <c r="IX119" i="30"/>
  <c r="IW119" i="30"/>
  <c r="IS119" i="30"/>
  <c r="IR119" i="30"/>
  <c r="IQ119" i="30"/>
  <c r="IP119" i="30"/>
  <c r="IL119" i="30"/>
  <c r="IK119" i="30"/>
  <c r="IJ119" i="30"/>
  <c r="II119" i="30"/>
  <c r="IE119" i="30"/>
  <c r="ID119" i="30"/>
  <c r="IC119" i="30"/>
  <c r="IB119" i="30"/>
  <c r="HX119" i="30"/>
  <c r="HW119" i="30"/>
  <c r="HV119" i="30"/>
  <c r="HU119" i="30"/>
  <c r="HQ119" i="30"/>
  <c r="HP119" i="30"/>
  <c r="HO119" i="30"/>
  <c r="HN119" i="30"/>
  <c r="HJ119" i="30"/>
  <c r="HI119" i="30"/>
  <c r="HH119" i="30"/>
  <c r="HG119" i="30"/>
  <c r="HC119" i="30"/>
  <c r="HB119" i="30"/>
  <c r="HA119" i="30"/>
  <c r="GZ119" i="30"/>
  <c r="GV119" i="30"/>
  <c r="GU119" i="30"/>
  <c r="GT119" i="30"/>
  <c r="GS119" i="30"/>
  <c r="GO119" i="30"/>
  <c r="GN119" i="30"/>
  <c r="GM119" i="30"/>
  <c r="GL119" i="30"/>
  <c r="GH119" i="30"/>
  <c r="GG119" i="30"/>
  <c r="GF119" i="30"/>
  <c r="GE119" i="30"/>
  <c r="GA119" i="30"/>
  <c r="FZ119" i="30"/>
  <c r="FY119" i="30"/>
  <c r="FX119" i="30"/>
  <c r="FT119" i="30"/>
  <c r="FS119" i="30"/>
  <c r="FR119" i="30"/>
  <c r="FQ119" i="30"/>
  <c r="FM119" i="30"/>
  <c r="FL119" i="30"/>
  <c r="FK119" i="30"/>
  <c r="FJ119" i="30"/>
  <c r="FF119" i="30"/>
  <c r="FE119" i="30"/>
  <c r="FD119" i="30"/>
  <c r="FC119" i="30"/>
  <c r="EY119" i="30"/>
  <c r="EX119" i="30"/>
  <c r="EW119" i="30"/>
  <c r="EV119" i="30"/>
  <c r="ER119" i="30"/>
  <c r="EQ119" i="30"/>
  <c r="EP119" i="30"/>
  <c r="EO119" i="30"/>
  <c r="EK119" i="30"/>
  <c r="EJ119" i="30"/>
  <c r="EI119" i="30"/>
  <c r="EH119" i="30"/>
  <c r="ED119" i="30"/>
  <c r="EC119" i="30"/>
  <c r="EB119" i="30"/>
  <c r="EA119" i="30"/>
  <c r="DW119" i="30"/>
  <c r="DV119" i="30"/>
  <c r="DU119" i="30"/>
  <c r="DT119" i="30"/>
  <c r="DP119" i="30"/>
  <c r="DO119" i="30"/>
  <c r="DN119" i="30"/>
  <c r="DM119" i="30"/>
  <c r="DI119" i="30"/>
  <c r="DH119" i="30"/>
  <c r="DG119" i="30"/>
  <c r="DF119" i="30"/>
  <c r="DB119" i="30"/>
  <c r="DA119" i="30"/>
  <c r="CZ119" i="30"/>
  <c r="CY119" i="30"/>
  <c r="CU119" i="30"/>
  <c r="CT119" i="30"/>
  <c r="CS119" i="30"/>
  <c r="CR119" i="30"/>
  <c r="CN119" i="30"/>
  <c r="CM119" i="30"/>
  <c r="CL119" i="30"/>
  <c r="CK119" i="30"/>
  <c r="CG119" i="30"/>
  <c r="CF119" i="30"/>
  <c r="CE119" i="30"/>
  <c r="CD119" i="30"/>
  <c r="BZ119" i="30"/>
  <c r="BY119" i="30"/>
  <c r="BX119" i="30"/>
  <c r="BW119" i="30"/>
  <c r="M119" i="30"/>
  <c r="L119" i="30"/>
  <c r="K119" i="30"/>
  <c r="J119" i="30"/>
  <c r="I119" i="30"/>
  <c r="H119" i="30"/>
  <c r="D119" i="30"/>
  <c r="C119" i="30"/>
  <c r="KW118" i="30"/>
  <c r="LD144" i="30" s="1"/>
  <c r="KV118" i="30"/>
  <c r="LC144" i="30" s="1"/>
  <c r="KU118" i="30"/>
  <c r="LB144" i="30" s="1"/>
  <c r="KT118" i="30"/>
  <c r="LA144" i="30" s="1"/>
  <c r="KP118" i="30"/>
  <c r="KO118" i="30"/>
  <c r="KN118" i="30"/>
  <c r="KM118" i="30"/>
  <c r="KI118" i="30"/>
  <c r="KH118" i="30"/>
  <c r="KG118" i="30"/>
  <c r="KF118" i="30"/>
  <c r="KB118" i="30"/>
  <c r="KA118" i="30"/>
  <c r="JZ118" i="30"/>
  <c r="JY118" i="30"/>
  <c r="JU118" i="30"/>
  <c r="JT118" i="30"/>
  <c r="JS118" i="30"/>
  <c r="JR118" i="30"/>
  <c r="JN118" i="30"/>
  <c r="JM118" i="30"/>
  <c r="JL118" i="30"/>
  <c r="JK118" i="30"/>
  <c r="JG118" i="30"/>
  <c r="JF118" i="30"/>
  <c r="JE118" i="30"/>
  <c r="JD118" i="30"/>
  <c r="IZ118" i="30"/>
  <c r="IY118" i="30"/>
  <c r="IX118" i="30"/>
  <c r="IW118" i="30"/>
  <c r="IS118" i="30"/>
  <c r="IR118" i="30"/>
  <c r="IQ118" i="30"/>
  <c r="IP118" i="30"/>
  <c r="IL118" i="30"/>
  <c r="IK118" i="30"/>
  <c r="IJ118" i="30"/>
  <c r="II118" i="30"/>
  <c r="IE118" i="30"/>
  <c r="ID118" i="30"/>
  <c r="IC118" i="30"/>
  <c r="IB118" i="30"/>
  <c r="HX118" i="30"/>
  <c r="HW118" i="30"/>
  <c r="HV118" i="30"/>
  <c r="HU118" i="30"/>
  <c r="HQ118" i="30"/>
  <c r="HP118" i="30"/>
  <c r="HO118" i="30"/>
  <c r="HN118" i="30"/>
  <c r="HJ118" i="30"/>
  <c r="HI118" i="30"/>
  <c r="HH118" i="30"/>
  <c r="HG118" i="30"/>
  <c r="HC118" i="30"/>
  <c r="HB118" i="30"/>
  <c r="HA118" i="30"/>
  <c r="GZ118" i="30"/>
  <c r="GV118" i="30"/>
  <c r="GU118" i="30"/>
  <c r="GT118" i="30"/>
  <c r="GS118" i="30"/>
  <c r="GO118" i="30"/>
  <c r="GN118" i="30"/>
  <c r="GM118" i="30"/>
  <c r="GL118" i="30"/>
  <c r="GH118" i="30"/>
  <c r="GG118" i="30"/>
  <c r="GF118" i="30"/>
  <c r="GE118" i="30"/>
  <c r="GA118" i="30"/>
  <c r="FZ118" i="30"/>
  <c r="FY118" i="30"/>
  <c r="FX118" i="30"/>
  <c r="FU118" i="30"/>
  <c r="FT118" i="30"/>
  <c r="FS118" i="30"/>
  <c r="FR118" i="30"/>
  <c r="FQ118" i="30"/>
  <c r="FN118" i="30"/>
  <c r="AB118" i="30" s="1"/>
  <c r="FM118" i="30"/>
  <c r="FL118" i="30"/>
  <c r="FK118" i="30"/>
  <c r="FJ118" i="30"/>
  <c r="FG118" i="30"/>
  <c r="AA118" i="30" s="1"/>
  <c r="FF118" i="30"/>
  <c r="FE118" i="30"/>
  <c r="FD118" i="30"/>
  <c r="FC118" i="30"/>
  <c r="EZ118" i="30"/>
  <c r="Z118" i="30" s="1"/>
  <c r="EY118" i="30"/>
  <c r="EX118" i="30"/>
  <c r="EW118" i="30"/>
  <c r="EV118" i="30"/>
  <c r="ES118" i="30"/>
  <c r="Y118" i="30" s="1"/>
  <c r="ER118" i="30"/>
  <c r="EQ118" i="30"/>
  <c r="EP118" i="30"/>
  <c r="EO118" i="30"/>
  <c r="EK118" i="30"/>
  <c r="EJ118" i="30"/>
  <c r="EI118" i="30"/>
  <c r="EH118" i="30"/>
  <c r="ED118" i="30"/>
  <c r="EC118" i="30"/>
  <c r="EB118" i="30"/>
  <c r="EA118" i="30"/>
  <c r="DW118" i="30"/>
  <c r="DV118" i="30"/>
  <c r="DU118" i="30"/>
  <c r="DT118" i="30"/>
  <c r="DP118" i="30"/>
  <c r="DO118" i="30"/>
  <c r="DN118" i="30"/>
  <c r="DM118" i="30"/>
  <c r="DI118" i="30"/>
  <c r="DH118" i="30"/>
  <c r="DG118" i="30"/>
  <c r="DF118" i="30"/>
  <c r="DB118" i="30"/>
  <c r="DA118" i="30"/>
  <c r="CZ118" i="30"/>
  <c r="CY118" i="30"/>
  <c r="CU118" i="30"/>
  <c r="CT118" i="30"/>
  <c r="CS118" i="30"/>
  <c r="CR118" i="30"/>
  <c r="CN118" i="30"/>
  <c r="CM118" i="30"/>
  <c r="CL118" i="30"/>
  <c r="CK118" i="30"/>
  <c r="CG118" i="30"/>
  <c r="CF118" i="30"/>
  <c r="CE118" i="30"/>
  <c r="CD118" i="30"/>
  <c r="BZ118" i="30"/>
  <c r="BY118" i="30"/>
  <c r="BX118" i="30"/>
  <c r="BW118" i="30"/>
  <c r="M118" i="30"/>
  <c r="L118" i="30"/>
  <c r="K118" i="30"/>
  <c r="J118" i="30"/>
  <c r="I118" i="30"/>
  <c r="H118" i="30"/>
  <c r="G118" i="30"/>
  <c r="F118" i="30"/>
  <c r="E118" i="30"/>
  <c r="D118" i="30"/>
  <c r="C118" i="30"/>
  <c r="KW117" i="30"/>
  <c r="LD143" i="30" s="1"/>
  <c r="KV117" i="30"/>
  <c r="LC143" i="30" s="1"/>
  <c r="KU117" i="30"/>
  <c r="LB143" i="30" s="1"/>
  <c r="KT117" i="30"/>
  <c r="LA143" i="30" s="1"/>
  <c r="KP117" i="30"/>
  <c r="KO117" i="30"/>
  <c r="KN117" i="30"/>
  <c r="KM117" i="30"/>
  <c r="KI117" i="30"/>
  <c r="KH117" i="30"/>
  <c r="KG117" i="30"/>
  <c r="KF117" i="30"/>
  <c r="KB117" i="30"/>
  <c r="KA117" i="30"/>
  <c r="JZ117" i="30"/>
  <c r="JY117" i="30"/>
  <c r="JU117" i="30"/>
  <c r="JT117" i="30"/>
  <c r="JS117" i="30"/>
  <c r="JR117" i="30"/>
  <c r="JN117" i="30"/>
  <c r="JM117" i="30"/>
  <c r="JL117" i="30"/>
  <c r="JK117" i="30"/>
  <c r="JG117" i="30"/>
  <c r="JF117" i="30"/>
  <c r="JE117" i="30"/>
  <c r="JD117" i="30"/>
  <c r="IZ117" i="30"/>
  <c r="IY117" i="30"/>
  <c r="IX117" i="30"/>
  <c r="IW117" i="30"/>
  <c r="IS117" i="30"/>
  <c r="IR117" i="30"/>
  <c r="IQ117" i="30"/>
  <c r="IP117" i="30"/>
  <c r="IL117" i="30"/>
  <c r="IK117" i="30"/>
  <c r="IJ117" i="30"/>
  <c r="II117" i="30"/>
  <c r="IE117" i="30"/>
  <c r="ID117" i="30"/>
  <c r="IC117" i="30"/>
  <c r="IB117" i="30"/>
  <c r="HX117" i="30"/>
  <c r="HW117" i="30"/>
  <c r="HV117" i="30"/>
  <c r="HU117" i="30"/>
  <c r="HQ117" i="30"/>
  <c r="HP117" i="30"/>
  <c r="HO117" i="30"/>
  <c r="HN117" i="30"/>
  <c r="HJ117" i="30"/>
  <c r="HI117" i="30"/>
  <c r="HH117" i="30"/>
  <c r="HG117" i="30"/>
  <c r="HC117" i="30"/>
  <c r="HB117" i="30"/>
  <c r="HA117" i="30"/>
  <c r="GZ117" i="30"/>
  <c r="GV117" i="30"/>
  <c r="GU117" i="30"/>
  <c r="GT117" i="30"/>
  <c r="GS117" i="30"/>
  <c r="GO117" i="30"/>
  <c r="GN117" i="30"/>
  <c r="GM117" i="30"/>
  <c r="GL117" i="30"/>
  <c r="GH117" i="30"/>
  <c r="GG117" i="30"/>
  <c r="GF117" i="30"/>
  <c r="GE117" i="30"/>
  <c r="GA117" i="30"/>
  <c r="FZ117" i="30"/>
  <c r="FY117" i="30"/>
  <c r="FX117" i="30"/>
  <c r="FT117" i="30"/>
  <c r="FS117" i="30"/>
  <c r="FR117" i="30"/>
  <c r="FQ117" i="30"/>
  <c r="FM117" i="30"/>
  <c r="FL117" i="30"/>
  <c r="FK117" i="30"/>
  <c r="FJ117" i="30"/>
  <c r="FF117" i="30"/>
  <c r="FE117" i="30"/>
  <c r="FD117" i="30"/>
  <c r="FC117" i="30"/>
  <c r="EY117" i="30"/>
  <c r="EX117" i="30"/>
  <c r="EW117" i="30"/>
  <c r="EV117" i="30"/>
  <c r="ER117" i="30"/>
  <c r="EQ117" i="30"/>
  <c r="EP117" i="30"/>
  <c r="EO117" i="30"/>
  <c r="EK117" i="30"/>
  <c r="EJ117" i="30"/>
  <c r="EI117" i="30"/>
  <c r="EH117" i="30"/>
  <c r="ED117" i="30"/>
  <c r="EC117" i="30"/>
  <c r="EB117" i="30"/>
  <c r="EA117" i="30"/>
  <c r="DW117" i="30"/>
  <c r="DV117" i="30"/>
  <c r="DU117" i="30"/>
  <c r="DT117" i="30"/>
  <c r="DP117" i="30"/>
  <c r="DO117" i="30"/>
  <c r="DN117" i="30"/>
  <c r="DM117" i="30"/>
  <c r="DI117" i="30"/>
  <c r="DH117" i="30"/>
  <c r="DG117" i="30"/>
  <c r="DF117" i="30"/>
  <c r="DB117" i="30"/>
  <c r="DA117" i="30"/>
  <c r="CZ117" i="30"/>
  <c r="CY117" i="30"/>
  <c r="CU117" i="30"/>
  <c r="CT117" i="30"/>
  <c r="CS117" i="30"/>
  <c r="CR117" i="30"/>
  <c r="CN117" i="30"/>
  <c r="CM117" i="30"/>
  <c r="CL117" i="30"/>
  <c r="CK117" i="30"/>
  <c r="CG117" i="30"/>
  <c r="CF117" i="30"/>
  <c r="CE117" i="30"/>
  <c r="CD117" i="30"/>
  <c r="BZ117" i="30"/>
  <c r="BY117" i="30"/>
  <c r="BX117" i="30"/>
  <c r="BW117" i="30"/>
  <c r="M117" i="30"/>
  <c r="L117" i="30"/>
  <c r="K117" i="30"/>
  <c r="J117" i="30"/>
  <c r="I117" i="30"/>
  <c r="H117" i="30"/>
  <c r="G117" i="30"/>
  <c r="F117" i="30"/>
  <c r="E117" i="30"/>
  <c r="D117" i="30"/>
  <c r="C117" i="30"/>
  <c r="KW116" i="30"/>
  <c r="LD142" i="30" s="1"/>
  <c r="KV116" i="30"/>
  <c r="LC142" i="30" s="1"/>
  <c r="KU116" i="30"/>
  <c r="LB142" i="30" s="1"/>
  <c r="KT116" i="30"/>
  <c r="LA142" i="30" s="1"/>
  <c r="KP116" i="30"/>
  <c r="KO116" i="30"/>
  <c r="KN116" i="30"/>
  <c r="KM116" i="30"/>
  <c r="KI116" i="30"/>
  <c r="KH116" i="30"/>
  <c r="KG116" i="30"/>
  <c r="KF116" i="30"/>
  <c r="KB116" i="30"/>
  <c r="KA116" i="30"/>
  <c r="JZ116" i="30"/>
  <c r="JY116" i="30"/>
  <c r="JU116" i="30"/>
  <c r="JT116" i="30"/>
  <c r="JS116" i="30"/>
  <c r="JR116" i="30"/>
  <c r="JN116" i="30"/>
  <c r="JM116" i="30"/>
  <c r="JL116" i="30"/>
  <c r="JK116" i="30"/>
  <c r="JG116" i="30"/>
  <c r="JF116" i="30"/>
  <c r="JE116" i="30"/>
  <c r="JD116" i="30"/>
  <c r="IZ116" i="30"/>
  <c r="IY116" i="30"/>
  <c r="IX116" i="30"/>
  <c r="IW116" i="30"/>
  <c r="IS116" i="30"/>
  <c r="IR116" i="30"/>
  <c r="IQ116" i="30"/>
  <c r="IP116" i="30"/>
  <c r="IL116" i="30"/>
  <c r="IK116" i="30"/>
  <c r="IJ116" i="30"/>
  <c r="II116" i="30"/>
  <c r="IE116" i="30"/>
  <c r="ID116" i="30"/>
  <c r="IC116" i="30"/>
  <c r="IB116" i="30"/>
  <c r="HX116" i="30"/>
  <c r="HW116" i="30"/>
  <c r="HV116" i="30"/>
  <c r="HU116" i="30"/>
  <c r="HQ116" i="30"/>
  <c r="HP116" i="30"/>
  <c r="HO116" i="30"/>
  <c r="HN116" i="30"/>
  <c r="HJ116" i="30"/>
  <c r="HI116" i="30"/>
  <c r="HH116" i="30"/>
  <c r="HG116" i="30"/>
  <c r="HC116" i="30"/>
  <c r="HB116" i="30"/>
  <c r="HA116" i="30"/>
  <c r="GZ116" i="30"/>
  <c r="GV116" i="30"/>
  <c r="GU116" i="30"/>
  <c r="GT116" i="30"/>
  <c r="GS116" i="30"/>
  <c r="GO116" i="30"/>
  <c r="GN116" i="30"/>
  <c r="GM116" i="30"/>
  <c r="GL116" i="30"/>
  <c r="GH116" i="30"/>
  <c r="GG116" i="30"/>
  <c r="GF116" i="30"/>
  <c r="GE116" i="30"/>
  <c r="GA116" i="30"/>
  <c r="FZ116" i="30"/>
  <c r="FY116" i="30"/>
  <c r="FX116" i="30"/>
  <c r="FJ116" i="30"/>
  <c r="FF116" i="30"/>
  <c r="FE116" i="30"/>
  <c r="FD116" i="30"/>
  <c r="FC116" i="30"/>
  <c r="EY116" i="30"/>
  <c r="EX116" i="30"/>
  <c r="EW116" i="30"/>
  <c r="EV116" i="30"/>
  <c r="ER116" i="30"/>
  <c r="EQ116" i="30"/>
  <c r="EP116" i="30"/>
  <c r="EO116" i="30"/>
  <c r="EK116" i="30"/>
  <c r="EJ116" i="30"/>
  <c r="EI116" i="30"/>
  <c r="EH116" i="30"/>
  <c r="ED116" i="30"/>
  <c r="EC116" i="30"/>
  <c r="EB116" i="30"/>
  <c r="EA116" i="30"/>
  <c r="DW116" i="30"/>
  <c r="DV116" i="30"/>
  <c r="DU116" i="30"/>
  <c r="DT116" i="30"/>
  <c r="DP116" i="30"/>
  <c r="DO116" i="30"/>
  <c r="DN116" i="30"/>
  <c r="DM116" i="30"/>
  <c r="DI116" i="30"/>
  <c r="DH116" i="30"/>
  <c r="DG116" i="30"/>
  <c r="DF116" i="30"/>
  <c r="DB116" i="30"/>
  <c r="DA116" i="30"/>
  <c r="CZ116" i="30"/>
  <c r="CY116" i="30"/>
  <c r="CU116" i="30"/>
  <c r="CT116" i="30"/>
  <c r="CS116" i="30"/>
  <c r="CR116" i="30"/>
  <c r="CN116" i="30"/>
  <c r="CM116" i="30"/>
  <c r="CL116" i="30"/>
  <c r="CK116" i="30"/>
  <c r="CG116" i="30"/>
  <c r="CF116" i="30"/>
  <c r="CE116" i="30"/>
  <c r="CD116" i="30"/>
  <c r="BZ116" i="30"/>
  <c r="BY116" i="30"/>
  <c r="BX116" i="30"/>
  <c r="BW116" i="30"/>
  <c r="M116" i="30"/>
  <c r="L116" i="30"/>
  <c r="K116" i="30"/>
  <c r="J116" i="30"/>
  <c r="I116" i="30"/>
  <c r="H116" i="30"/>
  <c r="D116" i="30"/>
  <c r="C116" i="30"/>
  <c r="KW115" i="30"/>
  <c r="LD141" i="30" s="1"/>
  <c r="KV115" i="30"/>
  <c r="LC141" i="30" s="1"/>
  <c r="KU115" i="30"/>
  <c r="LB141" i="30" s="1"/>
  <c r="KT115" i="30"/>
  <c r="LA141" i="30" s="1"/>
  <c r="KP115" i="30"/>
  <c r="KO115" i="30"/>
  <c r="KN115" i="30"/>
  <c r="KM115" i="30"/>
  <c r="KI115" i="30"/>
  <c r="KH115" i="30"/>
  <c r="KG115" i="30"/>
  <c r="KF115" i="30"/>
  <c r="KB115" i="30"/>
  <c r="KA115" i="30"/>
  <c r="JZ115" i="30"/>
  <c r="JY115" i="30"/>
  <c r="JU115" i="30"/>
  <c r="JT115" i="30"/>
  <c r="JS115" i="30"/>
  <c r="JR115" i="30"/>
  <c r="JN115" i="30"/>
  <c r="JM115" i="30"/>
  <c r="JL115" i="30"/>
  <c r="JK115" i="30"/>
  <c r="JG115" i="30"/>
  <c r="JF115" i="30"/>
  <c r="JE115" i="30"/>
  <c r="JD115" i="30"/>
  <c r="IZ115" i="30"/>
  <c r="IY115" i="30"/>
  <c r="IX115" i="30"/>
  <c r="IW115" i="30"/>
  <c r="IS115" i="30"/>
  <c r="IR115" i="30"/>
  <c r="IQ115" i="30"/>
  <c r="IP115" i="30"/>
  <c r="IL115" i="30"/>
  <c r="IK115" i="30"/>
  <c r="IJ115" i="30"/>
  <c r="II115" i="30"/>
  <c r="IE115" i="30"/>
  <c r="ID115" i="30"/>
  <c r="IC115" i="30"/>
  <c r="IB115" i="30"/>
  <c r="HX115" i="30"/>
  <c r="HW115" i="30"/>
  <c r="HV115" i="30"/>
  <c r="HU115" i="30"/>
  <c r="HQ115" i="30"/>
  <c r="HP115" i="30"/>
  <c r="HO115" i="30"/>
  <c r="HN115" i="30"/>
  <c r="HJ115" i="30"/>
  <c r="HI115" i="30"/>
  <c r="HH115" i="30"/>
  <c r="HG115" i="30"/>
  <c r="HC115" i="30"/>
  <c r="HB115" i="30"/>
  <c r="HA115" i="30"/>
  <c r="GZ115" i="30"/>
  <c r="GV115" i="30"/>
  <c r="GU115" i="30"/>
  <c r="GT115" i="30"/>
  <c r="GS115" i="30"/>
  <c r="GO115" i="30"/>
  <c r="GN115" i="30"/>
  <c r="GM115" i="30"/>
  <c r="GL115" i="30"/>
  <c r="GH115" i="30"/>
  <c r="GG115" i="30"/>
  <c r="GF115" i="30"/>
  <c r="GE115" i="30"/>
  <c r="GA115" i="30"/>
  <c r="FZ115" i="30"/>
  <c r="FY115" i="30"/>
  <c r="FX115" i="30"/>
  <c r="FT115" i="30"/>
  <c r="FS115" i="30"/>
  <c r="FR115" i="30"/>
  <c r="FQ115" i="30"/>
  <c r="FM115" i="30"/>
  <c r="FL115" i="30"/>
  <c r="FK115" i="30"/>
  <c r="FJ115" i="30"/>
  <c r="FF115" i="30"/>
  <c r="FE115" i="30"/>
  <c r="FD115" i="30"/>
  <c r="FC115" i="30"/>
  <c r="EY115" i="30"/>
  <c r="EX115" i="30"/>
  <c r="EW115" i="30"/>
  <c r="EV115" i="30"/>
  <c r="ER115" i="30"/>
  <c r="EQ115" i="30"/>
  <c r="EP115" i="30"/>
  <c r="EO115" i="30"/>
  <c r="EK115" i="30"/>
  <c r="EJ115" i="30"/>
  <c r="EI115" i="30"/>
  <c r="EH115" i="30"/>
  <c r="ED115" i="30"/>
  <c r="EC115" i="30"/>
  <c r="EB115" i="30"/>
  <c r="EA115" i="30"/>
  <c r="DW115" i="30"/>
  <c r="DV115" i="30"/>
  <c r="DU115" i="30"/>
  <c r="DT115" i="30"/>
  <c r="DP115" i="30"/>
  <c r="DO115" i="30"/>
  <c r="DN115" i="30"/>
  <c r="DM115" i="30"/>
  <c r="DI115" i="30"/>
  <c r="DH115" i="30"/>
  <c r="DG115" i="30"/>
  <c r="DF115" i="30"/>
  <c r="DB115" i="30"/>
  <c r="DA115" i="30"/>
  <c r="CZ115" i="30"/>
  <c r="CY115" i="30"/>
  <c r="CU115" i="30"/>
  <c r="CT115" i="30"/>
  <c r="CS115" i="30"/>
  <c r="CR115" i="30"/>
  <c r="CN115" i="30"/>
  <c r="CM115" i="30"/>
  <c r="CL115" i="30"/>
  <c r="CK115" i="30"/>
  <c r="CG115" i="30"/>
  <c r="CF115" i="30"/>
  <c r="CE115" i="30"/>
  <c r="CD115" i="30"/>
  <c r="BZ115" i="30"/>
  <c r="BY115" i="30"/>
  <c r="BX115" i="30"/>
  <c r="BW115" i="30"/>
  <c r="M115" i="30"/>
  <c r="L115" i="30"/>
  <c r="K115" i="30"/>
  <c r="J115" i="30"/>
  <c r="I115" i="30"/>
  <c r="H115" i="30"/>
  <c r="G115" i="30"/>
  <c r="F115" i="30"/>
  <c r="E115" i="30"/>
  <c r="D115" i="30"/>
  <c r="C115" i="30"/>
  <c r="AY111" i="30"/>
  <c r="AX111" i="30"/>
  <c r="AW111" i="30"/>
  <c r="AV111" i="30"/>
  <c r="AU111" i="30"/>
  <c r="AT111" i="30"/>
  <c r="AS111" i="30"/>
  <c r="AR111" i="30"/>
  <c r="AQ111" i="30"/>
  <c r="AO111" i="30"/>
  <c r="AN111" i="30"/>
  <c r="AM111" i="30"/>
  <c r="AL111" i="30"/>
  <c r="AK111" i="30"/>
  <c r="AJ111" i="30"/>
  <c r="AI111" i="30"/>
  <c r="AH111" i="30"/>
  <c r="AG111" i="30"/>
  <c r="AF111" i="30"/>
  <c r="AE111" i="30"/>
  <c r="AD111" i="30"/>
  <c r="AC111" i="30"/>
  <c r="AB111" i="30"/>
  <c r="AA111" i="30"/>
  <c r="Z111" i="30"/>
  <c r="Y111" i="30"/>
  <c r="X111" i="30"/>
  <c r="W111" i="30"/>
  <c r="V111" i="30"/>
  <c r="U111" i="30"/>
  <c r="T111" i="30"/>
  <c r="S111" i="30"/>
  <c r="Q111" i="30"/>
  <c r="P111" i="30"/>
  <c r="O111" i="30"/>
  <c r="BT111" i="30"/>
  <c r="N111" i="30" s="1"/>
  <c r="BS111" i="30"/>
  <c r="BR111" i="30"/>
  <c r="BQ111" i="30"/>
  <c r="BP111" i="30"/>
  <c r="AP111" i="30"/>
  <c r="R111" i="30"/>
  <c r="BS110" i="30"/>
  <c r="BR110" i="30"/>
  <c r="BQ110" i="30"/>
  <c r="BP110" i="30"/>
  <c r="LR328" i="30"/>
  <c r="LQ328" i="30"/>
  <c r="LP328" i="30"/>
  <c r="LO328" i="30"/>
  <c r="LK328" i="30"/>
  <c r="LJ328" i="30"/>
  <c r="LI328" i="30"/>
  <c r="LH328" i="30"/>
  <c r="EL328" i="30"/>
  <c r="X328" i="30" s="1"/>
  <c r="EK328" i="30"/>
  <c r="EJ328" i="30"/>
  <c r="EI328" i="30"/>
  <c r="EH328" i="30"/>
  <c r="EE328" i="30"/>
  <c r="W328" i="30" s="1"/>
  <c r="ED328" i="30"/>
  <c r="EC328" i="30"/>
  <c r="EB328" i="30"/>
  <c r="EA328" i="30"/>
  <c r="DX328" i="30"/>
  <c r="V328" i="30" s="1"/>
  <c r="DW328" i="30"/>
  <c r="DV328" i="30"/>
  <c r="DU328" i="30"/>
  <c r="DT328" i="30"/>
  <c r="DQ328" i="30"/>
  <c r="U328" i="30" s="1"/>
  <c r="DP328" i="30"/>
  <c r="DO328" i="30"/>
  <c r="DN328" i="30"/>
  <c r="DM328" i="30"/>
  <c r="DJ328" i="30"/>
  <c r="T328" i="30" s="1"/>
  <c r="DI328" i="30"/>
  <c r="DH328" i="30"/>
  <c r="DG328" i="30"/>
  <c r="DF328" i="30"/>
  <c r="DC328" i="30"/>
  <c r="S328" i="30" s="1"/>
  <c r="DB328" i="30"/>
  <c r="DA328" i="30"/>
  <c r="CZ328" i="30"/>
  <c r="CY328" i="30"/>
  <c r="CV328" i="30"/>
  <c r="R328" i="30" s="1"/>
  <c r="CU328" i="30"/>
  <c r="CT328" i="30"/>
  <c r="CS328" i="30"/>
  <c r="CR328" i="30"/>
  <c r="CO328" i="30"/>
  <c r="Q328" i="30" s="1"/>
  <c r="CN328" i="30"/>
  <c r="CM328" i="30"/>
  <c r="CL328" i="30"/>
  <c r="CK328" i="30"/>
  <c r="CH328" i="30"/>
  <c r="P328" i="30" s="1"/>
  <c r="CG328" i="30"/>
  <c r="CF328" i="30"/>
  <c r="CE328" i="30"/>
  <c r="CD328" i="30"/>
  <c r="CA328" i="30"/>
  <c r="O328" i="30" s="1"/>
  <c r="BZ328" i="30"/>
  <c r="BY328" i="30"/>
  <c r="BX328" i="30"/>
  <c r="BW328" i="30"/>
  <c r="N328" i="30"/>
  <c r="LR327" i="30"/>
  <c r="LQ327" i="30"/>
  <c r="LP327" i="30"/>
  <c r="LO327" i="30"/>
  <c r="LK327" i="30"/>
  <c r="LJ327" i="30"/>
  <c r="LI327" i="30"/>
  <c r="LH327" i="30"/>
  <c r="N327" i="30"/>
  <c r="N326" i="30"/>
  <c r="X323" i="30"/>
  <c r="W323" i="30"/>
  <c r="V323" i="30"/>
  <c r="U323" i="30"/>
  <c r="T323" i="30"/>
  <c r="S323" i="30"/>
  <c r="R323" i="30"/>
  <c r="Q323" i="30"/>
  <c r="P323" i="30"/>
  <c r="O323" i="30"/>
  <c r="N323" i="30"/>
  <c r="LR317" i="30"/>
  <c r="LQ317" i="30"/>
  <c r="LP317" i="30"/>
  <c r="LO317" i="30"/>
  <c r="LK317" i="30"/>
  <c r="LJ317" i="30"/>
  <c r="LI317" i="30"/>
  <c r="LH317" i="30"/>
  <c r="N317" i="30"/>
  <c r="LR316" i="30"/>
  <c r="LQ316" i="30"/>
  <c r="LP316" i="30"/>
  <c r="LO316" i="30"/>
  <c r="LK316" i="30"/>
  <c r="LJ316" i="30"/>
  <c r="LI316" i="30"/>
  <c r="LH316" i="30"/>
  <c r="N316" i="30"/>
  <c r="N315" i="30"/>
  <c r="KW312" i="30"/>
  <c r="KV312" i="30"/>
  <c r="KU312" i="30"/>
  <c r="KT312" i="30"/>
  <c r="LA317" i="30" s="1"/>
  <c r="KP312" i="30"/>
  <c r="KO312" i="30"/>
  <c r="KN312" i="30"/>
  <c r="KM312" i="30"/>
  <c r="KI312" i="30"/>
  <c r="KH312" i="30"/>
  <c r="KG312" i="30"/>
  <c r="KF312" i="30"/>
  <c r="KB312" i="30"/>
  <c r="KA312" i="30"/>
  <c r="JZ312" i="30"/>
  <c r="JY312" i="30"/>
  <c r="JU312" i="30"/>
  <c r="JT312" i="30"/>
  <c r="JS312" i="30"/>
  <c r="JR312" i="30"/>
  <c r="JN312" i="30"/>
  <c r="JM312" i="30"/>
  <c r="JL312" i="30"/>
  <c r="JK312" i="30"/>
  <c r="JG312" i="30"/>
  <c r="JF312" i="30"/>
  <c r="JE312" i="30"/>
  <c r="JD312" i="30"/>
  <c r="IZ312" i="30"/>
  <c r="IY312" i="30"/>
  <c r="IX312" i="30"/>
  <c r="IW312" i="30"/>
  <c r="IS312" i="30"/>
  <c r="IR312" i="30"/>
  <c r="IQ312" i="30"/>
  <c r="IP312" i="30"/>
  <c r="IL312" i="30"/>
  <c r="IK312" i="30"/>
  <c r="IJ312" i="30"/>
  <c r="II312" i="30"/>
  <c r="IE312" i="30"/>
  <c r="ID312" i="30"/>
  <c r="IC312" i="30"/>
  <c r="IB312" i="30"/>
  <c r="HX312" i="30"/>
  <c r="HW312" i="30"/>
  <c r="HV312" i="30"/>
  <c r="HU312" i="30"/>
  <c r="HQ312" i="30"/>
  <c r="HP312" i="30"/>
  <c r="HO312" i="30"/>
  <c r="HN312" i="30"/>
  <c r="HJ312" i="30"/>
  <c r="HI312" i="30"/>
  <c r="HH312" i="30"/>
  <c r="HG312" i="30"/>
  <c r="HC312" i="30"/>
  <c r="HB312" i="30"/>
  <c r="HA312" i="30"/>
  <c r="GZ312" i="30"/>
  <c r="GV312" i="30"/>
  <c r="GU312" i="30"/>
  <c r="GT312" i="30"/>
  <c r="GS312" i="30"/>
  <c r="GO312" i="30"/>
  <c r="GN312" i="30"/>
  <c r="GM312" i="30"/>
  <c r="GL312" i="30"/>
  <c r="GH312" i="30"/>
  <c r="GG312" i="30"/>
  <c r="GF312" i="30"/>
  <c r="GE312" i="30"/>
  <c r="GA312" i="30"/>
  <c r="FZ312" i="30"/>
  <c r="FY312" i="30"/>
  <c r="FX312" i="30"/>
  <c r="CG312" i="30"/>
  <c r="CF312" i="30"/>
  <c r="CE312" i="30"/>
  <c r="CD312" i="30"/>
  <c r="BZ312" i="30"/>
  <c r="BY312" i="30"/>
  <c r="BX312" i="30"/>
  <c r="BW312" i="30"/>
  <c r="AW312" i="30"/>
  <c r="M312" i="30"/>
  <c r="L312" i="30"/>
  <c r="K312" i="30"/>
  <c r="J312" i="30"/>
  <c r="KW311" i="30"/>
  <c r="KV311" i="30"/>
  <c r="KU311" i="30"/>
  <c r="KT311" i="30"/>
  <c r="LA316" i="30" s="1"/>
  <c r="KP311" i="30"/>
  <c r="KO311" i="30"/>
  <c r="KN311" i="30"/>
  <c r="KM311" i="30"/>
  <c r="KI311" i="30"/>
  <c r="KH311" i="30"/>
  <c r="KG311" i="30"/>
  <c r="KF311" i="30"/>
  <c r="KB311" i="30"/>
  <c r="KA311" i="30"/>
  <c r="JZ311" i="30"/>
  <c r="JY311" i="30"/>
  <c r="JU311" i="30"/>
  <c r="JT311" i="30"/>
  <c r="JS311" i="30"/>
  <c r="JR311" i="30"/>
  <c r="JN311" i="30"/>
  <c r="JM311" i="30"/>
  <c r="JL311" i="30"/>
  <c r="JK311" i="30"/>
  <c r="JG311" i="30"/>
  <c r="JF311" i="30"/>
  <c r="JE311" i="30"/>
  <c r="JD311" i="30"/>
  <c r="IZ311" i="30"/>
  <c r="IY311" i="30"/>
  <c r="IX311" i="30"/>
  <c r="IW311" i="30"/>
  <c r="IS311" i="30"/>
  <c r="IR311" i="30"/>
  <c r="IQ311" i="30"/>
  <c r="IP311" i="30"/>
  <c r="IL311" i="30"/>
  <c r="IK311" i="30"/>
  <c r="IJ311" i="30"/>
  <c r="II311" i="30"/>
  <c r="IE311" i="30"/>
  <c r="ID311" i="30"/>
  <c r="IC311" i="30"/>
  <c r="IB311" i="30"/>
  <c r="HX311" i="30"/>
  <c r="HW311" i="30"/>
  <c r="HV311" i="30"/>
  <c r="HU311" i="30"/>
  <c r="HQ311" i="30"/>
  <c r="HP311" i="30"/>
  <c r="HO311" i="30"/>
  <c r="HN311" i="30"/>
  <c r="HJ311" i="30"/>
  <c r="HI311" i="30"/>
  <c r="HH311" i="30"/>
  <c r="HG311" i="30"/>
  <c r="HC311" i="30"/>
  <c r="HB311" i="30"/>
  <c r="HA311" i="30"/>
  <c r="GZ311" i="30"/>
  <c r="GV311" i="30"/>
  <c r="GU311" i="30"/>
  <c r="GT311" i="30"/>
  <c r="GS311" i="30"/>
  <c r="GO311" i="30"/>
  <c r="GN311" i="30"/>
  <c r="GM311" i="30"/>
  <c r="GL311" i="30"/>
  <c r="GH311" i="30"/>
  <c r="GG311" i="30"/>
  <c r="GF311" i="30"/>
  <c r="GE311" i="30"/>
  <c r="GA311" i="30"/>
  <c r="FZ311" i="30"/>
  <c r="FY311" i="30"/>
  <c r="FX311" i="30"/>
  <c r="FT311" i="30"/>
  <c r="FS311" i="30"/>
  <c r="FR311" i="30"/>
  <c r="FQ311" i="30"/>
  <c r="FM311" i="30"/>
  <c r="FL311" i="30"/>
  <c r="FK311" i="30"/>
  <c r="FJ311" i="30"/>
  <c r="FF311" i="30"/>
  <c r="FE311" i="30"/>
  <c r="FD311" i="30"/>
  <c r="FC311" i="30"/>
  <c r="EY311" i="30"/>
  <c r="EX311" i="30"/>
  <c r="EW311" i="30"/>
  <c r="EV311" i="30"/>
  <c r="ER311" i="30"/>
  <c r="EQ311" i="30"/>
  <c r="EP311" i="30"/>
  <c r="EO311" i="30"/>
  <c r="EK311" i="30"/>
  <c r="EJ311" i="30"/>
  <c r="EI311" i="30"/>
  <c r="EH311" i="30"/>
  <c r="ED311" i="30"/>
  <c r="EC311" i="30"/>
  <c r="EB311" i="30"/>
  <c r="EA311" i="30"/>
  <c r="DW311" i="30"/>
  <c r="DV311" i="30"/>
  <c r="DU311" i="30"/>
  <c r="DT311" i="30"/>
  <c r="DP311" i="30"/>
  <c r="DO311" i="30"/>
  <c r="DN311" i="30"/>
  <c r="DM311" i="30"/>
  <c r="DI311" i="30"/>
  <c r="DH311" i="30"/>
  <c r="DG311" i="30"/>
  <c r="DF311" i="30"/>
  <c r="DB311" i="30"/>
  <c r="DA311" i="30"/>
  <c r="CZ311" i="30"/>
  <c r="CY311" i="30"/>
  <c r="CU311" i="30"/>
  <c r="CT311" i="30"/>
  <c r="CS311" i="30"/>
  <c r="CR311" i="30"/>
  <c r="CN311" i="30"/>
  <c r="CM311" i="30"/>
  <c r="CL311" i="30"/>
  <c r="CK311" i="30"/>
  <c r="CG311" i="30"/>
  <c r="CF311" i="30"/>
  <c r="CE311" i="30"/>
  <c r="CD311" i="30"/>
  <c r="BZ311" i="30"/>
  <c r="BY311" i="30"/>
  <c r="BX311" i="30"/>
  <c r="BW311" i="30"/>
  <c r="AW311" i="30"/>
  <c r="M311" i="30"/>
  <c r="L311" i="30"/>
  <c r="K311" i="30"/>
  <c r="J311" i="30"/>
  <c r="KW305" i="30"/>
  <c r="KW307" i="30" s="1"/>
  <c r="KV305" i="30"/>
  <c r="KU305" i="30"/>
  <c r="KT305" i="30"/>
  <c r="KP305" i="30"/>
  <c r="KO305" i="30"/>
  <c r="KN305" i="30"/>
  <c r="KN307" i="30" s="1"/>
  <c r="KM305" i="30"/>
  <c r="KM307" i="30" s="1"/>
  <c r="KI305" i="30"/>
  <c r="KI307" i="30" s="1"/>
  <c r="KH305" i="30"/>
  <c r="KH307" i="30" s="1"/>
  <c r="KG305" i="30"/>
  <c r="KF305" i="30"/>
  <c r="KF307" i="30" s="1"/>
  <c r="KB305" i="30"/>
  <c r="KB307" i="30" s="1"/>
  <c r="KA305" i="30"/>
  <c r="KA307" i="30" s="1"/>
  <c r="JZ305" i="30"/>
  <c r="JY305" i="30"/>
  <c r="JU305" i="30"/>
  <c r="JU307" i="30" s="1"/>
  <c r="JT305" i="30"/>
  <c r="JT307" i="30" s="1"/>
  <c r="JS305" i="30"/>
  <c r="JS307" i="30" s="1"/>
  <c r="JR305" i="30"/>
  <c r="JO305" i="30"/>
  <c r="AQ305" i="30" s="1"/>
  <c r="JN305" i="30"/>
  <c r="JN307" i="30" s="1"/>
  <c r="JM305" i="30"/>
  <c r="JM307" i="30" s="1"/>
  <c r="JL305" i="30"/>
  <c r="JL307" i="30" s="1"/>
  <c r="JK305" i="30"/>
  <c r="JK307" i="30" s="1"/>
  <c r="JH305" i="30"/>
  <c r="JG305" i="30"/>
  <c r="JF305" i="30"/>
  <c r="JF307" i="30" s="1"/>
  <c r="JE305" i="30"/>
  <c r="JE307" i="30" s="1"/>
  <c r="JD305" i="30"/>
  <c r="JD307" i="30" s="1"/>
  <c r="JA305" i="30"/>
  <c r="JA307" i="30" s="1"/>
  <c r="AO307" i="30" s="1"/>
  <c r="IZ305" i="30"/>
  <c r="IY305" i="30"/>
  <c r="IY307" i="30" s="1"/>
  <c r="IX305" i="30"/>
  <c r="IW305" i="30"/>
  <c r="IW307" i="30" s="1"/>
  <c r="IT305" i="30"/>
  <c r="IT307" i="30" s="1"/>
  <c r="AN307" i="30" s="1"/>
  <c r="IS305" i="30"/>
  <c r="IS307" i="30" s="1"/>
  <c r="IR305" i="30"/>
  <c r="IQ305" i="30"/>
  <c r="IP305" i="30"/>
  <c r="IP307" i="30" s="1"/>
  <c r="IM305" i="30"/>
  <c r="IM307" i="30" s="1"/>
  <c r="AM307" i="30" s="1"/>
  <c r="IL305" i="30"/>
  <c r="IL307" i="30" s="1"/>
  <c r="IK305" i="30"/>
  <c r="IK307" i="30" s="1"/>
  <c r="IJ305" i="30"/>
  <c r="IJ307" i="30" s="1"/>
  <c r="II305" i="30"/>
  <c r="IF305" i="30"/>
  <c r="AL305" i="30" s="1"/>
  <c r="IE305" i="30"/>
  <c r="IE307" i="30" s="1"/>
  <c r="ID305" i="30"/>
  <c r="ID307" i="30" s="1"/>
  <c r="IC305" i="30"/>
  <c r="IC307" i="30" s="1"/>
  <c r="IB305" i="30"/>
  <c r="HY305" i="30"/>
  <c r="HX305" i="30"/>
  <c r="HX307" i="30" s="1"/>
  <c r="HW305" i="30"/>
  <c r="HW307" i="30" s="1"/>
  <c r="HV305" i="30"/>
  <c r="HV307" i="30" s="1"/>
  <c r="HU305" i="30"/>
  <c r="HU307" i="30" s="1"/>
  <c r="HR305" i="30"/>
  <c r="AJ305" i="30" s="1"/>
  <c r="HQ305" i="30"/>
  <c r="HQ307" i="30" s="1"/>
  <c r="HP305" i="30"/>
  <c r="HP307" i="30" s="1"/>
  <c r="HO305" i="30"/>
  <c r="HO307" i="30" s="1"/>
  <c r="HN305" i="30"/>
  <c r="HN307" i="30" s="1"/>
  <c r="HK305" i="30"/>
  <c r="HK307" i="30" s="1"/>
  <c r="AI307" i="30" s="1"/>
  <c r="HJ305" i="30"/>
  <c r="HJ351" i="30" s="1"/>
  <c r="HI305" i="30"/>
  <c r="HI351" i="30" s="1"/>
  <c r="HH305" i="30"/>
  <c r="HG305" i="30"/>
  <c r="HD305" i="30"/>
  <c r="AH305" i="30" s="1"/>
  <c r="HC305" i="30"/>
  <c r="HB305" i="30"/>
  <c r="HA305" i="30"/>
  <c r="GZ305" i="30"/>
  <c r="GZ351" i="30" s="1"/>
  <c r="GW305" i="30"/>
  <c r="GV305" i="30"/>
  <c r="GU305" i="30"/>
  <c r="GT305" i="30"/>
  <c r="GT351" i="30" s="1"/>
  <c r="GS305" i="30"/>
  <c r="GS351" i="30" s="1"/>
  <c r="GP305" i="30"/>
  <c r="GO305" i="30"/>
  <c r="GN305" i="30"/>
  <c r="GM305" i="30"/>
  <c r="GL305" i="30"/>
  <c r="GI305" i="30"/>
  <c r="AE305" i="30" s="1"/>
  <c r="GH305" i="30"/>
  <c r="GG305" i="30"/>
  <c r="GF305" i="30"/>
  <c r="GE305" i="30"/>
  <c r="GB305" i="30"/>
  <c r="GA305" i="30"/>
  <c r="FZ305" i="30"/>
  <c r="FZ307" i="30" s="1"/>
  <c r="FY305" i="30"/>
  <c r="FY307" i="30" s="1"/>
  <c r="FX305" i="30"/>
  <c r="FX307" i="30" s="1"/>
  <c r="FU305" i="30"/>
  <c r="FT305" i="30"/>
  <c r="FS305" i="30"/>
  <c r="FS307" i="30" s="1"/>
  <c r="FR305" i="30"/>
  <c r="FR307" i="30" s="1"/>
  <c r="FQ305" i="30"/>
  <c r="FQ307" i="30" s="1"/>
  <c r="FN305" i="30"/>
  <c r="FN307" i="30" s="1"/>
  <c r="AB307" i="30" s="1"/>
  <c r="FM305" i="30"/>
  <c r="FL305" i="30"/>
  <c r="FL307" i="30" s="1"/>
  <c r="FK305" i="30"/>
  <c r="FK307" i="30" s="1"/>
  <c r="FJ305" i="30"/>
  <c r="FJ307" i="30" s="1"/>
  <c r="FG305" i="30"/>
  <c r="FG307" i="30" s="1"/>
  <c r="AA307" i="30" s="1"/>
  <c r="FF305" i="30"/>
  <c r="FE305" i="30"/>
  <c r="FE307" i="30" s="1"/>
  <c r="FD305" i="30"/>
  <c r="FD307" i="30" s="1"/>
  <c r="FC305" i="30"/>
  <c r="FC307" i="30" s="1"/>
  <c r="EZ305" i="30"/>
  <c r="Z305" i="30" s="1"/>
  <c r="EY305" i="30"/>
  <c r="EX305" i="30"/>
  <c r="EX307" i="30" s="1"/>
  <c r="EW305" i="30"/>
  <c r="EW307" i="30" s="1"/>
  <c r="EV305" i="30"/>
  <c r="EV307" i="30" s="1"/>
  <c r="ES305" i="30"/>
  <c r="ER305" i="30"/>
  <c r="EQ305" i="30"/>
  <c r="EQ307" i="30" s="1"/>
  <c r="EP305" i="30"/>
  <c r="EP307" i="30" s="1"/>
  <c r="EO305" i="30"/>
  <c r="EO307" i="30" s="1"/>
  <c r="EL305" i="30"/>
  <c r="EK305" i="30"/>
  <c r="EJ305" i="30"/>
  <c r="EJ307" i="30" s="1"/>
  <c r="EI305" i="30"/>
  <c r="EI307" i="30" s="1"/>
  <c r="EH305" i="30"/>
  <c r="EH307" i="30" s="1"/>
  <c r="EE305" i="30"/>
  <c r="EE307" i="30" s="1"/>
  <c r="W307" i="30" s="1"/>
  <c r="ED305" i="30"/>
  <c r="EC305" i="30"/>
  <c r="EC307" i="30" s="1"/>
  <c r="EB305" i="30"/>
  <c r="EB307" i="30" s="1"/>
  <c r="EA305" i="30"/>
  <c r="EA307" i="30" s="1"/>
  <c r="DX305" i="30"/>
  <c r="V305" i="30" s="1"/>
  <c r="DW305" i="30"/>
  <c r="DV305" i="30"/>
  <c r="DV307" i="30" s="1"/>
  <c r="DU305" i="30"/>
  <c r="DU307" i="30" s="1"/>
  <c r="DT305" i="30"/>
  <c r="DT307" i="30" s="1"/>
  <c r="DQ305" i="30"/>
  <c r="DP305" i="30"/>
  <c r="DO305" i="30"/>
  <c r="DO307" i="30" s="1"/>
  <c r="DN305" i="30"/>
  <c r="DN307" i="30" s="1"/>
  <c r="DM305" i="30"/>
  <c r="DM307" i="30" s="1"/>
  <c r="DJ305" i="30"/>
  <c r="DI305" i="30"/>
  <c r="DH305" i="30"/>
  <c r="DH307" i="30" s="1"/>
  <c r="DG305" i="30"/>
  <c r="DG307" i="30" s="1"/>
  <c r="DF305" i="30"/>
  <c r="DF307" i="30" s="1"/>
  <c r="DC305" i="30"/>
  <c r="S305" i="30" s="1"/>
  <c r="DB305" i="30"/>
  <c r="DA305" i="30"/>
  <c r="DA307" i="30" s="1"/>
  <c r="CZ305" i="30"/>
  <c r="CZ307" i="30" s="1"/>
  <c r="CY305" i="30"/>
  <c r="CY307" i="30" s="1"/>
  <c r="CV305" i="30"/>
  <c r="CU305" i="30"/>
  <c r="CU307" i="30" s="1"/>
  <c r="CT305" i="30"/>
  <c r="CT307" i="30" s="1"/>
  <c r="CS305" i="30"/>
  <c r="CS307" i="30" s="1"/>
  <c r="CR305" i="30"/>
  <c r="CR307" i="30" s="1"/>
  <c r="CO305" i="30"/>
  <c r="CN305" i="30"/>
  <c r="CN307" i="30" s="1"/>
  <c r="CM305" i="30"/>
  <c r="CM307" i="30" s="1"/>
  <c r="CL305" i="30"/>
  <c r="CL307" i="30" s="1"/>
  <c r="CK305" i="30"/>
  <c r="CK307" i="30" s="1"/>
  <c r="CH305" i="30"/>
  <c r="CH307" i="30" s="1"/>
  <c r="P307" i="30" s="1"/>
  <c r="CG305" i="30"/>
  <c r="CG307" i="30" s="1"/>
  <c r="CF305" i="30"/>
  <c r="CF307" i="30" s="1"/>
  <c r="CE305" i="30"/>
  <c r="CE307" i="30" s="1"/>
  <c r="CD305" i="30"/>
  <c r="CD307" i="30" s="1"/>
  <c r="CA305" i="30"/>
  <c r="CA307" i="30" s="1"/>
  <c r="O307" i="30" s="1"/>
  <c r="BZ305" i="30"/>
  <c r="BZ307" i="30" s="1"/>
  <c r="BY305" i="30"/>
  <c r="BY307" i="30" s="1"/>
  <c r="BX305" i="30"/>
  <c r="BX307" i="30" s="1"/>
  <c r="BW305" i="30"/>
  <c r="BW307" i="30" s="1"/>
  <c r="BT305" i="30"/>
  <c r="N305" i="30" s="1"/>
  <c r="BS305" i="30"/>
  <c r="BS307" i="30" s="1"/>
  <c r="BR305" i="30"/>
  <c r="BR307" i="30" s="1"/>
  <c r="BQ305" i="30"/>
  <c r="BQ307" i="30" s="1"/>
  <c r="BP305" i="30"/>
  <c r="BP307" i="30" s="1"/>
  <c r="M305" i="30"/>
  <c r="M307" i="30" s="1"/>
  <c r="L305" i="30"/>
  <c r="L307" i="30" s="1"/>
  <c r="K305" i="30"/>
  <c r="K307" i="30" s="1"/>
  <c r="J305" i="30"/>
  <c r="J307" i="30" s="1"/>
  <c r="KX303" i="30"/>
  <c r="KQ303" i="30"/>
  <c r="KJ303" i="30"/>
  <c r="KC303" i="30"/>
  <c r="JV303" i="30"/>
  <c r="KX302" i="30"/>
  <c r="AV302" i="30" s="1"/>
  <c r="KQ302" i="30"/>
  <c r="KJ302" i="30"/>
  <c r="AT302" i="30" s="1"/>
  <c r="KC302" i="30"/>
  <c r="AS302" i="30" s="1"/>
  <c r="JV302" i="30"/>
  <c r="AR302" i="30" s="1"/>
  <c r="AY302" i="30"/>
  <c r="AX302" i="30"/>
  <c r="AW302" i="30"/>
  <c r="AQ302" i="30"/>
  <c r="AP302" i="30"/>
  <c r="AO302" i="30"/>
  <c r="AN302" i="30"/>
  <c r="AM302" i="30"/>
  <c r="AL302" i="30"/>
  <c r="AK302" i="30"/>
  <c r="AJ302" i="30"/>
  <c r="AI302" i="30"/>
  <c r="AH302" i="30"/>
  <c r="AG302" i="30"/>
  <c r="AF302" i="30"/>
  <c r="AE302" i="30"/>
  <c r="AD302" i="30"/>
  <c r="AC302" i="30"/>
  <c r="AB302" i="30"/>
  <c r="AA302" i="30"/>
  <c r="Z302" i="30"/>
  <c r="Y302" i="30"/>
  <c r="X302" i="30"/>
  <c r="W302" i="30"/>
  <c r="V302" i="30"/>
  <c r="U302" i="30"/>
  <c r="T302" i="30"/>
  <c r="S302" i="30"/>
  <c r="R302" i="30"/>
  <c r="Q302" i="30"/>
  <c r="P302" i="30"/>
  <c r="O302" i="30"/>
  <c r="N302" i="30"/>
  <c r="KX301" i="30"/>
  <c r="KQ301" i="30"/>
  <c r="AU301" i="30" s="1"/>
  <c r="KJ301" i="30"/>
  <c r="KC301" i="30"/>
  <c r="JV301" i="30"/>
  <c r="AQ301" i="30"/>
  <c r="AP301" i="30"/>
  <c r="AO301" i="30"/>
  <c r="AN301" i="30"/>
  <c r="AM301" i="30"/>
  <c r="AL301" i="30"/>
  <c r="AK301" i="30"/>
  <c r="AJ301" i="30"/>
  <c r="AI301" i="30"/>
  <c r="AH301" i="30"/>
  <c r="AG301" i="30"/>
  <c r="AF301" i="30"/>
  <c r="AE301" i="30"/>
  <c r="AD301" i="30"/>
  <c r="AC301" i="30"/>
  <c r="AB301" i="30"/>
  <c r="AA301" i="30"/>
  <c r="Z301" i="30"/>
  <c r="Y301" i="30"/>
  <c r="X301" i="30"/>
  <c r="W301" i="30"/>
  <c r="V301" i="30"/>
  <c r="U301" i="30"/>
  <c r="T301" i="30"/>
  <c r="S301" i="30"/>
  <c r="R301" i="30"/>
  <c r="Q301" i="30"/>
  <c r="P301" i="30"/>
  <c r="O301" i="30"/>
  <c r="N301" i="30"/>
  <c r="KW294" i="30"/>
  <c r="KV294" i="30"/>
  <c r="KU294" i="30"/>
  <c r="KT294" i="30"/>
  <c r="KP294" i="30"/>
  <c r="KO294" i="30"/>
  <c r="KN294" i="30"/>
  <c r="KM294" i="30"/>
  <c r="KI294" i="30"/>
  <c r="KH294" i="30"/>
  <c r="KG294" i="30"/>
  <c r="KF294" i="30"/>
  <c r="KB294" i="30"/>
  <c r="KA294" i="30"/>
  <c r="JZ294" i="30"/>
  <c r="JY294" i="30"/>
  <c r="JU294" i="30"/>
  <c r="JT294" i="30"/>
  <c r="JS294" i="30"/>
  <c r="JR294" i="30"/>
  <c r="JN294" i="30"/>
  <c r="JM294" i="30"/>
  <c r="JL294" i="30"/>
  <c r="JK294" i="30"/>
  <c r="JG294" i="30"/>
  <c r="JF294" i="30"/>
  <c r="JE294" i="30"/>
  <c r="JD294" i="30"/>
  <c r="IZ294" i="30"/>
  <c r="IY294" i="30"/>
  <c r="IX294" i="30"/>
  <c r="IW294" i="30"/>
  <c r="IS294" i="30"/>
  <c r="IR294" i="30"/>
  <c r="IQ294" i="30"/>
  <c r="IP294" i="30"/>
  <c r="IL294" i="30"/>
  <c r="IK294" i="30"/>
  <c r="IJ294" i="30"/>
  <c r="II294" i="30"/>
  <c r="IE294" i="30"/>
  <c r="ID294" i="30"/>
  <c r="IC294" i="30"/>
  <c r="IB294" i="30"/>
  <c r="HX294" i="30"/>
  <c r="HW294" i="30"/>
  <c r="HV294" i="30"/>
  <c r="HU294" i="30"/>
  <c r="HQ294" i="30"/>
  <c r="HP294" i="30"/>
  <c r="HO294" i="30"/>
  <c r="HN294" i="30"/>
  <c r="HJ294" i="30"/>
  <c r="HI294" i="30"/>
  <c r="HH294" i="30"/>
  <c r="HG294" i="30"/>
  <c r="HC294" i="30"/>
  <c r="HB294" i="30"/>
  <c r="HA294" i="30"/>
  <c r="GZ294" i="30"/>
  <c r="GV294" i="30"/>
  <c r="GU294" i="30"/>
  <c r="GT294" i="30"/>
  <c r="GS294" i="30"/>
  <c r="GO294" i="30"/>
  <c r="GN294" i="30"/>
  <c r="GM294" i="30"/>
  <c r="GL294" i="30"/>
  <c r="GI294" i="30"/>
  <c r="AE294" i="30" s="1"/>
  <c r="GH294" i="30"/>
  <c r="GG294" i="30"/>
  <c r="GF294" i="30"/>
  <c r="GE294" i="30"/>
  <c r="GB294" i="30"/>
  <c r="AD294" i="30" s="1"/>
  <c r="GA294" i="30"/>
  <c r="FZ294" i="30"/>
  <c r="FY294" i="30"/>
  <c r="FX294" i="30"/>
  <c r="FU294" i="30"/>
  <c r="AC294" i="30" s="1"/>
  <c r="FT294" i="30"/>
  <c r="FS294" i="30"/>
  <c r="FR294" i="30"/>
  <c r="FQ294" i="30"/>
  <c r="FN294" i="30"/>
  <c r="AB294" i="30" s="1"/>
  <c r="FM294" i="30"/>
  <c r="FL294" i="30"/>
  <c r="FK294" i="30"/>
  <c r="FJ294" i="30"/>
  <c r="FG294" i="30"/>
  <c r="AA294" i="30" s="1"/>
  <c r="FF294" i="30"/>
  <c r="FE294" i="30"/>
  <c r="FD294" i="30"/>
  <c r="FC294" i="30"/>
  <c r="EZ294" i="30"/>
  <c r="Z294" i="30" s="1"/>
  <c r="EY294" i="30"/>
  <c r="EX294" i="30"/>
  <c r="EW294" i="30"/>
  <c r="EV294" i="30"/>
  <c r="ES294" i="30"/>
  <c r="Y294" i="30" s="1"/>
  <c r="ER294" i="30"/>
  <c r="EQ294" i="30"/>
  <c r="EP294" i="30"/>
  <c r="EO294" i="30"/>
  <c r="EL294" i="30"/>
  <c r="X294" i="30" s="1"/>
  <c r="EK294" i="30"/>
  <c r="EJ294" i="30"/>
  <c r="EI294" i="30"/>
  <c r="EH294" i="30"/>
  <c r="EE294" i="30"/>
  <c r="W294" i="30" s="1"/>
  <c r="ED294" i="30"/>
  <c r="EC294" i="30"/>
  <c r="EB294" i="30"/>
  <c r="EA294" i="30"/>
  <c r="DX294" i="30"/>
  <c r="V294" i="30" s="1"/>
  <c r="DW294" i="30"/>
  <c r="DV294" i="30"/>
  <c r="DU294" i="30"/>
  <c r="DT294" i="30"/>
  <c r="DQ294" i="30"/>
  <c r="U294" i="30" s="1"/>
  <c r="DP294" i="30"/>
  <c r="DO294" i="30"/>
  <c r="DN294" i="30"/>
  <c r="DM294" i="30"/>
  <c r="DJ294" i="30"/>
  <c r="T294" i="30" s="1"/>
  <c r="DI294" i="30"/>
  <c r="DH294" i="30"/>
  <c r="DG294" i="30"/>
  <c r="DF294" i="30"/>
  <c r="DC294" i="30"/>
  <c r="S294" i="30" s="1"/>
  <c r="DB294" i="30"/>
  <c r="DA294" i="30"/>
  <c r="CZ294" i="30"/>
  <c r="CY294" i="30"/>
  <c r="CV294" i="30"/>
  <c r="R294" i="30" s="1"/>
  <c r="CU294" i="30"/>
  <c r="CT294" i="30"/>
  <c r="CS294" i="30"/>
  <c r="CR294" i="30"/>
  <c r="CO294" i="30"/>
  <c r="Q294" i="30" s="1"/>
  <c r="CN294" i="30"/>
  <c r="CM294" i="30"/>
  <c r="CL294" i="30"/>
  <c r="CK294" i="30"/>
  <c r="CH294" i="30"/>
  <c r="P294" i="30" s="1"/>
  <c r="CG294" i="30"/>
  <c r="CF294" i="30"/>
  <c r="CE294" i="30"/>
  <c r="CD294" i="30"/>
  <c r="CA294" i="30"/>
  <c r="O294" i="30" s="1"/>
  <c r="BZ294" i="30"/>
  <c r="BY294" i="30"/>
  <c r="BX294" i="30"/>
  <c r="BW294" i="30"/>
  <c r="BT294" i="30"/>
  <c r="N294" i="30" s="1"/>
  <c r="BS294" i="30"/>
  <c r="BR294" i="30"/>
  <c r="BQ294" i="30"/>
  <c r="BP294" i="30"/>
  <c r="KW293" i="30"/>
  <c r="KV293" i="30"/>
  <c r="KU293" i="30"/>
  <c r="KT293" i="30"/>
  <c r="KP293" i="30"/>
  <c r="KO293" i="30"/>
  <c r="KN293" i="30"/>
  <c r="KM293" i="30"/>
  <c r="KI293" i="30"/>
  <c r="KH293" i="30"/>
  <c r="KG293" i="30"/>
  <c r="KF293" i="30"/>
  <c r="KB293" i="30"/>
  <c r="KA293" i="30"/>
  <c r="JZ293" i="30"/>
  <c r="JY293" i="30"/>
  <c r="JU293" i="30"/>
  <c r="JT293" i="30"/>
  <c r="JS293" i="30"/>
  <c r="JR293" i="30"/>
  <c r="JN293" i="30"/>
  <c r="JM293" i="30"/>
  <c r="JL293" i="30"/>
  <c r="JK293" i="30"/>
  <c r="JG293" i="30"/>
  <c r="JF293" i="30"/>
  <c r="JE293" i="30"/>
  <c r="JD293" i="30"/>
  <c r="IZ293" i="30"/>
  <c r="IY293" i="30"/>
  <c r="IX293" i="30"/>
  <c r="IW293" i="30"/>
  <c r="IS293" i="30"/>
  <c r="IR293" i="30"/>
  <c r="IQ293" i="30"/>
  <c r="IP293" i="30"/>
  <c r="IL293" i="30"/>
  <c r="IK293" i="30"/>
  <c r="IJ293" i="30"/>
  <c r="II293" i="30"/>
  <c r="IE293" i="30"/>
  <c r="ID293" i="30"/>
  <c r="IC293" i="30"/>
  <c r="IB293" i="30"/>
  <c r="HX293" i="30"/>
  <c r="HW293" i="30"/>
  <c r="HV293" i="30"/>
  <c r="HU293" i="30"/>
  <c r="HQ293" i="30"/>
  <c r="HP293" i="30"/>
  <c r="HO293" i="30"/>
  <c r="HN293" i="30"/>
  <c r="HJ293" i="30"/>
  <c r="HI293" i="30"/>
  <c r="HH293" i="30"/>
  <c r="HG293" i="30"/>
  <c r="HC293" i="30"/>
  <c r="HB293" i="30"/>
  <c r="HA293" i="30"/>
  <c r="GZ293" i="30"/>
  <c r="GV293" i="30"/>
  <c r="GU293" i="30"/>
  <c r="GT293" i="30"/>
  <c r="GS293" i="30"/>
  <c r="N290" i="30"/>
  <c r="KW289" i="30"/>
  <c r="KV289" i="30"/>
  <c r="KU289" i="30"/>
  <c r="KT289" i="30"/>
  <c r="KP289" i="30"/>
  <c r="KO289" i="30"/>
  <c r="KN289" i="30"/>
  <c r="KM289" i="30"/>
  <c r="KI289" i="30"/>
  <c r="KI290" i="30" s="1"/>
  <c r="KH289" i="30"/>
  <c r="KH297" i="30" s="1"/>
  <c r="KG289" i="30"/>
  <c r="KF289" i="30"/>
  <c r="KB289" i="30"/>
  <c r="KA289" i="30"/>
  <c r="KA290" i="30" s="1"/>
  <c r="JZ289" i="30"/>
  <c r="JY289" i="30"/>
  <c r="JU289" i="30"/>
  <c r="JU290" i="30" s="1"/>
  <c r="JT289" i="30"/>
  <c r="JT290" i="30" s="1"/>
  <c r="JS289" i="30"/>
  <c r="JS290" i="30" s="1"/>
  <c r="JR289" i="30"/>
  <c r="JR297" i="30" s="1"/>
  <c r="JN289" i="30"/>
  <c r="JM289" i="30"/>
  <c r="JL289" i="30"/>
  <c r="JK289" i="30"/>
  <c r="JK290" i="30" s="1"/>
  <c r="JG289" i="30"/>
  <c r="JF289" i="30"/>
  <c r="JE289" i="30"/>
  <c r="JD289" i="30"/>
  <c r="IZ289" i="30"/>
  <c r="IZ297" i="30" s="1"/>
  <c r="IY289" i="30"/>
  <c r="IX289" i="30"/>
  <c r="IW289" i="30"/>
  <c r="IS289" i="30"/>
  <c r="IR289" i="30"/>
  <c r="IQ289" i="30"/>
  <c r="IP289" i="30"/>
  <c r="IP290" i="30" s="1"/>
  <c r="IL289" i="30"/>
  <c r="IK289" i="30"/>
  <c r="IK297" i="30" s="1"/>
  <c r="IJ289" i="30"/>
  <c r="IJ297" i="30" s="1"/>
  <c r="II289" i="30"/>
  <c r="IE289" i="30"/>
  <c r="ID289" i="30"/>
  <c r="IC289" i="30"/>
  <c r="IC290" i="30" s="1"/>
  <c r="IB289" i="30"/>
  <c r="HX289" i="30"/>
  <c r="HW289" i="30"/>
  <c r="HV289" i="30"/>
  <c r="HU289" i="30"/>
  <c r="HU297" i="30" s="1"/>
  <c r="HQ289" i="30"/>
  <c r="HP289" i="30"/>
  <c r="HO289" i="30"/>
  <c r="HN289" i="30"/>
  <c r="HJ289" i="30"/>
  <c r="HI289" i="30"/>
  <c r="HH289" i="30"/>
  <c r="HH290" i="30" s="1"/>
  <c r="HG289" i="30"/>
  <c r="HG290" i="30" s="1"/>
  <c r="HC289" i="30"/>
  <c r="HB289" i="30"/>
  <c r="HA289" i="30"/>
  <c r="GZ289" i="30"/>
  <c r="GV289" i="30"/>
  <c r="GU289" i="30"/>
  <c r="GT289" i="30"/>
  <c r="GS289" i="30"/>
  <c r="GO289" i="30"/>
  <c r="GN289" i="30"/>
  <c r="GM289" i="30"/>
  <c r="GM297" i="30" s="1"/>
  <c r="GL289" i="30"/>
  <c r="GL297" i="30" s="1"/>
  <c r="E289" i="30"/>
  <c r="KX288" i="30"/>
  <c r="KQ288" i="30"/>
  <c r="KJ288" i="30"/>
  <c r="AT288" i="30" s="1"/>
  <c r="KC288" i="30"/>
  <c r="JV288" i="30"/>
  <c r="JO288" i="30"/>
  <c r="AQ288" i="30" s="1"/>
  <c r="JH288" i="30"/>
  <c r="JA288" i="30"/>
  <c r="AO288" i="30" s="1"/>
  <c r="IT288" i="30"/>
  <c r="AN288" i="30" s="1"/>
  <c r="IM288" i="30"/>
  <c r="IF288" i="30"/>
  <c r="HY288" i="30"/>
  <c r="AK288" i="30" s="1"/>
  <c r="HR288" i="30"/>
  <c r="AJ288" i="30" s="1"/>
  <c r="HK288" i="30"/>
  <c r="HD288" i="30"/>
  <c r="GW288" i="30"/>
  <c r="AG288" i="30" s="1"/>
  <c r="GP288" i="30"/>
  <c r="GP294" i="30" s="1"/>
  <c r="AF294" i="30" s="1"/>
  <c r="AE288" i="30"/>
  <c r="AD288" i="30"/>
  <c r="AC288" i="30"/>
  <c r="AB288" i="30"/>
  <c r="AA288" i="30"/>
  <c r="Z288" i="30"/>
  <c r="Y288" i="30"/>
  <c r="X288" i="30"/>
  <c r="W288" i="30"/>
  <c r="V288" i="30"/>
  <c r="U288" i="30"/>
  <c r="T288" i="30"/>
  <c r="S288" i="30"/>
  <c r="R288" i="30"/>
  <c r="Q288" i="30"/>
  <c r="P288" i="30"/>
  <c r="O288" i="30"/>
  <c r="N288" i="30"/>
  <c r="AY287" i="30"/>
  <c r="AX287" i="30"/>
  <c r="AW287" i="30"/>
  <c r="AV287" i="30"/>
  <c r="AU287" i="30"/>
  <c r="AT287" i="30"/>
  <c r="AS287" i="30"/>
  <c r="AR287" i="30"/>
  <c r="AQ287" i="30"/>
  <c r="AP287" i="30"/>
  <c r="AO287" i="30"/>
  <c r="AN287" i="30"/>
  <c r="AM287" i="30"/>
  <c r="AL287" i="30"/>
  <c r="AK287" i="30"/>
  <c r="AJ287" i="30"/>
  <c r="AI287" i="30"/>
  <c r="AH287" i="30"/>
  <c r="AG287" i="30"/>
  <c r="AF287" i="30"/>
  <c r="AE287" i="30"/>
  <c r="AD287" i="30"/>
  <c r="AC287" i="30"/>
  <c r="AB287" i="30"/>
  <c r="AA287" i="30"/>
  <c r="Z287" i="30"/>
  <c r="Y287" i="30"/>
  <c r="X287" i="30"/>
  <c r="W287" i="30"/>
  <c r="V287" i="30"/>
  <c r="U287" i="30"/>
  <c r="T287" i="30"/>
  <c r="S287" i="30"/>
  <c r="R287" i="30"/>
  <c r="Q287" i="30"/>
  <c r="P287" i="30"/>
  <c r="O287" i="30"/>
  <c r="N287" i="30"/>
  <c r="AY286" i="30"/>
  <c r="AX286" i="30"/>
  <c r="AW286" i="30"/>
  <c r="AV286" i="30"/>
  <c r="AU286" i="30"/>
  <c r="AT286" i="30"/>
  <c r="AS286" i="30"/>
  <c r="AR286" i="30"/>
  <c r="AQ286" i="30"/>
  <c r="AP286" i="30"/>
  <c r="AO286" i="30"/>
  <c r="AN286" i="30"/>
  <c r="AM286" i="30"/>
  <c r="AL286" i="30"/>
  <c r="AK286" i="30"/>
  <c r="AJ286" i="30"/>
  <c r="AI286" i="30"/>
  <c r="AH286" i="30"/>
  <c r="AG286" i="30"/>
  <c r="AF286" i="30"/>
  <c r="AE286" i="30"/>
  <c r="AD286" i="30"/>
  <c r="AC286" i="30"/>
  <c r="AB286" i="30"/>
  <c r="AA286" i="30"/>
  <c r="Z286" i="30"/>
  <c r="Y286" i="30"/>
  <c r="X286" i="30"/>
  <c r="W286" i="30"/>
  <c r="V286" i="30"/>
  <c r="U286" i="30"/>
  <c r="T286" i="30"/>
  <c r="S286" i="30"/>
  <c r="R286" i="30"/>
  <c r="Q286" i="30"/>
  <c r="P286" i="30"/>
  <c r="O286" i="30"/>
  <c r="N286" i="30"/>
  <c r="KX285" i="30"/>
  <c r="KQ285" i="30"/>
  <c r="KJ285" i="30"/>
  <c r="AT285" i="30" s="1"/>
  <c r="KC285" i="30"/>
  <c r="AS285" i="30" s="1"/>
  <c r="JV285" i="30"/>
  <c r="AR285" i="30" s="1"/>
  <c r="JO285" i="30"/>
  <c r="JH285" i="30"/>
  <c r="AP285" i="30" s="1"/>
  <c r="JA285" i="30"/>
  <c r="AO285" i="30" s="1"/>
  <c r="IT285" i="30"/>
  <c r="IM285" i="30"/>
  <c r="AM285" i="30" s="1"/>
  <c r="IF285" i="30"/>
  <c r="AL285" i="30" s="1"/>
  <c r="HY285" i="30"/>
  <c r="AK285" i="30" s="1"/>
  <c r="HR285" i="30"/>
  <c r="HK285" i="30"/>
  <c r="HD285" i="30"/>
  <c r="AH285" i="30" s="1"/>
  <c r="GW285" i="30"/>
  <c r="AG285" i="30" s="1"/>
  <c r="GP285" i="30"/>
  <c r="AF285" i="30" s="1"/>
  <c r="GI285" i="30"/>
  <c r="GI289" i="30" s="1"/>
  <c r="GH285" i="30"/>
  <c r="GO293" i="30" s="1"/>
  <c r="GG285" i="30"/>
  <c r="GN293" i="30" s="1"/>
  <c r="GF285" i="30"/>
  <c r="GF289" i="30" s="1"/>
  <c r="GE285" i="30"/>
  <c r="GE289" i="30" s="1"/>
  <c r="GB285" i="30"/>
  <c r="GA285" i="30"/>
  <c r="FZ285" i="30"/>
  <c r="FY285" i="30"/>
  <c r="FX285" i="30"/>
  <c r="FU285" i="30"/>
  <c r="AC285" i="30" s="1"/>
  <c r="FT285" i="30"/>
  <c r="FS285" i="30"/>
  <c r="FR285" i="30"/>
  <c r="FR289" i="30" s="1"/>
  <c r="FQ285" i="30"/>
  <c r="FQ289" i="30" s="1"/>
  <c r="FN285" i="30"/>
  <c r="FN289" i="30" s="1"/>
  <c r="FM285" i="30"/>
  <c r="FM289" i="30" s="1"/>
  <c r="FL285" i="30"/>
  <c r="FL289" i="30" s="1"/>
  <c r="FK285" i="30"/>
  <c r="FJ285" i="30"/>
  <c r="FG285" i="30"/>
  <c r="FF285" i="30"/>
  <c r="FE285" i="30"/>
  <c r="FD285" i="30"/>
  <c r="FC285" i="30"/>
  <c r="EZ285" i="30"/>
  <c r="EZ289" i="30" s="1"/>
  <c r="Z289" i="30" s="1"/>
  <c r="EY285" i="30"/>
  <c r="EY289" i="30" s="1"/>
  <c r="EX285" i="30"/>
  <c r="EW285" i="30"/>
  <c r="EV285" i="30"/>
  <c r="ES285" i="30"/>
  <c r="ER285" i="30"/>
  <c r="EQ285" i="30"/>
  <c r="EP285" i="30"/>
  <c r="EO285" i="30"/>
  <c r="EL285" i="30"/>
  <c r="X285" i="30" s="1"/>
  <c r="EK285" i="30"/>
  <c r="EJ285" i="30"/>
  <c r="EJ289" i="30" s="1"/>
  <c r="EI285" i="30"/>
  <c r="EI289" i="30" s="1"/>
  <c r="EH285" i="30"/>
  <c r="EH289" i="30" s="1"/>
  <c r="EE285" i="30"/>
  <c r="EE289" i="30" s="1"/>
  <c r="ED285" i="30"/>
  <c r="EC285" i="30"/>
  <c r="EB285" i="30"/>
  <c r="EA285" i="30"/>
  <c r="DX285" i="30"/>
  <c r="V285" i="30" s="1"/>
  <c r="DW285" i="30"/>
  <c r="DV285" i="30"/>
  <c r="DU285" i="30"/>
  <c r="DT285" i="30"/>
  <c r="DT289" i="30" s="1"/>
  <c r="DQ285" i="30"/>
  <c r="DP285" i="30"/>
  <c r="DO285" i="30"/>
  <c r="DO289" i="30" s="1"/>
  <c r="DN285" i="30"/>
  <c r="DN289" i="30" s="1"/>
  <c r="DN290" i="30" s="1"/>
  <c r="DM285" i="30"/>
  <c r="DJ285" i="30"/>
  <c r="DI285" i="30"/>
  <c r="DH285" i="30"/>
  <c r="DG285" i="30"/>
  <c r="DF285" i="30"/>
  <c r="DC285" i="30"/>
  <c r="DC289" i="30" s="1"/>
  <c r="DB285" i="30"/>
  <c r="DB289" i="30" s="1"/>
  <c r="DA285" i="30"/>
  <c r="DA289" i="30" s="1"/>
  <c r="CZ285" i="30"/>
  <c r="CZ289" i="30" s="1"/>
  <c r="CY285" i="30"/>
  <c r="CY289" i="30" s="1"/>
  <c r="CV285" i="30"/>
  <c r="R285" i="30" s="1"/>
  <c r="CU285" i="30"/>
  <c r="CT285" i="30"/>
  <c r="CS285" i="30"/>
  <c r="CR285" i="30"/>
  <c r="CO285" i="30"/>
  <c r="Q285" i="30" s="1"/>
  <c r="CN285" i="30"/>
  <c r="CM285" i="30"/>
  <c r="CL285" i="30"/>
  <c r="CL289" i="30" s="1"/>
  <c r="CK285" i="30"/>
  <c r="CK289" i="30" s="1"/>
  <c r="CH285" i="30"/>
  <c r="CH289" i="30" s="1"/>
  <c r="CG285" i="30"/>
  <c r="CF285" i="30"/>
  <c r="CF289" i="30" s="1"/>
  <c r="CE285" i="30"/>
  <c r="CD285" i="30"/>
  <c r="CA285" i="30"/>
  <c r="BZ285" i="30"/>
  <c r="BY285" i="30"/>
  <c r="BX285" i="30"/>
  <c r="BW285" i="30"/>
  <c r="BT285" i="30"/>
  <c r="BT289" i="30" s="1"/>
  <c r="N289" i="30" s="1"/>
  <c r="BS285" i="30"/>
  <c r="BS289" i="30" s="1"/>
  <c r="BR285" i="30"/>
  <c r="BQ285" i="30"/>
  <c r="BP285" i="30"/>
  <c r="BP289" i="30" s="1"/>
  <c r="M285" i="30"/>
  <c r="L285" i="30"/>
  <c r="K285" i="30"/>
  <c r="K289" i="30" s="1"/>
  <c r="J285" i="30"/>
  <c r="J289" i="30" s="1"/>
  <c r="I285" i="30"/>
  <c r="I289" i="30" s="1"/>
  <c r="H285" i="30"/>
  <c r="H289" i="30" s="1"/>
  <c r="G285" i="30"/>
  <c r="G289" i="30" s="1"/>
  <c r="F285" i="30"/>
  <c r="F289" i="30" s="1"/>
  <c r="AY284" i="30"/>
  <c r="AX284" i="30"/>
  <c r="AW284" i="30"/>
  <c r="AV284" i="30"/>
  <c r="AU284" i="30"/>
  <c r="AT284" i="30"/>
  <c r="AS284" i="30"/>
  <c r="AR284" i="30"/>
  <c r="AQ284" i="30"/>
  <c r="AP284" i="30"/>
  <c r="AO284" i="30"/>
  <c r="AN284" i="30"/>
  <c r="AM284" i="30"/>
  <c r="AL284" i="30"/>
  <c r="AK284" i="30"/>
  <c r="AJ284" i="30"/>
  <c r="AI284" i="30"/>
  <c r="AH284" i="30"/>
  <c r="AG284" i="30"/>
  <c r="AF284" i="30"/>
  <c r="AE284" i="30"/>
  <c r="AD284" i="30"/>
  <c r="AC284" i="30"/>
  <c r="AB284" i="30"/>
  <c r="AA284" i="30"/>
  <c r="Z284" i="30"/>
  <c r="Y284" i="30"/>
  <c r="X284" i="30"/>
  <c r="W284" i="30"/>
  <c r="V284" i="30"/>
  <c r="U284" i="30"/>
  <c r="T284" i="30"/>
  <c r="S284" i="30"/>
  <c r="R284" i="30"/>
  <c r="Q284" i="30"/>
  <c r="P284" i="30"/>
  <c r="O284" i="30"/>
  <c r="N284" i="30"/>
  <c r="AY283" i="30"/>
  <c r="AX283" i="30"/>
  <c r="AW283" i="30"/>
  <c r="AV283" i="30"/>
  <c r="AU283" i="30"/>
  <c r="AT283" i="30"/>
  <c r="AS283" i="30"/>
  <c r="AR283" i="30"/>
  <c r="AQ283" i="30"/>
  <c r="AP283" i="30"/>
  <c r="AO283" i="30"/>
  <c r="AN283" i="30"/>
  <c r="AM283" i="30"/>
  <c r="AL283" i="30"/>
  <c r="AK283" i="30"/>
  <c r="AJ283" i="30"/>
  <c r="AI283" i="30"/>
  <c r="AH283" i="30"/>
  <c r="AG283" i="30"/>
  <c r="AF283" i="30"/>
  <c r="AE283" i="30"/>
  <c r="AD283" i="30"/>
  <c r="AC283" i="30"/>
  <c r="AB283" i="30"/>
  <c r="AA283" i="30"/>
  <c r="Z283" i="30"/>
  <c r="Y283" i="30"/>
  <c r="X283" i="30"/>
  <c r="W283" i="30"/>
  <c r="V283" i="30"/>
  <c r="U283" i="30"/>
  <c r="T283" i="30"/>
  <c r="S283" i="30"/>
  <c r="R283" i="30"/>
  <c r="Q283" i="30"/>
  <c r="P283" i="30"/>
  <c r="O283" i="30"/>
  <c r="N283" i="30"/>
  <c r="N108" i="30"/>
  <c r="KW106" i="30"/>
  <c r="KV106" i="30"/>
  <c r="KU106" i="30"/>
  <c r="KT106" i="30"/>
  <c r="KP106" i="30"/>
  <c r="KO106" i="30"/>
  <c r="KN106" i="30"/>
  <c r="KM106" i="30"/>
  <c r="KI106" i="30"/>
  <c r="KH106" i="30"/>
  <c r="KG106" i="30"/>
  <c r="KF106" i="30"/>
  <c r="KB106" i="30"/>
  <c r="KA106" i="30"/>
  <c r="JZ106" i="30"/>
  <c r="JY106" i="30"/>
  <c r="JU106" i="30"/>
  <c r="JT106" i="30"/>
  <c r="JS106" i="30"/>
  <c r="JR106" i="30"/>
  <c r="JN106" i="30"/>
  <c r="JM106" i="30"/>
  <c r="JL106" i="30"/>
  <c r="JK106" i="30"/>
  <c r="JG106" i="30"/>
  <c r="JF106" i="30"/>
  <c r="JE106" i="30"/>
  <c r="JD106" i="30"/>
  <c r="IZ106" i="30"/>
  <c r="IY106" i="30"/>
  <c r="IX106" i="30"/>
  <c r="IW106" i="30"/>
  <c r="IS106" i="30"/>
  <c r="IR106" i="30"/>
  <c r="IQ106" i="30"/>
  <c r="IP106" i="30"/>
  <c r="IL106" i="30"/>
  <c r="IK106" i="30"/>
  <c r="IJ106" i="30"/>
  <c r="II106" i="30"/>
  <c r="IE106" i="30"/>
  <c r="ID106" i="30"/>
  <c r="IC106" i="30"/>
  <c r="IB106" i="30"/>
  <c r="HX106" i="30"/>
  <c r="HW106" i="30"/>
  <c r="HV106" i="30"/>
  <c r="HU106" i="30"/>
  <c r="HQ106" i="30"/>
  <c r="HP106" i="30"/>
  <c r="HO106" i="30"/>
  <c r="HN106" i="30"/>
  <c r="HJ106" i="30"/>
  <c r="HI106" i="30"/>
  <c r="HH106" i="30"/>
  <c r="HG106" i="30"/>
  <c r="HC106" i="30"/>
  <c r="HB106" i="30"/>
  <c r="HA106" i="30"/>
  <c r="GZ106" i="30"/>
  <c r="GV106" i="30"/>
  <c r="GU106" i="30"/>
  <c r="GT106" i="30"/>
  <c r="GS106" i="30"/>
  <c r="GO106" i="30"/>
  <c r="GN106" i="30"/>
  <c r="GM106" i="30"/>
  <c r="GL106" i="30"/>
  <c r="GH106" i="30"/>
  <c r="GG106" i="30"/>
  <c r="GF106" i="30"/>
  <c r="GE106" i="30"/>
  <c r="GA106" i="30"/>
  <c r="FZ106" i="30"/>
  <c r="FY106" i="30"/>
  <c r="FX106" i="30"/>
  <c r="FT106" i="30"/>
  <c r="FS106" i="30"/>
  <c r="FR106" i="30"/>
  <c r="FQ106" i="30"/>
  <c r="FM106" i="30"/>
  <c r="FL106" i="30"/>
  <c r="FK106" i="30"/>
  <c r="FJ106" i="30"/>
  <c r="FF106" i="30"/>
  <c r="FE106" i="30"/>
  <c r="FD106" i="30"/>
  <c r="FC106" i="30"/>
  <c r="EY106" i="30"/>
  <c r="EX106" i="30"/>
  <c r="EW106" i="30"/>
  <c r="EV106" i="30"/>
  <c r="ER106" i="30"/>
  <c r="EQ106" i="30"/>
  <c r="EP106" i="30"/>
  <c r="EO106" i="30"/>
  <c r="EK106" i="30"/>
  <c r="EJ106" i="30"/>
  <c r="EI106" i="30"/>
  <c r="EH106" i="30"/>
  <c r="ED106" i="30"/>
  <c r="EC106" i="30"/>
  <c r="EB106" i="30"/>
  <c r="EA106" i="30"/>
  <c r="DW106" i="30"/>
  <c r="DV106" i="30"/>
  <c r="DU106" i="30"/>
  <c r="DT106" i="30"/>
  <c r="DP106" i="30"/>
  <c r="DO106" i="30"/>
  <c r="DN106" i="30"/>
  <c r="DM106" i="30"/>
  <c r="DI106" i="30"/>
  <c r="DH106" i="30"/>
  <c r="DG106" i="30"/>
  <c r="DF106" i="30"/>
  <c r="DB106" i="30"/>
  <c r="DA106" i="30"/>
  <c r="CZ106" i="30"/>
  <c r="CY106" i="30"/>
  <c r="CU106" i="30"/>
  <c r="CT106" i="30"/>
  <c r="CS106" i="30"/>
  <c r="CR106" i="30"/>
  <c r="CN106" i="30"/>
  <c r="CM106" i="30"/>
  <c r="CL106" i="30"/>
  <c r="CK106" i="30"/>
  <c r="CG106" i="30"/>
  <c r="CF106" i="30"/>
  <c r="CE106" i="30"/>
  <c r="CD106" i="30"/>
  <c r="N106" i="30"/>
  <c r="KW105" i="30"/>
  <c r="KV105" i="30"/>
  <c r="KU105" i="30"/>
  <c r="KT105" i="30"/>
  <c r="KP105" i="30"/>
  <c r="KO105" i="30"/>
  <c r="KN105" i="30"/>
  <c r="KM105" i="30"/>
  <c r="KI105" i="30"/>
  <c r="KH105" i="30"/>
  <c r="KG105" i="30"/>
  <c r="KF105" i="30"/>
  <c r="KB105" i="30"/>
  <c r="KA105" i="30"/>
  <c r="JZ105" i="30"/>
  <c r="JY105" i="30"/>
  <c r="JU105" i="30"/>
  <c r="JT105" i="30"/>
  <c r="JS105" i="30"/>
  <c r="JR105" i="30"/>
  <c r="JN105" i="30"/>
  <c r="JM105" i="30"/>
  <c r="JL105" i="30"/>
  <c r="JK105" i="30"/>
  <c r="JG105" i="30"/>
  <c r="JF105" i="30"/>
  <c r="JE105" i="30"/>
  <c r="JD105" i="30"/>
  <c r="IZ105" i="30"/>
  <c r="IY105" i="30"/>
  <c r="IX105" i="30"/>
  <c r="IW105" i="30"/>
  <c r="IS105" i="30"/>
  <c r="IR105" i="30"/>
  <c r="IQ105" i="30"/>
  <c r="IP105" i="30"/>
  <c r="IL105" i="30"/>
  <c r="IK105" i="30"/>
  <c r="IJ105" i="30"/>
  <c r="II105" i="30"/>
  <c r="IE105" i="30"/>
  <c r="ID105" i="30"/>
  <c r="IC105" i="30"/>
  <c r="IB105" i="30"/>
  <c r="HX105" i="30"/>
  <c r="HW105" i="30"/>
  <c r="HV105" i="30"/>
  <c r="HU105" i="30"/>
  <c r="HQ105" i="30"/>
  <c r="HP105" i="30"/>
  <c r="HO105" i="30"/>
  <c r="HN105" i="30"/>
  <c r="HJ105" i="30"/>
  <c r="HI105" i="30"/>
  <c r="HH105" i="30"/>
  <c r="HG105" i="30"/>
  <c r="HC105" i="30"/>
  <c r="HB105" i="30"/>
  <c r="HA105" i="30"/>
  <c r="GZ105" i="30"/>
  <c r="GV105" i="30"/>
  <c r="GU105" i="30"/>
  <c r="GT105" i="30"/>
  <c r="GS105" i="30"/>
  <c r="GO105" i="30"/>
  <c r="GN105" i="30"/>
  <c r="GM105" i="30"/>
  <c r="GL105" i="30"/>
  <c r="GH105" i="30"/>
  <c r="GG105" i="30"/>
  <c r="GF105" i="30"/>
  <c r="GE105" i="30"/>
  <c r="CG105" i="30"/>
  <c r="CF105" i="30"/>
  <c r="CE105" i="30"/>
  <c r="CD105" i="30"/>
  <c r="N105" i="30"/>
  <c r="N103" i="30"/>
  <c r="KW101" i="30"/>
  <c r="KV101" i="30"/>
  <c r="KU101" i="30"/>
  <c r="KT101" i="30"/>
  <c r="KP101" i="30"/>
  <c r="KO101" i="30"/>
  <c r="KN101" i="30"/>
  <c r="KM101" i="30"/>
  <c r="KI101" i="30"/>
  <c r="KH101" i="30"/>
  <c r="KG101" i="30"/>
  <c r="KF101" i="30"/>
  <c r="KB101" i="30"/>
  <c r="KA101" i="30"/>
  <c r="JZ101" i="30"/>
  <c r="JY101" i="30"/>
  <c r="JU101" i="30"/>
  <c r="JT101" i="30"/>
  <c r="JS101" i="30"/>
  <c r="JR101" i="30"/>
  <c r="JN101" i="30"/>
  <c r="JM101" i="30"/>
  <c r="JL101" i="30"/>
  <c r="JK101" i="30"/>
  <c r="JG101" i="30"/>
  <c r="JF101" i="30"/>
  <c r="JE101" i="30"/>
  <c r="JD101" i="30"/>
  <c r="IZ101" i="30"/>
  <c r="IY101" i="30"/>
  <c r="IX101" i="30"/>
  <c r="IW101" i="30"/>
  <c r="IS101" i="30"/>
  <c r="IR101" i="30"/>
  <c r="IQ101" i="30"/>
  <c r="IP101" i="30"/>
  <c r="IL101" i="30"/>
  <c r="IK101" i="30"/>
  <c r="IJ101" i="30"/>
  <c r="II101" i="30"/>
  <c r="IE101" i="30"/>
  <c r="ID101" i="30"/>
  <c r="IC101" i="30"/>
  <c r="IB101" i="30"/>
  <c r="HX101" i="30"/>
  <c r="HW101" i="30"/>
  <c r="HV101" i="30"/>
  <c r="HU101" i="30"/>
  <c r="HQ101" i="30"/>
  <c r="HP101" i="30"/>
  <c r="HO101" i="30"/>
  <c r="HN101" i="30"/>
  <c r="HJ101" i="30"/>
  <c r="HI101" i="30"/>
  <c r="HH101" i="30"/>
  <c r="HG101" i="30"/>
  <c r="HC101" i="30"/>
  <c r="HB101" i="30"/>
  <c r="HA101" i="30"/>
  <c r="GZ101" i="30"/>
  <c r="GV101" i="30"/>
  <c r="GU101" i="30"/>
  <c r="GT101" i="30"/>
  <c r="GS101" i="30"/>
  <c r="GO101" i="30"/>
  <c r="GN101" i="30"/>
  <c r="GM101" i="30"/>
  <c r="GL101" i="30"/>
  <c r="GH101" i="30"/>
  <c r="GG101" i="30"/>
  <c r="GF101" i="30"/>
  <c r="GE101" i="30"/>
  <c r="GA101" i="30"/>
  <c r="FZ101" i="30"/>
  <c r="FY101" i="30"/>
  <c r="FX101" i="30"/>
  <c r="FT101" i="30"/>
  <c r="FS101" i="30"/>
  <c r="FR101" i="30"/>
  <c r="FQ101" i="30"/>
  <c r="FM101" i="30"/>
  <c r="FL101" i="30"/>
  <c r="FK101" i="30"/>
  <c r="FJ101" i="30"/>
  <c r="FF101" i="30"/>
  <c r="FE101" i="30"/>
  <c r="FD101" i="30"/>
  <c r="FC101" i="30"/>
  <c r="EY101" i="30"/>
  <c r="EX101" i="30"/>
  <c r="EW101" i="30"/>
  <c r="EV101" i="30"/>
  <c r="ER101" i="30"/>
  <c r="EQ101" i="30"/>
  <c r="EP101" i="30"/>
  <c r="EO101" i="30"/>
  <c r="EK101" i="30"/>
  <c r="EJ101" i="30"/>
  <c r="EI101" i="30"/>
  <c r="EH101" i="30"/>
  <c r="ED101" i="30"/>
  <c r="EC101" i="30"/>
  <c r="EB101" i="30"/>
  <c r="EA101" i="30"/>
  <c r="DW101" i="30"/>
  <c r="DV101" i="30"/>
  <c r="DU101" i="30"/>
  <c r="DT101" i="30"/>
  <c r="DP101" i="30"/>
  <c r="DO101" i="30"/>
  <c r="DN101" i="30"/>
  <c r="DM101" i="30"/>
  <c r="DI101" i="30"/>
  <c r="DH101" i="30"/>
  <c r="DG101" i="30"/>
  <c r="DF101" i="30"/>
  <c r="DB101" i="30"/>
  <c r="DA101" i="30"/>
  <c r="CZ101" i="30"/>
  <c r="CY101" i="30"/>
  <c r="CU101" i="30"/>
  <c r="CT101" i="30"/>
  <c r="CS101" i="30"/>
  <c r="CR101" i="30"/>
  <c r="CN101" i="30"/>
  <c r="CM101" i="30"/>
  <c r="CL101" i="30"/>
  <c r="CK101" i="30"/>
  <c r="CG101" i="30"/>
  <c r="CF101" i="30"/>
  <c r="CE101" i="30"/>
  <c r="CD101" i="30"/>
  <c r="N101" i="30"/>
  <c r="KW100" i="30"/>
  <c r="KV100" i="30"/>
  <c r="KU100" i="30"/>
  <c r="KT100" i="30"/>
  <c r="KP100" i="30"/>
  <c r="KO100" i="30"/>
  <c r="KN100" i="30"/>
  <c r="KM100" i="30"/>
  <c r="KI100" i="30"/>
  <c r="KH100" i="30"/>
  <c r="KG100" i="30"/>
  <c r="KF100" i="30"/>
  <c r="KB100" i="30"/>
  <c r="KA100" i="30"/>
  <c r="JZ100" i="30"/>
  <c r="JY100" i="30"/>
  <c r="JU100" i="30"/>
  <c r="JT100" i="30"/>
  <c r="JS100" i="30"/>
  <c r="JR100" i="30"/>
  <c r="JN100" i="30"/>
  <c r="JM100" i="30"/>
  <c r="JL100" i="30"/>
  <c r="JK100" i="30"/>
  <c r="JG100" i="30"/>
  <c r="JF100" i="30"/>
  <c r="JE100" i="30"/>
  <c r="JD100" i="30"/>
  <c r="IZ100" i="30"/>
  <c r="IY100" i="30"/>
  <c r="IX100" i="30"/>
  <c r="IW100" i="30"/>
  <c r="IS100" i="30"/>
  <c r="IR100" i="30"/>
  <c r="IQ100" i="30"/>
  <c r="IP100" i="30"/>
  <c r="IL100" i="30"/>
  <c r="IK100" i="30"/>
  <c r="IJ100" i="30"/>
  <c r="II100" i="30"/>
  <c r="IE100" i="30"/>
  <c r="ID100" i="30"/>
  <c r="IC100" i="30"/>
  <c r="IB100" i="30"/>
  <c r="HX100" i="30"/>
  <c r="HW100" i="30"/>
  <c r="HV100" i="30"/>
  <c r="HU100" i="30"/>
  <c r="HQ100" i="30"/>
  <c r="HP100" i="30"/>
  <c r="HO100" i="30"/>
  <c r="HN100" i="30"/>
  <c r="HJ100" i="30"/>
  <c r="HI100" i="30"/>
  <c r="HH100" i="30"/>
  <c r="HG100" i="30"/>
  <c r="HC100" i="30"/>
  <c r="HB100" i="30"/>
  <c r="HA100" i="30"/>
  <c r="GZ100" i="30"/>
  <c r="GV100" i="30"/>
  <c r="GU100" i="30"/>
  <c r="GT100" i="30"/>
  <c r="GS100" i="30"/>
  <c r="GO100" i="30"/>
  <c r="GN100" i="30"/>
  <c r="GM100" i="30"/>
  <c r="GL100" i="30"/>
  <c r="GH100" i="30"/>
  <c r="GG100" i="30"/>
  <c r="GF100" i="30"/>
  <c r="GE100" i="30"/>
  <c r="GA100" i="30"/>
  <c r="FZ100" i="30"/>
  <c r="FY100" i="30"/>
  <c r="FX100" i="30"/>
  <c r="FT100" i="30"/>
  <c r="FS100" i="30"/>
  <c r="FR100" i="30"/>
  <c r="FQ100" i="30"/>
  <c r="FM100" i="30"/>
  <c r="FL100" i="30"/>
  <c r="FK100" i="30"/>
  <c r="FJ100" i="30"/>
  <c r="FF100" i="30"/>
  <c r="FE100" i="30"/>
  <c r="FD100" i="30"/>
  <c r="FC100" i="30"/>
  <c r="EY100" i="30"/>
  <c r="EX100" i="30"/>
  <c r="EW100" i="30"/>
  <c r="EV100" i="30"/>
  <c r="ER100" i="30"/>
  <c r="EQ100" i="30"/>
  <c r="EP100" i="30"/>
  <c r="EO100" i="30"/>
  <c r="EK100" i="30"/>
  <c r="EJ100" i="30"/>
  <c r="EI100" i="30"/>
  <c r="EH100" i="30"/>
  <c r="ED100" i="30"/>
  <c r="EC100" i="30"/>
  <c r="EB100" i="30"/>
  <c r="EA100" i="30"/>
  <c r="DW100" i="30"/>
  <c r="DV100" i="30"/>
  <c r="DU100" i="30"/>
  <c r="DT100" i="30"/>
  <c r="DP100" i="30"/>
  <c r="DO100" i="30"/>
  <c r="DN100" i="30"/>
  <c r="DM100" i="30"/>
  <c r="DI100" i="30"/>
  <c r="DH100" i="30"/>
  <c r="DG100" i="30"/>
  <c r="DF100" i="30"/>
  <c r="DB100" i="30"/>
  <c r="DA100" i="30"/>
  <c r="CZ100" i="30"/>
  <c r="CY100" i="30"/>
  <c r="CU100" i="30"/>
  <c r="CT100" i="30"/>
  <c r="CS100" i="30"/>
  <c r="CR100" i="30"/>
  <c r="CN100" i="30"/>
  <c r="CM100" i="30"/>
  <c r="CL100" i="30"/>
  <c r="CK100" i="30"/>
  <c r="CG100" i="30"/>
  <c r="CF100" i="30"/>
  <c r="CE100" i="30"/>
  <c r="CD100" i="30"/>
  <c r="N100" i="30"/>
  <c r="KW99" i="30"/>
  <c r="KV99" i="30"/>
  <c r="KU99" i="30"/>
  <c r="KT99" i="30"/>
  <c r="KP99" i="30"/>
  <c r="KO99" i="30"/>
  <c r="KN99" i="30"/>
  <c r="KM99" i="30"/>
  <c r="KI99" i="30"/>
  <c r="KH99" i="30"/>
  <c r="KG99" i="30"/>
  <c r="KF99" i="30"/>
  <c r="KB99" i="30"/>
  <c r="KA99" i="30"/>
  <c r="JZ99" i="30"/>
  <c r="JY99" i="30"/>
  <c r="JU99" i="30"/>
  <c r="JT99" i="30"/>
  <c r="JS99" i="30"/>
  <c r="JR99" i="30"/>
  <c r="JN99" i="30"/>
  <c r="JM99" i="30"/>
  <c r="JL99" i="30"/>
  <c r="JK99" i="30"/>
  <c r="JG99" i="30"/>
  <c r="JF99" i="30"/>
  <c r="JE99" i="30"/>
  <c r="JD99" i="30"/>
  <c r="IZ99" i="30"/>
  <c r="IY99" i="30"/>
  <c r="IX99" i="30"/>
  <c r="IW99" i="30"/>
  <c r="IS99" i="30"/>
  <c r="IR99" i="30"/>
  <c r="IQ99" i="30"/>
  <c r="IP99" i="30"/>
  <c r="IL99" i="30"/>
  <c r="IK99" i="30"/>
  <c r="IJ99" i="30"/>
  <c r="II99" i="30"/>
  <c r="IE99" i="30"/>
  <c r="ID99" i="30"/>
  <c r="IC99" i="30"/>
  <c r="IB99" i="30"/>
  <c r="HX99" i="30"/>
  <c r="HW99" i="30"/>
  <c r="HV99" i="30"/>
  <c r="HU99" i="30"/>
  <c r="HQ99" i="30"/>
  <c r="HP99" i="30"/>
  <c r="HO99" i="30"/>
  <c r="HN99" i="30"/>
  <c r="HJ99" i="30"/>
  <c r="HI99" i="30"/>
  <c r="HH99" i="30"/>
  <c r="HG99" i="30"/>
  <c r="HC99" i="30"/>
  <c r="HB99" i="30"/>
  <c r="HA99" i="30"/>
  <c r="GZ99" i="30"/>
  <c r="GV99" i="30"/>
  <c r="GU99" i="30"/>
  <c r="GT99" i="30"/>
  <c r="GS99" i="30"/>
  <c r="GO99" i="30"/>
  <c r="GN99" i="30"/>
  <c r="GM99" i="30"/>
  <c r="GL99" i="30"/>
  <c r="GH99" i="30"/>
  <c r="GG99" i="30"/>
  <c r="GF99" i="30"/>
  <c r="GE99" i="30"/>
  <c r="GA99" i="30"/>
  <c r="FZ99" i="30"/>
  <c r="FY99" i="30"/>
  <c r="FX99" i="30"/>
  <c r="FT99" i="30"/>
  <c r="FS99" i="30"/>
  <c r="FR99" i="30"/>
  <c r="FQ99" i="30"/>
  <c r="FM99" i="30"/>
  <c r="FL99" i="30"/>
  <c r="FK99" i="30"/>
  <c r="FJ99" i="30"/>
  <c r="FF99" i="30"/>
  <c r="FE99" i="30"/>
  <c r="FD99" i="30"/>
  <c r="FC99" i="30"/>
  <c r="EY99" i="30"/>
  <c r="EX99" i="30"/>
  <c r="EW99" i="30"/>
  <c r="EV99" i="30"/>
  <c r="ER99" i="30"/>
  <c r="EQ99" i="30"/>
  <c r="EP99" i="30"/>
  <c r="EO99" i="30"/>
  <c r="EK99" i="30"/>
  <c r="EJ99" i="30"/>
  <c r="EI99" i="30"/>
  <c r="EH99" i="30"/>
  <c r="ED99" i="30"/>
  <c r="EC99" i="30"/>
  <c r="EB99" i="30"/>
  <c r="EA99" i="30"/>
  <c r="DW99" i="30"/>
  <c r="DV99" i="30"/>
  <c r="DU99" i="30"/>
  <c r="DT99" i="30"/>
  <c r="DP99" i="30"/>
  <c r="DO99" i="30"/>
  <c r="DN99" i="30"/>
  <c r="DM99" i="30"/>
  <c r="DI99" i="30"/>
  <c r="DH99" i="30"/>
  <c r="DG99" i="30"/>
  <c r="DF99" i="30"/>
  <c r="DB99" i="30"/>
  <c r="DA99" i="30"/>
  <c r="CZ99" i="30"/>
  <c r="CY99" i="30"/>
  <c r="CU99" i="30"/>
  <c r="CT99" i="30"/>
  <c r="CS99" i="30"/>
  <c r="CR99" i="30"/>
  <c r="CN99" i="30"/>
  <c r="CM99" i="30"/>
  <c r="CL99" i="30"/>
  <c r="CK99" i="30"/>
  <c r="CG99" i="30"/>
  <c r="CF99" i="30"/>
  <c r="CE99" i="30"/>
  <c r="CD99" i="30"/>
  <c r="N99" i="30"/>
  <c r="KW98" i="30"/>
  <c r="KV98" i="30"/>
  <c r="KU98" i="30"/>
  <c r="KT98" i="30"/>
  <c r="KP98" i="30"/>
  <c r="KO98" i="30"/>
  <c r="KN98" i="30"/>
  <c r="KM98" i="30"/>
  <c r="KI98" i="30"/>
  <c r="KH98" i="30"/>
  <c r="KG98" i="30"/>
  <c r="KF98" i="30"/>
  <c r="KB98" i="30"/>
  <c r="KA98" i="30"/>
  <c r="JZ98" i="30"/>
  <c r="JY98" i="30"/>
  <c r="JU98" i="30"/>
  <c r="JT98" i="30"/>
  <c r="JS98" i="30"/>
  <c r="JR98" i="30"/>
  <c r="JN98" i="30"/>
  <c r="JM98" i="30"/>
  <c r="JL98" i="30"/>
  <c r="JK98" i="30"/>
  <c r="JG98" i="30"/>
  <c r="JF98" i="30"/>
  <c r="JE98" i="30"/>
  <c r="JD98" i="30"/>
  <c r="IZ98" i="30"/>
  <c r="IY98" i="30"/>
  <c r="IX98" i="30"/>
  <c r="IW98" i="30"/>
  <c r="IS98" i="30"/>
  <c r="IR98" i="30"/>
  <c r="IQ98" i="30"/>
  <c r="IP98" i="30"/>
  <c r="IL98" i="30"/>
  <c r="IK98" i="30"/>
  <c r="IJ98" i="30"/>
  <c r="II98" i="30"/>
  <c r="IE98" i="30"/>
  <c r="ID98" i="30"/>
  <c r="IC98" i="30"/>
  <c r="IB98" i="30"/>
  <c r="HX98" i="30"/>
  <c r="HW98" i="30"/>
  <c r="HV98" i="30"/>
  <c r="HU98" i="30"/>
  <c r="HQ98" i="30"/>
  <c r="HP98" i="30"/>
  <c r="HO98" i="30"/>
  <c r="HN98" i="30"/>
  <c r="AI98" i="30"/>
  <c r="AH98" i="30"/>
  <c r="AG98" i="30"/>
  <c r="AF98" i="30"/>
  <c r="AE98" i="30"/>
  <c r="AD98" i="30"/>
  <c r="AC98" i="30"/>
  <c r="AB98" i="30"/>
  <c r="AA98" i="30"/>
  <c r="Z98" i="30"/>
  <c r="Y98" i="30"/>
  <c r="X98" i="30"/>
  <c r="W98" i="30"/>
  <c r="V98" i="30"/>
  <c r="U98" i="30"/>
  <c r="T98" i="30"/>
  <c r="S98" i="30"/>
  <c r="R98" i="30"/>
  <c r="Q98" i="30"/>
  <c r="P98" i="30"/>
  <c r="O98" i="30"/>
  <c r="N98" i="30"/>
  <c r="KW97" i="30"/>
  <c r="KV97" i="30"/>
  <c r="KU97" i="30"/>
  <c r="KT97" i="30"/>
  <c r="KP97" i="30"/>
  <c r="KO97" i="30"/>
  <c r="KN97" i="30"/>
  <c r="KM97" i="30"/>
  <c r="KI97" i="30"/>
  <c r="KH97" i="30"/>
  <c r="KG97" i="30"/>
  <c r="KF97" i="30"/>
  <c r="KB97" i="30"/>
  <c r="KA97" i="30"/>
  <c r="JZ97" i="30"/>
  <c r="JY97" i="30"/>
  <c r="JU97" i="30"/>
  <c r="JT97" i="30"/>
  <c r="JS97" i="30"/>
  <c r="JR97" i="30"/>
  <c r="JN97" i="30"/>
  <c r="JM97" i="30"/>
  <c r="JL97" i="30"/>
  <c r="JK97" i="30"/>
  <c r="JG97" i="30"/>
  <c r="JF97" i="30"/>
  <c r="JE97" i="30"/>
  <c r="JD97" i="30"/>
  <c r="IZ97" i="30"/>
  <c r="IY97" i="30"/>
  <c r="IX97" i="30"/>
  <c r="IW97" i="30"/>
  <c r="IS97" i="30"/>
  <c r="IR97" i="30"/>
  <c r="IQ97" i="30"/>
  <c r="IP97" i="30"/>
  <c r="IL97" i="30"/>
  <c r="IK97" i="30"/>
  <c r="IJ97" i="30"/>
  <c r="II97" i="30"/>
  <c r="IE97" i="30"/>
  <c r="ID97" i="30"/>
  <c r="IC97" i="30"/>
  <c r="IB97" i="30"/>
  <c r="HX97" i="30"/>
  <c r="HW97" i="30"/>
  <c r="HV97" i="30"/>
  <c r="HU97" i="30"/>
  <c r="HQ97" i="30"/>
  <c r="HP97" i="30"/>
  <c r="HO97" i="30"/>
  <c r="HN97" i="30"/>
  <c r="HJ97" i="30"/>
  <c r="HI97" i="30"/>
  <c r="HH97" i="30"/>
  <c r="HG97" i="30"/>
  <c r="HC97" i="30"/>
  <c r="HB97" i="30"/>
  <c r="HA97" i="30"/>
  <c r="GZ97" i="30"/>
  <c r="GV97" i="30"/>
  <c r="GU97" i="30"/>
  <c r="GT97" i="30"/>
  <c r="GS97" i="30"/>
  <c r="GO97" i="30"/>
  <c r="GN97" i="30"/>
  <c r="GM97" i="30"/>
  <c r="GL97" i="30"/>
  <c r="GH97" i="30"/>
  <c r="GG97" i="30"/>
  <c r="GF97" i="30"/>
  <c r="GE97" i="30"/>
  <c r="GA97" i="30"/>
  <c r="FZ97" i="30"/>
  <c r="FY97" i="30"/>
  <c r="FX97" i="30"/>
  <c r="FT97" i="30"/>
  <c r="FS97" i="30"/>
  <c r="FR97" i="30"/>
  <c r="FQ97" i="30"/>
  <c r="FM97" i="30"/>
  <c r="FL97" i="30"/>
  <c r="FK97" i="30"/>
  <c r="FJ97" i="30"/>
  <c r="FF97" i="30"/>
  <c r="FE97" i="30"/>
  <c r="FD97" i="30"/>
  <c r="FC97" i="30"/>
  <c r="EY97" i="30"/>
  <c r="EX97" i="30"/>
  <c r="EW97" i="30"/>
  <c r="EV97" i="30"/>
  <c r="ER97" i="30"/>
  <c r="EQ97" i="30"/>
  <c r="EP97" i="30"/>
  <c r="EO97" i="30"/>
  <c r="EK97" i="30"/>
  <c r="EJ97" i="30"/>
  <c r="EI97" i="30"/>
  <c r="EH97" i="30"/>
  <c r="ED97" i="30"/>
  <c r="EC97" i="30"/>
  <c r="EB97" i="30"/>
  <c r="EA97" i="30"/>
  <c r="DW97" i="30"/>
  <c r="DV97" i="30"/>
  <c r="DU97" i="30"/>
  <c r="DT97" i="30"/>
  <c r="DP97" i="30"/>
  <c r="DO97" i="30"/>
  <c r="DN97" i="30"/>
  <c r="DM97" i="30"/>
  <c r="DI97" i="30"/>
  <c r="DH97" i="30"/>
  <c r="DG97" i="30"/>
  <c r="DF97" i="30"/>
  <c r="DB97" i="30"/>
  <c r="DA97" i="30"/>
  <c r="CZ97" i="30"/>
  <c r="CY97" i="30"/>
  <c r="CU97" i="30"/>
  <c r="CT97" i="30"/>
  <c r="CS97" i="30"/>
  <c r="CR97" i="30"/>
  <c r="CN97" i="30"/>
  <c r="CM97" i="30"/>
  <c r="CL97" i="30"/>
  <c r="CK97" i="30"/>
  <c r="CG97" i="30"/>
  <c r="CF97" i="30"/>
  <c r="CE97" i="30"/>
  <c r="CD97" i="30"/>
  <c r="N97" i="30"/>
  <c r="KW96" i="30"/>
  <c r="KV96" i="30"/>
  <c r="KU96" i="30"/>
  <c r="KT96" i="30"/>
  <c r="KP96" i="30"/>
  <c r="KO96" i="30"/>
  <c r="KN96" i="30"/>
  <c r="KM96" i="30"/>
  <c r="KI96" i="30"/>
  <c r="KH96" i="30"/>
  <c r="KG96" i="30"/>
  <c r="KF96" i="30"/>
  <c r="KB96" i="30"/>
  <c r="KA96" i="30"/>
  <c r="JZ96" i="30"/>
  <c r="JY96" i="30"/>
  <c r="JU96" i="30"/>
  <c r="JT96" i="30"/>
  <c r="JS96" i="30"/>
  <c r="JR96" i="30"/>
  <c r="JN96" i="30"/>
  <c r="JM96" i="30"/>
  <c r="JL96" i="30"/>
  <c r="JK96" i="30"/>
  <c r="JG96" i="30"/>
  <c r="JF96" i="30"/>
  <c r="JE96" i="30"/>
  <c r="JD96" i="30"/>
  <c r="IZ96" i="30"/>
  <c r="IY96" i="30"/>
  <c r="IX96" i="30"/>
  <c r="IW96" i="30"/>
  <c r="IS96" i="30"/>
  <c r="IR96" i="30"/>
  <c r="IQ96" i="30"/>
  <c r="IP96" i="30"/>
  <c r="IL96" i="30"/>
  <c r="IK96" i="30"/>
  <c r="IJ96" i="30"/>
  <c r="II96" i="30"/>
  <c r="IE96" i="30"/>
  <c r="ID96" i="30"/>
  <c r="IC96" i="30"/>
  <c r="IB96" i="30"/>
  <c r="HX96" i="30"/>
  <c r="HW96" i="30"/>
  <c r="HV96" i="30"/>
  <c r="HU96" i="30"/>
  <c r="HQ96" i="30"/>
  <c r="HP96" i="30"/>
  <c r="HO96" i="30"/>
  <c r="HN96" i="30"/>
  <c r="HJ96" i="30"/>
  <c r="HI96" i="30"/>
  <c r="HH96" i="30"/>
  <c r="HG96" i="30"/>
  <c r="HC96" i="30"/>
  <c r="HB96" i="30"/>
  <c r="HA96" i="30"/>
  <c r="GZ96" i="30"/>
  <c r="GV96" i="30"/>
  <c r="GU96" i="30"/>
  <c r="GT96" i="30"/>
  <c r="GS96" i="30"/>
  <c r="GO96" i="30"/>
  <c r="GN96" i="30"/>
  <c r="GM96" i="30"/>
  <c r="GL96" i="30"/>
  <c r="GH96" i="30"/>
  <c r="GG96" i="30"/>
  <c r="GF96" i="30"/>
  <c r="GE96" i="30"/>
  <c r="FJ96" i="30"/>
  <c r="FF96" i="30"/>
  <c r="FE96" i="30"/>
  <c r="FD96" i="30"/>
  <c r="FC96" i="30"/>
  <c r="EY96" i="30"/>
  <c r="EX96" i="30"/>
  <c r="EW96" i="30"/>
  <c r="EV96" i="30"/>
  <c r="ER96" i="30"/>
  <c r="EQ96" i="30"/>
  <c r="EP96" i="30"/>
  <c r="EO96" i="30"/>
  <c r="EK96" i="30"/>
  <c r="EJ96" i="30"/>
  <c r="EI96" i="30"/>
  <c r="EH96" i="30"/>
  <c r="ED96" i="30"/>
  <c r="EC96" i="30"/>
  <c r="EB96" i="30"/>
  <c r="EA96" i="30"/>
  <c r="DW96" i="30"/>
  <c r="DV96" i="30"/>
  <c r="DU96" i="30"/>
  <c r="DT96" i="30"/>
  <c r="DP96" i="30"/>
  <c r="DO96" i="30"/>
  <c r="DN96" i="30"/>
  <c r="DM96" i="30"/>
  <c r="DI96" i="30"/>
  <c r="DH96" i="30"/>
  <c r="DG96" i="30"/>
  <c r="DF96" i="30"/>
  <c r="DB96" i="30"/>
  <c r="DA96" i="30"/>
  <c r="CZ96" i="30"/>
  <c r="CY96" i="30"/>
  <c r="CU96" i="30"/>
  <c r="CT96" i="30"/>
  <c r="CS96" i="30"/>
  <c r="CR96" i="30"/>
  <c r="CN96" i="30"/>
  <c r="CM96" i="30"/>
  <c r="CL96" i="30"/>
  <c r="CK96" i="30"/>
  <c r="CG96" i="30"/>
  <c r="CF96" i="30"/>
  <c r="CE96" i="30"/>
  <c r="CD96" i="30"/>
  <c r="N96" i="30"/>
  <c r="KW95" i="30"/>
  <c r="KV95" i="30"/>
  <c r="KU95" i="30"/>
  <c r="KT95" i="30"/>
  <c r="KP95" i="30"/>
  <c r="KO95" i="30"/>
  <c r="KN95" i="30"/>
  <c r="KM95" i="30"/>
  <c r="KI95" i="30"/>
  <c r="KH95" i="30"/>
  <c r="KG95" i="30"/>
  <c r="KF95" i="30"/>
  <c r="KB95" i="30"/>
  <c r="KA95" i="30"/>
  <c r="JZ95" i="30"/>
  <c r="JY95" i="30"/>
  <c r="JU95" i="30"/>
  <c r="JT95" i="30"/>
  <c r="JS95" i="30"/>
  <c r="JR95" i="30"/>
  <c r="JN95" i="30"/>
  <c r="JM95" i="30"/>
  <c r="JL95" i="30"/>
  <c r="JK95" i="30"/>
  <c r="JG95" i="30"/>
  <c r="JF95" i="30"/>
  <c r="JE95" i="30"/>
  <c r="JD95" i="30"/>
  <c r="IZ95" i="30"/>
  <c r="IY95" i="30"/>
  <c r="IX95" i="30"/>
  <c r="IW95" i="30"/>
  <c r="IS95" i="30"/>
  <c r="IR95" i="30"/>
  <c r="IQ95" i="30"/>
  <c r="IP95" i="30"/>
  <c r="IL95" i="30"/>
  <c r="IK95" i="30"/>
  <c r="IJ95" i="30"/>
  <c r="II95" i="30"/>
  <c r="IE95" i="30"/>
  <c r="ID95" i="30"/>
  <c r="IC95" i="30"/>
  <c r="IB95" i="30"/>
  <c r="HX95" i="30"/>
  <c r="HW95" i="30"/>
  <c r="HV95" i="30"/>
  <c r="HU95" i="30"/>
  <c r="HQ95" i="30"/>
  <c r="HP95" i="30"/>
  <c r="HO95" i="30"/>
  <c r="HN95" i="30"/>
  <c r="HJ95" i="30"/>
  <c r="HI95" i="30"/>
  <c r="HH95" i="30"/>
  <c r="HG95" i="30"/>
  <c r="HC95" i="30"/>
  <c r="HB95" i="30"/>
  <c r="HA95" i="30"/>
  <c r="GZ95" i="30"/>
  <c r="GV95" i="30"/>
  <c r="GU95" i="30"/>
  <c r="GT95" i="30"/>
  <c r="GS95" i="30"/>
  <c r="GO95" i="30"/>
  <c r="GN95" i="30"/>
  <c r="GM95" i="30"/>
  <c r="GL95" i="30"/>
  <c r="GH95" i="30"/>
  <c r="GG95" i="30"/>
  <c r="GF95" i="30"/>
  <c r="GE95" i="30"/>
  <c r="GA95" i="30"/>
  <c r="FZ95" i="30"/>
  <c r="FY95" i="30"/>
  <c r="FX95" i="30"/>
  <c r="FT95" i="30"/>
  <c r="FS95" i="30"/>
  <c r="FR95" i="30"/>
  <c r="FQ95" i="30"/>
  <c r="FM95" i="30"/>
  <c r="FL95" i="30"/>
  <c r="FK95" i="30"/>
  <c r="FJ95" i="30"/>
  <c r="FF95" i="30"/>
  <c r="FE95" i="30"/>
  <c r="FD95" i="30"/>
  <c r="FC95" i="30"/>
  <c r="EY95" i="30"/>
  <c r="EX95" i="30"/>
  <c r="EW95" i="30"/>
  <c r="EV95" i="30"/>
  <c r="ER95" i="30"/>
  <c r="EQ95" i="30"/>
  <c r="EP95" i="30"/>
  <c r="EO95" i="30"/>
  <c r="EK95" i="30"/>
  <c r="EJ95" i="30"/>
  <c r="EI95" i="30"/>
  <c r="EH95" i="30"/>
  <c r="ED95" i="30"/>
  <c r="EC95" i="30"/>
  <c r="EB95" i="30"/>
  <c r="EA95" i="30"/>
  <c r="DW95" i="30"/>
  <c r="DV95" i="30"/>
  <c r="DU95" i="30"/>
  <c r="DT95" i="30"/>
  <c r="DP95" i="30"/>
  <c r="DO95" i="30"/>
  <c r="DN95" i="30"/>
  <c r="DM95" i="30"/>
  <c r="DI95" i="30"/>
  <c r="DH95" i="30"/>
  <c r="DG95" i="30"/>
  <c r="DF95" i="30"/>
  <c r="DB95" i="30"/>
  <c r="DA95" i="30"/>
  <c r="CZ95" i="30"/>
  <c r="CY95" i="30"/>
  <c r="CU95" i="30"/>
  <c r="CT95" i="30"/>
  <c r="CS95" i="30"/>
  <c r="CR95" i="30"/>
  <c r="CN95" i="30"/>
  <c r="CM95" i="30"/>
  <c r="CL95" i="30"/>
  <c r="CK95" i="30"/>
  <c r="CG95" i="30"/>
  <c r="CF95" i="30"/>
  <c r="CE95" i="30"/>
  <c r="CD95" i="30"/>
  <c r="N95" i="30"/>
  <c r="AD91" i="30"/>
  <c r="AC91" i="30"/>
  <c r="AB91" i="30"/>
  <c r="AA91" i="30"/>
  <c r="Z91" i="30"/>
  <c r="Y91" i="30"/>
  <c r="X91" i="30"/>
  <c r="W91" i="30"/>
  <c r="V91" i="30"/>
  <c r="U91" i="30"/>
  <c r="T91" i="30"/>
  <c r="S91" i="30"/>
  <c r="R91" i="30"/>
  <c r="Q91" i="30"/>
  <c r="P91" i="30"/>
  <c r="O91" i="30"/>
  <c r="N91" i="30"/>
  <c r="FN88" i="30"/>
  <c r="FG88" i="30"/>
  <c r="AA88" i="30" s="1"/>
  <c r="EZ88" i="30"/>
  <c r="Z88" i="30" s="1"/>
  <c r="ES88" i="30"/>
  <c r="Y88" i="30" s="1"/>
  <c r="EL88" i="30"/>
  <c r="X88" i="30" s="1"/>
  <c r="EE88" i="30"/>
  <c r="W88" i="30" s="1"/>
  <c r="AY88" i="30"/>
  <c r="AX88" i="30"/>
  <c r="AW88" i="30"/>
  <c r="AV88" i="30"/>
  <c r="AU88" i="30"/>
  <c r="AT88" i="30"/>
  <c r="AS88" i="30"/>
  <c r="AR88" i="30"/>
  <c r="AQ88" i="30"/>
  <c r="AP88" i="30"/>
  <c r="AO88" i="30"/>
  <c r="AN88" i="30"/>
  <c r="AM88" i="30"/>
  <c r="AL88" i="30"/>
  <c r="AK88" i="30"/>
  <c r="AJ88" i="30"/>
  <c r="AI88" i="30"/>
  <c r="AH88" i="30"/>
  <c r="AG88" i="30"/>
  <c r="AF88" i="30"/>
  <c r="AE88" i="30"/>
  <c r="AD88" i="30"/>
  <c r="AC88" i="30"/>
  <c r="V88" i="30"/>
  <c r="U88" i="30"/>
  <c r="T88" i="30"/>
  <c r="S88" i="30"/>
  <c r="R88" i="30"/>
  <c r="Q88" i="30"/>
  <c r="P88" i="30"/>
  <c r="O88" i="30"/>
  <c r="N88" i="30"/>
  <c r="FU87" i="30"/>
  <c r="AC87" i="30" s="1"/>
  <c r="FN87" i="30"/>
  <c r="AB87" i="30" s="1"/>
  <c r="FG87" i="30"/>
  <c r="AA87" i="30" s="1"/>
  <c r="EZ87" i="30"/>
  <c r="Z87" i="30" s="1"/>
  <c r="ES87" i="30"/>
  <c r="Y87" i="30" s="1"/>
  <c r="EL87" i="30"/>
  <c r="X87" i="30" s="1"/>
  <c r="EE87" i="30"/>
  <c r="W87" i="30" s="1"/>
  <c r="AY87" i="30"/>
  <c r="AX87" i="30"/>
  <c r="AW87" i="30"/>
  <c r="AV87" i="30"/>
  <c r="AU87" i="30"/>
  <c r="AT87" i="30"/>
  <c r="AS87" i="30"/>
  <c r="AR87" i="30"/>
  <c r="AQ87" i="30"/>
  <c r="AP87" i="30"/>
  <c r="AO87" i="30"/>
  <c r="AN87" i="30"/>
  <c r="AM87" i="30"/>
  <c r="AL87" i="30"/>
  <c r="AK87" i="30"/>
  <c r="AJ87" i="30"/>
  <c r="AI87" i="30"/>
  <c r="AH87" i="30"/>
  <c r="AG87" i="30"/>
  <c r="AF87" i="30"/>
  <c r="AE87" i="30"/>
  <c r="AD87" i="30"/>
  <c r="V87" i="30"/>
  <c r="U87" i="30"/>
  <c r="T87" i="30"/>
  <c r="S87" i="30"/>
  <c r="R87" i="30"/>
  <c r="Q87" i="30"/>
  <c r="P87" i="30"/>
  <c r="O87" i="30"/>
  <c r="N87" i="30"/>
  <c r="KX86" i="30"/>
  <c r="KQ86" i="30"/>
  <c r="KJ86" i="30"/>
  <c r="KC86" i="30"/>
  <c r="JV86" i="30"/>
  <c r="JV260" i="30" s="1"/>
  <c r="JO86" i="30"/>
  <c r="JO260" i="30" s="1"/>
  <c r="JH86" i="30"/>
  <c r="JA86" i="30"/>
  <c r="IT86" i="30"/>
  <c r="IM86" i="30"/>
  <c r="IF86" i="30"/>
  <c r="IF260" i="30" s="1"/>
  <c r="HY86" i="30"/>
  <c r="HR86" i="30"/>
  <c r="HR260" i="30" s="1"/>
  <c r="HK86" i="30"/>
  <c r="HD86" i="30"/>
  <c r="GW86" i="30"/>
  <c r="GP86" i="30"/>
  <c r="GP260" i="30" s="1"/>
  <c r="GI86" i="30"/>
  <c r="GI260" i="30" s="1"/>
  <c r="GB86" i="30"/>
  <c r="FU86" i="30"/>
  <c r="FN86" i="30"/>
  <c r="FG86" i="30"/>
  <c r="EZ86" i="30"/>
  <c r="ES86" i="30"/>
  <c r="EL86" i="30"/>
  <c r="EL260" i="30" s="1"/>
  <c r="EE86" i="30"/>
  <c r="DX86" i="30"/>
  <c r="DQ86" i="30"/>
  <c r="DJ86" i="30"/>
  <c r="DJ260" i="30" s="1"/>
  <c r="DC86" i="30"/>
  <c r="DC260" i="30" s="1"/>
  <c r="CV86" i="30"/>
  <c r="CV260" i="30" s="1"/>
  <c r="CO86" i="30"/>
  <c r="CH86" i="30"/>
  <c r="CA86" i="30"/>
  <c r="BS86" i="30"/>
  <c r="BS260" i="30" s="1"/>
  <c r="BZ261" i="30" s="1"/>
  <c r="BR86" i="30"/>
  <c r="BR260" i="30" s="1"/>
  <c r="BY261" i="30" s="1"/>
  <c r="BQ86" i="30"/>
  <c r="BP86" i="30"/>
  <c r="KX85" i="30"/>
  <c r="KQ85" i="30"/>
  <c r="KQ250" i="30" s="1"/>
  <c r="KJ85" i="30"/>
  <c r="KJ250" i="30" s="1"/>
  <c r="KC85" i="30"/>
  <c r="JV85" i="30"/>
  <c r="JO85" i="30"/>
  <c r="JH85" i="30"/>
  <c r="JH250" i="30" s="1"/>
  <c r="JA85" i="30"/>
  <c r="JA250" i="30" s="1"/>
  <c r="IT85" i="30"/>
  <c r="IT250" i="30" s="1"/>
  <c r="IM85" i="30"/>
  <c r="IM250" i="30" s="1"/>
  <c r="IF85" i="30"/>
  <c r="HY85" i="30"/>
  <c r="HR85" i="30"/>
  <c r="HR250" i="30" s="1"/>
  <c r="HK85" i="30"/>
  <c r="HK250" i="30" s="1"/>
  <c r="HD85" i="30"/>
  <c r="HD250" i="30" s="1"/>
  <c r="GW85" i="30"/>
  <c r="GW250" i="30" s="1"/>
  <c r="GP85" i="30"/>
  <c r="GI85" i="30"/>
  <c r="GB85" i="30"/>
  <c r="GB250" i="30" s="1"/>
  <c r="FT85" i="30"/>
  <c r="FS85" i="30"/>
  <c r="FR85" i="30"/>
  <c r="FQ85" i="30"/>
  <c r="FM85" i="30"/>
  <c r="FL85" i="30"/>
  <c r="FK85" i="30"/>
  <c r="FJ85" i="30"/>
  <c r="FF85" i="30"/>
  <c r="FE85" i="30"/>
  <c r="FD85" i="30"/>
  <c r="FC85" i="30"/>
  <c r="EY85" i="30"/>
  <c r="EX85" i="30"/>
  <c r="EW85" i="30"/>
  <c r="EV85" i="30"/>
  <c r="ER85" i="30"/>
  <c r="EQ85" i="30"/>
  <c r="EP85" i="30"/>
  <c r="EO85" i="30"/>
  <c r="EK85" i="30"/>
  <c r="EJ85" i="30"/>
  <c r="EI85" i="30"/>
  <c r="EH85" i="30"/>
  <c r="ED85" i="30"/>
  <c r="EC85" i="30"/>
  <c r="EB85" i="30"/>
  <c r="EA85" i="30"/>
  <c r="DW85" i="30"/>
  <c r="DV85" i="30"/>
  <c r="DU85" i="30"/>
  <c r="DT85" i="30"/>
  <c r="DP85" i="30"/>
  <c r="DO85" i="30"/>
  <c r="DN85" i="30"/>
  <c r="DM85" i="30"/>
  <c r="DI85" i="30"/>
  <c r="DH85" i="30"/>
  <c r="DG85" i="30"/>
  <c r="DF85" i="30"/>
  <c r="DB85" i="30"/>
  <c r="DA85" i="30"/>
  <c r="CZ85" i="30"/>
  <c r="CY85" i="30"/>
  <c r="CU85" i="30"/>
  <c r="CT85" i="30"/>
  <c r="CS85" i="30"/>
  <c r="CR85" i="30"/>
  <c r="CN85" i="30"/>
  <c r="CM85" i="30"/>
  <c r="CL85" i="30"/>
  <c r="CK85" i="30"/>
  <c r="CH85" i="30"/>
  <c r="CA85" i="30"/>
  <c r="BS85" i="30"/>
  <c r="BS250" i="30" s="1"/>
  <c r="BZ251" i="30" s="1"/>
  <c r="BR85" i="30"/>
  <c r="BR250" i="30" s="1"/>
  <c r="BY251" i="30" s="1"/>
  <c r="BQ85" i="30"/>
  <c r="BQ250" i="30" s="1"/>
  <c r="BX251" i="30" s="1"/>
  <c r="BP85" i="30"/>
  <c r="BP250" i="30" s="1"/>
  <c r="BW251" i="30" s="1"/>
  <c r="G85" i="30"/>
  <c r="F85" i="30"/>
  <c r="F131" i="30" s="1"/>
  <c r="E85" i="30"/>
  <c r="E131" i="30" s="1"/>
  <c r="IF84" i="30"/>
  <c r="HY84" i="30"/>
  <c r="HR84" i="30"/>
  <c r="HR130" i="30" s="1"/>
  <c r="AJ130" i="30" s="1"/>
  <c r="HD84" i="30"/>
  <c r="HD130" i="30" s="1"/>
  <c r="AH130" i="30" s="1"/>
  <c r="GW84" i="30"/>
  <c r="GW130" i="30" s="1"/>
  <c r="AG130" i="30" s="1"/>
  <c r="GP84" i="30"/>
  <c r="GI84" i="30"/>
  <c r="GB84" i="30"/>
  <c r="GB130" i="30" s="1"/>
  <c r="AD130" i="30" s="1"/>
  <c r="FU84" i="30"/>
  <c r="AC84" i="30" s="1"/>
  <c r="FN84" i="30"/>
  <c r="AB84" i="30" s="1"/>
  <c r="FG84" i="30"/>
  <c r="AA84" i="30" s="1"/>
  <c r="EZ84" i="30"/>
  <c r="Z84" i="30" s="1"/>
  <c r="ES84" i="30"/>
  <c r="Y84" i="30" s="1"/>
  <c r="EL84" i="30"/>
  <c r="X84" i="30" s="1"/>
  <c r="EE84" i="30"/>
  <c r="W84" i="30" s="1"/>
  <c r="DX84" i="30"/>
  <c r="V84" i="30" s="1"/>
  <c r="DQ84" i="30"/>
  <c r="U84" i="30" s="1"/>
  <c r="DJ84" i="30"/>
  <c r="T84" i="30" s="1"/>
  <c r="DC84" i="30"/>
  <c r="S84" i="30" s="1"/>
  <c r="CV84" i="30"/>
  <c r="R84" i="30" s="1"/>
  <c r="CO84" i="30"/>
  <c r="Q84" i="30" s="1"/>
  <c r="AY84" i="30"/>
  <c r="AX84" i="30"/>
  <c r="AW84" i="30"/>
  <c r="AV84" i="30"/>
  <c r="AU84" i="30"/>
  <c r="AT84" i="30"/>
  <c r="AS84" i="30"/>
  <c r="AR84" i="30"/>
  <c r="AI84" i="30"/>
  <c r="P84" i="30"/>
  <c r="O84" i="30"/>
  <c r="N84" i="30"/>
  <c r="JN83" i="30"/>
  <c r="JM83" i="30"/>
  <c r="JM129" i="30" s="1"/>
  <c r="JL83" i="30"/>
  <c r="JL129" i="30" s="1"/>
  <c r="JK83" i="30"/>
  <c r="JK129" i="30" s="1"/>
  <c r="JG83" i="30"/>
  <c r="JG129" i="30" s="1"/>
  <c r="JF83" i="30"/>
  <c r="JF129" i="30" s="1"/>
  <c r="JE83" i="30"/>
  <c r="JE129" i="30" s="1"/>
  <c r="JD83" i="30"/>
  <c r="JD129" i="30" s="1"/>
  <c r="IZ83" i="30"/>
  <c r="IY83" i="30"/>
  <c r="IX83" i="30"/>
  <c r="IW83" i="30"/>
  <c r="IS83" i="30"/>
  <c r="IS129" i="30" s="1"/>
  <c r="IR83" i="30"/>
  <c r="IR129" i="30" s="1"/>
  <c r="IQ83" i="30"/>
  <c r="IQ129" i="30" s="1"/>
  <c r="IP83" i="30"/>
  <c r="IP129" i="30" s="1"/>
  <c r="IL83" i="30"/>
  <c r="IL129" i="30" s="1"/>
  <c r="IF83" i="30"/>
  <c r="IF129" i="30" s="1"/>
  <c r="AL129" i="30" s="1"/>
  <c r="HY83" i="30"/>
  <c r="HR83" i="30"/>
  <c r="HD83" i="30"/>
  <c r="HD129" i="30" s="1"/>
  <c r="AH129" i="30" s="1"/>
  <c r="GW83" i="30"/>
  <c r="GW129" i="30" s="1"/>
  <c r="AG129" i="30" s="1"/>
  <c r="GP83" i="30"/>
  <c r="GP129" i="30" s="1"/>
  <c r="AF129" i="30" s="1"/>
  <c r="GI83" i="30"/>
  <c r="GI129" i="30" s="1"/>
  <c r="AE129" i="30" s="1"/>
  <c r="GB83" i="30"/>
  <c r="GB129" i="30" s="1"/>
  <c r="AD129" i="30" s="1"/>
  <c r="FU83" i="30"/>
  <c r="AC83" i="30" s="1"/>
  <c r="FN83" i="30"/>
  <c r="AB83" i="30" s="1"/>
  <c r="FG83" i="30"/>
  <c r="AA83" i="30" s="1"/>
  <c r="EZ83" i="30"/>
  <c r="Z83" i="30" s="1"/>
  <c r="ES83" i="30"/>
  <c r="Y83" i="30" s="1"/>
  <c r="EL83" i="30"/>
  <c r="X83" i="30" s="1"/>
  <c r="EE83" i="30"/>
  <c r="W83" i="30" s="1"/>
  <c r="DX83" i="30"/>
  <c r="V83" i="30" s="1"/>
  <c r="DQ83" i="30"/>
  <c r="U83" i="30" s="1"/>
  <c r="DJ83" i="30"/>
  <c r="T83" i="30" s="1"/>
  <c r="DC83" i="30"/>
  <c r="S83" i="30" s="1"/>
  <c r="CV83" i="30"/>
  <c r="R83" i="30" s="1"/>
  <c r="CO83" i="30"/>
  <c r="Q83" i="30" s="1"/>
  <c r="AY83" i="30"/>
  <c r="AX83" i="30"/>
  <c r="AW83" i="30"/>
  <c r="AV83" i="30"/>
  <c r="AU83" i="30"/>
  <c r="AT83" i="30"/>
  <c r="AS83" i="30"/>
  <c r="AR83" i="30"/>
  <c r="AI83" i="30"/>
  <c r="P83" i="30"/>
  <c r="O83" i="30"/>
  <c r="N83" i="30"/>
  <c r="AD81" i="30"/>
  <c r="AC81" i="30"/>
  <c r="AB81" i="30"/>
  <c r="AA81" i="30"/>
  <c r="Z81" i="30"/>
  <c r="Y81" i="30"/>
  <c r="X81" i="30"/>
  <c r="W81" i="30"/>
  <c r="V81" i="30"/>
  <c r="U81" i="30"/>
  <c r="T81" i="30"/>
  <c r="S81" i="30"/>
  <c r="R81" i="30"/>
  <c r="Q81" i="30"/>
  <c r="P81" i="30"/>
  <c r="O81" i="30"/>
  <c r="N81" i="30"/>
  <c r="KW80" i="30"/>
  <c r="KV80" i="30"/>
  <c r="KU80" i="30"/>
  <c r="KT80" i="30"/>
  <c r="KP80" i="30"/>
  <c r="KO80" i="30"/>
  <c r="KN80" i="30"/>
  <c r="KM80" i="30"/>
  <c r="KI80" i="30"/>
  <c r="KH80" i="30"/>
  <c r="KG80" i="30"/>
  <c r="KF80" i="30"/>
  <c r="KB80" i="30"/>
  <c r="KA80" i="30"/>
  <c r="JZ80" i="30"/>
  <c r="JY80" i="30"/>
  <c r="JU80" i="30"/>
  <c r="JT80" i="30"/>
  <c r="JS80" i="30"/>
  <c r="JR80" i="30"/>
  <c r="JN80" i="30"/>
  <c r="JM80" i="30"/>
  <c r="JL80" i="30"/>
  <c r="JK80" i="30"/>
  <c r="JG80" i="30"/>
  <c r="JF80" i="30"/>
  <c r="JE80" i="30"/>
  <c r="JD80" i="30"/>
  <c r="IZ80" i="30"/>
  <c r="IY80" i="30"/>
  <c r="IX80" i="30"/>
  <c r="IW80" i="30"/>
  <c r="IS80" i="30"/>
  <c r="IR80" i="30"/>
  <c r="IQ80" i="30"/>
  <c r="IP80" i="30"/>
  <c r="IL80" i="30"/>
  <c r="IK80" i="30"/>
  <c r="IJ80" i="30"/>
  <c r="II80" i="30"/>
  <c r="IE80" i="30"/>
  <c r="ID80" i="30"/>
  <c r="IC80" i="30"/>
  <c r="IB80" i="30"/>
  <c r="HX80" i="30"/>
  <c r="HW80" i="30"/>
  <c r="HV80" i="30"/>
  <c r="HU80" i="30"/>
  <c r="HQ80" i="30"/>
  <c r="HP80" i="30"/>
  <c r="HO80" i="30"/>
  <c r="HN80" i="30"/>
  <c r="HJ80" i="30"/>
  <c r="HI80" i="30"/>
  <c r="HH80" i="30"/>
  <c r="HG80" i="30"/>
  <c r="HC80" i="30"/>
  <c r="HB80" i="30"/>
  <c r="HB90" i="30" s="1"/>
  <c r="HA80" i="30"/>
  <c r="HA90" i="30" s="1"/>
  <c r="GZ80" i="30"/>
  <c r="GZ90" i="30" s="1"/>
  <c r="GV80" i="30"/>
  <c r="GU80" i="30"/>
  <c r="GT80" i="30"/>
  <c r="GS80" i="30"/>
  <c r="GS90" i="30" s="1"/>
  <c r="GO80" i="30"/>
  <c r="GN80" i="30"/>
  <c r="GM80" i="30"/>
  <c r="GL80" i="30"/>
  <c r="GH80" i="30"/>
  <c r="GG80" i="30"/>
  <c r="GF80" i="30"/>
  <c r="GE80" i="30"/>
  <c r="GA80" i="30"/>
  <c r="FZ80" i="30"/>
  <c r="FY80" i="30"/>
  <c r="FX80" i="30"/>
  <c r="FJ80" i="30"/>
  <c r="FF80" i="30"/>
  <c r="FE80" i="30"/>
  <c r="FD80" i="30"/>
  <c r="FC80" i="30"/>
  <c r="EY80" i="30"/>
  <c r="EX80" i="30"/>
  <c r="EW80" i="30"/>
  <c r="EV80" i="30"/>
  <c r="ER80" i="30"/>
  <c r="EQ80" i="30"/>
  <c r="EP80" i="30"/>
  <c r="EO80" i="30"/>
  <c r="EK80" i="30"/>
  <c r="EJ80" i="30"/>
  <c r="EI80" i="30"/>
  <c r="EH80" i="30"/>
  <c r="ED80" i="30"/>
  <c r="EC80" i="30"/>
  <c r="EB80" i="30"/>
  <c r="EA80" i="30"/>
  <c r="DW80" i="30"/>
  <c r="DV80" i="30"/>
  <c r="DU80" i="30"/>
  <c r="DT80" i="30"/>
  <c r="DP80" i="30"/>
  <c r="DO80" i="30"/>
  <c r="DN80" i="30"/>
  <c r="DM80" i="30"/>
  <c r="DI80" i="30"/>
  <c r="DH80" i="30"/>
  <c r="DG80" i="30"/>
  <c r="DF80" i="30"/>
  <c r="DB80" i="30"/>
  <c r="DA80" i="30"/>
  <c r="CZ80" i="30"/>
  <c r="CY80" i="30"/>
  <c r="CU80" i="30"/>
  <c r="CT80" i="30"/>
  <c r="CS80" i="30"/>
  <c r="CR80" i="30"/>
  <c r="CN80" i="30"/>
  <c r="CM80" i="30"/>
  <c r="CL80" i="30"/>
  <c r="CK80" i="30"/>
  <c r="CG80" i="30"/>
  <c r="CF80" i="30"/>
  <c r="CE80" i="30"/>
  <c r="CD80" i="30"/>
  <c r="BZ80" i="30"/>
  <c r="BY80" i="30"/>
  <c r="BX80" i="30"/>
  <c r="BW80" i="30"/>
  <c r="M80" i="30"/>
  <c r="M310" i="30" s="1"/>
  <c r="L80" i="30"/>
  <c r="L310" i="30" s="1"/>
  <c r="K80" i="30"/>
  <c r="K310" i="30" s="1"/>
  <c r="J80" i="30"/>
  <c r="H80" i="30"/>
  <c r="H90" i="30" s="1"/>
  <c r="D80" i="30"/>
  <c r="D90" i="30" s="1"/>
  <c r="C80" i="30"/>
  <c r="C90" i="30" s="1"/>
  <c r="AY78" i="30"/>
  <c r="AX78" i="30"/>
  <c r="AW78" i="30"/>
  <c r="AV78" i="30"/>
  <c r="AU78" i="30"/>
  <c r="AT78" i="30"/>
  <c r="AS78" i="30"/>
  <c r="AR78" i="30"/>
  <c r="AQ78" i="30"/>
  <c r="AP78" i="30"/>
  <c r="AO78" i="30"/>
  <c r="AN78" i="30"/>
  <c r="AM78" i="30"/>
  <c r="AL78" i="30"/>
  <c r="AK78" i="30"/>
  <c r="AJ78" i="30"/>
  <c r="AI78" i="30"/>
  <c r="AH78" i="30"/>
  <c r="AG78" i="30"/>
  <c r="AF78" i="30"/>
  <c r="AE78" i="30"/>
  <c r="AD78" i="30"/>
  <c r="AC78" i="30"/>
  <c r="AB78" i="30"/>
  <c r="AA78" i="30"/>
  <c r="Z78" i="30"/>
  <c r="Y78" i="30"/>
  <c r="X78" i="30"/>
  <c r="W78" i="30"/>
  <c r="V78" i="30"/>
  <c r="U78" i="30"/>
  <c r="T78" i="30"/>
  <c r="S78" i="30"/>
  <c r="R78" i="30"/>
  <c r="Q78" i="30"/>
  <c r="P78" i="30"/>
  <c r="O78" i="30"/>
  <c r="N78" i="30"/>
  <c r="AY77" i="30"/>
  <c r="AX77" i="30"/>
  <c r="AW77" i="30"/>
  <c r="AV77" i="30"/>
  <c r="AU77" i="30"/>
  <c r="AT77" i="30"/>
  <c r="AS77" i="30"/>
  <c r="AR77" i="30"/>
  <c r="AQ77" i="30"/>
  <c r="AP77" i="30"/>
  <c r="AO77" i="30"/>
  <c r="AN77" i="30"/>
  <c r="AM77" i="30"/>
  <c r="AL77" i="30"/>
  <c r="AK77" i="30"/>
  <c r="AJ77" i="30"/>
  <c r="AI77" i="30"/>
  <c r="AH77" i="30"/>
  <c r="AG77" i="30"/>
  <c r="AF77" i="30"/>
  <c r="AE77" i="30"/>
  <c r="AD77" i="30"/>
  <c r="AC77" i="30"/>
  <c r="AB77" i="30"/>
  <c r="AA77" i="30"/>
  <c r="Z77" i="30"/>
  <c r="Y77" i="30"/>
  <c r="X77" i="30"/>
  <c r="W77" i="30"/>
  <c r="V77" i="30"/>
  <c r="U77" i="30"/>
  <c r="T77" i="30"/>
  <c r="S77" i="30"/>
  <c r="R77" i="30"/>
  <c r="Q77" i="30"/>
  <c r="P77" i="30"/>
  <c r="O77" i="30"/>
  <c r="N77" i="30"/>
  <c r="AY76" i="30"/>
  <c r="AX76" i="30"/>
  <c r="AW76" i="30"/>
  <c r="AV76" i="30"/>
  <c r="AU76" i="30"/>
  <c r="AT76" i="30"/>
  <c r="AS76" i="30"/>
  <c r="AR76" i="30"/>
  <c r="AQ76" i="30"/>
  <c r="AP76" i="30"/>
  <c r="AO76" i="30"/>
  <c r="AN76" i="30"/>
  <c r="AM76" i="30"/>
  <c r="AL76" i="30"/>
  <c r="AK76" i="30"/>
  <c r="AJ76" i="30"/>
  <c r="AI76" i="30"/>
  <c r="AH76" i="30"/>
  <c r="AG76" i="30"/>
  <c r="AF76" i="30"/>
  <c r="AE76" i="30"/>
  <c r="AD76" i="30"/>
  <c r="AC76" i="30"/>
  <c r="AB76" i="30"/>
  <c r="AA76" i="30"/>
  <c r="Z76" i="30"/>
  <c r="Y76" i="30"/>
  <c r="X76" i="30"/>
  <c r="W76" i="30"/>
  <c r="V76" i="30"/>
  <c r="U76" i="30"/>
  <c r="T76" i="30"/>
  <c r="S76" i="30"/>
  <c r="R76" i="30"/>
  <c r="Q76" i="30"/>
  <c r="P76" i="30"/>
  <c r="O76" i="30"/>
  <c r="N76" i="30"/>
  <c r="KX75" i="30"/>
  <c r="KQ75" i="30"/>
  <c r="KJ75" i="30"/>
  <c r="KC75" i="30"/>
  <c r="KC230" i="30" s="1"/>
  <c r="JV75" i="30"/>
  <c r="JO75" i="30"/>
  <c r="JO230" i="30" s="1"/>
  <c r="JH75" i="30"/>
  <c r="JA75" i="30"/>
  <c r="JA230" i="30" s="1"/>
  <c r="IT75" i="30"/>
  <c r="IM75" i="30"/>
  <c r="IF75" i="30"/>
  <c r="HY75" i="30"/>
  <c r="HR75" i="30"/>
  <c r="HK75" i="30"/>
  <c r="HD75" i="30"/>
  <c r="GW75" i="30"/>
  <c r="GP75" i="30"/>
  <c r="GI75" i="30"/>
  <c r="GI230" i="30" s="1"/>
  <c r="GB75" i="30"/>
  <c r="FU75" i="30"/>
  <c r="FU230" i="30" s="1"/>
  <c r="FN75" i="30"/>
  <c r="FN230" i="30" s="1"/>
  <c r="FG75" i="30"/>
  <c r="EZ75" i="30"/>
  <c r="ES75" i="30"/>
  <c r="EL75" i="30"/>
  <c r="EE75" i="30"/>
  <c r="EE230" i="30" s="1"/>
  <c r="DX75" i="30"/>
  <c r="DX230" i="30" s="1"/>
  <c r="DQ75" i="30"/>
  <c r="DJ75" i="30"/>
  <c r="DC75" i="30"/>
  <c r="DC230" i="30" s="1"/>
  <c r="CV75" i="30"/>
  <c r="CO75" i="30"/>
  <c r="CO230" i="30" s="1"/>
  <c r="CH75" i="30"/>
  <c r="CH230" i="30" s="1"/>
  <c r="CA75" i="30"/>
  <c r="BS75" i="30"/>
  <c r="BR75" i="30"/>
  <c r="BQ75" i="30"/>
  <c r="BP75" i="30"/>
  <c r="G75" i="30"/>
  <c r="G121" i="30" s="1"/>
  <c r="F75" i="30"/>
  <c r="F121" i="30" s="1"/>
  <c r="E75" i="30"/>
  <c r="E121" i="30" s="1"/>
  <c r="KX74" i="30"/>
  <c r="LE100" i="30" s="1"/>
  <c r="KQ74" i="30"/>
  <c r="KJ74" i="30"/>
  <c r="KC74" i="30"/>
  <c r="JV74" i="30"/>
  <c r="JV220" i="30" s="1"/>
  <c r="JO74" i="30"/>
  <c r="JO220" i="30" s="1"/>
  <c r="JH74" i="30"/>
  <c r="JH220" i="30" s="1"/>
  <c r="JA74" i="30"/>
  <c r="IT74" i="30"/>
  <c r="IT220" i="30" s="1"/>
  <c r="IM74" i="30"/>
  <c r="IM220" i="30" s="1"/>
  <c r="IF74" i="30"/>
  <c r="IF220" i="30" s="1"/>
  <c r="HY74" i="30"/>
  <c r="HR74" i="30"/>
  <c r="HK74" i="30"/>
  <c r="HD74" i="30"/>
  <c r="HD220" i="30" s="1"/>
  <c r="GW74" i="30"/>
  <c r="GW220" i="30" s="1"/>
  <c r="GP74" i="30"/>
  <c r="GP220" i="30" s="1"/>
  <c r="GI74" i="30"/>
  <c r="GB74" i="30"/>
  <c r="GB220" i="30" s="1"/>
  <c r="FU74" i="30"/>
  <c r="FN74" i="30"/>
  <c r="FN220" i="30" s="1"/>
  <c r="FG74" i="30"/>
  <c r="FG220" i="30" s="1"/>
  <c r="EZ74" i="30"/>
  <c r="EZ220" i="30" s="1"/>
  <c r="ES74" i="30"/>
  <c r="EL74" i="30"/>
  <c r="EE74" i="30"/>
  <c r="DX74" i="30"/>
  <c r="DQ74" i="30"/>
  <c r="DJ74" i="30"/>
  <c r="DJ220" i="30" s="1"/>
  <c r="DC74" i="30"/>
  <c r="CV74" i="30"/>
  <c r="CV220" i="30" s="1"/>
  <c r="CO74" i="30"/>
  <c r="CH74" i="30"/>
  <c r="CH220" i="30" s="1"/>
  <c r="CA74" i="30"/>
  <c r="CA220" i="30" s="1"/>
  <c r="BS74" i="30"/>
  <c r="BR74" i="30"/>
  <c r="BQ74" i="30"/>
  <c r="BP74" i="30"/>
  <c r="I74" i="30"/>
  <c r="I120" i="30" s="1"/>
  <c r="G74" i="30"/>
  <c r="G120" i="30" s="1"/>
  <c r="F74" i="30"/>
  <c r="F120" i="30" s="1"/>
  <c r="E74" i="30"/>
  <c r="E120" i="30" s="1"/>
  <c r="KX73" i="30"/>
  <c r="LE99" i="30" s="1"/>
  <c r="KQ73" i="30"/>
  <c r="KJ73" i="30"/>
  <c r="KJ210" i="30" s="1"/>
  <c r="KC73" i="30"/>
  <c r="KC210" i="30" s="1"/>
  <c r="JV73" i="30"/>
  <c r="JO73" i="30"/>
  <c r="JH73" i="30"/>
  <c r="JA73" i="30"/>
  <c r="IT73" i="30"/>
  <c r="IT210" i="30" s="1"/>
  <c r="IM73" i="30"/>
  <c r="IM210" i="30" s="1"/>
  <c r="IF73" i="30"/>
  <c r="IF210" i="30" s="1"/>
  <c r="HY73" i="30"/>
  <c r="HR73" i="30"/>
  <c r="HK73" i="30"/>
  <c r="HD73" i="30"/>
  <c r="HD210" i="30" s="1"/>
  <c r="GW73" i="30"/>
  <c r="GW210" i="30" s="1"/>
  <c r="GP73" i="30"/>
  <c r="GI73" i="30"/>
  <c r="GB73" i="30"/>
  <c r="FU73" i="30"/>
  <c r="FN73" i="30"/>
  <c r="FN210" i="30" s="1"/>
  <c r="FG73" i="30"/>
  <c r="FG210" i="30" s="1"/>
  <c r="EZ73" i="30"/>
  <c r="EZ210" i="30" s="1"/>
  <c r="ES73" i="30"/>
  <c r="EL73" i="30"/>
  <c r="EE73" i="30"/>
  <c r="DX73" i="30"/>
  <c r="DX210" i="30" s="1"/>
  <c r="DQ73" i="30"/>
  <c r="DQ210" i="30" s="1"/>
  <c r="DJ73" i="30"/>
  <c r="DC73" i="30"/>
  <c r="CV73" i="30"/>
  <c r="CV210" i="30" s="1"/>
  <c r="CO73" i="30"/>
  <c r="CH73" i="30"/>
  <c r="CH210" i="30" s="1"/>
  <c r="CA73" i="30"/>
  <c r="CA210" i="30" s="1"/>
  <c r="BS73" i="30"/>
  <c r="BR73" i="30"/>
  <c r="BQ73" i="30"/>
  <c r="BP73" i="30"/>
  <c r="BP210" i="30" s="1"/>
  <c r="BW211" i="30" s="1"/>
  <c r="G73" i="30"/>
  <c r="G119" i="30" s="1"/>
  <c r="F73" i="30"/>
  <c r="F119" i="30" s="1"/>
  <c r="E73" i="30"/>
  <c r="E119" i="30" s="1"/>
  <c r="KX72" i="30"/>
  <c r="LE98" i="30" s="1"/>
  <c r="KQ72" i="30"/>
  <c r="KJ72" i="30"/>
  <c r="KC72" i="30"/>
  <c r="KC200" i="30" s="1"/>
  <c r="JV72" i="30"/>
  <c r="JV200" i="30" s="1"/>
  <c r="JO72" i="30"/>
  <c r="JH72" i="30"/>
  <c r="JH200" i="30" s="1"/>
  <c r="JA72" i="30"/>
  <c r="IT72" i="30"/>
  <c r="IM72" i="30"/>
  <c r="IF72" i="30"/>
  <c r="IF200" i="30" s="1"/>
  <c r="HY72" i="30"/>
  <c r="HR72" i="30"/>
  <c r="HK72" i="30"/>
  <c r="HD72" i="30"/>
  <c r="GW72" i="30"/>
  <c r="GP72" i="30"/>
  <c r="GI72" i="30"/>
  <c r="GB72" i="30"/>
  <c r="EL72" i="30"/>
  <c r="EE72" i="30"/>
  <c r="DX72" i="30"/>
  <c r="DQ72" i="30"/>
  <c r="DJ72" i="30"/>
  <c r="DC72" i="30"/>
  <c r="CV72" i="30"/>
  <c r="CO72" i="30"/>
  <c r="CH72" i="30"/>
  <c r="CA72" i="30"/>
  <c r="BS72" i="30"/>
  <c r="BS200" i="30" s="1"/>
  <c r="BZ201" i="30" s="1"/>
  <c r="BR72" i="30"/>
  <c r="BR200" i="30" s="1"/>
  <c r="BQ72" i="30"/>
  <c r="BQ200" i="30" s="1"/>
  <c r="BP72" i="30"/>
  <c r="BP200" i="30" s="1"/>
  <c r="BW201" i="30" s="1"/>
  <c r="AC72" i="30"/>
  <c r="AC200" i="30" s="1"/>
  <c r="AB72" i="30"/>
  <c r="AB200" i="30" s="1"/>
  <c r="AA72" i="30"/>
  <c r="AA200" i="30" s="1"/>
  <c r="Z72" i="30"/>
  <c r="Z200" i="30" s="1"/>
  <c r="Y72" i="30"/>
  <c r="Y200" i="30" s="1"/>
  <c r="LQ11" i="30"/>
  <c r="LX44" i="30" s="1"/>
  <c r="KX71" i="30"/>
  <c r="KQ71" i="30"/>
  <c r="KQ190" i="30" s="1"/>
  <c r="KJ71" i="30"/>
  <c r="KJ190" i="30" s="1"/>
  <c r="KC71" i="30"/>
  <c r="KC190" i="30" s="1"/>
  <c r="JV71" i="30"/>
  <c r="JO71" i="30"/>
  <c r="JH71" i="30"/>
  <c r="JH190" i="30" s="1"/>
  <c r="JA71" i="30"/>
  <c r="JA190" i="30" s="1"/>
  <c r="IT71" i="30"/>
  <c r="IM71" i="30"/>
  <c r="IF71" i="30"/>
  <c r="HY71" i="30"/>
  <c r="HR71" i="30"/>
  <c r="HR190" i="30" s="1"/>
  <c r="HK71" i="30"/>
  <c r="HD71" i="30"/>
  <c r="HD190" i="30" s="1"/>
  <c r="GW71" i="30"/>
  <c r="GW190" i="30" s="1"/>
  <c r="GP71" i="30"/>
  <c r="GI71" i="30"/>
  <c r="GB71" i="30"/>
  <c r="GB190" i="30" s="1"/>
  <c r="FU71" i="30"/>
  <c r="FU190" i="30" s="1"/>
  <c r="FN71" i="30"/>
  <c r="FG71" i="30"/>
  <c r="EZ71" i="30"/>
  <c r="ES71" i="30"/>
  <c r="EL71" i="30"/>
  <c r="EL190" i="30" s="1"/>
  <c r="EE71" i="30"/>
  <c r="EE190" i="30" s="1"/>
  <c r="DX71" i="30"/>
  <c r="DX190" i="30" s="1"/>
  <c r="DQ71" i="30"/>
  <c r="DQ190" i="30" s="1"/>
  <c r="DJ71" i="30"/>
  <c r="DJ190" i="30" s="1"/>
  <c r="DC71" i="30"/>
  <c r="CV71" i="30"/>
  <c r="CV190" i="30" s="1"/>
  <c r="CO71" i="30"/>
  <c r="CO190" i="30" s="1"/>
  <c r="CH71" i="30"/>
  <c r="CA71" i="30"/>
  <c r="BS71" i="30"/>
  <c r="BR71" i="30"/>
  <c r="BQ71" i="30"/>
  <c r="BP71" i="30"/>
  <c r="KX70" i="30"/>
  <c r="LE96" i="30" s="1"/>
  <c r="KQ70" i="30"/>
  <c r="KJ70" i="30"/>
  <c r="KC70" i="30"/>
  <c r="JV70" i="30"/>
  <c r="JV180" i="30" s="1"/>
  <c r="JO70" i="30"/>
  <c r="JO180" i="30" s="1"/>
  <c r="JH70" i="30"/>
  <c r="JA70" i="30"/>
  <c r="IT70" i="30"/>
  <c r="IM70" i="30"/>
  <c r="IF70" i="30"/>
  <c r="IF180" i="30" s="1"/>
  <c r="HY70" i="30"/>
  <c r="HY180" i="30" s="1"/>
  <c r="HR70" i="30"/>
  <c r="HK70" i="30"/>
  <c r="HD70" i="30"/>
  <c r="GW70" i="30"/>
  <c r="GP70" i="30"/>
  <c r="GP180" i="30" s="1"/>
  <c r="GI70" i="30"/>
  <c r="GI180" i="30" s="1"/>
  <c r="GB70" i="30"/>
  <c r="FT70" i="30"/>
  <c r="FS70" i="30"/>
  <c r="FR70" i="30"/>
  <c r="FQ70" i="30"/>
  <c r="FM70" i="30"/>
  <c r="FL70" i="30"/>
  <c r="FK70" i="30"/>
  <c r="FG70" i="30"/>
  <c r="FG180" i="30" s="1"/>
  <c r="EZ70" i="30"/>
  <c r="ES70" i="30"/>
  <c r="ES180" i="30" s="1"/>
  <c r="EL70" i="30"/>
  <c r="EL180" i="30" s="1"/>
  <c r="EE70" i="30"/>
  <c r="DX70" i="30"/>
  <c r="DQ70" i="30"/>
  <c r="DQ180" i="30" s="1"/>
  <c r="DJ70" i="30"/>
  <c r="DJ180" i="30" s="1"/>
  <c r="DC70" i="30"/>
  <c r="DC180" i="30" s="1"/>
  <c r="CV70" i="30"/>
  <c r="CV180" i="30" s="1"/>
  <c r="CO70" i="30"/>
  <c r="CH70" i="30"/>
  <c r="CA70" i="30"/>
  <c r="BS70" i="30"/>
  <c r="BR70" i="30"/>
  <c r="BQ70" i="30"/>
  <c r="BP70" i="30"/>
  <c r="G70" i="30"/>
  <c r="G116" i="30" s="1"/>
  <c r="F70" i="30"/>
  <c r="F116" i="30" s="1"/>
  <c r="E70" i="30"/>
  <c r="E116" i="30" s="1"/>
  <c r="LB42" i="30"/>
  <c r="KX69" i="30"/>
  <c r="LE95" i="30" s="1"/>
  <c r="KQ69" i="30"/>
  <c r="KJ69" i="30"/>
  <c r="KC69" i="30"/>
  <c r="JV69" i="30"/>
  <c r="JO69" i="30"/>
  <c r="JH69" i="30"/>
  <c r="JA69" i="30"/>
  <c r="IT69" i="30"/>
  <c r="IM69" i="30"/>
  <c r="IF69" i="30"/>
  <c r="HY69" i="30"/>
  <c r="HR69" i="30"/>
  <c r="HK69" i="30"/>
  <c r="HD69" i="30"/>
  <c r="GW69" i="30"/>
  <c r="GP69" i="30"/>
  <c r="GI69" i="30"/>
  <c r="GB69" i="30"/>
  <c r="FU69" i="30"/>
  <c r="FN69" i="30"/>
  <c r="FG69" i="30"/>
  <c r="EZ69" i="30"/>
  <c r="ES69" i="30"/>
  <c r="EL69" i="30"/>
  <c r="EE69" i="30"/>
  <c r="DX69" i="30"/>
  <c r="DQ69" i="30"/>
  <c r="DJ69" i="30"/>
  <c r="DC69" i="30"/>
  <c r="CV69" i="30"/>
  <c r="CO69" i="30"/>
  <c r="CH69" i="30"/>
  <c r="CA69" i="30"/>
  <c r="BS69" i="30"/>
  <c r="BR69" i="30"/>
  <c r="BQ69" i="30"/>
  <c r="BP69" i="30"/>
  <c r="AY65" i="30"/>
  <c r="AX65" i="30"/>
  <c r="AW65" i="30"/>
  <c r="AV65" i="30"/>
  <c r="AU65" i="30"/>
  <c r="AT65" i="30"/>
  <c r="AS65" i="30"/>
  <c r="AR65" i="30"/>
  <c r="AQ65" i="30"/>
  <c r="AP65" i="30"/>
  <c r="AO65" i="30"/>
  <c r="AN65" i="30"/>
  <c r="AM65" i="30"/>
  <c r="AK65" i="30"/>
  <c r="AJ65" i="30"/>
  <c r="AI65" i="30"/>
  <c r="AG65" i="30"/>
  <c r="AF65" i="30"/>
  <c r="AE65" i="30"/>
  <c r="AD65" i="30"/>
  <c r="AC65" i="30"/>
  <c r="AB65" i="30"/>
  <c r="AA65" i="30"/>
  <c r="Z65" i="30"/>
  <c r="Y65" i="30"/>
  <c r="X65" i="30"/>
  <c r="W65" i="30"/>
  <c r="T65" i="30"/>
  <c r="S65" i="30"/>
  <c r="R65" i="30"/>
  <c r="Q65" i="30"/>
  <c r="P65" i="30"/>
  <c r="O65" i="30"/>
  <c r="BT65" i="30"/>
  <c r="N65" i="30" s="1"/>
  <c r="BS65" i="30"/>
  <c r="BR65" i="30"/>
  <c r="BQ65" i="30"/>
  <c r="BP65" i="30"/>
  <c r="AL65" i="30"/>
  <c r="AH65" i="30"/>
  <c r="V65" i="30"/>
  <c r="U65" i="30"/>
  <c r="BS64" i="30"/>
  <c r="BR64" i="30"/>
  <c r="BQ64" i="30"/>
  <c r="BP64" i="30"/>
  <c r="KW58" i="30"/>
  <c r="KV58" i="30"/>
  <c r="KU58" i="30"/>
  <c r="KT58" i="30"/>
  <c r="KP58" i="30"/>
  <c r="KO58" i="30"/>
  <c r="KN58" i="30"/>
  <c r="KM58" i="30"/>
  <c r="KI58" i="30"/>
  <c r="KH58" i="30"/>
  <c r="KG58" i="30"/>
  <c r="KF58" i="30"/>
  <c r="KB58" i="30"/>
  <c r="KA58" i="30"/>
  <c r="JZ58" i="30"/>
  <c r="JY58" i="30"/>
  <c r="JU58" i="30"/>
  <c r="JT58" i="30"/>
  <c r="JS58" i="30"/>
  <c r="JR58" i="30"/>
  <c r="JN58" i="30"/>
  <c r="JM58" i="30"/>
  <c r="JL58" i="30"/>
  <c r="JK58" i="30"/>
  <c r="JG58" i="30"/>
  <c r="JF58" i="30"/>
  <c r="JE58" i="30"/>
  <c r="JD58" i="30"/>
  <c r="IZ58" i="30"/>
  <c r="IY58" i="30"/>
  <c r="IX58" i="30"/>
  <c r="IW58" i="30"/>
  <c r="IS58" i="30"/>
  <c r="IR58" i="30"/>
  <c r="IQ58" i="30"/>
  <c r="IP58" i="30"/>
  <c r="IL58" i="30"/>
  <c r="IK58" i="30"/>
  <c r="IJ58" i="30"/>
  <c r="II58" i="30"/>
  <c r="IE58" i="30"/>
  <c r="ID58" i="30"/>
  <c r="IC58" i="30"/>
  <c r="IB58" i="30"/>
  <c r="HX58" i="30"/>
  <c r="HW58" i="30"/>
  <c r="HV58" i="30"/>
  <c r="HU58" i="30"/>
  <c r="HQ58" i="30"/>
  <c r="HP58" i="30"/>
  <c r="HO58" i="30"/>
  <c r="HN58" i="30"/>
  <c r="HJ58" i="30"/>
  <c r="HI58" i="30"/>
  <c r="HH58" i="30"/>
  <c r="HG58" i="30"/>
  <c r="HC58" i="30"/>
  <c r="HB58" i="30"/>
  <c r="HA58" i="30"/>
  <c r="GZ58" i="30"/>
  <c r="GV58" i="30"/>
  <c r="GU58" i="30"/>
  <c r="GT58" i="30"/>
  <c r="GS58" i="30"/>
  <c r="GO58" i="30"/>
  <c r="GN58" i="30"/>
  <c r="GM58" i="30"/>
  <c r="GL58" i="30"/>
  <c r="GH58" i="30"/>
  <c r="GG58" i="30"/>
  <c r="GF58" i="30"/>
  <c r="GE58" i="30"/>
  <c r="GA58" i="30"/>
  <c r="FZ58" i="30"/>
  <c r="FY58" i="30"/>
  <c r="FX58" i="30"/>
  <c r="FU58" i="30"/>
  <c r="AC58" i="30" s="1"/>
  <c r="FT58" i="30"/>
  <c r="FS58" i="30"/>
  <c r="FR58" i="30"/>
  <c r="FQ58" i="30"/>
  <c r="FN58" i="30"/>
  <c r="AB58" i="30" s="1"/>
  <c r="FM58" i="30"/>
  <c r="FL58" i="30"/>
  <c r="FK58" i="30"/>
  <c r="FJ58" i="30"/>
  <c r="FG58" i="30"/>
  <c r="AA58" i="30" s="1"/>
  <c r="FF58" i="30"/>
  <c r="FE58" i="30"/>
  <c r="FD58" i="30"/>
  <c r="FC58" i="30"/>
  <c r="EZ58" i="30"/>
  <c r="Z58" i="30" s="1"/>
  <c r="EY58" i="30"/>
  <c r="EX58" i="30"/>
  <c r="EW58" i="30"/>
  <c r="EV58" i="30"/>
  <c r="ES58" i="30"/>
  <c r="Y58" i="30" s="1"/>
  <c r="ER58" i="30"/>
  <c r="EQ58" i="30"/>
  <c r="EP58" i="30"/>
  <c r="EO58" i="30"/>
  <c r="EL58" i="30"/>
  <c r="X58" i="30" s="1"/>
  <c r="EK58" i="30"/>
  <c r="EJ58" i="30"/>
  <c r="EI58" i="30"/>
  <c r="EH58" i="30"/>
  <c r="EE58" i="30"/>
  <c r="W58" i="30" s="1"/>
  <c r="ED58" i="30"/>
  <c r="EC58" i="30"/>
  <c r="EB58" i="30"/>
  <c r="EA58" i="30"/>
  <c r="DX58" i="30"/>
  <c r="V58" i="30" s="1"/>
  <c r="DW58" i="30"/>
  <c r="DV58" i="30"/>
  <c r="DU58" i="30"/>
  <c r="DT58" i="30"/>
  <c r="DQ58" i="30"/>
  <c r="U58" i="30" s="1"/>
  <c r="DP58" i="30"/>
  <c r="DO58" i="30"/>
  <c r="DN58" i="30"/>
  <c r="DM58" i="30"/>
  <c r="DJ58" i="30"/>
  <c r="T58" i="30" s="1"/>
  <c r="DI58" i="30"/>
  <c r="DH58" i="30"/>
  <c r="DG58" i="30"/>
  <c r="DF58" i="30"/>
  <c r="DC58" i="30"/>
  <c r="S58" i="30" s="1"/>
  <c r="DB58" i="30"/>
  <c r="DA58" i="30"/>
  <c r="CZ58" i="30"/>
  <c r="CY58" i="30"/>
  <c r="CV58" i="30"/>
  <c r="R58" i="30" s="1"/>
  <c r="CU58" i="30"/>
  <c r="CT58" i="30"/>
  <c r="CS58" i="30"/>
  <c r="CR58" i="30"/>
  <c r="CO58" i="30"/>
  <c r="Q58" i="30" s="1"/>
  <c r="CN58" i="30"/>
  <c r="CM58" i="30"/>
  <c r="CL58" i="30"/>
  <c r="CK58" i="30"/>
  <c r="CH58" i="30"/>
  <c r="P58" i="30" s="1"/>
  <c r="CG58" i="30"/>
  <c r="CF58" i="30"/>
  <c r="CE58" i="30"/>
  <c r="CD58" i="30"/>
  <c r="CA58" i="30"/>
  <c r="O58" i="30" s="1"/>
  <c r="BZ58" i="30"/>
  <c r="BY58" i="30"/>
  <c r="BX58" i="30"/>
  <c r="BW58" i="30"/>
  <c r="BT58" i="30"/>
  <c r="N58" i="30" s="1"/>
  <c r="BS58" i="30"/>
  <c r="BR58" i="30"/>
  <c r="BQ58" i="30"/>
  <c r="BP58" i="30"/>
  <c r="KW57" i="30"/>
  <c r="KV57" i="30"/>
  <c r="KU57" i="30"/>
  <c r="KT57" i="30"/>
  <c r="KP57" i="30"/>
  <c r="KO57" i="30"/>
  <c r="AT57" i="30"/>
  <c r="AS57" i="30"/>
  <c r="AR57" i="30"/>
  <c r="AQ57" i="30"/>
  <c r="AP57" i="30"/>
  <c r="AO57" i="30"/>
  <c r="AN57" i="30"/>
  <c r="AM57" i="30"/>
  <c r="AL57" i="30"/>
  <c r="AK57" i="30"/>
  <c r="AJ57" i="30"/>
  <c r="AI57" i="30"/>
  <c r="AH57" i="30"/>
  <c r="AG57" i="30"/>
  <c r="AF57" i="30"/>
  <c r="AE57" i="30"/>
  <c r="AD57" i="30"/>
  <c r="AC57" i="30"/>
  <c r="AB57" i="30"/>
  <c r="AA57" i="30"/>
  <c r="Z57" i="30"/>
  <c r="Y57" i="30"/>
  <c r="X57" i="30"/>
  <c r="W57" i="30"/>
  <c r="V57" i="30"/>
  <c r="U57" i="30"/>
  <c r="T57" i="30"/>
  <c r="S57" i="30"/>
  <c r="R57" i="30"/>
  <c r="Q57" i="30"/>
  <c r="P57" i="30"/>
  <c r="O57" i="30"/>
  <c r="N57" i="30"/>
  <c r="KW53" i="30"/>
  <c r="KV53" i="30"/>
  <c r="KU53" i="30"/>
  <c r="KT53" i="30"/>
  <c r="KP53" i="30"/>
  <c r="KO53" i="30"/>
  <c r="KN53" i="30"/>
  <c r="KM53" i="30"/>
  <c r="KI53" i="30"/>
  <c r="KH53" i="30"/>
  <c r="KG53" i="30"/>
  <c r="KF53" i="30"/>
  <c r="KB53" i="30"/>
  <c r="KA53" i="30"/>
  <c r="JZ53" i="30"/>
  <c r="JY53" i="30"/>
  <c r="JU53" i="30"/>
  <c r="JT53" i="30"/>
  <c r="JS53" i="30"/>
  <c r="JR53" i="30"/>
  <c r="JN53" i="30"/>
  <c r="JM53" i="30"/>
  <c r="JL53" i="30"/>
  <c r="JK53" i="30"/>
  <c r="JG53" i="30"/>
  <c r="JF53" i="30"/>
  <c r="JE53" i="30"/>
  <c r="JD53" i="30"/>
  <c r="IZ53" i="30"/>
  <c r="IY53" i="30"/>
  <c r="IX53" i="30"/>
  <c r="IW53" i="30"/>
  <c r="IS53" i="30"/>
  <c r="IR53" i="30"/>
  <c r="IQ53" i="30"/>
  <c r="IP53" i="30"/>
  <c r="IL53" i="30"/>
  <c r="IK53" i="30"/>
  <c r="IJ53" i="30"/>
  <c r="II53" i="30"/>
  <c r="IE53" i="30"/>
  <c r="ID53" i="30"/>
  <c r="IC53" i="30"/>
  <c r="IB53" i="30"/>
  <c r="HX53" i="30"/>
  <c r="HW53" i="30"/>
  <c r="HV53" i="30"/>
  <c r="HU53" i="30"/>
  <c r="HQ53" i="30"/>
  <c r="HP53" i="30"/>
  <c r="HO53" i="30"/>
  <c r="HN53" i="30"/>
  <c r="HJ53" i="30"/>
  <c r="HI53" i="30"/>
  <c r="HH53" i="30"/>
  <c r="HG53" i="30"/>
  <c r="HC53" i="30"/>
  <c r="HB53" i="30"/>
  <c r="HA53" i="30"/>
  <c r="GZ53" i="30"/>
  <c r="GV53" i="30"/>
  <c r="GU53" i="30"/>
  <c r="GT53" i="30"/>
  <c r="GS53" i="30"/>
  <c r="GO53" i="30"/>
  <c r="GN53" i="30"/>
  <c r="GM53" i="30"/>
  <c r="GL53" i="30"/>
  <c r="GH53" i="30"/>
  <c r="GG53" i="30"/>
  <c r="GF53" i="30"/>
  <c r="GE53" i="30"/>
  <c r="GA53" i="30"/>
  <c r="FZ53" i="30"/>
  <c r="FY53" i="30"/>
  <c r="FX53" i="30"/>
  <c r="FT53" i="30"/>
  <c r="FS53" i="30"/>
  <c r="FR53" i="30"/>
  <c r="FQ53" i="30"/>
  <c r="FM53" i="30"/>
  <c r="FL53" i="30"/>
  <c r="FK53" i="30"/>
  <c r="FJ53" i="30"/>
  <c r="FF53" i="30"/>
  <c r="FE53" i="30"/>
  <c r="FD53" i="30"/>
  <c r="FC53" i="30"/>
  <c r="EY53" i="30"/>
  <c r="EX53" i="30"/>
  <c r="EW53" i="30"/>
  <c r="EV53" i="30"/>
  <c r="ER53" i="30"/>
  <c r="EQ53" i="30"/>
  <c r="EP53" i="30"/>
  <c r="EO53" i="30"/>
  <c r="EK53" i="30"/>
  <c r="EJ53" i="30"/>
  <c r="EI53" i="30"/>
  <c r="ED53" i="30"/>
  <c r="EC53" i="30"/>
  <c r="EB53" i="30"/>
  <c r="DW53" i="30"/>
  <c r="DV53" i="30"/>
  <c r="DU53" i="30"/>
  <c r="DT53" i="30"/>
  <c r="DP53" i="30"/>
  <c r="DO53" i="30"/>
  <c r="DN53" i="30"/>
  <c r="DM53" i="30"/>
  <c r="DI53" i="30"/>
  <c r="DH53" i="30"/>
  <c r="DG53" i="30"/>
  <c r="DF53" i="30"/>
  <c r="DB53" i="30"/>
  <c r="DA53" i="30"/>
  <c r="CZ53" i="30"/>
  <c r="CY53" i="30"/>
  <c r="CU53" i="30"/>
  <c r="CT53" i="30"/>
  <c r="CS53" i="30"/>
  <c r="CR53" i="30"/>
  <c r="CN53" i="30"/>
  <c r="CM53" i="30"/>
  <c r="CL53" i="30"/>
  <c r="CK53" i="30"/>
  <c r="CG53" i="30"/>
  <c r="CF53" i="30"/>
  <c r="CE53" i="30"/>
  <c r="CD53" i="30"/>
  <c r="KW52" i="30"/>
  <c r="KV52" i="30"/>
  <c r="KU52" i="30"/>
  <c r="KT52" i="30"/>
  <c r="KP52" i="30"/>
  <c r="KO52" i="30"/>
  <c r="KN52" i="30"/>
  <c r="KM52" i="30"/>
  <c r="KI52" i="30"/>
  <c r="KH52" i="30"/>
  <c r="KG52" i="30"/>
  <c r="KF52" i="30"/>
  <c r="KB52" i="30"/>
  <c r="KA52" i="30"/>
  <c r="JZ52" i="30"/>
  <c r="JY52" i="30"/>
  <c r="JU52" i="30"/>
  <c r="JT52" i="30"/>
  <c r="JS52" i="30"/>
  <c r="JR52" i="30"/>
  <c r="JN52" i="30"/>
  <c r="JM52" i="30"/>
  <c r="JL52" i="30"/>
  <c r="JK52" i="30"/>
  <c r="JG52" i="30"/>
  <c r="JF52" i="30"/>
  <c r="JE52" i="30"/>
  <c r="JD52" i="30"/>
  <c r="IZ52" i="30"/>
  <c r="IY52" i="30"/>
  <c r="IX52" i="30"/>
  <c r="IW52" i="30"/>
  <c r="IS52" i="30"/>
  <c r="IR52" i="30"/>
  <c r="IQ52" i="30"/>
  <c r="IP52" i="30"/>
  <c r="IL52" i="30"/>
  <c r="IK52" i="30"/>
  <c r="IJ52" i="30"/>
  <c r="II52" i="30"/>
  <c r="IE52" i="30"/>
  <c r="ID52" i="30"/>
  <c r="IC52" i="30"/>
  <c r="IB52" i="30"/>
  <c r="HX52" i="30"/>
  <c r="HW52" i="30"/>
  <c r="HV52" i="30"/>
  <c r="HU52" i="30"/>
  <c r="HQ52" i="30"/>
  <c r="HP52" i="30"/>
  <c r="HO52" i="30"/>
  <c r="HN52" i="30"/>
  <c r="HJ52" i="30"/>
  <c r="HI52" i="30"/>
  <c r="HH52" i="30"/>
  <c r="HG52" i="30"/>
  <c r="HC52" i="30"/>
  <c r="HB52" i="30"/>
  <c r="HA52" i="30"/>
  <c r="GZ52" i="30"/>
  <c r="GV52" i="30"/>
  <c r="GU52" i="30"/>
  <c r="GT52" i="30"/>
  <c r="GS52" i="30"/>
  <c r="GO52" i="30"/>
  <c r="GN52" i="30"/>
  <c r="GM52" i="30"/>
  <c r="GL52" i="30"/>
  <c r="GH52" i="30"/>
  <c r="GG52" i="30"/>
  <c r="GF52" i="30"/>
  <c r="GE52" i="30"/>
  <c r="CG52" i="30"/>
  <c r="CF52" i="30"/>
  <c r="CE52" i="30"/>
  <c r="CD52" i="30"/>
  <c r="KW48" i="30"/>
  <c r="KV48" i="30"/>
  <c r="KU48" i="30"/>
  <c r="KT48" i="30"/>
  <c r="KP48" i="30"/>
  <c r="KO48" i="30"/>
  <c r="KN48" i="30"/>
  <c r="KM48" i="30"/>
  <c r="KI48" i="30"/>
  <c r="KH48" i="30"/>
  <c r="KG48" i="30"/>
  <c r="KF48" i="30"/>
  <c r="KB48" i="30"/>
  <c r="KA48" i="30"/>
  <c r="JZ48" i="30"/>
  <c r="JY48" i="30"/>
  <c r="JU48" i="30"/>
  <c r="JT48" i="30"/>
  <c r="JS48" i="30"/>
  <c r="JR48" i="30"/>
  <c r="JN48" i="30"/>
  <c r="JM48" i="30"/>
  <c r="JL48" i="30"/>
  <c r="JK48" i="30"/>
  <c r="JG48" i="30"/>
  <c r="JF48" i="30"/>
  <c r="JE48" i="30"/>
  <c r="JD48" i="30"/>
  <c r="IZ48" i="30"/>
  <c r="IY48" i="30"/>
  <c r="IX48" i="30"/>
  <c r="IW48" i="30"/>
  <c r="IS48" i="30"/>
  <c r="IR48" i="30"/>
  <c r="IQ48" i="30"/>
  <c r="IP48" i="30"/>
  <c r="IL48" i="30"/>
  <c r="IK48" i="30"/>
  <c r="IJ48" i="30"/>
  <c r="II48" i="30"/>
  <c r="IE48" i="30"/>
  <c r="ID48" i="30"/>
  <c r="IC48" i="30"/>
  <c r="IB48" i="30"/>
  <c r="HX48" i="30"/>
  <c r="HW48" i="30"/>
  <c r="HV48" i="30"/>
  <c r="HU48" i="30"/>
  <c r="HQ48" i="30"/>
  <c r="HP48" i="30"/>
  <c r="HO48" i="30"/>
  <c r="HN48" i="30"/>
  <c r="HJ48" i="30"/>
  <c r="HI48" i="30"/>
  <c r="HH48" i="30"/>
  <c r="HG48" i="30"/>
  <c r="HC48" i="30"/>
  <c r="HB48" i="30"/>
  <c r="HA48" i="30"/>
  <c r="GZ48" i="30"/>
  <c r="GV48" i="30"/>
  <c r="GU48" i="30"/>
  <c r="GT48" i="30"/>
  <c r="GS48" i="30"/>
  <c r="GO48" i="30"/>
  <c r="GN48" i="30"/>
  <c r="GM48" i="30"/>
  <c r="GL48" i="30"/>
  <c r="GH48" i="30"/>
  <c r="GG48" i="30"/>
  <c r="GF48" i="30"/>
  <c r="GE48" i="30"/>
  <c r="GA48" i="30"/>
  <c r="FZ48" i="30"/>
  <c r="FY48" i="30"/>
  <c r="FX48" i="30"/>
  <c r="FT48" i="30"/>
  <c r="FS48" i="30"/>
  <c r="FR48" i="30"/>
  <c r="FQ48" i="30"/>
  <c r="FM48" i="30"/>
  <c r="FL48" i="30"/>
  <c r="FK48" i="30"/>
  <c r="FJ48" i="30"/>
  <c r="FF48" i="30"/>
  <c r="FE48" i="30"/>
  <c r="FD48" i="30"/>
  <c r="FC48" i="30"/>
  <c r="EY48" i="30"/>
  <c r="EX48" i="30"/>
  <c r="EW48" i="30"/>
  <c r="EV48" i="30"/>
  <c r="ER48" i="30"/>
  <c r="EQ48" i="30"/>
  <c r="EP48" i="30"/>
  <c r="EO48" i="30"/>
  <c r="EK48" i="30"/>
  <c r="EJ48" i="30"/>
  <c r="EI48" i="30"/>
  <c r="EH48" i="30"/>
  <c r="ED48" i="30"/>
  <c r="EC48" i="30"/>
  <c r="EB48" i="30"/>
  <c r="EA48" i="30"/>
  <c r="DW48" i="30"/>
  <c r="DV48" i="30"/>
  <c r="DU48" i="30"/>
  <c r="DT48" i="30"/>
  <c r="DP48" i="30"/>
  <c r="DO48" i="30"/>
  <c r="DN48" i="30"/>
  <c r="DM48" i="30"/>
  <c r="DI48" i="30"/>
  <c r="DH48" i="30"/>
  <c r="DG48" i="30"/>
  <c r="DF48" i="30"/>
  <c r="DB48" i="30"/>
  <c r="DA48" i="30"/>
  <c r="CZ48" i="30"/>
  <c r="CY48" i="30"/>
  <c r="CU48" i="30"/>
  <c r="CT48" i="30"/>
  <c r="CS48" i="30"/>
  <c r="CR48" i="30"/>
  <c r="CN48" i="30"/>
  <c r="CM48" i="30"/>
  <c r="CL48" i="30"/>
  <c r="CK48" i="30"/>
  <c r="CG48" i="30"/>
  <c r="CF48" i="30"/>
  <c r="CE48" i="30"/>
  <c r="CD48" i="30"/>
  <c r="KW47" i="30"/>
  <c r="KV47" i="30"/>
  <c r="KU47" i="30"/>
  <c r="KT47" i="30"/>
  <c r="KP47" i="30"/>
  <c r="KO47" i="30"/>
  <c r="KN47" i="30"/>
  <c r="KM47" i="30"/>
  <c r="KI47" i="30"/>
  <c r="KH47" i="30"/>
  <c r="KG47" i="30"/>
  <c r="KF47" i="30"/>
  <c r="KB47" i="30"/>
  <c r="KA47" i="30"/>
  <c r="JZ47" i="30"/>
  <c r="JY47" i="30"/>
  <c r="JU47" i="30"/>
  <c r="JT47" i="30"/>
  <c r="JS47" i="30"/>
  <c r="JR47" i="30"/>
  <c r="JN47" i="30"/>
  <c r="JM47" i="30"/>
  <c r="JL47" i="30"/>
  <c r="JK47" i="30"/>
  <c r="JG47" i="30"/>
  <c r="JF47" i="30"/>
  <c r="JE47" i="30"/>
  <c r="JD47" i="30"/>
  <c r="IZ47" i="30"/>
  <c r="IY47" i="30"/>
  <c r="IX47" i="30"/>
  <c r="IW47" i="30"/>
  <c r="IS47" i="30"/>
  <c r="IR47" i="30"/>
  <c r="IQ47" i="30"/>
  <c r="IP47" i="30"/>
  <c r="IL47" i="30"/>
  <c r="IK47" i="30"/>
  <c r="IJ47" i="30"/>
  <c r="II47" i="30"/>
  <c r="IE47" i="30"/>
  <c r="ID47" i="30"/>
  <c r="IC47" i="30"/>
  <c r="IB47" i="30"/>
  <c r="HX47" i="30"/>
  <c r="HW47" i="30"/>
  <c r="HV47" i="30"/>
  <c r="HU47" i="30"/>
  <c r="HQ47" i="30"/>
  <c r="HP47" i="30"/>
  <c r="HO47" i="30"/>
  <c r="HN47" i="30"/>
  <c r="HJ47" i="30"/>
  <c r="HI47" i="30"/>
  <c r="HH47" i="30"/>
  <c r="HG47" i="30"/>
  <c r="HC47" i="30"/>
  <c r="HB47" i="30"/>
  <c r="HA47" i="30"/>
  <c r="GZ47" i="30"/>
  <c r="GV47" i="30"/>
  <c r="GU47" i="30"/>
  <c r="GT47" i="30"/>
  <c r="GS47" i="30"/>
  <c r="GO47" i="30"/>
  <c r="GN47" i="30"/>
  <c r="GM47" i="30"/>
  <c r="GL47" i="30"/>
  <c r="GH47" i="30"/>
  <c r="GG47" i="30"/>
  <c r="GF47" i="30"/>
  <c r="GE47" i="30"/>
  <c r="GA47" i="30"/>
  <c r="FZ47" i="30"/>
  <c r="FY47" i="30"/>
  <c r="FX47" i="30"/>
  <c r="FT47" i="30"/>
  <c r="FS47" i="30"/>
  <c r="FR47" i="30"/>
  <c r="FQ47" i="30"/>
  <c r="FM47" i="30"/>
  <c r="FL47" i="30"/>
  <c r="FK47" i="30"/>
  <c r="FJ47" i="30"/>
  <c r="FF47" i="30"/>
  <c r="FE47" i="30"/>
  <c r="FD47" i="30"/>
  <c r="FC47" i="30"/>
  <c r="EY47" i="30"/>
  <c r="EX47" i="30"/>
  <c r="EW47" i="30"/>
  <c r="EV47" i="30"/>
  <c r="ER47" i="30"/>
  <c r="EQ47" i="30"/>
  <c r="EP47" i="30"/>
  <c r="EO47" i="30"/>
  <c r="EK47" i="30"/>
  <c r="EJ47" i="30"/>
  <c r="EI47" i="30"/>
  <c r="EH47" i="30"/>
  <c r="ED47" i="30"/>
  <c r="EC47" i="30"/>
  <c r="EB47" i="30"/>
  <c r="EA47" i="30"/>
  <c r="DW47" i="30"/>
  <c r="DV47" i="30"/>
  <c r="DU47" i="30"/>
  <c r="DT47" i="30"/>
  <c r="DP47" i="30"/>
  <c r="DO47" i="30"/>
  <c r="DN47" i="30"/>
  <c r="DM47" i="30"/>
  <c r="DI47" i="30"/>
  <c r="DH47" i="30"/>
  <c r="DG47" i="30"/>
  <c r="DF47" i="30"/>
  <c r="DB47" i="30"/>
  <c r="DA47" i="30"/>
  <c r="CZ47" i="30"/>
  <c r="CY47" i="30"/>
  <c r="CU47" i="30"/>
  <c r="CT47" i="30"/>
  <c r="CS47" i="30"/>
  <c r="CR47" i="30"/>
  <c r="CN47" i="30"/>
  <c r="CM47" i="30"/>
  <c r="CL47" i="30"/>
  <c r="CK47" i="30"/>
  <c r="CG47" i="30"/>
  <c r="CF47" i="30"/>
  <c r="CE47" i="30"/>
  <c r="CD47" i="30"/>
  <c r="KW46" i="30"/>
  <c r="KV46" i="30"/>
  <c r="KU46" i="30"/>
  <c r="KT46" i="30"/>
  <c r="KP46" i="30"/>
  <c r="KO46" i="30"/>
  <c r="KN46" i="30"/>
  <c r="KM46" i="30"/>
  <c r="KI46" i="30"/>
  <c r="KH46" i="30"/>
  <c r="KG46" i="30"/>
  <c r="KF46" i="30"/>
  <c r="KB46" i="30"/>
  <c r="KA46" i="30"/>
  <c r="JZ46" i="30"/>
  <c r="JY46" i="30"/>
  <c r="JU46" i="30"/>
  <c r="JT46" i="30"/>
  <c r="JS46" i="30"/>
  <c r="JR46" i="30"/>
  <c r="JN46" i="30"/>
  <c r="JM46" i="30"/>
  <c r="JL46" i="30"/>
  <c r="JK46" i="30"/>
  <c r="JG46" i="30"/>
  <c r="JF46" i="30"/>
  <c r="JE46" i="30"/>
  <c r="JD46" i="30"/>
  <c r="IZ46" i="30"/>
  <c r="IY46" i="30"/>
  <c r="IX46" i="30"/>
  <c r="IW46" i="30"/>
  <c r="IS46" i="30"/>
  <c r="IR46" i="30"/>
  <c r="IQ46" i="30"/>
  <c r="IP46" i="30"/>
  <c r="IL46" i="30"/>
  <c r="IK46" i="30"/>
  <c r="IJ46" i="30"/>
  <c r="II46" i="30"/>
  <c r="IE46" i="30"/>
  <c r="ID46" i="30"/>
  <c r="IC46" i="30"/>
  <c r="IB46" i="30"/>
  <c r="HX46" i="30"/>
  <c r="HW46" i="30"/>
  <c r="HV46" i="30"/>
  <c r="HU46" i="30"/>
  <c r="HQ46" i="30"/>
  <c r="HP46" i="30"/>
  <c r="HO46" i="30"/>
  <c r="HN46" i="30"/>
  <c r="HJ46" i="30"/>
  <c r="HI46" i="30"/>
  <c r="HH46" i="30"/>
  <c r="HG46" i="30"/>
  <c r="HC46" i="30"/>
  <c r="HB46" i="30"/>
  <c r="HA46" i="30"/>
  <c r="GZ46" i="30"/>
  <c r="GV46" i="30"/>
  <c r="GU46" i="30"/>
  <c r="GT46" i="30"/>
  <c r="GS46" i="30"/>
  <c r="GO46" i="30"/>
  <c r="GN46" i="30"/>
  <c r="GM46" i="30"/>
  <c r="GL46" i="30"/>
  <c r="GH46" i="30"/>
  <c r="GG46" i="30"/>
  <c r="GF46" i="30"/>
  <c r="GE46" i="30"/>
  <c r="GA46" i="30"/>
  <c r="FZ46" i="30"/>
  <c r="FY46" i="30"/>
  <c r="FX46" i="30"/>
  <c r="FT46" i="30"/>
  <c r="FS46" i="30"/>
  <c r="FR46" i="30"/>
  <c r="FQ46" i="30"/>
  <c r="FM46" i="30"/>
  <c r="FL46" i="30"/>
  <c r="FK46" i="30"/>
  <c r="FJ46" i="30"/>
  <c r="FF46" i="30"/>
  <c r="FE46" i="30"/>
  <c r="FD46" i="30"/>
  <c r="FC46" i="30"/>
  <c r="EY46" i="30"/>
  <c r="EX46" i="30"/>
  <c r="EW46" i="30"/>
  <c r="EV46" i="30"/>
  <c r="ER46" i="30"/>
  <c r="EQ46" i="30"/>
  <c r="EP46" i="30"/>
  <c r="EO46" i="30"/>
  <c r="EK46" i="30"/>
  <c r="EJ46" i="30"/>
  <c r="EI46" i="30"/>
  <c r="EH46" i="30"/>
  <c r="ED46" i="30"/>
  <c r="EC46" i="30"/>
  <c r="EB46" i="30"/>
  <c r="EA46" i="30"/>
  <c r="DW46" i="30"/>
  <c r="DV46" i="30"/>
  <c r="DU46" i="30"/>
  <c r="DT46" i="30"/>
  <c r="DP46" i="30"/>
  <c r="DO46" i="30"/>
  <c r="DN46" i="30"/>
  <c r="DM46" i="30"/>
  <c r="DI46" i="30"/>
  <c r="DH46" i="30"/>
  <c r="DG46" i="30"/>
  <c r="DF46" i="30"/>
  <c r="DB46" i="30"/>
  <c r="DA46" i="30"/>
  <c r="CZ46" i="30"/>
  <c r="CY46" i="30"/>
  <c r="CU46" i="30"/>
  <c r="CT46" i="30"/>
  <c r="CS46" i="30"/>
  <c r="CR46" i="30"/>
  <c r="CN46" i="30"/>
  <c r="CM46" i="30"/>
  <c r="CL46" i="30"/>
  <c r="CK46" i="30"/>
  <c r="CG46" i="30"/>
  <c r="CF46" i="30"/>
  <c r="CE46" i="30"/>
  <c r="CD46" i="30"/>
  <c r="KW45" i="30"/>
  <c r="KV45" i="30"/>
  <c r="KU45" i="30"/>
  <c r="KT45" i="30"/>
  <c r="KP45" i="30"/>
  <c r="KO45" i="30"/>
  <c r="KN45" i="30"/>
  <c r="KM45" i="30"/>
  <c r="KI45" i="30"/>
  <c r="KH45" i="30"/>
  <c r="KG45" i="30"/>
  <c r="KF45" i="30"/>
  <c r="KB45" i="30"/>
  <c r="KA45" i="30"/>
  <c r="JZ45" i="30"/>
  <c r="JY45" i="30"/>
  <c r="JU45" i="30"/>
  <c r="JT45" i="30"/>
  <c r="JS45" i="30"/>
  <c r="JR45" i="30"/>
  <c r="JN45" i="30"/>
  <c r="JM45" i="30"/>
  <c r="JL45" i="30"/>
  <c r="JK45" i="30"/>
  <c r="JG45" i="30"/>
  <c r="JF45" i="30"/>
  <c r="JE45" i="30"/>
  <c r="JD45" i="30"/>
  <c r="IZ45" i="30"/>
  <c r="IY45" i="30"/>
  <c r="IX45" i="30"/>
  <c r="IW45" i="30"/>
  <c r="IS45" i="30"/>
  <c r="IR45" i="30"/>
  <c r="IQ45" i="30"/>
  <c r="IP45" i="30"/>
  <c r="IL45" i="30"/>
  <c r="IK45" i="30"/>
  <c r="IJ45" i="30"/>
  <c r="II45" i="30"/>
  <c r="IE45" i="30"/>
  <c r="ID45" i="30"/>
  <c r="IC45" i="30"/>
  <c r="IB45" i="30"/>
  <c r="HX45" i="30"/>
  <c r="HW45" i="30"/>
  <c r="HV45" i="30"/>
  <c r="HU45" i="30"/>
  <c r="HQ45" i="30"/>
  <c r="HP45" i="30"/>
  <c r="HO45" i="30"/>
  <c r="HN45" i="30"/>
  <c r="AI45" i="30"/>
  <c r="AH45" i="30"/>
  <c r="AG45" i="30"/>
  <c r="AF45" i="30"/>
  <c r="AE45" i="30"/>
  <c r="AD45" i="30"/>
  <c r="AC45" i="30"/>
  <c r="AB45" i="30"/>
  <c r="AA45" i="30"/>
  <c r="Z45" i="30"/>
  <c r="Y45" i="30"/>
  <c r="X45" i="30"/>
  <c r="W45" i="30"/>
  <c r="V45" i="30"/>
  <c r="U45" i="30"/>
  <c r="T45" i="30"/>
  <c r="S45" i="30"/>
  <c r="R45" i="30"/>
  <c r="Q45" i="30"/>
  <c r="P45" i="30"/>
  <c r="O45" i="30"/>
  <c r="N45" i="30"/>
  <c r="KW44" i="30"/>
  <c r="KV44" i="30"/>
  <c r="KU44" i="30"/>
  <c r="KT44" i="30"/>
  <c r="KP44" i="30"/>
  <c r="KO44" i="30"/>
  <c r="KN44" i="30"/>
  <c r="KM44" i="30"/>
  <c r="KI44" i="30"/>
  <c r="KH44" i="30"/>
  <c r="KG44" i="30"/>
  <c r="KF44" i="30"/>
  <c r="KB44" i="30"/>
  <c r="KA44" i="30"/>
  <c r="JZ44" i="30"/>
  <c r="JY44" i="30"/>
  <c r="JU44" i="30"/>
  <c r="JT44" i="30"/>
  <c r="JS44" i="30"/>
  <c r="JR44" i="30"/>
  <c r="JN44" i="30"/>
  <c r="JM44" i="30"/>
  <c r="JL44" i="30"/>
  <c r="JK44" i="30"/>
  <c r="JG44" i="30"/>
  <c r="JF44" i="30"/>
  <c r="JE44" i="30"/>
  <c r="JD44" i="30"/>
  <c r="IZ44" i="30"/>
  <c r="IY44" i="30"/>
  <c r="IX44" i="30"/>
  <c r="IW44" i="30"/>
  <c r="IS44" i="30"/>
  <c r="IR44" i="30"/>
  <c r="IQ44" i="30"/>
  <c r="IP44" i="30"/>
  <c r="IL44" i="30"/>
  <c r="IK44" i="30"/>
  <c r="IJ44" i="30"/>
  <c r="II44" i="30"/>
  <c r="IE44" i="30"/>
  <c r="ID44" i="30"/>
  <c r="IC44" i="30"/>
  <c r="IB44" i="30"/>
  <c r="HX44" i="30"/>
  <c r="HW44" i="30"/>
  <c r="HV44" i="30"/>
  <c r="HU44" i="30"/>
  <c r="HQ44" i="30"/>
  <c r="HP44" i="30"/>
  <c r="HO44" i="30"/>
  <c r="HN44" i="30"/>
  <c r="HJ44" i="30"/>
  <c r="HI44" i="30"/>
  <c r="HH44" i="30"/>
  <c r="HG44" i="30"/>
  <c r="HC44" i="30"/>
  <c r="HB44" i="30"/>
  <c r="HA44" i="30"/>
  <c r="GZ44" i="30"/>
  <c r="GV44" i="30"/>
  <c r="GU44" i="30"/>
  <c r="GT44" i="30"/>
  <c r="GS44" i="30"/>
  <c r="GO44" i="30"/>
  <c r="GN44" i="30"/>
  <c r="GM44" i="30"/>
  <c r="GL44" i="30"/>
  <c r="GH44" i="30"/>
  <c r="GG44" i="30"/>
  <c r="GF44" i="30"/>
  <c r="GE44" i="30"/>
  <c r="GA44" i="30"/>
  <c r="FZ44" i="30"/>
  <c r="FY44" i="30"/>
  <c r="FX44" i="30"/>
  <c r="FT44" i="30"/>
  <c r="FS44" i="30"/>
  <c r="FR44" i="30"/>
  <c r="FQ44" i="30"/>
  <c r="FM44" i="30"/>
  <c r="FL44" i="30"/>
  <c r="FK44" i="30"/>
  <c r="FJ44" i="30"/>
  <c r="FF44" i="30"/>
  <c r="FE44" i="30"/>
  <c r="FD44" i="30"/>
  <c r="FC44" i="30"/>
  <c r="EY44" i="30"/>
  <c r="EX44" i="30"/>
  <c r="EW44" i="30"/>
  <c r="EV44" i="30"/>
  <c r="ER44" i="30"/>
  <c r="EQ44" i="30"/>
  <c r="EP44" i="30"/>
  <c r="EO44" i="30"/>
  <c r="EK44" i="30"/>
  <c r="EJ44" i="30"/>
  <c r="EI44" i="30"/>
  <c r="EH44" i="30"/>
  <c r="ED44" i="30"/>
  <c r="EC44" i="30"/>
  <c r="EB44" i="30"/>
  <c r="EA44" i="30"/>
  <c r="DW44" i="30"/>
  <c r="DV44" i="30"/>
  <c r="DU44" i="30"/>
  <c r="DT44" i="30"/>
  <c r="DP44" i="30"/>
  <c r="DO44" i="30"/>
  <c r="DN44" i="30"/>
  <c r="DM44" i="30"/>
  <c r="DI44" i="30"/>
  <c r="DH44" i="30"/>
  <c r="DG44" i="30"/>
  <c r="DF44" i="30"/>
  <c r="DB44" i="30"/>
  <c r="DA44" i="30"/>
  <c r="CZ44" i="30"/>
  <c r="CY44" i="30"/>
  <c r="CU44" i="30"/>
  <c r="CT44" i="30"/>
  <c r="CS44" i="30"/>
  <c r="CR44" i="30"/>
  <c r="CN44" i="30"/>
  <c r="CM44" i="30"/>
  <c r="CL44" i="30"/>
  <c r="CK44" i="30"/>
  <c r="CG44" i="30"/>
  <c r="CF44" i="30"/>
  <c r="CE44" i="30"/>
  <c r="CD44" i="30"/>
  <c r="KW43" i="30"/>
  <c r="KV43" i="30"/>
  <c r="KU43" i="30"/>
  <c r="KT43" i="30"/>
  <c r="KP43" i="30"/>
  <c r="KO43" i="30"/>
  <c r="KN43" i="30"/>
  <c r="KM43" i="30"/>
  <c r="KI43" i="30"/>
  <c r="KH43" i="30"/>
  <c r="KG43" i="30"/>
  <c r="KF43" i="30"/>
  <c r="KB43" i="30"/>
  <c r="KA43" i="30"/>
  <c r="JZ43" i="30"/>
  <c r="JY43" i="30"/>
  <c r="JU43" i="30"/>
  <c r="JT43" i="30"/>
  <c r="JS43" i="30"/>
  <c r="JR43" i="30"/>
  <c r="JN43" i="30"/>
  <c r="JM43" i="30"/>
  <c r="JL43" i="30"/>
  <c r="JK43" i="30"/>
  <c r="JG43" i="30"/>
  <c r="JF43" i="30"/>
  <c r="JE43" i="30"/>
  <c r="JD43" i="30"/>
  <c r="IZ43" i="30"/>
  <c r="IY43" i="30"/>
  <c r="IX43" i="30"/>
  <c r="IW43" i="30"/>
  <c r="IS43" i="30"/>
  <c r="IR43" i="30"/>
  <c r="IQ43" i="30"/>
  <c r="IP43" i="30"/>
  <c r="IL43" i="30"/>
  <c r="IK43" i="30"/>
  <c r="IJ43" i="30"/>
  <c r="II43" i="30"/>
  <c r="IE43" i="30"/>
  <c r="ID43" i="30"/>
  <c r="IC43" i="30"/>
  <c r="IB43" i="30"/>
  <c r="HX43" i="30"/>
  <c r="HW43" i="30"/>
  <c r="HV43" i="30"/>
  <c r="HU43" i="30"/>
  <c r="HQ43" i="30"/>
  <c r="HP43" i="30"/>
  <c r="HO43" i="30"/>
  <c r="HN43" i="30"/>
  <c r="HJ43" i="30"/>
  <c r="HI43" i="30"/>
  <c r="HH43" i="30"/>
  <c r="HG43" i="30"/>
  <c r="HC43" i="30"/>
  <c r="HB43" i="30"/>
  <c r="HA43" i="30"/>
  <c r="GZ43" i="30"/>
  <c r="GV43" i="30"/>
  <c r="GU43" i="30"/>
  <c r="GT43" i="30"/>
  <c r="GS43" i="30"/>
  <c r="GO43" i="30"/>
  <c r="GN43" i="30"/>
  <c r="GM43" i="30"/>
  <c r="GL43" i="30"/>
  <c r="GH43" i="30"/>
  <c r="GG43" i="30"/>
  <c r="GF43" i="30"/>
  <c r="GE43" i="30"/>
  <c r="FJ43" i="30"/>
  <c r="FF43" i="30"/>
  <c r="FE43" i="30"/>
  <c r="FD43" i="30"/>
  <c r="FC43" i="30"/>
  <c r="EY43" i="30"/>
  <c r="EX43" i="30"/>
  <c r="EW43" i="30"/>
  <c r="EV43" i="30"/>
  <c r="ER43" i="30"/>
  <c r="EQ43" i="30"/>
  <c r="EP43" i="30"/>
  <c r="EO43" i="30"/>
  <c r="EK43" i="30"/>
  <c r="EJ43" i="30"/>
  <c r="EI43" i="30"/>
  <c r="EH43" i="30"/>
  <c r="ED43" i="30"/>
  <c r="EC43" i="30"/>
  <c r="EB43" i="30"/>
  <c r="EA43" i="30"/>
  <c r="DW43" i="30"/>
  <c r="DV43" i="30"/>
  <c r="DU43" i="30"/>
  <c r="DT43" i="30"/>
  <c r="DP43" i="30"/>
  <c r="DO43" i="30"/>
  <c r="DN43" i="30"/>
  <c r="DM43" i="30"/>
  <c r="DI43" i="30"/>
  <c r="DH43" i="30"/>
  <c r="DG43" i="30"/>
  <c r="DF43" i="30"/>
  <c r="DB43" i="30"/>
  <c r="DA43" i="30"/>
  <c r="CZ43" i="30"/>
  <c r="CY43" i="30"/>
  <c r="CU43" i="30"/>
  <c r="CT43" i="30"/>
  <c r="CS43" i="30"/>
  <c r="CR43" i="30"/>
  <c r="CN43" i="30"/>
  <c r="CM43" i="30"/>
  <c r="CL43" i="30"/>
  <c r="CK43" i="30"/>
  <c r="CG43" i="30"/>
  <c r="CF43" i="30"/>
  <c r="CE43" i="30"/>
  <c r="CD43" i="30"/>
  <c r="KW42" i="30"/>
  <c r="KV42" i="30"/>
  <c r="KU42" i="30"/>
  <c r="KT42" i="30"/>
  <c r="KP42" i="30"/>
  <c r="KO42" i="30"/>
  <c r="KN42" i="30"/>
  <c r="KM42" i="30"/>
  <c r="KI42" i="30"/>
  <c r="KH42" i="30"/>
  <c r="KG42" i="30"/>
  <c r="KF42" i="30"/>
  <c r="KB42" i="30"/>
  <c r="KA42" i="30"/>
  <c r="JZ42" i="30"/>
  <c r="JY42" i="30"/>
  <c r="JU42" i="30"/>
  <c r="JT42" i="30"/>
  <c r="JS42" i="30"/>
  <c r="JR42" i="30"/>
  <c r="JN42" i="30"/>
  <c r="JM42" i="30"/>
  <c r="JL42" i="30"/>
  <c r="JK42" i="30"/>
  <c r="JG42" i="30"/>
  <c r="JF42" i="30"/>
  <c r="JE42" i="30"/>
  <c r="JD42" i="30"/>
  <c r="IZ42" i="30"/>
  <c r="IY42" i="30"/>
  <c r="IX42" i="30"/>
  <c r="IW42" i="30"/>
  <c r="IS42" i="30"/>
  <c r="IR42" i="30"/>
  <c r="IQ42" i="30"/>
  <c r="IP42" i="30"/>
  <c r="IL42" i="30"/>
  <c r="IK42" i="30"/>
  <c r="IJ42" i="30"/>
  <c r="II42" i="30"/>
  <c r="IE42" i="30"/>
  <c r="ID42" i="30"/>
  <c r="IC42" i="30"/>
  <c r="IB42" i="30"/>
  <c r="HX42" i="30"/>
  <c r="HW42" i="30"/>
  <c r="HV42" i="30"/>
  <c r="HU42" i="30"/>
  <c r="HQ42" i="30"/>
  <c r="HP42" i="30"/>
  <c r="HO42" i="30"/>
  <c r="HN42" i="30"/>
  <c r="HJ42" i="30"/>
  <c r="HI42" i="30"/>
  <c r="HH42" i="30"/>
  <c r="HG42" i="30"/>
  <c r="HC42" i="30"/>
  <c r="HB42" i="30"/>
  <c r="HA42" i="30"/>
  <c r="GZ42" i="30"/>
  <c r="GV42" i="30"/>
  <c r="GU42" i="30"/>
  <c r="GT42" i="30"/>
  <c r="GS42" i="30"/>
  <c r="GO42" i="30"/>
  <c r="GN42" i="30"/>
  <c r="GM42" i="30"/>
  <c r="GL42" i="30"/>
  <c r="GH42" i="30"/>
  <c r="GG42" i="30"/>
  <c r="GF42" i="30"/>
  <c r="GE42" i="30"/>
  <c r="GA42" i="30"/>
  <c r="FZ42" i="30"/>
  <c r="FY42" i="30"/>
  <c r="FX42" i="30"/>
  <c r="FT42" i="30"/>
  <c r="FS42" i="30"/>
  <c r="FR42" i="30"/>
  <c r="FQ42" i="30"/>
  <c r="FM42" i="30"/>
  <c r="FL42" i="30"/>
  <c r="FK42" i="30"/>
  <c r="FJ42" i="30"/>
  <c r="FF42" i="30"/>
  <c r="FE42" i="30"/>
  <c r="FD42" i="30"/>
  <c r="FC42" i="30"/>
  <c r="EY42" i="30"/>
  <c r="EX42" i="30"/>
  <c r="EW42" i="30"/>
  <c r="EV42" i="30"/>
  <c r="ER42" i="30"/>
  <c r="EQ42" i="30"/>
  <c r="EP42" i="30"/>
  <c r="EO42" i="30"/>
  <c r="EK42" i="30"/>
  <c r="EJ42" i="30"/>
  <c r="EI42" i="30"/>
  <c r="EH42" i="30"/>
  <c r="ED42" i="30"/>
  <c r="EC42" i="30"/>
  <c r="EB42" i="30"/>
  <c r="EA42" i="30"/>
  <c r="DW42" i="30"/>
  <c r="DV42" i="30"/>
  <c r="DU42" i="30"/>
  <c r="DT42" i="30"/>
  <c r="DP42" i="30"/>
  <c r="DO42" i="30"/>
  <c r="DN42" i="30"/>
  <c r="DM42" i="30"/>
  <c r="DI42" i="30"/>
  <c r="DH42" i="30"/>
  <c r="DG42" i="30"/>
  <c r="DF42" i="30"/>
  <c r="DB42" i="30"/>
  <c r="DA42" i="30"/>
  <c r="CZ42" i="30"/>
  <c r="CY42" i="30"/>
  <c r="CU42" i="30"/>
  <c r="CT42" i="30"/>
  <c r="CS42" i="30"/>
  <c r="CR42" i="30"/>
  <c r="CN42" i="30"/>
  <c r="CM42" i="30"/>
  <c r="CL42" i="30"/>
  <c r="CK42" i="30"/>
  <c r="CG42" i="30"/>
  <c r="CF42" i="30"/>
  <c r="CE42" i="30"/>
  <c r="CD42" i="30"/>
  <c r="AD38" i="30"/>
  <c r="AC38" i="30"/>
  <c r="AB38" i="30"/>
  <c r="AA38" i="30"/>
  <c r="Z38" i="30"/>
  <c r="Y38" i="30"/>
  <c r="X38" i="30"/>
  <c r="W38" i="30"/>
  <c r="V38" i="30"/>
  <c r="U38" i="30"/>
  <c r="T38" i="30"/>
  <c r="S38" i="30"/>
  <c r="R38" i="30"/>
  <c r="Q38" i="30"/>
  <c r="P38" i="30"/>
  <c r="O38" i="30"/>
  <c r="N38" i="30"/>
  <c r="LR35" i="30"/>
  <c r="LY35" i="30" s="1"/>
  <c r="MF35" i="30" s="1"/>
  <c r="LQ35" i="30"/>
  <c r="LX35" i="30" s="1"/>
  <c r="ME35" i="30" s="1"/>
  <c r="LO35" i="30"/>
  <c r="LV35" i="30" s="1"/>
  <c r="MC35" i="30" s="1"/>
  <c r="KX35" i="30"/>
  <c r="AV35" i="30" s="1"/>
  <c r="KQ35" i="30"/>
  <c r="KJ35" i="30"/>
  <c r="KC35" i="30"/>
  <c r="JV35" i="30"/>
  <c r="AR35" i="30" s="1"/>
  <c r="JO35" i="30"/>
  <c r="AQ35" i="30" s="1"/>
  <c r="JH35" i="30"/>
  <c r="AP35" i="30" s="1"/>
  <c r="JA35" i="30"/>
  <c r="AO35" i="30" s="1"/>
  <c r="IT35" i="30"/>
  <c r="IM35" i="30"/>
  <c r="IF35" i="30"/>
  <c r="HY35" i="30"/>
  <c r="HR35" i="30"/>
  <c r="AJ35" i="30" s="1"/>
  <c r="HK35" i="30"/>
  <c r="HD35" i="30"/>
  <c r="GW35" i="30"/>
  <c r="AG35" i="30" s="1"/>
  <c r="GP35" i="30"/>
  <c r="GI35" i="30"/>
  <c r="GB35" i="30"/>
  <c r="GB58" i="30" s="1"/>
  <c r="AD58" i="30" s="1"/>
  <c r="AC35" i="30"/>
  <c r="AB35" i="30"/>
  <c r="AA35" i="30"/>
  <c r="Z35" i="30"/>
  <c r="Y35" i="30"/>
  <c r="X35" i="30"/>
  <c r="W35" i="30"/>
  <c r="V35" i="30"/>
  <c r="U35" i="30"/>
  <c r="T35" i="30"/>
  <c r="S35" i="30"/>
  <c r="R35" i="30"/>
  <c r="Q35" i="30"/>
  <c r="P35" i="30"/>
  <c r="O35" i="30"/>
  <c r="N35" i="30"/>
  <c r="LR34" i="30"/>
  <c r="LY34" i="30" s="1"/>
  <c r="MF34" i="30" s="1"/>
  <c r="LQ34" i="30"/>
  <c r="LX34" i="30" s="1"/>
  <c r="ME34" i="30" s="1"/>
  <c r="LP34" i="30"/>
  <c r="LW34" i="30" s="1"/>
  <c r="MD34" i="30" s="1"/>
  <c r="LO34" i="30"/>
  <c r="LV34" i="30" s="1"/>
  <c r="MC34" i="30" s="1"/>
  <c r="KX34" i="30"/>
  <c r="KQ34" i="30"/>
  <c r="KJ34" i="30"/>
  <c r="AT34" i="30" s="1"/>
  <c r="AS34" i="30"/>
  <c r="AR34" i="30"/>
  <c r="AQ34" i="30"/>
  <c r="AP34" i="30"/>
  <c r="AO34" i="30"/>
  <c r="AN34" i="30"/>
  <c r="AM34" i="30"/>
  <c r="AL34" i="30"/>
  <c r="AK34" i="30"/>
  <c r="AJ34" i="30"/>
  <c r="AI34" i="30"/>
  <c r="AH34" i="30"/>
  <c r="AG34" i="30"/>
  <c r="AF34" i="30"/>
  <c r="AE34" i="30"/>
  <c r="AD34" i="30"/>
  <c r="AC34" i="30"/>
  <c r="AB34" i="30"/>
  <c r="AA34" i="30"/>
  <c r="Z34" i="30"/>
  <c r="Y34" i="30"/>
  <c r="X34" i="30"/>
  <c r="W34" i="30"/>
  <c r="V34" i="30"/>
  <c r="U34" i="30"/>
  <c r="T34" i="30"/>
  <c r="S34" i="30"/>
  <c r="R34" i="30"/>
  <c r="Q34" i="30"/>
  <c r="P34" i="30"/>
  <c r="O34" i="30"/>
  <c r="N34" i="30"/>
  <c r="AD32" i="30"/>
  <c r="AC32" i="30"/>
  <c r="AB32" i="30"/>
  <c r="AA32" i="30"/>
  <c r="Z32" i="30"/>
  <c r="Y32" i="30"/>
  <c r="X32" i="30"/>
  <c r="W32" i="30"/>
  <c r="V32" i="30"/>
  <c r="U32" i="30"/>
  <c r="T32" i="30"/>
  <c r="S32" i="30"/>
  <c r="R32" i="30"/>
  <c r="Q32" i="30"/>
  <c r="P32" i="30"/>
  <c r="O32" i="30"/>
  <c r="N32" i="30"/>
  <c r="FG29" i="30"/>
  <c r="EZ29" i="30"/>
  <c r="ES29" i="30"/>
  <c r="EL29" i="30"/>
  <c r="EE29" i="30"/>
  <c r="AY29" i="30"/>
  <c r="AX29" i="30"/>
  <c r="AW29" i="30"/>
  <c r="AV29" i="30"/>
  <c r="AU29" i="30"/>
  <c r="AT29" i="30"/>
  <c r="AS29" i="30"/>
  <c r="AR29" i="30"/>
  <c r="AQ29" i="30"/>
  <c r="AP29" i="30"/>
  <c r="AO29" i="30"/>
  <c r="AN29" i="30"/>
  <c r="AM29" i="30"/>
  <c r="AL29" i="30"/>
  <c r="AK29" i="30"/>
  <c r="AJ29" i="30"/>
  <c r="AI29" i="30"/>
  <c r="AH29" i="30"/>
  <c r="AG29" i="30"/>
  <c r="AF29" i="30"/>
  <c r="AE29" i="30"/>
  <c r="AD29" i="30"/>
  <c r="AC29" i="30"/>
  <c r="AB29" i="30"/>
  <c r="V29" i="30"/>
  <c r="U29" i="30"/>
  <c r="T29" i="30"/>
  <c r="S29" i="30"/>
  <c r="R29" i="30"/>
  <c r="Q29" i="30"/>
  <c r="P29" i="30"/>
  <c r="O29" i="30"/>
  <c r="N29" i="30"/>
  <c r="FU28" i="30"/>
  <c r="FN28" i="30"/>
  <c r="FG28" i="30"/>
  <c r="EZ28" i="30"/>
  <c r="ES28" i="30"/>
  <c r="Y28" i="30" s="1"/>
  <c r="EL28" i="30"/>
  <c r="EE28" i="30"/>
  <c r="AY28" i="30"/>
  <c r="AX28" i="30"/>
  <c r="AW28" i="30"/>
  <c r="AV28" i="30"/>
  <c r="AU28" i="30"/>
  <c r="AT28" i="30"/>
  <c r="AS28" i="30"/>
  <c r="AR28" i="30"/>
  <c r="AQ28" i="30"/>
  <c r="AP28" i="30"/>
  <c r="AO28" i="30"/>
  <c r="AN28" i="30"/>
  <c r="AM28" i="30"/>
  <c r="AL28" i="30"/>
  <c r="AK28" i="30"/>
  <c r="AJ28" i="30"/>
  <c r="AI28" i="30"/>
  <c r="AH28" i="30"/>
  <c r="AG28" i="30"/>
  <c r="AF28" i="30"/>
  <c r="AE28" i="30"/>
  <c r="AD28" i="30"/>
  <c r="V28" i="30"/>
  <c r="U28" i="30"/>
  <c r="T28" i="30"/>
  <c r="S28" i="30"/>
  <c r="R28" i="30"/>
  <c r="Q28" i="30"/>
  <c r="P28" i="30"/>
  <c r="O28" i="30"/>
  <c r="N28" i="30"/>
  <c r="KX27" i="30"/>
  <c r="KQ27" i="30"/>
  <c r="KJ27" i="30"/>
  <c r="KC27" i="30"/>
  <c r="JV27" i="30"/>
  <c r="JO27" i="30"/>
  <c r="JH27" i="30"/>
  <c r="JA27" i="30"/>
  <c r="IT27" i="30"/>
  <c r="IM27" i="30"/>
  <c r="IF27" i="30"/>
  <c r="HY27" i="30"/>
  <c r="HR27" i="30"/>
  <c r="HK27" i="30"/>
  <c r="HD27" i="30"/>
  <c r="GW27" i="30"/>
  <c r="GP27" i="30"/>
  <c r="GI27" i="30"/>
  <c r="GB27" i="30"/>
  <c r="FU27" i="30"/>
  <c r="FN27" i="30"/>
  <c r="FG27" i="30"/>
  <c r="EZ27" i="30"/>
  <c r="ES27" i="30"/>
  <c r="EL27" i="30"/>
  <c r="EA27" i="30"/>
  <c r="DX27" i="30"/>
  <c r="DQ27" i="30"/>
  <c r="DJ27" i="30"/>
  <c r="DC27" i="30"/>
  <c r="CV27" i="30"/>
  <c r="CO27" i="30"/>
  <c r="CH27" i="30"/>
  <c r="CA27" i="30"/>
  <c r="BS27" i="30"/>
  <c r="BR27" i="30"/>
  <c r="BQ27" i="30"/>
  <c r="BP27" i="30"/>
  <c r="KX26" i="30"/>
  <c r="KQ26" i="30"/>
  <c r="KJ26" i="30"/>
  <c r="KC26" i="30"/>
  <c r="JV26" i="30"/>
  <c r="JO26" i="30"/>
  <c r="JH26" i="30"/>
  <c r="JA26" i="30"/>
  <c r="IT26" i="30"/>
  <c r="IM26" i="30"/>
  <c r="IF26" i="30"/>
  <c r="HY26" i="30"/>
  <c r="HR26" i="30"/>
  <c r="HK26" i="30"/>
  <c r="HD26" i="30"/>
  <c r="GW26" i="30"/>
  <c r="GP26" i="30"/>
  <c r="GI26" i="30"/>
  <c r="GB26" i="30"/>
  <c r="FT26" i="30"/>
  <c r="FS26" i="30"/>
  <c r="FR26" i="30"/>
  <c r="FQ26" i="30"/>
  <c r="FM26" i="30"/>
  <c r="FL26" i="30"/>
  <c r="FK26" i="30"/>
  <c r="FJ26" i="30"/>
  <c r="FF26" i="30"/>
  <c r="FE26" i="30"/>
  <c r="FD26" i="30"/>
  <c r="FC26" i="30"/>
  <c r="EY26" i="30"/>
  <c r="EX26" i="30"/>
  <c r="EW26" i="30"/>
  <c r="EV26" i="30"/>
  <c r="ER26" i="30"/>
  <c r="EQ26" i="30"/>
  <c r="EP26" i="30"/>
  <c r="EO26" i="30"/>
  <c r="EK26" i="30"/>
  <c r="EJ26" i="30"/>
  <c r="EI26" i="30"/>
  <c r="EH26" i="30"/>
  <c r="ED26" i="30"/>
  <c r="EC26" i="30"/>
  <c r="EB26" i="30"/>
  <c r="EA26" i="30"/>
  <c r="DW26" i="30"/>
  <c r="DV26" i="30"/>
  <c r="DU26" i="30"/>
  <c r="DT26" i="30"/>
  <c r="DO26" i="30"/>
  <c r="DN26" i="30"/>
  <c r="DM26" i="30"/>
  <c r="DI26" i="30"/>
  <c r="DH26" i="30"/>
  <c r="DG26" i="30"/>
  <c r="DF26" i="30"/>
  <c r="DB26" i="30"/>
  <c r="DA26" i="30"/>
  <c r="CZ26" i="30"/>
  <c r="CY26" i="30"/>
  <c r="CU26" i="30"/>
  <c r="CT26" i="30"/>
  <c r="CS26" i="30"/>
  <c r="CR26" i="30"/>
  <c r="CN26" i="30"/>
  <c r="CL26" i="30"/>
  <c r="CK26" i="30"/>
  <c r="CH26" i="30"/>
  <c r="CA26" i="30"/>
  <c r="BS26" i="30"/>
  <c r="BR26" i="30"/>
  <c r="BQ26" i="30"/>
  <c r="BP26" i="30"/>
  <c r="AS26" i="30"/>
  <c r="FU25" i="30"/>
  <c r="AC25" i="30" s="1"/>
  <c r="FN25" i="30"/>
  <c r="AB25" i="30" s="1"/>
  <c r="FG25" i="30"/>
  <c r="AA25" i="30" s="1"/>
  <c r="EZ25" i="30"/>
  <c r="Z25" i="30" s="1"/>
  <c r="ES25" i="30"/>
  <c r="Y25" i="30" s="1"/>
  <c r="EL25" i="30"/>
  <c r="X25" i="30" s="1"/>
  <c r="EE25" i="30"/>
  <c r="W25" i="30" s="1"/>
  <c r="DX25" i="30"/>
  <c r="V25" i="30" s="1"/>
  <c r="DQ25" i="30"/>
  <c r="U25" i="30" s="1"/>
  <c r="DJ25" i="30"/>
  <c r="T25" i="30" s="1"/>
  <c r="DC25" i="30"/>
  <c r="S25" i="30" s="1"/>
  <c r="CV25" i="30"/>
  <c r="R25" i="30" s="1"/>
  <c r="CO25" i="30"/>
  <c r="Q25" i="30" s="1"/>
  <c r="AY25" i="30"/>
  <c r="AX25" i="30"/>
  <c r="AW25" i="30"/>
  <c r="AV25" i="30"/>
  <c r="AU25" i="30"/>
  <c r="AT25" i="30"/>
  <c r="AS25" i="30"/>
  <c r="AR25" i="30"/>
  <c r="AQ25" i="30"/>
  <c r="AP25" i="30"/>
  <c r="AO25" i="30"/>
  <c r="AN25" i="30"/>
  <c r="AM25" i="30"/>
  <c r="AL25" i="30"/>
  <c r="AK25" i="30"/>
  <c r="AJ25" i="30"/>
  <c r="AI25" i="30"/>
  <c r="AH25" i="30"/>
  <c r="AG25" i="30"/>
  <c r="AF25" i="30"/>
  <c r="AE25" i="30"/>
  <c r="AD25" i="30"/>
  <c r="P25" i="30"/>
  <c r="O25" i="30"/>
  <c r="N25" i="30"/>
  <c r="FU24" i="30"/>
  <c r="AC24" i="30" s="1"/>
  <c r="FN24" i="30"/>
  <c r="FG24" i="30"/>
  <c r="AA24" i="30" s="1"/>
  <c r="EZ24" i="30"/>
  <c r="ES24" i="30"/>
  <c r="EL24" i="30"/>
  <c r="EE24" i="30"/>
  <c r="DX24" i="30"/>
  <c r="V24" i="30" s="1"/>
  <c r="DQ24" i="30"/>
  <c r="DJ24" i="30"/>
  <c r="T24" i="30" s="1"/>
  <c r="DC24" i="30"/>
  <c r="CV24" i="30"/>
  <c r="CM24" i="30"/>
  <c r="CM130" i="30" s="1"/>
  <c r="AY24" i="30"/>
  <c r="AX24" i="30"/>
  <c r="AW24" i="30"/>
  <c r="AV24" i="30"/>
  <c r="AU24" i="30"/>
  <c r="AT24" i="30"/>
  <c r="AS24" i="30"/>
  <c r="AR24" i="30"/>
  <c r="AQ24" i="30"/>
  <c r="AP24" i="30"/>
  <c r="AO24" i="30"/>
  <c r="AN24" i="30"/>
  <c r="AM24" i="30"/>
  <c r="AL24" i="30"/>
  <c r="AK24" i="30"/>
  <c r="AJ24" i="30"/>
  <c r="AI24" i="30"/>
  <c r="AH24" i="30"/>
  <c r="AG24" i="30"/>
  <c r="AF24" i="30"/>
  <c r="AE24" i="30"/>
  <c r="AD24" i="30"/>
  <c r="P24" i="30"/>
  <c r="O24" i="30"/>
  <c r="N24" i="30"/>
  <c r="FU23" i="30"/>
  <c r="AC23" i="30" s="1"/>
  <c r="FN23" i="30"/>
  <c r="AB23" i="30" s="1"/>
  <c r="FG23" i="30"/>
  <c r="EZ23" i="30"/>
  <c r="Z23" i="30" s="1"/>
  <c r="ES23" i="30"/>
  <c r="EL23" i="30"/>
  <c r="EE23" i="30"/>
  <c r="DX23" i="30"/>
  <c r="DP23" i="30"/>
  <c r="DP129" i="30" s="1"/>
  <c r="DJ23" i="30"/>
  <c r="T23" i="30" s="1"/>
  <c r="DC23" i="30"/>
  <c r="CV23" i="30"/>
  <c r="CO23" i="30"/>
  <c r="AY23" i="30"/>
  <c r="AX23" i="30"/>
  <c r="AW23" i="30"/>
  <c r="AV23" i="30"/>
  <c r="AU23" i="30"/>
  <c r="AT23" i="30"/>
  <c r="AS23" i="30"/>
  <c r="AR23" i="30"/>
  <c r="AQ23" i="30"/>
  <c r="AP23" i="30"/>
  <c r="AO23" i="30"/>
  <c r="AN23" i="30"/>
  <c r="AM23" i="30"/>
  <c r="AL23" i="30"/>
  <c r="AK23" i="30"/>
  <c r="AJ23" i="30"/>
  <c r="AI23" i="30"/>
  <c r="AH23" i="30"/>
  <c r="AG23" i="30"/>
  <c r="AF23" i="30"/>
  <c r="AE23" i="30"/>
  <c r="AD23" i="30"/>
  <c r="P23" i="30"/>
  <c r="O23" i="30"/>
  <c r="N23" i="30"/>
  <c r="AE21" i="30"/>
  <c r="AD21" i="30"/>
  <c r="AC21" i="30"/>
  <c r="AB21" i="30"/>
  <c r="AA21" i="30"/>
  <c r="Z21" i="30"/>
  <c r="Y21" i="30"/>
  <c r="X21" i="30"/>
  <c r="W21" i="30"/>
  <c r="V21" i="30"/>
  <c r="U21" i="30"/>
  <c r="T21" i="30"/>
  <c r="S21" i="30"/>
  <c r="R21" i="30"/>
  <c r="Q21" i="30"/>
  <c r="P21" i="30"/>
  <c r="O21" i="30"/>
  <c r="N21" i="30"/>
  <c r="KW20" i="30"/>
  <c r="KV20" i="30"/>
  <c r="KU20" i="30"/>
  <c r="KT20" i="30"/>
  <c r="KP20" i="30"/>
  <c r="KO20" i="30"/>
  <c r="KN20" i="30"/>
  <c r="KM20" i="30"/>
  <c r="KI20" i="30"/>
  <c r="KH20" i="30"/>
  <c r="KG20" i="30"/>
  <c r="KF20" i="30"/>
  <c r="KB20" i="30"/>
  <c r="KA20" i="30"/>
  <c r="JZ20" i="30"/>
  <c r="JY20" i="30"/>
  <c r="JU20" i="30"/>
  <c r="JT20" i="30"/>
  <c r="JS20" i="30"/>
  <c r="JR20" i="30"/>
  <c r="JN20" i="30"/>
  <c r="JM20" i="30"/>
  <c r="JL20" i="30"/>
  <c r="JK20" i="30"/>
  <c r="JG20" i="30"/>
  <c r="JF20" i="30"/>
  <c r="JE20" i="30"/>
  <c r="JD20" i="30"/>
  <c r="IZ20" i="30"/>
  <c r="IY20" i="30"/>
  <c r="IX20" i="30"/>
  <c r="IW20" i="30"/>
  <c r="IS20" i="30"/>
  <c r="IR20" i="30"/>
  <c r="IQ20" i="30"/>
  <c r="IP20" i="30"/>
  <c r="IL20" i="30"/>
  <c r="IK20" i="30"/>
  <c r="IJ20" i="30"/>
  <c r="II20" i="30"/>
  <c r="IE20" i="30"/>
  <c r="ID20" i="30"/>
  <c r="IC20" i="30"/>
  <c r="IB20" i="30"/>
  <c r="HX20" i="30"/>
  <c r="HW20" i="30"/>
  <c r="HW37" i="30" s="1"/>
  <c r="HV20" i="30"/>
  <c r="HU20" i="30"/>
  <c r="HQ20" i="30"/>
  <c r="HQ37" i="30" s="1"/>
  <c r="HP20" i="30"/>
  <c r="HP37" i="30" s="1"/>
  <c r="HO20" i="30"/>
  <c r="HO31" i="30" s="1"/>
  <c r="HN20" i="30"/>
  <c r="HJ20" i="30"/>
  <c r="HI20" i="30"/>
  <c r="HH20" i="30"/>
  <c r="HG20" i="30"/>
  <c r="HC20" i="30"/>
  <c r="HB20" i="30"/>
  <c r="HA20" i="30"/>
  <c r="GZ20" i="30"/>
  <c r="GV20" i="30"/>
  <c r="GU20" i="30"/>
  <c r="GT20" i="30"/>
  <c r="GT31" i="30" s="1"/>
  <c r="GS20" i="30"/>
  <c r="GO20" i="30"/>
  <c r="GN20" i="30"/>
  <c r="GM20" i="30"/>
  <c r="GL20" i="30"/>
  <c r="GH20" i="30"/>
  <c r="GG20" i="30"/>
  <c r="GG31" i="30" s="1"/>
  <c r="GF20" i="30"/>
  <c r="GE20" i="30"/>
  <c r="GA20" i="30"/>
  <c r="FZ20" i="30"/>
  <c r="FY20" i="30"/>
  <c r="FX20" i="30"/>
  <c r="FJ20" i="30"/>
  <c r="FF20" i="30"/>
  <c r="FE20" i="30"/>
  <c r="FD20" i="30"/>
  <c r="FC20" i="30"/>
  <c r="EY20" i="30"/>
  <c r="EX20" i="30"/>
  <c r="EW20" i="30"/>
  <c r="EV20" i="30"/>
  <c r="ER20" i="30"/>
  <c r="EQ20" i="30"/>
  <c r="EP20" i="30"/>
  <c r="EO20" i="30"/>
  <c r="EK20" i="30"/>
  <c r="EJ20" i="30"/>
  <c r="EI20" i="30"/>
  <c r="EH20" i="30"/>
  <c r="ED20" i="30"/>
  <c r="EC20" i="30"/>
  <c r="EB20" i="30"/>
  <c r="EA20" i="30"/>
  <c r="DW20" i="30"/>
  <c r="DV20" i="30"/>
  <c r="DU20" i="30"/>
  <c r="DT20" i="30"/>
  <c r="DP20" i="30"/>
  <c r="DO20" i="30"/>
  <c r="DN20" i="30"/>
  <c r="DM20" i="30"/>
  <c r="DI20" i="30"/>
  <c r="DH20" i="30"/>
  <c r="DG20" i="30"/>
  <c r="DF20" i="30"/>
  <c r="DB20" i="30"/>
  <c r="DA20" i="30"/>
  <c r="CZ20" i="30"/>
  <c r="CY20" i="30"/>
  <c r="CU20" i="30"/>
  <c r="CT20" i="30"/>
  <c r="CS20" i="30"/>
  <c r="CR20" i="30"/>
  <c r="CN20" i="30"/>
  <c r="CM20" i="30"/>
  <c r="CL20" i="30"/>
  <c r="CK20" i="30"/>
  <c r="CG20" i="30"/>
  <c r="CF20" i="30"/>
  <c r="CE20" i="30"/>
  <c r="CD20" i="30"/>
  <c r="BZ20" i="30"/>
  <c r="BY20" i="30"/>
  <c r="BX20" i="30"/>
  <c r="BW20" i="30"/>
  <c r="BW31" i="30" s="1"/>
  <c r="M20" i="30"/>
  <c r="L20" i="30"/>
  <c r="K20" i="30"/>
  <c r="J20" i="30"/>
  <c r="D20" i="30"/>
  <c r="C20" i="30"/>
  <c r="HY18" i="30"/>
  <c r="HY124" i="30" s="1"/>
  <c r="AK124" i="30" s="1"/>
  <c r="HR18" i="30"/>
  <c r="HR124" i="30" s="1"/>
  <c r="AJ124" i="30" s="1"/>
  <c r="HK18" i="30"/>
  <c r="HK124" i="30" s="1"/>
  <c r="AI124" i="30" s="1"/>
  <c r="AY18" i="30"/>
  <c r="AX18" i="30"/>
  <c r="AW18" i="30"/>
  <c r="AV18" i="30"/>
  <c r="AU18" i="30"/>
  <c r="AT18" i="30"/>
  <c r="AS18" i="30"/>
  <c r="AR18" i="30"/>
  <c r="AQ18" i="30"/>
  <c r="AP18" i="30"/>
  <c r="AO18" i="30"/>
  <c r="AN18" i="30"/>
  <c r="AM18" i="30"/>
  <c r="AL18" i="30"/>
  <c r="AH18" i="30"/>
  <c r="AG18" i="30"/>
  <c r="AF18" i="30"/>
  <c r="AE18" i="30"/>
  <c r="AD18" i="30"/>
  <c r="AC18" i="30"/>
  <c r="AB18" i="30"/>
  <c r="AA18" i="30"/>
  <c r="Z18" i="30"/>
  <c r="Y18" i="30"/>
  <c r="X18" i="30"/>
  <c r="W18" i="30"/>
  <c r="V18" i="30"/>
  <c r="U18" i="30"/>
  <c r="T18" i="30"/>
  <c r="S18" i="30"/>
  <c r="R18" i="30"/>
  <c r="Q18" i="30"/>
  <c r="P18" i="30"/>
  <c r="O18" i="30"/>
  <c r="N18" i="30"/>
  <c r="AY17" i="30"/>
  <c r="AX17" i="30"/>
  <c r="AW17" i="30"/>
  <c r="AV17" i="30"/>
  <c r="AU17" i="30"/>
  <c r="AT17" i="30"/>
  <c r="AS17" i="30"/>
  <c r="AR17" i="30"/>
  <c r="AQ17" i="30"/>
  <c r="AP17" i="30"/>
  <c r="AO17" i="30"/>
  <c r="AN17" i="30"/>
  <c r="AM17" i="30"/>
  <c r="AL17" i="30"/>
  <c r="AK17" i="30"/>
  <c r="AJ17" i="30"/>
  <c r="AI17" i="30"/>
  <c r="AH17" i="30"/>
  <c r="AG17" i="30"/>
  <c r="AF17" i="30"/>
  <c r="AE17" i="30"/>
  <c r="AD17" i="30"/>
  <c r="AC17" i="30"/>
  <c r="AB17" i="30"/>
  <c r="AA17" i="30"/>
  <c r="Z17" i="30"/>
  <c r="Y17" i="30"/>
  <c r="X17" i="30"/>
  <c r="W17" i="30"/>
  <c r="V17" i="30"/>
  <c r="U17" i="30"/>
  <c r="T17" i="30"/>
  <c r="S17" i="30"/>
  <c r="R17" i="30"/>
  <c r="Q17" i="30"/>
  <c r="P17" i="30"/>
  <c r="O17" i="30"/>
  <c r="N17" i="30"/>
  <c r="EL16" i="30"/>
  <c r="EL122" i="30" s="1"/>
  <c r="X122" i="30" s="1"/>
  <c r="EE16" i="30"/>
  <c r="EE122" i="30" s="1"/>
  <c r="W122" i="30" s="1"/>
  <c r="DX16" i="30"/>
  <c r="DX122" i="30" s="1"/>
  <c r="V122" i="30" s="1"/>
  <c r="DQ16" i="30"/>
  <c r="DQ122" i="30" s="1"/>
  <c r="U122" i="30" s="1"/>
  <c r="DJ16" i="30"/>
  <c r="DJ122" i="30" s="1"/>
  <c r="T122" i="30" s="1"/>
  <c r="DC16" i="30"/>
  <c r="DC122" i="30" s="1"/>
  <c r="S122" i="30" s="1"/>
  <c r="CV16" i="30"/>
  <c r="CV122" i="30" s="1"/>
  <c r="R122" i="30" s="1"/>
  <c r="CO16" i="30"/>
  <c r="CO122" i="30" s="1"/>
  <c r="Q122" i="30" s="1"/>
  <c r="CH16" i="30"/>
  <c r="CH122" i="30" s="1"/>
  <c r="P122" i="30" s="1"/>
  <c r="CA16" i="30"/>
  <c r="CA122" i="30" s="1"/>
  <c r="O122" i="30" s="1"/>
  <c r="BS16" i="30"/>
  <c r="BS122" i="30" s="1"/>
  <c r="BR16" i="30"/>
  <c r="BR122" i="30" s="1"/>
  <c r="BQ16" i="30"/>
  <c r="BQ122" i="30" s="1"/>
  <c r="BP16" i="30"/>
  <c r="BP122" i="30" s="1"/>
  <c r="AY16" i="30"/>
  <c r="AX16" i="30"/>
  <c r="AW16" i="30"/>
  <c r="AV16" i="30"/>
  <c r="AU16" i="30"/>
  <c r="AT16" i="30"/>
  <c r="AS16" i="30"/>
  <c r="AR16" i="30"/>
  <c r="AQ16" i="30"/>
  <c r="AP16" i="30"/>
  <c r="AO16" i="30"/>
  <c r="AN16" i="30"/>
  <c r="AM16" i="30"/>
  <c r="AL16" i="30"/>
  <c r="AK16" i="30"/>
  <c r="AJ16" i="30"/>
  <c r="AI16" i="30"/>
  <c r="AH16" i="30"/>
  <c r="AG16" i="30"/>
  <c r="AF16" i="30"/>
  <c r="AE16" i="30"/>
  <c r="AD16" i="30"/>
  <c r="AC16" i="30"/>
  <c r="AB16" i="30"/>
  <c r="AA16" i="30"/>
  <c r="Z16" i="30"/>
  <c r="Y16" i="30"/>
  <c r="I16" i="30"/>
  <c r="I122" i="30" s="1"/>
  <c r="H16" i="30"/>
  <c r="H122" i="30" s="1"/>
  <c r="G16" i="30"/>
  <c r="G122" i="30" s="1"/>
  <c r="F16" i="30"/>
  <c r="F122" i="30" s="1"/>
  <c r="E16" i="30"/>
  <c r="E122" i="30" s="1"/>
  <c r="KX15" i="30"/>
  <c r="KQ15" i="30"/>
  <c r="KJ15" i="30"/>
  <c r="KC15" i="30"/>
  <c r="JV15" i="30"/>
  <c r="JO15" i="30"/>
  <c r="JH15" i="30"/>
  <c r="JA15" i="30"/>
  <c r="IT15" i="30"/>
  <c r="IM15" i="30"/>
  <c r="IF15" i="30"/>
  <c r="HY15" i="30"/>
  <c r="HR15" i="30"/>
  <c r="HK15" i="30"/>
  <c r="HD15" i="30"/>
  <c r="GW15" i="30"/>
  <c r="GP15" i="30"/>
  <c r="GI15" i="30"/>
  <c r="GB15" i="30"/>
  <c r="FU15" i="30"/>
  <c r="FN15" i="30"/>
  <c r="FG15" i="30"/>
  <c r="EZ15" i="30"/>
  <c r="ES15" i="30"/>
  <c r="EL15" i="30"/>
  <c r="EE15" i="30"/>
  <c r="DX15" i="30"/>
  <c r="DQ15" i="30"/>
  <c r="DJ15" i="30"/>
  <c r="DC15" i="30"/>
  <c r="CV15" i="30"/>
  <c r="CO15" i="30"/>
  <c r="CH15" i="30"/>
  <c r="CA15" i="30"/>
  <c r="BS15" i="30"/>
  <c r="BR15" i="30"/>
  <c r="BQ15" i="30"/>
  <c r="BP15" i="30"/>
  <c r="KX14" i="30"/>
  <c r="KQ14" i="30"/>
  <c r="KJ14" i="30"/>
  <c r="KC14" i="30"/>
  <c r="JV14" i="30"/>
  <c r="JO14" i="30"/>
  <c r="JH14" i="30"/>
  <c r="JA14" i="30"/>
  <c r="IT14" i="30"/>
  <c r="IM14" i="30"/>
  <c r="IF14" i="30"/>
  <c r="HY14" i="30"/>
  <c r="HR14" i="30"/>
  <c r="HK14" i="30"/>
  <c r="HD14" i="30"/>
  <c r="GW14" i="30"/>
  <c r="GP14" i="30"/>
  <c r="GI14" i="30"/>
  <c r="GB14" i="30"/>
  <c r="FU14" i="30"/>
  <c r="FN14" i="30"/>
  <c r="FG14" i="30"/>
  <c r="EZ14" i="30"/>
  <c r="ES14" i="30"/>
  <c r="EL14" i="30"/>
  <c r="EE14" i="30"/>
  <c r="DX14" i="30"/>
  <c r="DQ14" i="30"/>
  <c r="DJ14" i="30"/>
  <c r="DC14" i="30"/>
  <c r="CV14" i="30"/>
  <c r="CO14" i="30"/>
  <c r="CH14" i="30"/>
  <c r="CA14" i="30"/>
  <c r="BS14" i="30"/>
  <c r="BR14" i="30"/>
  <c r="BQ14" i="30"/>
  <c r="BP14" i="30"/>
  <c r="KX13" i="30"/>
  <c r="KQ13" i="30"/>
  <c r="KJ13" i="30"/>
  <c r="AT13" i="30" s="1"/>
  <c r="KC13" i="30"/>
  <c r="JV13" i="30"/>
  <c r="JO13" i="30"/>
  <c r="JH13" i="30"/>
  <c r="JA13" i="30"/>
  <c r="IT13" i="30"/>
  <c r="IM13" i="30"/>
  <c r="IF13" i="30"/>
  <c r="HY13" i="30"/>
  <c r="HR13" i="30"/>
  <c r="HK13" i="30"/>
  <c r="HD13" i="30"/>
  <c r="GW13" i="30"/>
  <c r="GP13" i="30"/>
  <c r="GI13" i="30"/>
  <c r="GB13" i="30"/>
  <c r="FU13" i="30"/>
  <c r="FN13" i="30"/>
  <c r="FG13" i="30"/>
  <c r="EZ13" i="30"/>
  <c r="ES13" i="30"/>
  <c r="EL13" i="30"/>
  <c r="EE13" i="30"/>
  <c r="DX13" i="30"/>
  <c r="DQ13" i="30"/>
  <c r="DJ13" i="30"/>
  <c r="DC13" i="30"/>
  <c r="CV13" i="30"/>
  <c r="CO13" i="30"/>
  <c r="CH13" i="30"/>
  <c r="CA13" i="30"/>
  <c r="BS13" i="30"/>
  <c r="BR13" i="30"/>
  <c r="BQ13" i="30"/>
  <c r="BP13" i="30"/>
  <c r="KX12" i="30"/>
  <c r="KQ12" i="30"/>
  <c r="KJ12" i="30"/>
  <c r="KC12" i="30"/>
  <c r="JV12" i="30"/>
  <c r="AR12" i="30" s="1"/>
  <c r="JO12" i="30"/>
  <c r="AQ12" i="30" s="1"/>
  <c r="JH12" i="30"/>
  <c r="JA12" i="30"/>
  <c r="IT12" i="30"/>
  <c r="IM12" i="30"/>
  <c r="IF12" i="30"/>
  <c r="HY12" i="30"/>
  <c r="HR12" i="30"/>
  <c r="HK12" i="30"/>
  <c r="EL12" i="30"/>
  <c r="EE12" i="30"/>
  <c r="DX12" i="30"/>
  <c r="DQ12" i="30"/>
  <c r="DJ12" i="30"/>
  <c r="DC12" i="30"/>
  <c r="CV12" i="30"/>
  <c r="CO12" i="30"/>
  <c r="CH12" i="30"/>
  <c r="CA12" i="30"/>
  <c r="BS12" i="30"/>
  <c r="BR12" i="30"/>
  <c r="BQ12" i="30"/>
  <c r="BP12" i="30"/>
  <c r="AH12" i="30"/>
  <c r="AG12" i="30"/>
  <c r="AF12" i="30"/>
  <c r="AE12" i="30"/>
  <c r="AD12" i="30"/>
  <c r="AC12" i="30"/>
  <c r="AB12" i="30"/>
  <c r="AA12" i="30"/>
  <c r="Z12" i="30"/>
  <c r="Y12" i="30"/>
  <c r="KX11" i="30"/>
  <c r="KQ11" i="30"/>
  <c r="KJ11" i="30"/>
  <c r="KC11" i="30"/>
  <c r="JV11" i="30"/>
  <c r="JO11" i="30"/>
  <c r="JH11" i="30"/>
  <c r="JA11" i="30"/>
  <c r="IT11" i="30"/>
  <c r="IM11" i="30"/>
  <c r="IF11" i="30"/>
  <c r="HY11" i="30"/>
  <c r="HR11" i="30"/>
  <c r="HK11" i="30"/>
  <c r="HD11" i="30"/>
  <c r="GW11" i="30"/>
  <c r="GP11" i="30"/>
  <c r="GI11" i="30"/>
  <c r="GB11" i="30"/>
  <c r="FU11" i="30"/>
  <c r="FN11" i="30"/>
  <c r="FG11" i="30"/>
  <c r="EZ11" i="30"/>
  <c r="ES11" i="30"/>
  <c r="EL11" i="30"/>
  <c r="EE11" i="30"/>
  <c r="DX11" i="30"/>
  <c r="DQ11" i="30"/>
  <c r="DJ11" i="30"/>
  <c r="DC11" i="30"/>
  <c r="CV11" i="30"/>
  <c r="CO11" i="30"/>
  <c r="CH11" i="30"/>
  <c r="CA11" i="30"/>
  <c r="BS11" i="30"/>
  <c r="BR11" i="30"/>
  <c r="BQ11" i="30"/>
  <c r="BP11" i="30"/>
  <c r="KX10" i="30"/>
  <c r="KQ10" i="30"/>
  <c r="KJ10" i="30"/>
  <c r="KC10" i="30"/>
  <c r="JV10" i="30"/>
  <c r="JO10" i="30"/>
  <c r="JH10" i="30"/>
  <c r="JA10" i="30"/>
  <c r="IT10" i="30"/>
  <c r="IM10" i="30"/>
  <c r="IF10" i="30"/>
  <c r="HY10" i="30"/>
  <c r="HR10" i="30"/>
  <c r="HK10" i="30"/>
  <c r="HD10" i="30"/>
  <c r="GW10" i="30"/>
  <c r="GP10" i="30"/>
  <c r="GI10" i="30"/>
  <c r="GB10" i="30"/>
  <c r="FT10" i="30"/>
  <c r="FS10" i="30"/>
  <c r="FR10" i="30"/>
  <c r="FQ10" i="30"/>
  <c r="FM10" i="30"/>
  <c r="FL10" i="30"/>
  <c r="FK10" i="30"/>
  <c r="FG10" i="30"/>
  <c r="EZ10" i="30"/>
  <c r="ES10" i="30"/>
  <c r="EL10" i="30"/>
  <c r="EE10" i="30"/>
  <c r="DX10" i="30"/>
  <c r="DQ10" i="30"/>
  <c r="DJ10" i="30"/>
  <c r="DC10" i="30"/>
  <c r="CV10" i="30"/>
  <c r="CO10" i="30"/>
  <c r="CH10" i="30"/>
  <c r="CA10" i="30"/>
  <c r="BS10" i="30"/>
  <c r="BR10" i="30"/>
  <c r="BQ10" i="30"/>
  <c r="BP10" i="30"/>
  <c r="KX9" i="30"/>
  <c r="KQ9" i="30"/>
  <c r="KJ9" i="30"/>
  <c r="KC9" i="30"/>
  <c r="JV9" i="30"/>
  <c r="JO9" i="30"/>
  <c r="JH9" i="30"/>
  <c r="JA9" i="30"/>
  <c r="IT9" i="30"/>
  <c r="IM9" i="30"/>
  <c r="IF9" i="30"/>
  <c r="HY9" i="30"/>
  <c r="HR9" i="30"/>
  <c r="HK9" i="30"/>
  <c r="HD9" i="30"/>
  <c r="GW9" i="30"/>
  <c r="GP9" i="30"/>
  <c r="GI9" i="30"/>
  <c r="GB9" i="30"/>
  <c r="FU9" i="30"/>
  <c r="FN9" i="30"/>
  <c r="FG9" i="30"/>
  <c r="EZ9" i="30"/>
  <c r="ES9" i="30"/>
  <c r="EL9" i="30"/>
  <c r="EE9" i="30"/>
  <c r="DX9" i="30"/>
  <c r="DQ9" i="30"/>
  <c r="DJ9" i="30"/>
  <c r="DC9" i="30"/>
  <c r="CV9" i="30"/>
  <c r="CO9" i="30"/>
  <c r="CH9" i="30"/>
  <c r="CA9" i="30"/>
  <c r="BS9" i="30"/>
  <c r="BR9" i="30"/>
  <c r="BQ9" i="30"/>
  <c r="BP9" i="30"/>
  <c r="AY5" i="30"/>
  <c r="AX5" i="30"/>
  <c r="AW5" i="30"/>
  <c r="AV5" i="30"/>
  <c r="AU5" i="30"/>
  <c r="AT5" i="30"/>
  <c r="AS5" i="30"/>
  <c r="AR5" i="30"/>
  <c r="AQ5" i="30"/>
  <c r="AP5" i="30"/>
  <c r="AO5" i="30"/>
  <c r="AN5" i="30"/>
  <c r="AM5" i="30"/>
  <c r="AL5" i="30"/>
  <c r="AK5" i="30"/>
  <c r="AJ5" i="30"/>
  <c r="AI5" i="30"/>
  <c r="AH5" i="30"/>
  <c r="AG5" i="30"/>
  <c r="AF5" i="30"/>
  <c r="AE5" i="30"/>
  <c r="AD5" i="30"/>
  <c r="AC5" i="30"/>
  <c r="AB5" i="30"/>
  <c r="AA5" i="30"/>
  <c r="Z5" i="30"/>
  <c r="Y5" i="30"/>
  <c r="X5" i="30"/>
  <c r="W5" i="30"/>
  <c r="V5" i="30"/>
  <c r="U5" i="30"/>
  <c r="T5" i="30"/>
  <c r="S5" i="30"/>
  <c r="R5" i="30"/>
  <c r="Q5" i="30"/>
  <c r="P5" i="30"/>
  <c r="O5" i="30"/>
  <c r="BT5" i="30"/>
  <c r="BS5" i="30"/>
  <c r="BS166" i="30" s="1"/>
  <c r="BR5" i="30"/>
  <c r="BR166" i="30" s="1"/>
  <c r="BQ5" i="30"/>
  <c r="BQ166" i="30" s="1"/>
  <c r="BP5" i="30"/>
  <c r="BP166" i="30" s="1"/>
  <c r="BS4" i="30"/>
  <c r="BS165" i="30" s="1"/>
  <c r="BR4" i="30"/>
  <c r="BR165" i="30" s="1"/>
  <c r="BQ4" i="30"/>
  <c r="BQ165" i="30" s="1"/>
  <c r="BP4" i="30"/>
  <c r="BP165" i="30" s="1"/>
  <c r="KX190" i="29"/>
  <c r="AV190" i="29" s="1"/>
  <c r="KW190" i="29"/>
  <c r="KV190" i="29"/>
  <c r="KU190" i="29"/>
  <c r="KT190" i="29"/>
  <c r="KQ190" i="29"/>
  <c r="AU190" i="29" s="1"/>
  <c r="KP190" i="29"/>
  <c r="KO190" i="29"/>
  <c r="KN190" i="29"/>
  <c r="KM190" i="29"/>
  <c r="KJ190" i="29"/>
  <c r="AT190" i="29" s="1"/>
  <c r="KI190" i="29"/>
  <c r="KH190" i="29"/>
  <c r="KG190" i="29"/>
  <c r="KF190" i="29"/>
  <c r="KC190" i="29"/>
  <c r="AS190" i="29" s="1"/>
  <c r="KB190" i="29"/>
  <c r="KA190" i="29"/>
  <c r="JZ190" i="29"/>
  <c r="JY190" i="29"/>
  <c r="JV190" i="29"/>
  <c r="AR190" i="29" s="1"/>
  <c r="JU190" i="29"/>
  <c r="JT190" i="29"/>
  <c r="JS190" i="29"/>
  <c r="JR190" i="29"/>
  <c r="JO190" i="29"/>
  <c r="AQ190" i="29" s="1"/>
  <c r="JN190" i="29"/>
  <c r="JM190" i="29"/>
  <c r="JL190" i="29"/>
  <c r="JK190" i="29"/>
  <c r="JH190" i="29"/>
  <c r="AP190" i="29" s="1"/>
  <c r="JG190" i="29"/>
  <c r="JF190" i="29"/>
  <c r="JE190" i="29"/>
  <c r="JD190" i="29"/>
  <c r="JA190" i="29"/>
  <c r="AO190" i="29" s="1"/>
  <c r="IZ190" i="29"/>
  <c r="IY190" i="29"/>
  <c r="IX190" i="29"/>
  <c r="IW190" i="29"/>
  <c r="IS190" i="29"/>
  <c r="IR190" i="29"/>
  <c r="IQ190" i="29"/>
  <c r="IP190" i="29"/>
  <c r="IL190" i="29"/>
  <c r="IK190" i="29"/>
  <c r="IJ190" i="29"/>
  <c r="II190" i="29"/>
  <c r="IE190" i="29"/>
  <c r="ID190" i="29"/>
  <c r="IC190" i="29"/>
  <c r="IB190" i="29"/>
  <c r="HX190" i="29"/>
  <c r="HW190" i="29"/>
  <c r="HV190" i="29"/>
  <c r="HU190" i="29"/>
  <c r="HQ190" i="29"/>
  <c r="HP190" i="29"/>
  <c r="HO190" i="29"/>
  <c r="HN190" i="29"/>
  <c r="HJ190" i="29"/>
  <c r="HI190" i="29"/>
  <c r="HH190" i="29"/>
  <c r="HG190" i="29"/>
  <c r="HC190" i="29"/>
  <c r="HB190" i="29"/>
  <c r="HA190" i="29"/>
  <c r="GZ190" i="29"/>
  <c r="GV190" i="29"/>
  <c r="GU190" i="29"/>
  <c r="GT190" i="29"/>
  <c r="GS190" i="29"/>
  <c r="AY190" i="29"/>
  <c r="AX190" i="29"/>
  <c r="AW190" i="29"/>
  <c r="AC190" i="29"/>
  <c r="AB190" i="29"/>
  <c r="AA190" i="29"/>
  <c r="Z190" i="29"/>
  <c r="Y190" i="29"/>
  <c r="X190" i="29"/>
  <c r="W190" i="29"/>
  <c r="V190" i="29"/>
  <c r="U190" i="29"/>
  <c r="T190" i="29"/>
  <c r="S190" i="29"/>
  <c r="R190" i="29"/>
  <c r="Q190" i="29"/>
  <c r="P190" i="29"/>
  <c r="O190" i="29"/>
  <c r="N190" i="29"/>
  <c r="KW188" i="29"/>
  <c r="KV188" i="29"/>
  <c r="KU188" i="29"/>
  <c r="KT188" i="29"/>
  <c r="KP188" i="29"/>
  <c r="KO188" i="29"/>
  <c r="KN188" i="29"/>
  <c r="KM188" i="29"/>
  <c r="KI188" i="29"/>
  <c r="KH188" i="29"/>
  <c r="KG188" i="29"/>
  <c r="KF188" i="29"/>
  <c r="KB188" i="29"/>
  <c r="KA188" i="29"/>
  <c r="JZ188" i="29"/>
  <c r="JY188" i="29"/>
  <c r="JU188" i="29"/>
  <c r="JT188" i="29"/>
  <c r="JS188" i="29"/>
  <c r="JR188" i="29"/>
  <c r="JN188" i="29"/>
  <c r="JM188" i="29"/>
  <c r="JL188" i="29"/>
  <c r="JK188" i="29"/>
  <c r="JG188" i="29"/>
  <c r="JF188" i="29"/>
  <c r="JE188" i="29"/>
  <c r="JD188" i="29"/>
  <c r="IZ188" i="29"/>
  <c r="IY188" i="29"/>
  <c r="IX188" i="29"/>
  <c r="IW188" i="29"/>
  <c r="IS188" i="29"/>
  <c r="IR188" i="29"/>
  <c r="IQ188" i="29"/>
  <c r="IP188" i="29"/>
  <c r="IL188" i="29"/>
  <c r="IK188" i="29"/>
  <c r="IJ188" i="29"/>
  <c r="II188" i="29"/>
  <c r="IE188" i="29"/>
  <c r="ID188" i="29"/>
  <c r="IC188" i="29"/>
  <c r="IB188" i="29"/>
  <c r="HX188" i="29"/>
  <c r="HW188" i="29"/>
  <c r="HV188" i="29"/>
  <c r="HU188" i="29"/>
  <c r="HQ188" i="29"/>
  <c r="HP188" i="29"/>
  <c r="HO188" i="29"/>
  <c r="HN188" i="29"/>
  <c r="HJ188" i="29"/>
  <c r="HI188" i="29"/>
  <c r="HH188" i="29"/>
  <c r="HG188" i="29"/>
  <c r="HC188" i="29"/>
  <c r="HB188" i="29"/>
  <c r="HA188" i="29"/>
  <c r="GZ188" i="29"/>
  <c r="GV188" i="29"/>
  <c r="GU188" i="29"/>
  <c r="GT188" i="29"/>
  <c r="GS188" i="29"/>
  <c r="GO188" i="29"/>
  <c r="GN188" i="29"/>
  <c r="GM188" i="29"/>
  <c r="GL188" i="29"/>
  <c r="GH188" i="29"/>
  <c r="GG188" i="29"/>
  <c r="GF188" i="29"/>
  <c r="GE188" i="29"/>
  <c r="GA188" i="29"/>
  <c r="FZ188" i="29"/>
  <c r="FY188" i="29"/>
  <c r="FX188" i="29"/>
  <c r="KW187" i="29"/>
  <c r="KV187" i="29"/>
  <c r="KU187" i="29"/>
  <c r="KT187" i="29"/>
  <c r="KP187" i="29"/>
  <c r="KO187" i="29"/>
  <c r="KN187" i="29"/>
  <c r="KM187" i="29"/>
  <c r="KI187" i="29"/>
  <c r="KH187" i="29"/>
  <c r="KG187" i="29"/>
  <c r="KF187" i="29"/>
  <c r="KB187" i="29"/>
  <c r="KA187" i="29"/>
  <c r="JZ187" i="29"/>
  <c r="JY187" i="29"/>
  <c r="JU187" i="29"/>
  <c r="JT187" i="29"/>
  <c r="JS187" i="29"/>
  <c r="JR187" i="29"/>
  <c r="JN187" i="29"/>
  <c r="JM187" i="29"/>
  <c r="JL187" i="29"/>
  <c r="JK187" i="29"/>
  <c r="JG187" i="29"/>
  <c r="JF187" i="29"/>
  <c r="JE187" i="29"/>
  <c r="JD187" i="29"/>
  <c r="IZ187" i="29"/>
  <c r="IY187" i="29"/>
  <c r="IX187" i="29"/>
  <c r="IW187" i="29"/>
  <c r="IS187" i="29"/>
  <c r="IR187" i="29"/>
  <c r="IQ187" i="29"/>
  <c r="IP187" i="29"/>
  <c r="IL187" i="29"/>
  <c r="IK187" i="29"/>
  <c r="IJ187" i="29"/>
  <c r="II187" i="29"/>
  <c r="IE187" i="29"/>
  <c r="ID187" i="29"/>
  <c r="IC187" i="29"/>
  <c r="IB187" i="29"/>
  <c r="HX187" i="29"/>
  <c r="HW187" i="29"/>
  <c r="HV187" i="29"/>
  <c r="HU187" i="29"/>
  <c r="HQ187" i="29"/>
  <c r="HP187" i="29"/>
  <c r="HO187" i="29"/>
  <c r="HN187" i="29"/>
  <c r="HJ187" i="29"/>
  <c r="HI187" i="29"/>
  <c r="HH187" i="29"/>
  <c r="HG187" i="29"/>
  <c r="HC187" i="29"/>
  <c r="HB187" i="29"/>
  <c r="HA187" i="29"/>
  <c r="GZ187" i="29"/>
  <c r="GV187" i="29"/>
  <c r="GU187" i="29"/>
  <c r="GT187" i="29"/>
  <c r="GS187" i="29"/>
  <c r="GO187" i="29"/>
  <c r="GN187" i="29"/>
  <c r="GM187" i="29"/>
  <c r="GL187" i="29"/>
  <c r="GH187" i="29"/>
  <c r="GG187" i="29"/>
  <c r="GF187" i="29"/>
  <c r="GE187" i="29"/>
  <c r="GA187" i="29"/>
  <c r="FZ187" i="29"/>
  <c r="FY187" i="29"/>
  <c r="FX187" i="29"/>
  <c r="KW186" i="29"/>
  <c r="KV186" i="29"/>
  <c r="KU186" i="29"/>
  <c r="KT186" i="29"/>
  <c r="KP186" i="29"/>
  <c r="KO186" i="29"/>
  <c r="KN186" i="29"/>
  <c r="KM186" i="29"/>
  <c r="KI186" i="29"/>
  <c r="KH186" i="29"/>
  <c r="KG186" i="29"/>
  <c r="KF186" i="29"/>
  <c r="KB186" i="29"/>
  <c r="KA186" i="29"/>
  <c r="JZ186" i="29"/>
  <c r="JY186" i="29"/>
  <c r="JU186" i="29"/>
  <c r="JT186" i="29"/>
  <c r="JS186" i="29"/>
  <c r="JR186" i="29"/>
  <c r="JN186" i="29"/>
  <c r="JM186" i="29"/>
  <c r="JL186" i="29"/>
  <c r="JK186" i="29"/>
  <c r="JG186" i="29"/>
  <c r="JF186" i="29"/>
  <c r="JE186" i="29"/>
  <c r="JD186" i="29"/>
  <c r="IZ186" i="29"/>
  <c r="IY186" i="29"/>
  <c r="IX186" i="29"/>
  <c r="IW186" i="29"/>
  <c r="IS186" i="29"/>
  <c r="IR186" i="29"/>
  <c r="IQ186" i="29"/>
  <c r="IP186" i="29"/>
  <c r="IL186" i="29"/>
  <c r="IK186" i="29"/>
  <c r="IJ186" i="29"/>
  <c r="II186" i="29"/>
  <c r="IE186" i="29"/>
  <c r="ID186" i="29"/>
  <c r="IC186" i="29"/>
  <c r="IB186" i="29"/>
  <c r="HX186" i="29"/>
  <c r="HW186" i="29"/>
  <c r="HV186" i="29"/>
  <c r="HU186" i="29"/>
  <c r="HQ186" i="29"/>
  <c r="HP186" i="29"/>
  <c r="HO186" i="29"/>
  <c r="HN186" i="29"/>
  <c r="HJ186" i="29"/>
  <c r="HI186" i="29"/>
  <c r="HH186" i="29"/>
  <c r="HG186" i="29"/>
  <c r="HC186" i="29"/>
  <c r="HB186" i="29"/>
  <c r="HA186" i="29"/>
  <c r="GZ186" i="29"/>
  <c r="GV186" i="29"/>
  <c r="GU186" i="29"/>
  <c r="GT186" i="29"/>
  <c r="GS186" i="29"/>
  <c r="GO186" i="29"/>
  <c r="GN186" i="29"/>
  <c r="GM186" i="29"/>
  <c r="GL186" i="29"/>
  <c r="GH186" i="29"/>
  <c r="GG186" i="29"/>
  <c r="GF186" i="29"/>
  <c r="GE186" i="29"/>
  <c r="GA186" i="29"/>
  <c r="FZ186" i="29"/>
  <c r="FY186" i="29"/>
  <c r="FX186" i="29"/>
  <c r="AY185" i="29"/>
  <c r="AX185" i="29"/>
  <c r="AW185" i="29"/>
  <c r="AC185" i="29"/>
  <c r="AB185" i="29"/>
  <c r="AA185" i="29"/>
  <c r="Z185" i="29"/>
  <c r="Y185" i="29"/>
  <c r="X185" i="29"/>
  <c r="W185" i="29"/>
  <c r="V185" i="29"/>
  <c r="U185" i="29"/>
  <c r="T185" i="29"/>
  <c r="S185" i="29"/>
  <c r="R185" i="29"/>
  <c r="Q185" i="29"/>
  <c r="P185" i="29"/>
  <c r="O185" i="29"/>
  <c r="N185" i="29"/>
  <c r="KX180" i="29"/>
  <c r="AV180" i="29" s="1"/>
  <c r="KW180" i="29"/>
  <c r="KV180" i="29"/>
  <c r="KU180" i="29"/>
  <c r="KT180" i="29"/>
  <c r="KQ180" i="29"/>
  <c r="AU180" i="29" s="1"/>
  <c r="KP180" i="29"/>
  <c r="KO180" i="29"/>
  <c r="KN180" i="29"/>
  <c r="KM180" i="29"/>
  <c r="KJ180" i="29"/>
  <c r="AT180" i="29" s="1"/>
  <c r="KI180" i="29"/>
  <c r="KH180" i="29"/>
  <c r="KG180" i="29"/>
  <c r="KF180" i="29"/>
  <c r="KC180" i="29"/>
  <c r="AS180" i="29" s="1"/>
  <c r="KB180" i="29"/>
  <c r="KA180" i="29"/>
  <c r="JZ180" i="29"/>
  <c r="JY180" i="29"/>
  <c r="JV180" i="29"/>
  <c r="AR180" i="29" s="1"/>
  <c r="JU180" i="29"/>
  <c r="JT180" i="29"/>
  <c r="JS180" i="29"/>
  <c r="JR180" i="29"/>
  <c r="JO180" i="29"/>
  <c r="AQ180" i="29" s="1"/>
  <c r="JN180" i="29"/>
  <c r="JM180" i="29"/>
  <c r="JL180" i="29"/>
  <c r="JK180" i="29"/>
  <c r="JH180" i="29"/>
  <c r="AP180" i="29" s="1"/>
  <c r="JG180" i="29"/>
  <c r="JF180" i="29"/>
  <c r="JE180" i="29"/>
  <c r="JD180" i="29"/>
  <c r="JA180" i="29"/>
  <c r="AO180" i="29" s="1"/>
  <c r="IZ180" i="29"/>
  <c r="IY180" i="29"/>
  <c r="IX180" i="29"/>
  <c r="IW180" i="29"/>
  <c r="IT180" i="29"/>
  <c r="AN180" i="29" s="1"/>
  <c r="IS180" i="29"/>
  <c r="IR180" i="29"/>
  <c r="IQ180" i="29"/>
  <c r="IP180" i="29"/>
  <c r="IM180" i="29"/>
  <c r="AM180" i="29" s="1"/>
  <c r="IL180" i="29"/>
  <c r="IK180" i="29"/>
  <c r="IJ180" i="29"/>
  <c r="II180" i="29"/>
  <c r="IF180" i="29"/>
  <c r="AL180" i="29" s="1"/>
  <c r="IE180" i="29"/>
  <c r="ID180" i="29"/>
  <c r="IC180" i="29"/>
  <c r="IB180" i="29"/>
  <c r="HY180" i="29"/>
  <c r="AK180" i="29" s="1"/>
  <c r="HX180" i="29"/>
  <c r="HW180" i="29"/>
  <c r="HV180" i="29"/>
  <c r="HU180" i="29"/>
  <c r="HR180" i="29"/>
  <c r="AJ180" i="29" s="1"/>
  <c r="HQ180" i="29"/>
  <c r="HP180" i="29"/>
  <c r="HO180" i="29"/>
  <c r="HN180" i="29"/>
  <c r="HK180" i="29"/>
  <c r="AI180" i="29" s="1"/>
  <c r="HJ180" i="29"/>
  <c r="HI180" i="29"/>
  <c r="HH180" i="29"/>
  <c r="HG180" i="29"/>
  <c r="HD180" i="29"/>
  <c r="AH180" i="29" s="1"/>
  <c r="HC180" i="29"/>
  <c r="HB180" i="29"/>
  <c r="HA180" i="29"/>
  <c r="GZ180" i="29"/>
  <c r="GW180" i="29"/>
  <c r="AG180" i="29" s="1"/>
  <c r="GV180" i="29"/>
  <c r="GU180" i="29"/>
  <c r="GT180" i="29"/>
  <c r="GS180" i="29"/>
  <c r="GP180" i="29"/>
  <c r="AF180" i="29" s="1"/>
  <c r="GO180" i="29"/>
  <c r="GN180" i="29"/>
  <c r="GM180" i="29"/>
  <c r="GL180" i="29"/>
  <c r="GI180" i="29"/>
  <c r="AE180" i="29" s="1"/>
  <c r="GH180" i="29"/>
  <c r="GG180" i="29"/>
  <c r="GF180" i="29"/>
  <c r="GE180" i="29"/>
  <c r="GB180" i="29"/>
  <c r="AD180" i="29" s="1"/>
  <c r="GA180" i="29"/>
  <c r="FZ180" i="29"/>
  <c r="FY180" i="29"/>
  <c r="FX180" i="29"/>
  <c r="AY180" i="29"/>
  <c r="AX180" i="29"/>
  <c r="AW180" i="29"/>
  <c r="AC180" i="29"/>
  <c r="AB180" i="29"/>
  <c r="AA180" i="29"/>
  <c r="Z180" i="29"/>
  <c r="Y180" i="29"/>
  <c r="X180" i="29"/>
  <c r="W180" i="29"/>
  <c r="V180" i="29"/>
  <c r="U180" i="29"/>
  <c r="T180" i="29"/>
  <c r="S180" i="29"/>
  <c r="R180" i="29"/>
  <c r="Q180" i="29"/>
  <c r="P180" i="29"/>
  <c r="O180" i="29"/>
  <c r="N180" i="29"/>
  <c r="KX176" i="29"/>
  <c r="AV176" i="29" s="1"/>
  <c r="KW176" i="29"/>
  <c r="KV176" i="29"/>
  <c r="KU176" i="29"/>
  <c r="KT176" i="29"/>
  <c r="KQ176" i="29"/>
  <c r="AU176" i="29" s="1"/>
  <c r="KP176" i="29"/>
  <c r="KO176" i="29"/>
  <c r="KN176" i="29"/>
  <c r="KM176" i="29"/>
  <c r="KJ176" i="29"/>
  <c r="AT176" i="29" s="1"/>
  <c r="KI176" i="29"/>
  <c r="KH176" i="29"/>
  <c r="KG176" i="29"/>
  <c r="KF176" i="29"/>
  <c r="KC176" i="29"/>
  <c r="AS176" i="29" s="1"/>
  <c r="KB176" i="29"/>
  <c r="KA176" i="29"/>
  <c r="JZ176" i="29"/>
  <c r="JY176" i="29"/>
  <c r="JV176" i="29"/>
  <c r="AR176" i="29" s="1"/>
  <c r="JU176" i="29"/>
  <c r="JT176" i="29"/>
  <c r="JS176" i="29"/>
  <c r="JR176" i="29"/>
  <c r="JO176" i="29"/>
  <c r="AQ176" i="29" s="1"/>
  <c r="JN176" i="29"/>
  <c r="JM176" i="29"/>
  <c r="JL176" i="29"/>
  <c r="JK176" i="29"/>
  <c r="JH176" i="29"/>
  <c r="AP176" i="29" s="1"/>
  <c r="JG176" i="29"/>
  <c r="JF176" i="29"/>
  <c r="JE176" i="29"/>
  <c r="JD176" i="29"/>
  <c r="JA176" i="29"/>
  <c r="AO176" i="29" s="1"/>
  <c r="IZ176" i="29"/>
  <c r="IY176" i="29"/>
  <c r="IX176" i="29"/>
  <c r="IW176" i="29"/>
  <c r="IT176" i="29"/>
  <c r="AN176" i="29" s="1"/>
  <c r="IS176" i="29"/>
  <c r="IR176" i="29"/>
  <c r="IQ176" i="29"/>
  <c r="IP176" i="29"/>
  <c r="IM176" i="29"/>
  <c r="AM176" i="29" s="1"/>
  <c r="IL176" i="29"/>
  <c r="IK176" i="29"/>
  <c r="IJ176" i="29"/>
  <c r="II176" i="29"/>
  <c r="IF176" i="29"/>
  <c r="AL176" i="29" s="1"/>
  <c r="IE176" i="29"/>
  <c r="ID176" i="29"/>
  <c r="IC176" i="29"/>
  <c r="IB176" i="29"/>
  <c r="HY176" i="29"/>
  <c r="AK176" i="29" s="1"/>
  <c r="HX176" i="29"/>
  <c r="HW176" i="29"/>
  <c r="HV176" i="29"/>
  <c r="HU176" i="29"/>
  <c r="HR176" i="29"/>
  <c r="AJ176" i="29" s="1"/>
  <c r="HQ176" i="29"/>
  <c r="HP176" i="29"/>
  <c r="HO176" i="29"/>
  <c r="HN176" i="29"/>
  <c r="HK176" i="29"/>
  <c r="AI176" i="29" s="1"/>
  <c r="HJ176" i="29"/>
  <c r="HI176" i="29"/>
  <c r="HH176" i="29"/>
  <c r="HG176" i="29"/>
  <c r="HD176" i="29"/>
  <c r="AH176" i="29" s="1"/>
  <c r="HC176" i="29"/>
  <c r="HB176" i="29"/>
  <c r="HA176" i="29"/>
  <c r="GZ176" i="29"/>
  <c r="GW176" i="29"/>
  <c r="AG176" i="29" s="1"/>
  <c r="GV176" i="29"/>
  <c r="GU176" i="29"/>
  <c r="GT176" i="29"/>
  <c r="GS176" i="29"/>
  <c r="GP176" i="29"/>
  <c r="AF176" i="29" s="1"/>
  <c r="GO176" i="29"/>
  <c r="GN176" i="29"/>
  <c r="GM176" i="29"/>
  <c r="GL176" i="29"/>
  <c r="GI176" i="29"/>
  <c r="AE176" i="29" s="1"/>
  <c r="GH176" i="29"/>
  <c r="GG176" i="29"/>
  <c r="GF176" i="29"/>
  <c r="GE176" i="29"/>
  <c r="GB176" i="29"/>
  <c r="AD176" i="29" s="1"/>
  <c r="GA176" i="29"/>
  <c r="FZ176" i="29"/>
  <c r="FY176" i="29"/>
  <c r="FX176" i="29"/>
  <c r="AY176" i="29"/>
  <c r="AX176" i="29"/>
  <c r="AW176" i="29"/>
  <c r="AC176" i="29"/>
  <c r="AB176" i="29"/>
  <c r="AA176" i="29"/>
  <c r="Z176" i="29"/>
  <c r="Y176" i="29"/>
  <c r="X176" i="29"/>
  <c r="W176" i="29"/>
  <c r="V176" i="29"/>
  <c r="U176" i="29"/>
  <c r="T176" i="29"/>
  <c r="S176" i="29"/>
  <c r="R176" i="29"/>
  <c r="Q176" i="29"/>
  <c r="P176" i="29"/>
  <c r="O176" i="29"/>
  <c r="N176" i="29"/>
  <c r="KX172" i="29"/>
  <c r="AV172" i="29" s="1"/>
  <c r="KW172" i="29"/>
  <c r="KV172" i="29"/>
  <c r="KU172" i="29"/>
  <c r="KT172" i="29"/>
  <c r="KQ172" i="29"/>
  <c r="AU172" i="29" s="1"/>
  <c r="KP172" i="29"/>
  <c r="KO172" i="29"/>
  <c r="KN172" i="29"/>
  <c r="KM172" i="29"/>
  <c r="KJ172" i="29"/>
  <c r="AT172" i="29" s="1"/>
  <c r="KI172" i="29"/>
  <c r="KH172" i="29"/>
  <c r="KG172" i="29"/>
  <c r="KF172" i="29"/>
  <c r="KC172" i="29"/>
  <c r="AS172" i="29" s="1"/>
  <c r="KB172" i="29"/>
  <c r="KA172" i="29"/>
  <c r="JZ172" i="29"/>
  <c r="JY172" i="29"/>
  <c r="JV172" i="29"/>
  <c r="AR172" i="29" s="1"/>
  <c r="JU172" i="29"/>
  <c r="JT172" i="29"/>
  <c r="JS172" i="29"/>
  <c r="JR172" i="29"/>
  <c r="JO172" i="29"/>
  <c r="AQ172" i="29" s="1"/>
  <c r="JN172" i="29"/>
  <c r="JM172" i="29"/>
  <c r="JL172" i="29"/>
  <c r="JK172" i="29"/>
  <c r="JH172" i="29"/>
  <c r="AP172" i="29" s="1"/>
  <c r="JG172" i="29"/>
  <c r="JF172" i="29"/>
  <c r="JE172" i="29"/>
  <c r="JD172" i="29"/>
  <c r="JA172" i="29"/>
  <c r="AO172" i="29" s="1"/>
  <c r="IZ172" i="29"/>
  <c r="IY172" i="29"/>
  <c r="IX172" i="29"/>
  <c r="IW172" i="29"/>
  <c r="IT172" i="29"/>
  <c r="AN172" i="29" s="1"/>
  <c r="IS172" i="29"/>
  <c r="IR172" i="29"/>
  <c r="IQ172" i="29"/>
  <c r="IP172" i="29"/>
  <c r="IM172" i="29"/>
  <c r="AM172" i="29" s="1"/>
  <c r="IL172" i="29"/>
  <c r="IK172" i="29"/>
  <c r="IJ172" i="29"/>
  <c r="II172" i="29"/>
  <c r="IF172" i="29"/>
  <c r="AL172" i="29" s="1"/>
  <c r="IE172" i="29"/>
  <c r="ID172" i="29"/>
  <c r="IC172" i="29"/>
  <c r="IB172" i="29"/>
  <c r="HY172" i="29"/>
  <c r="AK172" i="29" s="1"/>
  <c r="HX172" i="29"/>
  <c r="HW172" i="29"/>
  <c r="HV172" i="29"/>
  <c r="HU172" i="29"/>
  <c r="HR172" i="29"/>
  <c r="HQ172" i="29"/>
  <c r="HP172" i="29"/>
  <c r="HO172" i="29"/>
  <c r="HN172" i="29"/>
  <c r="HK172" i="29"/>
  <c r="AI172" i="29" s="1"/>
  <c r="HJ172" i="29"/>
  <c r="HI172" i="29"/>
  <c r="HH172" i="29"/>
  <c r="HG172" i="29"/>
  <c r="HD172" i="29"/>
  <c r="AH172" i="29" s="1"/>
  <c r="HC172" i="29"/>
  <c r="HB172" i="29"/>
  <c r="HA172" i="29"/>
  <c r="GZ172" i="29"/>
  <c r="GW172" i="29"/>
  <c r="AG172" i="29" s="1"/>
  <c r="GV172" i="29"/>
  <c r="GU172" i="29"/>
  <c r="GT172" i="29"/>
  <c r="GS172" i="29"/>
  <c r="GP172" i="29"/>
  <c r="AF172" i="29" s="1"/>
  <c r="GO172" i="29"/>
  <c r="GN172" i="29"/>
  <c r="GM172" i="29"/>
  <c r="GL172" i="29"/>
  <c r="GI172" i="29"/>
  <c r="AE172" i="29" s="1"/>
  <c r="GH172" i="29"/>
  <c r="GG172" i="29"/>
  <c r="GF172" i="29"/>
  <c r="GE172" i="29"/>
  <c r="GB172" i="29"/>
  <c r="AD172" i="29" s="1"/>
  <c r="GA172" i="29"/>
  <c r="FZ172" i="29"/>
  <c r="FY172" i="29"/>
  <c r="FX172" i="29"/>
  <c r="AY172" i="29"/>
  <c r="AX172" i="29"/>
  <c r="AW172" i="29"/>
  <c r="AC172" i="29"/>
  <c r="AB172" i="29"/>
  <c r="AA172" i="29"/>
  <c r="Z172" i="29"/>
  <c r="Y172" i="29"/>
  <c r="X172" i="29"/>
  <c r="W172" i="29"/>
  <c r="V172" i="29"/>
  <c r="U172" i="29"/>
  <c r="T172" i="29"/>
  <c r="S172" i="29"/>
  <c r="R172" i="29"/>
  <c r="Q172" i="29"/>
  <c r="P172" i="29"/>
  <c r="O172" i="29"/>
  <c r="N172" i="29"/>
  <c r="KX168" i="29"/>
  <c r="AV168" i="29" s="1"/>
  <c r="KW168" i="29"/>
  <c r="KV168" i="29"/>
  <c r="KU168" i="29"/>
  <c r="KT168" i="29"/>
  <c r="KQ168" i="29"/>
  <c r="AU168" i="29" s="1"/>
  <c r="KP168" i="29"/>
  <c r="KO168" i="29"/>
  <c r="KN168" i="29"/>
  <c r="KM168" i="29"/>
  <c r="KJ168" i="29"/>
  <c r="AT168" i="29" s="1"/>
  <c r="KI168" i="29"/>
  <c r="KH168" i="29"/>
  <c r="KG168" i="29"/>
  <c r="KF168" i="29"/>
  <c r="KC168" i="29"/>
  <c r="AS168" i="29" s="1"/>
  <c r="KB168" i="29"/>
  <c r="KA168" i="29"/>
  <c r="JZ168" i="29"/>
  <c r="JY168" i="29"/>
  <c r="JV168" i="29"/>
  <c r="AR168" i="29" s="1"/>
  <c r="JU168" i="29"/>
  <c r="JT168" i="29"/>
  <c r="JS168" i="29"/>
  <c r="JR168" i="29"/>
  <c r="JO168" i="29"/>
  <c r="AQ168" i="29" s="1"/>
  <c r="JN168" i="29"/>
  <c r="JM168" i="29"/>
  <c r="JL168" i="29"/>
  <c r="JK168" i="29"/>
  <c r="JH168" i="29"/>
  <c r="AP168" i="29" s="1"/>
  <c r="JG168" i="29"/>
  <c r="JF168" i="29"/>
  <c r="JE168" i="29"/>
  <c r="JD168" i="29"/>
  <c r="JA168" i="29"/>
  <c r="AO168" i="29" s="1"/>
  <c r="IZ168" i="29"/>
  <c r="IY168" i="29"/>
  <c r="IX168" i="29"/>
  <c r="IW168" i="29"/>
  <c r="IT168" i="29"/>
  <c r="AN168" i="29" s="1"/>
  <c r="IS168" i="29"/>
  <c r="IR168" i="29"/>
  <c r="IQ168" i="29"/>
  <c r="IP168" i="29"/>
  <c r="IM168" i="29"/>
  <c r="AM168" i="29" s="1"/>
  <c r="IL168" i="29"/>
  <c r="IK168" i="29"/>
  <c r="IJ168" i="29"/>
  <c r="II168" i="29"/>
  <c r="IF168" i="29"/>
  <c r="AL168" i="29" s="1"/>
  <c r="IE168" i="29"/>
  <c r="ID168" i="29"/>
  <c r="IC168" i="29"/>
  <c r="IB168" i="29"/>
  <c r="HY168" i="29"/>
  <c r="AK168" i="29" s="1"/>
  <c r="HX168" i="29"/>
  <c r="HW168" i="29"/>
  <c r="HV168" i="29"/>
  <c r="HU168" i="29"/>
  <c r="HR168" i="29"/>
  <c r="AJ168" i="29" s="1"/>
  <c r="HQ168" i="29"/>
  <c r="HP168" i="29"/>
  <c r="HO168" i="29"/>
  <c r="HN168" i="29"/>
  <c r="HK168" i="29"/>
  <c r="AI168" i="29" s="1"/>
  <c r="HJ168" i="29"/>
  <c r="HI168" i="29"/>
  <c r="HH168" i="29"/>
  <c r="HG168" i="29"/>
  <c r="HD168" i="29"/>
  <c r="AH168" i="29" s="1"/>
  <c r="HC168" i="29"/>
  <c r="HB168" i="29"/>
  <c r="HA168" i="29"/>
  <c r="GZ168" i="29"/>
  <c r="GW168" i="29"/>
  <c r="AG168" i="29" s="1"/>
  <c r="GV168" i="29"/>
  <c r="GU168" i="29"/>
  <c r="GT168" i="29"/>
  <c r="GS168" i="29"/>
  <c r="GP168" i="29"/>
  <c r="AF168" i="29" s="1"/>
  <c r="GO168" i="29"/>
  <c r="GN168" i="29"/>
  <c r="GM168" i="29"/>
  <c r="GL168" i="29"/>
  <c r="GI168" i="29"/>
  <c r="AE168" i="29" s="1"/>
  <c r="GH168" i="29"/>
  <c r="GG168" i="29"/>
  <c r="GF168" i="29"/>
  <c r="GE168" i="29"/>
  <c r="GB168" i="29"/>
  <c r="AD168" i="29" s="1"/>
  <c r="GA168" i="29"/>
  <c r="FZ168" i="29"/>
  <c r="FY168" i="29"/>
  <c r="FX168" i="29"/>
  <c r="AY168" i="29"/>
  <c r="AX168" i="29"/>
  <c r="AW168" i="29"/>
  <c r="AC168" i="29"/>
  <c r="AB168" i="29"/>
  <c r="AA168" i="29"/>
  <c r="Z168" i="29"/>
  <c r="Y168" i="29"/>
  <c r="X168" i="29"/>
  <c r="W168" i="29"/>
  <c r="V168" i="29"/>
  <c r="U168" i="29"/>
  <c r="T168" i="29"/>
  <c r="S168" i="29"/>
  <c r="R168" i="29"/>
  <c r="Q168" i="29"/>
  <c r="P168" i="29"/>
  <c r="O168" i="29"/>
  <c r="N168" i="29"/>
  <c r="KX164" i="29"/>
  <c r="AV164" i="29" s="1"/>
  <c r="KW164" i="29"/>
  <c r="KV164" i="29"/>
  <c r="KU164" i="29"/>
  <c r="KT164" i="29"/>
  <c r="KQ164" i="29"/>
  <c r="AU164" i="29" s="1"/>
  <c r="KP164" i="29"/>
  <c r="KO164" i="29"/>
  <c r="KN164" i="29"/>
  <c r="KM164" i="29"/>
  <c r="KJ164" i="29"/>
  <c r="AT164" i="29" s="1"/>
  <c r="KI164" i="29"/>
  <c r="KH164" i="29"/>
  <c r="KG164" i="29"/>
  <c r="KF164" i="29"/>
  <c r="KC164" i="29"/>
  <c r="KB164" i="29"/>
  <c r="KA164" i="29"/>
  <c r="JZ164" i="29"/>
  <c r="JY164" i="29"/>
  <c r="JV164" i="29"/>
  <c r="AR164" i="29" s="1"/>
  <c r="JU164" i="29"/>
  <c r="JT164" i="29"/>
  <c r="JS164" i="29"/>
  <c r="JR164" i="29"/>
  <c r="JO164" i="29"/>
  <c r="AQ164" i="29" s="1"/>
  <c r="JN164" i="29"/>
  <c r="JM164" i="29"/>
  <c r="JL164" i="29"/>
  <c r="JK164" i="29"/>
  <c r="JH164" i="29"/>
  <c r="AP164" i="29" s="1"/>
  <c r="JG164" i="29"/>
  <c r="JF164" i="29"/>
  <c r="JE164" i="29"/>
  <c r="JD164" i="29"/>
  <c r="JA164" i="29"/>
  <c r="AO164" i="29" s="1"/>
  <c r="IZ164" i="29"/>
  <c r="IY164" i="29"/>
  <c r="IX164" i="29"/>
  <c r="IW164" i="29"/>
  <c r="IT164" i="29"/>
  <c r="AN164" i="29" s="1"/>
  <c r="IS164" i="29"/>
  <c r="IR164" i="29"/>
  <c r="IQ164" i="29"/>
  <c r="IP164" i="29"/>
  <c r="IM164" i="29"/>
  <c r="AM164" i="29" s="1"/>
  <c r="IL164" i="29"/>
  <c r="IK164" i="29"/>
  <c r="IJ164" i="29"/>
  <c r="II164" i="29"/>
  <c r="IF164" i="29"/>
  <c r="AL164" i="29" s="1"/>
  <c r="IE164" i="29"/>
  <c r="ID164" i="29"/>
  <c r="IC164" i="29"/>
  <c r="IB164" i="29"/>
  <c r="HY164" i="29"/>
  <c r="AK164" i="29" s="1"/>
  <c r="HX164" i="29"/>
  <c r="HW164" i="29"/>
  <c r="HV164" i="29"/>
  <c r="HU164" i="29"/>
  <c r="HR164" i="29"/>
  <c r="AJ164" i="29" s="1"/>
  <c r="HQ164" i="29"/>
  <c r="HP164" i="29"/>
  <c r="HO164" i="29"/>
  <c r="HN164" i="29"/>
  <c r="HK164" i="29"/>
  <c r="AI164" i="29" s="1"/>
  <c r="HJ164" i="29"/>
  <c r="HI164" i="29"/>
  <c r="HH164" i="29"/>
  <c r="HG164" i="29"/>
  <c r="HD164" i="29"/>
  <c r="AH164" i="29" s="1"/>
  <c r="HC164" i="29"/>
  <c r="HB164" i="29"/>
  <c r="HA164" i="29"/>
  <c r="GZ164" i="29"/>
  <c r="GW164" i="29"/>
  <c r="GV164" i="29"/>
  <c r="GU164" i="29"/>
  <c r="GT164" i="29"/>
  <c r="GS164" i="29"/>
  <c r="GP164" i="29"/>
  <c r="AF164" i="29" s="1"/>
  <c r="GO164" i="29"/>
  <c r="GN164" i="29"/>
  <c r="GM164" i="29"/>
  <c r="GL164" i="29"/>
  <c r="GI164" i="29"/>
  <c r="AE164" i="29" s="1"/>
  <c r="GH164" i="29"/>
  <c r="GG164" i="29"/>
  <c r="GF164" i="29"/>
  <c r="GE164" i="29"/>
  <c r="GB164" i="29"/>
  <c r="GA164" i="29"/>
  <c r="FZ164" i="29"/>
  <c r="FY164" i="29"/>
  <c r="FX164" i="29"/>
  <c r="AY164" i="29"/>
  <c r="AX164" i="29"/>
  <c r="AW164" i="29"/>
  <c r="AC164" i="29"/>
  <c r="AB164" i="29"/>
  <c r="AA164" i="29"/>
  <c r="Z164" i="29"/>
  <c r="Y164" i="29"/>
  <c r="X164" i="29"/>
  <c r="W164" i="29"/>
  <c r="V164" i="29"/>
  <c r="U164" i="29"/>
  <c r="T164" i="29"/>
  <c r="S164" i="29"/>
  <c r="R164" i="29"/>
  <c r="Q164" i="29"/>
  <c r="P164" i="29"/>
  <c r="O164" i="29"/>
  <c r="N164" i="29"/>
  <c r="KX160" i="29"/>
  <c r="AV160" i="29" s="1"/>
  <c r="KW160" i="29"/>
  <c r="KV160" i="29"/>
  <c r="KU160" i="29"/>
  <c r="KT160" i="29"/>
  <c r="KQ160" i="29"/>
  <c r="KP160" i="29"/>
  <c r="KO160" i="29"/>
  <c r="KN160" i="29"/>
  <c r="KM160" i="29"/>
  <c r="KJ160" i="29"/>
  <c r="AT160" i="29" s="1"/>
  <c r="KI160" i="29"/>
  <c r="KH160" i="29"/>
  <c r="KG160" i="29"/>
  <c r="KF160" i="29"/>
  <c r="KC160" i="29"/>
  <c r="AS160" i="29" s="1"/>
  <c r="KB160" i="29"/>
  <c r="KA160" i="29"/>
  <c r="JZ160" i="29"/>
  <c r="JY160" i="29"/>
  <c r="JV160" i="29"/>
  <c r="JU160" i="29"/>
  <c r="JT160" i="29"/>
  <c r="JS160" i="29"/>
  <c r="JR160" i="29"/>
  <c r="JO160" i="29"/>
  <c r="AQ160" i="29" s="1"/>
  <c r="JN160" i="29"/>
  <c r="JM160" i="29"/>
  <c r="JL160" i="29"/>
  <c r="JK160" i="29"/>
  <c r="JH160" i="29"/>
  <c r="AP160" i="29" s="1"/>
  <c r="JG160" i="29"/>
  <c r="JF160" i="29"/>
  <c r="JE160" i="29"/>
  <c r="JD160" i="29"/>
  <c r="JA160" i="29"/>
  <c r="IZ160" i="29"/>
  <c r="IY160" i="29"/>
  <c r="IX160" i="29"/>
  <c r="IW160" i="29"/>
  <c r="IT160" i="29"/>
  <c r="AN160" i="29" s="1"/>
  <c r="IS160" i="29"/>
  <c r="IR160" i="29"/>
  <c r="IQ160" i="29"/>
  <c r="IP160" i="29"/>
  <c r="IM160" i="29"/>
  <c r="AM160" i="29" s="1"/>
  <c r="IL160" i="29"/>
  <c r="IK160" i="29"/>
  <c r="IJ160" i="29"/>
  <c r="II160" i="29"/>
  <c r="IF160" i="29"/>
  <c r="AL160" i="29" s="1"/>
  <c r="IE160" i="29"/>
  <c r="ID160" i="29"/>
  <c r="IC160" i="29"/>
  <c r="IB160" i="29"/>
  <c r="HY160" i="29"/>
  <c r="AK160" i="29" s="1"/>
  <c r="HX160" i="29"/>
  <c r="HW160" i="29"/>
  <c r="HV160" i="29"/>
  <c r="HU160" i="29"/>
  <c r="HR160" i="29"/>
  <c r="AJ160" i="29" s="1"/>
  <c r="HQ160" i="29"/>
  <c r="HP160" i="29"/>
  <c r="HO160" i="29"/>
  <c r="HN160" i="29"/>
  <c r="HK160" i="29"/>
  <c r="AI160" i="29" s="1"/>
  <c r="HJ160" i="29"/>
  <c r="HI160" i="29"/>
  <c r="HH160" i="29"/>
  <c r="HG160" i="29"/>
  <c r="HD160" i="29"/>
  <c r="HC160" i="29"/>
  <c r="HB160" i="29"/>
  <c r="HA160" i="29"/>
  <c r="GZ160" i="29"/>
  <c r="GW160" i="29"/>
  <c r="AG160" i="29" s="1"/>
  <c r="GV160" i="29"/>
  <c r="GU160" i="29"/>
  <c r="GT160" i="29"/>
  <c r="GS160" i="29"/>
  <c r="GP160" i="29"/>
  <c r="AF160" i="29" s="1"/>
  <c r="GO160" i="29"/>
  <c r="GN160" i="29"/>
  <c r="GM160" i="29"/>
  <c r="GL160" i="29"/>
  <c r="GI160" i="29"/>
  <c r="AE160" i="29" s="1"/>
  <c r="GH160" i="29"/>
  <c r="GG160" i="29"/>
  <c r="GF160" i="29"/>
  <c r="GE160" i="29"/>
  <c r="GB160" i="29"/>
  <c r="AD160" i="29" s="1"/>
  <c r="GA160" i="29"/>
  <c r="FZ160" i="29"/>
  <c r="FY160" i="29"/>
  <c r="FX160" i="29"/>
  <c r="AY160" i="29"/>
  <c r="AX160" i="29"/>
  <c r="AW160" i="29"/>
  <c r="AC160" i="29"/>
  <c r="AB160" i="29"/>
  <c r="AA160" i="29"/>
  <c r="Z160" i="29"/>
  <c r="Y160" i="29"/>
  <c r="X160" i="29"/>
  <c r="W160" i="29"/>
  <c r="V160" i="29"/>
  <c r="U160" i="29"/>
  <c r="T160" i="29"/>
  <c r="S160" i="29"/>
  <c r="R160" i="29"/>
  <c r="Q160" i="29"/>
  <c r="P160" i="29"/>
  <c r="O160" i="29"/>
  <c r="N160" i="29"/>
  <c r="AY150" i="29"/>
  <c r="AX150" i="29"/>
  <c r="AW150" i="29"/>
  <c r="AV150" i="29"/>
  <c r="AU150" i="29"/>
  <c r="AT150" i="29"/>
  <c r="AS150" i="29"/>
  <c r="AR150" i="29"/>
  <c r="AQ150" i="29"/>
  <c r="AP150" i="29"/>
  <c r="AO150" i="29"/>
  <c r="AN150" i="29"/>
  <c r="AM150" i="29"/>
  <c r="AL150" i="29"/>
  <c r="AK150" i="29"/>
  <c r="AJ150" i="29"/>
  <c r="AI150" i="29"/>
  <c r="AH150" i="29"/>
  <c r="AG150" i="29"/>
  <c r="AF150" i="29"/>
  <c r="AE150" i="29"/>
  <c r="AD150" i="29"/>
  <c r="AC150" i="29"/>
  <c r="AB150" i="29"/>
  <c r="AA150" i="29"/>
  <c r="Z150" i="29"/>
  <c r="Y150" i="29"/>
  <c r="X150" i="29"/>
  <c r="W150" i="29"/>
  <c r="V150" i="29"/>
  <c r="U150" i="29"/>
  <c r="T150" i="29"/>
  <c r="S150" i="29"/>
  <c r="R150" i="29"/>
  <c r="Q150" i="29"/>
  <c r="P150" i="29"/>
  <c r="O150" i="29"/>
  <c r="N150" i="29"/>
  <c r="AY149" i="29"/>
  <c r="AX149" i="29"/>
  <c r="AW149" i="29"/>
  <c r="AV149" i="29"/>
  <c r="AU149" i="29"/>
  <c r="AT149" i="29"/>
  <c r="AS149" i="29"/>
  <c r="AR149" i="29"/>
  <c r="AQ149" i="29"/>
  <c r="AP149" i="29"/>
  <c r="AO149" i="29"/>
  <c r="AN149" i="29"/>
  <c r="AM149" i="29"/>
  <c r="AL149" i="29"/>
  <c r="AK149" i="29"/>
  <c r="AJ149" i="29"/>
  <c r="AI149" i="29"/>
  <c r="AH149" i="29"/>
  <c r="AG149" i="29"/>
  <c r="AF149" i="29"/>
  <c r="AE149" i="29"/>
  <c r="AD149" i="29"/>
  <c r="AC149" i="29"/>
  <c r="AB149" i="29"/>
  <c r="AA149" i="29"/>
  <c r="Z149" i="29"/>
  <c r="Y149" i="29"/>
  <c r="X149" i="29"/>
  <c r="W149" i="29"/>
  <c r="V149" i="29"/>
  <c r="U149" i="29"/>
  <c r="T149" i="29"/>
  <c r="S149" i="29"/>
  <c r="R149" i="29"/>
  <c r="Q149" i="29"/>
  <c r="P149" i="29"/>
  <c r="O149" i="29"/>
  <c r="N149" i="29"/>
  <c r="AY147" i="29"/>
  <c r="AX147" i="29"/>
  <c r="AW147" i="29"/>
  <c r="AV147" i="29"/>
  <c r="AU147" i="29"/>
  <c r="AT147" i="29"/>
  <c r="AS147" i="29"/>
  <c r="AR147" i="29"/>
  <c r="AQ147" i="29"/>
  <c r="AP147" i="29"/>
  <c r="AO147" i="29"/>
  <c r="AN147" i="29"/>
  <c r="AM147" i="29"/>
  <c r="AL147" i="29"/>
  <c r="AK147" i="29"/>
  <c r="AJ147" i="29"/>
  <c r="AI147" i="29"/>
  <c r="AH147" i="29"/>
  <c r="AG147" i="29"/>
  <c r="AF147" i="29"/>
  <c r="AE147" i="29"/>
  <c r="AD147" i="29"/>
  <c r="AC147" i="29"/>
  <c r="AB147" i="29"/>
  <c r="AA147" i="29"/>
  <c r="Z147" i="29"/>
  <c r="Y147" i="29"/>
  <c r="X147" i="29"/>
  <c r="W147" i="29"/>
  <c r="V147" i="29"/>
  <c r="U147" i="29"/>
  <c r="T147" i="29"/>
  <c r="S147" i="29"/>
  <c r="R147" i="29"/>
  <c r="Q147" i="29"/>
  <c r="P147" i="29"/>
  <c r="O147" i="29"/>
  <c r="N147" i="29"/>
  <c r="AY146" i="29"/>
  <c r="AX146" i="29"/>
  <c r="AW146" i="29"/>
  <c r="AV146" i="29"/>
  <c r="AU146" i="29"/>
  <c r="AT146" i="29"/>
  <c r="AS146" i="29"/>
  <c r="AR146" i="29"/>
  <c r="AQ146" i="29"/>
  <c r="AP146" i="29"/>
  <c r="AO146" i="29"/>
  <c r="AN146" i="29"/>
  <c r="AM146" i="29"/>
  <c r="AL146" i="29"/>
  <c r="AK146" i="29"/>
  <c r="AJ146" i="29"/>
  <c r="AI146" i="29"/>
  <c r="AH146" i="29"/>
  <c r="AG146" i="29"/>
  <c r="AF146" i="29"/>
  <c r="AE146" i="29"/>
  <c r="AD146" i="29"/>
  <c r="AC146" i="29"/>
  <c r="AB146" i="29"/>
  <c r="AA146" i="29"/>
  <c r="Z146" i="29"/>
  <c r="Y146" i="29"/>
  <c r="X146" i="29"/>
  <c r="W146" i="29"/>
  <c r="V146" i="29"/>
  <c r="U146" i="29"/>
  <c r="T146" i="29"/>
  <c r="S146" i="29"/>
  <c r="R146" i="29"/>
  <c r="Q146" i="29"/>
  <c r="P146" i="29"/>
  <c r="O146" i="29"/>
  <c r="N146" i="29"/>
  <c r="AY145" i="29"/>
  <c r="AX145" i="29"/>
  <c r="AW145" i="29"/>
  <c r="AV145" i="29"/>
  <c r="AU145" i="29"/>
  <c r="AT145" i="29"/>
  <c r="AS145" i="29"/>
  <c r="AR145" i="29"/>
  <c r="AQ145" i="29"/>
  <c r="AP145" i="29"/>
  <c r="AO145" i="29"/>
  <c r="AN145" i="29"/>
  <c r="AM145" i="29"/>
  <c r="AL145" i="29"/>
  <c r="AK145" i="29"/>
  <c r="AJ145" i="29"/>
  <c r="AI145" i="29"/>
  <c r="AH145" i="29"/>
  <c r="AG145" i="29"/>
  <c r="AF145" i="29"/>
  <c r="AE145" i="29"/>
  <c r="AD145" i="29"/>
  <c r="AC145" i="29"/>
  <c r="AB145" i="29"/>
  <c r="AA145" i="29"/>
  <c r="Z145" i="29"/>
  <c r="Y145" i="29"/>
  <c r="X145" i="29"/>
  <c r="W145" i="29"/>
  <c r="V145" i="29"/>
  <c r="U145" i="29"/>
  <c r="T145" i="29"/>
  <c r="S145" i="29"/>
  <c r="R145" i="29"/>
  <c r="Q145" i="29"/>
  <c r="P145" i="29"/>
  <c r="O145" i="29"/>
  <c r="N145" i="29"/>
  <c r="AY144" i="29"/>
  <c r="AX144" i="29"/>
  <c r="AW144" i="29"/>
  <c r="AV144" i="29"/>
  <c r="AU144" i="29"/>
  <c r="AT144" i="29"/>
  <c r="AS144" i="29"/>
  <c r="AR144" i="29"/>
  <c r="AQ144" i="29"/>
  <c r="AP144" i="29"/>
  <c r="AO144" i="29"/>
  <c r="AN144" i="29"/>
  <c r="AM144" i="29"/>
  <c r="AL144" i="29"/>
  <c r="AK144" i="29"/>
  <c r="AJ144" i="29"/>
  <c r="AI144" i="29"/>
  <c r="AH144" i="29"/>
  <c r="AG144" i="29"/>
  <c r="AF144" i="29"/>
  <c r="AE144" i="29"/>
  <c r="AD144" i="29"/>
  <c r="AC144" i="29"/>
  <c r="AB144" i="29"/>
  <c r="AA144" i="29"/>
  <c r="Z144" i="29"/>
  <c r="Y144" i="29"/>
  <c r="X144" i="29"/>
  <c r="W144" i="29"/>
  <c r="V144" i="29"/>
  <c r="U144" i="29"/>
  <c r="T144" i="29"/>
  <c r="S144" i="29"/>
  <c r="R144" i="29"/>
  <c r="Q144" i="29"/>
  <c r="P144" i="29"/>
  <c r="O144" i="29"/>
  <c r="N144" i="29"/>
  <c r="AY143" i="29"/>
  <c r="AX143" i="29"/>
  <c r="AW143" i="29"/>
  <c r="AV143" i="29"/>
  <c r="AU143" i="29"/>
  <c r="AT143" i="29"/>
  <c r="AS143" i="29"/>
  <c r="AR143" i="29"/>
  <c r="AQ143" i="29"/>
  <c r="AP143" i="29"/>
  <c r="AO143" i="29"/>
  <c r="AN143" i="29"/>
  <c r="AM143" i="29"/>
  <c r="AL143" i="29"/>
  <c r="AK143" i="29"/>
  <c r="AJ143" i="29"/>
  <c r="AI143" i="29"/>
  <c r="AH143" i="29"/>
  <c r="AG143" i="29"/>
  <c r="AF143" i="29"/>
  <c r="AE143" i="29"/>
  <c r="AD143" i="29"/>
  <c r="AC143" i="29"/>
  <c r="AB143" i="29"/>
  <c r="AA143" i="29"/>
  <c r="Z143" i="29"/>
  <c r="Y143" i="29"/>
  <c r="X143" i="29"/>
  <c r="W143" i="29"/>
  <c r="V143" i="29"/>
  <c r="U143" i="29"/>
  <c r="T143" i="29"/>
  <c r="S143" i="29"/>
  <c r="R143" i="29"/>
  <c r="Q143" i="29"/>
  <c r="P143" i="29"/>
  <c r="O143" i="29"/>
  <c r="N143" i="29"/>
  <c r="AY142" i="29"/>
  <c r="AX142" i="29"/>
  <c r="AW142" i="29"/>
  <c r="AV142" i="29"/>
  <c r="AU142" i="29"/>
  <c r="AT142" i="29"/>
  <c r="AS142" i="29"/>
  <c r="AR142" i="29"/>
  <c r="AQ142" i="29"/>
  <c r="AP142" i="29"/>
  <c r="AO142" i="29"/>
  <c r="AN142" i="29"/>
  <c r="AM142" i="29"/>
  <c r="AL142" i="29"/>
  <c r="AK142" i="29"/>
  <c r="AJ142" i="29"/>
  <c r="AI142" i="29"/>
  <c r="AH142" i="29"/>
  <c r="AG142" i="29"/>
  <c r="AF142" i="29"/>
  <c r="AE142" i="29"/>
  <c r="AD142" i="29"/>
  <c r="AC142" i="29"/>
  <c r="AB142" i="29"/>
  <c r="AA142" i="29"/>
  <c r="Z142" i="29"/>
  <c r="Y142" i="29"/>
  <c r="X142" i="29"/>
  <c r="W142" i="29"/>
  <c r="V142" i="29"/>
  <c r="U142" i="29"/>
  <c r="T142" i="29"/>
  <c r="S142" i="29"/>
  <c r="R142" i="29"/>
  <c r="Q142" i="29"/>
  <c r="P142" i="29"/>
  <c r="O142" i="29"/>
  <c r="N142" i="29"/>
  <c r="AY141" i="29"/>
  <c r="AX141" i="29"/>
  <c r="AW141" i="29"/>
  <c r="AV141" i="29"/>
  <c r="AU141" i="29"/>
  <c r="AT141" i="29"/>
  <c r="AS141" i="29"/>
  <c r="AR141" i="29"/>
  <c r="AQ141" i="29"/>
  <c r="AP141" i="29"/>
  <c r="AO141" i="29"/>
  <c r="AN141" i="29"/>
  <c r="AM141" i="29"/>
  <c r="AL141" i="29"/>
  <c r="AK141" i="29"/>
  <c r="AJ141" i="29"/>
  <c r="AI141" i="29"/>
  <c r="AH141" i="29"/>
  <c r="AG141" i="29"/>
  <c r="AF141" i="29"/>
  <c r="AE141" i="29"/>
  <c r="AD141" i="29"/>
  <c r="AC141" i="29"/>
  <c r="AB141" i="29"/>
  <c r="AA141" i="29"/>
  <c r="Z141" i="29"/>
  <c r="Y141" i="29"/>
  <c r="X141" i="29"/>
  <c r="W141" i="29"/>
  <c r="V141" i="29"/>
  <c r="U141" i="29"/>
  <c r="T141" i="29"/>
  <c r="S141" i="29"/>
  <c r="R141" i="29"/>
  <c r="Q141" i="29"/>
  <c r="P141" i="29"/>
  <c r="O141" i="29"/>
  <c r="N141" i="29"/>
  <c r="KW137" i="29"/>
  <c r="KV137" i="29"/>
  <c r="KU137" i="29"/>
  <c r="KT137" i="29"/>
  <c r="KP137" i="29"/>
  <c r="KO137" i="29"/>
  <c r="KN137" i="29"/>
  <c r="KM137" i="29"/>
  <c r="KI137" i="29"/>
  <c r="KH137" i="29"/>
  <c r="KG137" i="29"/>
  <c r="KF137" i="29"/>
  <c r="KB137" i="29"/>
  <c r="KA137" i="29"/>
  <c r="JZ137" i="29"/>
  <c r="JY137" i="29"/>
  <c r="JV137" i="29"/>
  <c r="AR137" i="29" s="1"/>
  <c r="JU137" i="29"/>
  <c r="JT137" i="29"/>
  <c r="JS137" i="29"/>
  <c r="JR137" i="29"/>
  <c r="JO137" i="29"/>
  <c r="AQ137" i="29" s="1"/>
  <c r="JN137" i="29"/>
  <c r="JM137" i="29"/>
  <c r="JL137" i="29"/>
  <c r="JK137" i="29"/>
  <c r="JH137" i="29"/>
  <c r="AP137" i="29" s="1"/>
  <c r="JG137" i="29"/>
  <c r="JF137" i="29"/>
  <c r="JE137" i="29"/>
  <c r="JD137" i="29"/>
  <c r="JA137" i="29"/>
  <c r="AO137" i="29" s="1"/>
  <c r="IZ137" i="29"/>
  <c r="IY137" i="29"/>
  <c r="IX137" i="29"/>
  <c r="IW137" i="29"/>
  <c r="IT137" i="29"/>
  <c r="AN137" i="29" s="1"/>
  <c r="IS137" i="29"/>
  <c r="IR137" i="29"/>
  <c r="IQ137" i="29"/>
  <c r="IP137" i="29"/>
  <c r="IM137" i="29"/>
  <c r="AM137" i="29" s="1"/>
  <c r="IL137" i="29"/>
  <c r="IK137" i="29"/>
  <c r="IJ137" i="29"/>
  <c r="II137" i="29"/>
  <c r="IF137" i="29"/>
  <c r="AL137" i="29" s="1"/>
  <c r="IE137" i="29"/>
  <c r="ID137" i="29"/>
  <c r="IC137" i="29"/>
  <c r="IB137" i="29"/>
  <c r="HY137" i="29"/>
  <c r="AK137" i="29" s="1"/>
  <c r="HX137" i="29"/>
  <c r="HW137" i="29"/>
  <c r="HV137" i="29"/>
  <c r="HU137" i="29"/>
  <c r="HR137" i="29"/>
  <c r="AJ137" i="29" s="1"/>
  <c r="HQ137" i="29"/>
  <c r="HP137" i="29"/>
  <c r="HO137" i="29"/>
  <c r="HN137" i="29"/>
  <c r="HK137" i="29"/>
  <c r="AI137" i="29" s="1"/>
  <c r="HJ137" i="29"/>
  <c r="HI137" i="29"/>
  <c r="HH137" i="29"/>
  <c r="HG137" i="29"/>
  <c r="HD137" i="29"/>
  <c r="AH137" i="29" s="1"/>
  <c r="HC137" i="29"/>
  <c r="HB137" i="29"/>
  <c r="HA137" i="29"/>
  <c r="GZ137" i="29"/>
  <c r="GW137" i="29"/>
  <c r="AG137" i="29" s="1"/>
  <c r="GV137" i="29"/>
  <c r="GU137" i="29"/>
  <c r="GT137" i="29"/>
  <c r="GS137" i="29"/>
  <c r="GP137" i="29"/>
  <c r="AF137" i="29" s="1"/>
  <c r="GO137" i="29"/>
  <c r="GN137" i="29"/>
  <c r="GM137" i="29"/>
  <c r="GL137" i="29"/>
  <c r="GI137" i="29"/>
  <c r="AE137" i="29" s="1"/>
  <c r="GH137" i="29"/>
  <c r="GG137" i="29"/>
  <c r="GF137" i="29"/>
  <c r="GE137" i="29"/>
  <c r="AD137" i="29"/>
  <c r="AC137" i="29"/>
  <c r="AB137" i="29"/>
  <c r="AA137" i="29"/>
  <c r="Z137" i="29"/>
  <c r="Y137" i="29"/>
  <c r="X137" i="29"/>
  <c r="W137" i="29"/>
  <c r="V137" i="29"/>
  <c r="U137" i="29"/>
  <c r="T137" i="29"/>
  <c r="S137" i="29"/>
  <c r="R137" i="29"/>
  <c r="Q137" i="29"/>
  <c r="P137" i="29"/>
  <c r="O137" i="29"/>
  <c r="N137" i="29"/>
  <c r="KX136" i="29"/>
  <c r="AV136" i="29" s="1"/>
  <c r="KQ136" i="29"/>
  <c r="KQ133" i="29" s="1"/>
  <c r="KJ136" i="29"/>
  <c r="KC136" i="29"/>
  <c r="AR136" i="29"/>
  <c r="AQ136" i="29"/>
  <c r="AP136" i="29"/>
  <c r="AO136" i="29"/>
  <c r="AN136" i="29"/>
  <c r="AM136" i="29"/>
  <c r="AL136" i="29"/>
  <c r="AK136" i="29"/>
  <c r="AJ136" i="29"/>
  <c r="AI136" i="29"/>
  <c r="AH136" i="29"/>
  <c r="AG136" i="29"/>
  <c r="AF136" i="29"/>
  <c r="AE136" i="29"/>
  <c r="AD136" i="29"/>
  <c r="AC136" i="29"/>
  <c r="AB136" i="29"/>
  <c r="AA136" i="29"/>
  <c r="Z136" i="29"/>
  <c r="Y136" i="29"/>
  <c r="X136" i="29"/>
  <c r="W136" i="29"/>
  <c r="V136" i="29"/>
  <c r="U136" i="29"/>
  <c r="T136" i="29"/>
  <c r="S136" i="29"/>
  <c r="R136" i="29"/>
  <c r="Q136" i="29"/>
  <c r="P136" i="29"/>
  <c r="O136" i="29"/>
  <c r="N136" i="29"/>
  <c r="AD134" i="29"/>
  <c r="AC134" i="29"/>
  <c r="AB134" i="29"/>
  <c r="AA134" i="29"/>
  <c r="Z134" i="29"/>
  <c r="Y134" i="29"/>
  <c r="X134" i="29"/>
  <c r="W134" i="29"/>
  <c r="V134" i="29"/>
  <c r="U134" i="29"/>
  <c r="T134" i="29"/>
  <c r="S134" i="29"/>
  <c r="R134" i="29"/>
  <c r="Q134" i="29"/>
  <c r="P134" i="29"/>
  <c r="O134" i="29"/>
  <c r="N134" i="29"/>
  <c r="KW133" i="29"/>
  <c r="KV133" i="29"/>
  <c r="KU133" i="29"/>
  <c r="KT133" i="29"/>
  <c r="KP133" i="29"/>
  <c r="KO133" i="29"/>
  <c r="KN133" i="29"/>
  <c r="KM133" i="29"/>
  <c r="KI133" i="29"/>
  <c r="KH133" i="29"/>
  <c r="KG133" i="29"/>
  <c r="KF133" i="29"/>
  <c r="KB133" i="29"/>
  <c r="KA133" i="29"/>
  <c r="JZ133" i="29"/>
  <c r="JY133" i="29"/>
  <c r="JV133" i="29"/>
  <c r="AR133" i="29" s="1"/>
  <c r="JU133" i="29"/>
  <c r="JT133" i="29"/>
  <c r="JS133" i="29"/>
  <c r="JR133" i="29"/>
  <c r="JO133" i="29"/>
  <c r="AQ133" i="29" s="1"/>
  <c r="JN133" i="29"/>
  <c r="JM133" i="29"/>
  <c r="JL133" i="29"/>
  <c r="JK133" i="29"/>
  <c r="JH133" i="29"/>
  <c r="JG133" i="29"/>
  <c r="JF133" i="29"/>
  <c r="JE133" i="29"/>
  <c r="JD133" i="29"/>
  <c r="JA133" i="29"/>
  <c r="IZ133" i="29"/>
  <c r="IY133" i="29"/>
  <c r="IX133" i="29"/>
  <c r="IW133" i="29"/>
  <c r="IT133" i="29"/>
  <c r="AN133" i="29" s="1"/>
  <c r="IS133" i="29"/>
  <c r="IR133" i="29"/>
  <c r="IQ133" i="29"/>
  <c r="IP133" i="29"/>
  <c r="IM133" i="29"/>
  <c r="AM133" i="29" s="1"/>
  <c r="IL133" i="29"/>
  <c r="IK133" i="29"/>
  <c r="IJ133" i="29"/>
  <c r="II133" i="29"/>
  <c r="IF133" i="29"/>
  <c r="AL133" i="29" s="1"/>
  <c r="IE133" i="29"/>
  <c r="ID133" i="29"/>
  <c r="IC133" i="29"/>
  <c r="IB133" i="29"/>
  <c r="HY133" i="29"/>
  <c r="AK133" i="29" s="1"/>
  <c r="HX133" i="29"/>
  <c r="HW133" i="29"/>
  <c r="HV133" i="29"/>
  <c r="HU133" i="29"/>
  <c r="HR133" i="29"/>
  <c r="AJ133" i="29" s="1"/>
  <c r="HQ133" i="29"/>
  <c r="HP133" i="29"/>
  <c r="HO133" i="29"/>
  <c r="HN133" i="29"/>
  <c r="HK133" i="29"/>
  <c r="HJ133" i="29"/>
  <c r="HI133" i="29"/>
  <c r="HH133" i="29"/>
  <c r="HG133" i="29"/>
  <c r="HD133" i="29"/>
  <c r="AH133" i="29" s="1"/>
  <c r="HC133" i="29"/>
  <c r="HB133" i="29"/>
  <c r="HA133" i="29"/>
  <c r="GZ133" i="29"/>
  <c r="GW133" i="29"/>
  <c r="AG133" i="29" s="1"/>
  <c r="GV133" i="29"/>
  <c r="GU133" i="29"/>
  <c r="GT133" i="29"/>
  <c r="GS133" i="29"/>
  <c r="GP133" i="29"/>
  <c r="GO133" i="29"/>
  <c r="GN133" i="29"/>
  <c r="GM133" i="29"/>
  <c r="GL133" i="29"/>
  <c r="GI133" i="29"/>
  <c r="AE133" i="29" s="1"/>
  <c r="GH133" i="29"/>
  <c r="GG133" i="29"/>
  <c r="GF133" i="29"/>
  <c r="GE133" i="29"/>
  <c r="GB133" i="29"/>
  <c r="GA133" i="29"/>
  <c r="FZ133" i="29"/>
  <c r="FY133" i="29"/>
  <c r="FX133" i="29"/>
  <c r="AC133" i="29"/>
  <c r="AB133" i="29"/>
  <c r="AA133" i="29"/>
  <c r="Z133" i="29"/>
  <c r="Y133" i="29"/>
  <c r="X133" i="29"/>
  <c r="W133" i="29"/>
  <c r="V133" i="29"/>
  <c r="U133" i="29"/>
  <c r="T133" i="29"/>
  <c r="S133" i="29"/>
  <c r="R133" i="29"/>
  <c r="Q133" i="29"/>
  <c r="P133" i="29"/>
  <c r="O133" i="29"/>
  <c r="N133" i="29"/>
  <c r="KW130" i="29"/>
  <c r="KV130" i="29"/>
  <c r="KU130" i="29"/>
  <c r="KT130" i="29"/>
  <c r="KP130" i="29"/>
  <c r="KO130" i="29"/>
  <c r="KN130" i="29"/>
  <c r="KM130" i="29"/>
  <c r="KI130" i="29"/>
  <c r="KH130" i="29"/>
  <c r="KG130" i="29"/>
  <c r="KF130" i="29"/>
  <c r="KB130" i="29"/>
  <c r="KA130" i="29"/>
  <c r="JZ130" i="29"/>
  <c r="JY130" i="29"/>
  <c r="JY131" i="29" s="1"/>
  <c r="JU130" i="29"/>
  <c r="JU131" i="29" s="1"/>
  <c r="JT130" i="29"/>
  <c r="JT131" i="29" s="1"/>
  <c r="JS130" i="29"/>
  <c r="JR130" i="29"/>
  <c r="JR131" i="29" s="1"/>
  <c r="JN130" i="29"/>
  <c r="JN131" i="29" s="1"/>
  <c r="JM130" i="29"/>
  <c r="JM131" i="29" s="1"/>
  <c r="JL130" i="29"/>
  <c r="JL131" i="29" s="1"/>
  <c r="JK130" i="29"/>
  <c r="JK131" i="29" s="1"/>
  <c r="JG130" i="29"/>
  <c r="JG131" i="29" s="1"/>
  <c r="JF130" i="29"/>
  <c r="JF131" i="29" s="1"/>
  <c r="JE130" i="29"/>
  <c r="JE131" i="29" s="1"/>
  <c r="JD130" i="29"/>
  <c r="JD131" i="29" s="1"/>
  <c r="IZ130" i="29"/>
  <c r="IZ131" i="29" s="1"/>
  <c r="IY130" i="29"/>
  <c r="IY131" i="29" s="1"/>
  <c r="IX130" i="29"/>
  <c r="IX131" i="29" s="1"/>
  <c r="IW130" i="29"/>
  <c r="IW131" i="29" s="1"/>
  <c r="IS130" i="29"/>
  <c r="IS131" i="29" s="1"/>
  <c r="IR130" i="29"/>
  <c r="IR131" i="29" s="1"/>
  <c r="IQ130" i="29"/>
  <c r="IQ131" i="29" s="1"/>
  <c r="IP130" i="29"/>
  <c r="IP131" i="29" s="1"/>
  <c r="IL130" i="29"/>
  <c r="IK130" i="29"/>
  <c r="IJ130" i="29"/>
  <c r="II130" i="29"/>
  <c r="IE130" i="29"/>
  <c r="ID130" i="29"/>
  <c r="IC130" i="29"/>
  <c r="IB130" i="29"/>
  <c r="HX130" i="29"/>
  <c r="HW130" i="29"/>
  <c r="HV130" i="29"/>
  <c r="HU130" i="29"/>
  <c r="HQ130" i="29"/>
  <c r="HP130" i="29"/>
  <c r="HO130" i="29"/>
  <c r="HN130" i="29"/>
  <c r="HJ130" i="29"/>
  <c r="HI130" i="29"/>
  <c r="HH130" i="29"/>
  <c r="HG130" i="29"/>
  <c r="HC130" i="29"/>
  <c r="HB130" i="29"/>
  <c r="HA130" i="29"/>
  <c r="GZ130" i="29"/>
  <c r="DW128" i="29"/>
  <c r="DV128" i="29"/>
  <c r="DU128" i="29"/>
  <c r="DT128" i="29"/>
  <c r="DP128" i="29"/>
  <c r="DO128" i="29"/>
  <c r="DN128" i="29"/>
  <c r="DM128" i="29"/>
  <c r="DI128" i="29"/>
  <c r="DH128" i="29"/>
  <c r="DG128" i="29"/>
  <c r="DF128" i="29"/>
  <c r="DB128" i="29"/>
  <c r="DA128" i="29"/>
  <c r="CZ128" i="29"/>
  <c r="CY128" i="29"/>
  <c r="CU128" i="29"/>
  <c r="CT128" i="29"/>
  <c r="CS128" i="29"/>
  <c r="CR128" i="29"/>
  <c r="CN128" i="29"/>
  <c r="CM128" i="29"/>
  <c r="CL128" i="29"/>
  <c r="CK128" i="29"/>
  <c r="CG128" i="29"/>
  <c r="CF128" i="29"/>
  <c r="CE128" i="29"/>
  <c r="CD128" i="29"/>
  <c r="BZ128" i="29"/>
  <c r="BY128" i="29"/>
  <c r="BX128" i="29"/>
  <c r="BW128" i="29"/>
  <c r="BS128" i="29"/>
  <c r="BR128" i="29"/>
  <c r="BQ128" i="29"/>
  <c r="BP128" i="29"/>
  <c r="AY128" i="29"/>
  <c r="AX128" i="29"/>
  <c r="AW128" i="29"/>
  <c r="AV128" i="29"/>
  <c r="AU128" i="29"/>
  <c r="AT128" i="29"/>
  <c r="AS128" i="29"/>
  <c r="AR128" i="29"/>
  <c r="AQ128" i="29"/>
  <c r="AP128" i="29"/>
  <c r="AO128" i="29"/>
  <c r="AN128" i="29"/>
  <c r="AM128" i="29"/>
  <c r="AL128" i="29"/>
  <c r="AK128" i="29"/>
  <c r="AJ128" i="29"/>
  <c r="AI128" i="29"/>
  <c r="AH128" i="29"/>
  <c r="AG128" i="29"/>
  <c r="AF128" i="29"/>
  <c r="AE128" i="29"/>
  <c r="AD128" i="29"/>
  <c r="AC128" i="29"/>
  <c r="AB128" i="29"/>
  <c r="AA128" i="29"/>
  <c r="Z128" i="29"/>
  <c r="Y128" i="29"/>
  <c r="X128" i="29"/>
  <c r="W128" i="29"/>
  <c r="DX127" i="29"/>
  <c r="V127" i="29" s="1"/>
  <c r="AY127" i="29"/>
  <c r="AX127" i="29"/>
  <c r="AW127" i="29"/>
  <c r="AV127" i="29"/>
  <c r="AU127" i="29"/>
  <c r="AT127" i="29"/>
  <c r="AS127" i="29"/>
  <c r="AR127" i="29"/>
  <c r="AQ127" i="29"/>
  <c r="AP127" i="29"/>
  <c r="AO127" i="29"/>
  <c r="AN127" i="29"/>
  <c r="AM127" i="29"/>
  <c r="AL127" i="29"/>
  <c r="AK127" i="29"/>
  <c r="AJ127" i="29"/>
  <c r="AI127" i="29"/>
  <c r="AH127" i="29"/>
  <c r="AG127" i="29"/>
  <c r="AF127" i="29"/>
  <c r="AE127" i="29"/>
  <c r="AD127" i="29"/>
  <c r="AC127" i="29"/>
  <c r="AB127" i="29"/>
  <c r="AA127" i="29"/>
  <c r="Z127" i="29"/>
  <c r="Y127" i="29"/>
  <c r="X127" i="29"/>
  <c r="W127" i="29"/>
  <c r="U127" i="29"/>
  <c r="T127" i="29"/>
  <c r="S127" i="29"/>
  <c r="R127" i="29"/>
  <c r="Q127" i="29"/>
  <c r="P127" i="29"/>
  <c r="O127" i="29"/>
  <c r="N127" i="29"/>
  <c r="DX126" i="29"/>
  <c r="V126" i="29" s="1"/>
  <c r="AY126" i="29"/>
  <c r="AX126" i="29"/>
  <c r="AW126" i="29"/>
  <c r="AV126" i="29"/>
  <c r="AU126" i="29"/>
  <c r="AT126" i="29"/>
  <c r="AS126" i="29"/>
  <c r="AR126" i="29"/>
  <c r="AQ126" i="29"/>
  <c r="AP126" i="29"/>
  <c r="AO126" i="29"/>
  <c r="AN126" i="29"/>
  <c r="AM126" i="29"/>
  <c r="AL126" i="29"/>
  <c r="AK126" i="29"/>
  <c r="AJ126" i="29"/>
  <c r="AI126" i="29"/>
  <c r="AH126" i="29"/>
  <c r="AG126" i="29"/>
  <c r="AF126" i="29"/>
  <c r="AE126" i="29"/>
  <c r="AD126" i="29"/>
  <c r="AC126" i="29"/>
  <c r="AB126" i="29"/>
  <c r="AA126" i="29"/>
  <c r="Z126" i="29"/>
  <c r="Y126" i="29"/>
  <c r="X126" i="29"/>
  <c r="W126" i="29"/>
  <c r="U126" i="29"/>
  <c r="T126" i="29"/>
  <c r="S126" i="29"/>
  <c r="R126" i="29"/>
  <c r="Q126" i="29"/>
  <c r="P126" i="29"/>
  <c r="O126" i="29"/>
  <c r="N126" i="29"/>
  <c r="AY125" i="29"/>
  <c r="AX125" i="29"/>
  <c r="AW125" i="29"/>
  <c r="AV125" i="29"/>
  <c r="AU125" i="29"/>
  <c r="AT125" i="29"/>
  <c r="AS125" i="29"/>
  <c r="AR125" i="29"/>
  <c r="AQ125" i="29"/>
  <c r="AP125" i="29"/>
  <c r="AO125" i="29"/>
  <c r="AN125" i="29"/>
  <c r="AM125" i="29"/>
  <c r="AL125" i="29"/>
  <c r="AK125" i="29"/>
  <c r="AJ125" i="29"/>
  <c r="AI125" i="29"/>
  <c r="AH125" i="29"/>
  <c r="AG125" i="29"/>
  <c r="AF125" i="29"/>
  <c r="AE125" i="29"/>
  <c r="AD125" i="29"/>
  <c r="AC125" i="29"/>
  <c r="AB125" i="29"/>
  <c r="AA125" i="29"/>
  <c r="Z125" i="29"/>
  <c r="Y125" i="29"/>
  <c r="X125" i="29"/>
  <c r="W125" i="29"/>
  <c r="V125" i="29"/>
  <c r="U125" i="29"/>
  <c r="T125" i="29"/>
  <c r="S125" i="29"/>
  <c r="R125" i="29"/>
  <c r="Q125" i="29"/>
  <c r="P125" i="29"/>
  <c r="O125" i="29"/>
  <c r="N125" i="29"/>
  <c r="FF124" i="29"/>
  <c r="FE124" i="29"/>
  <c r="FD124" i="29"/>
  <c r="FC124" i="29"/>
  <c r="EY124" i="29"/>
  <c r="EX124" i="29"/>
  <c r="EW124" i="29"/>
  <c r="EV124" i="29"/>
  <c r="ER124" i="29"/>
  <c r="EQ124" i="29"/>
  <c r="EP124" i="29"/>
  <c r="EO124" i="29"/>
  <c r="EK124" i="29"/>
  <c r="EJ124" i="29"/>
  <c r="EI124" i="29"/>
  <c r="EH124" i="29"/>
  <c r="ED124" i="29"/>
  <c r="EC124" i="29"/>
  <c r="EB124" i="29"/>
  <c r="EA124" i="29"/>
  <c r="DW124" i="29"/>
  <c r="DV124" i="29"/>
  <c r="DU124" i="29"/>
  <c r="DT124" i="29"/>
  <c r="DP124" i="29"/>
  <c r="DO124" i="29"/>
  <c r="DN124" i="29"/>
  <c r="DM124" i="29"/>
  <c r="DI124" i="29"/>
  <c r="DH124" i="29"/>
  <c r="DG124" i="29"/>
  <c r="DF124" i="29"/>
  <c r="DB124" i="29"/>
  <c r="DA124" i="29"/>
  <c r="CZ124" i="29"/>
  <c r="CY124" i="29"/>
  <c r="CU124" i="29"/>
  <c r="CT124" i="29"/>
  <c r="CS124" i="29"/>
  <c r="CR124" i="29"/>
  <c r="CN124" i="29"/>
  <c r="CM124" i="29"/>
  <c r="CL124" i="29"/>
  <c r="CK124" i="29"/>
  <c r="CG124" i="29"/>
  <c r="CF124" i="29"/>
  <c r="CE124" i="29"/>
  <c r="CD124" i="29"/>
  <c r="BZ124" i="29"/>
  <c r="BY124" i="29"/>
  <c r="BX124" i="29"/>
  <c r="BW124" i="29"/>
  <c r="BS124" i="29"/>
  <c r="BR124" i="29"/>
  <c r="BQ124" i="29"/>
  <c r="BP124" i="29"/>
  <c r="AY124" i="29"/>
  <c r="AX124" i="29"/>
  <c r="AW124" i="29"/>
  <c r="AV124" i="29"/>
  <c r="AU124" i="29"/>
  <c r="AT124" i="29"/>
  <c r="AS124" i="29"/>
  <c r="AR124" i="29"/>
  <c r="AQ124" i="29"/>
  <c r="AP124" i="29"/>
  <c r="AO124" i="29"/>
  <c r="AN124" i="29"/>
  <c r="AM124" i="29"/>
  <c r="AL124" i="29"/>
  <c r="AK124" i="29"/>
  <c r="AJ124" i="29"/>
  <c r="AI124" i="29"/>
  <c r="AH124" i="29"/>
  <c r="AG124" i="29"/>
  <c r="AF124" i="29"/>
  <c r="AE124" i="29"/>
  <c r="AD124" i="29"/>
  <c r="AC124" i="29"/>
  <c r="AB124" i="29"/>
  <c r="AY123" i="29"/>
  <c r="AX123" i="29"/>
  <c r="AW123" i="29"/>
  <c r="AV123" i="29"/>
  <c r="AU123" i="29"/>
  <c r="AT123" i="29"/>
  <c r="AS123" i="29"/>
  <c r="AR123" i="29"/>
  <c r="AQ123" i="29"/>
  <c r="AP123" i="29"/>
  <c r="AO123" i="29"/>
  <c r="AN123" i="29"/>
  <c r="AM123" i="29"/>
  <c r="AL123" i="29"/>
  <c r="AK123" i="29"/>
  <c r="AJ123" i="29"/>
  <c r="AI123" i="29"/>
  <c r="AH123" i="29"/>
  <c r="AG123" i="29"/>
  <c r="AF123" i="29"/>
  <c r="AE123" i="29"/>
  <c r="AD123" i="29"/>
  <c r="AC123" i="29"/>
  <c r="AB123" i="29"/>
  <c r="AA123" i="29"/>
  <c r="Z123" i="29"/>
  <c r="Y123" i="29"/>
  <c r="X123" i="29"/>
  <c r="W123" i="29"/>
  <c r="V123" i="29"/>
  <c r="U123" i="29"/>
  <c r="T123" i="29"/>
  <c r="S123" i="29"/>
  <c r="R123" i="29"/>
  <c r="Q123" i="29"/>
  <c r="P123" i="29"/>
  <c r="O123" i="29"/>
  <c r="N123" i="29"/>
  <c r="AY122" i="29"/>
  <c r="AX122" i="29"/>
  <c r="AW122" i="29"/>
  <c r="AV122" i="29"/>
  <c r="AU122" i="29"/>
  <c r="AT122" i="29"/>
  <c r="AS122" i="29"/>
  <c r="AR122" i="29"/>
  <c r="AQ122" i="29"/>
  <c r="AP122" i="29"/>
  <c r="AO122" i="29"/>
  <c r="AN122" i="29"/>
  <c r="AM122" i="29"/>
  <c r="AL122" i="29"/>
  <c r="AK122" i="29"/>
  <c r="AJ122" i="29"/>
  <c r="AI122" i="29"/>
  <c r="AH122" i="29"/>
  <c r="AG122" i="29"/>
  <c r="AF122" i="29"/>
  <c r="AE122" i="29"/>
  <c r="AD122" i="29"/>
  <c r="AC122" i="29"/>
  <c r="AB122" i="29"/>
  <c r="AA122" i="29"/>
  <c r="Z122" i="29"/>
  <c r="Y122" i="29"/>
  <c r="X122" i="29"/>
  <c r="W122" i="29"/>
  <c r="V122" i="29"/>
  <c r="U122" i="29"/>
  <c r="T122" i="29"/>
  <c r="S122" i="29"/>
  <c r="R122" i="29"/>
  <c r="Q122" i="29"/>
  <c r="P122" i="29"/>
  <c r="O122" i="29"/>
  <c r="N122" i="29"/>
  <c r="AY121" i="29"/>
  <c r="AX121" i="29"/>
  <c r="AW121" i="29"/>
  <c r="AV121" i="29"/>
  <c r="AU121" i="29"/>
  <c r="AT121" i="29"/>
  <c r="AS121" i="29"/>
  <c r="AR121" i="29"/>
  <c r="AQ121" i="29"/>
  <c r="AP121" i="29"/>
  <c r="AO121" i="29"/>
  <c r="AN121" i="29"/>
  <c r="AM121" i="29"/>
  <c r="AL121" i="29"/>
  <c r="AK121" i="29"/>
  <c r="AJ121" i="29"/>
  <c r="AI121" i="29"/>
  <c r="AH121" i="29"/>
  <c r="AG121" i="29"/>
  <c r="AF121" i="29"/>
  <c r="AE121" i="29"/>
  <c r="AD121" i="29"/>
  <c r="AC121" i="29"/>
  <c r="AB121" i="29"/>
  <c r="AA121" i="29"/>
  <c r="Z121" i="29"/>
  <c r="Y121" i="29"/>
  <c r="X121" i="29"/>
  <c r="W121" i="29"/>
  <c r="V121" i="29"/>
  <c r="U121" i="29"/>
  <c r="T121" i="29"/>
  <c r="S121" i="29"/>
  <c r="R121" i="29"/>
  <c r="Q121" i="29"/>
  <c r="P121" i="29"/>
  <c r="O121" i="29"/>
  <c r="N121" i="29"/>
  <c r="KW119" i="29"/>
  <c r="KV119" i="29"/>
  <c r="KU119" i="29"/>
  <c r="KT119" i="29"/>
  <c r="KT120" i="29" s="1"/>
  <c r="KP119" i="29"/>
  <c r="KP120" i="29" s="1"/>
  <c r="KO119" i="29"/>
  <c r="KO120" i="29" s="1"/>
  <c r="KN119" i="29"/>
  <c r="KN120" i="29" s="1"/>
  <c r="KM119" i="29"/>
  <c r="KM120" i="29" s="1"/>
  <c r="KJ119" i="29"/>
  <c r="AT119" i="29" s="1"/>
  <c r="KI119" i="29"/>
  <c r="KI120" i="29" s="1"/>
  <c r="KH119" i="29"/>
  <c r="KH120" i="29" s="1"/>
  <c r="KG119" i="29"/>
  <c r="KG120" i="29" s="1"/>
  <c r="KF119" i="29"/>
  <c r="KF120" i="29" s="1"/>
  <c r="KC119" i="29"/>
  <c r="AS119" i="29" s="1"/>
  <c r="KB119" i="29"/>
  <c r="KB120" i="29" s="1"/>
  <c r="KA119" i="29"/>
  <c r="KA120" i="29" s="1"/>
  <c r="JZ119" i="29"/>
  <c r="JZ120" i="29" s="1"/>
  <c r="JY119" i="29"/>
  <c r="JY120" i="29" s="1"/>
  <c r="JV119" i="29"/>
  <c r="AR119" i="29" s="1"/>
  <c r="JU119" i="29"/>
  <c r="JU120" i="29" s="1"/>
  <c r="JT119" i="29"/>
  <c r="JT120" i="29" s="1"/>
  <c r="JS119" i="29"/>
  <c r="JS120" i="29" s="1"/>
  <c r="JR119" i="29"/>
  <c r="JR120" i="29" s="1"/>
  <c r="JO119" i="29"/>
  <c r="AQ119" i="29" s="1"/>
  <c r="JN119" i="29"/>
  <c r="JN120" i="29" s="1"/>
  <c r="JM119" i="29"/>
  <c r="JM120" i="29" s="1"/>
  <c r="JL119" i="29"/>
  <c r="JL120" i="29" s="1"/>
  <c r="JK119" i="29"/>
  <c r="JK120" i="29" s="1"/>
  <c r="JH119" i="29"/>
  <c r="AP119" i="29" s="1"/>
  <c r="JG119" i="29"/>
  <c r="JG120" i="29" s="1"/>
  <c r="JF119" i="29"/>
  <c r="JF120" i="29" s="1"/>
  <c r="JE119" i="29"/>
  <c r="JE120" i="29" s="1"/>
  <c r="JD119" i="29"/>
  <c r="JD120" i="29" s="1"/>
  <c r="JA119" i="29"/>
  <c r="AO119" i="29" s="1"/>
  <c r="IZ119" i="29"/>
  <c r="IZ120" i="29" s="1"/>
  <c r="IY119" i="29"/>
  <c r="IY120" i="29" s="1"/>
  <c r="IX119" i="29"/>
  <c r="IX120" i="29" s="1"/>
  <c r="IW119" i="29"/>
  <c r="IW120" i="29" s="1"/>
  <c r="IT119" i="29"/>
  <c r="AN119" i="29" s="1"/>
  <c r="IS119" i="29"/>
  <c r="IS120" i="29" s="1"/>
  <c r="IR119" i="29"/>
  <c r="IR120" i="29" s="1"/>
  <c r="IQ119" i="29"/>
  <c r="IQ120" i="29" s="1"/>
  <c r="IP119" i="29"/>
  <c r="IP120" i="29" s="1"/>
  <c r="IM119" i="29"/>
  <c r="AM119" i="29" s="1"/>
  <c r="IL119" i="29"/>
  <c r="IL120" i="29" s="1"/>
  <c r="IK119" i="29"/>
  <c r="IK120" i="29" s="1"/>
  <c r="IJ119" i="29"/>
  <c r="IJ120" i="29" s="1"/>
  <c r="II119" i="29"/>
  <c r="II120" i="29" s="1"/>
  <c r="IF119" i="29"/>
  <c r="AL119" i="29" s="1"/>
  <c r="IE119" i="29"/>
  <c r="IE120" i="29" s="1"/>
  <c r="ID119" i="29"/>
  <c r="ID120" i="29" s="1"/>
  <c r="IC119" i="29"/>
  <c r="IC120" i="29" s="1"/>
  <c r="IB119" i="29"/>
  <c r="IB120" i="29" s="1"/>
  <c r="HY119" i="29"/>
  <c r="AK119" i="29" s="1"/>
  <c r="HX119" i="29"/>
  <c r="HX120" i="29" s="1"/>
  <c r="HW119" i="29"/>
  <c r="HW120" i="29" s="1"/>
  <c r="HV119" i="29"/>
  <c r="HV120" i="29" s="1"/>
  <c r="HU119" i="29"/>
  <c r="HU120" i="29" s="1"/>
  <c r="HR119" i="29"/>
  <c r="AJ119" i="29" s="1"/>
  <c r="HQ119" i="29"/>
  <c r="HQ120" i="29" s="1"/>
  <c r="HP119" i="29"/>
  <c r="HP120" i="29" s="1"/>
  <c r="HO119" i="29"/>
  <c r="HO120" i="29" s="1"/>
  <c r="HN119" i="29"/>
  <c r="HN120" i="29" s="1"/>
  <c r="HK119" i="29"/>
  <c r="AI119" i="29" s="1"/>
  <c r="HJ119" i="29"/>
  <c r="HJ120" i="29" s="1"/>
  <c r="HI119" i="29"/>
  <c r="HI120" i="29" s="1"/>
  <c r="HH119" i="29"/>
  <c r="HH120" i="29" s="1"/>
  <c r="HG119" i="29"/>
  <c r="HG120" i="29" s="1"/>
  <c r="HD119" i="29"/>
  <c r="AH119" i="29" s="1"/>
  <c r="HC119" i="29"/>
  <c r="HC120" i="29" s="1"/>
  <c r="HB119" i="29"/>
  <c r="HB120" i="29" s="1"/>
  <c r="HA119" i="29"/>
  <c r="HA120" i="29" s="1"/>
  <c r="GZ119" i="29"/>
  <c r="GZ120" i="29" s="1"/>
  <c r="GW119" i="29"/>
  <c r="AG119" i="29" s="1"/>
  <c r="GV119" i="29"/>
  <c r="GU119" i="29"/>
  <c r="GT119" i="29"/>
  <c r="GS119" i="29"/>
  <c r="GP119" i="29"/>
  <c r="AF119" i="29" s="1"/>
  <c r="GO119" i="29"/>
  <c r="GN119" i="29"/>
  <c r="GM119" i="29"/>
  <c r="GL119" i="29"/>
  <c r="GI119" i="29"/>
  <c r="AE119" i="29" s="1"/>
  <c r="GH119" i="29"/>
  <c r="GG119" i="29"/>
  <c r="GF119" i="29"/>
  <c r="GE119" i="29"/>
  <c r="GB119" i="29"/>
  <c r="AD119" i="29" s="1"/>
  <c r="GA119" i="29"/>
  <c r="FZ119" i="29"/>
  <c r="FY119" i="29"/>
  <c r="FX119" i="29"/>
  <c r="FU119" i="29"/>
  <c r="AC119" i="29" s="1"/>
  <c r="FT119" i="29"/>
  <c r="FS119" i="29"/>
  <c r="FR119" i="29"/>
  <c r="FQ119" i="29"/>
  <c r="FN119" i="29"/>
  <c r="AB119" i="29" s="1"/>
  <c r="FM119" i="29"/>
  <c r="FL119" i="29"/>
  <c r="FK119" i="29"/>
  <c r="FJ119" i="29"/>
  <c r="FG119" i="29"/>
  <c r="AA119" i="29" s="1"/>
  <c r="FF119" i="29"/>
  <c r="FE119" i="29"/>
  <c r="FD119" i="29"/>
  <c r="FC119" i="29"/>
  <c r="EZ119" i="29"/>
  <c r="Z119" i="29" s="1"/>
  <c r="EY119" i="29"/>
  <c r="EX119" i="29"/>
  <c r="EW119" i="29"/>
  <c r="EV119" i="29"/>
  <c r="ES119" i="29"/>
  <c r="Y119" i="29" s="1"/>
  <c r="ER119" i="29"/>
  <c r="EQ119" i="29"/>
  <c r="EP119" i="29"/>
  <c r="EO119" i="29"/>
  <c r="EL119" i="29"/>
  <c r="X119" i="29" s="1"/>
  <c r="EK119" i="29"/>
  <c r="EJ119" i="29"/>
  <c r="EI119" i="29"/>
  <c r="EH119" i="29"/>
  <c r="EE119" i="29"/>
  <c r="W119" i="29" s="1"/>
  <c r="ED119" i="29"/>
  <c r="EC119" i="29"/>
  <c r="EB119" i="29"/>
  <c r="EA119" i="29"/>
  <c r="DX119" i="29"/>
  <c r="V119" i="29" s="1"/>
  <c r="DW119" i="29"/>
  <c r="DV119" i="29"/>
  <c r="DU119" i="29"/>
  <c r="DT119" i="29"/>
  <c r="DQ119" i="29"/>
  <c r="U119" i="29" s="1"/>
  <c r="DP119" i="29"/>
  <c r="DO119" i="29"/>
  <c r="DN119" i="29"/>
  <c r="DM119" i="29"/>
  <c r="DJ119" i="29"/>
  <c r="T119" i="29" s="1"/>
  <c r="DI119" i="29"/>
  <c r="DH119" i="29"/>
  <c r="DG119" i="29"/>
  <c r="DF119" i="29"/>
  <c r="DC119" i="29"/>
  <c r="S119" i="29" s="1"/>
  <c r="DB119" i="29"/>
  <c r="DA119" i="29"/>
  <c r="CZ119" i="29"/>
  <c r="CY119" i="29"/>
  <c r="CV119" i="29"/>
  <c r="R119" i="29" s="1"/>
  <c r="CU119" i="29"/>
  <c r="CT119" i="29"/>
  <c r="CS119" i="29"/>
  <c r="CR119" i="29"/>
  <c r="CO119" i="29"/>
  <c r="Q119" i="29" s="1"/>
  <c r="CN119" i="29"/>
  <c r="CM119" i="29"/>
  <c r="CL119" i="29"/>
  <c r="CK119" i="29"/>
  <c r="CH119" i="29"/>
  <c r="P119" i="29" s="1"/>
  <c r="CG119" i="29"/>
  <c r="CF119" i="29"/>
  <c r="CE119" i="29"/>
  <c r="CD119" i="29"/>
  <c r="CA119" i="29"/>
  <c r="O119" i="29" s="1"/>
  <c r="BZ119" i="29"/>
  <c r="BY119" i="29"/>
  <c r="BX119" i="29"/>
  <c r="BW119" i="29"/>
  <c r="BT119" i="29"/>
  <c r="N119" i="29" s="1"/>
  <c r="BS119" i="29"/>
  <c r="BR119" i="29"/>
  <c r="BQ119" i="29"/>
  <c r="BP119" i="29"/>
  <c r="AV119" i="29"/>
  <c r="AU119" i="29"/>
  <c r="AV118" i="29"/>
  <c r="AU118" i="29"/>
  <c r="AT118" i="29"/>
  <c r="AS118" i="29"/>
  <c r="AR118" i="29"/>
  <c r="AQ118" i="29"/>
  <c r="AP118" i="29"/>
  <c r="AO118" i="29"/>
  <c r="AN118" i="29"/>
  <c r="AM118" i="29"/>
  <c r="AL118" i="29"/>
  <c r="AK118" i="29"/>
  <c r="AJ118" i="29"/>
  <c r="AI118" i="29"/>
  <c r="AH118" i="29"/>
  <c r="AG118" i="29"/>
  <c r="AF118" i="29"/>
  <c r="AE118" i="29"/>
  <c r="AD118" i="29"/>
  <c r="AC118" i="29"/>
  <c r="AB118" i="29"/>
  <c r="AA118" i="29"/>
  <c r="Z118" i="29"/>
  <c r="Y118" i="29"/>
  <c r="X118" i="29"/>
  <c r="W118" i="29"/>
  <c r="V118" i="29"/>
  <c r="U118" i="29"/>
  <c r="T118" i="29"/>
  <c r="S118" i="29"/>
  <c r="R118" i="29"/>
  <c r="Q118" i="29"/>
  <c r="P118" i="29"/>
  <c r="O118" i="29"/>
  <c r="N118" i="29"/>
  <c r="AV117" i="29"/>
  <c r="AU117" i="29"/>
  <c r="AT117" i="29"/>
  <c r="AS117" i="29"/>
  <c r="AR117" i="29"/>
  <c r="AQ117" i="29"/>
  <c r="AP117" i="29"/>
  <c r="AO117" i="29"/>
  <c r="AN117" i="29"/>
  <c r="AM117" i="29"/>
  <c r="AL117" i="29"/>
  <c r="AK117" i="29"/>
  <c r="AJ117" i="29"/>
  <c r="AI117" i="29"/>
  <c r="AH117" i="29"/>
  <c r="AG117" i="29"/>
  <c r="AF117" i="29"/>
  <c r="AE117" i="29"/>
  <c r="AD117" i="29"/>
  <c r="AC117" i="29"/>
  <c r="AB117" i="29"/>
  <c r="AA117" i="29"/>
  <c r="Z117" i="29"/>
  <c r="Y117" i="29"/>
  <c r="X117" i="29"/>
  <c r="W117" i="29"/>
  <c r="V117" i="29"/>
  <c r="U117" i="29"/>
  <c r="T117" i="29"/>
  <c r="S117" i="29"/>
  <c r="R117" i="29"/>
  <c r="Q117" i="29"/>
  <c r="P117" i="29"/>
  <c r="O117" i="29"/>
  <c r="N117" i="29"/>
  <c r="LR115" i="29"/>
  <c r="LQ115" i="29"/>
  <c r="LP115" i="29"/>
  <c r="LO115" i="29"/>
  <c r="KX115" i="29"/>
  <c r="AV115" i="29" s="1"/>
  <c r="KW115" i="29"/>
  <c r="KV115" i="29"/>
  <c r="KU115" i="29"/>
  <c r="KT115" i="29"/>
  <c r="KQ115" i="29"/>
  <c r="AU115" i="29" s="1"/>
  <c r="KP115" i="29"/>
  <c r="KO115" i="29"/>
  <c r="KN115" i="29"/>
  <c r="KM115" i="29"/>
  <c r="KJ115" i="29"/>
  <c r="AT115" i="29" s="1"/>
  <c r="KI115" i="29"/>
  <c r="KH115" i="29"/>
  <c r="KG115" i="29"/>
  <c r="KF115" i="29"/>
  <c r="KC115" i="29"/>
  <c r="AS115" i="29" s="1"/>
  <c r="KB115" i="29"/>
  <c r="KA115" i="29"/>
  <c r="JZ115" i="29"/>
  <c r="JY115" i="29"/>
  <c r="JV115" i="29"/>
  <c r="JU115" i="29"/>
  <c r="JT115" i="29"/>
  <c r="JS115" i="29"/>
  <c r="JR115" i="29"/>
  <c r="JO115" i="29"/>
  <c r="AQ115" i="29" s="1"/>
  <c r="JN115" i="29"/>
  <c r="JM115" i="29"/>
  <c r="JL115" i="29"/>
  <c r="JK115" i="29"/>
  <c r="JH115" i="29"/>
  <c r="AP115" i="29" s="1"/>
  <c r="JG115" i="29"/>
  <c r="JF115" i="29"/>
  <c r="JE115" i="29"/>
  <c r="JD115" i="29"/>
  <c r="JA115" i="29"/>
  <c r="IZ115" i="29"/>
  <c r="IY115" i="29"/>
  <c r="IX115" i="29"/>
  <c r="IW115" i="29"/>
  <c r="IT115" i="29"/>
  <c r="IS115" i="29"/>
  <c r="IR115" i="29"/>
  <c r="IQ115" i="29"/>
  <c r="IP115" i="29"/>
  <c r="IM115" i="29"/>
  <c r="AM115" i="29" s="1"/>
  <c r="IL115" i="29"/>
  <c r="IK115" i="29"/>
  <c r="IJ115" i="29"/>
  <c r="II115" i="29"/>
  <c r="IF115" i="29"/>
  <c r="AL115" i="29" s="1"/>
  <c r="IE115" i="29"/>
  <c r="ID115" i="29"/>
  <c r="IC115" i="29"/>
  <c r="IB115" i="29"/>
  <c r="HY115" i="29"/>
  <c r="HX115" i="29"/>
  <c r="HW115" i="29"/>
  <c r="HV115" i="29"/>
  <c r="HU115" i="29"/>
  <c r="HR115" i="29"/>
  <c r="AJ115" i="29" s="1"/>
  <c r="HQ115" i="29"/>
  <c r="HP115" i="29"/>
  <c r="HO115" i="29"/>
  <c r="HN115" i="29"/>
  <c r="HK115" i="29"/>
  <c r="AI115" i="29" s="1"/>
  <c r="HJ115" i="29"/>
  <c r="HI115" i="29"/>
  <c r="HH115" i="29"/>
  <c r="HG115" i="29"/>
  <c r="HD115" i="29"/>
  <c r="AH115" i="29" s="1"/>
  <c r="HC115" i="29"/>
  <c r="HB115" i="29"/>
  <c r="HA115" i="29"/>
  <c r="GZ115" i="29"/>
  <c r="GW115" i="29"/>
  <c r="GV115" i="29"/>
  <c r="GU115" i="29"/>
  <c r="GT115" i="29"/>
  <c r="GS115" i="29"/>
  <c r="GP115" i="29"/>
  <c r="GO115" i="29"/>
  <c r="GN115" i="29"/>
  <c r="GM115" i="29"/>
  <c r="GL115" i="29"/>
  <c r="GI115" i="29"/>
  <c r="AE115" i="29" s="1"/>
  <c r="GH115" i="29"/>
  <c r="GG115" i="29"/>
  <c r="GF115" i="29"/>
  <c r="GE115" i="29"/>
  <c r="GB115" i="29"/>
  <c r="AD115" i="29" s="1"/>
  <c r="GA115" i="29"/>
  <c r="GA114" i="29" s="1"/>
  <c r="FZ115" i="29"/>
  <c r="FZ114" i="29" s="1"/>
  <c r="FY115" i="29"/>
  <c r="FY114" i="29" s="1"/>
  <c r="FX115" i="29"/>
  <c r="FX114" i="29" s="1"/>
  <c r="AC115" i="29"/>
  <c r="AB115" i="29"/>
  <c r="AA115" i="29"/>
  <c r="Z115" i="29"/>
  <c r="Y115" i="29"/>
  <c r="X115" i="29"/>
  <c r="W115" i="29"/>
  <c r="V115" i="29"/>
  <c r="U115" i="29"/>
  <c r="T115" i="29"/>
  <c r="S115" i="29"/>
  <c r="R115" i="29"/>
  <c r="Q115" i="29"/>
  <c r="P115" i="29"/>
  <c r="O115" i="29"/>
  <c r="N115" i="29"/>
  <c r="AC114" i="29"/>
  <c r="AB114" i="29"/>
  <c r="AA114" i="29"/>
  <c r="Z114" i="29"/>
  <c r="Y114" i="29"/>
  <c r="X114" i="29"/>
  <c r="W114" i="29"/>
  <c r="V114" i="29"/>
  <c r="U114" i="29"/>
  <c r="T114" i="29"/>
  <c r="S114" i="29"/>
  <c r="R114" i="29"/>
  <c r="Q114" i="29"/>
  <c r="P114" i="29"/>
  <c r="O114" i="29"/>
  <c r="N114" i="29"/>
  <c r="LS113" i="29"/>
  <c r="AY113" i="29" s="1"/>
  <c r="LL113" i="29"/>
  <c r="AX113" i="29" s="1"/>
  <c r="LE113" i="29"/>
  <c r="AW113" i="29" s="1"/>
  <c r="KX113" i="29"/>
  <c r="KQ113" i="29"/>
  <c r="KJ113" i="29"/>
  <c r="KC113" i="29"/>
  <c r="AS113" i="29" s="1"/>
  <c r="JV113" i="29"/>
  <c r="AR113" i="29" s="1"/>
  <c r="JO113" i="29"/>
  <c r="JH113" i="29"/>
  <c r="AP113" i="29" s="1"/>
  <c r="JA113" i="29"/>
  <c r="AO113" i="29" s="1"/>
  <c r="IT113" i="29"/>
  <c r="AN113" i="29" s="1"/>
  <c r="IM113" i="29"/>
  <c r="IF113" i="29"/>
  <c r="AL113" i="29" s="1"/>
  <c r="HY113" i="29"/>
  <c r="AK113" i="29" s="1"/>
  <c r="HR113" i="29"/>
  <c r="HK113" i="29"/>
  <c r="HD113" i="29"/>
  <c r="GW113" i="29"/>
  <c r="AG113" i="29" s="1"/>
  <c r="GP113" i="29"/>
  <c r="AF113" i="29" s="1"/>
  <c r="GI113" i="29"/>
  <c r="GB113" i="29"/>
  <c r="AC113" i="29"/>
  <c r="AB113" i="29"/>
  <c r="AA113" i="29"/>
  <c r="Z113" i="29"/>
  <c r="Y113" i="29"/>
  <c r="X113" i="29"/>
  <c r="W113" i="29"/>
  <c r="V113" i="29"/>
  <c r="U113" i="29"/>
  <c r="T113" i="29"/>
  <c r="S113" i="29"/>
  <c r="R113" i="29"/>
  <c r="Q113" i="29"/>
  <c r="P113" i="29"/>
  <c r="O113" i="29"/>
  <c r="N113" i="29"/>
  <c r="KX111" i="29"/>
  <c r="AV111" i="29" s="1"/>
  <c r="JH111" i="29"/>
  <c r="AP111" i="29" s="1"/>
  <c r="JA111" i="29"/>
  <c r="AO111" i="29" s="1"/>
  <c r="IT111" i="29"/>
  <c r="AN111" i="29" s="1"/>
  <c r="IM111" i="29"/>
  <c r="AM111" i="29" s="1"/>
  <c r="AY111" i="29"/>
  <c r="AX111" i="29"/>
  <c r="AW111" i="29"/>
  <c r="AU111" i="29"/>
  <c r="AT111" i="29"/>
  <c r="AS111" i="29"/>
  <c r="AR111" i="29"/>
  <c r="AQ111" i="29"/>
  <c r="AL111" i="29"/>
  <c r="AK111" i="29"/>
  <c r="AJ111" i="29"/>
  <c r="AI111" i="29"/>
  <c r="AH111" i="29"/>
  <c r="AG111" i="29"/>
  <c r="AF111" i="29"/>
  <c r="AE111" i="29"/>
  <c r="AD111" i="29"/>
  <c r="AC111" i="29"/>
  <c r="AB111" i="29"/>
  <c r="AA111" i="29"/>
  <c r="Z111" i="29"/>
  <c r="Y111" i="29"/>
  <c r="X111" i="29"/>
  <c r="W111" i="29"/>
  <c r="V111" i="29"/>
  <c r="U111" i="29"/>
  <c r="T111" i="29"/>
  <c r="S111" i="29"/>
  <c r="R111" i="29"/>
  <c r="Q111" i="29"/>
  <c r="P111" i="29"/>
  <c r="O111" i="29"/>
  <c r="N111" i="29"/>
  <c r="AY110" i="29"/>
  <c r="AX110" i="29"/>
  <c r="AW110" i="29"/>
  <c r="AV110" i="29"/>
  <c r="AU110" i="29"/>
  <c r="AT110" i="29"/>
  <c r="AS110" i="29"/>
  <c r="AR110" i="29"/>
  <c r="AQ110" i="29"/>
  <c r="AP110" i="29"/>
  <c r="AO110" i="29"/>
  <c r="AN110" i="29"/>
  <c r="AM110" i="29"/>
  <c r="AL110" i="29"/>
  <c r="AK110" i="29"/>
  <c r="AJ110" i="29"/>
  <c r="AI110" i="29"/>
  <c r="AH110" i="29"/>
  <c r="AG110" i="29"/>
  <c r="AF110" i="29"/>
  <c r="AE110" i="29"/>
  <c r="AD110" i="29"/>
  <c r="AC110" i="29"/>
  <c r="AB110" i="29"/>
  <c r="AA110" i="29"/>
  <c r="Z110" i="29"/>
  <c r="Y110" i="29"/>
  <c r="X110" i="29"/>
  <c r="W110" i="29"/>
  <c r="V110" i="29"/>
  <c r="U110" i="29"/>
  <c r="T110" i="29"/>
  <c r="S110" i="29"/>
  <c r="R110" i="29"/>
  <c r="Q110" i="29"/>
  <c r="P110" i="29"/>
  <c r="O110" i="29"/>
  <c r="N110" i="29"/>
  <c r="AY109" i="29"/>
  <c r="AX109" i="29"/>
  <c r="AW109" i="29"/>
  <c r="AV109" i="29"/>
  <c r="AU109" i="29"/>
  <c r="AT109" i="29"/>
  <c r="AS109" i="29"/>
  <c r="AR109" i="29"/>
  <c r="AQ109" i="29"/>
  <c r="AP109" i="29"/>
  <c r="AO109" i="29"/>
  <c r="AN109" i="29"/>
  <c r="AM109" i="29"/>
  <c r="AL109" i="29"/>
  <c r="AK109" i="29"/>
  <c r="AJ109" i="29"/>
  <c r="AI109" i="29"/>
  <c r="AH109" i="29"/>
  <c r="AG109" i="29"/>
  <c r="AF109" i="29"/>
  <c r="AE109" i="29"/>
  <c r="AD109" i="29"/>
  <c r="AC109" i="29"/>
  <c r="AB109" i="29"/>
  <c r="AA109" i="29"/>
  <c r="Z109" i="29"/>
  <c r="Y109" i="29"/>
  <c r="X109" i="29"/>
  <c r="W109" i="29"/>
  <c r="V109" i="29"/>
  <c r="U109" i="29"/>
  <c r="T109" i="29"/>
  <c r="S109" i="29"/>
  <c r="R109" i="29"/>
  <c r="Q109" i="29"/>
  <c r="P109" i="29"/>
  <c r="O109" i="29"/>
  <c r="N109" i="29"/>
  <c r="KX108" i="29"/>
  <c r="AV108" i="29" s="1"/>
  <c r="AU108" i="29"/>
  <c r="AT108" i="29"/>
  <c r="AS108" i="29"/>
  <c r="AR108" i="29"/>
  <c r="AQ108" i="29"/>
  <c r="AP108" i="29"/>
  <c r="AO108" i="29"/>
  <c r="AN108" i="29"/>
  <c r="AM108" i="29"/>
  <c r="AL108" i="29"/>
  <c r="AK108" i="29"/>
  <c r="AJ108" i="29"/>
  <c r="AI108" i="29"/>
  <c r="AH108" i="29"/>
  <c r="AG108" i="29"/>
  <c r="R108" i="29"/>
  <c r="Q108" i="29"/>
  <c r="P108" i="29"/>
  <c r="O108" i="29"/>
  <c r="N108" i="29"/>
  <c r="AY103" i="29"/>
  <c r="AX103" i="29"/>
  <c r="AW103" i="29"/>
  <c r="AV103" i="29"/>
  <c r="AU103" i="29"/>
  <c r="AT103" i="29"/>
  <c r="AS103" i="29"/>
  <c r="AR103" i="29"/>
  <c r="AQ103" i="29"/>
  <c r="AP103" i="29"/>
  <c r="AO103" i="29"/>
  <c r="AN103" i="29"/>
  <c r="AM103" i="29"/>
  <c r="AL103" i="29"/>
  <c r="AK103" i="29"/>
  <c r="AJ103" i="29"/>
  <c r="AI103" i="29"/>
  <c r="AH103" i="29"/>
  <c r="AG103" i="29"/>
  <c r="AF103" i="29"/>
  <c r="AE103" i="29"/>
  <c r="AD103" i="29"/>
  <c r="AC103" i="29"/>
  <c r="AB103" i="29"/>
  <c r="AA103" i="29"/>
  <c r="Z103" i="29"/>
  <c r="Y103" i="29"/>
  <c r="X103" i="29"/>
  <c r="W103" i="29"/>
  <c r="V103" i="29"/>
  <c r="U103" i="29"/>
  <c r="T103" i="29"/>
  <c r="S103" i="29"/>
  <c r="R103" i="29"/>
  <c r="Q103" i="29"/>
  <c r="P103" i="29"/>
  <c r="O103" i="29"/>
  <c r="N103" i="29"/>
  <c r="AY102" i="29"/>
  <c r="AX102" i="29"/>
  <c r="AW102" i="29"/>
  <c r="AV102" i="29"/>
  <c r="AU102" i="29"/>
  <c r="AT102" i="29"/>
  <c r="AS102" i="29"/>
  <c r="AR102" i="29"/>
  <c r="AQ102" i="29"/>
  <c r="AP102" i="29"/>
  <c r="AO102" i="29"/>
  <c r="AN102" i="29"/>
  <c r="AM102" i="29"/>
  <c r="AL102" i="29"/>
  <c r="AK102" i="29"/>
  <c r="AJ102" i="29"/>
  <c r="AI102" i="29"/>
  <c r="AH102" i="29"/>
  <c r="AG102" i="29"/>
  <c r="AF102" i="29"/>
  <c r="AE102" i="29"/>
  <c r="AD102" i="29"/>
  <c r="AC102" i="29"/>
  <c r="AB102" i="29"/>
  <c r="AA102" i="29"/>
  <c r="Z102" i="29"/>
  <c r="Y102" i="29"/>
  <c r="X102" i="29"/>
  <c r="W102" i="29"/>
  <c r="V102" i="29"/>
  <c r="U102" i="29"/>
  <c r="T102" i="29"/>
  <c r="S102" i="29"/>
  <c r="R102" i="29"/>
  <c r="Q102" i="29"/>
  <c r="P102" i="29"/>
  <c r="O102" i="29"/>
  <c r="N102" i="29"/>
  <c r="AY101" i="29"/>
  <c r="AX101" i="29"/>
  <c r="AW101" i="29"/>
  <c r="AV101" i="29"/>
  <c r="AU101" i="29"/>
  <c r="AT101" i="29"/>
  <c r="AS101" i="29"/>
  <c r="AR101" i="29"/>
  <c r="AQ101" i="29"/>
  <c r="AP101" i="29"/>
  <c r="AO101" i="29"/>
  <c r="AN101" i="29"/>
  <c r="AM101" i="29"/>
  <c r="AL101" i="29"/>
  <c r="AK101" i="29"/>
  <c r="AJ101" i="29"/>
  <c r="AI101" i="29"/>
  <c r="AH101" i="29"/>
  <c r="AG101" i="29"/>
  <c r="AF101" i="29"/>
  <c r="AE101" i="29"/>
  <c r="AD101" i="29"/>
  <c r="AC101" i="29"/>
  <c r="AB101" i="29"/>
  <c r="AA101" i="29"/>
  <c r="Z101" i="29"/>
  <c r="Y101" i="29"/>
  <c r="X101" i="29"/>
  <c r="W101" i="29"/>
  <c r="V101" i="29"/>
  <c r="U101" i="29"/>
  <c r="T101" i="29"/>
  <c r="S101" i="29"/>
  <c r="R101" i="29"/>
  <c r="Q101" i="29"/>
  <c r="P101" i="29"/>
  <c r="O101" i="29"/>
  <c r="N101" i="29"/>
  <c r="FU100" i="29"/>
  <c r="FU80" i="29" s="1"/>
  <c r="AC80" i="29" s="1"/>
  <c r="FN100" i="29"/>
  <c r="AB100" i="29" s="1"/>
  <c r="FG100" i="29"/>
  <c r="EZ100" i="29"/>
  <c r="ES100" i="29"/>
  <c r="Y100" i="29" s="1"/>
  <c r="EL100" i="29"/>
  <c r="EL80" i="29" s="1"/>
  <c r="X80" i="29" s="1"/>
  <c r="EE100" i="29"/>
  <c r="W100" i="29" s="1"/>
  <c r="DX100" i="29"/>
  <c r="V100" i="29" s="1"/>
  <c r="DQ100" i="29"/>
  <c r="DJ100" i="29"/>
  <c r="T100" i="29" s="1"/>
  <c r="DC100" i="29"/>
  <c r="DC80" i="29" s="1"/>
  <c r="S80" i="29" s="1"/>
  <c r="CV100" i="29"/>
  <c r="R100" i="29" s="1"/>
  <c r="CO100" i="29"/>
  <c r="CH100" i="29"/>
  <c r="P100" i="29" s="1"/>
  <c r="CA100" i="29"/>
  <c r="O100" i="29" s="1"/>
  <c r="BT100" i="29"/>
  <c r="N100" i="29" s="1"/>
  <c r="AY100" i="29"/>
  <c r="AX100" i="29"/>
  <c r="AW100" i="29"/>
  <c r="AV100" i="29"/>
  <c r="AU100" i="29"/>
  <c r="AT100" i="29"/>
  <c r="AS100" i="29"/>
  <c r="AR100" i="29"/>
  <c r="AQ100" i="29"/>
  <c r="AP100" i="29"/>
  <c r="AO100" i="29"/>
  <c r="AN100" i="29"/>
  <c r="AM100" i="29"/>
  <c r="AL100" i="29"/>
  <c r="AK100" i="29"/>
  <c r="AJ100" i="29"/>
  <c r="AI100" i="29"/>
  <c r="AH100" i="29"/>
  <c r="AG100" i="29"/>
  <c r="AF100" i="29"/>
  <c r="AE100" i="29"/>
  <c r="AD100" i="29"/>
  <c r="J100" i="29"/>
  <c r="J80" i="29" s="1"/>
  <c r="JY95" i="29"/>
  <c r="JU95" i="29"/>
  <c r="JT95" i="29"/>
  <c r="JR95" i="29"/>
  <c r="JN95" i="29"/>
  <c r="JM95" i="29"/>
  <c r="JL95" i="29"/>
  <c r="JK95" i="29"/>
  <c r="JG95" i="29"/>
  <c r="JF95" i="29"/>
  <c r="JE95" i="29"/>
  <c r="JD95" i="29"/>
  <c r="IZ95" i="29"/>
  <c r="IY95" i="29"/>
  <c r="IX95" i="29"/>
  <c r="IW95" i="29"/>
  <c r="IS95" i="29"/>
  <c r="IR95" i="29"/>
  <c r="IQ95" i="29"/>
  <c r="IP95" i="29"/>
  <c r="KW91" i="29"/>
  <c r="KW88" i="29" s="1"/>
  <c r="KV91" i="29"/>
  <c r="KU91" i="29"/>
  <c r="KT91" i="29"/>
  <c r="KP91" i="29"/>
  <c r="KO91" i="29"/>
  <c r="KN91" i="29"/>
  <c r="KM91" i="29"/>
  <c r="KI91" i="29"/>
  <c r="KH91" i="29"/>
  <c r="KG91" i="29"/>
  <c r="KF91" i="29"/>
  <c r="KB91" i="29"/>
  <c r="KA91" i="29"/>
  <c r="JZ91" i="29"/>
  <c r="JY91" i="29"/>
  <c r="JY92" i="29" s="1"/>
  <c r="JU91" i="29"/>
  <c r="JU92" i="29" s="1"/>
  <c r="JT91" i="29"/>
  <c r="JT92" i="29" s="1"/>
  <c r="JS91" i="29"/>
  <c r="JR91" i="29"/>
  <c r="JR92" i="29" s="1"/>
  <c r="JN91" i="29"/>
  <c r="JN92" i="29" s="1"/>
  <c r="JM91" i="29"/>
  <c r="JM92" i="29" s="1"/>
  <c r="JL91" i="29"/>
  <c r="JL92" i="29" s="1"/>
  <c r="JK91" i="29"/>
  <c r="JK92" i="29" s="1"/>
  <c r="JG91" i="29"/>
  <c r="JG92" i="29" s="1"/>
  <c r="JF91" i="29"/>
  <c r="JF92" i="29" s="1"/>
  <c r="JE91" i="29"/>
  <c r="JE92" i="29" s="1"/>
  <c r="JD91" i="29"/>
  <c r="JD92" i="29" s="1"/>
  <c r="IZ91" i="29"/>
  <c r="IZ92" i="29" s="1"/>
  <c r="IY91" i="29"/>
  <c r="IY92" i="29" s="1"/>
  <c r="IX91" i="29"/>
  <c r="IX92" i="29" s="1"/>
  <c r="IW91" i="29"/>
  <c r="IW92" i="29" s="1"/>
  <c r="IS91" i="29"/>
  <c r="IS92" i="29" s="1"/>
  <c r="IR91" i="29"/>
  <c r="IR92" i="29" s="1"/>
  <c r="IQ91" i="29"/>
  <c r="IQ92" i="29" s="1"/>
  <c r="IP91" i="29"/>
  <c r="IP92" i="29" s="1"/>
  <c r="IL91" i="29"/>
  <c r="IK91" i="29"/>
  <c r="IJ91" i="29"/>
  <c r="II91" i="29"/>
  <c r="IE91" i="29"/>
  <c r="ID91" i="29"/>
  <c r="IC91" i="29"/>
  <c r="IB91" i="29"/>
  <c r="HX91" i="29"/>
  <c r="HW91" i="29"/>
  <c r="HV91" i="29"/>
  <c r="HU91" i="29"/>
  <c r="HQ91" i="29"/>
  <c r="HP91" i="29"/>
  <c r="HO91" i="29"/>
  <c r="HN91" i="29"/>
  <c r="HJ91" i="29"/>
  <c r="HI91" i="29"/>
  <c r="HH91" i="29"/>
  <c r="HG91" i="29"/>
  <c r="HC91" i="29"/>
  <c r="HB91" i="29"/>
  <c r="HA91" i="29"/>
  <c r="GZ91" i="29"/>
  <c r="AG89" i="29"/>
  <c r="AF89" i="29"/>
  <c r="AE89" i="29"/>
  <c r="AD89" i="29"/>
  <c r="AC89" i="29"/>
  <c r="AB89" i="29"/>
  <c r="AA89" i="29"/>
  <c r="Z89" i="29"/>
  <c r="Y89" i="29"/>
  <c r="X89" i="29"/>
  <c r="W89" i="29"/>
  <c r="V89" i="29"/>
  <c r="U89" i="29"/>
  <c r="T89" i="29"/>
  <c r="S89" i="29"/>
  <c r="R89" i="29"/>
  <c r="Q89" i="29"/>
  <c r="P89" i="29"/>
  <c r="O89" i="29"/>
  <c r="N89" i="29"/>
  <c r="KV88" i="29"/>
  <c r="KU88" i="29"/>
  <c r="KT88" i="29"/>
  <c r="LA89" i="29" s="1"/>
  <c r="KP88" i="29"/>
  <c r="KO88" i="29"/>
  <c r="KN88" i="29"/>
  <c r="KM88" i="29"/>
  <c r="KI88" i="29"/>
  <c r="KH88" i="29"/>
  <c r="KG88" i="29"/>
  <c r="KF88" i="29"/>
  <c r="KB88" i="29"/>
  <c r="KA88" i="29"/>
  <c r="JZ88" i="29"/>
  <c r="JY88" i="29"/>
  <c r="JU88" i="29"/>
  <c r="JT88" i="29"/>
  <c r="JS88" i="29"/>
  <c r="JR88" i="29"/>
  <c r="JN88" i="29"/>
  <c r="JM88" i="29"/>
  <c r="JL88" i="29"/>
  <c r="JK88" i="29"/>
  <c r="JG88" i="29"/>
  <c r="JF88" i="29"/>
  <c r="JE88" i="29"/>
  <c r="JD88" i="29"/>
  <c r="IZ88" i="29"/>
  <c r="IY88" i="29"/>
  <c r="IX88" i="29"/>
  <c r="IW88" i="29"/>
  <c r="IS88" i="29"/>
  <c r="IR88" i="29"/>
  <c r="IQ88" i="29"/>
  <c r="IP88" i="29"/>
  <c r="IL88" i="29"/>
  <c r="IK88" i="29"/>
  <c r="IJ88" i="29"/>
  <c r="II88" i="29"/>
  <c r="IE88" i="29"/>
  <c r="ID88" i="29"/>
  <c r="IC88" i="29"/>
  <c r="IB88" i="29"/>
  <c r="HX88" i="29"/>
  <c r="HW88" i="29"/>
  <c r="HV88" i="29"/>
  <c r="HU88" i="29"/>
  <c r="HQ88" i="29"/>
  <c r="HP88" i="29"/>
  <c r="HO88" i="29"/>
  <c r="HN88" i="29"/>
  <c r="HJ88" i="29"/>
  <c r="HI88" i="29"/>
  <c r="HH88" i="29"/>
  <c r="HG88" i="29"/>
  <c r="HC88" i="29"/>
  <c r="HB88" i="29"/>
  <c r="HA88" i="29"/>
  <c r="GZ88" i="29"/>
  <c r="KW86" i="29"/>
  <c r="KV86" i="29"/>
  <c r="KU86" i="29"/>
  <c r="KT86" i="29"/>
  <c r="KP86" i="29"/>
  <c r="KO86" i="29"/>
  <c r="KN86" i="29"/>
  <c r="KM86" i="29"/>
  <c r="KJ86" i="29"/>
  <c r="AT86" i="29" s="1"/>
  <c r="KI86" i="29"/>
  <c r="KH86" i="29"/>
  <c r="KG86" i="29"/>
  <c r="KF86" i="29"/>
  <c r="KC86" i="29"/>
  <c r="AS86" i="29" s="1"/>
  <c r="KB86" i="29"/>
  <c r="KA86" i="29"/>
  <c r="JZ86" i="29"/>
  <c r="JY86" i="29"/>
  <c r="JV86" i="29"/>
  <c r="AR86" i="29" s="1"/>
  <c r="JU86" i="29"/>
  <c r="JT86" i="29"/>
  <c r="JS86" i="29"/>
  <c r="JR86" i="29"/>
  <c r="JO86" i="29"/>
  <c r="AQ86" i="29" s="1"/>
  <c r="JN86" i="29"/>
  <c r="JM86" i="29"/>
  <c r="JL86" i="29"/>
  <c r="JK86" i="29"/>
  <c r="JH86" i="29"/>
  <c r="AP86" i="29" s="1"/>
  <c r="JG86" i="29"/>
  <c r="JF86" i="29"/>
  <c r="JE86" i="29"/>
  <c r="JD86" i="29"/>
  <c r="JA86" i="29"/>
  <c r="AO86" i="29" s="1"/>
  <c r="IZ86" i="29"/>
  <c r="IY86" i="29"/>
  <c r="IX86" i="29"/>
  <c r="IW86" i="29"/>
  <c r="IT86" i="29"/>
  <c r="AN86" i="29" s="1"/>
  <c r="IS86" i="29"/>
  <c r="IR86" i="29"/>
  <c r="IQ86" i="29"/>
  <c r="IP86" i="29"/>
  <c r="IM86" i="29"/>
  <c r="AM86" i="29" s="1"/>
  <c r="IL86" i="29"/>
  <c r="IK86" i="29"/>
  <c r="IJ86" i="29"/>
  <c r="II86" i="29"/>
  <c r="IF86" i="29"/>
  <c r="AL86" i="29" s="1"/>
  <c r="IE86" i="29"/>
  <c r="ID86" i="29"/>
  <c r="IC86" i="29"/>
  <c r="IB86" i="29"/>
  <c r="HY86" i="29"/>
  <c r="AK86" i="29" s="1"/>
  <c r="HX86" i="29"/>
  <c r="HW86" i="29"/>
  <c r="HV86" i="29"/>
  <c r="HU86" i="29"/>
  <c r="HR86" i="29"/>
  <c r="AJ86" i="29" s="1"/>
  <c r="HQ86" i="29"/>
  <c r="HP86" i="29"/>
  <c r="HO86" i="29"/>
  <c r="HN86" i="29"/>
  <c r="HK86" i="29"/>
  <c r="AI86" i="29" s="1"/>
  <c r="HJ86" i="29"/>
  <c r="HI86" i="29"/>
  <c r="HH86" i="29"/>
  <c r="HG86" i="29"/>
  <c r="HD86" i="29"/>
  <c r="AH86" i="29" s="1"/>
  <c r="HC86" i="29"/>
  <c r="HB86" i="29"/>
  <c r="HA86" i="29"/>
  <c r="GZ86" i="29"/>
  <c r="GV86" i="29"/>
  <c r="GU86" i="29"/>
  <c r="GT86" i="29"/>
  <c r="AG86" i="29"/>
  <c r="AF86" i="29"/>
  <c r="AE86" i="29"/>
  <c r="AD86" i="29"/>
  <c r="AC86" i="29"/>
  <c r="AB86" i="29"/>
  <c r="AA86" i="29"/>
  <c r="Z86" i="29"/>
  <c r="Y86" i="29"/>
  <c r="X86" i="29"/>
  <c r="W86" i="29"/>
  <c r="V86" i="29"/>
  <c r="U86" i="29"/>
  <c r="T86" i="29"/>
  <c r="S86" i="29"/>
  <c r="R86" i="29"/>
  <c r="Q86" i="29"/>
  <c r="P86" i="29"/>
  <c r="O86" i="29"/>
  <c r="N86" i="29"/>
  <c r="KW85" i="29"/>
  <c r="KV85" i="29"/>
  <c r="KU85" i="29"/>
  <c r="KT85" i="29"/>
  <c r="KP85" i="29"/>
  <c r="KO85" i="29"/>
  <c r="KN85" i="29"/>
  <c r="KM85" i="29"/>
  <c r="KJ85" i="29"/>
  <c r="AT85" i="29" s="1"/>
  <c r="KI85" i="29"/>
  <c r="KH85" i="29"/>
  <c r="KG85" i="29"/>
  <c r="KF85" i="29"/>
  <c r="KC85" i="29"/>
  <c r="AS85" i="29" s="1"/>
  <c r="KB85" i="29"/>
  <c r="KA85" i="29"/>
  <c r="JZ85" i="29"/>
  <c r="JY85" i="29"/>
  <c r="JV85" i="29"/>
  <c r="AR85" i="29" s="1"/>
  <c r="JU85" i="29"/>
  <c r="JT85" i="29"/>
  <c r="JS85" i="29"/>
  <c r="JR85" i="29"/>
  <c r="JO85" i="29"/>
  <c r="AQ85" i="29" s="1"/>
  <c r="JN85" i="29"/>
  <c r="JM85" i="29"/>
  <c r="JL85" i="29"/>
  <c r="JK85" i="29"/>
  <c r="JH85" i="29"/>
  <c r="AP85" i="29" s="1"/>
  <c r="JG85" i="29"/>
  <c r="JF85" i="29"/>
  <c r="JE85" i="29"/>
  <c r="JD85" i="29"/>
  <c r="JA85" i="29"/>
  <c r="AO85" i="29" s="1"/>
  <c r="IZ85" i="29"/>
  <c r="IY85" i="29"/>
  <c r="IX85" i="29"/>
  <c r="IW85" i="29"/>
  <c r="IT85" i="29"/>
  <c r="AN85" i="29" s="1"/>
  <c r="IS85" i="29"/>
  <c r="IR85" i="29"/>
  <c r="IQ85" i="29"/>
  <c r="IP85" i="29"/>
  <c r="IM85" i="29"/>
  <c r="AM85" i="29" s="1"/>
  <c r="IL85" i="29"/>
  <c r="IK85" i="29"/>
  <c r="IJ85" i="29"/>
  <c r="II85" i="29"/>
  <c r="IF85" i="29"/>
  <c r="AL85" i="29" s="1"/>
  <c r="IE85" i="29"/>
  <c r="ID85" i="29"/>
  <c r="IC85" i="29"/>
  <c r="IB85" i="29"/>
  <c r="HY85" i="29"/>
  <c r="AK85" i="29" s="1"/>
  <c r="HX85" i="29"/>
  <c r="HW85" i="29"/>
  <c r="HV85" i="29"/>
  <c r="HU85" i="29"/>
  <c r="HR85" i="29"/>
  <c r="AJ85" i="29" s="1"/>
  <c r="HQ85" i="29"/>
  <c r="HP85" i="29"/>
  <c r="HO85" i="29"/>
  <c r="HN85" i="29"/>
  <c r="HK85" i="29"/>
  <c r="AI85" i="29" s="1"/>
  <c r="HJ85" i="29"/>
  <c r="HI85" i="29"/>
  <c r="HH85" i="29"/>
  <c r="HG85" i="29"/>
  <c r="HD85" i="29"/>
  <c r="AH85" i="29" s="1"/>
  <c r="HC85" i="29"/>
  <c r="HB85" i="29"/>
  <c r="HA85" i="29"/>
  <c r="GZ85" i="29"/>
  <c r="GW85" i="29"/>
  <c r="AG85" i="29" s="1"/>
  <c r="GV85" i="29"/>
  <c r="GU85" i="29"/>
  <c r="GT85" i="29"/>
  <c r="GS85" i="29"/>
  <c r="GP85" i="29"/>
  <c r="AF85" i="29" s="1"/>
  <c r="GO85" i="29"/>
  <c r="GN85" i="29"/>
  <c r="GM85" i="29"/>
  <c r="GL85" i="29"/>
  <c r="GI85" i="29"/>
  <c r="AE85" i="29" s="1"/>
  <c r="GH85" i="29"/>
  <c r="GG85" i="29"/>
  <c r="GF85" i="29"/>
  <c r="GE85" i="29"/>
  <c r="AD85" i="29"/>
  <c r="AC85" i="29"/>
  <c r="AB85" i="29"/>
  <c r="AA85" i="29"/>
  <c r="Z85" i="29"/>
  <c r="Y85" i="29"/>
  <c r="X85" i="29"/>
  <c r="W85" i="29"/>
  <c r="V85" i="29"/>
  <c r="U85" i="29"/>
  <c r="T85" i="29"/>
  <c r="S85" i="29"/>
  <c r="R85" i="29"/>
  <c r="Q85" i="29"/>
  <c r="P85" i="29"/>
  <c r="O85" i="29"/>
  <c r="N85" i="29"/>
  <c r="KX84" i="29"/>
  <c r="AV84" i="29" s="1"/>
  <c r="KQ84" i="29"/>
  <c r="AT84" i="29"/>
  <c r="AS84" i="29"/>
  <c r="AR84" i="29"/>
  <c r="AQ84" i="29"/>
  <c r="AP84" i="29"/>
  <c r="AO84" i="29"/>
  <c r="AN84" i="29"/>
  <c r="AM84" i="29"/>
  <c r="AL84" i="29"/>
  <c r="AK84" i="29"/>
  <c r="AJ84" i="29"/>
  <c r="AI84" i="29"/>
  <c r="AH84" i="29"/>
  <c r="AG84" i="29"/>
  <c r="AF84" i="29"/>
  <c r="AE84" i="29"/>
  <c r="AD84" i="29"/>
  <c r="AC84" i="29"/>
  <c r="AB84" i="29"/>
  <c r="AA84" i="29"/>
  <c r="Z84" i="29"/>
  <c r="Y84" i="29"/>
  <c r="X84" i="29"/>
  <c r="W84" i="29"/>
  <c r="V84" i="29"/>
  <c r="U84" i="29"/>
  <c r="T84" i="29"/>
  <c r="S84" i="29"/>
  <c r="R84" i="29"/>
  <c r="Q84" i="29"/>
  <c r="P84" i="29"/>
  <c r="O84" i="29"/>
  <c r="N84" i="29"/>
  <c r="KX82" i="29"/>
  <c r="AV82" i="29" s="1"/>
  <c r="KW82" i="29"/>
  <c r="KV82" i="29"/>
  <c r="KU82" i="29"/>
  <c r="KT82" i="29"/>
  <c r="KQ82" i="29"/>
  <c r="AU82" i="29" s="1"/>
  <c r="KP82" i="29"/>
  <c r="KO82" i="29"/>
  <c r="KN82" i="29"/>
  <c r="KM82" i="29"/>
  <c r="KJ82" i="29"/>
  <c r="AT82" i="29" s="1"/>
  <c r="KI82" i="29"/>
  <c r="KH82" i="29"/>
  <c r="KG82" i="29"/>
  <c r="KF82" i="29"/>
  <c r="KC82" i="29"/>
  <c r="AS82" i="29" s="1"/>
  <c r="KB82" i="29"/>
  <c r="KA82" i="29"/>
  <c r="JZ82" i="29"/>
  <c r="JY82" i="29"/>
  <c r="JV82" i="29"/>
  <c r="AR82" i="29" s="1"/>
  <c r="JU82" i="29"/>
  <c r="JT82" i="29"/>
  <c r="JS82" i="29"/>
  <c r="JR82" i="29"/>
  <c r="JO82" i="29"/>
  <c r="AQ82" i="29" s="1"/>
  <c r="JN82" i="29"/>
  <c r="JM82" i="29"/>
  <c r="JL82" i="29"/>
  <c r="JK82" i="29"/>
  <c r="JH82" i="29"/>
  <c r="AP82" i="29" s="1"/>
  <c r="JG82" i="29"/>
  <c r="JF82" i="29"/>
  <c r="JE82" i="29"/>
  <c r="JD82" i="29"/>
  <c r="IZ82" i="29"/>
  <c r="IY82" i="29"/>
  <c r="IX82" i="29"/>
  <c r="IW82" i="29"/>
  <c r="IS82" i="29"/>
  <c r="IR82" i="29"/>
  <c r="IQ82" i="29"/>
  <c r="IP82" i="29"/>
  <c r="IL82" i="29"/>
  <c r="IK82" i="29"/>
  <c r="IJ82" i="29"/>
  <c r="II82" i="29"/>
  <c r="IE82" i="29"/>
  <c r="ID82" i="29"/>
  <c r="IC82" i="29"/>
  <c r="IB82" i="29"/>
  <c r="HX82" i="29"/>
  <c r="HW82" i="29"/>
  <c r="HV82" i="29"/>
  <c r="HU82" i="29"/>
  <c r="HQ82" i="29"/>
  <c r="HP82" i="29"/>
  <c r="HO82" i="29"/>
  <c r="HN82" i="29"/>
  <c r="HJ82" i="29"/>
  <c r="HI82" i="29"/>
  <c r="HH82" i="29"/>
  <c r="HG82" i="29"/>
  <c r="HC82" i="29"/>
  <c r="HB82" i="29"/>
  <c r="HA82" i="29"/>
  <c r="GZ82" i="29"/>
  <c r="GV82" i="29"/>
  <c r="GU82" i="29"/>
  <c r="GT82" i="29"/>
  <c r="AG82" i="29"/>
  <c r="AF82" i="29"/>
  <c r="AE82" i="29"/>
  <c r="AD82" i="29"/>
  <c r="AC82" i="29"/>
  <c r="AB82" i="29"/>
  <c r="AA82" i="29"/>
  <c r="Z82" i="29"/>
  <c r="Y82" i="29"/>
  <c r="X82" i="29"/>
  <c r="W82" i="29"/>
  <c r="V82" i="29"/>
  <c r="U82" i="29"/>
  <c r="T82" i="29"/>
  <c r="S82" i="29"/>
  <c r="R82" i="29"/>
  <c r="Q82" i="29"/>
  <c r="P82" i="29"/>
  <c r="O82" i="29"/>
  <c r="N82" i="29"/>
  <c r="KX81" i="29"/>
  <c r="AV81" i="29" s="1"/>
  <c r="KW81" i="29"/>
  <c r="KV81" i="29"/>
  <c r="KU81" i="29"/>
  <c r="KT81" i="29"/>
  <c r="KQ81" i="29"/>
  <c r="AU81" i="29" s="1"/>
  <c r="KP81" i="29"/>
  <c r="KO81" i="29"/>
  <c r="KN81" i="29"/>
  <c r="KM81" i="29"/>
  <c r="KJ81" i="29"/>
  <c r="AT81" i="29" s="1"/>
  <c r="KI81" i="29"/>
  <c r="KH81" i="29"/>
  <c r="KG81" i="29"/>
  <c r="KF81" i="29"/>
  <c r="KC81" i="29"/>
  <c r="AS81" i="29" s="1"/>
  <c r="KB81" i="29"/>
  <c r="KA81" i="29"/>
  <c r="JZ81" i="29"/>
  <c r="JY81" i="29"/>
  <c r="JV81" i="29"/>
  <c r="AR81" i="29" s="1"/>
  <c r="JU81" i="29"/>
  <c r="JT81" i="29"/>
  <c r="JS81" i="29"/>
  <c r="JR81" i="29"/>
  <c r="JO81" i="29"/>
  <c r="AQ81" i="29" s="1"/>
  <c r="JN81" i="29"/>
  <c r="JM81" i="29"/>
  <c r="JL81" i="29"/>
  <c r="JK81" i="29"/>
  <c r="JH81" i="29"/>
  <c r="AP81" i="29" s="1"/>
  <c r="JG81" i="29"/>
  <c r="JF81" i="29"/>
  <c r="JE81" i="29"/>
  <c r="JD81" i="29"/>
  <c r="IZ81" i="29"/>
  <c r="IY81" i="29"/>
  <c r="IX81" i="29"/>
  <c r="IW81" i="29"/>
  <c r="IS81" i="29"/>
  <c r="IR81" i="29"/>
  <c r="IQ81" i="29"/>
  <c r="IP81" i="29"/>
  <c r="IL81" i="29"/>
  <c r="IK81" i="29"/>
  <c r="IJ81" i="29"/>
  <c r="II81" i="29"/>
  <c r="IE81" i="29"/>
  <c r="ID81" i="29"/>
  <c r="IC81" i="29"/>
  <c r="IB81" i="29"/>
  <c r="HX81" i="29"/>
  <c r="HW81" i="29"/>
  <c r="HV81" i="29"/>
  <c r="HU81" i="29"/>
  <c r="HQ81" i="29"/>
  <c r="HP81" i="29"/>
  <c r="HO81" i="29"/>
  <c r="HN81" i="29"/>
  <c r="HJ81" i="29"/>
  <c r="HI81" i="29"/>
  <c r="HH81" i="29"/>
  <c r="HG81" i="29"/>
  <c r="HC81" i="29"/>
  <c r="HB81" i="29"/>
  <c r="HA81" i="29"/>
  <c r="GZ81" i="29"/>
  <c r="AG81" i="29"/>
  <c r="AF81" i="29"/>
  <c r="AE81" i="29"/>
  <c r="AD81" i="29"/>
  <c r="AC81" i="29"/>
  <c r="AB81" i="29"/>
  <c r="AA81" i="29"/>
  <c r="Z81" i="29"/>
  <c r="Y81" i="29"/>
  <c r="X81" i="29"/>
  <c r="W81" i="29"/>
  <c r="V81" i="29"/>
  <c r="U81" i="29"/>
  <c r="T81" i="29"/>
  <c r="S81" i="29"/>
  <c r="R81" i="29"/>
  <c r="Q81" i="29"/>
  <c r="P81" i="29"/>
  <c r="O81" i="29"/>
  <c r="N81" i="29"/>
  <c r="IT80" i="29"/>
  <c r="AN80" i="29" s="1"/>
  <c r="IM80" i="29"/>
  <c r="AM80" i="29" s="1"/>
  <c r="IF80" i="29"/>
  <c r="AL80" i="29" s="1"/>
  <c r="HY80" i="29"/>
  <c r="HR80" i="29"/>
  <c r="HR190" i="29" s="1"/>
  <c r="AJ190" i="29" s="1"/>
  <c r="HK80" i="29"/>
  <c r="HK190" i="29" s="1"/>
  <c r="AI190" i="29" s="1"/>
  <c r="HD80" i="29"/>
  <c r="AH80" i="29" s="1"/>
  <c r="GW80" i="29"/>
  <c r="GW190" i="29" s="1"/>
  <c r="AG190" i="29" s="1"/>
  <c r="GP80" i="29"/>
  <c r="AF80" i="29" s="1"/>
  <c r="GO80" i="29"/>
  <c r="GO190" i="29" s="1"/>
  <c r="GN80" i="29"/>
  <c r="GN190" i="29" s="1"/>
  <c r="GM80" i="29"/>
  <c r="GM190" i="29" s="1"/>
  <c r="GL80" i="29"/>
  <c r="GL190" i="29" s="1"/>
  <c r="GI80" i="29"/>
  <c r="GI190" i="29" s="1"/>
  <c r="AE190" i="29" s="1"/>
  <c r="GH80" i="29"/>
  <c r="GH190" i="29" s="1"/>
  <c r="GG80" i="29"/>
  <c r="GG190" i="29" s="1"/>
  <c r="GF80" i="29"/>
  <c r="GF190" i="29" s="1"/>
  <c r="GE80" i="29"/>
  <c r="GE190" i="29" s="1"/>
  <c r="GB80" i="29"/>
  <c r="GB190" i="29" s="1"/>
  <c r="AD190" i="29" s="1"/>
  <c r="GA80" i="29"/>
  <c r="GA190" i="29" s="1"/>
  <c r="FZ80" i="29"/>
  <c r="FZ190" i="29" s="1"/>
  <c r="FY80" i="29"/>
  <c r="FY190" i="29" s="1"/>
  <c r="FX80" i="29"/>
  <c r="FX190" i="29" s="1"/>
  <c r="FT80" i="29"/>
  <c r="FS80" i="29"/>
  <c r="FR80" i="29"/>
  <c r="FQ80" i="29"/>
  <c r="FM80" i="29"/>
  <c r="FL80" i="29"/>
  <c r="FK80" i="29"/>
  <c r="FJ80" i="29"/>
  <c r="FF80" i="29"/>
  <c r="FE80" i="29"/>
  <c r="FD80" i="29"/>
  <c r="FC80" i="29"/>
  <c r="EY80" i="29"/>
  <c r="EX80" i="29"/>
  <c r="EW80" i="29"/>
  <c r="EV80" i="29"/>
  <c r="ER80" i="29"/>
  <c r="EQ80" i="29"/>
  <c r="EP80" i="29"/>
  <c r="EO80" i="29"/>
  <c r="EK80" i="29"/>
  <c r="EJ80" i="29"/>
  <c r="EI80" i="29"/>
  <c r="EH80" i="29"/>
  <c r="ED80" i="29"/>
  <c r="EC80" i="29"/>
  <c r="EB80" i="29"/>
  <c r="EA80" i="29"/>
  <c r="DW80" i="29"/>
  <c r="DV80" i="29"/>
  <c r="DU80" i="29"/>
  <c r="DT80" i="29"/>
  <c r="DP80" i="29"/>
  <c r="DO80" i="29"/>
  <c r="DN80" i="29"/>
  <c r="DM80" i="29"/>
  <c r="DI80" i="29"/>
  <c r="DH80" i="29"/>
  <c r="DG80" i="29"/>
  <c r="DF80" i="29"/>
  <c r="DB80" i="29"/>
  <c r="DA80" i="29"/>
  <c r="CZ80" i="29"/>
  <c r="CY80" i="29"/>
  <c r="CU80" i="29"/>
  <c r="CT80" i="29"/>
  <c r="CS80" i="29"/>
  <c r="CR80" i="29"/>
  <c r="CN80" i="29"/>
  <c r="CM80" i="29"/>
  <c r="CL80" i="29"/>
  <c r="CK80" i="29"/>
  <c r="CG80" i="29"/>
  <c r="CF80" i="29"/>
  <c r="CE80" i="29"/>
  <c r="CD80" i="29"/>
  <c r="BZ80" i="29"/>
  <c r="BY80" i="29"/>
  <c r="BX80" i="29"/>
  <c r="BW80" i="29"/>
  <c r="BS80" i="29"/>
  <c r="BR80" i="29"/>
  <c r="BQ80" i="29"/>
  <c r="BP80" i="29"/>
  <c r="AV80" i="29"/>
  <c r="AU80" i="29"/>
  <c r="AT80" i="29"/>
  <c r="AS80" i="29"/>
  <c r="AR80" i="29"/>
  <c r="AQ80" i="29"/>
  <c r="AP80" i="29"/>
  <c r="AO80" i="29"/>
  <c r="M80" i="29"/>
  <c r="L80" i="29"/>
  <c r="K80" i="29"/>
  <c r="I80" i="29"/>
  <c r="H80" i="29"/>
  <c r="H96" i="29" s="1"/>
  <c r="G80" i="29"/>
  <c r="G96" i="29" s="1"/>
  <c r="F80" i="29"/>
  <c r="E80" i="29"/>
  <c r="BT76" i="29"/>
  <c r="BS76" i="29"/>
  <c r="BR76" i="29"/>
  <c r="BQ76" i="29"/>
  <c r="BS75" i="29"/>
  <c r="BR75" i="29"/>
  <c r="BQ75" i="29"/>
  <c r="LT33" i="1"/>
  <c r="LS33" i="1"/>
  <c r="LR33" i="1"/>
  <c r="LQ33" i="1"/>
  <c r="LT29" i="1"/>
  <c r="LS29" i="1"/>
  <c r="LR29" i="1"/>
  <c r="LM33" i="1"/>
  <c r="LL33" i="1"/>
  <c r="LK33" i="1"/>
  <c r="LJ33" i="1"/>
  <c r="LM29" i="1"/>
  <c r="LL29" i="1"/>
  <c r="LK29" i="1"/>
  <c r="LJ29" i="1"/>
  <c r="LF33" i="1"/>
  <c r="LE33" i="1"/>
  <c r="LD33" i="1"/>
  <c r="LF29" i="1"/>
  <c r="LE29" i="1"/>
  <c r="LD29" i="1"/>
  <c r="LS13" i="29"/>
  <c r="LL13" i="29"/>
  <c r="LE13" i="29"/>
  <c r="LS9" i="29"/>
  <c r="LL9" i="29"/>
  <c r="LN29" i="1" s="1"/>
  <c r="AX29" i="1" s="1"/>
  <c r="LE9" i="29"/>
  <c r="LG29" i="1" s="1"/>
  <c r="AW29" i="1" s="1"/>
  <c r="GB70" i="29"/>
  <c r="AD70" i="29" s="1"/>
  <c r="FU70" i="29"/>
  <c r="AC70" i="29" s="1"/>
  <c r="FN70" i="29"/>
  <c r="AB70" i="29" s="1"/>
  <c r="FG70" i="29"/>
  <c r="AA70" i="29" s="1"/>
  <c r="EZ70" i="29"/>
  <c r="Z70" i="29" s="1"/>
  <c r="ES70" i="29"/>
  <c r="Y70" i="29" s="1"/>
  <c r="EK70" i="29"/>
  <c r="EJ70" i="29"/>
  <c r="EC70" i="29"/>
  <c r="EE70" i="29" s="1"/>
  <c r="W70" i="29" s="1"/>
  <c r="DX70" i="29"/>
  <c r="V70" i="29" s="1"/>
  <c r="DQ70" i="29"/>
  <c r="U70" i="29" s="1"/>
  <c r="DJ70" i="29"/>
  <c r="T70" i="29" s="1"/>
  <c r="DC70" i="29"/>
  <c r="S70" i="29" s="1"/>
  <c r="CV70" i="29"/>
  <c r="R70" i="29" s="1"/>
  <c r="CO70" i="29"/>
  <c r="Q70" i="29" s="1"/>
  <c r="CH70" i="29"/>
  <c r="P70" i="29" s="1"/>
  <c r="CA70" i="29"/>
  <c r="O70" i="29" s="1"/>
  <c r="BT70" i="29"/>
  <c r="N70" i="29" s="1"/>
  <c r="AY70" i="29"/>
  <c r="AX70" i="29"/>
  <c r="AW70" i="29"/>
  <c r="AV70" i="29"/>
  <c r="AU70" i="29"/>
  <c r="AT70" i="29"/>
  <c r="AS70" i="29"/>
  <c r="AR70" i="29"/>
  <c r="AQ70" i="29"/>
  <c r="AP70" i="29"/>
  <c r="AO70" i="29"/>
  <c r="AN70" i="29"/>
  <c r="AM70" i="29"/>
  <c r="AL70" i="29"/>
  <c r="AK70" i="29"/>
  <c r="AJ70" i="29"/>
  <c r="AI70" i="29"/>
  <c r="AH70" i="29"/>
  <c r="AG70" i="29"/>
  <c r="AF70" i="29"/>
  <c r="AE70" i="29"/>
  <c r="GB69" i="29"/>
  <c r="AD69" i="29" s="1"/>
  <c r="FU69" i="29"/>
  <c r="AC69" i="29" s="1"/>
  <c r="FN69" i="29"/>
  <c r="AB69" i="29" s="1"/>
  <c r="FG69" i="29"/>
  <c r="AA69" i="29" s="1"/>
  <c r="EZ69" i="29"/>
  <c r="Z69" i="29" s="1"/>
  <c r="ES69" i="29"/>
  <c r="Y69" i="29" s="1"/>
  <c r="EL69" i="29"/>
  <c r="X69" i="29" s="1"/>
  <c r="EE69" i="29"/>
  <c r="W69" i="29" s="1"/>
  <c r="DX69" i="29"/>
  <c r="V69" i="29" s="1"/>
  <c r="DQ69" i="29"/>
  <c r="U69" i="29" s="1"/>
  <c r="DJ69" i="29"/>
  <c r="T69" i="29" s="1"/>
  <c r="DC69" i="29"/>
  <c r="S69" i="29" s="1"/>
  <c r="CV69" i="29"/>
  <c r="R69" i="29" s="1"/>
  <c r="CO69" i="29"/>
  <c r="Q69" i="29" s="1"/>
  <c r="CH69" i="29"/>
  <c r="P69" i="29" s="1"/>
  <c r="CA69" i="29"/>
  <c r="O69" i="29" s="1"/>
  <c r="BT69" i="29"/>
  <c r="N69" i="29" s="1"/>
  <c r="AY69" i="29"/>
  <c r="AX69" i="29"/>
  <c r="AW69" i="29"/>
  <c r="AV69" i="29"/>
  <c r="AU69" i="29"/>
  <c r="AT69" i="29"/>
  <c r="AS69" i="29"/>
  <c r="AR69" i="29"/>
  <c r="AQ69" i="29"/>
  <c r="AP69" i="29"/>
  <c r="AO69" i="29"/>
  <c r="AN69" i="29"/>
  <c r="AM69" i="29"/>
  <c r="AL69" i="29"/>
  <c r="AK69" i="29"/>
  <c r="AJ69" i="29"/>
  <c r="AI69" i="29"/>
  <c r="AH69" i="29"/>
  <c r="AG69" i="29"/>
  <c r="AF69" i="29"/>
  <c r="AE69" i="29"/>
  <c r="M69" i="29"/>
  <c r="M70" i="29" s="1"/>
  <c r="ES67" i="29"/>
  <c r="Y67" i="29" s="1"/>
  <c r="EL67" i="29"/>
  <c r="X67" i="29" s="1"/>
  <c r="EE67" i="29"/>
  <c r="W67" i="29" s="1"/>
  <c r="DX67" i="29"/>
  <c r="V67" i="29" s="1"/>
  <c r="DQ67" i="29"/>
  <c r="U67" i="29" s="1"/>
  <c r="DJ67" i="29"/>
  <c r="T67" i="29" s="1"/>
  <c r="AY67" i="29"/>
  <c r="AX67" i="29"/>
  <c r="AW67" i="29"/>
  <c r="AV67" i="29"/>
  <c r="AU67" i="29"/>
  <c r="AT67" i="29"/>
  <c r="AS67" i="29"/>
  <c r="AR67" i="29"/>
  <c r="AQ67" i="29"/>
  <c r="AP67" i="29"/>
  <c r="AO67" i="29"/>
  <c r="AN67" i="29"/>
  <c r="AM67" i="29"/>
  <c r="AL67" i="29"/>
  <c r="AK67" i="29"/>
  <c r="AJ67" i="29"/>
  <c r="AI67" i="29"/>
  <c r="AH67" i="29"/>
  <c r="AG67" i="29"/>
  <c r="AF67" i="29"/>
  <c r="AE67" i="29"/>
  <c r="AD67" i="29"/>
  <c r="AC67" i="29"/>
  <c r="AB67" i="29"/>
  <c r="AA67" i="29"/>
  <c r="Z67" i="29"/>
  <c r="S67" i="29"/>
  <c r="R67" i="29"/>
  <c r="Q67" i="29"/>
  <c r="P67" i="29"/>
  <c r="O67" i="29"/>
  <c r="N67" i="29"/>
  <c r="ES66" i="29"/>
  <c r="Y66" i="29" s="1"/>
  <c r="EL66" i="29"/>
  <c r="X66" i="29" s="1"/>
  <c r="EE66" i="29"/>
  <c r="W66" i="29" s="1"/>
  <c r="DX66" i="29"/>
  <c r="V66" i="29" s="1"/>
  <c r="DQ66" i="29"/>
  <c r="U66" i="29" s="1"/>
  <c r="DJ66" i="29"/>
  <c r="T66" i="29" s="1"/>
  <c r="AY66" i="29"/>
  <c r="AX66" i="29"/>
  <c r="AW66" i="29"/>
  <c r="AV66" i="29"/>
  <c r="AU66" i="29"/>
  <c r="AT66" i="29"/>
  <c r="AS66" i="29"/>
  <c r="AR66" i="29"/>
  <c r="AQ66" i="29"/>
  <c r="AP66" i="29"/>
  <c r="AO66" i="29"/>
  <c r="AN66" i="29"/>
  <c r="AM66" i="29"/>
  <c r="AL66" i="29"/>
  <c r="AK66" i="29"/>
  <c r="AJ66" i="29"/>
  <c r="AI66" i="29"/>
  <c r="AH66" i="29"/>
  <c r="AG66" i="29"/>
  <c r="AF66" i="29"/>
  <c r="AE66" i="29"/>
  <c r="AD66" i="29"/>
  <c r="AC66" i="29"/>
  <c r="AB66" i="29"/>
  <c r="AA66" i="29"/>
  <c r="Z66" i="29"/>
  <c r="S66" i="29"/>
  <c r="R66" i="29"/>
  <c r="Q66" i="29"/>
  <c r="P66" i="29"/>
  <c r="O66" i="29"/>
  <c r="N66" i="29"/>
  <c r="DX63" i="29"/>
  <c r="V63" i="29" s="1"/>
  <c r="DQ63" i="29"/>
  <c r="U63" i="29" s="1"/>
  <c r="DJ63" i="29"/>
  <c r="T63" i="29" s="1"/>
  <c r="DC63" i="29"/>
  <c r="S63" i="29" s="1"/>
  <c r="CV63" i="29"/>
  <c r="R63" i="29" s="1"/>
  <c r="CO63" i="29"/>
  <c r="Q63" i="29" s="1"/>
  <c r="CH63" i="29"/>
  <c r="P63" i="29" s="1"/>
  <c r="CA63" i="29"/>
  <c r="O63" i="29" s="1"/>
  <c r="BT63" i="29"/>
  <c r="N63" i="29" s="1"/>
  <c r="AY63" i="29"/>
  <c r="AX63" i="29"/>
  <c r="AW63" i="29"/>
  <c r="AV63" i="29"/>
  <c r="AU63" i="29"/>
  <c r="AT63" i="29"/>
  <c r="AS63" i="29"/>
  <c r="AR63" i="29"/>
  <c r="AQ63" i="29"/>
  <c r="AP63" i="29"/>
  <c r="AO63" i="29"/>
  <c r="AN63" i="29"/>
  <c r="AM63" i="29"/>
  <c r="AL63" i="29"/>
  <c r="AK63" i="29"/>
  <c r="AJ63" i="29"/>
  <c r="AI63" i="29"/>
  <c r="AH63" i="29"/>
  <c r="AG63" i="29"/>
  <c r="AF63" i="29"/>
  <c r="AE63" i="29"/>
  <c r="AD63" i="29"/>
  <c r="AC63" i="29"/>
  <c r="AB63" i="29"/>
  <c r="AA63" i="29"/>
  <c r="Z63" i="29"/>
  <c r="Y63" i="29"/>
  <c r="X63" i="29"/>
  <c r="W63" i="29"/>
  <c r="DX62" i="29"/>
  <c r="V62" i="29" s="1"/>
  <c r="DQ62" i="29"/>
  <c r="U62" i="29" s="1"/>
  <c r="DJ62" i="29"/>
  <c r="T62" i="29" s="1"/>
  <c r="DC62" i="29"/>
  <c r="S62" i="29" s="1"/>
  <c r="CV62" i="29"/>
  <c r="R62" i="29" s="1"/>
  <c r="CO62" i="29"/>
  <c r="Q62" i="29" s="1"/>
  <c r="CH62" i="29"/>
  <c r="P62" i="29" s="1"/>
  <c r="CA62" i="29"/>
  <c r="O62" i="29" s="1"/>
  <c r="BT62" i="29"/>
  <c r="N62" i="29" s="1"/>
  <c r="AY62" i="29"/>
  <c r="AX62" i="29"/>
  <c r="AW62" i="29"/>
  <c r="AV62" i="29"/>
  <c r="AU62" i="29"/>
  <c r="AT62" i="29"/>
  <c r="AS62" i="29"/>
  <c r="AR62" i="29"/>
  <c r="AQ62" i="29"/>
  <c r="AP62" i="29"/>
  <c r="AO62" i="29"/>
  <c r="AN62" i="29"/>
  <c r="AM62" i="29"/>
  <c r="AL62" i="29"/>
  <c r="AK62" i="29"/>
  <c r="AJ62" i="29"/>
  <c r="AI62" i="29"/>
  <c r="AH62" i="29"/>
  <c r="AG62" i="29"/>
  <c r="AF62" i="29"/>
  <c r="AE62" i="29"/>
  <c r="AD62" i="29"/>
  <c r="AC62" i="29"/>
  <c r="AB62" i="29"/>
  <c r="AA62" i="29"/>
  <c r="Z62" i="29"/>
  <c r="Y62" i="29"/>
  <c r="X62" i="29"/>
  <c r="W62" i="29"/>
  <c r="DX61" i="29"/>
  <c r="V61" i="29" s="1"/>
  <c r="DQ61" i="29"/>
  <c r="U61" i="29" s="1"/>
  <c r="DJ61" i="29"/>
  <c r="T61" i="29" s="1"/>
  <c r="DC61" i="29"/>
  <c r="S61" i="29" s="1"/>
  <c r="CV61" i="29"/>
  <c r="R61" i="29" s="1"/>
  <c r="CO61" i="29"/>
  <c r="Q61" i="29" s="1"/>
  <c r="CH61" i="29"/>
  <c r="P61" i="29" s="1"/>
  <c r="CA61" i="29"/>
  <c r="O61" i="29" s="1"/>
  <c r="BT61" i="29"/>
  <c r="N61" i="29" s="1"/>
  <c r="AY61" i="29"/>
  <c r="AX61" i="29"/>
  <c r="AW61" i="29"/>
  <c r="AV61" i="29"/>
  <c r="AU61" i="29"/>
  <c r="AT61" i="29"/>
  <c r="AS61" i="29"/>
  <c r="AR61" i="29"/>
  <c r="AQ61" i="29"/>
  <c r="AP61" i="29"/>
  <c r="AO61" i="29"/>
  <c r="AN61" i="29"/>
  <c r="AM61" i="29"/>
  <c r="AL61" i="29"/>
  <c r="AK61" i="29"/>
  <c r="AJ61" i="29"/>
  <c r="AI61" i="29"/>
  <c r="AH61" i="29"/>
  <c r="AG61" i="29"/>
  <c r="AF61" i="29"/>
  <c r="AE61" i="29"/>
  <c r="AD61" i="29"/>
  <c r="AC61" i="29"/>
  <c r="AB61" i="29"/>
  <c r="AA61" i="29"/>
  <c r="Z61" i="29"/>
  <c r="Y61" i="29"/>
  <c r="X61" i="29"/>
  <c r="W61" i="29"/>
  <c r="DX60" i="29"/>
  <c r="V60" i="29" s="1"/>
  <c r="DQ60" i="29"/>
  <c r="U60" i="29" s="1"/>
  <c r="DJ60" i="29"/>
  <c r="T60" i="29" s="1"/>
  <c r="DC60" i="29"/>
  <c r="S60" i="29" s="1"/>
  <c r="CV60" i="29"/>
  <c r="R60" i="29" s="1"/>
  <c r="CO60" i="29"/>
  <c r="Q60" i="29" s="1"/>
  <c r="CH60" i="29"/>
  <c r="P60" i="29" s="1"/>
  <c r="CA60" i="29"/>
  <c r="O60" i="29" s="1"/>
  <c r="BT60" i="29"/>
  <c r="N60" i="29" s="1"/>
  <c r="AY60" i="29"/>
  <c r="AX60" i="29"/>
  <c r="AW60" i="29"/>
  <c r="AV60" i="29"/>
  <c r="AU60" i="29"/>
  <c r="AT60" i="29"/>
  <c r="AS60" i="29"/>
  <c r="AR60" i="29"/>
  <c r="AQ60" i="29"/>
  <c r="AP60" i="29"/>
  <c r="AO60" i="29"/>
  <c r="AN60" i="29"/>
  <c r="AM60" i="29"/>
  <c r="AL60" i="29"/>
  <c r="AK60" i="29"/>
  <c r="AJ60" i="29"/>
  <c r="AI60" i="29"/>
  <c r="AH60" i="29"/>
  <c r="AG60" i="29"/>
  <c r="AF60" i="29"/>
  <c r="AE60" i="29"/>
  <c r="AD60" i="29"/>
  <c r="AC60" i="29"/>
  <c r="AB60" i="29"/>
  <c r="AA60" i="29"/>
  <c r="Z60" i="29"/>
  <c r="Y60" i="29"/>
  <c r="X60" i="29"/>
  <c r="W60" i="29"/>
  <c r="DX59" i="29"/>
  <c r="V59" i="29" s="1"/>
  <c r="DQ59" i="29"/>
  <c r="U59" i="29" s="1"/>
  <c r="DJ59" i="29"/>
  <c r="T59" i="29" s="1"/>
  <c r="DC59" i="29"/>
  <c r="S59" i="29" s="1"/>
  <c r="CV59" i="29"/>
  <c r="R59" i="29" s="1"/>
  <c r="CO59" i="29"/>
  <c r="Q59" i="29" s="1"/>
  <c r="CH59" i="29"/>
  <c r="P59" i="29" s="1"/>
  <c r="CA59" i="29"/>
  <c r="O59" i="29" s="1"/>
  <c r="BT59" i="29"/>
  <c r="N59" i="29" s="1"/>
  <c r="AY59" i="29"/>
  <c r="AX59" i="29"/>
  <c r="AW59" i="29"/>
  <c r="AV59" i="29"/>
  <c r="AU59" i="29"/>
  <c r="AT59" i="29"/>
  <c r="AS59" i="29"/>
  <c r="AR59" i="29"/>
  <c r="AQ59" i="29"/>
  <c r="AP59" i="29"/>
  <c r="AO59" i="29"/>
  <c r="AN59" i="29"/>
  <c r="AM59" i="29"/>
  <c r="AL59" i="29"/>
  <c r="AK59" i="29"/>
  <c r="AJ59" i="29"/>
  <c r="AI59" i="29"/>
  <c r="AH59" i="29"/>
  <c r="AG59" i="29"/>
  <c r="AF59" i="29"/>
  <c r="AE59" i="29"/>
  <c r="AD59" i="29"/>
  <c r="AC59" i="29"/>
  <c r="AB59" i="29"/>
  <c r="AA59" i="29"/>
  <c r="Z59" i="29"/>
  <c r="Y59" i="29"/>
  <c r="X59" i="29"/>
  <c r="W59" i="29"/>
  <c r="FG56" i="29"/>
  <c r="AA56" i="29" s="1"/>
  <c r="EZ56" i="29"/>
  <c r="Z56" i="29" s="1"/>
  <c r="ES56" i="29"/>
  <c r="Y56" i="29" s="1"/>
  <c r="EK56" i="29"/>
  <c r="EJ56" i="29"/>
  <c r="EE56" i="29"/>
  <c r="W56" i="29" s="1"/>
  <c r="DX56" i="29"/>
  <c r="V56" i="29" s="1"/>
  <c r="DQ56" i="29"/>
  <c r="U56" i="29" s="1"/>
  <c r="AY56" i="29"/>
  <c r="AX56" i="29"/>
  <c r="AW56" i="29"/>
  <c r="AV56" i="29"/>
  <c r="AU56" i="29"/>
  <c r="AT56" i="29"/>
  <c r="AS56" i="29"/>
  <c r="AR56" i="29"/>
  <c r="AQ56" i="29"/>
  <c r="AP56" i="29"/>
  <c r="AO56" i="29"/>
  <c r="AN56" i="29"/>
  <c r="AM56" i="29"/>
  <c r="AL56" i="29"/>
  <c r="AK56" i="29"/>
  <c r="AJ56" i="29"/>
  <c r="AI56" i="29"/>
  <c r="AH56" i="29"/>
  <c r="AG56" i="29"/>
  <c r="AF56" i="29"/>
  <c r="AE56" i="29"/>
  <c r="AD56" i="29"/>
  <c r="AC56" i="29"/>
  <c r="AB56" i="29"/>
  <c r="T56" i="29"/>
  <c r="S56" i="29"/>
  <c r="R56" i="29"/>
  <c r="Q56" i="29"/>
  <c r="P56" i="29"/>
  <c r="O56" i="29"/>
  <c r="N56" i="29"/>
  <c r="FG55" i="29"/>
  <c r="AA55" i="29" s="1"/>
  <c r="EZ55" i="29"/>
  <c r="Z55" i="29" s="1"/>
  <c r="ES55" i="29"/>
  <c r="Y55" i="29" s="1"/>
  <c r="EL55" i="29"/>
  <c r="X55" i="29" s="1"/>
  <c r="EE55" i="29"/>
  <c r="W55" i="29" s="1"/>
  <c r="DX55" i="29"/>
  <c r="V55" i="29" s="1"/>
  <c r="DQ55" i="29"/>
  <c r="U55" i="29" s="1"/>
  <c r="DJ55" i="29"/>
  <c r="T55" i="29" s="1"/>
  <c r="DC55" i="29"/>
  <c r="S55" i="29" s="1"/>
  <c r="CV55" i="29"/>
  <c r="R55" i="29" s="1"/>
  <c r="CO55" i="29"/>
  <c r="Q55" i="29" s="1"/>
  <c r="CH55" i="29"/>
  <c r="P55" i="29" s="1"/>
  <c r="CA55" i="29"/>
  <c r="O55" i="29" s="1"/>
  <c r="BT55" i="29"/>
  <c r="N55" i="29" s="1"/>
  <c r="AY55" i="29"/>
  <c r="AX55" i="29"/>
  <c r="AW55" i="29"/>
  <c r="AV55" i="29"/>
  <c r="AU55" i="29"/>
  <c r="AT55" i="29"/>
  <c r="AS55" i="29"/>
  <c r="AR55" i="29"/>
  <c r="AQ55" i="29"/>
  <c r="AP55" i="29"/>
  <c r="AO55" i="29"/>
  <c r="AN55" i="29"/>
  <c r="AM55" i="29"/>
  <c r="AL55" i="29"/>
  <c r="AK55" i="29"/>
  <c r="AJ55" i="29"/>
  <c r="AI55" i="29"/>
  <c r="AH55" i="29"/>
  <c r="AG55" i="29"/>
  <c r="AF55" i="29"/>
  <c r="AE55" i="29"/>
  <c r="AD55" i="29"/>
  <c r="AC55" i="29"/>
  <c r="AB55" i="29"/>
  <c r="FG54" i="29"/>
  <c r="AA54" i="29" s="1"/>
  <c r="EZ54" i="29"/>
  <c r="Z54" i="29" s="1"/>
  <c r="ES54" i="29"/>
  <c r="Y54" i="29" s="1"/>
  <c r="EJ54" i="29"/>
  <c r="EL54" i="29" s="1"/>
  <c r="X54" i="29" s="1"/>
  <c r="EE54" i="29"/>
  <c r="W54" i="29" s="1"/>
  <c r="DX54" i="29"/>
  <c r="V54" i="29" s="1"/>
  <c r="DQ54" i="29"/>
  <c r="U54" i="29" s="1"/>
  <c r="DJ54" i="29"/>
  <c r="T54" i="29" s="1"/>
  <c r="DC54" i="29"/>
  <c r="S54" i="29" s="1"/>
  <c r="CV54" i="29"/>
  <c r="R54" i="29" s="1"/>
  <c r="CO54" i="29"/>
  <c r="Q54" i="29" s="1"/>
  <c r="CH54" i="29"/>
  <c r="P54" i="29" s="1"/>
  <c r="CA54" i="29"/>
  <c r="O54" i="29" s="1"/>
  <c r="BT54" i="29"/>
  <c r="N54" i="29" s="1"/>
  <c r="AY54" i="29"/>
  <c r="AX54" i="29"/>
  <c r="AW54" i="29"/>
  <c r="AV54" i="29"/>
  <c r="AU54" i="29"/>
  <c r="AT54" i="29"/>
  <c r="AS54" i="29"/>
  <c r="AR54" i="29"/>
  <c r="AQ54" i="29"/>
  <c r="AP54" i="29"/>
  <c r="AO54" i="29"/>
  <c r="AN54" i="29"/>
  <c r="AM54" i="29"/>
  <c r="AL54" i="29"/>
  <c r="AK54" i="29"/>
  <c r="AJ54" i="29"/>
  <c r="AI54" i="29"/>
  <c r="AH54" i="29"/>
  <c r="AG54" i="29"/>
  <c r="AF54" i="29"/>
  <c r="AE54" i="29"/>
  <c r="AD54" i="29"/>
  <c r="AC54" i="29"/>
  <c r="AB54" i="29"/>
  <c r="FD53" i="29"/>
  <c r="FG53" i="29" s="1"/>
  <c r="AA53" i="29" s="1"/>
  <c r="EZ53" i="29"/>
  <c r="Z53" i="29" s="1"/>
  <c r="ES53" i="29"/>
  <c r="Y53" i="29" s="1"/>
  <c r="EL53" i="29"/>
  <c r="X53" i="29" s="1"/>
  <c r="EE53" i="29"/>
  <c r="W53" i="29" s="1"/>
  <c r="DX53" i="29"/>
  <c r="V53" i="29" s="1"/>
  <c r="DQ53" i="29"/>
  <c r="U53" i="29" s="1"/>
  <c r="DJ53" i="29"/>
  <c r="T53" i="29" s="1"/>
  <c r="DC53" i="29"/>
  <c r="S53" i="29" s="1"/>
  <c r="CV53" i="29"/>
  <c r="R53" i="29" s="1"/>
  <c r="CO53" i="29"/>
  <c r="Q53" i="29" s="1"/>
  <c r="CH53" i="29"/>
  <c r="P53" i="29" s="1"/>
  <c r="CA53" i="29"/>
  <c r="O53" i="29" s="1"/>
  <c r="BT53" i="29"/>
  <c r="N53" i="29" s="1"/>
  <c r="AY53" i="29"/>
  <c r="AX53" i="29"/>
  <c r="AW53" i="29"/>
  <c r="AV53" i="29"/>
  <c r="AU53" i="29"/>
  <c r="AT53" i="29"/>
  <c r="AS53" i="29"/>
  <c r="AR53" i="29"/>
  <c r="AQ53" i="29"/>
  <c r="AP53" i="29"/>
  <c r="AO53" i="29"/>
  <c r="AN53" i="29"/>
  <c r="AM53" i="29"/>
  <c r="AL53" i="29"/>
  <c r="AK53" i="29"/>
  <c r="AJ53" i="29"/>
  <c r="AI53" i="29"/>
  <c r="AH53" i="29"/>
  <c r="AG53" i="29"/>
  <c r="AF53" i="29"/>
  <c r="AE53" i="29"/>
  <c r="AD53" i="29"/>
  <c r="AC53" i="29"/>
  <c r="AB53" i="29"/>
  <c r="FG52" i="29"/>
  <c r="AA52" i="29" s="1"/>
  <c r="EZ52" i="29"/>
  <c r="Z52" i="29" s="1"/>
  <c r="ES52" i="29"/>
  <c r="Y52" i="29" s="1"/>
  <c r="EL52" i="29"/>
  <c r="X52" i="29" s="1"/>
  <c r="EE52" i="29"/>
  <c r="W52" i="29" s="1"/>
  <c r="DX52" i="29"/>
  <c r="V52" i="29" s="1"/>
  <c r="DQ52" i="29"/>
  <c r="U52" i="29" s="1"/>
  <c r="DJ52" i="29"/>
  <c r="T52" i="29" s="1"/>
  <c r="DC52" i="29"/>
  <c r="S52" i="29" s="1"/>
  <c r="CV52" i="29"/>
  <c r="R52" i="29" s="1"/>
  <c r="CO52" i="29"/>
  <c r="Q52" i="29" s="1"/>
  <c r="CH52" i="29"/>
  <c r="P52" i="29" s="1"/>
  <c r="CA52" i="29"/>
  <c r="O52" i="29" s="1"/>
  <c r="BT52" i="29"/>
  <c r="N52" i="29" s="1"/>
  <c r="AY52" i="29"/>
  <c r="AX52" i="29"/>
  <c r="AW52" i="29"/>
  <c r="AV52" i="29"/>
  <c r="AU52" i="29"/>
  <c r="AT52" i="29"/>
  <c r="AS52" i="29"/>
  <c r="AR52" i="29"/>
  <c r="AQ52" i="29"/>
  <c r="AP52" i="29"/>
  <c r="AO52" i="29"/>
  <c r="AN52" i="29"/>
  <c r="AM52" i="29"/>
  <c r="AL52" i="29"/>
  <c r="AK52" i="29"/>
  <c r="AJ52" i="29"/>
  <c r="AI52" i="29"/>
  <c r="AH52" i="29"/>
  <c r="AG52" i="29"/>
  <c r="AF52" i="29"/>
  <c r="AE52" i="29"/>
  <c r="AD52" i="29"/>
  <c r="AC52" i="29"/>
  <c r="AB52" i="29"/>
  <c r="FD51" i="29"/>
  <c r="FG51" i="29" s="1"/>
  <c r="AA51" i="29" s="1"/>
  <c r="EZ51" i="29"/>
  <c r="Z51" i="29" s="1"/>
  <c r="ES51" i="29"/>
  <c r="Y51" i="29" s="1"/>
  <c r="EL51" i="29"/>
  <c r="X51" i="29" s="1"/>
  <c r="EE51" i="29"/>
  <c r="W51" i="29" s="1"/>
  <c r="DX51" i="29"/>
  <c r="V51" i="29" s="1"/>
  <c r="DQ51" i="29"/>
  <c r="U51" i="29" s="1"/>
  <c r="DH51" i="29"/>
  <c r="DG51" i="29"/>
  <c r="DC51" i="29"/>
  <c r="S51" i="29" s="1"/>
  <c r="CV51" i="29"/>
  <c r="R51" i="29" s="1"/>
  <c r="CO51" i="29"/>
  <c r="Q51" i="29" s="1"/>
  <c r="CH51" i="29"/>
  <c r="P51" i="29" s="1"/>
  <c r="CA51" i="29"/>
  <c r="O51" i="29" s="1"/>
  <c r="BT51" i="29"/>
  <c r="N51" i="29" s="1"/>
  <c r="AY51" i="29"/>
  <c r="AX51" i="29"/>
  <c r="AW51" i="29"/>
  <c r="AV51" i="29"/>
  <c r="AU51" i="29"/>
  <c r="AT51" i="29"/>
  <c r="AS51" i="29"/>
  <c r="AR51" i="29"/>
  <c r="AQ51" i="29"/>
  <c r="AP51" i="29"/>
  <c r="AO51" i="29"/>
  <c r="AN51" i="29"/>
  <c r="AM51" i="29"/>
  <c r="AL51" i="29"/>
  <c r="AK51" i="29"/>
  <c r="AJ51" i="29"/>
  <c r="AI51" i="29"/>
  <c r="AH51" i="29"/>
  <c r="AG51" i="29"/>
  <c r="AF51" i="29"/>
  <c r="AE51" i="29"/>
  <c r="AD51" i="29"/>
  <c r="AC51" i="29"/>
  <c r="AB51" i="29"/>
  <c r="FG50" i="29"/>
  <c r="AA50" i="29" s="1"/>
  <c r="EZ50" i="29"/>
  <c r="Z50" i="29" s="1"/>
  <c r="ES50" i="29"/>
  <c r="Y50" i="29" s="1"/>
  <c r="EL50" i="29"/>
  <c r="X50" i="29" s="1"/>
  <c r="EE50" i="29"/>
  <c r="W50" i="29" s="1"/>
  <c r="DX50" i="29"/>
  <c r="V50" i="29" s="1"/>
  <c r="DQ50" i="29"/>
  <c r="U50" i="29" s="1"/>
  <c r="DH50" i="29"/>
  <c r="DG50" i="29"/>
  <c r="DC50" i="29"/>
  <c r="S50" i="29" s="1"/>
  <c r="CV50" i="29"/>
  <c r="R50" i="29" s="1"/>
  <c r="CL50" i="29"/>
  <c r="CO50" i="29" s="1"/>
  <c r="Q50" i="29" s="1"/>
  <c r="CG50" i="29"/>
  <c r="CH50" i="29" s="1"/>
  <c r="P50" i="29" s="1"/>
  <c r="BW50" i="29"/>
  <c r="CA50" i="29" s="1"/>
  <c r="O50" i="29" s="1"/>
  <c r="BT50" i="29"/>
  <c r="N50" i="29" s="1"/>
  <c r="AY50" i="29"/>
  <c r="AX50" i="29"/>
  <c r="AW50" i="29"/>
  <c r="AV50" i="29"/>
  <c r="AU50" i="29"/>
  <c r="AT50" i="29"/>
  <c r="AS50" i="29"/>
  <c r="AR50" i="29"/>
  <c r="AQ50" i="29"/>
  <c r="AP50" i="29"/>
  <c r="AO50" i="29"/>
  <c r="AN50" i="29"/>
  <c r="AM50" i="29"/>
  <c r="AL50" i="29"/>
  <c r="AK50" i="29"/>
  <c r="AJ50" i="29"/>
  <c r="AI50" i="29"/>
  <c r="AH50" i="29"/>
  <c r="AG50" i="29"/>
  <c r="AF50" i="29"/>
  <c r="AE50" i="29"/>
  <c r="AD50" i="29"/>
  <c r="AC50" i="29"/>
  <c r="AB50" i="29"/>
  <c r="GW47" i="29"/>
  <c r="AG47" i="29" s="1"/>
  <c r="GP47" i="29"/>
  <c r="AF47" i="29" s="1"/>
  <c r="GI47" i="29"/>
  <c r="AE47" i="29" s="1"/>
  <c r="GB47" i="29"/>
  <c r="AD47" i="29" s="1"/>
  <c r="FU47" i="29"/>
  <c r="AC47" i="29" s="1"/>
  <c r="FN47" i="29"/>
  <c r="AB47" i="29" s="1"/>
  <c r="FG47" i="29"/>
  <c r="AA47" i="29" s="1"/>
  <c r="EZ47" i="29"/>
  <c r="Z47" i="29" s="1"/>
  <c r="ES47" i="29"/>
  <c r="Y47" i="29" s="1"/>
  <c r="EL47" i="29"/>
  <c r="X47" i="29" s="1"/>
  <c r="EE47" i="29"/>
  <c r="W47" i="29" s="1"/>
  <c r="DX47" i="29"/>
  <c r="V47" i="29" s="1"/>
  <c r="DQ47" i="29"/>
  <c r="U47" i="29" s="1"/>
  <c r="DJ47" i="29"/>
  <c r="T47" i="29" s="1"/>
  <c r="DC47" i="29"/>
  <c r="S47" i="29" s="1"/>
  <c r="CV47" i="29"/>
  <c r="R47" i="29" s="1"/>
  <c r="CO47" i="29"/>
  <c r="Q47" i="29" s="1"/>
  <c r="AY47" i="29"/>
  <c r="AX47" i="29"/>
  <c r="AW47" i="29"/>
  <c r="AV47" i="29"/>
  <c r="AU47" i="29"/>
  <c r="AT47" i="29"/>
  <c r="AS47" i="29"/>
  <c r="AR47" i="29"/>
  <c r="AQ47" i="29"/>
  <c r="AP47" i="29"/>
  <c r="AO47" i="29"/>
  <c r="AN47" i="29"/>
  <c r="AM47" i="29"/>
  <c r="AL47" i="29"/>
  <c r="AK47" i="29"/>
  <c r="AJ47" i="29"/>
  <c r="AI47" i="29"/>
  <c r="AH47" i="29"/>
  <c r="P47" i="29"/>
  <c r="O47" i="29"/>
  <c r="N47" i="29"/>
  <c r="GW46" i="29"/>
  <c r="AG46" i="29" s="1"/>
  <c r="GP46" i="29"/>
  <c r="AF46" i="29" s="1"/>
  <c r="GI46" i="29"/>
  <c r="AE46" i="29" s="1"/>
  <c r="GB46" i="29"/>
  <c r="AD46" i="29" s="1"/>
  <c r="FU46" i="29"/>
  <c r="AC46" i="29" s="1"/>
  <c r="FN46" i="29"/>
  <c r="AB46" i="29" s="1"/>
  <c r="FG46" i="29"/>
  <c r="AA46" i="29" s="1"/>
  <c r="EZ46" i="29"/>
  <c r="Z46" i="29" s="1"/>
  <c r="ES46" i="29"/>
  <c r="Y46" i="29" s="1"/>
  <c r="EL46" i="29"/>
  <c r="X46" i="29" s="1"/>
  <c r="EE46" i="29"/>
  <c r="W46" i="29" s="1"/>
  <c r="DX46" i="29"/>
  <c r="V46" i="29" s="1"/>
  <c r="DQ46" i="29"/>
  <c r="U46" i="29" s="1"/>
  <c r="DJ46" i="29"/>
  <c r="T46" i="29" s="1"/>
  <c r="DC46" i="29"/>
  <c r="S46" i="29" s="1"/>
  <c r="CV46" i="29"/>
  <c r="R46" i="29" s="1"/>
  <c r="CO46" i="29"/>
  <c r="Q46" i="29" s="1"/>
  <c r="AY46" i="29"/>
  <c r="AX46" i="29"/>
  <c r="AW46" i="29"/>
  <c r="AV46" i="29"/>
  <c r="AU46" i="29"/>
  <c r="AT46" i="29"/>
  <c r="AS46" i="29"/>
  <c r="AR46" i="29"/>
  <c r="AQ46" i="29"/>
  <c r="AP46" i="29"/>
  <c r="AO46" i="29"/>
  <c r="AN46" i="29"/>
  <c r="AM46" i="29"/>
  <c r="AL46" i="29"/>
  <c r="AK46" i="29"/>
  <c r="AJ46" i="29"/>
  <c r="AI46" i="29"/>
  <c r="AH46" i="29"/>
  <c r="P46" i="29"/>
  <c r="O46" i="29"/>
  <c r="N46" i="29"/>
  <c r="GW45" i="29"/>
  <c r="AG45" i="29" s="1"/>
  <c r="GP45" i="29"/>
  <c r="AF45" i="29" s="1"/>
  <c r="GI45" i="29"/>
  <c r="AE45" i="29" s="1"/>
  <c r="GB45" i="29"/>
  <c r="AD45" i="29" s="1"/>
  <c r="FU45" i="29"/>
  <c r="AC45" i="29" s="1"/>
  <c r="FN45" i="29"/>
  <c r="AB45" i="29" s="1"/>
  <c r="FG45" i="29"/>
  <c r="AA45" i="29" s="1"/>
  <c r="EZ45" i="29"/>
  <c r="Z45" i="29" s="1"/>
  <c r="ES45" i="29"/>
  <c r="Y45" i="29" s="1"/>
  <c r="EL45" i="29"/>
  <c r="X45" i="29" s="1"/>
  <c r="EE45" i="29"/>
  <c r="W45" i="29" s="1"/>
  <c r="DX45" i="29"/>
  <c r="V45" i="29" s="1"/>
  <c r="DQ45" i="29"/>
  <c r="U45" i="29" s="1"/>
  <c r="DJ45" i="29"/>
  <c r="T45" i="29" s="1"/>
  <c r="DC45" i="29"/>
  <c r="S45" i="29" s="1"/>
  <c r="CV45" i="29"/>
  <c r="R45" i="29" s="1"/>
  <c r="CO45" i="29"/>
  <c r="Q45" i="29" s="1"/>
  <c r="AY45" i="29"/>
  <c r="AX45" i="29"/>
  <c r="AW45" i="29"/>
  <c r="AV45" i="29"/>
  <c r="AU45" i="29"/>
  <c r="AT45" i="29"/>
  <c r="AS45" i="29"/>
  <c r="AR45" i="29"/>
  <c r="AQ45" i="29"/>
  <c r="AP45" i="29"/>
  <c r="AO45" i="29"/>
  <c r="AN45" i="29"/>
  <c r="AM45" i="29"/>
  <c r="AL45" i="29"/>
  <c r="AK45" i="29"/>
  <c r="AJ45" i="29"/>
  <c r="AI45" i="29"/>
  <c r="AH45" i="29"/>
  <c r="P45" i="29"/>
  <c r="O45" i="29"/>
  <c r="N45" i="29"/>
  <c r="GW44" i="29"/>
  <c r="AG44" i="29" s="1"/>
  <c r="GP44" i="29"/>
  <c r="AF44" i="29" s="1"/>
  <c r="GI44" i="29"/>
  <c r="AE44" i="29" s="1"/>
  <c r="GB44" i="29"/>
  <c r="AD44" i="29" s="1"/>
  <c r="FU44" i="29"/>
  <c r="AC44" i="29" s="1"/>
  <c r="FN44" i="29"/>
  <c r="AB44" i="29" s="1"/>
  <c r="FG44" i="29"/>
  <c r="AA44" i="29" s="1"/>
  <c r="EZ44" i="29"/>
  <c r="Z44" i="29" s="1"/>
  <c r="ES44" i="29"/>
  <c r="Y44" i="29" s="1"/>
  <c r="EL44" i="29"/>
  <c r="X44" i="29" s="1"/>
  <c r="EE44" i="29"/>
  <c r="W44" i="29" s="1"/>
  <c r="DX44" i="29"/>
  <c r="V44" i="29" s="1"/>
  <c r="DQ44" i="29"/>
  <c r="U44" i="29" s="1"/>
  <c r="DJ44" i="29"/>
  <c r="T44" i="29" s="1"/>
  <c r="DC44" i="29"/>
  <c r="S44" i="29" s="1"/>
  <c r="CV44" i="29"/>
  <c r="R44" i="29" s="1"/>
  <c r="CO44" i="29"/>
  <c r="Q44" i="29" s="1"/>
  <c r="AY44" i="29"/>
  <c r="AX44" i="29"/>
  <c r="AW44" i="29"/>
  <c r="AV44" i="29"/>
  <c r="AU44" i="29"/>
  <c r="AT44" i="29"/>
  <c r="AS44" i="29"/>
  <c r="AR44" i="29"/>
  <c r="AQ44" i="29"/>
  <c r="AP44" i="29"/>
  <c r="AO44" i="29"/>
  <c r="AN44" i="29"/>
  <c r="AM44" i="29"/>
  <c r="AL44" i="29"/>
  <c r="AK44" i="29"/>
  <c r="AJ44" i="29"/>
  <c r="AI44" i="29"/>
  <c r="AH44" i="29"/>
  <c r="P44" i="29"/>
  <c r="O44" i="29"/>
  <c r="N44" i="29"/>
  <c r="GW43" i="29"/>
  <c r="AG43" i="29" s="1"/>
  <c r="GP43" i="29"/>
  <c r="AF43" i="29" s="1"/>
  <c r="GI43" i="29"/>
  <c r="AE43" i="29" s="1"/>
  <c r="GB43" i="29"/>
  <c r="AD43" i="29" s="1"/>
  <c r="FU43" i="29"/>
  <c r="AC43" i="29" s="1"/>
  <c r="FN43" i="29"/>
  <c r="AB43" i="29" s="1"/>
  <c r="FG43" i="29"/>
  <c r="AA43" i="29" s="1"/>
  <c r="EZ43" i="29"/>
  <c r="Z43" i="29" s="1"/>
  <c r="ES43" i="29"/>
  <c r="Y43" i="29" s="1"/>
  <c r="EL43" i="29"/>
  <c r="X43" i="29" s="1"/>
  <c r="EE43" i="29"/>
  <c r="W43" i="29" s="1"/>
  <c r="DX43" i="29"/>
  <c r="V43" i="29" s="1"/>
  <c r="DQ43" i="29"/>
  <c r="U43" i="29" s="1"/>
  <c r="DJ43" i="29"/>
  <c r="T43" i="29" s="1"/>
  <c r="DC43" i="29"/>
  <c r="S43" i="29" s="1"/>
  <c r="CV43" i="29"/>
  <c r="R43" i="29" s="1"/>
  <c r="CO43" i="29"/>
  <c r="Q43" i="29" s="1"/>
  <c r="AY43" i="29"/>
  <c r="AX43" i="29"/>
  <c r="AW43" i="29"/>
  <c r="AV43" i="29"/>
  <c r="AU43" i="29"/>
  <c r="AT43" i="29"/>
  <c r="AS43" i="29"/>
  <c r="AR43" i="29"/>
  <c r="AQ43" i="29"/>
  <c r="AP43" i="29"/>
  <c r="AO43" i="29"/>
  <c r="AN43" i="29"/>
  <c r="AM43" i="29"/>
  <c r="AL43" i="29"/>
  <c r="AK43" i="29"/>
  <c r="AJ43" i="29"/>
  <c r="AI43" i="29"/>
  <c r="AH43" i="29"/>
  <c r="P43" i="29"/>
  <c r="O43" i="29"/>
  <c r="N43" i="29"/>
  <c r="GW42" i="29"/>
  <c r="AG42" i="29" s="1"/>
  <c r="GP42" i="29"/>
  <c r="AF42" i="29" s="1"/>
  <c r="GI42" i="29"/>
  <c r="AE42" i="29" s="1"/>
  <c r="GB42" i="29"/>
  <c r="AD42" i="29" s="1"/>
  <c r="FU42" i="29"/>
  <c r="AC42" i="29" s="1"/>
  <c r="FN42" i="29"/>
  <c r="AB42" i="29" s="1"/>
  <c r="FG42" i="29"/>
  <c r="AA42" i="29" s="1"/>
  <c r="EZ42" i="29"/>
  <c r="Z42" i="29" s="1"/>
  <c r="ES42" i="29"/>
  <c r="Y42" i="29" s="1"/>
  <c r="EL42" i="29"/>
  <c r="X42" i="29" s="1"/>
  <c r="EE42" i="29"/>
  <c r="W42" i="29" s="1"/>
  <c r="DX42" i="29"/>
  <c r="V42" i="29" s="1"/>
  <c r="DQ42" i="29"/>
  <c r="U42" i="29" s="1"/>
  <c r="DJ42" i="29"/>
  <c r="T42" i="29" s="1"/>
  <c r="DC42" i="29"/>
  <c r="S42" i="29" s="1"/>
  <c r="CV42" i="29"/>
  <c r="R42" i="29" s="1"/>
  <c r="CO42" i="29"/>
  <c r="Q42" i="29" s="1"/>
  <c r="AY42" i="29"/>
  <c r="AX42" i="29"/>
  <c r="AW42" i="29"/>
  <c r="AV42" i="29"/>
  <c r="AU42" i="29"/>
  <c r="AT42" i="29"/>
  <c r="AS42" i="29"/>
  <c r="AR42" i="29"/>
  <c r="AQ42" i="29"/>
  <c r="AP42" i="29"/>
  <c r="AO42" i="29"/>
  <c r="AN42" i="29"/>
  <c r="AM42" i="29"/>
  <c r="AL42" i="29"/>
  <c r="AK42" i="29"/>
  <c r="AJ42" i="29"/>
  <c r="AI42" i="29"/>
  <c r="AH42" i="29"/>
  <c r="P42" i="29"/>
  <c r="O42" i="29"/>
  <c r="N42" i="29"/>
  <c r="JO39" i="29"/>
  <c r="AQ39" i="29" s="1"/>
  <c r="JH39" i="29"/>
  <c r="AP39" i="29" s="1"/>
  <c r="JA39" i="29"/>
  <c r="AO39" i="29" s="1"/>
  <c r="IT39" i="29"/>
  <c r="AN39" i="29" s="1"/>
  <c r="IM39" i="29"/>
  <c r="AM39" i="29" s="1"/>
  <c r="IF39" i="29"/>
  <c r="AL39" i="29" s="1"/>
  <c r="HY39" i="29"/>
  <c r="AK39" i="29" s="1"/>
  <c r="HR39" i="29"/>
  <c r="AJ39" i="29" s="1"/>
  <c r="HK39" i="29"/>
  <c r="AI39" i="29" s="1"/>
  <c r="HD39" i="29"/>
  <c r="AH39" i="29" s="1"/>
  <c r="GB39" i="29"/>
  <c r="AD39" i="29" s="1"/>
  <c r="FU39" i="29"/>
  <c r="AC39" i="29" s="1"/>
  <c r="FN39" i="29"/>
  <c r="AB39" i="29" s="1"/>
  <c r="FG39" i="29"/>
  <c r="AA39" i="29" s="1"/>
  <c r="EY39" i="29"/>
  <c r="EZ39" i="29" s="1"/>
  <c r="Z39" i="29" s="1"/>
  <c r="EO39" i="29"/>
  <c r="ES39" i="29" s="1"/>
  <c r="Y39" i="29" s="1"/>
  <c r="EL39" i="29"/>
  <c r="X39" i="29" s="1"/>
  <c r="EE39" i="29"/>
  <c r="W39" i="29" s="1"/>
  <c r="DX39" i="29"/>
  <c r="V39" i="29" s="1"/>
  <c r="DQ39" i="29"/>
  <c r="U39" i="29" s="1"/>
  <c r="DJ39" i="29"/>
  <c r="T39" i="29" s="1"/>
  <c r="AY39" i="29"/>
  <c r="AX39" i="29"/>
  <c r="AW39" i="29"/>
  <c r="AV39" i="29"/>
  <c r="AU39" i="29"/>
  <c r="AT39" i="29"/>
  <c r="AS39" i="29"/>
  <c r="AR39" i="29"/>
  <c r="AG39" i="29"/>
  <c r="AF39" i="29"/>
  <c r="AE39" i="29"/>
  <c r="S39" i="29"/>
  <c r="R39" i="29"/>
  <c r="Q39" i="29"/>
  <c r="P39" i="29"/>
  <c r="O39" i="29"/>
  <c r="N39" i="29"/>
  <c r="JO38" i="29"/>
  <c r="AQ38" i="29" s="1"/>
  <c r="JF38" i="29"/>
  <c r="JE38" i="29"/>
  <c r="JD38" i="29"/>
  <c r="AY38" i="29"/>
  <c r="AX38" i="29"/>
  <c r="AW38" i="29"/>
  <c r="AV38" i="29"/>
  <c r="AU38" i="29"/>
  <c r="AT38" i="29"/>
  <c r="AS38" i="29"/>
  <c r="AR38" i="29"/>
  <c r="AO38" i="29"/>
  <c r="AN38" i="29"/>
  <c r="AM38" i="29"/>
  <c r="AL38" i="29"/>
  <c r="AK38" i="29"/>
  <c r="AJ38" i="29"/>
  <c r="AI38" i="29"/>
  <c r="AH38" i="29"/>
  <c r="AG38" i="29"/>
  <c r="AF38" i="29"/>
  <c r="AE38" i="29"/>
  <c r="AD38" i="29"/>
  <c r="AC38" i="29"/>
  <c r="AB38" i="29"/>
  <c r="AA38" i="29"/>
  <c r="Z38" i="29"/>
  <c r="Y38" i="29"/>
  <c r="X38" i="29"/>
  <c r="W38" i="29"/>
  <c r="V38" i="29"/>
  <c r="U38" i="29"/>
  <c r="T38" i="29"/>
  <c r="S38" i="29"/>
  <c r="R38" i="29"/>
  <c r="Q38" i="29"/>
  <c r="P38" i="29"/>
  <c r="O38" i="29"/>
  <c r="N38" i="29"/>
  <c r="JO37" i="29"/>
  <c r="AQ37" i="29" s="1"/>
  <c r="JH37" i="29"/>
  <c r="AP37" i="29" s="1"/>
  <c r="JA37" i="29"/>
  <c r="AO37" i="29" s="1"/>
  <c r="IT37" i="29"/>
  <c r="AN37" i="29" s="1"/>
  <c r="IM37" i="29"/>
  <c r="AM37" i="29" s="1"/>
  <c r="IF37" i="29"/>
  <c r="AL37" i="29" s="1"/>
  <c r="HY37" i="29"/>
  <c r="AK37" i="29" s="1"/>
  <c r="HR37" i="29"/>
  <c r="AJ37" i="29" s="1"/>
  <c r="HK37" i="29"/>
  <c r="AI37" i="29" s="1"/>
  <c r="HD37" i="29"/>
  <c r="AH37" i="29" s="1"/>
  <c r="GW37" i="29"/>
  <c r="AG37" i="29" s="1"/>
  <c r="GP37" i="29"/>
  <c r="AF37" i="29" s="1"/>
  <c r="GI37" i="29"/>
  <c r="AE37" i="29" s="1"/>
  <c r="GB37" i="29"/>
  <c r="AD37" i="29" s="1"/>
  <c r="FU37" i="29"/>
  <c r="AC37" i="29" s="1"/>
  <c r="FN37" i="29"/>
  <c r="AB37" i="29" s="1"/>
  <c r="FG37" i="29"/>
  <c r="AA37" i="29" s="1"/>
  <c r="EZ37" i="29"/>
  <c r="Z37" i="29" s="1"/>
  <c r="ES37" i="29"/>
  <c r="Y37" i="29" s="1"/>
  <c r="EL37" i="29"/>
  <c r="X37" i="29" s="1"/>
  <c r="EE37" i="29"/>
  <c r="W37" i="29" s="1"/>
  <c r="DX37" i="29"/>
  <c r="V37" i="29" s="1"/>
  <c r="DQ37" i="29"/>
  <c r="U37" i="29" s="1"/>
  <c r="DJ37" i="29"/>
  <c r="T37" i="29" s="1"/>
  <c r="DC37" i="29"/>
  <c r="S37" i="29" s="1"/>
  <c r="CV37" i="29"/>
  <c r="R37" i="29" s="1"/>
  <c r="CO37" i="29"/>
  <c r="Q37" i="29" s="1"/>
  <c r="CH37" i="29"/>
  <c r="P37" i="29" s="1"/>
  <c r="CA37" i="29"/>
  <c r="O37" i="29" s="1"/>
  <c r="BT37" i="29"/>
  <c r="N37" i="29" s="1"/>
  <c r="AY37" i="29"/>
  <c r="AX37" i="29"/>
  <c r="AW37" i="29"/>
  <c r="AV37" i="29"/>
  <c r="AU37" i="29"/>
  <c r="AT37" i="29"/>
  <c r="AS37" i="29"/>
  <c r="AR37" i="29"/>
  <c r="JO36" i="29"/>
  <c r="AQ36" i="29" s="1"/>
  <c r="JH36" i="29"/>
  <c r="AP36" i="29" s="1"/>
  <c r="JA36" i="29"/>
  <c r="AO36" i="29" s="1"/>
  <c r="IT36" i="29"/>
  <c r="AN36" i="29" s="1"/>
  <c r="IM36" i="29"/>
  <c r="AM36" i="29" s="1"/>
  <c r="IF36" i="29"/>
  <c r="AL36" i="29" s="1"/>
  <c r="HY36" i="29"/>
  <c r="AK36" i="29" s="1"/>
  <c r="HR36" i="29"/>
  <c r="AJ36" i="29" s="1"/>
  <c r="HK36" i="29"/>
  <c r="AI36" i="29" s="1"/>
  <c r="HD36" i="29"/>
  <c r="AH36" i="29" s="1"/>
  <c r="GW36" i="29"/>
  <c r="AG36" i="29" s="1"/>
  <c r="GP36" i="29"/>
  <c r="AF36" i="29" s="1"/>
  <c r="GI36" i="29"/>
  <c r="AE36" i="29" s="1"/>
  <c r="GB36" i="29"/>
  <c r="AD36" i="29" s="1"/>
  <c r="FU36" i="29"/>
  <c r="AC36" i="29" s="1"/>
  <c r="FN36" i="29"/>
  <c r="AB36" i="29" s="1"/>
  <c r="FG36" i="29"/>
  <c r="AA36" i="29" s="1"/>
  <c r="EZ36" i="29"/>
  <c r="Z36" i="29" s="1"/>
  <c r="ES36" i="29"/>
  <c r="Y36" i="29" s="1"/>
  <c r="EL36" i="29"/>
  <c r="X36" i="29" s="1"/>
  <c r="EE36" i="29"/>
  <c r="W36" i="29" s="1"/>
  <c r="DX36" i="29"/>
  <c r="V36" i="29" s="1"/>
  <c r="DQ36" i="29"/>
  <c r="U36" i="29" s="1"/>
  <c r="DJ36" i="29"/>
  <c r="T36" i="29" s="1"/>
  <c r="DC36" i="29"/>
  <c r="S36" i="29" s="1"/>
  <c r="CV36" i="29"/>
  <c r="R36" i="29" s="1"/>
  <c r="CO36" i="29"/>
  <c r="Q36" i="29" s="1"/>
  <c r="CH36" i="29"/>
  <c r="P36" i="29" s="1"/>
  <c r="CA36" i="29"/>
  <c r="O36" i="29" s="1"/>
  <c r="BT36" i="29"/>
  <c r="N36" i="29" s="1"/>
  <c r="AY36" i="29"/>
  <c r="AX36" i="29"/>
  <c r="AW36" i="29"/>
  <c r="AV36" i="29"/>
  <c r="AU36" i="29"/>
  <c r="AT36" i="29"/>
  <c r="AS36" i="29"/>
  <c r="AR36" i="29"/>
  <c r="JO35" i="29"/>
  <c r="AQ35" i="29" s="1"/>
  <c r="JH35" i="29"/>
  <c r="AP35" i="29" s="1"/>
  <c r="JA35" i="29"/>
  <c r="AO35" i="29" s="1"/>
  <c r="IT35" i="29"/>
  <c r="AN35" i="29" s="1"/>
  <c r="IM35" i="29"/>
  <c r="AM35" i="29" s="1"/>
  <c r="IF35" i="29"/>
  <c r="AL35" i="29" s="1"/>
  <c r="HY35" i="29"/>
  <c r="AK35" i="29" s="1"/>
  <c r="HR35" i="29"/>
  <c r="AJ35" i="29" s="1"/>
  <c r="HK35" i="29"/>
  <c r="AI35" i="29" s="1"/>
  <c r="HD35" i="29"/>
  <c r="AH35" i="29" s="1"/>
  <c r="GW35" i="29"/>
  <c r="AG35" i="29" s="1"/>
  <c r="GP35" i="29"/>
  <c r="AF35" i="29" s="1"/>
  <c r="GI35" i="29"/>
  <c r="AE35" i="29" s="1"/>
  <c r="GB35" i="29"/>
  <c r="AD35" i="29" s="1"/>
  <c r="FU35" i="29"/>
  <c r="AC35" i="29" s="1"/>
  <c r="FN35" i="29"/>
  <c r="AB35" i="29" s="1"/>
  <c r="FG35" i="29"/>
  <c r="AA35" i="29" s="1"/>
  <c r="EZ35" i="29"/>
  <c r="Z35" i="29" s="1"/>
  <c r="ES35" i="29"/>
  <c r="Y35" i="29" s="1"/>
  <c r="EL35" i="29"/>
  <c r="X35" i="29" s="1"/>
  <c r="EE35" i="29"/>
  <c r="W35" i="29" s="1"/>
  <c r="DX35" i="29"/>
  <c r="V35" i="29" s="1"/>
  <c r="DQ35" i="29"/>
  <c r="U35" i="29" s="1"/>
  <c r="DJ35" i="29"/>
  <c r="T35" i="29" s="1"/>
  <c r="DC35" i="29"/>
  <c r="S35" i="29" s="1"/>
  <c r="CV35" i="29"/>
  <c r="R35" i="29" s="1"/>
  <c r="CO35" i="29"/>
  <c r="Q35" i="29" s="1"/>
  <c r="CH35" i="29"/>
  <c r="P35" i="29" s="1"/>
  <c r="CA35" i="29"/>
  <c r="O35" i="29" s="1"/>
  <c r="BT35" i="29"/>
  <c r="N35" i="29" s="1"/>
  <c r="AY35" i="29"/>
  <c r="AX35" i="29"/>
  <c r="AW35" i="29"/>
  <c r="AV35" i="29"/>
  <c r="AU35" i="29"/>
  <c r="AT35" i="29"/>
  <c r="AS35" i="29"/>
  <c r="AR35" i="29"/>
  <c r="JO34" i="29"/>
  <c r="AQ34" i="29" s="1"/>
  <c r="JH34" i="29"/>
  <c r="AP34" i="29" s="1"/>
  <c r="JA34" i="29"/>
  <c r="AO34" i="29" s="1"/>
  <c r="IT34" i="29"/>
  <c r="AN34" i="29" s="1"/>
  <c r="IM34" i="29"/>
  <c r="AM34" i="29" s="1"/>
  <c r="IF34" i="29"/>
  <c r="AL34" i="29" s="1"/>
  <c r="HY34" i="29"/>
  <c r="AK34" i="29" s="1"/>
  <c r="HR34" i="29"/>
  <c r="AJ34" i="29" s="1"/>
  <c r="HK34" i="29"/>
  <c r="AI34" i="29" s="1"/>
  <c r="HD34" i="29"/>
  <c r="AH34" i="29" s="1"/>
  <c r="GW34" i="29"/>
  <c r="AG34" i="29" s="1"/>
  <c r="GP34" i="29"/>
  <c r="AF34" i="29" s="1"/>
  <c r="GI34" i="29"/>
  <c r="AE34" i="29" s="1"/>
  <c r="GB34" i="29"/>
  <c r="AD34" i="29" s="1"/>
  <c r="FU34" i="29"/>
  <c r="AC34" i="29" s="1"/>
  <c r="FN34" i="29"/>
  <c r="AB34" i="29" s="1"/>
  <c r="FG34" i="29"/>
  <c r="AA34" i="29" s="1"/>
  <c r="EZ34" i="29"/>
  <c r="Z34" i="29" s="1"/>
  <c r="ES34" i="29"/>
  <c r="Y34" i="29" s="1"/>
  <c r="EL34" i="29"/>
  <c r="X34" i="29" s="1"/>
  <c r="EE34" i="29"/>
  <c r="W34" i="29" s="1"/>
  <c r="DX34" i="29"/>
  <c r="V34" i="29" s="1"/>
  <c r="DQ34" i="29"/>
  <c r="U34" i="29" s="1"/>
  <c r="DJ34" i="29"/>
  <c r="T34" i="29" s="1"/>
  <c r="DC34" i="29"/>
  <c r="S34" i="29" s="1"/>
  <c r="CV34" i="29"/>
  <c r="R34" i="29" s="1"/>
  <c r="CO34" i="29"/>
  <c r="Q34" i="29" s="1"/>
  <c r="CH34" i="29"/>
  <c r="P34" i="29" s="1"/>
  <c r="CA34" i="29"/>
  <c r="O34" i="29" s="1"/>
  <c r="BT34" i="29"/>
  <c r="N34" i="29" s="1"/>
  <c r="AY34" i="29"/>
  <c r="AX34" i="29"/>
  <c r="AW34" i="29"/>
  <c r="AV34" i="29"/>
  <c r="AU34" i="29"/>
  <c r="AT34" i="29"/>
  <c r="AS34" i="29"/>
  <c r="AR34" i="29"/>
  <c r="JK33" i="29"/>
  <c r="JO33" i="29" s="1"/>
  <c r="AQ33" i="29" s="1"/>
  <c r="JG33" i="29"/>
  <c r="JH33" i="29" s="1"/>
  <c r="AP33" i="29" s="1"/>
  <c r="JA33" i="29"/>
  <c r="AO33" i="29" s="1"/>
  <c r="IT33" i="29"/>
  <c r="AN33" i="29" s="1"/>
  <c r="IM33" i="29"/>
  <c r="AM33" i="29" s="1"/>
  <c r="IC33" i="29"/>
  <c r="IB33" i="29"/>
  <c r="HY33" i="29"/>
  <c r="AK33" i="29" s="1"/>
  <c r="HR33" i="29"/>
  <c r="AJ33" i="29" s="1"/>
  <c r="HH33" i="29"/>
  <c r="HK33" i="29" s="1"/>
  <c r="AI33" i="29" s="1"/>
  <c r="HD33" i="29"/>
  <c r="AH33" i="29" s="1"/>
  <c r="GW33" i="29"/>
  <c r="AG33" i="29" s="1"/>
  <c r="GP33" i="29"/>
  <c r="AF33" i="29" s="1"/>
  <c r="GI33" i="29"/>
  <c r="AE33" i="29" s="1"/>
  <c r="GB33" i="29"/>
  <c r="AD33" i="29" s="1"/>
  <c r="FU33" i="29"/>
  <c r="AC33" i="29" s="1"/>
  <c r="FN33" i="29"/>
  <c r="AB33" i="29" s="1"/>
  <c r="FG33" i="29"/>
  <c r="AA33" i="29" s="1"/>
  <c r="EZ33" i="29"/>
  <c r="Z33" i="29" s="1"/>
  <c r="ES33" i="29"/>
  <c r="Y33" i="29" s="1"/>
  <c r="EL33" i="29"/>
  <c r="X33" i="29" s="1"/>
  <c r="ED33" i="29"/>
  <c r="EE33" i="29" s="1"/>
  <c r="W33" i="29" s="1"/>
  <c r="DX33" i="29"/>
  <c r="V33" i="29" s="1"/>
  <c r="DN33" i="29"/>
  <c r="DQ33" i="29" s="1"/>
  <c r="U33" i="29" s="1"/>
  <c r="DJ33" i="29"/>
  <c r="T33" i="29" s="1"/>
  <c r="DC33" i="29"/>
  <c r="S33" i="29" s="1"/>
  <c r="CV33" i="29"/>
  <c r="R33" i="29" s="1"/>
  <c r="CO33" i="29"/>
  <c r="Q33" i="29" s="1"/>
  <c r="CH33" i="29"/>
  <c r="P33" i="29" s="1"/>
  <c r="CA33" i="29"/>
  <c r="O33" i="29" s="1"/>
  <c r="BT33" i="29"/>
  <c r="N33" i="29" s="1"/>
  <c r="AY33" i="29"/>
  <c r="AX33" i="29"/>
  <c r="AW33" i="29"/>
  <c r="AV33" i="29"/>
  <c r="AU33" i="29"/>
  <c r="AT33" i="29"/>
  <c r="AS33" i="29"/>
  <c r="AR33" i="29"/>
  <c r="JO32" i="29"/>
  <c r="AQ32" i="29" s="1"/>
  <c r="JH32" i="29"/>
  <c r="AP32" i="29" s="1"/>
  <c r="JA32" i="29"/>
  <c r="AO32" i="29" s="1"/>
  <c r="IT32" i="29"/>
  <c r="AN32" i="29" s="1"/>
  <c r="IM32" i="29"/>
  <c r="AM32" i="29" s="1"/>
  <c r="IF32" i="29"/>
  <c r="AL32" i="29" s="1"/>
  <c r="HY32" i="29"/>
  <c r="AK32" i="29" s="1"/>
  <c r="HR32" i="29"/>
  <c r="AJ32" i="29" s="1"/>
  <c r="HK32" i="29"/>
  <c r="AI32" i="29" s="1"/>
  <c r="HD32" i="29"/>
  <c r="AH32" i="29" s="1"/>
  <c r="GW32" i="29"/>
  <c r="AG32" i="29" s="1"/>
  <c r="GP32" i="29"/>
  <c r="AF32" i="29" s="1"/>
  <c r="GI32" i="29"/>
  <c r="AE32" i="29" s="1"/>
  <c r="GB32" i="29"/>
  <c r="AD32" i="29" s="1"/>
  <c r="FU32" i="29"/>
  <c r="AC32" i="29" s="1"/>
  <c r="FN32" i="29"/>
  <c r="AB32" i="29" s="1"/>
  <c r="FG32" i="29"/>
  <c r="AA32" i="29" s="1"/>
  <c r="EZ32" i="29"/>
  <c r="Z32" i="29" s="1"/>
  <c r="ES32" i="29"/>
  <c r="Y32" i="29" s="1"/>
  <c r="EH32" i="29"/>
  <c r="EL32" i="29" s="1"/>
  <c r="X32" i="29" s="1"/>
  <c r="EE32" i="29"/>
  <c r="W32" i="29" s="1"/>
  <c r="DX32" i="29"/>
  <c r="V32" i="29" s="1"/>
  <c r="DQ32" i="29"/>
  <c r="U32" i="29" s="1"/>
  <c r="DJ32" i="29"/>
  <c r="T32" i="29" s="1"/>
  <c r="DC32" i="29"/>
  <c r="S32" i="29" s="1"/>
  <c r="CV32" i="29"/>
  <c r="R32" i="29" s="1"/>
  <c r="CO32" i="29"/>
  <c r="Q32" i="29" s="1"/>
  <c r="CH32" i="29"/>
  <c r="P32" i="29" s="1"/>
  <c r="CA32" i="29"/>
  <c r="O32" i="29" s="1"/>
  <c r="BT32" i="29"/>
  <c r="N32" i="29" s="1"/>
  <c r="AY32" i="29"/>
  <c r="AX32" i="29"/>
  <c r="AW32" i="29"/>
  <c r="AV32" i="29"/>
  <c r="AU32" i="29"/>
  <c r="AT32" i="29"/>
  <c r="AS32" i="29"/>
  <c r="AR32" i="29"/>
  <c r="AC27" i="29"/>
  <c r="AB27" i="29"/>
  <c r="AA27" i="29"/>
  <c r="Z27" i="29"/>
  <c r="Y27" i="29"/>
  <c r="X27" i="29"/>
  <c r="W27" i="29"/>
  <c r="V27" i="29"/>
  <c r="U27" i="29"/>
  <c r="T27" i="29"/>
  <c r="S27" i="29"/>
  <c r="R27" i="29"/>
  <c r="Q27" i="29"/>
  <c r="P27" i="29"/>
  <c r="O27" i="29"/>
  <c r="N27" i="29"/>
  <c r="JY25" i="29"/>
  <c r="JU25" i="29"/>
  <c r="JT25" i="29"/>
  <c r="JR25" i="29"/>
  <c r="JN25" i="29"/>
  <c r="JM25" i="29"/>
  <c r="JL25" i="29"/>
  <c r="JK25" i="29"/>
  <c r="JF25" i="29"/>
  <c r="JE25" i="29"/>
  <c r="IZ25" i="29"/>
  <c r="IY25" i="29"/>
  <c r="IX25" i="29"/>
  <c r="IW25" i="29"/>
  <c r="IS25" i="29"/>
  <c r="IR25" i="29"/>
  <c r="IQ25" i="29"/>
  <c r="IP25" i="29"/>
  <c r="AC25" i="29"/>
  <c r="AB25" i="29"/>
  <c r="AA25" i="29"/>
  <c r="Z25" i="29"/>
  <c r="Y25" i="29"/>
  <c r="X25" i="29"/>
  <c r="W25" i="29"/>
  <c r="V25" i="29"/>
  <c r="U25" i="29"/>
  <c r="T25" i="29"/>
  <c r="S25" i="29"/>
  <c r="R25" i="29"/>
  <c r="Q25" i="29"/>
  <c r="P25" i="29"/>
  <c r="O25" i="29"/>
  <c r="N25" i="29"/>
  <c r="JY24" i="29"/>
  <c r="JU24" i="29"/>
  <c r="JT24" i="29"/>
  <c r="JR24" i="29"/>
  <c r="JN24" i="29"/>
  <c r="JM24" i="29"/>
  <c r="JL24" i="29"/>
  <c r="JK24" i="29"/>
  <c r="JG24" i="29"/>
  <c r="JF24" i="29"/>
  <c r="JE24" i="29"/>
  <c r="JD24" i="29"/>
  <c r="IZ24" i="29"/>
  <c r="IY24" i="29"/>
  <c r="IX24" i="29"/>
  <c r="IW24" i="29"/>
  <c r="IS24" i="29"/>
  <c r="IR24" i="29"/>
  <c r="IQ24" i="29"/>
  <c r="IP24" i="29"/>
  <c r="AC24" i="29"/>
  <c r="AB24" i="29"/>
  <c r="AA24" i="29"/>
  <c r="Z24" i="29"/>
  <c r="Y24" i="29"/>
  <c r="X24" i="29"/>
  <c r="W24" i="29"/>
  <c r="V24" i="29"/>
  <c r="U24" i="29"/>
  <c r="T24" i="29"/>
  <c r="S24" i="29"/>
  <c r="R24" i="29"/>
  <c r="Q24" i="29"/>
  <c r="P24" i="29"/>
  <c r="O24" i="29"/>
  <c r="N24" i="29"/>
  <c r="JY23" i="29"/>
  <c r="JU23" i="29"/>
  <c r="JT23" i="29"/>
  <c r="JR23" i="29"/>
  <c r="JN23" i="29"/>
  <c r="JM23" i="29"/>
  <c r="JL23" i="29"/>
  <c r="JK23" i="29"/>
  <c r="JG23" i="29"/>
  <c r="JF23" i="29"/>
  <c r="JE23" i="29"/>
  <c r="JD23" i="29"/>
  <c r="IZ23" i="29"/>
  <c r="IY23" i="29"/>
  <c r="IX23" i="29"/>
  <c r="IW23" i="29"/>
  <c r="IS23" i="29"/>
  <c r="IR23" i="29"/>
  <c r="IQ23" i="29"/>
  <c r="IP23" i="29"/>
  <c r="AC23" i="29"/>
  <c r="AB23" i="29"/>
  <c r="AA23" i="29"/>
  <c r="Z23" i="29"/>
  <c r="Y23" i="29"/>
  <c r="X23" i="29"/>
  <c r="W23" i="29"/>
  <c r="V23" i="29"/>
  <c r="U23" i="29"/>
  <c r="T23" i="29"/>
  <c r="S23" i="29"/>
  <c r="R23" i="29"/>
  <c r="Q23" i="29"/>
  <c r="P23" i="29"/>
  <c r="O23" i="29"/>
  <c r="N23" i="29"/>
  <c r="JY22" i="29"/>
  <c r="JU22" i="29"/>
  <c r="JT22" i="29"/>
  <c r="JR22" i="29"/>
  <c r="JN22" i="29"/>
  <c r="JM22" i="29"/>
  <c r="JL22" i="29"/>
  <c r="JK22" i="29"/>
  <c r="JG22" i="29"/>
  <c r="JF22" i="29"/>
  <c r="JE22" i="29"/>
  <c r="JD22" i="29"/>
  <c r="IZ22" i="29"/>
  <c r="IY22" i="29"/>
  <c r="IX22" i="29"/>
  <c r="IW22" i="29"/>
  <c r="IS22" i="29"/>
  <c r="IR22" i="29"/>
  <c r="IQ22" i="29"/>
  <c r="IP22" i="29"/>
  <c r="AC22" i="29"/>
  <c r="AB22" i="29"/>
  <c r="AA22" i="29"/>
  <c r="Z22" i="29"/>
  <c r="Y22" i="29"/>
  <c r="X22" i="29"/>
  <c r="W22" i="29"/>
  <c r="V22" i="29"/>
  <c r="U22" i="29"/>
  <c r="T22" i="29"/>
  <c r="S22" i="29"/>
  <c r="R22" i="29"/>
  <c r="Q22" i="29"/>
  <c r="P22" i="29"/>
  <c r="O22" i="29"/>
  <c r="N22" i="29"/>
  <c r="JY21" i="29"/>
  <c r="JU21" i="29"/>
  <c r="JT21" i="29"/>
  <c r="JR21" i="29"/>
  <c r="JN21" i="29"/>
  <c r="JM21" i="29"/>
  <c r="JL21" i="29"/>
  <c r="JK21" i="29"/>
  <c r="JG21" i="29"/>
  <c r="JF21" i="29"/>
  <c r="JE21" i="29"/>
  <c r="JD21" i="29"/>
  <c r="IZ21" i="29"/>
  <c r="IY21" i="29"/>
  <c r="IX21" i="29"/>
  <c r="IW21" i="29"/>
  <c r="IS21" i="29"/>
  <c r="IR21" i="29"/>
  <c r="IQ21" i="29"/>
  <c r="IP21" i="29"/>
  <c r="AC21" i="29"/>
  <c r="AB21" i="29"/>
  <c r="AA21" i="29"/>
  <c r="Z21" i="29"/>
  <c r="Y21" i="29"/>
  <c r="X21" i="29"/>
  <c r="W21" i="29"/>
  <c r="V21" i="29"/>
  <c r="U21" i="29"/>
  <c r="T21" i="29"/>
  <c r="S21" i="29"/>
  <c r="R21" i="29"/>
  <c r="Q21" i="29"/>
  <c r="P21" i="29"/>
  <c r="O21" i="29"/>
  <c r="N21" i="29"/>
  <c r="JY20" i="29"/>
  <c r="JU20" i="29"/>
  <c r="JT20" i="29"/>
  <c r="JR20" i="29"/>
  <c r="JN20" i="29"/>
  <c r="JM20" i="29"/>
  <c r="JL20" i="29"/>
  <c r="JK20" i="29"/>
  <c r="JG20" i="29"/>
  <c r="JF20" i="29"/>
  <c r="JE20" i="29"/>
  <c r="JD20" i="29"/>
  <c r="IZ20" i="29"/>
  <c r="IY20" i="29"/>
  <c r="IX20" i="29"/>
  <c r="IW20" i="29"/>
  <c r="IS20" i="29"/>
  <c r="IR20" i="29"/>
  <c r="IQ20" i="29"/>
  <c r="IP20" i="29"/>
  <c r="AC20" i="29"/>
  <c r="AB20" i="29"/>
  <c r="AA20" i="29"/>
  <c r="Z20" i="29"/>
  <c r="Y20" i="29"/>
  <c r="X20" i="29"/>
  <c r="W20" i="29"/>
  <c r="V20" i="29"/>
  <c r="U20" i="29"/>
  <c r="T20" i="29"/>
  <c r="S20" i="29"/>
  <c r="R20" i="29"/>
  <c r="Q20" i="29"/>
  <c r="P20" i="29"/>
  <c r="O20" i="29"/>
  <c r="N20" i="29"/>
  <c r="JY19" i="29"/>
  <c r="JU19" i="29"/>
  <c r="JT19" i="29"/>
  <c r="JR19" i="29"/>
  <c r="JN19" i="29"/>
  <c r="JM19" i="29"/>
  <c r="JL19" i="29"/>
  <c r="JK19" i="29"/>
  <c r="JG19" i="29"/>
  <c r="JF19" i="29"/>
  <c r="JE19" i="29"/>
  <c r="JD19" i="29"/>
  <c r="IZ19" i="29"/>
  <c r="IY19" i="29"/>
  <c r="IX19" i="29"/>
  <c r="IW19" i="29"/>
  <c r="IS19" i="29"/>
  <c r="IR19" i="29"/>
  <c r="IQ19" i="29"/>
  <c r="IP19" i="29"/>
  <c r="AC19" i="29"/>
  <c r="AB19" i="29"/>
  <c r="AA19" i="29"/>
  <c r="Z19" i="29"/>
  <c r="Y19" i="29"/>
  <c r="X19" i="29"/>
  <c r="W19" i="29"/>
  <c r="V19" i="29"/>
  <c r="U19" i="29"/>
  <c r="T19" i="29"/>
  <c r="S19" i="29"/>
  <c r="R19" i="29"/>
  <c r="Q19" i="29"/>
  <c r="P19" i="29"/>
  <c r="O19" i="29"/>
  <c r="N19" i="29"/>
  <c r="AY17" i="29"/>
  <c r="AX17" i="29"/>
  <c r="AV17" i="29"/>
  <c r="AU17" i="29"/>
  <c r="AT17" i="29"/>
  <c r="AS17" i="29"/>
  <c r="AR17" i="29"/>
  <c r="AQ17" i="29"/>
  <c r="AO17" i="29"/>
  <c r="AM17" i="29"/>
  <c r="AL17" i="29"/>
  <c r="AK17" i="29"/>
  <c r="AJ17" i="29"/>
  <c r="AI17" i="29"/>
  <c r="AH17" i="29"/>
  <c r="AG17" i="29"/>
  <c r="AF17" i="29"/>
  <c r="AE17" i="29"/>
  <c r="AC17" i="29"/>
  <c r="AB17" i="29"/>
  <c r="AA17" i="29"/>
  <c r="Z17" i="29"/>
  <c r="Y17" i="29"/>
  <c r="X17" i="29"/>
  <c r="W17" i="29"/>
  <c r="V17" i="29"/>
  <c r="T17" i="29"/>
  <c r="S17" i="29"/>
  <c r="R17" i="29"/>
  <c r="Q17" i="29"/>
  <c r="P17" i="29"/>
  <c r="O17" i="29"/>
  <c r="BT17" i="29"/>
  <c r="N17" i="29" s="1"/>
  <c r="BS17" i="29"/>
  <c r="BR17" i="29"/>
  <c r="BQ17" i="29"/>
  <c r="AW17" i="29"/>
  <c r="AP17" i="29"/>
  <c r="AN17" i="29"/>
  <c r="AD17" i="29"/>
  <c r="U17" i="29"/>
  <c r="BS16" i="29"/>
  <c r="BR16" i="29"/>
  <c r="BQ16" i="29"/>
  <c r="KW13" i="29"/>
  <c r="KV13" i="29"/>
  <c r="KU13" i="29"/>
  <c r="KT13" i="29"/>
  <c r="KW12" i="29"/>
  <c r="KV12" i="29"/>
  <c r="KU12" i="29"/>
  <c r="KT12" i="29"/>
  <c r="KW11" i="29"/>
  <c r="KV11" i="29"/>
  <c r="KU11" i="29"/>
  <c r="KT11" i="29"/>
  <c r="KW10" i="29"/>
  <c r="KV10" i="29"/>
  <c r="KU10" i="29"/>
  <c r="KT10" i="29"/>
  <c r="KW9" i="29"/>
  <c r="KV9" i="29"/>
  <c r="KU9" i="29"/>
  <c r="KT9" i="29"/>
  <c r="KW8" i="29"/>
  <c r="KV8" i="29"/>
  <c r="KU8" i="29"/>
  <c r="KT8" i="29"/>
  <c r="KW7" i="29"/>
  <c r="KV7" i="29"/>
  <c r="KU7" i="29"/>
  <c r="KT7" i="29"/>
  <c r="KP13" i="29"/>
  <c r="KO13" i="29"/>
  <c r="KM13" i="29"/>
  <c r="KP12" i="29"/>
  <c r="KO12" i="29"/>
  <c r="KN12" i="29"/>
  <c r="KM12" i="29"/>
  <c r="KP11" i="29"/>
  <c r="KO11" i="29"/>
  <c r="KN11" i="29"/>
  <c r="KM11" i="29"/>
  <c r="KP10" i="29"/>
  <c r="KO10" i="29"/>
  <c r="KN10" i="29"/>
  <c r="KM10" i="29"/>
  <c r="KP9" i="29"/>
  <c r="KO9" i="29"/>
  <c r="KN9" i="29"/>
  <c r="KM9" i="29"/>
  <c r="KP8" i="29"/>
  <c r="KO8" i="29"/>
  <c r="KN8" i="29"/>
  <c r="KM8" i="29"/>
  <c r="KP7" i="29"/>
  <c r="KO7" i="29"/>
  <c r="KN7" i="29"/>
  <c r="KM7" i="29"/>
  <c r="KI13" i="29"/>
  <c r="KH13" i="29"/>
  <c r="KF13" i="29"/>
  <c r="KI12" i="29"/>
  <c r="KH12" i="29"/>
  <c r="KG12" i="29"/>
  <c r="KF12" i="29"/>
  <c r="KI11" i="29"/>
  <c r="KH11" i="29"/>
  <c r="KG11" i="29"/>
  <c r="KF11" i="29"/>
  <c r="KI10" i="29"/>
  <c r="KH10" i="29"/>
  <c r="KG10" i="29"/>
  <c r="KF10" i="29"/>
  <c r="KI9" i="29"/>
  <c r="KH9" i="29"/>
  <c r="KG9" i="29"/>
  <c r="KF9" i="29"/>
  <c r="KI8" i="29"/>
  <c r="KH8" i="29"/>
  <c r="KG8" i="29"/>
  <c r="KF8" i="29"/>
  <c r="KI7" i="29"/>
  <c r="KH7" i="29"/>
  <c r="KG7" i="29"/>
  <c r="KF7" i="29"/>
  <c r="KB13" i="29"/>
  <c r="KA13" i="29"/>
  <c r="JZ13" i="29"/>
  <c r="JY13" i="29"/>
  <c r="KB12" i="29"/>
  <c r="KA12" i="29"/>
  <c r="JZ12" i="29"/>
  <c r="JY12" i="29"/>
  <c r="KB11" i="29"/>
  <c r="KA11" i="29"/>
  <c r="JZ11" i="29"/>
  <c r="JY11" i="29"/>
  <c r="KB10" i="29"/>
  <c r="KA10" i="29"/>
  <c r="JZ10" i="29"/>
  <c r="JY10" i="29"/>
  <c r="KB9" i="29"/>
  <c r="KA9" i="29"/>
  <c r="JZ9" i="29"/>
  <c r="JY9" i="29"/>
  <c r="KB8" i="29"/>
  <c r="KA8" i="29"/>
  <c r="JZ8" i="29"/>
  <c r="JY8" i="29"/>
  <c r="KB7" i="29"/>
  <c r="KA7" i="29"/>
  <c r="JZ7" i="29"/>
  <c r="JY7" i="29"/>
  <c r="JU13" i="29"/>
  <c r="JT13" i="29"/>
  <c r="JS13" i="29"/>
  <c r="JR13" i="29"/>
  <c r="JU12" i="29"/>
  <c r="JT12" i="29"/>
  <c r="JS12" i="29"/>
  <c r="JR12" i="29"/>
  <c r="JU11" i="29"/>
  <c r="JT11" i="29"/>
  <c r="JS11" i="29"/>
  <c r="JR11" i="29"/>
  <c r="JU10" i="29"/>
  <c r="JT10" i="29"/>
  <c r="JS10" i="29"/>
  <c r="JR10" i="29"/>
  <c r="JU9" i="29"/>
  <c r="JT9" i="29"/>
  <c r="JS9" i="29"/>
  <c r="JR9" i="29"/>
  <c r="JU8" i="29"/>
  <c r="JT8" i="29"/>
  <c r="JS8" i="29"/>
  <c r="JR8" i="29"/>
  <c r="JU7" i="29"/>
  <c r="JT7" i="29"/>
  <c r="JS7" i="29"/>
  <c r="JR7" i="29"/>
  <c r="JN13" i="29"/>
  <c r="JM13" i="29"/>
  <c r="JL13" i="29"/>
  <c r="JK13" i="29"/>
  <c r="JN12" i="29"/>
  <c r="JM12" i="29"/>
  <c r="JL12" i="29"/>
  <c r="JK12" i="29"/>
  <c r="JN11" i="29"/>
  <c r="JM11" i="29"/>
  <c r="JL11" i="29"/>
  <c r="JK11" i="29"/>
  <c r="JN10" i="29"/>
  <c r="JM10" i="29"/>
  <c r="JL10" i="29"/>
  <c r="JK10" i="29"/>
  <c r="JN9" i="29"/>
  <c r="JM9" i="29"/>
  <c r="JL9" i="29"/>
  <c r="JK9" i="29"/>
  <c r="JN8" i="29"/>
  <c r="JM8" i="29"/>
  <c r="JL8" i="29"/>
  <c r="JK8" i="29"/>
  <c r="JN7" i="29"/>
  <c r="JM7" i="29"/>
  <c r="JL7" i="29"/>
  <c r="JK7" i="29"/>
  <c r="JF13" i="29"/>
  <c r="JE13" i="29"/>
  <c r="JG12" i="29"/>
  <c r="JF12" i="29"/>
  <c r="JE12" i="29"/>
  <c r="JD12" i="29"/>
  <c r="JG11" i="29"/>
  <c r="JF11" i="29"/>
  <c r="JE11" i="29"/>
  <c r="JD11" i="29"/>
  <c r="JG10" i="29"/>
  <c r="JF10" i="29"/>
  <c r="JE10" i="29"/>
  <c r="JD10" i="29"/>
  <c r="JG9" i="29"/>
  <c r="JF9" i="29"/>
  <c r="JE9" i="29"/>
  <c r="JD9" i="29"/>
  <c r="JG8" i="29"/>
  <c r="JF8" i="29"/>
  <c r="JE8" i="29"/>
  <c r="JD8" i="29"/>
  <c r="JG7" i="29"/>
  <c r="JF7" i="29"/>
  <c r="JE7" i="29"/>
  <c r="JD7" i="29"/>
  <c r="IZ13" i="29"/>
  <c r="IY13" i="29"/>
  <c r="IX13" i="29"/>
  <c r="IW13" i="29"/>
  <c r="IZ12" i="29"/>
  <c r="IY12" i="29"/>
  <c r="IX12" i="29"/>
  <c r="IW12" i="29"/>
  <c r="IZ11" i="29"/>
  <c r="IY11" i="29"/>
  <c r="IX11" i="29"/>
  <c r="IW11" i="29"/>
  <c r="IZ10" i="29"/>
  <c r="IY10" i="29"/>
  <c r="IX10" i="29"/>
  <c r="IW10" i="29"/>
  <c r="IZ9" i="29"/>
  <c r="IY9" i="29"/>
  <c r="IX9" i="29"/>
  <c r="IW9" i="29"/>
  <c r="IZ8" i="29"/>
  <c r="IY8" i="29"/>
  <c r="IX8" i="29"/>
  <c r="IW8" i="29"/>
  <c r="IZ7" i="29"/>
  <c r="IY7" i="29"/>
  <c r="IX7" i="29"/>
  <c r="IW7" i="29"/>
  <c r="IS13" i="29"/>
  <c r="IR13" i="29"/>
  <c r="IQ13" i="29"/>
  <c r="IP13" i="29"/>
  <c r="IS12" i="29"/>
  <c r="IR12" i="29"/>
  <c r="IQ12" i="29"/>
  <c r="IP12" i="29"/>
  <c r="IS11" i="29"/>
  <c r="IR11" i="29"/>
  <c r="IQ11" i="29"/>
  <c r="IP11" i="29"/>
  <c r="IS10" i="29"/>
  <c r="IR10" i="29"/>
  <c r="IQ10" i="29"/>
  <c r="IP10" i="29"/>
  <c r="IS9" i="29"/>
  <c r="IR9" i="29"/>
  <c r="IQ9" i="29"/>
  <c r="IP9" i="29"/>
  <c r="IS8" i="29"/>
  <c r="IR8" i="29"/>
  <c r="IQ8" i="29"/>
  <c r="IP8" i="29"/>
  <c r="IS7" i="29"/>
  <c r="IR7" i="29"/>
  <c r="IQ7" i="29"/>
  <c r="IP7" i="29"/>
  <c r="IL13" i="29"/>
  <c r="IK13" i="29"/>
  <c r="IJ13" i="29"/>
  <c r="II13" i="29"/>
  <c r="IL12" i="29"/>
  <c r="IK12" i="29"/>
  <c r="IJ12" i="29"/>
  <c r="II12" i="29"/>
  <c r="IL11" i="29"/>
  <c r="IK11" i="29"/>
  <c r="IJ11" i="29"/>
  <c r="II11" i="29"/>
  <c r="IL10" i="29"/>
  <c r="IK10" i="29"/>
  <c r="IJ10" i="29"/>
  <c r="II10" i="29"/>
  <c r="IL9" i="29"/>
  <c r="IK9" i="29"/>
  <c r="IJ9" i="29"/>
  <c r="II9" i="29"/>
  <c r="IL8" i="29"/>
  <c r="IK8" i="29"/>
  <c r="IJ8" i="29"/>
  <c r="II8" i="29"/>
  <c r="IL7" i="29"/>
  <c r="IK7" i="29"/>
  <c r="IJ7" i="29"/>
  <c r="II7" i="29"/>
  <c r="IE13" i="29"/>
  <c r="ID13" i="29"/>
  <c r="IC13" i="29"/>
  <c r="IB13" i="29"/>
  <c r="IE12" i="29"/>
  <c r="ID12" i="29"/>
  <c r="IC12" i="29"/>
  <c r="IB12" i="29"/>
  <c r="IE11" i="29"/>
  <c r="ID11" i="29"/>
  <c r="IC11" i="29"/>
  <c r="IB11" i="29"/>
  <c r="IE10" i="29"/>
  <c r="ID10" i="29"/>
  <c r="IC10" i="29"/>
  <c r="IB10" i="29"/>
  <c r="IE9" i="29"/>
  <c r="ID9" i="29"/>
  <c r="IC9" i="29"/>
  <c r="IB9" i="29"/>
  <c r="IE8" i="29"/>
  <c r="ID8" i="29"/>
  <c r="IC8" i="29"/>
  <c r="IB8" i="29"/>
  <c r="IE7" i="29"/>
  <c r="ID7" i="29"/>
  <c r="IC7" i="29"/>
  <c r="IB7" i="29"/>
  <c r="HX13" i="29"/>
  <c r="HW13" i="29"/>
  <c r="HV13" i="29"/>
  <c r="HU13" i="29"/>
  <c r="HX12" i="29"/>
  <c r="HW12" i="29"/>
  <c r="HV12" i="29"/>
  <c r="HU12" i="29"/>
  <c r="HX11" i="29"/>
  <c r="HW11" i="29"/>
  <c r="HV11" i="29"/>
  <c r="HU11" i="29"/>
  <c r="HX10" i="29"/>
  <c r="HW10" i="29"/>
  <c r="HV10" i="29"/>
  <c r="HU10" i="29"/>
  <c r="HX9" i="29"/>
  <c r="HW9" i="29"/>
  <c r="HV9" i="29"/>
  <c r="HU9" i="29"/>
  <c r="HX8" i="29"/>
  <c r="HW8" i="29"/>
  <c r="HV8" i="29"/>
  <c r="HU8" i="29"/>
  <c r="HX7" i="29"/>
  <c r="HW7" i="29"/>
  <c r="HV7" i="29"/>
  <c r="HU7" i="29"/>
  <c r="HQ13" i="29"/>
  <c r="HP13" i="29"/>
  <c r="HO13" i="29"/>
  <c r="HN13" i="29"/>
  <c r="HQ12" i="29"/>
  <c r="HP12" i="29"/>
  <c r="HO12" i="29"/>
  <c r="HN12" i="29"/>
  <c r="HQ11" i="29"/>
  <c r="HP11" i="29"/>
  <c r="HO11" i="29"/>
  <c r="HN11" i="29"/>
  <c r="HQ10" i="29"/>
  <c r="HP10" i="29"/>
  <c r="HO10" i="29"/>
  <c r="HN10" i="29"/>
  <c r="HQ9" i="29"/>
  <c r="HP9" i="29"/>
  <c r="HO9" i="29"/>
  <c r="HN9" i="29"/>
  <c r="HQ8" i="29"/>
  <c r="HP8" i="29"/>
  <c r="HO8" i="29"/>
  <c r="HN8" i="29"/>
  <c r="HQ7" i="29"/>
  <c r="HP7" i="29"/>
  <c r="HO7" i="29"/>
  <c r="HN7" i="29"/>
  <c r="HJ13" i="29"/>
  <c r="HI13" i="29"/>
  <c r="HH13" i="29"/>
  <c r="HG13" i="29"/>
  <c r="HJ12" i="29"/>
  <c r="HI12" i="29"/>
  <c r="HH12" i="29"/>
  <c r="HG12" i="29"/>
  <c r="HJ11" i="29"/>
  <c r="HI11" i="29"/>
  <c r="HH11" i="29"/>
  <c r="HG11" i="29"/>
  <c r="HJ10" i="29"/>
  <c r="HI10" i="29"/>
  <c r="HH10" i="29"/>
  <c r="HG10" i="29"/>
  <c r="HJ9" i="29"/>
  <c r="HI9" i="29"/>
  <c r="HH9" i="29"/>
  <c r="HG9" i="29"/>
  <c r="HJ8" i="29"/>
  <c r="HI8" i="29"/>
  <c r="HH8" i="29"/>
  <c r="HG8" i="29"/>
  <c r="HJ7" i="29"/>
  <c r="HI7" i="29"/>
  <c r="HH7" i="29"/>
  <c r="HG7" i="29"/>
  <c r="HC13" i="29"/>
  <c r="HB13" i="29"/>
  <c r="HA13" i="29"/>
  <c r="GZ13" i="29"/>
  <c r="HC12" i="29"/>
  <c r="HB12" i="29"/>
  <c r="HA12" i="29"/>
  <c r="GZ12" i="29"/>
  <c r="HC11" i="29"/>
  <c r="HB11" i="29"/>
  <c r="HA11" i="29"/>
  <c r="GZ11" i="29"/>
  <c r="HC10" i="29"/>
  <c r="HB10" i="29"/>
  <c r="HA10" i="29"/>
  <c r="GZ10" i="29"/>
  <c r="HC9" i="29"/>
  <c r="HB9" i="29"/>
  <c r="HA9" i="29"/>
  <c r="GZ9" i="29"/>
  <c r="HC8" i="29"/>
  <c r="HB8" i="29"/>
  <c r="HA8" i="29"/>
  <c r="GZ8" i="29"/>
  <c r="HC7" i="29"/>
  <c r="HB7" i="29"/>
  <c r="HA7" i="29"/>
  <c r="GZ7" i="29"/>
  <c r="GO13" i="29"/>
  <c r="GN13" i="29"/>
  <c r="GM13" i="29"/>
  <c r="GL13" i="29"/>
  <c r="GG13" i="29"/>
  <c r="GF13" i="29"/>
  <c r="GE13" i="29"/>
  <c r="MC37" i="30" l="1"/>
  <c r="ME37" i="30"/>
  <c r="MG34" i="30"/>
  <c r="MF37" i="30"/>
  <c r="DJ233" i="30"/>
  <c r="GP233" i="30"/>
  <c r="JV233" i="30"/>
  <c r="CH223" i="30"/>
  <c r="CH226" i="30" s="1"/>
  <c r="FN223" i="30"/>
  <c r="FN226" i="30" s="1"/>
  <c r="IT223" i="30"/>
  <c r="IT226" i="30" s="1"/>
  <c r="GT114" i="29"/>
  <c r="HJ114" i="29"/>
  <c r="IB114" i="29"/>
  <c r="IR114" i="29"/>
  <c r="JZ114" i="29"/>
  <c r="KP114" i="29"/>
  <c r="LO118" i="29"/>
  <c r="JY114" i="29"/>
  <c r="GE114" i="29"/>
  <c r="GU114" i="29"/>
  <c r="IC114" i="29"/>
  <c r="IS114" i="29"/>
  <c r="JK114" i="29"/>
  <c r="KA114" i="29"/>
  <c r="LP118" i="29"/>
  <c r="KO114" i="29"/>
  <c r="GF114" i="29"/>
  <c r="GV114" i="29"/>
  <c r="HN114" i="29"/>
  <c r="ID114" i="29"/>
  <c r="JL114" i="29"/>
  <c r="KB114" i="29"/>
  <c r="KT114" i="29"/>
  <c r="LQ118" i="29"/>
  <c r="GG114" i="29"/>
  <c r="HO114" i="29"/>
  <c r="IE114" i="29"/>
  <c r="IW114" i="29"/>
  <c r="JM114" i="29"/>
  <c r="KU114" i="29"/>
  <c r="LR118" i="29"/>
  <c r="GH114" i="29"/>
  <c r="GZ114" i="29"/>
  <c r="HP114" i="29"/>
  <c r="IX114" i="29"/>
  <c r="JN114" i="29"/>
  <c r="KF114" i="29"/>
  <c r="KV114" i="29"/>
  <c r="HA114" i="29"/>
  <c r="HQ114" i="29"/>
  <c r="II114" i="29"/>
  <c r="IY114" i="29"/>
  <c r="KG114" i="29"/>
  <c r="KW114" i="29"/>
  <c r="GL114" i="29"/>
  <c r="HB114" i="29"/>
  <c r="IJ114" i="29"/>
  <c r="IZ114" i="29"/>
  <c r="JR114" i="29"/>
  <c r="KH114" i="29"/>
  <c r="IQ114" i="29"/>
  <c r="GM114" i="29"/>
  <c r="HC114" i="29"/>
  <c r="HU114" i="29"/>
  <c r="IK114" i="29"/>
  <c r="JS114" i="29"/>
  <c r="KI114" i="29"/>
  <c r="GS114" i="29"/>
  <c r="GN114" i="29"/>
  <c r="HV114" i="29"/>
  <c r="IL114" i="29"/>
  <c r="JD114" i="29"/>
  <c r="JT114" i="29"/>
  <c r="JG114" i="29"/>
  <c r="GO114" i="29"/>
  <c r="HG114" i="29"/>
  <c r="HW114" i="29"/>
  <c r="JE114" i="29"/>
  <c r="JU114" i="29"/>
  <c r="KM114" i="29"/>
  <c r="HI114" i="29"/>
  <c r="HH114" i="29"/>
  <c r="HX114" i="29"/>
  <c r="IP114" i="29"/>
  <c r="JF114" i="29"/>
  <c r="KN114" i="29"/>
  <c r="LE106" i="30"/>
  <c r="LA295" i="30"/>
  <c r="LB295" i="30"/>
  <c r="LA152" i="30"/>
  <c r="LB152" i="30"/>
  <c r="LC152" i="30"/>
  <c r="LD152" i="30"/>
  <c r="CS131" i="30"/>
  <c r="JA223" i="30"/>
  <c r="LZ34" i="30"/>
  <c r="LV37" i="30"/>
  <c r="BQ233" i="30"/>
  <c r="BX234" i="30" s="1"/>
  <c r="LX37" i="30"/>
  <c r="LY37" i="30"/>
  <c r="LY93" i="1"/>
  <c r="LZ78" i="1"/>
  <c r="LZ81" i="1" s="1"/>
  <c r="LX60" i="1"/>
  <c r="LQ133" i="29"/>
  <c r="LX133" i="29" s="1"/>
  <c r="ME133" i="29" s="1"/>
  <c r="LC134" i="29"/>
  <c r="GO108" i="29"/>
  <c r="GN108" i="29" s="1"/>
  <c r="GM108" i="29" s="1"/>
  <c r="GL108" i="29" s="1"/>
  <c r="EY307" i="30"/>
  <c r="KX133" i="29"/>
  <c r="AV133" i="29" s="1"/>
  <c r="DB307" i="30"/>
  <c r="GH351" i="30"/>
  <c r="FT307" i="30"/>
  <c r="DP307" i="30"/>
  <c r="DW307" i="30"/>
  <c r="HH323" i="30"/>
  <c r="IX323" i="30"/>
  <c r="KN323" i="30"/>
  <c r="EK307" i="30"/>
  <c r="FF307" i="30"/>
  <c r="DI307" i="30"/>
  <c r="ER307" i="30"/>
  <c r="GH322" i="30"/>
  <c r="HC322" i="30"/>
  <c r="GA307" i="30"/>
  <c r="ED307" i="30"/>
  <c r="FM307" i="30"/>
  <c r="LP133" i="29"/>
  <c r="LW133" i="29" s="1"/>
  <c r="MD133" i="29" s="1"/>
  <c r="LB134" i="29"/>
  <c r="N5" i="30"/>
  <c r="M5" i="30" s="1"/>
  <c r="L5" i="30" s="1"/>
  <c r="K5" i="30" s="1"/>
  <c r="J5" i="30" s="1"/>
  <c r="I5" i="30" s="1"/>
  <c r="H5" i="30" s="1"/>
  <c r="G5" i="30" s="1"/>
  <c r="F5" i="30" s="1"/>
  <c r="E5" i="30" s="1"/>
  <c r="D5" i="30" s="1"/>
  <c r="BT166" i="30"/>
  <c r="N166" i="30" s="1"/>
  <c r="Y203" i="30"/>
  <c r="Y206" i="30" s="1"/>
  <c r="JD243" i="30"/>
  <c r="JD246" i="30" s="1"/>
  <c r="KT243" i="30"/>
  <c r="HK203" i="30"/>
  <c r="GN307" i="30"/>
  <c r="GN351" i="30"/>
  <c r="GO307" i="30"/>
  <c r="GO351" i="30"/>
  <c r="HG307" i="30"/>
  <c r="HG351" i="30"/>
  <c r="HH307" i="30"/>
  <c r="HH351" i="30"/>
  <c r="KU307" i="30"/>
  <c r="LB306" i="30"/>
  <c r="GE307" i="30"/>
  <c r="GE351" i="30"/>
  <c r="GU307" i="30"/>
  <c r="GU351" i="30"/>
  <c r="GF307" i="30"/>
  <c r="GF351" i="30"/>
  <c r="GV307" i="30"/>
  <c r="GV351" i="30"/>
  <c r="GG307" i="30"/>
  <c r="GG351" i="30"/>
  <c r="AA203" i="30"/>
  <c r="AA206" i="30" s="1"/>
  <c r="DJ213" i="30"/>
  <c r="IK243" i="30"/>
  <c r="JF243" i="30"/>
  <c r="JF246" i="30" s="1"/>
  <c r="KA243" i="30"/>
  <c r="KA246" i="30" s="1"/>
  <c r="KV243" i="30"/>
  <c r="KV246" i="30" s="1"/>
  <c r="HA307" i="30"/>
  <c r="HA351" i="30"/>
  <c r="GL307" i="30"/>
  <c r="GL351" i="30"/>
  <c r="HB307" i="30"/>
  <c r="HB351" i="30"/>
  <c r="DX129" i="30"/>
  <c r="V129" i="30" s="1"/>
  <c r="GM307" i="30"/>
  <c r="GM351" i="30"/>
  <c r="HC307" i="30"/>
  <c r="HC351" i="30"/>
  <c r="GI183" i="30"/>
  <c r="GI186" i="30" s="1"/>
  <c r="FU193" i="30"/>
  <c r="FU196" i="30" s="1"/>
  <c r="GI114" i="29"/>
  <c r="AE114" i="29" s="1"/>
  <c r="JO114" i="29"/>
  <c r="AQ114" i="29" s="1"/>
  <c r="BR203" i="30"/>
  <c r="BY204" i="30" s="1"/>
  <c r="AL74" i="30"/>
  <c r="AL220" i="30" s="1"/>
  <c r="KC253" i="30"/>
  <c r="BS203" i="30"/>
  <c r="BS206" i="30" s="1"/>
  <c r="BZ207" i="30" s="1"/>
  <c r="BP213" i="30"/>
  <c r="BP216" i="30" s="1"/>
  <c r="BW217" i="30" s="1"/>
  <c r="M126" i="30"/>
  <c r="M321" i="30" s="1"/>
  <c r="IR243" i="30"/>
  <c r="IR246" i="30" s="1"/>
  <c r="JM243" i="30"/>
  <c r="JM246" i="30" s="1"/>
  <c r="KH243" i="30"/>
  <c r="HG323" i="30"/>
  <c r="CV129" i="30"/>
  <c r="R129" i="30" s="1"/>
  <c r="DX213" i="30"/>
  <c r="DX216" i="30" s="1"/>
  <c r="KJ213" i="30"/>
  <c r="KJ216" i="30" s="1"/>
  <c r="GH323" i="30"/>
  <c r="HC323" i="30"/>
  <c r="HX323" i="30"/>
  <c r="JN323" i="30"/>
  <c r="CV193" i="30"/>
  <c r="CV196" i="30" s="1"/>
  <c r="GB193" i="30"/>
  <c r="JH193" i="30"/>
  <c r="JH196" i="30" s="1"/>
  <c r="IQ243" i="30"/>
  <c r="IQ246" i="30" s="1"/>
  <c r="JL243" i="30"/>
  <c r="JL246" i="30" s="1"/>
  <c r="HD253" i="30"/>
  <c r="HD256" i="30" s="1"/>
  <c r="KJ253" i="30"/>
  <c r="KJ256" i="30" s="1"/>
  <c r="BR253" i="30"/>
  <c r="BR256" i="30" s="1"/>
  <c r="BY257" i="30" s="1"/>
  <c r="CA253" i="30"/>
  <c r="BQ263" i="30"/>
  <c r="BX264" i="30" s="1"/>
  <c r="DX203" i="30"/>
  <c r="CV173" i="30"/>
  <c r="JH173" i="30"/>
  <c r="BS213" i="30"/>
  <c r="BZ214" i="30" s="1"/>
  <c r="BQ223" i="30"/>
  <c r="BX224" i="30" s="1"/>
  <c r="EL223" i="30"/>
  <c r="KX223" i="30"/>
  <c r="LE224" i="30" s="1"/>
  <c r="BS253" i="30"/>
  <c r="BS256" i="30" s="1"/>
  <c r="BZ257" i="30" s="1"/>
  <c r="CO183" i="30"/>
  <c r="FL183" i="30"/>
  <c r="FL184" i="30" s="1"/>
  <c r="KX183" i="30"/>
  <c r="LE184" i="30" s="1"/>
  <c r="BR223" i="30"/>
  <c r="BY224" i="30" s="1"/>
  <c r="ES223" i="30"/>
  <c r="HY223" i="30"/>
  <c r="JO203" i="30"/>
  <c r="BS223" i="30"/>
  <c r="BZ224" i="30" s="1"/>
  <c r="GN126" i="30"/>
  <c r="ID243" i="30"/>
  <c r="ID246" i="30" s="1"/>
  <c r="JT243" i="30"/>
  <c r="JT246" i="30" s="1"/>
  <c r="DQ183" i="30"/>
  <c r="DQ186" i="30" s="1"/>
  <c r="BS193" i="30"/>
  <c r="BZ194" i="30" s="1"/>
  <c r="IF193" i="30"/>
  <c r="Z203" i="30"/>
  <c r="IJ243" i="30"/>
  <c r="IJ246" i="30" s="1"/>
  <c r="JE243" i="30"/>
  <c r="JZ243" i="30"/>
  <c r="LP35" i="30"/>
  <c r="CH80" i="29"/>
  <c r="P80" i="29" s="1"/>
  <c r="BQ173" i="30"/>
  <c r="BX174" i="30" s="1"/>
  <c r="CH173" i="30"/>
  <c r="DJ173" i="30"/>
  <c r="GP173" i="30"/>
  <c r="JV173" i="30"/>
  <c r="BS183" i="30"/>
  <c r="BZ184" i="30" s="1"/>
  <c r="CA193" i="30"/>
  <c r="DC193" i="30"/>
  <c r="GI193" i="30"/>
  <c r="IM193" i="30"/>
  <c r="JO193" i="30"/>
  <c r="P285" i="30"/>
  <c r="FN80" i="29"/>
  <c r="AB80" i="29" s="1"/>
  <c r="GP253" i="30"/>
  <c r="KJ263" i="30"/>
  <c r="AH74" i="30"/>
  <c r="AH220" i="30" s="1"/>
  <c r="AB285" i="30"/>
  <c r="AB305" i="30"/>
  <c r="CA203" i="30"/>
  <c r="DC203" i="30"/>
  <c r="DX233" i="30"/>
  <c r="DX236" i="30" s="1"/>
  <c r="HD233" i="30"/>
  <c r="KJ233" i="30"/>
  <c r="LU29" i="1"/>
  <c r="AY29" i="1" s="1"/>
  <c r="JO289" i="30"/>
  <c r="JO290" i="30" s="1"/>
  <c r="AQ290" i="30" s="1"/>
  <c r="IF33" i="29"/>
  <c r="AL33" i="29" s="1"/>
  <c r="AI80" i="29"/>
  <c r="AN305" i="30"/>
  <c r="LU33" i="1"/>
  <c r="AY33" i="1" s="1"/>
  <c r="CV80" i="29"/>
  <c r="R80" i="29" s="1"/>
  <c r="IP243" i="30"/>
  <c r="CO203" i="30"/>
  <c r="BQ213" i="30"/>
  <c r="BX214" i="30" s="1"/>
  <c r="EL213" i="30"/>
  <c r="HR213" i="30"/>
  <c r="KX213" i="30"/>
  <c r="LE214" i="30" s="1"/>
  <c r="S100" i="29"/>
  <c r="EC31" i="30"/>
  <c r="EC37" i="30" s="1"/>
  <c r="HD114" i="29"/>
  <c r="AH114" i="29" s="1"/>
  <c r="BP233" i="30"/>
  <c r="BW234" i="30" s="1"/>
  <c r="KQ263" i="30"/>
  <c r="ES173" i="30"/>
  <c r="ES80" i="29"/>
  <c r="Y80" i="29" s="1"/>
  <c r="R70" i="30"/>
  <c r="R180" i="30" s="1"/>
  <c r="IC243" i="30"/>
  <c r="IC246" i="30" s="1"/>
  <c r="JS243" i="30"/>
  <c r="KN243" i="30"/>
  <c r="KN246" i="30" s="1"/>
  <c r="CV183" i="30"/>
  <c r="CV186" i="30" s="1"/>
  <c r="FM183" i="30"/>
  <c r="FM184" i="30" s="1"/>
  <c r="CA80" i="29"/>
  <c r="O80" i="29" s="1"/>
  <c r="FQ183" i="30"/>
  <c r="FQ184" i="30" s="1"/>
  <c r="DJ183" i="30"/>
  <c r="DJ186" i="30" s="1"/>
  <c r="KC203" i="30"/>
  <c r="KC206" i="30" s="1"/>
  <c r="BS233" i="30"/>
  <c r="BZ234" i="30" s="1"/>
  <c r="BS263" i="30"/>
  <c r="BS266" i="30" s="1"/>
  <c r="BZ267" i="30" s="1"/>
  <c r="IF263" i="30"/>
  <c r="IF266" i="30" s="1"/>
  <c r="KJ203" i="30"/>
  <c r="CA233" i="30"/>
  <c r="FG233" i="30"/>
  <c r="IM233" i="30"/>
  <c r="JA253" i="30"/>
  <c r="JA256" i="30" s="1"/>
  <c r="CA263" i="30"/>
  <c r="FG263" i="30"/>
  <c r="IM263" i="30"/>
  <c r="EZ134" i="30"/>
  <c r="Z134" i="30" s="1"/>
  <c r="CH233" i="30"/>
  <c r="CH236" i="30" s="1"/>
  <c r="X100" i="29"/>
  <c r="AQ113" i="29"/>
  <c r="JT134" i="29"/>
  <c r="GP134" i="29"/>
  <c r="AF134" i="29" s="1"/>
  <c r="HH134" i="29"/>
  <c r="HX134" i="29"/>
  <c r="IP134" i="29"/>
  <c r="LN33" i="1"/>
  <c r="AX33" i="1" s="1"/>
  <c r="ID89" i="29"/>
  <c r="JT89" i="29"/>
  <c r="LO133" i="29"/>
  <c r="LV133" i="29" s="1"/>
  <c r="MC133" i="29" s="1"/>
  <c r="LA134" i="29"/>
  <c r="DC181" i="30"/>
  <c r="IF181" i="30"/>
  <c r="KC201" i="30"/>
  <c r="FN211" i="30"/>
  <c r="AR74" i="30"/>
  <c r="AR220" i="30" s="1"/>
  <c r="HD221" i="30"/>
  <c r="CO231" i="30"/>
  <c r="FU231" i="30"/>
  <c r="AG74" i="30"/>
  <c r="AG220" i="30" s="1"/>
  <c r="IM221" i="30"/>
  <c r="KQ191" i="30"/>
  <c r="HD251" i="30"/>
  <c r="JH251" i="30"/>
  <c r="DJ261" i="30"/>
  <c r="GP261" i="30"/>
  <c r="GB183" i="30"/>
  <c r="HD183" i="30"/>
  <c r="KJ183" i="30"/>
  <c r="EL193" i="30"/>
  <c r="HR193" i="30"/>
  <c r="KX193" i="30"/>
  <c r="LE194" i="30" s="1"/>
  <c r="AB203" i="30"/>
  <c r="AB206" i="30" s="1"/>
  <c r="JV203" i="30"/>
  <c r="JV206" i="30" s="1"/>
  <c r="BR213" i="30"/>
  <c r="BY214" i="30" s="1"/>
  <c r="DQ213" i="30"/>
  <c r="FU213" i="30"/>
  <c r="GW213" i="30"/>
  <c r="GW216" i="30" s="1"/>
  <c r="JA213" i="30"/>
  <c r="KC213" i="30"/>
  <c r="KC216" i="30" s="1"/>
  <c r="BP223" i="30"/>
  <c r="BW224" i="30" s="1"/>
  <c r="CA223" i="30"/>
  <c r="BR233" i="30"/>
  <c r="BY234" i="30" s="1"/>
  <c r="CO233" i="30"/>
  <c r="CO236" i="30" s="1"/>
  <c r="FU233" i="30"/>
  <c r="FU236" i="30" s="1"/>
  <c r="JA233" i="30"/>
  <c r="JA236" i="30" s="1"/>
  <c r="IL243" i="30"/>
  <c r="IL246" i="30" s="1"/>
  <c r="IS243" i="30"/>
  <c r="IS246" i="30" s="1"/>
  <c r="JU243" i="30"/>
  <c r="JU246" i="30" s="1"/>
  <c r="KB243" i="30"/>
  <c r="KI243" i="30"/>
  <c r="KP243" i="30"/>
  <c r="KW243" i="30"/>
  <c r="KW246" i="30" s="1"/>
  <c r="BQ253" i="30"/>
  <c r="BQ256" i="30" s="1"/>
  <c r="BX257" i="30" s="1"/>
  <c r="GI253" i="30"/>
  <c r="BR263" i="30"/>
  <c r="BR266" i="30" s="1"/>
  <c r="BY267" i="30" s="1"/>
  <c r="AC201" i="30"/>
  <c r="DX211" i="30"/>
  <c r="HD211" i="30"/>
  <c r="KJ211" i="30"/>
  <c r="AQ74" i="30"/>
  <c r="AQ220" i="30" s="1"/>
  <c r="GW221" i="30"/>
  <c r="EE231" i="30"/>
  <c r="CL243" i="30"/>
  <c r="CL246" i="30" s="1"/>
  <c r="CZ243" i="30"/>
  <c r="CZ246" i="30" s="1"/>
  <c r="DN243" i="30"/>
  <c r="DN246" i="30" s="1"/>
  <c r="EB243" i="30"/>
  <c r="FD243" i="30"/>
  <c r="FD246" i="30" s="1"/>
  <c r="GE243" i="30"/>
  <c r="GE246" i="30" s="1"/>
  <c r="GS243" i="30"/>
  <c r="HG243" i="30"/>
  <c r="HU243" i="30"/>
  <c r="HU246" i="30" s="1"/>
  <c r="HR251" i="30"/>
  <c r="IT251" i="30"/>
  <c r="KX250" i="30"/>
  <c r="KX251" i="30" s="1"/>
  <c r="LE105" i="30"/>
  <c r="KT307" i="30"/>
  <c r="LA306" i="30"/>
  <c r="KX190" i="30"/>
  <c r="LE97" i="30"/>
  <c r="JV261" i="30"/>
  <c r="DJ181" i="30"/>
  <c r="DQ191" i="30"/>
  <c r="Z74" i="30"/>
  <c r="Z220" i="30" s="1"/>
  <c r="AP74" i="30"/>
  <c r="AP220" i="30" s="1"/>
  <c r="CH221" i="30"/>
  <c r="FN221" i="30"/>
  <c r="JV221" i="30"/>
  <c r="AS75" i="30"/>
  <c r="AS230" i="30" s="1"/>
  <c r="AG85" i="30"/>
  <c r="AG250" i="30" s="1"/>
  <c r="CU155" i="29"/>
  <c r="LG33" i="1"/>
  <c r="AW33" i="1" s="1"/>
  <c r="JF134" i="29"/>
  <c r="HC134" i="29"/>
  <c r="IK134" i="29"/>
  <c r="JS134" i="29"/>
  <c r="GF134" i="29"/>
  <c r="GM134" i="29"/>
  <c r="HU134" i="29"/>
  <c r="KM134" i="29"/>
  <c r="GN134" i="29"/>
  <c r="HV134" i="29"/>
  <c r="JD134" i="29"/>
  <c r="KO134" i="29"/>
  <c r="AI9" i="30"/>
  <c r="HK173" i="30"/>
  <c r="S13" i="30"/>
  <c r="DC213" i="30"/>
  <c r="AC14" i="30"/>
  <c r="FU223" i="30"/>
  <c r="GI118" i="30"/>
  <c r="AE118" i="30" s="1"/>
  <c r="GI200" i="30"/>
  <c r="GI203" i="30"/>
  <c r="AP73" i="30"/>
  <c r="AP210" i="30" s="1"/>
  <c r="JH210" i="30"/>
  <c r="AP86" i="30"/>
  <c r="AP260" i="30" s="1"/>
  <c r="JH260" i="30"/>
  <c r="JO261" i="30" s="1"/>
  <c r="AB9" i="30"/>
  <c r="FN173" i="30"/>
  <c r="HR115" i="30"/>
  <c r="AJ115" i="30" s="1"/>
  <c r="HR173" i="30"/>
  <c r="V10" i="30"/>
  <c r="DX183" i="30"/>
  <c r="AG10" i="30"/>
  <c r="GW183" i="30"/>
  <c r="AO10" i="30"/>
  <c r="JA183" i="30"/>
  <c r="AA11" i="30"/>
  <c r="FG193" i="30"/>
  <c r="AI11" i="30"/>
  <c r="HK193" i="30"/>
  <c r="AB13" i="30"/>
  <c r="FN213" i="30"/>
  <c r="AR13" i="30"/>
  <c r="JV213" i="30"/>
  <c r="DX120" i="30"/>
  <c r="V120" i="30" s="1"/>
  <c r="DX223" i="30"/>
  <c r="AD14" i="30"/>
  <c r="GB223" i="30"/>
  <c r="AL14" i="30"/>
  <c r="IF223" i="30"/>
  <c r="KJ120" i="30"/>
  <c r="AT120" i="30" s="1"/>
  <c r="KJ223" i="30"/>
  <c r="X15" i="30"/>
  <c r="EL233" i="30"/>
  <c r="AN15" i="30"/>
  <c r="IT233" i="30"/>
  <c r="AV15" i="30"/>
  <c r="KX233" i="30"/>
  <c r="AD26" i="30"/>
  <c r="GB253" i="30"/>
  <c r="GB256" i="30" s="1"/>
  <c r="AL26" i="30"/>
  <c r="IF253" i="30"/>
  <c r="P27" i="30"/>
  <c r="CH263" i="30"/>
  <c r="X27" i="30"/>
  <c r="EL263" i="30"/>
  <c r="AF27" i="30"/>
  <c r="GP263" i="30"/>
  <c r="AN27" i="30"/>
  <c r="IT263" i="30"/>
  <c r="AV27" i="30"/>
  <c r="KX263" i="30"/>
  <c r="CA170" i="30"/>
  <c r="CA240" i="30"/>
  <c r="EE240" i="30"/>
  <c r="EE170" i="30"/>
  <c r="GI240" i="30"/>
  <c r="GI170" i="30"/>
  <c r="IM170" i="30"/>
  <c r="IM240" i="30"/>
  <c r="AU69" i="30"/>
  <c r="KQ240" i="30"/>
  <c r="KQ170" i="30"/>
  <c r="Q70" i="30"/>
  <c r="Q180" i="30" s="1"/>
  <c r="CO180" i="30"/>
  <c r="CV181" i="30" s="1"/>
  <c r="ES181" i="30"/>
  <c r="FZ96" i="30"/>
  <c r="FS240" i="30"/>
  <c r="FS180" i="30"/>
  <c r="AJ70" i="30"/>
  <c r="AJ180" i="30" s="1"/>
  <c r="HR180" i="30"/>
  <c r="HY181" i="30" s="1"/>
  <c r="JV181" i="30"/>
  <c r="CV191" i="30"/>
  <c r="Z71" i="30"/>
  <c r="Z190" i="30" s="1"/>
  <c r="EZ190" i="30"/>
  <c r="HD191" i="30"/>
  <c r="JH191" i="30"/>
  <c r="S72" i="30"/>
  <c r="S200" i="30" s="1"/>
  <c r="DC200" i="30"/>
  <c r="GP118" i="30"/>
  <c r="GP200" i="30"/>
  <c r="GP203" i="30"/>
  <c r="AN72" i="30"/>
  <c r="AN200" i="30" s="1"/>
  <c r="IT200" i="30"/>
  <c r="AV72" i="30"/>
  <c r="KX200" i="30"/>
  <c r="S73" i="30"/>
  <c r="S210" i="30" s="1"/>
  <c r="DC210" i="30"/>
  <c r="DC211" i="30" s="1"/>
  <c r="FG211" i="30"/>
  <c r="AI73" i="30"/>
  <c r="AI210" i="30" s="1"/>
  <c r="HK210" i="30"/>
  <c r="HK211" i="30" s="1"/>
  <c r="AQ73" i="30"/>
  <c r="AQ210" i="30" s="1"/>
  <c r="JO210" i="30"/>
  <c r="V74" i="30"/>
  <c r="V220" i="30" s="1"/>
  <c r="DX220" i="30"/>
  <c r="AT74" i="30"/>
  <c r="AT220" i="30" s="1"/>
  <c r="KJ220" i="30"/>
  <c r="X75" i="30"/>
  <c r="X230" i="30" s="1"/>
  <c r="EL230" i="30"/>
  <c r="EL231" i="30" s="1"/>
  <c r="AF75" i="30"/>
  <c r="AF230" i="30" s="1"/>
  <c r="GP230" i="30"/>
  <c r="GP231" i="30" s="1"/>
  <c r="AN75" i="30"/>
  <c r="AN230" i="30" s="1"/>
  <c r="IT230" i="30"/>
  <c r="AV75" i="30"/>
  <c r="KX230" i="30"/>
  <c r="CM243" i="30"/>
  <c r="CM246" i="30" s="1"/>
  <c r="DA243" i="30"/>
  <c r="DA246" i="30" s="1"/>
  <c r="DO243" i="30"/>
  <c r="DO246" i="30" s="1"/>
  <c r="EC243" i="30"/>
  <c r="EC246" i="30" s="1"/>
  <c r="EQ243" i="30"/>
  <c r="EQ246" i="30" s="1"/>
  <c r="GF243" i="30"/>
  <c r="GT243" i="30"/>
  <c r="GT246" i="30" s="1"/>
  <c r="HH243" i="30"/>
  <c r="HH246" i="30" s="1"/>
  <c r="HV243" i="30"/>
  <c r="HV246" i="30" s="1"/>
  <c r="AK85" i="30"/>
  <c r="AK250" i="30" s="1"/>
  <c r="HY250" i="30"/>
  <c r="HY251" i="30" s="1"/>
  <c r="AS85" i="30"/>
  <c r="AS250" i="30" s="1"/>
  <c r="KC250" i="30"/>
  <c r="KJ251" i="30" s="1"/>
  <c r="DC261" i="30"/>
  <c r="AA86" i="30"/>
  <c r="AA260" i="30" s="1"/>
  <c r="FG260" i="30"/>
  <c r="AI86" i="30"/>
  <c r="AI260" i="30" s="1"/>
  <c r="HK260" i="30"/>
  <c r="HR261" i="30" s="1"/>
  <c r="Z11" i="30"/>
  <c r="EZ193" i="30"/>
  <c r="EL118" i="30"/>
  <c r="EL203" i="30"/>
  <c r="AQ13" i="30"/>
  <c r="JO213" i="30"/>
  <c r="AK26" i="30"/>
  <c r="HY253" i="30"/>
  <c r="GB240" i="30"/>
  <c r="GB170" i="30"/>
  <c r="P70" i="30"/>
  <c r="P180" i="30" s="1"/>
  <c r="CH180" i="30"/>
  <c r="U74" i="30"/>
  <c r="U220" i="30" s="1"/>
  <c r="DQ220" i="30"/>
  <c r="DQ221" i="30" s="1"/>
  <c r="U9" i="30"/>
  <c r="DQ173" i="30"/>
  <c r="FU115" i="30"/>
  <c r="AC115" i="30" s="1"/>
  <c r="FU173" i="30"/>
  <c r="AK9" i="30"/>
  <c r="HY173" i="30"/>
  <c r="AS9" i="30"/>
  <c r="KC173" i="30"/>
  <c r="W10" i="30"/>
  <c r="EE183" i="30"/>
  <c r="AP10" i="30"/>
  <c r="JH183" i="30"/>
  <c r="T11" i="30"/>
  <c r="DJ193" i="30"/>
  <c r="AB11" i="30"/>
  <c r="FN193" i="30"/>
  <c r="AR11" i="30"/>
  <c r="JV193" i="30"/>
  <c r="CV203" i="30"/>
  <c r="AJ12" i="30"/>
  <c r="HR203" i="30"/>
  <c r="AK13" i="30"/>
  <c r="HY213" i="30"/>
  <c r="W14" i="30"/>
  <c r="EE223" i="30"/>
  <c r="AE14" i="30"/>
  <c r="GI223" i="30"/>
  <c r="AM14" i="30"/>
  <c r="IM223" i="30"/>
  <c r="AU14" i="30"/>
  <c r="KQ223" i="30"/>
  <c r="Y15" i="30"/>
  <c r="ES233" i="30"/>
  <c r="AG15" i="30"/>
  <c r="GW233" i="30"/>
  <c r="IE31" i="30"/>
  <c r="IE243" i="30"/>
  <c r="IE246" i="30" s="1"/>
  <c r="JG31" i="30"/>
  <c r="JG243" i="30"/>
  <c r="IM131" i="30"/>
  <c r="AM131" i="30" s="1"/>
  <c r="IM253" i="30"/>
  <c r="AU26" i="30"/>
  <c r="KQ253" i="30"/>
  <c r="Q27" i="30"/>
  <c r="CO263" i="30"/>
  <c r="Y27" i="30"/>
  <c r="ES263" i="30"/>
  <c r="AG27" i="30"/>
  <c r="GW263" i="30"/>
  <c r="AO27" i="30"/>
  <c r="JA263" i="30"/>
  <c r="P69" i="30"/>
  <c r="CH240" i="30"/>
  <c r="CH170" i="30"/>
  <c r="EL240" i="30"/>
  <c r="EL170" i="30"/>
  <c r="GP240" i="30"/>
  <c r="GP170" i="30"/>
  <c r="AN69" i="30"/>
  <c r="IT240" i="30"/>
  <c r="IT170" i="30"/>
  <c r="KX240" i="30"/>
  <c r="KX170" i="30"/>
  <c r="EZ96" i="30"/>
  <c r="Z96" i="30" s="1"/>
  <c r="EZ180" i="30"/>
  <c r="EZ181" i="30" s="1"/>
  <c r="FT80" i="30"/>
  <c r="GA103" i="30" s="1"/>
  <c r="FT180" i="30"/>
  <c r="FT240" i="30"/>
  <c r="AS70" i="30"/>
  <c r="AS180" i="30" s="1"/>
  <c r="KC180" i="30"/>
  <c r="KC181" i="30" s="1"/>
  <c r="S71" i="30"/>
  <c r="S190" i="30" s="1"/>
  <c r="DC190" i="30"/>
  <c r="DC191" i="30" s="1"/>
  <c r="AA71" i="30"/>
  <c r="AA190" i="30" s="1"/>
  <c r="FG190" i="30"/>
  <c r="AI71" i="30"/>
  <c r="AI190" i="30" s="1"/>
  <c r="HK190" i="30"/>
  <c r="HK191" i="30" s="1"/>
  <c r="AQ71" i="30"/>
  <c r="AQ190" i="30" s="1"/>
  <c r="JO190" i="30"/>
  <c r="JO191" i="30" s="1"/>
  <c r="T72" i="30"/>
  <c r="T200" i="30" s="1"/>
  <c r="DJ200" i="30"/>
  <c r="GW118" i="30"/>
  <c r="AG118" i="30" s="1"/>
  <c r="GW200" i="30"/>
  <c r="GW203" i="30"/>
  <c r="AO72" i="30"/>
  <c r="AO200" i="30" s="1"/>
  <c r="JA200" i="30"/>
  <c r="T73" i="30"/>
  <c r="T210" i="30" s="1"/>
  <c r="DJ210" i="30"/>
  <c r="DQ211" i="30" s="1"/>
  <c r="AJ73" i="30"/>
  <c r="AJ210" i="30" s="1"/>
  <c r="HR210" i="30"/>
  <c r="AR73" i="30"/>
  <c r="AR210" i="30" s="1"/>
  <c r="JV210" i="30"/>
  <c r="KC211" i="30" s="1"/>
  <c r="W74" i="30"/>
  <c r="W220" i="30" s="1"/>
  <c r="EE220" i="30"/>
  <c r="AE74" i="30"/>
  <c r="AE220" i="30" s="1"/>
  <c r="GI220" i="30"/>
  <c r="GI221" i="30" s="1"/>
  <c r="AU74" i="30"/>
  <c r="AU220" i="30" s="1"/>
  <c r="KQ220" i="30"/>
  <c r="Y75" i="30"/>
  <c r="Y230" i="30" s="1"/>
  <c r="ES230" i="30"/>
  <c r="AG75" i="30"/>
  <c r="AG230" i="30" s="1"/>
  <c r="GW230" i="30"/>
  <c r="CN243" i="30"/>
  <c r="CN246" i="30" s="1"/>
  <c r="DB243" i="30"/>
  <c r="DB246" i="30" s="1"/>
  <c r="DP243" i="30"/>
  <c r="DP246" i="30" s="1"/>
  <c r="ED243" i="30"/>
  <c r="ED246" i="30" s="1"/>
  <c r="ER243" i="30"/>
  <c r="ER246" i="30" s="1"/>
  <c r="GG243" i="30"/>
  <c r="GU243" i="30"/>
  <c r="GU246" i="30" s="1"/>
  <c r="HI243" i="30"/>
  <c r="HI246" i="30" s="1"/>
  <c r="HW243" i="30"/>
  <c r="AL85" i="30"/>
  <c r="AL250" i="30" s="1"/>
  <c r="IF250" i="30"/>
  <c r="AB86" i="30"/>
  <c r="AB260" i="30" s="1"/>
  <c r="FN260" i="30"/>
  <c r="S9" i="30"/>
  <c r="DC173" i="30"/>
  <c r="AF10" i="30"/>
  <c r="GP183" i="30"/>
  <c r="AH11" i="30"/>
  <c r="HD193" i="30"/>
  <c r="U14" i="30"/>
  <c r="DQ223" i="30"/>
  <c r="AE15" i="30"/>
  <c r="GI233" i="30"/>
  <c r="KU31" i="30"/>
  <c r="KU243" i="30"/>
  <c r="R72" i="30"/>
  <c r="R200" i="30" s="1"/>
  <c r="CV200" i="30"/>
  <c r="AU72" i="30"/>
  <c r="AU200" i="30" s="1"/>
  <c r="KQ200" i="30"/>
  <c r="AK74" i="30"/>
  <c r="AK220" i="30" s="1"/>
  <c r="HY220" i="30"/>
  <c r="IF221" i="30" s="1"/>
  <c r="AM75" i="30"/>
  <c r="AM230" i="30" s="1"/>
  <c r="IM230" i="30"/>
  <c r="AR85" i="30"/>
  <c r="AR250" i="30" s="1"/>
  <c r="JV250" i="30"/>
  <c r="V9" i="30"/>
  <c r="DX173" i="30"/>
  <c r="GB173" i="30"/>
  <c r="IF173" i="30"/>
  <c r="AT9" i="30"/>
  <c r="KJ173" i="30"/>
  <c r="P10" i="30"/>
  <c r="CH183" i="30"/>
  <c r="EL183" i="30"/>
  <c r="FR183" i="30"/>
  <c r="AI10" i="30"/>
  <c r="HK183" i="30"/>
  <c r="JO183" i="30"/>
  <c r="JO186" i="30" s="1"/>
  <c r="U11" i="30"/>
  <c r="DQ193" i="30"/>
  <c r="AK11" i="30"/>
  <c r="HY193" i="30"/>
  <c r="AS11" i="30"/>
  <c r="KC193" i="30"/>
  <c r="AC203" i="30"/>
  <c r="AK12" i="30"/>
  <c r="HY203" i="30"/>
  <c r="AD13" i="30"/>
  <c r="GB213" i="30"/>
  <c r="AL13" i="30"/>
  <c r="IF213" i="30"/>
  <c r="AF14" i="30"/>
  <c r="GP223" i="30"/>
  <c r="R15" i="30"/>
  <c r="CV233" i="30"/>
  <c r="Z15" i="30"/>
  <c r="EZ233" i="30"/>
  <c r="AP15" i="30"/>
  <c r="JH233" i="30"/>
  <c r="II243" i="30"/>
  <c r="IW31" i="30"/>
  <c r="IW243" i="30"/>
  <c r="JK243" i="30"/>
  <c r="JY37" i="30"/>
  <c r="JY243" i="30"/>
  <c r="KM243" i="30"/>
  <c r="KT244" i="30" s="1"/>
  <c r="AN26" i="30"/>
  <c r="IT253" i="30"/>
  <c r="AV26" i="30"/>
  <c r="KX253" i="30"/>
  <c r="R27" i="30"/>
  <c r="CV263" i="30"/>
  <c r="EZ263" i="30"/>
  <c r="AH27" i="30"/>
  <c r="HD263" i="30"/>
  <c r="AP27" i="30"/>
  <c r="JH263" i="30"/>
  <c r="Q69" i="30"/>
  <c r="CO240" i="30"/>
  <c r="CO170" i="30"/>
  <c r="Y69" i="30"/>
  <c r="ES240" i="30"/>
  <c r="ES170" i="30"/>
  <c r="AG69" i="30"/>
  <c r="GW240" i="30"/>
  <c r="GW170" i="30"/>
  <c r="AO69" i="30"/>
  <c r="JA240" i="30"/>
  <c r="JA170" i="30"/>
  <c r="AD70" i="30"/>
  <c r="AD180" i="30" s="1"/>
  <c r="GB180" i="30"/>
  <c r="GI181" i="30" s="1"/>
  <c r="AT70" i="30"/>
  <c r="AT180" i="30" s="1"/>
  <c r="KJ180" i="30"/>
  <c r="AB71" i="30"/>
  <c r="AB190" i="30" s="1"/>
  <c r="FN190" i="30"/>
  <c r="FU191" i="30" s="1"/>
  <c r="AR71" i="30"/>
  <c r="AR190" i="30" s="1"/>
  <c r="JV190" i="30"/>
  <c r="KC191" i="30" s="1"/>
  <c r="U72" i="30"/>
  <c r="U200" i="30" s="1"/>
  <c r="DQ200" i="30"/>
  <c r="HD200" i="30"/>
  <c r="HD203" i="30"/>
  <c r="AC73" i="30"/>
  <c r="AC210" i="30" s="1"/>
  <c r="FU210" i="30"/>
  <c r="FU211" i="30" s="1"/>
  <c r="AK73" i="30"/>
  <c r="AK210" i="30" s="1"/>
  <c r="HY210" i="30"/>
  <c r="X74" i="30"/>
  <c r="X220" i="30" s="1"/>
  <c r="EL220" i="30"/>
  <c r="IT221" i="30"/>
  <c r="AV74" i="30"/>
  <c r="KX220" i="30"/>
  <c r="R75" i="30"/>
  <c r="R230" i="30" s="1"/>
  <c r="CV230" i="30"/>
  <c r="CV231" i="30" s="1"/>
  <c r="Z75" i="30"/>
  <c r="Z230" i="30" s="1"/>
  <c r="EZ230" i="30"/>
  <c r="AH75" i="30"/>
  <c r="AH230" i="30" s="1"/>
  <c r="HD230" i="30"/>
  <c r="AP75" i="30"/>
  <c r="AP230" i="30" s="1"/>
  <c r="JH230" i="30"/>
  <c r="JH231" i="30" s="1"/>
  <c r="CD243" i="30"/>
  <c r="CD246" i="30" s="1"/>
  <c r="DF243" i="30"/>
  <c r="DF246" i="30" s="1"/>
  <c r="DT243" i="30"/>
  <c r="DT246" i="30" s="1"/>
  <c r="EH243" i="30"/>
  <c r="EH246" i="30" s="1"/>
  <c r="EV243" i="30"/>
  <c r="EV246" i="30" s="1"/>
  <c r="FJ243" i="30"/>
  <c r="FJ246" i="30" s="1"/>
  <c r="GH243" i="30"/>
  <c r="GH246" i="30" s="1"/>
  <c r="GV243" i="30"/>
  <c r="GV246" i="30" s="1"/>
  <c r="HJ243" i="30"/>
  <c r="HJ246" i="30" s="1"/>
  <c r="HX243" i="30"/>
  <c r="HX246" i="30" s="1"/>
  <c r="AE85" i="30"/>
  <c r="AE250" i="30" s="1"/>
  <c r="GI250" i="30"/>
  <c r="GI251" i="30" s="1"/>
  <c r="KQ251" i="30"/>
  <c r="U86" i="30"/>
  <c r="U260" i="30" s="1"/>
  <c r="DQ260" i="30"/>
  <c r="DQ261" i="30" s="1"/>
  <c r="AC86" i="30"/>
  <c r="AC260" i="30" s="1"/>
  <c r="FU260" i="30"/>
  <c r="AK86" i="30"/>
  <c r="AK260" i="30" s="1"/>
  <c r="HY260" i="30"/>
  <c r="HY261" i="30" s="1"/>
  <c r="AS86" i="30"/>
  <c r="AS260" i="30" s="1"/>
  <c r="KC260" i="30"/>
  <c r="KC261" i="30" s="1"/>
  <c r="P12" i="30"/>
  <c r="CH203" i="30"/>
  <c r="W15" i="30"/>
  <c r="EE233" i="30"/>
  <c r="KG31" i="30"/>
  <c r="KG243" i="30"/>
  <c r="AM72" i="30"/>
  <c r="AM200" i="30" s="1"/>
  <c r="IM200" i="30"/>
  <c r="IM201" i="30" s="1"/>
  <c r="AS74" i="30"/>
  <c r="AS220" i="30" s="1"/>
  <c r="KC220" i="30"/>
  <c r="KC221" i="30" s="1"/>
  <c r="Z86" i="30"/>
  <c r="Z260" i="30" s="1"/>
  <c r="EZ260" i="30"/>
  <c r="W9" i="30"/>
  <c r="EE173" i="30"/>
  <c r="AE9" i="30"/>
  <c r="GI173" i="30"/>
  <c r="AM9" i="30"/>
  <c r="IM173" i="30"/>
  <c r="AU9" i="30"/>
  <c r="KQ173" i="30"/>
  <c r="Y10" i="30"/>
  <c r="ES183" i="30"/>
  <c r="FS20" i="30"/>
  <c r="FS31" i="30" s="1"/>
  <c r="FS37" i="30" s="1"/>
  <c r="FS183" i="30"/>
  <c r="AJ10" i="30"/>
  <c r="HR183" i="30"/>
  <c r="AR10" i="30"/>
  <c r="JV183" i="30"/>
  <c r="V11" i="30"/>
  <c r="DX193" i="30"/>
  <c r="AT11" i="30"/>
  <c r="KJ193" i="30"/>
  <c r="T12" i="30"/>
  <c r="DJ203" i="30"/>
  <c r="AL12" i="30"/>
  <c r="IF203" i="30"/>
  <c r="W13" i="30"/>
  <c r="EE213" i="30"/>
  <c r="AE13" i="30"/>
  <c r="GI213" i="30"/>
  <c r="AM13" i="30"/>
  <c r="IM213" i="30"/>
  <c r="AU13" i="30"/>
  <c r="KQ213" i="30"/>
  <c r="Q14" i="30"/>
  <c r="CO223" i="30"/>
  <c r="AG14" i="30"/>
  <c r="GW223" i="30"/>
  <c r="S15" i="30"/>
  <c r="DC233" i="30"/>
  <c r="AI15" i="30"/>
  <c r="HK233" i="30"/>
  <c r="AQ15" i="30"/>
  <c r="JO233" i="30"/>
  <c r="JV234" i="30" s="1"/>
  <c r="IX37" i="30"/>
  <c r="IX243" i="30"/>
  <c r="AG26" i="30"/>
  <c r="GW253" i="30"/>
  <c r="S27" i="30"/>
  <c r="DC263" i="30"/>
  <c r="AI27" i="30"/>
  <c r="HK263" i="30"/>
  <c r="JO132" i="30"/>
  <c r="AQ132" i="30" s="1"/>
  <c r="JO263" i="30"/>
  <c r="R69" i="30"/>
  <c r="CV240" i="30"/>
  <c r="CV170" i="30"/>
  <c r="Z69" i="30"/>
  <c r="EZ240" i="30"/>
  <c r="EZ170" i="30"/>
  <c r="AH69" i="30"/>
  <c r="HD170" i="30"/>
  <c r="HD240" i="30"/>
  <c r="JH170" i="30"/>
  <c r="JH240" i="30"/>
  <c r="FK96" i="30"/>
  <c r="FK240" i="30"/>
  <c r="FK241" i="30" s="1"/>
  <c r="FK180" i="30"/>
  <c r="AM70" i="30"/>
  <c r="AM180" i="30" s="1"/>
  <c r="IM180" i="30"/>
  <c r="IM181" i="30" s="1"/>
  <c r="AU70" i="30"/>
  <c r="AU180" i="30" s="1"/>
  <c r="KQ180" i="30"/>
  <c r="AK71" i="30"/>
  <c r="AK190" i="30" s="1"/>
  <c r="HY190" i="30"/>
  <c r="V72" i="30"/>
  <c r="V200" i="30" s="1"/>
  <c r="DX200" i="30"/>
  <c r="DX206" i="30" s="1"/>
  <c r="AI72" i="30"/>
  <c r="AI200" i="30" s="1"/>
  <c r="HK200" i="30"/>
  <c r="AQ72" i="30"/>
  <c r="AQ200" i="30" s="1"/>
  <c r="JO200" i="30"/>
  <c r="JO201" i="30" s="1"/>
  <c r="AD73" i="30"/>
  <c r="AD210" i="30" s="1"/>
  <c r="GB210" i="30"/>
  <c r="Q74" i="30"/>
  <c r="Q220" i="30" s="1"/>
  <c r="CO220" i="30"/>
  <c r="CV221" i="30" s="1"/>
  <c r="Y74" i="30"/>
  <c r="Y220" i="30" s="1"/>
  <c r="ES220" i="30"/>
  <c r="EZ221" i="30" s="1"/>
  <c r="AO74" i="30"/>
  <c r="AO220" i="30" s="1"/>
  <c r="JA220" i="30"/>
  <c r="JA221" i="30" s="1"/>
  <c r="AA75" i="30"/>
  <c r="AA230" i="30" s="1"/>
  <c r="FG230" i="30"/>
  <c r="AI75" i="30"/>
  <c r="AI230" i="30" s="1"/>
  <c r="HK230" i="30"/>
  <c r="CE243" i="30"/>
  <c r="CE246" i="30" s="1"/>
  <c r="CS243" i="30"/>
  <c r="CS246" i="30" s="1"/>
  <c r="DU243" i="30"/>
  <c r="DU246" i="30" s="1"/>
  <c r="EI243" i="30"/>
  <c r="EI246" i="30" s="1"/>
  <c r="EW243" i="30"/>
  <c r="EW246" i="30" s="1"/>
  <c r="FX243" i="30"/>
  <c r="GL243" i="30"/>
  <c r="GL246" i="30" s="1"/>
  <c r="GZ243" i="30"/>
  <c r="GZ246" i="30" s="1"/>
  <c r="HN243" i="30"/>
  <c r="HN246" i="30" s="1"/>
  <c r="AF85" i="30"/>
  <c r="AF250" i="30" s="1"/>
  <c r="GP250" i="30"/>
  <c r="V86" i="30"/>
  <c r="V260" i="30" s="1"/>
  <c r="DX260" i="30"/>
  <c r="AD86" i="30"/>
  <c r="AD260" i="30" s="1"/>
  <c r="GB260" i="30"/>
  <c r="AT86" i="30"/>
  <c r="AT260" i="30" s="1"/>
  <c r="KJ260" i="30"/>
  <c r="AI13" i="30"/>
  <c r="HK213" i="30"/>
  <c r="AS14" i="30"/>
  <c r="KC223" i="30"/>
  <c r="AE27" i="30"/>
  <c r="GI263" i="30"/>
  <c r="V69" i="30"/>
  <c r="DX240" i="30"/>
  <c r="DX170" i="30"/>
  <c r="EL115" i="30"/>
  <c r="X115" i="30" s="1"/>
  <c r="EL173" i="30"/>
  <c r="AN9" i="30"/>
  <c r="IT173" i="30"/>
  <c r="KX115" i="30"/>
  <c r="AV115" i="30" s="1"/>
  <c r="KX173" i="30"/>
  <c r="Z10" i="30"/>
  <c r="EZ183" i="30"/>
  <c r="FT20" i="30"/>
  <c r="GA50" i="30" s="1"/>
  <c r="FT183" i="30"/>
  <c r="AK10" i="30"/>
  <c r="HY183" i="30"/>
  <c r="AS10" i="30"/>
  <c r="KC183" i="30"/>
  <c r="W11" i="30"/>
  <c r="EE193" i="30"/>
  <c r="AU11" i="30"/>
  <c r="KQ193" i="30"/>
  <c r="DQ118" i="30"/>
  <c r="DQ203" i="30"/>
  <c r="IM203" i="30"/>
  <c r="AU12" i="30"/>
  <c r="KQ203" i="30"/>
  <c r="P13" i="30"/>
  <c r="CH213" i="30"/>
  <c r="AF13" i="30"/>
  <c r="GP213" i="30"/>
  <c r="AN13" i="30"/>
  <c r="IT213" i="30"/>
  <c r="R14" i="30"/>
  <c r="CV223" i="30"/>
  <c r="Z14" i="30"/>
  <c r="EZ223" i="30"/>
  <c r="HD120" i="30"/>
  <c r="AH120" i="30" s="1"/>
  <c r="HD223" i="30"/>
  <c r="AP14" i="30"/>
  <c r="JH223" i="30"/>
  <c r="AB15" i="30"/>
  <c r="FN233" i="30"/>
  <c r="AJ15" i="30"/>
  <c r="HR233" i="30"/>
  <c r="IY37" i="30"/>
  <c r="IY243" i="30"/>
  <c r="KO31" i="30"/>
  <c r="KO243" i="30"/>
  <c r="AP26" i="30"/>
  <c r="JH253" i="30"/>
  <c r="T27" i="30"/>
  <c r="DJ263" i="30"/>
  <c r="AB27" i="30"/>
  <c r="FN263" i="30"/>
  <c r="AJ27" i="30"/>
  <c r="HR263" i="30"/>
  <c r="AR27" i="30"/>
  <c r="JV263" i="30"/>
  <c r="DC170" i="30"/>
  <c r="DC240" i="30"/>
  <c r="FG240" i="30"/>
  <c r="FG170" i="30"/>
  <c r="AI69" i="30"/>
  <c r="HK240" i="30"/>
  <c r="HK170" i="30"/>
  <c r="JO240" i="30"/>
  <c r="JO170" i="30"/>
  <c r="DQ181" i="30"/>
  <c r="FL96" i="30"/>
  <c r="FL180" i="30"/>
  <c r="FL181" i="30" s="1"/>
  <c r="FL240" i="30"/>
  <c r="FL241" i="30" s="1"/>
  <c r="GP181" i="30"/>
  <c r="AN70" i="30"/>
  <c r="AN180" i="30" s="1"/>
  <c r="IT180" i="30"/>
  <c r="AV70" i="30"/>
  <c r="KX180" i="30"/>
  <c r="DX191" i="30"/>
  <c r="GB191" i="30"/>
  <c r="AL71" i="30"/>
  <c r="AL190" i="30" s="1"/>
  <c r="IF190" i="30"/>
  <c r="KJ191" i="30"/>
  <c r="Z201" i="30"/>
  <c r="W72" i="30"/>
  <c r="W200" i="30" s="1"/>
  <c r="EE200" i="30"/>
  <c r="AJ72" i="30"/>
  <c r="AJ200" i="30" s="1"/>
  <c r="HR200" i="30"/>
  <c r="W73" i="30"/>
  <c r="W210" i="30" s="1"/>
  <c r="EE210" i="30"/>
  <c r="EE211" i="30" s="1"/>
  <c r="AE73" i="30"/>
  <c r="AE210" i="30" s="1"/>
  <c r="GI210" i="30"/>
  <c r="IM211" i="30"/>
  <c r="AU73" i="30"/>
  <c r="AU210" i="30" s="1"/>
  <c r="KQ210" i="30"/>
  <c r="KQ211" i="30" s="1"/>
  <c r="T75" i="30"/>
  <c r="T230" i="30" s="1"/>
  <c r="DJ230" i="30"/>
  <c r="DJ231" i="30" s="1"/>
  <c r="AJ75" i="30"/>
  <c r="AJ230" i="30" s="1"/>
  <c r="HR230" i="30"/>
  <c r="AR75" i="30"/>
  <c r="AR230" i="30" s="1"/>
  <c r="JV230" i="30"/>
  <c r="JV231" i="30" s="1"/>
  <c r="CT243" i="30"/>
  <c r="CT246" i="30" s="1"/>
  <c r="DV243" i="30"/>
  <c r="DV246" i="30" s="1"/>
  <c r="EX243" i="30"/>
  <c r="EX246" i="30" s="1"/>
  <c r="FY243" i="30"/>
  <c r="FY246" i="30" s="1"/>
  <c r="GM243" i="30"/>
  <c r="GM246" i="30" s="1"/>
  <c r="HA243" i="30"/>
  <c r="HA246" i="30" s="1"/>
  <c r="HO243" i="30"/>
  <c r="P85" i="30"/>
  <c r="P250" i="30" s="1"/>
  <c r="CH250" i="30"/>
  <c r="JA251" i="30"/>
  <c r="W86" i="30"/>
  <c r="W260" i="30" s="1"/>
  <c r="EE260" i="30"/>
  <c r="AM86" i="30"/>
  <c r="AM260" i="30" s="1"/>
  <c r="IM260" i="30"/>
  <c r="IM261" i="30" s="1"/>
  <c r="AU86" i="30"/>
  <c r="AU260" i="30" s="1"/>
  <c r="KQ260" i="30"/>
  <c r="AA9" i="30"/>
  <c r="FG173" i="30"/>
  <c r="AP12" i="30"/>
  <c r="JH203" i="30"/>
  <c r="AU15" i="30"/>
  <c r="KQ233" i="30"/>
  <c r="EE27" i="30"/>
  <c r="EE263" i="30" s="1"/>
  <c r="EA263" i="30"/>
  <c r="AT69" i="30"/>
  <c r="KJ240" i="30"/>
  <c r="KJ170" i="30"/>
  <c r="AI70" i="30"/>
  <c r="AI180" i="30" s="1"/>
  <c r="HK180" i="30"/>
  <c r="AH86" i="30"/>
  <c r="AH260" i="30" s="1"/>
  <c r="HD260" i="30"/>
  <c r="CO115" i="30"/>
  <c r="Q115" i="30" s="1"/>
  <c r="CO173" i="30"/>
  <c r="AG9" i="30"/>
  <c r="GW173" i="30"/>
  <c r="JA115" i="30"/>
  <c r="AO115" i="30" s="1"/>
  <c r="JA173" i="30"/>
  <c r="DC116" i="30"/>
  <c r="DC183" i="30"/>
  <c r="AA10" i="30"/>
  <c r="FG183" i="30"/>
  <c r="AL10" i="30"/>
  <c r="IF183" i="30"/>
  <c r="P11" i="30"/>
  <c r="CH193" i="30"/>
  <c r="AF11" i="30"/>
  <c r="GP193" i="30"/>
  <c r="AN11" i="30"/>
  <c r="IT193" i="30"/>
  <c r="IT118" i="30"/>
  <c r="AN118" i="30" s="1"/>
  <c r="IT203" i="30"/>
  <c r="AV12" i="30"/>
  <c r="KX203" i="30"/>
  <c r="Q13" i="30"/>
  <c r="CO213" i="30"/>
  <c r="Y13" i="30"/>
  <c r="ES213" i="30"/>
  <c r="S14" i="30"/>
  <c r="DC223" i="30"/>
  <c r="AA14" i="30"/>
  <c r="FG223" i="30"/>
  <c r="AI14" i="30"/>
  <c r="HK223" i="30"/>
  <c r="AQ14" i="30"/>
  <c r="JO223" i="30"/>
  <c r="JO226" i="30" s="1"/>
  <c r="U15" i="30"/>
  <c r="DQ233" i="30"/>
  <c r="AK15" i="30"/>
  <c r="HY233" i="30"/>
  <c r="AS15" i="30"/>
  <c r="KC233" i="30"/>
  <c r="IZ37" i="30"/>
  <c r="IZ243" i="30"/>
  <c r="JN37" i="30"/>
  <c r="JN243" i="30"/>
  <c r="P26" i="30"/>
  <c r="CH253" i="30"/>
  <c r="AI26" i="30"/>
  <c r="HK253" i="30"/>
  <c r="AQ26" i="30"/>
  <c r="JO253" i="30"/>
  <c r="U27" i="30"/>
  <c r="DQ263" i="30"/>
  <c r="AC27" i="30"/>
  <c r="FU263" i="30"/>
  <c r="AK27" i="30"/>
  <c r="HY263" i="30"/>
  <c r="AS27" i="30"/>
  <c r="KC263" i="30"/>
  <c r="DJ170" i="30"/>
  <c r="DJ240" i="30"/>
  <c r="AB69" i="30"/>
  <c r="FN170" i="30"/>
  <c r="HR240" i="30"/>
  <c r="HR170" i="30"/>
  <c r="JV240" i="30"/>
  <c r="JV170" i="30"/>
  <c r="V70" i="30"/>
  <c r="V180" i="30" s="1"/>
  <c r="DX180" i="30"/>
  <c r="DX181" i="30" s="1"/>
  <c r="FM96" i="30"/>
  <c r="FM180" i="30"/>
  <c r="FM181" i="30" s="1"/>
  <c r="FM240" i="30"/>
  <c r="FM241" i="30" s="1"/>
  <c r="AG70" i="30"/>
  <c r="AG180" i="30" s="1"/>
  <c r="GW180" i="30"/>
  <c r="GW181" i="30" s="1"/>
  <c r="AO70" i="30"/>
  <c r="AO180" i="30" s="1"/>
  <c r="JA180" i="30"/>
  <c r="EE191" i="30"/>
  <c r="AE71" i="30"/>
  <c r="AE190" i="30" s="1"/>
  <c r="GI190" i="30"/>
  <c r="GI191" i="30" s="1"/>
  <c r="AM71" i="30"/>
  <c r="AM190" i="30" s="1"/>
  <c r="IM190" i="30"/>
  <c r="AB201" i="30"/>
  <c r="AA201" i="30"/>
  <c r="P72" i="30"/>
  <c r="P200" i="30" s="1"/>
  <c r="CH200" i="30"/>
  <c r="X72" i="30"/>
  <c r="X200" i="30" s="1"/>
  <c r="EL200" i="30"/>
  <c r="AK72" i="30"/>
  <c r="AK200" i="30" s="1"/>
  <c r="HY200" i="30"/>
  <c r="CH211" i="30"/>
  <c r="X73" i="30"/>
  <c r="X210" i="30" s="1"/>
  <c r="EL210" i="30"/>
  <c r="AF73" i="30"/>
  <c r="AF210" i="30" s="1"/>
  <c r="GP210" i="30"/>
  <c r="IT211" i="30"/>
  <c r="AV73" i="30"/>
  <c r="KX210" i="30"/>
  <c r="S74" i="30"/>
  <c r="S220" i="30" s="1"/>
  <c r="DC220" i="30"/>
  <c r="DC221" i="30" s="1"/>
  <c r="FG221" i="30"/>
  <c r="AI74" i="30"/>
  <c r="AI220" i="30" s="1"/>
  <c r="HK220" i="30"/>
  <c r="HK221" i="30" s="1"/>
  <c r="JO221" i="30"/>
  <c r="U75" i="30"/>
  <c r="U230" i="30" s="1"/>
  <c r="DQ230" i="30"/>
  <c r="AK75" i="30"/>
  <c r="AK230" i="30" s="1"/>
  <c r="HY230" i="30"/>
  <c r="CG243" i="30"/>
  <c r="CG246" i="30" s="1"/>
  <c r="CU243" i="30"/>
  <c r="CU246" i="30" s="1"/>
  <c r="DI243" i="30"/>
  <c r="EK243" i="30"/>
  <c r="EK246" i="30" s="1"/>
  <c r="EY243" i="30"/>
  <c r="EY246" i="30" s="1"/>
  <c r="FZ243" i="30"/>
  <c r="FZ246" i="30" s="1"/>
  <c r="GN243" i="30"/>
  <c r="GN246" i="30" s="1"/>
  <c r="HB243" i="30"/>
  <c r="HB246" i="30" s="1"/>
  <c r="HP243" i="30"/>
  <c r="HP246" i="30" s="1"/>
  <c r="P86" i="30"/>
  <c r="P260" i="30" s="1"/>
  <c r="CH260" i="30"/>
  <c r="AN86" i="30"/>
  <c r="AN260" i="30" s="1"/>
  <c r="IT260" i="30"/>
  <c r="AV86" i="30"/>
  <c r="KX260" i="30"/>
  <c r="AQ9" i="30"/>
  <c r="JO173" i="30"/>
  <c r="AN10" i="30"/>
  <c r="IT183" i="30"/>
  <c r="AA13" i="30"/>
  <c r="FG213" i="30"/>
  <c r="AL69" i="30"/>
  <c r="IF240" i="30"/>
  <c r="IF170" i="30"/>
  <c r="FR180" i="30"/>
  <c r="FR240" i="30"/>
  <c r="Y71" i="30"/>
  <c r="Y190" i="30" s="1"/>
  <c r="ES190" i="30"/>
  <c r="ES191" i="30" s="1"/>
  <c r="AC74" i="30"/>
  <c r="AC220" i="30" s="1"/>
  <c r="FU220" i="30"/>
  <c r="FU221" i="30" s="1"/>
  <c r="AU75" i="30"/>
  <c r="AU230" i="30" s="1"/>
  <c r="KQ230" i="30"/>
  <c r="Z9" i="30"/>
  <c r="EZ173" i="30"/>
  <c r="AH9" i="30"/>
  <c r="HD173" i="30"/>
  <c r="FK20" i="30"/>
  <c r="FK50" i="30" s="1"/>
  <c r="FK183" i="30"/>
  <c r="FK184" i="30" s="1"/>
  <c r="AM10" i="30"/>
  <c r="IM183" i="30"/>
  <c r="AU10" i="30"/>
  <c r="KQ183" i="30"/>
  <c r="CO193" i="30"/>
  <c r="Y11" i="30"/>
  <c r="ES193" i="30"/>
  <c r="AG11" i="30"/>
  <c r="GW193" i="30"/>
  <c r="AO11" i="30"/>
  <c r="JA193" i="30"/>
  <c r="EE118" i="30"/>
  <c r="W118" i="30" s="1"/>
  <c r="EE203" i="30"/>
  <c r="JA118" i="30"/>
  <c r="JA203" i="30"/>
  <c r="R13" i="30"/>
  <c r="CV213" i="30"/>
  <c r="Z13" i="30"/>
  <c r="EZ213" i="30"/>
  <c r="HD213" i="30"/>
  <c r="AP13" i="30"/>
  <c r="JH213" i="30"/>
  <c r="T14" i="30"/>
  <c r="DJ223" i="30"/>
  <c r="AJ14" i="30"/>
  <c r="HR223" i="30"/>
  <c r="AR14" i="30"/>
  <c r="JV223" i="30"/>
  <c r="AD15" i="30"/>
  <c r="GB233" i="30"/>
  <c r="AL15" i="30"/>
  <c r="IF233" i="30"/>
  <c r="IB31" i="30"/>
  <c r="IB243" i="30"/>
  <c r="IB246" i="30" s="1"/>
  <c r="JR37" i="30"/>
  <c r="JR243" i="30"/>
  <c r="KF37" i="30"/>
  <c r="KF243" i="30"/>
  <c r="KT246" i="30"/>
  <c r="AJ26" i="30"/>
  <c r="HR253" i="30"/>
  <c r="AR26" i="30"/>
  <c r="JV253" i="30"/>
  <c r="V27" i="30"/>
  <c r="DX263" i="30"/>
  <c r="AD27" i="30"/>
  <c r="GB263" i="30"/>
  <c r="FU133" i="30"/>
  <c r="AC133" i="30" s="1"/>
  <c r="U69" i="30"/>
  <c r="DQ240" i="30"/>
  <c r="DQ170" i="30"/>
  <c r="AC69" i="30"/>
  <c r="FU170" i="30"/>
  <c r="AK69" i="30"/>
  <c r="HY170" i="30"/>
  <c r="HY240" i="30"/>
  <c r="AS69" i="30"/>
  <c r="KC240" i="30"/>
  <c r="KC170" i="30"/>
  <c r="W70" i="30"/>
  <c r="W180" i="30" s="1"/>
  <c r="EE180" i="30"/>
  <c r="FQ240" i="30"/>
  <c r="FQ180" i="30"/>
  <c r="AH70" i="30"/>
  <c r="AH180" i="30" s="1"/>
  <c r="HD180" i="30"/>
  <c r="AP70" i="30"/>
  <c r="AP180" i="30" s="1"/>
  <c r="JH180" i="30"/>
  <c r="P71" i="30"/>
  <c r="P190" i="30" s="1"/>
  <c r="CH190" i="30"/>
  <c r="EL191" i="30"/>
  <c r="AF71" i="30"/>
  <c r="AF190" i="30" s="1"/>
  <c r="GP190" i="30"/>
  <c r="AN71" i="30"/>
  <c r="AN190" i="30" s="1"/>
  <c r="IT190" i="30"/>
  <c r="Q72" i="30"/>
  <c r="Q200" i="30" s="1"/>
  <c r="CO200" i="30"/>
  <c r="GB118" i="30"/>
  <c r="GB144" i="30" s="1"/>
  <c r="AD144" i="30" s="1"/>
  <c r="GB200" i="30"/>
  <c r="GB201" i="30" s="1"/>
  <c r="GB203" i="30"/>
  <c r="AT72" i="30"/>
  <c r="AT200" i="30" s="1"/>
  <c r="KJ200" i="30"/>
  <c r="KJ201" i="30" s="1"/>
  <c r="Q73" i="30"/>
  <c r="Q210" i="30" s="1"/>
  <c r="CO210" i="30"/>
  <c r="CO211" i="30" s="1"/>
  <c r="Y73" i="30"/>
  <c r="Y210" i="30" s="1"/>
  <c r="ES210" i="30"/>
  <c r="EZ211" i="30" s="1"/>
  <c r="AO73" i="30"/>
  <c r="AO210" i="30" s="1"/>
  <c r="JA210" i="30"/>
  <c r="JA211" i="30" s="1"/>
  <c r="AJ74" i="30"/>
  <c r="AJ220" i="30" s="1"/>
  <c r="HR220" i="30"/>
  <c r="AD75" i="30"/>
  <c r="AD230" i="30" s="1"/>
  <c r="GB230" i="30"/>
  <c r="GB231" i="30" s="1"/>
  <c r="AL75" i="30"/>
  <c r="AL230" i="30" s="1"/>
  <c r="IF230" i="30"/>
  <c r="AT75" i="30"/>
  <c r="AT230" i="30" s="1"/>
  <c r="KJ230" i="30"/>
  <c r="KJ231" i="30" s="1"/>
  <c r="CK243" i="30"/>
  <c r="CK246" i="30" s="1"/>
  <c r="CY243" i="30"/>
  <c r="CY246" i="30" s="1"/>
  <c r="DM243" i="30"/>
  <c r="DM246" i="30" s="1"/>
  <c r="EA243" i="30"/>
  <c r="FC243" i="30"/>
  <c r="FC246" i="30" s="1"/>
  <c r="GA243" i="30"/>
  <c r="GA246" i="30" s="1"/>
  <c r="GO243" i="30"/>
  <c r="GO246" i="30" s="1"/>
  <c r="HC243" i="30"/>
  <c r="HC246" i="30" s="1"/>
  <c r="HQ243" i="30"/>
  <c r="HQ246" i="30" s="1"/>
  <c r="HK251" i="30"/>
  <c r="AQ85" i="30"/>
  <c r="AQ250" i="30" s="1"/>
  <c r="JO250" i="30"/>
  <c r="JO251" i="30" s="1"/>
  <c r="Q86" i="30"/>
  <c r="Q260" i="30" s="1"/>
  <c r="CO260" i="30"/>
  <c r="Y86" i="30"/>
  <c r="Y260" i="30" s="1"/>
  <c r="ES260" i="30"/>
  <c r="ES261" i="30" s="1"/>
  <c r="AG86" i="30"/>
  <c r="AG260" i="30" s="1"/>
  <c r="GW260" i="30"/>
  <c r="GW261" i="30" s="1"/>
  <c r="AO86" i="30"/>
  <c r="AO260" i="30" s="1"/>
  <c r="JA260" i="30"/>
  <c r="FF131" i="30"/>
  <c r="FS250" i="30"/>
  <c r="FS253" i="30"/>
  <c r="CN253" i="30"/>
  <c r="CN250" i="30"/>
  <c r="DB253" i="30"/>
  <c r="DB250" i="30"/>
  <c r="DP250" i="30"/>
  <c r="ED312" i="30"/>
  <c r="ED250" i="30"/>
  <c r="ED253" i="30"/>
  <c r="ER253" i="30"/>
  <c r="ER250" i="30"/>
  <c r="FF250" i="30"/>
  <c r="FF253" i="30"/>
  <c r="FT253" i="30"/>
  <c r="FT250" i="30"/>
  <c r="CM250" i="30"/>
  <c r="CR253" i="30"/>
  <c r="CR250" i="30"/>
  <c r="DF253" i="30"/>
  <c r="DF250" i="30"/>
  <c r="DT253" i="30"/>
  <c r="DT250" i="30"/>
  <c r="EH250" i="30"/>
  <c r="EH253" i="30"/>
  <c r="EV250" i="30"/>
  <c r="EV253" i="30"/>
  <c r="FJ253" i="30"/>
  <c r="FJ250" i="30"/>
  <c r="EC250" i="30"/>
  <c r="EC253" i="30"/>
  <c r="CS253" i="30"/>
  <c r="CS250" i="30"/>
  <c r="DG253" i="30"/>
  <c r="DG250" i="30"/>
  <c r="DU253" i="30"/>
  <c r="DU250" i="30"/>
  <c r="EI250" i="30"/>
  <c r="EI253" i="30"/>
  <c r="EW250" i="30"/>
  <c r="EW253" i="30"/>
  <c r="FK253" i="30"/>
  <c r="FK250" i="30"/>
  <c r="DO250" i="30"/>
  <c r="DO253" i="30"/>
  <c r="CT250" i="30"/>
  <c r="CT253" i="30"/>
  <c r="DH253" i="30"/>
  <c r="DH250" i="30"/>
  <c r="DV253" i="30"/>
  <c r="DV250" i="30"/>
  <c r="EJ250" i="30"/>
  <c r="EJ253" i="30"/>
  <c r="EX253" i="30"/>
  <c r="EX250" i="30"/>
  <c r="FL253" i="30"/>
  <c r="FL250" i="30"/>
  <c r="FE250" i="30"/>
  <c r="FE253" i="30"/>
  <c r="CU250" i="30"/>
  <c r="CU253" i="30"/>
  <c r="DI253" i="30"/>
  <c r="DI250" i="30"/>
  <c r="DW253" i="30"/>
  <c r="DW250" i="30"/>
  <c r="EK253" i="30"/>
  <c r="EK250" i="30"/>
  <c r="EY253" i="30"/>
  <c r="EY250" i="30"/>
  <c r="FM253" i="30"/>
  <c r="FM250" i="30"/>
  <c r="EQ253" i="30"/>
  <c r="EQ250" i="30"/>
  <c r="EZ130" i="30"/>
  <c r="Z130" i="30" s="1"/>
  <c r="CK253" i="30"/>
  <c r="CK250" i="30"/>
  <c r="CY253" i="30"/>
  <c r="CY250" i="30"/>
  <c r="DM250" i="30"/>
  <c r="DM253" i="30"/>
  <c r="EA253" i="30"/>
  <c r="EA250" i="30"/>
  <c r="EO250" i="30"/>
  <c r="EO253" i="30"/>
  <c r="FC250" i="30"/>
  <c r="FC253" i="30"/>
  <c r="FQ250" i="30"/>
  <c r="FQ253" i="30"/>
  <c r="DA253" i="30"/>
  <c r="DA250" i="30"/>
  <c r="FE131" i="30"/>
  <c r="CL253" i="30"/>
  <c r="CL250" i="30"/>
  <c r="CZ253" i="30"/>
  <c r="CZ250" i="30"/>
  <c r="DN312" i="30"/>
  <c r="DN250" i="30"/>
  <c r="DN253" i="30"/>
  <c r="EB250" i="30"/>
  <c r="EB253" i="30"/>
  <c r="EP250" i="30"/>
  <c r="EP253" i="30"/>
  <c r="FD250" i="30"/>
  <c r="FD253" i="30"/>
  <c r="FR250" i="30"/>
  <c r="FR253" i="30"/>
  <c r="CR310" i="30"/>
  <c r="CR243" i="30"/>
  <c r="CF90" i="30"/>
  <c r="CF243" i="30"/>
  <c r="DH310" i="30"/>
  <c r="DH243" i="30"/>
  <c r="EJ310" i="30"/>
  <c r="EJ243" i="30"/>
  <c r="DW310" i="30"/>
  <c r="DW243" i="30"/>
  <c r="DG310" i="30"/>
  <c r="DG243" i="30"/>
  <c r="EO310" i="30"/>
  <c r="EO243" i="30"/>
  <c r="EP310" i="30"/>
  <c r="EP243" i="30"/>
  <c r="FE310" i="30"/>
  <c r="FE243" i="30"/>
  <c r="FF310" i="30"/>
  <c r="FF243" i="30"/>
  <c r="BY100" i="30"/>
  <c r="BR220" i="30"/>
  <c r="BY221" i="30" s="1"/>
  <c r="O75" i="30"/>
  <c r="O230" i="30" s="1"/>
  <c r="CA230" i="30"/>
  <c r="CH231" i="30" s="1"/>
  <c r="BX243" i="30"/>
  <c r="GU151" i="30"/>
  <c r="KA151" i="30"/>
  <c r="FC152" i="30"/>
  <c r="BP253" i="30"/>
  <c r="BP131" i="30"/>
  <c r="BW151" i="30" s="1"/>
  <c r="BP118" i="30"/>
  <c r="BW144" i="30" s="1"/>
  <c r="BP203" i="30"/>
  <c r="BZ100" i="30"/>
  <c r="BS220" i="30"/>
  <c r="BZ221" i="30" s="1"/>
  <c r="BY243" i="30"/>
  <c r="BY246" i="30" s="1"/>
  <c r="BP311" i="30"/>
  <c r="BW316" i="30" s="1"/>
  <c r="BP260" i="30"/>
  <c r="BW261" i="30" s="1"/>
  <c r="BZ95" i="30"/>
  <c r="BS170" i="30"/>
  <c r="BZ171" i="30" s="1"/>
  <c r="BS240" i="30"/>
  <c r="BP183" i="30"/>
  <c r="BP116" i="30"/>
  <c r="BW142" i="30" s="1"/>
  <c r="BQ118" i="30"/>
  <c r="BX144" i="30" s="1"/>
  <c r="BQ203" i="30"/>
  <c r="BX204" i="30" s="1"/>
  <c r="O13" i="30"/>
  <c r="CA213" i="30"/>
  <c r="BW97" i="30"/>
  <c r="BP190" i="30"/>
  <c r="BW191" i="30" s="1"/>
  <c r="BX201" i="30"/>
  <c r="BX99" i="30"/>
  <c r="BQ210" i="30"/>
  <c r="BZ243" i="30"/>
  <c r="BQ311" i="30"/>
  <c r="BX316" i="30" s="1"/>
  <c r="BQ260" i="30"/>
  <c r="BX261" i="30" s="1"/>
  <c r="O9" i="30"/>
  <c r="CA173" i="30"/>
  <c r="BX43" i="30"/>
  <c r="BQ183" i="30"/>
  <c r="BW96" i="30"/>
  <c r="BP180" i="30"/>
  <c r="BW181" i="30" s="1"/>
  <c r="BX97" i="30"/>
  <c r="BQ190" i="30"/>
  <c r="BX191" i="30" s="1"/>
  <c r="BY201" i="30"/>
  <c r="BY99" i="30"/>
  <c r="BR210" i="30"/>
  <c r="BY211" i="30" s="1"/>
  <c r="BP173" i="30"/>
  <c r="BP115" i="30"/>
  <c r="BW141" i="30" s="1"/>
  <c r="BY43" i="30"/>
  <c r="BR183" i="30"/>
  <c r="AT14" i="30"/>
  <c r="BW53" i="30"/>
  <c r="BP263" i="30"/>
  <c r="BX96" i="30"/>
  <c r="BQ180" i="30"/>
  <c r="BX181" i="30" s="1"/>
  <c r="BY97" i="30"/>
  <c r="BR190" i="30"/>
  <c r="BY191" i="30" s="1"/>
  <c r="BZ99" i="30"/>
  <c r="BS210" i="30"/>
  <c r="BZ211" i="30" s="1"/>
  <c r="BW101" i="30"/>
  <c r="BP230" i="30"/>
  <c r="BW231" i="30" s="1"/>
  <c r="O85" i="30"/>
  <c r="O250" i="30" s="1"/>
  <c r="CA250" i="30"/>
  <c r="BP240" i="30"/>
  <c r="BP80" i="30"/>
  <c r="BP170" i="30"/>
  <c r="BW171" i="30" s="1"/>
  <c r="BY96" i="30"/>
  <c r="BR180" i="30"/>
  <c r="BY181" i="30" s="1"/>
  <c r="BZ97" i="30"/>
  <c r="BS190" i="30"/>
  <c r="O72" i="30"/>
  <c r="O200" i="30" s="1"/>
  <c r="CA200" i="30"/>
  <c r="BX101" i="30"/>
  <c r="BQ230" i="30"/>
  <c r="BX231" i="30" s="1"/>
  <c r="O86" i="30"/>
  <c r="O260" i="30" s="1"/>
  <c r="CA260" i="30"/>
  <c r="BY44" i="30"/>
  <c r="BR193" i="30"/>
  <c r="BY42" i="30"/>
  <c r="BR173" i="30"/>
  <c r="O10" i="30"/>
  <c r="CA183" i="30"/>
  <c r="BP117" i="30"/>
  <c r="BW143" i="30" s="1"/>
  <c r="BP193" i="30"/>
  <c r="BX95" i="30"/>
  <c r="BQ240" i="30"/>
  <c r="BQ170" i="30"/>
  <c r="BX171" i="30" s="1"/>
  <c r="BZ96" i="30"/>
  <c r="BS180" i="30"/>
  <c r="BZ181" i="30" s="1"/>
  <c r="O71" i="30"/>
  <c r="O190" i="30" s="1"/>
  <c r="CA190" i="30"/>
  <c r="BW100" i="30"/>
  <c r="BP220" i="30"/>
  <c r="BW221" i="30" s="1"/>
  <c r="BY101" i="30"/>
  <c r="BR230" i="30"/>
  <c r="BY231" i="30" s="1"/>
  <c r="BS173" i="30"/>
  <c r="BX44" i="30"/>
  <c r="BQ193" i="30"/>
  <c r="BY95" i="30"/>
  <c r="BR170" i="30"/>
  <c r="BY171" i="30" s="1"/>
  <c r="BR240" i="30"/>
  <c r="O70" i="30"/>
  <c r="O180" i="30" s="1"/>
  <c r="CA180" i="30"/>
  <c r="BX100" i="30"/>
  <c r="BQ220" i="30"/>
  <c r="BX221" i="30" s="1"/>
  <c r="BZ101" i="30"/>
  <c r="BS230" i="30"/>
  <c r="BZ231" i="30" s="1"/>
  <c r="BW243" i="30"/>
  <c r="BZ126" i="30"/>
  <c r="FF126" i="30"/>
  <c r="KV21" i="30"/>
  <c r="II152" i="30"/>
  <c r="JL146" i="30"/>
  <c r="DC129" i="30"/>
  <c r="S129" i="30" s="1"/>
  <c r="DX118" i="30"/>
  <c r="V118" i="30" s="1"/>
  <c r="AV288" i="30"/>
  <c r="II306" i="30"/>
  <c r="CD146" i="30"/>
  <c r="FJ146" i="30"/>
  <c r="IP146" i="30"/>
  <c r="CD147" i="30"/>
  <c r="FJ147" i="30"/>
  <c r="JV294" i="30"/>
  <c r="AR294" i="30" s="1"/>
  <c r="HU144" i="30"/>
  <c r="CY146" i="30"/>
  <c r="GE146" i="30"/>
  <c r="JK146" i="30"/>
  <c r="CY147" i="30"/>
  <c r="KT316" i="30"/>
  <c r="DC96" i="30"/>
  <c r="S96" i="30" s="1"/>
  <c r="HP151" i="30"/>
  <c r="HN152" i="30"/>
  <c r="HD294" i="30"/>
  <c r="AH294" i="30" s="1"/>
  <c r="IY27" i="29"/>
  <c r="DM155" i="29"/>
  <c r="DM76" i="29"/>
  <c r="DM17" i="29"/>
  <c r="DW5" i="1"/>
  <c r="DT334" i="30"/>
  <c r="DT111" i="30"/>
  <c r="DT65" i="30"/>
  <c r="DT5" i="30"/>
  <c r="DT166" i="30" s="1"/>
  <c r="DT3" i="29"/>
  <c r="EC5" i="1"/>
  <c r="DV18" i="1"/>
  <c r="DV76" i="1" s="1"/>
  <c r="HI89" i="29"/>
  <c r="IY89" i="29"/>
  <c r="KO89" i="29"/>
  <c r="DK5" i="1"/>
  <c r="DH334" i="30"/>
  <c r="DH111" i="30"/>
  <c r="DH5" i="30"/>
  <c r="DH166" i="30" s="1"/>
  <c r="DH65" i="30"/>
  <c r="DH76" i="29"/>
  <c r="DH17" i="29"/>
  <c r="DJ18" i="1"/>
  <c r="DJ76" i="1" s="1"/>
  <c r="DH3" i="29"/>
  <c r="DH155" i="29" s="1"/>
  <c r="DB334" i="30"/>
  <c r="DB111" i="30"/>
  <c r="DB5" i="30"/>
  <c r="DB166" i="30" s="1"/>
  <c r="DB65" i="30"/>
  <c r="DB76" i="29"/>
  <c r="DB17" i="29"/>
  <c r="DD18" i="1"/>
  <c r="DD76" i="1" s="1"/>
  <c r="DB3" i="29"/>
  <c r="DQ5" i="1"/>
  <c r="DN334" i="30"/>
  <c r="DN111" i="30"/>
  <c r="DN65" i="30"/>
  <c r="DN5" i="30"/>
  <c r="DN166" i="30" s="1"/>
  <c r="DN76" i="29"/>
  <c r="DP18" i="1"/>
  <c r="DP76" i="1" s="1"/>
  <c r="DN3" i="29"/>
  <c r="DN155" i="29" s="1"/>
  <c r="DN17" i="29"/>
  <c r="CV117" i="30"/>
  <c r="R117" i="30" s="1"/>
  <c r="GB117" i="30"/>
  <c r="AD117" i="30" s="1"/>
  <c r="JH117" i="30"/>
  <c r="AP117" i="30" s="1"/>
  <c r="DX124" i="29"/>
  <c r="V124" i="29" s="1"/>
  <c r="HK134" i="29"/>
  <c r="AI134" i="29" s="1"/>
  <c r="JK134" i="29"/>
  <c r="FG129" i="30"/>
  <c r="AA129" i="30" s="1"/>
  <c r="AE80" i="29"/>
  <c r="AF133" i="29"/>
  <c r="GV134" i="29"/>
  <c r="IQ185" i="29"/>
  <c r="CV118" i="30"/>
  <c r="R118" i="30" s="1"/>
  <c r="EQ131" i="30"/>
  <c r="GN81" i="30"/>
  <c r="ID81" i="30"/>
  <c r="L322" i="30"/>
  <c r="CO124" i="29"/>
  <c r="Q124" i="29" s="1"/>
  <c r="GG134" i="29"/>
  <c r="GW134" i="29"/>
  <c r="AG134" i="29" s="1"/>
  <c r="HO134" i="29"/>
  <c r="IE134" i="29"/>
  <c r="IW134" i="29"/>
  <c r="JM134" i="29"/>
  <c r="DC118" i="30"/>
  <c r="S118" i="30" s="1"/>
  <c r="CM322" i="30"/>
  <c r="KW323" i="30"/>
  <c r="LD328" i="30" s="1"/>
  <c r="EL129" i="30"/>
  <c r="X129" i="30" s="1"/>
  <c r="AJ80" i="29"/>
  <c r="GZ134" i="29"/>
  <c r="IX134" i="29"/>
  <c r="KN134" i="29"/>
  <c r="IJ185" i="29"/>
  <c r="KH185" i="29"/>
  <c r="EZ133" i="30"/>
  <c r="Z133" i="30" s="1"/>
  <c r="GZ323" i="30"/>
  <c r="IP323" i="30"/>
  <c r="KF323" i="30"/>
  <c r="CU144" i="30"/>
  <c r="GN144" i="30"/>
  <c r="HI144" i="30"/>
  <c r="JT144" i="30"/>
  <c r="KO144" i="30"/>
  <c r="EC146" i="30"/>
  <c r="EX146" i="30"/>
  <c r="HI146" i="30"/>
  <c r="ID146" i="30"/>
  <c r="IB151" i="30"/>
  <c r="IW151" i="30"/>
  <c r="CZ152" i="30"/>
  <c r="DU152" i="30"/>
  <c r="FL152" i="30"/>
  <c r="GG152" i="30"/>
  <c r="IR152" i="30"/>
  <c r="JM152" i="30"/>
  <c r="HK114" i="29"/>
  <c r="AI114" i="29" s="1"/>
  <c r="KQ114" i="29"/>
  <c r="AU114" i="29" s="1"/>
  <c r="GM185" i="29"/>
  <c r="HC185" i="29"/>
  <c r="HU185" i="29"/>
  <c r="IK185" i="29"/>
  <c r="JS185" i="29"/>
  <c r="KI185" i="29"/>
  <c r="FG133" i="30"/>
  <c r="AA133" i="30" s="1"/>
  <c r="BW322" i="30"/>
  <c r="DM322" i="30"/>
  <c r="EE80" i="29"/>
  <c r="W80" i="29" s="1"/>
  <c r="CO121" i="30"/>
  <c r="Q121" i="30" s="1"/>
  <c r="FU121" i="30"/>
  <c r="AC121" i="30" s="1"/>
  <c r="JA121" i="30"/>
  <c r="AO121" i="30" s="1"/>
  <c r="FN133" i="30"/>
  <c r="AB133" i="30" s="1"/>
  <c r="EL134" i="30"/>
  <c r="X134" i="30" s="1"/>
  <c r="DX80" i="29"/>
  <c r="V80" i="29" s="1"/>
  <c r="ES134" i="30"/>
  <c r="Y134" i="30" s="1"/>
  <c r="GU322" i="30"/>
  <c r="IK322" i="30"/>
  <c r="JF322" i="30"/>
  <c r="CA124" i="29"/>
  <c r="O124" i="29" s="1"/>
  <c r="Z285" i="30"/>
  <c r="HN89" i="29"/>
  <c r="JD89" i="29"/>
  <c r="CV124" i="29"/>
  <c r="R124" i="29" s="1"/>
  <c r="EL124" i="29"/>
  <c r="X124" i="29" s="1"/>
  <c r="DJ116" i="30"/>
  <c r="T116" i="30" s="1"/>
  <c r="II5" i="29"/>
  <c r="JT5" i="29"/>
  <c r="KA5" i="29"/>
  <c r="FX185" i="29"/>
  <c r="GN185" i="29"/>
  <c r="HV185" i="29"/>
  <c r="IL185" i="29"/>
  <c r="JD185" i="29"/>
  <c r="JT185" i="29"/>
  <c r="DG143" i="30"/>
  <c r="EB143" i="30"/>
  <c r="GM143" i="30"/>
  <c r="HH143" i="30"/>
  <c r="JS143" i="30"/>
  <c r="KN143" i="30"/>
  <c r="GG151" i="30"/>
  <c r="IR151" i="30"/>
  <c r="JM151" i="30"/>
  <c r="DP152" i="30"/>
  <c r="GE152" i="30"/>
  <c r="GZ152" i="30"/>
  <c r="JK152" i="30"/>
  <c r="KF152" i="30"/>
  <c r="HC5" i="29"/>
  <c r="HJ5" i="29"/>
  <c r="HQ5" i="29"/>
  <c r="IE5" i="29"/>
  <c r="KW5" i="29"/>
  <c r="GO134" i="29"/>
  <c r="HW134" i="29"/>
  <c r="FY185" i="29"/>
  <c r="GO185" i="29"/>
  <c r="HW185" i="29"/>
  <c r="IM185" i="29"/>
  <c r="AM185" i="29" s="1"/>
  <c r="KM185" i="29"/>
  <c r="EK322" i="30"/>
  <c r="FF322" i="30"/>
  <c r="GA322" i="30"/>
  <c r="GV322" i="30"/>
  <c r="HQ322" i="30"/>
  <c r="JG322" i="30"/>
  <c r="KW322" i="30"/>
  <c r="LD327" i="30" s="1"/>
  <c r="JE27" i="29"/>
  <c r="HX185" i="29"/>
  <c r="IP185" i="29"/>
  <c r="DW142" i="30"/>
  <c r="IK142" i="30"/>
  <c r="GA185" i="29"/>
  <c r="GS185" i="29"/>
  <c r="HI185" i="29"/>
  <c r="HY185" i="29"/>
  <c r="AK185" i="29" s="1"/>
  <c r="JG185" i="29"/>
  <c r="JY185" i="29"/>
  <c r="KO185" i="29"/>
  <c r="U16" i="30"/>
  <c r="GV21" i="30"/>
  <c r="IL21" i="30"/>
  <c r="KB21" i="30"/>
  <c r="KW21" i="30"/>
  <c r="CT145" i="30"/>
  <c r="DO145" i="30"/>
  <c r="FZ145" i="30"/>
  <c r="GU145" i="30"/>
  <c r="JF145" i="30"/>
  <c r="KA145" i="30"/>
  <c r="JZ185" i="29"/>
  <c r="LC45" i="30"/>
  <c r="JT81" i="30"/>
  <c r="KA185" i="29"/>
  <c r="AG80" i="29"/>
  <c r="CA128" i="29"/>
  <c r="O128" i="29" s="1"/>
  <c r="GF185" i="29"/>
  <c r="GV185" i="29"/>
  <c r="HN185" i="29"/>
  <c r="ID185" i="29"/>
  <c r="JL185" i="29"/>
  <c r="KB185" i="29"/>
  <c r="KT185" i="29"/>
  <c r="ED31" i="30"/>
  <c r="ED37" i="30" s="1"/>
  <c r="EY31" i="30"/>
  <c r="EY37" i="30" s="1"/>
  <c r="EJ293" i="30"/>
  <c r="EZ293" i="30"/>
  <c r="Z293" i="30" s="1"/>
  <c r="GH293" i="30"/>
  <c r="IR27" i="29"/>
  <c r="DQ130" i="30"/>
  <c r="U130" i="30" s="1"/>
  <c r="JV134" i="29"/>
  <c r="AR134" i="29" s="1"/>
  <c r="JK185" i="29"/>
  <c r="N285" i="30"/>
  <c r="GE147" i="30"/>
  <c r="JK147" i="30"/>
  <c r="GG185" i="29"/>
  <c r="GW185" i="29"/>
  <c r="AG185" i="29" s="1"/>
  <c r="HO185" i="29"/>
  <c r="IE185" i="29"/>
  <c r="IW185" i="29"/>
  <c r="JM185" i="29"/>
  <c r="KU185" i="29"/>
  <c r="AD80" i="29"/>
  <c r="HJ185" i="29"/>
  <c r="IZ185" i="29"/>
  <c r="JR185" i="29"/>
  <c r="KX185" i="29"/>
  <c r="AV185" i="29" s="1"/>
  <c r="KF5" i="29"/>
  <c r="JU89" i="29"/>
  <c r="KP89" i="29"/>
  <c r="CV128" i="29"/>
  <c r="R128" i="29" s="1"/>
  <c r="KF134" i="29"/>
  <c r="EL117" i="30"/>
  <c r="X117" i="30" s="1"/>
  <c r="HR117" i="30"/>
  <c r="AJ117" i="30" s="1"/>
  <c r="KX117" i="30"/>
  <c r="AV117" i="30" s="1"/>
  <c r="KT89" i="29"/>
  <c r="DC124" i="29"/>
  <c r="S124" i="29" s="1"/>
  <c r="CH128" i="29"/>
  <c r="P128" i="29" s="1"/>
  <c r="GH134" i="29"/>
  <c r="HP134" i="29"/>
  <c r="IF134" i="29"/>
  <c r="AL134" i="29" s="1"/>
  <c r="JN134" i="29"/>
  <c r="M154" i="29"/>
  <c r="AC100" i="29"/>
  <c r="AI113" i="29"/>
  <c r="IC21" i="30"/>
  <c r="L154" i="29"/>
  <c r="GS134" i="29"/>
  <c r="HI134" i="29"/>
  <c r="IQ134" i="29"/>
  <c r="JG134" i="29"/>
  <c r="JY134" i="29"/>
  <c r="KI134" i="29"/>
  <c r="LC46" i="30"/>
  <c r="KO146" i="30"/>
  <c r="I154" i="29"/>
  <c r="EL70" i="29"/>
  <c r="X70" i="29" s="1"/>
  <c r="HQ185" i="29"/>
  <c r="DJ124" i="29"/>
  <c r="T124" i="29" s="1"/>
  <c r="ES124" i="29"/>
  <c r="Y124" i="29" s="1"/>
  <c r="DJ128" i="29"/>
  <c r="T128" i="29" s="1"/>
  <c r="IL134" i="29"/>
  <c r="BR118" i="30"/>
  <c r="BY144" i="30" s="1"/>
  <c r="JD21" i="30"/>
  <c r="AU113" i="29"/>
  <c r="JE134" i="29"/>
  <c r="KB134" i="29"/>
  <c r="X23" i="30"/>
  <c r="BT293" i="30"/>
  <c r="N293" i="30" s="1"/>
  <c r="CZ316" i="30"/>
  <c r="JO185" i="29"/>
  <c r="AQ185" i="29" s="1"/>
  <c r="HD81" i="29"/>
  <c r="AH81" i="29" s="1"/>
  <c r="HD190" i="29"/>
  <c r="AH190" i="29" s="1"/>
  <c r="IF130" i="30"/>
  <c r="AL130" i="30" s="1"/>
  <c r="AL84" i="30"/>
  <c r="JA134" i="29"/>
  <c r="AO134" i="29" s="1"/>
  <c r="AO133" i="29"/>
  <c r="JA185" i="29"/>
  <c r="AO185" i="29" s="1"/>
  <c r="AO160" i="29"/>
  <c r="KC185" i="29"/>
  <c r="AS185" i="29" s="1"/>
  <c r="AS164" i="29"/>
  <c r="HU5" i="29"/>
  <c r="DJ80" i="29"/>
  <c r="T80" i="29" s="1"/>
  <c r="HY81" i="29"/>
  <c r="AK81" i="29" s="1"/>
  <c r="HY190" i="29"/>
  <c r="AK190" i="29" s="1"/>
  <c r="HK81" i="29"/>
  <c r="AI81" i="29" s="1"/>
  <c r="DQ80" i="29"/>
  <c r="U80" i="29" s="1"/>
  <c r="U100" i="29"/>
  <c r="IT114" i="29"/>
  <c r="AN114" i="29" s="1"/>
  <c r="BT128" i="29"/>
  <c r="N128" i="29" s="1"/>
  <c r="HG134" i="29"/>
  <c r="HN134" i="29"/>
  <c r="KJ185" i="29"/>
  <c r="AT185" i="29" s="1"/>
  <c r="EL307" i="30"/>
  <c r="X307" i="30" s="1"/>
  <c r="X305" i="30"/>
  <c r="CU322" i="30"/>
  <c r="LA44" i="30"/>
  <c r="JL134" i="29"/>
  <c r="FZ185" i="29"/>
  <c r="HH185" i="29"/>
  <c r="JF185" i="29"/>
  <c r="JV185" i="29"/>
  <c r="AR185" i="29" s="1"/>
  <c r="KN185" i="29"/>
  <c r="GP185" i="29"/>
  <c r="AF185" i="29" s="1"/>
  <c r="LB44" i="30"/>
  <c r="CO307" i="30"/>
  <c r="Q307" i="30" s="1"/>
  <c r="Q305" i="30"/>
  <c r="FU307" i="30"/>
  <c r="AC307" i="30" s="1"/>
  <c r="AC305" i="30"/>
  <c r="AJ172" i="29"/>
  <c r="HR185" i="29"/>
  <c r="AJ185" i="29" s="1"/>
  <c r="AN115" i="29"/>
  <c r="AO305" i="30"/>
  <c r="AK80" i="29"/>
  <c r="JA81" i="29"/>
  <c r="AO81" i="29" s="1"/>
  <c r="IT82" i="29"/>
  <c r="AN82" i="29" s="1"/>
  <c r="IT190" i="29"/>
  <c r="AN190" i="29" s="1"/>
  <c r="FG124" i="29"/>
  <c r="AA124" i="29" s="1"/>
  <c r="JU134" i="29"/>
  <c r="JH185" i="29"/>
  <c r="AP185" i="29" s="1"/>
  <c r="IT185" i="29"/>
  <c r="AN185" i="29" s="1"/>
  <c r="GL134" i="29"/>
  <c r="HB134" i="29"/>
  <c r="GU134" i="29"/>
  <c r="IJ134" i="29"/>
  <c r="IC134" i="29"/>
  <c r="IZ134" i="29"/>
  <c r="JR134" i="29"/>
  <c r="KH134" i="29"/>
  <c r="KA134" i="29"/>
  <c r="HY134" i="29"/>
  <c r="AK134" i="29" s="1"/>
  <c r="GE185" i="29"/>
  <c r="GU185" i="29"/>
  <c r="IC185" i="29"/>
  <c r="IS185" i="29"/>
  <c r="AU160" i="29"/>
  <c r="KQ185" i="29"/>
  <c r="AU185" i="29" s="1"/>
  <c r="AG164" i="29"/>
  <c r="JL81" i="30"/>
  <c r="Z100" i="29"/>
  <c r="EZ80" i="29"/>
  <c r="Z80" i="29" s="1"/>
  <c r="KJ114" i="29"/>
  <c r="AT114" i="29" s="1"/>
  <c r="AT113" i="29"/>
  <c r="JA114" i="29"/>
  <c r="AO114" i="29" s="1"/>
  <c r="AO115" i="29"/>
  <c r="ID134" i="29"/>
  <c r="HA185" i="29"/>
  <c r="KG185" i="29"/>
  <c r="KW185" i="29"/>
  <c r="IF96" i="30"/>
  <c r="AL96" i="30" s="1"/>
  <c r="AL70" i="30"/>
  <c r="AL180" i="30" s="1"/>
  <c r="LA45" i="30"/>
  <c r="IT293" i="30"/>
  <c r="AN293" i="30" s="1"/>
  <c r="AN285" i="30"/>
  <c r="KQ85" i="29"/>
  <c r="AU85" i="29" s="1"/>
  <c r="AU84" i="29"/>
  <c r="AA100" i="29"/>
  <c r="FG80" i="29"/>
  <c r="AA80" i="29" s="1"/>
  <c r="AH113" i="29"/>
  <c r="KT134" i="29"/>
  <c r="AR160" i="29"/>
  <c r="HK185" i="29"/>
  <c r="AI185" i="29" s="1"/>
  <c r="DQ289" i="30"/>
  <c r="U289" i="30" s="1"/>
  <c r="U285" i="30"/>
  <c r="AH160" i="29"/>
  <c r="HD185" i="29"/>
  <c r="AH185" i="29" s="1"/>
  <c r="BT80" i="29"/>
  <c r="N80" i="29" s="1"/>
  <c r="IM134" i="29"/>
  <c r="AM134" i="29" s="1"/>
  <c r="KV134" i="29"/>
  <c r="AD164" i="29"/>
  <c r="GB185" i="29"/>
  <c r="AD185" i="29" s="1"/>
  <c r="IR185" i="29"/>
  <c r="JH38" i="29"/>
  <c r="AP38" i="29" s="1"/>
  <c r="IM114" i="29"/>
  <c r="AM114" i="29" s="1"/>
  <c r="HG185" i="29"/>
  <c r="JE185" i="29"/>
  <c r="JU185" i="29"/>
  <c r="HK118" i="30"/>
  <c r="HP21" i="30"/>
  <c r="DX130" i="30"/>
  <c r="V130" i="30" s="1"/>
  <c r="DH131" i="30"/>
  <c r="CS146" i="30"/>
  <c r="DN146" i="30"/>
  <c r="FY146" i="30"/>
  <c r="GT146" i="30"/>
  <c r="JE146" i="30"/>
  <c r="CS147" i="30"/>
  <c r="GT147" i="30"/>
  <c r="JZ147" i="30"/>
  <c r="IS151" i="30"/>
  <c r="JN151" i="30"/>
  <c r="CY152" i="30"/>
  <c r="DT152" i="30"/>
  <c r="GF152" i="30"/>
  <c r="HA152" i="30"/>
  <c r="JL152" i="30"/>
  <c r="KG152" i="30"/>
  <c r="II322" i="30"/>
  <c r="IX27" i="29"/>
  <c r="IF81" i="29"/>
  <c r="AL81" i="29" s="1"/>
  <c r="IF190" i="29"/>
  <c r="AL190" i="29" s="1"/>
  <c r="GW114" i="29"/>
  <c r="AG114" i="29" s="1"/>
  <c r="KC114" i="29"/>
  <c r="AS114" i="29" s="1"/>
  <c r="BT124" i="29"/>
  <c r="N124" i="29" s="1"/>
  <c r="AS136" i="29"/>
  <c r="KC137" i="29"/>
  <c r="AS137" i="29" s="1"/>
  <c r="KC133" i="29"/>
  <c r="KC134" i="29" s="1"/>
  <c r="AS134" i="29" s="1"/>
  <c r="DU31" i="30"/>
  <c r="DU37" i="30" s="1"/>
  <c r="EP126" i="30"/>
  <c r="EL130" i="30"/>
  <c r="X130" i="30" s="1"/>
  <c r="X24" i="30"/>
  <c r="EL311" i="30"/>
  <c r="X311" i="30" s="1"/>
  <c r="X86" i="30"/>
  <c r="X260" i="30" s="1"/>
  <c r="HR311" i="30"/>
  <c r="AJ311" i="30" s="1"/>
  <c r="AJ86" i="30"/>
  <c r="AJ260" i="30" s="1"/>
  <c r="DH144" i="30"/>
  <c r="EC144" i="30"/>
  <c r="HV144" i="30"/>
  <c r="IQ144" i="30"/>
  <c r="CU145" i="30"/>
  <c r="FF145" i="30"/>
  <c r="DQ307" i="30"/>
  <c r="U307" i="30" s="1"/>
  <c r="U305" i="30"/>
  <c r="GW307" i="30"/>
  <c r="AG307" i="30" s="1"/>
  <c r="AG305" i="30"/>
  <c r="FC322" i="30"/>
  <c r="JY322" i="30"/>
  <c r="H154" i="29"/>
  <c r="IW5" i="29"/>
  <c r="IM81" i="29"/>
  <c r="AM81" i="29" s="1"/>
  <c r="IM190" i="29"/>
  <c r="AM190" i="29" s="1"/>
  <c r="GB114" i="29"/>
  <c r="AD114" i="29" s="1"/>
  <c r="AD113" i="29"/>
  <c r="JH114" i="29"/>
  <c r="AP114" i="29" s="1"/>
  <c r="DQ128" i="29"/>
  <c r="U128" i="29" s="1"/>
  <c r="GT185" i="29"/>
  <c r="IB185" i="29"/>
  <c r="KP185" i="29"/>
  <c r="GP190" i="29"/>
  <c r="AF190" i="29" s="1"/>
  <c r="CO116" i="30"/>
  <c r="Q116" i="30" s="1"/>
  <c r="FL116" i="30"/>
  <c r="FL142" i="30" s="1"/>
  <c r="HR116" i="30"/>
  <c r="AJ116" i="30" s="1"/>
  <c r="KX116" i="30"/>
  <c r="AV116" i="30" s="1"/>
  <c r="CO119" i="30"/>
  <c r="Q119" i="30" s="1"/>
  <c r="FU119" i="30"/>
  <c r="AC119" i="30" s="1"/>
  <c r="JA119" i="30"/>
  <c r="AO119" i="30" s="1"/>
  <c r="AO13" i="30"/>
  <c r="CO129" i="30"/>
  <c r="Q129" i="30" s="1"/>
  <c r="FU129" i="30"/>
  <c r="AC129" i="30" s="1"/>
  <c r="ES130" i="30"/>
  <c r="Y130" i="30" s="1"/>
  <c r="HY130" i="30"/>
  <c r="AK130" i="30" s="1"/>
  <c r="AK84" i="30"/>
  <c r="HH89" i="29"/>
  <c r="IC89" i="29"/>
  <c r="IX89" i="29"/>
  <c r="JS89" i="29"/>
  <c r="KN89" i="29"/>
  <c r="IY185" i="29"/>
  <c r="KB81" i="30"/>
  <c r="CV311" i="30"/>
  <c r="R311" i="30" s="1"/>
  <c r="R86" i="30"/>
  <c r="R260" i="30" s="1"/>
  <c r="BS293" i="30"/>
  <c r="K154" i="29"/>
  <c r="AG115" i="29"/>
  <c r="HD134" i="29"/>
  <c r="AH134" i="29" s="1"/>
  <c r="GL185" i="29"/>
  <c r="HB185" i="29"/>
  <c r="DX121" i="30"/>
  <c r="V121" i="30" s="1"/>
  <c r="HD121" i="30"/>
  <c r="AH121" i="30" s="1"/>
  <c r="KJ121" i="30"/>
  <c r="AT121" i="30" s="1"/>
  <c r="FC31" i="30"/>
  <c r="FC37" i="30" s="1"/>
  <c r="HJ21" i="30"/>
  <c r="CA131" i="30"/>
  <c r="O131" i="30" s="1"/>
  <c r="EA131" i="30"/>
  <c r="EL133" i="30"/>
  <c r="X133" i="30" s="1"/>
  <c r="J154" i="29"/>
  <c r="HK82" i="29"/>
  <c r="AI82" i="29" s="1"/>
  <c r="KU134" i="29"/>
  <c r="IT134" i="29"/>
  <c r="AN134" i="29" s="1"/>
  <c r="JN295" i="30"/>
  <c r="CE322" i="30"/>
  <c r="DU322" i="30"/>
  <c r="HQ141" i="30"/>
  <c r="HR81" i="29"/>
  <c r="AJ81" i="29" s="1"/>
  <c r="KM89" i="29"/>
  <c r="Q100" i="29"/>
  <c r="CO80" i="29"/>
  <c r="Q80" i="29" s="1"/>
  <c r="AE113" i="29"/>
  <c r="CO128" i="29"/>
  <c r="Q128" i="29" s="1"/>
  <c r="GI185" i="29"/>
  <c r="AE185" i="29" s="1"/>
  <c r="II185" i="29"/>
  <c r="U12" i="30"/>
  <c r="DX119" i="30"/>
  <c r="V119" i="30" s="1"/>
  <c r="HD119" i="30"/>
  <c r="AH119" i="30" s="1"/>
  <c r="KJ119" i="30"/>
  <c r="AT119" i="30" s="1"/>
  <c r="L126" i="30"/>
  <c r="L321" i="30" s="1"/>
  <c r="DH126" i="30"/>
  <c r="FN130" i="30"/>
  <c r="AB130" i="30" s="1"/>
  <c r="BZ293" i="30"/>
  <c r="CR293" i="30"/>
  <c r="EP293" i="30"/>
  <c r="DJ50" i="29"/>
  <c r="T50" i="29" s="1"/>
  <c r="EZ124" i="29"/>
  <c r="Z124" i="29" s="1"/>
  <c r="CV116" i="30"/>
  <c r="R116" i="30" s="1"/>
  <c r="CA118" i="30"/>
  <c r="O118" i="30" s="1"/>
  <c r="DW131" i="30"/>
  <c r="GT322" i="30"/>
  <c r="JZ322" i="30"/>
  <c r="ED152" i="30"/>
  <c r="GH185" i="29"/>
  <c r="GZ185" i="29"/>
  <c r="HP185" i="29"/>
  <c r="IF185" i="29"/>
  <c r="AL185" i="29" s="1"/>
  <c r="IX185" i="29"/>
  <c r="JN185" i="29"/>
  <c r="KF185" i="29"/>
  <c r="KV185" i="29"/>
  <c r="DJ115" i="30"/>
  <c r="T115" i="30" s="1"/>
  <c r="GP115" i="30"/>
  <c r="AF115" i="30" s="1"/>
  <c r="JV115" i="30"/>
  <c r="AR115" i="30" s="1"/>
  <c r="EL116" i="30"/>
  <c r="GI116" i="30"/>
  <c r="JO116" i="30"/>
  <c r="AQ116" i="30" s="1"/>
  <c r="DJ118" i="30"/>
  <c r="T118" i="30" s="1"/>
  <c r="C126" i="30"/>
  <c r="DA31" i="30"/>
  <c r="DA37" i="30" s="1"/>
  <c r="JZ21" i="30"/>
  <c r="EE130" i="30"/>
  <c r="W130" i="30" s="1"/>
  <c r="DG131" i="30"/>
  <c r="EL97" i="30"/>
  <c r="X97" i="30" s="1"/>
  <c r="HR97" i="30"/>
  <c r="AJ97" i="30" s="1"/>
  <c r="KX97" i="30"/>
  <c r="AV97" i="30" s="1"/>
  <c r="LQ12" i="30"/>
  <c r="LX45" i="30" s="1"/>
  <c r="DG316" i="30"/>
  <c r="KN316" i="30"/>
  <c r="FZ323" i="30"/>
  <c r="HP323" i="30"/>
  <c r="JF323" i="30"/>
  <c r="KV323" i="30"/>
  <c r="LC328" i="30" s="1"/>
  <c r="GO142" i="30"/>
  <c r="DF143" i="30"/>
  <c r="EA143" i="30"/>
  <c r="GL143" i="30"/>
  <c r="HG143" i="30"/>
  <c r="JR143" i="30"/>
  <c r="KM143" i="30"/>
  <c r="CT144" i="30"/>
  <c r="GM144" i="30"/>
  <c r="JS144" i="30"/>
  <c r="ER145" i="30"/>
  <c r="FM145" i="30"/>
  <c r="HX145" i="30"/>
  <c r="JF27" i="29"/>
  <c r="EL56" i="29"/>
  <c r="X56" i="29" s="1"/>
  <c r="KX85" i="29"/>
  <c r="AV85" i="29" s="1"/>
  <c r="IF114" i="29"/>
  <c r="AL114" i="29" s="1"/>
  <c r="CH124" i="29"/>
  <c r="P124" i="29" s="1"/>
  <c r="DC128" i="29"/>
  <c r="S128" i="29" s="1"/>
  <c r="DX128" i="29"/>
  <c r="V128" i="29" s="1"/>
  <c r="JA116" i="30"/>
  <c r="AO116" i="30" s="1"/>
  <c r="IM118" i="30"/>
  <c r="CA119" i="30"/>
  <c r="O119" i="30" s="1"/>
  <c r="FG119" i="30"/>
  <c r="AA119" i="30" s="1"/>
  <c r="IM119" i="30"/>
  <c r="AM119" i="30" s="1"/>
  <c r="EI31" i="30"/>
  <c r="EI37" i="30" s="1"/>
  <c r="EE129" i="30"/>
  <c r="W129" i="30" s="1"/>
  <c r="FG134" i="30"/>
  <c r="AA134" i="30" s="1"/>
  <c r="JH98" i="30"/>
  <c r="AP98" i="30" s="1"/>
  <c r="DO105" i="30"/>
  <c r="JH294" i="30"/>
  <c r="AP294" i="30" s="1"/>
  <c r="KG306" i="30"/>
  <c r="M322" i="30"/>
  <c r="EV322" i="30"/>
  <c r="FD141" i="30"/>
  <c r="IJ141" i="30"/>
  <c r="CS142" i="30"/>
  <c r="FD142" i="30"/>
  <c r="GL142" i="30"/>
  <c r="HG142" i="30"/>
  <c r="JR142" i="30"/>
  <c r="DI144" i="30"/>
  <c r="HW144" i="30"/>
  <c r="IR144" i="30"/>
  <c r="HW5" i="29"/>
  <c r="IY5" i="29"/>
  <c r="JK5" i="29"/>
  <c r="JR5" i="29"/>
  <c r="JY5" i="29"/>
  <c r="HJ89" i="29"/>
  <c r="IE89" i="29"/>
  <c r="JR27" i="29"/>
  <c r="II89" i="29"/>
  <c r="JU27" i="29"/>
  <c r="IZ27" i="29"/>
  <c r="KF89" i="29"/>
  <c r="JN89" i="29"/>
  <c r="HG89" i="29"/>
  <c r="IB89" i="29"/>
  <c r="IW89" i="29"/>
  <c r="HA5" i="29"/>
  <c r="CA120" i="30"/>
  <c r="O120" i="30" s="1"/>
  <c r="FG120" i="30"/>
  <c r="AA120" i="30" s="1"/>
  <c r="IM120" i="30"/>
  <c r="AM120" i="30" s="1"/>
  <c r="V23" i="30"/>
  <c r="DC130" i="30"/>
  <c r="S130" i="30" s="1"/>
  <c r="DX26" i="30"/>
  <c r="V26" i="30" s="1"/>
  <c r="ES96" i="30"/>
  <c r="Y96" i="30" s="1"/>
  <c r="GP96" i="30"/>
  <c r="AF96" i="30" s="1"/>
  <c r="JV96" i="30"/>
  <c r="AR96" i="30" s="1"/>
  <c r="KC98" i="30"/>
  <c r="AS98" i="30" s="1"/>
  <c r="EZ99" i="30"/>
  <c r="Z99" i="30" s="1"/>
  <c r="EL85" i="30"/>
  <c r="CL293" i="30"/>
  <c r="DB293" i="30"/>
  <c r="IL295" i="30"/>
  <c r="DJ130" i="30"/>
  <c r="T130" i="30" s="1"/>
  <c r="DC26" i="30"/>
  <c r="S26" i="30" s="1"/>
  <c r="AA305" i="30"/>
  <c r="DF142" i="30"/>
  <c r="EA142" i="30"/>
  <c r="HQ142" i="30"/>
  <c r="IL142" i="30"/>
  <c r="KW142" i="30"/>
  <c r="JA47" i="30"/>
  <c r="AO47" i="30" s="1"/>
  <c r="JK21" i="30"/>
  <c r="HQ306" i="30"/>
  <c r="KV306" i="30"/>
  <c r="CL141" i="30"/>
  <c r="DG141" i="30"/>
  <c r="FR141" i="30"/>
  <c r="GM141" i="30"/>
  <c r="IX141" i="30"/>
  <c r="JS141" i="30"/>
  <c r="DI146" i="30"/>
  <c r="ED146" i="30"/>
  <c r="GO146" i="30"/>
  <c r="HJ146" i="30"/>
  <c r="JU146" i="30"/>
  <c r="DI147" i="30"/>
  <c r="CE151" i="30"/>
  <c r="IC151" i="30"/>
  <c r="IX151" i="30"/>
  <c r="CF152" i="30"/>
  <c r="DA152" i="30"/>
  <c r="FM152" i="30"/>
  <c r="GH152" i="30"/>
  <c r="IS152" i="30"/>
  <c r="JN152" i="30"/>
  <c r="HV21" i="30"/>
  <c r="JL21" i="30"/>
  <c r="HN81" i="30"/>
  <c r="CY105" i="30"/>
  <c r="CM141" i="30"/>
  <c r="DH141" i="30"/>
  <c r="FS141" i="30"/>
  <c r="GN141" i="30"/>
  <c r="IY141" i="30"/>
  <c r="JT141" i="30"/>
  <c r="CM142" i="30"/>
  <c r="CS145" i="30"/>
  <c r="DN145" i="30"/>
  <c r="FY145" i="30"/>
  <c r="JE145" i="30"/>
  <c r="DM146" i="30"/>
  <c r="EH146" i="30"/>
  <c r="EE133" i="30"/>
  <c r="W133" i="30" s="1"/>
  <c r="HK105" i="30"/>
  <c r="AI105" i="30" s="1"/>
  <c r="DC117" i="30"/>
  <c r="GI117" i="30"/>
  <c r="JO117" i="30"/>
  <c r="AK18" i="30"/>
  <c r="CR126" i="30"/>
  <c r="IS21" i="30"/>
  <c r="KI50" i="30"/>
  <c r="I80" i="30"/>
  <c r="I90" i="30" s="1"/>
  <c r="JE84" i="30"/>
  <c r="JE130" i="30" s="1"/>
  <c r="IK290" i="30"/>
  <c r="GA145" i="30"/>
  <c r="IL145" i="30"/>
  <c r="JG145" i="30"/>
  <c r="HY58" i="30"/>
  <c r="AK58" i="30" s="1"/>
  <c r="AE11" i="30"/>
  <c r="GL21" i="30"/>
  <c r="HG50" i="30"/>
  <c r="GV81" i="30"/>
  <c r="CV115" i="30"/>
  <c r="R115" i="30" s="1"/>
  <c r="GB115" i="30"/>
  <c r="JH115" i="30"/>
  <c r="JA131" i="30"/>
  <c r="AO131" i="30" s="1"/>
  <c r="KC289" i="30"/>
  <c r="KC290" i="30" s="1"/>
  <c r="AS290" i="30" s="1"/>
  <c r="EJ141" i="30"/>
  <c r="FE141" i="30"/>
  <c r="HP141" i="30"/>
  <c r="IK141" i="30"/>
  <c r="KV141" i="30"/>
  <c r="R9" i="30"/>
  <c r="DC115" i="30"/>
  <c r="S115" i="30" s="1"/>
  <c r="GI115" i="30"/>
  <c r="AE115" i="30" s="1"/>
  <c r="JO115" i="30"/>
  <c r="AQ115" i="30" s="1"/>
  <c r="EK31" i="30"/>
  <c r="EK37" i="30" s="1"/>
  <c r="AO26" i="30"/>
  <c r="DI131" i="30"/>
  <c r="X29" i="30"/>
  <c r="EK141" i="30"/>
  <c r="CF145" i="30"/>
  <c r="EQ145" i="30"/>
  <c r="FL145" i="30"/>
  <c r="HW145" i="30"/>
  <c r="IR145" i="30"/>
  <c r="HR293" i="30"/>
  <c r="AJ293" i="30" s="1"/>
  <c r="GB116" i="30"/>
  <c r="AD116" i="30" s="1"/>
  <c r="JH116" i="30"/>
  <c r="BT14" i="30"/>
  <c r="Z24" i="30"/>
  <c r="CR131" i="30"/>
  <c r="HY132" i="30"/>
  <c r="AK132" i="30" s="1"/>
  <c r="DH293" i="30"/>
  <c r="DX293" i="30"/>
  <c r="V293" i="30" s="1"/>
  <c r="FF293" i="30"/>
  <c r="FX293" i="30"/>
  <c r="HD293" i="30"/>
  <c r="AH293" i="30" s="1"/>
  <c r="KJ293" i="30"/>
  <c r="AT293" i="30" s="1"/>
  <c r="JD295" i="30"/>
  <c r="HH144" i="30"/>
  <c r="KN144" i="30"/>
  <c r="IS145" i="30"/>
  <c r="LC43" i="30"/>
  <c r="LD45" i="30"/>
  <c r="LB46" i="30"/>
  <c r="LP11" i="30"/>
  <c r="LW44" i="30" s="1"/>
  <c r="LA43" i="30"/>
  <c r="LB43" i="30"/>
  <c r="CV130" i="30"/>
  <c r="R130" i="30" s="1"/>
  <c r="Y29" i="30"/>
  <c r="DQ99" i="30"/>
  <c r="U99" i="30" s="1"/>
  <c r="GW99" i="30"/>
  <c r="AG99" i="30" s="1"/>
  <c r="KC99" i="30"/>
  <c r="AS99" i="30" s="1"/>
  <c r="DJ100" i="30"/>
  <c r="T100" i="30" s="1"/>
  <c r="GP100" i="30"/>
  <c r="AF100" i="30" s="1"/>
  <c r="JV100" i="30"/>
  <c r="AR100" i="30" s="1"/>
  <c r="IK81" i="30"/>
  <c r="JF81" i="30"/>
  <c r="KA81" i="30"/>
  <c r="KV81" i="30"/>
  <c r="JH83" i="30"/>
  <c r="JH129" i="30" s="1"/>
  <c r="AP129" i="30" s="1"/>
  <c r="JO294" i="30"/>
  <c r="AQ294" i="30" s="1"/>
  <c r="J322" i="30"/>
  <c r="FF141" i="30"/>
  <c r="IL141" i="30"/>
  <c r="AD10" i="30"/>
  <c r="CU31" i="30"/>
  <c r="CU37" i="30" s="1"/>
  <c r="KA21" i="30"/>
  <c r="EO131" i="30"/>
  <c r="HD131" i="30"/>
  <c r="KJ131" i="30"/>
  <c r="LI42" i="30"/>
  <c r="AJ71" i="30"/>
  <c r="AJ190" i="30" s="1"/>
  <c r="JD297" i="30"/>
  <c r="JV305" i="30"/>
  <c r="AR305" i="30" s="1"/>
  <c r="GO323" i="30"/>
  <c r="JU323" i="30"/>
  <c r="DN147" i="30"/>
  <c r="EI147" i="30"/>
  <c r="HO147" i="30"/>
  <c r="KU147" i="30"/>
  <c r="CA121" i="30"/>
  <c r="O121" i="30" s="1"/>
  <c r="FG121" i="30"/>
  <c r="AA121" i="30" s="1"/>
  <c r="IM121" i="30"/>
  <c r="AM121" i="30" s="1"/>
  <c r="JU50" i="30"/>
  <c r="KP21" i="30"/>
  <c r="EP131" i="30"/>
  <c r="CV95" i="30"/>
  <c r="R95" i="30" s="1"/>
  <c r="GB95" i="30"/>
  <c r="AD95" i="30" s="1"/>
  <c r="JH95" i="30"/>
  <c r="AP95" i="30" s="1"/>
  <c r="HY98" i="30"/>
  <c r="AK98" i="30" s="1"/>
  <c r="Z73" i="30"/>
  <c r="Z210" i="30" s="1"/>
  <c r="DX100" i="30"/>
  <c r="V100" i="30" s="1"/>
  <c r="HD100" i="30"/>
  <c r="AH100" i="30" s="1"/>
  <c r="KJ100" i="30"/>
  <c r="AT100" i="30" s="1"/>
  <c r="EY103" i="30"/>
  <c r="GE81" i="30"/>
  <c r="GZ81" i="30"/>
  <c r="HU81" i="30"/>
  <c r="IP81" i="30"/>
  <c r="JK81" i="30"/>
  <c r="KF81" i="30"/>
  <c r="BT86" i="30"/>
  <c r="BT260" i="30" s="1"/>
  <c r="IF106" i="30"/>
  <c r="AL106" i="30" s="1"/>
  <c r="EQ293" i="30"/>
  <c r="AF288" i="30"/>
  <c r="GW289" i="30"/>
  <c r="GW297" i="30" s="1"/>
  <c r="AG297" i="30" s="1"/>
  <c r="JH289" i="30"/>
  <c r="AP289" i="30" s="1"/>
  <c r="JS297" i="30"/>
  <c r="CZ322" i="30"/>
  <c r="CR144" i="30"/>
  <c r="DM144" i="30"/>
  <c r="HC144" i="30"/>
  <c r="HX144" i="30"/>
  <c r="KI144" i="30"/>
  <c r="CD145" i="30"/>
  <c r="CY145" i="30"/>
  <c r="FJ145" i="30"/>
  <c r="GE145" i="30"/>
  <c r="IP145" i="30"/>
  <c r="JK145" i="30"/>
  <c r="CT146" i="30"/>
  <c r="DO146" i="30"/>
  <c r="FZ146" i="30"/>
  <c r="GU146" i="30"/>
  <c r="JF146" i="30"/>
  <c r="KA146" i="30"/>
  <c r="CT147" i="30"/>
  <c r="DO147" i="30"/>
  <c r="FZ147" i="30"/>
  <c r="GU147" i="30"/>
  <c r="HP147" i="30"/>
  <c r="KA147" i="30"/>
  <c r="FX126" i="30"/>
  <c r="GF81" i="30"/>
  <c r="HV103" i="30"/>
  <c r="HV295" i="30"/>
  <c r="JT297" i="30"/>
  <c r="KN306" i="30"/>
  <c r="IJ306" i="30"/>
  <c r="CS144" i="30"/>
  <c r="HG144" i="30"/>
  <c r="IB144" i="30"/>
  <c r="KM144" i="30"/>
  <c r="CE145" i="30"/>
  <c r="EP145" i="30"/>
  <c r="FK145" i="30"/>
  <c r="HV145" i="30"/>
  <c r="IQ145" i="30"/>
  <c r="CU146" i="30"/>
  <c r="DP146" i="30"/>
  <c r="GA146" i="30"/>
  <c r="GV146" i="30"/>
  <c r="JG146" i="30"/>
  <c r="KB146" i="30"/>
  <c r="CU147" i="30"/>
  <c r="DP147" i="30"/>
  <c r="GA147" i="30"/>
  <c r="GV147" i="30"/>
  <c r="KB147" i="30"/>
  <c r="KW147" i="30"/>
  <c r="GV151" i="30"/>
  <c r="JG151" i="30"/>
  <c r="KB151" i="30"/>
  <c r="EI152" i="30"/>
  <c r="GT152" i="30"/>
  <c r="HO152" i="30"/>
  <c r="JZ152" i="30"/>
  <c r="KU152" i="30"/>
  <c r="KJ118" i="30"/>
  <c r="AT118" i="30" s="1"/>
  <c r="KF21" i="30"/>
  <c r="S24" i="30"/>
  <c r="DQ101" i="30"/>
  <c r="U101" i="30" s="1"/>
  <c r="GW101" i="30"/>
  <c r="AG101" i="30" s="1"/>
  <c r="KC101" i="30"/>
  <c r="AS101" i="30" s="1"/>
  <c r="HW81" i="30"/>
  <c r="KH81" i="30"/>
  <c r="AH83" i="30"/>
  <c r="HK294" i="30"/>
  <c r="AI294" i="30" s="1"/>
  <c r="KQ294" i="30"/>
  <c r="AU294" i="30" s="1"/>
  <c r="GG289" i="30"/>
  <c r="GG297" i="30" s="1"/>
  <c r="IL306" i="30"/>
  <c r="EB322" i="30"/>
  <c r="LR13" i="30"/>
  <c r="LY46" i="30" s="1"/>
  <c r="IF99" i="30"/>
  <c r="AL99" i="30" s="1"/>
  <c r="DX101" i="30"/>
  <c r="V101" i="30" s="1"/>
  <c r="HD101" i="30"/>
  <c r="AH101" i="30" s="1"/>
  <c r="KJ101" i="30"/>
  <c r="AT101" i="30" s="1"/>
  <c r="HC81" i="30"/>
  <c r="IS81" i="30"/>
  <c r="JN81" i="30"/>
  <c r="KI81" i="30"/>
  <c r="GH289" i="30"/>
  <c r="GH297" i="30" s="1"/>
  <c r="HA306" i="30"/>
  <c r="JO306" i="30"/>
  <c r="LC44" i="30"/>
  <c r="J126" i="30"/>
  <c r="EE97" i="30"/>
  <c r="W97" i="30" s="1"/>
  <c r="HK97" i="30"/>
  <c r="AI97" i="30" s="1"/>
  <c r="KQ97" i="30"/>
  <c r="AU97" i="30" s="1"/>
  <c r="AF74" i="30"/>
  <c r="AF220" i="30" s="1"/>
  <c r="EE101" i="30"/>
  <c r="W101" i="30" s="1"/>
  <c r="HK101" i="30"/>
  <c r="AI101" i="30" s="1"/>
  <c r="KQ101" i="30"/>
  <c r="AU101" i="30" s="1"/>
  <c r="GL81" i="30"/>
  <c r="HG81" i="30"/>
  <c r="IB81" i="30"/>
  <c r="IW81" i="30"/>
  <c r="JR81" i="30"/>
  <c r="KM81" i="30"/>
  <c r="HB306" i="30"/>
  <c r="HR306" i="30"/>
  <c r="IZ306" i="30"/>
  <c r="JR306" i="30"/>
  <c r="IZ307" i="30"/>
  <c r="DG142" i="30"/>
  <c r="HU142" i="30"/>
  <c r="DH143" i="30"/>
  <c r="GN143" i="30"/>
  <c r="JT143" i="30"/>
  <c r="FE144" i="30"/>
  <c r="GM81" i="30"/>
  <c r="HH81" i="30"/>
  <c r="IC81" i="30"/>
  <c r="IX81" i="30"/>
  <c r="JS81" i="30"/>
  <c r="JD84" i="30"/>
  <c r="JD130" i="30" s="1"/>
  <c r="AP288" i="30"/>
  <c r="DH142" i="30"/>
  <c r="HA142" i="30"/>
  <c r="HV142" i="30"/>
  <c r="IQ142" i="30"/>
  <c r="KG142" i="30"/>
  <c r="CN143" i="30"/>
  <c r="DI143" i="30"/>
  <c r="FT143" i="30"/>
  <c r="GO143" i="30"/>
  <c r="IZ143" i="30"/>
  <c r="JU143" i="30"/>
  <c r="GH151" i="30"/>
  <c r="LQ44" i="30"/>
  <c r="CH118" i="30"/>
  <c r="LB45" i="30"/>
  <c r="ES129" i="30"/>
  <c r="Y129" i="30" s="1"/>
  <c r="KP31" i="30"/>
  <c r="FS80" i="30"/>
  <c r="BT85" i="30"/>
  <c r="DC307" i="30"/>
  <c r="S307" i="30" s="1"/>
  <c r="CN141" i="30"/>
  <c r="FT141" i="30"/>
  <c r="IZ141" i="30"/>
  <c r="CN142" i="30"/>
  <c r="DI142" i="30"/>
  <c r="HB142" i="30"/>
  <c r="HW142" i="30"/>
  <c r="KH142" i="30"/>
  <c r="CR143" i="30"/>
  <c r="FX143" i="30"/>
  <c r="JD143" i="30"/>
  <c r="CO118" i="30"/>
  <c r="Q118" i="30" s="1"/>
  <c r="IR21" i="30"/>
  <c r="JM21" i="30"/>
  <c r="EZ129" i="30"/>
  <c r="Z129" i="30" s="1"/>
  <c r="FU130" i="30"/>
  <c r="AC130" i="30" s="1"/>
  <c r="FG26" i="30"/>
  <c r="AA26" i="30" s="1"/>
  <c r="GI96" i="30"/>
  <c r="AE96" i="30" s="1"/>
  <c r="JO96" i="30"/>
  <c r="AQ96" i="30" s="1"/>
  <c r="JV98" i="30"/>
  <c r="AR98" i="30" s="1"/>
  <c r="AL73" i="30"/>
  <c r="AL210" i="30" s="1"/>
  <c r="CV85" i="30"/>
  <c r="JH293" i="30"/>
  <c r="AP293" i="30" s="1"/>
  <c r="IT289" i="30"/>
  <c r="IT297" i="30" s="1"/>
  <c r="AN297" i="30" s="1"/>
  <c r="IJ290" i="30"/>
  <c r="CR141" i="30"/>
  <c r="FC141" i="30"/>
  <c r="FX141" i="30"/>
  <c r="II141" i="30"/>
  <c r="JD141" i="30"/>
  <c r="CR142" i="30"/>
  <c r="FC142" i="30"/>
  <c r="HC142" i="30"/>
  <c r="KI142" i="30"/>
  <c r="CS143" i="30"/>
  <c r="FD143" i="30"/>
  <c r="FY143" i="30"/>
  <c r="IJ143" i="30"/>
  <c r="JE143" i="30"/>
  <c r="EB147" i="30"/>
  <c r="EW147" i="30"/>
  <c r="IC147" i="30"/>
  <c r="IX147" i="30"/>
  <c r="X11" i="30"/>
  <c r="JN21" i="30"/>
  <c r="W23" i="30"/>
  <c r="U24" i="30"/>
  <c r="IW129" i="30"/>
  <c r="IW84" i="30"/>
  <c r="IW130" i="30" s="1"/>
  <c r="JN129" i="30"/>
  <c r="JN84" i="30"/>
  <c r="JN130" i="30" s="1"/>
  <c r="BT11" i="30"/>
  <c r="IX129" i="30"/>
  <c r="IX84" i="30"/>
  <c r="IX130" i="30" s="1"/>
  <c r="AL86" i="30"/>
  <c r="AL260" i="30" s="1"/>
  <c r="DT293" i="30"/>
  <c r="DM293" i="30"/>
  <c r="FR293" i="30"/>
  <c r="FK289" i="30"/>
  <c r="FR295" i="30" s="1"/>
  <c r="BW95" i="30"/>
  <c r="BT69" i="30"/>
  <c r="CA95" i="30" s="1"/>
  <c r="O95" i="30" s="1"/>
  <c r="AD9" i="30"/>
  <c r="V13" i="30"/>
  <c r="FE50" i="30"/>
  <c r="Y23" i="30"/>
  <c r="W24" i="30"/>
  <c r="AD35" i="30"/>
  <c r="GI58" i="30"/>
  <c r="AE58" i="30" s="1"/>
  <c r="JO58" i="30"/>
  <c r="AQ58" i="30" s="1"/>
  <c r="JG37" i="30"/>
  <c r="HD52" i="30"/>
  <c r="AH52" i="30" s="1"/>
  <c r="AD285" i="30"/>
  <c r="GB289" i="30"/>
  <c r="GB297" i="30" s="1"/>
  <c r="AD297" i="30" s="1"/>
  <c r="HB297" i="30"/>
  <c r="HB290" i="30"/>
  <c r="AV10" i="30"/>
  <c r="AJ11" i="30"/>
  <c r="AE35" i="30"/>
  <c r="GP58" i="30"/>
  <c r="AF58" i="30" s="1"/>
  <c r="JV58" i="30"/>
  <c r="AR58" i="30" s="1"/>
  <c r="AD69" i="30"/>
  <c r="HC290" i="30"/>
  <c r="HC297" i="30"/>
  <c r="BT13" i="30"/>
  <c r="BT46" i="30" s="1"/>
  <c r="N46" i="30" s="1"/>
  <c r="R16" i="30"/>
  <c r="IE21" i="30"/>
  <c r="AA23" i="30"/>
  <c r="Y24" i="30"/>
  <c r="X28" i="30"/>
  <c r="AF35" i="30"/>
  <c r="GW58" i="30"/>
  <c r="AG58" i="30" s="1"/>
  <c r="KC58" i="30"/>
  <c r="AS58" i="30" s="1"/>
  <c r="BT70" i="30"/>
  <c r="KT81" i="30"/>
  <c r="T10" i="30"/>
  <c r="AQ11" i="30"/>
  <c r="T16" i="30"/>
  <c r="GZ21" i="30"/>
  <c r="II21" i="30"/>
  <c r="KT21" i="30"/>
  <c r="IB21" i="30"/>
  <c r="BT26" i="30"/>
  <c r="FG96" i="30"/>
  <c r="AA96" i="30" s="1"/>
  <c r="AA70" i="30"/>
  <c r="AA180" i="30" s="1"/>
  <c r="HD118" i="30"/>
  <c r="AH118" i="30" s="1"/>
  <c r="AH72" i="30"/>
  <c r="AH200" i="30" s="1"/>
  <c r="IJ81" i="30"/>
  <c r="AH13" i="30"/>
  <c r="EQ50" i="30"/>
  <c r="IJ21" i="30"/>
  <c r="KU21" i="30"/>
  <c r="AA28" i="30"/>
  <c r="IY295" i="30"/>
  <c r="AP9" i="30"/>
  <c r="S11" i="30"/>
  <c r="AT15" i="30"/>
  <c r="V16" i="30"/>
  <c r="GU21" i="30"/>
  <c r="AB24" i="30"/>
  <c r="AC28" i="30"/>
  <c r="AK35" i="30"/>
  <c r="DX99" i="30"/>
  <c r="V99" i="30" s="1"/>
  <c r="V73" i="30"/>
  <c r="V210" i="30" s="1"/>
  <c r="HD99" i="30"/>
  <c r="AH99" i="30" s="1"/>
  <c r="AH73" i="30"/>
  <c r="AH210" i="30" s="1"/>
  <c r="KJ99" i="30"/>
  <c r="AT99" i="30" s="1"/>
  <c r="AT73" i="30"/>
  <c r="AT210" i="30" s="1"/>
  <c r="DC85" i="30"/>
  <c r="AV11" i="30"/>
  <c r="CK31" i="30"/>
  <c r="CK37" i="30" s="1"/>
  <c r="DJ129" i="30"/>
  <c r="T129" i="30" s="1"/>
  <c r="FN26" i="30"/>
  <c r="AB26" i="30" s="1"/>
  <c r="EO52" i="30"/>
  <c r="BT73" i="30"/>
  <c r="BW99" i="30"/>
  <c r="GI130" i="30"/>
  <c r="AE130" i="30" s="1"/>
  <c r="AE84" i="30"/>
  <c r="DJ307" i="30"/>
  <c r="T307" i="30" s="1"/>
  <c r="T305" i="30"/>
  <c r="GP307" i="30"/>
  <c r="AF307" i="30" s="1"/>
  <c r="AF305" i="30"/>
  <c r="KM317" i="30"/>
  <c r="KM323" i="30"/>
  <c r="AR9" i="30"/>
  <c r="IX21" i="30"/>
  <c r="S23" i="30"/>
  <c r="R24" i="30"/>
  <c r="IF58" i="30"/>
  <c r="AL58" i="30" s="1"/>
  <c r="EP52" i="30"/>
  <c r="AP69" i="30"/>
  <c r="GP130" i="30"/>
  <c r="AF130" i="30" s="1"/>
  <c r="AF84" i="30"/>
  <c r="EL95" i="30"/>
  <c r="X95" i="30" s="1"/>
  <c r="HR95" i="30"/>
  <c r="AJ95" i="30" s="1"/>
  <c r="KX95" i="30"/>
  <c r="AV95" i="30" s="1"/>
  <c r="W71" i="30"/>
  <c r="W190" i="30" s="1"/>
  <c r="DJ97" i="30"/>
  <c r="T97" i="30" s="1"/>
  <c r="JV97" i="30"/>
  <c r="AR97" i="30" s="1"/>
  <c r="AP72" i="30"/>
  <c r="AP200" i="30" s="1"/>
  <c r="AG73" i="30"/>
  <c r="AG210" i="30" s="1"/>
  <c r="V75" i="30"/>
  <c r="V230" i="30" s="1"/>
  <c r="GO81" i="30"/>
  <c r="HJ81" i="30"/>
  <c r="KO81" i="30"/>
  <c r="JF84" i="30"/>
  <c r="JF130" i="30" s="1"/>
  <c r="M90" i="30"/>
  <c r="BQ293" i="30"/>
  <c r="CG293" i="30"/>
  <c r="EE293" i="30"/>
  <c r="W293" i="30" s="1"/>
  <c r="EW293" i="30"/>
  <c r="IM293" i="30"/>
  <c r="AM293" i="30" s="1"/>
  <c r="IL290" i="30"/>
  <c r="KI297" i="30"/>
  <c r="KJ305" i="30"/>
  <c r="KJ307" i="30" s="1"/>
  <c r="AT307" i="30" s="1"/>
  <c r="BT307" i="30"/>
  <c r="N307" i="30" s="1"/>
  <c r="DT322" i="30"/>
  <c r="EO322" i="30"/>
  <c r="FJ322" i="30"/>
  <c r="FJ316" i="30"/>
  <c r="KM142" i="30"/>
  <c r="CT143" i="30"/>
  <c r="FE143" i="30"/>
  <c r="FZ143" i="30"/>
  <c r="IK143" i="30"/>
  <c r="JF143" i="30"/>
  <c r="CD144" i="30"/>
  <c r="EO144" i="30"/>
  <c r="FU144" i="30"/>
  <c r="AC144" i="30" s="1"/>
  <c r="GO144" i="30"/>
  <c r="HJ144" i="30"/>
  <c r="JU144" i="30"/>
  <c r="KP144" i="30"/>
  <c r="CG145" i="30"/>
  <c r="ES80" i="30"/>
  <c r="HY80" i="30"/>
  <c r="X71" i="30"/>
  <c r="X190" i="30" s="1"/>
  <c r="AU71" i="30"/>
  <c r="AU190" i="30" s="1"/>
  <c r="W75" i="30"/>
  <c r="W230" i="30" s="1"/>
  <c r="GS81" i="30"/>
  <c r="IE81" i="30"/>
  <c r="IZ81" i="30"/>
  <c r="JU81" i="30"/>
  <c r="JL84" i="30"/>
  <c r="JL130" i="30" s="1"/>
  <c r="EV105" i="30"/>
  <c r="IK103" i="30"/>
  <c r="BR293" i="30"/>
  <c r="HY289" i="30"/>
  <c r="AK289" i="30" s="1"/>
  <c r="EP289" i="30"/>
  <c r="EP295" i="30" s="1"/>
  <c r="IZ290" i="30"/>
  <c r="JD306" i="30"/>
  <c r="JO307" i="30"/>
  <c r="AQ307" i="30" s="1"/>
  <c r="FK322" i="30"/>
  <c r="HA322" i="30"/>
  <c r="IQ322" i="30"/>
  <c r="KG322" i="30"/>
  <c r="GH316" i="30"/>
  <c r="DT141" i="30"/>
  <c r="EO141" i="30"/>
  <c r="GZ141" i="30"/>
  <c r="HU141" i="30"/>
  <c r="KF141" i="30"/>
  <c r="FE142" i="30"/>
  <c r="GM142" i="30"/>
  <c r="JS142" i="30"/>
  <c r="FF143" i="30"/>
  <c r="IL143" i="30"/>
  <c r="CE144" i="30"/>
  <c r="EP144" i="30"/>
  <c r="FF144" i="30"/>
  <c r="FX144" i="30"/>
  <c r="GS144" i="30"/>
  <c r="JD144" i="30"/>
  <c r="JY144" i="30"/>
  <c r="EA145" i="30"/>
  <c r="EV145" i="30"/>
  <c r="HG145" i="30"/>
  <c r="IB145" i="30"/>
  <c r="KM145" i="30"/>
  <c r="CE146" i="30"/>
  <c r="CZ146" i="30"/>
  <c r="FK146" i="30"/>
  <c r="GF146" i="30"/>
  <c r="IQ146" i="30"/>
  <c r="EZ95" i="30"/>
  <c r="Z95" i="30" s="1"/>
  <c r="IF95" i="30"/>
  <c r="AL95" i="30" s="1"/>
  <c r="S70" i="30"/>
  <c r="S180" i="30" s="1"/>
  <c r="AV71" i="30"/>
  <c r="T74" i="30"/>
  <c r="T220" i="30" s="1"/>
  <c r="JY81" i="30"/>
  <c r="JM84" i="30"/>
  <c r="JM130" i="30" s="1"/>
  <c r="EW105" i="30"/>
  <c r="JA293" i="30"/>
  <c r="AO293" i="30" s="1"/>
  <c r="JD290" i="30"/>
  <c r="GP293" i="30"/>
  <c r="AF293" i="30" s="1"/>
  <c r="GL306" i="30"/>
  <c r="HR307" i="30"/>
  <c r="AJ307" i="30" s="1"/>
  <c r="JR307" i="30"/>
  <c r="DU141" i="30"/>
  <c r="EP141" i="30"/>
  <c r="HA141" i="30"/>
  <c r="HV141" i="30"/>
  <c r="KG141" i="30"/>
  <c r="EK142" i="30"/>
  <c r="FF142" i="30"/>
  <c r="GN142" i="30"/>
  <c r="IY142" i="30"/>
  <c r="JT142" i="30"/>
  <c r="CD143" i="30"/>
  <c r="EO143" i="30"/>
  <c r="FJ143" i="30"/>
  <c r="HU143" i="30"/>
  <c r="IP143" i="30"/>
  <c r="EQ144" i="30"/>
  <c r="FG144" i="30"/>
  <c r="AA144" i="30" s="1"/>
  <c r="FY144" i="30"/>
  <c r="GT144" i="30"/>
  <c r="JE144" i="30"/>
  <c r="JZ144" i="30"/>
  <c r="EB145" i="30"/>
  <c r="EW145" i="30"/>
  <c r="HH145" i="30"/>
  <c r="IC145" i="30"/>
  <c r="KN145" i="30"/>
  <c r="CF146" i="30"/>
  <c r="EQ146" i="30"/>
  <c r="FL146" i="30"/>
  <c r="HW146" i="30"/>
  <c r="IR146" i="30"/>
  <c r="CF151" i="30"/>
  <c r="HI151" i="30"/>
  <c r="ID151" i="30"/>
  <c r="KO151" i="30"/>
  <c r="CG152" i="30"/>
  <c r="DB152" i="30"/>
  <c r="EV152" i="30"/>
  <c r="FQ152" i="30"/>
  <c r="IB152" i="30"/>
  <c r="IW152" i="30"/>
  <c r="U73" i="30"/>
  <c r="U210" i="30" s="1"/>
  <c r="GU81" i="30"/>
  <c r="HP81" i="30"/>
  <c r="JE81" i="30"/>
  <c r="JZ81" i="30"/>
  <c r="KU81" i="30"/>
  <c r="GL290" i="30"/>
  <c r="GN306" i="30"/>
  <c r="HX316" i="30"/>
  <c r="DV141" i="30"/>
  <c r="HB141" i="30"/>
  <c r="KH141" i="30"/>
  <c r="EO142" i="30"/>
  <c r="IZ142" i="30"/>
  <c r="JU142" i="30"/>
  <c r="EP143" i="30"/>
  <c r="HV143" i="30"/>
  <c r="DW144" i="30"/>
  <c r="ER144" i="30"/>
  <c r="FJ144" i="30"/>
  <c r="FZ144" i="30"/>
  <c r="IK144" i="30"/>
  <c r="JF144" i="30"/>
  <c r="CF147" i="30"/>
  <c r="FL147" i="30"/>
  <c r="GG147" i="30"/>
  <c r="IR147" i="30"/>
  <c r="JM147" i="30"/>
  <c r="CG151" i="30"/>
  <c r="HJ151" i="30"/>
  <c r="IE151" i="30"/>
  <c r="KP151" i="30"/>
  <c r="CK152" i="30"/>
  <c r="EW152" i="30"/>
  <c r="FR152" i="30"/>
  <c r="IC152" i="30"/>
  <c r="IX152" i="30"/>
  <c r="AD72" i="30"/>
  <c r="AD200" i="30" s="1"/>
  <c r="AD201" i="30" s="1"/>
  <c r="BW293" i="30"/>
  <c r="CM293" i="30"/>
  <c r="DU293" i="30"/>
  <c r="EK293" i="30"/>
  <c r="FC293" i="30"/>
  <c r="FS293" i="30"/>
  <c r="GM290" i="30"/>
  <c r="JR290" i="30"/>
  <c r="GH306" i="30"/>
  <c r="GZ306" i="30"/>
  <c r="HP306" i="30"/>
  <c r="IF306" i="30"/>
  <c r="IX306" i="30"/>
  <c r="JN306" i="30"/>
  <c r="JT306" i="30"/>
  <c r="GH307" i="30"/>
  <c r="IF307" i="30"/>
  <c r="AL307" i="30" s="1"/>
  <c r="JE317" i="30"/>
  <c r="CG141" i="30"/>
  <c r="DB141" i="30"/>
  <c r="DW141" i="30"/>
  <c r="GH141" i="30"/>
  <c r="HC141" i="30"/>
  <c r="IS141" i="30"/>
  <c r="JN141" i="30"/>
  <c r="KI141" i="30"/>
  <c r="DU142" i="30"/>
  <c r="EP142" i="30"/>
  <c r="II142" i="30"/>
  <c r="JD142" i="30"/>
  <c r="DV143" i="30"/>
  <c r="EQ143" i="30"/>
  <c r="HB143" i="30"/>
  <c r="HW143" i="30"/>
  <c r="KH143" i="30"/>
  <c r="FK144" i="30"/>
  <c r="GA144" i="30"/>
  <c r="DI145" i="30"/>
  <c r="ED145" i="30"/>
  <c r="GO145" i="30"/>
  <c r="HJ145" i="30"/>
  <c r="JU145" i="30"/>
  <c r="KP145" i="30"/>
  <c r="EA146" i="30"/>
  <c r="EV146" i="30"/>
  <c r="HG146" i="30"/>
  <c r="IB146" i="30"/>
  <c r="KM146" i="30"/>
  <c r="CG147" i="30"/>
  <c r="ER147" i="30"/>
  <c r="FM147" i="30"/>
  <c r="IS147" i="30"/>
  <c r="JN147" i="30"/>
  <c r="GS151" i="30"/>
  <c r="HN151" i="30"/>
  <c r="JY151" i="30"/>
  <c r="KT151" i="30"/>
  <c r="CL152" i="30"/>
  <c r="EC152" i="30"/>
  <c r="EX152" i="30"/>
  <c r="FS152" i="30"/>
  <c r="ID152" i="30"/>
  <c r="IY152" i="30"/>
  <c r="CO80" i="30"/>
  <c r="JA80" i="30"/>
  <c r="JA310" i="30" s="1"/>
  <c r="HR80" i="30"/>
  <c r="IL103" i="30"/>
  <c r="JG81" i="30"/>
  <c r="IL84" i="30"/>
  <c r="JH105" i="30"/>
  <c r="AP105" i="30" s="1"/>
  <c r="P305" i="30"/>
  <c r="GP306" i="30"/>
  <c r="HH306" i="30"/>
  <c r="HX306" i="30"/>
  <c r="IP306" i="30"/>
  <c r="JF306" i="30"/>
  <c r="KH306" i="30"/>
  <c r="GI307" i="30"/>
  <c r="AE307" i="30" s="1"/>
  <c r="II307" i="30"/>
  <c r="KG307" i="30"/>
  <c r="FR316" i="30"/>
  <c r="DG144" i="30"/>
  <c r="EB144" i="30"/>
  <c r="IP144" i="30"/>
  <c r="CR145" i="30"/>
  <c r="DM145" i="30"/>
  <c r="FX145" i="30"/>
  <c r="GS145" i="30"/>
  <c r="JD145" i="30"/>
  <c r="JY145" i="30"/>
  <c r="EB146" i="30"/>
  <c r="EW146" i="30"/>
  <c r="HH146" i="30"/>
  <c r="IC146" i="30"/>
  <c r="KN146" i="30"/>
  <c r="EA147" i="30"/>
  <c r="EV147" i="30"/>
  <c r="IB147" i="30"/>
  <c r="IW147" i="30"/>
  <c r="JR147" i="30"/>
  <c r="GT151" i="30"/>
  <c r="HO151" i="30"/>
  <c r="JZ151" i="30"/>
  <c r="CM152" i="30"/>
  <c r="EY152" i="30"/>
  <c r="HJ152" i="30"/>
  <c r="IE152" i="30"/>
  <c r="KP152" i="30"/>
  <c r="KX80" i="30"/>
  <c r="AV80" i="30" s="1"/>
  <c r="HV297" i="30"/>
  <c r="HD306" i="30"/>
  <c r="GT145" i="30"/>
  <c r="JZ145" i="30"/>
  <c r="KV151" i="30"/>
  <c r="FG97" i="30"/>
  <c r="AA97" i="30" s="1"/>
  <c r="IM97" i="30"/>
  <c r="AM97" i="30" s="1"/>
  <c r="DC99" i="30"/>
  <c r="S99" i="30" s="1"/>
  <c r="GI99" i="30"/>
  <c r="AE99" i="30" s="1"/>
  <c r="JO99" i="30"/>
  <c r="AQ99" i="30" s="1"/>
  <c r="DQ100" i="30"/>
  <c r="U100" i="30" s="1"/>
  <c r="GW100" i="30"/>
  <c r="AG100" i="30" s="1"/>
  <c r="KC100" i="30"/>
  <c r="AS100" i="30" s="1"/>
  <c r="GG81" i="30"/>
  <c r="HV81" i="30"/>
  <c r="IP84" i="30"/>
  <c r="IP130" i="30" s="1"/>
  <c r="FX289" i="30"/>
  <c r="FX295" i="30" s="1"/>
  <c r="KH290" i="30"/>
  <c r="EK316" i="30"/>
  <c r="KP146" i="30"/>
  <c r="EC147" i="30"/>
  <c r="EX147" i="30"/>
  <c r="HI147" i="30"/>
  <c r="ID147" i="30"/>
  <c r="IY147" i="30"/>
  <c r="KO147" i="30"/>
  <c r="AS73" i="30"/>
  <c r="AS210" i="30" s="1"/>
  <c r="GH81" i="30"/>
  <c r="IR81" i="30"/>
  <c r="JM81" i="30"/>
  <c r="KX106" i="30"/>
  <c r="AV106" i="30" s="1"/>
  <c r="HK293" i="30"/>
  <c r="AI293" i="30" s="1"/>
  <c r="DU289" i="30"/>
  <c r="DU297" i="30" s="1"/>
  <c r="HV290" i="30"/>
  <c r="IL297" i="30"/>
  <c r="HV306" i="30"/>
  <c r="EZ307" i="30"/>
  <c r="Z307" i="30" s="1"/>
  <c r="GZ307" i="30"/>
  <c r="IX307" i="30"/>
  <c r="KV307" i="30"/>
  <c r="GS146" i="30"/>
  <c r="HN146" i="30"/>
  <c r="JY146" i="30"/>
  <c r="ED147" i="30"/>
  <c r="EY147" i="30"/>
  <c r="HJ147" i="30"/>
  <c r="IE147" i="30"/>
  <c r="KP147" i="30"/>
  <c r="EL80" i="30"/>
  <c r="GP97" i="30"/>
  <c r="AF97" i="30" s="1"/>
  <c r="EL106" i="30"/>
  <c r="X106" i="30" s="1"/>
  <c r="HW323" i="30"/>
  <c r="IR323" i="30"/>
  <c r="JM323" i="30"/>
  <c r="JZ146" i="30"/>
  <c r="DM147" i="30"/>
  <c r="EH147" i="30"/>
  <c r="GS147" i="30"/>
  <c r="HN147" i="30"/>
  <c r="II147" i="30"/>
  <c r="JY147" i="30"/>
  <c r="KT147" i="30"/>
  <c r="GF151" i="30"/>
  <c r="IQ151" i="30"/>
  <c r="JL151" i="30"/>
  <c r="DO152" i="30"/>
  <c r="EK152" i="30"/>
  <c r="GV152" i="30"/>
  <c r="HQ152" i="30"/>
  <c r="KB152" i="30"/>
  <c r="KW152" i="30"/>
  <c r="LR14" i="30"/>
  <c r="LY47" i="30" s="1"/>
  <c r="LD44" i="30"/>
  <c r="V14" i="30"/>
  <c r="JO43" i="30"/>
  <c r="AQ43" i="30" s="1"/>
  <c r="JO80" i="30"/>
  <c r="HU290" i="30"/>
  <c r="T9" i="30"/>
  <c r="S10" i="30"/>
  <c r="W12" i="30"/>
  <c r="AI12" i="30"/>
  <c r="BS118" i="30"/>
  <c r="BZ144" i="30" s="1"/>
  <c r="LD46" i="30"/>
  <c r="X16" i="30"/>
  <c r="ES133" i="30"/>
  <c r="Y133" i="30" s="1"/>
  <c r="JH80" i="30"/>
  <c r="JH310" i="30" s="1"/>
  <c r="CG289" i="30"/>
  <c r="CG290" i="30" s="1"/>
  <c r="CO117" i="30"/>
  <c r="FU117" i="30"/>
  <c r="JA117" i="30"/>
  <c r="AO117" i="30" s="1"/>
  <c r="X12" i="30"/>
  <c r="EL20" i="30"/>
  <c r="ID21" i="30"/>
  <c r="GN21" i="30"/>
  <c r="IM46" i="30"/>
  <c r="AM46" i="30" s="1"/>
  <c r="GI80" i="30"/>
  <c r="Z70" i="30"/>
  <c r="Z180" i="30" s="1"/>
  <c r="GT81" i="30"/>
  <c r="HO81" i="30"/>
  <c r="JD81" i="30"/>
  <c r="KP81" i="30"/>
  <c r="JO83" i="30"/>
  <c r="JO129" i="30" s="1"/>
  <c r="AQ129" i="30" s="1"/>
  <c r="W285" i="30"/>
  <c r="AU288" i="30"/>
  <c r="DU316" i="30"/>
  <c r="DF141" i="30"/>
  <c r="GL141" i="30"/>
  <c r="JR141" i="30"/>
  <c r="DV142" i="30"/>
  <c r="EQ142" i="30"/>
  <c r="IJ142" i="30"/>
  <c r="JE142" i="30"/>
  <c r="DW143" i="30"/>
  <c r="ER143" i="30"/>
  <c r="HC143" i="30"/>
  <c r="HX143" i="30"/>
  <c r="KI143" i="30"/>
  <c r="EA144" i="30"/>
  <c r="IL144" i="30"/>
  <c r="JG144" i="30"/>
  <c r="DH145" i="30"/>
  <c r="EC145" i="30"/>
  <c r="GN145" i="30"/>
  <c r="HI145" i="30"/>
  <c r="JT145" i="30"/>
  <c r="KO145" i="30"/>
  <c r="CG146" i="30"/>
  <c r="ER146" i="30"/>
  <c r="FM146" i="30"/>
  <c r="HX146" i="30"/>
  <c r="IS146" i="30"/>
  <c r="CE147" i="30"/>
  <c r="CZ147" i="30"/>
  <c r="FK147" i="30"/>
  <c r="GF147" i="30"/>
  <c r="JL147" i="30"/>
  <c r="KG147" i="30"/>
  <c r="GE151" i="30"/>
  <c r="GZ151" i="30"/>
  <c r="JK151" i="30"/>
  <c r="KF151" i="30"/>
  <c r="DN152" i="30"/>
  <c r="EJ152" i="30"/>
  <c r="GU152" i="30"/>
  <c r="HP152" i="30"/>
  <c r="KA152" i="30"/>
  <c r="LD47" i="30"/>
  <c r="D126" i="30"/>
  <c r="GT21" i="30"/>
  <c r="JH42" i="30"/>
  <c r="AP42" i="30" s="1"/>
  <c r="FG47" i="30"/>
  <c r="AA47" i="30" s="1"/>
  <c r="K322" i="30"/>
  <c r="AH15" i="30"/>
  <c r="I20" i="30"/>
  <c r="DW50" i="30"/>
  <c r="HN21" i="30"/>
  <c r="JT21" i="30"/>
  <c r="GS31" i="30"/>
  <c r="GS37" i="30" s="1"/>
  <c r="JA44" i="30"/>
  <c r="AO44" i="30" s="1"/>
  <c r="O305" i="30"/>
  <c r="DX20" i="30"/>
  <c r="V20" i="30" s="1"/>
  <c r="HD20" i="30"/>
  <c r="HD31" i="30" s="1"/>
  <c r="KJ20" i="30"/>
  <c r="X10" i="30"/>
  <c r="AQ10" i="30"/>
  <c r="AH14" i="30"/>
  <c r="AA29" i="30"/>
  <c r="EP50" i="30"/>
  <c r="HW317" i="30"/>
  <c r="EE20" i="30"/>
  <c r="HK20" i="30"/>
  <c r="KQ20" i="30"/>
  <c r="AC11" i="30"/>
  <c r="DG50" i="30"/>
  <c r="GI42" i="30"/>
  <c r="AE42" i="30" s="1"/>
  <c r="AE72" i="30"/>
  <c r="AE200" i="30" s="1"/>
  <c r="AM305" i="30"/>
  <c r="CL322" i="30"/>
  <c r="DG322" i="30"/>
  <c r="IR317" i="30"/>
  <c r="BQ20" i="30"/>
  <c r="BQ50" i="30" s="1"/>
  <c r="CO120" i="30"/>
  <c r="FU120" i="30"/>
  <c r="JA120" i="30"/>
  <c r="AI18" i="30"/>
  <c r="DJ132" i="30"/>
  <c r="T132" i="30" s="1"/>
  <c r="GP132" i="30"/>
  <c r="AF132" i="30" s="1"/>
  <c r="GB44" i="30"/>
  <c r="AD44" i="30" s="1"/>
  <c r="BT72" i="30"/>
  <c r="EO103" i="30"/>
  <c r="DO293" i="30"/>
  <c r="FS322" i="30"/>
  <c r="IY322" i="30"/>
  <c r="JM317" i="30"/>
  <c r="AF9" i="30"/>
  <c r="BR20" i="30"/>
  <c r="BY50" i="30" s="1"/>
  <c r="LA42" i="30"/>
  <c r="FT43" i="30"/>
  <c r="AO14" i="30"/>
  <c r="Q16" i="30"/>
  <c r="HU21" i="30"/>
  <c r="FN129" i="30"/>
  <c r="AB129" i="30" s="1"/>
  <c r="AL35" i="30"/>
  <c r="DC43" i="30"/>
  <c r="S43" i="30" s="1"/>
  <c r="JT50" i="30"/>
  <c r="BT9" i="30"/>
  <c r="IF20" i="30"/>
  <c r="AE10" i="30"/>
  <c r="O12" i="30"/>
  <c r="AC13" i="30"/>
  <c r="V15" i="30"/>
  <c r="BT16" i="30"/>
  <c r="BT122" i="30" s="1"/>
  <c r="N122" i="30" s="1"/>
  <c r="HA21" i="30"/>
  <c r="FG130" i="30"/>
  <c r="AA130" i="30" s="1"/>
  <c r="JM31" i="30"/>
  <c r="DJ42" i="30"/>
  <c r="T42" i="30" s="1"/>
  <c r="BW37" i="30"/>
  <c r="GG37" i="30"/>
  <c r="HP89" i="29"/>
  <c r="FD126" i="30"/>
  <c r="FD50" i="30"/>
  <c r="FD31" i="30"/>
  <c r="KH126" i="30"/>
  <c r="KH50" i="30"/>
  <c r="KH31" i="30"/>
  <c r="GI131" i="30"/>
  <c r="GI52" i="30"/>
  <c r="AE52" i="30" s="1"/>
  <c r="KJ132" i="30"/>
  <c r="KJ53" i="30"/>
  <c r="AT53" i="30" s="1"/>
  <c r="FM116" i="30"/>
  <c r="FM142" i="30" s="1"/>
  <c r="FM43" i="30"/>
  <c r="IM117" i="30"/>
  <c r="IM44" i="30"/>
  <c r="AM44" i="30" s="1"/>
  <c r="BS120" i="30"/>
  <c r="BZ146" i="30" s="1"/>
  <c r="BS47" i="30"/>
  <c r="HC126" i="30"/>
  <c r="HC31" i="30"/>
  <c r="BR131" i="30"/>
  <c r="BY151" i="30" s="1"/>
  <c r="BR52" i="30"/>
  <c r="JY89" i="29"/>
  <c r="CA115" i="30"/>
  <c r="FG115" i="30"/>
  <c r="FG42" i="30"/>
  <c r="AA42" i="30" s="1"/>
  <c r="IM115" i="30"/>
  <c r="IM42" i="30"/>
  <c r="AM42" i="30" s="1"/>
  <c r="FN10" i="30"/>
  <c r="FN20" i="30" s="1"/>
  <c r="CH117" i="30"/>
  <c r="CH44" i="30"/>
  <c r="P44" i="30" s="1"/>
  <c r="FN117" i="30"/>
  <c r="FN44" i="30"/>
  <c r="AB44" i="30" s="1"/>
  <c r="IT117" i="30"/>
  <c r="IT44" i="30"/>
  <c r="AN44" i="30" s="1"/>
  <c r="JH118" i="30"/>
  <c r="JH45" i="30"/>
  <c r="AP45" i="30" s="1"/>
  <c r="BP119" i="30"/>
  <c r="BW145" i="30" s="1"/>
  <c r="BW46" i="30"/>
  <c r="BP46" i="30"/>
  <c r="EZ120" i="30"/>
  <c r="EZ47" i="30"/>
  <c r="Z47" i="30" s="1"/>
  <c r="IF120" i="30"/>
  <c r="IF47" i="30"/>
  <c r="AL47" i="30" s="1"/>
  <c r="CV121" i="30"/>
  <c r="CV48" i="30"/>
  <c r="R48" i="30" s="1"/>
  <c r="GB121" i="30"/>
  <c r="GB48" i="30"/>
  <c r="AD48" i="30" s="1"/>
  <c r="JH121" i="30"/>
  <c r="JH48" i="30"/>
  <c r="AP48" i="30" s="1"/>
  <c r="W16" i="30"/>
  <c r="HV126" i="30"/>
  <c r="HV37" i="30"/>
  <c r="IL126" i="30"/>
  <c r="IL37" i="30"/>
  <c r="JD126" i="30"/>
  <c r="JD37" i="30"/>
  <c r="JT126" i="30"/>
  <c r="JT37" i="30"/>
  <c r="R23" i="30"/>
  <c r="AE26" i="30"/>
  <c r="BS131" i="30"/>
  <c r="BZ151" i="30" s="1"/>
  <c r="BS52" i="30"/>
  <c r="CU131" i="30"/>
  <c r="CU52" i="30"/>
  <c r="DM131" i="30"/>
  <c r="DM52" i="30"/>
  <c r="EC131" i="30"/>
  <c r="EC52" i="30"/>
  <c r="ES26" i="30"/>
  <c r="FK131" i="30"/>
  <c r="FK52" i="30"/>
  <c r="GW131" i="30"/>
  <c r="GW52" i="30"/>
  <c r="AG52" i="30" s="1"/>
  <c r="KC131" i="30"/>
  <c r="KC52" i="30"/>
  <c r="AS52" i="30" s="1"/>
  <c r="AQ27" i="30"/>
  <c r="BS132" i="30"/>
  <c r="BZ53" i="30"/>
  <c r="BS53" i="30"/>
  <c r="EL132" i="30"/>
  <c r="HR132" i="30"/>
  <c r="HR53" i="30"/>
  <c r="AJ53" i="30" s="1"/>
  <c r="KX132" i="30"/>
  <c r="KX53" i="30"/>
  <c r="AV53" i="30" s="1"/>
  <c r="Z29" i="30"/>
  <c r="HA31" i="30"/>
  <c r="II31" i="30"/>
  <c r="KW31" i="30"/>
  <c r="CV42" i="30"/>
  <c r="R42" i="30" s="1"/>
  <c r="FU42" i="30"/>
  <c r="AC42" i="30" s="1"/>
  <c r="BP43" i="30"/>
  <c r="CO43" i="30"/>
  <c r="Q43" i="30" s="1"/>
  <c r="DC44" i="30"/>
  <c r="S44" i="30" s="1"/>
  <c r="KJ45" i="30"/>
  <c r="AT45" i="30" s="1"/>
  <c r="FG48" i="30"/>
  <c r="AA48" i="30" s="1"/>
  <c r="JA48" i="30"/>
  <c r="AO48" i="30" s="1"/>
  <c r="HU50" i="30"/>
  <c r="EQ52" i="30"/>
  <c r="HY53" i="30"/>
  <c r="AK53" i="30" s="1"/>
  <c r="ES115" i="30"/>
  <c r="ES42" i="30"/>
  <c r="Y42" i="30" s="1"/>
  <c r="HD116" i="30"/>
  <c r="HD43" i="30"/>
  <c r="AH43" i="30" s="1"/>
  <c r="IF117" i="30"/>
  <c r="IF44" i="30"/>
  <c r="AL44" i="30" s="1"/>
  <c r="DJ119" i="30"/>
  <c r="DJ46" i="30"/>
  <c r="T46" i="30" s="1"/>
  <c r="KX120" i="30"/>
  <c r="KX47" i="30"/>
  <c r="AV47" i="30" s="1"/>
  <c r="HK116" i="30"/>
  <c r="HK43" i="30"/>
  <c r="AI43" i="30" s="1"/>
  <c r="KC119" i="30"/>
  <c r="KC46" i="30"/>
  <c r="AS46" i="30" s="1"/>
  <c r="BY126" i="30"/>
  <c r="BY31" i="30"/>
  <c r="IK126" i="30"/>
  <c r="IK31" i="30"/>
  <c r="IK37" i="30"/>
  <c r="GP131" i="30"/>
  <c r="GP52" i="30"/>
  <c r="AF52" i="30" s="1"/>
  <c r="KQ132" i="30"/>
  <c r="KQ53" i="30"/>
  <c r="AU53" i="30" s="1"/>
  <c r="KP5" i="29"/>
  <c r="HO89" i="29"/>
  <c r="JE89" i="29"/>
  <c r="JZ89" i="29"/>
  <c r="KU89" i="29"/>
  <c r="CH115" i="30"/>
  <c r="CH42" i="30"/>
  <c r="P42" i="30" s="1"/>
  <c r="FN115" i="30"/>
  <c r="FN42" i="30"/>
  <c r="AB42" i="30" s="1"/>
  <c r="IT115" i="30"/>
  <c r="IT42" i="30"/>
  <c r="AN42" i="30" s="1"/>
  <c r="FQ116" i="30"/>
  <c r="FQ142" i="30" s="1"/>
  <c r="FQ43" i="30"/>
  <c r="FX43" i="30"/>
  <c r="HY116" i="30"/>
  <c r="HY43" i="30"/>
  <c r="AK43" i="30" s="1"/>
  <c r="AM12" i="30"/>
  <c r="JO118" i="30"/>
  <c r="JO45" i="30"/>
  <c r="AQ45" i="30" s="1"/>
  <c r="BQ119" i="30"/>
  <c r="BX145" i="30" s="1"/>
  <c r="BX46" i="30"/>
  <c r="BQ46" i="30"/>
  <c r="EE119" i="30"/>
  <c r="EE46" i="30"/>
  <c r="W46" i="30" s="1"/>
  <c r="HK119" i="30"/>
  <c r="HK46" i="30"/>
  <c r="AI46" i="30" s="1"/>
  <c r="KQ119" i="30"/>
  <c r="KQ46" i="30"/>
  <c r="AU46" i="30" s="1"/>
  <c r="DC121" i="30"/>
  <c r="DC48" i="30"/>
  <c r="S48" i="30" s="1"/>
  <c r="GI121" i="30"/>
  <c r="GI48" i="30"/>
  <c r="AE48" i="30" s="1"/>
  <c r="JO121" i="30"/>
  <c r="JO48" i="30"/>
  <c r="AQ48" i="30" s="1"/>
  <c r="CA20" i="30"/>
  <c r="CS126" i="30"/>
  <c r="CS31" i="30"/>
  <c r="DI126" i="30"/>
  <c r="DI31" i="30"/>
  <c r="EA126" i="30"/>
  <c r="EA31" i="30"/>
  <c r="EQ126" i="30"/>
  <c r="EQ31" i="30"/>
  <c r="FG20" i="30"/>
  <c r="FY126" i="30"/>
  <c r="FY31" i="30"/>
  <c r="GO126" i="30"/>
  <c r="GO31" i="30"/>
  <c r="HG126" i="30"/>
  <c r="HG31" i="30"/>
  <c r="HW126" i="30"/>
  <c r="HW31" i="30"/>
  <c r="IM20" i="30"/>
  <c r="JE126" i="30"/>
  <c r="JE31" i="30"/>
  <c r="JU126" i="30"/>
  <c r="JU31" i="30"/>
  <c r="KM126" i="30"/>
  <c r="KM31" i="30"/>
  <c r="HO21" i="30"/>
  <c r="IW21" i="30"/>
  <c r="AF26" i="30"/>
  <c r="CV26" i="30"/>
  <c r="DN131" i="30"/>
  <c r="DN52" i="30"/>
  <c r="ED131" i="30"/>
  <c r="ED52" i="30"/>
  <c r="EV131" i="30"/>
  <c r="EV52" i="30"/>
  <c r="FL131" i="30"/>
  <c r="FL52" i="30"/>
  <c r="BT27" i="30"/>
  <c r="ES132" i="30"/>
  <c r="ES53" i="30"/>
  <c r="Y53" i="30" s="1"/>
  <c r="W28" i="30"/>
  <c r="J31" i="30"/>
  <c r="BZ31" i="30"/>
  <c r="DH31" i="30"/>
  <c r="EP31" i="30"/>
  <c r="FX31" i="30"/>
  <c r="IL31" i="30"/>
  <c r="JT31" i="30"/>
  <c r="LL34" i="30"/>
  <c r="II37" i="30"/>
  <c r="JU37" i="30"/>
  <c r="KX42" i="30"/>
  <c r="AV42" i="30" s="1"/>
  <c r="BW43" i="30"/>
  <c r="JA43" i="30"/>
  <c r="AO43" i="30" s="1"/>
  <c r="HR44" i="30"/>
  <c r="AJ44" i="30" s="1"/>
  <c r="DX47" i="30"/>
  <c r="V47" i="30" s="1"/>
  <c r="IM47" i="30"/>
  <c r="AM47" i="30" s="1"/>
  <c r="CR50" i="30"/>
  <c r="FF50" i="30"/>
  <c r="HV50" i="30"/>
  <c r="FE52" i="30"/>
  <c r="JO53" i="30"/>
  <c r="AQ53" i="30" s="1"/>
  <c r="AL288" i="30"/>
  <c r="IF294" i="30"/>
  <c r="AL294" i="30" s="1"/>
  <c r="IF289" i="30"/>
  <c r="EL120" i="30"/>
  <c r="EL47" i="30"/>
  <c r="X47" i="30" s="1"/>
  <c r="JR126" i="30"/>
  <c r="JR50" i="30"/>
  <c r="JR31" i="30"/>
  <c r="BQ132" i="30"/>
  <c r="BQ53" i="30"/>
  <c r="IT45" i="30"/>
  <c r="AN45" i="30" s="1"/>
  <c r="K126" i="30"/>
  <c r="K31" i="30"/>
  <c r="GM126" i="30"/>
  <c r="GM31" i="30"/>
  <c r="GT32" i="30" s="1"/>
  <c r="DJ26" i="30"/>
  <c r="HH5" i="29"/>
  <c r="HO5" i="29"/>
  <c r="IC5" i="29"/>
  <c r="JN5" i="29"/>
  <c r="JU5" i="29"/>
  <c r="KM5" i="29"/>
  <c r="KU5" i="29"/>
  <c r="IK89" i="29"/>
  <c r="JF89" i="29"/>
  <c r="KA89" i="29"/>
  <c r="DQ116" i="30"/>
  <c r="DQ43" i="30"/>
  <c r="U43" i="30" s="1"/>
  <c r="FR116" i="30"/>
  <c r="FR43" i="30"/>
  <c r="FY43" i="30"/>
  <c r="IF116" i="30"/>
  <c r="IF43" i="30"/>
  <c r="AL43" i="30" s="1"/>
  <c r="AN12" i="30"/>
  <c r="JV118" i="30"/>
  <c r="JV45" i="30"/>
  <c r="AR45" i="30" s="1"/>
  <c r="BR119" i="30"/>
  <c r="BY145" i="30" s="1"/>
  <c r="BR46" i="30"/>
  <c r="EL119" i="30"/>
  <c r="EL46" i="30"/>
  <c r="X46" i="30" s="1"/>
  <c r="HR119" i="30"/>
  <c r="HR46" i="30"/>
  <c r="AJ46" i="30" s="1"/>
  <c r="KX119" i="30"/>
  <c r="KX46" i="30"/>
  <c r="AV46" i="30" s="1"/>
  <c r="CH120" i="30"/>
  <c r="CH47" i="30"/>
  <c r="P47" i="30" s="1"/>
  <c r="FN120" i="30"/>
  <c r="FN47" i="30"/>
  <c r="AB47" i="30" s="1"/>
  <c r="IT120" i="30"/>
  <c r="IT47" i="30"/>
  <c r="AN47" i="30" s="1"/>
  <c r="DJ121" i="30"/>
  <c r="DJ48" i="30"/>
  <c r="T48" i="30" s="1"/>
  <c r="GP121" i="30"/>
  <c r="GP48" i="30"/>
  <c r="AF48" i="30" s="1"/>
  <c r="JV121" i="30"/>
  <c r="JV48" i="30"/>
  <c r="AR48" i="30" s="1"/>
  <c r="CD126" i="30"/>
  <c r="CD50" i="30"/>
  <c r="CT126" i="30"/>
  <c r="CT50" i="30"/>
  <c r="DJ20" i="30"/>
  <c r="EB126" i="30"/>
  <c r="EB50" i="30"/>
  <c r="ER126" i="30"/>
  <c r="ER50" i="30"/>
  <c r="FJ126" i="30"/>
  <c r="FJ50" i="30"/>
  <c r="FZ126" i="30"/>
  <c r="GP20" i="30"/>
  <c r="HH126" i="30"/>
  <c r="HH37" i="30"/>
  <c r="HH50" i="30"/>
  <c r="HX126" i="30"/>
  <c r="HX37" i="30"/>
  <c r="HX50" i="30"/>
  <c r="IP126" i="30"/>
  <c r="IP37" i="30"/>
  <c r="IP50" i="30"/>
  <c r="JF126" i="30"/>
  <c r="JF37" i="30"/>
  <c r="JF50" i="30"/>
  <c r="JV20" i="30"/>
  <c r="KN126" i="30"/>
  <c r="KN37" i="30"/>
  <c r="KN50" i="30"/>
  <c r="CY131" i="30"/>
  <c r="CY52" i="30"/>
  <c r="DO131" i="30"/>
  <c r="DO52" i="30"/>
  <c r="EE26" i="30"/>
  <c r="EW131" i="30"/>
  <c r="EW52" i="30"/>
  <c r="FM131" i="30"/>
  <c r="FM52" i="30"/>
  <c r="HK131" i="30"/>
  <c r="HK52" i="30"/>
  <c r="AI52" i="30" s="1"/>
  <c r="KQ131" i="30"/>
  <c r="KQ52" i="30"/>
  <c r="AU52" i="30" s="1"/>
  <c r="CA132" i="30"/>
  <c r="EZ132" i="30"/>
  <c r="EZ53" i="30"/>
  <c r="Z53" i="30" s="1"/>
  <c r="IF132" i="30"/>
  <c r="IF53" i="30"/>
  <c r="AL53" i="30" s="1"/>
  <c r="EE134" i="30"/>
  <c r="W134" i="30" s="1"/>
  <c r="W29" i="30"/>
  <c r="L31" i="30"/>
  <c r="CD31" i="30"/>
  <c r="ER31" i="30"/>
  <c r="FZ31" i="30"/>
  <c r="GG32" i="30" s="1"/>
  <c r="HH31" i="30"/>
  <c r="IP31" i="30"/>
  <c r="LS34" i="30"/>
  <c r="HD58" i="30"/>
  <c r="AH58" i="30" s="1"/>
  <c r="AH35" i="30"/>
  <c r="KJ58" i="30"/>
  <c r="AT58" i="30" s="1"/>
  <c r="AT35" i="30"/>
  <c r="IJ37" i="30"/>
  <c r="BP44" i="30"/>
  <c r="CO44" i="30"/>
  <c r="Q44" i="30" s="1"/>
  <c r="CO46" i="30"/>
  <c r="Q46" i="30" s="1"/>
  <c r="HD46" i="30"/>
  <c r="AH46" i="30" s="1"/>
  <c r="CS50" i="30"/>
  <c r="HW50" i="30"/>
  <c r="KM50" i="30"/>
  <c r="CR52" i="30"/>
  <c r="FF52" i="30"/>
  <c r="KJ52" i="30"/>
  <c r="AT52" i="30" s="1"/>
  <c r="FN134" i="30"/>
  <c r="AB134" i="30" s="1"/>
  <c r="AB88" i="30"/>
  <c r="BS115" i="30"/>
  <c r="BZ141" i="30" s="1"/>
  <c r="BS42" i="30"/>
  <c r="BZ42" i="30"/>
  <c r="KJ116" i="30"/>
  <c r="KJ43" i="30"/>
  <c r="AT43" i="30" s="1"/>
  <c r="CH121" i="30"/>
  <c r="CH48" i="30"/>
  <c r="P48" i="30" s="1"/>
  <c r="BX126" i="30"/>
  <c r="BX31" i="30"/>
  <c r="HB126" i="30"/>
  <c r="HB50" i="30"/>
  <c r="HB31" i="30"/>
  <c r="HW38" i="30"/>
  <c r="DQ119" i="30"/>
  <c r="DQ46" i="30"/>
  <c r="U46" i="30" s="1"/>
  <c r="FE126" i="30"/>
  <c r="FE31" i="30"/>
  <c r="EB131" i="30"/>
  <c r="EB52" i="30"/>
  <c r="BR132" i="30"/>
  <c r="BY152" i="30" s="1"/>
  <c r="BY53" i="30"/>
  <c r="BR53" i="30"/>
  <c r="HW60" i="30"/>
  <c r="HQ89" i="29"/>
  <c r="IL89" i="29"/>
  <c r="JG89" i="29"/>
  <c r="KB89" i="29"/>
  <c r="X9" i="30"/>
  <c r="AJ9" i="30"/>
  <c r="AV9" i="30"/>
  <c r="DX116" i="30"/>
  <c r="DX43" i="30"/>
  <c r="V43" i="30" s="1"/>
  <c r="FS116" i="30"/>
  <c r="FZ43" i="30"/>
  <c r="IM116" i="30"/>
  <c r="IM43" i="30"/>
  <c r="AM43" i="30" s="1"/>
  <c r="Q12" i="30"/>
  <c r="AO12" i="30"/>
  <c r="KC118" i="30"/>
  <c r="KC45" i="30"/>
  <c r="AS45" i="30" s="1"/>
  <c r="BS119" i="30"/>
  <c r="BZ145" i="30" s="1"/>
  <c r="BS46" i="30"/>
  <c r="ES119" i="30"/>
  <c r="ES46" i="30"/>
  <c r="Y46" i="30" s="1"/>
  <c r="HY119" i="30"/>
  <c r="HY46" i="30"/>
  <c r="AK46" i="30" s="1"/>
  <c r="O15" i="30"/>
  <c r="AA15" i="30"/>
  <c r="AM15" i="30"/>
  <c r="DQ121" i="30"/>
  <c r="DQ48" i="30"/>
  <c r="U48" i="30" s="1"/>
  <c r="GW121" i="30"/>
  <c r="GW48" i="30"/>
  <c r="AG48" i="30" s="1"/>
  <c r="KC121" i="30"/>
  <c r="KC48" i="30"/>
  <c r="AS48" i="30" s="1"/>
  <c r="CE126" i="30"/>
  <c r="CE50" i="30"/>
  <c r="CU126" i="30"/>
  <c r="CU50" i="30"/>
  <c r="DM126" i="30"/>
  <c r="DM50" i="30"/>
  <c r="EC126" i="30"/>
  <c r="EC50" i="30"/>
  <c r="ES20" i="30"/>
  <c r="GA126" i="30"/>
  <c r="GS126" i="30"/>
  <c r="GS50" i="30"/>
  <c r="HI126" i="30"/>
  <c r="HI50" i="30"/>
  <c r="HY20" i="30"/>
  <c r="IQ126" i="30"/>
  <c r="IQ50" i="30"/>
  <c r="JG126" i="30"/>
  <c r="JG50" i="30"/>
  <c r="JY126" i="30"/>
  <c r="JY50" i="30"/>
  <c r="KO126" i="30"/>
  <c r="KO50" i="30"/>
  <c r="HQ21" i="30"/>
  <c r="IY21" i="30"/>
  <c r="KG21" i="30"/>
  <c r="DQ23" i="30"/>
  <c r="CO24" i="30"/>
  <c r="AH26" i="30"/>
  <c r="AT26" i="30"/>
  <c r="CH131" i="30"/>
  <c r="CH52" i="30"/>
  <c r="P52" i="30" s="1"/>
  <c r="CZ131" i="30"/>
  <c r="CZ151" i="30" s="1"/>
  <c r="CZ52" i="30"/>
  <c r="DP26" i="30"/>
  <c r="DP253" i="30" s="1"/>
  <c r="EH131" i="30"/>
  <c r="EH52" i="30"/>
  <c r="EX131" i="30"/>
  <c r="EX52" i="30"/>
  <c r="HR131" i="30"/>
  <c r="HR52" i="30"/>
  <c r="AJ52" i="30" s="1"/>
  <c r="KX131" i="30"/>
  <c r="KX52" i="30"/>
  <c r="AT27" i="30"/>
  <c r="CH132" i="30"/>
  <c r="CH53" i="30"/>
  <c r="P53" i="30" s="1"/>
  <c r="FG132" i="30"/>
  <c r="FG53" i="30"/>
  <c r="AA53" i="30" s="1"/>
  <c r="IM132" i="30"/>
  <c r="IM53" i="30"/>
  <c r="AM53" i="30" s="1"/>
  <c r="M31" i="30"/>
  <c r="CE31" i="30"/>
  <c r="DM31" i="30"/>
  <c r="GA31" i="30"/>
  <c r="HI31" i="30"/>
  <c r="IQ31" i="30"/>
  <c r="JY31" i="30"/>
  <c r="HK58" i="30"/>
  <c r="AI58" i="30" s="1"/>
  <c r="AI35" i="30"/>
  <c r="KQ58" i="30"/>
  <c r="AU58" i="30" s="1"/>
  <c r="AU35" i="30"/>
  <c r="EL42" i="30"/>
  <c r="X42" i="30" s="1"/>
  <c r="GP42" i="30"/>
  <c r="AF42" i="30" s="1"/>
  <c r="JO42" i="30"/>
  <c r="AQ42" i="30" s="1"/>
  <c r="DJ43" i="30"/>
  <c r="T43" i="30" s="1"/>
  <c r="BW44" i="30"/>
  <c r="JH44" i="30"/>
  <c r="AP44" i="30" s="1"/>
  <c r="JA45" i="30"/>
  <c r="AO45" i="30" s="1"/>
  <c r="BY46" i="30"/>
  <c r="DX48" i="30"/>
  <c r="V48" i="30" s="1"/>
  <c r="IM48" i="30"/>
  <c r="AM48" i="30" s="1"/>
  <c r="IK50" i="30"/>
  <c r="CS52" i="30"/>
  <c r="GP53" i="30"/>
  <c r="AF53" i="30" s="1"/>
  <c r="J310" i="30"/>
  <c r="J90" i="30"/>
  <c r="GT37" i="30"/>
  <c r="CA117" i="30"/>
  <c r="GW119" i="30"/>
  <c r="GW46" i="30"/>
  <c r="AG46" i="30" s="1"/>
  <c r="ES120" i="30"/>
  <c r="ES47" i="30"/>
  <c r="Y47" i="30" s="1"/>
  <c r="JS126" i="30"/>
  <c r="JS31" i="30"/>
  <c r="JS37" i="30"/>
  <c r="HU89" i="29"/>
  <c r="IP89" i="29"/>
  <c r="JK89" i="29"/>
  <c r="KV89" i="29"/>
  <c r="Y9" i="30"/>
  <c r="Q10" i="30"/>
  <c r="BQ116" i="30"/>
  <c r="BX142" i="30" s="1"/>
  <c r="BQ43" i="30"/>
  <c r="EE116" i="30"/>
  <c r="EE43" i="30"/>
  <c r="W43" i="30" s="1"/>
  <c r="FT116" i="30"/>
  <c r="GA43" i="30"/>
  <c r="IT116" i="30"/>
  <c r="IT43" i="30"/>
  <c r="AN43" i="30" s="1"/>
  <c r="AL11" i="30"/>
  <c r="DJ117" i="30"/>
  <c r="DJ44" i="30"/>
  <c r="T44" i="30" s="1"/>
  <c r="GP117" i="30"/>
  <c r="GP44" i="30"/>
  <c r="AF44" i="30" s="1"/>
  <c r="JV117" i="30"/>
  <c r="JV44" i="30"/>
  <c r="AR44" i="30" s="1"/>
  <c r="R12" i="30"/>
  <c r="T13" i="30"/>
  <c r="EZ119" i="30"/>
  <c r="EZ46" i="30"/>
  <c r="Z46" i="30" s="1"/>
  <c r="IF119" i="30"/>
  <c r="IF46" i="30"/>
  <c r="AL46" i="30" s="1"/>
  <c r="X14" i="30"/>
  <c r="AV14" i="30"/>
  <c r="CV120" i="30"/>
  <c r="CV47" i="30"/>
  <c r="R47" i="30" s="1"/>
  <c r="GB120" i="30"/>
  <c r="GB47" i="30"/>
  <c r="AD47" i="30" s="1"/>
  <c r="JH120" i="30"/>
  <c r="JH47" i="30"/>
  <c r="AP47" i="30" s="1"/>
  <c r="P15" i="30"/>
  <c r="BP121" i="30"/>
  <c r="BW147" i="30" s="1"/>
  <c r="BW48" i="30"/>
  <c r="BP48" i="30"/>
  <c r="O16" i="30"/>
  <c r="BP20" i="30"/>
  <c r="BW50" i="30" s="1"/>
  <c r="CF126" i="30"/>
  <c r="CF50" i="30"/>
  <c r="CV20" i="30"/>
  <c r="DN126" i="30"/>
  <c r="DN50" i="30"/>
  <c r="ED126" i="30"/>
  <c r="ED50" i="30"/>
  <c r="EV126" i="30"/>
  <c r="EV50" i="30"/>
  <c r="FL20" i="30"/>
  <c r="GB20" i="30"/>
  <c r="GT126" i="30"/>
  <c r="GT50" i="30"/>
  <c r="HJ126" i="30"/>
  <c r="HJ37" i="30"/>
  <c r="HJ50" i="30"/>
  <c r="IB126" i="30"/>
  <c r="IB37" i="30"/>
  <c r="IB50" i="30"/>
  <c r="IR126" i="30"/>
  <c r="IR37" i="30"/>
  <c r="IR50" i="30"/>
  <c r="JH20" i="30"/>
  <c r="JZ126" i="30"/>
  <c r="JZ37" i="30"/>
  <c r="JZ50" i="30"/>
  <c r="KP126" i="30"/>
  <c r="KP37" i="30"/>
  <c r="KP50" i="30"/>
  <c r="HB21" i="30"/>
  <c r="IZ21" i="30"/>
  <c r="JR21" i="30"/>
  <c r="KH21" i="30"/>
  <c r="CK131" i="30"/>
  <c r="CK151" i="30" s="1"/>
  <c r="CK52" i="30"/>
  <c r="DA131" i="30"/>
  <c r="DA52" i="30"/>
  <c r="EI131" i="30"/>
  <c r="EI52" i="30"/>
  <c r="EY131" i="30"/>
  <c r="EY52" i="30"/>
  <c r="FQ131" i="30"/>
  <c r="FX151" i="30" s="1"/>
  <c r="FQ52" i="30"/>
  <c r="HY131" i="30"/>
  <c r="HY52" i="30"/>
  <c r="AK52" i="30" s="1"/>
  <c r="AU27" i="30"/>
  <c r="CO132" i="30"/>
  <c r="CO53" i="30"/>
  <c r="Q53" i="30" s="1"/>
  <c r="FN132" i="30"/>
  <c r="FN53" i="30"/>
  <c r="AB53" i="30" s="1"/>
  <c r="IT132" i="30"/>
  <c r="IT53" i="30"/>
  <c r="AN53" i="30" s="1"/>
  <c r="Z28" i="30"/>
  <c r="CF31" i="30"/>
  <c r="DN31" i="30"/>
  <c r="EV31" i="30"/>
  <c r="HJ31" i="30"/>
  <c r="IR31" i="30"/>
  <c r="JZ31" i="30"/>
  <c r="IQ37" i="30"/>
  <c r="KG37" i="30"/>
  <c r="HR43" i="30"/>
  <c r="AJ43" i="30" s="1"/>
  <c r="GI44" i="30"/>
  <c r="AE44" i="30" s="1"/>
  <c r="BZ46" i="30"/>
  <c r="CO47" i="30"/>
  <c r="Q47" i="30" s="1"/>
  <c r="HD47" i="30"/>
  <c r="AH47" i="30" s="1"/>
  <c r="DH50" i="30"/>
  <c r="IL50" i="30"/>
  <c r="DG52" i="30"/>
  <c r="DJ53" i="30"/>
  <c r="T53" i="30" s="1"/>
  <c r="EZ117" i="30"/>
  <c r="EZ44" i="30"/>
  <c r="Z44" i="30" s="1"/>
  <c r="BR120" i="30"/>
  <c r="BY146" i="30" s="1"/>
  <c r="BR47" i="30"/>
  <c r="DF126" i="30"/>
  <c r="DF50" i="30"/>
  <c r="DF31" i="30"/>
  <c r="IJ126" i="30"/>
  <c r="IJ50" i="30"/>
  <c r="IJ31" i="30"/>
  <c r="BQ131" i="30"/>
  <c r="BX151" i="30" s="1"/>
  <c r="BX52" i="30"/>
  <c r="BQ52" i="30"/>
  <c r="HY120" i="30"/>
  <c r="HY47" i="30"/>
  <c r="AK47" i="30" s="1"/>
  <c r="KI126" i="30"/>
  <c r="KI31" i="30"/>
  <c r="KI37" i="30"/>
  <c r="JV131" i="30"/>
  <c r="JV52" i="30"/>
  <c r="AR52" i="30" s="1"/>
  <c r="HK132" i="30"/>
  <c r="HK53" i="30"/>
  <c r="AI53" i="30" s="1"/>
  <c r="HV89" i="29"/>
  <c r="IQ89" i="29"/>
  <c r="JL89" i="29"/>
  <c r="KG89" i="29"/>
  <c r="AL9" i="30"/>
  <c r="R10" i="30"/>
  <c r="BR116" i="30"/>
  <c r="BY142" i="30" s="1"/>
  <c r="BR43" i="30"/>
  <c r="FU10" i="30"/>
  <c r="O11" i="30"/>
  <c r="AM11" i="30"/>
  <c r="DQ117" i="30"/>
  <c r="DQ44" i="30"/>
  <c r="U44" i="30" s="1"/>
  <c r="GW117" i="30"/>
  <c r="GW44" i="30"/>
  <c r="AG44" i="30" s="1"/>
  <c r="KC117" i="30"/>
  <c r="KC44" i="30"/>
  <c r="AS44" i="30" s="1"/>
  <c r="S12" i="30"/>
  <c r="KQ118" i="30"/>
  <c r="KQ45" i="30"/>
  <c r="AU45" i="30" s="1"/>
  <c r="U13" i="30"/>
  <c r="AG13" i="30"/>
  <c r="AS13" i="30"/>
  <c r="Y14" i="30"/>
  <c r="AK14" i="30"/>
  <c r="DC120" i="30"/>
  <c r="DC47" i="30"/>
  <c r="S47" i="30" s="1"/>
  <c r="GI120" i="30"/>
  <c r="GI47" i="30"/>
  <c r="AE47" i="30" s="1"/>
  <c r="JO120" i="30"/>
  <c r="JO47" i="30"/>
  <c r="AQ47" i="30" s="1"/>
  <c r="Q15" i="30"/>
  <c r="AC15" i="30"/>
  <c r="AO15" i="30"/>
  <c r="BQ121" i="30"/>
  <c r="BX147" i="30" s="1"/>
  <c r="BX48" i="30"/>
  <c r="BQ48" i="30"/>
  <c r="EE121" i="30"/>
  <c r="EE48" i="30"/>
  <c r="W48" i="30" s="1"/>
  <c r="HK121" i="30"/>
  <c r="HK48" i="30"/>
  <c r="AI48" i="30" s="1"/>
  <c r="KQ121" i="30"/>
  <c r="KQ48" i="30"/>
  <c r="AU48" i="30" s="1"/>
  <c r="P16" i="30"/>
  <c r="E20" i="30"/>
  <c r="CG126" i="30"/>
  <c r="CG50" i="30"/>
  <c r="CG31" i="30"/>
  <c r="CY126" i="30"/>
  <c r="CY50" i="30"/>
  <c r="CY31" i="30"/>
  <c r="DO126" i="30"/>
  <c r="DO50" i="30"/>
  <c r="DO31" i="30"/>
  <c r="EW126" i="30"/>
  <c r="EW50" i="30"/>
  <c r="EW31" i="30"/>
  <c r="FM20" i="30"/>
  <c r="GE126" i="30"/>
  <c r="GE50" i="30"/>
  <c r="GE31" i="30"/>
  <c r="GU126" i="30"/>
  <c r="GU50" i="30"/>
  <c r="GU31" i="30"/>
  <c r="IC126" i="30"/>
  <c r="IC37" i="30"/>
  <c r="IC50" i="30"/>
  <c r="IC31" i="30"/>
  <c r="IS126" i="30"/>
  <c r="IS37" i="30"/>
  <c r="IS50" i="30"/>
  <c r="IS31" i="30"/>
  <c r="JK126" i="30"/>
  <c r="JK37" i="30"/>
  <c r="JK50" i="30"/>
  <c r="JK31" i="30"/>
  <c r="KA126" i="30"/>
  <c r="KA37" i="30"/>
  <c r="KA50" i="30"/>
  <c r="KA31" i="30"/>
  <c r="GM21" i="30"/>
  <c r="HC21" i="30"/>
  <c r="IK21" i="30"/>
  <c r="JS21" i="30"/>
  <c r="KI21" i="30"/>
  <c r="CL131" i="30"/>
  <c r="CL151" i="30" s="1"/>
  <c r="CL52" i="30"/>
  <c r="DB131" i="30"/>
  <c r="DB52" i="30"/>
  <c r="DT131" i="30"/>
  <c r="DT52" i="30"/>
  <c r="EJ131" i="30"/>
  <c r="EJ52" i="30"/>
  <c r="EZ26" i="30"/>
  <c r="FR131" i="30"/>
  <c r="FY151" i="30" s="1"/>
  <c r="FR52" i="30"/>
  <c r="IF131" i="30"/>
  <c r="IF52" i="30"/>
  <c r="AL52" i="30" s="1"/>
  <c r="CV132" i="30"/>
  <c r="CV53" i="30"/>
  <c r="R53" i="30" s="1"/>
  <c r="FU132" i="30"/>
  <c r="FU53" i="30"/>
  <c r="AC53" i="30" s="1"/>
  <c r="JA132" i="30"/>
  <c r="JA53" i="30"/>
  <c r="AO53" i="30" s="1"/>
  <c r="KH37" i="30"/>
  <c r="DC42" i="30"/>
  <c r="S42" i="30" s="1"/>
  <c r="GB42" i="30"/>
  <c r="AD42" i="30" s="1"/>
  <c r="JA42" i="30"/>
  <c r="AO42" i="30" s="1"/>
  <c r="CV43" i="30"/>
  <c r="R43" i="30" s="1"/>
  <c r="KX44" i="30"/>
  <c r="AV44" i="30" s="1"/>
  <c r="IM45" i="30"/>
  <c r="AM45" i="30" s="1"/>
  <c r="FU46" i="30"/>
  <c r="AC46" i="30" s="1"/>
  <c r="KJ46" i="30"/>
  <c r="AT46" i="30" s="1"/>
  <c r="BY47" i="30"/>
  <c r="DI50" i="30"/>
  <c r="DH52" i="30"/>
  <c r="FX52" i="30"/>
  <c r="JA52" i="30"/>
  <c r="AO52" i="30" s="1"/>
  <c r="DJ96" i="30"/>
  <c r="T96" i="30" s="1"/>
  <c r="T70" i="30"/>
  <c r="T180" i="30" s="1"/>
  <c r="FY96" i="30"/>
  <c r="FR80" i="30"/>
  <c r="FR96" i="30"/>
  <c r="IJ310" i="30"/>
  <c r="IJ103" i="30"/>
  <c r="IJ90" i="30"/>
  <c r="FS312" i="30"/>
  <c r="FZ317" i="30" s="1"/>
  <c r="FZ105" i="30"/>
  <c r="FS105" i="30"/>
  <c r="FU85" i="30"/>
  <c r="IT312" i="30"/>
  <c r="IT105" i="30"/>
  <c r="AN105" i="30" s="1"/>
  <c r="AN85" i="30"/>
  <c r="AN250" i="30" s="1"/>
  <c r="HY115" i="30"/>
  <c r="HY42" i="30"/>
  <c r="AK42" i="30" s="1"/>
  <c r="FN121" i="30"/>
  <c r="FN48" i="30"/>
  <c r="AB48" i="30" s="1"/>
  <c r="DV126" i="30"/>
  <c r="DV50" i="30"/>
  <c r="DV31" i="30"/>
  <c r="KX20" i="30"/>
  <c r="FL43" i="30"/>
  <c r="DG126" i="30"/>
  <c r="DG31" i="30"/>
  <c r="HU126" i="30"/>
  <c r="HU31" i="30"/>
  <c r="HU37" i="30"/>
  <c r="CT131" i="30"/>
  <c r="HW89" i="29"/>
  <c r="IR89" i="29"/>
  <c r="JM89" i="29"/>
  <c r="DQ115" i="30"/>
  <c r="DQ42" i="30"/>
  <c r="U42" i="30" s="1"/>
  <c r="GW115" i="30"/>
  <c r="GW42" i="30"/>
  <c r="AG42" i="30" s="1"/>
  <c r="KC115" i="30"/>
  <c r="KC42" i="30"/>
  <c r="AS42" i="30" s="1"/>
  <c r="BS116" i="30"/>
  <c r="BZ142" i="30" s="1"/>
  <c r="BS43" i="30"/>
  <c r="BZ43" i="30"/>
  <c r="ES116" i="30"/>
  <c r="ES43" i="30"/>
  <c r="Y43" i="30" s="1"/>
  <c r="DX117" i="30"/>
  <c r="DX44" i="30"/>
  <c r="V44" i="30" s="1"/>
  <c r="HD117" i="30"/>
  <c r="HD44" i="30"/>
  <c r="AH44" i="30" s="1"/>
  <c r="KJ117" i="30"/>
  <c r="KJ44" i="30"/>
  <c r="AT44" i="30" s="1"/>
  <c r="BT12" i="30"/>
  <c r="HR118" i="30"/>
  <c r="HR45" i="30"/>
  <c r="AJ45" i="30" s="1"/>
  <c r="KX118" i="30"/>
  <c r="KX45" i="30"/>
  <c r="AV45" i="30" s="1"/>
  <c r="CH119" i="30"/>
  <c r="CH46" i="30"/>
  <c r="P46" i="30" s="1"/>
  <c r="FN119" i="30"/>
  <c r="FN46" i="30"/>
  <c r="AB46" i="30" s="1"/>
  <c r="IT119" i="30"/>
  <c r="IT46" i="30"/>
  <c r="AN46" i="30" s="1"/>
  <c r="DJ120" i="30"/>
  <c r="DJ47" i="30"/>
  <c r="T47" i="30" s="1"/>
  <c r="GP120" i="30"/>
  <c r="GP47" i="30"/>
  <c r="AF47" i="30" s="1"/>
  <c r="JV120" i="30"/>
  <c r="JV47" i="30"/>
  <c r="AR47" i="30" s="1"/>
  <c r="BR121" i="30"/>
  <c r="BY147" i="30" s="1"/>
  <c r="BR48" i="30"/>
  <c r="EL121" i="30"/>
  <c r="EL48" i="30"/>
  <c r="X48" i="30" s="1"/>
  <c r="HR121" i="30"/>
  <c r="HR48" i="30"/>
  <c r="AJ48" i="30" s="1"/>
  <c r="KX121" i="30"/>
  <c r="KX48" i="30"/>
  <c r="AV48" i="30" s="1"/>
  <c r="F20" i="30"/>
  <c r="CH20" i="30"/>
  <c r="CZ126" i="30"/>
  <c r="CZ50" i="30"/>
  <c r="CZ31" i="30"/>
  <c r="DP126" i="30"/>
  <c r="DP50" i="30"/>
  <c r="EH126" i="30"/>
  <c r="EH50" i="30"/>
  <c r="EH31" i="30"/>
  <c r="EX126" i="30"/>
  <c r="EX50" i="30"/>
  <c r="EX31" i="30"/>
  <c r="GF126" i="30"/>
  <c r="GF50" i="30"/>
  <c r="GF31" i="30"/>
  <c r="GV126" i="30"/>
  <c r="GV50" i="30"/>
  <c r="GV31" i="30"/>
  <c r="HN126" i="30"/>
  <c r="HN37" i="30"/>
  <c r="HN50" i="30"/>
  <c r="HN31" i="30"/>
  <c r="ID126" i="30"/>
  <c r="ID37" i="30"/>
  <c r="ID50" i="30"/>
  <c r="ID31" i="30"/>
  <c r="IT20" i="30"/>
  <c r="JL126" i="30"/>
  <c r="JL37" i="30"/>
  <c r="JL50" i="30"/>
  <c r="JL31" i="30"/>
  <c r="KB126" i="30"/>
  <c r="KB37" i="30"/>
  <c r="KB50" i="30"/>
  <c r="KB31" i="30"/>
  <c r="KT126" i="30"/>
  <c r="KT37" i="30"/>
  <c r="KT50" i="30"/>
  <c r="KT31" i="30"/>
  <c r="CM26" i="30"/>
  <c r="CO26" i="30" s="1"/>
  <c r="DU131" i="30"/>
  <c r="DU52" i="30"/>
  <c r="EK131" i="30"/>
  <c r="EK52" i="30"/>
  <c r="FC131" i="30"/>
  <c r="FC52" i="30"/>
  <c r="FS131" i="30"/>
  <c r="FZ151" i="30" s="1"/>
  <c r="FS52" i="30"/>
  <c r="FZ52" i="30"/>
  <c r="DC132" i="30"/>
  <c r="DC53" i="30"/>
  <c r="S53" i="30" s="1"/>
  <c r="GB132" i="30"/>
  <c r="GB53" i="30"/>
  <c r="AD53" i="30" s="1"/>
  <c r="JH132" i="30"/>
  <c r="JH53" i="30"/>
  <c r="AP53" i="30" s="1"/>
  <c r="AB28" i="30"/>
  <c r="HQ31" i="30"/>
  <c r="IY31" i="30"/>
  <c r="KQ57" i="30"/>
  <c r="AU57" i="30" s="1"/>
  <c r="AU34" i="30"/>
  <c r="HI37" i="30"/>
  <c r="KM37" i="30"/>
  <c r="JH43" i="30"/>
  <c r="AP43" i="30" s="1"/>
  <c r="FU44" i="30"/>
  <c r="AC44" i="30" s="1"/>
  <c r="BZ47" i="30"/>
  <c r="CO48" i="30"/>
  <c r="Q48" i="30" s="1"/>
  <c r="HD48" i="30"/>
  <c r="AH48" i="30" s="1"/>
  <c r="GM50" i="30"/>
  <c r="BY52" i="30"/>
  <c r="DI52" i="30"/>
  <c r="FY52" i="30"/>
  <c r="DQ96" i="30"/>
  <c r="U96" i="30" s="1"/>
  <c r="U70" i="30"/>
  <c r="U180" i="30" s="1"/>
  <c r="IF98" i="30"/>
  <c r="AL98" i="30" s="1"/>
  <c r="AL72" i="30"/>
  <c r="AL200" i="30" s="1"/>
  <c r="HQ310" i="30"/>
  <c r="HQ103" i="30"/>
  <c r="HQ81" i="30"/>
  <c r="HQ90" i="30"/>
  <c r="HQ136" i="30" s="1"/>
  <c r="FT312" i="30"/>
  <c r="GA317" i="30" s="1"/>
  <c r="GA105" i="30"/>
  <c r="FT105" i="30"/>
  <c r="JV119" i="30"/>
  <c r="JV46" i="30"/>
  <c r="AR46" i="30" s="1"/>
  <c r="GL126" i="30"/>
  <c r="GL50" i="30"/>
  <c r="GL31" i="30"/>
  <c r="EA132" i="30"/>
  <c r="EH152" i="30" s="1"/>
  <c r="EA53" i="30"/>
  <c r="EH53" i="30"/>
  <c r="FG117" i="30"/>
  <c r="FG44" i="30"/>
  <c r="AA44" i="30" s="1"/>
  <c r="DW126" i="30"/>
  <c r="DW31" i="30"/>
  <c r="JA20" i="30"/>
  <c r="FJ131" i="30"/>
  <c r="FJ52" i="30"/>
  <c r="IP27" i="29"/>
  <c r="HX89" i="29"/>
  <c r="IS89" i="29"/>
  <c r="KI89" i="29"/>
  <c r="P9" i="30"/>
  <c r="DX115" i="30"/>
  <c r="DX42" i="30"/>
  <c r="V42" i="30" s="1"/>
  <c r="HD115" i="30"/>
  <c r="HD42" i="30"/>
  <c r="AH42" i="30" s="1"/>
  <c r="KJ115" i="30"/>
  <c r="KJ42" i="30"/>
  <c r="AT42" i="30" s="1"/>
  <c r="BT10" i="30"/>
  <c r="EZ116" i="30"/>
  <c r="EZ43" i="30"/>
  <c r="Z43" i="30" s="1"/>
  <c r="Q11" i="30"/>
  <c r="BQ117" i="30"/>
  <c r="BX143" i="30" s="1"/>
  <c r="BQ44" i="30"/>
  <c r="EE117" i="30"/>
  <c r="EE44" i="30"/>
  <c r="W44" i="30" s="1"/>
  <c r="HK117" i="30"/>
  <c r="HK44" i="30"/>
  <c r="AI44" i="30" s="1"/>
  <c r="KQ117" i="30"/>
  <c r="KQ44" i="30"/>
  <c r="AU44" i="30" s="1"/>
  <c r="AS12" i="30"/>
  <c r="HY118" i="30"/>
  <c r="HY45" i="30"/>
  <c r="AK45" i="30" s="1"/>
  <c r="O14" i="30"/>
  <c r="DQ120" i="30"/>
  <c r="DQ47" i="30"/>
  <c r="U47" i="30" s="1"/>
  <c r="GW120" i="30"/>
  <c r="GW47" i="30"/>
  <c r="AG47" i="30" s="1"/>
  <c r="KC120" i="30"/>
  <c r="KC47" i="30"/>
  <c r="AS47" i="30" s="1"/>
  <c r="BS121" i="30"/>
  <c r="BZ147" i="30" s="1"/>
  <c r="BS48" i="30"/>
  <c r="ES121" i="30"/>
  <c r="ES48" i="30"/>
  <c r="Y48" i="30" s="1"/>
  <c r="HY121" i="30"/>
  <c r="HY48" i="30"/>
  <c r="AK48" i="30" s="1"/>
  <c r="G20" i="30"/>
  <c r="BS20" i="30"/>
  <c r="CK126" i="30"/>
  <c r="CK50" i="30"/>
  <c r="DA126" i="30"/>
  <c r="DA50" i="30"/>
  <c r="DQ20" i="30"/>
  <c r="EI126" i="30"/>
  <c r="EI50" i="30"/>
  <c r="EY126" i="30"/>
  <c r="EY50" i="30"/>
  <c r="FQ20" i="30"/>
  <c r="GG126" i="30"/>
  <c r="GG50" i="30"/>
  <c r="GW20" i="30"/>
  <c r="HO126" i="30"/>
  <c r="HO37" i="30"/>
  <c r="HO50" i="30"/>
  <c r="IE126" i="30"/>
  <c r="IE37" i="30"/>
  <c r="IE50" i="30"/>
  <c r="IW126" i="30"/>
  <c r="IW37" i="30"/>
  <c r="IW50" i="30"/>
  <c r="JM126" i="30"/>
  <c r="JM37" i="30"/>
  <c r="JM50" i="30"/>
  <c r="KC20" i="30"/>
  <c r="KU126" i="30"/>
  <c r="KU37" i="30"/>
  <c r="KU50" i="30"/>
  <c r="GO21" i="30"/>
  <c r="HG21" i="30"/>
  <c r="HW21" i="30"/>
  <c r="JE21" i="30"/>
  <c r="JU21" i="30"/>
  <c r="KM21" i="30"/>
  <c r="CN131" i="30"/>
  <c r="CN151" i="30" s="1"/>
  <c r="CN52" i="30"/>
  <c r="DF131" i="30"/>
  <c r="DF52" i="30"/>
  <c r="DV131" i="30"/>
  <c r="DV52" i="30"/>
  <c r="EL26" i="30"/>
  <c r="FD131" i="30"/>
  <c r="FD52" i="30"/>
  <c r="FT131" i="30"/>
  <c r="GA151" i="30" s="1"/>
  <c r="FT52" i="30"/>
  <c r="GA52" i="30"/>
  <c r="IT131" i="30"/>
  <c r="IT52" i="30"/>
  <c r="AN52" i="30" s="1"/>
  <c r="Z27" i="30"/>
  <c r="AL27" i="30"/>
  <c r="GI132" i="30"/>
  <c r="GI53" i="30"/>
  <c r="AE53" i="30" s="1"/>
  <c r="C31" i="30"/>
  <c r="CR31" i="30"/>
  <c r="FF31" i="30"/>
  <c r="GN31" i="30"/>
  <c r="HV31" i="30"/>
  <c r="JD31" i="30"/>
  <c r="AS35" i="30"/>
  <c r="IM58" i="30"/>
  <c r="AM58" i="30" s="1"/>
  <c r="KO37" i="30"/>
  <c r="BP42" i="30"/>
  <c r="CO42" i="30"/>
  <c r="Q42" i="30" s="1"/>
  <c r="GI43" i="30"/>
  <c r="AE43" i="30" s="1"/>
  <c r="CV44" i="30"/>
  <c r="R44" i="30" s="1"/>
  <c r="FU47" i="30"/>
  <c r="AC47" i="30" s="1"/>
  <c r="KJ47" i="30"/>
  <c r="AT47" i="30" s="1"/>
  <c r="BY48" i="30"/>
  <c r="GN50" i="30"/>
  <c r="JD50" i="30"/>
  <c r="BZ52" i="30"/>
  <c r="BX53" i="30"/>
  <c r="BW310" i="30"/>
  <c r="BW90" i="30"/>
  <c r="FC312" i="30"/>
  <c r="FC105" i="30"/>
  <c r="FG85" i="30"/>
  <c r="FC90" i="30"/>
  <c r="GP119" i="30"/>
  <c r="GP46" i="30"/>
  <c r="AF46" i="30" s="1"/>
  <c r="HR120" i="30"/>
  <c r="HR47" i="30"/>
  <c r="AJ47" i="30" s="1"/>
  <c r="IT121" i="30"/>
  <c r="IT48" i="30"/>
  <c r="AN48" i="30" s="1"/>
  <c r="CN126" i="30"/>
  <c r="CN50" i="30"/>
  <c r="CN31" i="30"/>
  <c r="HR20" i="30"/>
  <c r="JO131" i="30"/>
  <c r="JO52" i="30"/>
  <c r="AQ52" i="30" s="1"/>
  <c r="EZ115" i="30"/>
  <c r="EZ42" i="30"/>
  <c r="Z42" i="30" s="1"/>
  <c r="KQ116" i="30"/>
  <c r="KQ43" i="30"/>
  <c r="AU43" i="30" s="1"/>
  <c r="CO20" i="30"/>
  <c r="ER131" i="30"/>
  <c r="ER52" i="30"/>
  <c r="FS43" i="30"/>
  <c r="DX46" i="30"/>
  <c r="V46" i="30" s="1"/>
  <c r="Q9" i="30"/>
  <c r="AC9" i="30"/>
  <c r="AO9" i="30"/>
  <c r="BQ115" i="30"/>
  <c r="BX141" i="30" s="1"/>
  <c r="BQ42" i="30"/>
  <c r="EE115" i="30"/>
  <c r="EE42" i="30"/>
  <c r="W42" i="30" s="1"/>
  <c r="HK115" i="30"/>
  <c r="HK42" i="30"/>
  <c r="AI42" i="30" s="1"/>
  <c r="KQ115" i="30"/>
  <c r="KQ42" i="30"/>
  <c r="AU42" i="30" s="1"/>
  <c r="U10" i="30"/>
  <c r="CA116" i="30"/>
  <c r="FG116" i="30"/>
  <c r="FG43" i="30"/>
  <c r="AA43" i="30" s="1"/>
  <c r="GP116" i="30"/>
  <c r="GP43" i="30"/>
  <c r="AF43" i="30" s="1"/>
  <c r="JV116" i="30"/>
  <c r="JV43" i="30"/>
  <c r="AR43" i="30" s="1"/>
  <c r="R11" i="30"/>
  <c r="AD11" i="30"/>
  <c r="AP11" i="30"/>
  <c r="BR117" i="30"/>
  <c r="BY143" i="30" s="1"/>
  <c r="BR44" i="30"/>
  <c r="V12" i="30"/>
  <c r="AT12" i="30"/>
  <c r="IF118" i="30"/>
  <c r="IF45" i="30"/>
  <c r="AL45" i="30" s="1"/>
  <c r="X13" i="30"/>
  <c r="AJ13" i="30"/>
  <c r="AV13" i="30"/>
  <c r="CV119" i="30"/>
  <c r="CV46" i="30"/>
  <c r="R46" i="30" s="1"/>
  <c r="GB119" i="30"/>
  <c r="GB46" i="30"/>
  <c r="AD46" i="30" s="1"/>
  <c r="JH119" i="30"/>
  <c r="JH46" i="30"/>
  <c r="AP46" i="30" s="1"/>
  <c r="P14" i="30"/>
  <c r="AB14" i="30"/>
  <c r="AN14" i="30"/>
  <c r="BP120" i="30"/>
  <c r="BW146" i="30" s="1"/>
  <c r="BW47" i="30"/>
  <c r="BP47" i="30"/>
  <c r="T15" i="30"/>
  <c r="AF15" i="30"/>
  <c r="AR15" i="30"/>
  <c r="BT15" i="30"/>
  <c r="CA48" i="30" s="1"/>
  <c r="O48" i="30" s="1"/>
  <c r="EZ121" i="30"/>
  <c r="EZ48" i="30"/>
  <c r="Z48" i="30" s="1"/>
  <c r="IF121" i="30"/>
  <c r="IF48" i="30"/>
  <c r="AL48" i="30" s="1"/>
  <c r="S16" i="30"/>
  <c r="AJ18" i="30"/>
  <c r="H20" i="30"/>
  <c r="CL126" i="30"/>
  <c r="CL50" i="30"/>
  <c r="CL31" i="30"/>
  <c r="DB126" i="30"/>
  <c r="DB50" i="30"/>
  <c r="DB31" i="30"/>
  <c r="DT126" i="30"/>
  <c r="DT50" i="30"/>
  <c r="DT31" i="30"/>
  <c r="EJ126" i="30"/>
  <c r="EJ50" i="30"/>
  <c r="EJ31" i="30"/>
  <c r="EZ20" i="30"/>
  <c r="FR20" i="30"/>
  <c r="GH126" i="30"/>
  <c r="GH50" i="30"/>
  <c r="GH31" i="30"/>
  <c r="GZ126" i="30"/>
  <c r="GZ50" i="30"/>
  <c r="GZ31" i="30"/>
  <c r="HP126" i="30"/>
  <c r="HP50" i="30"/>
  <c r="HP31" i="30"/>
  <c r="IX126" i="30"/>
  <c r="IX50" i="30"/>
  <c r="IX31" i="30"/>
  <c r="JN126" i="30"/>
  <c r="JN50" i="30"/>
  <c r="JN31" i="30"/>
  <c r="KF126" i="30"/>
  <c r="KF50" i="30"/>
  <c r="KF31" i="30"/>
  <c r="KV126" i="30"/>
  <c r="KV50" i="30"/>
  <c r="KV31" i="30"/>
  <c r="HH21" i="30"/>
  <c r="HX21" i="30"/>
  <c r="IP21" i="30"/>
  <c r="JF21" i="30"/>
  <c r="KN21" i="30"/>
  <c r="O26" i="30"/>
  <c r="AM26" i="30"/>
  <c r="FU26" i="30"/>
  <c r="O27" i="30"/>
  <c r="AA27" i="30"/>
  <c r="AM27" i="30"/>
  <c r="DQ132" i="30"/>
  <c r="DQ53" i="30"/>
  <c r="U53" i="30" s="1"/>
  <c r="JV132" i="30"/>
  <c r="JV53" i="30"/>
  <c r="AR53" i="30" s="1"/>
  <c r="D31" i="30"/>
  <c r="CT31" i="30"/>
  <c r="EB31" i="30"/>
  <c r="FJ31" i="30"/>
  <c r="HX31" i="30"/>
  <c r="JF31" i="30"/>
  <c r="KN31" i="30"/>
  <c r="IT58" i="30"/>
  <c r="AN58" i="30" s="1"/>
  <c r="AN35" i="30"/>
  <c r="JE37" i="30"/>
  <c r="KV37" i="30"/>
  <c r="BW42" i="30"/>
  <c r="HR42" i="30"/>
  <c r="AJ42" i="30" s="1"/>
  <c r="JV42" i="30"/>
  <c r="AR42" i="30" s="1"/>
  <c r="EL43" i="30"/>
  <c r="X43" i="30" s="1"/>
  <c r="KX43" i="30"/>
  <c r="AV43" i="30" s="1"/>
  <c r="JO44" i="30"/>
  <c r="AQ44" i="30" s="1"/>
  <c r="FG46" i="30"/>
  <c r="AA46" i="30" s="1"/>
  <c r="JA46" i="30"/>
  <c r="AO46" i="30" s="1"/>
  <c r="BZ48" i="30"/>
  <c r="EA50" i="30"/>
  <c r="GO50" i="30"/>
  <c r="JE50" i="30"/>
  <c r="IM52" i="30"/>
  <c r="AM52" i="30" s="1"/>
  <c r="BX310" i="30"/>
  <c r="BX90" i="30"/>
  <c r="FC310" i="30"/>
  <c r="FC103" i="30"/>
  <c r="IZ126" i="30"/>
  <c r="IZ50" i="30"/>
  <c r="IZ31" i="30"/>
  <c r="HD132" i="30"/>
  <c r="HD53" i="30"/>
  <c r="AH53" i="30" s="1"/>
  <c r="IF115" i="30"/>
  <c r="IF42" i="30"/>
  <c r="AL42" i="30" s="1"/>
  <c r="EO126" i="30"/>
  <c r="EO31" i="30"/>
  <c r="Q23" i="30"/>
  <c r="BR115" i="30"/>
  <c r="BY141" i="30" s="1"/>
  <c r="BR42" i="30"/>
  <c r="AH10" i="30"/>
  <c r="AT10" i="30"/>
  <c r="CH116" i="30"/>
  <c r="CH43" i="30"/>
  <c r="P43" i="30" s="1"/>
  <c r="FK116" i="30"/>
  <c r="FK142" i="30" s="1"/>
  <c r="FK43" i="30"/>
  <c r="GW116" i="30"/>
  <c r="GW43" i="30"/>
  <c r="AG43" i="30" s="1"/>
  <c r="KC116" i="30"/>
  <c r="KC43" i="30"/>
  <c r="AS43" i="30" s="1"/>
  <c r="BS117" i="30"/>
  <c r="BZ143" i="30" s="1"/>
  <c r="BS44" i="30"/>
  <c r="BZ44" i="30"/>
  <c r="ES117" i="30"/>
  <c r="ES44" i="30"/>
  <c r="Y44" i="30" s="1"/>
  <c r="HY117" i="30"/>
  <c r="HY44" i="30"/>
  <c r="AK44" i="30" s="1"/>
  <c r="DC119" i="30"/>
  <c r="DC46" i="30"/>
  <c r="S46" i="30" s="1"/>
  <c r="GI119" i="30"/>
  <c r="GI46" i="30"/>
  <c r="AE46" i="30" s="1"/>
  <c r="JO119" i="30"/>
  <c r="JO46" i="30"/>
  <c r="AQ46" i="30" s="1"/>
  <c r="BQ120" i="30"/>
  <c r="BX146" i="30" s="1"/>
  <c r="BX47" i="30"/>
  <c r="BQ47" i="30"/>
  <c r="EE120" i="30"/>
  <c r="EE47" i="30"/>
  <c r="W47" i="30" s="1"/>
  <c r="HK120" i="30"/>
  <c r="HK47" i="30"/>
  <c r="AI47" i="30" s="1"/>
  <c r="KQ120" i="30"/>
  <c r="KQ47" i="30"/>
  <c r="AU47" i="30" s="1"/>
  <c r="BW126" i="30"/>
  <c r="CM126" i="30"/>
  <c r="CM50" i="30"/>
  <c r="DC20" i="30"/>
  <c r="DU126" i="30"/>
  <c r="DU50" i="30"/>
  <c r="EK126" i="30"/>
  <c r="EK50" i="30"/>
  <c r="FC126" i="30"/>
  <c r="FC50" i="30"/>
  <c r="GI20" i="30"/>
  <c r="HA126" i="30"/>
  <c r="HA50" i="30"/>
  <c r="HQ126" i="30"/>
  <c r="HQ50" i="30"/>
  <c r="II126" i="30"/>
  <c r="II50" i="30"/>
  <c r="IY126" i="30"/>
  <c r="IY50" i="30"/>
  <c r="JO20" i="30"/>
  <c r="KG126" i="30"/>
  <c r="KG50" i="30"/>
  <c r="KW126" i="30"/>
  <c r="KW50" i="30"/>
  <c r="GS21" i="30"/>
  <c r="HI21" i="30"/>
  <c r="IQ21" i="30"/>
  <c r="JG21" i="30"/>
  <c r="JY21" i="30"/>
  <c r="KO21" i="30"/>
  <c r="BW52" i="30"/>
  <c r="BP52" i="30"/>
  <c r="GB131" i="30"/>
  <c r="JH131" i="30"/>
  <c r="JH52" i="30"/>
  <c r="AP52" i="30" s="1"/>
  <c r="BP132" i="30"/>
  <c r="BP53" i="30"/>
  <c r="DX132" i="30"/>
  <c r="DX53" i="30"/>
  <c r="V53" i="30" s="1"/>
  <c r="GW132" i="30"/>
  <c r="GW53" i="30"/>
  <c r="AG53" i="30" s="1"/>
  <c r="KC132" i="30"/>
  <c r="KC53" i="30"/>
  <c r="AS53" i="30" s="1"/>
  <c r="KW37" i="30"/>
  <c r="BX42" i="30"/>
  <c r="EL44" i="30"/>
  <c r="X44" i="30" s="1"/>
  <c r="FU48" i="30"/>
  <c r="AC48" i="30" s="1"/>
  <c r="KJ48" i="30"/>
  <c r="AT48" i="30" s="1"/>
  <c r="EO50" i="30"/>
  <c r="HC50" i="30"/>
  <c r="JS50" i="30"/>
  <c r="EA52" i="30"/>
  <c r="KX57" i="30"/>
  <c r="HR58" i="30"/>
  <c r="AJ58" i="30" s="1"/>
  <c r="KX58" i="30"/>
  <c r="IM98" i="30"/>
  <c r="AM98" i="30" s="1"/>
  <c r="FD310" i="30"/>
  <c r="FD103" i="30"/>
  <c r="HA310" i="30"/>
  <c r="HA103" i="30"/>
  <c r="HA81" i="30"/>
  <c r="KW310" i="30"/>
  <c r="KW103" i="30"/>
  <c r="KW81" i="30"/>
  <c r="KW90" i="30"/>
  <c r="IY129" i="30"/>
  <c r="IY84" i="30"/>
  <c r="IY130" i="30" s="1"/>
  <c r="JA83" i="30"/>
  <c r="FD312" i="30"/>
  <c r="FD105" i="30"/>
  <c r="FD90" i="30"/>
  <c r="CA80" i="30"/>
  <c r="FG80" i="30"/>
  <c r="IM80" i="30"/>
  <c r="IM90" i="30" s="1"/>
  <c r="EK310" i="30"/>
  <c r="EK103" i="30"/>
  <c r="HB310" i="30"/>
  <c r="HB103" i="30"/>
  <c r="IQ81" i="30"/>
  <c r="IZ129" i="30"/>
  <c r="IZ84" i="30"/>
  <c r="IZ130" i="30" s="1"/>
  <c r="EK312" i="30"/>
  <c r="EK105" i="30"/>
  <c r="EK90" i="30"/>
  <c r="DC311" i="30"/>
  <c r="S86" i="30"/>
  <c r="S260" i="30" s="1"/>
  <c r="DC106" i="30"/>
  <c r="S106" i="30" s="1"/>
  <c r="GI311" i="30"/>
  <c r="AE86" i="30"/>
  <c r="AE260" i="30" s="1"/>
  <c r="GI106" i="30"/>
  <c r="AE106" i="30" s="1"/>
  <c r="JO311" i="30"/>
  <c r="JO106" i="30"/>
  <c r="AQ106" i="30" s="1"/>
  <c r="AQ86" i="30"/>
  <c r="AQ260" i="30" s="1"/>
  <c r="O73" i="30"/>
  <c r="O210" i="30" s="1"/>
  <c r="FG99" i="30"/>
  <c r="AA99" i="30" s="1"/>
  <c r="AA73" i="30"/>
  <c r="AA210" i="30" s="1"/>
  <c r="IM99" i="30"/>
  <c r="AM99" i="30" s="1"/>
  <c r="AM73" i="30"/>
  <c r="AM210" i="30" s="1"/>
  <c r="KG310" i="30"/>
  <c r="KG103" i="30"/>
  <c r="KG81" i="30"/>
  <c r="KG90" i="30"/>
  <c r="HR129" i="30"/>
  <c r="AJ129" i="30" s="1"/>
  <c r="AJ83" i="30"/>
  <c r="DJ311" i="30"/>
  <c r="DJ106" i="30"/>
  <c r="T106" i="30" s="1"/>
  <c r="T86" i="30"/>
  <c r="T260" i="30" s="1"/>
  <c r="GP311" i="30"/>
  <c r="GP106" i="30"/>
  <c r="AF106" i="30" s="1"/>
  <c r="AF86" i="30"/>
  <c r="AF260" i="30" s="1"/>
  <c r="JV106" i="30"/>
  <c r="AR106" i="30" s="1"/>
  <c r="AR86" i="30"/>
  <c r="AR260" i="30" s="1"/>
  <c r="CO97" i="30"/>
  <c r="Q97" i="30" s="1"/>
  <c r="Q71" i="30"/>
  <c r="Q190" i="30" s="1"/>
  <c r="FU97" i="30"/>
  <c r="AC97" i="30" s="1"/>
  <c r="AC71" i="30"/>
  <c r="AC190" i="30" s="1"/>
  <c r="JA97" i="30"/>
  <c r="AO97" i="30" s="1"/>
  <c r="AO71" i="30"/>
  <c r="AO190" i="30" s="1"/>
  <c r="AW71" i="30"/>
  <c r="AW190" i="30" s="1"/>
  <c r="CH99" i="30"/>
  <c r="P99" i="30" s="1"/>
  <c r="P73" i="30"/>
  <c r="P210" i="30" s="1"/>
  <c r="FN99" i="30"/>
  <c r="AB99" i="30" s="1"/>
  <c r="AB73" i="30"/>
  <c r="AB210" i="30" s="1"/>
  <c r="IT99" i="30"/>
  <c r="AN99" i="30" s="1"/>
  <c r="AN73" i="30"/>
  <c r="AN210" i="30" s="1"/>
  <c r="DU310" i="30"/>
  <c r="DU103" i="30"/>
  <c r="GL310" i="30"/>
  <c r="GL103" i="30"/>
  <c r="GL90" i="30"/>
  <c r="HX81" i="30"/>
  <c r="KH103" i="30"/>
  <c r="KH310" i="30"/>
  <c r="KH90" i="30"/>
  <c r="HY129" i="30"/>
  <c r="AK129" i="30" s="1"/>
  <c r="AK83" i="30"/>
  <c r="DU312" i="30"/>
  <c r="DU105" i="30"/>
  <c r="DU90" i="30"/>
  <c r="DX85" i="30"/>
  <c r="CV97" i="30"/>
  <c r="R97" i="30" s="1"/>
  <c r="R71" i="30"/>
  <c r="R190" i="30" s="1"/>
  <c r="GB97" i="30"/>
  <c r="AD97" i="30" s="1"/>
  <c r="AD71" i="30"/>
  <c r="AD190" i="30" s="1"/>
  <c r="JH97" i="30"/>
  <c r="AP97" i="30" s="1"/>
  <c r="AP71" i="30"/>
  <c r="AP190" i="30" s="1"/>
  <c r="O74" i="30"/>
  <c r="O220" i="30" s="1"/>
  <c r="AA74" i="30"/>
  <c r="AA220" i="30" s="1"/>
  <c r="FG100" i="30"/>
  <c r="AA100" i="30" s="1"/>
  <c r="IM100" i="30"/>
  <c r="AM100" i="30" s="1"/>
  <c r="AM74" i="30"/>
  <c r="AM220" i="30" s="1"/>
  <c r="DV310" i="30"/>
  <c r="DV103" i="30"/>
  <c r="DV312" i="30"/>
  <c r="DV105" i="30"/>
  <c r="DV90" i="30"/>
  <c r="GT295" i="30"/>
  <c r="GT297" i="30"/>
  <c r="GT290" i="30"/>
  <c r="LE34" i="30"/>
  <c r="AM35" i="30"/>
  <c r="JA58" i="30"/>
  <c r="AO58" i="30" s="1"/>
  <c r="LE35" i="30"/>
  <c r="DC95" i="30"/>
  <c r="S95" i="30" s="1"/>
  <c r="S69" i="30"/>
  <c r="GI95" i="30"/>
  <c r="AE95" i="30" s="1"/>
  <c r="AE69" i="30"/>
  <c r="JO95" i="30"/>
  <c r="AQ95" i="30" s="1"/>
  <c r="AQ69" i="30"/>
  <c r="CH100" i="30"/>
  <c r="P100" i="30" s="1"/>
  <c r="P74" i="30"/>
  <c r="P220" i="30" s="1"/>
  <c r="FN100" i="30"/>
  <c r="AB100" i="30" s="1"/>
  <c r="AB74" i="30"/>
  <c r="AB220" i="30" s="1"/>
  <c r="IT100" i="30"/>
  <c r="AN100" i="30" s="1"/>
  <c r="AN74" i="30"/>
  <c r="AN220" i="30" s="1"/>
  <c r="CH101" i="30"/>
  <c r="P101" i="30" s="1"/>
  <c r="P75" i="30"/>
  <c r="P230" i="30" s="1"/>
  <c r="FN101" i="30"/>
  <c r="AB101" i="30" s="1"/>
  <c r="AB75" i="30"/>
  <c r="AB230" i="30" s="1"/>
  <c r="DC80" i="30"/>
  <c r="HI81" i="30"/>
  <c r="JR103" i="30"/>
  <c r="JR310" i="30"/>
  <c r="JR90" i="30"/>
  <c r="HB81" i="30"/>
  <c r="GU295" i="30"/>
  <c r="GU297" i="30"/>
  <c r="GU290" i="30"/>
  <c r="AV34" i="30"/>
  <c r="JH58" i="30"/>
  <c r="AP58" i="30" s="1"/>
  <c r="DJ95" i="30"/>
  <c r="T95" i="30" s="1"/>
  <c r="T69" i="30"/>
  <c r="DJ80" i="30"/>
  <c r="GP95" i="30"/>
  <c r="AF95" i="30" s="1"/>
  <c r="AF69" i="30"/>
  <c r="GP80" i="30"/>
  <c r="JV95" i="30"/>
  <c r="AR95" i="30" s="1"/>
  <c r="AR69" i="30"/>
  <c r="JV80" i="30"/>
  <c r="JV310" i="30" s="1"/>
  <c r="CO101" i="30"/>
  <c r="Q101" i="30" s="1"/>
  <c r="Q75" i="30"/>
  <c r="Q230" i="30" s="1"/>
  <c r="FU101" i="30"/>
  <c r="AC101" i="30" s="1"/>
  <c r="AC75" i="30"/>
  <c r="AC230" i="30" s="1"/>
  <c r="JA101" i="30"/>
  <c r="AO101" i="30" s="1"/>
  <c r="AO75" i="30"/>
  <c r="AO230" i="30" s="1"/>
  <c r="DF310" i="30"/>
  <c r="DF103" i="30"/>
  <c r="IY103" i="30"/>
  <c r="IY310" i="30"/>
  <c r="IY81" i="30"/>
  <c r="KN81" i="30"/>
  <c r="CM105" i="30"/>
  <c r="CM312" i="30"/>
  <c r="CM317" i="30" s="1"/>
  <c r="CM90" i="30"/>
  <c r="CO85" i="30"/>
  <c r="DF312" i="30"/>
  <c r="DF105" i="30"/>
  <c r="DF90" i="30"/>
  <c r="DJ85" i="30"/>
  <c r="DT297" i="30"/>
  <c r="DT290" i="30"/>
  <c r="HY96" i="30"/>
  <c r="AK96" i="30" s="1"/>
  <c r="AK70" i="30"/>
  <c r="AK180" i="30" s="1"/>
  <c r="CM310" i="30"/>
  <c r="CM103" i="30"/>
  <c r="IZ310" i="30"/>
  <c r="IZ103" i="30"/>
  <c r="IZ90" i="30"/>
  <c r="G131" i="30"/>
  <c r="CN312" i="30"/>
  <c r="CN317" i="30" s="1"/>
  <c r="CN105" i="30"/>
  <c r="CN90" i="30"/>
  <c r="LL86" i="30"/>
  <c r="IY90" i="30"/>
  <c r="IT101" i="30"/>
  <c r="AN101" i="30" s="1"/>
  <c r="FQ96" i="30"/>
  <c r="FX96" i="30"/>
  <c r="FQ80" i="30"/>
  <c r="FU70" i="30"/>
  <c r="FU180" i="30" s="1"/>
  <c r="CN310" i="30"/>
  <c r="CN103" i="30"/>
  <c r="II310" i="30"/>
  <c r="II103" i="30"/>
  <c r="II90" i="30"/>
  <c r="II81" i="30"/>
  <c r="IM312" i="30"/>
  <c r="IM105" i="30"/>
  <c r="AM105" i="30" s="1"/>
  <c r="AM85" i="30"/>
  <c r="AM250" i="30" s="1"/>
  <c r="O69" i="30"/>
  <c r="AA69" i="30"/>
  <c r="AM69" i="30"/>
  <c r="DQ95" i="30"/>
  <c r="U95" i="30" s="1"/>
  <c r="GW95" i="30"/>
  <c r="AG95" i="30" s="1"/>
  <c r="KC95" i="30"/>
  <c r="AS95" i="30" s="1"/>
  <c r="DX96" i="30"/>
  <c r="V96" i="30" s="1"/>
  <c r="IM96" i="30"/>
  <c r="AM96" i="30" s="1"/>
  <c r="DC97" i="30"/>
  <c r="S97" i="30" s="1"/>
  <c r="GI97" i="30"/>
  <c r="AE97" i="30" s="1"/>
  <c r="JO97" i="30"/>
  <c r="AQ97" i="30" s="1"/>
  <c r="IT98" i="30"/>
  <c r="AN98" i="30" s="1"/>
  <c r="CO99" i="30"/>
  <c r="Q99" i="30" s="1"/>
  <c r="FU99" i="30"/>
  <c r="AC99" i="30" s="1"/>
  <c r="JA99" i="30"/>
  <c r="AO99" i="30" s="1"/>
  <c r="CO100" i="30"/>
  <c r="Q100" i="30" s="1"/>
  <c r="FU100" i="30"/>
  <c r="AC100" i="30" s="1"/>
  <c r="JA100" i="30"/>
  <c r="AO100" i="30" s="1"/>
  <c r="CV101" i="30"/>
  <c r="R101" i="30" s="1"/>
  <c r="GB101" i="30"/>
  <c r="AD101" i="30" s="1"/>
  <c r="JH101" i="30"/>
  <c r="AP101" i="30" s="1"/>
  <c r="BY310" i="30"/>
  <c r="BY90" i="30"/>
  <c r="GM310" i="30"/>
  <c r="GM90" i="30"/>
  <c r="HC310" i="30"/>
  <c r="HC90" i="30"/>
  <c r="HU310" i="30"/>
  <c r="HU90" i="30"/>
  <c r="IK310" i="30"/>
  <c r="IK90" i="30"/>
  <c r="JS310" i="30"/>
  <c r="JS90" i="30"/>
  <c r="KI310" i="30"/>
  <c r="KI90" i="30"/>
  <c r="IL81" i="30"/>
  <c r="DG105" i="30"/>
  <c r="DG312" i="30"/>
  <c r="DG90" i="30"/>
  <c r="DW312" i="30"/>
  <c r="DW105" i="30"/>
  <c r="DW90" i="30"/>
  <c r="EO312" i="30"/>
  <c r="EO105" i="30"/>
  <c r="EO90" i="30"/>
  <c r="FE312" i="30"/>
  <c r="FE105" i="30"/>
  <c r="FE90" i="30"/>
  <c r="JA312" i="30"/>
  <c r="JA105" i="30"/>
  <c r="AO105" i="30" s="1"/>
  <c r="DQ311" i="30"/>
  <c r="DQ106" i="30"/>
  <c r="U106" i="30" s="1"/>
  <c r="GW106" i="30"/>
  <c r="AG106" i="30" s="1"/>
  <c r="GW311" i="30"/>
  <c r="KC106" i="30"/>
  <c r="AS106" i="30" s="1"/>
  <c r="ES95" i="30"/>
  <c r="Y95" i="30" s="1"/>
  <c r="EP103" i="30"/>
  <c r="DN105" i="30"/>
  <c r="HR106" i="30"/>
  <c r="AJ106" i="30" s="1"/>
  <c r="DC297" i="30"/>
  <c r="S297" i="30" s="1"/>
  <c r="DC290" i="30"/>
  <c r="S290" i="30" s="1"/>
  <c r="S289" i="30"/>
  <c r="GI297" i="30"/>
  <c r="AE297" i="30" s="1"/>
  <c r="GI290" i="30"/>
  <c r="AE290" i="30" s="1"/>
  <c r="AE289" i="30"/>
  <c r="IM294" i="30"/>
  <c r="AM294" i="30" s="1"/>
  <c r="AM288" i="30"/>
  <c r="IM289" i="30"/>
  <c r="IM290" i="30" s="1"/>
  <c r="AM290" i="30" s="1"/>
  <c r="DX95" i="30"/>
  <c r="V95" i="30" s="1"/>
  <c r="HD95" i="30"/>
  <c r="AH95" i="30" s="1"/>
  <c r="KJ95" i="30"/>
  <c r="AT95" i="30" s="1"/>
  <c r="EE96" i="30"/>
  <c r="W96" i="30" s="1"/>
  <c r="GA96" i="30"/>
  <c r="FT96" i="30"/>
  <c r="IT96" i="30"/>
  <c r="AN96" i="30" s="1"/>
  <c r="JA98" i="30"/>
  <c r="AO98" i="30" s="1"/>
  <c r="CV99" i="30"/>
  <c r="R99" i="30" s="1"/>
  <c r="GB99" i="30"/>
  <c r="AD99" i="30" s="1"/>
  <c r="JH99" i="30"/>
  <c r="AP99" i="30" s="1"/>
  <c r="CV100" i="30"/>
  <c r="R100" i="30" s="1"/>
  <c r="GB100" i="30"/>
  <c r="AD100" i="30" s="1"/>
  <c r="JH100" i="30"/>
  <c r="AP100" i="30" s="1"/>
  <c r="DC101" i="30"/>
  <c r="S101" i="30" s="1"/>
  <c r="GI101" i="30"/>
  <c r="AE101" i="30" s="1"/>
  <c r="JO101" i="30"/>
  <c r="AQ101" i="30" s="1"/>
  <c r="BZ310" i="30"/>
  <c r="BZ90" i="30"/>
  <c r="DX80" i="30"/>
  <c r="FX310" i="30"/>
  <c r="FX90" i="30"/>
  <c r="GN310" i="30"/>
  <c r="GN90" i="30"/>
  <c r="HD80" i="30"/>
  <c r="HV310" i="30"/>
  <c r="HV90" i="30"/>
  <c r="IL310" i="30"/>
  <c r="IL90" i="30"/>
  <c r="JD310" i="30"/>
  <c r="JD90" i="30"/>
  <c r="JT310" i="30"/>
  <c r="JT90" i="30"/>
  <c r="KJ80" i="30"/>
  <c r="KJ90" i="30" s="1"/>
  <c r="IQ84" i="30"/>
  <c r="IQ130" i="30" s="1"/>
  <c r="JG84" i="30"/>
  <c r="JG130" i="30" s="1"/>
  <c r="BP312" i="30"/>
  <c r="BW317" i="30" s="1"/>
  <c r="BW105" i="30"/>
  <c r="CR312" i="30"/>
  <c r="CR105" i="30"/>
  <c r="CR90" i="30"/>
  <c r="DH105" i="30"/>
  <c r="DH312" i="30"/>
  <c r="DH90" i="30"/>
  <c r="EP312" i="30"/>
  <c r="EP105" i="30"/>
  <c r="EP90" i="30"/>
  <c r="FF312" i="30"/>
  <c r="FF105" i="30"/>
  <c r="FF90" i="30"/>
  <c r="GB312" i="30"/>
  <c r="JH312" i="30"/>
  <c r="DX311" i="30"/>
  <c r="DX106" i="30"/>
  <c r="V106" i="30" s="1"/>
  <c r="HD311" i="30"/>
  <c r="HD106" i="30"/>
  <c r="AH106" i="30" s="1"/>
  <c r="KJ106" i="30"/>
  <c r="AT106" i="30" s="1"/>
  <c r="FS96" i="30"/>
  <c r="FE103" i="30"/>
  <c r="CF297" i="30"/>
  <c r="EE95" i="30"/>
  <c r="W95" i="30" s="1"/>
  <c r="HK95" i="30"/>
  <c r="AI95" i="30" s="1"/>
  <c r="KQ95" i="30"/>
  <c r="AU95" i="30" s="1"/>
  <c r="EL96" i="30"/>
  <c r="X96" i="30" s="1"/>
  <c r="JA96" i="30"/>
  <c r="AO96" i="30" s="1"/>
  <c r="DQ97" i="30"/>
  <c r="U97" i="30" s="1"/>
  <c r="GW97" i="30"/>
  <c r="AG97" i="30" s="1"/>
  <c r="KC97" i="30"/>
  <c r="AS97" i="30" s="1"/>
  <c r="DC100" i="30"/>
  <c r="S100" i="30" s="1"/>
  <c r="GI100" i="30"/>
  <c r="AE100" i="30" s="1"/>
  <c r="JO100" i="30"/>
  <c r="AQ100" i="30" s="1"/>
  <c r="DJ101" i="30"/>
  <c r="T101" i="30" s="1"/>
  <c r="GP101" i="30"/>
  <c r="AF101" i="30" s="1"/>
  <c r="JV101" i="30"/>
  <c r="AR101" i="30" s="1"/>
  <c r="CS310" i="30"/>
  <c r="CS103" i="30"/>
  <c r="DI310" i="30"/>
  <c r="DI103" i="30"/>
  <c r="EA310" i="30"/>
  <c r="EA103" i="30"/>
  <c r="EQ310" i="30"/>
  <c r="EQ103" i="30"/>
  <c r="FY310" i="30"/>
  <c r="FY90" i="30"/>
  <c r="GO310" i="30"/>
  <c r="GO90" i="30"/>
  <c r="GO103" i="30"/>
  <c r="HG310" i="30"/>
  <c r="HG90" i="30"/>
  <c r="HG103" i="30"/>
  <c r="HW310" i="30"/>
  <c r="HW90" i="30"/>
  <c r="HW136" i="30" s="1"/>
  <c r="HW103" i="30"/>
  <c r="JE310" i="30"/>
  <c r="JE90" i="30"/>
  <c r="JE103" i="30"/>
  <c r="JU310" i="30"/>
  <c r="JU90" i="30"/>
  <c r="JU103" i="30"/>
  <c r="KM310" i="30"/>
  <c r="KM90" i="30"/>
  <c r="KM103" i="30"/>
  <c r="AL83" i="30"/>
  <c r="IM83" i="30"/>
  <c r="IR84" i="30"/>
  <c r="IR130" i="30" s="1"/>
  <c r="AO85" i="30"/>
  <c r="AO250" i="30" s="1"/>
  <c r="BX105" i="30"/>
  <c r="BQ312" i="30"/>
  <c r="BX317" i="30" s="1"/>
  <c r="CS312" i="30"/>
  <c r="CS105" i="30"/>
  <c r="CS90" i="30"/>
  <c r="DI312" i="30"/>
  <c r="DI105" i="30"/>
  <c r="DI90" i="30"/>
  <c r="EA312" i="30"/>
  <c r="EA105" i="30"/>
  <c r="EA90" i="30"/>
  <c r="EQ312" i="30"/>
  <c r="EQ105" i="30"/>
  <c r="EQ90" i="30"/>
  <c r="GI312" i="30"/>
  <c r="GI105" i="30"/>
  <c r="AE105" i="30" s="1"/>
  <c r="JO312" i="30"/>
  <c r="JO105" i="30"/>
  <c r="AQ105" i="30" s="1"/>
  <c r="EE311" i="30"/>
  <c r="EE106" i="30"/>
  <c r="W106" i="30" s="1"/>
  <c r="HK311" i="30"/>
  <c r="HK106" i="30"/>
  <c r="AI106" i="30" s="1"/>
  <c r="KQ106" i="30"/>
  <c r="AU106" i="30" s="1"/>
  <c r="HY95" i="30"/>
  <c r="AK95" i="30" s="1"/>
  <c r="FF103" i="30"/>
  <c r="JD103" i="30"/>
  <c r="ED105" i="30"/>
  <c r="GE297" i="30"/>
  <c r="GE290" i="30"/>
  <c r="KU295" i="30"/>
  <c r="KU297" i="30"/>
  <c r="KU290" i="30"/>
  <c r="CF290" i="30"/>
  <c r="KP323" i="30"/>
  <c r="KP317" i="30"/>
  <c r="AE70" i="30"/>
  <c r="AE180" i="30" s="1"/>
  <c r="AQ70" i="30"/>
  <c r="AQ180" i="30" s="1"/>
  <c r="JH96" i="30"/>
  <c r="AP96" i="30" s="1"/>
  <c r="DX97" i="30"/>
  <c r="V97" i="30" s="1"/>
  <c r="HD97" i="30"/>
  <c r="AH97" i="30" s="1"/>
  <c r="KJ97" i="30"/>
  <c r="AT97" i="30" s="1"/>
  <c r="AF72" i="30"/>
  <c r="AF200" i="30" s="1"/>
  <c r="AR72" i="30"/>
  <c r="AR200" i="30" s="1"/>
  <c r="JO98" i="30"/>
  <c r="AQ98" i="30" s="1"/>
  <c r="DJ99" i="30"/>
  <c r="T99" i="30" s="1"/>
  <c r="GP99" i="30"/>
  <c r="AF99" i="30" s="1"/>
  <c r="JV99" i="30"/>
  <c r="AR99" i="30" s="1"/>
  <c r="CD310" i="30"/>
  <c r="CD90" i="30"/>
  <c r="CD103" i="30"/>
  <c r="CT310" i="30"/>
  <c r="CT103" i="30"/>
  <c r="EB310" i="30"/>
  <c r="EB103" i="30"/>
  <c r="ER310" i="30"/>
  <c r="ER103" i="30"/>
  <c r="FJ310" i="30"/>
  <c r="FJ103" i="30"/>
  <c r="FZ310" i="30"/>
  <c r="FZ90" i="30"/>
  <c r="HH310" i="30"/>
  <c r="HH90" i="30"/>
  <c r="HH103" i="30"/>
  <c r="HX310" i="30"/>
  <c r="HX90" i="30"/>
  <c r="HX103" i="30"/>
  <c r="IP310" i="30"/>
  <c r="IP90" i="30"/>
  <c r="IP103" i="30"/>
  <c r="JF310" i="30"/>
  <c r="JF90" i="30"/>
  <c r="JF103" i="30"/>
  <c r="KN310" i="30"/>
  <c r="KN90" i="30"/>
  <c r="KN103" i="30"/>
  <c r="AD84" i="30"/>
  <c r="IS84" i="30"/>
  <c r="IS130" i="30" s="1"/>
  <c r="JK84" i="30"/>
  <c r="AD85" i="30"/>
  <c r="AD250" i="30" s="1"/>
  <c r="AP85" i="30"/>
  <c r="AP250" i="30" s="1"/>
  <c r="BY105" i="30"/>
  <c r="BR312" i="30"/>
  <c r="BY317" i="30" s="1"/>
  <c r="CT312" i="30"/>
  <c r="CT105" i="30"/>
  <c r="CT90" i="30"/>
  <c r="EB312" i="30"/>
  <c r="EB105" i="30"/>
  <c r="EB90" i="30"/>
  <c r="ER312" i="30"/>
  <c r="ER105" i="30"/>
  <c r="ER90" i="30"/>
  <c r="FJ312" i="30"/>
  <c r="FJ105" i="30"/>
  <c r="FJ90" i="30"/>
  <c r="GP312" i="30"/>
  <c r="GP105" i="30"/>
  <c r="AF105" i="30" s="1"/>
  <c r="JV105" i="30"/>
  <c r="AR105" i="30" s="1"/>
  <c r="BR311" i="30"/>
  <c r="BY316" i="30" s="1"/>
  <c r="BY106" i="30"/>
  <c r="JS103" i="30"/>
  <c r="KB295" i="30"/>
  <c r="KB297" i="30"/>
  <c r="KB290" i="30"/>
  <c r="KI295" i="30"/>
  <c r="KV297" i="30"/>
  <c r="KV290" i="30"/>
  <c r="KV295" i="30"/>
  <c r="FX323" i="30"/>
  <c r="JY317" i="30"/>
  <c r="JY323" i="30"/>
  <c r="KF317" i="30"/>
  <c r="AF70" i="30"/>
  <c r="AF180" i="30" s="1"/>
  <c r="AR70" i="30"/>
  <c r="AR180" i="30" s="1"/>
  <c r="AG72" i="30"/>
  <c r="AG200" i="30" s="1"/>
  <c r="AS72" i="30"/>
  <c r="AS200" i="30" s="1"/>
  <c r="CE310" i="30"/>
  <c r="CE90" i="30"/>
  <c r="CE103" i="30"/>
  <c r="CU310" i="30"/>
  <c r="CU103" i="30"/>
  <c r="DM310" i="30"/>
  <c r="DM103" i="30"/>
  <c r="EC310" i="30"/>
  <c r="EC103" i="30"/>
  <c r="FK80" i="30"/>
  <c r="GA310" i="30"/>
  <c r="GA90" i="30"/>
  <c r="GS310" i="30"/>
  <c r="GS103" i="30"/>
  <c r="HI310" i="30"/>
  <c r="HI90" i="30"/>
  <c r="HI103" i="30"/>
  <c r="IQ310" i="30"/>
  <c r="IQ90" i="30"/>
  <c r="IQ103" i="30"/>
  <c r="JG310" i="30"/>
  <c r="JG90" i="30"/>
  <c r="JG103" i="30"/>
  <c r="JY310" i="30"/>
  <c r="JY90" i="30"/>
  <c r="JY103" i="30"/>
  <c r="KO310" i="30"/>
  <c r="KO90" i="30"/>
  <c r="KO103" i="30"/>
  <c r="BS312" i="30"/>
  <c r="BZ317" i="30" s="1"/>
  <c r="BZ105" i="30"/>
  <c r="CU312" i="30"/>
  <c r="CU105" i="30"/>
  <c r="CU90" i="30"/>
  <c r="DM312" i="30"/>
  <c r="DM105" i="30"/>
  <c r="DM90" i="30"/>
  <c r="EC312" i="30"/>
  <c r="EC105" i="30"/>
  <c r="EC90" i="30"/>
  <c r="ES85" i="30"/>
  <c r="FK312" i="30"/>
  <c r="FK105" i="30"/>
  <c r="GW312" i="30"/>
  <c r="GW105" i="30"/>
  <c r="AG105" i="30" s="1"/>
  <c r="KC105" i="30"/>
  <c r="AS105" i="30" s="1"/>
  <c r="BS311" i="30"/>
  <c r="BZ316" i="30" s="1"/>
  <c r="BZ106" i="30"/>
  <c r="ES311" i="30"/>
  <c r="ES106" i="30"/>
  <c r="Y106" i="30" s="1"/>
  <c r="HY311" i="30"/>
  <c r="HY106" i="30"/>
  <c r="AK106" i="30" s="1"/>
  <c r="JT103" i="30"/>
  <c r="CA293" i="30"/>
  <c r="O293" i="30" s="1"/>
  <c r="CA289" i="30"/>
  <c r="CH295" i="30" s="1"/>
  <c r="P295" i="30" s="1"/>
  <c r="O285" i="30"/>
  <c r="CS293" i="30"/>
  <c r="CS289" i="30"/>
  <c r="CZ295" i="30" s="1"/>
  <c r="DI293" i="30"/>
  <c r="DI289" i="30"/>
  <c r="EA293" i="30"/>
  <c r="EA289" i="30"/>
  <c r="EH295" i="30" s="1"/>
  <c r="FG293" i="30"/>
  <c r="AA293" i="30" s="1"/>
  <c r="FG289" i="30"/>
  <c r="FN295" i="30" s="1"/>
  <c r="AB295" i="30" s="1"/>
  <c r="AA285" i="30"/>
  <c r="FY293" i="30"/>
  <c r="FY289" i="30"/>
  <c r="KQ293" i="30"/>
  <c r="AU293" i="30" s="1"/>
  <c r="AU285" i="30"/>
  <c r="KJ311" i="30"/>
  <c r="EY310" i="30"/>
  <c r="CF310" i="30"/>
  <c r="CF103" i="30"/>
  <c r="CV80" i="30"/>
  <c r="DN310" i="30"/>
  <c r="DN103" i="30"/>
  <c r="ED310" i="30"/>
  <c r="ED103" i="30"/>
  <c r="EV310" i="30"/>
  <c r="EV103" i="30"/>
  <c r="FL80" i="30"/>
  <c r="GB80" i="30"/>
  <c r="GT310" i="30"/>
  <c r="GT90" i="30"/>
  <c r="GT273" i="30" s="1"/>
  <c r="GT103" i="30"/>
  <c r="HJ310" i="30"/>
  <c r="HJ90" i="30"/>
  <c r="HJ103" i="30"/>
  <c r="IB310" i="30"/>
  <c r="IB90" i="30"/>
  <c r="IB103" i="30"/>
  <c r="IR310" i="30"/>
  <c r="IR90" i="30"/>
  <c r="IR103" i="30"/>
  <c r="JZ310" i="30"/>
  <c r="JZ90" i="30"/>
  <c r="JZ103" i="30"/>
  <c r="KP310" i="30"/>
  <c r="KP90" i="30"/>
  <c r="KP103" i="30"/>
  <c r="EV312" i="30"/>
  <c r="EV90" i="30"/>
  <c r="FL312" i="30"/>
  <c r="HD312" i="30"/>
  <c r="HD105" i="30"/>
  <c r="AH105" i="30" s="1"/>
  <c r="KJ105" i="30"/>
  <c r="AT105" i="30" s="1"/>
  <c r="EZ311" i="30"/>
  <c r="EZ106" i="30"/>
  <c r="Z106" i="30" s="1"/>
  <c r="DN90" i="30"/>
  <c r="GM103" i="30"/>
  <c r="KI103" i="30"/>
  <c r="CK293" i="30"/>
  <c r="CD289" i="30"/>
  <c r="CK295" i="30" s="1"/>
  <c r="CD293" i="30"/>
  <c r="DA293" i="30"/>
  <c r="CT293" i="30"/>
  <c r="CT289" i="30"/>
  <c r="DA295" i="30" s="1"/>
  <c r="T285" i="30"/>
  <c r="DQ293" i="30"/>
  <c r="U293" i="30" s="1"/>
  <c r="DJ293" i="30"/>
  <c r="T293" i="30" s="1"/>
  <c r="DJ289" i="30"/>
  <c r="EI293" i="30"/>
  <c r="EB289" i="30"/>
  <c r="EI295" i="30" s="1"/>
  <c r="EB293" i="30"/>
  <c r="EY293" i="30"/>
  <c r="ER293" i="30"/>
  <c r="ER289" i="30"/>
  <c r="EY295" i="30" s="1"/>
  <c r="FQ293" i="30"/>
  <c r="FJ293" i="30"/>
  <c r="GG293" i="30"/>
  <c r="FZ293" i="30"/>
  <c r="FZ289" i="30"/>
  <c r="KX293" i="30"/>
  <c r="AV293" i="30" s="1"/>
  <c r="AV285" i="30"/>
  <c r="CZ297" i="30"/>
  <c r="CZ290" i="30"/>
  <c r="EQ289" i="30"/>
  <c r="IS295" i="30"/>
  <c r="IS297" i="30"/>
  <c r="IS290" i="30"/>
  <c r="JL295" i="30"/>
  <c r="JL297" i="30"/>
  <c r="JL290" i="30"/>
  <c r="JS295" i="30"/>
  <c r="KQ311" i="30"/>
  <c r="AU302" i="30"/>
  <c r="IF311" i="30"/>
  <c r="FG95" i="30"/>
  <c r="AA95" i="30" s="1"/>
  <c r="IM95" i="30"/>
  <c r="AM95" i="30" s="1"/>
  <c r="CH96" i="30"/>
  <c r="P96" i="30" s="1"/>
  <c r="GW96" i="30"/>
  <c r="AG96" i="30" s="1"/>
  <c r="KC96" i="30"/>
  <c r="AS96" i="30" s="1"/>
  <c r="ES97" i="30"/>
  <c r="Y97" i="30" s="1"/>
  <c r="HY97" i="30"/>
  <c r="AK97" i="30" s="1"/>
  <c r="KJ98" i="30"/>
  <c r="AT98" i="30" s="1"/>
  <c r="EE99" i="30"/>
  <c r="W99" i="30" s="1"/>
  <c r="HK99" i="30"/>
  <c r="AI99" i="30" s="1"/>
  <c r="KQ99" i="30"/>
  <c r="AU99" i="30" s="1"/>
  <c r="EE100" i="30"/>
  <c r="W100" i="30" s="1"/>
  <c r="HK100" i="30"/>
  <c r="AI100" i="30" s="1"/>
  <c r="KQ100" i="30"/>
  <c r="AU100" i="30" s="1"/>
  <c r="EL101" i="30"/>
  <c r="X101" i="30" s="1"/>
  <c r="HR101" i="30"/>
  <c r="AJ101" i="30" s="1"/>
  <c r="KX101" i="30"/>
  <c r="AV101" i="30" s="1"/>
  <c r="E80" i="30"/>
  <c r="E90" i="30" s="1"/>
  <c r="BQ80" i="30"/>
  <c r="CG310" i="30"/>
  <c r="CG90" i="30"/>
  <c r="CG103" i="30"/>
  <c r="CY310" i="30"/>
  <c r="CY103" i="30"/>
  <c r="DO310" i="30"/>
  <c r="DO103" i="30"/>
  <c r="EE80" i="30"/>
  <c r="EW310" i="30"/>
  <c r="EW103" i="30"/>
  <c r="FM80" i="30"/>
  <c r="GE310" i="30"/>
  <c r="GE90" i="30"/>
  <c r="GE103" i="30"/>
  <c r="GU310" i="30"/>
  <c r="GU90" i="30"/>
  <c r="GU103" i="30"/>
  <c r="HK80" i="30"/>
  <c r="IC310" i="30"/>
  <c r="IC90" i="30"/>
  <c r="IC103" i="30"/>
  <c r="IS310" i="30"/>
  <c r="IS90" i="30"/>
  <c r="IS103" i="30"/>
  <c r="JK310" i="30"/>
  <c r="JK90" i="30"/>
  <c r="JK103" i="30"/>
  <c r="KA310" i="30"/>
  <c r="KA90" i="30"/>
  <c r="KA103" i="30"/>
  <c r="KQ80" i="30"/>
  <c r="KQ90" i="30" s="1"/>
  <c r="AD83" i="30"/>
  <c r="AG84" i="30"/>
  <c r="CA312" i="30"/>
  <c r="CY312" i="30"/>
  <c r="CY90" i="30"/>
  <c r="DO312" i="30"/>
  <c r="DO90" i="30"/>
  <c r="EE85" i="30"/>
  <c r="EW312" i="30"/>
  <c r="EW90" i="30"/>
  <c r="FM312" i="30"/>
  <c r="HK312" i="30"/>
  <c r="CA311" i="30"/>
  <c r="FG311" i="30"/>
  <c r="FG106" i="30"/>
  <c r="AA106" i="30" s="1"/>
  <c r="IM311" i="30"/>
  <c r="IM106" i="30"/>
  <c r="AM106" i="30" s="1"/>
  <c r="CR103" i="30"/>
  <c r="GN103" i="30"/>
  <c r="FL105" i="30"/>
  <c r="AI285" i="30"/>
  <c r="HY293" i="30"/>
  <c r="AK293" i="30" s="1"/>
  <c r="DA297" i="30"/>
  <c r="DA290" i="30"/>
  <c r="JM295" i="30"/>
  <c r="JM297" i="30"/>
  <c r="JM290" i="30"/>
  <c r="IX310" i="30"/>
  <c r="HO322" i="30"/>
  <c r="HO316" i="30"/>
  <c r="CH95" i="30"/>
  <c r="P95" i="30" s="1"/>
  <c r="FN95" i="30"/>
  <c r="AB95" i="30" s="1"/>
  <c r="IT95" i="30"/>
  <c r="AN95" i="30" s="1"/>
  <c r="CO96" i="30"/>
  <c r="Q96" i="30" s="1"/>
  <c r="HD96" i="30"/>
  <c r="AH96" i="30" s="1"/>
  <c r="KJ96" i="30"/>
  <c r="AT96" i="30" s="1"/>
  <c r="T71" i="30"/>
  <c r="T190" i="30" s="1"/>
  <c r="BT71" i="30"/>
  <c r="EZ97" i="30"/>
  <c r="Z97" i="30" s="1"/>
  <c r="IF97" i="30"/>
  <c r="AL97" i="30" s="1"/>
  <c r="KQ98" i="30"/>
  <c r="AU98" i="30" s="1"/>
  <c r="R73" i="30"/>
  <c r="R210" i="30" s="1"/>
  <c r="EL99" i="30"/>
  <c r="X99" i="30" s="1"/>
  <c r="HR99" i="30"/>
  <c r="AJ99" i="30" s="1"/>
  <c r="KX99" i="30"/>
  <c r="AV99" i="30" s="1"/>
  <c r="R74" i="30"/>
  <c r="R220" i="30" s="1"/>
  <c r="AD74" i="30"/>
  <c r="AD220" i="30" s="1"/>
  <c r="EL100" i="30"/>
  <c r="X100" i="30" s="1"/>
  <c r="HR100" i="30"/>
  <c r="AJ100" i="30" s="1"/>
  <c r="KX100" i="30"/>
  <c r="AV100" i="30" s="1"/>
  <c r="S75" i="30"/>
  <c r="S230" i="30" s="1"/>
  <c r="AE75" i="30"/>
  <c r="AE230" i="30" s="1"/>
  <c r="AQ75" i="30"/>
  <c r="AQ230" i="30" s="1"/>
  <c r="ES101" i="30"/>
  <c r="Y101" i="30" s="1"/>
  <c r="HY101" i="30"/>
  <c r="AK101" i="30" s="1"/>
  <c r="F80" i="30"/>
  <c r="F90" i="30" s="1"/>
  <c r="BR80" i="30"/>
  <c r="CH80" i="30"/>
  <c r="CZ310" i="30"/>
  <c r="CZ103" i="30"/>
  <c r="DP310" i="30"/>
  <c r="DP103" i="30"/>
  <c r="EH310" i="30"/>
  <c r="EH103" i="30"/>
  <c r="EX310" i="30"/>
  <c r="EX103" i="30"/>
  <c r="GF310" i="30"/>
  <c r="GF90" i="30"/>
  <c r="GF103" i="30"/>
  <c r="GV310" i="30"/>
  <c r="GV90" i="30"/>
  <c r="GV103" i="30"/>
  <c r="HN310" i="30"/>
  <c r="HN90" i="30"/>
  <c r="HN103" i="30"/>
  <c r="ID310" i="30"/>
  <c r="ID90" i="30"/>
  <c r="ID103" i="30"/>
  <c r="IT80" i="30"/>
  <c r="IT90" i="30" s="1"/>
  <c r="JL310" i="30"/>
  <c r="JL90" i="30"/>
  <c r="JL103" i="30"/>
  <c r="KB310" i="30"/>
  <c r="KB90" i="30"/>
  <c r="KB103" i="30"/>
  <c r="KT310" i="30"/>
  <c r="KT90" i="30"/>
  <c r="KT103" i="30"/>
  <c r="AE83" i="30"/>
  <c r="IT83" i="30"/>
  <c r="AH84" i="30"/>
  <c r="AH85" i="30"/>
  <c r="AH250" i="30" s="1"/>
  <c r="AT85" i="30"/>
  <c r="AT250" i="30" s="1"/>
  <c r="CH312" i="30"/>
  <c r="CH105" i="30"/>
  <c r="P105" i="30" s="1"/>
  <c r="CZ312" i="30"/>
  <c r="CZ90" i="30"/>
  <c r="CZ105" i="30"/>
  <c r="DP312" i="30"/>
  <c r="DP90" i="30"/>
  <c r="DP105" i="30"/>
  <c r="EH312" i="30"/>
  <c r="EH90" i="30"/>
  <c r="EH105" i="30"/>
  <c r="EX312" i="30"/>
  <c r="EX90" i="30"/>
  <c r="EX105" i="30"/>
  <c r="FN85" i="30"/>
  <c r="HR312" i="30"/>
  <c r="HR105" i="30"/>
  <c r="AJ105" i="30" s="1"/>
  <c r="KX105" i="30"/>
  <c r="CH311" i="30"/>
  <c r="CH106" i="30"/>
  <c r="P106" i="30" s="1"/>
  <c r="FN106" i="30"/>
  <c r="AB106" i="30" s="1"/>
  <c r="FN311" i="30"/>
  <c r="IT311" i="30"/>
  <c r="IT106" i="30"/>
  <c r="AN106" i="30" s="1"/>
  <c r="DG103" i="30"/>
  <c r="HC103" i="30"/>
  <c r="FM105" i="30"/>
  <c r="KQ105" i="30"/>
  <c r="AU105" i="30" s="1"/>
  <c r="BW106" i="30"/>
  <c r="AJ285" i="30"/>
  <c r="BP295" i="30"/>
  <c r="BP297" i="30"/>
  <c r="FL297" i="30"/>
  <c r="IC295" i="30"/>
  <c r="IC297" i="30"/>
  <c r="FL290" i="30"/>
  <c r="W69" i="30"/>
  <c r="CO95" i="30"/>
  <c r="Q95" i="30" s="1"/>
  <c r="FU95" i="30"/>
  <c r="AC95" i="30" s="1"/>
  <c r="JA95" i="30"/>
  <c r="AO95" i="30" s="1"/>
  <c r="X70" i="30"/>
  <c r="X180" i="30" s="1"/>
  <c r="CV96" i="30"/>
  <c r="R96" i="30" s="1"/>
  <c r="HK96" i="30"/>
  <c r="AI96" i="30" s="1"/>
  <c r="KQ96" i="30"/>
  <c r="AU96" i="30" s="1"/>
  <c r="U71" i="30"/>
  <c r="U190" i="30" s="1"/>
  <c r="AG71" i="30"/>
  <c r="AG190" i="30" s="1"/>
  <c r="AS71" i="30"/>
  <c r="AS190" i="30" s="1"/>
  <c r="HR98" i="30"/>
  <c r="AJ98" i="30" s="1"/>
  <c r="KX98" i="30"/>
  <c r="AV98" i="30" s="1"/>
  <c r="ES99" i="30"/>
  <c r="Y99" i="30" s="1"/>
  <c r="HY99" i="30"/>
  <c r="AK99" i="30" s="1"/>
  <c r="ES100" i="30"/>
  <c r="Y100" i="30" s="1"/>
  <c r="HY100" i="30"/>
  <c r="AK100" i="30" s="1"/>
  <c r="BT75" i="30"/>
  <c r="EZ101" i="30"/>
  <c r="Z101" i="30" s="1"/>
  <c r="IF101" i="30"/>
  <c r="AL101" i="30" s="1"/>
  <c r="G80" i="30"/>
  <c r="G90" i="30" s="1"/>
  <c r="BS80" i="30"/>
  <c r="CK103" i="30"/>
  <c r="CK310" i="30"/>
  <c r="DA103" i="30"/>
  <c r="DA310" i="30"/>
  <c r="DQ80" i="30"/>
  <c r="EI310" i="30"/>
  <c r="EI103" i="30"/>
  <c r="GG90" i="30"/>
  <c r="GG273" i="30" s="1"/>
  <c r="GG103" i="30"/>
  <c r="GG310" i="30"/>
  <c r="GW80" i="30"/>
  <c r="HO90" i="30"/>
  <c r="HO273" i="30" s="1"/>
  <c r="HO310" i="30"/>
  <c r="HO103" i="30"/>
  <c r="IE310" i="30"/>
  <c r="IE90" i="30"/>
  <c r="IE103" i="30"/>
  <c r="IW310" i="30"/>
  <c r="IW90" i="30"/>
  <c r="IW103" i="30"/>
  <c r="JM310" i="30"/>
  <c r="JM90" i="30"/>
  <c r="JM103" i="30"/>
  <c r="KC80" i="30"/>
  <c r="KU310" i="30"/>
  <c r="KU90" i="30"/>
  <c r="KU103" i="30"/>
  <c r="AF83" i="30"/>
  <c r="AI85" i="30"/>
  <c r="AI250" i="30" s="1"/>
  <c r="AU85" i="30"/>
  <c r="AU250" i="30" s="1"/>
  <c r="CK90" i="30"/>
  <c r="CK312" i="30"/>
  <c r="CK317" i="30" s="1"/>
  <c r="CK105" i="30"/>
  <c r="DA312" i="30"/>
  <c r="DA90" i="30"/>
  <c r="DA105" i="30"/>
  <c r="DQ85" i="30"/>
  <c r="EI312" i="30"/>
  <c r="EI90" i="30"/>
  <c r="EI105" i="30"/>
  <c r="EY90" i="30"/>
  <c r="EY312" i="30"/>
  <c r="EY105" i="30"/>
  <c r="FQ312" i="30"/>
  <c r="FX105" i="30"/>
  <c r="FQ105" i="30"/>
  <c r="HY312" i="30"/>
  <c r="HY105" i="30"/>
  <c r="AK105" i="30" s="1"/>
  <c r="CO311" i="30"/>
  <c r="CO106" i="30"/>
  <c r="Q106" i="30" s="1"/>
  <c r="FU311" i="30"/>
  <c r="FU106" i="30"/>
  <c r="AC106" i="30" s="1"/>
  <c r="JA311" i="30"/>
  <c r="JA106" i="30"/>
  <c r="AO106" i="30" s="1"/>
  <c r="K90" i="30"/>
  <c r="ED90" i="30"/>
  <c r="DH103" i="30"/>
  <c r="BX106" i="30"/>
  <c r="CY297" i="30"/>
  <c r="CY290" i="30"/>
  <c r="DO297" i="30"/>
  <c r="DO290" i="30"/>
  <c r="FM297" i="30"/>
  <c r="FJ289" i="30"/>
  <c r="FQ295" i="30" s="1"/>
  <c r="HJ295" i="30"/>
  <c r="HJ297" i="30"/>
  <c r="HJ290" i="30"/>
  <c r="ID295" i="30"/>
  <c r="ID297" i="30"/>
  <c r="ID290" i="30"/>
  <c r="IK295" i="30"/>
  <c r="FM290" i="30"/>
  <c r="DP316" i="30"/>
  <c r="DP322" i="30"/>
  <c r="X69" i="30"/>
  <c r="AJ69" i="30"/>
  <c r="AV69" i="30"/>
  <c r="Y70" i="30"/>
  <c r="Y180" i="30" s="1"/>
  <c r="Y181" i="30" s="1"/>
  <c r="FN70" i="30"/>
  <c r="HR96" i="30"/>
  <c r="AJ96" i="30" s="1"/>
  <c r="KX96" i="30"/>
  <c r="AV96" i="30" s="1"/>
  <c r="V71" i="30"/>
  <c r="V190" i="30" s="1"/>
  <c r="V191" i="30" s="1"/>
  <c r="AH71" i="30"/>
  <c r="AH190" i="30" s="1"/>
  <c r="AT71" i="30"/>
  <c r="AT190" i="30" s="1"/>
  <c r="AT191" i="30" s="1"/>
  <c r="CH97" i="30"/>
  <c r="P97" i="30" s="1"/>
  <c r="FN97" i="30"/>
  <c r="AB97" i="30" s="1"/>
  <c r="IT97" i="30"/>
  <c r="AN97" i="30" s="1"/>
  <c r="BT74" i="30"/>
  <c r="EZ100" i="30"/>
  <c r="Z100" i="30" s="1"/>
  <c r="IF100" i="30"/>
  <c r="AL100" i="30" s="1"/>
  <c r="CA101" i="30"/>
  <c r="O101" i="30" s="1"/>
  <c r="FG101" i="30"/>
  <c r="AA101" i="30" s="1"/>
  <c r="IM101" i="30"/>
  <c r="AM101" i="30" s="1"/>
  <c r="CL103" i="30"/>
  <c r="CL310" i="30"/>
  <c r="DB103" i="30"/>
  <c r="DB310" i="30"/>
  <c r="DT310" i="30"/>
  <c r="DT103" i="30"/>
  <c r="EJ103" i="30"/>
  <c r="EZ80" i="30"/>
  <c r="GH90" i="30"/>
  <c r="GH103" i="30"/>
  <c r="GH310" i="30"/>
  <c r="GZ103" i="30"/>
  <c r="GZ310" i="30"/>
  <c r="HP90" i="30"/>
  <c r="HP136" i="30" s="1"/>
  <c r="HP310" i="30"/>
  <c r="HP103" i="30"/>
  <c r="IF80" i="30"/>
  <c r="IF90" i="30" s="1"/>
  <c r="IX90" i="30"/>
  <c r="IX103" i="30"/>
  <c r="JN310" i="30"/>
  <c r="JN90" i="30"/>
  <c r="JN103" i="30"/>
  <c r="KF310" i="30"/>
  <c r="KF90" i="30"/>
  <c r="KF103" i="30"/>
  <c r="KV310" i="30"/>
  <c r="KV90" i="30"/>
  <c r="KV103" i="30"/>
  <c r="AG83" i="30"/>
  <c r="AJ84" i="30"/>
  <c r="AJ85" i="30"/>
  <c r="AJ250" i="30" s="1"/>
  <c r="AV85" i="30"/>
  <c r="CL312" i="30"/>
  <c r="CL317" i="30" s="1"/>
  <c r="CL90" i="30"/>
  <c r="CL105" i="30"/>
  <c r="DB312" i="30"/>
  <c r="DB90" i="30"/>
  <c r="DB105" i="30"/>
  <c r="DT312" i="30"/>
  <c r="DT90" i="30"/>
  <c r="DT105" i="30"/>
  <c r="EJ312" i="30"/>
  <c r="EJ90" i="30"/>
  <c r="EJ105" i="30"/>
  <c r="EZ85" i="30"/>
  <c r="FR312" i="30"/>
  <c r="FY317" i="30" s="1"/>
  <c r="FY105" i="30"/>
  <c r="FR105" i="30"/>
  <c r="IF312" i="30"/>
  <c r="IF105" i="30"/>
  <c r="AL105" i="30" s="1"/>
  <c r="CV106" i="30"/>
  <c r="R106" i="30" s="1"/>
  <c r="GB311" i="30"/>
  <c r="GB106" i="30"/>
  <c r="AD106" i="30" s="1"/>
  <c r="JH311" i="30"/>
  <c r="JH106" i="30"/>
  <c r="AP106" i="30" s="1"/>
  <c r="L90" i="30"/>
  <c r="DW103" i="30"/>
  <c r="HU103" i="30"/>
  <c r="CH297" i="30"/>
  <c r="P297" i="30" s="1"/>
  <c r="CH290" i="30"/>
  <c r="P290" i="30" s="1"/>
  <c r="P289" i="30"/>
  <c r="FN297" i="30"/>
  <c r="AB297" i="30" s="1"/>
  <c r="FN290" i="30"/>
  <c r="AB290" i="30" s="1"/>
  <c r="AB289" i="30"/>
  <c r="GF297" i="30"/>
  <c r="GF290" i="30"/>
  <c r="GM295" i="30"/>
  <c r="HK289" i="30"/>
  <c r="HK290" i="30" s="1"/>
  <c r="AI290" i="30" s="1"/>
  <c r="CY322" i="30"/>
  <c r="CY316" i="30"/>
  <c r="AH288" i="30"/>
  <c r="DB297" i="30"/>
  <c r="DB290" i="30"/>
  <c r="DX289" i="30"/>
  <c r="EE295" i="30" s="1"/>
  <c r="W295" i="30" s="1"/>
  <c r="GV295" i="30"/>
  <c r="GV297" i="30"/>
  <c r="GV290" i="30"/>
  <c r="HC295" i="30"/>
  <c r="HN295" i="30"/>
  <c r="HN297" i="30"/>
  <c r="HN290" i="30"/>
  <c r="HU295" i="30"/>
  <c r="IE295" i="30"/>
  <c r="IE297" i="30"/>
  <c r="IE290" i="30"/>
  <c r="IW295" i="30"/>
  <c r="IW297" i="30"/>
  <c r="IW290" i="30"/>
  <c r="JN297" i="30"/>
  <c r="JN290" i="30"/>
  <c r="KF297" i="30"/>
  <c r="KF290" i="30"/>
  <c r="KW297" i="30"/>
  <c r="KW290" i="30"/>
  <c r="CF322" i="30"/>
  <c r="CF316" i="30"/>
  <c r="HP322" i="30"/>
  <c r="HP316" i="30"/>
  <c r="JZ323" i="30"/>
  <c r="JZ317" i="30"/>
  <c r="BP293" i="30"/>
  <c r="CF293" i="30"/>
  <c r="CV293" i="30"/>
  <c r="R293" i="30" s="1"/>
  <c r="DN293" i="30"/>
  <c r="ED293" i="30"/>
  <c r="EV293" i="30"/>
  <c r="FL293" i="30"/>
  <c r="GB293" i="30"/>
  <c r="AD293" i="30" s="1"/>
  <c r="IF293" i="30"/>
  <c r="AL293" i="30" s="1"/>
  <c r="AI288" i="30"/>
  <c r="JA289" i="30"/>
  <c r="JA294" i="30"/>
  <c r="AO294" i="30" s="1"/>
  <c r="BQ289" i="30"/>
  <c r="CK297" i="30"/>
  <c r="CK290" i="30"/>
  <c r="ES289" i="30"/>
  <c r="EZ295" i="30" s="1"/>
  <c r="Z295" i="30" s="1"/>
  <c r="HO295" i="30"/>
  <c r="HO297" i="30"/>
  <c r="HO290" i="30"/>
  <c r="IX297" i="30"/>
  <c r="IX290" i="30"/>
  <c r="KG297" i="30"/>
  <c r="KG290" i="30"/>
  <c r="EC293" i="30"/>
  <c r="JV293" i="30"/>
  <c r="AR293" i="30" s="1"/>
  <c r="KF295" i="30"/>
  <c r="CG322" i="30"/>
  <c r="CG316" i="30"/>
  <c r="Y285" i="30"/>
  <c r="FM293" i="30"/>
  <c r="GL293" i="30"/>
  <c r="GE293" i="30"/>
  <c r="L289" i="30"/>
  <c r="BS295" i="30" s="1"/>
  <c r="BR289" i="30"/>
  <c r="CL297" i="30"/>
  <c r="CL290" i="30"/>
  <c r="DH289" i="30"/>
  <c r="DO295" i="30" s="1"/>
  <c r="EV289" i="30"/>
  <c r="GZ297" i="30"/>
  <c r="GZ290" i="30"/>
  <c r="HP297" i="30"/>
  <c r="HP290" i="30"/>
  <c r="II297" i="30"/>
  <c r="II290" i="30"/>
  <c r="IY297" i="30"/>
  <c r="IY290" i="30"/>
  <c r="KG295" i="30"/>
  <c r="KC312" i="30"/>
  <c r="GF322" i="30"/>
  <c r="GF316" i="30"/>
  <c r="GZ322" i="30"/>
  <c r="GZ316" i="30"/>
  <c r="JG317" i="30"/>
  <c r="JG323" i="30"/>
  <c r="CH293" i="30"/>
  <c r="P293" i="30" s="1"/>
  <c r="CZ293" i="30"/>
  <c r="DP293" i="30"/>
  <c r="EH293" i="30"/>
  <c r="EX293" i="30"/>
  <c r="FN293" i="30"/>
  <c r="AB293" i="30" s="1"/>
  <c r="GM293" i="30"/>
  <c r="GF293" i="30"/>
  <c r="M289" i="30"/>
  <c r="BT295" i="30" s="1"/>
  <c r="N295" i="30" s="1"/>
  <c r="BS297" i="30"/>
  <c r="CM289" i="30"/>
  <c r="EC289" i="30"/>
  <c r="EW289" i="30"/>
  <c r="FQ297" i="30"/>
  <c r="FQ290" i="30"/>
  <c r="HA297" i="30"/>
  <c r="HA290" i="30"/>
  <c r="HQ297" i="30"/>
  <c r="HQ290" i="30"/>
  <c r="GZ295" i="30"/>
  <c r="KJ312" i="30"/>
  <c r="KO307" i="30"/>
  <c r="KO306" i="30"/>
  <c r="GG322" i="30"/>
  <c r="GG316" i="30"/>
  <c r="KX311" i="30"/>
  <c r="CR289" i="30"/>
  <c r="CY295" i="30" s="1"/>
  <c r="ED289" i="30"/>
  <c r="EX289" i="30"/>
  <c r="FR297" i="30"/>
  <c r="FR290" i="30"/>
  <c r="JT295" i="30"/>
  <c r="KM295" i="30"/>
  <c r="KM297" i="30"/>
  <c r="CE293" i="30"/>
  <c r="ES293" i="30"/>
  <c r="Y293" i="30" s="1"/>
  <c r="IT294" i="30"/>
  <c r="AN294" i="30" s="1"/>
  <c r="HA295" i="30"/>
  <c r="KW295" i="30"/>
  <c r="KQ312" i="30"/>
  <c r="KP307" i="30"/>
  <c r="KP306" i="30"/>
  <c r="HV323" i="30"/>
  <c r="HV317" i="30"/>
  <c r="IQ317" i="30"/>
  <c r="IQ323" i="30"/>
  <c r="KG317" i="30"/>
  <c r="GW294" i="30"/>
  <c r="AG294" i="30" s="1"/>
  <c r="KC294" i="30"/>
  <c r="AS294" i="30" s="1"/>
  <c r="BW289" i="30"/>
  <c r="DM289" i="30"/>
  <c r="W289" i="30"/>
  <c r="EE297" i="30"/>
  <c r="W297" i="30" s="1"/>
  <c r="EY297" i="30"/>
  <c r="EY290" i="30"/>
  <c r="FS289" i="30"/>
  <c r="JE295" i="30"/>
  <c r="JE297" i="30"/>
  <c r="JU295" i="30"/>
  <c r="JU297" i="30"/>
  <c r="KN295" i="30"/>
  <c r="KN297" i="30"/>
  <c r="HP295" i="30"/>
  <c r="GN297" i="30"/>
  <c r="KX312" i="30"/>
  <c r="JY307" i="30"/>
  <c r="JY306" i="30"/>
  <c r="KW306" i="30"/>
  <c r="FQ316" i="30"/>
  <c r="FQ322" i="30"/>
  <c r="KH322" i="30"/>
  <c r="KH316" i="30"/>
  <c r="DC293" i="30"/>
  <c r="S293" i="30" s="1"/>
  <c r="S285" i="30"/>
  <c r="GI293" i="30"/>
  <c r="AE293" i="30" s="1"/>
  <c r="AE285" i="30"/>
  <c r="JO293" i="30"/>
  <c r="AQ293" i="30" s="1"/>
  <c r="AQ285" i="30"/>
  <c r="KJ289" i="30"/>
  <c r="KJ290" i="30" s="1"/>
  <c r="AT290" i="30" s="1"/>
  <c r="KJ294" i="30"/>
  <c r="AT294" i="30" s="1"/>
  <c r="BZ289" i="30"/>
  <c r="DN297" i="30"/>
  <c r="EH297" i="30"/>
  <c r="EH290" i="30"/>
  <c r="EZ297" i="30"/>
  <c r="Z297" i="30" s="1"/>
  <c r="EZ290" i="30"/>
  <c r="Z290" i="30" s="1"/>
  <c r="HD289" i="30"/>
  <c r="HD290" i="30" s="1"/>
  <c r="AH290" i="30" s="1"/>
  <c r="HW295" i="30"/>
  <c r="HW297" i="30"/>
  <c r="JF295" i="30"/>
  <c r="JF297" i="30"/>
  <c r="JV289" i="30"/>
  <c r="JV290" i="30" s="1"/>
  <c r="AR290" i="30" s="1"/>
  <c r="KO295" i="30"/>
  <c r="KO297" i="30"/>
  <c r="KO290" i="30"/>
  <c r="HQ295" i="30"/>
  <c r="Y305" i="30"/>
  <c r="ES307" i="30"/>
  <c r="Y307" i="30" s="1"/>
  <c r="GS307" i="30"/>
  <c r="GS306" i="30"/>
  <c r="HI307" i="30"/>
  <c r="HI306" i="30"/>
  <c r="AK305" i="30"/>
  <c r="HY307" i="30"/>
  <c r="AK307" i="30" s="1"/>
  <c r="HY306" i="30"/>
  <c r="IQ307" i="30"/>
  <c r="IQ306" i="30"/>
  <c r="JG307" i="30"/>
  <c r="JG306" i="30"/>
  <c r="JZ307" i="30"/>
  <c r="JZ306" i="30"/>
  <c r="EX316" i="30"/>
  <c r="EX322" i="30"/>
  <c r="JN322" i="30"/>
  <c r="JN316" i="30"/>
  <c r="KI322" i="30"/>
  <c r="KI316" i="30"/>
  <c r="BX293" i="30"/>
  <c r="BX289" i="30"/>
  <c r="CN293" i="30"/>
  <c r="CN289" i="30"/>
  <c r="DF293" i="30"/>
  <c r="DF289" i="30"/>
  <c r="DV293" i="30"/>
  <c r="DV289" i="30"/>
  <c r="EL293" i="30"/>
  <c r="X293" i="30" s="1"/>
  <c r="EL289" i="30"/>
  <c r="FD293" i="30"/>
  <c r="FD289" i="30"/>
  <c r="FT293" i="30"/>
  <c r="FT289" i="30"/>
  <c r="CU289" i="30"/>
  <c r="DB295" i="30" s="1"/>
  <c r="EI297" i="30"/>
  <c r="EI290" i="30"/>
  <c r="FC289" i="30"/>
  <c r="GO297" i="30"/>
  <c r="HG295" i="30"/>
  <c r="HG297" i="30"/>
  <c r="HX295" i="30"/>
  <c r="HX297" i="30"/>
  <c r="IP295" i="30"/>
  <c r="IP297" i="30"/>
  <c r="JG295" i="30"/>
  <c r="JG297" i="30"/>
  <c r="JG290" i="30"/>
  <c r="JY295" i="30"/>
  <c r="JY297" i="30"/>
  <c r="JY290" i="30"/>
  <c r="KP295" i="30"/>
  <c r="KP297" i="30"/>
  <c r="KP290" i="30"/>
  <c r="CU293" i="30"/>
  <c r="FK293" i="30"/>
  <c r="CV307" i="30"/>
  <c r="R307" i="30" s="1"/>
  <c r="R305" i="30"/>
  <c r="GB307" i="30"/>
  <c r="AD307" i="30" s="1"/>
  <c r="AD305" i="30"/>
  <c r="GT307" i="30"/>
  <c r="GT306" i="30"/>
  <c r="HJ307" i="30"/>
  <c r="HJ306" i="30"/>
  <c r="IB307" i="30"/>
  <c r="IB306" i="30"/>
  <c r="IR307" i="30"/>
  <c r="IR306" i="30"/>
  <c r="JH307" i="30"/>
  <c r="AP307" i="30" s="1"/>
  <c r="JH306" i="30"/>
  <c r="AP305" i="30"/>
  <c r="EY316" i="30"/>
  <c r="EY322" i="30"/>
  <c r="JR322" i="30"/>
  <c r="JR316" i="30"/>
  <c r="JY316" i="30"/>
  <c r="GM323" i="30"/>
  <c r="GM317" i="30"/>
  <c r="BY293" i="30"/>
  <c r="BY289" i="30"/>
  <c r="CO293" i="30"/>
  <c r="Q293" i="30" s="1"/>
  <c r="CO289" i="30"/>
  <c r="DG293" i="30"/>
  <c r="DG289" i="30"/>
  <c r="DN295" i="30" s="1"/>
  <c r="DW293" i="30"/>
  <c r="DW289" i="30"/>
  <c r="EO293" i="30"/>
  <c r="EO289" i="30"/>
  <c r="FE293" i="30"/>
  <c r="FE289" i="30"/>
  <c r="FU293" i="30"/>
  <c r="AC293" i="30" s="1"/>
  <c r="FU289" i="30"/>
  <c r="GW293" i="30"/>
  <c r="AG293" i="30" s="1"/>
  <c r="KC293" i="30"/>
  <c r="AS293" i="30" s="1"/>
  <c r="AR288" i="30"/>
  <c r="HR289" i="30"/>
  <c r="HR294" i="30"/>
  <c r="AJ294" i="30" s="1"/>
  <c r="KX289" i="30"/>
  <c r="KX294" i="30"/>
  <c r="AV294" i="30" s="1"/>
  <c r="CV289" i="30"/>
  <c r="DP289" i="30"/>
  <c r="EJ297" i="30"/>
  <c r="EJ290" i="30"/>
  <c r="FF289" i="30"/>
  <c r="FM295" i="30" s="1"/>
  <c r="GP289" i="30"/>
  <c r="HH295" i="30"/>
  <c r="HH297" i="30"/>
  <c r="IQ295" i="30"/>
  <c r="IQ297" i="30"/>
  <c r="IQ290" i="30"/>
  <c r="JZ295" i="30"/>
  <c r="JZ297" i="30"/>
  <c r="JZ290" i="30"/>
  <c r="KQ289" i="30"/>
  <c r="GN290" i="30"/>
  <c r="HW290" i="30"/>
  <c r="JE290" i="30"/>
  <c r="KM290" i="30"/>
  <c r="CY293" i="30"/>
  <c r="II295" i="30"/>
  <c r="EH316" i="30"/>
  <c r="EH322" i="30"/>
  <c r="IX316" i="30"/>
  <c r="IX322" i="30"/>
  <c r="GN323" i="30"/>
  <c r="GN317" i="30"/>
  <c r="AS288" i="30"/>
  <c r="HY294" i="30"/>
  <c r="AK294" i="30" s="1"/>
  <c r="CE289" i="30"/>
  <c r="EK289" i="30"/>
  <c r="GA289" i="30"/>
  <c r="GS295" i="30"/>
  <c r="GS297" i="30"/>
  <c r="GS290" i="30"/>
  <c r="HI295" i="30"/>
  <c r="HI297" i="30"/>
  <c r="HI290" i="30"/>
  <c r="IB295" i="30"/>
  <c r="IB297" i="30"/>
  <c r="IB290" i="30"/>
  <c r="IR295" i="30"/>
  <c r="IR297" i="30"/>
  <c r="IR290" i="30"/>
  <c r="JK295" i="30"/>
  <c r="JK297" i="30"/>
  <c r="KA295" i="30"/>
  <c r="KA297" i="30"/>
  <c r="KT295" i="30"/>
  <c r="KT297" i="30"/>
  <c r="KT290" i="30"/>
  <c r="EE290" i="30"/>
  <c r="W290" i="30" s="1"/>
  <c r="GO290" i="30"/>
  <c r="HX290" i="30"/>
  <c r="JF290" i="30"/>
  <c r="KN290" i="30"/>
  <c r="GA293" i="30"/>
  <c r="IX295" i="30"/>
  <c r="KC311" i="30"/>
  <c r="KF306" i="30"/>
  <c r="GI306" i="30"/>
  <c r="IY306" i="30"/>
  <c r="DO322" i="30"/>
  <c r="DO316" i="30"/>
  <c r="KO317" i="30"/>
  <c r="KO323" i="30"/>
  <c r="KV317" i="30"/>
  <c r="GL295" i="30"/>
  <c r="HB295" i="30"/>
  <c r="IJ295" i="30"/>
  <c r="IZ295" i="30"/>
  <c r="JR295" i="30"/>
  <c r="KH295" i="30"/>
  <c r="JV312" i="30"/>
  <c r="KQ305" i="30"/>
  <c r="GM306" i="30"/>
  <c r="HC306" i="30"/>
  <c r="HU306" i="30"/>
  <c r="IK306" i="30"/>
  <c r="JA306" i="30"/>
  <c r="JS306" i="30"/>
  <c r="KI306" i="30"/>
  <c r="EI316" i="30"/>
  <c r="EI322" i="30"/>
  <c r="IJ322" i="30"/>
  <c r="IJ316" i="30"/>
  <c r="IZ322" i="30"/>
  <c r="IZ316" i="30"/>
  <c r="JS322" i="30"/>
  <c r="JS316" i="30"/>
  <c r="KA323" i="30"/>
  <c r="KA317" i="30"/>
  <c r="GU316" i="30"/>
  <c r="CK322" i="30"/>
  <c r="CK316" i="30"/>
  <c r="DA322" i="30"/>
  <c r="DA316" i="30"/>
  <c r="EJ316" i="30"/>
  <c r="EJ322" i="30"/>
  <c r="GL322" i="30"/>
  <c r="GL316" i="30"/>
  <c r="HB322" i="30"/>
  <c r="HB316" i="30"/>
  <c r="JT316" i="30"/>
  <c r="JT322" i="30"/>
  <c r="KM322" i="30"/>
  <c r="KM316" i="30"/>
  <c r="GS317" i="30"/>
  <c r="GS323" i="30"/>
  <c r="HI317" i="30"/>
  <c r="HI323" i="30"/>
  <c r="IS323" i="30"/>
  <c r="IS317" i="30"/>
  <c r="JK323" i="30"/>
  <c r="JK317" i="30"/>
  <c r="KB317" i="30"/>
  <c r="KB323" i="30"/>
  <c r="KT317" i="30"/>
  <c r="KT323" i="30"/>
  <c r="LA328" i="30" s="1"/>
  <c r="DT316" i="30"/>
  <c r="GV316" i="30"/>
  <c r="KC305" i="30"/>
  <c r="GO306" i="30"/>
  <c r="HG306" i="30"/>
  <c r="HW306" i="30"/>
  <c r="IM306" i="30"/>
  <c r="JE306" i="30"/>
  <c r="JU306" i="30"/>
  <c r="KM306" i="30"/>
  <c r="DX307" i="30"/>
  <c r="V307" i="30" s="1"/>
  <c r="HD307" i="30"/>
  <c r="AH307" i="30" s="1"/>
  <c r="DB322" i="30"/>
  <c r="DB316" i="30"/>
  <c r="FD322" i="30"/>
  <c r="FD316" i="30"/>
  <c r="FT322" i="30"/>
  <c r="FT316" i="30"/>
  <c r="GM322" i="30"/>
  <c r="GM316" i="30"/>
  <c r="HU322" i="30"/>
  <c r="HU316" i="30"/>
  <c r="IL322" i="30"/>
  <c r="IL316" i="30"/>
  <c r="JD322" i="30"/>
  <c r="JD316" i="30"/>
  <c r="JU322" i="30"/>
  <c r="JU316" i="30"/>
  <c r="GA323" i="30"/>
  <c r="GH317" i="30"/>
  <c r="GT323" i="30"/>
  <c r="GT317" i="30"/>
  <c r="HJ323" i="30"/>
  <c r="HJ317" i="30"/>
  <c r="IB323" i="30"/>
  <c r="IB317" i="30"/>
  <c r="JL317" i="30"/>
  <c r="JL323" i="30"/>
  <c r="KU323" i="30"/>
  <c r="KU317" i="30"/>
  <c r="LB317" i="30"/>
  <c r="EB316" i="30"/>
  <c r="HC316" i="30"/>
  <c r="FR322" i="30"/>
  <c r="DF322" i="30"/>
  <c r="DF316" i="30"/>
  <c r="DV322" i="30"/>
  <c r="DV316" i="30"/>
  <c r="FE316" i="30"/>
  <c r="FE322" i="30"/>
  <c r="GN322" i="30"/>
  <c r="GN316" i="30"/>
  <c r="HV316" i="30"/>
  <c r="HV322" i="30"/>
  <c r="JE322" i="30"/>
  <c r="JE316" i="30"/>
  <c r="KO316" i="30"/>
  <c r="GU323" i="30"/>
  <c r="GU317" i="30"/>
  <c r="IC323" i="30"/>
  <c r="IC317" i="30"/>
  <c r="IW323" i="30"/>
  <c r="IW317" i="30"/>
  <c r="AR301" i="30"/>
  <c r="BX322" i="30"/>
  <c r="CN322" i="30"/>
  <c r="CN316" i="30"/>
  <c r="DW316" i="30"/>
  <c r="DW322" i="30"/>
  <c r="FX316" i="30"/>
  <c r="FX322" i="30"/>
  <c r="GO322" i="30"/>
  <c r="GO316" i="30"/>
  <c r="HG322" i="30"/>
  <c r="HG316" i="30"/>
  <c r="HW322" i="30"/>
  <c r="HW316" i="30"/>
  <c r="IP322" i="30"/>
  <c r="IP316" i="30"/>
  <c r="KP316" i="30"/>
  <c r="KP322" i="30"/>
  <c r="GE323" i="30"/>
  <c r="GE317" i="30"/>
  <c r="GV317" i="30"/>
  <c r="GV323" i="30"/>
  <c r="HN317" i="30"/>
  <c r="HN323" i="30"/>
  <c r="ID317" i="30"/>
  <c r="ID323" i="30"/>
  <c r="KG323" i="30"/>
  <c r="KN317" i="30"/>
  <c r="EO316" i="30"/>
  <c r="HX322" i="30"/>
  <c r="AS301" i="30"/>
  <c r="KX305" i="30"/>
  <c r="BY322" i="30"/>
  <c r="DH322" i="30"/>
  <c r="DH316" i="30"/>
  <c r="EP322" i="30"/>
  <c r="EP316" i="30"/>
  <c r="FY322" i="30"/>
  <c r="FY316" i="30"/>
  <c r="HH316" i="30"/>
  <c r="HH322" i="30"/>
  <c r="KA322" i="30"/>
  <c r="KA316" i="30"/>
  <c r="CD317" i="30"/>
  <c r="GF317" i="30"/>
  <c r="GF323" i="30"/>
  <c r="HO323" i="30"/>
  <c r="HO317" i="30"/>
  <c r="IE323" i="30"/>
  <c r="IE328" i="30" s="1"/>
  <c r="IE317" i="30"/>
  <c r="IY323" i="30"/>
  <c r="JF317" i="30"/>
  <c r="IY317" i="30"/>
  <c r="KH323" i="30"/>
  <c r="KH317" i="30"/>
  <c r="EV316" i="30"/>
  <c r="AT301" i="30"/>
  <c r="W305" i="30"/>
  <c r="AI305" i="30"/>
  <c r="GE306" i="30"/>
  <c r="GU306" i="30"/>
  <c r="HK306" i="30"/>
  <c r="IC306" i="30"/>
  <c r="IS306" i="30"/>
  <c r="JK306" i="30"/>
  <c r="KA306" i="30"/>
  <c r="BZ322" i="30"/>
  <c r="CR322" i="30"/>
  <c r="CR316" i="30"/>
  <c r="DI322" i="30"/>
  <c r="DI316" i="30"/>
  <c r="EA316" i="30"/>
  <c r="EQ322" i="30"/>
  <c r="EQ316" i="30"/>
  <c r="FZ316" i="30"/>
  <c r="FZ322" i="30"/>
  <c r="GS316" i="30"/>
  <c r="HI316" i="30"/>
  <c r="IB316" i="30"/>
  <c r="IB322" i="30"/>
  <c r="IR322" i="30"/>
  <c r="IR316" i="30"/>
  <c r="KB316" i="30"/>
  <c r="KT322" i="30"/>
  <c r="LA327" i="30" s="1"/>
  <c r="CE317" i="30"/>
  <c r="GG323" i="30"/>
  <c r="GG317" i="30"/>
  <c r="II323" i="30"/>
  <c r="II317" i="30"/>
  <c r="IP317" i="30"/>
  <c r="IZ317" i="30"/>
  <c r="IZ323" i="30"/>
  <c r="JR323" i="30"/>
  <c r="JR317" i="30"/>
  <c r="KI323" i="30"/>
  <c r="KI317" i="30"/>
  <c r="CE316" i="30"/>
  <c r="FF316" i="30"/>
  <c r="II316" i="30"/>
  <c r="KB322" i="30"/>
  <c r="JV311" i="30"/>
  <c r="GF306" i="30"/>
  <c r="GV306" i="30"/>
  <c r="HN306" i="30"/>
  <c r="ID306" i="30"/>
  <c r="IT306" i="30"/>
  <c r="JL306" i="30"/>
  <c r="KB306" i="30"/>
  <c r="KT306" i="30"/>
  <c r="CS322" i="30"/>
  <c r="CS316" i="30"/>
  <c r="ER316" i="30"/>
  <c r="ER322" i="30"/>
  <c r="GT316" i="30"/>
  <c r="HJ316" i="30"/>
  <c r="HJ322" i="30"/>
  <c r="IC322" i="30"/>
  <c r="IC316" i="30"/>
  <c r="IS322" i="30"/>
  <c r="IS316" i="30"/>
  <c r="JK322" i="30"/>
  <c r="JK316" i="30"/>
  <c r="KU322" i="30"/>
  <c r="LB316" i="30"/>
  <c r="KU316" i="30"/>
  <c r="CF317" i="30"/>
  <c r="HA323" i="30"/>
  <c r="HA317" i="30"/>
  <c r="HQ323" i="30"/>
  <c r="HQ317" i="30"/>
  <c r="IJ317" i="30"/>
  <c r="IJ323" i="30"/>
  <c r="JS323" i="30"/>
  <c r="JS317" i="30"/>
  <c r="IK316" i="30"/>
  <c r="AV301" i="30"/>
  <c r="GG306" i="30"/>
  <c r="GW306" i="30"/>
  <c r="HO306" i="30"/>
  <c r="IE306" i="30"/>
  <c r="IW306" i="30"/>
  <c r="JM306" i="30"/>
  <c r="KU306" i="30"/>
  <c r="CD316" i="30"/>
  <c r="CD322" i="30"/>
  <c r="CT322" i="30"/>
  <c r="CT316" i="30"/>
  <c r="EC316" i="30"/>
  <c r="FL322" i="30"/>
  <c r="FL316" i="30"/>
  <c r="ID316" i="30"/>
  <c r="ID322" i="30"/>
  <c r="JL322" i="30"/>
  <c r="JL316" i="30"/>
  <c r="KF322" i="30"/>
  <c r="KF316" i="30"/>
  <c r="LC316" i="30"/>
  <c r="KV322" i="30"/>
  <c r="KV316" i="30"/>
  <c r="CG317" i="30"/>
  <c r="HB323" i="30"/>
  <c r="HB317" i="30"/>
  <c r="IK323" i="30"/>
  <c r="IK317" i="30"/>
  <c r="JD317" i="30"/>
  <c r="JD323" i="30"/>
  <c r="JT323" i="30"/>
  <c r="JT317" i="30"/>
  <c r="CL316" i="30"/>
  <c r="JF316" i="30"/>
  <c r="HC317" i="30"/>
  <c r="DN322" i="30"/>
  <c r="DN316" i="30"/>
  <c r="ED316" i="30"/>
  <c r="ED322" i="30"/>
  <c r="EW322" i="30"/>
  <c r="EW316" i="30"/>
  <c r="FM322" i="30"/>
  <c r="FM316" i="30"/>
  <c r="GE322" i="30"/>
  <c r="GE316" i="30"/>
  <c r="HN316" i="30"/>
  <c r="HN322" i="30"/>
  <c r="IE316" i="30"/>
  <c r="IE322" i="30"/>
  <c r="IW316" i="30"/>
  <c r="IW322" i="30"/>
  <c r="JM322" i="30"/>
  <c r="JM316" i="30"/>
  <c r="GL323" i="30"/>
  <c r="GL317" i="30"/>
  <c r="HU323" i="30"/>
  <c r="HU317" i="30"/>
  <c r="IL317" i="30"/>
  <c r="IL323" i="30"/>
  <c r="GA316" i="30"/>
  <c r="JZ316" i="30"/>
  <c r="GS322" i="30"/>
  <c r="FK316" i="30"/>
  <c r="HQ316" i="30"/>
  <c r="JG316" i="30"/>
  <c r="HX317" i="30"/>
  <c r="JN317" i="30"/>
  <c r="HG317" i="30"/>
  <c r="LC317" i="30"/>
  <c r="HA316" i="30"/>
  <c r="IQ316" i="30"/>
  <c r="KW316" i="30"/>
  <c r="HH317" i="30"/>
  <c r="IX317" i="30"/>
  <c r="LD317" i="30"/>
  <c r="KN322" i="30"/>
  <c r="FY323" i="30"/>
  <c r="GO317" i="30"/>
  <c r="EC322" i="30"/>
  <c r="KO322" i="30"/>
  <c r="CM316" i="30"/>
  <c r="KG316" i="30"/>
  <c r="LD316" i="30"/>
  <c r="JU317" i="30"/>
  <c r="HI322" i="30"/>
  <c r="JE323" i="30"/>
  <c r="DM316" i="30"/>
  <c r="FS316" i="30"/>
  <c r="HP317" i="30"/>
  <c r="CU316" i="30"/>
  <c r="FC316" i="30"/>
  <c r="IY316" i="30"/>
  <c r="GZ317" i="30"/>
  <c r="KW317" i="30"/>
  <c r="JL143" i="30"/>
  <c r="KW141" i="30"/>
  <c r="CS141" i="30"/>
  <c r="DI141" i="30"/>
  <c r="EA141" i="30"/>
  <c r="EQ141" i="30"/>
  <c r="FY141" i="30"/>
  <c r="GO141" i="30"/>
  <c r="HG141" i="30"/>
  <c r="HW141" i="30"/>
  <c r="JE141" i="30"/>
  <c r="JU141" i="30"/>
  <c r="KM141" i="30"/>
  <c r="CD142" i="30"/>
  <c r="CT142" i="30"/>
  <c r="EB142" i="30"/>
  <c r="ER142" i="30"/>
  <c r="FJ142" i="30"/>
  <c r="HH142" i="30"/>
  <c r="HX142" i="30"/>
  <c r="IP142" i="30"/>
  <c r="JF142" i="30"/>
  <c r="KN142" i="30"/>
  <c r="CE143" i="30"/>
  <c r="CU143" i="30"/>
  <c r="DM143" i="30"/>
  <c r="EC143" i="30"/>
  <c r="FK143" i="30"/>
  <c r="GA143" i="30"/>
  <c r="GS143" i="30"/>
  <c r="HI143" i="30"/>
  <c r="IQ143" i="30"/>
  <c r="JG143" i="30"/>
  <c r="JY143" i="30"/>
  <c r="KO143" i="30"/>
  <c r="CF144" i="30"/>
  <c r="DN144" i="30"/>
  <c r="ED144" i="30"/>
  <c r="EV144" i="30"/>
  <c r="FL144" i="30"/>
  <c r="KT146" i="30"/>
  <c r="FQ147" i="30"/>
  <c r="GH147" i="30"/>
  <c r="GZ147" i="30"/>
  <c r="HQ147" i="30"/>
  <c r="IZ147" i="30"/>
  <c r="CD141" i="30"/>
  <c r="CT141" i="30"/>
  <c r="EB141" i="30"/>
  <c r="ER141" i="30"/>
  <c r="FJ141" i="30"/>
  <c r="FZ141" i="30"/>
  <c r="HH141" i="30"/>
  <c r="HX141" i="30"/>
  <c r="IP141" i="30"/>
  <c r="JF141" i="30"/>
  <c r="KN141" i="30"/>
  <c r="CE142" i="30"/>
  <c r="CU142" i="30"/>
  <c r="DM142" i="30"/>
  <c r="EC142" i="30"/>
  <c r="GS142" i="30"/>
  <c r="HI142" i="30"/>
  <c r="JG142" i="30"/>
  <c r="JY142" i="30"/>
  <c r="KO142" i="30"/>
  <c r="CF143" i="30"/>
  <c r="DN143" i="30"/>
  <c r="ED143" i="30"/>
  <c r="EV143" i="30"/>
  <c r="FL143" i="30"/>
  <c r="GT143" i="30"/>
  <c r="HJ143" i="30"/>
  <c r="IB143" i="30"/>
  <c r="IR143" i="30"/>
  <c r="JZ143" i="30"/>
  <c r="KP143" i="30"/>
  <c r="AC118" i="30"/>
  <c r="CG144" i="30"/>
  <c r="CY144" i="30"/>
  <c r="DO144" i="30"/>
  <c r="EW144" i="30"/>
  <c r="FM144" i="30"/>
  <c r="GE144" i="30"/>
  <c r="GU144" i="30"/>
  <c r="IC144" i="30"/>
  <c r="IS144" i="30"/>
  <c r="JK144" i="30"/>
  <c r="KA144" i="30"/>
  <c r="CZ145" i="30"/>
  <c r="DP145" i="30"/>
  <c r="EH145" i="30"/>
  <c r="EX145" i="30"/>
  <c r="GF145" i="30"/>
  <c r="GV145" i="30"/>
  <c r="HN145" i="30"/>
  <c r="ID145" i="30"/>
  <c r="JL145" i="30"/>
  <c r="KB145" i="30"/>
  <c r="KT145" i="30"/>
  <c r="CK146" i="30"/>
  <c r="DA146" i="30"/>
  <c r="EI146" i="30"/>
  <c r="EY146" i="30"/>
  <c r="FQ146" i="30"/>
  <c r="GG146" i="30"/>
  <c r="HO146" i="30"/>
  <c r="IE146" i="30"/>
  <c r="IW146" i="30"/>
  <c r="JM146" i="30"/>
  <c r="KU146" i="30"/>
  <c r="DA147" i="30"/>
  <c r="EJ147" i="30"/>
  <c r="FR147" i="30"/>
  <c r="HA147" i="30"/>
  <c r="IJ147" i="30"/>
  <c r="CE141" i="30"/>
  <c r="CU141" i="30"/>
  <c r="DM141" i="30"/>
  <c r="EC141" i="30"/>
  <c r="FK141" i="30"/>
  <c r="GA141" i="30"/>
  <c r="GS141" i="30"/>
  <c r="HI141" i="30"/>
  <c r="IQ141" i="30"/>
  <c r="JG141" i="30"/>
  <c r="JY141" i="30"/>
  <c r="KO141" i="30"/>
  <c r="CF142" i="30"/>
  <c r="DN142" i="30"/>
  <c r="ED142" i="30"/>
  <c r="EV142" i="30"/>
  <c r="GT142" i="30"/>
  <c r="HJ142" i="30"/>
  <c r="IB142" i="30"/>
  <c r="IR142" i="30"/>
  <c r="JZ142" i="30"/>
  <c r="KP142" i="30"/>
  <c r="CG143" i="30"/>
  <c r="CY143" i="30"/>
  <c r="DO143" i="30"/>
  <c r="EW143" i="30"/>
  <c r="FM143" i="30"/>
  <c r="GE143" i="30"/>
  <c r="GU143" i="30"/>
  <c r="IC143" i="30"/>
  <c r="IS143" i="30"/>
  <c r="JK143" i="30"/>
  <c r="KA143" i="30"/>
  <c r="CZ144" i="30"/>
  <c r="DP144" i="30"/>
  <c r="EH144" i="30"/>
  <c r="EX144" i="30"/>
  <c r="FN144" i="30"/>
  <c r="AB144" i="30" s="1"/>
  <c r="GF144" i="30"/>
  <c r="GV144" i="30"/>
  <c r="HN144" i="30"/>
  <c r="ID144" i="30"/>
  <c r="JL144" i="30"/>
  <c r="KB144" i="30"/>
  <c r="KT144" i="30"/>
  <c r="CK145" i="30"/>
  <c r="DA145" i="30"/>
  <c r="EI145" i="30"/>
  <c r="EY145" i="30"/>
  <c r="FQ145" i="30"/>
  <c r="GG145" i="30"/>
  <c r="HO145" i="30"/>
  <c r="IE145" i="30"/>
  <c r="IW145" i="30"/>
  <c r="JM145" i="30"/>
  <c r="KU145" i="30"/>
  <c r="CL146" i="30"/>
  <c r="DB146" i="30"/>
  <c r="DT146" i="30"/>
  <c r="EJ146" i="30"/>
  <c r="FR146" i="30"/>
  <c r="GH146" i="30"/>
  <c r="GZ146" i="30"/>
  <c r="HP146" i="30"/>
  <c r="IX146" i="30"/>
  <c r="JN146" i="30"/>
  <c r="KF146" i="30"/>
  <c r="KV146" i="30"/>
  <c r="CK147" i="30"/>
  <c r="DB147" i="30"/>
  <c r="DT147" i="30"/>
  <c r="EK147" i="30"/>
  <c r="FC147" i="30"/>
  <c r="FS147" i="30"/>
  <c r="GL147" i="30"/>
  <c r="HB147" i="30"/>
  <c r="CF141" i="30"/>
  <c r="DN141" i="30"/>
  <c r="ED141" i="30"/>
  <c r="EV141" i="30"/>
  <c r="FL141" i="30"/>
  <c r="GT141" i="30"/>
  <c r="HJ141" i="30"/>
  <c r="IB141" i="30"/>
  <c r="IR141" i="30"/>
  <c r="JZ141" i="30"/>
  <c r="KP141" i="30"/>
  <c r="CG142" i="30"/>
  <c r="CY142" i="30"/>
  <c r="DO142" i="30"/>
  <c r="EW142" i="30"/>
  <c r="GE142" i="30"/>
  <c r="GU142" i="30"/>
  <c r="IC142" i="30"/>
  <c r="IS142" i="30"/>
  <c r="JK142" i="30"/>
  <c r="KA142" i="30"/>
  <c r="CZ143" i="30"/>
  <c r="DP143" i="30"/>
  <c r="EH143" i="30"/>
  <c r="EX143" i="30"/>
  <c r="GF143" i="30"/>
  <c r="GV143" i="30"/>
  <c r="HN143" i="30"/>
  <c r="ID143" i="30"/>
  <c r="KB143" i="30"/>
  <c r="KT143" i="30"/>
  <c r="CK144" i="30"/>
  <c r="DA144" i="30"/>
  <c r="EI144" i="30"/>
  <c r="EY144" i="30"/>
  <c r="FQ144" i="30"/>
  <c r="GG144" i="30"/>
  <c r="HO144" i="30"/>
  <c r="IE144" i="30"/>
  <c r="IW144" i="30"/>
  <c r="JM144" i="30"/>
  <c r="KU144" i="30"/>
  <c r="CL145" i="30"/>
  <c r="DB145" i="30"/>
  <c r="DT145" i="30"/>
  <c r="EJ145" i="30"/>
  <c r="FR145" i="30"/>
  <c r="GH145" i="30"/>
  <c r="GZ145" i="30"/>
  <c r="HP145" i="30"/>
  <c r="IX145" i="30"/>
  <c r="JN145" i="30"/>
  <c r="KF145" i="30"/>
  <c r="KV145" i="30"/>
  <c r="CM146" i="30"/>
  <c r="DU146" i="30"/>
  <c r="EK146" i="30"/>
  <c r="FC146" i="30"/>
  <c r="FS146" i="30"/>
  <c r="HA146" i="30"/>
  <c r="HQ146" i="30"/>
  <c r="II146" i="30"/>
  <c r="IY146" i="30"/>
  <c r="KG146" i="30"/>
  <c r="KW146" i="30"/>
  <c r="CL147" i="30"/>
  <c r="DU147" i="30"/>
  <c r="FD147" i="30"/>
  <c r="FT147" i="30"/>
  <c r="CY141" i="30"/>
  <c r="DO141" i="30"/>
  <c r="EW141" i="30"/>
  <c r="FM141" i="30"/>
  <c r="GE141" i="30"/>
  <c r="GU141" i="30"/>
  <c r="IC141" i="30"/>
  <c r="JK141" i="30"/>
  <c r="KA141" i="30"/>
  <c r="CZ142" i="30"/>
  <c r="DP142" i="30"/>
  <c r="EH142" i="30"/>
  <c r="EX142" i="30"/>
  <c r="GF142" i="30"/>
  <c r="GV142" i="30"/>
  <c r="HN142" i="30"/>
  <c r="ID142" i="30"/>
  <c r="JL142" i="30"/>
  <c r="KB142" i="30"/>
  <c r="KT142" i="30"/>
  <c r="CK143" i="30"/>
  <c r="DA143" i="30"/>
  <c r="EI143" i="30"/>
  <c r="EY143" i="30"/>
  <c r="FQ143" i="30"/>
  <c r="GG143" i="30"/>
  <c r="HO143" i="30"/>
  <c r="IE143" i="30"/>
  <c r="IW143" i="30"/>
  <c r="JM143" i="30"/>
  <c r="KU143" i="30"/>
  <c r="CL144" i="30"/>
  <c r="DB144" i="30"/>
  <c r="DT144" i="30"/>
  <c r="EJ144" i="30"/>
  <c r="EZ144" i="30"/>
  <c r="Z144" i="30" s="1"/>
  <c r="FR144" i="30"/>
  <c r="GH144" i="30"/>
  <c r="GZ144" i="30"/>
  <c r="HP144" i="30"/>
  <c r="IX144" i="30"/>
  <c r="JN144" i="30"/>
  <c r="KF144" i="30"/>
  <c r="KV144" i="30"/>
  <c r="CM145" i="30"/>
  <c r="DU145" i="30"/>
  <c r="EK145" i="30"/>
  <c r="FC145" i="30"/>
  <c r="FS145" i="30"/>
  <c r="HA145" i="30"/>
  <c r="HQ145" i="30"/>
  <c r="II145" i="30"/>
  <c r="IY145" i="30"/>
  <c r="KG145" i="30"/>
  <c r="KW145" i="30"/>
  <c r="CN146" i="30"/>
  <c r="DF146" i="30"/>
  <c r="DV146" i="30"/>
  <c r="FD146" i="30"/>
  <c r="FT146" i="30"/>
  <c r="GL146" i="30"/>
  <c r="HB146" i="30"/>
  <c r="IJ146" i="30"/>
  <c r="IZ146" i="30"/>
  <c r="JR146" i="30"/>
  <c r="KH146" i="30"/>
  <c r="CM147" i="30"/>
  <c r="DF147" i="30"/>
  <c r="DV147" i="30"/>
  <c r="JG147" i="30"/>
  <c r="KU151" i="30"/>
  <c r="CZ141" i="30"/>
  <c r="DP141" i="30"/>
  <c r="EH141" i="30"/>
  <c r="EX141" i="30"/>
  <c r="GF141" i="30"/>
  <c r="GV141" i="30"/>
  <c r="HN141" i="30"/>
  <c r="ID141" i="30"/>
  <c r="JL141" i="30"/>
  <c r="KB141" i="30"/>
  <c r="KT141" i="30"/>
  <c r="CK142" i="30"/>
  <c r="DA142" i="30"/>
  <c r="EI142" i="30"/>
  <c r="EY142" i="30"/>
  <c r="GG142" i="30"/>
  <c r="HO142" i="30"/>
  <c r="IE142" i="30"/>
  <c r="IW142" i="30"/>
  <c r="JM142" i="30"/>
  <c r="KU142" i="30"/>
  <c r="CL143" i="30"/>
  <c r="DB143" i="30"/>
  <c r="DT143" i="30"/>
  <c r="EJ143" i="30"/>
  <c r="FR143" i="30"/>
  <c r="GH143" i="30"/>
  <c r="GZ143" i="30"/>
  <c r="HP143" i="30"/>
  <c r="IX143" i="30"/>
  <c r="JN143" i="30"/>
  <c r="KF143" i="30"/>
  <c r="KV143" i="30"/>
  <c r="CM144" i="30"/>
  <c r="DU144" i="30"/>
  <c r="EK144" i="30"/>
  <c r="FC144" i="30"/>
  <c r="FS144" i="30"/>
  <c r="HA144" i="30"/>
  <c r="HQ144" i="30"/>
  <c r="II144" i="30"/>
  <c r="IY144" i="30"/>
  <c r="KG144" i="30"/>
  <c r="KW144" i="30"/>
  <c r="CN145" i="30"/>
  <c r="DF145" i="30"/>
  <c r="DV145" i="30"/>
  <c r="FD145" i="30"/>
  <c r="FT145" i="30"/>
  <c r="GL145" i="30"/>
  <c r="HB145" i="30"/>
  <c r="IJ145" i="30"/>
  <c r="IZ145" i="30"/>
  <c r="JR145" i="30"/>
  <c r="KH145" i="30"/>
  <c r="DG146" i="30"/>
  <c r="DW146" i="30"/>
  <c r="EO146" i="30"/>
  <c r="FE146" i="30"/>
  <c r="GM146" i="30"/>
  <c r="HC146" i="30"/>
  <c r="HU146" i="30"/>
  <c r="IK146" i="30"/>
  <c r="JS146" i="30"/>
  <c r="KI146" i="30"/>
  <c r="CN147" i="30"/>
  <c r="FY147" i="30"/>
  <c r="IQ147" i="30"/>
  <c r="CK141" i="30"/>
  <c r="DA141" i="30"/>
  <c r="EI141" i="30"/>
  <c r="EY141" i="30"/>
  <c r="FQ141" i="30"/>
  <c r="GG141" i="30"/>
  <c r="HO141" i="30"/>
  <c r="IE141" i="30"/>
  <c r="IW141" i="30"/>
  <c r="JM141" i="30"/>
  <c r="KU141" i="30"/>
  <c r="CL142" i="30"/>
  <c r="DB142" i="30"/>
  <c r="DT142" i="30"/>
  <c r="EJ142" i="30"/>
  <c r="GH142" i="30"/>
  <c r="GZ142" i="30"/>
  <c r="HP142" i="30"/>
  <c r="IX142" i="30"/>
  <c r="JN142" i="30"/>
  <c r="KF142" i="30"/>
  <c r="KV142" i="30"/>
  <c r="CM143" i="30"/>
  <c r="DU143" i="30"/>
  <c r="EK143" i="30"/>
  <c r="FC143" i="30"/>
  <c r="FS143" i="30"/>
  <c r="HA143" i="30"/>
  <c r="HQ143" i="30"/>
  <c r="II143" i="30"/>
  <c r="IY143" i="30"/>
  <c r="KG143" i="30"/>
  <c r="KW143" i="30"/>
  <c r="CN144" i="30"/>
  <c r="DF144" i="30"/>
  <c r="DV144" i="30"/>
  <c r="FD144" i="30"/>
  <c r="FT144" i="30"/>
  <c r="GL144" i="30"/>
  <c r="HB144" i="30"/>
  <c r="IJ144" i="30"/>
  <c r="IZ144" i="30"/>
  <c r="JR144" i="30"/>
  <c r="KH144" i="30"/>
  <c r="DG145" i="30"/>
  <c r="DW145" i="30"/>
  <c r="EO145" i="30"/>
  <c r="FE145" i="30"/>
  <c r="GM145" i="30"/>
  <c r="HC145" i="30"/>
  <c r="HU145" i="30"/>
  <c r="IK145" i="30"/>
  <c r="JS145" i="30"/>
  <c r="KI145" i="30"/>
  <c r="CR146" i="30"/>
  <c r="DH146" i="30"/>
  <c r="EP146" i="30"/>
  <c r="FF146" i="30"/>
  <c r="FX146" i="30"/>
  <c r="GN146" i="30"/>
  <c r="HV146" i="30"/>
  <c r="IL146" i="30"/>
  <c r="JD146" i="30"/>
  <c r="JT146" i="30"/>
  <c r="EQ147" i="30"/>
  <c r="HH147" i="30"/>
  <c r="HX147" i="30"/>
  <c r="IP147" i="30"/>
  <c r="JF147" i="30"/>
  <c r="KN147" i="30"/>
  <c r="KT152" i="30"/>
  <c r="KF147" i="30"/>
  <c r="KV147" i="30"/>
  <c r="KV152" i="30"/>
  <c r="KH147" i="30"/>
  <c r="DG147" i="30"/>
  <c r="DW147" i="30"/>
  <c r="EO147" i="30"/>
  <c r="FE147" i="30"/>
  <c r="GM147" i="30"/>
  <c r="HC147" i="30"/>
  <c r="HU147" i="30"/>
  <c r="IK147" i="30"/>
  <c r="JS147" i="30"/>
  <c r="KI147" i="30"/>
  <c r="CR147" i="30"/>
  <c r="DH147" i="30"/>
  <c r="EP147" i="30"/>
  <c r="FF147" i="30"/>
  <c r="FX147" i="30"/>
  <c r="GN147" i="30"/>
  <c r="HV147" i="30"/>
  <c r="IL147" i="30"/>
  <c r="JD147" i="30"/>
  <c r="JT147" i="30"/>
  <c r="GO147" i="30"/>
  <c r="HG147" i="30"/>
  <c r="HW147" i="30"/>
  <c r="JE147" i="30"/>
  <c r="JU147" i="30"/>
  <c r="KM147" i="30"/>
  <c r="HA151" i="30"/>
  <c r="HQ151" i="30"/>
  <c r="II151" i="30"/>
  <c r="IY151" i="30"/>
  <c r="KG151" i="30"/>
  <c r="KW151" i="30"/>
  <c r="CN152" i="30"/>
  <c r="DF152" i="30"/>
  <c r="DV152" i="30"/>
  <c r="FD152" i="30"/>
  <c r="FT152" i="30"/>
  <c r="GL152" i="30"/>
  <c r="HB152" i="30"/>
  <c r="IJ152" i="30"/>
  <c r="IZ152" i="30"/>
  <c r="JR152" i="30"/>
  <c r="KH152" i="30"/>
  <c r="GL151" i="30"/>
  <c r="HB151" i="30"/>
  <c r="IJ151" i="30"/>
  <c r="IZ151" i="30"/>
  <c r="JR151" i="30"/>
  <c r="KH151" i="30"/>
  <c r="DG152" i="30"/>
  <c r="DW152" i="30"/>
  <c r="EO152" i="30"/>
  <c r="FE152" i="30"/>
  <c r="GM152" i="30"/>
  <c r="HC152" i="30"/>
  <c r="HU152" i="30"/>
  <c r="IK152" i="30"/>
  <c r="JS152" i="30"/>
  <c r="KI152" i="30"/>
  <c r="GM151" i="30"/>
  <c r="HC151" i="30"/>
  <c r="HU151" i="30"/>
  <c r="IK151" i="30"/>
  <c r="JS151" i="30"/>
  <c r="KI151" i="30"/>
  <c r="CR152" i="30"/>
  <c r="DH152" i="30"/>
  <c r="EP152" i="30"/>
  <c r="FF152" i="30"/>
  <c r="FX152" i="30"/>
  <c r="GN152" i="30"/>
  <c r="HV152" i="30"/>
  <c r="IL152" i="30"/>
  <c r="JD152" i="30"/>
  <c r="JT152" i="30"/>
  <c r="GN151" i="30"/>
  <c r="HV151" i="30"/>
  <c r="IL151" i="30"/>
  <c r="JD151" i="30"/>
  <c r="JT151" i="30"/>
  <c r="CS152" i="30"/>
  <c r="DI152" i="30"/>
  <c r="EQ152" i="30"/>
  <c r="FY152" i="30"/>
  <c r="GO152" i="30"/>
  <c r="HG152" i="30"/>
  <c r="HW152" i="30"/>
  <c r="JE152" i="30"/>
  <c r="JU152" i="30"/>
  <c r="KM152" i="30"/>
  <c r="GO151" i="30"/>
  <c r="HG151" i="30"/>
  <c r="HW151" i="30"/>
  <c r="JE151" i="30"/>
  <c r="JU151" i="30"/>
  <c r="KM151" i="30"/>
  <c r="CD152" i="30"/>
  <c r="CT152" i="30"/>
  <c r="EB152" i="30"/>
  <c r="ER152" i="30"/>
  <c r="FJ152" i="30"/>
  <c r="FZ152" i="30"/>
  <c r="HH152" i="30"/>
  <c r="HX152" i="30"/>
  <c r="IP152" i="30"/>
  <c r="JF152" i="30"/>
  <c r="KN152" i="30"/>
  <c r="CD151" i="30"/>
  <c r="HH151" i="30"/>
  <c r="HX151" i="30"/>
  <c r="IP151" i="30"/>
  <c r="JF151" i="30"/>
  <c r="KN151" i="30"/>
  <c r="CE152" i="30"/>
  <c r="CU152" i="30"/>
  <c r="DM152" i="30"/>
  <c r="FK152" i="30"/>
  <c r="GA152" i="30"/>
  <c r="GS152" i="30"/>
  <c r="HI152" i="30"/>
  <c r="IQ152" i="30"/>
  <c r="JG152" i="30"/>
  <c r="JY152" i="30"/>
  <c r="KO152" i="30"/>
  <c r="FG371" i="30"/>
  <c r="AB371" i="30"/>
  <c r="AC371" i="30"/>
  <c r="IT81" i="29"/>
  <c r="AN81" i="29" s="1"/>
  <c r="KW89" i="29"/>
  <c r="IF82" i="29"/>
  <c r="AL82" i="29" s="1"/>
  <c r="IJ89" i="29"/>
  <c r="IZ89" i="29"/>
  <c r="JR89" i="29"/>
  <c r="KH89" i="29"/>
  <c r="G95" i="29"/>
  <c r="E95" i="29"/>
  <c r="E96" i="29"/>
  <c r="HR82" i="29"/>
  <c r="AJ82" i="29" s="1"/>
  <c r="KQ86" i="29"/>
  <c r="AU86" i="29" s="1"/>
  <c r="H95" i="29"/>
  <c r="M95" i="29"/>
  <c r="M96" i="29"/>
  <c r="F96" i="29"/>
  <c r="F95" i="29"/>
  <c r="JA82" i="29"/>
  <c r="AO82" i="29" s="1"/>
  <c r="HD82" i="29"/>
  <c r="AH82" i="29" s="1"/>
  <c r="IM82" i="29"/>
  <c r="AM82" i="29" s="1"/>
  <c r="IQ27" i="29"/>
  <c r="I95" i="29"/>
  <c r="I96" i="29"/>
  <c r="J95" i="29"/>
  <c r="J96" i="29"/>
  <c r="HY82" i="29"/>
  <c r="AK82" i="29" s="1"/>
  <c r="KX86" i="29"/>
  <c r="AV86" i="29" s="1"/>
  <c r="JN27" i="29"/>
  <c r="DJ51" i="29"/>
  <c r="T51" i="29" s="1"/>
  <c r="K95" i="29"/>
  <c r="K96" i="29"/>
  <c r="L95" i="29"/>
  <c r="L96" i="29"/>
  <c r="KJ133" i="29"/>
  <c r="AT136" i="29"/>
  <c r="KJ137" i="29"/>
  <c r="AT137" i="29" s="1"/>
  <c r="KQ137" i="29"/>
  <c r="AU137" i="29" s="1"/>
  <c r="AU136" i="29"/>
  <c r="KX137" i="29"/>
  <c r="AV137" i="29" s="1"/>
  <c r="GP114" i="29"/>
  <c r="AF114" i="29" s="1"/>
  <c r="AF115" i="29"/>
  <c r="JV114" i="29"/>
  <c r="AR114" i="29" s="1"/>
  <c r="AR115" i="29"/>
  <c r="HY114" i="29"/>
  <c r="AK114" i="29" s="1"/>
  <c r="AK115" i="29"/>
  <c r="EE124" i="29"/>
  <c r="W124" i="29" s="1"/>
  <c r="DQ124" i="29"/>
  <c r="U124" i="29" s="1"/>
  <c r="KW134" i="29"/>
  <c r="KP134" i="29"/>
  <c r="AD133" i="29"/>
  <c r="GI134" i="29"/>
  <c r="AE134" i="29" s="1"/>
  <c r="HA134" i="29"/>
  <c r="GT134" i="29"/>
  <c r="HQ134" i="29"/>
  <c r="HJ134" i="29"/>
  <c r="II134" i="29"/>
  <c r="IB134" i="29"/>
  <c r="IY134" i="29"/>
  <c r="IR134" i="29"/>
  <c r="AP133" i="29"/>
  <c r="JO134" i="29"/>
  <c r="AQ134" i="29" s="1"/>
  <c r="JH134" i="29"/>
  <c r="AP134" i="29" s="1"/>
  <c r="KG134" i="29"/>
  <c r="JZ134" i="29"/>
  <c r="KX134" i="29"/>
  <c r="AV134" i="29" s="1"/>
  <c r="AU133" i="29"/>
  <c r="HR134" i="29"/>
  <c r="AJ134" i="29" s="1"/>
  <c r="AI133" i="29"/>
  <c r="HR114" i="29"/>
  <c r="AJ114" i="29" s="1"/>
  <c r="AJ113" i="29"/>
  <c r="KX114" i="29"/>
  <c r="AV114" i="29" s="1"/>
  <c r="AV113" i="29"/>
  <c r="GE134" i="29"/>
  <c r="IS134" i="29"/>
  <c r="AM113" i="29"/>
  <c r="KI5" i="29"/>
  <c r="HX5" i="29"/>
  <c r="KO5" i="29"/>
  <c r="JM27" i="29"/>
  <c r="IW27" i="29"/>
  <c r="JY27" i="29"/>
  <c r="GZ5" i="29"/>
  <c r="HB5" i="29"/>
  <c r="JZ5" i="29"/>
  <c r="KB5" i="29"/>
  <c r="KH5" i="29"/>
  <c r="KT5" i="29"/>
  <c r="HG5" i="29"/>
  <c r="HI5" i="29"/>
  <c r="IX5" i="29"/>
  <c r="IZ5" i="29"/>
  <c r="JS5" i="29"/>
  <c r="JT27" i="29"/>
  <c r="JM5" i="29"/>
  <c r="JL5" i="29"/>
  <c r="KV5" i="29"/>
  <c r="IJ5" i="29"/>
  <c r="IP5" i="29"/>
  <c r="IR5" i="29"/>
  <c r="JF5" i="29"/>
  <c r="JE5" i="29"/>
  <c r="IQ5" i="29"/>
  <c r="IS5" i="29"/>
  <c r="HV5" i="29"/>
  <c r="IB5" i="29"/>
  <c r="ID5" i="29"/>
  <c r="IK5" i="29"/>
  <c r="IS27" i="29"/>
  <c r="JK27" i="29"/>
  <c r="HN5" i="29"/>
  <c r="HP5" i="29"/>
  <c r="IL5" i="29"/>
  <c r="JL27" i="29"/>
  <c r="CO224" i="30" l="1"/>
  <c r="MH20" i="1"/>
  <c r="MF136" i="30"/>
  <c r="MG57" i="30"/>
  <c r="BA57" i="30" s="1"/>
  <c r="BA34" i="30"/>
  <c r="MG20" i="1"/>
  <c r="ME136" i="30"/>
  <c r="MC136" i="30"/>
  <c r="ME20" i="1"/>
  <c r="ME60" i="30"/>
  <c r="ME38" i="30"/>
  <c r="MC60" i="30"/>
  <c r="MC38" i="30"/>
  <c r="MF38" i="30"/>
  <c r="MF60" i="30"/>
  <c r="IX328" i="30"/>
  <c r="BZ204" i="30"/>
  <c r="DX204" i="30"/>
  <c r="JO152" i="30"/>
  <c r="AQ152" i="30" s="1"/>
  <c r="IT224" i="30"/>
  <c r="JA224" i="30"/>
  <c r="JE328" i="30"/>
  <c r="S203" i="30"/>
  <c r="S206" i="30" s="1"/>
  <c r="BR206" i="30"/>
  <c r="BY207" i="30" s="1"/>
  <c r="FN224" i="30"/>
  <c r="CY315" i="30"/>
  <c r="CR327" i="30"/>
  <c r="FR327" i="30"/>
  <c r="CV143" i="30"/>
  <c r="R143" i="30" s="1"/>
  <c r="GO327" i="30"/>
  <c r="HG273" i="30"/>
  <c r="HG276" i="30" s="1"/>
  <c r="CO141" i="30"/>
  <c r="KO55" i="30"/>
  <c r="ES214" i="30"/>
  <c r="GH327" i="30"/>
  <c r="CH224" i="30"/>
  <c r="JF273" i="30"/>
  <c r="JF276" i="30" s="1"/>
  <c r="JM244" i="30"/>
  <c r="LS118" i="29"/>
  <c r="AY118" i="29" s="1"/>
  <c r="HJ327" i="30"/>
  <c r="FF151" i="30"/>
  <c r="AK181" i="30"/>
  <c r="FK31" i="30"/>
  <c r="AT203" i="30"/>
  <c r="HK204" i="30"/>
  <c r="KN244" i="30"/>
  <c r="KH244" i="30"/>
  <c r="KX290" i="30"/>
  <c r="AV290" i="30" s="1"/>
  <c r="AL261" i="30"/>
  <c r="AK263" i="30"/>
  <c r="AK266" i="30" s="1"/>
  <c r="AA204" i="30"/>
  <c r="HO328" i="30"/>
  <c r="LS35" i="30"/>
  <c r="AY35" i="30" s="1"/>
  <c r="LW35" i="30"/>
  <c r="MD35" i="30" s="1"/>
  <c r="LY136" i="30"/>
  <c r="MA20" i="1"/>
  <c r="LX136" i="30"/>
  <c r="LZ20" i="1"/>
  <c r="LV136" i="30"/>
  <c r="LX20" i="1"/>
  <c r="GB141" i="30"/>
  <c r="T211" i="30"/>
  <c r="FG191" i="30"/>
  <c r="LZ57" i="30"/>
  <c r="AZ57" i="30" s="1"/>
  <c r="AZ34" i="30"/>
  <c r="FU141" i="30"/>
  <c r="LZ93" i="1"/>
  <c r="MA78" i="1"/>
  <c r="MA81" i="1" s="1"/>
  <c r="ME78" i="1" s="1"/>
  <c r="LY60" i="1"/>
  <c r="LL311" i="30"/>
  <c r="AM221" i="30"/>
  <c r="AO203" i="30"/>
  <c r="AO206" i="30" s="1"/>
  <c r="AC213" i="30"/>
  <c r="AC216" i="30" s="1"/>
  <c r="DQ231" i="30"/>
  <c r="KQ266" i="30"/>
  <c r="GP221" i="30"/>
  <c r="GP108" i="29"/>
  <c r="AF108" i="29" s="1"/>
  <c r="GH108" i="29"/>
  <c r="GG108" i="29" s="1"/>
  <c r="GF108" i="29" s="1"/>
  <c r="GE108" i="29" s="1"/>
  <c r="IT144" i="30"/>
  <c r="AN144" i="30" s="1"/>
  <c r="AI213" i="30"/>
  <c r="AJ183" i="30"/>
  <c r="AJ186" i="30" s="1"/>
  <c r="FU194" i="30"/>
  <c r="GI351" i="30"/>
  <c r="AE351" i="30" s="1"/>
  <c r="ED315" i="30"/>
  <c r="AG223" i="30"/>
  <c r="AG226" i="30" s="1"/>
  <c r="CM244" i="30"/>
  <c r="GI184" i="30"/>
  <c r="HI315" i="30"/>
  <c r="HC327" i="30"/>
  <c r="KV244" i="30"/>
  <c r="DJ214" i="30"/>
  <c r="DQ214" i="30"/>
  <c r="V223" i="30"/>
  <c r="V226" i="30" s="1"/>
  <c r="HG328" i="30"/>
  <c r="JD244" i="30"/>
  <c r="AH191" i="30"/>
  <c r="JO322" i="30"/>
  <c r="AQ322" i="30" s="1"/>
  <c r="AI203" i="30"/>
  <c r="AI206" i="30" s="1"/>
  <c r="CD244" i="30"/>
  <c r="AI221" i="30"/>
  <c r="FT90" i="30"/>
  <c r="GA108" i="30" s="1"/>
  <c r="IR244" i="30"/>
  <c r="AL223" i="30"/>
  <c r="AL226" i="30" s="1"/>
  <c r="IK246" i="30"/>
  <c r="IK247" i="30" s="1"/>
  <c r="GB194" i="30"/>
  <c r="CD273" i="30"/>
  <c r="KP273" i="30"/>
  <c r="JE273" i="30"/>
  <c r="JE276" i="30" s="1"/>
  <c r="FU234" i="30"/>
  <c r="AH221" i="30"/>
  <c r="AD221" i="30"/>
  <c r="FX273" i="30"/>
  <c r="FX276" i="30" s="1"/>
  <c r="HD254" i="30"/>
  <c r="AH223" i="30"/>
  <c r="JL273" i="30"/>
  <c r="JL276" i="30" s="1"/>
  <c r="P253" i="30"/>
  <c r="P256" i="30" s="1"/>
  <c r="BZ254" i="30"/>
  <c r="GP174" i="30"/>
  <c r="IM194" i="30"/>
  <c r="FG243" i="30"/>
  <c r="AE201" i="30"/>
  <c r="BW214" i="30"/>
  <c r="BX273" i="30"/>
  <c r="IT171" i="30"/>
  <c r="AC191" i="30"/>
  <c r="AQ261" i="30"/>
  <c r="AL193" i="30"/>
  <c r="AL196" i="30" s="1"/>
  <c r="HO244" i="30"/>
  <c r="EY273" i="30"/>
  <c r="AP263" i="30"/>
  <c r="AP266" i="30" s="1"/>
  <c r="KX310" i="30"/>
  <c r="AJ213" i="30"/>
  <c r="JH141" i="30"/>
  <c r="IF196" i="30"/>
  <c r="AU203" i="30"/>
  <c r="EA244" i="30"/>
  <c r="DB273" i="30"/>
  <c r="AG191" i="30"/>
  <c r="CA256" i="30"/>
  <c r="AD118" i="30"/>
  <c r="AA221" i="30"/>
  <c r="GO328" i="30"/>
  <c r="KX186" i="30"/>
  <c r="LE187" i="30" s="1"/>
  <c r="KQ221" i="30"/>
  <c r="JA201" i="30"/>
  <c r="JM327" i="30"/>
  <c r="KB328" i="30"/>
  <c r="EH273" i="30"/>
  <c r="JK273" i="30"/>
  <c r="JK276" i="30" s="1"/>
  <c r="AT183" i="30"/>
  <c r="AT186" i="30" s="1"/>
  <c r="CA196" i="30"/>
  <c r="KQ264" i="30"/>
  <c r="HC328" i="30"/>
  <c r="HJ328" i="30"/>
  <c r="AM211" i="30"/>
  <c r="KP55" i="30"/>
  <c r="JF327" i="30"/>
  <c r="Z206" i="30"/>
  <c r="Z207" i="30" s="1"/>
  <c r="BY254" i="30"/>
  <c r="Z204" i="30"/>
  <c r="AI263" i="30"/>
  <c r="AI266" i="30" s="1"/>
  <c r="HR191" i="30"/>
  <c r="GH328" i="30"/>
  <c r="EK317" i="30"/>
  <c r="FD273" i="30"/>
  <c r="Y173" i="30"/>
  <c r="DQ216" i="30"/>
  <c r="DX217" i="30" s="1"/>
  <c r="HD243" i="30"/>
  <c r="HD146" i="30"/>
  <c r="AH146" i="30" s="1"/>
  <c r="AR253" i="30"/>
  <c r="AR256" i="30" s="1"/>
  <c r="JT244" i="30"/>
  <c r="KJ264" i="30"/>
  <c r="FT310" i="30"/>
  <c r="GA315" i="30" s="1"/>
  <c r="HN328" i="30"/>
  <c r="KA244" i="30"/>
  <c r="KJ266" i="30"/>
  <c r="DJ174" i="30"/>
  <c r="JS273" i="30"/>
  <c r="HY211" i="30"/>
  <c r="CO171" i="30"/>
  <c r="KX196" i="30"/>
  <c r="LE197" i="30" s="1"/>
  <c r="CH176" i="30"/>
  <c r="AQ289" i="30"/>
  <c r="FT31" i="30"/>
  <c r="FT37" i="30" s="1"/>
  <c r="KX224" i="30"/>
  <c r="DX146" i="30"/>
  <c r="V146" i="30" s="1"/>
  <c r="KX194" i="30"/>
  <c r="KJ186" i="30"/>
  <c r="JS244" i="30"/>
  <c r="AQ193" i="30"/>
  <c r="AQ196" i="30" s="1"/>
  <c r="KH246" i="30"/>
  <c r="KH247" i="30" s="1"/>
  <c r="KP244" i="30"/>
  <c r="KJ204" i="30"/>
  <c r="BY264" i="30"/>
  <c r="KX226" i="30"/>
  <c r="LE227" i="30" s="1"/>
  <c r="KB244" i="30"/>
  <c r="GN149" i="30"/>
  <c r="Y223" i="30"/>
  <c r="Y226" i="30" s="1"/>
  <c r="FT126" i="30"/>
  <c r="GA127" i="30" s="1"/>
  <c r="Q203" i="30"/>
  <c r="Q206" i="30" s="1"/>
  <c r="DA244" i="30"/>
  <c r="IK244" i="30"/>
  <c r="KJ234" i="30"/>
  <c r="JO194" i="30"/>
  <c r="JH174" i="30"/>
  <c r="AP201" i="30"/>
  <c r="EQ244" i="30"/>
  <c r="LE191" i="30"/>
  <c r="KX216" i="30"/>
  <c r="LE217" i="30" s="1"/>
  <c r="EJ273" i="30"/>
  <c r="JS246" i="30"/>
  <c r="JS247" i="30" s="1"/>
  <c r="EE201" i="30"/>
  <c r="EE221" i="30"/>
  <c r="EL224" i="30"/>
  <c r="GI194" i="30"/>
  <c r="CH174" i="30"/>
  <c r="BZ273" i="30"/>
  <c r="JO297" i="30"/>
  <c r="AQ297" i="30" s="1"/>
  <c r="AM233" i="30"/>
  <c r="AM236" i="30" s="1"/>
  <c r="FE151" i="30"/>
  <c r="AF211" i="30"/>
  <c r="W221" i="30"/>
  <c r="IM234" i="30"/>
  <c r="ID244" i="30"/>
  <c r="BX254" i="30"/>
  <c r="KX191" i="30"/>
  <c r="KB273" i="30"/>
  <c r="KB276" i="30" s="1"/>
  <c r="HH273" i="30"/>
  <c r="HH276" i="30" s="1"/>
  <c r="GS244" i="30"/>
  <c r="V261" i="30"/>
  <c r="FN261" i="30"/>
  <c r="GP144" i="30"/>
  <c r="AF144" i="30" s="1"/>
  <c r="HK243" i="30"/>
  <c r="HK246" i="30" s="1"/>
  <c r="KX214" i="30"/>
  <c r="AB261" i="30"/>
  <c r="EX273" i="30"/>
  <c r="HJ273" i="30"/>
  <c r="HJ276" i="30" s="1"/>
  <c r="BY273" i="30"/>
  <c r="BY276" i="30" s="1"/>
  <c r="JA141" i="30"/>
  <c r="JG38" i="30"/>
  <c r="KJ184" i="30"/>
  <c r="GZ244" i="30"/>
  <c r="JA234" i="30"/>
  <c r="FG266" i="30"/>
  <c r="CV184" i="30"/>
  <c r="FE323" i="30"/>
  <c r="AR233" i="30"/>
  <c r="AR236" i="30" s="1"/>
  <c r="X203" i="30"/>
  <c r="X206" i="30" s="1"/>
  <c r="Y207" i="30" s="1"/>
  <c r="FD244" i="30"/>
  <c r="GB196" i="30"/>
  <c r="GB197" i="30" s="1"/>
  <c r="EA273" i="30"/>
  <c r="T221" i="30"/>
  <c r="AJ261" i="30"/>
  <c r="JH194" i="30"/>
  <c r="U263" i="30"/>
  <c r="IM236" i="30"/>
  <c r="DX214" i="30"/>
  <c r="IR327" i="30"/>
  <c r="AQ83" i="30"/>
  <c r="O263" i="30"/>
  <c r="O266" i="30" s="1"/>
  <c r="KJ310" i="30"/>
  <c r="AT310" i="30" s="1"/>
  <c r="AT251" i="30"/>
  <c r="AQ181" i="30"/>
  <c r="CV144" i="30"/>
  <c r="R144" i="30" s="1"/>
  <c r="DN151" i="30"/>
  <c r="CH144" i="30"/>
  <c r="P144" i="30" s="1"/>
  <c r="AL231" i="30"/>
  <c r="KC204" i="30"/>
  <c r="GF273" i="30"/>
  <c r="GF276" i="30" s="1"/>
  <c r="U201" i="30"/>
  <c r="EC244" i="30"/>
  <c r="GB261" i="30"/>
  <c r="GB186" i="30"/>
  <c r="GI187" i="30" s="1"/>
  <c r="DC171" i="30"/>
  <c r="FG264" i="30"/>
  <c r="JV204" i="30"/>
  <c r="GI144" i="30"/>
  <c r="AE144" i="30" s="1"/>
  <c r="IK273" i="30"/>
  <c r="IK276" i="30" s="1"/>
  <c r="JA243" i="30"/>
  <c r="JA246" i="30" s="1"/>
  <c r="CL327" i="30"/>
  <c r="JV174" i="30"/>
  <c r="CO184" i="30"/>
  <c r="FX184" i="30"/>
  <c r="JO211" i="30"/>
  <c r="JZ244" i="30"/>
  <c r="CV176" i="30"/>
  <c r="KT273" i="30"/>
  <c r="JO143" i="30"/>
  <c r="AQ143" i="30" s="1"/>
  <c r="JH176" i="30"/>
  <c r="T203" i="30"/>
  <c r="T206" i="30" s="1"/>
  <c r="JL244" i="30"/>
  <c r="ES224" i="30"/>
  <c r="EW315" i="30"/>
  <c r="HD145" i="30"/>
  <c r="AH145" i="30" s="1"/>
  <c r="DB244" i="30"/>
  <c r="HU244" i="30"/>
  <c r="FQ186" i="30"/>
  <c r="FX187" i="30" s="1"/>
  <c r="DI244" i="30"/>
  <c r="DJ191" i="30"/>
  <c r="CZ273" i="30"/>
  <c r="CS273" i="30"/>
  <c r="ED317" i="30"/>
  <c r="EL141" i="30"/>
  <c r="IB55" i="30"/>
  <c r="KJ254" i="30"/>
  <c r="GO273" i="30"/>
  <c r="GO276" i="30" s="1"/>
  <c r="DJ243" i="30"/>
  <c r="KW273" i="30"/>
  <c r="GS246" i="30"/>
  <c r="GZ247" i="30" s="1"/>
  <c r="GP171" i="30"/>
  <c r="GZ328" i="30"/>
  <c r="JR273" i="30"/>
  <c r="JR276" i="30" s="1"/>
  <c r="R183" i="30"/>
  <c r="R186" i="30" s="1"/>
  <c r="AM203" i="30"/>
  <c r="AM206" i="30" s="1"/>
  <c r="O203" i="30"/>
  <c r="O206" i="30" s="1"/>
  <c r="HA327" i="30"/>
  <c r="JU328" i="30"/>
  <c r="FC244" i="30"/>
  <c r="KJ214" i="30"/>
  <c r="KW244" i="30"/>
  <c r="T233" i="30"/>
  <c r="T236" i="30" s="1"/>
  <c r="U231" i="30"/>
  <c r="IF264" i="30"/>
  <c r="KP246" i="30"/>
  <c r="KW247" i="30" s="1"/>
  <c r="IJ244" i="30"/>
  <c r="HD184" i="30"/>
  <c r="DT273" i="30"/>
  <c r="HR141" i="30"/>
  <c r="CV174" i="30"/>
  <c r="S181" i="30"/>
  <c r="JO204" i="30"/>
  <c r="AS221" i="30"/>
  <c r="KJ145" i="30"/>
  <c r="AT145" i="30" s="1"/>
  <c r="FC273" i="30"/>
  <c r="EL171" i="30"/>
  <c r="IP244" i="30"/>
  <c r="DQ297" i="30"/>
  <c r="U297" i="30" s="1"/>
  <c r="GB243" i="30"/>
  <c r="GB246" i="30" s="1"/>
  <c r="AF118" i="30"/>
  <c r="IE55" i="30"/>
  <c r="LL35" i="30"/>
  <c r="AR223" i="30"/>
  <c r="AR226" i="30" s="1"/>
  <c r="JZ246" i="30"/>
  <c r="AR211" i="30"/>
  <c r="AR221" i="30"/>
  <c r="DC194" i="30"/>
  <c r="IJ247" i="30"/>
  <c r="IR273" i="30"/>
  <c r="IR276" i="30" s="1"/>
  <c r="FL243" i="30"/>
  <c r="FL246" i="30" s="1"/>
  <c r="Q173" i="30"/>
  <c r="HD234" i="30"/>
  <c r="Z221" i="30"/>
  <c r="ER327" i="30"/>
  <c r="JZ273" i="30"/>
  <c r="JZ276" i="30" s="1"/>
  <c r="S231" i="30"/>
  <c r="JT273" i="30"/>
  <c r="GW171" i="30"/>
  <c r="KC214" i="30"/>
  <c r="R181" i="30"/>
  <c r="IM264" i="30"/>
  <c r="HN273" i="30"/>
  <c r="W203" i="30"/>
  <c r="W206" i="30" s="1"/>
  <c r="HO246" i="30"/>
  <c r="HO247" i="30" s="1"/>
  <c r="HY171" i="30"/>
  <c r="GP176" i="30"/>
  <c r="KX141" i="30"/>
  <c r="AL263" i="30"/>
  <c r="JE246" i="30"/>
  <c r="JL247" i="30" s="1"/>
  <c r="AQ221" i="30"/>
  <c r="EZ231" i="30"/>
  <c r="DN273" i="30"/>
  <c r="KB246" i="30"/>
  <c r="KB247" i="30" s="1"/>
  <c r="FE273" i="30"/>
  <c r="IF50" i="30"/>
  <c r="AL50" i="30" s="1"/>
  <c r="AQ223" i="30"/>
  <c r="AQ226" i="30" s="1"/>
  <c r="AI231" i="30"/>
  <c r="IQ244" i="30"/>
  <c r="AP223" i="30"/>
  <c r="CM327" i="30"/>
  <c r="AM251" i="30"/>
  <c r="HA273" i="30"/>
  <c r="HA276" i="30" s="1"/>
  <c r="DU127" i="30"/>
  <c r="EP151" i="30"/>
  <c r="EX244" i="30"/>
  <c r="AG173" i="30"/>
  <c r="Z223" i="30"/>
  <c r="Z226" i="30" s="1"/>
  <c r="FU214" i="30"/>
  <c r="EW273" i="30"/>
  <c r="CT327" i="30"/>
  <c r="GA327" i="30"/>
  <c r="R191" i="30"/>
  <c r="AO191" i="30"/>
  <c r="AH233" i="30"/>
  <c r="AH236" i="30" s="1"/>
  <c r="BZ264" i="30"/>
  <c r="IP273" i="30"/>
  <c r="IP276" i="30" s="1"/>
  <c r="EO273" i="30"/>
  <c r="IM323" i="30"/>
  <c r="AM323" i="30" s="1"/>
  <c r="DG151" i="30"/>
  <c r="DT127" i="30"/>
  <c r="P118" i="30"/>
  <c r="Z211" i="30"/>
  <c r="HW246" i="30"/>
  <c r="HW247" i="30" s="1"/>
  <c r="AO181" i="30"/>
  <c r="FG171" i="30"/>
  <c r="DC231" i="30"/>
  <c r="IW273" i="30"/>
  <c r="EP323" i="30"/>
  <c r="EP328" i="30" s="1"/>
  <c r="P173" i="30"/>
  <c r="IM151" i="30"/>
  <c r="AM151" i="30" s="1"/>
  <c r="GI143" i="30"/>
  <c r="AE143" i="30" s="1"/>
  <c r="FC327" i="30"/>
  <c r="IP246" i="30"/>
  <c r="JV306" i="30"/>
  <c r="EZ243" i="30"/>
  <c r="EZ246" i="30" s="1"/>
  <c r="CN273" i="30"/>
  <c r="T181" i="30"/>
  <c r="AU263" i="30"/>
  <c r="AU266" i="30" s="1"/>
  <c r="AP115" i="30"/>
  <c r="DC143" i="30"/>
  <c r="S143" i="30" s="1"/>
  <c r="HP244" i="30"/>
  <c r="AP221" i="30"/>
  <c r="JE244" i="30"/>
  <c r="EI327" i="30"/>
  <c r="DQ243" i="30"/>
  <c r="DQ246" i="30" s="1"/>
  <c r="IC273" i="30"/>
  <c r="IC276" i="30" s="1"/>
  <c r="S183" i="30"/>
  <c r="S186" i="30" s="1"/>
  <c r="DC206" i="30"/>
  <c r="AF233" i="30"/>
  <c r="AF236" i="30" s="1"/>
  <c r="GW214" i="30"/>
  <c r="LI44" i="30"/>
  <c r="KW136" i="30"/>
  <c r="X201" i="30"/>
  <c r="KQ261" i="30"/>
  <c r="EE261" i="30"/>
  <c r="GN273" i="30"/>
  <c r="GN274" i="30" s="1"/>
  <c r="KV136" i="30"/>
  <c r="IW136" i="30"/>
  <c r="HP60" i="30"/>
  <c r="HI136" i="30"/>
  <c r="KH136" i="30"/>
  <c r="HQ60" i="30"/>
  <c r="HJ136" i="30"/>
  <c r="JS136" i="30"/>
  <c r="GT136" i="30"/>
  <c r="IP136" i="30"/>
  <c r="JU136" i="30"/>
  <c r="IK136" i="30"/>
  <c r="JT136" i="30"/>
  <c r="IL136" i="30"/>
  <c r="FC136" i="30"/>
  <c r="EY136" i="30"/>
  <c r="JR136" i="30"/>
  <c r="AV260" i="30"/>
  <c r="AV261" i="30" s="1"/>
  <c r="IZ136" i="30"/>
  <c r="AK233" i="30"/>
  <c r="AK236" i="30" s="1"/>
  <c r="IX136" i="30"/>
  <c r="JY136" i="30"/>
  <c r="EL194" i="30"/>
  <c r="JE136" i="30"/>
  <c r="KU136" i="30"/>
  <c r="JM136" i="30"/>
  <c r="KT136" i="30"/>
  <c r="KB136" i="30"/>
  <c r="JL136" i="30"/>
  <c r="IB136" i="30"/>
  <c r="KN136" i="30"/>
  <c r="JF136" i="30"/>
  <c r="II136" i="30"/>
  <c r="GG136" i="30"/>
  <c r="GS136" i="30"/>
  <c r="AV190" i="30"/>
  <c r="AW191" i="30" s="1"/>
  <c r="CU136" i="30"/>
  <c r="EI136" i="30"/>
  <c r="DA136" i="30"/>
  <c r="ED136" i="30"/>
  <c r="HI327" i="30"/>
  <c r="KO136" i="30"/>
  <c r="HO136" i="30"/>
  <c r="ID136" i="30"/>
  <c r="HN136" i="30"/>
  <c r="HU136" i="30"/>
  <c r="KG136" i="30"/>
  <c r="JZ136" i="30"/>
  <c r="IR136" i="30"/>
  <c r="HH136" i="30"/>
  <c r="JD136" i="30"/>
  <c r="HV136" i="30"/>
  <c r="BW136" i="30"/>
  <c r="CK136" i="30"/>
  <c r="JG136" i="30"/>
  <c r="EK136" i="30"/>
  <c r="DM244" i="30"/>
  <c r="KF136" i="30"/>
  <c r="AV210" i="30"/>
  <c r="AV211" i="30" s="1"/>
  <c r="JN136" i="30"/>
  <c r="AV203" i="30"/>
  <c r="IY136" i="30"/>
  <c r="FG231" i="30"/>
  <c r="KQ181" i="30"/>
  <c r="AV220" i="30"/>
  <c r="AV221" i="30" s="1"/>
  <c r="AV250" i="30"/>
  <c r="AV251" i="30" s="1"/>
  <c r="IE136" i="30"/>
  <c r="KM136" i="30"/>
  <c r="KA136" i="30"/>
  <c r="JR60" i="30"/>
  <c r="JK136" i="30"/>
  <c r="IZ38" i="30"/>
  <c r="IS136" i="30"/>
  <c r="IC136" i="30"/>
  <c r="KI136" i="30"/>
  <c r="IQ136" i="30"/>
  <c r="KP136" i="30"/>
  <c r="IJ136" i="30"/>
  <c r="HX136" i="30"/>
  <c r="DU136" i="30"/>
  <c r="AV180" i="30"/>
  <c r="AV181" i="30" s="1"/>
  <c r="EL144" i="30"/>
  <c r="X144" i="30" s="1"/>
  <c r="AV230" i="30"/>
  <c r="AV231" i="30" s="1"/>
  <c r="AV200" i="30"/>
  <c r="AV201" i="30" s="1"/>
  <c r="EC136" i="30"/>
  <c r="CH234" i="30"/>
  <c r="EL316" i="30"/>
  <c r="X316" i="30" s="1"/>
  <c r="DA247" i="30"/>
  <c r="AT231" i="30"/>
  <c r="JA144" i="30"/>
  <c r="AO144" i="30" s="1"/>
  <c r="KC207" i="30"/>
  <c r="CO147" i="30"/>
  <c r="Q147" i="30" s="1"/>
  <c r="EL53" i="30"/>
  <c r="X53" i="30" s="1"/>
  <c r="DN244" i="30"/>
  <c r="IL244" i="30"/>
  <c r="AS223" i="30"/>
  <c r="JA254" i="30"/>
  <c r="GL244" i="30"/>
  <c r="AE261" i="30"/>
  <c r="X118" i="30"/>
  <c r="AA233" i="30"/>
  <c r="AA236" i="30" s="1"/>
  <c r="HY226" i="30"/>
  <c r="HR231" i="30"/>
  <c r="ES174" i="30"/>
  <c r="AD211" i="30"/>
  <c r="ES144" i="30"/>
  <c r="Y144" i="30" s="1"/>
  <c r="CV316" i="30"/>
  <c r="R316" i="30" s="1"/>
  <c r="DG273" i="30"/>
  <c r="AQ117" i="30"/>
  <c r="GV244" i="30"/>
  <c r="JA261" i="30"/>
  <c r="DQ144" i="30"/>
  <c r="U144" i="30" s="1"/>
  <c r="AK211" i="30"/>
  <c r="U223" i="30"/>
  <c r="AG251" i="30"/>
  <c r="EI244" i="30"/>
  <c r="GI254" i="30"/>
  <c r="HR194" i="30"/>
  <c r="CA266" i="30"/>
  <c r="GP211" i="30"/>
  <c r="ES176" i="30"/>
  <c r="GW243" i="30"/>
  <c r="CO144" i="30"/>
  <c r="Q144" i="30" s="1"/>
  <c r="JH243" i="30"/>
  <c r="EY55" i="30"/>
  <c r="W27" i="30"/>
  <c r="W263" i="30" s="1"/>
  <c r="W266" i="30" s="1"/>
  <c r="GO244" i="30"/>
  <c r="DX231" i="30"/>
  <c r="ES241" i="30"/>
  <c r="P183" i="30"/>
  <c r="P186" i="30" s="1"/>
  <c r="CO234" i="30"/>
  <c r="JZ327" i="30"/>
  <c r="GZ273" i="30"/>
  <c r="GZ276" i="30" s="1"/>
  <c r="GE273" i="30"/>
  <c r="AB231" i="30"/>
  <c r="EI127" i="30"/>
  <c r="EE53" i="30"/>
  <c r="W53" i="30" s="1"/>
  <c r="BR226" i="30"/>
  <c r="BY227" i="30" s="1"/>
  <c r="CG244" i="30"/>
  <c r="EL211" i="30"/>
  <c r="GG244" i="30"/>
  <c r="CO237" i="30"/>
  <c r="AH213" i="30"/>
  <c r="AH216" i="30" s="1"/>
  <c r="AO251" i="30"/>
  <c r="AA211" i="30"/>
  <c r="AS213" i="30"/>
  <c r="AS216" i="30" s="1"/>
  <c r="EE132" i="30"/>
  <c r="EE152" i="30" s="1"/>
  <c r="W152" i="30" s="1"/>
  <c r="DI246" i="30"/>
  <c r="DI247" i="30" s="1"/>
  <c r="V233" i="30"/>
  <c r="V236" i="30" s="1"/>
  <c r="AE231" i="30"/>
  <c r="AM263" i="30"/>
  <c r="AM266" i="30" s="1"/>
  <c r="JM328" i="30"/>
  <c r="CT244" i="30"/>
  <c r="DJ221" i="30"/>
  <c r="AD263" i="30"/>
  <c r="AD266" i="30" s="1"/>
  <c r="AN183" i="30"/>
  <c r="AN186" i="30" s="1"/>
  <c r="GV247" i="30"/>
  <c r="HW273" i="30"/>
  <c r="HW276" i="30" s="1"/>
  <c r="AP181" i="30"/>
  <c r="AH173" i="30"/>
  <c r="IF261" i="30"/>
  <c r="FG181" i="30"/>
  <c r="IW328" i="30"/>
  <c r="FU171" i="30"/>
  <c r="AK201" i="30"/>
  <c r="AF251" i="30"/>
  <c r="JN315" i="30"/>
  <c r="GH273" i="30"/>
  <c r="CK273" i="30"/>
  <c r="CK274" i="30" s="1"/>
  <c r="GW144" i="30"/>
  <c r="AG144" i="30" s="1"/>
  <c r="FG145" i="30"/>
  <c r="AA145" i="30" s="1"/>
  <c r="Y261" i="30"/>
  <c r="GI211" i="30"/>
  <c r="JM247" i="30"/>
  <c r="AS183" i="30"/>
  <c r="AN173" i="30"/>
  <c r="DQ201" i="30"/>
  <c r="AB204" i="30"/>
  <c r="Z193" i="30"/>
  <c r="Z196" i="30" s="1"/>
  <c r="AE211" i="30"/>
  <c r="CA106" i="30"/>
  <c r="O106" i="30" s="1"/>
  <c r="GA273" i="30"/>
  <c r="KI273" i="30"/>
  <c r="Q231" i="30"/>
  <c r="FU147" i="30"/>
  <c r="AC147" i="30" s="1"/>
  <c r="FZ50" i="30"/>
  <c r="LP44" i="30"/>
  <c r="AE193" i="30"/>
  <c r="AE196" i="30" s="1"/>
  <c r="DF244" i="30"/>
  <c r="EL221" i="30"/>
  <c r="KF60" i="30"/>
  <c r="ER244" i="30"/>
  <c r="DQ184" i="30"/>
  <c r="CV141" i="30"/>
  <c r="DJ201" i="30"/>
  <c r="IQ273" i="30"/>
  <c r="IQ276" i="30" s="1"/>
  <c r="AG201" i="30"/>
  <c r="DO151" i="30"/>
  <c r="CA226" i="30"/>
  <c r="CH227" i="30" s="1"/>
  <c r="Y211" i="30"/>
  <c r="HY201" i="30"/>
  <c r="HR171" i="30"/>
  <c r="FG241" i="30"/>
  <c r="AS191" i="30"/>
  <c r="II273" i="30"/>
  <c r="II276" i="30" s="1"/>
  <c r="DU273" i="30"/>
  <c r="IX60" i="30"/>
  <c r="DH151" i="30"/>
  <c r="R203" i="30"/>
  <c r="R206" i="30" s="1"/>
  <c r="DT327" i="30"/>
  <c r="AT233" i="30"/>
  <c r="AT236" i="30" s="1"/>
  <c r="EY244" i="30"/>
  <c r="CN244" i="30"/>
  <c r="AO118" i="30"/>
  <c r="U118" i="30"/>
  <c r="S193" i="30"/>
  <c r="LJ45" i="30"/>
  <c r="IC244" i="30"/>
  <c r="GH244" i="30"/>
  <c r="GW231" i="30"/>
  <c r="KI244" i="30"/>
  <c r="JA214" i="30"/>
  <c r="HQ273" i="30"/>
  <c r="CV243" i="30"/>
  <c r="HU273" i="30"/>
  <c r="HU276" i="30" s="1"/>
  <c r="FT50" i="30"/>
  <c r="FS50" i="30"/>
  <c r="X223" i="30"/>
  <c r="X226" i="30" s="1"/>
  <c r="ED244" i="30"/>
  <c r="AF191" i="30"/>
  <c r="KC171" i="30"/>
  <c r="EL196" i="30"/>
  <c r="DC142" i="30"/>
  <c r="S142" i="30" s="1"/>
  <c r="GE244" i="30"/>
  <c r="AJ211" i="30"/>
  <c r="EL241" i="30"/>
  <c r="AQ213" i="30"/>
  <c r="KV328" i="30"/>
  <c r="CR273" i="30"/>
  <c r="IL273" i="30"/>
  <c r="IL276" i="30" s="1"/>
  <c r="DF273" i="30"/>
  <c r="KJ146" i="30"/>
  <c r="AT146" i="30" s="1"/>
  <c r="V231" i="30"/>
  <c r="GG246" i="30"/>
  <c r="GN247" i="30" s="1"/>
  <c r="EL261" i="30"/>
  <c r="KC231" i="30"/>
  <c r="AT181" i="30"/>
  <c r="KJ217" i="30"/>
  <c r="CL273" i="30"/>
  <c r="ED273" i="30"/>
  <c r="AQ231" i="30"/>
  <c r="JU273" i="30"/>
  <c r="HC273" i="30"/>
  <c r="HC276" i="30" s="1"/>
  <c r="AO231" i="30"/>
  <c r="AB211" i="30"/>
  <c r="X213" i="30"/>
  <c r="X216" i="30" s="1"/>
  <c r="CO145" i="30"/>
  <c r="Q145" i="30" s="1"/>
  <c r="Q183" i="30"/>
  <c r="FS142" i="30"/>
  <c r="X191" i="30"/>
  <c r="AG211" i="30"/>
  <c r="AV183" i="30"/>
  <c r="GT244" i="30"/>
  <c r="IB244" i="30"/>
  <c r="CK244" i="30"/>
  <c r="HR221" i="30"/>
  <c r="DJ184" i="30"/>
  <c r="JH171" i="30"/>
  <c r="CY273" i="30"/>
  <c r="CT273" i="30"/>
  <c r="AP191" i="30"/>
  <c r="KH273" i="30"/>
  <c r="BQ322" i="30"/>
  <c r="BX327" i="30" s="1"/>
  <c r="CL244" i="30"/>
  <c r="AK231" i="30"/>
  <c r="AS233" i="30"/>
  <c r="AS236" i="30" s="1"/>
  <c r="DU244" i="30"/>
  <c r="HG244" i="30"/>
  <c r="JV307" i="30"/>
  <c r="AR307" i="30" s="1"/>
  <c r="FK290" i="30"/>
  <c r="AH251" i="30"/>
  <c r="EE243" i="30"/>
  <c r="EE246" i="30" s="1"/>
  <c r="CU273" i="30"/>
  <c r="AR181" i="30"/>
  <c r="FJ273" i="30"/>
  <c r="AE181" i="30"/>
  <c r="DI273" i="30"/>
  <c r="T261" i="30"/>
  <c r="KU55" i="30"/>
  <c r="AA263" i="30"/>
  <c r="AA266" i="30" s="1"/>
  <c r="EJ127" i="30"/>
  <c r="AV213" i="30"/>
  <c r="DF151" i="30"/>
  <c r="AL201" i="30"/>
  <c r="AM193" i="30"/>
  <c r="AM196" i="30" s="1"/>
  <c r="AL173" i="30"/>
  <c r="IY38" i="30"/>
  <c r="AF253" i="30"/>
  <c r="AF256" i="30" s="1"/>
  <c r="DJ142" i="30"/>
  <c r="T142" i="30" s="1"/>
  <c r="JY38" i="30"/>
  <c r="HW328" i="30"/>
  <c r="JN60" i="30"/>
  <c r="AD183" i="30"/>
  <c r="AD186" i="30" s="1"/>
  <c r="HW244" i="30"/>
  <c r="FX246" i="30"/>
  <c r="GE247" i="30" s="1"/>
  <c r="HG246" i="30"/>
  <c r="HG247" i="30" s="1"/>
  <c r="CZ244" i="30"/>
  <c r="CS244" i="30"/>
  <c r="EA246" i="30"/>
  <c r="EA247" i="30" s="1"/>
  <c r="DQ171" i="30"/>
  <c r="X211" i="30"/>
  <c r="JV201" i="30"/>
  <c r="AL191" i="30"/>
  <c r="LE251" i="30"/>
  <c r="AA231" i="30"/>
  <c r="KJ181" i="30"/>
  <c r="GP254" i="30"/>
  <c r="KI246" i="30"/>
  <c r="HR196" i="30"/>
  <c r="AQ211" i="30"/>
  <c r="GW201" i="30"/>
  <c r="HB327" i="30"/>
  <c r="FK297" i="30"/>
  <c r="EI273" i="30"/>
  <c r="DA273" i="30"/>
  <c r="X181" i="30"/>
  <c r="FM243" i="30"/>
  <c r="FM246" i="30" s="1"/>
  <c r="DM273" i="30"/>
  <c r="JY273" i="30"/>
  <c r="GS273" i="30"/>
  <c r="GS276" i="30" s="1"/>
  <c r="HX273" i="30"/>
  <c r="KM273" i="30"/>
  <c r="KM276" i="30" s="1"/>
  <c r="EP273" i="30"/>
  <c r="JD273" i="30"/>
  <c r="JD276" i="30" s="1"/>
  <c r="HV273" i="30"/>
  <c r="HV274" i="30" s="1"/>
  <c r="DW273" i="30"/>
  <c r="P231" i="30"/>
  <c r="GL273" i="30"/>
  <c r="Q191" i="30"/>
  <c r="AH183" i="30"/>
  <c r="AO173" i="30"/>
  <c r="CU55" i="30"/>
  <c r="O193" i="30"/>
  <c r="O196" i="30" s="1"/>
  <c r="T213" i="30"/>
  <c r="T216" i="30" s="1"/>
  <c r="O233" i="30"/>
  <c r="O236" i="30" s="1"/>
  <c r="AE253" i="30"/>
  <c r="AE256" i="30" s="1"/>
  <c r="S116" i="30"/>
  <c r="JY60" i="30"/>
  <c r="KF38" i="30"/>
  <c r="AF221" i="30"/>
  <c r="DV244" i="30"/>
  <c r="AP213" i="30"/>
  <c r="Y221" i="30"/>
  <c r="GB211" i="30"/>
  <c r="HK201" i="30"/>
  <c r="EZ171" i="30"/>
  <c r="CV241" i="30"/>
  <c r="AG253" i="30"/>
  <c r="AU173" i="30"/>
  <c r="AP233" i="30"/>
  <c r="AP236" i="30" s="1"/>
  <c r="HY194" i="30"/>
  <c r="IF251" i="30"/>
  <c r="AG231" i="30"/>
  <c r="IS244" i="30"/>
  <c r="AR193" i="30"/>
  <c r="AR196" i="30" s="1"/>
  <c r="KV273" i="30"/>
  <c r="KV276" i="30" s="1"/>
  <c r="R221" i="30"/>
  <c r="R211" i="30"/>
  <c r="DO273" i="30"/>
  <c r="EQ273" i="30"/>
  <c r="AC173" i="30"/>
  <c r="ED55" i="30"/>
  <c r="KJ147" i="30"/>
  <c r="AT147" i="30" s="1"/>
  <c r="AO223" i="30"/>
  <c r="GB143" i="30"/>
  <c r="AD143" i="30" s="1"/>
  <c r="U211" i="30"/>
  <c r="AO213" i="30"/>
  <c r="AO216" i="30" s="1"/>
  <c r="EB246" i="30"/>
  <c r="EI247" i="30" s="1"/>
  <c r="IE244" i="30"/>
  <c r="HA244" i="30"/>
  <c r="HJ244" i="30"/>
  <c r="HQ247" i="30"/>
  <c r="AN191" i="30"/>
  <c r="AM183" i="30"/>
  <c r="AM186" i="30" s="1"/>
  <c r="Z173" i="30"/>
  <c r="IM191" i="30"/>
  <c r="DJ241" i="30"/>
  <c r="W261" i="30"/>
  <c r="AN181" i="30"/>
  <c r="HK171" i="30"/>
  <c r="AB263" i="30"/>
  <c r="AB266" i="30" s="1"/>
  <c r="KA247" i="30"/>
  <c r="DX261" i="30"/>
  <c r="AC261" i="30"/>
  <c r="JV211" i="30"/>
  <c r="CH171" i="30"/>
  <c r="HI247" i="30"/>
  <c r="AJ251" i="30"/>
  <c r="EY317" i="30"/>
  <c r="AU251" i="30"/>
  <c r="EH317" i="30"/>
  <c r="DM315" i="30"/>
  <c r="CE273" i="30"/>
  <c r="CE276" i="30" s="1"/>
  <c r="AS201" i="30"/>
  <c r="EB273" i="30"/>
  <c r="AP251" i="30"/>
  <c r="FZ273" i="30"/>
  <c r="GG274" i="30" s="1"/>
  <c r="FF273" i="30"/>
  <c r="GM273" i="30"/>
  <c r="GM276" i="30" s="1"/>
  <c r="DC243" i="30"/>
  <c r="DC246" i="30" s="1"/>
  <c r="DV273" i="30"/>
  <c r="DJ322" i="30"/>
  <c r="T322" i="30" s="1"/>
  <c r="HB273" i="30"/>
  <c r="EK127" i="30"/>
  <c r="U181" i="30"/>
  <c r="U213" i="30"/>
  <c r="U216" i="30" s="1"/>
  <c r="W231" i="30"/>
  <c r="FJ327" i="30"/>
  <c r="JO142" i="30"/>
  <c r="AQ142" i="30" s="1"/>
  <c r="R261" i="30"/>
  <c r="DX144" i="30"/>
  <c r="V144" i="30" s="1"/>
  <c r="HV244" i="30"/>
  <c r="CZ247" i="30"/>
  <c r="HX244" i="30"/>
  <c r="HQ244" i="30"/>
  <c r="EH244" i="30"/>
  <c r="HB244" i="30"/>
  <c r="EK244" i="30"/>
  <c r="HN244" i="30"/>
  <c r="CY244" i="30"/>
  <c r="FD254" i="30"/>
  <c r="CM253" i="30"/>
  <c r="CT254" i="30" s="1"/>
  <c r="CO261" i="30"/>
  <c r="GW211" i="30"/>
  <c r="HD181" i="30"/>
  <c r="EE181" i="30"/>
  <c r="AU183" i="30"/>
  <c r="AU186" i="30" s="1"/>
  <c r="IT261" i="30"/>
  <c r="JV171" i="30"/>
  <c r="FN171" i="30"/>
  <c r="AF203" i="30"/>
  <c r="AF206" i="30" s="1"/>
  <c r="FN231" i="30"/>
  <c r="IF191" i="30"/>
  <c r="DC241" i="30"/>
  <c r="JV236" i="30"/>
  <c r="W193" i="30"/>
  <c r="W196" i="30" s="1"/>
  <c r="Z183" i="30"/>
  <c r="Z186" i="30" s="1"/>
  <c r="AT261" i="30"/>
  <c r="GP251" i="30"/>
  <c r="IF211" i="30"/>
  <c r="V201" i="30"/>
  <c r="HD171" i="30"/>
  <c r="FJ244" i="30"/>
  <c r="HD231" i="30"/>
  <c r="AL251" i="30"/>
  <c r="ES231" i="30"/>
  <c r="AU223" i="30"/>
  <c r="AU226" i="30" s="1"/>
  <c r="AK253" i="30"/>
  <c r="AK256" i="30" s="1"/>
  <c r="AT221" i="30"/>
  <c r="X233" i="30"/>
  <c r="X236" i="30" s="1"/>
  <c r="AD223" i="30"/>
  <c r="AD226" i="30" s="1"/>
  <c r="AQ203" i="30"/>
  <c r="AQ206" i="30" s="1"/>
  <c r="AI251" i="30"/>
  <c r="AN221" i="30"/>
  <c r="P221" i="30"/>
  <c r="EE31" i="30"/>
  <c r="BZ246" i="30"/>
  <c r="CG247" i="30" s="1"/>
  <c r="AH181" i="30"/>
  <c r="AO193" i="30"/>
  <c r="AO196" i="30" s="1"/>
  <c r="Y193" i="30"/>
  <c r="Y196" i="30" s="1"/>
  <c r="AS263" i="30"/>
  <c r="AS266" i="30" s="1"/>
  <c r="JO171" i="30"/>
  <c r="DX171" i="30"/>
  <c r="AI183" i="30"/>
  <c r="AI186" i="30" s="1"/>
  <c r="GM244" i="30"/>
  <c r="IT231" i="30"/>
  <c r="GI201" i="30"/>
  <c r="AM253" i="30"/>
  <c r="AM256" i="30" s="1"/>
  <c r="AR173" i="30"/>
  <c r="AL181" i="30"/>
  <c r="AV253" i="30"/>
  <c r="DQ187" i="30"/>
  <c r="AN201" i="30"/>
  <c r="EZ191" i="30"/>
  <c r="IM171" i="30"/>
  <c r="P263" i="30"/>
  <c r="P266" i="30" s="1"/>
  <c r="GP236" i="30"/>
  <c r="AB213" i="30"/>
  <c r="U191" i="30"/>
  <c r="AF181" i="30"/>
  <c r="AB221" i="30"/>
  <c r="AV173" i="30"/>
  <c r="FF321" i="30"/>
  <c r="O183" i="30"/>
  <c r="O186" i="30" s="1"/>
  <c r="BS226" i="30"/>
  <c r="BZ227" i="30" s="1"/>
  <c r="CE244" i="30"/>
  <c r="HI244" i="30"/>
  <c r="ER247" i="30"/>
  <c r="HH244" i="30"/>
  <c r="DF247" i="30"/>
  <c r="AO261" i="30"/>
  <c r="AJ221" i="30"/>
  <c r="IF201" i="30"/>
  <c r="CO201" i="30"/>
  <c r="IT191" i="30"/>
  <c r="HY231" i="30"/>
  <c r="P201" i="30"/>
  <c r="DJ171" i="30"/>
  <c r="AI223" i="30"/>
  <c r="AI226" i="30" s="1"/>
  <c r="GI231" i="30"/>
  <c r="GI261" i="30"/>
  <c r="JH221" i="30"/>
  <c r="JO231" i="30"/>
  <c r="ES221" i="30"/>
  <c r="DX201" i="30"/>
  <c r="EZ241" i="30"/>
  <c r="S263" i="30"/>
  <c r="S266" i="30" s="1"/>
  <c r="AQ233" i="30"/>
  <c r="AQ236" i="30" s="1"/>
  <c r="AU213" i="30"/>
  <c r="AU216" i="30" s="1"/>
  <c r="KJ206" i="30"/>
  <c r="KJ207" i="30" s="1"/>
  <c r="Z231" i="30"/>
  <c r="JV191" i="30"/>
  <c r="JO184" i="30"/>
  <c r="AB207" i="30"/>
  <c r="CH181" i="30"/>
  <c r="AA193" i="30"/>
  <c r="AA196" i="30" s="1"/>
  <c r="AB173" i="30"/>
  <c r="DB155" i="29"/>
  <c r="LH44" i="30"/>
  <c r="LL71" i="30"/>
  <c r="FU224" i="30"/>
  <c r="FU226" i="30"/>
  <c r="FU227" i="30" s="1"/>
  <c r="AM240" i="30"/>
  <c r="AM170" i="30"/>
  <c r="Q233" i="30"/>
  <c r="GV273" i="30"/>
  <c r="GU273" i="30"/>
  <c r="AA240" i="30"/>
  <c r="AA170" i="30"/>
  <c r="AR261" i="30"/>
  <c r="EK273" i="30"/>
  <c r="O253" i="30"/>
  <c r="GB43" i="30"/>
  <c r="AD43" i="30" s="1"/>
  <c r="FU183" i="30"/>
  <c r="AT253" i="30"/>
  <c r="AJ173" i="30"/>
  <c r="AN203" i="30"/>
  <c r="IM37" i="30"/>
  <c r="IM243" i="30"/>
  <c r="DC144" i="30"/>
  <c r="S144" i="30" s="1"/>
  <c r="FN183" i="30"/>
  <c r="Z181" i="30"/>
  <c r="AT211" i="30"/>
  <c r="AA181" i="30"/>
  <c r="U203" i="30"/>
  <c r="X261" i="30"/>
  <c r="CA236" i="30"/>
  <c r="CH237" i="30" s="1"/>
  <c r="BQ206" i="30"/>
  <c r="BX207" i="30" s="1"/>
  <c r="GU244" i="30"/>
  <c r="HH247" i="30"/>
  <c r="EB244" i="30"/>
  <c r="CU244" i="30"/>
  <c r="Q211" i="30"/>
  <c r="Q201" i="30"/>
  <c r="CH191" i="30"/>
  <c r="GW194" i="30"/>
  <c r="GW196" i="30"/>
  <c r="AU231" i="30"/>
  <c r="IF171" i="30"/>
  <c r="AA213" i="30"/>
  <c r="U266" i="30"/>
  <c r="U233" i="30"/>
  <c r="S223" i="30"/>
  <c r="Q213" i="30"/>
  <c r="HK181" i="30"/>
  <c r="AU233" i="30"/>
  <c r="AA173" i="30"/>
  <c r="W201" i="30"/>
  <c r="T263" i="30"/>
  <c r="CH216" i="30"/>
  <c r="CH214" i="30"/>
  <c r="KQ194" i="30"/>
  <c r="KQ196" i="30"/>
  <c r="KC184" i="30"/>
  <c r="KC186" i="30"/>
  <c r="EL176" i="30"/>
  <c r="EL174" i="30"/>
  <c r="DX241" i="30"/>
  <c r="HK216" i="30"/>
  <c r="HK214" i="30"/>
  <c r="Y201" i="30"/>
  <c r="AM181" i="30"/>
  <c r="JO264" i="30"/>
  <c r="HK234" i="30"/>
  <c r="HK236" i="30"/>
  <c r="GW224" i="30"/>
  <c r="GW226" i="30"/>
  <c r="IM216" i="30"/>
  <c r="IM214" i="30"/>
  <c r="IF206" i="30"/>
  <c r="IF204" i="30"/>
  <c r="IF194" i="30"/>
  <c r="IM176" i="30"/>
  <c r="IM174" i="30"/>
  <c r="EE234" i="30"/>
  <c r="EE236" i="30"/>
  <c r="EE237" i="30" s="1"/>
  <c r="AS261" i="30"/>
  <c r="IM251" i="30"/>
  <c r="AH231" i="30"/>
  <c r="GB181" i="30"/>
  <c r="AG240" i="30"/>
  <c r="AG170" i="30"/>
  <c r="IT256" i="30"/>
  <c r="JA257" i="30" s="1"/>
  <c r="IT254" i="30"/>
  <c r="IW244" i="30"/>
  <c r="IW246" i="30"/>
  <c r="Z233" i="30"/>
  <c r="GP224" i="30"/>
  <c r="GP226" i="30"/>
  <c r="IF216" i="30"/>
  <c r="IF214" i="30"/>
  <c r="HY206" i="30"/>
  <c r="HY204" i="30"/>
  <c r="AK193" i="30"/>
  <c r="FR186" i="30"/>
  <c r="FR184" i="30"/>
  <c r="FY184" i="30"/>
  <c r="DX176" i="30"/>
  <c r="DX174" i="30"/>
  <c r="KQ201" i="30"/>
  <c r="AF183" i="30"/>
  <c r="AU221" i="30"/>
  <c r="HR211" i="30"/>
  <c r="AB191" i="30"/>
  <c r="AA191" i="30"/>
  <c r="FT243" i="30"/>
  <c r="IT270" i="30"/>
  <c r="IT241" i="30"/>
  <c r="P240" i="30"/>
  <c r="P170" i="30"/>
  <c r="Q263" i="30"/>
  <c r="IS247" i="30"/>
  <c r="Y233" i="30"/>
  <c r="AE223" i="30"/>
  <c r="FU216" i="30"/>
  <c r="AR203" i="30"/>
  <c r="AB193" i="30"/>
  <c r="AB196" i="30" s="1"/>
  <c r="FU176" i="30"/>
  <c r="FU174" i="30"/>
  <c r="P181" i="30"/>
  <c r="KC251" i="30"/>
  <c r="AN231" i="30"/>
  <c r="AI211" i="30"/>
  <c r="GP204" i="30"/>
  <c r="GP206" i="30"/>
  <c r="Z191" i="30"/>
  <c r="GI171" i="30"/>
  <c r="IT264" i="30"/>
  <c r="IT266" i="30"/>
  <c r="KX234" i="30"/>
  <c r="KX236" i="30"/>
  <c r="LE234" i="30"/>
  <c r="DX224" i="30"/>
  <c r="DX226" i="30"/>
  <c r="DC196" i="30"/>
  <c r="DC197" i="30" s="1"/>
  <c r="DX184" i="30"/>
  <c r="DX186" i="30"/>
  <c r="DX187" i="30" s="1"/>
  <c r="AC223" i="30"/>
  <c r="AV170" i="30"/>
  <c r="AV240" i="30"/>
  <c r="JM273" i="30"/>
  <c r="JM276" i="30" s="1"/>
  <c r="IS273" i="30"/>
  <c r="IS276" i="30" s="1"/>
  <c r="KN273" i="30"/>
  <c r="KN276" i="30" s="1"/>
  <c r="O240" i="30"/>
  <c r="O170" i="30"/>
  <c r="IZ273" i="30"/>
  <c r="T240" i="30"/>
  <c r="T170" i="30"/>
  <c r="AQ240" i="30"/>
  <c r="AQ170" i="30"/>
  <c r="AW97" i="30"/>
  <c r="AP193" i="30"/>
  <c r="KX243" i="30"/>
  <c r="IJ273" i="30"/>
  <c r="IJ276" i="30" s="1"/>
  <c r="AH253" i="30"/>
  <c r="X173" i="30"/>
  <c r="AP240" i="30"/>
  <c r="AP170" i="30"/>
  <c r="T183" i="30"/>
  <c r="V213" i="30"/>
  <c r="V216" i="30" s="1"/>
  <c r="BW246" i="30"/>
  <c r="CD247" i="30" s="1"/>
  <c r="O173" i="30"/>
  <c r="Q261" i="30"/>
  <c r="IF231" i="30"/>
  <c r="P191" i="30"/>
  <c r="W181" i="30"/>
  <c r="FU240" i="30"/>
  <c r="GB241" i="30" s="1"/>
  <c r="HR254" i="30"/>
  <c r="HR256" i="30"/>
  <c r="IF234" i="30"/>
  <c r="IF236" i="30"/>
  <c r="HR224" i="30"/>
  <c r="HR226" i="30"/>
  <c r="HD214" i="30"/>
  <c r="HD216" i="30"/>
  <c r="HD217" i="30" s="1"/>
  <c r="EE206" i="30"/>
  <c r="EE207" i="30" s="1"/>
  <c r="EE204" i="30"/>
  <c r="AG193" i="30"/>
  <c r="HD174" i="30"/>
  <c r="HD176" i="30"/>
  <c r="IF270" i="30"/>
  <c r="IF241" i="30"/>
  <c r="AH203" i="30"/>
  <c r="AN261" i="30"/>
  <c r="S221" i="30"/>
  <c r="JV270" i="30"/>
  <c r="JV241" i="30"/>
  <c r="KC264" i="30"/>
  <c r="KC266" i="30"/>
  <c r="JO256" i="30"/>
  <c r="JO254" i="30"/>
  <c r="KC234" i="30"/>
  <c r="KC236" i="30"/>
  <c r="JO224" i="30"/>
  <c r="KX204" i="30"/>
  <c r="KX206" i="30"/>
  <c r="LE204" i="30"/>
  <c r="CH194" i="30"/>
  <c r="CH196" i="30"/>
  <c r="FG184" i="30"/>
  <c r="FG186" i="30"/>
  <c r="AI181" i="30"/>
  <c r="HY224" i="30"/>
  <c r="GW251" i="30"/>
  <c r="T231" i="30"/>
  <c r="IT181" i="30"/>
  <c r="JO270" i="30"/>
  <c r="JO241" i="30"/>
  <c r="JV264" i="30"/>
  <c r="JV266" i="30"/>
  <c r="JH256" i="30"/>
  <c r="JH257" i="30" s="1"/>
  <c r="JH254" i="30"/>
  <c r="HR234" i="30"/>
  <c r="HR236" i="30"/>
  <c r="HD224" i="30"/>
  <c r="HD226" i="30"/>
  <c r="P213" i="30"/>
  <c r="AU193" i="30"/>
  <c r="V240" i="30"/>
  <c r="V170" i="30"/>
  <c r="AI216" i="30"/>
  <c r="AO221" i="30"/>
  <c r="AH170" i="30"/>
  <c r="AH240" i="30"/>
  <c r="AI233" i="30"/>
  <c r="AM213" i="30"/>
  <c r="AL203" i="30"/>
  <c r="FS184" i="30"/>
  <c r="FS186" i="30"/>
  <c r="FZ184" i="30"/>
  <c r="AM173" i="30"/>
  <c r="W233" i="30"/>
  <c r="AC211" i="30"/>
  <c r="ES171" i="30"/>
  <c r="HD264" i="30"/>
  <c r="HD266" i="30"/>
  <c r="AN253" i="30"/>
  <c r="CV234" i="30"/>
  <c r="CV236" i="30"/>
  <c r="CV237" i="30" s="1"/>
  <c r="AF223" i="30"/>
  <c r="AL213" i="30"/>
  <c r="AK203" i="30"/>
  <c r="EL184" i="30"/>
  <c r="EL186" i="30"/>
  <c r="V173" i="30"/>
  <c r="AU201" i="30"/>
  <c r="GI234" i="30"/>
  <c r="GI236" i="30"/>
  <c r="DC176" i="30"/>
  <c r="DC174" i="30"/>
  <c r="AN240" i="30"/>
  <c r="AN170" i="30"/>
  <c r="JA264" i="30"/>
  <c r="JA266" i="30"/>
  <c r="KQ256" i="30"/>
  <c r="KQ257" i="30" s="1"/>
  <c r="KQ254" i="30"/>
  <c r="IL247" i="30"/>
  <c r="EE224" i="30"/>
  <c r="EE226" i="30"/>
  <c r="DJ194" i="30"/>
  <c r="DJ196" i="30"/>
  <c r="GB171" i="30"/>
  <c r="JO216" i="30"/>
  <c r="JO214" i="30"/>
  <c r="AS251" i="30"/>
  <c r="GB221" i="30"/>
  <c r="GP201" i="30"/>
  <c r="CO186" i="30"/>
  <c r="CO181" i="30"/>
  <c r="GI270" i="30"/>
  <c r="GI241" i="30"/>
  <c r="AN263" i="30"/>
  <c r="AV233" i="30"/>
  <c r="JO206" i="30"/>
  <c r="JV207" i="30" s="1"/>
  <c r="V183" i="30"/>
  <c r="DJ176" i="30"/>
  <c r="JA191" i="30"/>
  <c r="DC216" i="30"/>
  <c r="DC214" i="30"/>
  <c r="IF31" i="30"/>
  <c r="IF273" i="30" s="1"/>
  <c r="IF243" i="30"/>
  <c r="IF246" i="30" s="1"/>
  <c r="AD240" i="30"/>
  <c r="AD170" i="30"/>
  <c r="FQ241" i="30"/>
  <c r="FX241" i="30"/>
  <c r="AK240" i="30"/>
  <c r="AK170" i="30"/>
  <c r="JV256" i="30"/>
  <c r="JV254" i="30"/>
  <c r="KJ236" i="30"/>
  <c r="JH216" i="30"/>
  <c r="JH214" i="30"/>
  <c r="KQ231" i="30"/>
  <c r="FR181" i="30"/>
  <c r="FY181" i="30"/>
  <c r="JA186" i="30"/>
  <c r="JA181" i="30"/>
  <c r="V181" i="30"/>
  <c r="DQ264" i="30"/>
  <c r="DQ266" i="30"/>
  <c r="DQ234" i="30"/>
  <c r="DQ236" i="30"/>
  <c r="DX237" i="30" s="1"/>
  <c r="CO214" i="30"/>
  <c r="CO216" i="30"/>
  <c r="GW176" i="30"/>
  <c r="GW174" i="30"/>
  <c r="FG176" i="30"/>
  <c r="FG174" i="30"/>
  <c r="R240" i="30"/>
  <c r="R170" i="30"/>
  <c r="HR184" i="30"/>
  <c r="HR186" i="30"/>
  <c r="Z261" i="30"/>
  <c r="GW270" i="30"/>
  <c r="GW241" i="30"/>
  <c r="EZ234" i="30"/>
  <c r="EZ236" i="30"/>
  <c r="AK221" i="30"/>
  <c r="GP184" i="30"/>
  <c r="GP186" i="30"/>
  <c r="GP187" i="30" s="1"/>
  <c r="CO264" i="30"/>
  <c r="CO266" i="30"/>
  <c r="GI224" i="30"/>
  <c r="GI226" i="30"/>
  <c r="CV204" i="30"/>
  <c r="CV206" i="30"/>
  <c r="AK173" i="30"/>
  <c r="AJ240" i="30"/>
  <c r="AJ170" i="30"/>
  <c r="ID273" i="30"/>
  <c r="ID276" i="30" s="1"/>
  <c r="AN211" i="30"/>
  <c r="AF261" i="30"/>
  <c r="KG273" i="30"/>
  <c r="AN223" i="30"/>
  <c r="AT206" i="30"/>
  <c r="AD193" i="30"/>
  <c r="AS203" i="30"/>
  <c r="AN251" i="30"/>
  <c r="AT263" i="30"/>
  <c r="AU191" i="30"/>
  <c r="AH211" i="30"/>
  <c r="AD173" i="30"/>
  <c r="DP244" i="30"/>
  <c r="HC244" i="30"/>
  <c r="DT244" i="30"/>
  <c r="AT201" i="30"/>
  <c r="JH181" i="30"/>
  <c r="AC170" i="30"/>
  <c r="AJ253" i="30"/>
  <c r="AL233" i="30"/>
  <c r="AJ223" i="30"/>
  <c r="EZ216" i="30"/>
  <c r="EZ214" i="30"/>
  <c r="ES194" i="30"/>
  <c r="ES196" i="30"/>
  <c r="AC221" i="30"/>
  <c r="AL240" i="30"/>
  <c r="AL170" i="30"/>
  <c r="IT184" i="30"/>
  <c r="IT186" i="30"/>
  <c r="KX211" i="30"/>
  <c r="LE211" i="30"/>
  <c r="AG181" i="30"/>
  <c r="AQ253" i="30"/>
  <c r="JA216" i="30"/>
  <c r="P193" i="30"/>
  <c r="AA183" i="30"/>
  <c r="KJ171" i="30"/>
  <c r="AU261" i="30"/>
  <c r="CH251" i="30"/>
  <c r="AR263" i="30"/>
  <c r="AP253" i="30"/>
  <c r="AJ233" i="30"/>
  <c r="IT216" i="30"/>
  <c r="IT214" i="30"/>
  <c r="KQ206" i="30"/>
  <c r="KQ204" i="30"/>
  <c r="IM196" i="30"/>
  <c r="HY186" i="30"/>
  <c r="HY184" i="30"/>
  <c r="KX176" i="30"/>
  <c r="KX174" i="30"/>
  <c r="LE174" i="30"/>
  <c r="GI264" i="30"/>
  <c r="GI266" i="30"/>
  <c r="AD261" i="30"/>
  <c r="HY196" i="30"/>
  <c r="HY191" i="30"/>
  <c r="FK186" i="30"/>
  <c r="FK187" i="30" s="1"/>
  <c r="FK181" i="30"/>
  <c r="HK264" i="30"/>
  <c r="HK266" i="30"/>
  <c r="GW256" i="30"/>
  <c r="HD257" i="30" s="1"/>
  <c r="GW254" i="30"/>
  <c r="IX244" i="30"/>
  <c r="IX246" i="30"/>
  <c r="IX247" i="30" s="1"/>
  <c r="FG236" i="30"/>
  <c r="GI214" i="30"/>
  <c r="GI216" i="30"/>
  <c r="DJ204" i="30"/>
  <c r="DJ206" i="30"/>
  <c r="GI174" i="30"/>
  <c r="GI176" i="30"/>
  <c r="AG221" i="30"/>
  <c r="CH204" i="30"/>
  <c r="CH206" i="30"/>
  <c r="AK261" i="30"/>
  <c r="AE251" i="30"/>
  <c r="AH263" i="30"/>
  <c r="II244" i="30"/>
  <c r="II246" i="30"/>
  <c r="II247" i="30" s="1"/>
  <c r="R233" i="30"/>
  <c r="EL226" i="30"/>
  <c r="GB216" i="30"/>
  <c r="GB214" i="30"/>
  <c r="DC204" i="30"/>
  <c r="CH186" i="30"/>
  <c r="CH184" i="30"/>
  <c r="JV251" i="30"/>
  <c r="CV201" i="30"/>
  <c r="AE233" i="30"/>
  <c r="S173" i="30"/>
  <c r="JA231" i="30"/>
  <c r="AE221" i="30"/>
  <c r="DJ216" i="30"/>
  <c r="DJ211" i="30"/>
  <c r="T191" i="30"/>
  <c r="S191" i="30"/>
  <c r="AO263" i="30"/>
  <c r="AU253" i="30"/>
  <c r="W223" i="30"/>
  <c r="T193" i="30"/>
  <c r="T196" i="30" s="1"/>
  <c r="EE184" i="30"/>
  <c r="EE186" i="30"/>
  <c r="DQ176" i="30"/>
  <c r="DQ174" i="30"/>
  <c r="GB270" i="30"/>
  <c r="JO266" i="30"/>
  <c r="AF231" i="30"/>
  <c r="DX221" i="30"/>
  <c r="Q181" i="30"/>
  <c r="EE171" i="30"/>
  <c r="GP264" i="30"/>
  <c r="GP266" i="30"/>
  <c r="IF256" i="30"/>
  <c r="IF254" i="30"/>
  <c r="JT247" i="30"/>
  <c r="IT234" i="30"/>
  <c r="IT236" i="30"/>
  <c r="KJ224" i="30"/>
  <c r="KJ226" i="30"/>
  <c r="JV216" i="30"/>
  <c r="JV214" i="30"/>
  <c r="JO196" i="30"/>
  <c r="JO197" i="30" s="1"/>
  <c r="JA184" i="30"/>
  <c r="JH261" i="30"/>
  <c r="EL181" i="30"/>
  <c r="S213" i="30"/>
  <c r="FN80" i="30"/>
  <c r="FN243" i="30" s="1"/>
  <c r="FN180" i="30"/>
  <c r="FN181" i="30" s="1"/>
  <c r="X240" i="30"/>
  <c r="X170" i="30"/>
  <c r="KA273" i="30"/>
  <c r="KA276" i="30" s="1"/>
  <c r="EV273" i="30"/>
  <c r="HI273" i="30"/>
  <c r="AF201" i="30"/>
  <c r="FY273" i="30"/>
  <c r="FY276" i="30" s="1"/>
  <c r="DN317" i="30"/>
  <c r="AR240" i="30"/>
  <c r="AR170" i="30"/>
  <c r="AE240" i="30"/>
  <c r="AE170" i="30"/>
  <c r="AB223" i="30"/>
  <c r="V203" i="30"/>
  <c r="R193" i="30"/>
  <c r="U183" i="30"/>
  <c r="Q193" i="30"/>
  <c r="AG213" i="30"/>
  <c r="AF173" i="30"/>
  <c r="AC193" i="30"/>
  <c r="AQ183" i="30"/>
  <c r="W191" i="30"/>
  <c r="AJ193" i="30"/>
  <c r="AJ196" i="30" s="1"/>
  <c r="AL211" i="30"/>
  <c r="R173" i="30"/>
  <c r="BP226" i="30"/>
  <c r="BW227" i="30" s="1"/>
  <c r="AT223" i="30"/>
  <c r="GF244" i="30"/>
  <c r="CF273" i="30"/>
  <c r="AQ251" i="30"/>
  <c r="AO211" i="30"/>
  <c r="KC270" i="30"/>
  <c r="KC241" i="30"/>
  <c r="GB264" i="30"/>
  <c r="GB266" i="30"/>
  <c r="GB234" i="30"/>
  <c r="GB236" i="30"/>
  <c r="GB237" i="30" s="1"/>
  <c r="Z213" i="30"/>
  <c r="AG203" i="30"/>
  <c r="EZ176" i="30"/>
  <c r="EZ174" i="30"/>
  <c r="CH261" i="30"/>
  <c r="AM191" i="30"/>
  <c r="HR241" i="30"/>
  <c r="HR270" i="30"/>
  <c r="HY266" i="30"/>
  <c r="HY264" i="30"/>
  <c r="HK256" i="30"/>
  <c r="HK257" i="30" s="1"/>
  <c r="HK254" i="30"/>
  <c r="JN246" i="30"/>
  <c r="JU247" i="30" s="1"/>
  <c r="JN244" i="30"/>
  <c r="HY234" i="30"/>
  <c r="HY236" i="30"/>
  <c r="HK224" i="30"/>
  <c r="HK226" i="30"/>
  <c r="IT206" i="30"/>
  <c r="IT204" i="30"/>
  <c r="IT194" i="30"/>
  <c r="IT196" i="30"/>
  <c r="DC184" i="30"/>
  <c r="DC186" i="30"/>
  <c r="DC187" i="30" s="1"/>
  <c r="CO174" i="30"/>
  <c r="CO176" i="30"/>
  <c r="KJ270" i="30"/>
  <c r="KJ241" i="30"/>
  <c r="JH204" i="30"/>
  <c r="JH206" i="30"/>
  <c r="P251" i="30"/>
  <c r="W211" i="30"/>
  <c r="HK270" i="30"/>
  <c r="HK241" i="30"/>
  <c r="HR264" i="30"/>
  <c r="HR266" i="30"/>
  <c r="IY244" i="30"/>
  <c r="IY246" i="30"/>
  <c r="IY247" i="30" s="1"/>
  <c r="FN236" i="30"/>
  <c r="FN234" i="30"/>
  <c r="EZ224" i="30"/>
  <c r="EZ226" i="30"/>
  <c r="AN213" i="30"/>
  <c r="AK183" i="30"/>
  <c r="AE263" i="30"/>
  <c r="HK231" i="30"/>
  <c r="AR201" i="30"/>
  <c r="AQ201" i="30"/>
  <c r="AK191" i="30"/>
  <c r="FG234" i="30"/>
  <c r="ES226" i="30"/>
  <c r="AE213" i="30"/>
  <c r="DX194" i="30"/>
  <c r="DX196" i="30"/>
  <c r="ES184" i="30"/>
  <c r="ES186" i="30"/>
  <c r="AE173" i="30"/>
  <c r="P203" i="30"/>
  <c r="FU261" i="30"/>
  <c r="X221" i="30"/>
  <c r="JH201" i="30"/>
  <c r="FN191" i="30"/>
  <c r="JA171" i="30"/>
  <c r="Y240" i="30"/>
  <c r="Y170" i="30"/>
  <c r="EZ264" i="30"/>
  <c r="EZ266" i="30"/>
  <c r="GP256" i="30"/>
  <c r="JH234" i="30"/>
  <c r="JH236" i="30"/>
  <c r="JH237" i="30" s="1"/>
  <c r="AD213" i="30"/>
  <c r="AD216" i="30" s="1"/>
  <c r="DQ194" i="30"/>
  <c r="DQ196" i="30"/>
  <c r="AR251" i="30"/>
  <c r="R201" i="30"/>
  <c r="DQ224" i="30"/>
  <c r="DQ226" i="30"/>
  <c r="GP270" i="30"/>
  <c r="GP241" i="30"/>
  <c r="GW264" i="30"/>
  <c r="GW266" i="30"/>
  <c r="IM256" i="30"/>
  <c r="IM254" i="30"/>
  <c r="KQ224" i="30"/>
  <c r="KQ226" i="30"/>
  <c r="JV194" i="30"/>
  <c r="JV196" i="30"/>
  <c r="JH184" i="30"/>
  <c r="JH186" i="30"/>
  <c r="W183" i="30"/>
  <c r="U173" i="30"/>
  <c r="HY256" i="30"/>
  <c r="HY254" i="30"/>
  <c r="EL206" i="30"/>
  <c r="EL204" i="30"/>
  <c r="ES204" i="30"/>
  <c r="HK261" i="30"/>
  <c r="AK251" i="30"/>
  <c r="V221" i="30"/>
  <c r="S211" i="30"/>
  <c r="DC201" i="30"/>
  <c r="HR181" i="30"/>
  <c r="KQ171" i="30"/>
  <c r="EE241" i="30"/>
  <c r="AF263" i="30"/>
  <c r="AL253" i="30"/>
  <c r="AN233" i="30"/>
  <c r="AR213" i="30"/>
  <c r="AO183" i="30"/>
  <c r="JV176" i="30"/>
  <c r="AP261" i="30"/>
  <c r="KC254" i="30"/>
  <c r="EP290" i="30"/>
  <c r="HD144" i="30"/>
  <c r="AH144" i="30" s="1"/>
  <c r="JO243" i="30"/>
  <c r="P223" i="30"/>
  <c r="Z263" i="30"/>
  <c r="KC37" i="30"/>
  <c r="AS37" i="30" s="1"/>
  <c r="KC243" i="30"/>
  <c r="O223" i="30"/>
  <c r="KG32" i="30"/>
  <c r="AV223" i="30"/>
  <c r="KQ37" i="30"/>
  <c r="KQ136" i="30" s="1"/>
  <c r="KQ243" i="30"/>
  <c r="X183" i="30"/>
  <c r="AS211" i="30"/>
  <c r="V211" i="30"/>
  <c r="X193" i="30"/>
  <c r="EP321" i="30"/>
  <c r="GF246" i="30"/>
  <c r="GM247" i="30" s="1"/>
  <c r="AD231" i="30"/>
  <c r="GB206" i="30"/>
  <c r="GB207" i="30" s="1"/>
  <c r="GB204" i="30"/>
  <c r="AS240" i="30"/>
  <c r="AS170" i="30"/>
  <c r="DQ241" i="30"/>
  <c r="AD233" i="30"/>
  <c r="CV216" i="30"/>
  <c r="CV214" i="30"/>
  <c r="CO196" i="30"/>
  <c r="CV197" i="30" s="1"/>
  <c r="CO194" i="30"/>
  <c r="JO176" i="30"/>
  <c r="JO174" i="30"/>
  <c r="P261" i="30"/>
  <c r="EL201" i="30"/>
  <c r="ES201" i="30"/>
  <c r="FN240" i="30"/>
  <c r="FN241" i="30" s="1"/>
  <c r="AI253" i="30"/>
  <c r="AN193" i="30"/>
  <c r="AT240" i="30"/>
  <c r="AT170" i="30"/>
  <c r="AP203" i="30"/>
  <c r="AM261" i="30"/>
  <c r="AR231" i="30"/>
  <c r="AI240" i="30"/>
  <c r="AI170" i="30"/>
  <c r="AJ263" i="30"/>
  <c r="AB233" i="30"/>
  <c r="GP216" i="30"/>
  <c r="GP214" i="30"/>
  <c r="IM206" i="30"/>
  <c r="IM204" i="30"/>
  <c r="GI196" i="30"/>
  <c r="FT186" i="30"/>
  <c r="FT184" i="30"/>
  <c r="GA184" i="30"/>
  <c r="IT176" i="30"/>
  <c r="IT174" i="30"/>
  <c r="CV261" i="30"/>
  <c r="CO226" i="30"/>
  <c r="CO227" i="30" s="1"/>
  <c r="CO221" i="30"/>
  <c r="Z170" i="30"/>
  <c r="Z240" i="30"/>
  <c r="DC234" i="30"/>
  <c r="DC236" i="30"/>
  <c r="EE216" i="30"/>
  <c r="EE217" i="30" s="1"/>
  <c r="EE214" i="30"/>
  <c r="AD203" i="30"/>
  <c r="V193" i="30"/>
  <c r="Y183" i="30"/>
  <c r="EE176" i="30"/>
  <c r="EE174" i="30"/>
  <c r="AM201" i="30"/>
  <c r="R231" i="30"/>
  <c r="HD204" i="30"/>
  <c r="HD206" i="30"/>
  <c r="JA241" i="30"/>
  <c r="JA270" i="30"/>
  <c r="CV264" i="30"/>
  <c r="CV266" i="30"/>
  <c r="KM244" i="30"/>
  <c r="KM246" i="30"/>
  <c r="KT247" i="30" s="1"/>
  <c r="AC204" i="30"/>
  <c r="AC206" i="30"/>
  <c r="AC207" i="30" s="1"/>
  <c r="U193" i="30"/>
  <c r="KJ176" i="30"/>
  <c r="KJ174" i="30"/>
  <c r="IM231" i="30"/>
  <c r="CO191" i="30"/>
  <c r="U226" i="30"/>
  <c r="AR191" i="30"/>
  <c r="AQ191" i="30"/>
  <c r="AS181" i="30"/>
  <c r="AG263" i="30"/>
  <c r="JU244" i="30"/>
  <c r="AP183" i="30"/>
  <c r="KC176" i="30"/>
  <c r="KC174" i="30"/>
  <c r="AI261" i="30"/>
  <c r="X231" i="30"/>
  <c r="KX201" i="30"/>
  <c r="LE201" i="30"/>
  <c r="T201" i="30"/>
  <c r="S201" i="30"/>
  <c r="AJ181" i="30"/>
  <c r="KQ270" i="30"/>
  <c r="KQ241" i="30"/>
  <c r="CA270" i="30"/>
  <c r="EL264" i="30"/>
  <c r="EL266" i="30"/>
  <c r="IF224" i="30"/>
  <c r="IF226" i="30"/>
  <c r="HR216" i="30"/>
  <c r="HK206" i="30"/>
  <c r="HK194" i="30"/>
  <c r="HK196" i="30"/>
  <c r="GW184" i="30"/>
  <c r="GW186" i="30"/>
  <c r="HR174" i="30"/>
  <c r="HR176" i="30"/>
  <c r="JH211" i="30"/>
  <c r="KC256" i="30"/>
  <c r="W240" i="30"/>
  <c r="W170" i="30"/>
  <c r="EP297" i="30"/>
  <c r="AC231" i="30"/>
  <c r="S240" i="30"/>
  <c r="S170" i="30"/>
  <c r="KX90" i="30"/>
  <c r="KX108" i="30" s="1"/>
  <c r="AV108" i="30" s="1"/>
  <c r="AO233" i="30"/>
  <c r="P233" i="30"/>
  <c r="AQ263" i="30"/>
  <c r="KJ31" i="30"/>
  <c r="AT31" i="30" s="1"/>
  <c r="KJ243" i="30"/>
  <c r="T173" i="30"/>
  <c r="EL243" i="30"/>
  <c r="EL246" i="30" s="1"/>
  <c r="ES243" i="30"/>
  <c r="ES246" i="30" s="1"/>
  <c r="DB247" i="30"/>
  <c r="GN244" i="30"/>
  <c r="AG261" i="30"/>
  <c r="ES216" i="30"/>
  <c r="ES211" i="30"/>
  <c r="GP191" i="30"/>
  <c r="HY241" i="30"/>
  <c r="HY270" i="30"/>
  <c r="U240" i="30"/>
  <c r="U170" i="30"/>
  <c r="DX264" i="30"/>
  <c r="DX266" i="30"/>
  <c r="KF244" i="30"/>
  <c r="KF246" i="30"/>
  <c r="DJ226" i="30"/>
  <c r="DJ224" i="30"/>
  <c r="R213" i="30"/>
  <c r="KQ184" i="30"/>
  <c r="KQ186" i="30"/>
  <c r="Y191" i="30"/>
  <c r="AQ173" i="30"/>
  <c r="AE191" i="30"/>
  <c r="FU264" i="30"/>
  <c r="FU266" i="30"/>
  <c r="CH256" i="30"/>
  <c r="CH254" i="30"/>
  <c r="IZ244" i="30"/>
  <c r="IZ246" i="30"/>
  <c r="IZ247" i="30" s="1"/>
  <c r="FG224" i="30"/>
  <c r="FG226" i="30"/>
  <c r="GP194" i="30"/>
  <c r="GP196" i="30"/>
  <c r="IF184" i="30"/>
  <c r="IF186" i="30"/>
  <c r="JA176" i="30"/>
  <c r="JA174" i="30"/>
  <c r="HD261" i="30"/>
  <c r="EA266" i="30"/>
  <c r="EH264" i="30"/>
  <c r="EA264" i="30"/>
  <c r="HR201" i="30"/>
  <c r="FN264" i="30"/>
  <c r="FN266" i="30"/>
  <c r="KO244" i="30"/>
  <c r="KO246" i="30"/>
  <c r="DJ236" i="30"/>
  <c r="CV224" i="30"/>
  <c r="CV226" i="30"/>
  <c r="AF213" i="30"/>
  <c r="DQ206" i="30"/>
  <c r="DQ204" i="30"/>
  <c r="JO181" i="30"/>
  <c r="FL186" i="30"/>
  <c r="FL187" i="30" s="1"/>
  <c r="Q221" i="30"/>
  <c r="AJ201" i="30"/>
  <c r="AI201" i="30"/>
  <c r="JH270" i="30"/>
  <c r="JH241" i="30"/>
  <c r="CV171" i="30"/>
  <c r="S233" i="30"/>
  <c r="Q223" i="30"/>
  <c r="W213" i="30"/>
  <c r="KJ194" i="30"/>
  <c r="KJ196" i="30"/>
  <c r="JV184" i="30"/>
  <c r="JV186" i="30"/>
  <c r="JV187" i="30" s="1"/>
  <c r="W173" i="30"/>
  <c r="GW191" i="30"/>
  <c r="AS231" i="30"/>
  <c r="HD201" i="30"/>
  <c r="AO240" i="30"/>
  <c r="AO170" i="30"/>
  <c r="CO241" i="30"/>
  <c r="R263" i="30"/>
  <c r="JY244" i="30"/>
  <c r="JY246" i="30"/>
  <c r="HD236" i="30"/>
  <c r="KC194" i="30"/>
  <c r="KC196" i="30"/>
  <c r="AT173" i="30"/>
  <c r="AM231" i="30"/>
  <c r="IM266" i="30"/>
  <c r="IM267" i="30" s="1"/>
  <c r="HD194" i="30"/>
  <c r="HD196" i="30"/>
  <c r="AL221" i="30"/>
  <c r="AO201" i="30"/>
  <c r="KX171" i="30"/>
  <c r="LE171" i="30"/>
  <c r="ES264" i="30"/>
  <c r="ES266" i="30"/>
  <c r="GI256" i="30"/>
  <c r="GI257" i="30" s="1"/>
  <c r="JG244" i="30"/>
  <c r="JG246" i="30"/>
  <c r="GW234" i="30"/>
  <c r="GW236" i="30"/>
  <c r="IM224" i="30"/>
  <c r="IM226" i="30"/>
  <c r="IT227" i="30" s="1"/>
  <c r="HY214" i="30"/>
  <c r="HY216" i="30"/>
  <c r="HR204" i="30"/>
  <c r="HR206" i="30"/>
  <c r="HD186" i="30"/>
  <c r="AS173" i="30"/>
  <c r="U221" i="30"/>
  <c r="IQ247" i="30"/>
  <c r="EZ196" i="30"/>
  <c r="EZ194" i="30"/>
  <c r="FG261" i="30"/>
  <c r="KX231" i="30"/>
  <c r="LE231" i="30"/>
  <c r="FS181" i="30"/>
  <c r="FZ181" i="30"/>
  <c r="AU240" i="30"/>
  <c r="AU170" i="30"/>
  <c r="X263" i="30"/>
  <c r="AD253" i="30"/>
  <c r="JF244" i="30"/>
  <c r="GP234" i="30"/>
  <c r="HR214" i="30"/>
  <c r="CO206" i="30"/>
  <c r="AI193" i="30"/>
  <c r="AG183" i="30"/>
  <c r="AP211" i="30"/>
  <c r="AS253" i="30"/>
  <c r="HK176" i="30"/>
  <c r="HK174" i="30"/>
  <c r="JR244" i="30"/>
  <c r="JR246" i="30"/>
  <c r="JV224" i="30"/>
  <c r="JV226" i="30"/>
  <c r="JV227" i="30" s="1"/>
  <c r="JA206" i="30"/>
  <c r="JA204" i="30"/>
  <c r="IM184" i="30"/>
  <c r="IM186" i="30"/>
  <c r="FG216" i="30"/>
  <c r="FG214" i="30"/>
  <c r="DC224" i="30"/>
  <c r="DC226" i="30"/>
  <c r="KQ234" i="30"/>
  <c r="KQ236" i="30"/>
  <c r="KX181" i="30"/>
  <c r="LE181" i="30"/>
  <c r="DJ266" i="30"/>
  <c r="DJ264" i="30"/>
  <c r="JH224" i="30"/>
  <c r="JH226" i="30"/>
  <c r="EL216" i="30"/>
  <c r="AE203" i="30"/>
  <c r="HD241" i="30"/>
  <c r="HD270" i="30"/>
  <c r="JH264" i="30"/>
  <c r="JH266" i="30"/>
  <c r="JK244" i="30"/>
  <c r="JK246" i="30"/>
  <c r="JK247" i="30" s="1"/>
  <c r="GB176" i="30"/>
  <c r="GB174" i="30"/>
  <c r="KU244" i="30"/>
  <c r="KU246" i="30"/>
  <c r="KU247" i="30" s="1"/>
  <c r="FT181" i="30"/>
  <c r="GA181" i="30"/>
  <c r="CH270" i="30"/>
  <c r="CH241" i="30"/>
  <c r="ES234" i="30"/>
  <c r="ES236" i="30"/>
  <c r="FN194" i="30"/>
  <c r="FN196" i="30"/>
  <c r="AV263" i="30"/>
  <c r="FM327" i="30"/>
  <c r="CG273" i="30"/>
  <c r="CG276" i="30" s="1"/>
  <c r="DH273" i="30"/>
  <c r="DX243" i="30"/>
  <c r="AF170" i="30"/>
  <c r="AF240" i="30"/>
  <c r="AD191" i="30"/>
  <c r="DU317" i="30"/>
  <c r="P211" i="30"/>
  <c r="S261" i="30"/>
  <c r="IT37" i="30"/>
  <c r="IT243" i="30"/>
  <c r="AC233" i="30"/>
  <c r="AK223" i="30"/>
  <c r="JV37" i="30"/>
  <c r="AR37" i="30" s="1"/>
  <c r="JV243" i="30"/>
  <c r="AE183" i="30"/>
  <c r="AV193" i="30"/>
  <c r="AP173" i="30"/>
  <c r="AH201" i="30"/>
  <c r="AO253" i="30"/>
  <c r="BQ226" i="30"/>
  <c r="BX227" i="30" s="1"/>
  <c r="O213" i="30"/>
  <c r="FQ181" i="30"/>
  <c r="FX181" i="30"/>
  <c r="V263" i="30"/>
  <c r="DX234" i="30"/>
  <c r="T223" i="30"/>
  <c r="AT213" i="30"/>
  <c r="AT216" i="30" s="1"/>
  <c r="JA194" i="30"/>
  <c r="JA196" i="30"/>
  <c r="FR241" i="30"/>
  <c r="FY241" i="30"/>
  <c r="KX261" i="30"/>
  <c r="LE261" i="30"/>
  <c r="CH201" i="30"/>
  <c r="AB170" i="30"/>
  <c r="AC263" i="30"/>
  <c r="AA223" i="30"/>
  <c r="Y213" i="30"/>
  <c r="AF193" i="30"/>
  <c r="AL183" i="30"/>
  <c r="AH261" i="30"/>
  <c r="EE264" i="30"/>
  <c r="EE266" i="30"/>
  <c r="CV194" i="30"/>
  <c r="AJ231" i="30"/>
  <c r="AU211" i="30"/>
  <c r="DJ234" i="30"/>
  <c r="R223" i="30"/>
  <c r="EL214" i="30"/>
  <c r="EE194" i="30"/>
  <c r="EE196" i="30"/>
  <c r="EZ184" i="30"/>
  <c r="EZ186" i="30"/>
  <c r="KC224" i="30"/>
  <c r="KC226" i="30"/>
  <c r="KJ261" i="30"/>
  <c r="AU181" i="30"/>
  <c r="DC264" i="30"/>
  <c r="DC266" i="30"/>
  <c r="JO234" i="30"/>
  <c r="JO236" i="30"/>
  <c r="JA226" i="30"/>
  <c r="JA227" i="30" s="1"/>
  <c r="KQ216" i="30"/>
  <c r="KQ217" i="30" s="1"/>
  <c r="KQ214" i="30"/>
  <c r="AT193" i="30"/>
  <c r="AR183" i="30"/>
  <c r="KQ176" i="30"/>
  <c r="KQ174" i="30"/>
  <c r="EZ261" i="30"/>
  <c r="KG244" i="30"/>
  <c r="KG246" i="30"/>
  <c r="KX184" i="30"/>
  <c r="U261" i="30"/>
  <c r="AP231" i="30"/>
  <c r="KX221" i="30"/>
  <c r="LE221" i="30"/>
  <c r="Q240" i="30"/>
  <c r="Q170" i="30"/>
  <c r="KX256" i="30"/>
  <c r="KX254" i="30"/>
  <c r="LE254" i="30"/>
  <c r="AS193" i="30"/>
  <c r="HK184" i="30"/>
  <c r="HK186" i="30"/>
  <c r="IF176" i="30"/>
  <c r="IF174" i="30"/>
  <c r="HY221" i="30"/>
  <c r="AH193" i="30"/>
  <c r="Y231" i="30"/>
  <c r="GW204" i="30"/>
  <c r="GW206" i="30"/>
  <c r="AJ191" i="30"/>
  <c r="AI191" i="30"/>
  <c r="FT241" i="30"/>
  <c r="GA241" i="30"/>
  <c r="KX270" i="30"/>
  <c r="KX241" i="30"/>
  <c r="LE241" i="30"/>
  <c r="Y263" i="30"/>
  <c r="AG233" i="30"/>
  <c r="AM223" i="30"/>
  <c r="AK213" i="30"/>
  <c r="AJ203" i="30"/>
  <c r="HY174" i="30"/>
  <c r="HY176" i="30"/>
  <c r="CV211" i="30"/>
  <c r="AA261" i="30"/>
  <c r="KJ221" i="30"/>
  <c r="IT201" i="30"/>
  <c r="FS241" i="30"/>
  <c r="FZ241" i="30"/>
  <c r="IM270" i="30"/>
  <c r="IM241" i="30"/>
  <c r="KX264" i="30"/>
  <c r="KX266" i="30"/>
  <c r="LE264" i="30"/>
  <c r="CH264" i="30"/>
  <c r="CH266" i="30"/>
  <c r="IR247" i="30"/>
  <c r="EL234" i="30"/>
  <c r="EL236" i="30"/>
  <c r="GB224" i="30"/>
  <c r="GB226" i="30"/>
  <c r="FN216" i="30"/>
  <c r="FN214" i="30"/>
  <c r="CO204" i="30"/>
  <c r="FG194" i="30"/>
  <c r="FG196" i="30"/>
  <c r="FM186" i="30"/>
  <c r="FM187" i="30" s="1"/>
  <c r="FN176" i="30"/>
  <c r="FN174" i="30"/>
  <c r="GI206" i="30"/>
  <c r="GI204" i="30"/>
  <c r="AI173" i="30"/>
  <c r="BX246" i="30"/>
  <c r="CE247" i="30" s="1"/>
  <c r="CN247" i="30"/>
  <c r="EV315" i="30"/>
  <c r="EC247" i="30"/>
  <c r="DV127" i="30"/>
  <c r="CK127" i="30"/>
  <c r="DP127" i="30"/>
  <c r="EQ315" i="30"/>
  <c r="DC253" i="30"/>
  <c r="DC250" i="30"/>
  <c r="EL312" i="30"/>
  <c r="X312" i="30" s="1"/>
  <c r="EL253" i="30"/>
  <c r="EL250" i="30"/>
  <c r="EP251" i="30"/>
  <c r="EP270" i="30"/>
  <c r="CL251" i="30"/>
  <c r="CL270" i="30"/>
  <c r="CL271" i="30" s="1"/>
  <c r="FC251" i="30"/>
  <c r="FC270" i="30"/>
  <c r="CY254" i="30"/>
  <c r="CY256" i="30"/>
  <c r="EY251" i="30"/>
  <c r="EY270" i="30"/>
  <c r="CU254" i="30"/>
  <c r="CU256" i="30"/>
  <c r="EJ254" i="30"/>
  <c r="EJ256" i="30"/>
  <c r="DO254" i="30"/>
  <c r="DO256" i="30"/>
  <c r="DU251" i="30"/>
  <c r="DU270" i="30"/>
  <c r="FJ251" i="30"/>
  <c r="FJ270" i="30"/>
  <c r="DF251" i="30"/>
  <c r="DF270" i="30"/>
  <c r="FF254" i="30"/>
  <c r="FF256" i="30"/>
  <c r="DP256" i="30"/>
  <c r="DP254" i="30"/>
  <c r="FG253" i="30"/>
  <c r="FG250" i="30"/>
  <c r="FM254" i="30"/>
  <c r="FM256" i="30"/>
  <c r="EX254" i="30"/>
  <c r="EX256" i="30"/>
  <c r="CT251" i="30"/>
  <c r="CT270" i="30"/>
  <c r="CO250" i="30"/>
  <c r="CO253" i="30"/>
  <c r="EB254" i="30"/>
  <c r="EB256" i="30"/>
  <c r="CL256" i="30"/>
  <c r="CL257" i="30" s="1"/>
  <c r="CL254" i="30"/>
  <c r="EO254" i="30"/>
  <c r="EO256" i="30"/>
  <c r="CK251" i="30"/>
  <c r="CK270" i="30"/>
  <c r="CK271" i="30" s="1"/>
  <c r="EY256" i="30"/>
  <c r="EY254" i="30"/>
  <c r="CU251" i="30"/>
  <c r="CU270" i="30"/>
  <c r="EJ251" i="30"/>
  <c r="EJ270" i="30"/>
  <c r="DO251" i="30"/>
  <c r="DO270" i="30"/>
  <c r="DU256" i="30"/>
  <c r="DU254" i="30"/>
  <c r="FJ256" i="30"/>
  <c r="FJ254" i="30"/>
  <c r="DF256" i="30"/>
  <c r="DF254" i="30"/>
  <c r="FF251" i="30"/>
  <c r="FF270" i="30"/>
  <c r="DB251" i="30"/>
  <c r="DB270" i="30"/>
  <c r="EP254" i="30"/>
  <c r="EP256" i="30"/>
  <c r="DI254" i="30"/>
  <c r="DI256" i="30"/>
  <c r="EI251" i="30"/>
  <c r="EI270" i="30"/>
  <c r="EE250" i="30"/>
  <c r="EE253" i="30"/>
  <c r="EB251" i="30"/>
  <c r="EB270" i="30"/>
  <c r="EO251" i="30"/>
  <c r="EO270" i="30"/>
  <c r="CK256" i="30"/>
  <c r="CK257" i="30" s="1"/>
  <c r="CK254" i="30"/>
  <c r="EK251" i="30"/>
  <c r="EK270" i="30"/>
  <c r="FE254" i="30"/>
  <c r="FE256" i="30"/>
  <c r="FE257" i="30" s="1"/>
  <c r="DV251" i="30"/>
  <c r="DV270" i="30"/>
  <c r="FK251" i="30"/>
  <c r="FK270" i="30"/>
  <c r="DG251" i="30"/>
  <c r="DG270" i="30"/>
  <c r="EV254" i="30"/>
  <c r="EV256" i="30"/>
  <c r="CR251" i="30"/>
  <c r="CR270" i="30"/>
  <c r="ER251" i="30"/>
  <c r="ER270" i="30"/>
  <c r="DB256" i="30"/>
  <c r="DB254" i="30"/>
  <c r="DP251" i="30"/>
  <c r="DP270" i="30"/>
  <c r="DQ250" i="30"/>
  <c r="ES253" i="30"/>
  <c r="ES250" i="30"/>
  <c r="CV312" i="30"/>
  <c r="R312" i="30" s="1"/>
  <c r="CV250" i="30"/>
  <c r="CV253" i="30"/>
  <c r="FR254" i="30"/>
  <c r="FY254" i="30"/>
  <c r="DN254" i="30"/>
  <c r="DN256" i="30"/>
  <c r="DA251" i="30"/>
  <c r="DA270" i="30"/>
  <c r="EA251" i="30"/>
  <c r="EA270" i="30"/>
  <c r="EK256" i="30"/>
  <c r="EK254" i="30"/>
  <c r="FE251" i="30"/>
  <c r="FE270" i="30"/>
  <c r="DV254" i="30"/>
  <c r="DV256" i="30"/>
  <c r="FK254" i="30"/>
  <c r="FK256" i="30"/>
  <c r="DG256" i="30"/>
  <c r="DG254" i="30"/>
  <c r="EV251" i="30"/>
  <c r="EV270" i="30"/>
  <c r="CR254" i="30"/>
  <c r="CR256" i="30"/>
  <c r="ER256" i="30"/>
  <c r="ER254" i="30"/>
  <c r="CN251" i="30"/>
  <c r="CN270" i="30"/>
  <c r="CN271" i="30" s="1"/>
  <c r="CY251" i="30"/>
  <c r="CY270" i="30"/>
  <c r="EC251" i="30"/>
  <c r="EC270" i="30"/>
  <c r="EZ253" i="30"/>
  <c r="EZ250" i="30"/>
  <c r="FN253" i="30"/>
  <c r="FN250" i="30"/>
  <c r="DX253" i="30"/>
  <c r="DX250" i="30"/>
  <c r="FR256" i="30"/>
  <c r="FY251" i="30"/>
  <c r="FR251" i="30"/>
  <c r="FR270" i="30"/>
  <c r="DN251" i="30"/>
  <c r="DN270" i="30"/>
  <c r="DA254" i="30"/>
  <c r="DA256" i="30"/>
  <c r="EA254" i="30"/>
  <c r="EA256" i="30"/>
  <c r="EQ251" i="30"/>
  <c r="EQ270" i="30"/>
  <c r="DW251" i="30"/>
  <c r="DW270" i="30"/>
  <c r="FL251" i="30"/>
  <c r="FL270" i="30"/>
  <c r="DH251" i="30"/>
  <c r="DH270" i="30"/>
  <c r="EW256" i="30"/>
  <c r="EW254" i="30"/>
  <c r="CS251" i="30"/>
  <c r="CS270" i="30"/>
  <c r="EH254" i="30"/>
  <c r="EH256" i="30"/>
  <c r="CM251" i="30"/>
  <c r="CM270" i="30"/>
  <c r="CM271" i="30" s="1"/>
  <c r="ED256" i="30"/>
  <c r="ED254" i="30"/>
  <c r="CN254" i="30"/>
  <c r="CN256" i="30"/>
  <c r="CN257" i="30" s="1"/>
  <c r="CZ254" i="30"/>
  <c r="CZ256" i="30"/>
  <c r="FT256" i="30"/>
  <c r="GA254" i="30"/>
  <c r="FT254" i="30"/>
  <c r="DJ253" i="30"/>
  <c r="DJ250" i="30"/>
  <c r="FQ254" i="30"/>
  <c r="FX254" i="30"/>
  <c r="FQ256" i="30"/>
  <c r="DM254" i="30"/>
  <c r="DM256" i="30"/>
  <c r="EQ254" i="30"/>
  <c r="EQ256" i="30"/>
  <c r="DW256" i="30"/>
  <c r="DW254" i="30"/>
  <c r="FL254" i="30"/>
  <c r="FL256" i="30"/>
  <c r="DH256" i="30"/>
  <c r="DH254" i="30"/>
  <c r="EW251" i="30"/>
  <c r="EW270" i="30"/>
  <c r="CS254" i="30"/>
  <c r="CS256" i="30"/>
  <c r="EH251" i="30"/>
  <c r="EH270" i="30"/>
  <c r="ED251" i="30"/>
  <c r="ED270" i="30"/>
  <c r="FS254" i="30"/>
  <c r="FZ254" i="30"/>
  <c r="FS256" i="30"/>
  <c r="FC254" i="30"/>
  <c r="FC256" i="30"/>
  <c r="DT254" i="30"/>
  <c r="DT256" i="30"/>
  <c r="GB105" i="30"/>
  <c r="AD105" i="30" s="1"/>
  <c r="FU250" i="30"/>
  <c r="FU253" i="30"/>
  <c r="FD256" i="30"/>
  <c r="FD251" i="30"/>
  <c r="FD270" i="30"/>
  <c r="CZ251" i="30"/>
  <c r="CZ270" i="30"/>
  <c r="FQ251" i="30"/>
  <c r="FX251" i="30"/>
  <c r="FQ270" i="30"/>
  <c r="DM251" i="30"/>
  <c r="DM270" i="30"/>
  <c r="FM251" i="30"/>
  <c r="FM270" i="30"/>
  <c r="DI251" i="30"/>
  <c r="DI270" i="30"/>
  <c r="EX251" i="30"/>
  <c r="EX270" i="30"/>
  <c r="CT256" i="30"/>
  <c r="EI254" i="30"/>
  <c r="EI256" i="30"/>
  <c r="EC254" i="30"/>
  <c r="EC256" i="30"/>
  <c r="DT251" i="30"/>
  <c r="DT270" i="30"/>
  <c r="FT251" i="30"/>
  <c r="FT270" i="30"/>
  <c r="GA251" i="30"/>
  <c r="FS251" i="30"/>
  <c r="FS270" i="30"/>
  <c r="FZ251" i="30"/>
  <c r="JN159" i="30"/>
  <c r="JN273" i="30"/>
  <c r="IY159" i="30"/>
  <c r="IY273" i="30"/>
  <c r="KU273" i="30"/>
  <c r="JG273" i="30"/>
  <c r="IX159" i="30"/>
  <c r="IX273" i="30"/>
  <c r="IE273" i="30"/>
  <c r="IE276" i="30" s="1"/>
  <c r="IB273" i="30"/>
  <c r="IB276" i="30" s="1"/>
  <c r="KO273" i="30"/>
  <c r="KF159" i="30"/>
  <c r="KF273" i="30"/>
  <c r="DN315" i="30"/>
  <c r="FF149" i="30"/>
  <c r="CY127" i="30"/>
  <c r="CF127" i="30"/>
  <c r="CE127" i="30"/>
  <c r="CK247" i="30"/>
  <c r="HP247" i="30"/>
  <c r="GH247" i="30"/>
  <c r="FD247" i="30"/>
  <c r="CU315" i="30"/>
  <c r="DB127" i="30"/>
  <c r="FJ247" i="30"/>
  <c r="DO315" i="30"/>
  <c r="CL247" i="30"/>
  <c r="DH315" i="30"/>
  <c r="ID315" i="30"/>
  <c r="EH127" i="30"/>
  <c r="DO127" i="30"/>
  <c r="GU247" i="30"/>
  <c r="GT247" i="30"/>
  <c r="DU247" i="30"/>
  <c r="EO244" i="30"/>
  <c r="EO246" i="30"/>
  <c r="EO247" i="30" s="1"/>
  <c r="DH246" i="30"/>
  <c r="DH247" i="30" s="1"/>
  <c r="DH244" i="30"/>
  <c r="ER108" i="30"/>
  <c r="ER273" i="30"/>
  <c r="FF246" i="30"/>
  <c r="FF247" i="30" s="1"/>
  <c r="FF244" i="30"/>
  <c r="EP246" i="30"/>
  <c r="EP247" i="30" s="1"/>
  <c r="EP244" i="30"/>
  <c r="HC247" i="30"/>
  <c r="EY247" i="30"/>
  <c r="CU247" i="30"/>
  <c r="HU247" i="30"/>
  <c r="IB247" i="30"/>
  <c r="CM108" i="30"/>
  <c r="DO244" i="30"/>
  <c r="HB247" i="30"/>
  <c r="AK80" i="30"/>
  <c r="HY243" i="30"/>
  <c r="HP159" i="30"/>
  <c r="HP273" i="30"/>
  <c r="CD276" i="30"/>
  <c r="CG127" i="30"/>
  <c r="EW244" i="30"/>
  <c r="EV244" i="30"/>
  <c r="GO247" i="30"/>
  <c r="EK247" i="30"/>
  <c r="EX247" i="30"/>
  <c r="CT247" i="30"/>
  <c r="HJ247" i="30"/>
  <c r="GG276" i="30"/>
  <c r="HO276" i="30"/>
  <c r="EC273" i="30"/>
  <c r="FK126" i="30"/>
  <c r="FK149" i="30" s="1"/>
  <c r="FK243" i="30"/>
  <c r="FE246" i="30"/>
  <c r="FE247" i="30" s="1"/>
  <c r="FE244" i="30"/>
  <c r="DM247" i="30"/>
  <c r="DG244" i="30"/>
  <c r="DG246" i="30"/>
  <c r="DG247" i="30" s="1"/>
  <c r="DW246" i="30"/>
  <c r="DW247" i="30" s="1"/>
  <c r="DW244" i="30"/>
  <c r="EJ246" i="30"/>
  <c r="EJ247" i="30" s="1"/>
  <c r="EJ244" i="30"/>
  <c r="CF246" i="30"/>
  <c r="CF247" i="30" s="1"/>
  <c r="CF244" i="30"/>
  <c r="DT247" i="30"/>
  <c r="GW246" i="30"/>
  <c r="HY310" i="30"/>
  <c r="AK310" i="30" s="1"/>
  <c r="DA127" i="30"/>
  <c r="IC247" i="30"/>
  <c r="HA247" i="30"/>
  <c r="CO310" i="30"/>
  <c r="Q310" i="30" s="1"/>
  <c r="CO243" i="30"/>
  <c r="HX247" i="30"/>
  <c r="IE247" i="30"/>
  <c r="CH90" i="30"/>
  <c r="CH243" i="30"/>
  <c r="GT276" i="30"/>
  <c r="GP90" i="30"/>
  <c r="GP243" i="30"/>
  <c r="GI90" i="30"/>
  <c r="AE90" i="30" s="1"/>
  <c r="GI243" i="30"/>
  <c r="HR90" i="30"/>
  <c r="HR243" i="30"/>
  <c r="FS310" i="30"/>
  <c r="FZ315" i="30" s="1"/>
  <c r="FS243" i="30"/>
  <c r="CS247" i="30"/>
  <c r="FC247" i="30"/>
  <c r="GL247" i="30"/>
  <c r="CR244" i="30"/>
  <c r="CR246" i="30"/>
  <c r="CR247" i="30" s="1"/>
  <c r="FX103" i="30"/>
  <c r="FQ243" i="30"/>
  <c r="FR90" i="30"/>
  <c r="FR243" i="30"/>
  <c r="DV247" i="30"/>
  <c r="KP327" i="30"/>
  <c r="N74" i="30"/>
  <c r="N220" i="30" s="1"/>
  <c r="O221" i="30" s="1"/>
  <c r="BT220" i="30"/>
  <c r="CA221" i="30" s="1"/>
  <c r="JG60" i="30"/>
  <c r="BT233" i="30"/>
  <c r="JN38" i="30"/>
  <c r="CN127" i="30"/>
  <c r="BT203" i="30"/>
  <c r="EE144" i="30"/>
  <c r="W144" i="30" s="1"/>
  <c r="N70" i="30"/>
  <c r="N180" i="30" s="1"/>
  <c r="O181" i="30" s="1"/>
  <c r="BT180" i="30"/>
  <c r="CA181" i="30" s="1"/>
  <c r="N69" i="30"/>
  <c r="BT170" i="30"/>
  <c r="CA171" i="30" s="1"/>
  <c r="BT240" i="30"/>
  <c r="CA241" i="30" s="1"/>
  <c r="BQ270" i="30"/>
  <c r="BX271" i="30" s="1"/>
  <c r="BX241" i="30"/>
  <c r="BP266" i="30"/>
  <c r="BW267" i="30" s="1"/>
  <c r="BW264" i="30"/>
  <c r="BT52" i="30"/>
  <c r="N52" i="30" s="1"/>
  <c r="BT253" i="30"/>
  <c r="R85" i="30"/>
  <c r="R250" i="30" s="1"/>
  <c r="BP322" i="30"/>
  <c r="BW327" i="30" s="1"/>
  <c r="EH151" i="30"/>
  <c r="FU143" i="30"/>
  <c r="AC143" i="30" s="1"/>
  <c r="DG327" i="30"/>
  <c r="N13" i="30"/>
  <c r="BT213" i="30"/>
  <c r="CA214" i="30" s="1"/>
  <c r="N11" i="30"/>
  <c r="BT193" i="30"/>
  <c r="BY241" i="30"/>
  <c r="BR270" i="30"/>
  <c r="BY271" i="30" s="1"/>
  <c r="BP270" i="30"/>
  <c r="BW271" i="30" s="1"/>
  <c r="BW241" i="30"/>
  <c r="CA206" i="30"/>
  <c r="BR186" i="30"/>
  <c r="BY187" i="30" s="1"/>
  <c r="BY184" i="30"/>
  <c r="N72" i="30"/>
  <c r="N200" i="30" s="1"/>
  <c r="O201" i="30" s="1"/>
  <c r="BT200" i="30"/>
  <c r="CA201" i="30" s="1"/>
  <c r="IT295" i="30"/>
  <c r="AN295" i="30" s="1"/>
  <c r="DQ295" i="30"/>
  <c r="U295" i="30" s="1"/>
  <c r="JA151" i="30"/>
  <c r="AO151" i="30" s="1"/>
  <c r="BQ196" i="30"/>
  <c r="BX197" i="30" s="1"/>
  <c r="BX194" i="30"/>
  <c r="BP196" i="30"/>
  <c r="BW197" i="30" s="1"/>
  <c r="BW194" i="30"/>
  <c r="BR196" i="30"/>
  <c r="BY197" i="30" s="1"/>
  <c r="BY194" i="30"/>
  <c r="BP236" i="30"/>
  <c r="BW237" i="30" s="1"/>
  <c r="BP186" i="30"/>
  <c r="BW187" i="30" s="1"/>
  <c r="BW184" i="30"/>
  <c r="BS216" i="30"/>
  <c r="BZ217" i="30" s="1"/>
  <c r="BT47" i="30"/>
  <c r="N47" i="30" s="1"/>
  <c r="BT223" i="30"/>
  <c r="N71" i="30"/>
  <c r="N190" i="30" s="1"/>
  <c r="O191" i="30" s="1"/>
  <c r="BT190" i="30"/>
  <c r="CA191" i="30" s="1"/>
  <c r="AJ80" i="30"/>
  <c r="CA43" i="30"/>
  <c r="O43" i="30" s="1"/>
  <c r="BT183" i="30"/>
  <c r="FS90" i="30"/>
  <c r="FZ108" i="30" s="1"/>
  <c r="BS196" i="30"/>
  <c r="BZ197" i="30" s="1"/>
  <c r="BZ191" i="30"/>
  <c r="BQ266" i="30"/>
  <c r="BX267" i="30" s="1"/>
  <c r="BS186" i="30"/>
  <c r="BZ187" i="30" s="1"/>
  <c r="BQ186" i="30"/>
  <c r="BX187" i="30" s="1"/>
  <c r="BX184" i="30"/>
  <c r="BQ216" i="30"/>
  <c r="BX217" i="30" s="1"/>
  <c r="BX211" i="30"/>
  <c r="CA216" i="30"/>
  <c r="BZ241" i="30"/>
  <c r="BS270" i="30"/>
  <c r="BZ271" i="30" s="1"/>
  <c r="BP206" i="30"/>
  <c r="BW207" i="30" s="1"/>
  <c r="BW204" i="30"/>
  <c r="HP328" i="30"/>
  <c r="FS126" i="30"/>
  <c r="FZ149" i="30" s="1"/>
  <c r="DJ141" i="30"/>
  <c r="ED151" i="30"/>
  <c r="BS176" i="30"/>
  <c r="BZ177" i="30" s="1"/>
  <c r="BZ174" i="30"/>
  <c r="CA186" i="30"/>
  <c r="CA261" i="30"/>
  <c r="BP176" i="30"/>
  <c r="N75" i="30"/>
  <c r="N230" i="30" s="1"/>
  <c r="O231" i="30" s="1"/>
  <c r="BT230" i="30"/>
  <c r="CA231" i="30" s="1"/>
  <c r="N9" i="30"/>
  <c r="BT173" i="30"/>
  <c r="CA174" i="30" s="1"/>
  <c r="BS236" i="30"/>
  <c r="BZ237" i="30" s="1"/>
  <c r="BR236" i="30"/>
  <c r="BY237" i="30" s="1"/>
  <c r="BQ176" i="30"/>
  <c r="BX177" i="30" s="1"/>
  <c r="BQ236" i="30"/>
  <c r="BX237" i="30" s="1"/>
  <c r="CA176" i="30"/>
  <c r="FX142" i="30"/>
  <c r="KF327" i="30"/>
  <c r="DQ290" i="30"/>
  <c r="U290" i="30" s="1"/>
  <c r="DB317" i="30"/>
  <c r="EQ323" i="30"/>
  <c r="EQ328" i="30" s="1"/>
  <c r="CA52" i="30"/>
  <c r="O52" i="30" s="1"/>
  <c r="CA53" i="30"/>
  <c r="O53" i="30" s="1"/>
  <c r="BT263" i="30"/>
  <c r="N73" i="30"/>
  <c r="N210" i="30" s="1"/>
  <c r="O211" i="30" s="1"/>
  <c r="BT210" i="30"/>
  <c r="CA211" i="30" s="1"/>
  <c r="CA105" i="30"/>
  <c r="O105" i="30" s="1"/>
  <c r="BT250" i="30"/>
  <c r="CA251" i="30" s="1"/>
  <c r="BR176" i="30"/>
  <c r="BY177" i="30" s="1"/>
  <c r="BY174" i="30"/>
  <c r="BR216" i="30"/>
  <c r="BY217" i="30" s="1"/>
  <c r="BP256" i="30"/>
  <c r="BW257" i="30" s="1"/>
  <c r="BW254" i="30"/>
  <c r="DW127" i="30"/>
  <c r="DP108" i="30"/>
  <c r="CZ127" i="30"/>
  <c r="CA90" i="30"/>
  <c r="CA243" i="30"/>
  <c r="BR310" i="30"/>
  <c r="BY315" i="30" s="1"/>
  <c r="BR243" i="30"/>
  <c r="BS310" i="30"/>
  <c r="BZ315" i="30" s="1"/>
  <c r="BS243" i="30"/>
  <c r="CL127" i="30"/>
  <c r="EH315" i="30"/>
  <c r="BQ310" i="30"/>
  <c r="BX315" i="30" s="1"/>
  <c r="BQ243" i="30"/>
  <c r="BW273" i="30"/>
  <c r="CD274" i="30" s="1"/>
  <c r="BP310" i="30"/>
  <c r="BW315" i="30" s="1"/>
  <c r="BP243" i="30"/>
  <c r="CD327" i="30"/>
  <c r="GT315" i="30"/>
  <c r="AV58" i="30"/>
  <c r="EK55" i="30"/>
  <c r="FF327" i="30"/>
  <c r="CT127" i="30"/>
  <c r="KI328" i="30"/>
  <c r="IB327" i="30"/>
  <c r="IT290" i="30"/>
  <c r="AN290" i="30" s="1"/>
  <c r="AV57" i="30"/>
  <c r="ED127" i="30"/>
  <c r="EC127" i="30"/>
  <c r="DX145" i="30"/>
  <c r="V145" i="30" s="1"/>
  <c r="EA127" i="30"/>
  <c r="KN327" i="30"/>
  <c r="IP327" i="30"/>
  <c r="HY297" i="30"/>
  <c r="AK297" i="30" s="1"/>
  <c r="FU145" i="30"/>
  <c r="AC145" i="30" s="1"/>
  <c r="CD127" i="30"/>
  <c r="CR127" i="30"/>
  <c r="DH127" i="30"/>
  <c r="DN127" i="30"/>
  <c r="DM127" i="30"/>
  <c r="HD147" i="30"/>
  <c r="AH147" i="30" s="1"/>
  <c r="DI127" i="30"/>
  <c r="DJ144" i="30"/>
  <c r="T144" i="30" s="1"/>
  <c r="AV105" i="30"/>
  <c r="DG127" i="30"/>
  <c r="DF127" i="30"/>
  <c r="AV52" i="30"/>
  <c r="DB327" i="30"/>
  <c r="AN289" i="30"/>
  <c r="CM127" i="30"/>
  <c r="CU127" i="30"/>
  <c r="EB127" i="30"/>
  <c r="JH143" i="30"/>
  <c r="AP143" i="30" s="1"/>
  <c r="CS127" i="30"/>
  <c r="LI46" i="30"/>
  <c r="EL142" i="30"/>
  <c r="X142" i="30" s="1"/>
  <c r="HK144" i="30"/>
  <c r="AI144" i="30" s="1"/>
  <c r="CV142" i="30"/>
  <c r="R142" i="30" s="1"/>
  <c r="DR5" i="1"/>
  <c r="DO334" i="30"/>
  <c r="DO111" i="30"/>
  <c r="DO65" i="30"/>
  <c r="DO5" i="30"/>
  <c r="DO166" i="30" s="1"/>
  <c r="DO76" i="29"/>
  <c r="DO3" i="29"/>
  <c r="DO155" i="29" s="1"/>
  <c r="DO17" i="29"/>
  <c r="DQ18" i="1"/>
  <c r="DQ76" i="1" s="1"/>
  <c r="DI334" i="30"/>
  <c r="DI111" i="30"/>
  <c r="DI65" i="30"/>
  <c r="DI5" i="30"/>
  <c r="DI76" i="29"/>
  <c r="DK18" i="1"/>
  <c r="DK76" i="1" s="1"/>
  <c r="DI3" i="29"/>
  <c r="DI17" i="29"/>
  <c r="DX5" i="1"/>
  <c r="DU111" i="30"/>
  <c r="DU334" i="30"/>
  <c r="DU65" i="30"/>
  <c r="DU5" i="30"/>
  <c r="DU166" i="30" s="1"/>
  <c r="DU76" i="29"/>
  <c r="DU3" i="29"/>
  <c r="DU155" i="29" s="1"/>
  <c r="DU17" i="29"/>
  <c r="DW18" i="1"/>
  <c r="DW76" i="1" s="1"/>
  <c r="ED5" i="1"/>
  <c r="EA111" i="30"/>
  <c r="EA334" i="30"/>
  <c r="EA65" i="30"/>
  <c r="EA5" i="30"/>
  <c r="EA166" i="30" s="1"/>
  <c r="EA3" i="29"/>
  <c r="EC18" i="1"/>
  <c r="EC76" i="1" s="1"/>
  <c r="EJ5" i="1"/>
  <c r="DT155" i="29"/>
  <c r="DT76" i="29"/>
  <c r="DT17" i="29"/>
  <c r="HY295" i="30"/>
  <c r="AK295" i="30" s="1"/>
  <c r="IR315" i="30"/>
  <c r="KX143" i="30"/>
  <c r="AV143" i="30" s="1"/>
  <c r="HX327" i="30"/>
  <c r="AI118" i="30"/>
  <c r="JA142" i="30"/>
  <c r="AO142" i="30" s="1"/>
  <c r="KG327" i="30"/>
  <c r="KM328" i="30"/>
  <c r="HY290" i="30"/>
  <c r="AK290" i="30" s="1"/>
  <c r="CU317" i="30"/>
  <c r="DU151" i="30"/>
  <c r="JV141" i="30"/>
  <c r="EL143" i="30"/>
  <c r="X143" i="30" s="1"/>
  <c r="DC52" i="30"/>
  <c r="S52" i="30" s="1"/>
  <c r="X116" i="30"/>
  <c r="GP141" i="30"/>
  <c r="DC141" i="30"/>
  <c r="CS327" i="30"/>
  <c r="IY328" i="30"/>
  <c r="KG328" i="30"/>
  <c r="CK315" i="30"/>
  <c r="CY317" i="30"/>
  <c r="KW328" i="30"/>
  <c r="Q117" i="30"/>
  <c r="HR142" i="30"/>
  <c r="AJ142" i="30" s="1"/>
  <c r="AS133" i="29"/>
  <c r="HY90" i="30"/>
  <c r="IP315" i="30"/>
  <c r="AP116" i="30"/>
  <c r="CO143" i="30"/>
  <c r="Q143" i="30" s="1"/>
  <c r="JA145" i="30"/>
  <c r="AO145" i="30" s="1"/>
  <c r="EP149" i="30"/>
  <c r="JH142" i="30"/>
  <c r="AP142" i="30" s="1"/>
  <c r="EB327" i="30"/>
  <c r="JN327" i="30"/>
  <c r="DH321" i="30"/>
  <c r="FZ142" i="30"/>
  <c r="KQ310" i="30"/>
  <c r="HX315" i="30"/>
  <c r="DV327" i="30"/>
  <c r="AT20" i="30"/>
  <c r="GG328" i="30"/>
  <c r="CG108" i="30"/>
  <c r="KJ37" i="30"/>
  <c r="KJ136" i="30" s="1"/>
  <c r="KB315" i="30"/>
  <c r="AH20" i="30"/>
  <c r="GI142" i="30"/>
  <c r="AE142" i="30" s="1"/>
  <c r="GM327" i="30"/>
  <c r="IM145" i="30"/>
  <c r="AM145" i="30" s="1"/>
  <c r="N16" i="30"/>
  <c r="GV328" i="30"/>
  <c r="AT305" i="30"/>
  <c r="LP13" i="30"/>
  <c r="LW46" i="30" s="1"/>
  <c r="HA328" i="30"/>
  <c r="GN327" i="30"/>
  <c r="X85" i="30"/>
  <c r="X250" i="30" s="1"/>
  <c r="CR321" i="30"/>
  <c r="KJ306" i="30"/>
  <c r="IX315" i="30"/>
  <c r="LH45" i="30"/>
  <c r="AM118" i="30"/>
  <c r="LO12" i="30"/>
  <c r="LV45" i="30" s="1"/>
  <c r="LQ45" i="30"/>
  <c r="KJ151" i="30"/>
  <c r="AT151" i="30" s="1"/>
  <c r="AE116" i="30"/>
  <c r="IS327" i="30"/>
  <c r="AE80" i="30"/>
  <c r="EI317" i="30"/>
  <c r="CZ315" i="30"/>
  <c r="LP9" i="30"/>
  <c r="LW42" i="30" s="1"/>
  <c r="GI310" i="30"/>
  <c r="AE310" i="30" s="1"/>
  <c r="JA146" i="30"/>
  <c r="AO146" i="30" s="1"/>
  <c r="EV327" i="30"/>
  <c r="S117" i="30"/>
  <c r="EL126" i="30"/>
  <c r="IM144" i="30"/>
  <c r="AM144" i="30" s="1"/>
  <c r="J321" i="30"/>
  <c r="JO295" i="30"/>
  <c r="AQ295" i="30" s="1"/>
  <c r="LL69" i="30"/>
  <c r="DX147" i="30"/>
  <c r="V147" i="30" s="1"/>
  <c r="JR328" i="30"/>
  <c r="GW295" i="30"/>
  <c r="AG295" i="30" s="1"/>
  <c r="EJ108" i="30"/>
  <c r="FQ90" i="30"/>
  <c r="FX108" i="30" s="1"/>
  <c r="JM315" i="30"/>
  <c r="AG289" i="30"/>
  <c r="GE315" i="30"/>
  <c r="DM108" i="30"/>
  <c r="ER317" i="30"/>
  <c r="ER315" i="30"/>
  <c r="JH90" i="30"/>
  <c r="GI295" i="30"/>
  <c r="AE295" i="30" s="1"/>
  <c r="DU295" i="30"/>
  <c r="AO80" i="30"/>
  <c r="JO141" i="30"/>
  <c r="EL90" i="30"/>
  <c r="X80" i="30"/>
  <c r="Y80" i="30"/>
  <c r="ES103" i="30"/>
  <c r="Y103" i="30" s="1"/>
  <c r="GO295" i="30"/>
  <c r="FY103" i="30"/>
  <c r="HY152" i="30"/>
  <c r="AK152" i="30" s="1"/>
  <c r="JT328" i="30"/>
  <c r="LH42" i="30"/>
  <c r="EI151" i="30"/>
  <c r="FN52" i="30"/>
  <c r="AB52" i="30" s="1"/>
  <c r="GG295" i="30"/>
  <c r="AD289" i="30"/>
  <c r="IM147" i="30"/>
  <c r="AM147" i="30" s="1"/>
  <c r="CA47" i="30"/>
  <c r="O47" i="30" s="1"/>
  <c r="HK50" i="30"/>
  <c r="AI50" i="30" s="1"/>
  <c r="GN295" i="30"/>
  <c r="BX152" i="30"/>
  <c r="HV327" i="30"/>
  <c r="GH290" i="30"/>
  <c r="GG290" i="30"/>
  <c r="CE315" i="30"/>
  <c r="HY81" i="30"/>
  <c r="AK81" i="30" s="1"/>
  <c r="EE50" i="30"/>
  <c r="W50" i="30" s="1"/>
  <c r="DT315" i="30"/>
  <c r="IW315" i="30"/>
  <c r="AP83" i="30"/>
  <c r="BR31" i="30"/>
  <c r="BY55" i="30" s="1"/>
  <c r="JH290" i="30"/>
  <c r="AP290" i="30" s="1"/>
  <c r="EY108" i="30"/>
  <c r="HD126" i="30"/>
  <c r="AH126" i="30" s="1"/>
  <c r="JA90" i="30"/>
  <c r="JA91" i="30" s="1"/>
  <c r="AO91" i="30" s="1"/>
  <c r="FT142" i="30"/>
  <c r="CA44" i="30"/>
  <c r="O44" i="30" s="1"/>
  <c r="BR50" i="30"/>
  <c r="KH328" i="30"/>
  <c r="JH297" i="30"/>
  <c r="AP297" i="30" s="1"/>
  <c r="GW290" i="30"/>
  <c r="AG290" i="30" s="1"/>
  <c r="CZ317" i="30"/>
  <c r="EW317" i="30"/>
  <c r="IC315" i="30"/>
  <c r="DX131" i="30"/>
  <c r="V131" i="30" s="1"/>
  <c r="ES310" i="30"/>
  <c r="Y310" i="30" s="1"/>
  <c r="DB151" i="30"/>
  <c r="LJ44" i="30"/>
  <c r="AE117" i="30"/>
  <c r="AD115" i="30"/>
  <c r="JA143" i="30"/>
  <c r="AO143" i="30" s="1"/>
  <c r="N14" i="30"/>
  <c r="GG315" i="30"/>
  <c r="FG52" i="30"/>
  <c r="AA52" i="30" s="1"/>
  <c r="AL20" i="30"/>
  <c r="IF37" i="30"/>
  <c r="IF136" i="30" s="1"/>
  <c r="DX31" i="30"/>
  <c r="V31" i="30" s="1"/>
  <c r="AS289" i="30"/>
  <c r="JY315" i="30"/>
  <c r="JH81" i="30"/>
  <c r="AP81" i="30" s="1"/>
  <c r="AO120" i="30"/>
  <c r="AT131" i="30"/>
  <c r="N85" i="30"/>
  <c r="N250" i="30" s="1"/>
  <c r="O251" i="30" s="1"/>
  <c r="BT131" i="30"/>
  <c r="N131" i="30" s="1"/>
  <c r="BT311" i="30"/>
  <c r="N311" i="30" s="1"/>
  <c r="N86" i="30"/>
  <c r="N260" i="30" s="1"/>
  <c r="O261" i="30" s="1"/>
  <c r="IW327" i="30"/>
  <c r="HG327" i="30"/>
  <c r="IX327" i="30"/>
  <c r="BT312" i="30"/>
  <c r="N312" i="30" s="1"/>
  <c r="KC297" i="30"/>
  <c r="AS297" i="30" s="1"/>
  <c r="GB290" i="30"/>
  <c r="AD290" i="30" s="1"/>
  <c r="AP80" i="30"/>
  <c r="BT44" i="30"/>
  <c r="N44" i="30" s="1"/>
  <c r="HK37" i="30"/>
  <c r="AI37" i="30" s="1"/>
  <c r="GI141" i="30"/>
  <c r="IM146" i="30"/>
  <c r="AM146" i="30" s="1"/>
  <c r="DC131" i="30"/>
  <c r="S131" i="30" s="1"/>
  <c r="BT297" i="30"/>
  <c r="N297" i="30" s="1"/>
  <c r="EI315" i="30"/>
  <c r="EB317" i="30"/>
  <c r="JH103" i="30"/>
  <c r="AP103" i="30" s="1"/>
  <c r="HY103" i="30"/>
  <c r="AK103" i="30" s="1"/>
  <c r="EC327" i="30"/>
  <c r="FK295" i="30"/>
  <c r="FQ327" i="30"/>
  <c r="GS55" i="30"/>
  <c r="DN327" i="30"/>
  <c r="II328" i="30"/>
  <c r="KX103" i="30"/>
  <c r="HD90" i="30"/>
  <c r="CV90" i="30"/>
  <c r="FZ327" i="30"/>
  <c r="JU327" i="30"/>
  <c r="FK327" i="30"/>
  <c r="JH295" i="30"/>
  <c r="AP295" i="30" s="1"/>
  <c r="DB108" i="30"/>
  <c r="CL315" i="30"/>
  <c r="IE315" i="30"/>
  <c r="HR81" i="30"/>
  <c r="AJ81" i="30" s="1"/>
  <c r="CT317" i="30"/>
  <c r="FZ103" i="30"/>
  <c r="CD108" i="30"/>
  <c r="GE295" i="30"/>
  <c r="JA323" i="30"/>
  <c r="AO323" i="30" s="1"/>
  <c r="EL310" i="30"/>
  <c r="X310" i="30" s="1"/>
  <c r="AC117" i="30"/>
  <c r="JS328" i="30"/>
  <c r="DO317" i="30"/>
  <c r="KA315" i="30"/>
  <c r="FL317" i="30"/>
  <c r="HR310" i="30"/>
  <c r="KJ50" i="30"/>
  <c r="AT50" i="30" s="1"/>
  <c r="DJ152" i="30"/>
  <c r="T152" i="30" s="1"/>
  <c r="CN327" i="30"/>
  <c r="DF327" i="30"/>
  <c r="IQ327" i="30"/>
  <c r="KJ323" i="30"/>
  <c r="AT323" i="30" s="1"/>
  <c r="GH315" i="30"/>
  <c r="HO315" i="30"/>
  <c r="GV315" i="30"/>
  <c r="DO108" i="30"/>
  <c r="EC315" i="30"/>
  <c r="CD315" i="30"/>
  <c r="CY151" i="30"/>
  <c r="I126" i="30"/>
  <c r="G154" i="29"/>
  <c r="GT55" i="30"/>
  <c r="JE327" i="30"/>
  <c r="LE12" i="30"/>
  <c r="LE45" i="30" s="1"/>
  <c r="AW45" i="30" s="1"/>
  <c r="HD151" i="30"/>
  <c r="AH151" i="30" s="1"/>
  <c r="GS315" i="30"/>
  <c r="LR47" i="30"/>
  <c r="I31" i="30"/>
  <c r="I37" i="30" s="1"/>
  <c r="HJ315" i="30"/>
  <c r="DH327" i="30"/>
  <c r="HR290" i="30"/>
  <c r="AJ290" i="30" s="1"/>
  <c r="IS315" i="30"/>
  <c r="LP10" i="30"/>
  <c r="LW43" i="30" s="1"/>
  <c r="LI43" i="30"/>
  <c r="GZ315" i="30"/>
  <c r="Q80" i="30"/>
  <c r="DM327" i="30"/>
  <c r="CT108" i="30"/>
  <c r="KW327" i="30"/>
  <c r="KB327" i="30"/>
  <c r="W20" i="30"/>
  <c r="IY60" i="30"/>
  <c r="JO103" i="30"/>
  <c r="AQ103" i="30" s="1"/>
  <c r="BP90" i="30"/>
  <c r="BT115" i="30"/>
  <c r="N115" i="30" s="1"/>
  <c r="HH327" i="30"/>
  <c r="ED108" i="30"/>
  <c r="HD323" i="30"/>
  <c r="AH323" i="30" s="1"/>
  <c r="FK317" i="30"/>
  <c r="CA96" i="30"/>
  <c r="O96" i="30" s="1"/>
  <c r="IY327" i="30"/>
  <c r="EO327" i="30"/>
  <c r="BQ31" i="30"/>
  <c r="GM328" i="30"/>
  <c r="LK47" i="30"/>
  <c r="BX50" i="30"/>
  <c r="AH131" i="30"/>
  <c r="LR12" i="30"/>
  <c r="LY45" i="30" s="1"/>
  <c r="LK45" i="30"/>
  <c r="FU146" i="30"/>
  <c r="AC146" i="30" s="1"/>
  <c r="CO146" i="30"/>
  <c r="Q146" i="30" s="1"/>
  <c r="LQ10" i="30"/>
  <c r="LX43" i="30" s="1"/>
  <c r="LJ43" i="30"/>
  <c r="IL130" i="30"/>
  <c r="IM84" i="30"/>
  <c r="CZ108" i="30"/>
  <c r="KN328" i="30"/>
  <c r="JD328" i="30"/>
  <c r="FX297" i="30"/>
  <c r="FR317" i="30"/>
  <c r="CL108" i="30"/>
  <c r="KF315" i="30"/>
  <c r="EI108" i="30"/>
  <c r="JV90" i="30"/>
  <c r="DU290" i="30"/>
  <c r="S85" i="30"/>
  <c r="S250" i="30" s="1"/>
  <c r="DX50" i="30"/>
  <c r="V50" i="30" s="1"/>
  <c r="AC120" i="30"/>
  <c r="CA42" i="30"/>
  <c r="O42" i="30" s="1"/>
  <c r="X20" i="30"/>
  <c r="IP328" i="30"/>
  <c r="EW327" i="30"/>
  <c r="IJ328" i="30"/>
  <c r="GE328" i="30"/>
  <c r="DC105" i="30"/>
  <c r="S105" i="30" s="1"/>
  <c r="KQ21" i="30"/>
  <c r="AU21" i="30" s="1"/>
  <c r="EL50" i="30"/>
  <c r="X50" i="30" s="1"/>
  <c r="LK46" i="30"/>
  <c r="GS327" i="30"/>
  <c r="ED327" i="30"/>
  <c r="ID327" i="30"/>
  <c r="FX327" i="30"/>
  <c r="KP315" i="30"/>
  <c r="DC312" i="30"/>
  <c r="CA99" i="30"/>
  <c r="O99" i="30" s="1"/>
  <c r="EK151" i="30"/>
  <c r="Q120" i="30"/>
  <c r="AU20" i="30"/>
  <c r="KA327" i="30"/>
  <c r="IK328" i="30"/>
  <c r="EX317" i="30"/>
  <c r="KN315" i="30"/>
  <c r="HH315" i="30"/>
  <c r="FF317" i="30"/>
  <c r="JM55" i="30"/>
  <c r="EJ151" i="30"/>
  <c r="KQ31" i="30"/>
  <c r="AU31" i="30" s="1"/>
  <c r="BT42" i="30"/>
  <c r="N42" i="30" s="1"/>
  <c r="JA84" i="30"/>
  <c r="JA130" i="30" s="1"/>
  <c r="AO130" i="30" s="1"/>
  <c r="CF315" i="30"/>
  <c r="KQ50" i="30"/>
  <c r="AU50" i="30" s="1"/>
  <c r="GA142" i="30"/>
  <c r="IL328" i="30"/>
  <c r="DA317" i="30"/>
  <c r="EH108" i="30"/>
  <c r="JL315" i="30"/>
  <c r="CY108" i="30"/>
  <c r="JZ315" i="30"/>
  <c r="FC315" i="30"/>
  <c r="BT119" i="30"/>
  <c r="N119" i="30" s="1"/>
  <c r="CU327" i="30"/>
  <c r="DI327" i="30"/>
  <c r="ID328" i="30"/>
  <c r="IC328" i="30"/>
  <c r="DT108" i="30"/>
  <c r="GF315" i="30"/>
  <c r="EV108" i="30"/>
  <c r="JF315" i="30"/>
  <c r="HK21" i="30"/>
  <c r="AI21" i="30" s="1"/>
  <c r="DT317" i="30"/>
  <c r="JK315" i="30"/>
  <c r="CG315" i="30"/>
  <c r="EV317" i="30"/>
  <c r="KO315" i="30"/>
  <c r="FJ317" i="30"/>
  <c r="DX126" i="30"/>
  <c r="CA46" i="30"/>
  <c r="O46" i="30" s="1"/>
  <c r="LE11" i="30"/>
  <c r="LE117" i="30" s="1"/>
  <c r="AI20" i="30"/>
  <c r="N26" i="30"/>
  <c r="CS151" i="30"/>
  <c r="BW152" i="30"/>
  <c r="GU327" i="30"/>
  <c r="KO327" i="30"/>
  <c r="GU328" i="30"/>
  <c r="FX290" i="30"/>
  <c r="CK108" i="30"/>
  <c r="EX315" i="30"/>
  <c r="EY315" i="30"/>
  <c r="JO90" i="30"/>
  <c r="EC317" i="30"/>
  <c r="DP317" i="30"/>
  <c r="JY328" i="30"/>
  <c r="CG297" i="30"/>
  <c r="KJ21" i="30"/>
  <c r="AT21" i="30" s="1"/>
  <c r="HN327" i="30"/>
  <c r="FL327" i="30"/>
  <c r="JK328" i="30"/>
  <c r="HK90" i="30"/>
  <c r="DN108" i="30"/>
  <c r="EP108" i="30"/>
  <c r="GN315" i="30"/>
  <c r="DF317" i="30"/>
  <c r="AQ80" i="30"/>
  <c r="IX38" i="30"/>
  <c r="EJ317" i="30"/>
  <c r="HN315" i="30"/>
  <c r="DP315" i="30"/>
  <c r="JO81" i="30"/>
  <c r="AQ81" i="30" s="1"/>
  <c r="BT117" i="30"/>
  <c r="N117" i="30" s="1"/>
  <c r="GS32" i="30"/>
  <c r="IB315" i="30"/>
  <c r="JO310" i="30"/>
  <c r="JV315" i="30" s="1"/>
  <c r="AR315" i="30" s="1"/>
  <c r="EQ151" i="30"/>
  <c r="BS322" i="30"/>
  <c r="BZ327" i="30" s="1"/>
  <c r="DM151" i="30"/>
  <c r="HW327" i="30"/>
  <c r="EQ108" i="30"/>
  <c r="CN108" i="30"/>
  <c r="HK31" i="30"/>
  <c r="DP327" i="30"/>
  <c r="BQ90" i="30"/>
  <c r="JG315" i="30"/>
  <c r="DG315" i="30"/>
  <c r="DU108" i="30"/>
  <c r="KO32" i="30"/>
  <c r="EO151" i="30"/>
  <c r="IJ315" i="30"/>
  <c r="HQ327" i="30"/>
  <c r="GS328" i="30"/>
  <c r="DU315" i="30"/>
  <c r="FR142" i="30"/>
  <c r="HK126" i="30"/>
  <c r="HP38" i="30"/>
  <c r="LR11" i="30"/>
  <c r="LY44" i="30" s="1"/>
  <c r="JG328" i="30"/>
  <c r="EO317" i="30"/>
  <c r="JS315" i="30"/>
  <c r="JR327" i="30"/>
  <c r="FQ317" i="30"/>
  <c r="CZ327" i="30"/>
  <c r="BY103" i="30"/>
  <c r="DV108" i="30"/>
  <c r="LR46" i="30"/>
  <c r="AL90" i="30"/>
  <c r="IM108" i="30"/>
  <c r="AM108" i="30" s="1"/>
  <c r="AM90" i="30"/>
  <c r="IM91" i="30"/>
  <c r="AM91" i="30" s="1"/>
  <c r="IT91" i="30"/>
  <c r="AN91" i="30" s="1"/>
  <c r="IT108" i="30"/>
  <c r="AN108" i="30" s="1"/>
  <c r="AN90" i="30"/>
  <c r="HH91" i="30"/>
  <c r="HH108" i="30"/>
  <c r="KI149" i="30"/>
  <c r="KI127" i="30"/>
  <c r="KI321" i="30"/>
  <c r="GE91" i="30"/>
  <c r="GE108" i="30"/>
  <c r="GB152" i="30"/>
  <c r="AD152" i="30" s="1"/>
  <c r="AD132" i="30"/>
  <c r="GB322" i="30"/>
  <c r="KA55" i="30"/>
  <c r="KA32" i="30"/>
  <c r="HB55" i="30"/>
  <c r="HB32" i="30"/>
  <c r="HB37" i="30"/>
  <c r="JF149" i="30"/>
  <c r="JF127" i="30"/>
  <c r="JF321" i="30"/>
  <c r="K321" i="30"/>
  <c r="GW316" i="30"/>
  <c r="AG316" i="30" s="1"/>
  <c r="AG311" i="30"/>
  <c r="AW105" i="30"/>
  <c r="AW85" i="30"/>
  <c r="DT55" i="30"/>
  <c r="DT37" i="30"/>
  <c r="DT136" i="30" s="1"/>
  <c r="HK143" i="30"/>
  <c r="AI143" i="30" s="1"/>
  <c r="AI117" i="30"/>
  <c r="KM159" i="30"/>
  <c r="KM60" i="30"/>
  <c r="KM38" i="30"/>
  <c r="KB149" i="30"/>
  <c r="KB127" i="30"/>
  <c r="KB321" i="30"/>
  <c r="DJ146" i="30"/>
  <c r="T146" i="30" s="1"/>
  <c r="T120" i="30"/>
  <c r="DT151" i="30"/>
  <c r="EW149" i="30"/>
  <c r="EW127" i="30"/>
  <c r="EW321" i="30"/>
  <c r="GS149" i="30"/>
  <c r="GS127" i="30"/>
  <c r="GS321" i="30"/>
  <c r="KC144" i="30"/>
  <c r="AS144" i="30" s="1"/>
  <c r="AS118" i="30"/>
  <c r="IP32" i="30"/>
  <c r="IP55" i="30"/>
  <c r="JU149" i="30"/>
  <c r="JU127" i="30"/>
  <c r="JU321" i="30"/>
  <c r="JH144" i="30"/>
  <c r="AP144" i="30" s="1"/>
  <c r="AP118" i="30"/>
  <c r="HQ328" i="30"/>
  <c r="IC327" i="30"/>
  <c r="KT327" i="30"/>
  <c r="KT328" i="30"/>
  <c r="JS327" i="30"/>
  <c r="KO328" i="30"/>
  <c r="EK297" i="30"/>
  <c r="EK290" i="30"/>
  <c r="EK295" i="30"/>
  <c r="DP295" i="30"/>
  <c r="DP297" i="30"/>
  <c r="DP290" i="30"/>
  <c r="CU295" i="30"/>
  <c r="CU297" i="30"/>
  <c r="CU290" i="30"/>
  <c r="IQ328" i="30"/>
  <c r="AL312" i="30"/>
  <c r="IF317" i="30"/>
  <c r="AL317" i="30" s="1"/>
  <c r="KV108" i="30"/>
  <c r="KV91" i="30"/>
  <c r="HP315" i="30"/>
  <c r="DB315" i="30"/>
  <c r="DA108" i="30"/>
  <c r="GW103" i="30"/>
  <c r="AG103" i="30" s="1"/>
  <c r="GW310" i="30"/>
  <c r="GW81" i="30"/>
  <c r="AG81" i="30" s="1"/>
  <c r="AG80" i="30"/>
  <c r="CH317" i="30"/>
  <c r="P317" i="30" s="1"/>
  <c r="P312" i="30"/>
  <c r="HK317" i="30"/>
  <c r="AI317" i="30" s="1"/>
  <c r="AI312" i="30"/>
  <c r="O312" i="30"/>
  <c r="IS91" i="30"/>
  <c r="IS108" i="30"/>
  <c r="FM310" i="30"/>
  <c r="FM315" i="30" s="1"/>
  <c r="FM103" i="30"/>
  <c r="DJ295" i="30"/>
  <c r="T295" i="30" s="1"/>
  <c r="DJ297" i="30"/>
  <c r="T297" i="30" s="1"/>
  <c r="DJ290" i="30"/>
  <c r="T290" i="30" s="1"/>
  <c r="T289" i="30"/>
  <c r="GB310" i="30"/>
  <c r="AD80" i="30"/>
  <c r="DM317" i="30"/>
  <c r="JY91" i="30"/>
  <c r="JY108" i="30"/>
  <c r="GS91" i="30"/>
  <c r="GS108" i="30"/>
  <c r="GP317" i="30"/>
  <c r="AF317" i="30" s="1"/>
  <c r="AF312" i="30"/>
  <c r="EQ317" i="30"/>
  <c r="JE315" i="30"/>
  <c r="HD316" i="30"/>
  <c r="AH316" i="30" s="1"/>
  <c r="AH311" i="30"/>
  <c r="KJ103" i="30"/>
  <c r="AT103" i="30" s="1"/>
  <c r="KJ81" i="30"/>
  <c r="AT81" i="30" s="1"/>
  <c r="AT80" i="30"/>
  <c r="DW108" i="30"/>
  <c r="IK108" i="30"/>
  <c r="IK91" i="30"/>
  <c r="LL85" i="30"/>
  <c r="FU96" i="30"/>
  <c r="AC96" i="30" s="1"/>
  <c r="AC70" i="30"/>
  <c r="AC180" i="30" s="1"/>
  <c r="AD181" i="30" s="1"/>
  <c r="CO312" i="30"/>
  <c r="CO105" i="30"/>
  <c r="Q105" i="30" s="1"/>
  <c r="CO90" i="30"/>
  <c r="Q85" i="30"/>
  <c r="Q250" i="30" s="1"/>
  <c r="Q251" i="30" s="1"/>
  <c r="CV105" i="30"/>
  <c r="R105" i="30" s="1"/>
  <c r="DJ310" i="30"/>
  <c r="DJ103" i="30"/>
  <c r="T103" i="30" s="1"/>
  <c r="T80" i="30"/>
  <c r="KG91" i="30"/>
  <c r="KG108" i="30"/>
  <c r="HB108" i="30"/>
  <c r="HB91" i="30"/>
  <c r="HA91" i="30"/>
  <c r="HA108" i="30"/>
  <c r="HA149" i="30"/>
  <c r="HA127" i="30"/>
  <c r="HA321" i="30"/>
  <c r="CM149" i="30"/>
  <c r="CM321" i="30"/>
  <c r="HK146" i="30"/>
  <c r="AI146" i="30" s="1"/>
  <c r="AI120" i="30"/>
  <c r="KC142" i="30"/>
  <c r="AS142" i="30" s="1"/>
  <c r="AS116" i="30"/>
  <c r="IF141" i="30"/>
  <c r="AL115" i="30"/>
  <c r="BX103" i="30"/>
  <c r="EB55" i="30"/>
  <c r="EB37" i="30"/>
  <c r="EI60" i="30" s="1"/>
  <c r="CO131" i="30"/>
  <c r="Q26" i="30"/>
  <c r="CO52" i="30"/>
  <c r="Q52" i="30" s="1"/>
  <c r="KF55" i="30"/>
  <c r="KF32" i="30"/>
  <c r="GZ55" i="30"/>
  <c r="GZ32" i="30"/>
  <c r="GZ37" i="30"/>
  <c r="GZ136" i="30" s="1"/>
  <c r="IF147" i="30"/>
  <c r="AL147" i="30" s="1"/>
  <c r="AL121" i="30"/>
  <c r="CV145" i="30"/>
  <c r="R145" i="30" s="1"/>
  <c r="R119" i="30"/>
  <c r="EE141" i="30"/>
  <c r="W115" i="30"/>
  <c r="KQ142" i="30"/>
  <c r="AU142" i="30" s="1"/>
  <c r="AU116" i="30"/>
  <c r="CN55" i="30"/>
  <c r="CN37" i="30"/>
  <c r="CN136" i="30" s="1"/>
  <c r="FG312" i="30"/>
  <c r="FG105" i="30"/>
  <c r="AA105" i="30" s="1"/>
  <c r="FG90" i="30"/>
  <c r="AA85" i="30"/>
  <c r="AA250" i="30" s="1"/>
  <c r="JD55" i="30"/>
  <c r="JD32" i="30"/>
  <c r="IE149" i="30"/>
  <c r="IE127" i="30"/>
  <c r="IE321" i="30"/>
  <c r="DQ126" i="30"/>
  <c r="DQ50" i="30"/>
  <c r="U50" i="30" s="1"/>
  <c r="U20" i="30"/>
  <c r="BT116" i="30"/>
  <c r="N116" i="30" s="1"/>
  <c r="BT43" i="30"/>
  <c r="N43" i="30" s="1"/>
  <c r="N10" i="30"/>
  <c r="JA81" i="30"/>
  <c r="AO81" i="30" s="1"/>
  <c r="HI159" i="30"/>
  <c r="DC152" i="30"/>
  <c r="S152" i="30" s="1"/>
  <c r="S132" i="30"/>
  <c r="DC322" i="30"/>
  <c r="JL55" i="30"/>
  <c r="JL32" i="30"/>
  <c r="HN149" i="30"/>
  <c r="HN127" i="30"/>
  <c r="HN321" i="30"/>
  <c r="KU32" i="30"/>
  <c r="FR103" i="30"/>
  <c r="FR310" i="30"/>
  <c r="FU152" i="30"/>
  <c r="AC152" i="30" s="1"/>
  <c r="AC132" i="30"/>
  <c r="FU322" i="30"/>
  <c r="KA159" i="30"/>
  <c r="KA60" i="30"/>
  <c r="KA38" i="30"/>
  <c r="IC159" i="30"/>
  <c r="IC60" i="30"/>
  <c r="IC38" i="30"/>
  <c r="DO55" i="30"/>
  <c r="DO37" i="30"/>
  <c r="DO136" i="30" s="1"/>
  <c r="KQ147" i="30"/>
  <c r="AU147" i="30" s="1"/>
  <c r="AU121" i="30"/>
  <c r="JO146" i="30"/>
  <c r="AQ146" i="30" s="1"/>
  <c r="AQ120" i="30"/>
  <c r="GW143" i="30"/>
  <c r="AG143" i="30" s="1"/>
  <c r="AG117" i="30"/>
  <c r="CF55" i="30"/>
  <c r="CF37" i="30"/>
  <c r="CF136" i="30" s="1"/>
  <c r="IR159" i="30"/>
  <c r="IR60" i="30"/>
  <c r="IR38" i="30"/>
  <c r="GB146" i="30"/>
  <c r="AD146" i="30" s="1"/>
  <c r="AD120" i="30"/>
  <c r="JS149" i="30"/>
  <c r="JS127" i="30"/>
  <c r="JS321" i="30"/>
  <c r="JY55" i="30"/>
  <c r="JY32" i="30"/>
  <c r="CH152" i="30"/>
  <c r="P152" i="30" s="1"/>
  <c r="P132" i="30"/>
  <c r="CH322" i="30"/>
  <c r="KO149" i="30"/>
  <c r="KO127" i="30"/>
  <c r="KO321" i="30"/>
  <c r="IM142" i="30"/>
  <c r="AM142" i="30" s="1"/>
  <c r="AM116" i="30"/>
  <c r="BR322" i="30"/>
  <c r="BY327" i="30" s="1"/>
  <c r="HB149" i="30"/>
  <c r="HB127" i="30"/>
  <c r="HB321" i="30"/>
  <c r="HH32" i="30"/>
  <c r="HH55" i="30"/>
  <c r="O132" i="30"/>
  <c r="CA322" i="30"/>
  <c r="IP159" i="30"/>
  <c r="IP60" i="30"/>
  <c r="IP38" i="30"/>
  <c r="FJ149" i="30"/>
  <c r="FJ127" i="30"/>
  <c r="FJ321" i="30"/>
  <c r="KX145" i="30"/>
  <c r="AV145" i="30" s="1"/>
  <c r="AV119" i="30"/>
  <c r="DQ142" i="30"/>
  <c r="U142" i="30" s="1"/>
  <c r="U116" i="30"/>
  <c r="JT55" i="30"/>
  <c r="JT32" i="30"/>
  <c r="ES152" i="30"/>
  <c r="Y152" i="30" s="1"/>
  <c r="Y132" i="30"/>
  <c r="ES322" i="30"/>
  <c r="JE55" i="30"/>
  <c r="JE32" i="30"/>
  <c r="EQ55" i="30"/>
  <c r="EQ37" i="30"/>
  <c r="EQ136" i="30" s="1"/>
  <c r="JO147" i="30"/>
  <c r="AQ147" i="30" s="1"/>
  <c r="AQ121" i="30"/>
  <c r="KQ145" i="30"/>
  <c r="AU145" i="30" s="1"/>
  <c r="AU119" i="30"/>
  <c r="BY37" i="30"/>
  <c r="BY136" i="30" s="1"/>
  <c r="CU151" i="30"/>
  <c r="HV159" i="30"/>
  <c r="HV60" i="30"/>
  <c r="HV38" i="30"/>
  <c r="EP127" i="30"/>
  <c r="FN116" i="30"/>
  <c r="FN43" i="30"/>
  <c r="AB43" i="30" s="1"/>
  <c r="AB10" i="30"/>
  <c r="GI151" i="30"/>
  <c r="AE151" i="30" s="1"/>
  <c r="AE131" i="30"/>
  <c r="GI323" i="30"/>
  <c r="DQ312" i="30"/>
  <c r="DQ90" i="30"/>
  <c r="DQ105" i="30"/>
  <c r="U105" i="30" s="1"/>
  <c r="U85" i="30"/>
  <c r="U250" i="30" s="1"/>
  <c r="EJ149" i="30"/>
  <c r="EJ321" i="30"/>
  <c r="JO151" i="30"/>
  <c r="AQ151" i="30" s="1"/>
  <c r="AQ131" i="30"/>
  <c r="JO323" i="30"/>
  <c r="DP131" i="30"/>
  <c r="DP52" i="30"/>
  <c r="FZ321" i="30"/>
  <c r="KJ152" i="30"/>
  <c r="AT152" i="30" s="1"/>
  <c r="AT132" i="30"/>
  <c r="KJ322" i="30"/>
  <c r="IE327" i="30"/>
  <c r="EQ327" i="30"/>
  <c r="FU295" i="30"/>
  <c r="AC295" i="30" s="1"/>
  <c r="AC289" i="30"/>
  <c r="FU297" i="30"/>
  <c r="AC297" i="30" s="1"/>
  <c r="FU290" i="30"/>
  <c r="AC290" i="30" s="1"/>
  <c r="HY317" i="30"/>
  <c r="AK317" i="30" s="1"/>
  <c r="AK312" i="30"/>
  <c r="GV91" i="30"/>
  <c r="GV108" i="30"/>
  <c r="GW152" i="30"/>
  <c r="AG152" i="30" s="1"/>
  <c r="AG132" i="30"/>
  <c r="GW322" i="30"/>
  <c r="HR126" i="30"/>
  <c r="HR50" i="30"/>
  <c r="AJ50" i="30" s="1"/>
  <c r="HR31" i="30"/>
  <c r="HR37" i="30"/>
  <c r="HR21" i="30"/>
  <c r="AJ21" i="30" s="1"/>
  <c r="AJ20" i="30"/>
  <c r="IE159" i="30"/>
  <c r="IE60" i="30"/>
  <c r="IE38" i="30"/>
  <c r="JS55" i="30"/>
  <c r="JS32" i="30"/>
  <c r="HX328" i="30"/>
  <c r="HB328" i="30"/>
  <c r="FY327" i="30"/>
  <c r="GT328" i="30"/>
  <c r="HU327" i="30"/>
  <c r="DA327" i="30"/>
  <c r="CV295" i="30"/>
  <c r="R295" i="30" s="1"/>
  <c r="CV297" i="30"/>
  <c r="R297" i="30" s="1"/>
  <c r="R289" i="30"/>
  <c r="CV290" i="30"/>
  <c r="R290" i="30" s="1"/>
  <c r="FE295" i="30"/>
  <c r="FE290" i="30"/>
  <c r="FE297" i="30"/>
  <c r="FT297" i="30"/>
  <c r="FT290" i="30"/>
  <c r="FT295" i="30"/>
  <c r="BX297" i="30"/>
  <c r="BX290" i="30"/>
  <c r="BX295" i="30"/>
  <c r="GG327" i="30"/>
  <c r="GZ327" i="30"/>
  <c r="JA295" i="30"/>
  <c r="AO295" i="30" s="1"/>
  <c r="JA290" i="30"/>
  <c r="AO290" i="30" s="1"/>
  <c r="AO289" i="30"/>
  <c r="JA297" i="30"/>
  <c r="AO297" i="30" s="1"/>
  <c r="JZ328" i="30"/>
  <c r="KV315" i="30"/>
  <c r="HP91" i="30"/>
  <c r="HP108" i="30"/>
  <c r="AW106" i="30"/>
  <c r="AW86" i="30"/>
  <c r="JM91" i="30"/>
  <c r="JM108" i="30"/>
  <c r="IT316" i="30"/>
  <c r="AN316" i="30" s="1"/>
  <c r="AN311" i="30"/>
  <c r="JL91" i="30"/>
  <c r="JL108" i="30"/>
  <c r="CH310" i="30"/>
  <c r="CH103" i="30"/>
  <c r="P103" i="30" s="1"/>
  <c r="P80" i="30"/>
  <c r="FM90" i="30"/>
  <c r="FZ295" i="30"/>
  <c r="FZ297" i="30"/>
  <c r="FZ290" i="30"/>
  <c r="IR91" i="30"/>
  <c r="IR108" i="30"/>
  <c r="FL310" i="30"/>
  <c r="FL315" i="30" s="1"/>
  <c r="FL103" i="30"/>
  <c r="GW90" i="30"/>
  <c r="CU108" i="30"/>
  <c r="CE108" i="30"/>
  <c r="FX317" i="30"/>
  <c r="FJ108" i="30"/>
  <c r="EA108" i="30"/>
  <c r="EP317" i="30"/>
  <c r="JT108" i="30"/>
  <c r="JT91" i="30"/>
  <c r="IK315" i="30"/>
  <c r="FQ103" i="30"/>
  <c r="FQ310" i="30"/>
  <c r="FQ315" i="30" s="1"/>
  <c r="AW70" i="30"/>
  <c r="JR108" i="30"/>
  <c r="JR91" i="30"/>
  <c r="DV317" i="30"/>
  <c r="DC316" i="30"/>
  <c r="S316" i="30" s="1"/>
  <c r="S311" i="30"/>
  <c r="DX152" i="30"/>
  <c r="V152" i="30" s="1"/>
  <c r="V132" i="30"/>
  <c r="DX322" i="30"/>
  <c r="KW149" i="30"/>
  <c r="KW127" i="30"/>
  <c r="KW321" i="30"/>
  <c r="GI126" i="30"/>
  <c r="GI50" i="30"/>
  <c r="AE50" i="30" s="1"/>
  <c r="AE20" i="30"/>
  <c r="GI31" i="30"/>
  <c r="CT37" i="30"/>
  <c r="DT149" i="30"/>
  <c r="DT321" i="30"/>
  <c r="HR143" i="30"/>
  <c r="AJ143" i="30" s="1"/>
  <c r="GP142" i="30"/>
  <c r="AF142" i="30" s="1"/>
  <c r="AF116" i="30"/>
  <c r="HV55" i="30"/>
  <c r="HV32" i="30"/>
  <c r="DV151" i="30"/>
  <c r="KU159" i="30"/>
  <c r="KU60" i="30"/>
  <c r="KU38" i="30"/>
  <c r="EE143" i="30"/>
  <c r="W143" i="30" s="1"/>
  <c r="W117" i="30"/>
  <c r="GV55" i="30"/>
  <c r="GV37" i="30"/>
  <c r="GV136" i="30" s="1"/>
  <c r="GV32" i="30"/>
  <c r="EH149" i="30"/>
  <c r="EH321" i="30"/>
  <c r="HR147" i="30"/>
  <c r="AJ147" i="30" s="1"/>
  <c r="AJ121" i="30"/>
  <c r="IT145" i="30"/>
  <c r="AN145" i="30" s="1"/>
  <c r="AN119" i="30"/>
  <c r="KJ143" i="30"/>
  <c r="AT143" i="30" s="1"/>
  <c r="AT117" i="30"/>
  <c r="KX126" i="30"/>
  <c r="KX50" i="30"/>
  <c r="KX31" i="30"/>
  <c r="KX21" i="30"/>
  <c r="AV21" i="30" s="1"/>
  <c r="KX37" i="30"/>
  <c r="AV20" i="30"/>
  <c r="AV243" i="30" s="1"/>
  <c r="KA149" i="30"/>
  <c r="KA127" i="30"/>
  <c r="KA321" i="30"/>
  <c r="IC149" i="30"/>
  <c r="IC127" i="30"/>
  <c r="IC321" i="30"/>
  <c r="IE32" i="30"/>
  <c r="HY146" i="30"/>
  <c r="AK146" i="30" s="1"/>
  <c r="AK120" i="30"/>
  <c r="FQ151" i="30"/>
  <c r="FQ323" i="30"/>
  <c r="IR149" i="30"/>
  <c r="IR127" i="30"/>
  <c r="IR321" i="30"/>
  <c r="EV149" i="30"/>
  <c r="EV127" i="30"/>
  <c r="EV321" i="30"/>
  <c r="KJ144" i="30"/>
  <c r="AT144" i="30" s="1"/>
  <c r="IQ55" i="30"/>
  <c r="IQ32" i="30"/>
  <c r="GA321" i="30"/>
  <c r="KC147" i="30"/>
  <c r="AS147" i="30" s="1"/>
  <c r="AS121" i="30"/>
  <c r="BX37" i="30"/>
  <c r="BX136" i="30" s="1"/>
  <c r="FZ55" i="30"/>
  <c r="FZ37" i="30"/>
  <c r="IP149" i="30"/>
  <c r="IP127" i="30"/>
  <c r="IP321" i="30"/>
  <c r="GP147" i="30"/>
  <c r="AF147" i="30" s="1"/>
  <c r="AF121" i="30"/>
  <c r="IF297" i="30"/>
  <c r="AL297" i="30" s="1"/>
  <c r="IF295" i="30"/>
  <c r="AL295" i="30" s="1"/>
  <c r="AL289" i="30"/>
  <c r="IL55" i="30"/>
  <c r="IL32" i="30"/>
  <c r="BT132" i="30"/>
  <c r="CA152" i="30" s="1"/>
  <c r="O152" i="30" s="1"/>
  <c r="BT53" i="30"/>
  <c r="N53" i="30" s="1"/>
  <c r="N27" i="30"/>
  <c r="JE149" i="30"/>
  <c r="JE127" i="30"/>
  <c r="JE321" i="30"/>
  <c r="EQ149" i="30"/>
  <c r="EQ127" i="30"/>
  <c r="EQ321" i="30"/>
  <c r="BY321" i="30"/>
  <c r="KX146" i="30"/>
  <c r="AV146" i="30" s="1"/>
  <c r="AV120" i="30"/>
  <c r="KC151" i="30"/>
  <c r="AS151" i="30" s="1"/>
  <c r="AS131" i="30"/>
  <c r="KC323" i="30"/>
  <c r="HV149" i="30"/>
  <c r="HV127" i="30"/>
  <c r="HV321" i="30"/>
  <c r="HC55" i="30"/>
  <c r="HC32" i="30"/>
  <c r="HC37" i="30"/>
  <c r="KH55" i="30"/>
  <c r="KH32" i="30"/>
  <c r="BT120" i="30"/>
  <c r="JF328" i="30"/>
  <c r="KX316" i="30"/>
  <c r="AV316" i="30" s="1"/>
  <c r="LE316" i="30"/>
  <c r="AW316" i="30" s="1"/>
  <c r="AV311" i="30"/>
  <c r="EX108" i="30"/>
  <c r="CA295" i="30"/>
  <c r="O295" i="30" s="1"/>
  <c r="CA297" i="30"/>
  <c r="O297" i="30" s="1"/>
  <c r="CA290" i="30"/>
  <c r="O290" i="30" s="1"/>
  <c r="O289" i="30"/>
  <c r="LC47" i="30"/>
  <c r="KM327" i="30"/>
  <c r="IZ327" i="30"/>
  <c r="V289" i="30"/>
  <c r="DX295" i="30"/>
  <c r="V295" i="30" s="1"/>
  <c r="DX297" i="30"/>
  <c r="V297" i="30" s="1"/>
  <c r="DX290" i="30"/>
  <c r="V290" i="30" s="1"/>
  <c r="FL295" i="30"/>
  <c r="FN316" i="30"/>
  <c r="AB316" i="30" s="1"/>
  <c r="AB311" i="30"/>
  <c r="GF91" i="30"/>
  <c r="GF108" i="30"/>
  <c r="FM317" i="30"/>
  <c r="EZ316" i="30"/>
  <c r="Z316" i="30" s="1"/>
  <c r="Z311" i="30"/>
  <c r="FG295" i="30"/>
  <c r="AA295" i="30" s="1"/>
  <c r="FG297" i="30"/>
  <c r="AA297" i="30" s="1"/>
  <c r="FG290" i="30"/>
  <c r="AA290" i="30" s="1"/>
  <c r="AA289" i="30"/>
  <c r="GW317" i="30"/>
  <c r="AG317" i="30" s="1"/>
  <c r="AG312" i="30"/>
  <c r="JF91" i="30"/>
  <c r="JF108" i="30"/>
  <c r="HK316" i="30"/>
  <c r="AI316" i="30" s="1"/>
  <c r="AI311" i="30"/>
  <c r="IM129" i="30"/>
  <c r="AM129" i="30" s="1"/>
  <c r="AM83" i="30"/>
  <c r="HW108" i="30"/>
  <c r="HW91" i="30"/>
  <c r="DX316" i="30"/>
  <c r="V316" i="30" s="1"/>
  <c r="V311" i="30"/>
  <c r="DH108" i="30"/>
  <c r="JT315" i="30"/>
  <c r="FF315" i="30"/>
  <c r="DC295" i="30"/>
  <c r="S295" i="30" s="1"/>
  <c r="U311" i="30"/>
  <c r="DQ316" i="30"/>
  <c r="U316" i="30" s="1"/>
  <c r="DW317" i="30"/>
  <c r="HU108" i="30"/>
  <c r="HU91" i="30"/>
  <c r="LL70" i="30"/>
  <c r="JR315" i="30"/>
  <c r="LE58" i="30"/>
  <c r="AW58" i="30" s="1"/>
  <c r="AW35" i="30"/>
  <c r="HB315" i="30"/>
  <c r="FD108" i="30"/>
  <c r="CR151" i="30"/>
  <c r="BW321" i="30"/>
  <c r="EE146" i="30"/>
  <c r="W146" i="30" s="1"/>
  <c r="W120" i="30"/>
  <c r="GW142" i="30"/>
  <c r="AG142" i="30" s="1"/>
  <c r="AG116" i="30"/>
  <c r="HD152" i="30"/>
  <c r="AH152" i="30" s="1"/>
  <c r="AH132" i="30"/>
  <c r="HD322" i="30"/>
  <c r="D136" i="30"/>
  <c r="D37" i="30"/>
  <c r="KF149" i="30"/>
  <c r="KF127" i="30"/>
  <c r="KF321" i="30"/>
  <c r="GZ149" i="30"/>
  <c r="GZ127" i="30"/>
  <c r="GZ321" i="30"/>
  <c r="DB55" i="30"/>
  <c r="DB37" i="30"/>
  <c r="EZ147" i="30"/>
  <c r="Z147" i="30" s="1"/>
  <c r="Z121" i="30"/>
  <c r="EZ141" i="30"/>
  <c r="Z115" i="30"/>
  <c r="CN149" i="30"/>
  <c r="CN321" i="30"/>
  <c r="FC317" i="30"/>
  <c r="GN55" i="30"/>
  <c r="GN32" i="30"/>
  <c r="GN37" i="30"/>
  <c r="GN136" i="30" s="1"/>
  <c r="KU149" i="30"/>
  <c r="KU127" i="30"/>
  <c r="KU321" i="30"/>
  <c r="HO159" i="30"/>
  <c r="HO60" i="30"/>
  <c r="HO38" i="30"/>
  <c r="DA149" i="30"/>
  <c r="DA321" i="30"/>
  <c r="KJ141" i="30"/>
  <c r="AT115" i="30"/>
  <c r="FJ151" i="30"/>
  <c r="FJ323" i="30"/>
  <c r="JL159" i="30"/>
  <c r="JL60" i="30"/>
  <c r="JL38" i="30"/>
  <c r="DP31" i="30"/>
  <c r="DW55" i="30" s="1"/>
  <c r="DV55" i="30"/>
  <c r="DV37" i="30"/>
  <c r="DV136" i="30" s="1"/>
  <c r="IT317" i="30"/>
  <c r="AN317" i="30" s="1"/>
  <c r="AN312" i="30"/>
  <c r="CV152" i="30"/>
  <c r="R152" i="30" s="1"/>
  <c r="R132" i="30"/>
  <c r="CV322" i="30"/>
  <c r="JK55" i="30"/>
  <c r="JK32" i="30"/>
  <c r="GU55" i="30"/>
  <c r="GU37" i="30"/>
  <c r="GU136" i="30" s="1"/>
  <c r="GU32" i="30"/>
  <c r="DO149" i="30"/>
  <c r="DO321" i="30"/>
  <c r="HK147" i="30"/>
  <c r="AI147" i="30" s="1"/>
  <c r="AI121" i="30"/>
  <c r="GI146" i="30"/>
  <c r="AE146" i="30" s="1"/>
  <c r="AE120" i="30"/>
  <c r="DQ143" i="30"/>
  <c r="U143" i="30" s="1"/>
  <c r="U117" i="30"/>
  <c r="CV146" i="30"/>
  <c r="R146" i="30" s="1"/>
  <c r="R120" i="30"/>
  <c r="IT142" i="30"/>
  <c r="AN142" i="30" s="1"/>
  <c r="AN116" i="30"/>
  <c r="ES146" i="30"/>
  <c r="Y146" i="30" s="1"/>
  <c r="Y120" i="30"/>
  <c r="HI55" i="30"/>
  <c r="HI32" i="30"/>
  <c r="CH151" i="30"/>
  <c r="P151" i="30" s="1"/>
  <c r="P131" i="30"/>
  <c r="JY149" i="30"/>
  <c r="JY127" i="30"/>
  <c r="JY321" i="30"/>
  <c r="ES126" i="30"/>
  <c r="ES50" i="30"/>
  <c r="Y50" i="30" s="1"/>
  <c r="ES31" i="30"/>
  <c r="Y20" i="30"/>
  <c r="EB151" i="30"/>
  <c r="ER37" i="30"/>
  <c r="ER55" i="30"/>
  <c r="KQ151" i="30"/>
  <c r="AU151" i="30" s="1"/>
  <c r="AU131" i="30"/>
  <c r="KQ323" i="30"/>
  <c r="ER149" i="30"/>
  <c r="ER127" i="30"/>
  <c r="ER321" i="30"/>
  <c r="HR145" i="30"/>
  <c r="AJ145" i="30" s="1"/>
  <c r="AJ119" i="30"/>
  <c r="KP32" i="30"/>
  <c r="FX37" i="30"/>
  <c r="FX136" i="30" s="1"/>
  <c r="IM126" i="30"/>
  <c r="IM31" i="30"/>
  <c r="IM273" i="30" s="1"/>
  <c r="IM21" i="30"/>
  <c r="AM21" i="30" s="1"/>
  <c r="IM50" i="30"/>
  <c r="AM50" i="30" s="1"/>
  <c r="AM20" i="30"/>
  <c r="EA55" i="30"/>
  <c r="EA37" i="30"/>
  <c r="EA136" i="30" s="1"/>
  <c r="GI147" i="30"/>
  <c r="AE147" i="30" s="1"/>
  <c r="AE121" i="30"/>
  <c r="HK145" i="30"/>
  <c r="AI145" i="30" s="1"/>
  <c r="AI119" i="30"/>
  <c r="GN321" i="30"/>
  <c r="HC149" i="30"/>
  <c r="HC127" i="30"/>
  <c r="HC321" i="30"/>
  <c r="FK55" i="30"/>
  <c r="FK37" i="30"/>
  <c r="JR38" i="30"/>
  <c r="GG55" i="30"/>
  <c r="CM315" i="30"/>
  <c r="DC126" i="30"/>
  <c r="DC50" i="30"/>
  <c r="S50" i="30" s="1"/>
  <c r="S20" i="30"/>
  <c r="DC31" i="30"/>
  <c r="DQ152" i="30"/>
  <c r="U152" i="30" s="1"/>
  <c r="U132" i="30"/>
  <c r="DQ322" i="30"/>
  <c r="CO126" i="30"/>
  <c r="CO31" i="30"/>
  <c r="Q20" i="30"/>
  <c r="CO50" i="30"/>
  <c r="Q50" i="30" s="1"/>
  <c r="EV55" i="30"/>
  <c r="EV37" i="30"/>
  <c r="JH146" i="30"/>
  <c r="AP146" i="30" s="1"/>
  <c r="AP120" i="30"/>
  <c r="FG152" i="30"/>
  <c r="AA152" i="30" s="1"/>
  <c r="AA132" i="30"/>
  <c r="FG322" i="30"/>
  <c r="LS57" i="30"/>
  <c r="AY57" i="30" s="1"/>
  <c r="AY34" i="30"/>
  <c r="EL146" i="30"/>
  <c r="X146" i="30" s="1"/>
  <c r="X120" i="30"/>
  <c r="IK55" i="30"/>
  <c r="IK32" i="30"/>
  <c r="IL159" i="30"/>
  <c r="IL60" i="30"/>
  <c r="IL38" i="30"/>
  <c r="FY295" i="30"/>
  <c r="FY297" i="30"/>
  <c r="FY290" i="30"/>
  <c r="BZ152" i="30"/>
  <c r="HU328" i="30"/>
  <c r="GV327" i="30"/>
  <c r="IZ328" i="30"/>
  <c r="GF328" i="30"/>
  <c r="EP327" i="30"/>
  <c r="DW327" i="30"/>
  <c r="FE327" i="30"/>
  <c r="JT327" i="30"/>
  <c r="CK327" i="30"/>
  <c r="KQ307" i="30"/>
  <c r="AU307" i="30" s="1"/>
  <c r="KQ306" i="30"/>
  <c r="AU305" i="30"/>
  <c r="DO327" i="30"/>
  <c r="KX297" i="30"/>
  <c r="KX295" i="30"/>
  <c r="AV295" i="30" s="1"/>
  <c r="AV289" i="30"/>
  <c r="EO295" i="30"/>
  <c r="EO290" i="30"/>
  <c r="EO297" i="30"/>
  <c r="FD297" i="30"/>
  <c r="FD290" i="30"/>
  <c r="FD295" i="30"/>
  <c r="KH327" i="30"/>
  <c r="HV328" i="30"/>
  <c r="GF327" i="30"/>
  <c r="HP327" i="30"/>
  <c r="KF108" i="30"/>
  <c r="KF91" i="30"/>
  <c r="JA316" i="30"/>
  <c r="AO316" i="30" s="1"/>
  <c r="AO311" i="30"/>
  <c r="GG91" i="30"/>
  <c r="GG108" i="30"/>
  <c r="IT310" i="30"/>
  <c r="JA315" i="30" s="1"/>
  <c r="AO315" i="30" s="1"/>
  <c r="IT103" i="30"/>
  <c r="AN103" i="30" s="1"/>
  <c r="IT81" i="30"/>
  <c r="AN81" i="30" s="1"/>
  <c r="AN80" i="30"/>
  <c r="EW108" i="30"/>
  <c r="IC91" i="30"/>
  <c r="IC108" i="30"/>
  <c r="EE310" i="30"/>
  <c r="EE103" i="30"/>
  <c r="W103" i="30" s="1"/>
  <c r="W80" i="30"/>
  <c r="AT90" i="30"/>
  <c r="KJ316" i="30"/>
  <c r="AT316" i="30" s="1"/>
  <c r="AT311" i="30"/>
  <c r="BZ103" i="30"/>
  <c r="FK90" i="30"/>
  <c r="JG91" i="30"/>
  <c r="JG108" i="30"/>
  <c r="HR316" i="30"/>
  <c r="AJ316" i="30" s="1"/>
  <c r="BR90" i="30"/>
  <c r="GB96" i="30"/>
  <c r="AD96" i="30" s="1"/>
  <c r="EA317" i="30"/>
  <c r="HW315" i="30"/>
  <c r="DH317" i="30"/>
  <c r="JD108" i="30"/>
  <c r="JD91" i="30"/>
  <c r="EP315" i="30"/>
  <c r="IM295" i="30"/>
  <c r="AM295" i="30" s="1"/>
  <c r="IM297" i="30"/>
  <c r="AM297" i="30" s="1"/>
  <c r="AM289" i="30"/>
  <c r="DG108" i="30"/>
  <c r="HU315" i="30"/>
  <c r="KH108" i="30"/>
  <c r="KH91" i="30"/>
  <c r="GP316" i="30"/>
  <c r="AF316" i="30" s="1"/>
  <c r="AF311" i="30"/>
  <c r="KG315" i="30"/>
  <c r="EK108" i="30"/>
  <c r="HA315" i="30"/>
  <c r="KG149" i="30"/>
  <c r="KG127" i="30"/>
  <c r="KG321" i="30"/>
  <c r="JN55" i="30"/>
  <c r="JN32" i="30"/>
  <c r="GH55" i="30"/>
  <c r="GH37" i="30"/>
  <c r="GH136" i="30" s="1"/>
  <c r="GH32" i="30"/>
  <c r="BT121" i="30"/>
  <c r="BT48" i="30"/>
  <c r="N48" i="30" s="1"/>
  <c r="N15" i="30"/>
  <c r="FG142" i="30"/>
  <c r="AA142" i="30" s="1"/>
  <c r="AA116" i="30"/>
  <c r="FF55" i="30"/>
  <c r="FF37" i="30"/>
  <c r="KC126" i="30"/>
  <c r="KC50" i="30"/>
  <c r="AS50" i="30" s="1"/>
  <c r="AS20" i="30"/>
  <c r="KC31" i="30"/>
  <c r="KC21" i="30"/>
  <c r="AS21" i="30" s="1"/>
  <c r="HO149" i="30"/>
  <c r="HO127" i="30"/>
  <c r="HO321" i="30"/>
  <c r="KC146" i="30"/>
  <c r="AS146" i="30" s="1"/>
  <c r="AS120" i="30"/>
  <c r="JA126" i="30"/>
  <c r="JA31" i="30"/>
  <c r="JA50" i="30"/>
  <c r="AO50" i="30" s="1"/>
  <c r="JA21" i="30"/>
  <c r="AO21" i="30" s="1"/>
  <c r="AO20" i="30"/>
  <c r="FT317" i="30"/>
  <c r="IY55" i="30"/>
  <c r="IY32" i="30"/>
  <c r="CM131" i="30"/>
  <c r="CM151" i="30" s="1"/>
  <c r="CM52" i="30"/>
  <c r="JL149" i="30"/>
  <c r="JL127" i="30"/>
  <c r="JL321" i="30"/>
  <c r="GV149" i="30"/>
  <c r="GV127" i="30"/>
  <c r="GV321" i="30"/>
  <c r="EL147" i="30"/>
  <c r="X147" i="30" s="1"/>
  <c r="X121" i="30"/>
  <c r="FN145" i="30"/>
  <c r="AB145" i="30" s="1"/>
  <c r="AB119" i="30"/>
  <c r="HD143" i="30"/>
  <c r="AH143" i="30" s="1"/>
  <c r="AH117" i="30"/>
  <c r="CT52" i="30"/>
  <c r="FU312" i="30"/>
  <c r="GB317" i="30" s="1"/>
  <c r="AD317" i="30" s="1"/>
  <c r="FU105" i="30"/>
  <c r="AC105" i="30" s="1"/>
  <c r="AC85" i="30"/>
  <c r="AC250" i="30" s="1"/>
  <c r="CY55" i="30"/>
  <c r="CY37" i="30"/>
  <c r="CY136" i="30" s="1"/>
  <c r="EZ143" i="30"/>
  <c r="Z143" i="30" s="1"/>
  <c r="Z117" i="30"/>
  <c r="EY151" i="30"/>
  <c r="EY323" i="30"/>
  <c r="IB159" i="30"/>
  <c r="IB60" i="30"/>
  <c r="IB38" i="30"/>
  <c r="ED149" i="30"/>
  <c r="ED321" i="30"/>
  <c r="GA37" i="30"/>
  <c r="GA136" i="30" s="1"/>
  <c r="KX151" i="30"/>
  <c r="AV151" i="30" s="1"/>
  <c r="AV131" i="30"/>
  <c r="KX323" i="30"/>
  <c r="GW147" i="30"/>
  <c r="AG147" i="30" s="1"/>
  <c r="AG121" i="30"/>
  <c r="FE55" i="30"/>
  <c r="FE37" i="30"/>
  <c r="FE136" i="30" s="1"/>
  <c r="BX321" i="30"/>
  <c r="CD37" i="30"/>
  <c r="CD55" i="30"/>
  <c r="HX159" i="30"/>
  <c r="HX38" i="30"/>
  <c r="HX60" i="30"/>
  <c r="DJ147" i="30"/>
  <c r="T147" i="30" s="1"/>
  <c r="T121" i="30"/>
  <c r="EP55" i="30"/>
  <c r="EP37" i="30"/>
  <c r="HW55" i="30"/>
  <c r="HW32" i="30"/>
  <c r="EA149" i="30"/>
  <c r="EA321" i="30"/>
  <c r="DA55" i="30"/>
  <c r="DJ145" i="30"/>
  <c r="T145" i="30" s="1"/>
  <c r="T119" i="30"/>
  <c r="KX152" i="30"/>
  <c r="AV152" i="30" s="1"/>
  <c r="AV132" i="30"/>
  <c r="KX322" i="30"/>
  <c r="GW151" i="30"/>
  <c r="AG151" i="30" s="1"/>
  <c r="AG131" i="30"/>
  <c r="GW323" i="30"/>
  <c r="GN127" i="30"/>
  <c r="JH147" i="30"/>
  <c r="AP147" i="30" s="1"/>
  <c r="AP121" i="30"/>
  <c r="IT143" i="30"/>
  <c r="AN143" i="30" s="1"/>
  <c r="AN117" i="30"/>
  <c r="KH149" i="30"/>
  <c r="KH127" i="30"/>
  <c r="KH321" i="30"/>
  <c r="EE126" i="30"/>
  <c r="KJ126" i="30"/>
  <c r="IF21" i="30"/>
  <c r="AL21" i="30" s="1"/>
  <c r="HQ38" i="30"/>
  <c r="IF103" i="30"/>
  <c r="AL103" i="30" s="1"/>
  <c r="IF81" i="30"/>
  <c r="AL81" i="30" s="1"/>
  <c r="IF310" i="30"/>
  <c r="AL80" i="30"/>
  <c r="KU315" i="30"/>
  <c r="GN108" i="30"/>
  <c r="GN91" i="30"/>
  <c r="GI316" i="30"/>
  <c r="AE316" i="30" s="1"/>
  <c r="AE311" i="30"/>
  <c r="HQ149" i="30"/>
  <c r="HQ127" i="30"/>
  <c r="HQ321" i="30"/>
  <c r="EO149" i="30"/>
  <c r="EO127" i="30"/>
  <c r="EO321" i="30"/>
  <c r="ES147" i="30"/>
  <c r="Y147" i="30" s="1"/>
  <c r="Y121" i="30"/>
  <c r="JH126" i="30"/>
  <c r="JH50" i="30"/>
  <c r="AP50" i="30" s="1"/>
  <c r="AP20" i="30"/>
  <c r="JH31" i="30"/>
  <c r="JH21" i="30"/>
  <c r="AP21" i="30" s="1"/>
  <c r="AR310" i="30"/>
  <c r="BQ295" i="30"/>
  <c r="BQ297" i="30"/>
  <c r="KC103" i="30"/>
  <c r="AS103" i="30" s="1"/>
  <c r="KC81" i="30"/>
  <c r="AS81" i="30" s="1"/>
  <c r="AS80" i="30"/>
  <c r="KQ316" i="30"/>
  <c r="AU316" i="30" s="1"/>
  <c r="AU311" i="30"/>
  <c r="KC90" i="30"/>
  <c r="CT315" i="30"/>
  <c r="JE108" i="30"/>
  <c r="JE91" i="30"/>
  <c r="DC145" i="30"/>
  <c r="S145" i="30" s="1"/>
  <c r="S119" i="30"/>
  <c r="HN159" i="30"/>
  <c r="HY151" i="30"/>
  <c r="AK151" i="30" s="1"/>
  <c r="AK131" i="30"/>
  <c r="HY323" i="30"/>
  <c r="LC52" i="30"/>
  <c r="LB53" i="30"/>
  <c r="LC327" i="30"/>
  <c r="KV327" i="30"/>
  <c r="DU327" i="30"/>
  <c r="IJ327" i="30"/>
  <c r="JV317" i="30"/>
  <c r="AR317" i="30" s="1"/>
  <c r="AR312" i="30"/>
  <c r="CE295" i="30"/>
  <c r="CE297" i="30"/>
  <c r="CE290" i="30"/>
  <c r="KI327" i="30"/>
  <c r="JV295" i="30"/>
  <c r="AR295" i="30" s="1"/>
  <c r="JV297" i="30"/>
  <c r="AR297" i="30" s="1"/>
  <c r="AR289" i="30"/>
  <c r="KJ317" i="30"/>
  <c r="AT317" i="30" s="1"/>
  <c r="AT312" i="30"/>
  <c r="KC317" i="30"/>
  <c r="AS317" i="30" s="1"/>
  <c r="AS312" i="30"/>
  <c r="CG327" i="30"/>
  <c r="GF295" i="30"/>
  <c r="GZ91" i="30"/>
  <c r="GZ108" i="30"/>
  <c r="IW91" i="30"/>
  <c r="IW108" i="30"/>
  <c r="IT129" i="30"/>
  <c r="AN129" i="30" s="1"/>
  <c r="AN83" i="30"/>
  <c r="KQ103" i="30"/>
  <c r="AU103" i="30" s="1"/>
  <c r="KQ81" i="30"/>
  <c r="AU81" i="30" s="1"/>
  <c r="AU80" i="30"/>
  <c r="KX81" i="30"/>
  <c r="AV81" i="30" s="1"/>
  <c r="CT295" i="30"/>
  <c r="CT297" i="30"/>
  <c r="CT290" i="30"/>
  <c r="IB91" i="30"/>
  <c r="IB108" i="30"/>
  <c r="EA295" i="30"/>
  <c r="EA297" i="30"/>
  <c r="EA290" i="30"/>
  <c r="EE316" i="30"/>
  <c r="W316" i="30" s="1"/>
  <c r="W311" i="30"/>
  <c r="DI108" i="30"/>
  <c r="EA315" i="30"/>
  <c r="JD315" i="30"/>
  <c r="DX310" i="30"/>
  <c r="DX103" i="30"/>
  <c r="V103" i="30" s="1"/>
  <c r="V80" i="30"/>
  <c r="V243" i="30" s="1"/>
  <c r="DG317" i="30"/>
  <c r="HC108" i="30"/>
  <c r="HC91" i="30"/>
  <c r="CA100" i="30"/>
  <c r="O100" i="30" s="1"/>
  <c r="KH315" i="30"/>
  <c r="JA103" i="30"/>
  <c r="AO103" i="30" s="1"/>
  <c r="EK315" i="30"/>
  <c r="FD317" i="30"/>
  <c r="JH84" i="30"/>
  <c r="JO126" i="30"/>
  <c r="JO50" i="30"/>
  <c r="AQ50" i="30" s="1"/>
  <c r="AQ20" i="30"/>
  <c r="JO21" i="30"/>
  <c r="AQ21" i="30" s="1"/>
  <c r="JO37" i="30"/>
  <c r="JO31" i="30"/>
  <c r="IZ55" i="30"/>
  <c r="JG55" i="30"/>
  <c r="IZ32" i="30"/>
  <c r="JG32" i="30"/>
  <c r="KV159" i="30"/>
  <c r="KV60" i="30"/>
  <c r="KV38" i="30"/>
  <c r="DB149" i="30"/>
  <c r="DB321" i="30"/>
  <c r="IT147" i="30"/>
  <c r="AN147" i="30" s="1"/>
  <c r="AN121" i="30"/>
  <c r="CR55" i="30"/>
  <c r="CR37" i="30"/>
  <c r="GW126" i="30"/>
  <c r="GW50" i="30"/>
  <c r="AG50" i="30" s="1"/>
  <c r="AG20" i="30"/>
  <c r="GW31" i="30"/>
  <c r="HD55" i="30" s="1"/>
  <c r="AH55" i="30" s="1"/>
  <c r="GW21" i="30"/>
  <c r="AG21" i="30" s="1"/>
  <c r="CK149" i="30"/>
  <c r="CK321" i="30"/>
  <c r="HY144" i="30"/>
  <c r="AK144" i="30" s="1"/>
  <c r="AK118" i="30"/>
  <c r="HD141" i="30"/>
  <c r="AH115" i="30"/>
  <c r="DW37" i="30"/>
  <c r="HQ91" i="30"/>
  <c r="HQ108" i="30"/>
  <c r="HQ32" i="30"/>
  <c r="HQ55" i="30"/>
  <c r="KT55" i="30"/>
  <c r="KT32" i="30"/>
  <c r="IT126" i="30"/>
  <c r="IT50" i="30"/>
  <c r="AN50" i="30" s="1"/>
  <c r="IT31" i="30"/>
  <c r="IT273" i="30" s="1"/>
  <c r="AN20" i="30"/>
  <c r="IT21" i="30"/>
  <c r="AN21" i="30" s="1"/>
  <c r="GF55" i="30"/>
  <c r="GF37" i="30"/>
  <c r="GF136" i="30" s="1"/>
  <c r="GF32" i="30"/>
  <c r="DP149" i="30"/>
  <c r="DP321" i="30"/>
  <c r="KC141" i="30"/>
  <c r="AS115" i="30"/>
  <c r="DV149" i="30"/>
  <c r="DV321" i="30"/>
  <c r="IF151" i="30"/>
  <c r="AL151" i="30" s="1"/>
  <c r="AL131" i="30"/>
  <c r="IF323" i="30"/>
  <c r="JK159" i="30"/>
  <c r="JK60" i="30"/>
  <c r="JK38" i="30"/>
  <c r="GU149" i="30"/>
  <c r="GU127" i="30"/>
  <c r="GU321" i="30"/>
  <c r="EE147" i="30"/>
  <c r="W147" i="30" s="1"/>
  <c r="W121" i="30"/>
  <c r="DC146" i="30"/>
  <c r="S146" i="30" s="1"/>
  <c r="S120" i="30"/>
  <c r="EC55" i="30"/>
  <c r="KG159" i="30"/>
  <c r="KG60" i="30"/>
  <c r="KG38" i="30"/>
  <c r="IT152" i="30"/>
  <c r="AN152" i="30" s="1"/>
  <c r="AN132" i="30"/>
  <c r="IT322" i="30"/>
  <c r="IB149" i="30"/>
  <c r="IB127" i="30"/>
  <c r="IB321" i="30"/>
  <c r="GW145" i="30"/>
  <c r="AG145" i="30" s="1"/>
  <c r="AG119" i="30"/>
  <c r="DM55" i="30"/>
  <c r="DM37" i="30"/>
  <c r="DM136" i="30" s="1"/>
  <c r="JG149" i="30"/>
  <c r="JG127" i="30"/>
  <c r="JG321" i="30"/>
  <c r="EC149" i="30"/>
  <c r="EC321" i="30"/>
  <c r="HY145" i="30"/>
  <c r="AK145" i="30" s="1"/>
  <c r="AK119" i="30"/>
  <c r="DX142" i="30"/>
  <c r="V142" i="30" s="1"/>
  <c r="V116" i="30"/>
  <c r="FE149" i="30"/>
  <c r="FE127" i="30"/>
  <c r="FE321" i="30"/>
  <c r="L136" i="30"/>
  <c r="L37" i="30"/>
  <c r="HK151" i="30"/>
  <c r="AI151" i="30" s="1"/>
  <c r="AI131" i="30"/>
  <c r="HK323" i="30"/>
  <c r="HX149" i="30"/>
  <c r="HX127" i="30"/>
  <c r="HX321" i="30"/>
  <c r="EB149" i="30"/>
  <c r="EB321" i="30"/>
  <c r="EL145" i="30"/>
  <c r="X145" i="30" s="1"/>
  <c r="X119" i="30"/>
  <c r="IF290" i="30"/>
  <c r="AL290" i="30" s="1"/>
  <c r="DH55" i="30"/>
  <c r="DH37" i="30"/>
  <c r="CV131" i="30"/>
  <c r="CV52" i="30"/>
  <c r="R52" i="30" s="1"/>
  <c r="R26" i="30"/>
  <c r="HW149" i="30"/>
  <c r="HW127" i="30"/>
  <c r="HW321" i="30"/>
  <c r="DI55" i="30"/>
  <c r="DI37" i="30"/>
  <c r="DI136" i="30" s="1"/>
  <c r="DC147" i="30"/>
  <c r="S147" i="30" s="1"/>
  <c r="S121" i="30"/>
  <c r="EE145" i="30"/>
  <c r="W145" i="30" s="1"/>
  <c r="W119" i="30"/>
  <c r="IT141" i="30"/>
  <c r="AN115" i="30"/>
  <c r="DH149" i="30"/>
  <c r="IM141" i="30"/>
  <c r="AM115" i="30"/>
  <c r="FD55" i="30"/>
  <c r="FD37" i="30"/>
  <c r="FD136" i="30" s="1"/>
  <c r="HO32" i="30"/>
  <c r="HD37" i="30"/>
  <c r="AH31" i="30"/>
  <c r="JR159" i="30"/>
  <c r="LC53" i="30"/>
  <c r="EJ327" i="30"/>
  <c r="JZ91" i="30"/>
  <c r="JZ108" i="30"/>
  <c r="LS86" i="30"/>
  <c r="AW74" i="30"/>
  <c r="AW220" i="30" s="1"/>
  <c r="BT118" i="30"/>
  <c r="N12" i="30"/>
  <c r="JA152" i="30"/>
  <c r="AO152" i="30" s="1"/>
  <c r="AO132" i="30"/>
  <c r="JA322" i="30"/>
  <c r="GB126" i="30"/>
  <c r="AD20" i="30"/>
  <c r="GB31" i="30"/>
  <c r="JS159" i="30"/>
  <c r="JS60" i="30"/>
  <c r="JS38" i="30"/>
  <c r="CE149" i="30"/>
  <c r="CE321" i="30"/>
  <c r="EZ152" i="30"/>
  <c r="Z152" i="30" s="1"/>
  <c r="Z132" i="30"/>
  <c r="EZ322" i="30"/>
  <c r="FY321" i="30"/>
  <c r="CN315" i="30"/>
  <c r="HP149" i="30"/>
  <c r="HP127" i="30"/>
  <c r="HP321" i="30"/>
  <c r="JV142" i="30"/>
  <c r="AR142" i="30" s="1"/>
  <c r="AR116" i="30"/>
  <c r="FC108" i="30"/>
  <c r="EL131" i="30"/>
  <c r="EL52" i="30"/>
  <c r="X52" i="30" s="1"/>
  <c r="X26" i="30"/>
  <c r="EZ142" i="30"/>
  <c r="Z142" i="30" s="1"/>
  <c r="Z116" i="30"/>
  <c r="KX147" i="30"/>
  <c r="AV147" i="30" s="1"/>
  <c r="AV121" i="30"/>
  <c r="ES142" i="30"/>
  <c r="Y142" i="30" s="1"/>
  <c r="Y116" i="30"/>
  <c r="DF149" i="30"/>
  <c r="DF321" i="30"/>
  <c r="DN55" i="30"/>
  <c r="DN37" i="30"/>
  <c r="DJ143" i="30"/>
  <c r="T143" i="30" s="1"/>
  <c r="T117" i="30"/>
  <c r="JV147" i="30"/>
  <c r="AR147" i="30" s="1"/>
  <c r="AR121" i="30"/>
  <c r="LL57" i="30"/>
  <c r="AX57" i="30" s="1"/>
  <c r="AX34" i="30"/>
  <c r="EV151" i="30"/>
  <c r="EV323" i="30"/>
  <c r="FG126" i="30"/>
  <c r="FG31" i="30"/>
  <c r="AA20" i="30"/>
  <c r="FG50" i="30"/>
  <c r="AA50" i="30" s="1"/>
  <c r="IK149" i="30"/>
  <c r="IK127" i="30"/>
  <c r="IK321" i="30"/>
  <c r="HA32" i="30"/>
  <c r="HA55" i="30"/>
  <c r="HA37" i="30"/>
  <c r="IL149" i="30"/>
  <c r="IL127" i="30"/>
  <c r="IL321" i="30"/>
  <c r="EZ146" i="30"/>
  <c r="Z146" i="30" s="1"/>
  <c r="Z120" i="30"/>
  <c r="FY142" i="30"/>
  <c r="GE327" i="30"/>
  <c r="LB328" i="30"/>
  <c r="KU328" i="30"/>
  <c r="FT327" i="30"/>
  <c r="IK327" i="30"/>
  <c r="DW295" i="30"/>
  <c r="DW297" i="30"/>
  <c r="DW290" i="30"/>
  <c r="EL297" i="30"/>
  <c r="X297" i="30" s="1"/>
  <c r="EL290" i="30"/>
  <c r="X290" i="30" s="1"/>
  <c r="EL295" i="30"/>
  <c r="X295" i="30" s="1"/>
  <c r="X289" i="30"/>
  <c r="BZ295" i="30"/>
  <c r="BZ290" i="30"/>
  <c r="BZ297" i="30"/>
  <c r="DM295" i="30"/>
  <c r="DM297" i="30"/>
  <c r="DM290" i="30"/>
  <c r="EV295" i="30"/>
  <c r="EV297" i="30"/>
  <c r="EV290" i="30"/>
  <c r="CF327" i="30"/>
  <c r="JH316" i="30"/>
  <c r="AP316" i="30" s="1"/>
  <c r="AP311" i="30"/>
  <c r="EZ312" i="30"/>
  <c r="EZ90" i="30"/>
  <c r="EZ105" i="30"/>
  <c r="Z105" i="30" s="1"/>
  <c r="Z85" i="30"/>
  <c r="Z250" i="30" s="1"/>
  <c r="FU316" i="30"/>
  <c r="AC316" i="30" s="1"/>
  <c r="AC311" i="30"/>
  <c r="AW69" i="30"/>
  <c r="CH316" i="30"/>
  <c r="P316" i="30" s="1"/>
  <c r="P311" i="30"/>
  <c r="ID91" i="30"/>
  <c r="ID108" i="30"/>
  <c r="II327" i="30"/>
  <c r="IM316" i="30"/>
  <c r="AM316" i="30" s="1"/>
  <c r="AM311" i="30"/>
  <c r="EE312" i="30"/>
  <c r="EE90" i="30"/>
  <c r="W85" i="30"/>
  <c r="W250" i="30" s="1"/>
  <c r="EE105" i="30"/>
  <c r="W105" i="30" s="1"/>
  <c r="HK310" i="30"/>
  <c r="HK103" i="30"/>
  <c r="AI103" i="30" s="1"/>
  <c r="HK81" i="30"/>
  <c r="AI81" i="30" s="1"/>
  <c r="AI80" i="30"/>
  <c r="HY316" i="30"/>
  <c r="AK316" i="30" s="1"/>
  <c r="AK311" i="30"/>
  <c r="BS90" i="30"/>
  <c r="BZ108" i="30" s="1"/>
  <c r="FK310" i="30"/>
  <c r="FK315" i="30" s="1"/>
  <c r="FK103" i="30"/>
  <c r="IP91" i="30"/>
  <c r="IP108" i="30"/>
  <c r="FJ315" i="30"/>
  <c r="CG295" i="30"/>
  <c r="KM108" i="30"/>
  <c r="KM91" i="30"/>
  <c r="HG108" i="30"/>
  <c r="HG91" i="30"/>
  <c r="GB295" i="30"/>
  <c r="AD295" i="30" s="1"/>
  <c r="JH317" i="30"/>
  <c r="AP317" i="30" s="1"/>
  <c r="AP312" i="30"/>
  <c r="CR108" i="30"/>
  <c r="IL108" i="30"/>
  <c r="IL91" i="30"/>
  <c r="JA317" i="30"/>
  <c r="AO317" i="30" s="1"/>
  <c r="AO312" i="30"/>
  <c r="HC315" i="30"/>
  <c r="IM317" i="30"/>
  <c r="AM317" i="30" s="1"/>
  <c r="AM312" i="30"/>
  <c r="DT295" i="30"/>
  <c r="FT103" i="30"/>
  <c r="LE57" i="30"/>
  <c r="AW57" i="30" s="1"/>
  <c r="AW34" i="30"/>
  <c r="EL103" i="30"/>
  <c r="X103" i="30" s="1"/>
  <c r="CA97" i="30"/>
  <c r="O97" i="30" s="1"/>
  <c r="JA129" i="30"/>
  <c r="AO129" i="30" s="1"/>
  <c r="AO83" i="30"/>
  <c r="FD315" i="30"/>
  <c r="JH151" i="30"/>
  <c r="AP151" i="30" s="1"/>
  <c r="AP131" i="30"/>
  <c r="JH323" i="30"/>
  <c r="FC149" i="30"/>
  <c r="FC127" i="30"/>
  <c r="FC321" i="30"/>
  <c r="HY143" i="30"/>
  <c r="AK143" i="30" s="1"/>
  <c r="AK117" i="30"/>
  <c r="JE159" i="30"/>
  <c r="JE60" i="30"/>
  <c r="JE38" i="30"/>
  <c r="JV152" i="30"/>
  <c r="AR152" i="30" s="1"/>
  <c r="AR132" i="30"/>
  <c r="JV322" i="30"/>
  <c r="FU131" i="30"/>
  <c r="GB151" i="30" s="1"/>
  <c r="AD151" i="30" s="1"/>
  <c r="FU52" i="30"/>
  <c r="AC52" i="30" s="1"/>
  <c r="AC26" i="30"/>
  <c r="JN149" i="30"/>
  <c r="JN127" i="30"/>
  <c r="JN321" i="30"/>
  <c r="GH149" i="30"/>
  <c r="GH127" i="30"/>
  <c r="GH321" i="30"/>
  <c r="CL55" i="30"/>
  <c r="CL37" i="30"/>
  <c r="CL136" i="30" s="1"/>
  <c r="IF144" i="30"/>
  <c r="AL144" i="30" s="1"/>
  <c r="AL118" i="30"/>
  <c r="O116" i="30"/>
  <c r="HR103" i="30"/>
  <c r="AJ103" i="30" s="1"/>
  <c r="C136" i="30"/>
  <c r="C37" i="30"/>
  <c r="IT151" i="30"/>
  <c r="AN151" i="30" s="1"/>
  <c r="AN131" i="30"/>
  <c r="IT323" i="30"/>
  <c r="JM159" i="30"/>
  <c r="JM60" i="30"/>
  <c r="JM38" i="30"/>
  <c r="BS126" i="30"/>
  <c r="BZ127" i="30" s="1"/>
  <c r="BS50" i="30"/>
  <c r="BS31" i="30"/>
  <c r="BZ55" i="30" s="1"/>
  <c r="BZ50" i="30"/>
  <c r="GW146" i="30"/>
  <c r="AG146" i="30" s="1"/>
  <c r="AG120" i="30"/>
  <c r="DW149" i="30"/>
  <c r="DW321" i="30"/>
  <c r="EA152" i="30"/>
  <c r="EA322" i="30"/>
  <c r="EA327" i="30" s="1"/>
  <c r="ID55" i="30"/>
  <c r="ID32" i="30"/>
  <c r="CZ55" i="30"/>
  <c r="CZ37" i="30"/>
  <c r="CZ136" i="30" s="1"/>
  <c r="CH145" i="30"/>
  <c r="P145" i="30" s="1"/>
  <c r="P119" i="30"/>
  <c r="DX143" i="30"/>
  <c r="V143" i="30" s="1"/>
  <c r="V117" i="30"/>
  <c r="HU159" i="30"/>
  <c r="HU60" i="30"/>
  <c r="HU38" i="30"/>
  <c r="JK149" i="30"/>
  <c r="JK127" i="30"/>
  <c r="JK321" i="30"/>
  <c r="GE55" i="30"/>
  <c r="GE37" i="30"/>
  <c r="GE136" i="30" s="1"/>
  <c r="GE32" i="30"/>
  <c r="CY149" i="30"/>
  <c r="CY321" i="30"/>
  <c r="KQ144" i="30"/>
  <c r="AU144" i="30" s="1"/>
  <c r="AU118" i="30"/>
  <c r="IQ159" i="30"/>
  <c r="IQ60" i="30"/>
  <c r="IQ38" i="30"/>
  <c r="KP159" i="30"/>
  <c r="KP60" i="30"/>
  <c r="KP38" i="30"/>
  <c r="DN149" i="30"/>
  <c r="DN321" i="30"/>
  <c r="CE55" i="30"/>
  <c r="CE37" i="30"/>
  <c r="CE136" i="30" s="1"/>
  <c r="HR151" i="30"/>
  <c r="AJ151" i="30" s="1"/>
  <c r="AJ131" i="30"/>
  <c r="HR323" i="30"/>
  <c r="DQ147" i="30"/>
  <c r="U147" i="30" s="1"/>
  <c r="U121" i="30"/>
  <c r="CH147" i="30"/>
  <c r="P147" i="30" s="1"/>
  <c r="P121" i="30"/>
  <c r="IJ159" i="30"/>
  <c r="IJ60" i="30"/>
  <c r="IJ38" i="30"/>
  <c r="KN159" i="30"/>
  <c r="KN60" i="30"/>
  <c r="KN38" i="30"/>
  <c r="DJ126" i="30"/>
  <c r="DJ50" i="30"/>
  <c r="T50" i="30" s="1"/>
  <c r="T20" i="30"/>
  <c r="DJ31" i="30"/>
  <c r="IT146" i="30"/>
  <c r="AN146" i="30" s="1"/>
  <c r="AN120" i="30"/>
  <c r="EA151" i="30"/>
  <c r="BZ37" i="30"/>
  <c r="BZ136" i="30" s="1"/>
  <c r="HG55" i="30"/>
  <c r="HG32" i="30"/>
  <c r="HG37" i="30"/>
  <c r="HG136" i="30" s="1"/>
  <c r="DI149" i="30"/>
  <c r="DI321" i="30"/>
  <c r="KC145" i="30"/>
  <c r="AS145" i="30" s="1"/>
  <c r="AS119" i="30"/>
  <c r="IF143" i="30"/>
  <c r="AL143" i="30" s="1"/>
  <c r="AL117" i="30"/>
  <c r="HR152" i="30"/>
  <c r="AJ152" i="30" s="1"/>
  <c r="AJ132" i="30"/>
  <c r="HR322" i="30"/>
  <c r="FK151" i="30"/>
  <c r="FK323" i="30"/>
  <c r="FX321" i="30"/>
  <c r="GB147" i="30"/>
  <c r="AD147" i="30" s="1"/>
  <c r="AD121" i="30"/>
  <c r="FN143" i="30"/>
  <c r="AB143" i="30" s="1"/>
  <c r="AB117" i="30"/>
  <c r="HO55" i="30"/>
  <c r="JY159" i="30"/>
  <c r="DU55" i="30"/>
  <c r="IW32" i="30"/>
  <c r="BR126" i="30"/>
  <c r="BY127" i="30" s="1"/>
  <c r="KG55" i="30"/>
  <c r="HQ159" i="30"/>
  <c r="FS297" i="30"/>
  <c r="FS290" i="30"/>
  <c r="FS295" i="30"/>
  <c r="KB91" i="30"/>
  <c r="KB108" i="30"/>
  <c r="GT91" i="30"/>
  <c r="GT108" i="30"/>
  <c r="JS108" i="30"/>
  <c r="JS91" i="30"/>
  <c r="HK141" i="30"/>
  <c r="AI115" i="30"/>
  <c r="GI152" i="30"/>
  <c r="AE152" i="30" s="1"/>
  <c r="AE132" i="30"/>
  <c r="GI322" i="30"/>
  <c r="GS159" i="30"/>
  <c r="II55" i="30"/>
  <c r="II32" i="30"/>
  <c r="LB52" i="30"/>
  <c r="GA295" i="30"/>
  <c r="GA297" i="30"/>
  <c r="GA290" i="30"/>
  <c r="HO91" i="30"/>
  <c r="HO108" i="30"/>
  <c r="LL74" i="30"/>
  <c r="LO9" i="30"/>
  <c r="LV42" i="30" s="1"/>
  <c r="EI149" i="30"/>
  <c r="EI321" i="30"/>
  <c r="JV145" i="30"/>
  <c r="AR145" i="30" s="1"/>
  <c r="AR119" i="30"/>
  <c r="FS327" i="30"/>
  <c r="GL328" i="30"/>
  <c r="LB327" i="30"/>
  <c r="KU327" i="30"/>
  <c r="JV316" i="30"/>
  <c r="AR316" i="30" s="1"/>
  <c r="AR311" i="30"/>
  <c r="JL328" i="30"/>
  <c r="HR297" i="30"/>
  <c r="AJ297" i="30" s="1"/>
  <c r="HR295" i="30"/>
  <c r="AJ295" i="30" s="1"/>
  <c r="AJ289" i="30"/>
  <c r="EY327" i="30"/>
  <c r="BW297" i="30"/>
  <c r="BW290" i="30"/>
  <c r="BW295" i="30"/>
  <c r="KQ317" i="30"/>
  <c r="AU317" i="30" s="1"/>
  <c r="AU312" i="30"/>
  <c r="EX295" i="30"/>
  <c r="EX297" i="30"/>
  <c r="EX290" i="30"/>
  <c r="DH295" i="30"/>
  <c r="DH290" i="30"/>
  <c r="DH297" i="30"/>
  <c r="JN91" i="30"/>
  <c r="JN108" i="30"/>
  <c r="FN96" i="30"/>
  <c r="AB96" i="30" s="1"/>
  <c r="AB70" i="30"/>
  <c r="AB180" i="30" s="1"/>
  <c r="AB181" i="30" s="1"/>
  <c r="DQ310" i="30"/>
  <c r="DQ103" i="30"/>
  <c r="U103" i="30" s="1"/>
  <c r="U80" i="30"/>
  <c r="KA91" i="30"/>
  <c r="KA108" i="30"/>
  <c r="ER295" i="30"/>
  <c r="ER297" i="30"/>
  <c r="ER290" i="30"/>
  <c r="KC295" i="30"/>
  <c r="AS295" i="30" s="1"/>
  <c r="DI295" i="30"/>
  <c r="DI297" i="30"/>
  <c r="DI290" i="30"/>
  <c r="ES312" i="30"/>
  <c r="ES105" i="30"/>
  <c r="Y105" i="30" s="1"/>
  <c r="ES90" i="30"/>
  <c r="Y85" i="30"/>
  <c r="Y250" i="30" s="1"/>
  <c r="IQ91" i="30"/>
  <c r="IQ108" i="30"/>
  <c r="DI317" i="30"/>
  <c r="KM315" i="30"/>
  <c r="HG315" i="30"/>
  <c r="DI315" i="30"/>
  <c r="GB90" i="30"/>
  <c r="IL315" i="30"/>
  <c r="CR315" i="30"/>
  <c r="FE108" i="30"/>
  <c r="GM108" i="30"/>
  <c r="GM91" i="30"/>
  <c r="IZ108" i="30"/>
  <c r="IZ91" i="30"/>
  <c r="IY315" i="30"/>
  <c r="JV103" i="30"/>
  <c r="AR103" i="30" s="1"/>
  <c r="AR80" i="30"/>
  <c r="JV81" i="30"/>
  <c r="AR81" i="30" s="1"/>
  <c r="FS103" i="30"/>
  <c r="AO310" i="30"/>
  <c r="DJ316" i="30"/>
  <c r="T316" i="30" s="1"/>
  <c r="T311" i="30"/>
  <c r="EJ315" i="30"/>
  <c r="KW159" i="30"/>
  <c r="KW60" i="30"/>
  <c r="KW38" i="30"/>
  <c r="GB52" i="30"/>
  <c r="AD52" i="30" s="1"/>
  <c r="IY149" i="30"/>
  <c r="IY127" i="30"/>
  <c r="IY321" i="30"/>
  <c r="FG147" i="30"/>
  <c r="AA147" i="30" s="1"/>
  <c r="CH142" i="30"/>
  <c r="P142" i="30" s="1"/>
  <c r="P116" i="30"/>
  <c r="EI55" i="30"/>
  <c r="IZ149" i="30"/>
  <c r="IZ127" i="30"/>
  <c r="IZ321" i="30"/>
  <c r="GP322" i="30"/>
  <c r="IX55" i="30"/>
  <c r="IX32" i="30"/>
  <c r="FR126" i="30"/>
  <c r="FY149" i="30" s="1"/>
  <c r="FR50" i="30"/>
  <c r="FR31" i="30"/>
  <c r="FY55" i="30" s="1"/>
  <c r="HR146" i="30"/>
  <c r="AJ146" i="30" s="1"/>
  <c r="AJ120" i="30"/>
  <c r="JM149" i="30"/>
  <c r="JM127" i="30"/>
  <c r="JM321" i="30"/>
  <c r="GG149" i="30"/>
  <c r="GG127" i="30"/>
  <c r="GG321" i="30"/>
  <c r="G126" i="30"/>
  <c r="G31" i="30"/>
  <c r="DX141" i="30"/>
  <c r="V115" i="30"/>
  <c r="FG131" i="30"/>
  <c r="JH37" i="30"/>
  <c r="FS151" i="30"/>
  <c r="FS323" i="30"/>
  <c r="KT159" i="30"/>
  <c r="KT60" i="30"/>
  <c r="KT38" i="30"/>
  <c r="GF149" i="30"/>
  <c r="GF127" i="30"/>
  <c r="GF321" i="30"/>
  <c r="GW141" i="30"/>
  <c r="AG115" i="30"/>
  <c r="HU55" i="30"/>
  <c r="HU32" i="30"/>
  <c r="FN147" i="30"/>
  <c r="AB147" i="30" s="1"/>
  <c r="AB121" i="30"/>
  <c r="FR151" i="30"/>
  <c r="FR323" i="30"/>
  <c r="IS55" i="30"/>
  <c r="IS32" i="30"/>
  <c r="CG55" i="30"/>
  <c r="CG37" i="30"/>
  <c r="CG136" i="30" s="1"/>
  <c r="HK152" i="30"/>
  <c r="AI152" i="30" s="1"/>
  <c r="AI132" i="30"/>
  <c r="HK322" i="30"/>
  <c r="IJ55" i="30"/>
  <c r="IJ32" i="30"/>
  <c r="FN152" i="30"/>
  <c r="AB152" i="30" s="1"/>
  <c r="AB132" i="30"/>
  <c r="FN322" i="30"/>
  <c r="DQ26" i="30"/>
  <c r="DQ31" i="30" s="1"/>
  <c r="KP149" i="30"/>
  <c r="KP127" i="30"/>
  <c r="KP321" i="30"/>
  <c r="HJ159" i="30"/>
  <c r="CV126" i="30"/>
  <c r="CV50" i="30"/>
  <c r="R50" i="30" s="1"/>
  <c r="R20" i="30"/>
  <c r="CV31" i="30"/>
  <c r="IF145" i="30"/>
  <c r="AL145" i="30" s="1"/>
  <c r="AL119" i="30"/>
  <c r="EE142" i="30"/>
  <c r="W142" i="30" s="1"/>
  <c r="W116" i="30"/>
  <c r="O117" i="30"/>
  <c r="M136" i="30"/>
  <c r="M37" i="30"/>
  <c r="CO130" i="30"/>
  <c r="Q130" i="30" s="1"/>
  <c r="Q24" i="30"/>
  <c r="IQ149" i="30"/>
  <c r="IQ127" i="30"/>
  <c r="IQ321" i="30"/>
  <c r="DM149" i="30"/>
  <c r="DM321" i="30"/>
  <c r="ES145" i="30"/>
  <c r="Y145" i="30" s="1"/>
  <c r="Y119" i="30"/>
  <c r="DQ145" i="30"/>
  <c r="U145" i="30" s="1"/>
  <c r="U119" i="30"/>
  <c r="FM151" i="30"/>
  <c r="FM323" i="30"/>
  <c r="KN149" i="30"/>
  <c r="KN127" i="30"/>
  <c r="KN321" i="30"/>
  <c r="HH159" i="30"/>
  <c r="DJ131" i="30"/>
  <c r="DJ52" i="30"/>
  <c r="T52" i="30" s="1"/>
  <c r="T26" i="30"/>
  <c r="JR55" i="30"/>
  <c r="JR32" i="30"/>
  <c r="GI81" i="30"/>
  <c r="AE81" i="30" s="1"/>
  <c r="J136" i="30"/>
  <c r="J37" i="30"/>
  <c r="HG149" i="30"/>
  <c r="HG127" i="30"/>
  <c r="HG321" i="30"/>
  <c r="CS55" i="30"/>
  <c r="CS37" i="30"/>
  <c r="CS136" i="30" s="1"/>
  <c r="FN141" i="30"/>
  <c r="AB115" i="30"/>
  <c r="KQ152" i="30"/>
  <c r="AU152" i="30" s="1"/>
  <c r="AU132" i="30"/>
  <c r="KQ322" i="30"/>
  <c r="ES131" i="30"/>
  <c r="ES52" i="30"/>
  <c r="Y52" i="30" s="1"/>
  <c r="Y26" i="30"/>
  <c r="JT159" i="30"/>
  <c r="JT60" i="30"/>
  <c r="JT38" i="30"/>
  <c r="FG141" i="30"/>
  <c r="AA115" i="30"/>
  <c r="IM143" i="30"/>
  <c r="AM143" i="30" s="1"/>
  <c r="AM117" i="30"/>
  <c r="FD149" i="30"/>
  <c r="FD127" i="30"/>
  <c r="FD321" i="30"/>
  <c r="KQ126" i="30"/>
  <c r="HD50" i="30"/>
  <c r="AH50" i="30" s="1"/>
  <c r="IW55" i="30"/>
  <c r="IF126" i="30"/>
  <c r="CM31" i="30"/>
  <c r="CT55" i="30" s="1"/>
  <c r="BY295" i="30"/>
  <c r="BY290" i="30"/>
  <c r="BY297" i="30"/>
  <c r="AA371" i="30"/>
  <c r="EZ371" i="30"/>
  <c r="KF328" i="30"/>
  <c r="FD327" i="30"/>
  <c r="IS328" i="30"/>
  <c r="KA328" i="30"/>
  <c r="KC316" i="30"/>
  <c r="AS316" i="30" s="1"/>
  <c r="AS311" i="30"/>
  <c r="DG295" i="30"/>
  <c r="DG290" i="30"/>
  <c r="DG297" i="30"/>
  <c r="DV297" i="30"/>
  <c r="DV290" i="30"/>
  <c r="DV295" i="30"/>
  <c r="EX327" i="30"/>
  <c r="AT289" i="30"/>
  <c r="KJ295" i="30"/>
  <c r="AT295" i="30" s="1"/>
  <c r="KJ297" i="30"/>
  <c r="AT297" i="30" s="1"/>
  <c r="KC310" i="30"/>
  <c r="ED295" i="30"/>
  <c r="ED297" i="30"/>
  <c r="ED290" i="30"/>
  <c r="EW295" i="30"/>
  <c r="EW297" i="30"/>
  <c r="EW290" i="30"/>
  <c r="ES295" i="30"/>
  <c r="Y295" i="30" s="1"/>
  <c r="ES297" i="30"/>
  <c r="Y297" i="30" s="1"/>
  <c r="ES290" i="30"/>
  <c r="Y290" i="30" s="1"/>
  <c r="Y289" i="30"/>
  <c r="AD311" i="30"/>
  <c r="GB316" i="30"/>
  <c r="AD316" i="30" s="1"/>
  <c r="GH91" i="30"/>
  <c r="GH108" i="30"/>
  <c r="CO316" i="30"/>
  <c r="Q316" i="30" s="1"/>
  <c r="Q311" i="30"/>
  <c r="IE91" i="30"/>
  <c r="IE108" i="30"/>
  <c r="DA315" i="30"/>
  <c r="KT91" i="30"/>
  <c r="KT108" i="30"/>
  <c r="HO327" i="30"/>
  <c r="FG316" i="30"/>
  <c r="AA316" i="30" s="1"/>
  <c r="AA311" i="30"/>
  <c r="GU91" i="30"/>
  <c r="GU108" i="30"/>
  <c r="EQ295" i="30"/>
  <c r="EQ297" i="30"/>
  <c r="EQ290" i="30"/>
  <c r="HD317" i="30"/>
  <c r="AH317" i="30" s="1"/>
  <c r="AH312" i="30"/>
  <c r="KP91" i="30"/>
  <c r="KP108" i="30"/>
  <c r="HJ91" i="30"/>
  <c r="HJ108" i="30"/>
  <c r="GH295" i="30"/>
  <c r="ES316" i="30"/>
  <c r="Y316" i="30" s="1"/>
  <c r="Y311" i="30"/>
  <c r="EC108" i="30"/>
  <c r="IT84" i="30"/>
  <c r="IQ315" i="30"/>
  <c r="EB108" i="30"/>
  <c r="JK130" i="30"/>
  <c r="JO84" i="30"/>
  <c r="KP328" i="30"/>
  <c r="JO317" i="30"/>
  <c r="AQ317" i="30" s="1"/>
  <c r="AQ312" i="30"/>
  <c r="CS108" i="30"/>
  <c r="CF295" i="30"/>
  <c r="AD312" i="30"/>
  <c r="CR317" i="30"/>
  <c r="HV108" i="30"/>
  <c r="HV91" i="30"/>
  <c r="GM315" i="30"/>
  <c r="II91" i="30"/>
  <c r="II108" i="30"/>
  <c r="DC310" i="30"/>
  <c r="DC103" i="30"/>
  <c r="S103" i="30" s="1"/>
  <c r="S80" i="30"/>
  <c r="LS71" i="30"/>
  <c r="LZ97" i="30" s="1"/>
  <c r="AZ97" i="30" s="1"/>
  <c r="LO11" i="30"/>
  <c r="LV44" i="30" s="1"/>
  <c r="JH315" i="30"/>
  <c r="AP315" i="30" s="1"/>
  <c r="AP310" i="30"/>
  <c r="GL108" i="30"/>
  <c r="GL91" i="30"/>
  <c r="FU80" i="30"/>
  <c r="AW73" i="30"/>
  <c r="AW210" i="30" s="1"/>
  <c r="AW211" i="30" s="1"/>
  <c r="JO316" i="30"/>
  <c r="AQ316" i="30" s="1"/>
  <c r="AQ311" i="30"/>
  <c r="IM310" i="30"/>
  <c r="IM103" i="30"/>
  <c r="AM103" i="30" s="1"/>
  <c r="AM80" i="30"/>
  <c r="IM81" i="30"/>
  <c r="AM81" i="30" s="1"/>
  <c r="AD131" i="30"/>
  <c r="GB323" i="30"/>
  <c r="EK149" i="30"/>
  <c r="EK321" i="30"/>
  <c r="JO145" i="30"/>
  <c r="AQ145" i="30" s="1"/>
  <c r="AQ119" i="30"/>
  <c r="ES143" i="30"/>
  <c r="Y143" i="30" s="1"/>
  <c r="Y117" i="30"/>
  <c r="EZ126" i="30"/>
  <c r="EZ50" i="30"/>
  <c r="Z50" i="30" s="1"/>
  <c r="EZ31" i="30"/>
  <c r="Z20" i="30"/>
  <c r="CL149" i="30"/>
  <c r="CL321" i="30"/>
  <c r="FQ126" i="30"/>
  <c r="FQ50" i="30"/>
  <c r="FQ31" i="30"/>
  <c r="DQ146" i="30"/>
  <c r="U146" i="30" s="1"/>
  <c r="U120" i="30"/>
  <c r="JA147" i="30"/>
  <c r="AO147" i="30" s="1"/>
  <c r="GL55" i="30"/>
  <c r="GL37" i="30"/>
  <c r="GL32" i="30"/>
  <c r="HQ315" i="30"/>
  <c r="KT149" i="30"/>
  <c r="KT127" i="30"/>
  <c r="KT321" i="30"/>
  <c r="ID159" i="30"/>
  <c r="ID60" i="30"/>
  <c r="ID38" i="30"/>
  <c r="FN50" i="30"/>
  <c r="AB50" i="30" s="1"/>
  <c r="FN31" i="30"/>
  <c r="AB20" i="30"/>
  <c r="CZ149" i="30"/>
  <c r="CZ321" i="30"/>
  <c r="JV146" i="30"/>
  <c r="AR146" i="30" s="1"/>
  <c r="AR120" i="30"/>
  <c r="KX144" i="30"/>
  <c r="AV144" i="30" s="1"/>
  <c r="AV118" i="30"/>
  <c r="HU149" i="30"/>
  <c r="HU127" i="30"/>
  <c r="HU321" i="30"/>
  <c r="FS317" i="30"/>
  <c r="FY50" i="30"/>
  <c r="KH159" i="30"/>
  <c r="KH60" i="30"/>
  <c r="KH38" i="30"/>
  <c r="EZ131" i="30"/>
  <c r="EZ52" i="30"/>
  <c r="Z52" i="30" s="1"/>
  <c r="Z26" i="30"/>
  <c r="GE149" i="30"/>
  <c r="GE127" i="30"/>
  <c r="GE321" i="30"/>
  <c r="JZ55" i="30"/>
  <c r="JZ32" i="30"/>
  <c r="HJ149" i="30"/>
  <c r="HJ127" i="30"/>
  <c r="HJ321" i="30"/>
  <c r="JV143" i="30"/>
  <c r="AR143" i="30" s="1"/>
  <c r="AR117" i="30"/>
  <c r="GT159" i="30"/>
  <c r="EX151" i="30"/>
  <c r="EX323" i="30"/>
  <c r="DQ129" i="30"/>
  <c r="U129" i="30" s="1"/>
  <c r="U23" i="30"/>
  <c r="HY126" i="30"/>
  <c r="HY50" i="30"/>
  <c r="AK50" i="30" s="1"/>
  <c r="HY31" i="30"/>
  <c r="HY21" i="30"/>
  <c r="AK21" i="30" s="1"/>
  <c r="HY37" i="30"/>
  <c r="AK20" i="30"/>
  <c r="JM32" i="30"/>
  <c r="JV126" i="30"/>
  <c r="JV50" i="30"/>
  <c r="AR50" i="30" s="1"/>
  <c r="JV21" i="30"/>
  <c r="AR21" i="30" s="1"/>
  <c r="AR20" i="30"/>
  <c r="JV31" i="30"/>
  <c r="HH149" i="30"/>
  <c r="HH127" i="30"/>
  <c r="HH321" i="30"/>
  <c r="CT149" i="30"/>
  <c r="CT321" i="30"/>
  <c r="FN146" i="30"/>
  <c r="AB146" i="30" s="1"/>
  <c r="AB120" i="30"/>
  <c r="IF142" i="30"/>
  <c r="AL142" i="30" s="1"/>
  <c r="AL116" i="30"/>
  <c r="GM55" i="30"/>
  <c r="GM32" i="30"/>
  <c r="GM37" i="30"/>
  <c r="GI103" i="30"/>
  <c r="AE103" i="30" s="1"/>
  <c r="GO55" i="30"/>
  <c r="GO32" i="30"/>
  <c r="GO37" i="30"/>
  <c r="GO136" i="30" s="1"/>
  <c r="CS149" i="30"/>
  <c r="CS321" i="30"/>
  <c r="HD142" i="30"/>
  <c r="AH142" i="30" s="1"/>
  <c r="AH116" i="30"/>
  <c r="X132" i="30"/>
  <c r="EL322" i="30"/>
  <c r="JT149" i="30"/>
  <c r="JT127" i="30"/>
  <c r="JT321" i="30"/>
  <c r="CR149" i="30"/>
  <c r="CV147" i="30"/>
  <c r="R147" i="30" s="1"/>
  <c r="R121" i="30"/>
  <c r="CH143" i="30"/>
  <c r="P143" i="30" s="1"/>
  <c r="P117" i="30"/>
  <c r="HD21" i="30"/>
  <c r="AH21" i="30" s="1"/>
  <c r="KQ146" i="30"/>
  <c r="AU146" i="30" s="1"/>
  <c r="AU120" i="30"/>
  <c r="HX32" i="30"/>
  <c r="HX55" i="30"/>
  <c r="FD151" i="30"/>
  <c r="FD323" i="30"/>
  <c r="KB159" i="30"/>
  <c r="KB60" i="30"/>
  <c r="KB38" i="30"/>
  <c r="KC143" i="30"/>
  <c r="AS143" i="30" s="1"/>
  <c r="AS117" i="30"/>
  <c r="JU55" i="30"/>
  <c r="JU32" i="30"/>
  <c r="CN297" i="30"/>
  <c r="CN290" i="30"/>
  <c r="CN295" i="30"/>
  <c r="KW315" i="30"/>
  <c r="KV149" i="30"/>
  <c r="KV127" i="30"/>
  <c r="KV321" i="30"/>
  <c r="LD52" i="30"/>
  <c r="JN328" i="30"/>
  <c r="EK327" i="30"/>
  <c r="JK327" i="30"/>
  <c r="JG327" i="30"/>
  <c r="AV305" i="30"/>
  <c r="KX307" i="30"/>
  <c r="AV307" i="30" s="1"/>
  <c r="KX306" i="30"/>
  <c r="JY327" i="30"/>
  <c r="KC307" i="30"/>
  <c r="AS307" i="30" s="1"/>
  <c r="KC306" i="30"/>
  <c r="AS305" i="30"/>
  <c r="HI328" i="30"/>
  <c r="IR328" i="30"/>
  <c r="KQ295" i="30"/>
  <c r="AU295" i="30" s="1"/>
  <c r="AU289" i="30"/>
  <c r="KQ297" i="30"/>
  <c r="AU297" i="30" s="1"/>
  <c r="KQ290" i="30"/>
  <c r="AU290" i="30" s="1"/>
  <c r="GP295" i="30"/>
  <c r="AF295" i="30" s="1"/>
  <c r="GP297" i="30"/>
  <c r="AF297" i="30" s="1"/>
  <c r="AF289" i="30"/>
  <c r="GP290" i="30"/>
  <c r="AF290" i="30" s="1"/>
  <c r="FC297" i="30"/>
  <c r="FC290" i="30"/>
  <c r="FC295" i="30"/>
  <c r="CR295" i="30"/>
  <c r="CR297" i="30"/>
  <c r="CR290" i="30"/>
  <c r="EC295" i="30"/>
  <c r="EC297" i="30"/>
  <c r="EC290" i="30"/>
  <c r="CY327" i="30"/>
  <c r="EZ103" i="30"/>
  <c r="Z103" i="30" s="1"/>
  <c r="EZ310" i="30"/>
  <c r="Z80" i="30"/>
  <c r="HR317" i="30"/>
  <c r="AJ317" i="30" s="1"/>
  <c r="AJ312" i="30"/>
  <c r="KT315" i="30"/>
  <c r="HN91" i="30"/>
  <c r="HN108" i="30"/>
  <c r="GT327" i="30"/>
  <c r="GU315" i="30"/>
  <c r="CD295" i="30"/>
  <c r="CD297" i="30"/>
  <c r="CD290" i="30"/>
  <c r="FL90" i="30"/>
  <c r="CV310" i="30"/>
  <c r="CV103" i="30"/>
  <c r="R103" i="30" s="1"/>
  <c r="R80" i="30"/>
  <c r="CL295" i="30"/>
  <c r="CS295" i="30"/>
  <c r="CS297" i="30"/>
  <c r="CS290" i="30"/>
  <c r="HX91" i="30"/>
  <c r="HX108" i="30"/>
  <c r="JU108" i="30"/>
  <c r="JU91" i="30"/>
  <c r="GO108" i="30"/>
  <c r="GO91" i="30"/>
  <c r="CS315" i="30"/>
  <c r="FF108" i="30"/>
  <c r="HV315" i="30"/>
  <c r="FE317" i="30"/>
  <c r="KI108" i="30"/>
  <c r="KI91" i="30"/>
  <c r="FE315" i="30"/>
  <c r="IY91" i="30"/>
  <c r="IY108" i="30"/>
  <c r="IZ315" i="30"/>
  <c r="DJ312" i="30"/>
  <c r="DJ105" i="30"/>
  <c r="T105" i="30" s="1"/>
  <c r="DJ90" i="30"/>
  <c r="T85" i="30"/>
  <c r="T250" i="30" s="1"/>
  <c r="DC90" i="30"/>
  <c r="CF108" i="30"/>
  <c r="CO103" i="30"/>
  <c r="Q103" i="30" s="1"/>
  <c r="EL105" i="30"/>
  <c r="X105" i="30" s="1"/>
  <c r="LL73" i="30"/>
  <c r="LJ46" i="30"/>
  <c r="FG310" i="30"/>
  <c r="FG103" i="30"/>
  <c r="AA103" i="30" s="1"/>
  <c r="AA80" i="30"/>
  <c r="KW91" i="30"/>
  <c r="KW108" i="30"/>
  <c r="FF323" i="30"/>
  <c r="II149" i="30"/>
  <c r="II127" i="30"/>
  <c r="II321" i="30"/>
  <c r="KN32" i="30"/>
  <c r="KN55" i="30"/>
  <c r="GP152" i="30"/>
  <c r="AF152" i="30" s="1"/>
  <c r="EO323" i="30"/>
  <c r="EO328" i="30" s="1"/>
  <c r="IX149" i="30"/>
  <c r="IX127" i="30"/>
  <c r="IX321" i="30"/>
  <c r="EJ55" i="30"/>
  <c r="EJ37" i="30"/>
  <c r="H126" i="30"/>
  <c r="H31" i="30"/>
  <c r="JH145" i="30"/>
  <c r="AP145" i="30" s="1"/>
  <c r="AP119" i="30"/>
  <c r="KQ141" i="30"/>
  <c r="AU115" i="30"/>
  <c r="GP145" i="30"/>
  <c r="AF145" i="30" s="1"/>
  <c r="AF119" i="30"/>
  <c r="BW103" i="30"/>
  <c r="FT151" i="30"/>
  <c r="FT323" i="30"/>
  <c r="IW159" i="30"/>
  <c r="IW60" i="30"/>
  <c r="IW38" i="30"/>
  <c r="HY147" i="30"/>
  <c r="AK147" i="30" s="1"/>
  <c r="AK121" i="30"/>
  <c r="AW72" i="30"/>
  <c r="AW200" i="30" s="1"/>
  <c r="JH152" i="30"/>
  <c r="AP152" i="30" s="1"/>
  <c r="AP132" i="30"/>
  <c r="JH322" i="30"/>
  <c r="FC151" i="30"/>
  <c r="FC323" i="30"/>
  <c r="KB55" i="30"/>
  <c r="KB32" i="30"/>
  <c r="ID149" i="30"/>
  <c r="ID127" i="30"/>
  <c r="ID321" i="30"/>
  <c r="EX55" i="30"/>
  <c r="EX37" i="30"/>
  <c r="EX136" i="30" s="1"/>
  <c r="CH126" i="30"/>
  <c r="CH50" i="30"/>
  <c r="P50" i="30" s="1"/>
  <c r="CH31" i="30"/>
  <c r="P20" i="30"/>
  <c r="DQ141" i="30"/>
  <c r="U115" i="30"/>
  <c r="DG55" i="30"/>
  <c r="DG37" i="30"/>
  <c r="DG136" i="30" s="1"/>
  <c r="HY141" i="30"/>
  <c r="AK115" i="30"/>
  <c r="IJ108" i="30"/>
  <c r="IJ91" i="30"/>
  <c r="JA37" i="30"/>
  <c r="IS159" i="30"/>
  <c r="IS60" i="30"/>
  <c r="IS38" i="30"/>
  <c r="FM126" i="30"/>
  <c r="FM50" i="30"/>
  <c r="FM31" i="30"/>
  <c r="CG149" i="30"/>
  <c r="CG321" i="30"/>
  <c r="FU116" i="30"/>
  <c r="FU20" i="30"/>
  <c r="AC10" i="30"/>
  <c r="FU43" i="30"/>
  <c r="AC43" i="30" s="1"/>
  <c r="JV151" i="30"/>
  <c r="AR151" i="30" s="1"/>
  <c r="AR131" i="30"/>
  <c r="JV323" i="30"/>
  <c r="IJ149" i="30"/>
  <c r="IJ127" i="30"/>
  <c r="IJ321" i="30"/>
  <c r="FX50" i="30"/>
  <c r="IR55" i="30"/>
  <c r="IR32" i="30"/>
  <c r="CO152" i="30"/>
  <c r="Q152" i="30" s="1"/>
  <c r="Q132" i="30"/>
  <c r="CO322" i="30"/>
  <c r="DA151" i="30"/>
  <c r="JZ159" i="30"/>
  <c r="JZ60" i="30"/>
  <c r="JZ38" i="30"/>
  <c r="CF149" i="30"/>
  <c r="CF321" i="30"/>
  <c r="EZ145" i="30"/>
  <c r="Z145" i="30" s="1"/>
  <c r="Z119" i="30"/>
  <c r="IM152" i="30"/>
  <c r="AM152" i="30" s="1"/>
  <c r="AM132" i="30"/>
  <c r="IM322" i="30"/>
  <c r="CU149" i="30"/>
  <c r="CU321" i="30"/>
  <c r="HW159" i="30"/>
  <c r="IF152" i="30"/>
  <c r="AL152" i="30" s="1"/>
  <c r="AL132" i="30"/>
  <c r="IF322" i="30"/>
  <c r="EW151" i="30"/>
  <c r="EW323" i="30"/>
  <c r="GP126" i="30"/>
  <c r="GP50" i="30"/>
  <c r="AF50" i="30" s="1"/>
  <c r="GP31" i="30"/>
  <c r="GP21" i="30"/>
  <c r="AF21" i="30" s="1"/>
  <c r="AF20" i="30"/>
  <c r="JV144" i="30"/>
  <c r="AR144" i="30" s="1"/>
  <c r="AR118" i="30"/>
  <c r="GM149" i="30"/>
  <c r="GM127" i="30"/>
  <c r="GM321" i="30"/>
  <c r="JR149" i="30"/>
  <c r="JR127" i="30"/>
  <c r="JR321" i="30"/>
  <c r="JU159" i="30"/>
  <c r="JU60" i="30"/>
  <c r="JU38" i="30"/>
  <c r="HY322" i="30"/>
  <c r="KM55" i="30"/>
  <c r="KM32" i="30"/>
  <c r="GO149" i="30"/>
  <c r="GO127" i="30"/>
  <c r="GO321" i="30"/>
  <c r="CA126" i="30"/>
  <c r="CA31" i="30"/>
  <c r="O20" i="30"/>
  <c r="FG146" i="30"/>
  <c r="AA146" i="30" s="1"/>
  <c r="CH141" i="30"/>
  <c r="P115" i="30"/>
  <c r="GP151" i="30"/>
  <c r="AF151" i="30" s="1"/>
  <c r="AF131" i="30"/>
  <c r="GP323" i="30"/>
  <c r="EC151" i="30"/>
  <c r="JD159" i="30"/>
  <c r="JD60" i="30"/>
  <c r="JD38" i="30"/>
  <c r="BZ321" i="30"/>
  <c r="O115" i="30"/>
  <c r="CO142" i="30"/>
  <c r="Q142" i="30" s="1"/>
  <c r="CK55" i="30"/>
  <c r="IZ60" i="30"/>
  <c r="EL31" i="30"/>
  <c r="BT20" i="30"/>
  <c r="KQ91" i="30"/>
  <c r="AU91" i="30" s="1"/>
  <c r="KQ108" i="30"/>
  <c r="AU108" i="30" s="1"/>
  <c r="AU90" i="30"/>
  <c r="EB295" i="30"/>
  <c r="EB297" i="30"/>
  <c r="EB290" i="30"/>
  <c r="DW315" i="30"/>
  <c r="GB145" i="30"/>
  <c r="AD145" i="30" s="1"/>
  <c r="AD119" i="30"/>
  <c r="EX149" i="30"/>
  <c r="EX127" i="30"/>
  <c r="EX321" i="30"/>
  <c r="IC55" i="30"/>
  <c r="IC32" i="30"/>
  <c r="KI55" i="30"/>
  <c r="KI32" i="30"/>
  <c r="IL327" i="30"/>
  <c r="KN108" i="30"/>
  <c r="KN91" i="30"/>
  <c r="FJ37" i="30"/>
  <c r="FJ55" i="30"/>
  <c r="EH55" i="30"/>
  <c r="EH37" i="30"/>
  <c r="EH136" i="30" s="1"/>
  <c r="FL126" i="30"/>
  <c r="FL50" i="30"/>
  <c r="FL31" i="30"/>
  <c r="JL327" i="30"/>
  <c r="IB328" i="30"/>
  <c r="JD327" i="30"/>
  <c r="GL327" i="30"/>
  <c r="HH328" i="30"/>
  <c r="GN328" i="30"/>
  <c r="FF295" i="30"/>
  <c r="FF290" i="30"/>
  <c r="FF297" i="30"/>
  <c r="CO295" i="30"/>
  <c r="Q295" i="30" s="1"/>
  <c r="Q289" i="30"/>
  <c r="CO297" i="30"/>
  <c r="Q297" i="30" s="1"/>
  <c r="CO290" i="30"/>
  <c r="Q290" i="30" s="1"/>
  <c r="DF297" i="30"/>
  <c r="DF290" i="30"/>
  <c r="DF295" i="30"/>
  <c r="AH289" i="30"/>
  <c r="HD295" i="30"/>
  <c r="AH295" i="30" s="1"/>
  <c r="HD297" i="30"/>
  <c r="AH297" i="30" s="1"/>
  <c r="LE317" i="30"/>
  <c r="AW317" i="30" s="1"/>
  <c r="KX317" i="30"/>
  <c r="AV317" i="30" s="1"/>
  <c r="AV312" i="30"/>
  <c r="CM297" i="30"/>
  <c r="CM290" i="30"/>
  <c r="CM295" i="30"/>
  <c r="CE327" i="30"/>
  <c r="BR295" i="30"/>
  <c r="BR297" i="30"/>
  <c r="HK295" i="30"/>
  <c r="AI295" i="30" s="1"/>
  <c r="AI289" i="30"/>
  <c r="HK297" i="30"/>
  <c r="AI297" i="30" s="1"/>
  <c r="IX91" i="30"/>
  <c r="IX108" i="30"/>
  <c r="FJ295" i="30"/>
  <c r="FJ297" i="30"/>
  <c r="FJ290" i="30"/>
  <c r="KU108" i="30"/>
  <c r="KU91" i="30"/>
  <c r="FN312" i="30"/>
  <c r="FN105" i="30"/>
  <c r="AB105" i="30" s="1"/>
  <c r="AB85" i="30"/>
  <c r="AB250" i="30" s="1"/>
  <c r="O311" i="30"/>
  <c r="JK91" i="30"/>
  <c r="JK108" i="30"/>
  <c r="IF316" i="30"/>
  <c r="AL316" i="30" s="1"/>
  <c r="AL311" i="30"/>
  <c r="KO91" i="30"/>
  <c r="KO108" i="30"/>
  <c r="HI91" i="30"/>
  <c r="HI108" i="30"/>
  <c r="EJ295" i="30"/>
  <c r="EB315" i="30"/>
  <c r="GI317" i="30"/>
  <c r="AE317" i="30" s="1"/>
  <c r="AE312" i="30"/>
  <c r="CS317" i="30"/>
  <c r="JU315" i="30"/>
  <c r="GO315" i="30"/>
  <c r="HD310" i="30"/>
  <c r="HD103" i="30"/>
  <c r="AH103" i="30" s="1"/>
  <c r="HD81" i="30"/>
  <c r="AH81" i="30" s="1"/>
  <c r="AH80" i="30"/>
  <c r="EO108" i="30"/>
  <c r="KI315" i="30"/>
  <c r="EO315" i="30"/>
  <c r="II315" i="30"/>
  <c r="LL106" i="30"/>
  <c r="AX106" i="30" s="1"/>
  <c r="AX86" i="30"/>
  <c r="DF108" i="30"/>
  <c r="DF315" i="30"/>
  <c r="GP310" i="30"/>
  <c r="GP103" i="30"/>
  <c r="AF103" i="30" s="1"/>
  <c r="AF80" i="30"/>
  <c r="GP81" i="30"/>
  <c r="AF81" i="30" s="1"/>
  <c r="DV315" i="30"/>
  <c r="DX312" i="30"/>
  <c r="DX105" i="30"/>
  <c r="V105" i="30" s="1"/>
  <c r="DX90" i="30"/>
  <c r="V85" i="30"/>
  <c r="V250" i="30" s="1"/>
  <c r="GL315" i="30"/>
  <c r="CA310" i="30"/>
  <c r="O80" i="30"/>
  <c r="BT80" i="30"/>
  <c r="JG159" i="30"/>
  <c r="KC152" i="30"/>
  <c r="AS152" i="30" s="1"/>
  <c r="AS132" i="30"/>
  <c r="KC322" i="30"/>
  <c r="DU149" i="30"/>
  <c r="DU321" i="30"/>
  <c r="GI145" i="30"/>
  <c r="AE145" i="30" s="1"/>
  <c r="AE119" i="30"/>
  <c r="EO55" i="30"/>
  <c r="EO37" i="30"/>
  <c r="EO136" i="30" s="1"/>
  <c r="JF55" i="30"/>
  <c r="JF32" i="30"/>
  <c r="KV55" i="30"/>
  <c r="KV32" i="30"/>
  <c r="HP55" i="30"/>
  <c r="HP32" i="30"/>
  <c r="ER151" i="30"/>
  <c r="ER323" i="30"/>
  <c r="ER328" i="30" s="1"/>
  <c r="DW52" i="30"/>
  <c r="KO159" i="30"/>
  <c r="KO60" i="30"/>
  <c r="KO38" i="30"/>
  <c r="IW149" i="30"/>
  <c r="IW127" i="30"/>
  <c r="IW321" i="30"/>
  <c r="EY149" i="30"/>
  <c r="EY127" i="30"/>
  <c r="EY321" i="30"/>
  <c r="KQ143" i="30"/>
  <c r="AU143" i="30" s="1"/>
  <c r="AU117" i="30"/>
  <c r="FG143" i="30"/>
  <c r="AA143" i="30" s="1"/>
  <c r="AA117" i="30"/>
  <c r="GL149" i="30"/>
  <c r="GL127" i="30"/>
  <c r="GL321" i="30"/>
  <c r="LL72" i="30"/>
  <c r="HN55" i="30"/>
  <c r="HN32" i="30"/>
  <c r="F126" i="30"/>
  <c r="F31" i="30"/>
  <c r="GP146" i="30"/>
  <c r="AF146" i="30" s="1"/>
  <c r="AF120" i="30"/>
  <c r="HR144" i="30"/>
  <c r="AJ144" i="30" s="1"/>
  <c r="AJ118" i="30"/>
  <c r="DG149" i="30"/>
  <c r="DG321" i="30"/>
  <c r="IS149" i="30"/>
  <c r="IS127" i="30"/>
  <c r="IS321" i="30"/>
  <c r="EW55" i="30"/>
  <c r="EW37" i="30"/>
  <c r="EW136" i="30" s="1"/>
  <c r="E126" i="30"/>
  <c r="E31" i="30"/>
  <c r="KI159" i="30"/>
  <c r="KI60" i="30"/>
  <c r="KI38" i="30"/>
  <c r="DF55" i="30"/>
  <c r="DF37" i="30"/>
  <c r="DF136" i="30" s="1"/>
  <c r="HJ55" i="30"/>
  <c r="HJ32" i="30"/>
  <c r="JZ149" i="30"/>
  <c r="JZ127" i="30"/>
  <c r="JZ321" i="30"/>
  <c r="GT149" i="30"/>
  <c r="GT127" i="30"/>
  <c r="GT321" i="30"/>
  <c r="BP126" i="30"/>
  <c r="BW149" i="30" s="1"/>
  <c r="BP50" i="30"/>
  <c r="BP31" i="30"/>
  <c r="GP143" i="30"/>
  <c r="AF143" i="30" s="1"/>
  <c r="AF117" i="30"/>
  <c r="HI149" i="30"/>
  <c r="HI127" i="30"/>
  <c r="HI321" i="30"/>
  <c r="DI151" i="30"/>
  <c r="KJ142" i="30"/>
  <c r="AT142" i="30" s="1"/>
  <c r="AT116" i="30"/>
  <c r="EE131" i="30"/>
  <c r="EE52" i="30"/>
  <c r="W52" i="30" s="1"/>
  <c r="W26" i="30"/>
  <c r="JF159" i="30"/>
  <c r="JF60" i="30"/>
  <c r="JF38" i="30"/>
  <c r="CD149" i="30"/>
  <c r="CD321" i="30"/>
  <c r="CH146" i="30"/>
  <c r="P146" i="30" s="1"/>
  <c r="P120" i="30"/>
  <c r="K136" i="30"/>
  <c r="K37" i="30"/>
  <c r="II159" i="30"/>
  <c r="II60" i="30"/>
  <c r="II38" i="30"/>
  <c r="FL151" i="30"/>
  <c r="FL323" i="30"/>
  <c r="KM149" i="30"/>
  <c r="KM127" i="30"/>
  <c r="KM321" i="30"/>
  <c r="FY37" i="30"/>
  <c r="FY136" i="30" s="1"/>
  <c r="JO144" i="30"/>
  <c r="AQ144" i="30" s="1"/>
  <c r="AQ118" i="30"/>
  <c r="HY142" i="30"/>
  <c r="AK142" i="30" s="1"/>
  <c r="AK116" i="30"/>
  <c r="IK159" i="30"/>
  <c r="IK60" i="30"/>
  <c r="IK38" i="30"/>
  <c r="HK142" i="30"/>
  <c r="AI142" i="30" s="1"/>
  <c r="AI116" i="30"/>
  <c r="ES141" i="30"/>
  <c r="Y115" i="30"/>
  <c r="KW55" i="30"/>
  <c r="KW32" i="30"/>
  <c r="JD149" i="30"/>
  <c r="JD127" i="30"/>
  <c r="JD321" i="30"/>
  <c r="FF127" i="30"/>
  <c r="IF146" i="30"/>
  <c r="AL146" i="30" s="1"/>
  <c r="AL120" i="30"/>
  <c r="KX142" i="30"/>
  <c r="AV142" i="30" s="1"/>
  <c r="IB32" i="30"/>
  <c r="IZ159" i="30"/>
  <c r="FN131" i="30"/>
  <c r="EK60" i="30"/>
  <c r="FC55" i="30"/>
  <c r="BQ126" i="30"/>
  <c r="BX127" i="30" s="1"/>
  <c r="LA81" i="29"/>
  <c r="LA82" i="29"/>
  <c r="LB85" i="29"/>
  <c r="LB81" i="29"/>
  <c r="KJ134" i="29"/>
  <c r="AT134" i="29" s="1"/>
  <c r="AT133" i="29"/>
  <c r="KQ134" i="29"/>
  <c r="AU134" i="29" s="1"/>
  <c r="FD276" i="30" l="1"/>
  <c r="MC21" i="29"/>
  <c r="MC25" i="29"/>
  <c r="MC11" i="29"/>
  <c r="ME7" i="1"/>
  <c r="MC8" i="29"/>
  <c r="MD37" i="30"/>
  <c r="MG35" i="30"/>
  <c r="ME25" i="29"/>
  <c r="MG7" i="1"/>
  <c r="ME11" i="29"/>
  <c r="ME21" i="29"/>
  <c r="ME8" i="29"/>
  <c r="MF25" i="29"/>
  <c r="MF21" i="29"/>
  <c r="MH7" i="1"/>
  <c r="MF11" i="29"/>
  <c r="MF8" i="29"/>
  <c r="MI78" i="1"/>
  <c r="ME81" i="1"/>
  <c r="MI82" i="1"/>
  <c r="ME137" i="30"/>
  <c r="ME154" i="30"/>
  <c r="MG21" i="1"/>
  <c r="MC154" i="30"/>
  <c r="MC137" i="30"/>
  <c r="ME21" i="1"/>
  <c r="MH21" i="1"/>
  <c r="MF137" i="30"/>
  <c r="MF154" i="30"/>
  <c r="AU204" i="30"/>
  <c r="AT204" i="30"/>
  <c r="DP247" i="30"/>
  <c r="HN274" i="30"/>
  <c r="AS214" i="30"/>
  <c r="AI204" i="30"/>
  <c r="KQ267" i="30"/>
  <c r="KX91" i="30"/>
  <c r="AV91" i="30" s="1"/>
  <c r="AK264" i="30"/>
  <c r="CH177" i="30"/>
  <c r="Z174" i="30"/>
  <c r="EH247" i="30"/>
  <c r="IF197" i="30"/>
  <c r="HY237" i="30"/>
  <c r="IM197" i="30"/>
  <c r="AL264" i="30"/>
  <c r="LS115" i="29"/>
  <c r="AY115" i="29" s="1"/>
  <c r="JM274" i="30"/>
  <c r="CH267" i="30"/>
  <c r="FT136" i="30"/>
  <c r="GA154" i="30" s="1"/>
  <c r="AV90" i="30"/>
  <c r="EO276" i="30"/>
  <c r="KQ187" i="30"/>
  <c r="HR197" i="30"/>
  <c r="KJ187" i="30"/>
  <c r="AW201" i="30"/>
  <c r="JY274" i="30"/>
  <c r="EV274" i="30"/>
  <c r="P174" i="30"/>
  <c r="AD264" i="30"/>
  <c r="P176" i="30"/>
  <c r="KI247" i="30"/>
  <c r="AI264" i="30"/>
  <c r="EO274" i="30"/>
  <c r="AL224" i="30"/>
  <c r="AL31" i="30"/>
  <c r="AL273" i="30" s="1"/>
  <c r="KJ267" i="30"/>
  <c r="P254" i="30"/>
  <c r="AO243" i="30"/>
  <c r="AO246" i="30" s="1"/>
  <c r="U214" i="30"/>
  <c r="Q171" i="30"/>
  <c r="JO136" i="30"/>
  <c r="T214" i="30"/>
  <c r="GE274" i="30"/>
  <c r="IW247" i="30"/>
  <c r="EP326" i="30"/>
  <c r="HK177" i="30"/>
  <c r="FN267" i="30"/>
  <c r="DX244" i="30"/>
  <c r="FT273" i="30"/>
  <c r="GA274" i="30" s="1"/>
  <c r="IT237" i="30"/>
  <c r="FG267" i="30"/>
  <c r="GA55" i="30"/>
  <c r="JA244" i="30"/>
  <c r="HV247" i="30"/>
  <c r="EW326" i="30"/>
  <c r="GW244" i="30"/>
  <c r="AV256" i="30"/>
  <c r="DI166" i="30"/>
  <c r="GP55" i="5"/>
  <c r="KW274" i="30"/>
  <c r="AD224" i="30"/>
  <c r="V224" i="30"/>
  <c r="HN247" i="30"/>
  <c r="HB276" i="30"/>
  <c r="HI274" i="30"/>
  <c r="AO204" i="30"/>
  <c r="IM257" i="30"/>
  <c r="AV297" i="30"/>
  <c r="LZ106" i="30"/>
  <c r="AZ106" i="30" s="1"/>
  <c r="LD53" i="30"/>
  <c r="AU206" i="30"/>
  <c r="AR224" i="30"/>
  <c r="AI214" i="30"/>
  <c r="HD197" i="30"/>
  <c r="JH244" i="30"/>
  <c r="BP273" i="30"/>
  <c r="BP276" i="30" s="1"/>
  <c r="LX7" i="1"/>
  <c r="LV25" i="29"/>
  <c r="LV21" i="29"/>
  <c r="LZ7" i="1"/>
  <c r="LX25" i="29"/>
  <c r="LX21" i="29"/>
  <c r="LX8" i="29"/>
  <c r="LX11" i="29"/>
  <c r="LY8" i="29"/>
  <c r="MA7" i="1"/>
  <c r="LY11" i="29"/>
  <c r="LY21" i="29"/>
  <c r="LY25" i="29"/>
  <c r="LW37" i="30"/>
  <c r="LZ35" i="30"/>
  <c r="MB81" i="1"/>
  <c r="MA93" i="1"/>
  <c r="MB93" i="1" s="1"/>
  <c r="LZ60" i="1"/>
  <c r="GO150" i="5"/>
  <c r="GO55" i="5"/>
  <c r="GP150" i="5"/>
  <c r="LD295" i="30"/>
  <c r="LR297" i="30"/>
  <c r="LC295" i="30"/>
  <c r="LQ297" i="30"/>
  <c r="LS311" i="30"/>
  <c r="LZ316" i="30" s="1"/>
  <c r="AZ316" i="30" s="1"/>
  <c r="AX311" i="30"/>
  <c r="LL316" i="30"/>
  <c r="AX316" i="30" s="1"/>
  <c r="FF274" i="30"/>
  <c r="DJ197" i="30"/>
  <c r="KW276" i="30"/>
  <c r="KA274" i="30"/>
  <c r="EY276" i="30"/>
  <c r="EY274" i="30"/>
  <c r="AJ214" i="30"/>
  <c r="Y204" i="30"/>
  <c r="HY257" i="30"/>
  <c r="GW237" i="30"/>
  <c r="FL244" i="30"/>
  <c r="Y224" i="30"/>
  <c r="AA207" i="30"/>
  <c r="AR254" i="30"/>
  <c r="GP237" i="30"/>
  <c r="KX136" i="30"/>
  <c r="T243" i="30"/>
  <c r="T246" i="30" s="1"/>
  <c r="AH224" i="30"/>
  <c r="CO177" i="30"/>
  <c r="GI108" i="29"/>
  <c r="AE108" i="29" s="1"/>
  <c r="GA108" i="29"/>
  <c r="FZ108" i="29" s="1"/>
  <c r="FY108" i="29" s="1"/>
  <c r="FX108" i="29" s="1"/>
  <c r="HW160" i="30"/>
  <c r="HW161" i="30" s="1"/>
  <c r="AJ184" i="30"/>
  <c r="HY271" i="30"/>
  <c r="AU184" i="30"/>
  <c r="AI224" i="30"/>
  <c r="AH226" i="30"/>
  <c r="AI227" i="30" s="1"/>
  <c r="AV216" i="30"/>
  <c r="AV217" i="30" s="1"/>
  <c r="AH176" i="30"/>
  <c r="AV191" i="30"/>
  <c r="AT184" i="30"/>
  <c r="JH246" i="30"/>
  <c r="JH247" i="30" s="1"/>
  <c r="AG254" i="30"/>
  <c r="AQ224" i="30"/>
  <c r="IM207" i="30"/>
  <c r="JA207" i="30"/>
  <c r="AA234" i="30"/>
  <c r="V234" i="30"/>
  <c r="GA149" i="30"/>
  <c r="HD244" i="30"/>
  <c r="FN244" i="30"/>
  <c r="AP224" i="30"/>
  <c r="AP226" i="30"/>
  <c r="AQ227" i="30" s="1"/>
  <c r="EZ197" i="30"/>
  <c r="HD246" i="30"/>
  <c r="HK247" i="30" s="1"/>
  <c r="HK244" i="30"/>
  <c r="IT38" i="30"/>
  <c r="AN38" i="30" s="1"/>
  <c r="AV214" i="30"/>
  <c r="FT244" i="30"/>
  <c r="JA197" i="30"/>
  <c r="GP217" i="30"/>
  <c r="FG244" i="30"/>
  <c r="KI274" i="30"/>
  <c r="P243" i="30"/>
  <c r="P246" i="30" s="1"/>
  <c r="JE274" i="30"/>
  <c r="FG246" i="30"/>
  <c r="FG247" i="30" s="1"/>
  <c r="FM244" i="30"/>
  <c r="AJ216" i="30"/>
  <c r="AJ217" i="30" s="1"/>
  <c r="KB274" i="30"/>
  <c r="IQ274" i="30"/>
  <c r="IE154" i="30"/>
  <c r="EQ274" i="30"/>
  <c r="DI274" i="30"/>
  <c r="EJ274" i="30"/>
  <c r="DI276" i="30"/>
  <c r="DO276" i="30"/>
  <c r="DO274" i="30"/>
  <c r="EJ276" i="30"/>
  <c r="EP276" i="30"/>
  <c r="KI276" i="30"/>
  <c r="KI277" i="30" s="1"/>
  <c r="EW274" i="30"/>
  <c r="CE274" i="30"/>
  <c r="KP154" i="30"/>
  <c r="DT274" i="30"/>
  <c r="EH276" i="30"/>
  <c r="EO277" i="30" s="1"/>
  <c r="CL274" i="30"/>
  <c r="DT276" i="30"/>
  <c r="GL274" i="30"/>
  <c r="KP274" i="30"/>
  <c r="JR274" i="30"/>
  <c r="GE276" i="30"/>
  <c r="GE277" i="30" s="1"/>
  <c r="KU154" i="30"/>
  <c r="FD274" i="30"/>
  <c r="EW276" i="30"/>
  <c r="DB274" i="30"/>
  <c r="FL328" i="30"/>
  <c r="BX276" i="30"/>
  <c r="CE277" i="30" s="1"/>
  <c r="EB247" i="30"/>
  <c r="ID247" i="30"/>
  <c r="KP276" i="30"/>
  <c r="JL274" i="30"/>
  <c r="JU276" i="30"/>
  <c r="KB277" i="30" s="1"/>
  <c r="EK276" i="30"/>
  <c r="AM194" i="30"/>
  <c r="FT149" i="30"/>
  <c r="KQ32" i="30"/>
  <c r="AU32" i="30" s="1"/>
  <c r="FT321" i="30"/>
  <c r="GA326" i="30" s="1"/>
  <c r="JU274" i="30"/>
  <c r="CH197" i="30"/>
  <c r="IS274" i="30"/>
  <c r="JZ247" i="30"/>
  <c r="IR274" i="30"/>
  <c r="CH257" i="30"/>
  <c r="X224" i="30"/>
  <c r="HY197" i="30"/>
  <c r="KG274" i="30"/>
  <c r="AL194" i="30"/>
  <c r="GV274" i="30"/>
  <c r="CR274" i="30"/>
  <c r="AS224" i="30"/>
  <c r="JZ274" i="30"/>
  <c r="GF274" i="30"/>
  <c r="KQ177" i="30"/>
  <c r="N203" i="30"/>
  <c r="N206" i="30" s="1"/>
  <c r="O207" i="30" s="1"/>
  <c r="JS276" i="30"/>
  <c r="JS277" i="30" s="1"/>
  <c r="JS274" i="30"/>
  <c r="IM271" i="30"/>
  <c r="GB217" i="30"/>
  <c r="IF276" i="30"/>
  <c r="HR217" i="30"/>
  <c r="AB264" i="30"/>
  <c r="GI197" i="30"/>
  <c r="KO247" i="30"/>
  <c r="CF274" i="30"/>
  <c r="FQ187" i="30"/>
  <c r="KX315" i="30"/>
  <c r="AV315" i="30" s="1"/>
  <c r="GS247" i="30"/>
  <c r="KC177" i="30"/>
  <c r="Z224" i="30"/>
  <c r="CM254" i="30"/>
  <c r="DV274" i="30"/>
  <c r="AV310" i="30"/>
  <c r="EA274" i="30"/>
  <c r="CG274" i="30"/>
  <c r="HQ274" i="30"/>
  <c r="KP326" i="30"/>
  <c r="EH274" i="30"/>
  <c r="JH108" i="30"/>
  <c r="AP108" i="30" s="1"/>
  <c r="KJ273" i="30"/>
  <c r="JE247" i="30"/>
  <c r="EL217" i="30"/>
  <c r="Z194" i="30"/>
  <c r="HO274" i="30"/>
  <c r="BZ276" i="30"/>
  <c r="CG277" i="30" s="1"/>
  <c r="DO326" i="30"/>
  <c r="GW207" i="30"/>
  <c r="EA276" i="30"/>
  <c r="HY136" i="30"/>
  <c r="IF154" i="30" s="1"/>
  <c r="AL154" i="30" s="1"/>
  <c r="AP243" i="30"/>
  <c r="AP246" i="30" s="1"/>
  <c r="GS274" i="30"/>
  <c r="AO224" i="30"/>
  <c r="KX197" i="30"/>
  <c r="DJ244" i="30"/>
  <c r="FE274" i="30"/>
  <c r="DQ207" i="30"/>
  <c r="AF254" i="30"/>
  <c r="AL266" i="30"/>
  <c r="AL267" i="30" s="1"/>
  <c r="AS234" i="30"/>
  <c r="IY160" i="30"/>
  <c r="IY161" i="30" s="1"/>
  <c r="DQ244" i="30"/>
  <c r="KG247" i="30"/>
  <c r="EQ276" i="30"/>
  <c r="DJ246" i="30"/>
  <c r="DQ247" i="30" s="1"/>
  <c r="HY227" i="30"/>
  <c r="JE160" i="30"/>
  <c r="JE161" i="30" s="1"/>
  <c r="CA145" i="30"/>
  <c r="O145" i="30" s="1"/>
  <c r="IF227" i="30"/>
  <c r="EX274" i="30"/>
  <c r="W264" i="30"/>
  <c r="DJ207" i="30"/>
  <c r="R204" i="30"/>
  <c r="HY217" i="30"/>
  <c r="AR197" i="30"/>
  <c r="T194" i="30"/>
  <c r="Q174" i="30"/>
  <c r="JF160" i="30"/>
  <c r="JF161" i="30" s="1"/>
  <c r="AV186" i="30"/>
  <c r="AV187" i="30" s="1"/>
  <c r="JG154" i="30"/>
  <c r="AH174" i="30"/>
  <c r="S184" i="30"/>
  <c r="CS274" i="30"/>
  <c r="HG274" i="30"/>
  <c r="HU274" i="30"/>
  <c r="GZ274" i="30"/>
  <c r="Z184" i="30"/>
  <c r="AR234" i="30"/>
  <c r="IT197" i="30"/>
  <c r="DQ177" i="30"/>
  <c r="HD227" i="30"/>
  <c r="DC244" i="30"/>
  <c r="KT274" i="30"/>
  <c r="DJ127" i="30"/>
  <c r="T127" i="30" s="1"/>
  <c r="DA276" i="30"/>
  <c r="AO174" i="30"/>
  <c r="FJ274" i="30"/>
  <c r="CV177" i="30"/>
  <c r="AO214" i="30"/>
  <c r="X204" i="30"/>
  <c r="R184" i="30"/>
  <c r="T204" i="30"/>
  <c r="AR194" i="30"/>
  <c r="KP247" i="30"/>
  <c r="CU274" i="30"/>
  <c r="JY276" i="30"/>
  <c r="JY277" i="30" s="1"/>
  <c r="DH276" i="30"/>
  <c r="CU276" i="30"/>
  <c r="ES227" i="30"/>
  <c r="AK234" i="30"/>
  <c r="AS237" i="30"/>
  <c r="CY274" i="30"/>
  <c r="AV206" i="30"/>
  <c r="AV207" i="30" s="1"/>
  <c r="JT274" i="30"/>
  <c r="P264" i="30"/>
  <c r="S196" i="30"/>
  <c r="T197" i="30" s="1"/>
  <c r="IM328" i="30"/>
  <c r="AM328" i="30" s="1"/>
  <c r="CZ274" i="30"/>
  <c r="S194" i="30"/>
  <c r="W204" i="30"/>
  <c r="T251" i="30"/>
  <c r="EL237" i="30"/>
  <c r="X234" i="30"/>
  <c r="AW221" i="30"/>
  <c r="HN276" i="30"/>
  <c r="HN277" i="30" s="1"/>
  <c r="GW187" i="30"/>
  <c r="JO177" i="30"/>
  <c r="AG174" i="30"/>
  <c r="AH184" i="30"/>
  <c r="S171" i="30"/>
  <c r="EZ177" i="30"/>
  <c r="AM234" i="30"/>
  <c r="ES177" i="30"/>
  <c r="DX37" i="30"/>
  <c r="DX136" i="30" s="1"/>
  <c r="V136" i="30" s="1"/>
  <c r="KJ60" i="30"/>
  <c r="AT60" i="30" s="1"/>
  <c r="IT159" i="30"/>
  <c r="AN159" i="30" s="1"/>
  <c r="GL276" i="30"/>
  <c r="GS277" i="30" s="1"/>
  <c r="HV276" i="30"/>
  <c r="HV277" i="30" s="1"/>
  <c r="IP274" i="30"/>
  <c r="AR174" i="30"/>
  <c r="AN176" i="30"/>
  <c r="HX274" i="30"/>
  <c r="FJ276" i="30"/>
  <c r="DU274" i="30"/>
  <c r="AQ243" i="30"/>
  <c r="AQ246" i="30" s="1"/>
  <c r="KJ159" i="30"/>
  <c r="AT159" i="30" s="1"/>
  <c r="DH274" i="30"/>
  <c r="JO237" i="30"/>
  <c r="JA136" i="30"/>
  <c r="JT326" i="30"/>
  <c r="R253" i="30"/>
  <c r="R256" i="30" s="1"/>
  <c r="AE243" i="30"/>
  <c r="AE246" i="30" s="1"/>
  <c r="JA328" i="30"/>
  <c r="AO328" i="30" s="1"/>
  <c r="CF276" i="30"/>
  <c r="CF277" i="30" s="1"/>
  <c r="JT276" i="30"/>
  <c r="JT277" i="30" s="1"/>
  <c r="KT276" i="30"/>
  <c r="KT277" i="30" s="1"/>
  <c r="KQ237" i="30"/>
  <c r="DC177" i="30"/>
  <c r="DN274" i="30"/>
  <c r="AD243" i="30"/>
  <c r="CV246" i="30"/>
  <c r="DC247" i="30" s="1"/>
  <c r="CM256" i="30"/>
  <c r="CM257" i="30" s="1"/>
  <c r="EL244" i="30"/>
  <c r="AO226" i="30"/>
  <c r="EW328" i="30"/>
  <c r="JA108" i="30"/>
  <c r="AO108" i="30" s="1"/>
  <c r="HH274" i="30"/>
  <c r="HQ276" i="30"/>
  <c r="HQ277" i="30" s="1"/>
  <c r="DN276" i="30"/>
  <c r="FF276" i="30"/>
  <c r="FG217" i="30"/>
  <c r="T234" i="30"/>
  <c r="CO197" i="30"/>
  <c r="EE55" i="30"/>
  <c r="W55" i="30" s="1"/>
  <c r="X253" i="30"/>
  <c r="Y251" i="30"/>
  <c r="AK243" i="30"/>
  <c r="AK246" i="30" s="1"/>
  <c r="ES273" i="30"/>
  <c r="ES187" i="30"/>
  <c r="AN174" i="30"/>
  <c r="JH136" i="30"/>
  <c r="AT37" i="30"/>
  <c r="GT274" i="30"/>
  <c r="CV244" i="30"/>
  <c r="AH234" i="30"/>
  <c r="IT177" i="30"/>
  <c r="CV217" i="30"/>
  <c r="IW274" i="30"/>
  <c r="KJ38" i="30"/>
  <c r="AT38" i="30" s="1"/>
  <c r="S251" i="30"/>
  <c r="IW276" i="30"/>
  <c r="IW277" i="30" s="1"/>
  <c r="IF187" i="30"/>
  <c r="AI171" i="30"/>
  <c r="GP271" i="30"/>
  <c r="EL317" i="30"/>
  <c r="X317" i="30" s="1"/>
  <c r="LS58" i="30"/>
  <c r="AY58" i="30" s="1"/>
  <c r="HA274" i="30"/>
  <c r="JD274" i="30"/>
  <c r="JZ326" i="30"/>
  <c r="EX326" i="30"/>
  <c r="JH267" i="30"/>
  <c r="W171" i="30"/>
  <c r="AS186" i="30"/>
  <c r="AT187" i="30" s="1"/>
  <c r="AC253" i="30"/>
  <c r="AC256" i="30" s="1"/>
  <c r="LL58" i="30"/>
  <c r="AX58" i="30" s="1"/>
  <c r="GA276" i="30"/>
  <c r="FC276" i="30"/>
  <c r="CV267" i="30"/>
  <c r="DX267" i="30"/>
  <c r="CA316" i="30"/>
  <c r="O316" i="30" s="1"/>
  <c r="BT186" i="30"/>
  <c r="CA187" i="30" s="1"/>
  <c r="AF171" i="30"/>
  <c r="V214" i="30"/>
  <c r="DJ217" i="30"/>
  <c r="AU37" i="30"/>
  <c r="KC257" i="30"/>
  <c r="AM264" i="30"/>
  <c r="GW177" i="30"/>
  <c r="KQ38" i="30"/>
  <c r="AU38" i="30" s="1"/>
  <c r="S187" i="30"/>
  <c r="FN246" i="30"/>
  <c r="AV204" i="30"/>
  <c r="GF247" i="30"/>
  <c r="AU174" i="30"/>
  <c r="AL174" i="30"/>
  <c r="EX328" i="30"/>
  <c r="KQ60" i="30"/>
  <c r="AU60" i="30" s="1"/>
  <c r="W31" i="30"/>
  <c r="KJ276" i="30"/>
  <c r="AL171" i="30"/>
  <c r="AC176" i="30"/>
  <c r="DX207" i="30"/>
  <c r="DF274" i="30"/>
  <c r="AB251" i="30"/>
  <c r="KQ159" i="30"/>
  <c r="AU159" i="30" s="1"/>
  <c r="EE37" i="30"/>
  <c r="EE136" i="30" s="1"/>
  <c r="HI276" i="30"/>
  <c r="FN217" i="30"/>
  <c r="AC174" i="30"/>
  <c r="AV174" i="30"/>
  <c r="AX35" i="30"/>
  <c r="KQ315" i="30"/>
  <c r="AU315" i="30" s="1"/>
  <c r="KJ328" i="30"/>
  <c r="AT328" i="30" s="1"/>
  <c r="HR136" i="30"/>
  <c r="GB227" i="30"/>
  <c r="CO207" i="30"/>
  <c r="HX276" i="30"/>
  <c r="DF276" i="30"/>
  <c r="KQ207" i="30"/>
  <c r="W132" i="30"/>
  <c r="DF257" i="30"/>
  <c r="AT171" i="30"/>
  <c r="KN274" i="30"/>
  <c r="GU274" i="30"/>
  <c r="HK227" i="30"/>
  <c r="FG237" i="30"/>
  <c r="IT217" i="30"/>
  <c r="FN90" i="30"/>
  <c r="FN273" i="30" s="1"/>
  <c r="HJ274" i="30"/>
  <c r="AC183" i="30"/>
  <c r="AD184" i="30" s="1"/>
  <c r="FN126" i="30"/>
  <c r="FN149" i="30" s="1"/>
  <c r="AB149" i="30" s="1"/>
  <c r="AX71" i="30"/>
  <c r="AX190" i="30" s="1"/>
  <c r="AX191" i="30" s="1"/>
  <c r="AG243" i="30"/>
  <c r="AG246" i="30" s="1"/>
  <c r="KH326" i="30"/>
  <c r="DU276" i="30"/>
  <c r="KV247" i="30"/>
  <c r="LL97" i="30"/>
  <c r="AX97" i="30" s="1"/>
  <c r="IC274" i="30"/>
  <c r="EE322" i="30"/>
  <c r="EL327" i="30" s="1"/>
  <c r="X327" i="30" s="1"/>
  <c r="AB80" i="30"/>
  <c r="AB243" i="30" s="1"/>
  <c r="JU160" i="30"/>
  <c r="JU161" i="30" s="1"/>
  <c r="FN103" i="30"/>
  <c r="AB103" i="30" s="1"/>
  <c r="JN160" i="30"/>
  <c r="JN161" i="30" s="1"/>
  <c r="EL152" i="30"/>
  <c r="X152" i="30" s="1"/>
  <c r="Z253" i="30"/>
  <c r="Z256" i="30" s="1"/>
  <c r="AO90" i="30"/>
  <c r="FN310" i="30"/>
  <c r="AB310" i="30" s="1"/>
  <c r="GN276" i="30"/>
  <c r="GN277" i="30" s="1"/>
  <c r="HY177" i="30"/>
  <c r="AU171" i="30"/>
  <c r="U217" i="30"/>
  <c r="IZ274" i="30"/>
  <c r="EB274" i="30"/>
  <c r="DC273" i="30"/>
  <c r="AN243" i="30"/>
  <c r="IJ277" i="30"/>
  <c r="ES267" i="30"/>
  <c r="GP197" i="30"/>
  <c r="N223" i="30"/>
  <c r="N226" i="30" s="1"/>
  <c r="IJ274" i="30"/>
  <c r="LL95" i="30"/>
  <c r="AX95" i="30" s="1"/>
  <c r="AP214" i="30"/>
  <c r="FJ60" i="30"/>
  <c r="FJ136" i="30"/>
  <c r="FJ154" i="30" s="1"/>
  <c r="GS60" i="30"/>
  <c r="GL136" i="30"/>
  <c r="FC60" i="30"/>
  <c r="EV136" i="30"/>
  <c r="EV154" i="30" s="1"/>
  <c r="FK136" i="30"/>
  <c r="FK154" i="30" s="1"/>
  <c r="ER60" i="30"/>
  <c r="ER136" i="30"/>
  <c r="EY154" i="30" s="1"/>
  <c r="DA60" i="30"/>
  <c r="CT136" i="30"/>
  <c r="JR277" i="30"/>
  <c r="AU176" i="30"/>
  <c r="HK207" i="30"/>
  <c r="EJ60" i="30"/>
  <c r="EJ136" i="30"/>
  <c r="EJ154" i="30" s="1"/>
  <c r="GT60" i="30"/>
  <c r="GM136" i="30"/>
  <c r="DU60" i="30"/>
  <c r="DN136" i="30"/>
  <c r="DN154" i="30" s="1"/>
  <c r="HK38" i="30"/>
  <c r="AI38" i="30" s="1"/>
  <c r="HD136" i="30"/>
  <c r="AH136" i="30" s="1"/>
  <c r="ED60" i="30"/>
  <c r="DW136" i="30"/>
  <c r="ED154" i="30" s="1"/>
  <c r="CR60" i="30"/>
  <c r="CR136" i="30"/>
  <c r="CY154" i="30" s="1"/>
  <c r="FF60" i="30"/>
  <c r="FF136" i="30"/>
  <c r="FF154" i="30" s="1"/>
  <c r="EB60" i="30"/>
  <c r="EB136" i="30"/>
  <c r="EB154" i="30" s="1"/>
  <c r="HI60" i="30"/>
  <c r="HB136" i="30"/>
  <c r="HK136" i="30"/>
  <c r="EC257" i="30"/>
  <c r="FL257" i="30"/>
  <c r="DJ254" i="30"/>
  <c r="DB271" i="30"/>
  <c r="IT60" i="30"/>
  <c r="AN60" i="30" s="1"/>
  <c r="IT136" i="30"/>
  <c r="AI184" i="30"/>
  <c r="ED274" i="30"/>
  <c r="Z197" i="30"/>
  <c r="GH274" i="30"/>
  <c r="DH60" i="30"/>
  <c r="DH136" i="30"/>
  <c r="DH154" i="30" s="1"/>
  <c r="DB60" i="30"/>
  <c r="DB136" i="30"/>
  <c r="DI154" i="30" s="1"/>
  <c r="FZ60" i="30"/>
  <c r="FZ136" i="30"/>
  <c r="GG154" i="30" s="1"/>
  <c r="DT257" i="30"/>
  <c r="JV136" i="30"/>
  <c r="KC136" i="30"/>
  <c r="KJ137" i="30" s="1"/>
  <c r="AQ214" i="30"/>
  <c r="FS136" i="30"/>
  <c r="HH60" i="30"/>
  <c r="HA136" i="30"/>
  <c r="EP60" i="30"/>
  <c r="EP136" i="30"/>
  <c r="EP154" i="30" s="1"/>
  <c r="CD60" i="30"/>
  <c r="CD136" i="30"/>
  <c r="CK154" i="30" s="1"/>
  <c r="HJ60" i="30"/>
  <c r="HC136" i="30"/>
  <c r="IM159" i="30"/>
  <c r="AM159" i="30" s="1"/>
  <c r="IM136" i="30"/>
  <c r="AU224" i="30"/>
  <c r="KH274" i="30"/>
  <c r="FC274" i="30"/>
  <c r="DG274" i="30"/>
  <c r="GM274" i="30"/>
  <c r="KG276" i="30"/>
  <c r="KN277" i="30" s="1"/>
  <c r="FG197" i="30"/>
  <c r="U171" i="30"/>
  <c r="EE187" i="30"/>
  <c r="DG276" i="30"/>
  <c r="DJ187" i="30"/>
  <c r="AO194" i="30"/>
  <c r="JH187" i="30"/>
  <c r="GV276" i="30"/>
  <c r="GV277" i="30" s="1"/>
  <c r="HC274" i="30"/>
  <c r="S264" i="30"/>
  <c r="JV217" i="30"/>
  <c r="DM274" i="30"/>
  <c r="AU187" i="30"/>
  <c r="AL176" i="30"/>
  <c r="JV197" i="30"/>
  <c r="AV254" i="30"/>
  <c r="AS264" i="30"/>
  <c r="DJ273" i="30"/>
  <c r="EK274" i="30"/>
  <c r="KH276" i="30"/>
  <c r="KH277" i="30" s="1"/>
  <c r="AO171" i="30"/>
  <c r="AK254" i="30"/>
  <c r="AE171" i="30"/>
  <c r="EE227" i="30"/>
  <c r="EI274" i="30"/>
  <c r="DA274" i="30"/>
  <c r="AT237" i="30"/>
  <c r="GO274" i="30"/>
  <c r="KC227" i="30"/>
  <c r="P184" i="30"/>
  <c r="AH214" i="30"/>
  <c r="AQ216" i="30"/>
  <c r="AP216" i="30"/>
  <c r="AP217" i="30" s="1"/>
  <c r="GH276" i="30"/>
  <c r="GO277" i="30" s="1"/>
  <c r="EE244" i="30"/>
  <c r="KC237" i="30"/>
  <c r="AH186" i="30"/>
  <c r="AI187" i="30" s="1"/>
  <c r="AB214" i="30"/>
  <c r="DW271" i="30"/>
  <c r="GI207" i="30"/>
  <c r="EZ187" i="30"/>
  <c r="Y194" i="30"/>
  <c r="KJ237" i="30"/>
  <c r="AH171" i="30"/>
  <c r="KM326" i="30"/>
  <c r="DG60" i="30"/>
  <c r="IZ276" i="30"/>
  <c r="IZ277" i="30" s="1"/>
  <c r="DC237" i="30"/>
  <c r="AV184" i="30"/>
  <c r="Y253" i="30"/>
  <c r="Y256" i="30" s="1"/>
  <c r="ED276" i="30"/>
  <c r="EK277" i="30" s="1"/>
  <c r="FM257" i="30"/>
  <c r="FN177" i="30"/>
  <c r="EE197" i="30"/>
  <c r="KC60" i="30"/>
  <c r="AS60" i="30" s="1"/>
  <c r="FN237" i="30"/>
  <c r="AN184" i="30"/>
  <c r="AS226" i="30"/>
  <c r="AS227" i="30" s="1"/>
  <c r="II160" i="30"/>
  <c r="II161" i="30" s="1"/>
  <c r="AN37" i="30"/>
  <c r="IM38" i="30"/>
  <c r="AM38" i="30" s="1"/>
  <c r="JK274" i="30"/>
  <c r="IK274" i="30"/>
  <c r="JO187" i="30"/>
  <c r="AB171" i="30"/>
  <c r="AT217" i="30"/>
  <c r="AF204" i="30"/>
  <c r="S204" i="30"/>
  <c r="S207" i="30"/>
  <c r="EP274" i="30"/>
  <c r="HB274" i="30"/>
  <c r="FZ276" i="30"/>
  <c r="GG277" i="30" s="1"/>
  <c r="AF257" i="30"/>
  <c r="AN187" i="30"/>
  <c r="KC271" i="30"/>
  <c r="AR171" i="30"/>
  <c r="HK267" i="30"/>
  <c r="ES197" i="30"/>
  <c r="CO217" i="30"/>
  <c r="JV60" i="30"/>
  <c r="AR60" i="30" s="1"/>
  <c r="N183" i="30"/>
  <c r="N186" i="30" s="1"/>
  <c r="O187" i="30" s="1"/>
  <c r="AM184" i="30"/>
  <c r="FU237" i="30"/>
  <c r="T207" i="30"/>
  <c r="HY187" i="30"/>
  <c r="JZ160" i="30"/>
  <c r="JZ161" i="30" s="1"/>
  <c r="KT160" i="30"/>
  <c r="KT161" i="30" s="1"/>
  <c r="CA151" i="30"/>
  <c r="O151" i="30" s="1"/>
  <c r="ID274" i="30"/>
  <c r="AQ237" i="30"/>
  <c r="KQ227" i="30"/>
  <c r="EL227" i="30"/>
  <c r="AA194" i="30"/>
  <c r="EB276" i="30"/>
  <c r="EW257" i="30"/>
  <c r="AB216" i="30"/>
  <c r="AC217" i="30" s="1"/>
  <c r="AQ234" i="30"/>
  <c r="Y227" i="30"/>
  <c r="AE254" i="30"/>
  <c r="AC214" i="30"/>
  <c r="HR237" i="30"/>
  <c r="GG247" i="30"/>
  <c r="KC38" i="30"/>
  <c r="AS38" i="30" s="1"/>
  <c r="KO137" i="30"/>
  <c r="Z171" i="30"/>
  <c r="DQ197" i="30"/>
  <c r="JD247" i="30"/>
  <c r="Q184" i="30"/>
  <c r="N233" i="30"/>
  <c r="N236" i="30" s="1"/>
  <c r="O237" i="30" s="1"/>
  <c r="AM37" i="30"/>
  <c r="DC317" i="30"/>
  <c r="S317" i="30" s="1"/>
  <c r="IE274" i="30"/>
  <c r="FC257" i="30"/>
  <c r="GB177" i="30"/>
  <c r="HD271" i="30"/>
  <c r="AT234" i="30"/>
  <c r="AG256" i="30"/>
  <c r="AG257" i="30" s="1"/>
  <c r="Q186" i="30"/>
  <c r="Q187" i="30" s="1"/>
  <c r="Y243" i="30"/>
  <c r="Y246" i="30" s="1"/>
  <c r="GU276" i="30"/>
  <c r="FL271" i="30"/>
  <c r="CT276" i="30"/>
  <c r="AB267" i="30"/>
  <c r="HD187" i="30"/>
  <c r="KC197" i="30"/>
  <c r="DJ237" i="30"/>
  <c r="JA177" i="30"/>
  <c r="JF247" i="30"/>
  <c r="EE177" i="30"/>
  <c r="X243" i="30"/>
  <c r="X246" i="30" s="1"/>
  <c r="HJ277" i="30"/>
  <c r="V251" i="30"/>
  <c r="N173" i="30"/>
  <c r="IK277" i="30"/>
  <c r="DV257" i="30"/>
  <c r="AN171" i="30"/>
  <c r="FR328" i="30"/>
  <c r="HX326" i="30"/>
  <c r="AS243" i="30"/>
  <c r="Q253" i="30"/>
  <c r="IS277" i="30"/>
  <c r="ER257" i="30"/>
  <c r="Z243" i="30"/>
  <c r="JT160" i="30"/>
  <c r="JT161" i="30" s="1"/>
  <c r="HK187" i="30"/>
  <c r="IM187" i="30"/>
  <c r="IM227" i="30"/>
  <c r="JG247" i="30"/>
  <c r="CV227" i="30"/>
  <c r="Y171" i="30"/>
  <c r="GP267" i="30"/>
  <c r="JV257" i="30"/>
  <c r="W251" i="30"/>
  <c r="EV247" i="30"/>
  <c r="AU214" i="30"/>
  <c r="JY247" i="30"/>
  <c r="JH207" i="30"/>
  <c r="GI217" i="30"/>
  <c r="JH217" i="30"/>
  <c r="GI271" i="30"/>
  <c r="CA184" i="30"/>
  <c r="EB257" i="30"/>
  <c r="GW271" i="30"/>
  <c r="S243" i="30"/>
  <c r="S246" i="30" s="1"/>
  <c r="AM243" i="30"/>
  <c r="AM246" i="30" s="1"/>
  <c r="HY267" i="30"/>
  <c r="JV267" i="30"/>
  <c r="R207" i="30"/>
  <c r="AR243" i="30"/>
  <c r="AR246" i="30" s="1"/>
  <c r="AA243" i="30"/>
  <c r="AA246" i="30" s="1"/>
  <c r="JL326" i="30"/>
  <c r="CA317" i="30"/>
  <c r="O317" i="30" s="1"/>
  <c r="BQ273" i="30"/>
  <c r="BQ276" i="30" s="1"/>
  <c r="N193" i="30"/>
  <c r="N196" i="30" s="1"/>
  <c r="O197" i="30" s="1"/>
  <c r="IB274" i="30"/>
  <c r="EL247" i="30"/>
  <c r="EV257" i="30"/>
  <c r="EI271" i="30"/>
  <c r="FJ271" i="30"/>
  <c r="AM197" i="30"/>
  <c r="ES244" i="30"/>
  <c r="KJ271" i="30"/>
  <c r="DQ217" i="30"/>
  <c r="GI267" i="30"/>
  <c r="Y176" i="30"/>
  <c r="FG177" i="30"/>
  <c r="IF207" i="30"/>
  <c r="DI155" i="29"/>
  <c r="LE143" i="30"/>
  <c r="AW143" i="30" s="1"/>
  <c r="AW180" i="30"/>
  <c r="AW181" i="30" s="1"/>
  <c r="AW250" i="30"/>
  <c r="AW251" i="30" s="1"/>
  <c r="AW260" i="30"/>
  <c r="AW261" i="30" s="1"/>
  <c r="AW12" i="30"/>
  <c r="AW203" i="30" s="1"/>
  <c r="AX260" i="30"/>
  <c r="LS69" i="30"/>
  <c r="V246" i="30"/>
  <c r="IT274" i="30"/>
  <c r="IT276" i="30"/>
  <c r="IM274" i="30"/>
  <c r="IM276" i="30"/>
  <c r="AC251" i="30"/>
  <c r="AW96" i="30"/>
  <c r="KM160" i="30"/>
  <c r="KM161" i="30" s="1"/>
  <c r="AI243" i="30"/>
  <c r="AU273" i="30"/>
  <c r="CH273" i="30"/>
  <c r="EZ244" i="30"/>
  <c r="EI276" i="30"/>
  <c r="EX271" i="30"/>
  <c r="CS257" i="30"/>
  <c r="CS271" i="30"/>
  <c r="DQ253" i="30"/>
  <c r="DX254" i="30" s="1"/>
  <c r="AR184" i="30"/>
  <c r="AR186" i="30"/>
  <c r="DC267" i="30"/>
  <c r="AV196" i="30"/>
  <c r="AV194" i="30"/>
  <c r="AF241" i="30"/>
  <c r="AF270" i="30"/>
  <c r="AJ194" i="30"/>
  <c r="AI196" i="30"/>
  <c r="AI194" i="30"/>
  <c r="X264" i="30"/>
  <c r="X266" i="30"/>
  <c r="X267" i="30" s="1"/>
  <c r="HR207" i="30"/>
  <c r="W216" i="30"/>
  <c r="W217" i="30" s="1"/>
  <c r="W214" i="30"/>
  <c r="ES217" i="30"/>
  <c r="KX227" i="30"/>
  <c r="V196" i="30"/>
  <c r="W197" i="30" s="1"/>
  <c r="V194" i="30"/>
  <c r="Z241" i="30"/>
  <c r="Z270" i="30"/>
  <c r="Z227" i="30"/>
  <c r="AP204" i="30"/>
  <c r="AP206" i="30"/>
  <c r="AP207" i="30" s="1"/>
  <c r="KC244" i="30"/>
  <c r="KC246" i="30"/>
  <c r="AL256" i="30"/>
  <c r="AL257" i="30" s="1"/>
  <c r="AL254" i="30"/>
  <c r="W186" i="30"/>
  <c r="W184" i="30"/>
  <c r="AD217" i="30"/>
  <c r="AB253" i="30"/>
  <c r="AR176" i="30"/>
  <c r="AO264" i="30"/>
  <c r="AO266" i="30"/>
  <c r="AP267" i="30" s="1"/>
  <c r="AE236" i="30"/>
  <c r="AF237" i="30" s="1"/>
  <c r="AE234" i="30"/>
  <c r="AA184" i="30"/>
  <c r="AA186" i="30"/>
  <c r="AA187" i="30" s="1"/>
  <c r="AT266" i="30"/>
  <c r="AT267" i="30" s="1"/>
  <c r="AT264" i="30"/>
  <c r="AD196" i="30"/>
  <c r="AE197" i="30" s="1"/>
  <c r="AD194" i="30"/>
  <c r="P267" i="30"/>
  <c r="EZ237" i="30"/>
  <c r="JV237" i="30"/>
  <c r="DQ237" i="30"/>
  <c r="AN264" i="30"/>
  <c r="AN266" i="30"/>
  <c r="AN267" i="30" s="1"/>
  <c r="AK204" i="30"/>
  <c r="AK206" i="30"/>
  <c r="AL204" i="30"/>
  <c r="AL206" i="30"/>
  <c r="AM207" i="30" s="1"/>
  <c r="AU196" i="30"/>
  <c r="AU194" i="30"/>
  <c r="KC267" i="30"/>
  <c r="IF271" i="30"/>
  <c r="IF267" i="30"/>
  <c r="AE194" i="30"/>
  <c r="X176" i="30"/>
  <c r="X174" i="30"/>
  <c r="AP194" i="30"/>
  <c r="AP196" i="30"/>
  <c r="AP197" i="30" s="1"/>
  <c r="T171" i="30"/>
  <c r="IT267" i="30"/>
  <c r="Y236" i="30"/>
  <c r="Y237" i="30" s="1"/>
  <c r="Y234" i="30"/>
  <c r="GA244" i="30"/>
  <c r="FT246" i="30"/>
  <c r="GA247" i="30" s="1"/>
  <c r="DX177" i="30"/>
  <c r="IF217" i="30"/>
  <c r="KC187" i="30"/>
  <c r="T266" i="30"/>
  <c r="T267" i="30" s="1"/>
  <c r="T264" i="30"/>
  <c r="S224" i="30"/>
  <c r="S226" i="30"/>
  <c r="AQ194" i="30"/>
  <c r="FN184" i="30"/>
  <c r="FN186" i="30"/>
  <c r="FN187" i="30" s="1"/>
  <c r="AT256" i="30"/>
  <c r="AT254" i="30"/>
  <c r="AA197" i="30"/>
  <c r="AM270" i="30"/>
  <c r="AM241" i="30"/>
  <c r="AW99" i="30"/>
  <c r="R243" i="30"/>
  <c r="Z251" i="30"/>
  <c r="AD246" i="30"/>
  <c r="AW100" i="30"/>
  <c r="AT273" i="30"/>
  <c r="N263" i="30"/>
  <c r="AU243" i="30"/>
  <c r="AV244" i="30" s="1"/>
  <c r="R251" i="30"/>
  <c r="GI273" i="30"/>
  <c r="GI276" i="30" s="1"/>
  <c r="CN274" i="30"/>
  <c r="CM273" i="30"/>
  <c r="CT274" i="30" s="1"/>
  <c r="DW257" i="30"/>
  <c r="KX271" i="30"/>
  <c r="LE271" i="30"/>
  <c r="AH194" i="30"/>
  <c r="AH196" i="30"/>
  <c r="AT196" i="30"/>
  <c r="AT194" i="30"/>
  <c r="Y216" i="30"/>
  <c r="Y217" i="30" s="1"/>
  <c r="Y214" i="30"/>
  <c r="O216" i="30"/>
  <c r="AE186" i="30"/>
  <c r="AE187" i="30" s="1"/>
  <c r="AE184" i="30"/>
  <c r="AV264" i="30"/>
  <c r="AV266" i="30"/>
  <c r="AV267" i="30" s="1"/>
  <c r="JH227" i="30"/>
  <c r="HD237" i="30"/>
  <c r="Q226" i="30"/>
  <c r="Q224" i="30"/>
  <c r="P236" i="30"/>
  <c r="P237" i="30" s="1"/>
  <c r="P234" i="30"/>
  <c r="HD207" i="30"/>
  <c r="AD206" i="30"/>
  <c r="AD207" i="30" s="1"/>
  <c r="AD204" i="30"/>
  <c r="AI254" i="30"/>
  <c r="AI256" i="30"/>
  <c r="X196" i="30"/>
  <c r="X197" i="30" s="1"/>
  <c r="X194" i="30"/>
  <c r="AD214" i="30"/>
  <c r="JH197" i="30"/>
  <c r="AF264" i="30"/>
  <c r="AF266" i="30"/>
  <c r="DX197" i="30"/>
  <c r="AK184" i="30"/>
  <c r="AK186" i="30"/>
  <c r="AK187" i="30" s="1"/>
  <c r="HR271" i="30"/>
  <c r="IP247" i="30"/>
  <c r="U184" i="30"/>
  <c r="U186" i="30"/>
  <c r="R234" i="30"/>
  <c r="R236" i="30"/>
  <c r="KX177" i="30"/>
  <c r="LE177" i="30"/>
  <c r="AJ234" i="30"/>
  <c r="AJ236" i="30"/>
  <c r="AK237" i="30" s="1"/>
  <c r="P196" i="30"/>
  <c r="P197" i="30" s="1"/>
  <c r="P194" i="30"/>
  <c r="AQ254" i="30"/>
  <c r="AQ256" i="30"/>
  <c r="EZ217" i="30"/>
  <c r="Y174" i="30"/>
  <c r="CO267" i="30"/>
  <c r="R171" i="30"/>
  <c r="AK171" i="30"/>
  <c r="DC217" i="30"/>
  <c r="JO217" i="30"/>
  <c r="GI237" i="30"/>
  <c r="AL216" i="30"/>
  <c r="AL214" i="30"/>
  <c r="AM216" i="30"/>
  <c r="AM214" i="30"/>
  <c r="P216" i="30"/>
  <c r="P214" i="30"/>
  <c r="KX207" i="30"/>
  <c r="LE207" i="30"/>
  <c r="HD177" i="30"/>
  <c r="HR227" i="30"/>
  <c r="FU241" i="30"/>
  <c r="AR237" i="30"/>
  <c r="T270" i="30"/>
  <c r="T241" i="30"/>
  <c r="AV241" i="30"/>
  <c r="AV270" i="30"/>
  <c r="DX227" i="30"/>
  <c r="GP227" i="30"/>
  <c r="AP264" i="30"/>
  <c r="U234" i="30"/>
  <c r="U236" i="30"/>
  <c r="U237" i="30" s="1"/>
  <c r="AB194" i="30"/>
  <c r="JA273" i="30"/>
  <c r="JA274" i="30" s="1"/>
  <c r="N240" i="30"/>
  <c r="N270" i="30" s="1"/>
  <c r="N170" i="30"/>
  <c r="O171" i="30" s="1"/>
  <c r="FR273" i="30"/>
  <c r="FY274" i="30" s="1"/>
  <c r="AJ204" i="30"/>
  <c r="AJ206" i="30"/>
  <c r="AJ207" i="30" s="1"/>
  <c r="AA224" i="30"/>
  <c r="AA226" i="30"/>
  <c r="AA227" i="30" s="1"/>
  <c r="JV244" i="30"/>
  <c r="JV246" i="30"/>
  <c r="FN197" i="30"/>
  <c r="AU270" i="30"/>
  <c r="AU241" i="30"/>
  <c r="S234" i="30"/>
  <c r="S236" i="30"/>
  <c r="FU267" i="30"/>
  <c r="R214" i="30"/>
  <c r="R216" i="30"/>
  <c r="AO236" i="30"/>
  <c r="AP237" i="30" s="1"/>
  <c r="AO234" i="30"/>
  <c r="KX273" i="30"/>
  <c r="W270" i="30"/>
  <c r="W241" i="30"/>
  <c r="AG264" i="30"/>
  <c r="AG266" i="30"/>
  <c r="AP234" i="30"/>
  <c r="FT187" i="30"/>
  <c r="GA187" i="30"/>
  <c r="AB234" i="30"/>
  <c r="AB236" i="30"/>
  <c r="AB237" i="30" s="1"/>
  <c r="AT270" i="30"/>
  <c r="AT241" i="30"/>
  <c r="AD236" i="30"/>
  <c r="AD234" i="30"/>
  <c r="AV226" i="30"/>
  <c r="AV227" i="30" s="1"/>
  <c r="AV224" i="30"/>
  <c r="Z264" i="30"/>
  <c r="Z266" i="30"/>
  <c r="JO244" i="30"/>
  <c r="JO246" i="30"/>
  <c r="R194" i="30"/>
  <c r="R196" i="30"/>
  <c r="S197" i="30" s="1"/>
  <c r="AA264" i="30"/>
  <c r="GI177" i="30"/>
  <c r="AP254" i="30"/>
  <c r="AP256" i="30"/>
  <c r="AL270" i="30"/>
  <c r="AL241" i="30"/>
  <c r="AJ224" i="30"/>
  <c r="AJ226" i="30"/>
  <c r="AJ227" i="30" s="1"/>
  <c r="AK174" i="30"/>
  <c r="AK176" i="30"/>
  <c r="R241" i="30"/>
  <c r="R270" i="30"/>
  <c r="DQ267" i="30"/>
  <c r="AK270" i="30"/>
  <c r="AK241" i="30"/>
  <c r="AF226" i="30"/>
  <c r="AG227" i="30" s="1"/>
  <c r="AF224" i="30"/>
  <c r="AG224" i="30"/>
  <c r="AI217" i="30"/>
  <c r="FG187" i="30"/>
  <c r="V217" i="30"/>
  <c r="AV171" i="30"/>
  <c r="AG171" i="30"/>
  <c r="IM217" i="30"/>
  <c r="KQ197" i="30"/>
  <c r="AA174" i="30"/>
  <c r="AA176" i="30"/>
  <c r="U264" i="30"/>
  <c r="GW197" i="30"/>
  <c r="AA171" i="30"/>
  <c r="T253" i="30"/>
  <c r="EZ273" i="30"/>
  <c r="Q243" i="30"/>
  <c r="AB183" i="30"/>
  <c r="AC181" i="30"/>
  <c r="FY108" i="30"/>
  <c r="DX246" i="30"/>
  <c r="EE247" i="30" s="1"/>
  <c r="CL276" i="30"/>
  <c r="CL277" i="30" s="1"/>
  <c r="KX267" i="30"/>
  <c r="LE267" i="30"/>
  <c r="AK214" i="30"/>
  <c r="AK216" i="30"/>
  <c r="KX257" i="30"/>
  <c r="LE257" i="30"/>
  <c r="EE267" i="30"/>
  <c r="AO254" i="30"/>
  <c r="AO256" i="30"/>
  <c r="Q176" i="30"/>
  <c r="W176" i="30"/>
  <c r="W174" i="30"/>
  <c r="EA267" i="30"/>
  <c r="EH267" i="30"/>
  <c r="FG227" i="30"/>
  <c r="U270" i="30"/>
  <c r="U241" i="30"/>
  <c r="HK197" i="30"/>
  <c r="EL267" i="30"/>
  <c r="AP184" i="30"/>
  <c r="AP186" i="30"/>
  <c r="KJ177" i="30"/>
  <c r="KM247" i="30"/>
  <c r="AJ266" i="30"/>
  <c r="AJ267" i="30" s="1"/>
  <c r="AJ264" i="30"/>
  <c r="AN196" i="30"/>
  <c r="AN197" i="30" s="1"/>
  <c r="AN194" i="30"/>
  <c r="GW267" i="30"/>
  <c r="GP257" i="30"/>
  <c r="AU207" i="30"/>
  <c r="GB267" i="30"/>
  <c r="AT226" i="30"/>
  <c r="AT224" i="30"/>
  <c r="V204" i="30"/>
  <c r="V206" i="30"/>
  <c r="JO267" i="30"/>
  <c r="AR266" i="30"/>
  <c r="AS267" i="30" s="1"/>
  <c r="AR264" i="30"/>
  <c r="AL236" i="30"/>
  <c r="AL237" i="30" s="1"/>
  <c r="AL234" i="30"/>
  <c r="AN226" i="30"/>
  <c r="AN224" i="30"/>
  <c r="DJ177" i="30"/>
  <c r="JA267" i="30"/>
  <c r="W236" i="30"/>
  <c r="W237" i="30" s="1"/>
  <c r="W234" i="30"/>
  <c r="JO271" i="30"/>
  <c r="JV271" i="30"/>
  <c r="IF237" i="30"/>
  <c r="T184" i="30"/>
  <c r="T186" i="30"/>
  <c r="T187" i="30" s="1"/>
  <c r="AH254" i="30"/>
  <c r="AH256" i="30"/>
  <c r="AB176" i="30"/>
  <c r="FU177" i="30"/>
  <c r="Q264" i="30"/>
  <c r="Q266" i="30"/>
  <c r="Q267" i="30" s="1"/>
  <c r="FR187" i="30"/>
  <c r="FY187" i="30"/>
  <c r="Z234" i="30"/>
  <c r="Z236" i="30"/>
  <c r="AG241" i="30"/>
  <c r="AG270" i="30"/>
  <c r="IM177" i="30"/>
  <c r="GW227" i="30"/>
  <c r="HK217" i="30"/>
  <c r="AU236" i="30"/>
  <c r="AU237" i="30" s="1"/>
  <c r="AU234" i="30"/>
  <c r="AM204" i="30"/>
  <c r="FU184" i="30"/>
  <c r="FU186" i="30"/>
  <c r="GB184" i="30"/>
  <c r="AA241" i="30"/>
  <c r="AA270" i="30"/>
  <c r="W253" i="30"/>
  <c r="AF243" i="30"/>
  <c r="AW170" i="30"/>
  <c r="AW171" i="30" s="1"/>
  <c r="U251" i="30"/>
  <c r="U243" i="30"/>
  <c r="W243" i="30"/>
  <c r="AT243" i="30"/>
  <c r="N213" i="30"/>
  <c r="N216" i="30" s="1"/>
  <c r="FM271" i="30"/>
  <c r="DM257" i="30"/>
  <c r="DB257" i="30"/>
  <c r="AM226" i="30"/>
  <c r="AM227" i="30" s="1"/>
  <c r="AM224" i="30"/>
  <c r="IF177" i="30"/>
  <c r="R224" i="30"/>
  <c r="R226" i="30"/>
  <c r="T224" i="30"/>
  <c r="T226" i="30"/>
  <c r="U227" i="30" s="1"/>
  <c r="AK224" i="30"/>
  <c r="AK226" i="30"/>
  <c r="ES237" i="30"/>
  <c r="DJ267" i="30"/>
  <c r="DC227" i="30"/>
  <c r="R264" i="30"/>
  <c r="R266" i="30"/>
  <c r="S267" i="30" s="1"/>
  <c r="DJ227" i="30"/>
  <c r="T174" i="30"/>
  <c r="T176" i="30"/>
  <c r="AQ264" i="30"/>
  <c r="AQ266" i="30"/>
  <c r="S241" i="30"/>
  <c r="S270" i="30"/>
  <c r="U194" i="30"/>
  <c r="U196" i="30"/>
  <c r="U197" i="30" s="1"/>
  <c r="GW217" i="30"/>
  <c r="Z176" i="30"/>
  <c r="X186" i="30"/>
  <c r="X184" i="30"/>
  <c r="AO176" i="30"/>
  <c r="AD251" i="30"/>
  <c r="JV177" i="30"/>
  <c r="EL207" i="30"/>
  <c r="ES207" i="30"/>
  <c r="P187" i="30"/>
  <c r="EZ267" i="30"/>
  <c r="AE216" i="30"/>
  <c r="AE217" i="30" s="1"/>
  <c r="AE214" i="30"/>
  <c r="AN216" i="30"/>
  <c r="AN214" i="30"/>
  <c r="HR267" i="30"/>
  <c r="JN247" i="30"/>
  <c r="AG204" i="30"/>
  <c r="AG206" i="30"/>
  <c r="AG207" i="30" s="1"/>
  <c r="AQ184" i="30"/>
  <c r="AQ186" i="30"/>
  <c r="AE270" i="30"/>
  <c r="AE241" i="30"/>
  <c r="IF257" i="30"/>
  <c r="CH187" i="30"/>
  <c r="AH264" i="30"/>
  <c r="AH266" i="30"/>
  <c r="GW257" i="30"/>
  <c r="JA217" i="30"/>
  <c r="AJ256" i="30"/>
  <c r="AJ254" i="30"/>
  <c r="AF234" i="30"/>
  <c r="AJ171" i="30"/>
  <c r="V186" i="30"/>
  <c r="V184" i="30"/>
  <c r="CO187" i="30"/>
  <c r="V176" i="30"/>
  <c r="V174" i="30"/>
  <c r="AM176" i="30"/>
  <c r="AM174" i="30"/>
  <c r="AI234" i="30"/>
  <c r="AI236" i="30"/>
  <c r="AI237" i="30" s="1"/>
  <c r="V171" i="30"/>
  <c r="AG196" i="30"/>
  <c r="AG194" i="30"/>
  <c r="AP171" i="30"/>
  <c r="AU264" i="30"/>
  <c r="O270" i="30"/>
  <c r="AB174" i="30"/>
  <c r="AC224" i="30"/>
  <c r="AC226" i="30"/>
  <c r="GP207" i="30"/>
  <c r="AB197" i="30"/>
  <c r="P171" i="30"/>
  <c r="AK194" i="30"/>
  <c r="AK196" i="30"/>
  <c r="AK197" i="30" s="1"/>
  <c r="AJ187" i="30"/>
  <c r="AA214" i="30"/>
  <c r="AA216" i="30"/>
  <c r="AB217" i="30" s="1"/>
  <c r="IM244" i="30"/>
  <c r="IM246" i="30"/>
  <c r="IM247" i="30" s="1"/>
  <c r="Q236" i="30"/>
  <c r="Q234" i="30"/>
  <c r="KX187" i="30"/>
  <c r="AA251" i="30"/>
  <c r="X251" i="30"/>
  <c r="AG236" i="30"/>
  <c r="AG237" i="30" s="1"/>
  <c r="AG234" i="30"/>
  <c r="Q270" i="30"/>
  <c r="Q241" i="30"/>
  <c r="AC266" i="30"/>
  <c r="AC267" i="30" s="1"/>
  <c r="AC264" i="30"/>
  <c r="AC234" i="30"/>
  <c r="AC236" i="30"/>
  <c r="AS256" i="30"/>
  <c r="AS257" i="30" s="1"/>
  <c r="AS254" i="30"/>
  <c r="AS174" i="30"/>
  <c r="AS176" i="30"/>
  <c r="AT176" i="30"/>
  <c r="AT174" i="30"/>
  <c r="AQ176" i="30"/>
  <c r="AQ174" i="30"/>
  <c r="KJ244" i="30"/>
  <c r="KJ246" i="30"/>
  <c r="AI241" i="30"/>
  <c r="AI270" i="30"/>
  <c r="KQ244" i="30"/>
  <c r="KQ246" i="30"/>
  <c r="AO186" i="30"/>
  <c r="AO187" i="30" s="1"/>
  <c r="AO184" i="30"/>
  <c r="P204" i="30"/>
  <c r="P206" i="30"/>
  <c r="P207" i="30" s="1"/>
  <c r="EZ227" i="30"/>
  <c r="Z214" i="30"/>
  <c r="Z216" i="30"/>
  <c r="R174" i="30"/>
  <c r="R176" i="30"/>
  <c r="AC194" i="30"/>
  <c r="AC196" i="30"/>
  <c r="AC197" i="30" s="1"/>
  <c r="AG216" i="30"/>
  <c r="AG214" i="30"/>
  <c r="DP273" i="30"/>
  <c r="AC171" i="30"/>
  <c r="AT214" i="30"/>
  <c r="AJ270" i="30"/>
  <c r="AJ241" i="30"/>
  <c r="CV207" i="30"/>
  <c r="GP177" i="30"/>
  <c r="EL197" i="30"/>
  <c r="AA253" i="30"/>
  <c r="JO207" i="30"/>
  <c r="EL187" i="30"/>
  <c r="AN254" i="30"/>
  <c r="AN256" i="30"/>
  <c r="AN257" i="30" s="1"/>
  <c r="V270" i="30"/>
  <c r="V241" i="30"/>
  <c r="AP241" i="30"/>
  <c r="AP270" i="30"/>
  <c r="KX237" i="30"/>
  <c r="LE237" i="30"/>
  <c r="AR204" i="30"/>
  <c r="AR206" i="30"/>
  <c r="AR207" i="30" s="1"/>
  <c r="P241" i="30"/>
  <c r="P270" i="30"/>
  <c r="AF186" i="30"/>
  <c r="AF184" i="30"/>
  <c r="HK237" i="30"/>
  <c r="CH217" i="30"/>
  <c r="X207" i="30"/>
  <c r="O256" i="30"/>
  <c r="IM237" i="30"/>
  <c r="AW95" i="30"/>
  <c r="AV246" i="30"/>
  <c r="GW273" i="30"/>
  <c r="GW276" i="30" s="1"/>
  <c r="AJ243" i="30"/>
  <c r="DQ273" i="30"/>
  <c r="FG273" i="30"/>
  <c r="CV273" i="30"/>
  <c r="AL243" i="30"/>
  <c r="FM247" i="30"/>
  <c r="CK276" i="30"/>
  <c r="CK277" i="30" s="1"/>
  <c r="EH271" i="30"/>
  <c r="Y264" i="30"/>
  <c r="Y266" i="30"/>
  <c r="AL186" i="30"/>
  <c r="AL184" i="30"/>
  <c r="V266" i="30"/>
  <c r="V267" i="30" s="1"/>
  <c r="V264" i="30"/>
  <c r="IT244" i="30"/>
  <c r="IT246" i="30"/>
  <c r="AU217" i="30"/>
  <c r="JR247" i="30"/>
  <c r="KJ197" i="30"/>
  <c r="KF247" i="30"/>
  <c r="V253" i="30"/>
  <c r="FU181" i="30"/>
  <c r="KC217" i="30"/>
  <c r="KN247" i="30"/>
  <c r="AS171" i="30"/>
  <c r="AR214" i="30"/>
  <c r="AR216" i="30"/>
  <c r="AE176" i="30"/>
  <c r="AE174" i="30"/>
  <c r="IT207" i="30"/>
  <c r="FN227" i="30"/>
  <c r="AF176" i="30"/>
  <c r="AF174" i="30"/>
  <c r="Q196" i="30"/>
  <c r="Q194" i="30"/>
  <c r="AB224" i="30"/>
  <c r="AB226" i="30"/>
  <c r="AR270" i="30"/>
  <c r="AR241" i="30"/>
  <c r="X171" i="30"/>
  <c r="KJ227" i="30"/>
  <c r="W226" i="30"/>
  <c r="W227" i="30" s="1"/>
  <c r="W224" i="30"/>
  <c r="AC240" i="30"/>
  <c r="AD241" i="30" s="1"/>
  <c r="S253" i="30"/>
  <c r="W194" i="30"/>
  <c r="JA187" i="30"/>
  <c r="AD171" i="30"/>
  <c r="AM254" i="30"/>
  <c r="AV236" i="30"/>
  <c r="AV234" i="30"/>
  <c r="AN241" i="30"/>
  <c r="AN270" i="30"/>
  <c r="HD267" i="30"/>
  <c r="FS187" i="30"/>
  <c r="FZ187" i="30"/>
  <c r="AH204" i="30"/>
  <c r="AH206" i="30"/>
  <c r="HR257" i="30"/>
  <c r="O176" i="30"/>
  <c r="AQ171" i="30"/>
  <c r="AV176" i="30"/>
  <c r="FU217" i="30"/>
  <c r="HY207" i="30"/>
  <c r="EL177" i="30"/>
  <c r="AG176" i="30"/>
  <c r="AR227" i="30"/>
  <c r="AN204" i="30"/>
  <c r="AN206" i="30"/>
  <c r="AN207" i="30" s="1"/>
  <c r="AW98" i="30"/>
  <c r="O243" i="30"/>
  <c r="KN326" i="30"/>
  <c r="N253" i="30"/>
  <c r="N256" i="30" s="1"/>
  <c r="AH243" i="30"/>
  <c r="CA273" i="30"/>
  <c r="CA276" i="30" s="1"/>
  <c r="HR273" i="30"/>
  <c r="HR276" i="30" s="1"/>
  <c r="GP273" i="30"/>
  <c r="GP276" i="30" s="1"/>
  <c r="CR271" i="30"/>
  <c r="DV271" i="30"/>
  <c r="AI174" i="30"/>
  <c r="AI176" i="30"/>
  <c r="AS194" i="30"/>
  <c r="AS196" i="30"/>
  <c r="AS197" i="30" s="1"/>
  <c r="AF196" i="30"/>
  <c r="AF197" i="30" s="1"/>
  <c r="AF194" i="30"/>
  <c r="AB240" i="30"/>
  <c r="AP174" i="30"/>
  <c r="AP176" i="30"/>
  <c r="CH271" i="30"/>
  <c r="AE206" i="30"/>
  <c r="AE204" i="30"/>
  <c r="AG186" i="30"/>
  <c r="AG184" i="30"/>
  <c r="AD256" i="30"/>
  <c r="AO241" i="30"/>
  <c r="AO270" i="30"/>
  <c r="AF216" i="30"/>
  <c r="AF214" i="30"/>
  <c r="X214" i="30"/>
  <c r="HR177" i="30"/>
  <c r="KQ271" i="30"/>
  <c r="U224" i="30"/>
  <c r="JH271" i="30"/>
  <c r="JA271" i="30"/>
  <c r="Y186" i="30"/>
  <c r="Y184" i="30"/>
  <c r="JO227" i="30"/>
  <c r="AS270" i="30"/>
  <c r="AS241" i="30"/>
  <c r="O226" i="30"/>
  <c r="P226" i="30"/>
  <c r="P224" i="30"/>
  <c r="AN236" i="30"/>
  <c r="AN237" i="30" s="1"/>
  <c r="AN234" i="30"/>
  <c r="U174" i="30"/>
  <c r="U176" i="30"/>
  <c r="JA237" i="30"/>
  <c r="DQ227" i="30"/>
  <c r="DC207" i="30"/>
  <c r="Y241" i="30"/>
  <c r="Y270" i="30"/>
  <c r="AE266" i="30"/>
  <c r="AE267" i="30" s="1"/>
  <c r="AE264" i="30"/>
  <c r="HK271" i="30"/>
  <c r="X241" i="30"/>
  <c r="X270" i="30"/>
  <c r="S214" i="30"/>
  <c r="S216" i="30"/>
  <c r="AU256" i="30"/>
  <c r="AU254" i="30"/>
  <c r="S174" i="30"/>
  <c r="S176" i="30"/>
  <c r="CH207" i="30"/>
  <c r="IT187" i="30"/>
  <c r="AD176" i="30"/>
  <c r="AD174" i="30"/>
  <c r="Q204" i="30"/>
  <c r="AS204" i="30"/>
  <c r="AS206" i="30"/>
  <c r="AQ204" i="30"/>
  <c r="GI227" i="30"/>
  <c r="HR187" i="30"/>
  <c r="AD270" i="30"/>
  <c r="AM257" i="30"/>
  <c r="KJ257" i="30"/>
  <c r="FU197" i="30"/>
  <c r="AH241" i="30"/>
  <c r="AH270" i="30"/>
  <c r="AS184" i="30"/>
  <c r="JO257" i="30"/>
  <c r="V227" i="30"/>
  <c r="KX244" i="30"/>
  <c r="KX246" i="30"/>
  <c r="AQ241" i="30"/>
  <c r="AQ270" i="30"/>
  <c r="KQ273" i="30"/>
  <c r="AE226" i="30"/>
  <c r="AE227" i="30" s="1"/>
  <c r="AE224" i="30"/>
  <c r="IT271" i="30"/>
  <c r="IT257" i="30"/>
  <c r="CV187" i="30"/>
  <c r="Q216" i="30"/>
  <c r="Q214" i="30"/>
  <c r="JH177" i="30"/>
  <c r="U204" i="30"/>
  <c r="U206" i="30"/>
  <c r="U207" i="30" s="1"/>
  <c r="AJ174" i="30"/>
  <c r="AJ176" i="30"/>
  <c r="AM171" i="30"/>
  <c r="KX217" i="30"/>
  <c r="DW276" i="30"/>
  <c r="EB271" i="30"/>
  <c r="CM247" i="30"/>
  <c r="CN276" i="30"/>
  <c r="CN277" i="30" s="1"/>
  <c r="CR276" i="30"/>
  <c r="IR277" i="30"/>
  <c r="ED271" i="30"/>
  <c r="EW271" i="30"/>
  <c r="EQ271" i="30"/>
  <c r="BX108" i="30"/>
  <c r="EQ247" i="30"/>
  <c r="CZ271" i="30"/>
  <c r="CS276" i="30"/>
  <c r="EC271" i="30"/>
  <c r="FK127" i="30"/>
  <c r="EX276" i="30"/>
  <c r="FF271" i="30"/>
  <c r="DV276" i="30"/>
  <c r="CD326" i="30"/>
  <c r="EV271" i="30"/>
  <c r="R90" i="30"/>
  <c r="II274" i="30"/>
  <c r="IL274" i="30"/>
  <c r="CZ276" i="30"/>
  <c r="DM271" i="30"/>
  <c r="CZ257" i="30"/>
  <c r="EH257" i="30"/>
  <c r="FE271" i="30"/>
  <c r="DN257" i="30"/>
  <c r="FD257" i="30"/>
  <c r="DI257" i="30"/>
  <c r="DN271" i="30"/>
  <c r="FF257" i="30"/>
  <c r="DB276" i="30"/>
  <c r="DI271" i="30"/>
  <c r="EQ257" i="30"/>
  <c r="EI257" i="30"/>
  <c r="FD271" i="30"/>
  <c r="DA257" i="30"/>
  <c r="FS257" i="30"/>
  <c r="FZ257" i="30"/>
  <c r="DX256" i="30"/>
  <c r="DQ251" i="30"/>
  <c r="DQ270" i="30"/>
  <c r="EO271" i="30"/>
  <c r="EJ271" i="30"/>
  <c r="EO257" i="30"/>
  <c r="CT271" i="30"/>
  <c r="DU271" i="30"/>
  <c r="EP271" i="30"/>
  <c r="FT271" i="30"/>
  <c r="GA271" i="30"/>
  <c r="DT271" i="30"/>
  <c r="FQ271" i="30"/>
  <c r="FX271" i="30"/>
  <c r="FU256" i="30"/>
  <c r="GB254" i="30"/>
  <c r="FU254" i="30"/>
  <c r="FN251" i="30"/>
  <c r="FN270" i="30"/>
  <c r="DP257" i="30"/>
  <c r="ES254" i="30"/>
  <c r="ES256" i="30"/>
  <c r="FU251" i="30"/>
  <c r="FU270" i="30"/>
  <c r="GB251" i="30"/>
  <c r="DJ256" i="30"/>
  <c r="DJ251" i="30"/>
  <c r="DJ270" i="30"/>
  <c r="FN256" i="30"/>
  <c r="FN254" i="30"/>
  <c r="DG257" i="30"/>
  <c r="EK257" i="30"/>
  <c r="DP271" i="30"/>
  <c r="EP257" i="30"/>
  <c r="CU271" i="30"/>
  <c r="EX257" i="30"/>
  <c r="DO257" i="30"/>
  <c r="CY257" i="30"/>
  <c r="EL251" i="30"/>
  <c r="EL270" i="30"/>
  <c r="FY271" i="30"/>
  <c r="FR271" i="30"/>
  <c r="EZ251" i="30"/>
  <c r="EZ270" i="30"/>
  <c r="FK257" i="30"/>
  <c r="EA271" i="30"/>
  <c r="CV256" i="30"/>
  <c r="CV254" i="30"/>
  <c r="FJ257" i="30"/>
  <c r="EL256" i="30"/>
  <c r="EL254" i="30"/>
  <c r="FQ257" i="30"/>
  <c r="FX257" i="30"/>
  <c r="DF271" i="30"/>
  <c r="CY271" i="30"/>
  <c r="FG256" i="30"/>
  <c r="FG254" i="30"/>
  <c r="DM276" i="30"/>
  <c r="FE276" i="30"/>
  <c r="FZ271" i="30"/>
  <c r="FS271" i="30"/>
  <c r="ED257" i="30"/>
  <c r="EZ256" i="30"/>
  <c r="EZ254" i="30"/>
  <c r="CV251" i="30"/>
  <c r="CV270" i="30"/>
  <c r="DG271" i="30"/>
  <c r="EK271" i="30"/>
  <c r="EE256" i="30"/>
  <c r="EE254" i="30"/>
  <c r="EJ257" i="30"/>
  <c r="FC271" i="30"/>
  <c r="CO251" i="30"/>
  <c r="CO270" i="30"/>
  <c r="CO271" i="30" s="1"/>
  <c r="EA257" i="30"/>
  <c r="CR257" i="30"/>
  <c r="DH271" i="30"/>
  <c r="DA271" i="30"/>
  <c r="EE251" i="30"/>
  <c r="EE270" i="30"/>
  <c r="DU257" i="30"/>
  <c r="EY257" i="30"/>
  <c r="DC251" i="30"/>
  <c r="DC270" i="30"/>
  <c r="DX251" i="30"/>
  <c r="DX270" i="30"/>
  <c r="CY276" i="30"/>
  <c r="EV276" i="30"/>
  <c r="DH257" i="30"/>
  <c r="FT257" i="30"/>
  <c r="GA257" i="30"/>
  <c r="FR257" i="30"/>
  <c r="FY257" i="30"/>
  <c r="ES251" i="30"/>
  <c r="ES270" i="30"/>
  <c r="EY271" i="30"/>
  <c r="ER271" i="30"/>
  <c r="FK271" i="30"/>
  <c r="DO271" i="30"/>
  <c r="CO254" i="30"/>
  <c r="CO256" i="30"/>
  <c r="CO257" i="30" s="1"/>
  <c r="FG251" i="30"/>
  <c r="FG270" i="30"/>
  <c r="CU257" i="30"/>
  <c r="DC256" i="30"/>
  <c r="DC254" i="30"/>
  <c r="KF274" i="30"/>
  <c r="KF276" i="30"/>
  <c r="IQ277" i="30"/>
  <c r="KO274" i="30"/>
  <c r="KO276" i="30"/>
  <c r="IX276" i="30"/>
  <c r="IX277" i="30" s="1"/>
  <c r="IX274" i="30"/>
  <c r="KV274" i="30"/>
  <c r="KC159" i="30"/>
  <c r="AS159" i="30" s="1"/>
  <c r="KC273" i="30"/>
  <c r="AR90" i="30"/>
  <c r="JV273" i="30"/>
  <c r="II277" i="30"/>
  <c r="JG274" i="30"/>
  <c r="JG276" i="30"/>
  <c r="IY274" i="30"/>
  <c r="IY276" i="30"/>
  <c r="IY277" i="30" s="1"/>
  <c r="AQ90" i="30"/>
  <c r="JO273" i="30"/>
  <c r="JZ277" i="30"/>
  <c r="JK277" i="30"/>
  <c r="KU274" i="30"/>
  <c r="KU276" i="30"/>
  <c r="KU277" i="30" s="1"/>
  <c r="KM274" i="30"/>
  <c r="GP91" i="30"/>
  <c r="AF91" i="30" s="1"/>
  <c r="JM277" i="30"/>
  <c r="JN274" i="30"/>
  <c r="JN276" i="30"/>
  <c r="AP90" i="30"/>
  <c r="JH273" i="30"/>
  <c r="HG277" i="30"/>
  <c r="IP277" i="30"/>
  <c r="JL277" i="30"/>
  <c r="IL277" i="30"/>
  <c r="JF274" i="30"/>
  <c r="HD91" i="30"/>
  <c r="AH91" i="30" s="1"/>
  <c r="HA277" i="30"/>
  <c r="GP108" i="30"/>
  <c r="AF108" i="30" s="1"/>
  <c r="HU326" i="30"/>
  <c r="HY315" i="30"/>
  <c r="AK315" i="30" s="1"/>
  <c r="EZ247" i="30"/>
  <c r="AJ90" i="30"/>
  <c r="AF90" i="30"/>
  <c r="DG154" i="30"/>
  <c r="EX154" i="30"/>
  <c r="CE326" i="30"/>
  <c r="CV127" i="30"/>
  <c r="R127" i="30" s="1"/>
  <c r="CO315" i="30"/>
  <c r="Q315" i="30" s="1"/>
  <c r="GF277" i="30"/>
  <c r="HI326" i="30"/>
  <c r="EY326" i="30"/>
  <c r="EE127" i="30"/>
  <c r="W127" i="30" s="1"/>
  <c r="X90" i="30"/>
  <c r="EL273" i="30"/>
  <c r="ED247" i="30"/>
  <c r="EC274" i="30"/>
  <c r="EC276" i="30"/>
  <c r="GM277" i="30"/>
  <c r="DX273" i="30"/>
  <c r="DH326" i="30"/>
  <c r="HR108" i="30"/>
  <c r="AJ108" i="30" s="1"/>
  <c r="HK273" i="30"/>
  <c r="HY91" i="30"/>
  <c r="AK91" i="30" s="1"/>
  <c r="HY273" i="30"/>
  <c r="FS273" i="30"/>
  <c r="CY247" i="30"/>
  <c r="FS246" i="30"/>
  <c r="FS244" i="30"/>
  <c r="FZ244" i="30"/>
  <c r="HU277" i="30"/>
  <c r="IB277" i="30"/>
  <c r="HY246" i="30"/>
  <c r="IF244" i="30"/>
  <c r="HY244" i="30"/>
  <c r="P90" i="30"/>
  <c r="FS321" i="30"/>
  <c r="FZ326" i="30" s="1"/>
  <c r="CV108" i="30"/>
  <c r="R108" i="30" s="1"/>
  <c r="CO273" i="30"/>
  <c r="FR246" i="30"/>
  <c r="FR244" i="30"/>
  <c r="FY244" i="30"/>
  <c r="FQ244" i="30"/>
  <c r="FQ246" i="30"/>
  <c r="FX244" i="30"/>
  <c r="GT277" i="30"/>
  <c r="CO244" i="30"/>
  <c r="CO246" i="30"/>
  <c r="HP274" i="30"/>
  <c r="HP276" i="30"/>
  <c r="GB103" i="30"/>
  <c r="AD103" i="30" s="1"/>
  <c r="FU243" i="30"/>
  <c r="GI108" i="30"/>
  <c r="AE108" i="30" s="1"/>
  <c r="GB273" i="30"/>
  <c r="FK108" i="30"/>
  <c r="FK273" i="30"/>
  <c r="HR244" i="30"/>
  <c r="HR246" i="30"/>
  <c r="HR247" i="30" s="1"/>
  <c r="GP244" i="30"/>
  <c r="GP246" i="30"/>
  <c r="EW247" i="30"/>
  <c r="ER274" i="30"/>
  <c r="ER276" i="30"/>
  <c r="ER277" i="30" s="1"/>
  <c r="FQ108" i="30"/>
  <c r="FQ273" i="30"/>
  <c r="DN247" i="30"/>
  <c r="GZ277" i="30"/>
  <c r="FK244" i="30"/>
  <c r="FK246" i="30"/>
  <c r="FK247" i="30" s="1"/>
  <c r="HO277" i="30"/>
  <c r="DO247" i="30"/>
  <c r="EE273" i="30"/>
  <c r="FZ127" i="30"/>
  <c r="AH90" i="30"/>
  <c r="AH273" i="30" s="1"/>
  <c r="HD273" i="30"/>
  <c r="GI246" i="30"/>
  <c r="GI247" i="30" s="1"/>
  <c r="GI244" i="30"/>
  <c r="ID277" i="30"/>
  <c r="ES247" i="30"/>
  <c r="FL108" i="30"/>
  <c r="FL273" i="30"/>
  <c r="EC326" i="30"/>
  <c r="FM108" i="30"/>
  <c r="FM273" i="30"/>
  <c r="HH277" i="30"/>
  <c r="CH244" i="30"/>
  <c r="CH246" i="30"/>
  <c r="HW274" i="30"/>
  <c r="FL247" i="30"/>
  <c r="BT236" i="30"/>
  <c r="CA237" i="30" s="1"/>
  <c r="CA234" i="30"/>
  <c r="BT216" i="30"/>
  <c r="CA217" i="30" s="1"/>
  <c r="BT256" i="30"/>
  <c r="CA257" i="30" s="1"/>
  <c r="CA254" i="30"/>
  <c r="BS273" i="30"/>
  <c r="BS276" i="30" s="1"/>
  <c r="BT266" i="30"/>
  <c r="CA267" i="30" s="1"/>
  <c r="CA264" i="30"/>
  <c r="BT243" i="30"/>
  <c r="BT246" i="30" s="1"/>
  <c r="CF326" i="30"/>
  <c r="BT226" i="30"/>
  <c r="CA227" i="30" s="1"/>
  <c r="CA224" i="30"/>
  <c r="BT206" i="30"/>
  <c r="CA207" i="30" s="1"/>
  <c r="CA204" i="30"/>
  <c r="CH108" i="30"/>
  <c r="P108" i="30" s="1"/>
  <c r="BT176" i="30"/>
  <c r="CA177" i="30" s="1"/>
  <c r="O90" i="30"/>
  <c r="BT196" i="30"/>
  <c r="CA197" i="30" s="1"/>
  <c r="CA194" i="30"/>
  <c r="BT270" i="30"/>
  <c r="CA271" i="30" s="1"/>
  <c r="BY108" i="30"/>
  <c r="BR273" i="30"/>
  <c r="DV154" i="30"/>
  <c r="BP246" i="30"/>
  <c r="BW247" i="30" s="1"/>
  <c r="BW244" i="30"/>
  <c r="CA246" i="30"/>
  <c r="CR326" i="30"/>
  <c r="GH326" i="30"/>
  <c r="HH326" i="30"/>
  <c r="CY326" i="30"/>
  <c r="DW326" i="30"/>
  <c r="HK149" i="30"/>
  <c r="AI149" i="30" s="1"/>
  <c r="BW108" i="30"/>
  <c r="BW276" i="30"/>
  <c r="CD277" i="30" s="1"/>
  <c r="BR246" i="30"/>
  <c r="BY247" i="30" s="1"/>
  <c r="BY244" i="30"/>
  <c r="HK159" i="30"/>
  <c r="AI159" i="30" s="1"/>
  <c r="BS246" i="30"/>
  <c r="BZ247" i="30" s="1"/>
  <c r="BZ244" i="30"/>
  <c r="GL326" i="30"/>
  <c r="IF91" i="30"/>
  <c r="AL91" i="30" s="1"/>
  <c r="BQ246" i="30"/>
  <c r="BX247" i="30" s="1"/>
  <c r="BX244" i="30"/>
  <c r="CH127" i="30"/>
  <c r="P127" i="30" s="1"/>
  <c r="EL127" i="30"/>
  <c r="X127" i="30" s="1"/>
  <c r="JH91" i="30"/>
  <c r="AP91" i="30" s="1"/>
  <c r="BQ37" i="30"/>
  <c r="HK108" i="30"/>
  <c r="AI108" i="30" s="1"/>
  <c r="DX127" i="30"/>
  <c r="V127" i="30" s="1"/>
  <c r="BQ55" i="30"/>
  <c r="ES315" i="30"/>
  <c r="Y315" i="30" s="1"/>
  <c r="CA143" i="30"/>
  <c r="O143" i="30" s="1"/>
  <c r="EL321" i="30"/>
  <c r="X321" i="30" s="1"/>
  <c r="EL315" i="30"/>
  <c r="X315" i="30" s="1"/>
  <c r="DC127" i="30"/>
  <c r="S127" i="30" s="1"/>
  <c r="BX55" i="30"/>
  <c r="AV50" i="30"/>
  <c r="HK91" i="30"/>
  <c r="AI91" i="30" s="1"/>
  <c r="FT328" i="30"/>
  <c r="X126" i="30"/>
  <c r="CO127" i="30"/>
  <c r="Q127" i="30" s="1"/>
  <c r="LO45" i="30"/>
  <c r="HG326" i="30"/>
  <c r="HD108" i="30"/>
  <c r="AH108" i="30" s="1"/>
  <c r="AV103" i="30"/>
  <c r="LP46" i="30"/>
  <c r="BW127" i="30"/>
  <c r="HK127" i="30"/>
  <c r="AI127" i="30" s="1"/>
  <c r="IY326" i="30"/>
  <c r="HK321" i="30"/>
  <c r="AI321" i="30" s="1"/>
  <c r="DA154" i="30"/>
  <c r="AI126" i="30"/>
  <c r="HI38" i="30"/>
  <c r="IZ160" i="30"/>
  <c r="IZ161" i="30" s="1"/>
  <c r="IJ326" i="30"/>
  <c r="DM326" i="30"/>
  <c r="DQ127" i="30"/>
  <c r="U127" i="30" s="1"/>
  <c r="HR315" i="30"/>
  <c r="AJ315" i="30" s="1"/>
  <c r="EA76" i="29"/>
  <c r="EA155" i="29"/>
  <c r="EA17" i="29"/>
  <c r="EE5" i="1"/>
  <c r="EB111" i="30"/>
  <c r="EB334" i="30"/>
  <c r="EB5" i="30"/>
  <c r="EB166" i="30" s="1"/>
  <c r="EB65" i="30"/>
  <c r="EB76" i="29"/>
  <c r="EB17" i="29"/>
  <c r="ED18" i="1"/>
  <c r="ED76" i="1" s="1"/>
  <c r="EB3" i="29"/>
  <c r="EB155" i="29" s="1"/>
  <c r="EK5" i="1"/>
  <c r="AU5" i="4"/>
  <c r="EH111" i="30"/>
  <c r="EH334" i="30"/>
  <c r="EH5" i="30"/>
  <c r="EH166" i="30" s="1"/>
  <c r="EH65" i="30"/>
  <c r="EQ5" i="1"/>
  <c r="EJ18" i="1"/>
  <c r="EJ76" i="1" s="1"/>
  <c r="EH3" i="29"/>
  <c r="DY5" i="1"/>
  <c r="DV111" i="30"/>
  <c r="DV334" i="30"/>
  <c r="DV65" i="30"/>
  <c r="DV5" i="30"/>
  <c r="DV166" i="30" s="1"/>
  <c r="DV76" i="29"/>
  <c r="DV3" i="29"/>
  <c r="DV155" i="29" s="1"/>
  <c r="DV17" i="29"/>
  <c r="DX18" i="1"/>
  <c r="DX76" i="1" s="1"/>
  <c r="DP111" i="30"/>
  <c r="DP334" i="30"/>
  <c r="DP65" i="30"/>
  <c r="DP5" i="30"/>
  <c r="DP76" i="29"/>
  <c r="DP3" i="29"/>
  <c r="DP17" i="29"/>
  <c r="DR18" i="1"/>
  <c r="DR76" i="1" s="1"/>
  <c r="AJ310" i="30"/>
  <c r="EO326" i="30"/>
  <c r="IF60" i="30"/>
  <c r="AL60" i="30" s="1"/>
  <c r="CU326" i="30"/>
  <c r="AU310" i="30"/>
  <c r="IJ160" i="30"/>
  <c r="IJ161" i="30" s="1"/>
  <c r="AI90" i="30"/>
  <c r="IF108" i="30"/>
  <c r="AL108" i="30" s="1"/>
  <c r="DI326" i="30"/>
  <c r="KI160" i="30"/>
  <c r="KI161" i="30" s="1"/>
  <c r="HY108" i="30"/>
  <c r="AK108" i="30" s="1"/>
  <c r="AX69" i="30"/>
  <c r="AW11" i="30"/>
  <c r="AW193" i="30" s="1"/>
  <c r="GI315" i="30"/>
  <c r="AE315" i="30" s="1"/>
  <c r="AK90" i="30"/>
  <c r="AL37" i="30"/>
  <c r="IM60" i="30"/>
  <c r="AM60" i="30" s="1"/>
  <c r="LE44" i="30"/>
  <c r="AW44" i="30" s="1"/>
  <c r="IF159" i="30"/>
  <c r="AL159" i="30" s="1"/>
  <c r="HJ38" i="30"/>
  <c r="JM326" i="30"/>
  <c r="BR37" i="30"/>
  <c r="BY60" i="30" s="1"/>
  <c r="EO154" i="30"/>
  <c r="HR91" i="30"/>
  <c r="AJ91" i="30" s="1"/>
  <c r="CU154" i="30"/>
  <c r="BR55" i="30"/>
  <c r="HD328" i="30"/>
  <c r="AH328" i="30" s="1"/>
  <c r="IL160" i="30"/>
  <c r="IL161" i="30" s="1"/>
  <c r="LK52" i="30"/>
  <c r="HH38" i="30"/>
  <c r="JR160" i="30"/>
  <c r="JR161" i="30" s="1"/>
  <c r="KQ55" i="30"/>
  <c r="AU55" i="30" s="1"/>
  <c r="S312" i="30"/>
  <c r="AU136" i="30"/>
  <c r="EW60" i="30"/>
  <c r="II326" i="30"/>
  <c r="FT315" i="30"/>
  <c r="JO108" i="30"/>
  <c r="AQ108" i="30" s="1"/>
  <c r="I136" i="30"/>
  <c r="JD326" i="30"/>
  <c r="GO326" i="30"/>
  <c r="JR326" i="30"/>
  <c r="GE326" i="30"/>
  <c r="KN160" i="30"/>
  <c r="KN161" i="30" s="1"/>
  <c r="IL326" i="30"/>
  <c r="EA326" i="30"/>
  <c r="JO91" i="30"/>
  <c r="AQ91" i="30" s="1"/>
  <c r="CA141" i="30"/>
  <c r="KW160" i="30"/>
  <c r="KW161" i="30" s="1"/>
  <c r="CA142" i="30"/>
  <c r="O142" i="30" s="1"/>
  <c r="FC326" i="30"/>
  <c r="LE118" i="30"/>
  <c r="CE60" i="30"/>
  <c r="CS326" i="30"/>
  <c r="CE154" i="30"/>
  <c r="HU160" i="30"/>
  <c r="HU161" i="30" s="1"/>
  <c r="EA60" i="30"/>
  <c r="DG326" i="30"/>
  <c r="FD326" i="30"/>
  <c r="EX60" i="30"/>
  <c r="GG326" i="30"/>
  <c r="F154" i="29"/>
  <c r="GT326" i="30"/>
  <c r="ID326" i="30"/>
  <c r="CS154" i="30"/>
  <c r="GA60" i="30"/>
  <c r="EA154" i="30"/>
  <c r="DU326" i="30"/>
  <c r="IK160" i="30"/>
  <c r="IK161" i="30" s="1"/>
  <c r="FC328" i="30"/>
  <c r="V126" i="30"/>
  <c r="CG154" i="30"/>
  <c r="GU326" i="30"/>
  <c r="CT151" i="30"/>
  <c r="JD160" i="30"/>
  <c r="JD161" i="30" s="1"/>
  <c r="FF328" i="30"/>
  <c r="DX321" i="30"/>
  <c r="V321" i="30" s="1"/>
  <c r="LQ43" i="30"/>
  <c r="CL326" i="30"/>
  <c r="EH154" i="30"/>
  <c r="CK60" i="30"/>
  <c r="LR45" i="30"/>
  <c r="LP43" i="30"/>
  <c r="HJ326" i="30"/>
  <c r="IS326" i="30"/>
  <c r="IW160" i="30"/>
  <c r="IW161" i="30" s="1"/>
  <c r="CS60" i="30"/>
  <c r="DI60" i="30"/>
  <c r="HK32" i="30"/>
  <c r="AI32" i="30" s="1"/>
  <c r="GZ326" i="30"/>
  <c r="AI31" i="30"/>
  <c r="GG60" i="30"/>
  <c r="EQ326" i="30"/>
  <c r="HK55" i="30"/>
  <c r="AI55" i="30" s="1"/>
  <c r="DF154" i="30"/>
  <c r="JV108" i="30"/>
  <c r="AR108" i="30" s="1"/>
  <c r="JV91" i="30"/>
  <c r="AR91" i="30" s="1"/>
  <c r="KH160" i="30"/>
  <c r="KH161" i="30" s="1"/>
  <c r="JV159" i="30"/>
  <c r="GM326" i="30"/>
  <c r="EK326" i="30"/>
  <c r="AO84" i="30"/>
  <c r="CG60" i="30"/>
  <c r="HD32" i="30"/>
  <c r="AH32" i="30" s="1"/>
  <c r="CY60" i="30"/>
  <c r="AM84" i="30"/>
  <c r="IM130" i="30"/>
  <c r="AM130" i="30" s="1"/>
  <c r="DV326" i="30"/>
  <c r="FS315" i="30"/>
  <c r="EH60" i="30"/>
  <c r="LR44" i="30"/>
  <c r="JN326" i="30"/>
  <c r="HW326" i="30"/>
  <c r="DF60" i="30"/>
  <c r="IS160" i="30"/>
  <c r="IS161" i="30" s="1"/>
  <c r="CT326" i="30"/>
  <c r="GF326" i="30"/>
  <c r="IQ160" i="30"/>
  <c r="IQ161" i="30" s="1"/>
  <c r="LK44" i="30"/>
  <c r="LL11" i="30"/>
  <c r="IF38" i="30"/>
  <c r="AL38" i="30" s="1"/>
  <c r="JV38" i="30"/>
  <c r="AR38" i="30" s="1"/>
  <c r="FD328" i="30"/>
  <c r="JS160" i="30"/>
  <c r="JS161" i="30" s="1"/>
  <c r="AQ310" i="30"/>
  <c r="IW326" i="30"/>
  <c r="JO315" i="30"/>
  <c r="AQ315" i="30" s="1"/>
  <c r="DQ55" i="30"/>
  <c r="U55" i="30" s="1"/>
  <c r="DQ37" i="30"/>
  <c r="U31" i="30"/>
  <c r="DX55" i="30"/>
  <c r="V55" i="30" s="1"/>
  <c r="HN154" i="30"/>
  <c r="HN137" i="30"/>
  <c r="O310" i="30"/>
  <c r="FN317" i="30"/>
  <c r="AB317" i="30" s="1"/>
  <c r="AB312" i="30"/>
  <c r="LO14" i="30"/>
  <c r="O126" i="30"/>
  <c r="CA321" i="30"/>
  <c r="CH55" i="30"/>
  <c r="P55" i="30" s="1"/>
  <c r="CH37" i="30"/>
  <c r="CH136" i="30" s="1"/>
  <c r="P31" i="30"/>
  <c r="LS73" i="30"/>
  <c r="LZ99" i="30" s="1"/>
  <c r="AZ99" i="30" s="1"/>
  <c r="LQ13" i="30"/>
  <c r="GO159" i="30"/>
  <c r="GO60" i="30"/>
  <c r="GO38" i="30"/>
  <c r="KC315" i="30"/>
  <c r="AS315" i="30" s="1"/>
  <c r="AS310" i="30"/>
  <c r="ES151" i="30"/>
  <c r="Y151" i="30" s="1"/>
  <c r="Y131" i="30"/>
  <c r="ES323" i="30"/>
  <c r="IQ326" i="30"/>
  <c r="JH159" i="30"/>
  <c r="JH60" i="30"/>
  <c r="AP60" i="30" s="1"/>
  <c r="AP37" i="30"/>
  <c r="JH38" i="30"/>
  <c r="AP38" i="30" s="1"/>
  <c r="IZ326" i="30"/>
  <c r="LO42" i="30"/>
  <c r="LP26" i="30"/>
  <c r="EB326" i="30"/>
  <c r="DM60" i="30"/>
  <c r="IT55" i="30"/>
  <c r="AN55" i="30" s="1"/>
  <c r="IT32" i="30"/>
  <c r="AN32" i="30" s="1"/>
  <c r="AN31" i="30"/>
  <c r="AN273" i="30" s="1"/>
  <c r="EE149" i="30"/>
  <c r="W149" i="30" s="1"/>
  <c r="W126" i="30"/>
  <c r="EE321" i="30"/>
  <c r="KX328" i="30"/>
  <c r="AV328" i="30" s="1"/>
  <c r="AV323" i="30"/>
  <c r="EY328" i="30"/>
  <c r="EE315" i="30"/>
  <c r="W315" i="30" s="1"/>
  <c r="W310" i="30"/>
  <c r="LO27" i="30"/>
  <c r="AT136" i="30"/>
  <c r="IR326" i="30"/>
  <c r="EQ60" i="30"/>
  <c r="KA160" i="30"/>
  <c r="KA161" i="30" s="1"/>
  <c r="JL154" i="30"/>
  <c r="JL137" i="30"/>
  <c r="HA326" i="30"/>
  <c r="JM154" i="30"/>
  <c r="JM137" i="30"/>
  <c r="LI45" i="30"/>
  <c r="LL12" i="30"/>
  <c r="GP149" i="30"/>
  <c r="AF149" i="30" s="1"/>
  <c r="GP127" i="30"/>
  <c r="AF127" i="30" s="1"/>
  <c r="AF126" i="30"/>
  <c r="GP321" i="30"/>
  <c r="JA159" i="30"/>
  <c r="JA60" i="30"/>
  <c r="AO60" i="30" s="1"/>
  <c r="AO37" i="30"/>
  <c r="JA38" i="30"/>
  <c r="AO38" i="30" s="1"/>
  <c r="ID160" i="30"/>
  <c r="ID161" i="30" s="1"/>
  <c r="FQ55" i="30"/>
  <c r="FQ37" i="30"/>
  <c r="EZ149" i="30"/>
  <c r="Z149" i="30" s="1"/>
  <c r="Z126" i="30"/>
  <c r="EZ127" i="30"/>
  <c r="Z127" i="30" s="1"/>
  <c r="EZ321" i="30"/>
  <c r="FU310" i="30"/>
  <c r="GB315" i="30" s="1"/>
  <c r="AD315" i="30" s="1"/>
  <c r="AC80" i="30"/>
  <c r="FU103" i="30"/>
  <c r="AC103" i="30" s="1"/>
  <c r="CM55" i="30"/>
  <c r="CM37" i="30"/>
  <c r="AU322" i="30"/>
  <c r="KQ327" i="30"/>
  <c r="AU327" i="30" s="1"/>
  <c r="HU154" i="30"/>
  <c r="HU137" i="30"/>
  <c r="FG151" i="30"/>
  <c r="AA151" i="30" s="1"/>
  <c r="AA131" i="30"/>
  <c r="FG323" i="30"/>
  <c r="ES317" i="30"/>
  <c r="Y317" i="30" s="1"/>
  <c r="Y312" i="30"/>
  <c r="U310" i="30"/>
  <c r="DQ315" i="30"/>
  <c r="U315" i="30" s="1"/>
  <c r="BR321" i="30"/>
  <c r="BY326" i="30" s="1"/>
  <c r="GE60" i="30"/>
  <c r="GE38" i="30"/>
  <c r="EZ108" i="30"/>
  <c r="Z108" i="30" s="1"/>
  <c r="Z90" i="30"/>
  <c r="KG160" i="30"/>
  <c r="KG161" i="30" s="1"/>
  <c r="GW149" i="30"/>
  <c r="AG149" i="30" s="1"/>
  <c r="AG126" i="30"/>
  <c r="GW127" i="30"/>
  <c r="AG127" i="30" s="1"/>
  <c r="GW321" i="30"/>
  <c r="JO149" i="30"/>
  <c r="AQ149" i="30" s="1"/>
  <c r="JO127" i="30"/>
  <c r="AQ127" i="30" s="1"/>
  <c r="AQ126" i="30"/>
  <c r="JO321" i="30"/>
  <c r="LD42" i="30"/>
  <c r="GW328" i="30"/>
  <c r="AG328" i="30" s="1"/>
  <c r="AG323" i="30"/>
  <c r="HO326" i="30"/>
  <c r="EV60" i="30"/>
  <c r="GU154" i="30"/>
  <c r="GU137" i="30"/>
  <c r="DP55" i="30"/>
  <c r="DP37" i="30"/>
  <c r="CN326" i="30"/>
  <c r="JE326" i="30"/>
  <c r="KU160" i="30"/>
  <c r="KU161" i="30" s="1"/>
  <c r="HR159" i="30"/>
  <c r="HR60" i="30"/>
  <c r="AJ60" i="30" s="1"/>
  <c r="AJ37" i="30"/>
  <c r="HR38" i="30"/>
  <c r="AJ38" i="30" s="1"/>
  <c r="DQ108" i="30"/>
  <c r="U108" i="30" s="1"/>
  <c r="U90" i="30"/>
  <c r="HV160" i="30"/>
  <c r="HV161" i="30" s="1"/>
  <c r="CH327" i="30"/>
  <c r="P327" i="30" s="1"/>
  <c r="P322" i="30"/>
  <c r="FU327" i="30"/>
  <c r="AC327" i="30" s="1"/>
  <c r="AC322" i="30"/>
  <c r="DC327" i="30"/>
  <c r="S327" i="30" s="1"/>
  <c r="S322" i="30"/>
  <c r="FG317" i="30"/>
  <c r="AA317" i="30" s="1"/>
  <c r="AA312" i="30"/>
  <c r="GZ159" i="30"/>
  <c r="GZ60" i="30"/>
  <c r="GZ38" i="30"/>
  <c r="AD310" i="30"/>
  <c r="BQ321" i="30"/>
  <c r="BX326" i="30" s="1"/>
  <c r="E136" i="30"/>
  <c r="E37" i="30"/>
  <c r="LL98" i="30"/>
  <c r="AX98" i="30" s="1"/>
  <c r="AX72" i="30"/>
  <c r="AX200" i="30" s="1"/>
  <c r="AX201" i="30" s="1"/>
  <c r="HP154" i="30"/>
  <c r="HP137" i="30"/>
  <c r="FU126" i="30"/>
  <c r="GB127" i="30" s="1"/>
  <c r="AD127" i="30" s="1"/>
  <c r="FU31" i="30"/>
  <c r="AC20" i="30"/>
  <c r="FU50" i="30"/>
  <c r="AC50" i="30" s="1"/>
  <c r="CH149" i="30"/>
  <c r="P149" i="30" s="1"/>
  <c r="P126" i="30"/>
  <c r="CH321" i="30"/>
  <c r="JH327" i="30"/>
  <c r="AP327" i="30" s="1"/>
  <c r="AP322" i="30"/>
  <c r="HY159" i="30"/>
  <c r="HY60" i="30"/>
  <c r="AK60" i="30" s="1"/>
  <c r="HY38" i="30"/>
  <c r="AK38" i="30" s="1"/>
  <c r="AK37" i="30"/>
  <c r="KT326" i="30"/>
  <c r="KJ315" i="30"/>
  <c r="AT315" i="30" s="1"/>
  <c r="IF149" i="30"/>
  <c r="AL149" i="30" s="1"/>
  <c r="AL126" i="30"/>
  <c r="IF127" i="30"/>
  <c r="AL127" i="30" s="1"/>
  <c r="IF321" i="30"/>
  <c r="DJ55" i="30"/>
  <c r="T55" i="30" s="1"/>
  <c r="DJ37" i="30"/>
  <c r="DJ136" i="30" s="1"/>
  <c r="T31" i="30"/>
  <c r="CZ60" i="30"/>
  <c r="Z312" i="30"/>
  <c r="EZ317" i="30"/>
  <c r="Z317" i="30" s="1"/>
  <c r="GB37" i="30"/>
  <c r="GB136" i="30" s="1"/>
  <c r="AD31" i="30"/>
  <c r="LS106" i="30"/>
  <c r="AY106" i="30" s="1"/>
  <c r="AY86" i="30"/>
  <c r="DM154" i="30"/>
  <c r="IT149" i="30"/>
  <c r="AN149" i="30" s="1"/>
  <c r="IT127" i="30"/>
  <c r="AN127" i="30" s="1"/>
  <c r="AN126" i="30"/>
  <c r="IT321" i="30"/>
  <c r="KV160" i="30"/>
  <c r="KV161" i="30" s="1"/>
  <c r="JH130" i="30"/>
  <c r="AP130" i="30" s="1"/>
  <c r="AP84" i="30"/>
  <c r="LR9" i="30"/>
  <c r="LR27" i="30"/>
  <c r="KC91" i="30"/>
  <c r="AS91" i="30" s="1"/>
  <c r="KC108" i="30"/>
  <c r="AS108" i="30" s="1"/>
  <c r="AS90" i="30"/>
  <c r="HQ326" i="30"/>
  <c r="IF315" i="30"/>
  <c r="AL315" i="30" s="1"/>
  <c r="AL310" i="30"/>
  <c r="FR108" i="30"/>
  <c r="DC149" i="30"/>
  <c r="S149" i="30" s="1"/>
  <c r="S126" i="30"/>
  <c r="DC321" i="30"/>
  <c r="ES55" i="30"/>
  <c r="Y55" i="30" s="1"/>
  <c r="Y31" i="30"/>
  <c r="ES37" i="30"/>
  <c r="ES136" i="30" s="1"/>
  <c r="FT127" i="30"/>
  <c r="KF326" i="30"/>
  <c r="EH326" i="30"/>
  <c r="P310" i="30"/>
  <c r="CH315" i="30"/>
  <c r="P315" i="30" s="1"/>
  <c r="HR55" i="30"/>
  <c r="AJ55" i="30" s="1"/>
  <c r="AJ31" i="30"/>
  <c r="HR32" i="30"/>
  <c r="AJ32" i="30" s="1"/>
  <c r="DQ317" i="30"/>
  <c r="U317" i="30" s="1"/>
  <c r="U312" i="30"/>
  <c r="CN60" i="30"/>
  <c r="CU60" i="30"/>
  <c r="CO108" i="30"/>
  <c r="Q108" i="30" s="1"/>
  <c r="Q90" i="30"/>
  <c r="GS326" i="30"/>
  <c r="IE137" i="30"/>
  <c r="LS72" i="30"/>
  <c r="LZ98" i="30" s="1"/>
  <c r="AZ98" i="30" s="1"/>
  <c r="LP12" i="30"/>
  <c r="AF310" i="30"/>
  <c r="GP315" i="30"/>
  <c r="AF315" i="30" s="1"/>
  <c r="HD315" i="30"/>
  <c r="AH315" i="30" s="1"/>
  <c r="AH310" i="30"/>
  <c r="FL55" i="30"/>
  <c r="FL37" i="30"/>
  <c r="FL136" i="30" s="1"/>
  <c r="FS55" i="30"/>
  <c r="EL55" i="30"/>
  <c r="X55" i="30" s="1"/>
  <c r="EL37" i="30"/>
  <c r="EL136" i="30" s="1"/>
  <c r="X31" i="30"/>
  <c r="GP328" i="30"/>
  <c r="AF328" i="30" s="1"/>
  <c r="AF323" i="30"/>
  <c r="FU142" i="30"/>
  <c r="AC142" i="30" s="1"/>
  <c r="AC116" i="30"/>
  <c r="GB142" i="30"/>
  <c r="AD142" i="30" s="1"/>
  <c r="IX326" i="30"/>
  <c r="EZ315" i="30"/>
  <c r="Z315" i="30" s="1"/>
  <c r="Z310" i="30"/>
  <c r="KB160" i="30"/>
  <c r="KB161" i="30" s="1"/>
  <c r="GO154" i="30"/>
  <c r="GO137" i="30"/>
  <c r="EZ151" i="30"/>
  <c r="Z151" i="30" s="1"/>
  <c r="Z131" i="30"/>
  <c r="EZ323" i="30"/>
  <c r="FQ149" i="30"/>
  <c r="FQ127" i="30"/>
  <c r="FQ321" i="30"/>
  <c r="FQ326" i="30" s="1"/>
  <c r="FX149" i="30"/>
  <c r="FX127" i="30"/>
  <c r="FM328" i="30"/>
  <c r="DQ131" i="30"/>
  <c r="DQ52" i="30"/>
  <c r="U52" i="30" s="1"/>
  <c r="U26" i="30"/>
  <c r="U253" i="30" s="1"/>
  <c r="DX52" i="30"/>
  <c r="V52" i="30" s="1"/>
  <c r="AD90" i="30"/>
  <c r="II154" i="30"/>
  <c r="II137" i="30"/>
  <c r="KP160" i="30"/>
  <c r="KP161" i="30" s="1"/>
  <c r="GE154" i="30"/>
  <c r="GE137" i="30"/>
  <c r="IK326" i="30"/>
  <c r="HP326" i="30"/>
  <c r="FY127" i="30"/>
  <c r="HD159" i="30"/>
  <c r="AH37" i="30"/>
  <c r="DP326" i="30"/>
  <c r="DX315" i="30"/>
  <c r="V315" i="30" s="1"/>
  <c r="V310" i="30"/>
  <c r="LC42" i="30"/>
  <c r="LE9" i="30"/>
  <c r="HY328" i="30"/>
  <c r="AK328" i="30" s="1"/>
  <c r="AK323" i="30"/>
  <c r="HW154" i="30"/>
  <c r="HW137" i="30"/>
  <c r="IK154" i="30"/>
  <c r="IK137" i="30"/>
  <c r="HC326" i="30"/>
  <c r="ER326" i="30"/>
  <c r="LH43" i="30"/>
  <c r="EK154" i="30"/>
  <c r="KH154" i="30"/>
  <c r="KH137" i="30"/>
  <c r="IP326" i="30"/>
  <c r="FQ328" i="30"/>
  <c r="KX159" i="30"/>
  <c r="KX60" i="30"/>
  <c r="AV60" i="30" s="1"/>
  <c r="AV37" i="30"/>
  <c r="KX38" i="30"/>
  <c r="AV38" i="30" s="1"/>
  <c r="GW91" i="30"/>
  <c r="AG91" i="30" s="1"/>
  <c r="GW108" i="30"/>
  <c r="AG108" i="30" s="1"/>
  <c r="AG90" i="30"/>
  <c r="DQ149" i="30"/>
  <c r="U149" i="30" s="1"/>
  <c r="U126" i="30"/>
  <c r="DQ321" i="30"/>
  <c r="KO154" i="30"/>
  <c r="IF327" i="30"/>
  <c r="AL327" i="30" s="1"/>
  <c r="AL322" i="30"/>
  <c r="IR154" i="30"/>
  <c r="IR137" i="30"/>
  <c r="CG326" i="30"/>
  <c r="DC108" i="30"/>
  <c r="S108" i="30" s="1"/>
  <c r="S90" i="30"/>
  <c r="KG154" i="30"/>
  <c r="KG137" i="30"/>
  <c r="X322" i="30"/>
  <c r="HY55" i="30"/>
  <c r="AK55" i="30" s="1"/>
  <c r="AK31" i="30"/>
  <c r="HY32" i="30"/>
  <c r="AK32" i="30" s="1"/>
  <c r="CZ326" i="30"/>
  <c r="JO130" i="30"/>
  <c r="AQ130" i="30" s="1"/>
  <c r="AQ84" i="30"/>
  <c r="FN327" i="30"/>
  <c r="AB327" i="30" s="1"/>
  <c r="AB322" i="30"/>
  <c r="G136" i="30"/>
  <c r="G37" i="30"/>
  <c r="LL100" i="30"/>
  <c r="AX100" i="30" s="1"/>
  <c r="AX74" i="30"/>
  <c r="AX220" i="30" s="1"/>
  <c r="AX221" i="30" s="1"/>
  <c r="GS38" i="30"/>
  <c r="JY160" i="30"/>
  <c r="JY161" i="30" s="1"/>
  <c r="FK328" i="30"/>
  <c r="HG159" i="30"/>
  <c r="HG60" i="30"/>
  <c r="HG38" i="30"/>
  <c r="HR328" i="30"/>
  <c r="AJ328" i="30" s="1"/>
  <c r="AJ323" i="30"/>
  <c r="JK326" i="30"/>
  <c r="CZ154" i="30"/>
  <c r="BS55" i="30"/>
  <c r="BS37" i="30"/>
  <c r="GB50" i="30"/>
  <c r="AD50" i="30" s="1"/>
  <c r="JK160" i="30"/>
  <c r="JK161" i="30" s="1"/>
  <c r="LQ9" i="30"/>
  <c r="KQ137" i="30"/>
  <c r="KX327" i="30"/>
  <c r="AV327" i="30" s="1"/>
  <c r="AV322" i="30"/>
  <c r="IY154" i="30"/>
  <c r="IY137" i="30"/>
  <c r="N121" i="30"/>
  <c r="CA147" i="30"/>
  <c r="O147" i="30" s="1"/>
  <c r="ES149" i="30"/>
  <c r="Y149" i="30" s="1"/>
  <c r="ES127" i="30"/>
  <c r="Y127" i="30" s="1"/>
  <c r="Y126" i="30"/>
  <c r="ES321" i="30"/>
  <c r="JK154" i="30"/>
  <c r="JK137" i="30"/>
  <c r="JL160" i="30"/>
  <c r="JL161" i="30" s="1"/>
  <c r="HO160" i="30"/>
  <c r="HO161" i="30" s="1"/>
  <c r="LL96" i="30"/>
  <c r="AX96" i="30" s="1"/>
  <c r="AX70" i="30"/>
  <c r="HC159" i="30"/>
  <c r="HC60" i="30"/>
  <c r="HC38" i="30"/>
  <c r="GI55" i="30"/>
  <c r="AE55" i="30" s="1"/>
  <c r="GI32" i="30"/>
  <c r="AE32" i="30" s="1"/>
  <c r="AE31" i="30"/>
  <c r="AE273" i="30" s="1"/>
  <c r="GI37" i="30"/>
  <c r="GI136" i="30" s="1"/>
  <c r="HR149" i="30"/>
  <c r="AJ149" i="30" s="1"/>
  <c r="AJ126" i="30"/>
  <c r="HR127" i="30"/>
  <c r="AJ127" i="30" s="1"/>
  <c r="HR321" i="30"/>
  <c r="DP151" i="30"/>
  <c r="DW151" i="30"/>
  <c r="AE323" i="30"/>
  <c r="GI328" i="30"/>
  <c r="AE328" i="30" s="1"/>
  <c r="FJ326" i="30"/>
  <c r="HB326" i="30"/>
  <c r="DO60" i="30"/>
  <c r="FR315" i="30"/>
  <c r="IE326" i="30"/>
  <c r="CN154" i="30"/>
  <c r="GZ154" i="30"/>
  <c r="GZ137" i="30"/>
  <c r="CO317" i="30"/>
  <c r="Q317" i="30" s="1"/>
  <c r="Q312" i="30"/>
  <c r="CV317" i="30"/>
  <c r="R317" i="30" s="1"/>
  <c r="GI91" i="30"/>
  <c r="AE91" i="30" s="1"/>
  <c r="KP137" i="30"/>
  <c r="KA154" i="30"/>
  <c r="KA137" i="30"/>
  <c r="EC154" i="30"/>
  <c r="FE328" i="30"/>
  <c r="DX149" i="30"/>
  <c r="V149" i="30" s="1"/>
  <c r="FN151" i="30"/>
  <c r="AB151" i="30" s="1"/>
  <c r="AB131" i="30"/>
  <c r="FN323" i="30"/>
  <c r="KV137" i="30"/>
  <c r="KV154" i="30"/>
  <c r="KC327" i="30"/>
  <c r="AS327" i="30" s="1"/>
  <c r="AS322" i="30"/>
  <c r="FL149" i="30"/>
  <c r="FL127" i="30"/>
  <c r="FL321" i="30"/>
  <c r="FL326" i="30" s="1"/>
  <c r="IW154" i="30"/>
  <c r="IW137" i="30"/>
  <c r="GM159" i="30"/>
  <c r="GM60" i="30"/>
  <c r="GM38" i="30"/>
  <c r="JR154" i="30"/>
  <c r="JR137" i="30"/>
  <c r="CV55" i="30"/>
  <c r="R55" i="30" s="1"/>
  <c r="CV37" i="30"/>
  <c r="CV136" i="30" s="1"/>
  <c r="R31" i="30"/>
  <c r="FR55" i="30"/>
  <c r="FR37" i="30"/>
  <c r="LB47" i="30"/>
  <c r="LS74" i="30"/>
  <c r="LZ100" i="30" s="1"/>
  <c r="AZ100" i="30" s="1"/>
  <c r="LQ14" i="30"/>
  <c r="DJ149" i="30"/>
  <c r="T149" i="30" s="1"/>
  <c r="T126" i="30"/>
  <c r="DJ321" i="30"/>
  <c r="EZ327" i="30"/>
  <c r="Z327" i="30" s="1"/>
  <c r="Z322" i="30"/>
  <c r="AD126" i="30"/>
  <c r="GB321" i="30"/>
  <c r="CV151" i="30"/>
  <c r="R151" i="30" s="1"/>
  <c r="R131" i="30"/>
  <c r="IB326" i="30"/>
  <c r="HK60" i="30"/>
  <c r="AI60" i="30" s="1"/>
  <c r="AL323" i="30"/>
  <c r="IF328" i="30"/>
  <c r="AL328" i="30" s="1"/>
  <c r="KT154" i="30"/>
  <c r="KT137" i="30"/>
  <c r="LD43" i="30"/>
  <c r="LE10" i="30"/>
  <c r="JH55" i="30"/>
  <c r="AP55" i="30" s="1"/>
  <c r="AP31" i="30"/>
  <c r="JH32" i="30"/>
  <c r="AP32" i="30" s="1"/>
  <c r="KC55" i="30"/>
  <c r="AS55" i="30" s="1"/>
  <c r="KC32" i="30"/>
  <c r="AS32" i="30" s="1"/>
  <c r="AS31" i="30"/>
  <c r="FS127" i="30"/>
  <c r="JY326" i="30"/>
  <c r="CV327" i="30"/>
  <c r="R327" i="30" s="1"/>
  <c r="R322" i="30"/>
  <c r="KU326" i="30"/>
  <c r="LS70" i="30"/>
  <c r="LZ96" i="30" s="1"/>
  <c r="AZ96" i="30" s="1"/>
  <c r="LO10" i="30"/>
  <c r="GG38" i="30"/>
  <c r="KX55" i="30"/>
  <c r="AV55" i="30" s="1"/>
  <c r="AV31" i="30"/>
  <c r="KX32" i="30"/>
  <c r="AV32" i="30" s="1"/>
  <c r="HV154" i="30"/>
  <c r="HV137" i="30"/>
  <c r="GW327" i="30"/>
  <c r="AG327" i="30" s="1"/>
  <c r="AG322" i="30"/>
  <c r="AQ323" i="30"/>
  <c r="JO328" i="30"/>
  <c r="AQ328" i="30" s="1"/>
  <c r="JE154" i="30"/>
  <c r="JE137" i="30"/>
  <c r="IR160" i="30"/>
  <c r="IR161" i="30" s="1"/>
  <c r="FX328" i="30"/>
  <c r="AD322" i="30"/>
  <c r="GB327" i="30"/>
  <c r="AD327" i="30" s="1"/>
  <c r="KU137" i="30"/>
  <c r="JG137" i="30"/>
  <c r="KM154" i="30"/>
  <c r="KM137" i="30"/>
  <c r="T90" i="30"/>
  <c r="DJ108" i="30"/>
  <c r="T108" i="30" s="1"/>
  <c r="LE13" i="30"/>
  <c r="LA46" i="30"/>
  <c r="HY149" i="30"/>
  <c r="AK149" i="30" s="1"/>
  <c r="HY127" i="30"/>
  <c r="AK127" i="30" s="1"/>
  <c r="AK126" i="30"/>
  <c r="HY321" i="30"/>
  <c r="LO44" i="30"/>
  <c r="LS11" i="30"/>
  <c r="LZ44" i="30" s="1"/>
  <c r="AZ44" i="30" s="1"/>
  <c r="IS154" i="30"/>
  <c r="IS137" i="30"/>
  <c r="LP14" i="30"/>
  <c r="HR327" i="30"/>
  <c r="AJ327" i="30" s="1"/>
  <c r="AJ322" i="30"/>
  <c r="BS321" i="30"/>
  <c r="BZ326" i="30" s="1"/>
  <c r="BZ149" i="30"/>
  <c r="HK315" i="30"/>
  <c r="AI315" i="30" s="1"/>
  <c r="AI310" i="30"/>
  <c r="DN60" i="30"/>
  <c r="JA327" i="30"/>
  <c r="AO327" i="30" s="1"/>
  <c r="AO322" i="30"/>
  <c r="AI323" i="30"/>
  <c r="HK328" i="30"/>
  <c r="AI328" i="30" s="1"/>
  <c r="CK326" i="30"/>
  <c r="LR10" i="30"/>
  <c r="HN38" i="30"/>
  <c r="BX149" i="30"/>
  <c r="ED326" i="30"/>
  <c r="GV326" i="30"/>
  <c r="GH60" i="30"/>
  <c r="GH38" i="30"/>
  <c r="FS149" i="30"/>
  <c r="CO55" i="30"/>
  <c r="Q55" i="30" s="1"/>
  <c r="CO37" i="30"/>
  <c r="CO136" i="30" s="1"/>
  <c r="Q31" i="30"/>
  <c r="AU323" i="30"/>
  <c r="KQ328" i="30"/>
  <c r="AU328" i="30" s="1"/>
  <c r="DC151" i="30"/>
  <c r="S151" i="30" s="1"/>
  <c r="BY149" i="30"/>
  <c r="N132" i="30"/>
  <c r="BT322" i="30"/>
  <c r="N322" i="30" s="1"/>
  <c r="GV159" i="30"/>
  <c r="GV60" i="30"/>
  <c r="GV38" i="30"/>
  <c r="FX315" i="30"/>
  <c r="Y322" i="30"/>
  <c r="ES327" i="30"/>
  <c r="Y327" i="30" s="1"/>
  <c r="JY154" i="30"/>
  <c r="JY137" i="30"/>
  <c r="CF60" i="30"/>
  <c r="GW315" i="30"/>
  <c r="AG315" i="30" s="1"/>
  <c r="AG310" i="30"/>
  <c r="JU326" i="30"/>
  <c r="KO160" i="30"/>
  <c r="KO161" i="30" s="1"/>
  <c r="AK322" i="30"/>
  <c r="HY327" i="30"/>
  <c r="AK327" i="30" s="1"/>
  <c r="FM55" i="30"/>
  <c r="FM37" i="30"/>
  <c r="LO13" i="30"/>
  <c r="JV32" i="30"/>
  <c r="AR32" i="30" s="1"/>
  <c r="AR31" i="30"/>
  <c r="JV55" i="30"/>
  <c r="AR55" i="30" s="1"/>
  <c r="GL159" i="30"/>
  <c r="GL60" i="30"/>
  <c r="GL38" i="30"/>
  <c r="LS97" i="30"/>
  <c r="AY97" i="30" s="1"/>
  <c r="AY71" i="30"/>
  <c r="AY190" i="30" s="1"/>
  <c r="AZ191" i="30" s="1"/>
  <c r="FR149" i="30"/>
  <c r="FR127" i="30"/>
  <c r="FR321" i="30"/>
  <c r="GI327" i="30"/>
  <c r="AE327" i="30" s="1"/>
  <c r="AE322" i="30"/>
  <c r="HG154" i="30"/>
  <c r="HG137" i="30"/>
  <c r="ID154" i="30"/>
  <c r="ID137" i="30"/>
  <c r="FU151" i="30"/>
  <c r="AC151" i="30" s="1"/>
  <c r="AC131" i="30"/>
  <c r="FU323" i="30"/>
  <c r="GB328" i="30" s="1"/>
  <c r="AD328" i="30" s="1"/>
  <c r="LQ27" i="30"/>
  <c r="GF60" i="30"/>
  <c r="GF38" i="30"/>
  <c r="IZ154" i="30"/>
  <c r="IZ137" i="30"/>
  <c r="LE26" i="30"/>
  <c r="LA52" i="30"/>
  <c r="HN60" i="30"/>
  <c r="FE60" i="30"/>
  <c r="KG326" i="30"/>
  <c r="IT315" i="30"/>
  <c r="AN315" i="30" s="1"/>
  <c r="AN310" i="30"/>
  <c r="CO149" i="30"/>
  <c r="Q149" i="30" s="1"/>
  <c r="Q126" i="30"/>
  <c r="CO321" i="30"/>
  <c r="GN326" i="30"/>
  <c r="IM55" i="30"/>
  <c r="AM55" i="30" s="1"/>
  <c r="IM32" i="30"/>
  <c r="AM32" i="30" s="1"/>
  <c r="AM31" i="30"/>
  <c r="AM273" i="30" s="1"/>
  <c r="FJ328" i="30"/>
  <c r="AH322" i="30"/>
  <c r="HD327" i="30"/>
  <c r="AH327" i="30" s="1"/>
  <c r="N120" i="30"/>
  <c r="CA146" i="30"/>
  <c r="O146" i="30" s="1"/>
  <c r="IQ154" i="30"/>
  <c r="IQ137" i="30"/>
  <c r="KX149" i="30"/>
  <c r="AV149" i="30" s="1"/>
  <c r="AV126" i="30"/>
  <c r="KX127" i="30"/>
  <c r="AV127" i="30" s="1"/>
  <c r="KX321" i="30"/>
  <c r="GI149" i="30"/>
  <c r="AE149" i="30" s="1"/>
  <c r="GI127" i="30"/>
  <c r="AE127" i="30" s="1"/>
  <c r="AE126" i="30"/>
  <c r="GI321" i="30"/>
  <c r="JS154" i="30"/>
  <c r="JS137" i="30"/>
  <c r="HN326" i="30"/>
  <c r="FT108" i="30"/>
  <c r="KF154" i="30"/>
  <c r="KF137" i="30"/>
  <c r="JF326" i="30"/>
  <c r="IX160" i="30"/>
  <c r="IX161" i="30" s="1"/>
  <c r="JO327" i="30"/>
  <c r="AQ327" i="30" s="1"/>
  <c r="BP55" i="30"/>
  <c r="BP37" i="30"/>
  <c r="BP136" i="30" s="1"/>
  <c r="BW154" i="30" s="1"/>
  <c r="BW55" i="30"/>
  <c r="F136" i="30"/>
  <c r="F37" i="30"/>
  <c r="JF154" i="30"/>
  <c r="JF137" i="30"/>
  <c r="JG160" i="30"/>
  <c r="JG161" i="30" s="1"/>
  <c r="DX108" i="30"/>
  <c r="V108" i="30" s="1"/>
  <c r="V90" i="30"/>
  <c r="V273" i="30" s="1"/>
  <c r="KI154" i="30"/>
  <c r="KI137" i="30"/>
  <c r="DJ317" i="30"/>
  <c r="T317" i="30" s="1"/>
  <c r="T312" i="30"/>
  <c r="HX154" i="30"/>
  <c r="HX137" i="30"/>
  <c r="FN55" i="30"/>
  <c r="AB55" i="30" s="1"/>
  <c r="FN37" i="30"/>
  <c r="AB31" i="30"/>
  <c r="IM315" i="30"/>
  <c r="AM315" i="30" s="1"/>
  <c r="AM310" i="30"/>
  <c r="IT130" i="30"/>
  <c r="AN130" i="30" s="1"/>
  <c r="AN84" i="30"/>
  <c r="Z371" i="30"/>
  <c r="ES371" i="30"/>
  <c r="DJ151" i="30"/>
  <c r="T151" i="30" s="1"/>
  <c r="T131" i="30"/>
  <c r="CV149" i="30"/>
  <c r="R149" i="30" s="1"/>
  <c r="R126" i="30"/>
  <c r="CV321" i="30"/>
  <c r="CL60" i="30"/>
  <c r="JV327" i="30"/>
  <c r="AR327" i="30" s="1"/>
  <c r="AR322" i="30"/>
  <c r="JH328" i="30"/>
  <c r="AP328" i="30" s="1"/>
  <c r="AP323" i="30"/>
  <c r="FG55" i="30"/>
  <c r="AA55" i="30" s="1"/>
  <c r="AA31" i="30"/>
  <c r="FG37" i="30"/>
  <c r="FG136" i="30" s="1"/>
  <c r="FD60" i="30"/>
  <c r="IT327" i="30"/>
  <c r="AN327" i="30" s="1"/>
  <c r="AN322" i="30"/>
  <c r="FS108" i="30"/>
  <c r="HQ154" i="30"/>
  <c r="HQ137" i="30"/>
  <c r="JO32" i="30"/>
  <c r="AQ32" i="30" s="1"/>
  <c r="AQ31" i="30"/>
  <c r="JO55" i="30"/>
  <c r="AQ55" i="30" s="1"/>
  <c r="LO26" i="30"/>
  <c r="JH149" i="30"/>
  <c r="AP149" i="30" s="1"/>
  <c r="JH127" i="30"/>
  <c r="AP127" i="30" s="1"/>
  <c r="AP126" i="30"/>
  <c r="JH321" i="30"/>
  <c r="FU90" i="30"/>
  <c r="KC149" i="30"/>
  <c r="AS149" i="30" s="1"/>
  <c r="AS126" i="30"/>
  <c r="KC127" i="30"/>
  <c r="AS127" i="30" s="1"/>
  <c r="KC321" i="30"/>
  <c r="GH154" i="30"/>
  <c r="GH137" i="30"/>
  <c r="KJ91" i="30"/>
  <c r="AT91" i="30" s="1"/>
  <c r="FG327" i="30"/>
  <c r="AA327" i="30" s="1"/>
  <c r="AA322" i="30"/>
  <c r="DQ327" i="30"/>
  <c r="U327" i="30" s="1"/>
  <c r="U322" i="30"/>
  <c r="FK60" i="30"/>
  <c r="IM149" i="30"/>
  <c r="AM149" i="30" s="1"/>
  <c r="IM127" i="30"/>
  <c r="AM127" i="30" s="1"/>
  <c r="AM126" i="30"/>
  <c r="IM321" i="30"/>
  <c r="GN159" i="30"/>
  <c r="GN60" i="30"/>
  <c r="GN38" i="30"/>
  <c r="LP42" i="30"/>
  <c r="HV326" i="30"/>
  <c r="IC326" i="30"/>
  <c r="GV154" i="30"/>
  <c r="GV137" i="30"/>
  <c r="KW326" i="30"/>
  <c r="EJ326" i="30"/>
  <c r="FT55" i="30"/>
  <c r="CF154" i="30"/>
  <c r="LL105" i="30"/>
  <c r="AX105" i="30" s="1"/>
  <c r="AX85" i="30"/>
  <c r="DJ327" i="30"/>
  <c r="T327" i="30" s="1"/>
  <c r="HD321" i="30"/>
  <c r="HP160" i="30"/>
  <c r="HP161" i="30" s="1"/>
  <c r="FK321" i="30"/>
  <c r="FK326" i="30" s="1"/>
  <c r="EE151" i="30"/>
  <c r="W151" i="30" s="1"/>
  <c r="W131" i="30"/>
  <c r="EO60" i="30"/>
  <c r="BT310" i="30"/>
  <c r="N310" i="30" s="1"/>
  <c r="N80" i="30"/>
  <c r="BT90" i="30"/>
  <c r="JV328" i="30"/>
  <c r="AR328" i="30" s="1"/>
  <c r="AR323" i="30"/>
  <c r="FM149" i="30"/>
  <c r="FM127" i="30"/>
  <c r="FM321" i="30"/>
  <c r="FM326" i="30" s="1"/>
  <c r="FG315" i="30"/>
  <c r="AA315" i="30" s="1"/>
  <c r="AA310" i="30"/>
  <c r="JZ154" i="30"/>
  <c r="JZ137" i="30"/>
  <c r="IJ154" i="30"/>
  <c r="IJ137" i="30"/>
  <c r="EI326" i="30"/>
  <c r="JM160" i="30"/>
  <c r="JM161" i="30" s="1"/>
  <c r="EE108" i="30"/>
  <c r="W108" i="30" s="1"/>
  <c r="W90" i="30"/>
  <c r="EL108" i="30"/>
  <c r="X108" i="30" s="1"/>
  <c r="FG149" i="30"/>
  <c r="AA149" i="30" s="1"/>
  <c r="FG127" i="30"/>
  <c r="AA127" i="30" s="1"/>
  <c r="AA126" i="30"/>
  <c r="FG321" i="30"/>
  <c r="DF326" i="30"/>
  <c r="IF32" i="30"/>
  <c r="AL32" i="30" s="1"/>
  <c r="JG326" i="30"/>
  <c r="GF154" i="30"/>
  <c r="GF137" i="30"/>
  <c r="DB326" i="30"/>
  <c r="JO159" i="30"/>
  <c r="JO60" i="30"/>
  <c r="AQ60" i="30" s="1"/>
  <c r="AQ37" i="30"/>
  <c r="JO38" i="30"/>
  <c r="AQ38" i="30" s="1"/>
  <c r="FE154" i="30"/>
  <c r="JA55" i="30"/>
  <c r="AO55" i="30" s="1"/>
  <c r="JA32" i="30"/>
  <c r="AO32" i="30" s="1"/>
  <c r="AO31" i="30"/>
  <c r="KJ108" i="30"/>
  <c r="AT108" i="30" s="1"/>
  <c r="AW117" i="30"/>
  <c r="IL154" i="30"/>
  <c r="IL137" i="30"/>
  <c r="EV326" i="30"/>
  <c r="DT326" i="30"/>
  <c r="KJ327" i="30"/>
  <c r="AT327" i="30" s="1"/>
  <c r="AT322" i="30"/>
  <c r="FN142" i="30"/>
  <c r="AB142" i="30" s="1"/>
  <c r="AB116" i="30"/>
  <c r="IP160" i="30"/>
  <c r="IP161" i="30" s="1"/>
  <c r="IC160" i="30"/>
  <c r="IC161" i="30" s="1"/>
  <c r="JD154" i="30"/>
  <c r="JD137" i="30"/>
  <c r="CM326" i="30"/>
  <c r="LS85" i="30"/>
  <c r="LQ26" i="30"/>
  <c r="FY315" i="30"/>
  <c r="DT60" i="30"/>
  <c r="KW154" i="30"/>
  <c r="KW137" i="30"/>
  <c r="BP321" i="30"/>
  <c r="BW326" i="30" s="1"/>
  <c r="DX317" i="30"/>
  <c r="V317" i="30" s="1"/>
  <c r="V312" i="30"/>
  <c r="BT126" i="30"/>
  <c r="CA127" i="30" s="1"/>
  <c r="O127" i="30" s="1"/>
  <c r="BT50" i="30"/>
  <c r="N50" i="30" s="1"/>
  <c r="BT31" i="30"/>
  <c r="N20" i="30"/>
  <c r="FF326" i="30"/>
  <c r="CA50" i="30"/>
  <c r="O50" i="30" s="1"/>
  <c r="H136" i="30"/>
  <c r="H37" i="30"/>
  <c r="KN154" i="30"/>
  <c r="KN137" i="30"/>
  <c r="KV326" i="30"/>
  <c r="JU154" i="30"/>
  <c r="JU137" i="30"/>
  <c r="AD323" i="30"/>
  <c r="HO154" i="30"/>
  <c r="HO137" i="30"/>
  <c r="HK327" i="30"/>
  <c r="AI327" i="30" s="1"/>
  <c r="AI322" i="30"/>
  <c r="FS328" i="30"/>
  <c r="FZ328" i="30"/>
  <c r="IX154" i="30"/>
  <c r="IX137" i="30"/>
  <c r="DN326" i="30"/>
  <c r="IT328" i="30"/>
  <c r="AN328" i="30" s="1"/>
  <c r="AN323" i="30"/>
  <c r="CL154" i="30"/>
  <c r="EE317" i="30"/>
  <c r="W317" i="30" s="1"/>
  <c r="W312" i="30"/>
  <c r="EV328" i="30"/>
  <c r="N118" i="30"/>
  <c r="CA144" i="30"/>
  <c r="O144" i="30" s="1"/>
  <c r="IF55" i="30"/>
  <c r="AL55" i="30" s="1"/>
  <c r="FD154" i="30"/>
  <c r="GW55" i="30"/>
  <c r="AG55" i="30" s="1"/>
  <c r="GW37" i="30"/>
  <c r="GW32" i="30"/>
  <c r="AG32" i="30" s="1"/>
  <c r="AG31" i="30"/>
  <c r="LP27" i="30"/>
  <c r="FU317" i="30"/>
  <c r="AC317" i="30" s="1"/>
  <c r="AC312" i="30"/>
  <c r="JA149" i="30"/>
  <c r="AO149" i="30" s="1"/>
  <c r="JA127" i="30"/>
  <c r="AO127" i="30" s="1"/>
  <c r="AO126" i="30"/>
  <c r="JA321" i="30"/>
  <c r="GA328" i="30"/>
  <c r="FX55" i="30"/>
  <c r="DV60" i="30"/>
  <c r="EC60" i="30"/>
  <c r="KJ32" i="30"/>
  <c r="AT32" i="30" s="1"/>
  <c r="IE160" i="30"/>
  <c r="IE161" i="30" s="1"/>
  <c r="O322" i="30"/>
  <c r="KO326" i="30"/>
  <c r="JS326" i="30"/>
  <c r="CO151" i="30"/>
  <c r="Q151" i="30" s="1"/>
  <c r="Q131" i="30"/>
  <c r="EH327" i="30"/>
  <c r="FY328" i="30"/>
  <c r="HB159" i="30"/>
  <c r="HB60" i="30"/>
  <c r="HB38" i="30"/>
  <c r="EY60" i="30"/>
  <c r="IB137" i="30"/>
  <c r="HD127" i="30"/>
  <c r="AH127" i="30" s="1"/>
  <c r="KF160" i="30"/>
  <c r="KF161" i="30" s="1"/>
  <c r="LR26" i="30"/>
  <c r="CA103" i="30"/>
  <c r="O103" i="30" s="1"/>
  <c r="LA47" i="30"/>
  <c r="LE14" i="30"/>
  <c r="IC154" i="30"/>
  <c r="IC137" i="30"/>
  <c r="O31" i="30"/>
  <c r="CA37" i="30"/>
  <c r="CA136" i="30" s="1"/>
  <c r="GP55" i="30"/>
  <c r="AF55" i="30" s="1"/>
  <c r="GP32" i="30"/>
  <c r="AF32" i="30" s="1"/>
  <c r="GP37" i="30"/>
  <c r="GP136" i="30" s="1"/>
  <c r="AF31" i="30"/>
  <c r="IM327" i="30"/>
  <c r="AM327" i="30" s="1"/>
  <c r="AM322" i="30"/>
  <c r="Q322" i="30"/>
  <c r="CO327" i="30"/>
  <c r="Q327" i="30" s="1"/>
  <c r="KB154" i="30"/>
  <c r="KB137" i="30"/>
  <c r="LL99" i="30"/>
  <c r="AX99" i="30" s="1"/>
  <c r="AX73" i="30"/>
  <c r="AX210" i="30" s="1"/>
  <c r="AX211" i="30" s="1"/>
  <c r="CV315" i="30"/>
  <c r="R315" i="30" s="1"/>
  <c r="R310" i="30"/>
  <c r="JV149" i="30"/>
  <c r="AR149" i="30" s="1"/>
  <c r="JV127" i="30"/>
  <c r="AR127" i="30" s="1"/>
  <c r="AR126" i="30"/>
  <c r="JV321" i="30"/>
  <c r="GT38" i="30"/>
  <c r="EZ55" i="30"/>
  <c r="Z55" i="30" s="1"/>
  <c r="EZ37" i="30"/>
  <c r="EZ136" i="30" s="1"/>
  <c r="Z31" i="30"/>
  <c r="DC315" i="30"/>
  <c r="S315" i="30" s="1"/>
  <c r="S310" i="30"/>
  <c r="KQ149" i="30"/>
  <c r="AU149" i="30" s="1"/>
  <c r="AU126" i="30"/>
  <c r="KQ127" i="30"/>
  <c r="AU127" i="30" s="1"/>
  <c r="KQ321" i="30"/>
  <c r="AF322" i="30"/>
  <c r="GP327" i="30"/>
  <c r="AF327" i="30" s="1"/>
  <c r="Y90" i="30"/>
  <c r="ES108" i="30"/>
  <c r="Y108" i="30" s="1"/>
  <c r="HQ160" i="30"/>
  <c r="HQ161" i="30" s="1"/>
  <c r="HA159" i="30"/>
  <c r="HA60" i="30"/>
  <c r="HA38" i="30"/>
  <c r="EL151" i="30"/>
  <c r="X151" i="30" s="1"/>
  <c r="X131" i="30"/>
  <c r="EL149" i="30"/>
  <c r="X149" i="30" s="1"/>
  <c r="AL136" i="30"/>
  <c r="FE326" i="30"/>
  <c r="KJ149" i="30"/>
  <c r="AT149" i="30" s="1"/>
  <c r="KJ127" i="30"/>
  <c r="AT127" i="30" s="1"/>
  <c r="AT126" i="30"/>
  <c r="KJ321" i="30"/>
  <c r="HX160" i="30"/>
  <c r="HX161" i="30" s="1"/>
  <c r="IB160" i="30"/>
  <c r="IB161" i="30" s="1"/>
  <c r="JN154" i="30"/>
  <c r="JN137" i="30"/>
  <c r="DC55" i="30"/>
  <c r="S55" i="30" s="1"/>
  <c r="DC37" i="30"/>
  <c r="DC136" i="30" s="1"/>
  <c r="S31" i="30"/>
  <c r="GU159" i="30"/>
  <c r="GU60" i="30"/>
  <c r="GU38" i="30"/>
  <c r="DA326" i="30"/>
  <c r="GN154" i="30"/>
  <c r="GN137" i="30"/>
  <c r="LA53" i="30"/>
  <c r="LE27" i="30"/>
  <c r="KJ55" i="30"/>
  <c r="AT55" i="30" s="1"/>
  <c r="KC328" i="30"/>
  <c r="AS328" i="30" s="1"/>
  <c r="AS323" i="30"/>
  <c r="KA326" i="30"/>
  <c r="DX327" i="30"/>
  <c r="V327" i="30" s="1"/>
  <c r="V322" i="30"/>
  <c r="JT154" i="30"/>
  <c r="JT137" i="30"/>
  <c r="FG108" i="30"/>
  <c r="AA108" i="30" s="1"/>
  <c r="AA90" i="30"/>
  <c r="DJ315" i="30"/>
  <c r="T315" i="30" s="1"/>
  <c r="T310" i="30"/>
  <c r="IP154" i="30"/>
  <c r="IP137" i="30"/>
  <c r="KB326" i="30"/>
  <c r="DT154" i="30"/>
  <c r="KI326" i="30"/>
  <c r="IB154" i="30"/>
  <c r="HD149" i="30"/>
  <c r="AH149" i="30" s="1"/>
  <c r="LC85" i="29"/>
  <c r="MG8" i="1" l="1"/>
  <c r="ME8" i="1"/>
  <c r="MH8" i="1"/>
  <c r="MD136" i="30"/>
  <c r="MF20" i="1"/>
  <c r="MG28" i="1"/>
  <c r="ME28" i="1"/>
  <c r="MH28" i="1"/>
  <c r="MH31" i="1"/>
  <c r="MG31" i="1"/>
  <c r="ME31" i="1"/>
  <c r="MG58" i="30"/>
  <c r="BA58" i="30" s="1"/>
  <c r="BA35" i="30"/>
  <c r="MG37" i="30"/>
  <c r="ME93" i="1"/>
  <c r="MF78" i="1"/>
  <c r="MD38" i="30"/>
  <c r="MD60" i="30"/>
  <c r="EQ277" i="30"/>
  <c r="FT276" i="30"/>
  <c r="GA277" i="30" s="1"/>
  <c r="AC184" i="30"/>
  <c r="AV273" i="30"/>
  <c r="LS114" i="29"/>
  <c r="AY114" i="29" s="1"/>
  <c r="GG137" i="30"/>
  <c r="DQ254" i="30"/>
  <c r="AO244" i="30"/>
  <c r="KF277" i="30"/>
  <c r="ES276" i="30"/>
  <c r="BZ277" i="30"/>
  <c r="AH227" i="30"/>
  <c r="HB277" i="30"/>
  <c r="HI277" i="30"/>
  <c r="FN315" i="30"/>
  <c r="AB315" i="30" s="1"/>
  <c r="Q177" i="30"/>
  <c r="DU154" i="30"/>
  <c r="HD247" i="30"/>
  <c r="EZ276" i="30"/>
  <c r="O224" i="30"/>
  <c r="EP277" i="30"/>
  <c r="AJ273" i="30"/>
  <c r="DQ256" i="30"/>
  <c r="DQ257" i="30" s="1"/>
  <c r="O227" i="30"/>
  <c r="FF277" i="30"/>
  <c r="FN321" i="30"/>
  <c r="FN326" i="30" s="1"/>
  <c r="AB326" i="30" s="1"/>
  <c r="KW277" i="30"/>
  <c r="AF273" i="30"/>
  <c r="AF274" i="30" s="1"/>
  <c r="AF187" i="30"/>
  <c r="GL277" i="30"/>
  <c r="CV247" i="30"/>
  <c r="DJ247" i="30"/>
  <c r="JU277" i="30"/>
  <c r="GQ55" i="5"/>
  <c r="LY98" i="1"/>
  <c r="O204" i="30"/>
  <c r="AP244" i="30"/>
  <c r="V37" i="30"/>
  <c r="DV277" i="30"/>
  <c r="KP277" i="30"/>
  <c r="AS177" i="30"/>
  <c r="P244" i="30"/>
  <c r="AC177" i="30"/>
  <c r="AD177" i="30"/>
  <c r="LD294" i="30"/>
  <c r="LW53" i="30"/>
  <c r="LX47" i="30"/>
  <c r="GT160" i="30"/>
  <c r="GS160" i="30"/>
  <c r="LW52" i="30"/>
  <c r="LV47" i="30"/>
  <c r="HA160" i="30"/>
  <c r="LJ52" i="30"/>
  <c r="LI52" i="30"/>
  <c r="HN160" i="30"/>
  <c r="HN161" i="30" s="1"/>
  <c r="BX277" i="30"/>
  <c r="LX42" i="30"/>
  <c r="MA32" i="1"/>
  <c r="LY52" i="30"/>
  <c r="LV46" i="30"/>
  <c r="LK43" i="30"/>
  <c r="LV43" i="30"/>
  <c r="LK53" i="30"/>
  <c r="LJ53" i="30"/>
  <c r="LY43" i="30"/>
  <c r="LY53" i="30"/>
  <c r="LJ47" i="30"/>
  <c r="LX52" i="30"/>
  <c r="LX53" i="30"/>
  <c r="LI53" i="30"/>
  <c r="LV52" i="30"/>
  <c r="LW47" i="30"/>
  <c r="HJ160" i="30"/>
  <c r="LW45" i="30"/>
  <c r="LY42" i="30"/>
  <c r="GZ160" i="30"/>
  <c r="LV53" i="30"/>
  <c r="LZ32" i="1"/>
  <c r="LZ31" i="1"/>
  <c r="LZ28" i="1"/>
  <c r="MA31" i="1"/>
  <c r="MA28" i="1"/>
  <c r="O241" i="30"/>
  <c r="LQ289" i="30"/>
  <c r="LQ295" i="30" s="1"/>
  <c r="LX297" i="30"/>
  <c r="LZ58" i="30"/>
  <c r="AZ58" i="30" s="1"/>
  <c r="AZ35" i="30"/>
  <c r="LZ37" i="30"/>
  <c r="LW136" i="30"/>
  <c r="LY20" i="1"/>
  <c r="LR289" i="30"/>
  <c r="LY297" i="30"/>
  <c r="LQ46" i="30"/>
  <c r="LX46" i="30"/>
  <c r="LX32" i="1"/>
  <c r="GQ150" i="5"/>
  <c r="LX98" i="1"/>
  <c r="MA60" i="1"/>
  <c r="LS312" i="30"/>
  <c r="LZ317" i="30" s="1"/>
  <c r="AZ317" i="30" s="1"/>
  <c r="LZ105" i="30"/>
  <c r="AZ105" i="30" s="1"/>
  <c r="LS95" i="30"/>
  <c r="AY95" i="30" s="1"/>
  <c r="LZ95" i="30"/>
  <c r="AZ95" i="30" s="1"/>
  <c r="U271" i="30"/>
  <c r="LC293" i="30"/>
  <c r="LJ295" i="30"/>
  <c r="LC294" i="30"/>
  <c r="LE288" i="30"/>
  <c r="LK295" i="30"/>
  <c r="LR52" i="30"/>
  <c r="LS316" i="30"/>
  <c r="AY316" i="30" s="1"/>
  <c r="AY311" i="30"/>
  <c r="EW277" i="30"/>
  <c r="CM276" i="30"/>
  <c r="CT277" i="30" s="1"/>
  <c r="EX277" i="30"/>
  <c r="CM274" i="30"/>
  <c r="AI177" i="30"/>
  <c r="JG277" i="30"/>
  <c r="AP273" i="30"/>
  <c r="AP276" i="30" s="1"/>
  <c r="EJ277" i="30"/>
  <c r="AN217" i="30"/>
  <c r="AP227" i="30"/>
  <c r="V187" i="30"/>
  <c r="GB108" i="29"/>
  <c r="AD108" i="29" s="1"/>
  <c r="FT108" i="29"/>
  <c r="FS108" i="29" s="1"/>
  <c r="FR108" i="29" s="1"/>
  <c r="FQ108" i="29" s="1"/>
  <c r="KJ160" i="30"/>
  <c r="KJ161" i="30" s="1"/>
  <c r="AT161" i="30" s="1"/>
  <c r="KC160" i="30"/>
  <c r="KC161" i="30" s="1"/>
  <c r="AS161" i="30" s="1"/>
  <c r="DP166" i="30"/>
  <c r="AU65" i="4"/>
  <c r="AQ244" i="30"/>
  <c r="AK217" i="30"/>
  <c r="BX274" i="30"/>
  <c r="AN246" i="30"/>
  <c r="AN247" i="30" s="1"/>
  <c r="FN247" i="30"/>
  <c r="JA276" i="30"/>
  <c r="JA277" i="30" s="1"/>
  <c r="DU277" i="30"/>
  <c r="AG273" i="30"/>
  <c r="Y187" i="30"/>
  <c r="AL187" i="30"/>
  <c r="AE207" i="30"/>
  <c r="DI277" i="30"/>
  <c r="FD277" i="30"/>
  <c r="EA277" i="30"/>
  <c r="HI137" i="30"/>
  <c r="HI154" i="30"/>
  <c r="HB137" i="30"/>
  <c r="HB154" i="30"/>
  <c r="HA154" i="30"/>
  <c r="GU277" i="30"/>
  <c r="HH137" i="30"/>
  <c r="HH154" i="30"/>
  <c r="HA137" i="30"/>
  <c r="GM137" i="30"/>
  <c r="GL154" i="30"/>
  <c r="EH277" i="30"/>
  <c r="JF277" i="30"/>
  <c r="IM277" i="30"/>
  <c r="DN277" i="30"/>
  <c r="HJ154" i="30"/>
  <c r="DO154" i="30"/>
  <c r="ER154" i="30"/>
  <c r="FC277" i="30"/>
  <c r="FG274" i="30"/>
  <c r="FZ154" i="30"/>
  <c r="AR217" i="30"/>
  <c r="EZ274" i="30"/>
  <c r="KO277" i="30"/>
  <c r="HX277" i="30"/>
  <c r="AD254" i="30"/>
  <c r="HC277" i="30"/>
  <c r="AC254" i="30"/>
  <c r="Q197" i="30"/>
  <c r="W273" i="30"/>
  <c r="W276" i="30" s="1"/>
  <c r="GM154" i="30"/>
  <c r="FE277" i="30"/>
  <c r="ES274" i="30"/>
  <c r="EQ154" i="30"/>
  <c r="DX247" i="30"/>
  <c r="GS154" i="30"/>
  <c r="AQ247" i="30"/>
  <c r="GS137" i="30"/>
  <c r="AB126" i="30"/>
  <c r="FN127" i="30"/>
  <c r="AB127" i="30" s="1"/>
  <c r="AM267" i="30"/>
  <c r="GL137" i="30"/>
  <c r="CM277" i="30"/>
  <c r="AA271" i="30"/>
  <c r="DH277" i="30"/>
  <c r="IT160" i="30"/>
  <c r="AN160" i="30" s="1"/>
  <c r="CS277" i="30"/>
  <c r="FT247" i="30"/>
  <c r="AJ257" i="30"/>
  <c r="AM177" i="30"/>
  <c r="T244" i="30"/>
  <c r="DC274" i="30"/>
  <c r="Q217" i="30"/>
  <c r="Z237" i="30"/>
  <c r="S244" i="30"/>
  <c r="AB90" i="30"/>
  <c r="AB273" i="30" s="1"/>
  <c r="AL276" i="30"/>
  <c r="X254" i="30"/>
  <c r="AQ271" i="30"/>
  <c r="HC137" i="30"/>
  <c r="AD257" i="30"/>
  <c r="HC154" i="30"/>
  <c r="O273" i="30"/>
  <c r="O276" i="30" s="1"/>
  <c r="DC276" i="30"/>
  <c r="DM277" i="30"/>
  <c r="AC186" i="30"/>
  <c r="AD187" i="30" s="1"/>
  <c r="DB277" i="30"/>
  <c r="HJ137" i="30"/>
  <c r="AU257" i="30"/>
  <c r="AO177" i="30"/>
  <c r="FJ277" i="30"/>
  <c r="DA277" i="30"/>
  <c r="HP277" i="30"/>
  <c r="DF277" i="30"/>
  <c r="JD277" i="30"/>
  <c r="KA277" i="30"/>
  <c r="DO277" i="30"/>
  <c r="Y254" i="30"/>
  <c r="EI277" i="30"/>
  <c r="AB227" i="30"/>
  <c r="AS244" i="30"/>
  <c r="S177" i="30"/>
  <c r="FU273" i="30"/>
  <c r="GB274" i="30" s="1"/>
  <c r="AS187" i="30"/>
  <c r="X273" i="30"/>
  <c r="CR277" i="30"/>
  <c r="KQ160" i="30"/>
  <c r="AS246" i="30"/>
  <c r="AS247" i="30" s="1"/>
  <c r="W37" i="30"/>
  <c r="EW154" i="30"/>
  <c r="CD154" i="30"/>
  <c r="AV177" i="30"/>
  <c r="R187" i="30"/>
  <c r="EE60" i="30"/>
  <c r="W60" i="30" s="1"/>
  <c r="IE277" i="30"/>
  <c r="KG277" i="30"/>
  <c r="AT227" i="30"/>
  <c r="CT257" i="30"/>
  <c r="DB154" i="30"/>
  <c r="CR154" i="30"/>
  <c r="W322" i="30"/>
  <c r="EB277" i="30"/>
  <c r="FN274" i="30"/>
  <c r="EE327" i="30"/>
  <c r="W327" i="30" s="1"/>
  <c r="FR276" i="30"/>
  <c r="FY277" i="30" s="1"/>
  <c r="AH257" i="30"/>
  <c r="AO227" i="30"/>
  <c r="AE244" i="30"/>
  <c r="R254" i="30"/>
  <c r="AH187" i="30"/>
  <c r="Y267" i="30"/>
  <c r="X256" i="30"/>
  <c r="Y257" i="30" s="1"/>
  <c r="S237" i="30"/>
  <c r="FN108" i="30"/>
  <c r="AB108" i="30" s="1"/>
  <c r="AJ177" i="30"/>
  <c r="AR244" i="30"/>
  <c r="AB244" i="30"/>
  <c r="AQ207" i="30"/>
  <c r="IC277" i="30"/>
  <c r="FN136" i="30"/>
  <c r="AB136" i="30" s="1"/>
  <c r="AL197" i="30"/>
  <c r="AN271" i="30"/>
  <c r="GH277" i="30"/>
  <c r="FC154" i="30"/>
  <c r="V271" i="30"/>
  <c r="Z254" i="30"/>
  <c r="EI154" i="30"/>
  <c r="GT137" i="30"/>
  <c r="GT154" i="30"/>
  <c r="DQ274" i="30"/>
  <c r="AV237" i="30"/>
  <c r="Z177" i="30"/>
  <c r="S217" i="30"/>
  <c r="AH271" i="30"/>
  <c r="S271" i="30"/>
  <c r="DJ274" i="30"/>
  <c r="CA327" i="30"/>
  <c r="O327" i="30" s="1"/>
  <c r="DJ276" i="30"/>
  <c r="R177" i="30"/>
  <c r="Q237" i="30"/>
  <c r="Q273" i="30"/>
  <c r="Q276" i="30" s="1"/>
  <c r="O234" i="30"/>
  <c r="AH207" i="30"/>
  <c r="AU267" i="30"/>
  <c r="O194" i="30"/>
  <c r="Z273" i="30"/>
  <c r="Z276" i="30" s="1"/>
  <c r="AO273" i="30"/>
  <c r="AQ217" i="30"/>
  <c r="P271" i="30"/>
  <c r="FQ60" i="30"/>
  <c r="FQ136" i="30"/>
  <c r="FQ154" i="30" s="1"/>
  <c r="DX60" i="30"/>
  <c r="V60" i="30" s="1"/>
  <c r="DQ136" i="30"/>
  <c r="DQ154" i="30" s="1"/>
  <c r="U154" i="30" s="1"/>
  <c r="CH274" i="30"/>
  <c r="HD60" i="30"/>
  <c r="AH60" i="30" s="1"/>
  <c r="GW136" i="30"/>
  <c r="GW154" i="30" s="1"/>
  <c r="AG154" i="30" s="1"/>
  <c r="FR60" i="30"/>
  <c r="FR136" i="30"/>
  <c r="FR154" i="30" s="1"/>
  <c r="BR60" i="30"/>
  <c r="BR136" i="30"/>
  <c r="BY154" i="30" s="1"/>
  <c r="IT247" i="30"/>
  <c r="BS60" i="30"/>
  <c r="BS136" i="30"/>
  <c r="BZ154" i="30" s="1"/>
  <c r="DP60" i="30"/>
  <c r="DP136" i="30"/>
  <c r="DP154" i="30" s="1"/>
  <c r="CM60" i="30"/>
  <c r="CM136" i="30"/>
  <c r="CM154" i="30" s="1"/>
  <c r="BX60" i="30"/>
  <c r="BQ136" i="30"/>
  <c r="BX154" i="30" s="1"/>
  <c r="X237" i="30"/>
  <c r="FM60" i="30"/>
  <c r="FM136" i="30"/>
  <c r="FM154" i="30" s="1"/>
  <c r="AG177" i="30"/>
  <c r="P273" i="30"/>
  <c r="P276" i="30" s="1"/>
  <c r="T237" i="30"/>
  <c r="Y177" i="30"/>
  <c r="ED277" i="30"/>
  <c r="GW274" i="30"/>
  <c r="AO197" i="30"/>
  <c r="DG277" i="30"/>
  <c r="KX247" i="30"/>
  <c r="AR273" i="30"/>
  <c r="Q256" i="30"/>
  <c r="Q257" i="30" s="1"/>
  <c r="Y197" i="30"/>
  <c r="KJ247" i="30"/>
  <c r="AH267" i="30"/>
  <c r="Q254" i="30"/>
  <c r="AK273" i="30"/>
  <c r="AL274" i="30" s="1"/>
  <c r="CH276" i="30"/>
  <c r="CH277" i="30" s="1"/>
  <c r="AQ197" i="30"/>
  <c r="Y244" i="30"/>
  <c r="AA244" i="30"/>
  <c r="N176" i="30"/>
  <c r="O177" i="30" s="1"/>
  <c r="GW277" i="30"/>
  <c r="Z246" i="30"/>
  <c r="AA247" i="30" s="1"/>
  <c r="AN244" i="30"/>
  <c r="Y247" i="30"/>
  <c r="R227" i="30"/>
  <c r="Z244" i="30"/>
  <c r="HR274" i="30"/>
  <c r="O174" i="30"/>
  <c r="X187" i="30"/>
  <c r="AG271" i="30"/>
  <c r="CV274" i="30"/>
  <c r="ES271" i="30"/>
  <c r="O184" i="30"/>
  <c r="AT177" i="30"/>
  <c r="O271" i="30"/>
  <c r="S273" i="30"/>
  <c r="EL326" i="30"/>
  <c r="X326" i="30" s="1"/>
  <c r="KM277" i="30"/>
  <c r="R273" i="30"/>
  <c r="AS207" i="30"/>
  <c r="AR247" i="30"/>
  <c r="AQ187" i="30"/>
  <c r="U267" i="30"/>
  <c r="AK267" i="30"/>
  <c r="GI274" i="30"/>
  <c r="AF217" i="30"/>
  <c r="AK227" i="30"/>
  <c r="AQ273" i="30"/>
  <c r="CU277" i="30"/>
  <c r="GP274" i="30"/>
  <c r="AP177" i="30"/>
  <c r="AM237" i="30"/>
  <c r="Z217" i="30"/>
  <c r="T227" i="30"/>
  <c r="AB177" i="30"/>
  <c r="AS273" i="30"/>
  <c r="AS276" i="30" s="1"/>
  <c r="KV277" i="30"/>
  <c r="AG267" i="30"/>
  <c r="AG187" i="30"/>
  <c r="AJ271" i="30"/>
  <c r="AN177" i="30"/>
  <c r="DQ271" i="30"/>
  <c r="AS271" i="30"/>
  <c r="JA247" i="30"/>
  <c r="P217" i="30"/>
  <c r="LE144" i="30"/>
  <c r="AW144" i="30" s="1"/>
  <c r="AT207" i="30"/>
  <c r="AU271" i="30"/>
  <c r="AM187" i="30"/>
  <c r="AU197" i="30"/>
  <c r="AO271" i="30"/>
  <c r="AG217" i="30"/>
  <c r="KQ247" i="30"/>
  <c r="AO217" i="30"/>
  <c r="R267" i="30"/>
  <c r="AA237" i="30"/>
  <c r="W177" i="30"/>
  <c r="Z267" i="30"/>
  <c r="W271" i="30"/>
  <c r="AE247" i="30"/>
  <c r="DP155" i="29"/>
  <c r="AX261" i="30"/>
  <c r="AY260" i="30"/>
  <c r="AX250" i="30"/>
  <c r="AX251" i="30" s="1"/>
  <c r="AY69" i="30"/>
  <c r="AY170" i="30" s="1"/>
  <c r="AZ171" i="30" s="1"/>
  <c r="AX180" i="30"/>
  <c r="AX181" i="30" s="1"/>
  <c r="LQ47" i="30"/>
  <c r="AY191" i="30"/>
  <c r="V276" i="30"/>
  <c r="AH276" i="30"/>
  <c r="U246" i="30"/>
  <c r="U247" i="30" s="1"/>
  <c r="U244" i="30"/>
  <c r="AU276" i="30"/>
  <c r="AU274" i="30"/>
  <c r="N243" i="30"/>
  <c r="N246" i="30" s="1"/>
  <c r="AE276" i="30"/>
  <c r="FG271" i="30"/>
  <c r="CY277" i="30"/>
  <c r="EE271" i="30"/>
  <c r="AB270" i="30"/>
  <c r="AB271" i="30" s="1"/>
  <c r="AB241" i="30"/>
  <c r="AE271" i="30"/>
  <c r="AT246" i="30"/>
  <c r="AT244" i="30"/>
  <c r="W256" i="30"/>
  <c r="W254" i="30"/>
  <c r="AE257" i="30"/>
  <c r="AF207" i="30"/>
  <c r="AK271" i="30"/>
  <c r="KX274" i="30"/>
  <c r="KX276" i="30"/>
  <c r="AQ257" i="30"/>
  <c r="R237" i="30"/>
  <c r="S227" i="30"/>
  <c r="AL207" i="30"/>
  <c r="KC247" i="30"/>
  <c r="V197" i="30"/>
  <c r="AI244" i="30"/>
  <c r="AI246" i="30"/>
  <c r="AM217" i="30"/>
  <c r="AL217" i="30"/>
  <c r="U273" i="30"/>
  <c r="EZ257" i="30"/>
  <c r="V177" i="30"/>
  <c r="U177" i="30"/>
  <c r="O246" i="30"/>
  <c r="P247" i="30" s="1"/>
  <c r="AF177" i="30"/>
  <c r="AL246" i="30"/>
  <c r="AL247" i="30" s="1"/>
  <c r="AL244" i="30"/>
  <c r="AA217" i="30"/>
  <c r="AC227" i="30"/>
  <c r="AG197" i="30"/>
  <c r="W246" i="30"/>
  <c r="W247" i="30" s="1"/>
  <c r="W244" i="30"/>
  <c r="Z257" i="30"/>
  <c r="AN227" i="30"/>
  <c r="AU177" i="30"/>
  <c r="AB184" i="30"/>
  <c r="AB186" i="30"/>
  <c r="AB187" i="30" s="1"/>
  <c r="T256" i="30"/>
  <c r="T254" i="30"/>
  <c r="AI207" i="30"/>
  <c r="T271" i="30"/>
  <c r="N266" i="30"/>
  <c r="O267" i="30" s="1"/>
  <c r="O264" i="30"/>
  <c r="AM271" i="30"/>
  <c r="X177" i="30"/>
  <c r="AF271" i="30"/>
  <c r="AX170" i="30"/>
  <c r="AX171" i="30" s="1"/>
  <c r="T177" i="30"/>
  <c r="FU187" i="30"/>
  <c r="GB187" i="30"/>
  <c r="AC243" i="30"/>
  <c r="AP271" i="30"/>
  <c r="W267" i="30"/>
  <c r="Q271" i="30"/>
  <c r="AS217" i="30"/>
  <c r="V207" i="30"/>
  <c r="Q246" i="30"/>
  <c r="Q247" i="30" s="1"/>
  <c r="Q244" i="30"/>
  <c r="AA177" i="30"/>
  <c r="R271" i="30"/>
  <c r="R197" i="30"/>
  <c r="AO237" i="30"/>
  <c r="AA267" i="30"/>
  <c r="AI267" i="30"/>
  <c r="AI257" i="30"/>
  <c r="P177" i="30"/>
  <c r="AT197" i="30"/>
  <c r="AT276" i="30"/>
  <c r="AK207" i="30"/>
  <c r="AE237" i="30"/>
  <c r="AU227" i="30"/>
  <c r="AF244" i="30"/>
  <c r="AF246" i="30"/>
  <c r="AF247" i="30" s="1"/>
  <c r="U256" i="30"/>
  <c r="U254" i="30"/>
  <c r="AD273" i="30"/>
  <c r="T273" i="30"/>
  <c r="AN274" i="30"/>
  <c r="AN276" i="30"/>
  <c r="EE257" i="30"/>
  <c r="Q207" i="30"/>
  <c r="AR271" i="30"/>
  <c r="Z187" i="30"/>
  <c r="AA254" i="30"/>
  <c r="AA256" i="30"/>
  <c r="AA257" i="30" s="1"/>
  <c r="X244" i="30"/>
  <c r="AP187" i="30"/>
  <c r="AO257" i="30"/>
  <c r="AB246" i="30"/>
  <c r="AB247" i="30" s="1"/>
  <c r="R217" i="30"/>
  <c r="AO207" i="30"/>
  <c r="U187" i="30"/>
  <c r="AH197" i="30"/>
  <c r="AW204" i="30"/>
  <c r="AW206" i="30"/>
  <c r="AW207" i="30" s="1"/>
  <c r="AO267" i="30"/>
  <c r="W187" i="30"/>
  <c r="AK257" i="30"/>
  <c r="IT277" i="30"/>
  <c r="AA273" i="30"/>
  <c r="AM276" i="30"/>
  <c r="AM274" i="30"/>
  <c r="AJ276" i="30"/>
  <c r="KQ274" i="30"/>
  <c r="KQ276" i="30"/>
  <c r="KQ277" i="30" s="1"/>
  <c r="Y271" i="30"/>
  <c r="S254" i="30"/>
  <c r="S256" i="30"/>
  <c r="S257" i="30" s="1"/>
  <c r="O254" i="30"/>
  <c r="AH177" i="30"/>
  <c r="AC237" i="30"/>
  <c r="AH217" i="30"/>
  <c r="T247" i="30"/>
  <c r="AV257" i="30"/>
  <c r="W207" i="30"/>
  <c r="AD237" i="30"/>
  <c r="AJ237" i="30"/>
  <c r="AF267" i="30"/>
  <c r="Q227" i="30"/>
  <c r="AP247" i="30"/>
  <c r="AT257" i="30"/>
  <c r="AD197" i="30"/>
  <c r="X217" i="30"/>
  <c r="AV197" i="30"/>
  <c r="EE154" i="30"/>
  <c r="W154" i="30" s="1"/>
  <c r="X271" i="30"/>
  <c r="AC270" i="30"/>
  <c r="AC241" i="30"/>
  <c r="AE177" i="30"/>
  <c r="AJ246" i="30"/>
  <c r="AJ244" i="30"/>
  <c r="AG244" i="30"/>
  <c r="O257" i="30"/>
  <c r="DW274" i="30"/>
  <c r="DP274" i="30"/>
  <c r="DP276" i="30"/>
  <c r="AQ177" i="30"/>
  <c r="AD267" i="30"/>
  <c r="AR267" i="30"/>
  <c r="AQ267" i="30"/>
  <c r="AL227" i="30"/>
  <c r="AK244" i="30"/>
  <c r="P257" i="30"/>
  <c r="AL177" i="30"/>
  <c r="AK177" i="30"/>
  <c r="AL271" i="30"/>
  <c r="JV247" i="30"/>
  <c r="JO247" i="30"/>
  <c r="AM244" i="30"/>
  <c r="T217" i="30"/>
  <c r="O214" i="30"/>
  <c r="R244" i="30"/>
  <c r="R246" i="30"/>
  <c r="AR177" i="30"/>
  <c r="Z271" i="30"/>
  <c r="X227" i="30"/>
  <c r="V244" i="30"/>
  <c r="V256" i="30"/>
  <c r="V254" i="30"/>
  <c r="AB256" i="30"/>
  <c r="AB254" i="30"/>
  <c r="AV274" i="30"/>
  <c r="AV276" i="30"/>
  <c r="Y273" i="30"/>
  <c r="AI273" i="30"/>
  <c r="AW196" i="30"/>
  <c r="AW197" i="30" s="1"/>
  <c r="AW194" i="30"/>
  <c r="EC277" i="30"/>
  <c r="DC257" i="30"/>
  <c r="EL257" i="30"/>
  <c r="P227" i="30"/>
  <c r="AH244" i="30"/>
  <c r="AH246" i="30"/>
  <c r="AH247" i="30" s="1"/>
  <c r="AI271" i="30"/>
  <c r="AF227" i="30"/>
  <c r="AP257" i="30"/>
  <c r="AT271" i="30"/>
  <c r="AR257" i="30"/>
  <c r="AV271" i="30"/>
  <c r="O217" i="30"/>
  <c r="AU246" i="30"/>
  <c r="AU244" i="30"/>
  <c r="AH237" i="30"/>
  <c r="V237" i="30"/>
  <c r="AD227" i="30"/>
  <c r="AJ197" i="30"/>
  <c r="AI197" i="30"/>
  <c r="AR187" i="30"/>
  <c r="FN271" i="30"/>
  <c r="CZ277" i="30"/>
  <c r="JN277" i="30"/>
  <c r="CV257" i="30"/>
  <c r="CV271" i="30"/>
  <c r="FG257" i="30"/>
  <c r="EL271" i="30"/>
  <c r="FU271" i="30"/>
  <c r="GB271" i="30"/>
  <c r="DJ257" i="30"/>
  <c r="FN276" i="30"/>
  <c r="DX271" i="30"/>
  <c r="ES257" i="30"/>
  <c r="DT277" i="30"/>
  <c r="CV276" i="30"/>
  <c r="EV277" i="30"/>
  <c r="FG276" i="30"/>
  <c r="FN257" i="30"/>
  <c r="FU257" i="30"/>
  <c r="GB257" i="30"/>
  <c r="DC271" i="30"/>
  <c r="EZ271" i="30"/>
  <c r="DJ271" i="30"/>
  <c r="DQ276" i="30"/>
  <c r="HK160" i="30"/>
  <c r="AI160" i="30" s="1"/>
  <c r="EY277" i="30"/>
  <c r="JH274" i="30"/>
  <c r="JH276" i="30"/>
  <c r="JO274" i="30"/>
  <c r="JO276" i="30"/>
  <c r="IF160" i="30"/>
  <c r="IF161" i="30" s="1"/>
  <c r="AL161" i="30" s="1"/>
  <c r="JV274" i="30"/>
  <c r="JV276" i="30"/>
  <c r="KC274" i="30"/>
  <c r="KC276" i="30"/>
  <c r="KJ274" i="30"/>
  <c r="JE277" i="30"/>
  <c r="HW277" i="30"/>
  <c r="CA244" i="30"/>
  <c r="CA247" i="30"/>
  <c r="BW274" i="30"/>
  <c r="DX274" i="30"/>
  <c r="DX276" i="30"/>
  <c r="FK274" i="30"/>
  <c r="FK276" i="30"/>
  <c r="FK277" i="30" s="1"/>
  <c r="HY274" i="30"/>
  <c r="HY276" i="30"/>
  <c r="IF274" i="30"/>
  <c r="EL274" i="30"/>
  <c r="EL276" i="30"/>
  <c r="CH247" i="30"/>
  <c r="HD274" i="30"/>
  <c r="HD276" i="30"/>
  <c r="HD277" i="30" s="1"/>
  <c r="FM274" i="30"/>
  <c r="FM276" i="30"/>
  <c r="FT274" i="30"/>
  <c r="GP247" i="30"/>
  <c r="CO247" i="30"/>
  <c r="HK274" i="30"/>
  <c r="HK276" i="30"/>
  <c r="FQ274" i="30"/>
  <c r="FQ276" i="30"/>
  <c r="FX274" i="30"/>
  <c r="FR247" i="30"/>
  <c r="FY247" i="30"/>
  <c r="FQ247" i="30"/>
  <c r="FX247" i="30"/>
  <c r="FL274" i="30"/>
  <c r="FL276" i="30"/>
  <c r="FL277" i="30" s="1"/>
  <c r="GB276" i="30"/>
  <c r="GI277" i="30" s="1"/>
  <c r="CO274" i="30"/>
  <c r="CO276" i="30"/>
  <c r="FS247" i="30"/>
  <c r="FZ247" i="30"/>
  <c r="GW247" i="30"/>
  <c r="W136" i="30"/>
  <c r="BW277" i="30"/>
  <c r="EE274" i="30"/>
  <c r="EE276" i="30"/>
  <c r="GP277" i="30"/>
  <c r="FR274" i="30"/>
  <c r="FU244" i="30"/>
  <c r="FU246" i="30"/>
  <c r="GB244" i="30"/>
  <c r="HY247" i="30"/>
  <c r="IF247" i="30"/>
  <c r="FS274" i="30"/>
  <c r="FS276" i="30"/>
  <c r="FZ274" i="30"/>
  <c r="IM160" i="30"/>
  <c r="AM160" i="30" s="1"/>
  <c r="BQ60" i="30"/>
  <c r="BZ274" i="30"/>
  <c r="BT273" i="30"/>
  <c r="BT276" i="30" s="1"/>
  <c r="CA277" i="30" s="1"/>
  <c r="BR276" i="30"/>
  <c r="BY277" i="30" s="1"/>
  <c r="BY274" i="30"/>
  <c r="HK326" i="30"/>
  <c r="AI326" i="30" s="1"/>
  <c r="GV160" i="30"/>
  <c r="AR159" i="30"/>
  <c r="HK154" i="30"/>
  <c r="AI154" i="30" s="1"/>
  <c r="LQ52" i="30"/>
  <c r="JV160" i="30"/>
  <c r="AW118" i="30"/>
  <c r="DW111" i="30"/>
  <c r="DW334" i="30"/>
  <c r="DW5" i="30"/>
  <c r="DW65" i="30"/>
  <c r="DW76" i="29"/>
  <c r="DW17" i="29"/>
  <c r="DY18" i="1"/>
  <c r="DY76" i="1" s="1"/>
  <c r="DW3" i="29"/>
  <c r="EH155" i="29"/>
  <c r="EH76" i="29"/>
  <c r="EH17" i="29"/>
  <c r="EL5" i="1"/>
  <c r="AV5" i="4"/>
  <c r="AV65" i="4" s="1"/>
  <c r="EI334" i="30"/>
  <c r="EI111" i="30"/>
  <c r="EI5" i="30"/>
  <c r="EI166" i="30" s="1"/>
  <c r="EI65" i="30"/>
  <c r="EI76" i="29"/>
  <c r="EI17" i="29"/>
  <c r="EK18" i="1"/>
  <c r="EK76" i="1" s="1"/>
  <c r="EI3" i="29"/>
  <c r="EI155" i="29" s="1"/>
  <c r="EF5" i="1"/>
  <c r="EC111" i="30"/>
  <c r="EC334" i="30"/>
  <c r="EC5" i="30"/>
  <c r="EC166" i="30" s="1"/>
  <c r="EC65" i="30"/>
  <c r="EC76" i="29"/>
  <c r="EC17" i="29"/>
  <c r="EE18" i="1"/>
  <c r="EE76" i="1" s="1"/>
  <c r="EC3" i="29"/>
  <c r="ER5" i="1"/>
  <c r="EO334" i="30"/>
  <c r="BB5" i="4"/>
  <c r="BB65" i="4" s="1"/>
  <c r="EO111" i="30"/>
  <c r="EO5" i="30"/>
  <c r="EO166" i="30" s="1"/>
  <c r="EO65" i="30"/>
  <c r="EX5" i="1"/>
  <c r="EQ18" i="1"/>
  <c r="EQ76" i="1" s="1"/>
  <c r="EO3" i="29"/>
  <c r="KQ154" i="30"/>
  <c r="AU154" i="30" s="1"/>
  <c r="GB149" i="30"/>
  <c r="AD149" i="30" s="1"/>
  <c r="FX60" i="30"/>
  <c r="GU160" i="30"/>
  <c r="AI136" i="30"/>
  <c r="HK137" i="30"/>
  <c r="BZ60" i="30"/>
  <c r="DW60" i="30"/>
  <c r="LQ53" i="30"/>
  <c r="LP47" i="30"/>
  <c r="LP53" i="30"/>
  <c r="LR43" i="30"/>
  <c r="FT60" i="30"/>
  <c r="IF137" i="30"/>
  <c r="LP52" i="30"/>
  <c r="HH160" i="30"/>
  <c r="LR53" i="30"/>
  <c r="HG160" i="30"/>
  <c r="HB160" i="30"/>
  <c r="LL117" i="30"/>
  <c r="LL44" i="30"/>
  <c r="AX44" i="30" s="1"/>
  <c r="AX11" i="30"/>
  <c r="AX193" i="30" s="1"/>
  <c r="DQ326" i="30"/>
  <c r="U326" i="30" s="1"/>
  <c r="U321" i="30"/>
  <c r="GW326" i="30"/>
  <c r="AG326" i="30" s="1"/>
  <c r="AG321" i="30"/>
  <c r="LS99" i="30"/>
  <c r="AY99" i="30" s="1"/>
  <c r="AY73" i="30"/>
  <c r="AY210" i="30" s="1"/>
  <c r="AZ211" i="30" s="1"/>
  <c r="O37" i="30"/>
  <c r="BT55" i="30"/>
  <c r="N55" i="30" s="1"/>
  <c r="BT37" i="30"/>
  <c r="BT136" i="30" s="1"/>
  <c r="N136" i="30" s="1"/>
  <c r="N31" i="30"/>
  <c r="FG60" i="30"/>
  <c r="AA60" i="30" s="1"/>
  <c r="AA37" i="30"/>
  <c r="LI47" i="30"/>
  <c r="HR326" i="30"/>
  <c r="AJ326" i="30" s="1"/>
  <c r="AJ321" i="30"/>
  <c r="HC160" i="30"/>
  <c r="FS326" i="30"/>
  <c r="LJ42" i="30"/>
  <c r="LL9" i="30"/>
  <c r="LK42" i="30"/>
  <c r="FU55" i="30"/>
  <c r="AC55" i="30" s="1"/>
  <c r="FU37" i="30"/>
  <c r="AC31" i="30"/>
  <c r="HR160" i="30"/>
  <c r="AJ159" i="30"/>
  <c r="IT154" i="30"/>
  <c r="AN154" i="30" s="1"/>
  <c r="IT137" i="30"/>
  <c r="AN136" i="30"/>
  <c r="AP159" i="30"/>
  <c r="JH160" i="30"/>
  <c r="JH161" i="30" s="1"/>
  <c r="FL60" i="30"/>
  <c r="FS60" i="30"/>
  <c r="DC60" i="30"/>
  <c r="S60" i="30" s="1"/>
  <c r="S37" i="30"/>
  <c r="EZ60" i="30"/>
  <c r="Z60" i="30" s="1"/>
  <c r="Z37" i="30"/>
  <c r="FU108" i="30"/>
  <c r="AC108" i="30" s="1"/>
  <c r="AC90" i="30"/>
  <c r="JO154" i="30"/>
  <c r="AQ154" i="30" s="1"/>
  <c r="JO137" i="30"/>
  <c r="AQ136" i="30"/>
  <c r="LQ42" i="30"/>
  <c r="FL154" i="30"/>
  <c r="FS154" i="30"/>
  <c r="LR42" i="30"/>
  <c r="AD37" i="30"/>
  <c r="DJ154" i="30"/>
  <c r="T154" i="30" s="1"/>
  <c r="T136" i="30"/>
  <c r="FU149" i="30"/>
  <c r="AC149" i="30" s="1"/>
  <c r="FU127" i="30"/>
  <c r="AC127" i="30" s="1"/>
  <c r="AC126" i="30"/>
  <c r="FU321" i="30"/>
  <c r="GB326" i="30" s="1"/>
  <c r="AD326" i="30" s="1"/>
  <c r="CT60" i="30"/>
  <c r="CH60" i="30"/>
  <c r="P60" i="30" s="1"/>
  <c r="P37" i="30"/>
  <c r="LE132" i="30"/>
  <c r="AW27" i="30"/>
  <c r="LE53" i="30"/>
  <c r="AW53" i="30" s="1"/>
  <c r="CA55" i="30"/>
  <c r="O55" i="30" s="1"/>
  <c r="N126" i="30"/>
  <c r="BT321" i="30"/>
  <c r="N321" i="30" s="1"/>
  <c r="HD326" i="30"/>
  <c r="AH326" i="30" s="1"/>
  <c r="AH321" i="30"/>
  <c r="HD38" i="30"/>
  <c r="AH38" i="30" s="1"/>
  <c r="Z323" i="30"/>
  <c r="EZ328" i="30"/>
  <c r="Z328" i="30" s="1"/>
  <c r="GB55" i="30"/>
  <c r="AD55" i="30" s="1"/>
  <c r="LL118" i="30"/>
  <c r="LL45" i="30"/>
  <c r="AX45" i="30" s="1"/>
  <c r="AX12" i="30"/>
  <c r="AX203" i="30" s="1"/>
  <c r="ES328" i="30"/>
  <c r="Y328" i="30" s="1"/>
  <c r="Y323" i="30"/>
  <c r="CA315" i="30"/>
  <c r="O315" i="30" s="1"/>
  <c r="LO47" i="30"/>
  <c r="LS14" i="30"/>
  <c r="LZ47" i="30" s="1"/>
  <c r="AZ47" i="30" s="1"/>
  <c r="DC154" i="30"/>
  <c r="S154" i="30" s="1"/>
  <c r="S136" i="30"/>
  <c r="EZ154" i="30"/>
  <c r="Z154" i="30" s="1"/>
  <c r="Z136" i="30"/>
  <c r="O136" i="30"/>
  <c r="LS105" i="30"/>
  <c r="AY105" i="30" s="1"/>
  <c r="AY85" i="30"/>
  <c r="JH326" i="30"/>
  <c r="AP326" i="30" s="1"/>
  <c r="AP321" i="30"/>
  <c r="FG154" i="30"/>
  <c r="AA154" i="30" s="1"/>
  <c r="AA136" i="30"/>
  <c r="KX326" i="30"/>
  <c r="AV326" i="30" s="1"/>
  <c r="AV321" i="30"/>
  <c r="CO60" i="30"/>
  <c r="Q60" i="30" s="1"/>
  <c r="Q37" i="30"/>
  <c r="KX154" i="30"/>
  <c r="AV154" i="30" s="1"/>
  <c r="KX137" i="30"/>
  <c r="AV136" i="30"/>
  <c r="DJ326" i="30"/>
  <c r="T326" i="30" s="1"/>
  <c r="T321" i="30"/>
  <c r="CV60" i="30"/>
  <c r="R60" i="30" s="1"/>
  <c r="R37" i="30"/>
  <c r="GB108" i="30"/>
  <c r="AD108" i="30" s="1"/>
  <c r="AD136" i="30"/>
  <c r="HY160" i="30"/>
  <c r="AK159" i="30"/>
  <c r="CH154" i="30"/>
  <c r="P154" i="30" s="1"/>
  <c r="P136" i="30"/>
  <c r="JA154" i="30"/>
  <c r="AO154" i="30" s="1"/>
  <c r="JA137" i="30"/>
  <c r="AO136" i="30"/>
  <c r="EL371" i="30"/>
  <c r="Y371" i="30"/>
  <c r="FR326" i="30"/>
  <c r="LS117" i="30"/>
  <c r="LZ143" i="30" s="1"/>
  <c r="AZ143" i="30" s="1"/>
  <c r="LS44" i="30"/>
  <c r="AY44" i="30" s="1"/>
  <c r="AY11" i="30"/>
  <c r="AY193" i="30" s="1"/>
  <c r="AZ194" i="30" s="1"/>
  <c r="KC154" i="30"/>
  <c r="AS154" i="30" s="1"/>
  <c r="KC137" i="30"/>
  <c r="AS136" i="30"/>
  <c r="GI60" i="30"/>
  <c r="AE60" i="30" s="1"/>
  <c r="AE37" i="30"/>
  <c r="GI38" i="30"/>
  <c r="AE38" i="30" s="1"/>
  <c r="AH159" i="30"/>
  <c r="FY326" i="30"/>
  <c r="KJ154" i="30"/>
  <c r="AT154" i="30" s="1"/>
  <c r="O321" i="30"/>
  <c r="JV326" i="30"/>
  <c r="AR326" i="30" s="1"/>
  <c r="AR321" i="30"/>
  <c r="FG326" i="30"/>
  <c r="AA326" i="30" s="1"/>
  <c r="AA321" i="30"/>
  <c r="JV154" i="30"/>
  <c r="AR154" i="30" s="1"/>
  <c r="JV137" i="30"/>
  <c r="AR136" i="30"/>
  <c r="CO154" i="30"/>
  <c r="Q154" i="30" s="1"/>
  <c r="Q136" i="30"/>
  <c r="LS10" i="30"/>
  <c r="LZ43" i="30" s="1"/>
  <c r="AZ43" i="30" s="1"/>
  <c r="LO43" i="30"/>
  <c r="CV154" i="30"/>
  <c r="R154" i="30" s="1"/>
  <c r="R136" i="30"/>
  <c r="ES60" i="30"/>
  <c r="Y60" i="30" s="1"/>
  <c r="Y37" i="30"/>
  <c r="IT326" i="30"/>
  <c r="AN326" i="30" s="1"/>
  <c r="AN321" i="30"/>
  <c r="AL321" i="30"/>
  <c r="IF326" i="30"/>
  <c r="AL326" i="30" s="1"/>
  <c r="FG328" i="30"/>
  <c r="AA328" i="30" s="1"/>
  <c r="AA323" i="30"/>
  <c r="FU315" i="30"/>
  <c r="AC315" i="30" s="1"/>
  <c r="AC310" i="30"/>
  <c r="LH53" i="30"/>
  <c r="LL27" i="30"/>
  <c r="EE326" i="30"/>
  <c r="W326" i="30" s="1"/>
  <c r="W321" i="30"/>
  <c r="LS9" i="30"/>
  <c r="LZ42" i="30" s="1"/>
  <c r="AZ42" i="30" s="1"/>
  <c r="GP154" i="30"/>
  <c r="AF154" i="30" s="1"/>
  <c r="GP137" i="30"/>
  <c r="AF136" i="30"/>
  <c r="GI326" i="30"/>
  <c r="AE326" i="30" s="1"/>
  <c r="AE321" i="30"/>
  <c r="KX160" i="30"/>
  <c r="KX161" i="30" s="1"/>
  <c r="AV159" i="30"/>
  <c r="FX326" i="30"/>
  <c r="DJ60" i="30"/>
  <c r="T60" i="30" s="1"/>
  <c r="T37" i="30"/>
  <c r="KQ326" i="30"/>
  <c r="AU326" i="30" s="1"/>
  <c r="AU321" i="30"/>
  <c r="GW159" i="30"/>
  <c r="HD160" i="30" s="1"/>
  <c r="AH160" i="30" s="1"/>
  <c r="GW60" i="30"/>
  <c r="AG60" i="30" s="1"/>
  <c r="GW38" i="30"/>
  <c r="AG38" i="30" s="1"/>
  <c r="AG37" i="30"/>
  <c r="N90" i="30"/>
  <c r="CA108" i="30"/>
  <c r="O108" i="30" s="1"/>
  <c r="BP60" i="30"/>
  <c r="BW60" i="30"/>
  <c r="LH46" i="30"/>
  <c r="LL13" i="30"/>
  <c r="HY326" i="30"/>
  <c r="AK326" i="30" s="1"/>
  <c r="AK321" i="30"/>
  <c r="LS96" i="30"/>
  <c r="AY96" i="30" s="1"/>
  <c r="AY70" i="30"/>
  <c r="LP45" i="30"/>
  <c r="LS12" i="30"/>
  <c r="LZ45" i="30" s="1"/>
  <c r="AZ45" i="30" s="1"/>
  <c r="P321" i="30"/>
  <c r="CH326" i="30"/>
  <c r="P326" i="30" s="1"/>
  <c r="Z321" i="30"/>
  <c r="EZ326" i="30"/>
  <c r="Z326" i="30" s="1"/>
  <c r="LO53" i="30"/>
  <c r="LS27" i="30"/>
  <c r="DQ60" i="30"/>
  <c r="U60" i="30" s="1"/>
  <c r="U37" i="30"/>
  <c r="LE120" i="30"/>
  <c r="LE47" i="30"/>
  <c r="AW47" i="30" s="1"/>
  <c r="AW14" i="30"/>
  <c r="AW223" i="30" s="1"/>
  <c r="FY60" i="30"/>
  <c r="IM154" i="30"/>
  <c r="AM154" i="30" s="1"/>
  <c r="IM137" i="30"/>
  <c r="AM136" i="30"/>
  <c r="FU328" i="30"/>
  <c r="AC328" i="30" s="1"/>
  <c r="AC323" i="30"/>
  <c r="LO46" i="30"/>
  <c r="LS13" i="30"/>
  <c r="LZ46" i="30" s="1"/>
  <c r="AZ46" i="30" s="1"/>
  <c r="AD321" i="30"/>
  <c r="LL10" i="30"/>
  <c r="LE115" i="30"/>
  <c r="LE42" i="30"/>
  <c r="AW42" i="30" s="1"/>
  <c r="AW9" i="30"/>
  <c r="AW173" i="30" s="1"/>
  <c r="DQ151" i="30"/>
  <c r="U151" i="30" s="1"/>
  <c r="U131" i="30"/>
  <c r="DX151" i="30"/>
  <c r="V151" i="30" s="1"/>
  <c r="EL60" i="30"/>
  <c r="X60" i="30" s="1"/>
  <c r="X37" i="30"/>
  <c r="LS98" i="30"/>
  <c r="AY98" i="30" s="1"/>
  <c r="AY72" i="30"/>
  <c r="AY200" i="30" s="1"/>
  <c r="AZ201" i="30" s="1"/>
  <c r="JO326" i="30"/>
  <c r="AQ326" i="30" s="1"/>
  <c r="AQ321" i="30"/>
  <c r="AO159" i="30"/>
  <c r="JA160" i="30"/>
  <c r="JA161" i="30" s="1"/>
  <c r="CA149" i="30"/>
  <c r="O149" i="30" s="1"/>
  <c r="FN60" i="30"/>
  <c r="AB60" i="30" s="1"/>
  <c r="AB37" i="30"/>
  <c r="LE119" i="30"/>
  <c r="LE46" i="30"/>
  <c r="AW46" i="30" s="1"/>
  <c r="AW13" i="30"/>
  <c r="AW213" i="30" s="1"/>
  <c r="KJ326" i="30"/>
  <c r="AT326" i="30" s="1"/>
  <c r="AT321" i="30"/>
  <c r="GP159" i="30"/>
  <c r="AF159" i="30" s="1"/>
  <c r="GP60" i="30"/>
  <c r="AF60" i="30" s="1"/>
  <c r="GP38" i="30"/>
  <c r="AF38" i="30" s="1"/>
  <c r="AF37" i="30"/>
  <c r="JA326" i="30"/>
  <c r="AO326" i="30" s="1"/>
  <c r="AO321" i="30"/>
  <c r="LH52" i="30"/>
  <c r="LL26" i="30"/>
  <c r="JH154" i="30"/>
  <c r="AP154" i="30" s="1"/>
  <c r="AP136" i="30"/>
  <c r="JH137" i="30"/>
  <c r="LS100" i="30"/>
  <c r="AY100" i="30" s="1"/>
  <c r="AY74" i="30"/>
  <c r="AY220" i="30" s="1"/>
  <c r="AZ221" i="30" s="1"/>
  <c r="GI154" i="30"/>
  <c r="AE154" i="30" s="1"/>
  <c r="GI137" i="30"/>
  <c r="AE136" i="30"/>
  <c r="ES326" i="30"/>
  <c r="Y326" i="30" s="1"/>
  <c r="Y321" i="30"/>
  <c r="HR154" i="30"/>
  <c r="AJ154" i="30" s="1"/>
  <c r="AJ136" i="30"/>
  <c r="HR137" i="30"/>
  <c r="ES154" i="30"/>
  <c r="Y154" i="30" s="1"/>
  <c r="Y136" i="30"/>
  <c r="GP326" i="30"/>
  <c r="AF326" i="30" s="1"/>
  <c r="AF321" i="30"/>
  <c r="S321" i="30"/>
  <c r="DC326" i="30"/>
  <c r="S326" i="30" s="1"/>
  <c r="AQ159" i="30"/>
  <c r="JO160" i="30"/>
  <c r="JO161" i="30" s="1"/>
  <c r="IM326" i="30"/>
  <c r="AM326" i="30" s="1"/>
  <c r="AM321" i="30"/>
  <c r="KC326" i="30"/>
  <c r="AS326" i="30" s="1"/>
  <c r="AS321" i="30"/>
  <c r="LO52" i="30"/>
  <c r="LS26" i="30"/>
  <c r="LZ52" i="30" s="1"/>
  <c r="AZ52" i="30" s="1"/>
  <c r="CO326" i="30"/>
  <c r="Q326" i="30" s="1"/>
  <c r="Q321" i="30"/>
  <c r="LE131" i="30"/>
  <c r="LE52" i="30"/>
  <c r="AW52" i="30" s="1"/>
  <c r="AW26" i="30"/>
  <c r="HI160" i="30"/>
  <c r="LE116" i="30"/>
  <c r="LE43" i="30"/>
  <c r="AW43" i="30" s="1"/>
  <c r="AW10" i="30"/>
  <c r="EL154" i="30"/>
  <c r="X154" i="30" s="1"/>
  <c r="X136" i="30"/>
  <c r="CV326" i="30"/>
  <c r="R326" i="30" s="1"/>
  <c r="R321" i="30"/>
  <c r="AB323" i="30"/>
  <c r="FN328" i="30"/>
  <c r="AB328" i="30" s="1"/>
  <c r="HY154" i="30"/>
  <c r="AK154" i="30" s="1"/>
  <c r="AK136" i="30"/>
  <c r="HY137" i="30"/>
  <c r="FT326" i="30"/>
  <c r="LH47" i="30"/>
  <c r="LL14" i="30"/>
  <c r="DX326" i="30"/>
  <c r="V326" i="30" s="1"/>
  <c r="LC81" i="29"/>
  <c r="LC82" i="29"/>
  <c r="LE80" i="29"/>
  <c r="LD81" i="29"/>
  <c r="LD82" i="29"/>
  <c r="LE84" i="29"/>
  <c r="LD85" i="29"/>
  <c r="ES277" i="30" l="1"/>
  <c r="AB321" i="30"/>
  <c r="LX289" i="30"/>
  <c r="LX288" i="30" s="1"/>
  <c r="ME297" i="30"/>
  <c r="ME289" i="30" s="1"/>
  <c r="ME288" i="30" s="1"/>
  <c r="LY289" i="30"/>
  <c r="LY288" i="30" s="1"/>
  <c r="MF297" i="30"/>
  <c r="MF289" i="30" s="1"/>
  <c r="MF288" i="30" s="1"/>
  <c r="MF285" i="30" s="1"/>
  <c r="BA37" i="30"/>
  <c r="MG136" i="30"/>
  <c r="BA136" i="30" s="1"/>
  <c r="MI20" i="1"/>
  <c r="MD21" i="29"/>
  <c r="MF7" i="1"/>
  <c r="MD8" i="29"/>
  <c r="MD25" i="29"/>
  <c r="MD11" i="29"/>
  <c r="IR69" i="4"/>
  <c r="IS69" i="4"/>
  <c r="IQ69" i="4"/>
  <c r="MF81" i="1"/>
  <c r="MG78" i="1" s="1"/>
  <c r="ME60" i="1"/>
  <c r="MF21" i="1"/>
  <c r="IP69" i="4"/>
  <c r="MD154" i="30"/>
  <c r="MD137" i="30"/>
  <c r="MG60" i="30"/>
  <c r="BA60" i="30" s="1"/>
  <c r="MG38" i="30"/>
  <c r="BA38" i="30" s="1"/>
  <c r="EZ277" i="30"/>
  <c r="DW154" i="30"/>
  <c r="IT161" i="30"/>
  <c r="AN161" i="30" s="1"/>
  <c r="CO277" i="30"/>
  <c r="FG277" i="30"/>
  <c r="AT160" i="30"/>
  <c r="AS160" i="30"/>
  <c r="DX257" i="30"/>
  <c r="U136" i="30"/>
  <c r="DX154" i="30"/>
  <c r="V154" i="30" s="1"/>
  <c r="AF276" i="30"/>
  <c r="AF277" i="30" s="1"/>
  <c r="AG274" i="30"/>
  <c r="AR160" i="30"/>
  <c r="JV161" i="30"/>
  <c r="AR161" i="30" s="1"/>
  <c r="KQ161" i="30"/>
  <c r="AU161" i="30" s="1"/>
  <c r="LZ98" i="1"/>
  <c r="AO247" i="30"/>
  <c r="LQ288" i="30"/>
  <c r="LQ294" i="30" s="1"/>
  <c r="LZ53" i="30"/>
  <c r="AZ53" i="30" s="1"/>
  <c r="LD293" i="30"/>
  <c r="LR288" i="30"/>
  <c r="LR285" i="30" s="1"/>
  <c r="LK294" i="30"/>
  <c r="AQ274" i="30"/>
  <c r="AP274" i="30"/>
  <c r="LR295" i="30"/>
  <c r="AY312" i="30"/>
  <c r="AY261" i="30"/>
  <c r="AZ261" i="30"/>
  <c r="LW21" i="29"/>
  <c r="LW8" i="29"/>
  <c r="IP80" i="4" s="1"/>
  <c r="GV105" i="5" s="1"/>
  <c r="IP13" i="4" s="1"/>
  <c r="LY7" i="1"/>
  <c r="LW25" i="29"/>
  <c r="LW11" i="29"/>
  <c r="IL69" i="4"/>
  <c r="AZ37" i="30"/>
  <c r="LZ136" i="30"/>
  <c r="MB20" i="1"/>
  <c r="LX295" i="30"/>
  <c r="GR55" i="5"/>
  <c r="GR150" i="5"/>
  <c r="GS150" i="5" s="1"/>
  <c r="Y150" i="5" s="1"/>
  <c r="MB60" i="1"/>
  <c r="LE285" i="30"/>
  <c r="LE294" i="30"/>
  <c r="AW294" i="30" s="1"/>
  <c r="AW288" i="30"/>
  <c r="LJ294" i="30"/>
  <c r="LL288" i="30"/>
  <c r="LE322" i="30"/>
  <c r="LE323" i="30"/>
  <c r="FU108" i="29"/>
  <c r="AC108" i="29" s="1"/>
  <c r="FM108" i="29"/>
  <c r="FL108" i="29" s="1"/>
  <c r="FK108" i="29" s="1"/>
  <c r="FJ108" i="29" s="1"/>
  <c r="JH277" i="30"/>
  <c r="W274" i="30"/>
  <c r="AH274" i="30"/>
  <c r="AG276" i="30"/>
  <c r="DW166" i="30"/>
  <c r="DC277" i="30"/>
  <c r="AU160" i="30"/>
  <c r="DJ277" i="30"/>
  <c r="FU276" i="30"/>
  <c r="FU277" i="30" s="1"/>
  <c r="FU274" i="30"/>
  <c r="FY154" i="30"/>
  <c r="X274" i="30"/>
  <c r="FN154" i="30"/>
  <c r="AB154" i="30" s="1"/>
  <c r="X276" i="30"/>
  <c r="X277" i="30" s="1"/>
  <c r="AM277" i="30"/>
  <c r="DQ277" i="30"/>
  <c r="V247" i="30"/>
  <c r="AT247" i="30"/>
  <c r="AT274" i="30"/>
  <c r="FT154" i="30"/>
  <c r="AO276" i="30"/>
  <c r="AO277" i="30" s="1"/>
  <c r="AO274" i="30"/>
  <c r="AL160" i="30"/>
  <c r="R257" i="30"/>
  <c r="Z247" i="30"/>
  <c r="X257" i="30"/>
  <c r="R274" i="30"/>
  <c r="Y274" i="30"/>
  <c r="CT154" i="30"/>
  <c r="FX154" i="30"/>
  <c r="AQ276" i="30"/>
  <c r="AQ277" i="30" s="1"/>
  <c r="R247" i="30"/>
  <c r="Q274" i="30"/>
  <c r="HD137" i="30"/>
  <c r="IM161" i="30"/>
  <c r="AM161" i="30" s="1"/>
  <c r="HD154" i="30"/>
  <c r="AH154" i="30" s="1"/>
  <c r="AG136" i="30"/>
  <c r="AM247" i="30"/>
  <c r="AK276" i="30"/>
  <c r="AK277" i="30" s="1"/>
  <c r="R276" i="30"/>
  <c r="R277" i="30" s="1"/>
  <c r="GW137" i="30"/>
  <c r="AK274" i="30"/>
  <c r="P277" i="30"/>
  <c r="LL144" i="30"/>
  <c r="AX144" i="30" s="1"/>
  <c r="LL143" i="30"/>
  <c r="AX143" i="30" s="1"/>
  <c r="AC187" i="30"/>
  <c r="S274" i="30"/>
  <c r="P274" i="30"/>
  <c r="AG247" i="30"/>
  <c r="AC271" i="30"/>
  <c r="GB60" i="30"/>
  <c r="AD60" i="30" s="1"/>
  <c r="FU136" i="30"/>
  <c r="GB154" i="30" s="1"/>
  <c r="AD154" i="30" s="1"/>
  <c r="AS274" i="30"/>
  <c r="V257" i="30"/>
  <c r="AR276" i="30"/>
  <c r="AS277" i="30" s="1"/>
  <c r="S276" i="30"/>
  <c r="AR274" i="30"/>
  <c r="AV277" i="30"/>
  <c r="AB257" i="30"/>
  <c r="DX277" i="30"/>
  <c r="O247" i="30"/>
  <c r="HK277" i="30"/>
  <c r="AN277" i="30"/>
  <c r="AT277" i="30"/>
  <c r="JO277" i="30"/>
  <c r="U257" i="30"/>
  <c r="O244" i="30"/>
  <c r="LE145" i="30"/>
  <c r="AW145" i="30" s="1"/>
  <c r="Z274" i="30"/>
  <c r="N273" i="30"/>
  <c r="N276" i="30" s="1"/>
  <c r="O277" i="30" s="1"/>
  <c r="AI247" i="30"/>
  <c r="KX277" i="30"/>
  <c r="EC155" i="29"/>
  <c r="DW155" i="29"/>
  <c r="LS143" i="30"/>
  <c r="AY143" i="30" s="1"/>
  <c r="LE142" i="30"/>
  <c r="AW142" i="30" s="1"/>
  <c r="AW263" i="30"/>
  <c r="AW264" i="30" s="1"/>
  <c r="AW253" i="30"/>
  <c r="AW256" i="30" s="1"/>
  <c r="AW257" i="30" s="1"/>
  <c r="AW183" i="30"/>
  <c r="AW186" i="30" s="1"/>
  <c r="AW187" i="30" s="1"/>
  <c r="AY250" i="30"/>
  <c r="AY180" i="30"/>
  <c r="AY201" i="30"/>
  <c r="AY221" i="30"/>
  <c r="AY211" i="30"/>
  <c r="AX194" i="30"/>
  <c r="AX196" i="30"/>
  <c r="AX197" i="30" s="1"/>
  <c r="U274" i="30"/>
  <c r="U276" i="30"/>
  <c r="V277" i="30" s="1"/>
  <c r="AD276" i="30"/>
  <c r="AE277" i="30" s="1"/>
  <c r="AI274" i="30"/>
  <c r="AI276" i="30"/>
  <c r="AI277" i="30" s="1"/>
  <c r="AJ247" i="30"/>
  <c r="AJ274" i="30"/>
  <c r="AC257" i="30"/>
  <c r="AU277" i="30"/>
  <c r="AX204" i="30"/>
  <c r="AX206" i="30"/>
  <c r="AX207" i="30" s="1"/>
  <c r="AW216" i="30"/>
  <c r="AW217" i="30" s="1"/>
  <c r="AW214" i="30"/>
  <c r="AY194" i="30"/>
  <c r="AY196" i="30"/>
  <c r="AZ197" i="30" s="1"/>
  <c r="AD271" i="30"/>
  <c r="AB274" i="30"/>
  <c r="AB276" i="30"/>
  <c r="S247" i="30"/>
  <c r="DP277" i="30"/>
  <c r="DW277" i="30"/>
  <c r="Y276" i="30"/>
  <c r="AC246" i="30"/>
  <c r="AC244" i="30"/>
  <c r="AD244" i="30"/>
  <c r="V274" i="30"/>
  <c r="AU247" i="30"/>
  <c r="AW226" i="30"/>
  <c r="AW227" i="30" s="1"/>
  <c r="AW224" i="30"/>
  <c r="AK247" i="30"/>
  <c r="X247" i="30"/>
  <c r="T257" i="30"/>
  <c r="W257" i="30"/>
  <c r="AV247" i="30"/>
  <c r="AW176" i="30"/>
  <c r="AW177" i="30" s="1"/>
  <c r="AW174" i="30"/>
  <c r="AC273" i="30"/>
  <c r="AA274" i="30"/>
  <c r="AA276" i="30"/>
  <c r="AA277" i="30" s="1"/>
  <c r="T274" i="30"/>
  <c r="T276" i="30"/>
  <c r="Q277" i="30"/>
  <c r="AE274" i="30"/>
  <c r="AY171" i="30"/>
  <c r="W277" i="30"/>
  <c r="CV277" i="30"/>
  <c r="FN277" i="30"/>
  <c r="KC277" i="30"/>
  <c r="KJ277" i="30"/>
  <c r="JV277" i="30"/>
  <c r="CA274" i="30"/>
  <c r="EE277" i="30"/>
  <c r="FU247" i="30"/>
  <c r="GB247" i="30"/>
  <c r="HR277" i="30"/>
  <c r="FS277" i="30"/>
  <c r="FZ277" i="30"/>
  <c r="EL277" i="30"/>
  <c r="FQ277" i="30"/>
  <c r="FX277" i="30"/>
  <c r="FM277" i="30"/>
  <c r="FT277" i="30"/>
  <c r="HY277" i="30"/>
  <c r="IF277" i="30"/>
  <c r="FR277" i="30"/>
  <c r="EO155" i="29"/>
  <c r="EO76" i="29"/>
  <c r="EO17" i="29"/>
  <c r="ES5" i="1"/>
  <c r="BC5" i="4"/>
  <c r="BC65" i="4" s="1"/>
  <c r="EP334" i="30"/>
  <c r="EP111" i="30"/>
  <c r="EP65" i="30"/>
  <c r="EP5" i="30"/>
  <c r="EP166" i="30" s="1"/>
  <c r="EP76" i="29"/>
  <c r="ER18" i="1"/>
  <c r="ER76" i="1" s="1"/>
  <c r="EP3" i="29"/>
  <c r="EP155" i="29" s="1"/>
  <c r="EP17" i="29"/>
  <c r="ED334" i="30"/>
  <c r="ED111" i="30"/>
  <c r="ED5" i="30"/>
  <c r="ED65" i="30"/>
  <c r="ED76" i="29"/>
  <c r="ED17" i="29"/>
  <c r="EF18" i="1"/>
  <c r="EF76" i="1" s="1"/>
  <c r="ED3" i="29"/>
  <c r="EY5" i="1"/>
  <c r="BI5" i="4"/>
  <c r="BI65" i="4" s="1"/>
  <c r="EV334" i="30"/>
  <c r="EV111" i="30"/>
  <c r="EV65" i="30"/>
  <c r="EV5" i="30"/>
  <c r="EV166" i="30" s="1"/>
  <c r="EV3" i="29"/>
  <c r="FE5" i="1"/>
  <c r="EX18" i="1"/>
  <c r="EX76" i="1" s="1"/>
  <c r="EM5" i="1"/>
  <c r="AW5" i="4"/>
  <c r="EJ334" i="30"/>
  <c r="EJ111" i="30"/>
  <c r="EJ5" i="30"/>
  <c r="EJ166" i="30" s="1"/>
  <c r="EJ65" i="30"/>
  <c r="EJ76" i="29"/>
  <c r="EJ17" i="29"/>
  <c r="EL18" i="1"/>
  <c r="EL76" i="1" s="1"/>
  <c r="EJ3" i="29"/>
  <c r="EJ155" i="29" s="1"/>
  <c r="CA154" i="30"/>
  <c r="O154" i="30" s="1"/>
  <c r="CA326" i="30"/>
  <c r="O326" i="30" s="1"/>
  <c r="AX117" i="30"/>
  <c r="AO161" i="30"/>
  <c r="AO160" i="30"/>
  <c r="FU326" i="30"/>
  <c r="AC326" i="30" s="1"/>
  <c r="AC321" i="30"/>
  <c r="LL115" i="30"/>
  <c r="LL42" i="30"/>
  <c r="AX42" i="30" s="1"/>
  <c r="AX9" i="30"/>
  <c r="AX173" i="30" s="1"/>
  <c r="BT60" i="30"/>
  <c r="N60" i="30" s="1"/>
  <c r="N37" i="30"/>
  <c r="LS131" i="30"/>
  <c r="LS52" i="30"/>
  <c r="AY52" i="30" s="1"/>
  <c r="AY26" i="30"/>
  <c r="LE141" i="30"/>
  <c r="AW115" i="30"/>
  <c r="LL131" i="30"/>
  <c r="LL52" i="30"/>
  <c r="AX52" i="30" s="1"/>
  <c r="AX26" i="30"/>
  <c r="LL116" i="30"/>
  <c r="LL43" i="30"/>
  <c r="AX43" i="30" s="1"/>
  <c r="AX10" i="30"/>
  <c r="LS118" i="30"/>
  <c r="LS45" i="30"/>
  <c r="AY45" i="30" s="1"/>
  <c r="AY12" i="30"/>
  <c r="AY203" i="30" s="1"/>
  <c r="AZ204" i="30" s="1"/>
  <c r="LS115" i="30"/>
  <c r="LZ141" i="30" s="1"/>
  <c r="LS42" i="30"/>
  <c r="AY42" i="30" s="1"/>
  <c r="AY9" i="30"/>
  <c r="AY173" i="30" s="1"/>
  <c r="AZ174" i="30" s="1"/>
  <c r="LL120" i="30"/>
  <c r="LL47" i="30"/>
  <c r="AX47" i="30" s="1"/>
  <c r="AX14" i="30"/>
  <c r="AX223" i="30" s="1"/>
  <c r="LS116" i="30"/>
  <c r="LZ142" i="30" s="1"/>
  <c r="AZ142" i="30" s="1"/>
  <c r="LS43" i="30"/>
  <c r="AY43" i="30" s="1"/>
  <c r="AY10" i="30"/>
  <c r="AW116" i="30"/>
  <c r="AK160" i="30"/>
  <c r="HY161" i="30"/>
  <c r="AK161" i="30" s="1"/>
  <c r="AX118" i="30"/>
  <c r="CA60" i="30"/>
  <c r="O60" i="30" s="1"/>
  <c r="AW119" i="30"/>
  <c r="LS119" i="30"/>
  <c r="LZ145" i="30" s="1"/>
  <c r="AZ145" i="30" s="1"/>
  <c r="LS46" i="30"/>
  <c r="AY46" i="30" s="1"/>
  <c r="AY13" i="30"/>
  <c r="AY213" i="30" s="1"/>
  <c r="AZ214" i="30" s="1"/>
  <c r="LE146" i="30"/>
  <c r="AW146" i="30" s="1"/>
  <c r="AW120" i="30"/>
  <c r="LL132" i="30"/>
  <c r="LL53" i="30"/>
  <c r="AX53" i="30" s="1"/>
  <c r="AX27" i="30"/>
  <c r="AY117" i="30"/>
  <c r="AJ160" i="30"/>
  <c r="HR161" i="30"/>
  <c r="AJ161" i="30" s="1"/>
  <c r="AQ160" i="30"/>
  <c r="AQ161" i="30"/>
  <c r="FU60" i="30"/>
  <c r="AC60" i="30" s="1"/>
  <c r="AC37" i="30"/>
  <c r="LS120" i="30"/>
  <c r="LZ146" i="30" s="1"/>
  <c r="AZ146" i="30" s="1"/>
  <c r="LS47" i="30"/>
  <c r="AY47" i="30" s="1"/>
  <c r="AY14" i="30"/>
  <c r="AY223" i="30" s="1"/>
  <c r="AZ224" i="30" s="1"/>
  <c r="LE151" i="30"/>
  <c r="AW151" i="30" s="1"/>
  <c r="AW131" i="30"/>
  <c r="LS132" i="30"/>
  <c r="LS53" i="30"/>
  <c r="AY53" i="30" s="1"/>
  <c r="AY27" i="30"/>
  <c r="LL119" i="30"/>
  <c r="LL46" i="30"/>
  <c r="AX46" i="30" s="1"/>
  <c r="AX13" i="30"/>
  <c r="AX213" i="30" s="1"/>
  <c r="GW160" i="30"/>
  <c r="AG160" i="30" s="1"/>
  <c r="AG159" i="30"/>
  <c r="AV160" i="30"/>
  <c r="AV161" i="30"/>
  <c r="EE371" i="30"/>
  <c r="X371" i="30"/>
  <c r="LE152" i="30"/>
  <c r="AW152" i="30" s="1"/>
  <c r="AW132" i="30"/>
  <c r="AP161" i="30"/>
  <c r="AP160" i="30"/>
  <c r="LE86" i="29"/>
  <c r="AW86" i="29" s="1"/>
  <c r="AW84" i="29"/>
  <c r="LE85" i="29"/>
  <c r="AW85" i="29" s="1"/>
  <c r="LE81" i="29"/>
  <c r="AW81" i="29" s="1"/>
  <c r="LE82" i="29"/>
  <c r="AW82" i="29" s="1"/>
  <c r="AW80" i="29"/>
  <c r="MF8" i="1" l="1"/>
  <c r="MF93" i="1"/>
  <c r="MF60" i="1" s="1"/>
  <c r="MF294" i="30"/>
  <c r="LY295" i="30"/>
  <c r="IQ93" i="4"/>
  <c r="GW89" i="5"/>
  <c r="IQ78" i="4"/>
  <c r="GW122" i="5"/>
  <c r="GW37" i="5" s="1"/>
  <c r="GW112" i="5"/>
  <c r="IQ43" i="4" s="1"/>
  <c r="GW115" i="5"/>
  <c r="IQ46" i="4" s="1"/>
  <c r="GW102" i="5"/>
  <c r="IQ12" i="4"/>
  <c r="GY89" i="5"/>
  <c r="IS12" i="4"/>
  <c r="GY122" i="5"/>
  <c r="GY37" i="5" s="1"/>
  <c r="IS78" i="4"/>
  <c r="GY115" i="5"/>
  <c r="IS46" i="4" s="1"/>
  <c r="GY102" i="5"/>
  <c r="GY112" i="5"/>
  <c r="IS43" i="4" s="1"/>
  <c r="IS93" i="4"/>
  <c r="BA20" i="1"/>
  <c r="MG24" i="29"/>
  <c r="BA24" i="29" s="1"/>
  <c r="MI7" i="1"/>
  <c r="IT69" i="4"/>
  <c r="MG25" i="29"/>
  <c r="BA25" i="29" s="1"/>
  <c r="MG21" i="29"/>
  <c r="BA21" i="29" s="1"/>
  <c r="AG277" i="30"/>
  <c r="GX89" i="5"/>
  <c r="IR93" i="4"/>
  <c r="IR78" i="4"/>
  <c r="GX122" i="5"/>
  <c r="GX37" i="5" s="1"/>
  <c r="GX115" i="5"/>
  <c r="IR46" i="4" s="1"/>
  <c r="GX102" i="5"/>
  <c r="IR12" i="4"/>
  <c r="GX112" i="5"/>
  <c r="IR43" i="4" s="1"/>
  <c r="MF31" i="1"/>
  <c r="MG11" i="29"/>
  <c r="MF28" i="1"/>
  <c r="IR80" i="4"/>
  <c r="IQ80" i="4"/>
  <c r="IS80" i="4"/>
  <c r="MG8" i="29"/>
  <c r="MF295" i="30"/>
  <c r="ME285" i="30"/>
  <c r="MG285" i="30" s="1"/>
  <c r="MG288" i="30"/>
  <c r="BA288" i="30" s="1"/>
  <c r="MI21" i="1"/>
  <c r="ME295" i="30"/>
  <c r="MG81" i="1"/>
  <c r="MG93" i="1" s="1"/>
  <c r="LX285" i="30"/>
  <c r="ME294" i="30"/>
  <c r="GV89" i="5"/>
  <c r="IP78" i="4"/>
  <c r="GV112" i="5"/>
  <c r="IP43" i="4" s="1"/>
  <c r="GV122" i="5"/>
  <c r="GV115" i="5"/>
  <c r="IP46" i="4" s="1"/>
  <c r="GV102" i="5"/>
  <c r="IP12" i="4"/>
  <c r="IP93" i="4"/>
  <c r="IP81" i="4"/>
  <c r="MG154" i="30"/>
  <c r="BA154" i="30" s="1"/>
  <c r="MG137" i="30"/>
  <c r="GB277" i="30"/>
  <c r="LS288" i="30"/>
  <c r="LS294" i="30" s="1"/>
  <c r="AY294" i="30" s="1"/>
  <c r="LR294" i="30"/>
  <c r="AZ60" i="1"/>
  <c r="ED155" i="29"/>
  <c r="LQ285" i="30"/>
  <c r="LS285" i="30" s="1"/>
  <c r="LE293" i="30"/>
  <c r="AW293" i="30" s="1"/>
  <c r="LY294" i="30"/>
  <c r="LZ21" i="29"/>
  <c r="AZ21" i="29" s="1"/>
  <c r="LZ25" i="29"/>
  <c r="AZ25" i="29" s="1"/>
  <c r="LY285" i="30"/>
  <c r="LY31" i="1"/>
  <c r="AZ136" i="30"/>
  <c r="IL93" i="4"/>
  <c r="IL78" i="4"/>
  <c r="GR89" i="5"/>
  <c r="IL12" i="4"/>
  <c r="GR112" i="5"/>
  <c r="IL43" i="4" s="1"/>
  <c r="GR102" i="5"/>
  <c r="GR122" i="5"/>
  <c r="GR115" i="5"/>
  <c r="IL46" i="4" s="1"/>
  <c r="AH277" i="30"/>
  <c r="LY32" i="1"/>
  <c r="LY28" i="1"/>
  <c r="AW285" i="30"/>
  <c r="LS322" i="30"/>
  <c r="LZ327" i="30" s="1"/>
  <c r="AZ327" i="30" s="1"/>
  <c r="LZ152" i="30"/>
  <c r="AZ152" i="30" s="1"/>
  <c r="LE289" i="30"/>
  <c r="LX294" i="30"/>
  <c r="LZ288" i="30"/>
  <c r="MB7" i="1"/>
  <c r="AZ20" i="1"/>
  <c r="IM69" i="4"/>
  <c r="LS144" i="30"/>
  <c r="AY144" i="30" s="1"/>
  <c r="LZ144" i="30"/>
  <c r="AZ144" i="30" s="1"/>
  <c r="AY181" i="30"/>
  <c r="AZ181" i="30"/>
  <c r="MA98" i="1"/>
  <c r="GS55" i="5"/>
  <c r="AY251" i="30"/>
  <c r="AZ251" i="30"/>
  <c r="LS323" i="30"/>
  <c r="LZ328" i="30" s="1"/>
  <c r="AZ328" i="30" s="1"/>
  <c r="LZ151" i="30"/>
  <c r="AZ151" i="30" s="1"/>
  <c r="LL294" i="30"/>
  <c r="AX294" i="30" s="1"/>
  <c r="AX288" i="30"/>
  <c r="LJ293" i="30"/>
  <c r="LL285" i="30"/>
  <c r="LR293" i="30"/>
  <c r="LK293" i="30"/>
  <c r="LL322" i="30"/>
  <c r="AW322" i="30"/>
  <c r="LE327" i="30"/>
  <c r="AW327" i="30" s="1"/>
  <c r="AW323" i="30"/>
  <c r="LE328" i="30"/>
  <c r="AW328" i="30" s="1"/>
  <c r="FN108" i="29"/>
  <c r="AB108" i="29" s="1"/>
  <c r="FF108" i="29"/>
  <c r="FE108" i="29" s="1"/>
  <c r="FD108" i="29" s="1"/>
  <c r="FC108" i="29" s="1"/>
  <c r="AW65" i="4"/>
  <c r="ED166" i="30"/>
  <c r="Y277" i="30"/>
  <c r="AP277" i="30"/>
  <c r="S277" i="30"/>
  <c r="AR277" i="30"/>
  <c r="AL277" i="30"/>
  <c r="T277" i="30"/>
  <c r="AC136" i="30"/>
  <c r="FU154" i="30"/>
  <c r="AC154" i="30" s="1"/>
  <c r="LL145" i="30"/>
  <c r="AX145" i="30" s="1"/>
  <c r="LL142" i="30"/>
  <c r="AX142" i="30" s="1"/>
  <c r="AW254" i="30"/>
  <c r="O274" i="30"/>
  <c r="AW266" i="30"/>
  <c r="AW267" i="30" s="1"/>
  <c r="LS146" i="30"/>
  <c r="AY146" i="30" s="1"/>
  <c r="LS145" i="30"/>
  <c r="AY145" i="30" s="1"/>
  <c r="Z277" i="30"/>
  <c r="LS142" i="30"/>
  <c r="AY142" i="30" s="1"/>
  <c r="AW184" i="30"/>
  <c r="AX263" i="30"/>
  <c r="AX264" i="30" s="1"/>
  <c r="AY253" i="30"/>
  <c r="AY263" i="30"/>
  <c r="AZ264" i="30" s="1"/>
  <c r="AX253" i="30"/>
  <c r="AX254" i="30" s="1"/>
  <c r="AX183" i="30"/>
  <c r="AX184" i="30" s="1"/>
  <c r="AY183" i="30"/>
  <c r="AC276" i="30"/>
  <c r="AC277" i="30" s="1"/>
  <c r="AC274" i="30"/>
  <c r="U277" i="30"/>
  <c r="AY174" i="30"/>
  <c r="AY176" i="30"/>
  <c r="AZ177" i="30" s="1"/>
  <c r="AJ277" i="30"/>
  <c r="AX224" i="30"/>
  <c r="AX226" i="30"/>
  <c r="AX227" i="30" s="1"/>
  <c r="AX174" i="30"/>
  <c r="AX176" i="30"/>
  <c r="AX177" i="30" s="1"/>
  <c r="AC247" i="30"/>
  <c r="AD247" i="30"/>
  <c r="AB277" i="30"/>
  <c r="AY197" i="30"/>
  <c r="AY204" i="30"/>
  <c r="AY206" i="30"/>
  <c r="AZ207" i="30" s="1"/>
  <c r="AX214" i="30"/>
  <c r="AX216" i="30"/>
  <c r="AX217" i="30" s="1"/>
  <c r="AY224" i="30"/>
  <c r="AY226" i="30"/>
  <c r="AZ227" i="30" s="1"/>
  <c r="AY214" i="30"/>
  <c r="AY216" i="30"/>
  <c r="AZ217" i="30" s="1"/>
  <c r="AD274" i="30"/>
  <c r="AX5" i="4"/>
  <c r="EK334" i="30"/>
  <c r="EK111" i="30"/>
  <c r="EK65" i="30"/>
  <c r="EK5" i="30"/>
  <c r="EK76" i="29"/>
  <c r="EM18" i="1"/>
  <c r="EM76" i="1" s="1"/>
  <c r="EK3" i="29"/>
  <c r="EK17" i="29"/>
  <c r="EZ5" i="1"/>
  <c r="BJ5" i="4"/>
  <c r="BJ65" i="4" s="1"/>
  <c r="EW111" i="30"/>
  <c r="EW334" i="30"/>
  <c r="EW65" i="30"/>
  <c r="EW5" i="30"/>
  <c r="EW166" i="30" s="1"/>
  <c r="EW76" i="29"/>
  <c r="EW3" i="29"/>
  <c r="EW155" i="29" s="1"/>
  <c r="EW17" i="29"/>
  <c r="EY18" i="1"/>
  <c r="EY76" i="1" s="1"/>
  <c r="FF5" i="1"/>
  <c r="BP5" i="4"/>
  <c r="BP65" i="4" s="1"/>
  <c r="FC111" i="30"/>
  <c r="FC334" i="30"/>
  <c r="FC65" i="30"/>
  <c r="FC5" i="30"/>
  <c r="FC166" i="30" s="1"/>
  <c r="FC3" i="29"/>
  <c r="FE18" i="1"/>
  <c r="FE76" i="1" s="1"/>
  <c r="FL5" i="1"/>
  <c r="ET5" i="1"/>
  <c r="BD5" i="4"/>
  <c r="BD65" i="4" s="1"/>
  <c r="EQ334" i="30"/>
  <c r="EQ111" i="30"/>
  <c r="EQ65" i="30"/>
  <c r="EQ5" i="30"/>
  <c r="EQ166" i="30" s="1"/>
  <c r="EQ76" i="29"/>
  <c r="EQ3" i="29"/>
  <c r="EQ155" i="29" s="1"/>
  <c r="EQ17" i="29"/>
  <c r="ES18" i="1"/>
  <c r="ES76" i="1" s="1"/>
  <c r="EV155" i="29"/>
  <c r="EV76" i="29"/>
  <c r="EV17" i="29"/>
  <c r="AY118" i="30"/>
  <c r="LS152" i="30"/>
  <c r="AY152" i="30" s="1"/>
  <c r="AY132" i="30"/>
  <c r="LL146" i="30"/>
  <c r="AX146" i="30" s="1"/>
  <c r="AX120" i="30"/>
  <c r="AY119" i="30"/>
  <c r="AX116" i="30"/>
  <c r="DX371" i="30"/>
  <c r="W371" i="30"/>
  <c r="LL151" i="30"/>
  <c r="AX151" i="30" s="1"/>
  <c r="AX131" i="30"/>
  <c r="AY120" i="30"/>
  <c r="AY116" i="30"/>
  <c r="LL141" i="30"/>
  <c r="AX115" i="30"/>
  <c r="LS141" i="30"/>
  <c r="AY115" i="30"/>
  <c r="LS151" i="30"/>
  <c r="AY151" i="30" s="1"/>
  <c r="AY131" i="30"/>
  <c r="LL152" i="30"/>
  <c r="AX152" i="30" s="1"/>
  <c r="AX132" i="30"/>
  <c r="AX119" i="30"/>
  <c r="LH81" i="29"/>
  <c r="LH82" i="29"/>
  <c r="ME293" i="30" l="1"/>
  <c r="MG294" i="30"/>
  <c r="BA294" i="30" s="1"/>
  <c r="MH78" i="1"/>
  <c r="MH81" i="1" s="1"/>
  <c r="MH93" i="1" s="1"/>
  <c r="GW105" i="5"/>
  <c r="IQ13" i="4" s="1"/>
  <c r="IQ81" i="4"/>
  <c r="IR105" i="4"/>
  <c r="GX27" i="5"/>
  <c r="IQ105" i="4"/>
  <c r="GX105" i="5"/>
  <c r="IR13" i="4" s="1"/>
  <c r="IR81" i="4"/>
  <c r="IR37" i="4"/>
  <c r="IR15" i="4"/>
  <c r="IT43" i="4"/>
  <c r="IQ15" i="4"/>
  <c r="IQ37" i="4"/>
  <c r="BA21" i="1"/>
  <c r="AF69" i="4"/>
  <c r="IT78" i="4"/>
  <c r="AF78" i="4" s="1"/>
  <c r="GZ89" i="5"/>
  <c r="Z89" i="5" s="1"/>
  <c r="IT93" i="4"/>
  <c r="AF93" i="4" s="1"/>
  <c r="IS37" i="4"/>
  <c r="IS15" i="4"/>
  <c r="GX47" i="5"/>
  <c r="BA7" i="1"/>
  <c r="IT46" i="4"/>
  <c r="MG289" i="30"/>
  <c r="BA285" i="30"/>
  <c r="MI31" i="1"/>
  <c r="BA31" i="1" s="1"/>
  <c r="BA11" i="29" s="1"/>
  <c r="MG23" i="29"/>
  <c r="BA23" i="29" s="1"/>
  <c r="GW47" i="5"/>
  <c r="GY47" i="5"/>
  <c r="IT80" i="4"/>
  <c r="MI28" i="1"/>
  <c r="BA28" i="1" s="1"/>
  <c r="BA8" i="29" s="1"/>
  <c r="MG20" i="29"/>
  <c r="BA20" i="29" s="1"/>
  <c r="IS105" i="4"/>
  <c r="IT12" i="4"/>
  <c r="GY27" i="5"/>
  <c r="IS81" i="4"/>
  <c r="GY105" i="5"/>
  <c r="IS13" i="4" s="1"/>
  <c r="MG60" i="1"/>
  <c r="IP15" i="4"/>
  <c r="IP37" i="4"/>
  <c r="GW27" i="5"/>
  <c r="IP105" i="4"/>
  <c r="GV37" i="5"/>
  <c r="GY123" i="5"/>
  <c r="LZ285" i="30"/>
  <c r="MG293" i="30" s="1"/>
  <c r="BA293" i="30" s="1"/>
  <c r="MF293" i="30"/>
  <c r="GR37" i="5"/>
  <c r="GR47" i="5" s="1"/>
  <c r="GX123" i="5"/>
  <c r="AZ7" i="1"/>
  <c r="MI8" i="1"/>
  <c r="BA8" i="1" s="1"/>
  <c r="LQ293" i="30"/>
  <c r="LX293" i="30"/>
  <c r="LS289" i="30"/>
  <c r="AY289" i="30" s="1"/>
  <c r="AY288" i="30"/>
  <c r="AY285" i="30"/>
  <c r="EK155" i="29"/>
  <c r="LE290" i="30"/>
  <c r="AW290" i="30" s="1"/>
  <c r="IM43" i="4"/>
  <c r="LZ24" i="29"/>
  <c r="AZ24" i="29" s="1"/>
  <c r="LY293" i="30"/>
  <c r="IM46" i="4"/>
  <c r="AW289" i="30"/>
  <c r="AZ288" i="30"/>
  <c r="LZ294" i="30"/>
  <c r="AZ294" i="30" s="1"/>
  <c r="MB32" i="1"/>
  <c r="AZ32" i="1" s="1"/>
  <c r="AZ12" i="29" s="1"/>
  <c r="IL37" i="4"/>
  <c r="IL15" i="4"/>
  <c r="AY322" i="30"/>
  <c r="IL105" i="4"/>
  <c r="IM12" i="4"/>
  <c r="LE297" i="30"/>
  <c r="LE295" i="30"/>
  <c r="AW295" i="30" s="1"/>
  <c r="GS89" i="5"/>
  <c r="Y89" i="5" s="1"/>
  <c r="IM78" i="4"/>
  <c r="AE78" i="4" s="1"/>
  <c r="AE69" i="4"/>
  <c r="IM93" i="4"/>
  <c r="AE93" i="4" s="1"/>
  <c r="MB98" i="1"/>
  <c r="GS149" i="5"/>
  <c r="Y149" i="5" s="1"/>
  <c r="Y55" i="5"/>
  <c r="AY256" i="30"/>
  <c r="AZ257" i="30" s="1"/>
  <c r="AZ254" i="30"/>
  <c r="AY323" i="30"/>
  <c r="AY186" i="30"/>
  <c r="AZ187" i="30" s="1"/>
  <c r="AZ184" i="30"/>
  <c r="LL293" i="30"/>
  <c r="AX293" i="30" s="1"/>
  <c r="LL289" i="30"/>
  <c r="AX285" i="30"/>
  <c r="LS293" i="30"/>
  <c r="AY293" i="30" s="1"/>
  <c r="AX65" i="4"/>
  <c r="AX322" i="30"/>
  <c r="LL327" i="30"/>
  <c r="AX327" i="30" s="1"/>
  <c r="LS327" i="30"/>
  <c r="AY327" i="30" s="1"/>
  <c r="FG108" i="29"/>
  <c r="AA108" i="29" s="1"/>
  <c r="EY108" i="29"/>
  <c r="EX108" i="29" s="1"/>
  <c r="EW108" i="29" s="1"/>
  <c r="EV108" i="29" s="1"/>
  <c r="EK166" i="30"/>
  <c r="AD277" i="30"/>
  <c r="AX186" i="30"/>
  <c r="AX187" i="30" s="1"/>
  <c r="AX266" i="30"/>
  <c r="AX267" i="30" s="1"/>
  <c r="AY184" i="30"/>
  <c r="AY264" i="30"/>
  <c r="AY266" i="30"/>
  <c r="AZ267" i="30" s="1"/>
  <c r="AY254" i="30"/>
  <c r="AX256" i="30"/>
  <c r="AX257" i="30" s="1"/>
  <c r="AY207" i="30"/>
  <c r="AY217" i="30"/>
  <c r="AY227" i="30"/>
  <c r="AY177" i="30"/>
  <c r="FG5" i="1"/>
  <c r="BQ5" i="4"/>
  <c r="BQ65" i="4" s="1"/>
  <c r="FD111" i="30"/>
  <c r="FD334" i="30"/>
  <c r="FD5" i="30"/>
  <c r="FD166" i="30" s="1"/>
  <c r="FD65" i="30"/>
  <c r="FD76" i="29"/>
  <c r="FD17" i="29"/>
  <c r="FF18" i="1"/>
  <c r="FF76" i="1" s="1"/>
  <c r="FD3" i="29"/>
  <c r="FD155" i="29" s="1"/>
  <c r="BE5" i="4"/>
  <c r="ER111" i="30"/>
  <c r="ER334" i="30"/>
  <c r="ER65" i="30"/>
  <c r="ER5" i="30"/>
  <c r="ER76" i="29"/>
  <c r="ER3" i="29"/>
  <c r="ER17" i="29"/>
  <c r="ET18" i="1"/>
  <c r="ET76" i="1" s="1"/>
  <c r="FM5" i="1"/>
  <c r="BW5" i="4"/>
  <c r="BW65" i="4" s="1"/>
  <c r="FJ111" i="30"/>
  <c r="FJ334" i="30"/>
  <c r="FJ5" i="30"/>
  <c r="FJ166" i="30" s="1"/>
  <c r="FJ65" i="30"/>
  <c r="FL18" i="1"/>
  <c r="FL76" i="1" s="1"/>
  <c r="FS5" i="1"/>
  <c r="FJ3" i="29"/>
  <c r="FC76" i="29"/>
  <c r="FC155" i="29"/>
  <c r="FC17" i="29"/>
  <c r="FA5" i="1"/>
  <c r="BK5" i="4"/>
  <c r="BK65" i="4" s="1"/>
  <c r="EX111" i="30"/>
  <c r="EX334" i="30"/>
  <c r="EX65" i="30"/>
  <c r="EX5" i="30"/>
  <c r="EX166" i="30" s="1"/>
  <c r="EX76" i="29"/>
  <c r="EX3" i="29"/>
  <c r="EX155" i="29" s="1"/>
  <c r="EX17" i="29"/>
  <c r="EZ18" i="1"/>
  <c r="EZ76" i="1" s="1"/>
  <c r="DQ371" i="30"/>
  <c r="V371" i="30"/>
  <c r="MI81" i="1" l="1"/>
  <c r="IT105" i="4"/>
  <c r="AF12" i="4"/>
  <c r="IT15" i="4"/>
  <c r="GY28" i="5"/>
  <c r="MG290" i="30"/>
  <c r="BA290" i="30" s="1"/>
  <c r="BA289" i="30"/>
  <c r="MG297" i="30"/>
  <c r="BA297" i="30" s="1"/>
  <c r="IT37" i="4"/>
  <c r="GY31" i="5"/>
  <c r="GZ115" i="5"/>
  <c r="AF46" i="4"/>
  <c r="GZ112" i="5"/>
  <c r="AF43" i="4"/>
  <c r="GW31" i="5"/>
  <c r="IT81" i="4"/>
  <c r="AF81" i="4" s="1"/>
  <c r="AF80" i="4"/>
  <c r="GX28" i="5"/>
  <c r="IT13" i="4"/>
  <c r="GX31" i="5"/>
  <c r="MH60" i="1"/>
  <c r="MI93" i="1"/>
  <c r="LZ293" i="30"/>
  <c r="AZ293" i="30" s="1"/>
  <c r="LZ289" i="30"/>
  <c r="LZ290" i="30" s="1"/>
  <c r="AZ290" i="30" s="1"/>
  <c r="AZ285" i="30"/>
  <c r="GV47" i="5"/>
  <c r="IS100" i="4"/>
  <c r="IS101" i="4" s="1"/>
  <c r="GZ37" i="5"/>
  <c r="GW28" i="5"/>
  <c r="IR100" i="4"/>
  <c r="IR101" i="4" s="1"/>
  <c r="GV27" i="5"/>
  <c r="LS297" i="30"/>
  <c r="AY297" i="30" s="1"/>
  <c r="LS290" i="30"/>
  <c r="AY290" i="30" s="1"/>
  <c r="AE43" i="4"/>
  <c r="AW297" i="30"/>
  <c r="LS295" i="30"/>
  <c r="AY295" i="30" s="1"/>
  <c r="GS112" i="5"/>
  <c r="Y112" i="5" s="1"/>
  <c r="GS115" i="5"/>
  <c r="GS116" i="5" s="1"/>
  <c r="Y116" i="5" s="1"/>
  <c r="AE46" i="4"/>
  <c r="IM37" i="4"/>
  <c r="GV31" i="5" s="1"/>
  <c r="IM15" i="4"/>
  <c r="IM105" i="4"/>
  <c r="AE12" i="4"/>
  <c r="LL295" i="30"/>
  <c r="AX295" i="30" s="1"/>
  <c r="AX289" i="30"/>
  <c r="LL297" i="30"/>
  <c r="LL290" i="30"/>
  <c r="AX290" i="30" s="1"/>
  <c r="EZ108" i="29"/>
  <c r="Z108" i="29" s="1"/>
  <c r="ER108" i="29"/>
  <c r="EQ108" i="29" s="1"/>
  <c r="EP108" i="29" s="1"/>
  <c r="EO108" i="29" s="1"/>
  <c r="BE65" i="4"/>
  <c r="ER166" i="30"/>
  <c r="AY187" i="30"/>
  <c r="AY267" i="30"/>
  <c r="AY257" i="30"/>
  <c r="ER155" i="29"/>
  <c r="BL5" i="4"/>
  <c r="EY111" i="30"/>
  <c r="EY334" i="30"/>
  <c r="EY5" i="30"/>
  <c r="EY65" i="30"/>
  <c r="EY76" i="29"/>
  <c r="EY17" i="29"/>
  <c r="FA18" i="1"/>
  <c r="FA76" i="1" s="1"/>
  <c r="EY3" i="29"/>
  <c r="FJ155" i="29"/>
  <c r="FJ76" i="29"/>
  <c r="FJ17" i="29"/>
  <c r="FN5" i="1"/>
  <c r="BX5" i="4"/>
  <c r="BX65" i="4" s="1"/>
  <c r="FK334" i="30"/>
  <c r="FK111" i="30"/>
  <c r="FK5" i="30"/>
  <c r="FK166" i="30" s="1"/>
  <c r="FK65" i="30"/>
  <c r="FK76" i="29"/>
  <c r="FK17" i="29"/>
  <c r="FM18" i="1"/>
  <c r="FM76" i="1" s="1"/>
  <c r="FK3" i="29"/>
  <c r="FK155" i="29" s="1"/>
  <c r="FQ334" i="30"/>
  <c r="CD5" i="4"/>
  <c r="CD65" i="4" s="1"/>
  <c r="FQ111" i="30"/>
  <c r="FQ5" i="30"/>
  <c r="FQ166" i="30" s="1"/>
  <c r="FQ65" i="30"/>
  <c r="FZ5" i="1"/>
  <c r="FS18" i="1"/>
  <c r="FS76" i="1" s="1"/>
  <c r="FQ3" i="29"/>
  <c r="FT5" i="1"/>
  <c r="FH5" i="1"/>
  <c r="BR5" i="4"/>
  <c r="BR65" i="4" s="1"/>
  <c r="FE111" i="30"/>
  <c r="FE334" i="30"/>
  <c r="FE5" i="30"/>
  <c r="FE166" i="30" s="1"/>
  <c r="FE65" i="30"/>
  <c r="FE76" i="29"/>
  <c r="FE17" i="29"/>
  <c r="FG18" i="1"/>
  <c r="FG76" i="1" s="1"/>
  <c r="FE3" i="29"/>
  <c r="FE155" i="29" s="1"/>
  <c r="DJ371" i="30"/>
  <c r="U371" i="30"/>
  <c r="AZ289" i="30" l="1"/>
  <c r="LZ295" i="30"/>
  <c r="AZ295" i="30" s="1"/>
  <c r="LZ297" i="30"/>
  <c r="AZ297" i="30" s="1"/>
  <c r="Z37" i="5"/>
  <c r="GZ31" i="5"/>
  <c r="Z115" i="5"/>
  <c r="GZ116" i="5"/>
  <c r="Z116" i="5" s="1"/>
  <c r="GZ102" i="5"/>
  <c r="AF15" i="4"/>
  <c r="GZ27" i="5"/>
  <c r="AF37" i="4"/>
  <c r="GZ105" i="5"/>
  <c r="AF13" i="4"/>
  <c r="Z112" i="5"/>
  <c r="GZ113" i="5"/>
  <c r="Z113" i="5" s="1"/>
  <c r="GZ100" i="5"/>
  <c r="Z100" i="5" s="1"/>
  <c r="AF105" i="4"/>
  <c r="MI60" i="1"/>
  <c r="MG295" i="30"/>
  <c r="BA295" i="30" s="1"/>
  <c r="GZ47" i="5"/>
  <c r="IT100" i="4"/>
  <c r="GZ122" i="5"/>
  <c r="GV28" i="5"/>
  <c r="GS113" i="5"/>
  <c r="Y113" i="5" s="1"/>
  <c r="AX297" i="30"/>
  <c r="AE15" i="4"/>
  <c r="GS102" i="5"/>
  <c r="GS103" i="5" s="1"/>
  <c r="Y103" i="5" s="1"/>
  <c r="Y115" i="5"/>
  <c r="AE37" i="4"/>
  <c r="EY166" i="30"/>
  <c r="GS100" i="5"/>
  <c r="Y100" i="5" s="1"/>
  <c r="AE105" i="4"/>
  <c r="ES108" i="29"/>
  <c r="Y108" i="29" s="1"/>
  <c r="EK108" i="29"/>
  <c r="EJ108" i="29" s="1"/>
  <c r="EI108" i="29" s="1"/>
  <c r="EH108" i="29" s="1"/>
  <c r="BL65" i="4"/>
  <c r="EY155" i="29"/>
  <c r="BS5" i="4"/>
  <c r="FF334" i="30"/>
  <c r="FF111" i="30"/>
  <c r="FF5" i="30"/>
  <c r="FF65" i="30"/>
  <c r="FF76" i="29"/>
  <c r="FF17" i="29"/>
  <c r="FH18" i="1"/>
  <c r="FH76" i="1" s="1"/>
  <c r="FF3" i="29"/>
  <c r="FF155" i="29" s="1"/>
  <c r="FQ155" i="29"/>
  <c r="FQ76" i="29"/>
  <c r="FQ17" i="29"/>
  <c r="FO5" i="1"/>
  <c r="FL334" i="30"/>
  <c r="BY5" i="4"/>
  <c r="BY65" i="4" s="1"/>
  <c r="FL111" i="30"/>
  <c r="FL5" i="30"/>
  <c r="FL166" i="30" s="1"/>
  <c r="FL65" i="30"/>
  <c r="FL76" i="29"/>
  <c r="FL17" i="29"/>
  <c r="FN18" i="1"/>
  <c r="FN76" i="1" s="1"/>
  <c r="FL3" i="29"/>
  <c r="FL155" i="29" s="1"/>
  <c r="GA5" i="1"/>
  <c r="CK5" i="4"/>
  <c r="CK65" i="4" s="1"/>
  <c r="AQ5" i="5"/>
  <c r="FX334" i="30"/>
  <c r="FX111" i="30"/>
  <c r="FX65" i="30"/>
  <c r="FX5" i="30"/>
  <c r="FX166" i="30" s="1"/>
  <c r="FX3" i="29"/>
  <c r="GG5" i="1"/>
  <c r="FZ18" i="1"/>
  <c r="FZ76" i="1" s="1"/>
  <c r="CE5" i="4"/>
  <c r="CE65" i="4" s="1"/>
  <c r="FR334" i="30"/>
  <c r="FR111" i="30"/>
  <c r="FR65" i="30"/>
  <c r="FR5" i="30"/>
  <c r="FR166" i="30" s="1"/>
  <c r="FR76" i="29"/>
  <c r="FT18" i="1"/>
  <c r="FT76" i="1" s="1"/>
  <c r="FR3" i="29"/>
  <c r="FR155" i="29" s="1"/>
  <c r="FU5" i="1"/>
  <c r="FR17" i="29"/>
  <c r="DC371" i="30"/>
  <c r="T371" i="30"/>
  <c r="Z47" i="5" l="1"/>
  <c r="GZ103" i="5"/>
  <c r="Z103" i="5" s="1"/>
  <c r="Z102" i="5"/>
  <c r="Z105" i="5"/>
  <c r="GZ106" i="5"/>
  <c r="Z106" i="5" s="1"/>
  <c r="GZ28" i="5"/>
  <c r="Z31" i="5"/>
  <c r="GZ123" i="5"/>
  <c r="Z122" i="5"/>
  <c r="Z27" i="5"/>
  <c r="IT101" i="4"/>
  <c r="AF101" i="4" s="1"/>
  <c r="AF100" i="4"/>
  <c r="BA60" i="1"/>
  <c r="Y102" i="5"/>
  <c r="FF166" i="30"/>
  <c r="EL108" i="29"/>
  <c r="X108" i="29" s="1"/>
  <c r="ED108" i="29"/>
  <c r="EC108" i="29" s="1"/>
  <c r="EB108" i="29" s="1"/>
  <c r="EA108" i="29" s="1"/>
  <c r="BS65" i="4"/>
  <c r="GB5" i="1"/>
  <c r="CL5" i="4"/>
  <c r="CL65" i="4" s="1"/>
  <c r="AR5" i="5"/>
  <c r="FY111" i="30"/>
  <c r="FY334" i="30"/>
  <c r="FY65" i="30"/>
  <c r="FY5" i="30"/>
  <c r="FY166" i="30" s="1"/>
  <c r="FY76" i="29"/>
  <c r="FY3" i="29"/>
  <c r="FY155" i="29" s="1"/>
  <c r="FY17" i="29"/>
  <c r="GA18" i="1"/>
  <c r="GA76" i="1" s="1"/>
  <c r="GH5" i="1"/>
  <c r="AX5" i="5"/>
  <c r="CR5" i="4"/>
  <c r="CR65" i="4" s="1"/>
  <c r="GE111" i="30"/>
  <c r="GE334" i="30"/>
  <c r="GE65" i="30"/>
  <c r="GE5" i="30"/>
  <c r="GE166" i="30" s="1"/>
  <c r="GE3" i="29"/>
  <c r="GG18" i="1"/>
  <c r="GG76" i="1" s="1"/>
  <c r="GN5" i="1"/>
  <c r="FX155" i="29"/>
  <c r="FX76" i="29"/>
  <c r="FX17" i="29"/>
  <c r="BZ5" i="4"/>
  <c r="FM334" i="30"/>
  <c r="FM111" i="30"/>
  <c r="FM65" i="30"/>
  <c r="FM5" i="30"/>
  <c r="FM76" i="29"/>
  <c r="FO18" i="1"/>
  <c r="FO76" i="1" s="1"/>
  <c r="FM3" i="29"/>
  <c r="FM155" i="29" s="1"/>
  <c r="FM17" i="29"/>
  <c r="FV5" i="1"/>
  <c r="CF5" i="4"/>
  <c r="CF65" i="4" s="1"/>
  <c r="FS334" i="30"/>
  <c r="FS111" i="30"/>
  <c r="FS65" i="30"/>
  <c r="FS5" i="30"/>
  <c r="FS166" i="30" s="1"/>
  <c r="FS76" i="29"/>
  <c r="FS3" i="29"/>
  <c r="FS155" i="29" s="1"/>
  <c r="FS17" i="29"/>
  <c r="FU18" i="1"/>
  <c r="FU76" i="1" s="1"/>
  <c r="CV371" i="30"/>
  <c r="S371" i="30"/>
  <c r="Z28" i="5" l="1"/>
  <c r="GZ124" i="5"/>
  <c r="Z124" i="5" s="1"/>
  <c r="Z123" i="5"/>
  <c r="FM166" i="30"/>
  <c r="BZ65" i="4"/>
  <c r="EE108" i="29"/>
  <c r="W108" i="29" s="1"/>
  <c r="DW108" i="29"/>
  <c r="DV108" i="29" s="1"/>
  <c r="DU108" i="29" s="1"/>
  <c r="DT108" i="29" s="1"/>
  <c r="GO5" i="1"/>
  <c r="BE5" i="5"/>
  <c r="CY5" i="4"/>
  <c r="CY65" i="4" s="1"/>
  <c r="GL111" i="30"/>
  <c r="GL334" i="30"/>
  <c r="GL5" i="30"/>
  <c r="GL166" i="30" s="1"/>
  <c r="GL65" i="30"/>
  <c r="GU5" i="1"/>
  <c r="GN18" i="1"/>
  <c r="GN76" i="1" s="1"/>
  <c r="GL3" i="29"/>
  <c r="AX159" i="5"/>
  <c r="AX72" i="5"/>
  <c r="GI5" i="1"/>
  <c r="AY5" i="5"/>
  <c r="CS5" i="4"/>
  <c r="CS65" i="4" s="1"/>
  <c r="GF111" i="30"/>
  <c r="GF334" i="30"/>
  <c r="GF5" i="30"/>
  <c r="GF166" i="30" s="1"/>
  <c r="GF65" i="30"/>
  <c r="GF76" i="29"/>
  <c r="GF17" i="29"/>
  <c r="GH18" i="1"/>
  <c r="GH76" i="1" s="1"/>
  <c r="GF3" i="29"/>
  <c r="GF155" i="29" s="1"/>
  <c r="GE76" i="29"/>
  <c r="GE155" i="29"/>
  <c r="GE17" i="29"/>
  <c r="CG5" i="4"/>
  <c r="CG65" i="4" s="1"/>
  <c r="FT111" i="30"/>
  <c r="FT334" i="30"/>
  <c r="FT65" i="30"/>
  <c r="FT5" i="30"/>
  <c r="FT76" i="29"/>
  <c r="FT3" i="29"/>
  <c r="FT155" i="29" s="1"/>
  <c r="FT17" i="29"/>
  <c r="FV18" i="1"/>
  <c r="FV76" i="1" s="1"/>
  <c r="GC5" i="1"/>
  <c r="AS5" i="5"/>
  <c r="CM5" i="4"/>
  <c r="CM65" i="4" s="1"/>
  <c r="FZ111" i="30"/>
  <c r="FZ334" i="30"/>
  <c r="FZ65" i="30"/>
  <c r="FZ5" i="30"/>
  <c r="FZ166" i="30" s="1"/>
  <c r="FZ76" i="29"/>
  <c r="FZ3" i="29"/>
  <c r="FZ155" i="29" s="1"/>
  <c r="FZ17" i="29"/>
  <c r="GB18" i="1"/>
  <c r="GB76" i="1" s="1"/>
  <c r="CO371" i="30"/>
  <c r="R371" i="30"/>
  <c r="FT166" i="30" l="1"/>
  <c r="DX108" i="29"/>
  <c r="V108" i="29" s="1"/>
  <c r="DP108" i="29"/>
  <c r="DO108" i="29" s="1"/>
  <c r="DN108" i="29" s="1"/>
  <c r="DM108" i="29" s="1"/>
  <c r="BL5" i="5"/>
  <c r="GS334" i="30"/>
  <c r="DF5" i="4"/>
  <c r="DF65" i="4" s="1"/>
  <c r="GS111" i="30"/>
  <c r="GS5" i="30"/>
  <c r="GS166" i="30" s="1"/>
  <c r="GS65" i="30"/>
  <c r="GU18" i="1"/>
  <c r="GU76" i="1" s="1"/>
  <c r="GV5" i="1"/>
  <c r="GS3" i="29"/>
  <c r="HB5" i="1"/>
  <c r="AY72" i="5"/>
  <c r="AY159" i="5"/>
  <c r="GJ5" i="1"/>
  <c r="AZ5" i="5"/>
  <c r="CT5" i="4"/>
  <c r="CT65" i="4" s="1"/>
  <c r="GG111" i="30"/>
  <c r="GG334" i="30"/>
  <c r="GG5" i="30"/>
  <c r="GG166" i="30" s="1"/>
  <c r="GG65" i="30"/>
  <c r="GG76" i="29"/>
  <c r="GG17" i="29"/>
  <c r="GI18" i="1"/>
  <c r="GI76" i="1" s="1"/>
  <c r="GG3" i="29"/>
  <c r="GG155" i="29" s="1"/>
  <c r="AT5" i="5"/>
  <c r="CN5" i="4"/>
  <c r="CN65" i="4" s="1"/>
  <c r="GA111" i="30"/>
  <c r="GA334" i="30"/>
  <c r="GA5" i="30"/>
  <c r="GA65" i="30"/>
  <c r="GA76" i="29"/>
  <c r="GA17" i="29"/>
  <c r="GC18" i="1"/>
  <c r="GC76" i="1" s="1"/>
  <c r="GA3" i="29"/>
  <c r="GL155" i="29"/>
  <c r="GL76" i="29"/>
  <c r="GL17" i="29"/>
  <c r="BE72" i="5"/>
  <c r="BE159" i="5"/>
  <c r="GP5" i="1"/>
  <c r="BF5" i="5"/>
  <c r="CZ5" i="4"/>
  <c r="CZ65" i="4" s="1"/>
  <c r="GM334" i="30"/>
  <c r="GM111" i="30"/>
  <c r="GM5" i="30"/>
  <c r="GM166" i="30" s="1"/>
  <c r="GM65" i="30"/>
  <c r="GM76" i="29"/>
  <c r="GM17" i="29"/>
  <c r="GO18" i="1"/>
  <c r="GO76" i="1" s="1"/>
  <c r="GM3" i="29"/>
  <c r="GM155" i="29" s="1"/>
  <c r="CH371" i="30"/>
  <c r="Q371" i="30"/>
  <c r="GA166" i="30" l="1"/>
  <c r="DQ108" i="29"/>
  <c r="U108" i="29" s="1"/>
  <c r="DI108" i="29"/>
  <c r="DH108" i="29" s="1"/>
  <c r="DG108" i="29" s="1"/>
  <c r="DF108" i="29" s="1"/>
  <c r="GA155" i="29"/>
  <c r="GW5" i="1"/>
  <c r="BM5" i="5"/>
  <c r="DG5" i="4"/>
  <c r="DG65" i="4" s="1"/>
  <c r="GT334" i="30"/>
  <c r="GT111" i="30"/>
  <c r="GT65" i="30"/>
  <c r="GT5" i="30"/>
  <c r="GT166" i="30" s="1"/>
  <c r="GT76" i="29"/>
  <c r="GV18" i="1"/>
  <c r="GV76" i="1" s="1"/>
  <c r="GT3" i="29"/>
  <c r="GT155" i="29" s="1"/>
  <c r="GT17" i="29"/>
  <c r="GQ5" i="1"/>
  <c r="BG5" i="5"/>
  <c r="GN334" i="30"/>
  <c r="DA5" i="4"/>
  <c r="DA65" i="4" s="1"/>
  <c r="GN111" i="30"/>
  <c r="GN5" i="30"/>
  <c r="GN166" i="30" s="1"/>
  <c r="GN65" i="30"/>
  <c r="GN76" i="29"/>
  <c r="GN17" i="29"/>
  <c r="GP18" i="1"/>
  <c r="GP76" i="1" s="1"/>
  <c r="GN3" i="29"/>
  <c r="GN155" i="29" s="1"/>
  <c r="AZ72" i="5"/>
  <c r="AZ159" i="5"/>
  <c r="BA5" i="5"/>
  <c r="CU5" i="4"/>
  <c r="CU65" i="4" s="1"/>
  <c r="GH334" i="30"/>
  <c r="GH111" i="30"/>
  <c r="GH5" i="30"/>
  <c r="GH65" i="30"/>
  <c r="GH76" i="29"/>
  <c r="GH17" i="29"/>
  <c r="GJ18" i="1"/>
  <c r="GJ76" i="1" s="1"/>
  <c r="GH3" i="29"/>
  <c r="GH155" i="29" s="1"/>
  <c r="BF159" i="5"/>
  <c r="BF72" i="5"/>
  <c r="HC5" i="1"/>
  <c r="DM5" i="4"/>
  <c r="DM65" i="4" s="1"/>
  <c r="BS5" i="5"/>
  <c r="GZ334" i="30"/>
  <c r="GZ111" i="30"/>
  <c r="GZ65" i="30"/>
  <c r="GZ5" i="30"/>
  <c r="GZ166" i="30" s="1"/>
  <c r="HI5" i="1"/>
  <c r="GZ3" i="29"/>
  <c r="HB18" i="1"/>
  <c r="HB76" i="1" s="1"/>
  <c r="GS155" i="29"/>
  <c r="GS76" i="29"/>
  <c r="GS17" i="29"/>
  <c r="BL159" i="5"/>
  <c r="BL72" i="5"/>
  <c r="CA371" i="30"/>
  <c r="P371" i="30"/>
  <c r="GH166" i="30" l="1"/>
  <c r="DJ108" i="29"/>
  <c r="T108" i="29" s="1"/>
  <c r="DB108" i="29"/>
  <c r="DA108" i="29" s="1"/>
  <c r="CZ108" i="29" s="1"/>
  <c r="CY108" i="29" s="1"/>
  <c r="DC108" i="29" s="1"/>
  <c r="S108" i="29" s="1"/>
  <c r="BS159" i="5"/>
  <c r="BS72" i="5"/>
  <c r="GZ155" i="29"/>
  <c r="GZ76" i="29"/>
  <c r="GZ17" i="29"/>
  <c r="HD5" i="1"/>
  <c r="DN5" i="4"/>
  <c r="DN65" i="4" s="1"/>
  <c r="BT5" i="5"/>
  <c r="HA111" i="30"/>
  <c r="HA334" i="30"/>
  <c r="HA65" i="30"/>
  <c r="HA5" i="30"/>
  <c r="HA166" i="30" s="1"/>
  <c r="HA76" i="29"/>
  <c r="HA3" i="29"/>
  <c r="HA155" i="29" s="1"/>
  <c r="HA17" i="29"/>
  <c r="HC18" i="1"/>
  <c r="HC76" i="1" s="1"/>
  <c r="BG159" i="5"/>
  <c r="BG72" i="5"/>
  <c r="HJ5" i="1"/>
  <c r="BZ5" i="5"/>
  <c r="DT5" i="4"/>
  <c r="DT65" i="4" s="1"/>
  <c r="HG111" i="30"/>
  <c r="HG334" i="30"/>
  <c r="HG65" i="30"/>
  <c r="HG5" i="30"/>
  <c r="HG166" i="30" s="1"/>
  <c r="HG3" i="29"/>
  <c r="HI18" i="1"/>
  <c r="HI76" i="1" s="1"/>
  <c r="HP5" i="1"/>
  <c r="BH5" i="5"/>
  <c r="DB5" i="4"/>
  <c r="DB65" i="4" s="1"/>
  <c r="GO334" i="30"/>
  <c r="GO111" i="30"/>
  <c r="GO65" i="30"/>
  <c r="GO5" i="30"/>
  <c r="GO76" i="29"/>
  <c r="GQ18" i="1"/>
  <c r="GQ76" i="1" s="1"/>
  <c r="GO3" i="29"/>
  <c r="GO155" i="29" s="1"/>
  <c r="GO17" i="29"/>
  <c r="BM159" i="5"/>
  <c r="BM72" i="5"/>
  <c r="BA159" i="5"/>
  <c r="BA72" i="5"/>
  <c r="GX5" i="1"/>
  <c r="BN5" i="5"/>
  <c r="DH5" i="4"/>
  <c r="DH65" i="4" s="1"/>
  <c r="GU334" i="30"/>
  <c r="GU111" i="30"/>
  <c r="GU65" i="30"/>
  <c r="GU5" i="30"/>
  <c r="GU166" i="30" s="1"/>
  <c r="GU76" i="29"/>
  <c r="GU3" i="29"/>
  <c r="GU155" i="29" s="1"/>
  <c r="GU17" i="29"/>
  <c r="GW18" i="1"/>
  <c r="GW76" i="1" s="1"/>
  <c r="O371" i="30"/>
  <c r="BT371" i="30"/>
  <c r="GO166" i="30" l="1"/>
  <c r="BT159" i="5"/>
  <c r="BT72" i="5"/>
  <c r="HE5" i="1"/>
  <c r="BU5" i="5"/>
  <c r="DO5" i="4"/>
  <c r="DO65" i="4" s="1"/>
  <c r="HB111" i="30"/>
  <c r="HB334" i="30"/>
  <c r="HB65" i="30"/>
  <c r="HB5" i="30"/>
  <c r="HB166" i="30" s="1"/>
  <c r="HB76" i="29"/>
  <c r="HB3" i="29"/>
  <c r="HB155" i="29" s="1"/>
  <c r="HB17" i="29"/>
  <c r="HD18" i="1"/>
  <c r="HD76" i="1" s="1"/>
  <c r="BH159" i="5"/>
  <c r="BH72" i="5"/>
  <c r="HQ5" i="1"/>
  <c r="CG5" i="5"/>
  <c r="EA5" i="4"/>
  <c r="EA65" i="4" s="1"/>
  <c r="HN111" i="30"/>
  <c r="HN334" i="30"/>
  <c r="HN5" i="30"/>
  <c r="HN166" i="30" s="1"/>
  <c r="HN65" i="30"/>
  <c r="HW5" i="1"/>
  <c r="HP18" i="1"/>
  <c r="HP76" i="1" s="1"/>
  <c r="HN3" i="29"/>
  <c r="BZ159" i="5"/>
  <c r="BZ72" i="5"/>
  <c r="DI5" i="4"/>
  <c r="DI65" i="4" s="1"/>
  <c r="BO5" i="5"/>
  <c r="GV111" i="30"/>
  <c r="GV334" i="30"/>
  <c r="GV65" i="30"/>
  <c r="GV5" i="30"/>
  <c r="GV76" i="29"/>
  <c r="GV3" i="29"/>
  <c r="GV155" i="29" s="1"/>
  <c r="GV17" i="29"/>
  <c r="GX18" i="1"/>
  <c r="GX76" i="1" s="1"/>
  <c r="HK5" i="1"/>
  <c r="CA5" i="5"/>
  <c r="DU5" i="4"/>
  <c r="DU65" i="4" s="1"/>
  <c r="HH111" i="30"/>
  <c r="HH334" i="30"/>
  <c r="HH5" i="30"/>
  <c r="HH166" i="30" s="1"/>
  <c r="HH65" i="30"/>
  <c r="HH76" i="29"/>
  <c r="HH17" i="29"/>
  <c r="HJ18" i="1"/>
  <c r="HJ76" i="1" s="1"/>
  <c r="HH3" i="29"/>
  <c r="HH155" i="29" s="1"/>
  <c r="HG76" i="29"/>
  <c r="HG155" i="29"/>
  <c r="HG17" i="29"/>
  <c r="BN159" i="5"/>
  <c r="BN72" i="5"/>
  <c r="N371" i="30"/>
  <c r="M371" i="30"/>
  <c r="L371" i="30" s="1"/>
  <c r="K371" i="30" s="1"/>
  <c r="J371" i="30" s="1"/>
  <c r="I371" i="30" s="1"/>
  <c r="H371" i="30" s="1"/>
  <c r="G371" i="30" s="1"/>
  <c r="F371" i="30" s="1"/>
  <c r="E371" i="30" s="1"/>
  <c r="D371" i="30" s="1"/>
  <c r="C371" i="30" s="1"/>
  <c r="GV166" i="30" l="1"/>
  <c r="HR5" i="1"/>
  <c r="CH5" i="5"/>
  <c r="EB5" i="4"/>
  <c r="EB65" i="4" s="1"/>
  <c r="HO334" i="30"/>
  <c r="HO111" i="30"/>
  <c r="HO5" i="30"/>
  <c r="HO166" i="30" s="1"/>
  <c r="HO65" i="30"/>
  <c r="HO76" i="29"/>
  <c r="HO17" i="29"/>
  <c r="HQ18" i="1"/>
  <c r="HQ76" i="1" s="1"/>
  <c r="HO3" i="29"/>
  <c r="HO155" i="29" s="1"/>
  <c r="CA72" i="5"/>
  <c r="CA159" i="5"/>
  <c r="HX5" i="1"/>
  <c r="CN5" i="5"/>
  <c r="HU334" i="30"/>
  <c r="EH5" i="4"/>
  <c r="EH65" i="4" s="1"/>
  <c r="HU111" i="30"/>
  <c r="HU5" i="30"/>
  <c r="HU166" i="30" s="1"/>
  <c r="HU65" i="30"/>
  <c r="HW18" i="1"/>
  <c r="HW76" i="1" s="1"/>
  <c r="HU3" i="29"/>
  <c r="ID5" i="1"/>
  <c r="BO159" i="5"/>
  <c r="BO72" i="5"/>
  <c r="BU159" i="5"/>
  <c r="BU72" i="5"/>
  <c r="BV5" i="5"/>
  <c r="DP5" i="4"/>
  <c r="DP65" i="4" s="1"/>
  <c r="HC111" i="30"/>
  <c r="HC334" i="30"/>
  <c r="HC5" i="30"/>
  <c r="HC65" i="30"/>
  <c r="HC76" i="29"/>
  <c r="HC17" i="29"/>
  <c r="HE18" i="1"/>
  <c r="HE76" i="1" s="1"/>
  <c r="HC3" i="29"/>
  <c r="HC155" i="29" s="1"/>
  <c r="HL5" i="1"/>
  <c r="CB5" i="5"/>
  <c r="DV5" i="4"/>
  <c r="DV65" i="4" s="1"/>
  <c r="HI111" i="30"/>
  <c r="HI334" i="30"/>
  <c r="HI5" i="30"/>
  <c r="HI166" i="30" s="1"/>
  <c r="HI65" i="30"/>
  <c r="HI76" i="29"/>
  <c r="HI17" i="29"/>
  <c r="HK18" i="1"/>
  <c r="HK76" i="1" s="1"/>
  <c r="HI3" i="29"/>
  <c r="HI155" i="29" s="1"/>
  <c r="HN155" i="29"/>
  <c r="HN76" i="29"/>
  <c r="HN17" i="29"/>
  <c r="CG72" i="5"/>
  <c r="CG159" i="5"/>
  <c r="AT70" i="1"/>
  <c r="AS70" i="1"/>
  <c r="AR70" i="1"/>
  <c r="AQ70" i="1"/>
  <c r="AP70" i="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AY69" i="1"/>
  <c r="AX69" i="1"/>
  <c r="AW69" i="1"/>
  <c r="AV69" i="1"/>
  <c r="AU69" i="1"/>
  <c r="AT69"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AD68" i="1"/>
  <c r="AC68" i="1"/>
  <c r="AB68" i="1"/>
  <c r="AA68" i="1"/>
  <c r="Z68" i="1"/>
  <c r="Y68" i="1"/>
  <c r="X68" i="1"/>
  <c r="W68" i="1"/>
  <c r="V68" i="1"/>
  <c r="U68" i="1"/>
  <c r="T68" i="1"/>
  <c r="S68" i="1"/>
  <c r="R68" i="1"/>
  <c r="Q68" i="1"/>
  <c r="P68" i="1"/>
  <c r="O68" i="1"/>
  <c r="N68" i="1"/>
  <c r="AU61" i="1"/>
  <c r="AT61" i="1"/>
  <c r="AS61" i="1"/>
  <c r="AR61" i="1"/>
  <c r="AQ61" i="1"/>
  <c r="AP61" i="1"/>
  <c r="AO61" i="1"/>
  <c r="AN61" i="1"/>
  <c r="AM61" i="1"/>
  <c r="AL61" i="1"/>
  <c r="AK61" i="1"/>
  <c r="AJ61" i="1"/>
  <c r="AI61" i="1"/>
  <c r="AH61" i="1"/>
  <c r="AG61" i="1"/>
  <c r="AF61" i="1"/>
  <c r="AE61" i="1"/>
  <c r="AD61" i="1"/>
  <c r="AC61" i="1"/>
  <c r="AB61" i="1"/>
  <c r="AA61" i="1"/>
  <c r="Z61" i="1"/>
  <c r="Y61" i="1"/>
  <c r="X61" i="1"/>
  <c r="W61" i="1"/>
  <c r="V61" i="1"/>
  <c r="U61" i="1"/>
  <c r="AU60" i="1"/>
  <c r="AS60"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AC57" i="1"/>
  <c r="AB57" i="1"/>
  <c r="AA57" i="1"/>
  <c r="Z57" i="1"/>
  <c r="Y57" i="1"/>
  <c r="X57" i="1"/>
  <c r="W57" i="1"/>
  <c r="V57" i="1"/>
  <c r="U57" i="1"/>
  <c r="T57" i="1"/>
  <c r="S57" i="1"/>
  <c r="R57" i="1"/>
  <c r="Q57" i="1"/>
  <c r="P57" i="1"/>
  <c r="O57" i="1"/>
  <c r="N57" i="1"/>
  <c r="AC56" i="1"/>
  <c r="AB56" i="1"/>
  <c r="AA56" i="1"/>
  <c r="Z56" i="1"/>
  <c r="Y56" i="1"/>
  <c r="V56" i="1"/>
  <c r="U56" i="1"/>
  <c r="T56" i="1"/>
  <c r="S56" i="1"/>
  <c r="R56" i="1"/>
  <c r="Q56" i="1"/>
  <c r="P56" i="1"/>
  <c r="O56" i="1"/>
  <c r="N56" i="1"/>
  <c r="AC47" i="1"/>
  <c r="AB47" i="1"/>
  <c r="AA47" i="1"/>
  <c r="Z47" i="1"/>
  <c r="Y47" i="1"/>
  <c r="X47" i="1"/>
  <c r="W47" i="1"/>
  <c r="V47" i="1"/>
  <c r="U47" i="1"/>
  <c r="T47" i="1"/>
  <c r="S47" i="1"/>
  <c r="R47" i="1"/>
  <c r="Q47" i="1"/>
  <c r="P47" i="1"/>
  <c r="O47" i="1"/>
  <c r="N47" i="1"/>
  <c r="AD44" i="1"/>
  <c r="AC44" i="1"/>
  <c r="AB44" i="1"/>
  <c r="AA44" i="1"/>
  <c r="Z44" i="1"/>
  <c r="Y44" i="1"/>
  <c r="X44" i="1"/>
  <c r="W44" i="1"/>
  <c r="V44" i="1"/>
  <c r="U44" i="1"/>
  <c r="T44" i="1"/>
  <c r="S44" i="1"/>
  <c r="R44" i="1"/>
  <c r="Q44" i="1"/>
  <c r="P44" i="1"/>
  <c r="O44" i="1"/>
  <c r="N44" i="1"/>
  <c r="AY39" i="1"/>
  <c r="AX39" i="1"/>
  <c r="AW39" i="1"/>
  <c r="AV39" i="1"/>
  <c r="AU39" i="1"/>
  <c r="AT39" i="1"/>
  <c r="AS39"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AC38" i="1"/>
  <c r="AB38" i="1"/>
  <c r="AA38" i="1"/>
  <c r="Z38" i="1"/>
  <c r="Y38" i="1"/>
  <c r="X38" i="1"/>
  <c r="W38" i="1"/>
  <c r="V38" i="1"/>
  <c r="U38" i="1"/>
  <c r="T38" i="1"/>
  <c r="S38" i="1"/>
  <c r="R38" i="1"/>
  <c r="Q38" i="1"/>
  <c r="P38" i="1"/>
  <c r="O38" i="1"/>
  <c r="N38" i="1"/>
  <c r="AY18" i="1"/>
  <c r="AY76" i="1" s="1"/>
  <c r="AX18" i="1"/>
  <c r="AX76" i="1" s="1"/>
  <c r="AW18" i="1"/>
  <c r="AW76" i="1" s="1"/>
  <c r="AV18" i="1"/>
  <c r="AV76" i="1" s="1"/>
  <c r="AU18" i="1"/>
  <c r="AU76" i="1" s="1"/>
  <c r="AT18" i="1"/>
  <c r="AT76" i="1" s="1"/>
  <c r="AS18" i="1"/>
  <c r="AS76" i="1" s="1"/>
  <c r="AR18" i="1"/>
  <c r="AR76" i="1" s="1"/>
  <c r="AQ18" i="1"/>
  <c r="AQ76" i="1" s="1"/>
  <c r="AP18" i="1"/>
  <c r="AP76" i="1" s="1"/>
  <c r="AO18" i="1"/>
  <c r="AO76" i="1" s="1"/>
  <c r="AN18" i="1"/>
  <c r="AN76" i="1" s="1"/>
  <c r="AM18" i="1"/>
  <c r="AM76" i="1" s="1"/>
  <c r="AL18" i="1"/>
  <c r="AL76" i="1" s="1"/>
  <c r="AK18" i="1"/>
  <c r="AK76" i="1" s="1"/>
  <c r="AJ18" i="1"/>
  <c r="AJ76" i="1" s="1"/>
  <c r="AI18" i="1"/>
  <c r="AI76" i="1" s="1"/>
  <c r="AH18" i="1"/>
  <c r="AH76" i="1" s="1"/>
  <c r="AG18" i="1"/>
  <c r="AG76" i="1" s="1"/>
  <c r="AF18" i="1"/>
  <c r="AF76" i="1" s="1"/>
  <c r="AE18" i="1"/>
  <c r="AE76" i="1" s="1"/>
  <c r="AD18" i="1"/>
  <c r="AD76" i="1" s="1"/>
  <c r="AY5" i="1"/>
  <c r="AX5" i="1"/>
  <c r="AW5" i="1"/>
  <c r="AV5" i="1"/>
  <c r="AU5" i="1"/>
  <c r="AT5" i="1"/>
  <c r="AS5"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L7" i="1"/>
  <c r="K7" i="1"/>
  <c r="J7" i="1"/>
  <c r="I7" i="1"/>
  <c r="H7" i="1"/>
  <c r="G7" i="1"/>
  <c r="F7" i="1"/>
  <c r="E7" i="1"/>
  <c r="D7" i="1"/>
  <c r="C7" i="1"/>
  <c r="M7" i="1"/>
  <c r="AC18" i="1"/>
  <c r="AC76" i="1" s="1"/>
  <c r="AB18" i="1"/>
  <c r="AB76" i="1" s="1"/>
  <c r="AA18" i="1"/>
  <c r="AA76" i="1" s="1"/>
  <c r="Z18" i="1"/>
  <c r="Z76" i="1" s="1"/>
  <c r="Y18" i="1"/>
  <c r="Y76" i="1" s="1"/>
  <c r="X18" i="1"/>
  <c r="X76" i="1" s="1"/>
  <c r="W18" i="1"/>
  <c r="W76" i="1" s="1"/>
  <c r="V18" i="1"/>
  <c r="V76" i="1" s="1"/>
  <c r="U18" i="1"/>
  <c r="U76" i="1" s="1"/>
  <c r="T18" i="1"/>
  <c r="T76" i="1" s="1"/>
  <c r="S18" i="1"/>
  <c r="S76" i="1" s="1"/>
  <c r="R18" i="1"/>
  <c r="R76" i="1" s="1"/>
  <c r="Q18" i="1"/>
  <c r="Q76" i="1" s="1"/>
  <c r="P18" i="1"/>
  <c r="P76" i="1" s="1"/>
  <c r="CC18" i="1"/>
  <c r="CC76" i="1" s="1"/>
  <c r="CB18" i="1"/>
  <c r="CB76" i="1" s="1"/>
  <c r="CA18" i="1"/>
  <c r="CA76" i="1" s="1"/>
  <c r="BZ18" i="1"/>
  <c r="BZ76" i="1" s="1"/>
  <c r="BY18" i="1"/>
  <c r="BY76" i="1" s="1"/>
  <c r="BV18" i="1"/>
  <c r="BV76" i="1" s="1"/>
  <c r="BU17" i="1"/>
  <c r="BU75" i="1" s="1"/>
  <c r="BT17" i="1"/>
  <c r="BT75" i="1" s="1"/>
  <c r="BS17" i="1"/>
  <c r="BS75" i="1" s="1"/>
  <c r="BR17" i="1"/>
  <c r="BR75" i="1" s="1"/>
  <c r="GG180" i="5"/>
  <c r="GG69" i="5" s="1"/>
  <c r="FZ180" i="5"/>
  <c r="FZ69" i="5" s="1"/>
  <c r="FS180" i="5"/>
  <c r="FS69" i="5" s="1"/>
  <c r="FL180" i="5"/>
  <c r="FL69" i="5" s="1"/>
  <c r="FE180" i="5"/>
  <c r="FE69" i="5" s="1"/>
  <c r="EX180" i="5"/>
  <c r="EX69" i="5" s="1"/>
  <c r="EQ180" i="5"/>
  <c r="EQ69" i="5" s="1"/>
  <c r="EJ180" i="5"/>
  <c r="EJ69" i="5" s="1"/>
  <c r="EC180" i="5"/>
  <c r="EC69" i="5" s="1"/>
  <c r="DV180" i="5"/>
  <c r="DV69" i="5" s="1"/>
  <c r="DO180" i="5"/>
  <c r="DO69" i="5" s="1"/>
  <c r="DH180" i="5"/>
  <c r="DH69" i="5" s="1"/>
  <c r="DA180" i="5"/>
  <c r="DA69" i="5" s="1"/>
  <c r="CT180" i="5"/>
  <c r="CT69" i="5" s="1"/>
  <c r="CM180" i="5"/>
  <c r="CM69" i="5" s="1"/>
  <c r="CF180" i="5"/>
  <c r="CF69" i="5" s="1"/>
  <c r="BY180" i="5"/>
  <c r="BY69" i="5" s="1"/>
  <c r="BR180" i="5"/>
  <c r="BR69" i="5" s="1"/>
  <c r="BK180" i="5"/>
  <c r="BK69" i="5" s="1"/>
  <c r="BD180" i="5"/>
  <c r="BD69" i="5" s="1"/>
  <c r="AW180" i="5"/>
  <c r="AW69" i="5" s="1"/>
  <c r="AP180" i="5"/>
  <c r="AP69" i="5" s="1"/>
  <c r="X118" i="5"/>
  <c r="W118" i="5"/>
  <c r="V118" i="5"/>
  <c r="U118" i="5"/>
  <c r="T118" i="5"/>
  <c r="S118" i="5"/>
  <c r="R118" i="5"/>
  <c r="Q118" i="5"/>
  <c r="P118" i="5"/>
  <c r="O118" i="5"/>
  <c r="N118" i="5"/>
  <c r="M118" i="5"/>
  <c r="L118" i="5"/>
  <c r="K118" i="5"/>
  <c r="J118" i="5"/>
  <c r="I118" i="5"/>
  <c r="H118" i="5"/>
  <c r="G118" i="5"/>
  <c r="F118" i="5"/>
  <c r="E118" i="5"/>
  <c r="D118" i="5"/>
  <c r="C118" i="5"/>
  <c r="U57" i="5"/>
  <c r="T57" i="5"/>
  <c r="S57" i="5"/>
  <c r="R57" i="5"/>
  <c r="Q57" i="5"/>
  <c r="P57" i="5"/>
  <c r="O57" i="5"/>
  <c r="N57" i="5"/>
  <c r="M57" i="5"/>
  <c r="L57" i="5"/>
  <c r="U56" i="5"/>
  <c r="T56" i="5"/>
  <c r="S56" i="5"/>
  <c r="R56" i="5"/>
  <c r="Q56" i="5"/>
  <c r="P56" i="5"/>
  <c r="O56" i="5"/>
  <c r="N56" i="5"/>
  <c r="M56" i="5"/>
  <c r="L56" i="5"/>
  <c r="K56" i="5"/>
  <c r="J56" i="5"/>
  <c r="I56" i="5"/>
  <c r="H56" i="5"/>
  <c r="G56" i="5"/>
  <c r="F56" i="5"/>
  <c r="E56" i="5"/>
  <c r="D56" i="5"/>
  <c r="C56" i="5"/>
  <c r="U55" i="5"/>
  <c r="T55" i="5"/>
  <c r="S55" i="5"/>
  <c r="R55" i="5"/>
  <c r="Q55" i="5"/>
  <c r="P55" i="5"/>
  <c r="O55" i="5"/>
  <c r="N55" i="5"/>
  <c r="M55" i="5"/>
  <c r="L55" i="5"/>
  <c r="K55" i="5"/>
  <c r="J55" i="5"/>
  <c r="I55" i="5"/>
  <c r="H55" i="5"/>
  <c r="G55" i="5"/>
  <c r="F55" i="5"/>
  <c r="E55" i="5"/>
  <c r="D55" i="5"/>
  <c r="C55" i="5"/>
  <c r="U54" i="5"/>
  <c r="T54" i="5"/>
  <c r="S54" i="5"/>
  <c r="R54" i="5"/>
  <c r="Q54" i="5"/>
  <c r="P54" i="5"/>
  <c r="O54" i="5"/>
  <c r="N54" i="5"/>
  <c r="M54" i="5"/>
  <c r="L54" i="5"/>
  <c r="K54" i="5"/>
  <c r="J54" i="5"/>
  <c r="I54" i="5"/>
  <c r="H54" i="5"/>
  <c r="G54" i="5"/>
  <c r="F54" i="5"/>
  <c r="E54" i="5"/>
  <c r="D54" i="5"/>
  <c r="C54" i="5"/>
  <c r="U53" i="5"/>
  <c r="T53" i="5"/>
  <c r="S53" i="5"/>
  <c r="R53" i="5"/>
  <c r="Q53" i="5"/>
  <c r="P53" i="5"/>
  <c r="O53" i="5"/>
  <c r="N53" i="5"/>
  <c r="M53" i="5"/>
  <c r="L53" i="5"/>
  <c r="K53" i="5"/>
  <c r="J53" i="5"/>
  <c r="I53" i="5"/>
  <c r="H53" i="5"/>
  <c r="G53" i="5"/>
  <c r="F53" i="5"/>
  <c r="E53" i="5"/>
  <c r="D53" i="5"/>
  <c r="C53" i="5"/>
  <c r="U52" i="5"/>
  <c r="T52" i="5"/>
  <c r="S52" i="5"/>
  <c r="R52" i="5"/>
  <c r="Q52" i="5"/>
  <c r="P52" i="5"/>
  <c r="O52" i="5"/>
  <c r="N52" i="5"/>
  <c r="M52" i="5"/>
  <c r="L52" i="5"/>
  <c r="K52" i="5"/>
  <c r="J52" i="5"/>
  <c r="I52" i="5"/>
  <c r="H52" i="5"/>
  <c r="G52" i="5"/>
  <c r="F52" i="5"/>
  <c r="E52" i="5"/>
  <c r="D52" i="5"/>
  <c r="C52" i="5"/>
  <c r="U51" i="5"/>
  <c r="T51" i="5"/>
  <c r="S51" i="5"/>
  <c r="R51" i="5"/>
  <c r="Q51" i="5"/>
  <c r="P51" i="5"/>
  <c r="O51" i="5"/>
  <c r="N51" i="5"/>
  <c r="M51" i="5"/>
  <c r="L51" i="5"/>
  <c r="K51" i="5"/>
  <c r="J51" i="5"/>
  <c r="I51" i="5"/>
  <c r="H51" i="5"/>
  <c r="G51" i="5"/>
  <c r="F51" i="5"/>
  <c r="E51" i="5"/>
  <c r="D51" i="5"/>
  <c r="C51" i="5"/>
  <c r="U45" i="5"/>
  <c r="T45" i="5"/>
  <c r="S45" i="5"/>
  <c r="R45" i="5"/>
  <c r="Q45" i="5"/>
  <c r="P45" i="5"/>
  <c r="O45" i="5"/>
  <c r="N45" i="5"/>
  <c r="M45" i="5"/>
  <c r="L45" i="5"/>
  <c r="K45" i="5"/>
  <c r="J45" i="5"/>
  <c r="I45" i="5"/>
  <c r="H45" i="5"/>
  <c r="G45" i="5"/>
  <c r="F45" i="5"/>
  <c r="E45" i="5"/>
  <c r="D45" i="5"/>
  <c r="C45" i="5"/>
  <c r="U44" i="5"/>
  <c r="T44" i="5"/>
  <c r="S44" i="5"/>
  <c r="R44" i="5"/>
  <c r="Q44" i="5"/>
  <c r="P44" i="5"/>
  <c r="O44" i="5"/>
  <c r="N44" i="5"/>
  <c r="M44" i="5"/>
  <c r="L44" i="5"/>
  <c r="K44" i="5"/>
  <c r="J44" i="5"/>
  <c r="I44" i="5"/>
  <c r="H44" i="5"/>
  <c r="G44" i="5"/>
  <c r="F44" i="5"/>
  <c r="E44" i="5"/>
  <c r="D44" i="5"/>
  <c r="C44" i="5"/>
  <c r="U43" i="5"/>
  <c r="T43" i="5"/>
  <c r="S43" i="5"/>
  <c r="R43" i="5"/>
  <c r="Q43" i="5"/>
  <c r="P43" i="5"/>
  <c r="O43" i="5"/>
  <c r="N43" i="5"/>
  <c r="M43" i="5"/>
  <c r="L43" i="5"/>
  <c r="K43" i="5"/>
  <c r="J43" i="5"/>
  <c r="I43" i="5"/>
  <c r="H43" i="5"/>
  <c r="G43" i="5"/>
  <c r="F43" i="5"/>
  <c r="E43" i="5"/>
  <c r="D43" i="5"/>
  <c r="U42" i="5"/>
  <c r="T42" i="5"/>
  <c r="S42" i="5"/>
  <c r="R42" i="5"/>
  <c r="Q42" i="5"/>
  <c r="P42" i="5"/>
  <c r="O42" i="5"/>
  <c r="N42" i="5"/>
  <c r="M42" i="5"/>
  <c r="L42" i="5"/>
  <c r="K42" i="5"/>
  <c r="J42" i="5"/>
  <c r="I42" i="5"/>
  <c r="H42" i="5"/>
  <c r="G42" i="5"/>
  <c r="F42" i="5"/>
  <c r="E42" i="5"/>
  <c r="D42" i="5"/>
  <c r="C42" i="5"/>
  <c r="U41" i="5"/>
  <c r="T41" i="5"/>
  <c r="S41" i="5"/>
  <c r="R41" i="5"/>
  <c r="Q41" i="5"/>
  <c r="P41" i="5"/>
  <c r="O41" i="5"/>
  <c r="N41" i="5"/>
  <c r="M41" i="5"/>
  <c r="L41" i="5"/>
  <c r="K41" i="5"/>
  <c r="J41" i="5"/>
  <c r="I41" i="5"/>
  <c r="H41" i="5"/>
  <c r="G41" i="5"/>
  <c r="F41" i="5"/>
  <c r="E41" i="5"/>
  <c r="D41" i="5"/>
  <c r="C41" i="5"/>
  <c r="U40" i="5"/>
  <c r="T40" i="5"/>
  <c r="S40" i="5"/>
  <c r="R40" i="5"/>
  <c r="Q40" i="5"/>
  <c r="P40" i="5"/>
  <c r="O40" i="5"/>
  <c r="N40" i="5"/>
  <c r="M40" i="5"/>
  <c r="L40" i="5"/>
  <c r="K40" i="5"/>
  <c r="J40" i="5"/>
  <c r="I40" i="5"/>
  <c r="H40" i="5"/>
  <c r="G40" i="5"/>
  <c r="F40" i="5"/>
  <c r="E40" i="5"/>
  <c r="D40" i="5"/>
  <c r="C40" i="5"/>
  <c r="U39" i="5"/>
  <c r="T39" i="5"/>
  <c r="S39" i="5"/>
  <c r="R39" i="5"/>
  <c r="Q39" i="5"/>
  <c r="P39" i="5"/>
  <c r="O39" i="5"/>
  <c r="N39" i="5"/>
  <c r="M39" i="5"/>
  <c r="L39" i="5"/>
  <c r="K39" i="5"/>
  <c r="J39" i="5"/>
  <c r="I39" i="5"/>
  <c r="H39" i="5"/>
  <c r="G39" i="5"/>
  <c r="F39" i="5"/>
  <c r="E39" i="5"/>
  <c r="D39" i="5"/>
  <c r="C39" i="5"/>
  <c r="U38" i="5"/>
  <c r="T38" i="5"/>
  <c r="S38" i="5"/>
  <c r="R38" i="5"/>
  <c r="Q38" i="5"/>
  <c r="P38" i="5"/>
  <c r="O38" i="5"/>
  <c r="N38" i="5"/>
  <c r="M38" i="5"/>
  <c r="L38" i="5"/>
  <c r="K38" i="5"/>
  <c r="J38" i="5"/>
  <c r="I38" i="5"/>
  <c r="H38" i="5"/>
  <c r="G38" i="5"/>
  <c r="F38" i="5"/>
  <c r="E38" i="5"/>
  <c r="D38" i="5"/>
  <c r="C38" i="5"/>
  <c r="U37" i="5"/>
  <c r="T37" i="5"/>
  <c r="S37" i="5"/>
  <c r="R37" i="5"/>
  <c r="Q37" i="5"/>
  <c r="P37" i="5"/>
  <c r="O37" i="5"/>
  <c r="N37" i="5"/>
  <c r="M37" i="5"/>
  <c r="L37" i="5"/>
  <c r="K37" i="5"/>
  <c r="J37" i="5"/>
  <c r="I37" i="5"/>
  <c r="H37" i="5"/>
  <c r="G37" i="5"/>
  <c r="F37" i="5"/>
  <c r="E37" i="5"/>
  <c r="D37" i="5"/>
  <c r="C37" i="5"/>
  <c r="U31" i="5"/>
  <c r="T31" i="5"/>
  <c r="S31" i="5"/>
  <c r="R31" i="5"/>
  <c r="Q31" i="5"/>
  <c r="P31" i="5"/>
  <c r="O31" i="5"/>
  <c r="N31" i="5"/>
  <c r="M31" i="5"/>
  <c r="L31" i="5"/>
  <c r="K31" i="5"/>
  <c r="J31" i="5"/>
  <c r="I31" i="5"/>
  <c r="H31" i="5"/>
  <c r="G31" i="5"/>
  <c r="F31" i="5"/>
  <c r="E31" i="5"/>
  <c r="D31" i="5"/>
  <c r="C31" i="5"/>
  <c r="U30" i="5"/>
  <c r="T30" i="5"/>
  <c r="S30" i="5"/>
  <c r="R30" i="5"/>
  <c r="Q30" i="5"/>
  <c r="P30" i="5"/>
  <c r="O30" i="5"/>
  <c r="N30" i="5"/>
  <c r="M30" i="5"/>
  <c r="L30" i="5"/>
  <c r="K30" i="5"/>
  <c r="J30" i="5"/>
  <c r="I30" i="5"/>
  <c r="H30" i="5"/>
  <c r="G30" i="5"/>
  <c r="F30" i="5"/>
  <c r="E30" i="5"/>
  <c r="D30" i="5"/>
  <c r="C30" i="5"/>
  <c r="U29" i="5"/>
  <c r="T29" i="5"/>
  <c r="S29" i="5"/>
  <c r="R29" i="5"/>
  <c r="Q29" i="5"/>
  <c r="P29" i="5"/>
  <c r="O29" i="5"/>
  <c r="N29" i="5"/>
  <c r="M29" i="5"/>
  <c r="L29" i="5"/>
  <c r="K29" i="5"/>
  <c r="J29" i="5"/>
  <c r="I29" i="5"/>
  <c r="H29" i="5"/>
  <c r="G29" i="5"/>
  <c r="F29" i="5"/>
  <c r="E29" i="5"/>
  <c r="D29" i="5"/>
  <c r="C29" i="5"/>
  <c r="U28" i="5"/>
  <c r="T28" i="5"/>
  <c r="S28" i="5"/>
  <c r="R28" i="5"/>
  <c r="Q28" i="5"/>
  <c r="P28" i="5"/>
  <c r="O28" i="5"/>
  <c r="N28" i="5"/>
  <c r="M28" i="5"/>
  <c r="L28" i="5"/>
  <c r="K28" i="5"/>
  <c r="J28" i="5"/>
  <c r="I28" i="5"/>
  <c r="H28" i="5"/>
  <c r="G28" i="5"/>
  <c r="F28" i="5"/>
  <c r="E28" i="5"/>
  <c r="D28" i="5"/>
  <c r="C28" i="5"/>
  <c r="U27" i="5"/>
  <c r="T27" i="5"/>
  <c r="S27" i="5"/>
  <c r="R27" i="5"/>
  <c r="Q27" i="5"/>
  <c r="P27" i="5"/>
  <c r="O27" i="5"/>
  <c r="N27" i="5"/>
  <c r="M27" i="5"/>
  <c r="L27" i="5"/>
  <c r="K27" i="5"/>
  <c r="J27" i="5"/>
  <c r="I27" i="5"/>
  <c r="H27" i="5"/>
  <c r="G27" i="5"/>
  <c r="F27" i="5"/>
  <c r="E27" i="5"/>
  <c r="D27" i="5"/>
  <c r="C27" i="5"/>
  <c r="U24" i="5"/>
  <c r="T24" i="5"/>
  <c r="S24" i="5"/>
  <c r="R24" i="5"/>
  <c r="Q24" i="5"/>
  <c r="P24" i="5"/>
  <c r="O24" i="5"/>
  <c r="N24" i="5"/>
  <c r="M24" i="5"/>
  <c r="L24" i="5"/>
  <c r="K24" i="5"/>
  <c r="J24" i="5"/>
  <c r="I24" i="5"/>
  <c r="H24" i="5"/>
  <c r="G24" i="5"/>
  <c r="F24" i="5"/>
  <c r="E24" i="5"/>
  <c r="D24" i="5"/>
  <c r="C24" i="5"/>
  <c r="U23" i="5"/>
  <c r="T23" i="5"/>
  <c r="S23" i="5"/>
  <c r="R23" i="5"/>
  <c r="Q23" i="5"/>
  <c r="P23" i="5"/>
  <c r="O23" i="5"/>
  <c r="N23" i="5"/>
  <c r="M23" i="5"/>
  <c r="L23" i="5"/>
  <c r="K23" i="5"/>
  <c r="J23" i="5"/>
  <c r="I23" i="5"/>
  <c r="H23" i="5"/>
  <c r="G23" i="5"/>
  <c r="F23" i="5"/>
  <c r="E23" i="5"/>
  <c r="D23" i="5"/>
  <c r="C23" i="5"/>
  <c r="U22" i="5"/>
  <c r="T22" i="5"/>
  <c r="S22" i="5"/>
  <c r="R22" i="5"/>
  <c r="Q22" i="5"/>
  <c r="P22" i="5"/>
  <c r="O22" i="5"/>
  <c r="N22" i="5"/>
  <c r="M22" i="5"/>
  <c r="L22" i="5"/>
  <c r="K22" i="5"/>
  <c r="J22" i="5"/>
  <c r="I22" i="5"/>
  <c r="H22" i="5"/>
  <c r="G22" i="5"/>
  <c r="F22" i="5"/>
  <c r="E22" i="5"/>
  <c r="D22" i="5"/>
  <c r="C22" i="5"/>
  <c r="U21" i="5"/>
  <c r="T21" i="5"/>
  <c r="S21" i="5"/>
  <c r="R21" i="5"/>
  <c r="Q21" i="5"/>
  <c r="P21" i="5"/>
  <c r="O21" i="5"/>
  <c r="N21" i="5"/>
  <c r="M21" i="5"/>
  <c r="L21" i="5"/>
  <c r="K21" i="5"/>
  <c r="J21" i="5"/>
  <c r="I21" i="5"/>
  <c r="H21" i="5"/>
  <c r="G21" i="5"/>
  <c r="F21" i="5"/>
  <c r="E21" i="5"/>
  <c r="D21" i="5"/>
  <c r="C21" i="5"/>
  <c r="U20" i="5"/>
  <c r="T20" i="5"/>
  <c r="S20" i="5"/>
  <c r="R20" i="5"/>
  <c r="Q20" i="5"/>
  <c r="P20" i="5"/>
  <c r="N20" i="5"/>
  <c r="M20" i="5"/>
  <c r="L20" i="5"/>
  <c r="K20" i="5"/>
  <c r="J20" i="5"/>
  <c r="I20" i="5"/>
  <c r="H20" i="5"/>
  <c r="G20" i="5"/>
  <c r="F20" i="5"/>
  <c r="E20" i="5"/>
  <c r="D20" i="5"/>
  <c r="C20" i="5"/>
  <c r="U19" i="5"/>
  <c r="T19" i="5"/>
  <c r="S19" i="5"/>
  <c r="R19" i="5"/>
  <c r="Q19" i="5"/>
  <c r="P19" i="5"/>
  <c r="O19" i="5"/>
  <c r="N19" i="5"/>
  <c r="M19" i="5"/>
  <c r="L19" i="5"/>
  <c r="K19" i="5"/>
  <c r="J19" i="5"/>
  <c r="I19" i="5"/>
  <c r="H19" i="5"/>
  <c r="G19" i="5"/>
  <c r="F19" i="5"/>
  <c r="E19" i="5"/>
  <c r="D19" i="5"/>
  <c r="C19" i="5"/>
  <c r="U18" i="5"/>
  <c r="T18" i="5"/>
  <c r="S18" i="5"/>
  <c r="R18" i="5"/>
  <c r="Q18" i="5"/>
  <c r="P18" i="5"/>
  <c r="O18" i="5"/>
  <c r="N18" i="5"/>
  <c r="M18" i="5"/>
  <c r="L18" i="5"/>
  <c r="K18" i="5"/>
  <c r="J18" i="5"/>
  <c r="I18" i="5"/>
  <c r="H18" i="5"/>
  <c r="G18" i="5"/>
  <c r="F18" i="5"/>
  <c r="E18" i="5"/>
  <c r="D18" i="5"/>
  <c r="C18" i="5"/>
  <c r="U17" i="5"/>
  <c r="T17" i="5"/>
  <c r="S17" i="5"/>
  <c r="R17" i="5"/>
  <c r="Q17" i="5"/>
  <c r="P17" i="5"/>
  <c r="O17" i="5"/>
  <c r="N17" i="5"/>
  <c r="M17" i="5"/>
  <c r="L17" i="5"/>
  <c r="K17" i="5"/>
  <c r="J17" i="5"/>
  <c r="I17" i="5"/>
  <c r="H17" i="5"/>
  <c r="G17" i="5"/>
  <c r="F17" i="5"/>
  <c r="E17" i="5"/>
  <c r="D17" i="5"/>
  <c r="C17" i="5"/>
  <c r="U16" i="5"/>
  <c r="T16" i="5"/>
  <c r="S16" i="5"/>
  <c r="R16" i="5"/>
  <c r="Q16" i="5"/>
  <c r="P16" i="5"/>
  <c r="O16" i="5"/>
  <c r="N16" i="5"/>
  <c r="M16" i="5"/>
  <c r="L16" i="5"/>
  <c r="K16" i="5"/>
  <c r="J16" i="5"/>
  <c r="I16" i="5"/>
  <c r="H16" i="5"/>
  <c r="G16" i="5"/>
  <c r="F16" i="5"/>
  <c r="E16" i="5"/>
  <c r="D16" i="5"/>
  <c r="C16" i="5"/>
  <c r="U15" i="5"/>
  <c r="T15" i="5"/>
  <c r="S15" i="5"/>
  <c r="R15" i="5"/>
  <c r="Q15" i="5"/>
  <c r="P15" i="5"/>
  <c r="O15" i="5"/>
  <c r="N15" i="5"/>
  <c r="M15" i="5"/>
  <c r="L15" i="5"/>
  <c r="K15" i="5"/>
  <c r="J15" i="5"/>
  <c r="I15" i="5"/>
  <c r="H15" i="5"/>
  <c r="G15" i="5"/>
  <c r="F15" i="5"/>
  <c r="E15" i="5"/>
  <c r="D15" i="5"/>
  <c r="C15" i="5"/>
  <c r="U14" i="5"/>
  <c r="T14" i="5"/>
  <c r="S14" i="5"/>
  <c r="R14" i="5"/>
  <c r="Q14" i="5"/>
  <c r="P14" i="5"/>
  <c r="O14" i="5"/>
  <c r="N14" i="5"/>
  <c r="M14" i="5"/>
  <c r="L14" i="5"/>
  <c r="K14" i="5"/>
  <c r="J14" i="5"/>
  <c r="I14" i="5"/>
  <c r="H14" i="5"/>
  <c r="G14" i="5"/>
  <c r="F14" i="5"/>
  <c r="E14" i="5"/>
  <c r="D14" i="5"/>
  <c r="C14" i="5"/>
  <c r="T11" i="5"/>
  <c r="S11" i="5"/>
  <c r="R11" i="5"/>
  <c r="Q11" i="5"/>
  <c r="P11" i="5"/>
  <c r="O11" i="5"/>
  <c r="N11" i="5"/>
  <c r="M11" i="5"/>
  <c r="L11" i="5"/>
  <c r="K11" i="5"/>
  <c r="J11" i="5"/>
  <c r="I11" i="5"/>
  <c r="H11" i="5"/>
  <c r="G11" i="5"/>
  <c r="F11" i="5"/>
  <c r="E11" i="5"/>
  <c r="D11" i="5"/>
  <c r="C11" i="5"/>
  <c r="U10" i="5"/>
  <c r="T10" i="5"/>
  <c r="S10" i="5"/>
  <c r="R10" i="5"/>
  <c r="Q10" i="5"/>
  <c r="P10" i="5"/>
  <c r="O10" i="5"/>
  <c r="N10" i="5"/>
  <c r="M10" i="5"/>
  <c r="L10" i="5"/>
  <c r="K10" i="5"/>
  <c r="J10" i="5"/>
  <c r="I10" i="5"/>
  <c r="H10" i="5"/>
  <c r="G10" i="5"/>
  <c r="F10" i="5"/>
  <c r="E10" i="5"/>
  <c r="D10" i="5"/>
  <c r="C10" i="5"/>
  <c r="U9" i="5"/>
  <c r="T9" i="5"/>
  <c r="S9" i="5"/>
  <c r="R9" i="5"/>
  <c r="Q9" i="5"/>
  <c r="P9" i="5"/>
  <c r="O9" i="5"/>
  <c r="N9" i="5"/>
  <c r="M9" i="5"/>
  <c r="L9" i="5"/>
  <c r="K9" i="5"/>
  <c r="J9" i="5"/>
  <c r="I9" i="5"/>
  <c r="H9" i="5"/>
  <c r="G9" i="5"/>
  <c r="F9" i="5"/>
  <c r="E9" i="5"/>
  <c r="D9" i="5"/>
  <c r="C9" i="5"/>
  <c r="X5" i="5"/>
  <c r="W5" i="5"/>
  <c r="V5" i="5"/>
  <c r="U5" i="5"/>
  <c r="T5" i="5"/>
  <c r="S5" i="5"/>
  <c r="R5" i="5"/>
  <c r="Q5" i="5"/>
  <c r="P5" i="5"/>
  <c r="O5" i="5"/>
  <c r="N5" i="5"/>
  <c r="M5" i="5"/>
  <c r="L5" i="5"/>
  <c r="K5" i="5"/>
  <c r="J5" i="5"/>
  <c r="I5" i="5"/>
  <c r="H5" i="5"/>
  <c r="G5" i="5"/>
  <c r="F5" i="5"/>
  <c r="E5" i="5"/>
  <c r="D5" i="5"/>
  <c r="C5" i="5"/>
  <c r="IA128" i="4"/>
  <c r="HT128" i="4"/>
  <c r="HM128" i="4"/>
  <c r="HF128" i="4"/>
  <c r="GY128" i="4"/>
  <c r="GR128" i="4"/>
  <c r="GK128" i="4"/>
  <c r="GD128" i="4"/>
  <c r="FW128" i="4"/>
  <c r="FP128" i="4"/>
  <c r="FI128" i="4"/>
  <c r="FB128" i="4"/>
  <c r="EU128" i="4"/>
  <c r="EN128" i="4"/>
  <c r="EG128" i="4"/>
  <c r="DZ128" i="4"/>
  <c r="DS128" i="4"/>
  <c r="DL128" i="4"/>
  <c r="DE128" i="4"/>
  <c r="CX128" i="4"/>
  <c r="CQ128" i="4"/>
  <c r="CJ128" i="4"/>
  <c r="CC128" i="4"/>
  <c r="BV128" i="4"/>
  <c r="BO128" i="4"/>
  <c r="BH128" i="4"/>
  <c r="BA128" i="4"/>
  <c r="AT128" i="4"/>
  <c r="H126" i="4"/>
  <c r="G126" i="4"/>
  <c r="F126" i="4"/>
  <c r="E126" i="4"/>
  <c r="D126" i="4"/>
  <c r="C126" i="4"/>
  <c r="H125" i="4"/>
  <c r="G125" i="4"/>
  <c r="F125" i="4"/>
  <c r="E125" i="4"/>
  <c r="D125" i="4"/>
  <c r="C125" i="4"/>
  <c r="H123" i="4"/>
  <c r="G123" i="4"/>
  <c r="F123" i="4"/>
  <c r="E123" i="4"/>
  <c r="D123" i="4"/>
  <c r="C123" i="4"/>
  <c r="H122" i="4"/>
  <c r="G122" i="4"/>
  <c r="F122" i="4"/>
  <c r="E122" i="4"/>
  <c r="D122" i="4"/>
  <c r="C122" i="4"/>
  <c r="H120" i="4"/>
  <c r="G120" i="4"/>
  <c r="F120" i="4"/>
  <c r="E120" i="4"/>
  <c r="D120" i="4"/>
  <c r="C120" i="4"/>
  <c r="H119" i="4"/>
  <c r="G119" i="4"/>
  <c r="F119" i="4"/>
  <c r="E119" i="4"/>
  <c r="D119" i="4"/>
  <c r="C119" i="4"/>
  <c r="H118" i="4"/>
  <c r="G118" i="4"/>
  <c r="F118" i="4"/>
  <c r="E118" i="4"/>
  <c r="D118" i="4"/>
  <c r="C118" i="4"/>
  <c r="H113" i="4"/>
  <c r="G113" i="4"/>
  <c r="F113" i="4"/>
  <c r="E113" i="4"/>
  <c r="D113" i="4"/>
  <c r="C113" i="4"/>
  <c r="H112" i="4"/>
  <c r="G112" i="4"/>
  <c r="F112" i="4"/>
  <c r="E112" i="4"/>
  <c r="D112" i="4"/>
  <c r="C112" i="4"/>
  <c r="H110" i="4"/>
  <c r="G110" i="4"/>
  <c r="F110" i="4"/>
  <c r="E110" i="4"/>
  <c r="D110" i="4"/>
  <c r="C110" i="4"/>
  <c r="H109" i="4"/>
  <c r="G109" i="4"/>
  <c r="F109" i="4"/>
  <c r="E109" i="4"/>
  <c r="D109" i="4"/>
  <c r="C109" i="4"/>
  <c r="H108" i="4"/>
  <c r="G108" i="4"/>
  <c r="F108" i="4"/>
  <c r="E108" i="4"/>
  <c r="D108" i="4"/>
  <c r="C108" i="4"/>
  <c r="H106" i="4"/>
  <c r="G106" i="4"/>
  <c r="F106" i="4"/>
  <c r="E106" i="4"/>
  <c r="D106" i="4"/>
  <c r="C106" i="4"/>
  <c r="H105" i="4"/>
  <c r="G105" i="4"/>
  <c r="F105" i="4"/>
  <c r="E105" i="4"/>
  <c r="D105" i="4"/>
  <c r="C105" i="4"/>
  <c r="H101" i="4"/>
  <c r="G101" i="4"/>
  <c r="F101" i="4"/>
  <c r="E101" i="4"/>
  <c r="D101" i="4"/>
  <c r="C101" i="4"/>
  <c r="H100" i="4"/>
  <c r="G100" i="4"/>
  <c r="F100" i="4"/>
  <c r="E100" i="4"/>
  <c r="D100" i="4"/>
  <c r="C100" i="4"/>
  <c r="H98" i="4"/>
  <c r="G98" i="4"/>
  <c r="F98" i="4"/>
  <c r="E98" i="4"/>
  <c r="D98" i="4"/>
  <c r="C98" i="4"/>
  <c r="H97" i="4"/>
  <c r="G97" i="4"/>
  <c r="F97" i="4"/>
  <c r="E97" i="4"/>
  <c r="D97" i="4"/>
  <c r="C97" i="4"/>
  <c r="H95" i="4"/>
  <c r="G95" i="4"/>
  <c r="F95" i="4"/>
  <c r="E95" i="4"/>
  <c r="D95" i="4"/>
  <c r="C95" i="4"/>
  <c r="H93" i="4"/>
  <c r="G93" i="4"/>
  <c r="F93" i="4"/>
  <c r="E93" i="4"/>
  <c r="D93" i="4"/>
  <c r="C93" i="4"/>
  <c r="H92" i="4"/>
  <c r="G92" i="4"/>
  <c r="F92" i="4"/>
  <c r="E92" i="4"/>
  <c r="D92" i="4"/>
  <c r="C92" i="4"/>
  <c r="H90" i="4"/>
  <c r="G90" i="4"/>
  <c r="F90" i="4"/>
  <c r="E90" i="4"/>
  <c r="D90" i="4"/>
  <c r="C90" i="4"/>
  <c r="H89" i="4"/>
  <c r="G89" i="4"/>
  <c r="F89" i="4"/>
  <c r="E89" i="4"/>
  <c r="D89" i="4"/>
  <c r="C89" i="4"/>
  <c r="H87" i="4"/>
  <c r="G87" i="4"/>
  <c r="F87" i="4"/>
  <c r="E87" i="4"/>
  <c r="D87" i="4"/>
  <c r="C87" i="4"/>
  <c r="H86" i="4"/>
  <c r="G86" i="4"/>
  <c r="F86" i="4"/>
  <c r="E86" i="4"/>
  <c r="D86" i="4"/>
  <c r="C86" i="4"/>
  <c r="H84" i="4"/>
  <c r="G84" i="4"/>
  <c r="F84" i="4"/>
  <c r="E84" i="4"/>
  <c r="D84" i="4"/>
  <c r="C84" i="4"/>
  <c r="H83" i="4"/>
  <c r="G83" i="4"/>
  <c r="F83" i="4"/>
  <c r="E83" i="4"/>
  <c r="D83" i="4"/>
  <c r="C83" i="4"/>
  <c r="H81" i="4"/>
  <c r="G81" i="4"/>
  <c r="F81" i="4"/>
  <c r="E81" i="4"/>
  <c r="D81" i="4"/>
  <c r="C81" i="4"/>
  <c r="H80" i="4"/>
  <c r="G80" i="4"/>
  <c r="F80" i="4"/>
  <c r="E80" i="4"/>
  <c r="D80" i="4"/>
  <c r="C80" i="4"/>
  <c r="H78" i="4"/>
  <c r="G78" i="4"/>
  <c r="F78" i="4"/>
  <c r="E78" i="4"/>
  <c r="D78" i="4"/>
  <c r="C78" i="4"/>
  <c r="H77" i="4"/>
  <c r="G77" i="4"/>
  <c r="F77" i="4"/>
  <c r="E77" i="4"/>
  <c r="D77" i="4"/>
  <c r="C77" i="4"/>
  <c r="H75" i="4"/>
  <c r="G75" i="4"/>
  <c r="F75" i="4"/>
  <c r="E75" i="4"/>
  <c r="D75" i="4"/>
  <c r="C75" i="4"/>
  <c r="H74" i="4"/>
  <c r="G74" i="4"/>
  <c r="F74" i="4"/>
  <c r="E74" i="4"/>
  <c r="D74" i="4"/>
  <c r="C74" i="4"/>
  <c r="H72" i="4"/>
  <c r="G72" i="4"/>
  <c r="F72" i="4"/>
  <c r="E72" i="4"/>
  <c r="D72" i="4"/>
  <c r="C72" i="4"/>
  <c r="H71" i="4"/>
  <c r="G71" i="4"/>
  <c r="F71" i="4"/>
  <c r="E71" i="4"/>
  <c r="D71" i="4"/>
  <c r="C71" i="4"/>
  <c r="H69" i="4"/>
  <c r="G69" i="4"/>
  <c r="F69" i="4"/>
  <c r="E69" i="4"/>
  <c r="D69" i="4"/>
  <c r="C69" i="4"/>
  <c r="H56" i="4"/>
  <c r="G56" i="4"/>
  <c r="F56" i="4"/>
  <c r="E56" i="4"/>
  <c r="D56" i="4"/>
  <c r="C56" i="4"/>
  <c r="V44" i="4"/>
  <c r="U44" i="4"/>
  <c r="T44" i="4"/>
  <c r="S44" i="4"/>
  <c r="R44" i="4"/>
  <c r="Q44" i="4"/>
  <c r="P44" i="4"/>
  <c r="O44" i="4"/>
  <c r="N44" i="4"/>
  <c r="M44" i="4"/>
  <c r="L44" i="4"/>
  <c r="K44" i="4"/>
  <c r="J44" i="4"/>
  <c r="I44" i="4"/>
  <c r="H44" i="4"/>
  <c r="G44" i="4"/>
  <c r="F44" i="4"/>
  <c r="E44" i="4"/>
  <c r="D44" i="4"/>
  <c r="C44" i="4"/>
  <c r="G43" i="4"/>
  <c r="F43" i="4"/>
  <c r="E43" i="4"/>
  <c r="D43" i="4"/>
  <c r="C43" i="4"/>
  <c r="G39" i="4"/>
  <c r="F39" i="4"/>
  <c r="D39" i="4"/>
  <c r="C39" i="4"/>
  <c r="V38" i="4"/>
  <c r="U38" i="4"/>
  <c r="T38" i="4"/>
  <c r="S38" i="4"/>
  <c r="R38" i="4"/>
  <c r="Q38" i="4"/>
  <c r="P38" i="4"/>
  <c r="O38" i="4"/>
  <c r="N38" i="4"/>
  <c r="M38" i="4"/>
  <c r="L38" i="4"/>
  <c r="K38" i="4"/>
  <c r="J38" i="4"/>
  <c r="I38" i="4"/>
  <c r="H38" i="4"/>
  <c r="G38" i="4"/>
  <c r="F38" i="4"/>
  <c r="E38" i="4"/>
  <c r="D38" i="4"/>
  <c r="C38" i="4"/>
  <c r="V25" i="4"/>
  <c r="U25" i="4"/>
  <c r="T25" i="4"/>
  <c r="S25" i="4"/>
  <c r="R25" i="4"/>
  <c r="Q25" i="4"/>
  <c r="P25" i="4"/>
  <c r="O25" i="4"/>
  <c r="N25" i="4"/>
  <c r="M25" i="4"/>
  <c r="L25" i="4"/>
  <c r="K25" i="4"/>
  <c r="J25" i="4"/>
  <c r="I25" i="4"/>
  <c r="H25" i="4"/>
  <c r="G25" i="4"/>
  <c r="F25" i="4"/>
  <c r="E25" i="4"/>
  <c r="D25" i="4"/>
  <c r="C25" i="4"/>
  <c r="X23" i="4"/>
  <c r="W23" i="4"/>
  <c r="V23" i="4"/>
  <c r="U23" i="4"/>
  <c r="T23" i="4"/>
  <c r="S23" i="4"/>
  <c r="R23" i="4"/>
  <c r="Q23" i="4"/>
  <c r="P23" i="4"/>
  <c r="O23" i="4"/>
  <c r="N23" i="4"/>
  <c r="M23" i="4"/>
  <c r="L23" i="4"/>
  <c r="K23" i="4"/>
  <c r="J23" i="4"/>
  <c r="I23" i="4"/>
  <c r="H23" i="4"/>
  <c r="G23" i="4"/>
  <c r="F23" i="4"/>
  <c r="E23" i="4"/>
  <c r="D23" i="4"/>
  <c r="C23" i="4"/>
  <c r="C11" i="4"/>
  <c r="CO77" i="4"/>
  <c r="I77" i="4" s="1"/>
  <c r="CO100" i="4"/>
  <c r="I100" i="4" s="1"/>
  <c r="AQ98" i="5"/>
  <c r="AR98" i="5"/>
  <c r="AS98" i="5"/>
  <c r="AT98" i="5"/>
  <c r="AX98" i="5"/>
  <c r="AY98" i="5"/>
  <c r="AZ98" i="5"/>
  <c r="BA98" i="5"/>
  <c r="BE98" i="5"/>
  <c r="BF98" i="5"/>
  <c r="BG98" i="5"/>
  <c r="BH98" i="5"/>
  <c r="BL98" i="5"/>
  <c r="BM98" i="5"/>
  <c r="BN98" i="5"/>
  <c r="BO98" i="5"/>
  <c r="BS98" i="5"/>
  <c r="BT98" i="5"/>
  <c r="BU98" i="5"/>
  <c r="BV98" i="5"/>
  <c r="BZ98" i="5"/>
  <c r="CA98" i="5"/>
  <c r="CB98" i="5"/>
  <c r="CC98" i="5"/>
  <c r="CG98" i="5"/>
  <c r="CH98" i="5"/>
  <c r="CI98" i="5"/>
  <c r="CJ98" i="5"/>
  <c r="CN98" i="5"/>
  <c r="CO98" i="5"/>
  <c r="CP98" i="5"/>
  <c r="CQ98" i="5"/>
  <c r="CU98" i="5"/>
  <c r="CV98" i="5"/>
  <c r="CW98" i="5"/>
  <c r="CX98" i="5"/>
  <c r="DB98" i="5"/>
  <c r="DC98" i="5"/>
  <c r="DD98" i="5"/>
  <c r="DE98" i="5"/>
  <c r="DI98" i="5"/>
  <c r="DJ98" i="5"/>
  <c r="DK98" i="5"/>
  <c r="DL98" i="5"/>
  <c r="DP98" i="5"/>
  <c r="DQ98" i="5"/>
  <c r="DR98" i="5"/>
  <c r="DS98" i="5"/>
  <c r="DW98" i="5"/>
  <c r="DX98" i="5"/>
  <c r="DY98" i="5"/>
  <c r="DZ98" i="5"/>
  <c r="ED98" i="5"/>
  <c r="EE98" i="5"/>
  <c r="EF98" i="5"/>
  <c r="EG98" i="5"/>
  <c r="EK98" i="5"/>
  <c r="EL98" i="5"/>
  <c r="EM98" i="5"/>
  <c r="EN98" i="5"/>
  <c r="ER98" i="5"/>
  <c r="ES98" i="5"/>
  <c r="ET98" i="5"/>
  <c r="EU98" i="5"/>
  <c r="EY98" i="5"/>
  <c r="EZ98" i="5"/>
  <c r="FA98" i="5"/>
  <c r="FB98" i="5"/>
  <c r="FF98" i="5"/>
  <c r="FG98" i="5"/>
  <c r="FH98" i="5"/>
  <c r="FI98" i="5"/>
  <c r="FM98" i="5"/>
  <c r="FN98" i="5"/>
  <c r="FO98" i="5"/>
  <c r="FP98" i="5"/>
  <c r="AQ102" i="5"/>
  <c r="AR102" i="5"/>
  <c r="AS102" i="5"/>
  <c r="AT102" i="5"/>
  <c r="AX102" i="5"/>
  <c r="AY102" i="5"/>
  <c r="AZ102" i="5"/>
  <c r="BA102" i="5"/>
  <c r="BE102" i="5"/>
  <c r="BF102" i="5"/>
  <c r="BG102" i="5"/>
  <c r="BH102" i="5"/>
  <c r="BL102" i="5"/>
  <c r="BM102" i="5"/>
  <c r="BN102" i="5"/>
  <c r="BO102" i="5"/>
  <c r="BS102" i="5"/>
  <c r="BT102" i="5"/>
  <c r="BU102" i="5"/>
  <c r="BV102" i="5"/>
  <c r="BZ102" i="5"/>
  <c r="CA102" i="5"/>
  <c r="CB102" i="5"/>
  <c r="CC102" i="5"/>
  <c r="CG102" i="5"/>
  <c r="CH102" i="5"/>
  <c r="CI102" i="5"/>
  <c r="CJ102" i="5"/>
  <c r="CN102" i="5"/>
  <c r="CO102" i="5"/>
  <c r="CP102" i="5"/>
  <c r="CQ102" i="5"/>
  <c r="CU102" i="5"/>
  <c r="CV102" i="5"/>
  <c r="CW102" i="5"/>
  <c r="CX102" i="5"/>
  <c r="DB102" i="5"/>
  <c r="DC102" i="5"/>
  <c r="DD102" i="5"/>
  <c r="DE102" i="5"/>
  <c r="DI102" i="5"/>
  <c r="DJ102" i="5"/>
  <c r="DK102" i="5"/>
  <c r="DL102" i="5"/>
  <c r="DP102" i="5"/>
  <c r="DQ102" i="5"/>
  <c r="DR102" i="5"/>
  <c r="DS102" i="5"/>
  <c r="DW102" i="5"/>
  <c r="DX102" i="5"/>
  <c r="DY102" i="5"/>
  <c r="DZ102" i="5"/>
  <c r="ED102" i="5"/>
  <c r="EE102" i="5"/>
  <c r="EF102" i="5"/>
  <c r="EG102" i="5"/>
  <c r="EK102" i="5"/>
  <c r="EL102" i="5"/>
  <c r="EM102" i="5"/>
  <c r="EN102" i="5"/>
  <c r="ER102" i="5"/>
  <c r="ES102" i="5"/>
  <c r="ET102" i="5"/>
  <c r="EU102" i="5"/>
  <c r="EY102" i="5"/>
  <c r="EZ102" i="5"/>
  <c r="FA102" i="5"/>
  <c r="FB102" i="5"/>
  <c r="FF102" i="5"/>
  <c r="FG102" i="5"/>
  <c r="FH102" i="5"/>
  <c r="FI102" i="5"/>
  <c r="FM102" i="5"/>
  <c r="FN102" i="5"/>
  <c r="FO102" i="5"/>
  <c r="FP102" i="5"/>
  <c r="AQ105" i="5"/>
  <c r="AR105" i="5"/>
  <c r="AS105" i="5"/>
  <c r="AT105" i="5"/>
  <c r="AX105" i="5"/>
  <c r="AY105" i="5"/>
  <c r="AZ105" i="5"/>
  <c r="BA105" i="5"/>
  <c r="BE105" i="5"/>
  <c r="BF105" i="5"/>
  <c r="BG105" i="5"/>
  <c r="BH105" i="5"/>
  <c r="BL105" i="5"/>
  <c r="BM105" i="5"/>
  <c r="BN105" i="5"/>
  <c r="BO105" i="5"/>
  <c r="BS105" i="5"/>
  <c r="BT105" i="5"/>
  <c r="BU105" i="5"/>
  <c r="BV105" i="5"/>
  <c r="BZ105" i="5"/>
  <c r="CA105" i="5"/>
  <c r="CB105" i="5"/>
  <c r="CC105" i="5"/>
  <c r="CG105" i="5"/>
  <c r="CH105" i="5"/>
  <c r="CI105" i="5"/>
  <c r="CJ105" i="5"/>
  <c r="CN105" i="5"/>
  <c r="CO105" i="5"/>
  <c r="CP105" i="5"/>
  <c r="CQ105" i="5"/>
  <c r="CU105" i="5"/>
  <c r="CV105" i="5"/>
  <c r="CW105" i="5"/>
  <c r="CX105" i="5"/>
  <c r="DB105" i="5"/>
  <c r="DC105" i="5"/>
  <c r="DD105" i="5"/>
  <c r="DE105" i="5"/>
  <c r="DI105" i="5"/>
  <c r="DJ105" i="5"/>
  <c r="DK105" i="5"/>
  <c r="DL105" i="5"/>
  <c r="DP105" i="5"/>
  <c r="DQ105" i="5"/>
  <c r="DR105" i="5"/>
  <c r="DS105" i="5"/>
  <c r="DW105" i="5"/>
  <c r="DX105" i="5"/>
  <c r="DY105" i="5"/>
  <c r="DZ105" i="5"/>
  <c r="ED105" i="5"/>
  <c r="EE105" i="5"/>
  <c r="EF105" i="5"/>
  <c r="EG105" i="5"/>
  <c r="EK105" i="5"/>
  <c r="EL105" i="5"/>
  <c r="EM105" i="5"/>
  <c r="EN105" i="5"/>
  <c r="ER105" i="5"/>
  <c r="ES105" i="5"/>
  <c r="ET105" i="5"/>
  <c r="EU105" i="5"/>
  <c r="EY105" i="5"/>
  <c r="EZ105" i="5"/>
  <c r="FA105" i="5"/>
  <c r="FB105" i="5"/>
  <c r="FF105" i="5"/>
  <c r="FG105" i="5"/>
  <c r="FH105" i="5"/>
  <c r="FI105" i="5"/>
  <c r="FM105" i="5"/>
  <c r="FN105" i="5"/>
  <c r="FO105" i="5"/>
  <c r="FP105" i="5"/>
  <c r="BA112" i="5"/>
  <c r="BH112" i="5"/>
  <c r="BO112" i="5"/>
  <c r="BS112" i="5"/>
  <c r="BT112" i="5"/>
  <c r="BU112" i="5"/>
  <c r="BV112" i="5"/>
  <c r="BZ112" i="5"/>
  <c r="CA112" i="5"/>
  <c r="CB112" i="5"/>
  <c r="CC112" i="5"/>
  <c r="CG112" i="5"/>
  <c r="CH112" i="5"/>
  <c r="CI112" i="5"/>
  <c r="CJ112" i="5"/>
  <c r="CN112" i="5"/>
  <c r="CO112" i="5"/>
  <c r="CP112" i="5"/>
  <c r="CQ112" i="5"/>
  <c r="CU112" i="5"/>
  <c r="CV112" i="5"/>
  <c r="CW112" i="5"/>
  <c r="CX112" i="5"/>
  <c r="DB112" i="5"/>
  <c r="DC112" i="5"/>
  <c r="DD112" i="5"/>
  <c r="DE112" i="5"/>
  <c r="DI112" i="5"/>
  <c r="DJ112" i="5"/>
  <c r="DK112" i="5"/>
  <c r="DL112" i="5"/>
  <c r="DP112" i="5"/>
  <c r="DQ112" i="5"/>
  <c r="DR112" i="5"/>
  <c r="DS112" i="5"/>
  <c r="DW112" i="5"/>
  <c r="DX112" i="5"/>
  <c r="DY112" i="5"/>
  <c r="DZ112" i="5"/>
  <c r="ED112" i="5"/>
  <c r="EE112" i="5"/>
  <c r="EF112" i="5"/>
  <c r="EG112" i="5"/>
  <c r="EK112" i="5"/>
  <c r="ES112" i="5"/>
  <c r="ET112" i="5"/>
  <c r="EY112" i="5"/>
  <c r="EZ112" i="5"/>
  <c r="FA112" i="5"/>
  <c r="FI112" i="5"/>
  <c r="FN112" i="5"/>
  <c r="FP112" i="5"/>
  <c r="AQ115" i="5"/>
  <c r="AR115" i="5"/>
  <c r="AS115" i="5"/>
  <c r="AT115" i="5"/>
  <c r="AX115" i="5"/>
  <c r="AY115" i="5"/>
  <c r="AZ115" i="5"/>
  <c r="BA115" i="5"/>
  <c r="BE115" i="5"/>
  <c r="BF115" i="5"/>
  <c r="BG115" i="5"/>
  <c r="BH115" i="5"/>
  <c r="BL115" i="5"/>
  <c r="BM115" i="5"/>
  <c r="BN115" i="5"/>
  <c r="BO115" i="5"/>
  <c r="BS115" i="5"/>
  <c r="BT115" i="5"/>
  <c r="BU115" i="5"/>
  <c r="BV115" i="5"/>
  <c r="BZ115" i="5"/>
  <c r="CA115" i="5"/>
  <c r="CB115" i="5"/>
  <c r="CC115" i="5"/>
  <c r="CG115" i="5"/>
  <c r="CH115" i="5"/>
  <c r="CI115" i="5"/>
  <c r="CJ115" i="5"/>
  <c r="CN115" i="5"/>
  <c r="CO115" i="5"/>
  <c r="CP115" i="5"/>
  <c r="CQ115" i="5"/>
  <c r="CU115" i="5"/>
  <c r="CV115" i="5"/>
  <c r="CW115" i="5"/>
  <c r="CX115" i="5"/>
  <c r="DB115" i="5"/>
  <c r="DC115" i="5"/>
  <c r="DD115" i="5"/>
  <c r="DE115" i="5"/>
  <c r="DI115" i="5"/>
  <c r="DJ115" i="5"/>
  <c r="DK115" i="5"/>
  <c r="DL115" i="5"/>
  <c r="DP115" i="5"/>
  <c r="DQ115" i="5"/>
  <c r="DR115" i="5"/>
  <c r="DS115" i="5"/>
  <c r="DW115" i="5"/>
  <c r="DX115" i="5"/>
  <c r="DY115" i="5"/>
  <c r="DZ115" i="5"/>
  <c r="ED115" i="5"/>
  <c r="EE115" i="5"/>
  <c r="EF115" i="5"/>
  <c r="EG115" i="5"/>
  <c r="EK115" i="5"/>
  <c r="EL115" i="5"/>
  <c r="EM115" i="5"/>
  <c r="EN115" i="5"/>
  <c r="ER115" i="5"/>
  <c r="ES115" i="5"/>
  <c r="ET115" i="5"/>
  <c r="EU115" i="5"/>
  <c r="EY115" i="5"/>
  <c r="EZ115" i="5"/>
  <c r="FA115" i="5"/>
  <c r="FB115" i="5"/>
  <c r="FF115" i="5"/>
  <c r="FG115" i="5"/>
  <c r="FH115" i="5"/>
  <c r="FI115" i="5"/>
  <c r="FM115" i="5"/>
  <c r="FN115" i="5"/>
  <c r="FO115" i="5"/>
  <c r="FP115" i="5"/>
  <c r="EY138" i="5"/>
  <c r="EY139" i="5" s="1"/>
  <c r="EZ138" i="5"/>
  <c r="FA138" i="5"/>
  <c r="FB138" i="5"/>
  <c r="FF139" i="5" s="1"/>
  <c r="EY141" i="5"/>
  <c r="EY142" i="5" s="1"/>
  <c r="EZ141" i="5"/>
  <c r="FA141" i="5"/>
  <c r="FB141" i="5"/>
  <c r="FF142" i="5" s="1"/>
  <c r="FU146" i="5"/>
  <c r="GD146" i="5"/>
  <c r="GH146" i="5"/>
  <c r="GI146" i="5"/>
  <c r="GJ146" i="5"/>
  <c r="GK146" i="5"/>
  <c r="HZ58" i="1"/>
  <c r="HJ58" i="1"/>
  <c r="GX58" i="1"/>
  <c r="GU58" i="1"/>
  <c r="GQ58" i="1"/>
  <c r="GN58" i="1"/>
  <c r="GA58" i="1"/>
  <c r="GA57" i="1"/>
  <c r="GJ58" i="1"/>
  <c r="GI58" i="1"/>
  <c r="GH58" i="1"/>
  <c r="FT58" i="1"/>
  <c r="FW58" i="1" s="1"/>
  <c r="AC58" i="1" s="1"/>
  <c r="FN58" i="1"/>
  <c r="FP58" i="1" s="1"/>
  <c r="AB58" i="1" s="1"/>
  <c r="FW53" i="1"/>
  <c r="FP53" i="1"/>
  <c r="FF58" i="1"/>
  <c r="FI58" i="1" s="1"/>
  <c r="AA58" i="1" s="1"/>
  <c r="EX58" i="1"/>
  <c r="FB58" i="1" s="1"/>
  <c r="Z58" i="1" s="1"/>
  <c r="ES58" i="1"/>
  <c r="EQ58" i="1"/>
  <c r="EN56" i="1"/>
  <c r="X56" i="1" s="1"/>
  <c r="EM58" i="1"/>
  <c r="EN58" i="1" s="1"/>
  <c r="X58" i="1" s="1"/>
  <c r="EF58" i="1"/>
  <c r="EE58" i="1"/>
  <c r="EE56" i="1"/>
  <c r="ED58" i="1"/>
  <c r="EC56" i="1"/>
  <c r="EC58" i="1"/>
  <c r="DY58" i="1"/>
  <c r="DX58" i="1"/>
  <c r="DP58" i="1"/>
  <c r="DS58" i="1" s="1"/>
  <c r="U58" i="1" s="1"/>
  <c r="DJ58" i="1"/>
  <c r="DI58" i="1"/>
  <c r="DD58" i="1"/>
  <c r="DE58" i="1" s="1"/>
  <c r="S58" i="1" s="1"/>
  <c r="CX58" i="1"/>
  <c r="R58" i="1" s="1"/>
  <c r="CQ58" i="1"/>
  <c r="Q58" i="1" s="1"/>
  <c r="CJ58" i="1"/>
  <c r="P58" i="1" s="1"/>
  <c r="BY58" i="1"/>
  <c r="CC58" i="1" s="1"/>
  <c r="O58" i="1" s="1"/>
  <c r="BS58" i="1"/>
  <c r="BV58" i="1" s="1"/>
  <c r="N58" i="1" s="1"/>
  <c r="M58" i="1"/>
  <c r="L58" i="1"/>
  <c r="K58" i="1"/>
  <c r="J58" i="1"/>
  <c r="G58" i="1"/>
  <c r="JB58" i="1"/>
  <c r="JB46" i="1"/>
  <c r="JB38" i="1"/>
  <c r="JH46" i="1"/>
  <c r="JF33" i="1"/>
  <c r="JI33" i="1"/>
  <c r="FA142" i="5" l="1"/>
  <c r="HC166" i="30"/>
  <c r="O18" i="1"/>
  <c r="O76" i="1" s="1"/>
  <c r="N18" i="1"/>
  <c r="N76" i="1" s="1"/>
  <c r="M76" i="1" s="1"/>
  <c r="L76" i="1" s="1"/>
  <c r="K76" i="1" s="1"/>
  <c r="J76" i="1" s="1"/>
  <c r="I76" i="1" s="1"/>
  <c r="H76" i="1" s="1"/>
  <c r="G76" i="1" s="1"/>
  <c r="F76" i="1" s="1"/>
  <c r="E76" i="1" s="1"/>
  <c r="D76" i="1" s="1"/>
  <c r="C76" i="1" s="1"/>
  <c r="CB72" i="5"/>
  <c r="CB159" i="5"/>
  <c r="IE5" i="1"/>
  <c r="CU5" i="5"/>
  <c r="EO5" i="4"/>
  <c r="EO65" i="4" s="1"/>
  <c r="IB334" i="30"/>
  <c r="IB111" i="30"/>
  <c r="IB65" i="30"/>
  <c r="IB5" i="30"/>
  <c r="IB166" i="30" s="1"/>
  <c r="IB3" i="29"/>
  <c r="IK5" i="1"/>
  <c r="ID18" i="1"/>
  <c r="ID76" i="1" s="1"/>
  <c r="CN159" i="5"/>
  <c r="CN72" i="5"/>
  <c r="CC5" i="5"/>
  <c r="DW5" i="4"/>
  <c r="DW65" i="4" s="1"/>
  <c r="HJ334" i="30"/>
  <c r="HJ111" i="30"/>
  <c r="HJ5" i="30"/>
  <c r="HJ65" i="30"/>
  <c r="HJ76" i="29"/>
  <c r="HJ17" i="29"/>
  <c r="HL18" i="1"/>
  <c r="HL76" i="1" s="1"/>
  <c r="HJ3" i="29"/>
  <c r="HU155" i="29"/>
  <c r="HU76" i="29"/>
  <c r="HU17" i="29"/>
  <c r="HY5" i="1"/>
  <c r="CO5" i="5"/>
  <c r="EI5" i="4"/>
  <c r="EI65" i="4" s="1"/>
  <c r="HV334" i="30"/>
  <c r="HV111" i="30"/>
  <c r="HV65" i="30"/>
  <c r="HV5" i="30"/>
  <c r="HV166" i="30" s="1"/>
  <c r="HV76" i="29"/>
  <c r="HX18" i="1"/>
  <c r="HX76" i="1" s="1"/>
  <c r="HV3" i="29"/>
  <c r="HV155" i="29" s="1"/>
  <c r="HV17" i="29"/>
  <c r="BV72" i="5"/>
  <c r="BV159" i="5"/>
  <c r="CH159" i="5"/>
  <c r="CH72" i="5"/>
  <c r="HS5" i="1"/>
  <c r="CI5" i="5"/>
  <c r="HP334" i="30"/>
  <c r="EC5" i="4"/>
  <c r="EC65" i="4" s="1"/>
  <c r="HP111" i="30"/>
  <c r="HP5" i="30"/>
  <c r="HP166" i="30" s="1"/>
  <c r="HP65" i="30"/>
  <c r="HP76" i="29"/>
  <c r="HP17" i="29"/>
  <c r="HR18" i="1"/>
  <c r="HR76" i="1" s="1"/>
  <c r="HP3" i="29"/>
  <c r="HP155" i="29" s="1"/>
  <c r="JG25" i="29"/>
  <c r="JG27" i="29" s="1"/>
  <c r="JG13" i="29"/>
  <c r="JG5" i="29" s="1"/>
  <c r="JD13" i="29"/>
  <c r="JD5" i="29" s="1"/>
  <c r="JD25" i="29"/>
  <c r="JD27" i="29" s="1"/>
  <c r="F8" i="1"/>
  <c r="D8" i="1"/>
  <c r="K8" i="1"/>
  <c r="DL58" i="1"/>
  <c r="T58" i="1" s="1"/>
  <c r="H8" i="1"/>
  <c r="EU58" i="1"/>
  <c r="Y58" i="1" s="1"/>
  <c r="L8" i="1"/>
  <c r="E8" i="1"/>
  <c r="G8" i="1"/>
  <c r="I8" i="1"/>
  <c r="J8" i="1"/>
  <c r="M8" i="1"/>
  <c r="EG56" i="1"/>
  <c r="W56" i="1" s="1"/>
  <c r="EG58" i="1"/>
  <c r="W58" i="1" s="1"/>
  <c r="FB145" i="5"/>
  <c r="FA147" i="5"/>
  <c r="EZ139" i="5"/>
  <c r="FB139" i="5"/>
  <c r="EZ147" i="5"/>
  <c r="FA139" i="5"/>
  <c r="FA145" i="5"/>
  <c r="EZ142" i="5"/>
  <c r="EY147" i="5"/>
  <c r="EZ145" i="5"/>
  <c r="FB147" i="5"/>
  <c r="FB142" i="5"/>
  <c r="AQ100" i="5"/>
  <c r="AR100" i="5"/>
  <c r="AS100" i="5"/>
  <c r="AT100" i="5"/>
  <c r="C145" i="5"/>
  <c r="DZ58" i="1"/>
  <c r="V58" i="1" s="1"/>
  <c r="HJ166" i="30" l="1"/>
  <c r="M18" i="1"/>
  <c r="L18" i="1" s="1"/>
  <c r="K18" i="1" s="1"/>
  <c r="J18" i="1" s="1"/>
  <c r="I18" i="1" s="1"/>
  <c r="H18" i="1" s="1"/>
  <c r="G18" i="1" s="1"/>
  <c r="F18" i="1" s="1"/>
  <c r="E18" i="1" s="1"/>
  <c r="D18" i="1" s="1"/>
  <c r="C18" i="1" s="1"/>
  <c r="HJ155" i="29"/>
  <c r="CC159" i="5"/>
  <c r="CC72" i="5"/>
  <c r="CO159" i="5"/>
  <c r="CO72" i="5"/>
  <c r="CI159" i="5"/>
  <c r="CI72" i="5"/>
  <c r="HZ5" i="1"/>
  <c r="EJ5" i="4"/>
  <c r="EJ65" i="4" s="1"/>
  <c r="CP5" i="5"/>
  <c r="HW334" i="30"/>
  <c r="HW111" i="30"/>
  <c r="HW65" i="30"/>
  <c r="HW5" i="30"/>
  <c r="HW166" i="30" s="1"/>
  <c r="HW76" i="29"/>
  <c r="HW3" i="29"/>
  <c r="HW155" i="29" s="1"/>
  <c r="HW17" i="29"/>
  <c r="HY18" i="1"/>
  <c r="HY76" i="1" s="1"/>
  <c r="CU159" i="5"/>
  <c r="CU72" i="5"/>
  <c r="CJ5" i="5"/>
  <c r="ED5" i="4"/>
  <c r="ED65" i="4" s="1"/>
  <c r="HQ334" i="30"/>
  <c r="HQ111" i="30"/>
  <c r="HQ65" i="30"/>
  <c r="HQ5" i="30"/>
  <c r="HQ166" i="30" s="1"/>
  <c r="HQ76" i="29"/>
  <c r="HS18" i="1"/>
  <c r="HS76" i="1" s="1"/>
  <c r="HQ3" i="29"/>
  <c r="HQ17" i="29"/>
  <c r="IL5" i="1"/>
  <c r="DB5" i="5"/>
  <c r="EV5" i="4"/>
  <c r="EV65" i="4" s="1"/>
  <c r="II111" i="30"/>
  <c r="II334" i="30"/>
  <c r="II65" i="30"/>
  <c r="II5" i="30"/>
  <c r="II166" i="30" s="1"/>
  <c r="II3" i="29"/>
  <c r="IK18" i="1"/>
  <c r="IK76" i="1" s="1"/>
  <c r="IR5" i="1"/>
  <c r="IF5" i="1"/>
  <c r="CV5" i="5"/>
  <c r="EP5" i="4"/>
  <c r="EP65" i="4" s="1"/>
  <c r="IC111" i="30"/>
  <c r="IC334" i="30"/>
  <c r="IC65" i="30"/>
  <c r="IC5" i="30"/>
  <c r="IC166" i="30" s="1"/>
  <c r="IC76" i="29"/>
  <c r="IC3" i="29"/>
  <c r="IC155" i="29" s="1"/>
  <c r="IC17" i="29"/>
  <c r="IE18" i="1"/>
  <c r="IE76" i="1" s="1"/>
  <c r="IB155" i="29"/>
  <c r="IB76" i="29"/>
  <c r="IB17" i="29"/>
  <c r="FB144" i="5"/>
  <c r="BP97" i="29"/>
  <c r="BQ97" i="29"/>
  <c r="BR97" i="29"/>
  <c r="FA146" i="5"/>
  <c r="EZ144" i="5"/>
  <c r="EZ146" i="5"/>
  <c r="FB146" i="5"/>
  <c r="FA144" i="5"/>
  <c r="DQ61" i="1"/>
  <c r="DQ95" i="1" s="1"/>
  <c r="DQ94" i="1" s="1"/>
  <c r="DQ96" i="1" s="1"/>
  <c r="DX61" i="1"/>
  <c r="DX95" i="1" s="1"/>
  <c r="DX94" i="1" s="1"/>
  <c r="DX96" i="1" s="1"/>
  <c r="JP59" i="1"/>
  <c r="IG46" i="1"/>
  <c r="IF46" i="1"/>
  <c r="IE46" i="1"/>
  <c r="ID46" i="1"/>
  <c r="HZ46" i="1"/>
  <c r="HY46" i="1"/>
  <c r="HX46" i="1"/>
  <c r="HW46" i="1"/>
  <c r="HS46" i="1"/>
  <c r="HR46" i="1"/>
  <c r="HQ46" i="1"/>
  <c r="HK46" i="1"/>
  <c r="HJ46" i="1"/>
  <c r="HI46" i="1"/>
  <c r="HE46" i="1"/>
  <c r="GX46" i="1"/>
  <c r="GV46" i="1"/>
  <c r="GU46" i="1"/>
  <c r="GQ46" i="1"/>
  <c r="GN46" i="1"/>
  <c r="GJ46" i="1"/>
  <c r="GI46" i="1"/>
  <c r="GH46" i="1"/>
  <c r="GA46" i="1"/>
  <c r="GU38" i="1"/>
  <c r="GN38" i="1"/>
  <c r="GR38" i="1" s="1"/>
  <c r="AF38" i="1" s="1"/>
  <c r="GJ38" i="1"/>
  <c r="GH38" i="1"/>
  <c r="GG38" i="1"/>
  <c r="DY46" i="1"/>
  <c r="DX46" i="1"/>
  <c r="DS46" i="1"/>
  <c r="U46" i="1" s="1"/>
  <c r="DK46" i="1"/>
  <c r="DL46" i="1" s="1"/>
  <c r="T46" i="1" s="1"/>
  <c r="DD46" i="1"/>
  <c r="DE46" i="1" s="1"/>
  <c r="S46" i="1" s="1"/>
  <c r="CV46" i="1"/>
  <c r="CT46" i="1"/>
  <c r="CN46" i="1"/>
  <c r="CQ46" i="1" s="1"/>
  <c r="Q46" i="1" s="1"/>
  <c r="CI46" i="1"/>
  <c r="CJ46" i="1" s="1"/>
  <c r="P46" i="1" s="1"/>
  <c r="BY46" i="1"/>
  <c r="CC46" i="1" s="1"/>
  <c r="O46" i="1" s="1"/>
  <c r="M46" i="1"/>
  <c r="J46" i="1"/>
  <c r="G46" i="1"/>
  <c r="EF46" i="1"/>
  <c r="EE46" i="1"/>
  <c r="ED46" i="1"/>
  <c r="EC46" i="1"/>
  <c r="EK46" i="1"/>
  <c r="EJ46" i="1"/>
  <c r="EL46" i="1"/>
  <c r="EM46" i="1"/>
  <c r="ER46" i="1"/>
  <c r="EQ46" i="1"/>
  <c r="FA46" i="1"/>
  <c r="EX46" i="1"/>
  <c r="FF46" i="1"/>
  <c r="FI46" i="1" s="1"/>
  <c r="AA46" i="1" s="1"/>
  <c r="FN46" i="1"/>
  <c r="FO46" i="1"/>
  <c r="FT46" i="1"/>
  <c r="FS46" i="1"/>
  <c r="BV46" i="1"/>
  <c r="N46" i="1" s="1"/>
  <c r="GX38" i="1"/>
  <c r="HB38" i="1"/>
  <c r="HZ38" i="1"/>
  <c r="M35" i="1"/>
  <c r="M43" i="1" s="1"/>
  <c r="L35" i="1"/>
  <c r="L43" i="1" s="1"/>
  <c r="L49" i="1" s="1"/>
  <c r="K35" i="1"/>
  <c r="K43" i="1" s="1"/>
  <c r="K49" i="1" s="1"/>
  <c r="J35" i="1"/>
  <c r="J43" i="1" s="1"/>
  <c r="I35" i="1"/>
  <c r="I43" i="1" s="1"/>
  <c r="I49" i="1" s="1"/>
  <c r="H35" i="1"/>
  <c r="H43" i="1" s="1"/>
  <c r="H49" i="1" s="1"/>
  <c r="H65" i="1" s="1"/>
  <c r="G35" i="1"/>
  <c r="G43" i="1" s="1"/>
  <c r="F35" i="1"/>
  <c r="F43" i="1" s="1"/>
  <c r="F49" i="1" s="1"/>
  <c r="F65" i="1" s="1"/>
  <c r="E35" i="1"/>
  <c r="E43" i="1" s="1"/>
  <c r="E49" i="1" s="1"/>
  <c r="D35" i="1"/>
  <c r="D43" i="1" s="1"/>
  <c r="D49" i="1" s="1"/>
  <c r="D65" i="1" s="1"/>
  <c r="C35" i="1"/>
  <c r="C43" i="1" s="1"/>
  <c r="C49" i="1" s="1"/>
  <c r="FW40" i="1"/>
  <c r="AC40" i="1" s="1"/>
  <c r="FP40" i="1"/>
  <c r="AB40" i="1" s="1"/>
  <c r="FI40" i="1"/>
  <c r="AA40" i="1" s="1"/>
  <c r="FB40" i="1"/>
  <c r="Z40" i="1" s="1"/>
  <c r="EU40" i="1"/>
  <c r="Y40" i="1" s="1"/>
  <c r="EN40" i="1"/>
  <c r="X40" i="1" s="1"/>
  <c r="EG40" i="1"/>
  <c r="W40" i="1" s="1"/>
  <c r="DZ40" i="1"/>
  <c r="V40" i="1" s="1"/>
  <c r="DS40" i="1"/>
  <c r="U40" i="1" s="1"/>
  <c r="DL40" i="1"/>
  <c r="T40" i="1" s="1"/>
  <c r="DE40" i="1"/>
  <c r="S40" i="1" s="1"/>
  <c r="CX40" i="1"/>
  <c r="R40" i="1" s="1"/>
  <c r="CQ40" i="1"/>
  <c r="Q40" i="1" s="1"/>
  <c r="CJ40" i="1"/>
  <c r="P40" i="1" s="1"/>
  <c r="CC40" i="1"/>
  <c r="O40" i="1" s="1"/>
  <c r="BV40" i="1"/>
  <c r="N40" i="1" s="1"/>
  <c r="C24" i="1"/>
  <c r="C13" i="1" s="1"/>
  <c r="L25" i="1"/>
  <c r="K25" i="1"/>
  <c r="J25" i="1"/>
  <c r="I25" i="1"/>
  <c r="H25" i="1"/>
  <c r="G25" i="1"/>
  <c r="F25" i="1"/>
  <c r="E25" i="1"/>
  <c r="D25" i="1"/>
  <c r="L24" i="1"/>
  <c r="L13" i="1" s="1"/>
  <c r="K24" i="1"/>
  <c r="K13" i="1" s="1"/>
  <c r="J24" i="1"/>
  <c r="J13" i="1" s="1"/>
  <c r="I24" i="1"/>
  <c r="I13" i="1" s="1"/>
  <c r="H24" i="1"/>
  <c r="H13" i="1" s="1"/>
  <c r="G24" i="1"/>
  <c r="G13" i="1" s="1"/>
  <c r="F24" i="1"/>
  <c r="F13" i="1" s="1"/>
  <c r="E24" i="1"/>
  <c r="E13" i="1" s="1"/>
  <c r="D24" i="1"/>
  <c r="D13" i="1" s="1"/>
  <c r="M24" i="1"/>
  <c r="M13" i="1" s="1"/>
  <c r="M25" i="1"/>
  <c r="K30" i="1"/>
  <c r="K10" i="29" s="1"/>
  <c r="C32" i="1"/>
  <c r="C12" i="29" s="1"/>
  <c r="C31" i="1"/>
  <c r="C11" i="29" s="1"/>
  <c r="C30" i="1"/>
  <c r="C10" i="29" s="1"/>
  <c r="C29" i="1"/>
  <c r="C9" i="29" s="1"/>
  <c r="C28" i="1"/>
  <c r="C8" i="29" s="1"/>
  <c r="C27" i="1"/>
  <c r="C7" i="29" s="1"/>
  <c r="D32" i="1"/>
  <c r="D12" i="29" s="1"/>
  <c r="D31" i="1"/>
  <c r="D11" i="29" s="1"/>
  <c r="D30" i="1"/>
  <c r="D10" i="29" s="1"/>
  <c r="D29" i="1"/>
  <c r="D9" i="29" s="1"/>
  <c r="D28" i="1"/>
  <c r="D8" i="29" s="1"/>
  <c r="D27" i="1"/>
  <c r="D7" i="29" s="1"/>
  <c r="E32" i="1"/>
  <c r="E12" i="29" s="1"/>
  <c r="E31" i="1"/>
  <c r="E11" i="29" s="1"/>
  <c r="E30" i="1"/>
  <c r="E10" i="29" s="1"/>
  <c r="E29" i="1"/>
  <c r="E9" i="29" s="1"/>
  <c r="E28" i="1"/>
  <c r="E8" i="29" s="1"/>
  <c r="E27" i="1"/>
  <c r="F32" i="1"/>
  <c r="F12" i="29" s="1"/>
  <c r="F31" i="1"/>
  <c r="F11" i="29" s="1"/>
  <c r="F30" i="1"/>
  <c r="F10" i="29" s="1"/>
  <c r="F29" i="1"/>
  <c r="F9" i="29" s="1"/>
  <c r="F28" i="1"/>
  <c r="F8" i="29" s="1"/>
  <c r="F27" i="1"/>
  <c r="G32" i="1"/>
  <c r="G12" i="29" s="1"/>
  <c r="G31" i="1"/>
  <c r="G11" i="29" s="1"/>
  <c r="G30" i="1"/>
  <c r="G10" i="29" s="1"/>
  <c r="G29" i="1"/>
  <c r="G9" i="29" s="1"/>
  <c r="G28" i="1"/>
  <c r="G8" i="29" s="1"/>
  <c r="G27" i="1"/>
  <c r="H32" i="1"/>
  <c r="H12" i="29" s="1"/>
  <c r="H31" i="1"/>
  <c r="H11" i="29" s="1"/>
  <c r="H30" i="1"/>
  <c r="H10" i="29" s="1"/>
  <c r="H29" i="1"/>
  <c r="H9" i="29" s="1"/>
  <c r="H28" i="1"/>
  <c r="H8" i="29" s="1"/>
  <c r="H27" i="1"/>
  <c r="I32" i="1"/>
  <c r="I12" i="29" s="1"/>
  <c r="I31" i="1"/>
  <c r="I11" i="29" s="1"/>
  <c r="I30" i="1"/>
  <c r="I10" i="29" s="1"/>
  <c r="I29" i="1"/>
  <c r="I9" i="29" s="1"/>
  <c r="I28" i="1"/>
  <c r="I8" i="29" s="1"/>
  <c r="I27" i="1"/>
  <c r="J32" i="1"/>
  <c r="J12" i="29" s="1"/>
  <c r="J31" i="1"/>
  <c r="J11" i="29" s="1"/>
  <c r="J30" i="1"/>
  <c r="J10" i="29" s="1"/>
  <c r="J29" i="1"/>
  <c r="J9" i="29" s="1"/>
  <c r="J28" i="1"/>
  <c r="J8" i="29" s="1"/>
  <c r="J27" i="1"/>
  <c r="K32" i="1"/>
  <c r="K12" i="29" s="1"/>
  <c r="K31" i="1"/>
  <c r="K11" i="29" s="1"/>
  <c r="K29" i="1"/>
  <c r="K9" i="29" s="1"/>
  <c r="K28" i="1"/>
  <c r="K8" i="29" s="1"/>
  <c r="K27" i="1"/>
  <c r="L32" i="1"/>
  <c r="L12" i="29" s="1"/>
  <c r="L31" i="1"/>
  <c r="L11" i="29" s="1"/>
  <c r="L30" i="1"/>
  <c r="L10" i="29" s="1"/>
  <c r="L29" i="1"/>
  <c r="L9" i="29" s="1"/>
  <c r="L28" i="1"/>
  <c r="L8" i="29" s="1"/>
  <c r="L27" i="1"/>
  <c r="M32" i="1"/>
  <c r="M12" i="29" s="1"/>
  <c r="M31" i="1"/>
  <c r="M11" i="29" s="1"/>
  <c r="M30" i="1"/>
  <c r="M10" i="29" s="1"/>
  <c r="M29" i="1"/>
  <c r="M9" i="29" s="1"/>
  <c r="M28" i="1"/>
  <c r="M8" i="29" s="1"/>
  <c r="M27" i="1"/>
  <c r="BU33" i="1"/>
  <c r="BS13" i="29" s="1"/>
  <c r="BT33" i="1"/>
  <c r="BR13" i="29" s="1"/>
  <c r="BS33" i="1"/>
  <c r="BQ13" i="29" s="1"/>
  <c r="BR33" i="1"/>
  <c r="BP13" i="29" s="1"/>
  <c r="BU32" i="1"/>
  <c r="BS12" i="29" s="1"/>
  <c r="BT32" i="1"/>
  <c r="BR12" i="29" s="1"/>
  <c r="BS32" i="1"/>
  <c r="BQ12" i="29" s="1"/>
  <c r="BR32" i="1"/>
  <c r="BP12" i="29" s="1"/>
  <c r="BU31" i="1"/>
  <c r="BS11" i="29" s="1"/>
  <c r="BT31" i="1"/>
  <c r="BR11" i="29" s="1"/>
  <c r="BS31" i="1"/>
  <c r="BQ11" i="29" s="1"/>
  <c r="BR31" i="1"/>
  <c r="BP11" i="29" s="1"/>
  <c r="BU30" i="1"/>
  <c r="BT30" i="1"/>
  <c r="BS30" i="1"/>
  <c r="BR30" i="1"/>
  <c r="BU29" i="1"/>
  <c r="BS9" i="29" s="1"/>
  <c r="BT29" i="1"/>
  <c r="BR9" i="29" s="1"/>
  <c r="BS29" i="1"/>
  <c r="BQ9" i="29" s="1"/>
  <c r="BR29" i="1"/>
  <c r="BP9" i="29" s="1"/>
  <c r="BU28" i="1"/>
  <c r="BS8" i="29" s="1"/>
  <c r="BT28" i="1"/>
  <c r="BR8" i="29" s="1"/>
  <c r="BS28" i="1"/>
  <c r="BQ8" i="29" s="1"/>
  <c r="BR28" i="1"/>
  <c r="BP8" i="29" s="1"/>
  <c r="BU27" i="1"/>
  <c r="BT27" i="1"/>
  <c r="BS27" i="1"/>
  <c r="BR27" i="1"/>
  <c r="CB33" i="1"/>
  <c r="BZ13" i="29" s="1"/>
  <c r="CA33" i="1"/>
  <c r="BY13" i="29" s="1"/>
  <c r="BZ33" i="1"/>
  <c r="BX13" i="29" s="1"/>
  <c r="BY33" i="1"/>
  <c r="BW13" i="29" s="1"/>
  <c r="CB32" i="1"/>
  <c r="BZ12" i="29" s="1"/>
  <c r="CA32" i="1"/>
  <c r="BY12" i="29" s="1"/>
  <c r="BZ32" i="1"/>
  <c r="BX12" i="29" s="1"/>
  <c r="BY32" i="1"/>
  <c r="BW12" i="29" s="1"/>
  <c r="CB31" i="1"/>
  <c r="BZ11" i="29" s="1"/>
  <c r="CA31" i="1"/>
  <c r="BY11" i="29" s="1"/>
  <c r="BZ31" i="1"/>
  <c r="BX11" i="29" s="1"/>
  <c r="BY31" i="1"/>
  <c r="BW11" i="29" s="1"/>
  <c r="CB30" i="1"/>
  <c r="CA30" i="1"/>
  <c r="BZ30" i="1"/>
  <c r="BY30" i="1"/>
  <c r="CB29" i="1"/>
  <c r="BZ9" i="29" s="1"/>
  <c r="CA29" i="1"/>
  <c r="BY9" i="29" s="1"/>
  <c r="BZ29" i="1"/>
  <c r="BX9" i="29" s="1"/>
  <c r="BY29" i="1"/>
  <c r="BW9" i="29" s="1"/>
  <c r="CB28" i="1"/>
  <c r="BZ8" i="29" s="1"/>
  <c r="CA28" i="1"/>
  <c r="BY8" i="29" s="1"/>
  <c r="BZ28" i="1"/>
  <c r="BX8" i="29" s="1"/>
  <c r="BY28" i="1"/>
  <c r="BW8" i="29" s="1"/>
  <c r="CB27" i="1"/>
  <c r="CA27" i="1"/>
  <c r="BZ27" i="1"/>
  <c r="CI33" i="1"/>
  <c r="CG13" i="29" s="1"/>
  <c r="CH33" i="1"/>
  <c r="CF13" i="29" s="1"/>
  <c r="CG33" i="1"/>
  <c r="CE13" i="29" s="1"/>
  <c r="CF33" i="1"/>
  <c r="CD13" i="29" s="1"/>
  <c r="CI32" i="1"/>
  <c r="CG12" i="29" s="1"/>
  <c r="CH32" i="1"/>
  <c r="CF12" i="29" s="1"/>
  <c r="CG32" i="1"/>
  <c r="CE12" i="29" s="1"/>
  <c r="CF32" i="1"/>
  <c r="CD12" i="29" s="1"/>
  <c r="CI31" i="1"/>
  <c r="CG11" i="29" s="1"/>
  <c r="CH31" i="1"/>
  <c r="CF11" i="29" s="1"/>
  <c r="CG31" i="1"/>
  <c r="CE11" i="29" s="1"/>
  <c r="CF31" i="1"/>
  <c r="CD11" i="29" s="1"/>
  <c r="CI30" i="1"/>
  <c r="CH30" i="1"/>
  <c r="CG30" i="1"/>
  <c r="CF30" i="1"/>
  <c r="CI29" i="1"/>
  <c r="CG9" i="29" s="1"/>
  <c r="CH29" i="1"/>
  <c r="CF9" i="29" s="1"/>
  <c r="CG29" i="1"/>
  <c r="CE9" i="29" s="1"/>
  <c r="CF29" i="1"/>
  <c r="CD9" i="29" s="1"/>
  <c r="CI28" i="1"/>
  <c r="CG8" i="29" s="1"/>
  <c r="CH28" i="1"/>
  <c r="CF8" i="29" s="1"/>
  <c r="CG28" i="1"/>
  <c r="CE8" i="29" s="1"/>
  <c r="CF28" i="1"/>
  <c r="CD8" i="29" s="1"/>
  <c r="CH27" i="1"/>
  <c r="CG27" i="1"/>
  <c r="CF27" i="1"/>
  <c r="CP33" i="1"/>
  <c r="CN13" i="29" s="1"/>
  <c r="CO33" i="1"/>
  <c r="CM13" i="29" s="1"/>
  <c r="CN33" i="1"/>
  <c r="CL13" i="29" s="1"/>
  <c r="CM33" i="1"/>
  <c r="CK13" i="29" s="1"/>
  <c r="CP32" i="1"/>
  <c r="CN12" i="29" s="1"/>
  <c r="CO32" i="1"/>
  <c r="CM12" i="29" s="1"/>
  <c r="CN32" i="1"/>
  <c r="CL12" i="29" s="1"/>
  <c r="CM32" i="1"/>
  <c r="CK12" i="29" s="1"/>
  <c r="CP31" i="1"/>
  <c r="CN11" i="29" s="1"/>
  <c r="CO31" i="1"/>
  <c r="CM11" i="29" s="1"/>
  <c r="CN31" i="1"/>
  <c r="CL11" i="29" s="1"/>
  <c r="CM31" i="1"/>
  <c r="CK11" i="29" s="1"/>
  <c r="CP30" i="1"/>
  <c r="CO30" i="1"/>
  <c r="CN30" i="1"/>
  <c r="CM30" i="1"/>
  <c r="CP29" i="1"/>
  <c r="CN9" i="29" s="1"/>
  <c r="CO29" i="1"/>
  <c r="CM9" i="29" s="1"/>
  <c r="CN29" i="1"/>
  <c r="CL9" i="29" s="1"/>
  <c r="CM29" i="1"/>
  <c r="CK9" i="29" s="1"/>
  <c r="CP28" i="1"/>
  <c r="CN8" i="29" s="1"/>
  <c r="CO28" i="1"/>
  <c r="CM8" i="29" s="1"/>
  <c r="CN28" i="1"/>
  <c r="CL8" i="29" s="1"/>
  <c r="CM28" i="1"/>
  <c r="CK8" i="29" s="1"/>
  <c r="CP27" i="1"/>
  <c r="CO27" i="1"/>
  <c r="CM27" i="1"/>
  <c r="CW33" i="1"/>
  <c r="CU13" i="29" s="1"/>
  <c r="CV33" i="1"/>
  <c r="CT13" i="29" s="1"/>
  <c r="CU33" i="1"/>
  <c r="CS13" i="29" s="1"/>
  <c r="CT33" i="1"/>
  <c r="CR13" i="29" s="1"/>
  <c r="CW32" i="1"/>
  <c r="CU12" i="29" s="1"/>
  <c r="CV32" i="1"/>
  <c r="CT12" i="29" s="1"/>
  <c r="CU32" i="1"/>
  <c r="CS12" i="29" s="1"/>
  <c r="CT32" i="1"/>
  <c r="CR12" i="29" s="1"/>
  <c r="CW31" i="1"/>
  <c r="CU11" i="29" s="1"/>
  <c r="CV31" i="1"/>
  <c r="CT11" i="29" s="1"/>
  <c r="CU31" i="1"/>
  <c r="CS11" i="29" s="1"/>
  <c r="CT31" i="1"/>
  <c r="CR11" i="29" s="1"/>
  <c r="CW30" i="1"/>
  <c r="CV30" i="1"/>
  <c r="CU30" i="1"/>
  <c r="CT30" i="1"/>
  <c r="CW29" i="1"/>
  <c r="CU9" i="29" s="1"/>
  <c r="CV29" i="1"/>
  <c r="CT9" i="29" s="1"/>
  <c r="CU29" i="1"/>
  <c r="CS9" i="29" s="1"/>
  <c r="CT29" i="1"/>
  <c r="CR9" i="29" s="1"/>
  <c r="CW28" i="1"/>
  <c r="CU8" i="29" s="1"/>
  <c r="CV28" i="1"/>
  <c r="CT8" i="29" s="1"/>
  <c r="CU28" i="1"/>
  <c r="CS8" i="29" s="1"/>
  <c r="CT28" i="1"/>
  <c r="CR8" i="29" s="1"/>
  <c r="CW27" i="1"/>
  <c r="CV27" i="1"/>
  <c r="CU27" i="1"/>
  <c r="CT27" i="1"/>
  <c r="DD33" i="1"/>
  <c r="DB13" i="29" s="1"/>
  <c r="DC33" i="1"/>
  <c r="DA13" i="29" s="1"/>
  <c r="DB33" i="1"/>
  <c r="CZ13" i="29" s="1"/>
  <c r="DA33" i="1"/>
  <c r="CY13" i="29" s="1"/>
  <c r="DA27" i="1"/>
  <c r="DD32" i="1"/>
  <c r="DB12" i="29" s="1"/>
  <c r="DC32" i="1"/>
  <c r="DA12" i="29" s="1"/>
  <c r="DB32" i="1"/>
  <c r="CZ12" i="29" s="1"/>
  <c r="DA32" i="1"/>
  <c r="CY12" i="29" s="1"/>
  <c r="DD31" i="1"/>
  <c r="DB11" i="29" s="1"/>
  <c r="DC31" i="1"/>
  <c r="DA11" i="29" s="1"/>
  <c r="DB31" i="1"/>
  <c r="CZ11" i="29" s="1"/>
  <c r="DA31" i="1"/>
  <c r="CY11" i="29" s="1"/>
  <c r="DD30" i="1"/>
  <c r="DC30" i="1"/>
  <c r="DB30" i="1"/>
  <c r="DA30" i="1"/>
  <c r="DD29" i="1"/>
  <c r="DB9" i="29" s="1"/>
  <c r="DC29" i="1"/>
  <c r="DA9" i="29" s="1"/>
  <c r="DB29" i="1"/>
  <c r="CZ9" i="29" s="1"/>
  <c r="DA29" i="1"/>
  <c r="CY9" i="29" s="1"/>
  <c r="DD28" i="1"/>
  <c r="DB8" i="29" s="1"/>
  <c r="DC28" i="1"/>
  <c r="DA8" i="29" s="1"/>
  <c r="DB28" i="1"/>
  <c r="CZ8" i="29" s="1"/>
  <c r="DA28" i="1"/>
  <c r="CY8" i="29" s="1"/>
  <c r="DD27" i="1"/>
  <c r="DC27" i="1"/>
  <c r="DB27" i="1"/>
  <c r="DK33" i="1"/>
  <c r="DI13" i="29" s="1"/>
  <c r="DJ33" i="1"/>
  <c r="DH13" i="29" s="1"/>
  <c r="DI33" i="1"/>
  <c r="DG13" i="29" s="1"/>
  <c r="DH33" i="1"/>
  <c r="DF13" i="29" s="1"/>
  <c r="DK32" i="1"/>
  <c r="DI12" i="29" s="1"/>
  <c r="DJ32" i="1"/>
  <c r="DH12" i="29" s="1"/>
  <c r="DI32" i="1"/>
  <c r="DG12" i="29" s="1"/>
  <c r="DH32" i="1"/>
  <c r="DF12" i="29" s="1"/>
  <c r="DK31" i="1"/>
  <c r="DI11" i="29" s="1"/>
  <c r="DJ31" i="1"/>
  <c r="DH11" i="29" s="1"/>
  <c r="DI31" i="1"/>
  <c r="DG11" i="29" s="1"/>
  <c r="DH31" i="1"/>
  <c r="DF11" i="29" s="1"/>
  <c r="DK30" i="1"/>
  <c r="DJ30" i="1"/>
  <c r="DI30" i="1"/>
  <c r="DH30" i="1"/>
  <c r="DK29" i="1"/>
  <c r="DI9" i="29" s="1"/>
  <c r="DJ29" i="1"/>
  <c r="DH9" i="29" s="1"/>
  <c r="DI29" i="1"/>
  <c r="DG9" i="29" s="1"/>
  <c r="DH29" i="1"/>
  <c r="DF9" i="29" s="1"/>
  <c r="DK28" i="1"/>
  <c r="DI8" i="29" s="1"/>
  <c r="DH28" i="1"/>
  <c r="DF8" i="29" s="1"/>
  <c r="DK27" i="1"/>
  <c r="DH27" i="1"/>
  <c r="DR33" i="1"/>
  <c r="DP13" i="29" s="1"/>
  <c r="DQ33" i="1"/>
  <c r="DO13" i="29" s="1"/>
  <c r="DP33" i="1"/>
  <c r="DN13" i="29" s="1"/>
  <c r="DO33" i="1"/>
  <c r="DM13" i="29" s="1"/>
  <c r="DR32" i="1"/>
  <c r="DP12" i="29" s="1"/>
  <c r="DQ32" i="1"/>
  <c r="DO12" i="29" s="1"/>
  <c r="DP32" i="1"/>
  <c r="DN12" i="29" s="1"/>
  <c r="DO32" i="1"/>
  <c r="DM12" i="29" s="1"/>
  <c r="DR31" i="1"/>
  <c r="DP11" i="29" s="1"/>
  <c r="DQ31" i="1"/>
  <c r="DO11" i="29" s="1"/>
  <c r="DP31" i="1"/>
  <c r="DN11" i="29" s="1"/>
  <c r="DO31" i="1"/>
  <c r="DM11" i="29" s="1"/>
  <c r="DR30" i="1"/>
  <c r="DQ30" i="1"/>
  <c r="DP30" i="1"/>
  <c r="DO30" i="1"/>
  <c r="DR29" i="1"/>
  <c r="DP9" i="29" s="1"/>
  <c r="DQ29" i="1"/>
  <c r="DO9" i="29" s="1"/>
  <c r="DP29" i="1"/>
  <c r="DN9" i="29" s="1"/>
  <c r="DO29" i="1"/>
  <c r="DM9" i="29" s="1"/>
  <c r="DR28" i="1"/>
  <c r="DP8" i="29" s="1"/>
  <c r="DQ28" i="1"/>
  <c r="DO8" i="29" s="1"/>
  <c r="DO28" i="1"/>
  <c r="DM8" i="29" s="1"/>
  <c r="DR27" i="1"/>
  <c r="DQ27" i="1"/>
  <c r="DP27" i="1"/>
  <c r="DO27" i="1"/>
  <c r="DY33" i="1"/>
  <c r="DW13" i="29" s="1"/>
  <c r="DX33" i="1"/>
  <c r="DV13" i="29" s="1"/>
  <c r="DW33" i="1"/>
  <c r="DU13" i="29" s="1"/>
  <c r="DV33" i="1"/>
  <c r="DT13" i="29" s="1"/>
  <c r="EF33" i="1"/>
  <c r="ED13" i="29" s="1"/>
  <c r="ED33" i="1"/>
  <c r="EB13" i="29" s="1"/>
  <c r="EC33" i="1"/>
  <c r="EA13" i="29" s="1"/>
  <c r="EK33" i="1"/>
  <c r="EI13" i="29" s="1"/>
  <c r="EJ33" i="1"/>
  <c r="EH13" i="29" s="1"/>
  <c r="ER33" i="1"/>
  <c r="EP13" i="29" s="1"/>
  <c r="ET33" i="1"/>
  <c r="ER13" i="29" s="1"/>
  <c r="ES33" i="1"/>
  <c r="EQ13" i="29" s="1"/>
  <c r="EZ33" i="1"/>
  <c r="EX13" i="29" s="1"/>
  <c r="EY33" i="1"/>
  <c r="EW13" i="29" s="1"/>
  <c r="EX33" i="1"/>
  <c r="EV13" i="29" s="1"/>
  <c r="FT33" i="1"/>
  <c r="FR13" i="29" s="1"/>
  <c r="FO33" i="1"/>
  <c r="FM13" i="29" s="1"/>
  <c r="FN33" i="1"/>
  <c r="FL13" i="29" s="1"/>
  <c r="FM33" i="1"/>
  <c r="FK13" i="29" s="1"/>
  <c r="FL33" i="1"/>
  <c r="FJ13" i="29" s="1"/>
  <c r="FH33" i="1"/>
  <c r="FF13" i="29" s="1"/>
  <c r="FG33" i="1"/>
  <c r="FE13" i="29" s="1"/>
  <c r="FF33" i="1"/>
  <c r="FD13" i="29" s="1"/>
  <c r="FE33" i="1"/>
  <c r="FC13" i="29" s="1"/>
  <c r="FV33" i="1"/>
  <c r="FT13" i="29" s="1"/>
  <c r="FU33" i="1"/>
  <c r="FS13" i="29" s="1"/>
  <c r="FS33" i="1"/>
  <c r="FQ13" i="29" s="1"/>
  <c r="FZ33" i="1"/>
  <c r="GA33" i="1"/>
  <c r="GB33" i="1"/>
  <c r="GC33" i="1"/>
  <c r="L21" i="1"/>
  <c r="K21" i="1"/>
  <c r="J21" i="1"/>
  <c r="I21" i="1"/>
  <c r="H21" i="1"/>
  <c r="G21" i="1"/>
  <c r="F21" i="1"/>
  <c r="E21" i="1"/>
  <c r="D21" i="1"/>
  <c r="M21" i="1"/>
  <c r="JP21" i="1"/>
  <c r="JO21" i="1"/>
  <c r="JN21" i="1"/>
  <c r="JM21" i="1"/>
  <c r="JI21" i="1"/>
  <c r="JH21" i="1"/>
  <c r="JG21" i="1"/>
  <c r="JF21" i="1"/>
  <c r="JB21" i="1"/>
  <c r="JA21" i="1"/>
  <c r="IZ21" i="1"/>
  <c r="IY21" i="1"/>
  <c r="JT21" i="1"/>
  <c r="JV21" i="1"/>
  <c r="JW21" i="1"/>
  <c r="HF46" i="1" l="1"/>
  <c r="AH46" i="1" s="1"/>
  <c r="DP61" i="1"/>
  <c r="DP95" i="1" s="1"/>
  <c r="DP94" i="1" s="1"/>
  <c r="DP96" i="1" s="1"/>
  <c r="HQ155" i="29"/>
  <c r="IG5" i="1"/>
  <c r="CW5" i="5"/>
  <c r="EQ5" i="4"/>
  <c r="EQ65" i="4" s="1"/>
  <c r="ID111" i="30"/>
  <c r="ID334" i="30"/>
  <c r="ID65" i="30"/>
  <c r="ID5" i="30"/>
  <c r="ID166" i="30" s="1"/>
  <c r="ID76" i="29"/>
  <c r="ID3" i="29"/>
  <c r="ID155" i="29" s="1"/>
  <c r="ID17" i="29"/>
  <c r="IF18" i="1"/>
  <c r="IF76" i="1" s="1"/>
  <c r="IS5" i="1"/>
  <c r="DI5" i="5"/>
  <c r="FC5" i="4"/>
  <c r="FC65" i="4" s="1"/>
  <c r="IP111" i="30"/>
  <c r="IP334" i="30"/>
  <c r="IP5" i="30"/>
  <c r="IP166" i="30" s="1"/>
  <c r="IP65" i="30"/>
  <c r="IY5" i="1"/>
  <c r="IR18" i="1"/>
  <c r="IR76" i="1" s="1"/>
  <c r="IP3" i="29"/>
  <c r="DB159" i="5"/>
  <c r="DB72" i="5"/>
  <c r="EK5" i="4"/>
  <c r="EK65" i="4" s="1"/>
  <c r="CQ5" i="5"/>
  <c r="HX111" i="30"/>
  <c r="HX334" i="30"/>
  <c r="HX65" i="30"/>
  <c r="HX5" i="30"/>
  <c r="HX76" i="29"/>
  <c r="HX3" i="29"/>
  <c r="HX17" i="29"/>
  <c r="HZ18" i="1"/>
  <c r="HZ76" i="1" s="1"/>
  <c r="IM5" i="1"/>
  <c r="DC5" i="5"/>
  <c r="EW5" i="4"/>
  <c r="EW65" i="4" s="1"/>
  <c r="IJ111" i="30"/>
  <c r="IJ334" i="30"/>
  <c r="IJ5" i="30"/>
  <c r="IJ166" i="30" s="1"/>
  <c r="IJ65" i="30"/>
  <c r="IJ76" i="29"/>
  <c r="IJ17" i="29"/>
  <c r="IL18" i="1"/>
  <c r="IL76" i="1" s="1"/>
  <c r="IJ3" i="29"/>
  <c r="IJ155" i="29" s="1"/>
  <c r="II76" i="29"/>
  <c r="II155" i="29"/>
  <c r="II17" i="29"/>
  <c r="CJ159" i="5"/>
  <c r="CJ72" i="5"/>
  <c r="CV159" i="5"/>
  <c r="CV72" i="5"/>
  <c r="CP159" i="5"/>
  <c r="CP72" i="5"/>
  <c r="BP7" i="29"/>
  <c r="BP88" i="29"/>
  <c r="BP91" i="29"/>
  <c r="CT7" i="29"/>
  <c r="CT88" i="29"/>
  <c r="CT91" i="29"/>
  <c r="CT10" i="29"/>
  <c r="CT120" i="29"/>
  <c r="CT130" i="29"/>
  <c r="BQ7" i="29"/>
  <c r="BQ91" i="29"/>
  <c r="BQ88" i="29"/>
  <c r="BQ10" i="29"/>
  <c r="BQ130" i="29"/>
  <c r="BQ120" i="29"/>
  <c r="CU7" i="29"/>
  <c r="CU88" i="29"/>
  <c r="CU91" i="29"/>
  <c r="CU10" i="29"/>
  <c r="CU120" i="29"/>
  <c r="CU130" i="29"/>
  <c r="CK10" i="29"/>
  <c r="CK130" i="29"/>
  <c r="CK120" i="29"/>
  <c r="BR7" i="29"/>
  <c r="BR91" i="29"/>
  <c r="BR88" i="29"/>
  <c r="BR10" i="29"/>
  <c r="BR130" i="29"/>
  <c r="BR120" i="29"/>
  <c r="DM10" i="29"/>
  <c r="DM120" i="29"/>
  <c r="DM130" i="29"/>
  <c r="DF10" i="29"/>
  <c r="DF120" i="29"/>
  <c r="DF130" i="29"/>
  <c r="CK7" i="29"/>
  <c r="CK91" i="29"/>
  <c r="CK88" i="29"/>
  <c r="CL10" i="29"/>
  <c r="CL120" i="29"/>
  <c r="CL130" i="29"/>
  <c r="BS7" i="29"/>
  <c r="BS91" i="29"/>
  <c r="BS88" i="29"/>
  <c r="BS10" i="29"/>
  <c r="BS130" i="29"/>
  <c r="BS120" i="29"/>
  <c r="I7" i="29"/>
  <c r="I91" i="29"/>
  <c r="I92" i="29" s="1"/>
  <c r="I88" i="29"/>
  <c r="G7" i="29"/>
  <c r="G91" i="29"/>
  <c r="G92" i="29" s="1"/>
  <c r="G88" i="29"/>
  <c r="E7" i="29"/>
  <c r="E91" i="29"/>
  <c r="E92" i="29" s="1"/>
  <c r="E88" i="29"/>
  <c r="DM7" i="29"/>
  <c r="DM88" i="29"/>
  <c r="DM91" i="29"/>
  <c r="DN10" i="29"/>
  <c r="DN120" i="29"/>
  <c r="DN130" i="29"/>
  <c r="DG10" i="29"/>
  <c r="DG120" i="29"/>
  <c r="DG130" i="29"/>
  <c r="CM7" i="29"/>
  <c r="CM91" i="29"/>
  <c r="CM88" i="29"/>
  <c r="CM10" i="29"/>
  <c r="CM120" i="29"/>
  <c r="CM130" i="29"/>
  <c r="M7" i="29"/>
  <c r="M88" i="29"/>
  <c r="M91" i="29"/>
  <c r="M92" i="29" s="1"/>
  <c r="K7" i="29"/>
  <c r="K88" i="29"/>
  <c r="K91" i="29"/>
  <c r="K92" i="29" s="1"/>
  <c r="CS10" i="29"/>
  <c r="CS120" i="29"/>
  <c r="CS130" i="29"/>
  <c r="BP10" i="29"/>
  <c r="BP120" i="29"/>
  <c r="BP130" i="29"/>
  <c r="DN7" i="29"/>
  <c r="DN88" i="29"/>
  <c r="DN91" i="29"/>
  <c r="DO10" i="29"/>
  <c r="DO130" i="29"/>
  <c r="DO120" i="29"/>
  <c r="DH10" i="29"/>
  <c r="DH120" i="29"/>
  <c r="DH130" i="29"/>
  <c r="CN7" i="29"/>
  <c r="CN91" i="29"/>
  <c r="CN88" i="29"/>
  <c r="CN10" i="29"/>
  <c r="CN120" i="29"/>
  <c r="CN130" i="29"/>
  <c r="CD10" i="29"/>
  <c r="CD120" i="29"/>
  <c r="CD130" i="29"/>
  <c r="DO7" i="29"/>
  <c r="DO91" i="29"/>
  <c r="DO88" i="29"/>
  <c r="DP10" i="29"/>
  <c r="DP130" i="29"/>
  <c r="DP120" i="29"/>
  <c r="CY7" i="29"/>
  <c r="CY91" i="29"/>
  <c r="CY88" i="29"/>
  <c r="CD7" i="29"/>
  <c r="CD88" i="29"/>
  <c r="CD91" i="29"/>
  <c r="DF7" i="29"/>
  <c r="DF91" i="29"/>
  <c r="DF88" i="29"/>
  <c r="CZ7" i="29"/>
  <c r="CZ91" i="29"/>
  <c r="CZ88" i="29"/>
  <c r="CE7" i="29"/>
  <c r="CE88" i="29"/>
  <c r="CE91" i="29"/>
  <c r="CF10" i="29"/>
  <c r="CF120" i="29"/>
  <c r="CF130" i="29"/>
  <c r="CS7" i="29"/>
  <c r="CS88" i="29"/>
  <c r="CS91" i="29"/>
  <c r="DI10" i="29"/>
  <c r="DI120" i="29"/>
  <c r="DI130" i="29"/>
  <c r="CY10" i="29"/>
  <c r="CY130" i="29"/>
  <c r="CY120" i="29"/>
  <c r="CE10" i="29"/>
  <c r="CE120" i="29"/>
  <c r="CE130" i="29"/>
  <c r="DP7" i="29"/>
  <c r="DP91" i="29"/>
  <c r="DP88" i="29"/>
  <c r="CZ10" i="29"/>
  <c r="CZ130" i="29"/>
  <c r="CZ120" i="29"/>
  <c r="DI7" i="29"/>
  <c r="DI88" i="29"/>
  <c r="DI91" i="29"/>
  <c r="DA7" i="29"/>
  <c r="DA91" i="29"/>
  <c r="DA88" i="29"/>
  <c r="DA10" i="29"/>
  <c r="DA130" i="29"/>
  <c r="DA120" i="29"/>
  <c r="CF7" i="29"/>
  <c r="CF91" i="29"/>
  <c r="CF88" i="29"/>
  <c r="CG10" i="29"/>
  <c r="CG130" i="29"/>
  <c r="CG120" i="29"/>
  <c r="BW10" i="29"/>
  <c r="BW120" i="29"/>
  <c r="BW130" i="29"/>
  <c r="DB7" i="29"/>
  <c r="DB91" i="29"/>
  <c r="DB88" i="29"/>
  <c r="DB10" i="29"/>
  <c r="DB120" i="29"/>
  <c r="DB130" i="29"/>
  <c r="BX7" i="29"/>
  <c r="BX91" i="29"/>
  <c r="BX88" i="29"/>
  <c r="BX10" i="29"/>
  <c r="BX120" i="29"/>
  <c r="BX130" i="29"/>
  <c r="J7" i="29"/>
  <c r="J91" i="29"/>
  <c r="J92" i="29" s="1"/>
  <c r="J88" i="29"/>
  <c r="H7" i="29"/>
  <c r="H91" i="29"/>
  <c r="H92" i="29" s="1"/>
  <c r="H88" i="29"/>
  <c r="F7" i="29"/>
  <c r="F91" i="29"/>
  <c r="F92" i="29" s="1"/>
  <c r="F88" i="29"/>
  <c r="BY7" i="29"/>
  <c r="BY88" i="29"/>
  <c r="BY91" i="29"/>
  <c r="BY10" i="29"/>
  <c r="BY120" i="29"/>
  <c r="BY130" i="29"/>
  <c r="L7" i="29"/>
  <c r="L88" i="29"/>
  <c r="L91" i="29"/>
  <c r="L92" i="29" s="1"/>
  <c r="CR7" i="29"/>
  <c r="CR88" i="29"/>
  <c r="CR91" i="29"/>
  <c r="CR10" i="29"/>
  <c r="CR120" i="29"/>
  <c r="CR130" i="29"/>
  <c r="BZ7" i="29"/>
  <c r="BZ88" i="29"/>
  <c r="BZ91" i="29"/>
  <c r="BZ10" i="29"/>
  <c r="BZ120" i="29"/>
  <c r="BZ130" i="29"/>
  <c r="GA13" i="29"/>
  <c r="FZ13" i="29"/>
  <c r="FX13" i="29"/>
  <c r="D14" i="1"/>
  <c r="FY13" i="29"/>
  <c r="K14" i="1"/>
  <c r="J14" i="1"/>
  <c r="E14" i="1"/>
  <c r="F14" i="1"/>
  <c r="G14" i="1"/>
  <c r="H14" i="1"/>
  <c r="I14" i="1"/>
  <c r="L14" i="1"/>
  <c r="M14" i="1"/>
  <c r="I50" i="1"/>
  <c r="I65" i="1"/>
  <c r="K50" i="1"/>
  <c r="K65" i="1"/>
  <c r="L50" i="1"/>
  <c r="L65" i="1"/>
  <c r="C50" i="1"/>
  <c r="C65" i="1"/>
  <c r="E50" i="1"/>
  <c r="E65" i="1"/>
  <c r="HT46" i="1"/>
  <c r="AJ46" i="1" s="1"/>
  <c r="HM46" i="1"/>
  <c r="AI46" i="1" s="1"/>
  <c r="EG46" i="1"/>
  <c r="W46" i="1" s="1"/>
  <c r="FB46" i="1"/>
  <c r="Z46" i="1" s="1"/>
  <c r="G49" i="1"/>
  <c r="EU46" i="1"/>
  <c r="Y46" i="1" s="1"/>
  <c r="FP46" i="1"/>
  <c r="AB46" i="1" s="1"/>
  <c r="J49" i="1"/>
  <c r="K51" i="1" s="1"/>
  <c r="DZ46" i="1"/>
  <c r="V46" i="1" s="1"/>
  <c r="H50" i="1"/>
  <c r="E51" i="1"/>
  <c r="F50" i="1"/>
  <c r="F51" i="1"/>
  <c r="GK46" i="1"/>
  <c r="AE46" i="1" s="1"/>
  <c r="M49" i="1"/>
  <c r="CC33" i="1"/>
  <c r="BV32" i="1"/>
  <c r="GK38" i="1"/>
  <c r="AE38" i="1" s="1"/>
  <c r="I51" i="1"/>
  <c r="D50" i="1"/>
  <c r="L51" i="1"/>
  <c r="D51" i="1"/>
  <c r="IA46" i="1"/>
  <c r="AK46" i="1" s="1"/>
  <c r="GY46" i="1"/>
  <c r="AG46" i="1" s="1"/>
  <c r="EN46" i="1"/>
  <c r="X46" i="1" s="1"/>
  <c r="FW46" i="1"/>
  <c r="AC46" i="1" s="1"/>
  <c r="DL33" i="1"/>
  <c r="BZ23" i="1"/>
  <c r="BX96" i="29" s="1"/>
  <c r="CA23" i="1"/>
  <c r="BY96" i="29" s="1"/>
  <c r="BV33" i="1"/>
  <c r="DE27" i="1"/>
  <c r="CW23" i="1"/>
  <c r="CU96" i="29" s="1"/>
  <c r="DE30" i="1"/>
  <c r="DE33" i="1"/>
  <c r="CX32" i="1"/>
  <c r="CQ28" i="1"/>
  <c r="CQ31" i="1"/>
  <c r="CJ33" i="1"/>
  <c r="DS31" i="1"/>
  <c r="CX28" i="1"/>
  <c r="CQ30" i="1"/>
  <c r="CJ32" i="1"/>
  <c r="CC28" i="1"/>
  <c r="CC31" i="1"/>
  <c r="FP33" i="1"/>
  <c r="DE28" i="1"/>
  <c r="DE31" i="1"/>
  <c r="K33" i="1"/>
  <c r="K13" i="29" s="1"/>
  <c r="DB23" i="1"/>
  <c r="CZ96" i="29" s="1"/>
  <c r="L33" i="1"/>
  <c r="L13" i="29" s="1"/>
  <c r="DS30" i="1"/>
  <c r="DL29" i="1"/>
  <c r="M33" i="1"/>
  <c r="M13" i="29" s="1"/>
  <c r="I33" i="1"/>
  <c r="I13" i="29" s="1"/>
  <c r="E33" i="1"/>
  <c r="E13" i="29" s="1"/>
  <c r="CJ31" i="1"/>
  <c r="DL31" i="1"/>
  <c r="CX31" i="1"/>
  <c r="J33" i="1"/>
  <c r="J13" i="29" s="1"/>
  <c r="F33" i="1"/>
  <c r="F13" i="29" s="1"/>
  <c r="G33" i="1"/>
  <c r="G13" i="29" s="1"/>
  <c r="CH23" i="1"/>
  <c r="CF96" i="29" s="1"/>
  <c r="BV31" i="1"/>
  <c r="C33" i="1"/>
  <c r="C13" i="29" s="1"/>
  <c r="CC30" i="1"/>
  <c r="DO23" i="1"/>
  <c r="DM96" i="29" s="1"/>
  <c r="DA23" i="1"/>
  <c r="CY96" i="29" s="1"/>
  <c r="CJ29" i="1"/>
  <c r="BV29" i="1"/>
  <c r="H33" i="1"/>
  <c r="H13" i="29" s="1"/>
  <c r="D33" i="1"/>
  <c r="D13" i="29" s="1"/>
  <c r="CM23" i="1"/>
  <c r="CK96" i="29" s="1"/>
  <c r="CQ33" i="1"/>
  <c r="CX29" i="1"/>
  <c r="DL30" i="1"/>
  <c r="CB23" i="1"/>
  <c r="BZ96" i="29" s="1"/>
  <c r="BT23" i="1"/>
  <c r="BR96" i="29" s="1"/>
  <c r="DQ23" i="1"/>
  <c r="DO96" i="29" s="1"/>
  <c r="DS33" i="1"/>
  <c r="DC23" i="1"/>
  <c r="DA96" i="29" s="1"/>
  <c r="CQ29" i="1"/>
  <c r="CJ28" i="1"/>
  <c r="CC29" i="1"/>
  <c r="BV28" i="1"/>
  <c r="CC32" i="1"/>
  <c r="BU23" i="1"/>
  <c r="BS96" i="29" s="1"/>
  <c r="FW33" i="1"/>
  <c r="DR23" i="1"/>
  <c r="DP96" i="29" s="1"/>
  <c r="DL32" i="1"/>
  <c r="DD23" i="1"/>
  <c r="DB96" i="29" s="1"/>
  <c r="CQ32" i="1"/>
  <c r="DS32" i="1"/>
  <c r="DE32" i="1"/>
  <c r="CX30" i="1"/>
  <c r="DS29" i="1"/>
  <c r="DE29" i="1"/>
  <c r="CU23" i="1"/>
  <c r="CS96" i="29" s="1"/>
  <c r="CJ30" i="1"/>
  <c r="BR23" i="1"/>
  <c r="BP96" i="29" s="1"/>
  <c r="BV30" i="1"/>
  <c r="DK23" i="1"/>
  <c r="DI96" i="29" s="1"/>
  <c r="CX27" i="1"/>
  <c r="CV23" i="1"/>
  <c r="CT96" i="29" s="1"/>
  <c r="CX33" i="1"/>
  <c r="CG23" i="1"/>
  <c r="CE96" i="29" s="1"/>
  <c r="BS23" i="1"/>
  <c r="BQ96" i="29" s="1"/>
  <c r="BV27" i="1"/>
  <c r="CF23" i="1"/>
  <c r="CD96" i="29" s="1"/>
  <c r="CP23" i="1"/>
  <c r="CN96" i="29" s="1"/>
  <c r="CO23" i="1"/>
  <c r="CM96" i="29" s="1"/>
  <c r="CT23" i="1"/>
  <c r="CR96" i="29" s="1"/>
  <c r="DH23" i="1"/>
  <c r="DF96" i="29" s="1"/>
  <c r="DS27" i="1"/>
  <c r="HX166" i="30" l="1"/>
  <c r="CS5" i="29"/>
  <c r="DO61" i="1"/>
  <c r="DO95" i="1" s="1"/>
  <c r="DO94" i="1" s="1"/>
  <c r="DO96" i="1" s="1"/>
  <c r="CE5" i="29"/>
  <c r="BR5" i="29"/>
  <c r="CU5" i="29"/>
  <c r="HX155" i="29"/>
  <c r="CD5" i="29"/>
  <c r="CT5" i="29"/>
  <c r="CR5" i="29"/>
  <c r="BX5" i="29"/>
  <c r="DO5" i="29"/>
  <c r="DA5" i="29"/>
  <c r="BY5" i="29"/>
  <c r="CY5" i="29"/>
  <c r="BZ5" i="29"/>
  <c r="CF5" i="29"/>
  <c r="DI5" i="29"/>
  <c r="DP5" i="29"/>
  <c r="BP5" i="29"/>
  <c r="DM5" i="29"/>
  <c r="BQ5" i="29"/>
  <c r="IP155" i="29"/>
  <c r="IP76" i="29"/>
  <c r="IP17" i="29"/>
  <c r="DI72" i="5"/>
  <c r="DI159" i="5"/>
  <c r="IT5" i="1"/>
  <c r="DJ5" i="5"/>
  <c r="FD5" i="4"/>
  <c r="FD65" i="4" s="1"/>
  <c r="IQ334" i="30"/>
  <c r="IQ111" i="30"/>
  <c r="IQ5" i="30"/>
  <c r="IQ166" i="30" s="1"/>
  <c r="IQ65" i="30"/>
  <c r="IQ76" i="29"/>
  <c r="IQ17" i="29"/>
  <c r="IS18" i="1"/>
  <c r="IS76" i="1" s="1"/>
  <c r="IQ3" i="29"/>
  <c r="IQ155" i="29" s="1"/>
  <c r="DB5" i="29"/>
  <c r="CN5" i="29"/>
  <c r="CM5" i="29"/>
  <c r="BS5" i="29"/>
  <c r="CK5" i="29"/>
  <c r="DC72" i="5"/>
  <c r="DC159" i="5"/>
  <c r="IZ5" i="1"/>
  <c r="DP5" i="5"/>
  <c r="FJ5" i="4"/>
  <c r="FJ65" i="4" s="1"/>
  <c r="IW334" i="30"/>
  <c r="IW111" i="30"/>
  <c r="IW5" i="30"/>
  <c r="IW166" i="30" s="1"/>
  <c r="IW65" i="30"/>
  <c r="IY18" i="1"/>
  <c r="IY76" i="1" s="1"/>
  <c r="IW3" i="29"/>
  <c r="JF5" i="1"/>
  <c r="IN5" i="1"/>
  <c r="DD5" i="5"/>
  <c r="EX5" i="4"/>
  <c r="EX65" i="4" s="1"/>
  <c r="IK111" i="30"/>
  <c r="IK334" i="30"/>
  <c r="IK5" i="30"/>
  <c r="IK166" i="30" s="1"/>
  <c r="IK65" i="30"/>
  <c r="IK76" i="29"/>
  <c r="IK17" i="29"/>
  <c r="IM18" i="1"/>
  <c r="IM76" i="1" s="1"/>
  <c r="IK3" i="29"/>
  <c r="IK155" i="29" s="1"/>
  <c r="CW159" i="5"/>
  <c r="CW72" i="5"/>
  <c r="CQ159" i="5"/>
  <c r="CQ72" i="5"/>
  <c r="CX5" i="5"/>
  <c r="ER5" i="4"/>
  <c r="ER65" i="4" s="1"/>
  <c r="IE111" i="30"/>
  <c r="IE334" i="30"/>
  <c r="IE5" i="30"/>
  <c r="IE65" i="30"/>
  <c r="IE76" i="29"/>
  <c r="IE17" i="29"/>
  <c r="IG18" i="1"/>
  <c r="IG76" i="1" s="1"/>
  <c r="IE3" i="29"/>
  <c r="CZ5" i="29"/>
  <c r="DF5" i="29"/>
  <c r="CA120" i="29"/>
  <c r="O120" i="29" s="1"/>
  <c r="CA130" i="29"/>
  <c r="CV91" i="29"/>
  <c r="CV88" i="29"/>
  <c r="R88" i="29" s="1"/>
  <c r="BT120" i="29"/>
  <c r="N120" i="29" s="1"/>
  <c r="BT130" i="29"/>
  <c r="DJ120" i="29"/>
  <c r="T120" i="29" s="1"/>
  <c r="DJ130" i="29"/>
  <c r="DQ130" i="29"/>
  <c r="DQ120" i="29"/>
  <c r="U120" i="29" s="1"/>
  <c r="CH130" i="29"/>
  <c r="CH120" i="29"/>
  <c r="P120" i="29" s="1"/>
  <c r="CO120" i="29"/>
  <c r="Q120" i="29" s="1"/>
  <c r="CO130" i="29"/>
  <c r="BT91" i="29"/>
  <c r="BT88" i="29"/>
  <c r="N88" i="29" s="1"/>
  <c r="DQ91" i="29"/>
  <c r="DQ88" i="29"/>
  <c r="U88" i="29" s="1"/>
  <c r="CV120" i="29"/>
  <c r="R120" i="29" s="1"/>
  <c r="CV130" i="29"/>
  <c r="DC120" i="29"/>
  <c r="S120" i="29" s="1"/>
  <c r="DC130" i="29"/>
  <c r="DC91" i="29"/>
  <c r="DC88" i="29"/>
  <c r="S88" i="29" s="1"/>
  <c r="P33" i="1"/>
  <c r="P13" i="29" s="1"/>
  <c r="CH13" i="29"/>
  <c r="N30" i="1"/>
  <c r="N10" i="29" s="1"/>
  <c r="BT10" i="29"/>
  <c r="AC33" i="1"/>
  <c r="AC13" i="29" s="1"/>
  <c r="FU13" i="29"/>
  <c r="T30" i="1"/>
  <c r="T10" i="29" s="1"/>
  <c r="DJ10" i="29"/>
  <c r="N31" i="1"/>
  <c r="N11" i="29" s="1"/>
  <c r="BT11" i="29"/>
  <c r="U30" i="1"/>
  <c r="U10" i="29" s="1"/>
  <c r="DQ10" i="29"/>
  <c r="U31" i="1"/>
  <c r="U11" i="29" s="1"/>
  <c r="DQ11" i="29"/>
  <c r="T33" i="1"/>
  <c r="T13" i="29" s="1"/>
  <c r="DJ13" i="29"/>
  <c r="O32" i="1"/>
  <c r="O12" i="29" s="1"/>
  <c r="CA12" i="29"/>
  <c r="Q33" i="1"/>
  <c r="Q13" i="29" s="1"/>
  <c r="CO13" i="29"/>
  <c r="Q31" i="1"/>
  <c r="Q11" i="29" s="1"/>
  <c r="CO11" i="29"/>
  <c r="R29" i="1"/>
  <c r="R9" i="29" s="1"/>
  <c r="CV9" i="29"/>
  <c r="Q28" i="1"/>
  <c r="Q8" i="29" s="1"/>
  <c r="CO8" i="29"/>
  <c r="S31" i="1"/>
  <c r="S11" i="29" s="1"/>
  <c r="DC11" i="29"/>
  <c r="R32" i="1"/>
  <c r="R12" i="29" s="1"/>
  <c r="CV12" i="29"/>
  <c r="N28" i="1"/>
  <c r="N8" i="29" s="1"/>
  <c r="BT8" i="29"/>
  <c r="R30" i="1"/>
  <c r="R10" i="29" s="1"/>
  <c r="CV10" i="29"/>
  <c r="P28" i="1"/>
  <c r="P8" i="29" s="1"/>
  <c r="CH8" i="29"/>
  <c r="R31" i="1"/>
  <c r="R11" i="29" s="1"/>
  <c r="CV11" i="29"/>
  <c r="S28" i="1"/>
  <c r="S8" i="29" s="1"/>
  <c r="DC8" i="29"/>
  <c r="S33" i="1"/>
  <c r="S13" i="29" s="1"/>
  <c r="DC13" i="29"/>
  <c r="S29" i="1"/>
  <c r="S9" i="29" s="1"/>
  <c r="DC9" i="29"/>
  <c r="O29" i="1"/>
  <c r="O9" i="29" s="1"/>
  <c r="CA9" i="29"/>
  <c r="S32" i="1"/>
  <c r="S12" i="29" s="1"/>
  <c r="DC12" i="29"/>
  <c r="Q29" i="1"/>
  <c r="Q9" i="29" s="1"/>
  <c r="CO9" i="29"/>
  <c r="N29" i="1"/>
  <c r="N9" i="29" s="1"/>
  <c r="BT9" i="29"/>
  <c r="T31" i="1"/>
  <c r="T11" i="29" s="1"/>
  <c r="DJ11" i="29"/>
  <c r="AB33" i="1"/>
  <c r="AB13" i="29" s="1"/>
  <c r="FN13" i="29"/>
  <c r="S30" i="1"/>
  <c r="S10" i="29" s="1"/>
  <c r="DC10" i="29"/>
  <c r="N27" i="1"/>
  <c r="N7" i="29" s="1"/>
  <c r="BT7" i="29"/>
  <c r="U29" i="1"/>
  <c r="U9" i="29" s="1"/>
  <c r="DQ9" i="29"/>
  <c r="R33" i="1"/>
  <c r="R13" i="29" s="1"/>
  <c r="CV13" i="29"/>
  <c r="U32" i="1"/>
  <c r="U12" i="29" s="1"/>
  <c r="DQ12" i="29"/>
  <c r="P29" i="1"/>
  <c r="P9" i="29" s="1"/>
  <c r="CH9" i="29"/>
  <c r="P31" i="1"/>
  <c r="P11" i="29" s="1"/>
  <c r="CH11" i="29"/>
  <c r="O31" i="1"/>
  <c r="O11" i="29" s="1"/>
  <c r="CA11" i="29"/>
  <c r="P30" i="1"/>
  <c r="P10" i="29" s="1"/>
  <c r="CH10" i="29"/>
  <c r="O28" i="1"/>
  <c r="O8" i="29" s="1"/>
  <c r="CA8" i="29"/>
  <c r="S27" i="1"/>
  <c r="S7" i="29" s="1"/>
  <c r="DC7" i="29"/>
  <c r="U33" i="1"/>
  <c r="U13" i="29" s="1"/>
  <c r="DQ13" i="29"/>
  <c r="R27" i="1"/>
  <c r="R7" i="29" s="1"/>
  <c r="CV7" i="29"/>
  <c r="P32" i="1"/>
  <c r="P12" i="29" s="1"/>
  <c r="CH12" i="29"/>
  <c r="N33" i="1"/>
  <c r="N13" i="29" s="1"/>
  <c r="BT13" i="29"/>
  <c r="Q32" i="1"/>
  <c r="Q12" i="29" s="1"/>
  <c r="CO12" i="29"/>
  <c r="U27" i="1"/>
  <c r="U7" i="29" s="1"/>
  <c r="DQ7" i="29"/>
  <c r="T32" i="1"/>
  <c r="T12" i="29" s="1"/>
  <c r="DJ12" i="29"/>
  <c r="O30" i="1"/>
  <c r="O10" i="29" s="1"/>
  <c r="CA10" i="29"/>
  <c r="Q30" i="1"/>
  <c r="Q10" i="29" s="1"/>
  <c r="CO10" i="29"/>
  <c r="N32" i="1"/>
  <c r="N12" i="29" s="1"/>
  <c r="BT12" i="29"/>
  <c r="T29" i="1"/>
  <c r="T9" i="29" s="1"/>
  <c r="DJ9" i="29"/>
  <c r="R28" i="1"/>
  <c r="R8" i="29" s="1"/>
  <c r="CV8" i="29"/>
  <c r="O33" i="1"/>
  <c r="O13" i="29" s="1"/>
  <c r="CA13" i="29"/>
  <c r="J51" i="1"/>
  <c r="M50" i="1"/>
  <c r="M65" i="1"/>
  <c r="J50" i="1"/>
  <c r="J65" i="1"/>
  <c r="G50" i="1"/>
  <c r="G65" i="1"/>
  <c r="G51" i="1"/>
  <c r="H51" i="1"/>
  <c r="M51" i="1"/>
  <c r="CH25" i="1"/>
  <c r="BZ25" i="1"/>
  <c r="CX23" i="1"/>
  <c r="DE23" i="1"/>
  <c r="BV23" i="1"/>
  <c r="CV25" i="1"/>
  <c r="CA25" i="1"/>
  <c r="DA25" i="1"/>
  <c r="DR25" i="1"/>
  <c r="CM25" i="1"/>
  <c r="DH25" i="1"/>
  <c r="CG25" i="1"/>
  <c r="CB25" i="1"/>
  <c r="CT25" i="1"/>
  <c r="DC25" i="1"/>
  <c r="DO25" i="1"/>
  <c r="CO25" i="1"/>
  <c r="DK25" i="1"/>
  <c r="CW25" i="1"/>
  <c r="DB25" i="1"/>
  <c r="DD25" i="1"/>
  <c r="IE166" i="30" l="1"/>
  <c r="DL61" i="1"/>
  <c r="DL95" i="1" s="1"/>
  <c r="DL94" i="1" s="1"/>
  <c r="DL96" i="1" s="1"/>
  <c r="IE155" i="29"/>
  <c r="CX72" i="5"/>
  <c r="CX159" i="5"/>
  <c r="JG5" i="1"/>
  <c r="DW5" i="5"/>
  <c r="FQ5" i="4"/>
  <c r="FQ65" i="4" s="1"/>
  <c r="JD334" i="30"/>
  <c r="JD111" i="30"/>
  <c r="JD65" i="30"/>
  <c r="JD5" i="30"/>
  <c r="JD166" i="30" s="1"/>
  <c r="JD3" i="29"/>
  <c r="JM5" i="1"/>
  <c r="JF18" i="1"/>
  <c r="JF76" i="1" s="1"/>
  <c r="DP159" i="5"/>
  <c r="DP72" i="5"/>
  <c r="IW155" i="29"/>
  <c r="IW76" i="29"/>
  <c r="IW17" i="29"/>
  <c r="JA5" i="1"/>
  <c r="DQ5" i="5"/>
  <c r="FK5" i="4"/>
  <c r="FK65" i="4" s="1"/>
  <c r="IX334" i="30"/>
  <c r="IX111" i="30"/>
  <c r="IX65" i="30"/>
  <c r="IX5" i="30"/>
  <c r="IX166" i="30" s="1"/>
  <c r="IX76" i="29"/>
  <c r="IZ18" i="1"/>
  <c r="IZ76" i="1" s="1"/>
  <c r="IX3" i="29"/>
  <c r="IX155" i="29" s="1"/>
  <c r="IX17" i="29"/>
  <c r="DJ159" i="5"/>
  <c r="DJ72" i="5"/>
  <c r="IU5" i="1"/>
  <c r="DK5" i="5"/>
  <c r="FE5" i="4"/>
  <c r="FE65" i="4" s="1"/>
  <c r="IR334" i="30"/>
  <c r="IR111" i="30"/>
  <c r="IR5" i="30"/>
  <c r="IR166" i="30" s="1"/>
  <c r="IR65" i="30"/>
  <c r="IR76" i="29"/>
  <c r="IR17" i="29"/>
  <c r="IT18" i="1"/>
  <c r="IT76" i="1" s="1"/>
  <c r="IR3" i="29"/>
  <c r="IR155" i="29" s="1"/>
  <c r="DD72" i="5"/>
  <c r="DD159" i="5"/>
  <c r="DE5" i="5"/>
  <c r="EY5" i="4"/>
  <c r="EY65" i="4" s="1"/>
  <c r="IL334" i="30"/>
  <c r="IL111" i="30"/>
  <c r="IL5" i="30"/>
  <c r="IL65" i="30"/>
  <c r="IL76" i="29"/>
  <c r="IL17" i="29"/>
  <c r="IN18" i="1"/>
  <c r="IN76" i="1" s="1"/>
  <c r="IL3" i="29"/>
  <c r="IL155" i="29" s="1"/>
  <c r="N23" i="1"/>
  <c r="BT96" i="29"/>
  <c r="N96" i="29" s="1"/>
  <c r="S91" i="29"/>
  <c r="U130" i="29"/>
  <c r="S23" i="1"/>
  <c r="DC96" i="29"/>
  <c r="S96" i="29" s="1"/>
  <c r="N91" i="29"/>
  <c r="P130" i="29"/>
  <c r="R23" i="1"/>
  <c r="CV96" i="29"/>
  <c r="R96" i="29" s="1"/>
  <c r="S130" i="29"/>
  <c r="T130" i="29"/>
  <c r="Q130" i="29"/>
  <c r="N130" i="29"/>
  <c r="R130" i="29"/>
  <c r="R91" i="29"/>
  <c r="O130" i="29"/>
  <c r="U91" i="29"/>
  <c r="DC5" i="29"/>
  <c r="S5" i="29" s="1"/>
  <c r="BT5" i="29"/>
  <c r="CV5" i="29"/>
  <c r="BV25" i="1"/>
  <c r="N25" i="1" s="1"/>
  <c r="DE25" i="1"/>
  <c r="S25" i="1" s="1"/>
  <c r="IL166" i="30" l="1"/>
  <c r="T61" i="1"/>
  <c r="DK61" i="1"/>
  <c r="DK95" i="1" s="1"/>
  <c r="DK94" i="1" s="1"/>
  <c r="DK96" i="1" s="1"/>
  <c r="DK159" i="5"/>
  <c r="DK72" i="5"/>
  <c r="DL5" i="5"/>
  <c r="FF5" i="4"/>
  <c r="FF65" i="4" s="1"/>
  <c r="IS334" i="30"/>
  <c r="IS111" i="30"/>
  <c r="IS65" i="30"/>
  <c r="IS5" i="30"/>
  <c r="IS166" i="30" s="1"/>
  <c r="IS76" i="29"/>
  <c r="IU18" i="1"/>
  <c r="IU76" i="1" s="1"/>
  <c r="IS3" i="29"/>
  <c r="IS155" i="29" s="1"/>
  <c r="IS17" i="29"/>
  <c r="DE159" i="5"/>
  <c r="DE72" i="5"/>
  <c r="DW159" i="5"/>
  <c r="DW72" i="5"/>
  <c r="DQ159" i="5"/>
  <c r="DQ72" i="5"/>
  <c r="JN5" i="1"/>
  <c r="ED5" i="5"/>
  <c r="FX5" i="4"/>
  <c r="FX65" i="4" s="1"/>
  <c r="JK334" i="30"/>
  <c r="JK111" i="30"/>
  <c r="JK65" i="30"/>
  <c r="JK5" i="30"/>
  <c r="JK166" i="30" s="1"/>
  <c r="JK3" i="29"/>
  <c r="JT5" i="1"/>
  <c r="JM18" i="1"/>
  <c r="JM76" i="1" s="1"/>
  <c r="JH5" i="1"/>
  <c r="DX5" i="5"/>
  <c r="FR5" i="4"/>
  <c r="FR65" i="4" s="1"/>
  <c r="JE334" i="30"/>
  <c r="JE111" i="30"/>
  <c r="JE65" i="30"/>
  <c r="JE5" i="30"/>
  <c r="JE166" i="30" s="1"/>
  <c r="JE76" i="29"/>
  <c r="JE3" i="29"/>
  <c r="JE155" i="29" s="1"/>
  <c r="JE17" i="29"/>
  <c r="JG18" i="1"/>
  <c r="JG76" i="1" s="1"/>
  <c r="JB5" i="1"/>
  <c r="FL5" i="4"/>
  <c r="FL65" i="4" s="1"/>
  <c r="DR5" i="5"/>
  <c r="IY334" i="30"/>
  <c r="IY111" i="30"/>
  <c r="IY65" i="30"/>
  <c r="IY5" i="30"/>
  <c r="IY166" i="30" s="1"/>
  <c r="IY76" i="29"/>
  <c r="IY3" i="29"/>
  <c r="IY155" i="29" s="1"/>
  <c r="IY17" i="29"/>
  <c r="JA18" i="1"/>
  <c r="JA76" i="1" s="1"/>
  <c r="JD155" i="29"/>
  <c r="JD76" i="29"/>
  <c r="JD17" i="29"/>
  <c r="R5" i="29"/>
  <c r="N5" i="29"/>
  <c r="DJ61" i="1" l="1"/>
  <c r="DJ95" i="1" s="1"/>
  <c r="DJ94" i="1" s="1"/>
  <c r="DJ96" i="1" s="1"/>
  <c r="DR159" i="5"/>
  <c r="DR72" i="5"/>
  <c r="FM5" i="4"/>
  <c r="FM65" i="4" s="1"/>
  <c r="DS5" i="5"/>
  <c r="IZ334" i="30"/>
  <c r="IZ111" i="30"/>
  <c r="IZ65" i="30"/>
  <c r="IZ5" i="30"/>
  <c r="IZ166" i="30" s="1"/>
  <c r="IZ76" i="29"/>
  <c r="IZ3" i="29"/>
  <c r="IZ155" i="29" s="1"/>
  <c r="IZ17" i="29"/>
  <c r="JB18" i="1"/>
  <c r="JB76" i="1" s="1"/>
  <c r="DX159" i="5"/>
  <c r="DX72" i="5"/>
  <c r="JI5" i="1"/>
  <c r="DY5" i="5"/>
  <c r="FS5" i="4"/>
  <c r="FS65" i="4" s="1"/>
  <c r="JF334" i="30"/>
  <c r="JF111" i="30"/>
  <c r="JF65" i="30"/>
  <c r="JF5" i="30"/>
  <c r="JF166" i="30" s="1"/>
  <c r="JF76" i="29"/>
  <c r="JF3" i="29"/>
  <c r="JF155" i="29" s="1"/>
  <c r="JF17" i="29"/>
  <c r="JH18" i="1"/>
  <c r="JH76" i="1" s="1"/>
  <c r="ED159" i="5"/>
  <c r="ED72" i="5"/>
  <c r="JU5" i="1"/>
  <c r="EK5" i="5"/>
  <c r="GE5" i="4"/>
  <c r="GE65" i="4" s="1"/>
  <c r="JR111" i="30"/>
  <c r="JR334" i="30"/>
  <c r="JR5" i="30"/>
  <c r="JR166" i="30" s="1"/>
  <c r="JR65" i="30"/>
  <c r="KA5" i="1"/>
  <c r="JT18" i="1"/>
  <c r="JT76" i="1" s="1"/>
  <c r="JR3" i="29"/>
  <c r="JO5" i="1"/>
  <c r="EE5" i="5"/>
  <c r="FY5" i="4"/>
  <c r="FY65" i="4" s="1"/>
  <c r="JL111" i="30"/>
  <c r="JL334" i="30"/>
  <c r="JL5" i="30"/>
  <c r="JL166" i="30" s="1"/>
  <c r="JL65" i="30"/>
  <c r="JL76" i="29"/>
  <c r="JL17" i="29"/>
  <c r="JN18" i="1"/>
  <c r="JN76" i="1" s="1"/>
  <c r="JL3" i="29"/>
  <c r="JL155" i="29" s="1"/>
  <c r="DL159" i="5"/>
  <c r="DL72" i="5"/>
  <c r="JK76" i="29"/>
  <c r="JK155" i="29"/>
  <c r="JK17" i="29"/>
  <c r="DI61" i="1" l="1"/>
  <c r="DI95" i="1" s="1"/>
  <c r="DI94" i="1" s="1"/>
  <c r="DI96" i="1" s="1"/>
  <c r="JP5" i="1"/>
  <c r="EF5" i="5"/>
  <c r="FZ5" i="4"/>
  <c r="FZ65" i="4" s="1"/>
  <c r="JM111" i="30"/>
  <c r="JM334" i="30"/>
  <c r="JM5" i="30"/>
  <c r="JM166" i="30" s="1"/>
  <c r="JM65" i="30"/>
  <c r="JM76" i="29"/>
  <c r="JM17" i="29"/>
  <c r="JO18" i="1"/>
  <c r="JO76" i="1" s="1"/>
  <c r="JM3" i="29"/>
  <c r="JM155" i="29" s="1"/>
  <c r="DY159" i="5"/>
  <c r="DY72" i="5"/>
  <c r="EE72" i="5"/>
  <c r="EE159" i="5"/>
  <c r="DZ5" i="5"/>
  <c r="FT5" i="4"/>
  <c r="FT65" i="4" s="1"/>
  <c r="JG334" i="30"/>
  <c r="JG111" i="30"/>
  <c r="JG5" i="30"/>
  <c r="JG166" i="30" s="1"/>
  <c r="JG65" i="30"/>
  <c r="JG76" i="29"/>
  <c r="JG17" i="29"/>
  <c r="JI18" i="1"/>
  <c r="JI76" i="1" s="1"/>
  <c r="JG3" i="29"/>
  <c r="JG155" i="29" s="1"/>
  <c r="EK72" i="5"/>
  <c r="EK159" i="5"/>
  <c r="JR155" i="29"/>
  <c r="JR76" i="29"/>
  <c r="JR17" i="29"/>
  <c r="JV5" i="1"/>
  <c r="EL5" i="5"/>
  <c r="GF5" i="4"/>
  <c r="GF65" i="4" s="1"/>
  <c r="JS334" i="30"/>
  <c r="JS111" i="30"/>
  <c r="JS5" i="30"/>
  <c r="JS166" i="30" s="1"/>
  <c r="JS65" i="30"/>
  <c r="JS76" i="29"/>
  <c r="JS17" i="29"/>
  <c r="JU18" i="1"/>
  <c r="JU76" i="1" s="1"/>
  <c r="JS3" i="29"/>
  <c r="JS155" i="29" s="1"/>
  <c r="DS159" i="5"/>
  <c r="DS72" i="5"/>
  <c r="KB5" i="1"/>
  <c r="ER5" i="5"/>
  <c r="GL5" i="4"/>
  <c r="GL65" i="4" s="1"/>
  <c r="JY65" i="30"/>
  <c r="JY334" i="30"/>
  <c r="JY111" i="30"/>
  <c r="JY5" i="30"/>
  <c r="JY166" i="30" s="1"/>
  <c r="KA18" i="1"/>
  <c r="KA76" i="1" s="1"/>
  <c r="KH5" i="1"/>
  <c r="JY3" i="29"/>
  <c r="DH61" i="1" l="1"/>
  <c r="DH95" i="1" s="1"/>
  <c r="DH94" i="1" s="1"/>
  <c r="DH96" i="1" s="1"/>
  <c r="EL159" i="5"/>
  <c r="EL72" i="5"/>
  <c r="DZ72" i="5"/>
  <c r="DZ159" i="5"/>
  <c r="JW5" i="1"/>
  <c r="EM5" i="5"/>
  <c r="GG5" i="4"/>
  <c r="GG65" i="4" s="1"/>
  <c r="JT334" i="30"/>
  <c r="JT65" i="30"/>
  <c r="JT111" i="30"/>
  <c r="JT5" i="30"/>
  <c r="JT166" i="30" s="1"/>
  <c r="JT76" i="29"/>
  <c r="JT17" i="29"/>
  <c r="JV18" i="1"/>
  <c r="JV76" i="1" s="1"/>
  <c r="JT3" i="29"/>
  <c r="JT155" i="29" s="1"/>
  <c r="JY155" i="29"/>
  <c r="JY76" i="29"/>
  <c r="JY17" i="29"/>
  <c r="ER159" i="5"/>
  <c r="ER72" i="5"/>
  <c r="KC5" i="1"/>
  <c r="ES5" i="5"/>
  <c r="GM5" i="4"/>
  <c r="GM65" i="4" s="1"/>
  <c r="JZ334" i="30"/>
  <c r="JZ65" i="30"/>
  <c r="JZ111" i="30"/>
  <c r="JZ5" i="30"/>
  <c r="JZ166" i="30" s="1"/>
  <c r="JZ76" i="29"/>
  <c r="KB18" i="1"/>
  <c r="KB76" i="1" s="1"/>
  <c r="JZ3" i="29"/>
  <c r="JZ155" i="29" s="1"/>
  <c r="JZ17" i="29"/>
  <c r="KI5" i="1"/>
  <c r="GS5" i="4"/>
  <c r="GS65" i="4" s="1"/>
  <c r="KF334" i="30"/>
  <c r="EY5" i="5"/>
  <c r="KF111" i="30"/>
  <c r="KF65" i="30"/>
  <c r="KF5" i="30"/>
  <c r="KF166" i="30" s="1"/>
  <c r="KF3" i="29"/>
  <c r="KO5" i="1"/>
  <c r="KH18" i="1"/>
  <c r="KH76" i="1" s="1"/>
  <c r="EF72" i="5"/>
  <c r="EF159" i="5"/>
  <c r="EG5" i="5"/>
  <c r="GA5" i="4"/>
  <c r="GA65" i="4" s="1"/>
  <c r="JN334" i="30"/>
  <c r="JN111" i="30"/>
  <c r="JN5" i="30"/>
  <c r="JN166" i="30" s="1"/>
  <c r="JN65" i="30"/>
  <c r="JN76" i="29"/>
  <c r="JN17" i="29"/>
  <c r="JP18" i="1"/>
  <c r="JP76" i="1" s="1"/>
  <c r="JN3" i="29"/>
  <c r="JN155" i="29" s="1"/>
  <c r="DE61" i="1" l="1"/>
  <c r="DE95" i="1" s="1"/>
  <c r="DE94" i="1" s="1"/>
  <c r="DE96" i="1" s="1"/>
  <c r="KJ5" i="1"/>
  <c r="EZ5" i="5"/>
  <c r="GT5" i="4"/>
  <c r="GT65" i="4" s="1"/>
  <c r="KG334" i="30"/>
  <c r="KG111" i="30"/>
  <c r="KG65" i="30"/>
  <c r="KG5" i="30"/>
  <c r="KG166" i="30" s="1"/>
  <c r="KG76" i="29"/>
  <c r="KG3" i="29"/>
  <c r="KG155" i="29" s="1"/>
  <c r="KG17" i="29"/>
  <c r="KI18" i="1"/>
  <c r="KI76" i="1" s="1"/>
  <c r="KF155" i="29"/>
  <c r="KF76" i="29"/>
  <c r="KF17" i="29"/>
  <c r="KP5" i="1"/>
  <c r="FF5" i="5"/>
  <c r="GZ5" i="4"/>
  <c r="GZ65" i="4" s="1"/>
  <c r="KM334" i="30"/>
  <c r="KM111" i="30"/>
  <c r="KM65" i="30"/>
  <c r="KM5" i="30"/>
  <c r="KM166" i="30" s="1"/>
  <c r="KM3" i="29"/>
  <c r="KV5" i="1"/>
  <c r="KO18" i="1"/>
  <c r="KO76" i="1" s="1"/>
  <c r="ES159" i="5"/>
  <c r="ES72" i="5"/>
  <c r="EM159" i="5"/>
  <c r="EM72" i="5"/>
  <c r="KD5" i="1"/>
  <c r="ET5" i="5"/>
  <c r="GN5" i="4"/>
  <c r="GN65" i="4" s="1"/>
  <c r="KA334" i="30"/>
  <c r="KA111" i="30"/>
  <c r="KA65" i="30"/>
  <c r="KA5" i="30"/>
  <c r="KA166" i="30" s="1"/>
  <c r="KA76" i="29"/>
  <c r="KA3" i="29"/>
  <c r="KA155" i="29" s="1"/>
  <c r="KA17" i="29"/>
  <c r="KC18" i="1"/>
  <c r="KC76" i="1" s="1"/>
  <c r="EN5" i="5"/>
  <c r="GH5" i="4"/>
  <c r="GH65" i="4" s="1"/>
  <c r="JU334" i="30"/>
  <c r="JU65" i="30"/>
  <c r="JU111" i="30"/>
  <c r="JU5" i="30"/>
  <c r="JU166" i="30" s="1"/>
  <c r="JU76" i="29"/>
  <c r="JW18" i="1"/>
  <c r="JW76" i="1" s="1"/>
  <c r="JU3" i="29"/>
  <c r="JU155" i="29" s="1"/>
  <c r="JU17" i="29"/>
  <c r="EG159" i="5"/>
  <c r="EG72" i="5"/>
  <c r="EY159" i="5"/>
  <c r="EY72" i="5"/>
  <c r="S61" i="1" l="1"/>
  <c r="DD61" i="1"/>
  <c r="DD95" i="1" s="1"/>
  <c r="DD94" i="1" s="1"/>
  <c r="DD96" i="1" s="1"/>
  <c r="FF159" i="5"/>
  <c r="FF72" i="5"/>
  <c r="FM5" i="5"/>
  <c r="HG5" i="4"/>
  <c r="HG65" i="4" s="1"/>
  <c r="KT334" i="30"/>
  <c r="KT111" i="30"/>
  <c r="KT65" i="30"/>
  <c r="KT5" i="30"/>
  <c r="KT166" i="30" s="1"/>
  <c r="LC5" i="1"/>
  <c r="KW5" i="1"/>
  <c r="KV18" i="1"/>
  <c r="KV76" i="1" s="1"/>
  <c r="KT3" i="29"/>
  <c r="KQ5" i="1"/>
  <c r="FG5" i="5"/>
  <c r="HA5" i="4"/>
  <c r="HA65" i="4" s="1"/>
  <c r="KN334" i="30"/>
  <c r="KN111" i="30"/>
  <c r="KN65" i="30"/>
  <c r="KN5" i="30"/>
  <c r="KN166" i="30" s="1"/>
  <c r="KN76" i="29"/>
  <c r="KN17" i="29"/>
  <c r="KP18" i="1"/>
  <c r="KP76" i="1" s="1"/>
  <c r="KN3" i="29"/>
  <c r="KN155" i="29" s="1"/>
  <c r="EN159" i="5"/>
  <c r="EN72" i="5"/>
  <c r="ET159" i="5"/>
  <c r="ET72" i="5"/>
  <c r="KM155" i="29"/>
  <c r="KM76" i="29"/>
  <c r="KM17" i="29"/>
  <c r="EU5" i="5"/>
  <c r="GO5" i="4"/>
  <c r="GO65" i="4" s="1"/>
  <c r="KB334" i="30"/>
  <c r="KB111" i="30"/>
  <c r="KB65" i="30"/>
  <c r="KB5" i="30"/>
  <c r="KB166" i="30" s="1"/>
  <c r="KB76" i="29"/>
  <c r="KB3" i="29"/>
  <c r="KB155" i="29" s="1"/>
  <c r="KB17" i="29"/>
  <c r="KD18" i="1"/>
  <c r="KD76" i="1" s="1"/>
  <c r="EZ159" i="5"/>
  <c r="EZ72" i="5"/>
  <c r="KK5" i="1"/>
  <c r="FA5" i="5"/>
  <c r="GU5" i="4"/>
  <c r="GU65" i="4" s="1"/>
  <c r="KH334" i="30"/>
  <c r="KH111" i="30"/>
  <c r="KH5" i="30"/>
  <c r="KH166" i="30" s="1"/>
  <c r="KH65" i="30"/>
  <c r="KH76" i="29"/>
  <c r="KH3" i="29"/>
  <c r="KH155" i="29" s="1"/>
  <c r="KH17" i="29"/>
  <c r="KJ18" i="1"/>
  <c r="KJ76" i="1" s="1"/>
  <c r="DC61" i="1" l="1"/>
  <c r="DC95" i="1" s="1"/>
  <c r="DC94" i="1" s="1"/>
  <c r="DC96" i="1" s="1"/>
  <c r="EU159" i="5"/>
  <c r="EU72" i="5"/>
  <c r="FG72" i="5"/>
  <c r="FG159" i="5"/>
  <c r="KR5" i="1"/>
  <c r="FH5" i="5"/>
  <c r="HB5" i="4"/>
  <c r="HB65" i="4" s="1"/>
  <c r="KO334" i="30"/>
  <c r="KO111" i="30"/>
  <c r="KO65" i="30"/>
  <c r="KO5" i="30"/>
  <c r="KO166" i="30" s="1"/>
  <c r="KO76" i="29"/>
  <c r="KO17" i="29"/>
  <c r="KQ18" i="1"/>
  <c r="KQ76" i="1" s="1"/>
  <c r="KO3" i="29"/>
  <c r="KO155" i="29" s="1"/>
  <c r="FA159" i="5"/>
  <c r="FA72" i="5"/>
  <c r="KT76" i="29"/>
  <c r="KT17" i="29"/>
  <c r="KT155" i="29"/>
  <c r="FB5" i="5"/>
  <c r="GV5" i="4"/>
  <c r="GV65" i="4" s="1"/>
  <c r="KI334" i="30"/>
  <c r="KI111" i="30"/>
  <c r="KI65" i="30"/>
  <c r="KI5" i="30"/>
  <c r="KI166" i="30" s="1"/>
  <c r="KI76" i="29"/>
  <c r="KI17" i="29"/>
  <c r="KK18" i="1"/>
  <c r="KK76" i="1" s="1"/>
  <c r="KI3" i="29"/>
  <c r="KI155" i="29" s="1"/>
  <c r="FM72" i="5"/>
  <c r="FM159" i="5"/>
  <c r="KX5" i="1"/>
  <c r="FN5" i="5"/>
  <c r="HH5" i="4"/>
  <c r="HH65" i="4" s="1"/>
  <c r="KU334" i="30"/>
  <c r="KU65" i="30"/>
  <c r="KU111" i="30"/>
  <c r="KU5" i="30"/>
  <c r="KU166" i="30" s="1"/>
  <c r="KU76" i="29"/>
  <c r="KU17" i="29"/>
  <c r="KW18" i="1"/>
  <c r="KW76" i="1" s="1"/>
  <c r="KU3" i="29"/>
  <c r="KU155" i="29" s="1"/>
  <c r="LC18" i="1"/>
  <c r="LC76" i="1" s="1"/>
  <c r="LJ5" i="1"/>
  <c r="FT5" i="5"/>
  <c r="HN5" i="4"/>
  <c r="HN65" i="4" s="1"/>
  <c r="LA334" i="30"/>
  <c r="LA111" i="30"/>
  <c r="LA65" i="30"/>
  <c r="LA5" i="30"/>
  <c r="LA166" i="30" s="1"/>
  <c r="LA3" i="29"/>
  <c r="LD5" i="1"/>
  <c r="DB61" i="1" l="1"/>
  <c r="DB95" i="1" s="1"/>
  <c r="DB94" i="1" s="1"/>
  <c r="DB96" i="1" s="1"/>
  <c r="FT159" i="5"/>
  <c r="FT72" i="5"/>
  <c r="FH72" i="5"/>
  <c r="FH159" i="5"/>
  <c r="FU5" i="5"/>
  <c r="HO5" i="4"/>
  <c r="HO65" i="4" s="1"/>
  <c r="LB334" i="30"/>
  <c r="LB111" i="30"/>
  <c r="LB5" i="30"/>
  <c r="LB166" i="30" s="1"/>
  <c r="LB65" i="30"/>
  <c r="LB76" i="29"/>
  <c r="LB3" i="29"/>
  <c r="LB155" i="29" s="1"/>
  <c r="LB17" i="29"/>
  <c r="LD18" i="1"/>
  <c r="LD76" i="1" s="1"/>
  <c r="LE5" i="1"/>
  <c r="FB72" i="5"/>
  <c r="FB159" i="5"/>
  <c r="FI5" i="5"/>
  <c r="HC5" i="4"/>
  <c r="HC65" i="4" s="1"/>
  <c r="KP334" i="30"/>
  <c r="KP65" i="30"/>
  <c r="KP111" i="30"/>
  <c r="KP5" i="30"/>
  <c r="KP166" i="30" s="1"/>
  <c r="KP76" i="29"/>
  <c r="KP17" i="29"/>
  <c r="KR18" i="1"/>
  <c r="KR76" i="1" s="1"/>
  <c r="KP3" i="29"/>
  <c r="KP155" i="29" s="1"/>
  <c r="GA5" i="5"/>
  <c r="LQ5" i="1"/>
  <c r="LX5" i="1" s="1"/>
  <c r="ME5" i="1" s="1"/>
  <c r="HU5" i="4"/>
  <c r="HU65" i="4" s="1"/>
  <c r="LH65" i="30"/>
  <c r="LH334" i="30"/>
  <c r="LH111" i="30"/>
  <c r="LH5" i="30"/>
  <c r="LH166" i="30" s="1"/>
  <c r="LH3" i="29"/>
  <c r="LK5" i="1"/>
  <c r="LJ18" i="1"/>
  <c r="LJ76" i="1" s="1"/>
  <c r="LA155" i="29"/>
  <c r="LA76" i="29"/>
  <c r="LA17" i="29"/>
  <c r="FN159" i="5"/>
  <c r="FN72" i="5"/>
  <c r="KY5" i="1"/>
  <c r="FO5" i="5"/>
  <c r="HI5" i="4"/>
  <c r="HI65" i="4" s="1"/>
  <c r="KV65" i="30"/>
  <c r="KV334" i="30"/>
  <c r="KV111" i="30"/>
  <c r="KV5" i="30"/>
  <c r="KV166" i="30" s="1"/>
  <c r="KV76" i="29"/>
  <c r="KV17" i="29"/>
  <c r="KX18" i="1"/>
  <c r="KX76" i="1" s="1"/>
  <c r="KV3" i="29"/>
  <c r="KV155" i="29" s="1"/>
  <c r="MF5" i="1" l="1"/>
  <c r="MC65" i="30"/>
  <c r="GV5" i="5"/>
  <c r="MC5" i="30"/>
  <c r="MC166" i="30" s="1"/>
  <c r="MC3" i="29"/>
  <c r="IP5" i="4"/>
  <c r="IP65" i="4" s="1"/>
  <c r="MC111" i="30"/>
  <c r="MC334" i="30"/>
  <c r="ME18" i="1"/>
  <c r="ME76" i="1" s="1"/>
  <c r="II5" i="4"/>
  <c r="II65" i="4" s="1"/>
  <c r="LV3" i="29"/>
  <c r="LV334" i="30"/>
  <c r="LV5" i="30"/>
  <c r="LV166" i="30" s="1"/>
  <c r="GO5" i="5"/>
  <c r="LV111" i="30"/>
  <c r="LV65" i="30"/>
  <c r="LY5" i="1"/>
  <c r="LX18" i="1"/>
  <c r="LX76" i="1" s="1"/>
  <c r="DA61" i="1"/>
  <c r="DA95" i="1" s="1"/>
  <c r="DA94" i="1" s="1"/>
  <c r="DA96" i="1" s="1"/>
  <c r="FV5" i="5"/>
  <c r="HP5" i="4"/>
  <c r="HP65" i="4" s="1"/>
  <c r="LC334" i="30"/>
  <c r="LC111" i="30"/>
  <c r="LC65" i="30"/>
  <c r="LC5" i="30"/>
  <c r="LC166" i="30" s="1"/>
  <c r="LC76" i="29"/>
  <c r="LC17" i="29"/>
  <c r="LC3" i="29"/>
  <c r="LC155" i="29" s="1"/>
  <c r="LF5" i="1"/>
  <c r="LE18" i="1"/>
  <c r="LE76" i="1" s="1"/>
  <c r="LR5" i="1"/>
  <c r="LP76" i="29" s="1"/>
  <c r="GH5" i="5"/>
  <c r="LO65" i="30"/>
  <c r="LQ18" i="1"/>
  <c r="LQ76" i="1" s="1"/>
  <c r="LO334" i="30"/>
  <c r="IB5" i="4"/>
  <c r="IB65" i="4" s="1"/>
  <c r="LO5" i="30"/>
  <c r="LO166" i="30" s="1"/>
  <c r="LO111" i="30"/>
  <c r="LO3" i="29"/>
  <c r="LO76" i="29" s="1"/>
  <c r="FU159" i="5"/>
  <c r="FU72" i="5"/>
  <c r="FO159" i="5"/>
  <c r="FO72" i="5"/>
  <c r="LL5" i="1"/>
  <c r="HV5" i="4"/>
  <c r="HV65" i="4" s="1"/>
  <c r="LI111" i="30"/>
  <c r="LI5" i="30"/>
  <c r="LI166" i="30" s="1"/>
  <c r="GB5" i="5"/>
  <c r="LI3" i="29"/>
  <c r="LI155" i="29" s="1"/>
  <c r="LI76" i="29"/>
  <c r="LI65" i="30"/>
  <c r="LI334" i="30"/>
  <c r="LI17" i="29"/>
  <c r="LK18" i="1"/>
  <c r="LK76" i="1" s="1"/>
  <c r="GA159" i="5"/>
  <c r="GA72" i="5"/>
  <c r="FP5" i="5"/>
  <c r="HJ5" i="4"/>
  <c r="HJ65" i="4" s="1"/>
  <c r="KW334" i="30"/>
  <c r="KW65" i="30"/>
  <c r="KW111" i="30"/>
  <c r="KW5" i="30"/>
  <c r="KW166" i="30" s="1"/>
  <c r="KW76" i="29"/>
  <c r="KY18" i="1"/>
  <c r="KY76" i="1" s="1"/>
  <c r="KW3" i="29"/>
  <c r="KW155" i="29" s="1"/>
  <c r="KW17" i="29"/>
  <c r="LH76" i="29"/>
  <c r="LH17" i="29"/>
  <c r="LH155" i="29"/>
  <c r="FI159" i="5"/>
  <c r="FI72" i="5"/>
  <c r="MC155" i="29" l="1"/>
  <c r="MC76" i="29"/>
  <c r="MC17" i="29"/>
  <c r="GV72" i="5"/>
  <c r="GV159" i="5"/>
  <c r="GW5" i="5"/>
  <c r="MD5" i="30"/>
  <c r="MD166" i="30" s="1"/>
  <c r="MD76" i="29"/>
  <c r="MD17" i="29"/>
  <c r="MD3" i="29"/>
  <c r="MD155" i="29" s="1"/>
  <c r="IQ5" i="4"/>
  <c r="IQ65" i="4" s="1"/>
  <c r="MD111" i="30"/>
  <c r="MD334" i="30"/>
  <c r="MD65" i="30"/>
  <c r="MF18" i="1"/>
  <c r="MF76" i="1" s="1"/>
  <c r="MG5" i="1"/>
  <c r="IJ5" i="4"/>
  <c r="IJ65" i="4" s="1"/>
  <c r="LW76" i="29"/>
  <c r="LW3" i="29"/>
  <c r="LW155" i="29" s="1"/>
  <c r="LW334" i="30"/>
  <c r="LW5" i="30"/>
  <c r="LW166" i="30" s="1"/>
  <c r="GP5" i="5"/>
  <c r="LW17" i="29"/>
  <c r="LW111" i="30"/>
  <c r="LW65" i="30"/>
  <c r="LZ5" i="1"/>
  <c r="LY18" i="1"/>
  <c r="LY76" i="1" s="1"/>
  <c r="GO72" i="5"/>
  <c r="GO159" i="5"/>
  <c r="LV155" i="29"/>
  <c r="LV17" i="29"/>
  <c r="LV76" i="29"/>
  <c r="CX61" i="1"/>
  <c r="CX95" i="1" s="1"/>
  <c r="CX94" i="1" s="1"/>
  <c r="CX96" i="1" s="1"/>
  <c r="FP159" i="5"/>
  <c r="FP72" i="5"/>
  <c r="GH159" i="5"/>
  <c r="GH72" i="5"/>
  <c r="GB159" i="5"/>
  <c r="GB72" i="5"/>
  <c r="LS5" i="1"/>
  <c r="LQ76" i="29" s="1"/>
  <c r="LP111" i="30"/>
  <c r="LP5" i="30"/>
  <c r="LP166" i="30" s="1"/>
  <c r="LP334" i="30"/>
  <c r="IC5" i="4"/>
  <c r="IC65" i="4" s="1"/>
  <c r="LP3" i="29"/>
  <c r="LP155" i="29" s="1"/>
  <c r="LR18" i="1"/>
  <c r="LR76" i="1" s="1"/>
  <c r="GI5" i="5"/>
  <c r="LP65" i="30"/>
  <c r="LP17" i="29"/>
  <c r="LO17" i="29"/>
  <c r="LO155" i="29"/>
  <c r="LF18" i="1"/>
  <c r="LF76" i="1" s="1"/>
  <c r="FW5" i="5"/>
  <c r="HQ5" i="4"/>
  <c r="HQ65" i="4" s="1"/>
  <c r="LD334" i="30"/>
  <c r="LD111" i="30"/>
  <c r="LD65" i="30"/>
  <c r="LD5" i="30"/>
  <c r="LD166" i="30" s="1"/>
  <c r="LD76" i="29"/>
  <c r="LD17" i="29"/>
  <c r="LD3" i="29"/>
  <c r="LD155" i="29" s="1"/>
  <c r="LM5" i="1"/>
  <c r="LJ3" i="29"/>
  <c r="LJ155" i="29" s="1"/>
  <c r="LJ334" i="30"/>
  <c r="GC5" i="5"/>
  <c r="LJ65" i="30"/>
  <c r="LJ76" i="29"/>
  <c r="LJ111" i="30"/>
  <c r="LJ17" i="29"/>
  <c r="HW5" i="4"/>
  <c r="HW65" i="4" s="1"/>
  <c r="LJ5" i="30"/>
  <c r="LJ166" i="30" s="1"/>
  <c r="LL18" i="1"/>
  <c r="LL76" i="1" s="1"/>
  <c r="FV159" i="5"/>
  <c r="FV72" i="5"/>
  <c r="GX5" i="5" l="1"/>
  <c r="ME5" i="30"/>
  <c r="ME166" i="30" s="1"/>
  <c r="ME76" i="29"/>
  <c r="ME17" i="29"/>
  <c r="ME3" i="29"/>
  <c r="ME155" i="29" s="1"/>
  <c r="IR5" i="4"/>
  <c r="IR65" i="4" s="1"/>
  <c r="ME111" i="30"/>
  <c r="ME334" i="30"/>
  <c r="ME65" i="30"/>
  <c r="MG18" i="1"/>
  <c r="MG76" i="1" s="1"/>
  <c r="MH5" i="1"/>
  <c r="MI4" i="1" s="1"/>
  <c r="GW72" i="5"/>
  <c r="GW159" i="5"/>
  <c r="LX76" i="29"/>
  <c r="LX5" i="30"/>
  <c r="LX166" i="30" s="1"/>
  <c r="LX3" i="29"/>
  <c r="LX155" i="29" s="1"/>
  <c r="LX334" i="30"/>
  <c r="GQ5" i="5"/>
  <c r="LX111" i="30"/>
  <c r="LX65" i="30"/>
  <c r="LX17" i="29"/>
  <c r="IK5" i="4"/>
  <c r="IK65" i="4" s="1"/>
  <c r="LZ18" i="1"/>
  <c r="LZ76" i="1" s="1"/>
  <c r="MA5" i="1"/>
  <c r="MB4" i="1" s="1"/>
  <c r="GP159" i="5"/>
  <c r="GP72" i="5"/>
  <c r="R61" i="1"/>
  <c r="CW61" i="1"/>
  <c r="CW95" i="1" s="1"/>
  <c r="CW94" i="1" s="1"/>
  <c r="CW96" i="1" s="1"/>
  <c r="LT5" i="1"/>
  <c r="LQ5" i="30"/>
  <c r="LQ166" i="30" s="1"/>
  <c r="GJ5" i="5"/>
  <c r="LQ65" i="30"/>
  <c r="LQ334" i="30"/>
  <c r="LQ3" i="29"/>
  <c r="LQ155" i="29" s="1"/>
  <c r="LQ111" i="30"/>
  <c r="LQ17" i="29"/>
  <c r="LS18" i="1"/>
  <c r="LS76" i="1" s="1"/>
  <c r="ID5" i="4"/>
  <c r="ID65" i="4" s="1"/>
  <c r="LK111" i="30"/>
  <c r="LK3" i="29"/>
  <c r="LK155" i="29" s="1"/>
  <c r="LM18" i="1"/>
  <c r="LM76" i="1" s="1"/>
  <c r="GD5" i="5"/>
  <c r="LK65" i="30"/>
  <c r="LK334" i="30"/>
  <c r="LK76" i="29"/>
  <c r="LK17" i="29"/>
  <c r="LK5" i="30"/>
  <c r="LK166" i="30" s="1"/>
  <c r="HX5" i="4"/>
  <c r="HX65" i="4" s="1"/>
  <c r="FW159" i="5"/>
  <c r="FW72" i="5"/>
  <c r="GI72" i="5"/>
  <c r="GI159" i="5"/>
  <c r="GC159" i="5"/>
  <c r="GC72" i="5"/>
  <c r="LR76" i="29" l="1"/>
  <c r="LU4" i="1"/>
  <c r="MH18" i="1"/>
  <c r="MH76" i="1" s="1"/>
  <c r="MF76" i="29"/>
  <c r="MF17" i="29"/>
  <c r="MF3" i="29"/>
  <c r="MF155" i="29" s="1"/>
  <c r="IS5" i="4"/>
  <c r="IS65" i="4" s="1"/>
  <c r="MF111" i="30"/>
  <c r="MF334" i="30"/>
  <c r="MF65" i="30"/>
  <c r="GY5" i="5"/>
  <c r="MF5" i="30"/>
  <c r="MF166" i="30" s="1"/>
  <c r="GX72" i="5"/>
  <c r="GX159" i="5"/>
  <c r="LY76" i="29"/>
  <c r="LY3" i="29"/>
  <c r="LY334" i="30"/>
  <c r="LY5" i="30"/>
  <c r="GR5" i="5"/>
  <c r="LY111" i="30"/>
  <c r="LY65" i="30"/>
  <c r="IL5" i="4"/>
  <c r="IL65" i="4" s="1"/>
  <c r="LY17" i="29"/>
  <c r="MA18" i="1"/>
  <c r="MA76" i="1" s="1"/>
  <c r="GQ72" i="5"/>
  <c r="GQ159" i="5"/>
  <c r="CV61" i="1"/>
  <c r="CV95" i="1" s="1"/>
  <c r="CV94" i="1" s="1"/>
  <c r="CV96" i="1" s="1"/>
  <c r="GD72" i="5"/>
  <c r="GD159" i="5"/>
  <c r="GJ72" i="5"/>
  <c r="GJ159" i="5"/>
  <c r="LR65" i="30"/>
  <c r="LR334" i="30"/>
  <c r="LR111" i="30"/>
  <c r="LR17" i="29"/>
  <c r="IE5" i="4"/>
  <c r="LR5" i="30"/>
  <c r="GK5" i="5"/>
  <c r="LR3" i="29"/>
  <c r="LT18" i="1"/>
  <c r="LT76" i="1" s="1"/>
  <c r="GY72" i="5" l="1"/>
  <c r="GY159" i="5"/>
  <c r="LY155" i="29"/>
  <c r="LY166" i="30"/>
  <c r="GR159" i="5"/>
  <c r="GR72" i="5"/>
  <c r="IE65" i="4"/>
  <c r="LR166" i="30"/>
  <c r="CU61" i="1"/>
  <c r="CU95" i="1" s="1"/>
  <c r="CU94" i="1" s="1"/>
  <c r="CU96" i="1" s="1"/>
  <c r="LR155" i="29"/>
  <c r="GK159" i="5"/>
  <c r="GK72" i="5"/>
  <c r="CT61" i="1" l="1"/>
  <c r="CT95" i="1" s="1"/>
  <c r="CT94" i="1" s="1"/>
  <c r="CT96" i="1" s="1"/>
  <c r="CQ61" i="1" l="1"/>
  <c r="CQ95" i="1" s="1"/>
  <c r="CQ94" i="1" s="1"/>
  <c r="CQ96" i="1" s="1"/>
  <c r="Q61" i="1" l="1"/>
  <c r="CP61" i="1"/>
  <c r="CP95" i="1" s="1"/>
  <c r="CP94" i="1" s="1"/>
  <c r="CP96" i="1" s="1"/>
  <c r="CO61" i="1" l="1"/>
  <c r="CO95" i="1" s="1"/>
  <c r="CO94" i="1" s="1"/>
  <c r="CO96" i="1" s="1"/>
  <c r="CN61" i="1" l="1"/>
  <c r="CN95" i="1" s="1"/>
  <c r="CN94" i="1" s="1"/>
  <c r="CN96" i="1" s="1"/>
  <c r="CM61" i="1" l="1"/>
  <c r="CM95" i="1" s="1"/>
  <c r="CM94" i="1" s="1"/>
  <c r="CM96" i="1" s="1"/>
  <c r="CJ61" i="1" l="1"/>
  <c r="CJ95" i="1" s="1"/>
  <c r="CJ94" i="1" s="1"/>
  <c r="CJ96" i="1" s="1"/>
  <c r="P61" i="1" l="1"/>
  <c r="CI61" i="1"/>
  <c r="CI95" i="1" s="1"/>
  <c r="CI94" i="1" s="1"/>
  <c r="CI96" i="1" s="1"/>
  <c r="CH61" i="1" l="1"/>
  <c r="CH95" i="1" s="1"/>
  <c r="CH94" i="1" s="1"/>
  <c r="CH96" i="1" s="1"/>
  <c r="CG61" i="1" l="1"/>
  <c r="CG95" i="1" s="1"/>
  <c r="CG94" i="1" s="1"/>
  <c r="CG96" i="1" s="1"/>
  <c r="CF61" i="1" l="1"/>
  <c r="CF95" i="1" s="1"/>
  <c r="CF94" i="1" s="1"/>
  <c r="CF96" i="1" s="1"/>
  <c r="CC61" i="1" l="1"/>
  <c r="CC95" i="1" s="1"/>
  <c r="CC94" i="1" s="1"/>
  <c r="CC96" i="1" s="1"/>
  <c r="O61" i="1" l="1"/>
  <c r="CB61" i="1"/>
  <c r="CB95" i="1" s="1"/>
  <c r="CB94" i="1" s="1"/>
  <c r="CB96" i="1" s="1"/>
  <c r="CA61" i="1" l="1"/>
  <c r="CA95" i="1" s="1"/>
  <c r="CA94" i="1" s="1"/>
  <c r="CA96" i="1" s="1"/>
  <c r="BZ61" i="1" l="1"/>
  <c r="BZ95" i="1" s="1"/>
  <c r="BZ94" i="1" s="1"/>
  <c r="BZ96" i="1" s="1"/>
  <c r="BY61" i="1" l="1"/>
  <c r="BY95" i="1" s="1"/>
  <c r="BY94" i="1" s="1"/>
  <c r="BY96" i="1" s="1"/>
  <c r="BV61" i="1" l="1"/>
  <c r="BV95" i="1" s="1"/>
  <c r="BV94" i="1" s="1"/>
  <c r="BV96" i="1" s="1"/>
  <c r="N61" i="1" l="1"/>
  <c r="BU61" i="1"/>
  <c r="BU95" i="1" s="1"/>
  <c r="BU94" i="1" s="1"/>
  <c r="BU96" i="1" s="1"/>
  <c r="BT61" i="1" l="1"/>
  <c r="BT95" i="1" s="1"/>
  <c r="BT94" i="1" s="1"/>
  <c r="BT96" i="1" s="1"/>
  <c r="BS61" i="1" l="1"/>
  <c r="BS95" i="1" s="1"/>
  <c r="BS94" i="1" s="1"/>
  <c r="BS96" i="1" s="1"/>
  <c r="BR61" i="1" l="1"/>
  <c r="BR95" i="1" s="1"/>
  <c r="BR94" i="1" s="1"/>
  <c r="BR96" i="1" s="1"/>
  <c r="M61" i="1" l="1"/>
  <c r="M67" i="1" l="1"/>
  <c r="M62" i="1"/>
  <c r="L61" i="1"/>
  <c r="L67" i="1" l="1"/>
  <c r="L62" i="1"/>
  <c r="K61" i="1"/>
  <c r="M71" i="1"/>
  <c r="M10" i="1"/>
  <c r="K67" i="1" l="1"/>
  <c r="J61" i="1"/>
  <c r="K62" i="1"/>
  <c r="L71" i="1"/>
  <c r="L10" i="1"/>
  <c r="K71" i="1" l="1"/>
  <c r="K10" i="1"/>
  <c r="J67" i="1"/>
  <c r="I61" i="1"/>
  <c r="J62" i="1"/>
  <c r="M11" i="1"/>
  <c r="J10" i="1" l="1"/>
  <c r="K11" i="1" s="1"/>
  <c r="J71" i="1"/>
  <c r="I67" i="1"/>
  <c r="H61" i="1"/>
  <c r="I62" i="1"/>
  <c r="L11" i="1"/>
  <c r="I10" i="1" l="1"/>
  <c r="J11" i="1" s="1"/>
  <c r="I71" i="1"/>
  <c r="H67" i="1"/>
  <c r="G61" i="1"/>
  <c r="H62" i="1"/>
  <c r="DY32" i="1"/>
  <c r="DW12" i="29" s="1"/>
  <c r="DX32" i="1"/>
  <c r="DV12" i="29" s="1"/>
  <c r="DW32" i="1"/>
  <c r="DU12" i="29" s="1"/>
  <c r="DY31" i="1"/>
  <c r="DW11" i="29" s="1"/>
  <c r="DX31" i="1"/>
  <c r="DV11" i="29" s="1"/>
  <c r="DW31" i="1"/>
  <c r="DU11" i="29" s="1"/>
  <c r="DY30" i="1"/>
  <c r="DX30" i="1"/>
  <c r="DW30" i="1"/>
  <c r="DY29" i="1"/>
  <c r="DW9" i="29" s="1"/>
  <c r="DX29" i="1"/>
  <c r="DV9" i="29" s="1"/>
  <c r="DW29" i="1"/>
  <c r="DU9" i="29" s="1"/>
  <c r="DY28" i="1"/>
  <c r="DW8" i="29" s="1"/>
  <c r="DX28" i="1"/>
  <c r="DV8" i="29" s="1"/>
  <c r="DW28" i="1"/>
  <c r="DU8" i="29" s="1"/>
  <c r="DY27" i="1"/>
  <c r="DX27" i="1"/>
  <c r="DW27" i="1"/>
  <c r="DV31" i="1"/>
  <c r="DT11" i="29" s="1"/>
  <c r="DV30" i="1"/>
  <c r="DV29" i="1"/>
  <c r="DT9" i="29" s="1"/>
  <c r="DV28" i="1"/>
  <c r="DT8" i="29" s="1"/>
  <c r="DV27" i="1"/>
  <c r="DZ33" i="1"/>
  <c r="DV32" i="1"/>
  <c r="DT12" i="29" s="1"/>
  <c r="EF32" i="1"/>
  <c r="ED12" i="29" s="1"/>
  <c r="EE32" i="1"/>
  <c r="EC12" i="29" s="1"/>
  <c r="ED32" i="1"/>
  <c r="EB12" i="29" s="1"/>
  <c r="EC32" i="1"/>
  <c r="EA12" i="29" s="1"/>
  <c r="EF31" i="1"/>
  <c r="ED11" i="29" s="1"/>
  <c r="EE31" i="1"/>
  <c r="EC11" i="29" s="1"/>
  <c r="ED31" i="1"/>
  <c r="EB11" i="29" s="1"/>
  <c r="EC31" i="1"/>
  <c r="EA11" i="29" s="1"/>
  <c r="EF30" i="1"/>
  <c r="EE30" i="1"/>
  <c r="ED30" i="1"/>
  <c r="EC30" i="1"/>
  <c r="EF29" i="1"/>
  <c r="ED9" i="29" s="1"/>
  <c r="EE29" i="1"/>
  <c r="EC9" i="29" s="1"/>
  <c r="ED29" i="1"/>
  <c r="EB9" i="29" s="1"/>
  <c r="EC29" i="1"/>
  <c r="EA9" i="29" s="1"/>
  <c r="EE28" i="1"/>
  <c r="EC8" i="29" s="1"/>
  <c r="ED28" i="1"/>
  <c r="EB8" i="29" s="1"/>
  <c r="EC28" i="1"/>
  <c r="EA8" i="29" s="1"/>
  <c r="EF27" i="1"/>
  <c r="EE27" i="1"/>
  <c r="ED27" i="1"/>
  <c r="EC27" i="1"/>
  <c r="EM32" i="1"/>
  <c r="EK12" i="29" s="1"/>
  <c r="EL32" i="1"/>
  <c r="EJ12" i="29" s="1"/>
  <c r="EK32" i="1"/>
  <c r="EI12" i="29" s="1"/>
  <c r="EJ32" i="1"/>
  <c r="EH12" i="29" s="1"/>
  <c r="EM31" i="1"/>
  <c r="EK11" i="29" s="1"/>
  <c r="EL31" i="1"/>
  <c r="EJ11" i="29" s="1"/>
  <c r="EK31" i="1"/>
  <c r="EI11" i="29" s="1"/>
  <c r="EJ31" i="1"/>
  <c r="EH11" i="29" s="1"/>
  <c r="EM30" i="1"/>
  <c r="EL30" i="1"/>
  <c r="EK30" i="1"/>
  <c r="EJ30" i="1"/>
  <c r="EM29" i="1"/>
  <c r="EK9" i="29" s="1"/>
  <c r="EK29" i="1"/>
  <c r="EI9" i="29" s="1"/>
  <c r="EJ29" i="1"/>
  <c r="EH9" i="29" s="1"/>
  <c r="EM28" i="1"/>
  <c r="EK8" i="29" s="1"/>
  <c r="EL28" i="1"/>
  <c r="EJ8" i="29" s="1"/>
  <c r="EK28" i="1"/>
  <c r="EI8" i="29" s="1"/>
  <c r="EJ28" i="1"/>
  <c r="EH8" i="29" s="1"/>
  <c r="EM27" i="1"/>
  <c r="EL27" i="1"/>
  <c r="EK27" i="1"/>
  <c r="ET32" i="1"/>
  <c r="ER12" i="29" s="1"/>
  <c r="ES32" i="1"/>
  <c r="EQ12" i="29" s="1"/>
  <c r="ER32" i="1"/>
  <c r="EP12" i="29" s="1"/>
  <c r="EQ32" i="1"/>
  <c r="EO12" i="29" s="1"/>
  <c r="ET31" i="1"/>
  <c r="ER11" i="29" s="1"/>
  <c r="ES31" i="1"/>
  <c r="EQ11" i="29" s="1"/>
  <c r="ER31" i="1"/>
  <c r="EP11" i="29" s="1"/>
  <c r="EQ31" i="1"/>
  <c r="EO11" i="29" s="1"/>
  <c r="ET30" i="1"/>
  <c r="ES30" i="1"/>
  <c r="ER30" i="1"/>
  <c r="EQ30" i="1"/>
  <c r="ET29" i="1"/>
  <c r="ER9" i="29" s="1"/>
  <c r="ES29" i="1"/>
  <c r="EQ9" i="29" s="1"/>
  <c r="ER29" i="1"/>
  <c r="EP9" i="29" s="1"/>
  <c r="EQ29" i="1"/>
  <c r="EO9" i="29" s="1"/>
  <c r="ET28" i="1"/>
  <c r="ER8" i="29" s="1"/>
  <c r="ES28" i="1"/>
  <c r="EQ8" i="29" s="1"/>
  <c r="ER28" i="1"/>
  <c r="EP8" i="29" s="1"/>
  <c r="EQ28" i="1"/>
  <c r="EO8" i="29" s="1"/>
  <c r="ET27" i="1"/>
  <c r="ES27" i="1"/>
  <c r="ER27" i="1"/>
  <c r="EQ27" i="1"/>
  <c r="FA32" i="1"/>
  <c r="EY12" i="29" s="1"/>
  <c r="EZ32" i="1"/>
  <c r="EX12" i="29" s="1"/>
  <c r="EY32" i="1"/>
  <c r="EW12" i="29" s="1"/>
  <c r="EX32" i="1"/>
  <c r="EV12" i="29" s="1"/>
  <c r="FA31" i="1"/>
  <c r="EY11" i="29" s="1"/>
  <c r="EZ31" i="1"/>
  <c r="EX11" i="29" s="1"/>
  <c r="EY31" i="1"/>
  <c r="EW11" i="29" s="1"/>
  <c r="EX31" i="1"/>
  <c r="EV11" i="29" s="1"/>
  <c r="FA30" i="1"/>
  <c r="EZ30" i="1"/>
  <c r="EY30" i="1"/>
  <c r="EX30" i="1"/>
  <c r="FA29" i="1"/>
  <c r="EY9" i="29" s="1"/>
  <c r="EZ29" i="1"/>
  <c r="EX9" i="29" s="1"/>
  <c r="EY29" i="1"/>
  <c r="EW9" i="29" s="1"/>
  <c r="EX29" i="1"/>
  <c r="EV9" i="29" s="1"/>
  <c r="FA28" i="1"/>
  <c r="EY8" i="29" s="1"/>
  <c r="EZ28" i="1"/>
  <c r="EX8" i="29" s="1"/>
  <c r="EY28" i="1"/>
  <c r="EW8" i="29" s="1"/>
  <c r="EX28" i="1"/>
  <c r="EV8" i="29" s="1"/>
  <c r="FA27" i="1"/>
  <c r="EZ27" i="1"/>
  <c r="EY27" i="1"/>
  <c r="EX27" i="1"/>
  <c r="FH32" i="1"/>
  <c r="FF12" i="29" s="1"/>
  <c r="FG32" i="1"/>
  <c r="FE12" i="29" s="1"/>
  <c r="FH31" i="1"/>
  <c r="FF11" i="29" s="1"/>
  <c r="FG31" i="1"/>
  <c r="FE11" i="29" s="1"/>
  <c r="FF31" i="1"/>
  <c r="FD11" i="29" s="1"/>
  <c r="FH30" i="1"/>
  <c r="FG30" i="1"/>
  <c r="FF30" i="1"/>
  <c r="FH29" i="1"/>
  <c r="FF9" i="29" s="1"/>
  <c r="FG29" i="1"/>
  <c r="FE9" i="29" s="1"/>
  <c r="FF29" i="1"/>
  <c r="FD9" i="29" s="1"/>
  <c r="FH28" i="1"/>
  <c r="FF8" i="29" s="1"/>
  <c r="FG28" i="1"/>
  <c r="FE8" i="29" s="1"/>
  <c r="FH27" i="1"/>
  <c r="FG27" i="1"/>
  <c r="FF27" i="1"/>
  <c r="FE32" i="1"/>
  <c r="FC12" i="29" s="1"/>
  <c r="FE31" i="1"/>
  <c r="FC11" i="29" s="1"/>
  <c r="FE30" i="1"/>
  <c r="FE29" i="1"/>
  <c r="FC9" i="29" s="1"/>
  <c r="FE28" i="1"/>
  <c r="FC8" i="29" s="1"/>
  <c r="FE27" i="1"/>
  <c r="FI33" i="1"/>
  <c r="FO32" i="1"/>
  <c r="FM12" i="29" s="1"/>
  <c r="FN32" i="1"/>
  <c r="FL12" i="29" s="1"/>
  <c r="FM32" i="1"/>
  <c r="FK12" i="29" s="1"/>
  <c r="FL32" i="1"/>
  <c r="FJ12" i="29" s="1"/>
  <c r="FO31" i="1"/>
  <c r="FM11" i="29" s="1"/>
  <c r="FN31" i="1"/>
  <c r="FL11" i="29" s="1"/>
  <c r="FM31" i="1"/>
  <c r="FK11" i="29" s="1"/>
  <c r="FL31" i="1"/>
  <c r="FJ11" i="29" s="1"/>
  <c r="FO30" i="1"/>
  <c r="FN30" i="1"/>
  <c r="FM30" i="1"/>
  <c r="FL30" i="1"/>
  <c r="FO29" i="1"/>
  <c r="FM9" i="29" s="1"/>
  <c r="FN29" i="1"/>
  <c r="FL9" i="29" s="1"/>
  <c r="FM29" i="1"/>
  <c r="FK9" i="29" s="1"/>
  <c r="FL29" i="1"/>
  <c r="FJ9" i="29" s="1"/>
  <c r="FO28" i="1"/>
  <c r="FM8" i="29" s="1"/>
  <c r="FN28" i="1"/>
  <c r="FL8" i="29" s="1"/>
  <c r="FM28" i="1"/>
  <c r="FK8" i="29" s="1"/>
  <c r="FL28" i="1"/>
  <c r="FJ8" i="29" s="1"/>
  <c r="FO27" i="1"/>
  <c r="FN27" i="1"/>
  <c r="FM27" i="1"/>
  <c r="FL27" i="1"/>
  <c r="FV32" i="1"/>
  <c r="FT12" i="29" s="1"/>
  <c r="FU32" i="1"/>
  <c r="FS12" i="29" s="1"/>
  <c r="FT32" i="1"/>
  <c r="FR12" i="29" s="1"/>
  <c r="FS32" i="1"/>
  <c r="FQ12" i="29" s="1"/>
  <c r="FV31" i="1"/>
  <c r="FT11" i="29" s="1"/>
  <c r="FU31" i="1"/>
  <c r="FS11" i="29" s="1"/>
  <c r="FT31" i="1"/>
  <c r="FR11" i="29" s="1"/>
  <c r="FS31" i="1"/>
  <c r="FQ11" i="29" s="1"/>
  <c r="FV30" i="1"/>
  <c r="FU30" i="1"/>
  <c r="FT30" i="1"/>
  <c r="FS30" i="1"/>
  <c r="FV29" i="1"/>
  <c r="FT9" i="29" s="1"/>
  <c r="FU29" i="1"/>
  <c r="FS9" i="29" s="1"/>
  <c r="FT29" i="1"/>
  <c r="FR9" i="29" s="1"/>
  <c r="FS29" i="1"/>
  <c r="FQ9" i="29" s="1"/>
  <c r="FV28" i="1"/>
  <c r="FT8" i="29" s="1"/>
  <c r="FU28" i="1"/>
  <c r="FS8" i="29" s="1"/>
  <c r="FT28" i="1"/>
  <c r="FR8" i="29" s="1"/>
  <c r="FS28" i="1"/>
  <c r="FQ8" i="29" s="1"/>
  <c r="FV27" i="1"/>
  <c r="FU27" i="1"/>
  <c r="FT27" i="1"/>
  <c r="FS27" i="1"/>
  <c r="GD33" i="1"/>
  <c r="GC32" i="1"/>
  <c r="GB32" i="1"/>
  <c r="GA32" i="1"/>
  <c r="FZ32" i="1"/>
  <c r="GC31" i="1"/>
  <c r="GB31" i="1"/>
  <c r="GA31" i="1"/>
  <c r="FZ31" i="1"/>
  <c r="GC30" i="1"/>
  <c r="GB30" i="1"/>
  <c r="GA30" i="1"/>
  <c r="FZ30" i="1"/>
  <c r="GC29" i="1"/>
  <c r="GB29" i="1"/>
  <c r="GA29" i="1"/>
  <c r="FZ29" i="1"/>
  <c r="GC28" i="1"/>
  <c r="GB28" i="1"/>
  <c r="GA28" i="1"/>
  <c r="FZ28" i="1"/>
  <c r="GC27" i="1"/>
  <c r="GB27" i="1"/>
  <c r="GA27" i="1"/>
  <c r="FZ27" i="1"/>
  <c r="GG32" i="1"/>
  <c r="GG31" i="1"/>
  <c r="GG30" i="1"/>
  <c r="GG29" i="1"/>
  <c r="GG28" i="1"/>
  <c r="GG27" i="1"/>
  <c r="GH32" i="1"/>
  <c r="GH31" i="1"/>
  <c r="GH30" i="1"/>
  <c r="GH29" i="1"/>
  <c r="GH28" i="1"/>
  <c r="GH27" i="1"/>
  <c r="GI32" i="1"/>
  <c r="GI31" i="1"/>
  <c r="GI30" i="1"/>
  <c r="GI29" i="1"/>
  <c r="GI28" i="1"/>
  <c r="GI27" i="1"/>
  <c r="GJ32" i="1"/>
  <c r="GJ31" i="1"/>
  <c r="GJ30" i="1"/>
  <c r="GJ29" i="1"/>
  <c r="GJ28" i="1"/>
  <c r="GJ27" i="1"/>
  <c r="GJ33" i="1"/>
  <c r="GN32" i="1"/>
  <c r="GN31" i="1"/>
  <c r="GN30" i="1"/>
  <c r="GN29" i="1"/>
  <c r="GN28" i="1"/>
  <c r="GN27" i="1"/>
  <c r="GO32" i="1"/>
  <c r="GO31" i="1"/>
  <c r="GO30" i="1"/>
  <c r="GO29" i="1"/>
  <c r="GO28" i="1"/>
  <c r="GO27" i="1"/>
  <c r="GP32" i="1"/>
  <c r="GP31" i="1"/>
  <c r="GP30" i="1"/>
  <c r="GP29" i="1"/>
  <c r="GP28" i="1"/>
  <c r="GP27" i="1"/>
  <c r="GQ32" i="1"/>
  <c r="GQ31" i="1"/>
  <c r="GQ30" i="1"/>
  <c r="GQ29" i="1"/>
  <c r="GQ28" i="1"/>
  <c r="GQ27" i="1"/>
  <c r="GU33" i="1"/>
  <c r="GU32" i="1"/>
  <c r="GU31" i="1"/>
  <c r="GU30" i="1"/>
  <c r="GU29" i="1"/>
  <c r="GU28" i="1"/>
  <c r="GU27" i="1"/>
  <c r="GV33" i="1"/>
  <c r="GV32" i="1"/>
  <c r="GV31" i="1"/>
  <c r="GV30" i="1"/>
  <c r="GV29" i="1"/>
  <c r="GV28" i="1"/>
  <c r="GV27" i="1"/>
  <c r="GW33" i="1"/>
  <c r="GW32" i="1"/>
  <c r="GW31" i="1"/>
  <c r="GW30" i="1"/>
  <c r="GW29" i="1"/>
  <c r="GW28" i="1"/>
  <c r="GW27" i="1"/>
  <c r="GX33" i="1"/>
  <c r="GX32" i="1"/>
  <c r="GX31" i="1"/>
  <c r="GX30" i="1"/>
  <c r="GX29" i="1"/>
  <c r="GX28" i="1"/>
  <c r="GX27" i="1"/>
  <c r="DI28" i="1"/>
  <c r="DG8" i="29" s="1"/>
  <c r="DJ27" i="1"/>
  <c r="H71" i="1" l="1"/>
  <c r="H10" i="1"/>
  <c r="I11" i="1" s="1"/>
  <c r="G67" i="1"/>
  <c r="G62" i="1"/>
  <c r="F61" i="1"/>
  <c r="FJ10" i="29"/>
  <c r="FJ120" i="29"/>
  <c r="FJ130" i="29"/>
  <c r="EW10" i="29"/>
  <c r="EW130" i="29"/>
  <c r="EW120" i="29"/>
  <c r="EP10" i="29"/>
  <c r="EP120" i="29"/>
  <c r="EP130" i="29"/>
  <c r="ED7" i="29"/>
  <c r="ED88" i="29"/>
  <c r="ED91" i="29"/>
  <c r="DU10" i="29"/>
  <c r="DU120" i="29"/>
  <c r="DU130" i="29"/>
  <c r="GU91" i="29"/>
  <c r="GU88" i="29"/>
  <c r="HB89" i="29" s="1"/>
  <c r="GO120" i="29"/>
  <c r="GO130" i="29"/>
  <c r="GM120" i="29"/>
  <c r="GM130" i="29"/>
  <c r="FZ88" i="29"/>
  <c r="FZ91" i="29"/>
  <c r="FZ120" i="29"/>
  <c r="FZ130" i="29"/>
  <c r="FR7" i="29"/>
  <c r="FR91" i="29"/>
  <c r="FR88" i="29"/>
  <c r="FR10" i="29"/>
  <c r="FR120" i="29"/>
  <c r="FR130" i="29"/>
  <c r="FK7" i="29"/>
  <c r="FK88" i="29"/>
  <c r="FK91" i="29"/>
  <c r="FK10" i="29"/>
  <c r="FK120" i="29"/>
  <c r="FK130" i="29"/>
  <c r="FC7" i="29"/>
  <c r="FC91" i="29"/>
  <c r="FC88" i="29"/>
  <c r="EX7" i="29"/>
  <c r="EX91" i="29"/>
  <c r="EX88" i="29"/>
  <c r="EX10" i="29"/>
  <c r="EX130" i="29"/>
  <c r="EX120" i="29"/>
  <c r="EQ7" i="29"/>
  <c r="EQ88" i="29"/>
  <c r="EQ91" i="29"/>
  <c r="EQ10" i="29"/>
  <c r="EQ120" i="29"/>
  <c r="EQ130" i="29"/>
  <c r="EK7" i="29"/>
  <c r="EK91" i="29"/>
  <c r="EK88" i="29"/>
  <c r="DT10" i="29"/>
  <c r="DT120" i="29"/>
  <c r="DT130" i="29"/>
  <c r="DV10" i="29"/>
  <c r="DV120" i="29"/>
  <c r="DV130" i="29"/>
  <c r="EJ7" i="29"/>
  <c r="EJ91" i="29"/>
  <c r="EJ88" i="29"/>
  <c r="GF130" i="29"/>
  <c r="GF120" i="29"/>
  <c r="GA88" i="29"/>
  <c r="GA91" i="29"/>
  <c r="GA120" i="29"/>
  <c r="GA130" i="29"/>
  <c r="FS7" i="29"/>
  <c r="FS91" i="29"/>
  <c r="FS88" i="29"/>
  <c r="FS10" i="29"/>
  <c r="FS120" i="29"/>
  <c r="FS130" i="29"/>
  <c r="FL7" i="29"/>
  <c r="FL91" i="29"/>
  <c r="FL88" i="29"/>
  <c r="FL10" i="29"/>
  <c r="FL120" i="29"/>
  <c r="FL130" i="29"/>
  <c r="EY10" i="29"/>
  <c r="EY130" i="29"/>
  <c r="EY120" i="29"/>
  <c r="DW10" i="29"/>
  <c r="DW120" i="29"/>
  <c r="DW130" i="29"/>
  <c r="FJ7" i="29"/>
  <c r="FJ88" i="29"/>
  <c r="FJ91" i="29"/>
  <c r="EK10" i="29"/>
  <c r="EK120" i="29"/>
  <c r="EK130" i="29"/>
  <c r="GH120" i="29"/>
  <c r="GH130" i="29"/>
  <c r="EY7" i="29"/>
  <c r="EY91" i="29"/>
  <c r="EY88" i="29"/>
  <c r="ER7" i="29"/>
  <c r="ER88" i="29"/>
  <c r="ER91" i="29"/>
  <c r="ER10" i="29"/>
  <c r="ER120" i="29"/>
  <c r="ER130" i="29"/>
  <c r="GS88" i="29"/>
  <c r="GZ89" i="29" s="1"/>
  <c r="GS91" i="29"/>
  <c r="FT7" i="29"/>
  <c r="FT91" i="29"/>
  <c r="FT88" i="29"/>
  <c r="FT10" i="29"/>
  <c r="FT120" i="29"/>
  <c r="FT130" i="29"/>
  <c r="FM7" i="29"/>
  <c r="FM91" i="29"/>
  <c r="FM88" i="29"/>
  <c r="FM10" i="29"/>
  <c r="FM130" i="29"/>
  <c r="FM120" i="29"/>
  <c r="FD10" i="29"/>
  <c r="FD120" i="29"/>
  <c r="FD130" i="29"/>
  <c r="DU7" i="29"/>
  <c r="DU91" i="29"/>
  <c r="DU88" i="29"/>
  <c r="FQ7" i="29"/>
  <c r="FQ91" i="29"/>
  <c r="FQ88" i="29"/>
  <c r="EP7" i="29"/>
  <c r="EP88" i="29"/>
  <c r="EP91" i="29"/>
  <c r="DH7" i="29"/>
  <c r="DH88" i="29"/>
  <c r="DH91" i="29"/>
  <c r="GU130" i="29"/>
  <c r="GU120" i="29"/>
  <c r="GN88" i="29"/>
  <c r="GN91" i="29"/>
  <c r="GL91" i="29"/>
  <c r="GL88" i="29"/>
  <c r="FC10" i="29"/>
  <c r="FC120" i="29"/>
  <c r="FC130" i="29"/>
  <c r="FE10" i="29"/>
  <c r="FE120" i="29"/>
  <c r="FE130" i="29"/>
  <c r="DV7" i="29"/>
  <c r="DV91" i="29"/>
  <c r="DV88" i="29"/>
  <c r="FF10" i="29"/>
  <c r="FF120" i="29"/>
  <c r="FF130" i="29"/>
  <c r="DW7" i="29"/>
  <c r="DW88" i="29"/>
  <c r="DW91" i="29"/>
  <c r="GG91" i="29"/>
  <c r="GG88" i="29"/>
  <c r="FY88" i="29"/>
  <c r="FY91" i="29"/>
  <c r="GS120" i="29"/>
  <c r="GS130" i="29"/>
  <c r="EA10" i="29"/>
  <c r="EA120" i="29"/>
  <c r="EA130" i="29"/>
  <c r="GV91" i="29"/>
  <c r="GV88" i="29"/>
  <c r="HC89" i="29" s="1"/>
  <c r="GT88" i="29"/>
  <c r="HA89" i="29" s="1"/>
  <c r="GT91" i="29"/>
  <c r="FF7" i="29"/>
  <c r="FF88" i="29"/>
  <c r="FF91" i="29"/>
  <c r="EH10" i="29"/>
  <c r="EH130" i="29"/>
  <c r="EH120" i="29"/>
  <c r="EA7" i="29"/>
  <c r="EA88" i="29"/>
  <c r="EA91" i="29"/>
  <c r="EB10" i="29"/>
  <c r="EB120" i="29"/>
  <c r="EB130" i="29"/>
  <c r="FQ10" i="29"/>
  <c r="FQ130" i="29"/>
  <c r="FQ120" i="29"/>
  <c r="EW7" i="29"/>
  <c r="EW91" i="29"/>
  <c r="EW88" i="29"/>
  <c r="GN120" i="29"/>
  <c r="GN130" i="29"/>
  <c r="GL120" i="29"/>
  <c r="GL130" i="29"/>
  <c r="GG130" i="29"/>
  <c r="GG120" i="29"/>
  <c r="EI10" i="29"/>
  <c r="EI130" i="29"/>
  <c r="EI120" i="29"/>
  <c r="EB7" i="29"/>
  <c r="EB88" i="29"/>
  <c r="EB91" i="29"/>
  <c r="EC10" i="29"/>
  <c r="EC120" i="29"/>
  <c r="EC130" i="29"/>
  <c r="DT7" i="29"/>
  <c r="DT91" i="29"/>
  <c r="DT88" i="29"/>
  <c r="FY120" i="29"/>
  <c r="FY130" i="29"/>
  <c r="GE91" i="29"/>
  <c r="GE88" i="29"/>
  <c r="FD7" i="29"/>
  <c r="FD91" i="29"/>
  <c r="FD88" i="29"/>
  <c r="GE130" i="29"/>
  <c r="GE120" i="29"/>
  <c r="FE7" i="29"/>
  <c r="FE88" i="29"/>
  <c r="FE91" i="29"/>
  <c r="GV130" i="29"/>
  <c r="GV120" i="29"/>
  <c r="GO88" i="29"/>
  <c r="GO91" i="29"/>
  <c r="GM88" i="29"/>
  <c r="GM91" i="29"/>
  <c r="GT120" i="29"/>
  <c r="GT130" i="29"/>
  <c r="GH91" i="29"/>
  <c r="GH88" i="29"/>
  <c r="GF91" i="29"/>
  <c r="GF88" i="29"/>
  <c r="FX88" i="29"/>
  <c r="FX91" i="29"/>
  <c r="FX120" i="29"/>
  <c r="FX130" i="29"/>
  <c r="EV7" i="29"/>
  <c r="EV91" i="29"/>
  <c r="EV88" i="29"/>
  <c r="EV10" i="29"/>
  <c r="EV120" i="29"/>
  <c r="EV130" i="29"/>
  <c r="EO7" i="29"/>
  <c r="EO88" i="29"/>
  <c r="EO91" i="29"/>
  <c r="EO10" i="29"/>
  <c r="EO120" i="29"/>
  <c r="EO130" i="29"/>
  <c r="EI7" i="29"/>
  <c r="EI91" i="29"/>
  <c r="EI88" i="29"/>
  <c r="EJ10" i="29"/>
  <c r="EJ120" i="29"/>
  <c r="EJ130" i="29"/>
  <c r="EC7" i="29"/>
  <c r="EC88" i="29"/>
  <c r="EC91" i="29"/>
  <c r="ED10" i="29"/>
  <c r="ED120" i="29"/>
  <c r="ED130" i="29"/>
  <c r="GO9" i="29"/>
  <c r="GU7" i="29"/>
  <c r="GT12" i="29"/>
  <c r="GO10" i="29"/>
  <c r="GM10" i="29"/>
  <c r="GH9" i="29"/>
  <c r="GF9" i="29"/>
  <c r="FZ7" i="29"/>
  <c r="FZ10" i="29"/>
  <c r="GT11" i="29"/>
  <c r="GU8" i="29"/>
  <c r="GT13" i="29"/>
  <c r="GO11" i="29"/>
  <c r="GM11" i="29"/>
  <c r="GH10" i="29"/>
  <c r="GF10" i="29"/>
  <c r="GA7" i="29"/>
  <c r="GA10" i="29"/>
  <c r="GS12" i="29"/>
  <c r="GM9" i="29"/>
  <c r="FY7" i="29"/>
  <c r="GU10" i="29"/>
  <c r="GS8" i="29"/>
  <c r="GN7" i="29"/>
  <c r="GL7" i="29"/>
  <c r="GH12" i="29"/>
  <c r="GF12" i="29"/>
  <c r="FY8" i="29"/>
  <c r="FY11" i="29"/>
  <c r="GV9" i="29"/>
  <c r="GV13" i="29"/>
  <c r="GH8" i="29"/>
  <c r="FY10" i="29"/>
  <c r="AA33" i="1"/>
  <c r="AA13" i="29" s="1"/>
  <c r="FG13" i="29"/>
  <c r="GU11" i="29"/>
  <c r="GL8" i="29"/>
  <c r="FZ8" i="29"/>
  <c r="GS7" i="29"/>
  <c r="GM12" i="29"/>
  <c r="GH11" i="29"/>
  <c r="FX8" i="29"/>
  <c r="FX11" i="29"/>
  <c r="GS9" i="29"/>
  <c r="GN8" i="29"/>
  <c r="GG7" i="29"/>
  <c r="GE7" i="29"/>
  <c r="FZ11" i="29"/>
  <c r="GV7" i="29"/>
  <c r="GU12" i="29"/>
  <c r="GS10" i="29"/>
  <c r="GN9" i="29"/>
  <c r="GL9" i="29"/>
  <c r="GG8" i="29"/>
  <c r="GE8" i="29"/>
  <c r="GA8" i="29"/>
  <c r="GA11" i="29"/>
  <c r="GF8" i="29"/>
  <c r="GU9" i="29"/>
  <c r="GO12" i="29"/>
  <c r="GF11" i="29"/>
  <c r="GV8" i="29"/>
  <c r="GU13" i="29"/>
  <c r="GS11" i="29"/>
  <c r="GN10" i="29"/>
  <c r="GL10" i="29"/>
  <c r="GG9" i="29"/>
  <c r="GE9" i="29"/>
  <c r="FX9" i="29"/>
  <c r="FX12" i="29"/>
  <c r="V33" i="1"/>
  <c r="V13" i="29" s="1"/>
  <c r="DX13" i="29"/>
  <c r="GT7" i="29"/>
  <c r="GN11" i="29"/>
  <c r="GL11" i="29"/>
  <c r="GE10" i="29"/>
  <c r="FY9" i="29"/>
  <c r="FY12" i="29"/>
  <c r="GT8" i="29"/>
  <c r="GN12" i="29"/>
  <c r="GG11" i="29"/>
  <c r="FZ9" i="29"/>
  <c r="GV11" i="29"/>
  <c r="GO7" i="29"/>
  <c r="GH13" i="29"/>
  <c r="GG12" i="29"/>
  <c r="GE12" i="29"/>
  <c r="GA12" i="29"/>
  <c r="GG10" i="29"/>
  <c r="GV10" i="29"/>
  <c r="GS13" i="29"/>
  <c r="GL12" i="29"/>
  <c r="GE11" i="29"/>
  <c r="FZ12" i="29"/>
  <c r="GT9" i="29"/>
  <c r="GM7" i="29"/>
  <c r="GA9" i="29"/>
  <c r="GV12" i="29"/>
  <c r="GT10" i="29"/>
  <c r="GO8" i="29"/>
  <c r="GM8" i="29"/>
  <c r="GH7" i="29"/>
  <c r="GF7" i="29"/>
  <c r="FX7" i="29"/>
  <c r="FX10" i="29"/>
  <c r="AD33" i="1"/>
  <c r="AD13" i="29" s="1"/>
  <c r="GB13" i="29"/>
  <c r="DZ29" i="1"/>
  <c r="EG31" i="1"/>
  <c r="EN31" i="1"/>
  <c r="FB28" i="1"/>
  <c r="FB31" i="1"/>
  <c r="FI31" i="1"/>
  <c r="FM23" i="1"/>
  <c r="FK96" i="29" s="1"/>
  <c r="DZ28" i="1"/>
  <c r="EN30" i="1"/>
  <c r="EN32" i="1"/>
  <c r="EU27" i="1"/>
  <c r="FW28" i="1"/>
  <c r="FW31" i="1"/>
  <c r="EN28" i="1"/>
  <c r="DV23" i="1"/>
  <c r="DT96" i="29" s="1"/>
  <c r="EU31" i="1"/>
  <c r="EU28" i="1"/>
  <c r="ET23" i="1"/>
  <c r="ER96" i="29" s="1"/>
  <c r="EU29" i="1"/>
  <c r="EU32" i="1"/>
  <c r="FW27" i="1"/>
  <c r="FW30" i="1"/>
  <c r="FH23" i="1"/>
  <c r="FF96" i="29" s="1"/>
  <c r="FP31" i="1"/>
  <c r="FW32" i="1"/>
  <c r="EU30" i="1"/>
  <c r="EJ27" i="1"/>
  <c r="DY23" i="1"/>
  <c r="DW96" i="29" s="1"/>
  <c r="FG23" i="1"/>
  <c r="FE96" i="29" s="1"/>
  <c r="ES23" i="1"/>
  <c r="EQ96" i="29" s="1"/>
  <c r="FI29" i="1"/>
  <c r="FT23" i="1"/>
  <c r="FR96" i="29" s="1"/>
  <c r="FL23" i="1"/>
  <c r="FJ96" i="29" s="1"/>
  <c r="FP32" i="1"/>
  <c r="EK23" i="1"/>
  <c r="EI96" i="29" s="1"/>
  <c r="ER23" i="1"/>
  <c r="EP96" i="29" s="1"/>
  <c r="EF28" i="1"/>
  <c r="EL29" i="1"/>
  <c r="EJ9" i="29" s="1"/>
  <c r="GQ23" i="1"/>
  <c r="GO96" i="29" s="1"/>
  <c r="DX23" i="1"/>
  <c r="DV96" i="29" s="1"/>
  <c r="FO23" i="1"/>
  <c r="FM96" i="29" s="1"/>
  <c r="FN23" i="1"/>
  <c r="FL96" i="29" s="1"/>
  <c r="FV23" i="1"/>
  <c r="FT96" i="29" s="1"/>
  <c r="ED23" i="1"/>
  <c r="EB96" i="29" s="1"/>
  <c r="DP28" i="1"/>
  <c r="DN8" i="29" s="1"/>
  <c r="DN5" i="29" s="1"/>
  <c r="EL33" i="1"/>
  <c r="EJ13" i="29" s="1"/>
  <c r="FP29" i="1"/>
  <c r="FW29" i="1"/>
  <c r="FP27" i="1"/>
  <c r="FP30" i="1"/>
  <c r="FB32" i="1"/>
  <c r="CI27" i="1"/>
  <c r="DI27" i="1"/>
  <c r="BY27" i="1"/>
  <c r="EQ33" i="1"/>
  <c r="FI30" i="1"/>
  <c r="EM33" i="1"/>
  <c r="FF28" i="1"/>
  <c r="FF32" i="1"/>
  <c r="EG29" i="1"/>
  <c r="FA33" i="1"/>
  <c r="DJ28" i="1"/>
  <c r="FB27" i="1"/>
  <c r="FB30" i="1"/>
  <c r="EE33" i="1"/>
  <c r="FP28" i="1"/>
  <c r="EY23" i="1"/>
  <c r="EW96" i="29" s="1"/>
  <c r="EG27" i="1"/>
  <c r="EG30" i="1"/>
  <c r="DZ30" i="1"/>
  <c r="FU23" i="1"/>
  <c r="FS96" i="29" s="1"/>
  <c r="CN27" i="1"/>
  <c r="FB29" i="1"/>
  <c r="FE23" i="1"/>
  <c r="FC96" i="29" s="1"/>
  <c r="FS23" i="1"/>
  <c r="FQ96" i="29" s="1"/>
  <c r="EZ23" i="1"/>
  <c r="EX96" i="29" s="1"/>
  <c r="DZ31" i="1"/>
  <c r="DW23" i="1"/>
  <c r="DU96" i="29" s="1"/>
  <c r="DZ32" i="1"/>
  <c r="DZ27" i="1"/>
  <c r="EC23" i="1"/>
  <c r="EA96" i="29" s="1"/>
  <c r="EG32" i="1"/>
  <c r="EX23" i="1"/>
  <c r="EV96" i="29" s="1"/>
  <c r="FI27" i="1"/>
  <c r="EW5" i="29" l="1"/>
  <c r="FR5" i="29"/>
  <c r="FJ5" i="29"/>
  <c r="DU5" i="29"/>
  <c r="EI5" i="29"/>
  <c r="F67" i="1"/>
  <c r="E61" i="1"/>
  <c r="F62" i="1"/>
  <c r="G10" i="1"/>
  <c r="H11" i="1" s="1"/>
  <c r="G71" i="1"/>
  <c r="EV5" i="29"/>
  <c r="FL5" i="29"/>
  <c r="EX5" i="29"/>
  <c r="FF5" i="29"/>
  <c r="FQ5" i="29"/>
  <c r="FS5" i="29"/>
  <c r="EQ5" i="29"/>
  <c r="ER5" i="29"/>
  <c r="DW5" i="29"/>
  <c r="FC5" i="29"/>
  <c r="FM5" i="29"/>
  <c r="FT5" i="29"/>
  <c r="FK5" i="29"/>
  <c r="DT5" i="29"/>
  <c r="EA5" i="29"/>
  <c r="EB5" i="29"/>
  <c r="DV5" i="29"/>
  <c r="EP5" i="29"/>
  <c r="FE5" i="29"/>
  <c r="FU88" i="29"/>
  <c r="AC88" i="29" s="1"/>
  <c r="FU91" i="29"/>
  <c r="DX88" i="29"/>
  <c r="V88" i="29" s="1"/>
  <c r="DX91" i="29"/>
  <c r="EE91" i="29"/>
  <c r="EE88" i="29"/>
  <c r="W88" i="29" s="1"/>
  <c r="FG120" i="29"/>
  <c r="AA120" i="29" s="1"/>
  <c r="FG130" i="29"/>
  <c r="BW7" i="29"/>
  <c r="BW5" i="29" s="1"/>
  <c r="BW91" i="29"/>
  <c r="BW88" i="29"/>
  <c r="DG7" i="29"/>
  <c r="DG5" i="29" s="1"/>
  <c r="DG88" i="29"/>
  <c r="DG91" i="29"/>
  <c r="EH7" i="29"/>
  <c r="EH5" i="29" s="1"/>
  <c r="EH91" i="29"/>
  <c r="EH88" i="29"/>
  <c r="EZ120" i="29"/>
  <c r="Z120" i="29" s="1"/>
  <c r="EZ130" i="29"/>
  <c r="FN130" i="29"/>
  <c r="FN120" i="29"/>
  <c r="AB120" i="29" s="1"/>
  <c r="ES120" i="29"/>
  <c r="Y120" i="29" s="1"/>
  <c r="ES130" i="29"/>
  <c r="EL120" i="29"/>
  <c r="X120" i="29" s="1"/>
  <c r="EL130" i="29"/>
  <c r="CG7" i="29"/>
  <c r="CG5" i="29" s="1"/>
  <c r="CG91" i="29"/>
  <c r="CG88" i="29"/>
  <c r="EZ91" i="29"/>
  <c r="EZ88" i="29"/>
  <c r="Z88" i="29" s="1"/>
  <c r="FN91" i="29"/>
  <c r="FN88" i="29"/>
  <c r="AB88" i="29" s="1"/>
  <c r="EE130" i="29"/>
  <c r="EE120" i="29"/>
  <c r="W120" i="29" s="1"/>
  <c r="FG88" i="29"/>
  <c r="AA88" i="29" s="1"/>
  <c r="FG91" i="29"/>
  <c r="CL7" i="29"/>
  <c r="CL5" i="29" s="1"/>
  <c r="CL91" i="29"/>
  <c r="CL88" i="29"/>
  <c r="ES88" i="29"/>
  <c r="Y88" i="29" s="1"/>
  <c r="ES91" i="29"/>
  <c r="DX120" i="29"/>
  <c r="V120" i="29" s="1"/>
  <c r="DX130" i="29"/>
  <c r="FU120" i="29"/>
  <c r="AC120" i="29" s="1"/>
  <c r="FU130" i="29"/>
  <c r="GA5" i="29"/>
  <c r="GM5" i="29"/>
  <c r="EJ5" i="29"/>
  <c r="GU5" i="29"/>
  <c r="AA31" i="1"/>
  <c r="AA11" i="29" s="1"/>
  <c r="FG11" i="29"/>
  <c r="EG33" i="1"/>
  <c r="EC13" i="29"/>
  <c r="EC5" i="29" s="1"/>
  <c r="Y28" i="1"/>
  <c r="Y8" i="29" s="1"/>
  <c r="ES8" i="29"/>
  <c r="Z31" i="1"/>
  <c r="Z11" i="29" s="1"/>
  <c r="EZ11" i="29"/>
  <c r="GG5" i="29"/>
  <c r="GN5" i="29"/>
  <c r="Z30" i="1"/>
  <c r="Z10" i="29" s="1"/>
  <c r="EZ10" i="29"/>
  <c r="Y31" i="1"/>
  <c r="Y11" i="29" s="1"/>
  <c r="ES11" i="29"/>
  <c r="Z28" i="1"/>
  <c r="Z8" i="29" s="1"/>
  <c r="EZ8" i="29"/>
  <c r="GS5" i="29"/>
  <c r="Z27" i="1"/>
  <c r="Z7" i="29" s="1"/>
  <c r="EZ7" i="29"/>
  <c r="X31" i="1"/>
  <c r="X11" i="29" s="1"/>
  <c r="EL11" i="29"/>
  <c r="Z32" i="1"/>
  <c r="Z12" i="29" s="1"/>
  <c r="EZ12" i="29"/>
  <c r="DJ23" i="1"/>
  <c r="DH96" i="29" s="1"/>
  <c r="DH8" i="29"/>
  <c r="DH5" i="29" s="1"/>
  <c r="AB30" i="1"/>
  <c r="AB10" i="29" s="1"/>
  <c r="FN10" i="29"/>
  <c r="Y30" i="1"/>
  <c r="Y10" i="29" s="1"/>
  <c r="ES10" i="29"/>
  <c r="X28" i="1"/>
  <c r="X8" i="29" s="1"/>
  <c r="EL8" i="29"/>
  <c r="W31" i="1"/>
  <c r="W11" i="29" s="1"/>
  <c r="EE11" i="29"/>
  <c r="AB28" i="1"/>
  <c r="AB8" i="29" s="1"/>
  <c r="FN8" i="29"/>
  <c r="Z29" i="1"/>
  <c r="Z9" i="29" s="1"/>
  <c r="EZ9" i="29"/>
  <c r="FB33" i="1"/>
  <c r="FB23" i="1" s="1"/>
  <c r="EY13" i="29"/>
  <c r="EY5" i="29" s="1"/>
  <c r="AB27" i="1"/>
  <c r="AB7" i="29" s="1"/>
  <c r="FN7" i="29"/>
  <c r="EF23" i="1"/>
  <c r="ED96" i="29" s="1"/>
  <c r="ED8" i="29"/>
  <c r="ED5" i="29" s="1"/>
  <c r="AC32" i="1"/>
  <c r="AC12" i="29" s="1"/>
  <c r="FU12" i="29"/>
  <c r="AC31" i="1"/>
  <c r="AC11" i="29" s="1"/>
  <c r="FU11" i="29"/>
  <c r="V29" i="1"/>
  <c r="V9" i="29" s="1"/>
  <c r="DX9" i="29"/>
  <c r="W29" i="1"/>
  <c r="W9" i="29" s="1"/>
  <c r="EE9" i="29"/>
  <c r="AC29" i="1"/>
  <c r="AC9" i="29" s="1"/>
  <c r="FU9" i="29"/>
  <c r="AB31" i="1"/>
  <c r="AB11" i="29" s="1"/>
  <c r="FN11" i="29"/>
  <c r="AC28" i="1"/>
  <c r="AC8" i="29" s="1"/>
  <c r="FU8" i="29"/>
  <c r="GO5" i="29"/>
  <c r="GT5" i="29"/>
  <c r="GV5" i="29"/>
  <c r="FI32" i="1"/>
  <c r="FD12" i="29"/>
  <c r="AB29" i="1"/>
  <c r="AB9" i="29" s="1"/>
  <c r="FN9" i="29"/>
  <c r="Y27" i="1"/>
  <c r="Y7" i="29" s="1"/>
  <c r="ES7" i="29"/>
  <c r="FZ5" i="29"/>
  <c r="V31" i="1"/>
  <c r="V11" i="29" s="1"/>
  <c r="DX11" i="29"/>
  <c r="V30" i="1"/>
  <c r="V10" i="29" s="1"/>
  <c r="DX10" i="29"/>
  <c r="FI28" i="1"/>
  <c r="FD8" i="29"/>
  <c r="AB32" i="1"/>
  <c r="AB12" i="29" s="1"/>
  <c r="FN12" i="29"/>
  <c r="AC30" i="1"/>
  <c r="AC10" i="29" s="1"/>
  <c r="FU10" i="29"/>
  <c r="X32" i="1"/>
  <c r="X12" i="29" s="1"/>
  <c r="EL12" i="29"/>
  <c r="FY5" i="29"/>
  <c r="EM23" i="1"/>
  <c r="EK96" i="29" s="1"/>
  <c r="EK13" i="29"/>
  <c r="EK5" i="29" s="1"/>
  <c r="AC27" i="1"/>
  <c r="AC7" i="29" s="1"/>
  <c r="FU7" i="29"/>
  <c r="X30" i="1"/>
  <c r="X10" i="29" s="1"/>
  <c r="EL10" i="29"/>
  <c r="GF5" i="29"/>
  <c r="W32" i="1"/>
  <c r="W12" i="29" s="1"/>
  <c r="EE12" i="29"/>
  <c r="W30" i="1"/>
  <c r="W10" i="29" s="1"/>
  <c r="EE10" i="29"/>
  <c r="V27" i="1"/>
  <c r="V7" i="29" s="1"/>
  <c r="DX7" i="29"/>
  <c r="W27" i="1"/>
  <c r="W7" i="29" s="1"/>
  <c r="EE7" i="29"/>
  <c r="AA30" i="1"/>
  <c r="AA10" i="29" s="1"/>
  <c r="FG10" i="29"/>
  <c r="Y32" i="1"/>
  <c r="Y12" i="29" s="1"/>
  <c r="ES12" i="29"/>
  <c r="V28" i="1"/>
  <c r="V8" i="29" s="1"/>
  <c r="DX8" i="29"/>
  <c r="FX5" i="29"/>
  <c r="GE5" i="29"/>
  <c r="GL5" i="29"/>
  <c r="AA27" i="1"/>
  <c r="AA7" i="29" s="1"/>
  <c r="FG7" i="29"/>
  <c r="V32" i="1"/>
  <c r="V12" i="29" s="1"/>
  <c r="DX12" i="29"/>
  <c r="EU33" i="1"/>
  <c r="EU23" i="1" s="1"/>
  <c r="EO13" i="29"/>
  <c r="EO5" i="29" s="1"/>
  <c r="AA29" i="1"/>
  <c r="AA9" i="29" s="1"/>
  <c r="FG9" i="29"/>
  <c r="Y29" i="1"/>
  <c r="Y9" i="29" s="1"/>
  <c r="ES9" i="29"/>
  <c r="GH5" i="29"/>
  <c r="DX25" i="1"/>
  <c r="DY25" i="1"/>
  <c r="DV25" i="1"/>
  <c r="EJ23" i="1"/>
  <c r="EH96" i="29" s="1"/>
  <c r="EG28" i="1"/>
  <c r="EE8" i="29" s="1"/>
  <c r="FT25" i="1"/>
  <c r="ER25" i="1"/>
  <c r="EL23" i="1"/>
  <c r="EJ96" i="29" s="1"/>
  <c r="EN29" i="1"/>
  <c r="EK25" i="1"/>
  <c r="ED25" i="1"/>
  <c r="EN27" i="1"/>
  <c r="FO25" i="1"/>
  <c r="EN33" i="1"/>
  <c r="FN25" i="1"/>
  <c r="FW23" i="1"/>
  <c r="FV25" i="1"/>
  <c r="FG25" i="1"/>
  <c r="EQ23" i="1"/>
  <c r="EO96" i="29" s="1"/>
  <c r="FP23" i="1"/>
  <c r="FE25" i="1"/>
  <c r="EY25" i="1"/>
  <c r="DL28" i="1"/>
  <c r="CC27" i="1"/>
  <c r="BY23" i="1"/>
  <c r="BW96" i="29" s="1"/>
  <c r="DS28" i="1"/>
  <c r="DQ8" i="29" s="1"/>
  <c r="DQ5" i="29" s="1"/>
  <c r="DP23" i="1"/>
  <c r="DN96" i="29" s="1"/>
  <c r="CI23" i="1"/>
  <c r="CG96" i="29" s="1"/>
  <c r="CJ27" i="1"/>
  <c r="FU25" i="1"/>
  <c r="EC25" i="1"/>
  <c r="FA23" i="1"/>
  <c r="EY96" i="29" s="1"/>
  <c r="DI23" i="1"/>
  <c r="DG96" i="29" s="1"/>
  <c r="DL27" i="1"/>
  <c r="CN23" i="1"/>
  <c r="CL96" i="29" s="1"/>
  <c r="CQ27" i="1"/>
  <c r="EZ25" i="1"/>
  <c r="FS25" i="1"/>
  <c r="FF23" i="1"/>
  <c r="FD96" i="29" s="1"/>
  <c r="EE23" i="1"/>
  <c r="EC96" i="29" s="1"/>
  <c r="FL25" i="1"/>
  <c r="DZ23" i="1"/>
  <c r="DQ25" i="1" l="1"/>
  <c r="F71" i="1"/>
  <c r="F10" i="1"/>
  <c r="G11" i="1" s="1"/>
  <c r="E67" i="1"/>
  <c r="D61" i="1"/>
  <c r="E62" i="1"/>
  <c r="DJ25" i="1"/>
  <c r="EF25" i="1"/>
  <c r="V130" i="29"/>
  <c r="AA91" i="29"/>
  <c r="AA130" i="29"/>
  <c r="Z130" i="29"/>
  <c r="X130" i="29"/>
  <c r="CA88" i="29"/>
  <c r="O88" i="29" s="1"/>
  <c r="CA91" i="29"/>
  <c r="AC23" i="1"/>
  <c r="FU96" i="29"/>
  <c r="AC96" i="29" s="1"/>
  <c r="DJ88" i="29"/>
  <c r="T88" i="29" s="1"/>
  <c r="DJ91" i="29"/>
  <c r="EL91" i="29"/>
  <c r="EL88" i="29"/>
  <c r="X88" i="29" s="1"/>
  <c r="W130" i="29"/>
  <c r="AB91" i="29"/>
  <c r="W91" i="29"/>
  <c r="V91" i="29"/>
  <c r="V23" i="1"/>
  <c r="DX96" i="29"/>
  <c r="V96" i="29" s="1"/>
  <c r="Z91" i="29"/>
  <c r="CH91" i="29"/>
  <c r="CH88" i="29"/>
  <c r="P88" i="29" s="1"/>
  <c r="Z23" i="1"/>
  <c r="EZ96" i="29"/>
  <c r="Z96" i="29" s="1"/>
  <c r="Y130" i="29"/>
  <c r="CO88" i="29"/>
  <c r="Q88" i="29" s="1"/>
  <c r="CO91" i="29"/>
  <c r="AB23" i="1"/>
  <c r="FN96" i="29"/>
  <c r="AB96" i="29" s="1"/>
  <c r="Y23" i="1"/>
  <c r="ES96" i="29"/>
  <c r="Y96" i="29" s="1"/>
  <c r="AC91" i="29"/>
  <c r="AC130" i="29"/>
  <c r="Y91" i="29"/>
  <c r="AB130" i="29"/>
  <c r="FI23" i="1"/>
  <c r="FP25" i="1" s="1"/>
  <c r="AB25" i="1" s="1"/>
  <c r="ET25" i="1"/>
  <c r="FD5" i="29"/>
  <c r="U5" i="29"/>
  <c r="AA32" i="1"/>
  <c r="AA12" i="29" s="1"/>
  <c r="FG12" i="29"/>
  <c r="Z33" i="1"/>
  <c r="Z13" i="29" s="1"/>
  <c r="EZ13" i="29"/>
  <c r="EZ5" i="29" s="1"/>
  <c r="Y33" i="1"/>
  <c r="Y13" i="29" s="1"/>
  <c r="ES13" i="29"/>
  <c r="ES5" i="29" s="1"/>
  <c r="T27" i="1"/>
  <c r="T7" i="29" s="1"/>
  <c r="DJ7" i="29"/>
  <c r="X33" i="1"/>
  <c r="X13" i="29" s="1"/>
  <c r="EL13" i="29"/>
  <c r="W33" i="1"/>
  <c r="W13" i="29" s="1"/>
  <c r="EE13" i="29"/>
  <c r="EE5" i="29" s="1"/>
  <c r="Q27" i="1"/>
  <c r="Q7" i="29" s="1"/>
  <c r="CO7" i="29"/>
  <c r="CO5" i="29" s="1"/>
  <c r="T28" i="1"/>
  <c r="T8" i="29" s="1"/>
  <c r="DJ8" i="29"/>
  <c r="FU5" i="29"/>
  <c r="X27" i="1"/>
  <c r="X7" i="29" s="1"/>
  <c r="EL7" i="29"/>
  <c r="EM25" i="1"/>
  <c r="FN5" i="29"/>
  <c r="DX5" i="29"/>
  <c r="AA28" i="1"/>
  <c r="AA8" i="29" s="1"/>
  <c r="FG8" i="29"/>
  <c r="O27" i="1"/>
  <c r="O7" i="29" s="1"/>
  <c r="CA7" i="29"/>
  <c r="CA5" i="29" s="1"/>
  <c r="P27" i="1"/>
  <c r="P7" i="29" s="1"/>
  <c r="CH7" i="29"/>
  <c r="CH5" i="29" s="1"/>
  <c r="X29" i="1"/>
  <c r="X9" i="29" s="1"/>
  <c r="EL9" i="29"/>
  <c r="DS23" i="1"/>
  <c r="U28" i="1"/>
  <c r="U8" i="29" s="1"/>
  <c r="EG23" i="1"/>
  <c r="EG25" i="1" s="1"/>
  <c r="W25" i="1" s="1"/>
  <c r="W28" i="1"/>
  <c r="W8" i="29" s="1"/>
  <c r="EQ25" i="1"/>
  <c r="DW25" i="1"/>
  <c r="CQ23" i="1"/>
  <c r="ES25" i="1"/>
  <c r="EJ25" i="1"/>
  <c r="CC23" i="1"/>
  <c r="CA96" i="29" s="1"/>
  <c r="O96" i="29" s="1"/>
  <c r="CJ23" i="1"/>
  <c r="DL23" i="1"/>
  <c r="EL25" i="1"/>
  <c r="EN23" i="1"/>
  <c r="EX25" i="1"/>
  <c r="FW25" i="1"/>
  <c r="AC25" i="1" s="1"/>
  <c r="FB25" i="1"/>
  <c r="Z25" i="1" s="1"/>
  <c r="DP25" i="1"/>
  <c r="CN25" i="1"/>
  <c r="CU25" i="1"/>
  <c r="DI25" i="1"/>
  <c r="FA25" i="1"/>
  <c r="FH25" i="1"/>
  <c r="CI25" i="1"/>
  <c r="CP25" i="1"/>
  <c r="EE25" i="1"/>
  <c r="FF25" i="1"/>
  <c r="FM25" i="1"/>
  <c r="BY25" i="1"/>
  <c r="CF25" i="1"/>
  <c r="E10" i="1" l="1"/>
  <c r="E71" i="1"/>
  <c r="D67" i="1"/>
  <c r="C61" i="1"/>
  <c r="D62" i="1"/>
  <c r="DJ5" i="29"/>
  <c r="T5" i="29" s="1"/>
  <c r="FI25" i="1"/>
  <c r="AA25" i="1" s="1"/>
  <c r="FG5" i="29"/>
  <c r="AA5" i="29" s="1"/>
  <c r="Q23" i="1"/>
  <c r="CO96" i="29"/>
  <c r="Q96" i="29" s="1"/>
  <c r="P91" i="29"/>
  <c r="W23" i="1"/>
  <c r="EE96" i="29"/>
  <c r="W96" i="29" s="1"/>
  <c r="AA23" i="1"/>
  <c r="FG96" i="29"/>
  <c r="AA96" i="29" s="1"/>
  <c r="U23" i="1"/>
  <c r="DQ96" i="29"/>
  <c r="U96" i="29" s="1"/>
  <c r="Q91" i="29"/>
  <c r="X91" i="29"/>
  <c r="T23" i="1"/>
  <c r="DJ96" i="29"/>
  <c r="T96" i="29" s="1"/>
  <c r="T91" i="29"/>
  <c r="P23" i="1"/>
  <c r="CH96" i="29"/>
  <c r="P96" i="29" s="1"/>
  <c r="X23" i="1"/>
  <c r="EL96" i="29"/>
  <c r="X96" i="29" s="1"/>
  <c r="O91" i="29"/>
  <c r="W5" i="29"/>
  <c r="Y5" i="29"/>
  <c r="DZ25" i="1"/>
  <c r="V25" i="1" s="1"/>
  <c r="P5" i="29"/>
  <c r="EL5" i="29"/>
  <c r="Z5" i="29"/>
  <c r="AC5" i="29"/>
  <c r="O5" i="29"/>
  <c r="V5" i="29"/>
  <c r="AB5" i="29"/>
  <c r="Q5" i="29"/>
  <c r="CC25" i="1"/>
  <c r="O25" i="1" s="1"/>
  <c r="O23" i="1"/>
  <c r="DS25" i="1"/>
  <c r="U25" i="1" s="1"/>
  <c r="DL25" i="1"/>
  <c r="T25" i="1" s="1"/>
  <c r="CX25" i="1"/>
  <c r="R25" i="1" s="1"/>
  <c r="CQ25" i="1"/>
  <c r="Q25" i="1" s="1"/>
  <c r="EU25" i="1"/>
  <c r="Y25" i="1" s="1"/>
  <c r="CJ25" i="1"/>
  <c r="P25" i="1" s="1"/>
  <c r="EN25" i="1"/>
  <c r="X25" i="1" s="1"/>
  <c r="HX97" i="29"/>
  <c r="HW97" i="29"/>
  <c r="HV97" i="29"/>
  <c r="HU97" i="29"/>
  <c r="HQ97" i="29"/>
  <c r="HP97" i="29"/>
  <c r="HO97" i="29"/>
  <c r="HN97" i="29"/>
  <c r="HJ97" i="29"/>
  <c r="HI97" i="29"/>
  <c r="HH97" i="29"/>
  <c r="HG97" i="29"/>
  <c r="HC97" i="29"/>
  <c r="HB97" i="29"/>
  <c r="HA97" i="29"/>
  <c r="GZ97" i="29"/>
  <c r="GV97" i="29"/>
  <c r="GU97" i="29"/>
  <c r="GT97" i="29"/>
  <c r="GS97" i="29"/>
  <c r="GO97" i="29"/>
  <c r="GN97" i="29"/>
  <c r="GM97" i="29"/>
  <c r="GL97" i="29"/>
  <c r="GH97" i="29"/>
  <c r="GG97" i="29"/>
  <c r="GF97" i="29"/>
  <c r="GE97" i="29"/>
  <c r="GA97" i="29"/>
  <c r="FZ97" i="29"/>
  <c r="FY97" i="29"/>
  <c r="FX97" i="29"/>
  <c r="CD97" i="29"/>
  <c r="BZ97" i="29"/>
  <c r="BY97" i="29"/>
  <c r="BX97" i="29"/>
  <c r="K97" i="29"/>
  <c r="J97" i="29"/>
  <c r="H97" i="29"/>
  <c r="D10" i="1" l="1"/>
  <c r="C62" i="1"/>
  <c r="C10" i="1" s="1"/>
  <c r="D11" i="1" s="1"/>
  <c r="C67" i="1"/>
  <c r="F11" i="1"/>
  <c r="E11" i="1"/>
  <c r="X5" i="29"/>
  <c r="G97" i="29"/>
  <c r="L97" i="29"/>
  <c r="M97" i="29"/>
  <c r="BW97" i="29"/>
  <c r="DB97" i="29"/>
  <c r="DW97" i="29"/>
  <c r="ER97" i="29"/>
  <c r="CF97" i="29"/>
  <c r="CZ97" i="29"/>
  <c r="DU97" i="29"/>
  <c r="EF20" i="1"/>
  <c r="F97" i="29"/>
  <c r="CR97" i="29"/>
  <c r="DM97" i="29"/>
  <c r="CK97" i="29"/>
  <c r="DF97" i="29"/>
  <c r="EA97" i="29"/>
  <c r="EV97" i="29"/>
  <c r="EH97" i="29"/>
  <c r="FC97" i="29"/>
  <c r="E97" i="29"/>
  <c r="EP97" i="29"/>
  <c r="CH20" i="1"/>
  <c r="ES20" i="1"/>
  <c r="DA97" i="29"/>
  <c r="DV97" i="29"/>
  <c r="EQ97" i="29"/>
  <c r="CG97" i="29"/>
  <c r="FV20" i="1"/>
  <c r="FU20" i="1"/>
  <c r="CL97" i="29"/>
  <c r="DG97" i="29"/>
  <c r="EB97" i="29"/>
  <c r="EW97" i="29"/>
  <c r="DA20" i="1"/>
  <c r="CM97" i="29"/>
  <c r="DH97" i="29"/>
  <c r="EC97" i="29"/>
  <c r="EX97" i="29"/>
  <c r="CG20" i="1"/>
  <c r="DB20" i="1"/>
  <c r="FL97" i="29"/>
  <c r="CN97" i="29"/>
  <c r="DI97" i="29"/>
  <c r="ED97" i="29"/>
  <c r="EY97" i="29"/>
  <c r="CI20" i="1"/>
  <c r="CS97" i="29"/>
  <c r="DN97" i="29"/>
  <c r="EI97" i="29"/>
  <c r="FD97" i="29"/>
  <c r="CM20" i="1"/>
  <c r="EY20" i="1"/>
  <c r="CT97" i="29"/>
  <c r="DO97" i="29"/>
  <c r="EJ97" i="29"/>
  <c r="FE97" i="29"/>
  <c r="ED20" i="1"/>
  <c r="EZ20" i="1"/>
  <c r="CU97" i="29"/>
  <c r="DP97" i="29"/>
  <c r="EK97" i="29"/>
  <c r="FF97" i="29"/>
  <c r="EE20" i="1"/>
  <c r="FA20" i="1"/>
  <c r="CY97" i="29"/>
  <c r="DT97" i="29"/>
  <c r="EO97" i="29"/>
  <c r="FJ97" i="29"/>
  <c r="DK20" i="1"/>
  <c r="CE97" i="29"/>
  <c r="DO20" i="1"/>
  <c r="EJ20" i="1"/>
  <c r="EK20" i="1"/>
  <c r="I97" i="29"/>
  <c r="CV20" i="1"/>
  <c r="DQ20" i="1"/>
  <c r="DR20" i="1"/>
  <c r="FK97" i="29"/>
  <c r="CU20" i="1"/>
  <c r="DP20" i="1"/>
  <c r="DC20" i="1"/>
  <c r="ET20" i="1"/>
  <c r="CW20" i="1"/>
  <c r="DD20" i="1"/>
  <c r="DV20" i="1"/>
  <c r="EL20" i="1"/>
  <c r="CN20" i="1"/>
  <c r="BY20" i="1"/>
  <c r="BY7" i="1" s="1"/>
  <c r="DW20" i="1"/>
  <c r="EM20" i="1"/>
  <c r="CP20" i="1"/>
  <c r="DH20" i="1"/>
  <c r="DX20" i="1"/>
  <c r="FF20" i="1"/>
  <c r="CA20" i="1"/>
  <c r="CA7" i="1" s="1"/>
  <c r="DI20" i="1"/>
  <c r="DY20" i="1"/>
  <c r="EQ20" i="1"/>
  <c r="FG20" i="1"/>
  <c r="CT20" i="1"/>
  <c r="DJ20" i="1"/>
  <c r="ER20" i="1"/>
  <c r="FH20" i="1"/>
  <c r="EC20" i="1"/>
  <c r="CZ95" i="29" l="1"/>
  <c r="CZ131" i="29"/>
  <c r="CZ92" i="29"/>
  <c r="DG95" i="29"/>
  <c r="DG131" i="29"/>
  <c r="DG92" i="29"/>
  <c r="DA95" i="29"/>
  <c r="DA92" i="29"/>
  <c r="DA131" i="29"/>
  <c r="CS95" i="29"/>
  <c r="CS92" i="29"/>
  <c r="CS131" i="29"/>
  <c r="EC95" i="29"/>
  <c r="EC92" i="29"/>
  <c r="EC131" i="29"/>
  <c r="DN95" i="29"/>
  <c r="DN131" i="29"/>
  <c r="DN92" i="29"/>
  <c r="EA95" i="29"/>
  <c r="EA92" i="29"/>
  <c r="EA131" i="29"/>
  <c r="BY95" i="29"/>
  <c r="BY131" i="29"/>
  <c r="BY92" i="29"/>
  <c r="DP95" i="29"/>
  <c r="DP131" i="29"/>
  <c r="DP92" i="29"/>
  <c r="EH95" i="29"/>
  <c r="EH131" i="29"/>
  <c r="EH92" i="29"/>
  <c r="CE95" i="29"/>
  <c r="CE92" i="29"/>
  <c r="CE131" i="29"/>
  <c r="ED95" i="29"/>
  <c r="ED92" i="29"/>
  <c r="ED131" i="29"/>
  <c r="FD95" i="29"/>
  <c r="FD92" i="29"/>
  <c r="FD131" i="29"/>
  <c r="FF95" i="29"/>
  <c r="FF92" i="29"/>
  <c r="FF131" i="29"/>
  <c r="DV95" i="29"/>
  <c r="DV92" i="29"/>
  <c r="DV131" i="29"/>
  <c r="DT95" i="29"/>
  <c r="DT92" i="29"/>
  <c r="DT131" i="29"/>
  <c r="EI95" i="29"/>
  <c r="EI131" i="29"/>
  <c r="EI92" i="29"/>
  <c r="DM95" i="29"/>
  <c r="DM131" i="29"/>
  <c r="DM92" i="29"/>
  <c r="EX95" i="29"/>
  <c r="EX131" i="29"/>
  <c r="EX92" i="29"/>
  <c r="CG95" i="29"/>
  <c r="CG131" i="29"/>
  <c r="CG92" i="29"/>
  <c r="FS95" i="29"/>
  <c r="FS92" i="29"/>
  <c r="FS131" i="29"/>
  <c r="EP95" i="29"/>
  <c r="EP131" i="29"/>
  <c r="EP92" i="29"/>
  <c r="DF95" i="29"/>
  <c r="DF92" i="29"/>
  <c r="DF131" i="29"/>
  <c r="DH95" i="29"/>
  <c r="DH131" i="29"/>
  <c r="DH92" i="29"/>
  <c r="CN95" i="29"/>
  <c r="CN92" i="29"/>
  <c r="CN131" i="29"/>
  <c r="CL95" i="29"/>
  <c r="CL131" i="29"/>
  <c r="CL92" i="29"/>
  <c r="EB95" i="29"/>
  <c r="EB92" i="29"/>
  <c r="EB131" i="29"/>
  <c r="CR95" i="29"/>
  <c r="CR131" i="29"/>
  <c r="CR92" i="29"/>
  <c r="EW95" i="29"/>
  <c r="EW92" i="29"/>
  <c r="EW131" i="29"/>
  <c r="EQ95" i="29"/>
  <c r="EQ131" i="29"/>
  <c r="EQ92" i="29"/>
  <c r="EK95" i="29"/>
  <c r="EK131" i="29"/>
  <c r="EK92" i="29"/>
  <c r="CU95" i="29"/>
  <c r="CU92" i="29"/>
  <c r="CU131" i="29"/>
  <c r="ER95" i="29"/>
  <c r="ER131" i="29"/>
  <c r="ER92" i="29"/>
  <c r="DO95" i="29"/>
  <c r="DO92" i="29"/>
  <c r="DO131" i="29"/>
  <c r="DI95" i="29"/>
  <c r="DI92" i="29"/>
  <c r="DI131" i="29"/>
  <c r="FT95" i="29"/>
  <c r="FT92" i="29"/>
  <c r="FT131" i="29"/>
  <c r="DU95" i="29"/>
  <c r="DU92" i="29"/>
  <c r="DU131" i="29"/>
  <c r="FE95" i="29"/>
  <c r="FE92" i="29"/>
  <c r="FE131" i="29"/>
  <c r="BW95" i="29"/>
  <c r="BW131" i="29"/>
  <c r="BW92" i="29"/>
  <c r="DB95" i="29"/>
  <c r="DB131" i="29"/>
  <c r="DB92" i="29"/>
  <c r="CT95" i="29"/>
  <c r="CT92" i="29"/>
  <c r="CT131" i="29"/>
  <c r="CK95" i="29"/>
  <c r="CK131" i="29"/>
  <c r="CK92" i="29"/>
  <c r="CF95" i="29"/>
  <c r="CF92" i="29"/>
  <c r="CF131" i="29"/>
  <c r="DW95" i="29"/>
  <c r="DW92" i="29"/>
  <c r="DW131" i="29"/>
  <c r="EO95" i="29"/>
  <c r="EO92" i="29"/>
  <c r="EO131" i="29"/>
  <c r="EJ95" i="29"/>
  <c r="EJ92" i="29"/>
  <c r="EJ131" i="29"/>
  <c r="EY95" i="29"/>
  <c r="EY92" i="29"/>
  <c r="EY131" i="29"/>
  <c r="CY95" i="29"/>
  <c r="CY131" i="29"/>
  <c r="CY92" i="29"/>
  <c r="DS20" i="1"/>
  <c r="FN97" i="29"/>
  <c r="AB97" i="29" s="1"/>
  <c r="DE20" i="1"/>
  <c r="CX20" i="1"/>
  <c r="EU20" i="1"/>
  <c r="EG20" i="1"/>
  <c r="DZ20" i="1"/>
  <c r="DL20" i="1"/>
  <c r="EN20" i="1"/>
  <c r="BZ20" i="1"/>
  <c r="BZ7" i="1" s="1"/>
  <c r="CB20" i="1"/>
  <c r="CB7" i="1" s="1"/>
  <c r="CF20" i="1"/>
  <c r="GJ20" i="1"/>
  <c r="GH20" i="1"/>
  <c r="GX20" i="1"/>
  <c r="GW20" i="1"/>
  <c r="GQ20" i="1"/>
  <c r="HE20" i="1"/>
  <c r="GG20" i="1"/>
  <c r="GU20" i="1"/>
  <c r="GN20" i="1"/>
  <c r="GC20" i="1"/>
  <c r="GI20" i="1"/>
  <c r="GB20" i="1"/>
  <c r="HB20" i="1"/>
  <c r="GA20" i="1"/>
  <c r="GP20" i="1"/>
  <c r="HD20" i="1"/>
  <c r="FQ97" i="29"/>
  <c r="FS20" i="1"/>
  <c r="FM97" i="29"/>
  <c r="FE20" i="1"/>
  <c r="FO20" i="1"/>
  <c r="DJ97" i="29"/>
  <c r="T97" i="29" s="1"/>
  <c r="CA97" i="29"/>
  <c r="O97" i="29" s="1"/>
  <c r="DQ97" i="29"/>
  <c r="U97" i="29" s="1"/>
  <c r="DC97" i="29"/>
  <c r="S97" i="29" s="1"/>
  <c r="CH97" i="29"/>
  <c r="P97" i="29" s="1"/>
  <c r="FG97" i="29"/>
  <c r="AA97" i="29" s="1"/>
  <c r="EL97" i="29"/>
  <c r="X97" i="29" s="1"/>
  <c r="EZ97" i="29"/>
  <c r="Z97" i="29" s="1"/>
  <c r="BS97" i="29"/>
  <c r="CV97" i="29"/>
  <c r="R97" i="29" s="1"/>
  <c r="FZ20" i="1"/>
  <c r="FT97" i="29"/>
  <c r="FS97" i="29"/>
  <c r="FR97" i="29"/>
  <c r="DX97" i="29"/>
  <c r="V97" i="29" s="1"/>
  <c r="ES97" i="29"/>
  <c r="Y97" i="29" s="1"/>
  <c r="EE97" i="29"/>
  <c r="W97" i="29" s="1"/>
  <c r="CO97" i="29"/>
  <c r="Q97" i="29" s="1"/>
  <c r="BU20" i="1"/>
  <c r="BS20" i="1"/>
  <c r="BR20" i="1"/>
  <c r="BT20" i="1"/>
  <c r="FM20" i="1"/>
  <c r="BR95" i="29" l="1"/>
  <c r="BR92" i="29"/>
  <c r="BR131" i="29"/>
  <c r="HB131" i="29"/>
  <c r="HB95" i="29"/>
  <c r="HB92" i="29"/>
  <c r="GA95" i="29"/>
  <c r="GA92" i="29"/>
  <c r="GA131" i="29"/>
  <c r="GU95" i="29"/>
  <c r="GU131" i="29"/>
  <c r="GU92" i="29"/>
  <c r="X20" i="1"/>
  <c r="EL95" i="29"/>
  <c r="X95" i="29" s="1"/>
  <c r="EL131" i="29"/>
  <c r="X131" i="29" s="1"/>
  <c r="EL92" i="29"/>
  <c r="X92" i="29" s="1"/>
  <c r="T20" i="1"/>
  <c r="DJ95" i="29"/>
  <c r="T95" i="29" s="1"/>
  <c r="DJ131" i="29"/>
  <c r="T131" i="29" s="1"/>
  <c r="DJ92" i="29"/>
  <c r="T92" i="29" s="1"/>
  <c r="FX95" i="29"/>
  <c r="FX92" i="29"/>
  <c r="FX131" i="29"/>
  <c r="FQ95" i="29"/>
  <c r="FQ92" i="29"/>
  <c r="FQ131" i="29"/>
  <c r="GN95" i="29"/>
  <c r="GN92" i="29"/>
  <c r="GN131" i="29"/>
  <c r="GL95" i="29"/>
  <c r="GL92" i="29"/>
  <c r="GL131" i="29"/>
  <c r="GV95" i="29"/>
  <c r="GV131" i="29"/>
  <c r="GV92" i="29"/>
  <c r="V20" i="1"/>
  <c r="DX95" i="29"/>
  <c r="V95" i="29" s="1"/>
  <c r="DX131" i="29"/>
  <c r="V131" i="29" s="1"/>
  <c r="DX92" i="29"/>
  <c r="V92" i="29" s="1"/>
  <c r="S20" i="1"/>
  <c r="DC95" i="29"/>
  <c r="S95" i="29" s="1"/>
  <c r="DC131" i="29"/>
  <c r="S131" i="29" s="1"/>
  <c r="DC92" i="29"/>
  <c r="S92" i="29" s="1"/>
  <c r="BS95" i="29"/>
  <c r="BS131" i="29"/>
  <c r="BS92" i="29"/>
  <c r="FI20" i="1"/>
  <c r="FC95" i="29"/>
  <c r="FC131" i="29"/>
  <c r="FC92" i="29"/>
  <c r="W20" i="1"/>
  <c r="EE95" i="29"/>
  <c r="W95" i="29" s="1"/>
  <c r="EE131" i="29"/>
  <c r="W131" i="29" s="1"/>
  <c r="EE92" i="29"/>
  <c r="W92" i="29" s="1"/>
  <c r="FK95" i="29"/>
  <c r="FK92" i="29"/>
  <c r="FK131" i="29"/>
  <c r="FY95" i="29"/>
  <c r="FY131" i="29"/>
  <c r="FY92" i="29"/>
  <c r="GS95" i="29"/>
  <c r="GS92" i="29"/>
  <c r="GS131" i="29"/>
  <c r="GF95" i="29"/>
  <c r="GF92" i="29"/>
  <c r="GF131" i="29"/>
  <c r="BZ95" i="29"/>
  <c r="BZ131" i="29"/>
  <c r="BZ92" i="29"/>
  <c r="Y20" i="1"/>
  <c r="ES95" i="29"/>
  <c r="Y95" i="29" s="1"/>
  <c r="ES131" i="29"/>
  <c r="Y131" i="29" s="1"/>
  <c r="ES92" i="29"/>
  <c r="Y92" i="29" s="1"/>
  <c r="R20" i="1"/>
  <c r="CV95" i="29"/>
  <c r="R95" i="29" s="1"/>
  <c r="CV92" i="29"/>
  <c r="R92" i="29" s="1"/>
  <c r="CV131" i="29"/>
  <c r="R131" i="29" s="1"/>
  <c r="GZ95" i="29"/>
  <c r="GZ131" i="29"/>
  <c r="GZ92" i="29"/>
  <c r="GE95" i="29"/>
  <c r="GE92" i="29"/>
  <c r="GE131" i="29"/>
  <c r="GH95" i="29"/>
  <c r="GH131" i="29"/>
  <c r="GH92" i="29"/>
  <c r="U20" i="1"/>
  <c r="DQ95" i="29"/>
  <c r="U95" i="29" s="1"/>
  <c r="DQ92" i="29"/>
  <c r="U92" i="29" s="1"/>
  <c r="DQ131" i="29"/>
  <c r="U131" i="29" s="1"/>
  <c r="BP95" i="29"/>
  <c r="BP92" i="29"/>
  <c r="BP131" i="29"/>
  <c r="FZ95" i="29"/>
  <c r="FZ92" i="29"/>
  <c r="FZ131" i="29"/>
  <c r="HC131" i="29"/>
  <c r="HC95" i="29"/>
  <c r="HC92" i="29"/>
  <c r="CJ20" i="1"/>
  <c r="CD95" i="29"/>
  <c r="CD92" i="29"/>
  <c r="CD131" i="29"/>
  <c r="BX95" i="29"/>
  <c r="BX92" i="29"/>
  <c r="BX131" i="29"/>
  <c r="BQ95" i="29"/>
  <c r="BQ131" i="29"/>
  <c r="BQ92" i="29"/>
  <c r="FM95" i="29"/>
  <c r="FM92" i="29"/>
  <c r="FM131" i="29"/>
  <c r="GG95" i="29"/>
  <c r="GG131" i="29"/>
  <c r="GG92" i="29"/>
  <c r="GO95" i="29"/>
  <c r="GO92" i="29"/>
  <c r="GO131" i="29"/>
  <c r="GN25" i="29"/>
  <c r="GN22" i="29"/>
  <c r="GN23" i="29"/>
  <c r="GN24" i="29"/>
  <c r="GN20" i="29"/>
  <c r="GN19" i="29"/>
  <c r="GN21" i="29"/>
  <c r="GA7" i="1"/>
  <c r="FY25" i="29"/>
  <c r="FY21" i="29"/>
  <c r="FY19" i="29"/>
  <c r="FY24" i="29"/>
  <c r="FY20" i="29"/>
  <c r="FY22" i="29"/>
  <c r="FY23" i="29"/>
  <c r="GS23" i="29"/>
  <c r="GS21" i="29"/>
  <c r="GS19" i="29"/>
  <c r="GS20" i="29"/>
  <c r="GS22" i="29"/>
  <c r="GS24" i="29"/>
  <c r="GS25" i="29"/>
  <c r="GF25" i="29"/>
  <c r="GF22" i="29"/>
  <c r="GF21" i="29"/>
  <c r="GF20" i="29"/>
  <c r="GF24" i="29"/>
  <c r="GF23" i="29"/>
  <c r="GF19" i="29"/>
  <c r="GZ24" i="29"/>
  <c r="GZ25" i="29"/>
  <c r="GZ22" i="29"/>
  <c r="GZ20" i="29"/>
  <c r="GZ23" i="29"/>
  <c r="GZ21" i="29"/>
  <c r="GZ19" i="29"/>
  <c r="GE25" i="29"/>
  <c r="GE19" i="29"/>
  <c r="GE23" i="29"/>
  <c r="GE22" i="29"/>
  <c r="GE20" i="29"/>
  <c r="GE21" i="29"/>
  <c r="GE24" i="29"/>
  <c r="GH21" i="29"/>
  <c r="GH23" i="29"/>
  <c r="GH24" i="29"/>
  <c r="GH20" i="29"/>
  <c r="GH25" i="29"/>
  <c r="GH19" i="29"/>
  <c r="GH22" i="29"/>
  <c r="GL25" i="29"/>
  <c r="GL19" i="29"/>
  <c r="GL21" i="29"/>
  <c r="GL24" i="29"/>
  <c r="GL20" i="29"/>
  <c r="GL22" i="29"/>
  <c r="GL23" i="29"/>
  <c r="GV21" i="29"/>
  <c r="GV24" i="29"/>
  <c r="GV25" i="29"/>
  <c r="GV23" i="29"/>
  <c r="GV19" i="29"/>
  <c r="GV20" i="29"/>
  <c r="GV22" i="29"/>
  <c r="GB7" i="1"/>
  <c r="FZ25" i="29"/>
  <c r="FZ21" i="29"/>
  <c r="FZ23" i="29"/>
  <c r="FZ19" i="29"/>
  <c r="FZ20" i="29"/>
  <c r="FZ24" i="29"/>
  <c r="FZ22" i="29"/>
  <c r="HC23" i="29"/>
  <c r="HC25" i="29"/>
  <c r="HC20" i="29"/>
  <c r="HC24" i="29"/>
  <c r="HC22" i="29"/>
  <c r="HC21" i="29"/>
  <c r="HC19" i="29"/>
  <c r="FX25" i="29"/>
  <c r="FX21" i="29"/>
  <c r="FX19" i="29"/>
  <c r="FX24" i="29"/>
  <c r="FX20" i="29"/>
  <c r="FX22" i="29"/>
  <c r="FX23" i="29"/>
  <c r="GG25" i="29"/>
  <c r="GG20" i="29"/>
  <c r="GG19" i="29"/>
  <c r="GG22" i="29"/>
  <c r="GG24" i="29"/>
  <c r="GG21" i="29"/>
  <c r="GG23" i="29"/>
  <c r="GO25" i="29"/>
  <c r="GO21" i="29"/>
  <c r="GO19" i="29"/>
  <c r="GO20" i="29"/>
  <c r="GO23" i="29"/>
  <c r="GO24" i="29"/>
  <c r="GO22" i="29"/>
  <c r="HB24" i="29"/>
  <c r="HB23" i="29"/>
  <c r="HB25" i="29"/>
  <c r="HB22" i="29"/>
  <c r="HB20" i="29"/>
  <c r="HB21" i="29"/>
  <c r="HB19" i="29"/>
  <c r="GC7" i="1"/>
  <c r="GA25" i="29"/>
  <c r="GA24" i="29"/>
  <c r="GA19" i="29"/>
  <c r="GA22" i="29"/>
  <c r="GA20" i="29"/>
  <c r="GA23" i="29"/>
  <c r="GA21" i="29"/>
  <c r="GU25" i="29"/>
  <c r="GU19" i="29"/>
  <c r="GU20" i="29"/>
  <c r="GU21" i="29"/>
  <c r="GU24" i="29"/>
  <c r="GU22" i="29"/>
  <c r="GU23" i="29"/>
  <c r="CC20" i="1"/>
  <c r="CC7" i="1" s="1"/>
  <c r="BV20" i="1"/>
  <c r="GX21" i="1"/>
  <c r="GH21" i="1"/>
  <c r="GP21" i="1"/>
  <c r="GW21" i="1"/>
  <c r="GN21" i="1"/>
  <c r="GK20" i="1"/>
  <c r="GI95" i="29" s="1"/>
  <c r="AE95" i="29" s="1"/>
  <c r="GJ21" i="1"/>
  <c r="HB21" i="1"/>
  <c r="HE21" i="1"/>
  <c r="GI21" i="1"/>
  <c r="HD21" i="1"/>
  <c r="GQ21" i="1"/>
  <c r="GQ24" i="1"/>
  <c r="GU21" i="1"/>
  <c r="FT20" i="1"/>
  <c r="EX20" i="1"/>
  <c r="HC20" i="1"/>
  <c r="GO20" i="1"/>
  <c r="GV20" i="1"/>
  <c r="GT95" i="29" l="1"/>
  <c r="GT92" i="29"/>
  <c r="GT131" i="29"/>
  <c r="AA20" i="1"/>
  <c r="FG95" i="29"/>
  <c r="AA95" i="29" s="1"/>
  <c r="FG92" i="29"/>
  <c r="AA92" i="29" s="1"/>
  <c r="FG131" i="29"/>
  <c r="AA131" i="29" s="1"/>
  <c r="GM95" i="29"/>
  <c r="GM92" i="29"/>
  <c r="GM131" i="29"/>
  <c r="N20" i="1"/>
  <c r="BT95" i="29"/>
  <c r="N95" i="29" s="1"/>
  <c r="BT131" i="29"/>
  <c r="N131" i="29" s="1"/>
  <c r="BT92" i="29"/>
  <c r="N92" i="29" s="1"/>
  <c r="FU97" i="29"/>
  <c r="AC97" i="29" s="1"/>
  <c r="HA95" i="29"/>
  <c r="HA131" i="29"/>
  <c r="HA92" i="29"/>
  <c r="O20" i="1"/>
  <c r="CA95" i="29"/>
  <c r="O95" i="29" s="1"/>
  <c r="CA131" i="29"/>
  <c r="O131" i="29" s="1"/>
  <c r="CA92" i="29"/>
  <c r="O92" i="29" s="1"/>
  <c r="FB20" i="1"/>
  <c r="EV95" i="29"/>
  <c r="EV92" i="29"/>
  <c r="EV131" i="29"/>
  <c r="P20" i="1"/>
  <c r="CH95" i="29"/>
  <c r="P95" i="29" s="1"/>
  <c r="CH131" i="29"/>
  <c r="P131" i="29" s="1"/>
  <c r="CH92" i="29"/>
  <c r="P92" i="29" s="1"/>
  <c r="BT97" i="29"/>
  <c r="N97" i="29" s="1"/>
  <c r="FW20" i="1"/>
  <c r="FR95" i="29"/>
  <c r="FR131" i="29"/>
  <c r="FR92" i="29"/>
  <c r="FY27" i="29"/>
  <c r="FZ27" i="29"/>
  <c r="GG27" i="29"/>
  <c r="HC27" i="29"/>
  <c r="GA27" i="29"/>
  <c r="GT23" i="29"/>
  <c r="GT22" i="29"/>
  <c r="GT25" i="29"/>
  <c r="GT19" i="29"/>
  <c r="GT24" i="29"/>
  <c r="GT21" i="29"/>
  <c r="GT20" i="29"/>
  <c r="GL27" i="29"/>
  <c r="GS27" i="29"/>
  <c r="GN27" i="29"/>
  <c r="GO27" i="29"/>
  <c r="GV27" i="29"/>
  <c r="GF27" i="29"/>
  <c r="HB27" i="29"/>
  <c r="GM25" i="29"/>
  <c r="GM21" i="29"/>
  <c r="GM20" i="29"/>
  <c r="GM24" i="29"/>
  <c r="GM23" i="29"/>
  <c r="GM19" i="29"/>
  <c r="GM22" i="29"/>
  <c r="GE27" i="29"/>
  <c r="GU27" i="29"/>
  <c r="GH27" i="29"/>
  <c r="HF20" i="1"/>
  <c r="HA24" i="29"/>
  <c r="HA23" i="29"/>
  <c r="HA25" i="29"/>
  <c r="HA22" i="29"/>
  <c r="HA20" i="29"/>
  <c r="HA21" i="29"/>
  <c r="HA19" i="29"/>
  <c r="FX27" i="29"/>
  <c r="GZ27" i="29"/>
  <c r="AE20" i="1"/>
  <c r="FN20" i="1"/>
  <c r="CO20" i="1"/>
  <c r="FL20" i="1"/>
  <c r="GO21" i="1"/>
  <c r="GV21" i="1"/>
  <c r="GR20" i="1"/>
  <c r="HC21" i="1"/>
  <c r="GY20" i="1"/>
  <c r="AF20" i="1" l="1"/>
  <c r="GP95" i="29"/>
  <c r="AF95" i="29" s="1"/>
  <c r="FJ95" i="29"/>
  <c r="FJ92" i="29"/>
  <c r="FJ131" i="29"/>
  <c r="AC20" i="1"/>
  <c r="FU95" i="29"/>
  <c r="AC95" i="29" s="1"/>
  <c r="FU131" i="29"/>
  <c r="AC131" i="29" s="1"/>
  <c r="FU92" i="29"/>
  <c r="AC92" i="29" s="1"/>
  <c r="AH20" i="1"/>
  <c r="HD95" i="29"/>
  <c r="AH95" i="29" s="1"/>
  <c r="CQ20" i="1"/>
  <c r="CM95" i="29"/>
  <c r="CM92" i="29"/>
  <c r="CM131" i="29"/>
  <c r="FL95" i="29"/>
  <c r="FL131" i="29"/>
  <c r="FL92" i="29"/>
  <c r="Z20" i="1"/>
  <c r="EZ95" i="29"/>
  <c r="Z95" i="29" s="1"/>
  <c r="EZ131" i="29"/>
  <c r="Z131" i="29" s="1"/>
  <c r="EZ92" i="29"/>
  <c r="Z92" i="29" s="1"/>
  <c r="AG20" i="1"/>
  <c r="GW95" i="29"/>
  <c r="AG95" i="29" s="1"/>
  <c r="GT27" i="29"/>
  <c r="HA27" i="29"/>
  <c r="GM27" i="29"/>
  <c r="FP20" i="1"/>
  <c r="GR21" i="1"/>
  <c r="AF21" i="1" s="1"/>
  <c r="GY21" i="1"/>
  <c r="AG21" i="1" s="1"/>
  <c r="HF21" i="1"/>
  <c r="AH21" i="1" s="1"/>
  <c r="AB20" i="1" l="1"/>
  <c r="FN95" i="29"/>
  <c r="AB95" i="29" s="1"/>
  <c r="FN131" i="29"/>
  <c r="AB131" i="29" s="1"/>
  <c r="FN92" i="29"/>
  <c r="AB92" i="29" s="1"/>
  <c r="Q20" i="1"/>
  <c r="CO95" i="29"/>
  <c r="Q95" i="29" s="1"/>
  <c r="CO131" i="29"/>
  <c r="Q131" i="29" s="1"/>
  <c r="CO92" i="29"/>
  <c r="Q92" i="29" s="1"/>
  <c r="GK85" i="5" l="1"/>
  <c r="GQ88" i="5" s="1"/>
  <c r="GJ85" i="5"/>
  <c r="GI85" i="5"/>
  <c r="GH85" i="5"/>
  <c r="GD85" i="5"/>
  <c r="GP88" i="5" l="1"/>
  <c r="GO88" i="5"/>
  <c r="FQ174" i="5"/>
  <c r="U159" i="5"/>
  <c r="FQ152" i="5"/>
  <c r="U152" i="5" s="1"/>
  <c r="FQ149" i="5"/>
  <c r="U149" i="5" s="1"/>
  <c r="FQ133" i="5"/>
  <c r="U133" i="5" s="1"/>
  <c r="FQ130" i="5"/>
  <c r="U130" i="5" s="1"/>
  <c r="FQ127" i="5"/>
  <c r="U127" i="5" s="1"/>
  <c r="FQ122" i="5"/>
  <c r="FQ85" i="5"/>
  <c r="FP66" i="5"/>
  <c r="FP56" i="5"/>
  <c r="FP51" i="5"/>
  <c r="FP41" i="5"/>
  <c r="FP40" i="5"/>
  <c r="FP39" i="5"/>
  <c r="HJ95" i="4"/>
  <c r="HJ92" i="4"/>
  <c r="HJ80" i="4"/>
  <c r="FP106" i="5" s="1"/>
  <c r="KY23" i="1"/>
  <c r="KW96" i="29" s="1"/>
  <c r="FQ123" i="5" l="1"/>
  <c r="U123" i="5" s="1"/>
  <c r="U122" i="5"/>
  <c r="U12" i="5"/>
  <c r="FQ88" i="5"/>
  <c r="U88" i="5" s="1"/>
  <c r="U85" i="5"/>
  <c r="FQ77" i="5"/>
  <c r="U77" i="5" s="1"/>
  <c r="U174" i="5"/>
  <c r="KZ33" i="1" l="1"/>
  <c r="AV33" i="1" l="1"/>
  <c r="AV13" i="29" s="1"/>
  <c r="KX13" i="29"/>
  <c r="X159" i="5"/>
  <c r="GK153" i="5"/>
  <c r="GL153" i="5" s="1"/>
  <c r="X153" i="5" s="1"/>
  <c r="GJ153" i="5"/>
  <c r="GI153" i="5"/>
  <c r="GH153" i="5"/>
  <c r="GK134" i="5"/>
  <c r="GL134" i="5" s="1"/>
  <c r="X134" i="5" s="1"/>
  <c r="GJ134" i="5"/>
  <c r="GI134" i="5"/>
  <c r="GH134" i="5"/>
  <c r="GK131" i="5"/>
  <c r="GL131" i="5" s="1"/>
  <c r="X131" i="5" s="1"/>
  <c r="GJ131" i="5"/>
  <c r="GI131" i="5"/>
  <c r="GH131" i="5"/>
  <c r="GK128" i="5"/>
  <c r="GL128" i="5" s="1"/>
  <c r="X128" i="5" s="1"/>
  <c r="GJ128" i="5"/>
  <c r="GI128" i="5"/>
  <c r="GH128" i="5"/>
  <c r="X72" i="5"/>
  <c r="GK57" i="5"/>
  <c r="GJ57" i="5"/>
  <c r="GI57" i="5"/>
  <c r="GH57" i="5"/>
  <c r="GL56" i="5"/>
  <c r="GL53" i="5"/>
  <c r="GK52" i="5"/>
  <c r="GJ52" i="5"/>
  <c r="GI52" i="5"/>
  <c r="GH52" i="5"/>
  <c r="GK51" i="5"/>
  <c r="GJ51" i="5"/>
  <c r="GI51" i="5"/>
  <c r="GH51" i="5"/>
  <c r="GL45" i="5"/>
  <c r="GK44" i="5"/>
  <c r="GJ44" i="5"/>
  <c r="GI44" i="5"/>
  <c r="GH44" i="5"/>
  <c r="GK43" i="5"/>
  <c r="GJ43" i="5"/>
  <c r="GI43" i="5"/>
  <c r="GH43" i="5"/>
  <c r="GL42" i="5"/>
  <c r="GL41" i="5"/>
  <c r="GL40" i="5"/>
  <c r="GL39" i="5"/>
  <c r="GK38" i="5"/>
  <c r="GJ38" i="5"/>
  <c r="GI38" i="5"/>
  <c r="GH38" i="5"/>
  <c r="GL24" i="5"/>
  <c r="GL23" i="5"/>
  <c r="GL22" i="5"/>
  <c r="GL21" i="5"/>
  <c r="GL20" i="5"/>
  <c r="GL19" i="5"/>
  <c r="GL18" i="5"/>
  <c r="GL17" i="5"/>
  <c r="GK16" i="5"/>
  <c r="GJ16" i="5"/>
  <c r="GI16" i="5"/>
  <c r="GH16" i="5"/>
  <c r="GL15" i="5"/>
  <c r="GL14" i="5"/>
  <c r="GK10" i="5"/>
  <c r="GJ10" i="5"/>
  <c r="GI10" i="5"/>
  <c r="GH10" i="5"/>
  <c r="AD65" i="4"/>
  <c r="LU70" i="1"/>
  <c r="LU58" i="1"/>
  <c r="LU57" i="1"/>
  <c r="LU56" i="1"/>
  <c r="LU53" i="1"/>
  <c r="LU38" i="1"/>
  <c r="IK77" i="4" l="1"/>
  <c r="II77" i="4"/>
  <c r="IJ77" i="4"/>
  <c r="AY38" i="1"/>
  <c r="GK13" i="5"/>
  <c r="AY70" i="1"/>
  <c r="GH13" i="5"/>
  <c r="X21" i="5"/>
  <c r="X39" i="5"/>
  <c r="X45" i="5"/>
  <c r="AY58" i="1"/>
  <c r="X24" i="5"/>
  <c r="GI13" i="5"/>
  <c r="X18" i="5"/>
  <c r="X22" i="5"/>
  <c r="X40" i="5"/>
  <c r="X53" i="5"/>
  <c r="X15" i="5"/>
  <c r="X20" i="5"/>
  <c r="X42" i="5"/>
  <c r="X17" i="5"/>
  <c r="AY56" i="1"/>
  <c r="AY57" i="1"/>
  <c r="X14" i="5"/>
  <c r="GJ13" i="5"/>
  <c r="X19" i="5"/>
  <c r="X23" i="5"/>
  <c r="X41" i="5"/>
  <c r="X56" i="5"/>
  <c r="AY13" i="29"/>
  <c r="GL85" i="5"/>
  <c r="X85" i="5" s="1"/>
  <c r="AY9" i="29"/>
  <c r="GL57" i="5"/>
  <c r="GL43" i="5"/>
  <c r="GL38" i="5"/>
  <c r="GL44" i="5"/>
  <c r="IE77" i="4"/>
  <c r="GL51" i="5"/>
  <c r="GL52" i="5"/>
  <c r="GL16" i="5"/>
  <c r="GL10" i="5"/>
  <c r="HI56" i="4"/>
  <c r="HI43" i="4"/>
  <c r="FO112" i="5" s="1"/>
  <c r="HI32" i="4"/>
  <c r="HI41" i="4" s="1"/>
  <c r="HI24" i="4"/>
  <c r="HI19" i="4"/>
  <c r="HI11" i="4"/>
  <c r="HI17" i="4" s="1"/>
  <c r="W159" i="5"/>
  <c r="GD153" i="5"/>
  <c r="GE153" i="5" s="1"/>
  <c r="W153" i="5" s="1"/>
  <c r="GD134" i="5"/>
  <c r="GE134" i="5" s="1"/>
  <c r="W134" i="5" s="1"/>
  <c r="GD131" i="5"/>
  <c r="GE131" i="5" s="1"/>
  <c r="W131" i="5" s="1"/>
  <c r="GD128" i="5"/>
  <c r="GE128" i="5" s="1"/>
  <c r="W128" i="5" s="1"/>
  <c r="W72" i="5"/>
  <c r="GE56" i="5"/>
  <c r="GE53" i="5"/>
  <c r="GE45" i="5"/>
  <c r="GE42" i="5"/>
  <c r="GE41" i="5"/>
  <c r="GE40" i="5"/>
  <c r="GE39" i="5"/>
  <c r="GE24" i="5"/>
  <c r="GE23" i="5"/>
  <c r="GE22" i="5"/>
  <c r="GE21" i="5"/>
  <c r="GE20" i="5"/>
  <c r="GE19" i="5"/>
  <c r="GE18" i="5"/>
  <c r="GE17" i="5"/>
  <c r="GD16" i="5"/>
  <c r="GE15" i="5"/>
  <c r="GE14" i="5"/>
  <c r="GD10" i="5"/>
  <c r="LN70" i="1"/>
  <c r="LN58" i="1"/>
  <c r="LN57" i="1"/>
  <c r="LN53" i="1"/>
  <c r="LN38" i="1"/>
  <c r="X10" i="5" l="1"/>
  <c r="X52" i="5"/>
  <c r="X51" i="5"/>
  <c r="AX9" i="29"/>
  <c r="AX70" i="1"/>
  <c r="AX58" i="1"/>
  <c r="AX38" i="1"/>
  <c r="AX13" i="29"/>
  <c r="AX57" i="1"/>
  <c r="W21" i="5"/>
  <c r="W23" i="5"/>
  <c r="W22" i="5"/>
  <c r="W14" i="5"/>
  <c r="W15" i="5"/>
  <c r="W24" i="5"/>
  <c r="W53" i="5"/>
  <c r="W56" i="5"/>
  <c r="W17" i="5"/>
  <c r="W39" i="5"/>
  <c r="W45" i="5"/>
  <c r="GL130" i="5"/>
  <c r="X130" i="5" s="1"/>
  <c r="X44" i="5"/>
  <c r="W40" i="5"/>
  <c r="GL13" i="5"/>
  <c r="X16" i="5"/>
  <c r="GL127" i="5"/>
  <c r="X127" i="5" s="1"/>
  <c r="X38" i="5"/>
  <c r="W18" i="5"/>
  <c r="W41" i="5"/>
  <c r="GL133" i="5"/>
  <c r="X133" i="5" s="1"/>
  <c r="X43" i="5"/>
  <c r="W19" i="5"/>
  <c r="W20" i="5"/>
  <c r="W42" i="5"/>
  <c r="GL152" i="5"/>
  <c r="X152" i="5" s="1"/>
  <c r="X57" i="5"/>
  <c r="HI48" i="4"/>
  <c r="HI58" i="4" s="1"/>
  <c r="GE85" i="5"/>
  <c r="W85" i="5" s="1"/>
  <c r="GB13" i="5"/>
  <c r="GC13" i="5"/>
  <c r="GD13" i="5"/>
  <c r="IC77" i="4"/>
  <c r="ID77" i="4"/>
  <c r="IB77" i="4"/>
  <c r="GE16" i="5"/>
  <c r="IF77" i="4"/>
  <c r="AD77" i="4" s="1"/>
  <c r="GL88" i="5"/>
  <c r="X88" i="5" s="1"/>
  <c r="GE10" i="5"/>
  <c r="W10" i="5" s="1"/>
  <c r="HX77" i="4"/>
  <c r="GE38" i="5"/>
  <c r="W38" i="5" s="1"/>
  <c r="GE43" i="5"/>
  <c r="W43" i="5" s="1"/>
  <c r="GE44" i="5"/>
  <c r="W44" i="5" s="1"/>
  <c r="GE57" i="5"/>
  <c r="W57" i="5" s="1"/>
  <c r="HI28" i="4"/>
  <c r="AC65" i="4"/>
  <c r="GE51" i="5"/>
  <c r="GE52" i="5"/>
  <c r="X13" i="5" l="1"/>
  <c r="W52" i="5"/>
  <c r="W51" i="5"/>
  <c r="W16" i="5"/>
  <c r="GE13" i="5"/>
  <c r="GE152" i="5"/>
  <c r="W152" i="5" s="1"/>
  <c r="GE130" i="5"/>
  <c r="W130" i="5" s="1"/>
  <c r="GE133" i="5"/>
  <c r="W133" i="5" s="1"/>
  <c r="GE127" i="5"/>
  <c r="W127" i="5" s="1"/>
  <c r="GE88" i="5"/>
  <c r="W88" i="5" s="1"/>
  <c r="HI59" i="4"/>
  <c r="HY77" i="4"/>
  <c r="AC77" i="4" s="1"/>
  <c r="W13" i="5" l="1"/>
  <c r="KX23" i="1" l="1"/>
  <c r="KV96" i="29" s="1"/>
  <c r="FO66" i="5"/>
  <c r="FO52" i="5"/>
  <c r="FP52" i="5" s="1"/>
  <c r="HI95" i="4"/>
  <c r="HI92" i="4"/>
  <c r="HI80" i="4"/>
  <c r="FO106" i="5" s="1"/>
  <c r="KA7" i="1" l="1"/>
  <c r="JW7" i="1"/>
  <c r="JV7" i="1"/>
  <c r="JT7" i="1"/>
  <c r="JP7" i="1"/>
  <c r="JO7" i="1"/>
  <c r="JN7" i="1"/>
  <c r="JM7" i="1"/>
  <c r="JI7" i="1"/>
  <c r="JH7" i="1"/>
  <c r="JG7" i="1"/>
  <c r="JF7" i="1"/>
  <c r="JB7" i="1"/>
  <c r="JA7" i="1"/>
  <c r="IZ7" i="1"/>
  <c r="IY7" i="1"/>
  <c r="IU7" i="1"/>
  <c r="IT7" i="1"/>
  <c r="IS7" i="1"/>
  <c r="IR7" i="1"/>
  <c r="HE7" i="1"/>
  <c r="HD7" i="1"/>
  <c r="HC7" i="1"/>
  <c r="HB7" i="1"/>
  <c r="GX7" i="1"/>
  <c r="GW7" i="1"/>
  <c r="GV7" i="1"/>
  <c r="GU7" i="1"/>
  <c r="GQ7" i="1"/>
  <c r="GP7" i="1"/>
  <c r="GO7" i="1"/>
  <c r="GN7" i="1"/>
  <c r="GJ7" i="1"/>
  <c r="GI7" i="1"/>
  <c r="GH7" i="1"/>
  <c r="GG7" i="1"/>
  <c r="HB8" i="1" l="1"/>
  <c r="JM8" i="1"/>
  <c r="GH8" i="1"/>
  <c r="HC8" i="1"/>
  <c r="JN8" i="1"/>
  <c r="GX8" i="1"/>
  <c r="JI8" i="1"/>
  <c r="GW8" i="1"/>
  <c r="JH8" i="1"/>
  <c r="GI8" i="1"/>
  <c r="HD8" i="1"/>
  <c r="JO8" i="1"/>
  <c r="GJ8" i="1"/>
  <c r="HE8" i="1"/>
  <c r="JP8" i="1"/>
  <c r="GN8" i="1"/>
  <c r="IY8" i="1"/>
  <c r="JT8" i="1"/>
  <c r="GO8" i="1"/>
  <c r="IZ8" i="1"/>
  <c r="JV8" i="1"/>
  <c r="GP8" i="1"/>
  <c r="JA8" i="1"/>
  <c r="JW8" i="1"/>
  <c r="GQ8" i="1"/>
  <c r="JB8" i="1"/>
  <c r="KA8" i="1"/>
  <c r="GU8" i="1"/>
  <c r="JF8" i="1"/>
  <c r="GV8" i="1"/>
  <c r="JG8" i="1"/>
  <c r="V72" i="5" l="1"/>
  <c r="U72" i="5"/>
  <c r="T72" i="5"/>
  <c r="S72" i="5"/>
  <c r="R72" i="5"/>
  <c r="Q72" i="5"/>
  <c r="P72" i="5"/>
  <c r="O72" i="5"/>
  <c r="N72" i="5"/>
  <c r="M72" i="5"/>
  <c r="L72" i="5"/>
  <c r="K72" i="5"/>
  <c r="J72" i="5"/>
  <c r="I72" i="5"/>
  <c r="H72" i="5"/>
  <c r="G72" i="5"/>
  <c r="F72" i="5"/>
  <c r="E72" i="5"/>
  <c r="D72" i="5"/>
  <c r="AU72" i="5"/>
  <c r="C72" i="5" s="1"/>
  <c r="AT72" i="5"/>
  <c r="AS72" i="5"/>
  <c r="AR72" i="5"/>
  <c r="AQ72" i="5"/>
  <c r="H65" i="4"/>
  <c r="G65" i="4"/>
  <c r="F65" i="4"/>
  <c r="E65" i="4"/>
  <c r="D65" i="4"/>
  <c r="C65" i="4"/>
  <c r="B1" i="5"/>
  <c r="B1" i="4"/>
  <c r="AB65" i="4"/>
  <c r="Z65" i="4"/>
  <c r="Y65" i="4"/>
  <c r="W65" i="4"/>
  <c r="U65" i="4"/>
  <c r="R65" i="4"/>
  <c r="P65" i="4"/>
  <c r="N65" i="4"/>
  <c r="M65" i="4"/>
  <c r="K65" i="4"/>
  <c r="I65" i="4"/>
  <c r="FU153" i="5"/>
  <c r="FM152" i="5"/>
  <c r="FM153" i="5" s="1"/>
  <c r="FJ152" i="5"/>
  <c r="T152" i="5" s="1"/>
  <c r="FF152" i="5"/>
  <c r="FF153" i="5" s="1"/>
  <c r="FC152" i="5"/>
  <c r="S152" i="5" s="1"/>
  <c r="EY152" i="5"/>
  <c r="EY153" i="5" s="1"/>
  <c r="EV152" i="5"/>
  <c r="R152" i="5" s="1"/>
  <c r="ER152" i="5"/>
  <c r="EO152" i="5"/>
  <c r="Q152" i="5" s="1"/>
  <c r="EK152" i="5"/>
  <c r="EK153" i="5" s="1"/>
  <c r="EH152" i="5"/>
  <c r="P152" i="5" s="1"/>
  <c r="ED152" i="5"/>
  <c r="ED153" i="5" s="1"/>
  <c r="EA152" i="5"/>
  <c r="O152" i="5" s="1"/>
  <c r="DW152" i="5"/>
  <c r="DW153" i="5" s="1"/>
  <c r="DT152" i="5"/>
  <c r="N152" i="5" s="1"/>
  <c r="DP152" i="5"/>
  <c r="DP153" i="5" s="1"/>
  <c r="DM152" i="5"/>
  <c r="M152" i="5" s="1"/>
  <c r="DI152" i="5"/>
  <c r="DI153" i="5" s="1"/>
  <c r="DF152" i="5"/>
  <c r="L152" i="5" s="1"/>
  <c r="DB152" i="5"/>
  <c r="DB153" i="5" s="1"/>
  <c r="FM149" i="5"/>
  <c r="FM150" i="5" s="1"/>
  <c r="FJ149" i="5"/>
  <c r="T149" i="5" s="1"/>
  <c r="FF149" i="5"/>
  <c r="FF150" i="5" s="1"/>
  <c r="FC149" i="5"/>
  <c r="S149" i="5" s="1"/>
  <c r="EY149" i="5"/>
  <c r="EY150" i="5" s="1"/>
  <c r="EV149" i="5"/>
  <c r="R149" i="5" s="1"/>
  <c r="ER149" i="5"/>
  <c r="ER150" i="5" s="1"/>
  <c r="EO149" i="5"/>
  <c r="Q149" i="5" s="1"/>
  <c r="EK149" i="5"/>
  <c r="EK150" i="5" s="1"/>
  <c r="EH149" i="5"/>
  <c r="P149" i="5" s="1"/>
  <c r="ED149" i="5"/>
  <c r="ED150" i="5" s="1"/>
  <c r="EA149" i="5"/>
  <c r="O149" i="5" s="1"/>
  <c r="DW149" i="5"/>
  <c r="DW150" i="5" s="1"/>
  <c r="DT149" i="5"/>
  <c r="N149" i="5" s="1"/>
  <c r="DP149" i="5"/>
  <c r="DP150" i="5" s="1"/>
  <c r="DM149" i="5"/>
  <c r="M149" i="5" s="1"/>
  <c r="DI149" i="5"/>
  <c r="DI150" i="5" s="1"/>
  <c r="DF149" i="5"/>
  <c r="L149" i="5" s="1"/>
  <c r="DB149" i="5"/>
  <c r="DB150" i="5" s="1"/>
  <c r="CY149" i="5"/>
  <c r="K149" i="5" s="1"/>
  <c r="CU149" i="5"/>
  <c r="CU150" i="5" s="1"/>
  <c r="CR149" i="5"/>
  <c r="J149" i="5" s="1"/>
  <c r="CN149" i="5"/>
  <c r="CK149" i="5"/>
  <c r="I149" i="5" s="1"/>
  <c r="CG149" i="5"/>
  <c r="CG150" i="5" s="1"/>
  <c r="CD149" i="5"/>
  <c r="H149" i="5" s="1"/>
  <c r="BZ149" i="5"/>
  <c r="BZ150" i="5" s="1"/>
  <c r="BW149" i="5"/>
  <c r="G149" i="5" s="1"/>
  <c r="BU149" i="5"/>
  <c r="BT149" i="5"/>
  <c r="BS149" i="5"/>
  <c r="BP149" i="5"/>
  <c r="F149" i="5" s="1"/>
  <c r="BL149" i="5"/>
  <c r="BL150" i="5" s="1"/>
  <c r="BI149" i="5"/>
  <c r="E149" i="5" s="1"/>
  <c r="BE149" i="5"/>
  <c r="BB149" i="5"/>
  <c r="D149" i="5" s="1"/>
  <c r="AX149" i="5"/>
  <c r="AX150" i="5" s="1"/>
  <c r="AU149" i="5"/>
  <c r="C149" i="5" s="1"/>
  <c r="AS149" i="5"/>
  <c r="AR149" i="5"/>
  <c r="AQ149" i="5"/>
  <c r="AQ150" i="5" s="1"/>
  <c r="V134" i="5"/>
  <c r="FT134" i="5"/>
  <c r="FM133" i="5"/>
  <c r="FJ133" i="5"/>
  <c r="T133" i="5" s="1"/>
  <c r="FF133" i="5"/>
  <c r="FC133" i="5"/>
  <c r="S133" i="5" s="1"/>
  <c r="EY133" i="5"/>
  <c r="EY134" i="5" s="1"/>
  <c r="EV133" i="5"/>
  <c r="R133" i="5" s="1"/>
  <c r="ER133" i="5"/>
  <c r="ER134" i="5" s="1"/>
  <c r="EO133" i="5"/>
  <c r="Q133" i="5" s="1"/>
  <c r="EK133" i="5"/>
  <c r="EK134" i="5" s="1"/>
  <c r="EH133" i="5"/>
  <c r="P133" i="5" s="1"/>
  <c r="ED133" i="5"/>
  <c r="ED134" i="5" s="1"/>
  <c r="EA133" i="5"/>
  <c r="O133" i="5" s="1"/>
  <c r="DW133" i="5"/>
  <c r="DT133" i="5"/>
  <c r="N133" i="5" s="1"/>
  <c r="DP133" i="5"/>
  <c r="DP134" i="5" s="1"/>
  <c r="DM133" i="5"/>
  <c r="M133" i="5" s="1"/>
  <c r="DI133" i="5"/>
  <c r="DI134" i="5" s="1"/>
  <c r="DF133" i="5"/>
  <c r="L133" i="5" s="1"/>
  <c r="DB133" i="5"/>
  <c r="DB134" i="5" s="1"/>
  <c r="CY133" i="5"/>
  <c r="K133" i="5" s="1"/>
  <c r="CU133" i="5"/>
  <c r="CU134" i="5" s="1"/>
  <c r="CR133" i="5"/>
  <c r="J133" i="5" s="1"/>
  <c r="CN133" i="5"/>
  <c r="CN134" i="5" s="1"/>
  <c r="CK133" i="5"/>
  <c r="I133" i="5" s="1"/>
  <c r="CG133" i="5"/>
  <c r="CG134" i="5" s="1"/>
  <c r="CD133" i="5"/>
  <c r="H133" i="5" s="1"/>
  <c r="BZ133" i="5"/>
  <c r="BW133" i="5"/>
  <c r="G133" i="5" s="1"/>
  <c r="BS133" i="5"/>
  <c r="BS134" i="5" s="1"/>
  <c r="BP133" i="5"/>
  <c r="F133" i="5" s="1"/>
  <c r="BL133" i="5"/>
  <c r="BL134" i="5" s="1"/>
  <c r="BI133" i="5"/>
  <c r="E133" i="5" s="1"/>
  <c r="BB133" i="5"/>
  <c r="D133" i="5" s="1"/>
  <c r="AX133" i="5"/>
  <c r="AX134" i="5" s="1"/>
  <c r="AQ133" i="5"/>
  <c r="V131" i="5"/>
  <c r="FT131" i="5"/>
  <c r="FM130" i="5"/>
  <c r="FJ130" i="5"/>
  <c r="T130" i="5" s="1"/>
  <c r="FF130" i="5"/>
  <c r="FF131" i="5" s="1"/>
  <c r="FC130" i="5"/>
  <c r="S130" i="5" s="1"/>
  <c r="EY130" i="5"/>
  <c r="EY131" i="5" s="1"/>
  <c r="EV130" i="5"/>
  <c r="R130" i="5" s="1"/>
  <c r="ER130" i="5"/>
  <c r="EO130" i="5"/>
  <c r="Q130" i="5" s="1"/>
  <c r="EK130" i="5"/>
  <c r="EK131" i="5" s="1"/>
  <c r="EH130" i="5"/>
  <c r="P130" i="5" s="1"/>
  <c r="ED130" i="5"/>
  <c r="ED131" i="5" s="1"/>
  <c r="EA130" i="5"/>
  <c r="O130" i="5" s="1"/>
  <c r="DW130" i="5"/>
  <c r="DW131" i="5" s="1"/>
  <c r="DT130" i="5"/>
  <c r="N130" i="5" s="1"/>
  <c r="DP130" i="5"/>
  <c r="DP131" i="5" s="1"/>
  <c r="DM130" i="5"/>
  <c r="M130" i="5" s="1"/>
  <c r="DI130" i="5"/>
  <c r="DF130" i="5"/>
  <c r="L130" i="5" s="1"/>
  <c r="DB130" i="5"/>
  <c r="DB131" i="5" s="1"/>
  <c r="CY130" i="5"/>
  <c r="K130" i="5" s="1"/>
  <c r="CU130" i="5"/>
  <c r="CU131" i="5" s="1"/>
  <c r="CR130" i="5"/>
  <c r="J130" i="5" s="1"/>
  <c r="CN130" i="5"/>
  <c r="CN131" i="5" s="1"/>
  <c r="CK130" i="5"/>
  <c r="I130" i="5" s="1"/>
  <c r="CG130" i="5"/>
  <c r="CG131" i="5" s="1"/>
  <c r="CD130" i="5"/>
  <c r="H130" i="5" s="1"/>
  <c r="CB130" i="5"/>
  <c r="CA130" i="5"/>
  <c r="BZ130" i="5"/>
  <c r="BZ131" i="5" s="1"/>
  <c r="BW130" i="5"/>
  <c r="G130" i="5" s="1"/>
  <c r="BU130" i="5"/>
  <c r="BT130" i="5"/>
  <c r="BS130" i="5"/>
  <c r="BP130" i="5"/>
  <c r="F130" i="5" s="1"/>
  <c r="BL130" i="5"/>
  <c r="BI130" i="5"/>
  <c r="E130" i="5" s="1"/>
  <c r="BE130" i="5"/>
  <c r="BE131" i="5" s="1"/>
  <c r="BB130" i="5"/>
  <c r="D130" i="5" s="1"/>
  <c r="AX130" i="5"/>
  <c r="AX131" i="5" s="1"/>
  <c r="AU130" i="5"/>
  <c r="C130" i="5" s="1"/>
  <c r="AQ130" i="5"/>
  <c r="AQ131" i="5" s="1"/>
  <c r="V128" i="5"/>
  <c r="FT128" i="5"/>
  <c r="FM127" i="5"/>
  <c r="FM128" i="5" s="1"/>
  <c r="FJ127" i="5"/>
  <c r="T127" i="5" s="1"/>
  <c r="FF127" i="5"/>
  <c r="FF128" i="5" s="1"/>
  <c r="FC127" i="5"/>
  <c r="S127" i="5" s="1"/>
  <c r="EY127" i="5"/>
  <c r="EY128" i="5" s="1"/>
  <c r="EV127" i="5"/>
  <c r="R127" i="5" s="1"/>
  <c r="ER127" i="5"/>
  <c r="ER128" i="5" s="1"/>
  <c r="EO127" i="5"/>
  <c r="Q127" i="5" s="1"/>
  <c r="EK127" i="5"/>
  <c r="EK128" i="5" s="1"/>
  <c r="EH127" i="5"/>
  <c r="P127" i="5" s="1"/>
  <c r="ED127" i="5"/>
  <c r="EA127" i="5"/>
  <c r="O127" i="5" s="1"/>
  <c r="DW127" i="5"/>
  <c r="DW128" i="5" s="1"/>
  <c r="DT127" i="5"/>
  <c r="N127" i="5" s="1"/>
  <c r="DR127" i="5"/>
  <c r="DQ127" i="5"/>
  <c r="DP127" i="5"/>
  <c r="DM127" i="5"/>
  <c r="M127" i="5" s="1"/>
  <c r="DI127" i="5"/>
  <c r="DI128" i="5" s="1"/>
  <c r="DF127" i="5"/>
  <c r="L127" i="5" s="1"/>
  <c r="DB127" i="5"/>
  <c r="DB128" i="5" s="1"/>
  <c r="CY127" i="5"/>
  <c r="K127" i="5" s="1"/>
  <c r="CW127" i="5"/>
  <c r="CV127" i="5"/>
  <c r="CU127" i="5"/>
  <c r="CR127" i="5"/>
  <c r="J127" i="5" s="1"/>
  <c r="CP127" i="5"/>
  <c r="CO127" i="5"/>
  <c r="CN127" i="5"/>
  <c r="CK127" i="5"/>
  <c r="I127" i="5" s="1"/>
  <c r="CI127" i="5"/>
  <c r="CH127" i="5"/>
  <c r="CG127" i="5"/>
  <c r="CD127" i="5"/>
  <c r="H127" i="5" s="1"/>
  <c r="CB127" i="5"/>
  <c r="CA127" i="5"/>
  <c r="BZ127" i="5"/>
  <c r="BW127" i="5"/>
  <c r="G127" i="5" s="1"/>
  <c r="BU127" i="5"/>
  <c r="BT127" i="5"/>
  <c r="BS127" i="5"/>
  <c r="BP127" i="5"/>
  <c r="F127" i="5" s="1"/>
  <c r="BN127" i="5"/>
  <c r="BM127" i="5"/>
  <c r="BL127" i="5"/>
  <c r="BL128" i="5" s="1"/>
  <c r="BI127" i="5"/>
  <c r="E127" i="5" s="1"/>
  <c r="BG127" i="5"/>
  <c r="BF127" i="5"/>
  <c r="BE127" i="5"/>
  <c r="BE128" i="5" s="1"/>
  <c r="BB127" i="5"/>
  <c r="D127" i="5" s="1"/>
  <c r="AZ127" i="5"/>
  <c r="AY127" i="5"/>
  <c r="AX127" i="5"/>
  <c r="AU127" i="5"/>
  <c r="C127" i="5" s="1"/>
  <c r="AQ127" i="5"/>
  <c r="AQ128" i="5" s="1"/>
  <c r="FM122" i="5"/>
  <c r="FJ122" i="5"/>
  <c r="FF122" i="5"/>
  <c r="FC122" i="5"/>
  <c r="EY122" i="5"/>
  <c r="EV122" i="5"/>
  <c r="ER122" i="5"/>
  <c r="EO122" i="5"/>
  <c r="EK122" i="5"/>
  <c r="EH122" i="5"/>
  <c r="ED122" i="5"/>
  <c r="EA122" i="5"/>
  <c r="DW122" i="5"/>
  <c r="DT122" i="5"/>
  <c r="DP122" i="5"/>
  <c r="DM122" i="5"/>
  <c r="DI122" i="5"/>
  <c r="DF122" i="5"/>
  <c r="DB122" i="5"/>
  <c r="CY122" i="5"/>
  <c r="CU122" i="5"/>
  <c r="CR122" i="5"/>
  <c r="CN122" i="5"/>
  <c r="CK122" i="5"/>
  <c r="CG122" i="5"/>
  <c r="CD122" i="5"/>
  <c r="BZ122" i="5"/>
  <c r="BW122" i="5"/>
  <c r="BS122" i="5"/>
  <c r="BP122" i="5"/>
  <c r="BL122" i="5"/>
  <c r="BI122" i="5"/>
  <c r="BE122" i="5"/>
  <c r="BB122" i="5"/>
  <c r="AX122" i="5"/>
  <c r="AU122" i="5"/>
  <c r="AQ122" i="5"/>
  <c r="FM92" i="5"/>
  <c r="FJ92" i="5"/>
  <c r="FF92" i="5"/>
  <c r="FC92" i="5"/>
  <c r="EY92" i="5"/>
  <c r="EV92" i="5"/>
  <c r="ER92" i="5"/>
  <c r="EO92" i="5"/>
  <c r="EK92" i="5"/>
  <c r="EH92" i="5"/>
  <c r="ED92" i="5"/>
  <c r="EA92" i="5"/>
  <c r="DW92" i="5"/>
  <c r="DT92" i="5"/>
  <c r="DP92" i="5"/>
  <c r="DM92" i="5"/>
  <c r="DI92" i="5"/>
  <c r="DF92" i="5"/>
  <c r="DB92" i="5"/>
  <c r="CY92" i="5"/>
  <c r="CU92" i="5"/>
  <c r="CR92" i="5"/>
  <c r="CN92" i="5"/>
  <c r="CK92" i="5"/>
  <c r="CG92" i="5"/>
  <c r="CD92" i="5"/>
  <c r="BZ92" i="5"/>
  <c r="BW92" i="5"/>
  <c r="BS92" i="5"/>
  <c r="BP92" i="5"/>
  <c r="BL92" i="5"/>
  <c r="BI92" i="5"/>
  <c r="BE92" i="5"/>
  <c r="BB92" i="5"/>
  <c r="AX92" i="5"/>
  <c r="AU92" i="5"/>
  <c r="AQ92" i="5"/>
  <c r="FM85" i="5"/>
  <c r="FJ85" i="5"/>
  <c r="FF85" i="5"/>
  <c r="FC85" i="5"/>
  <c r="EY85" i="5"/>
  <c r="EV85" i="5"/>
  <c r="ER85" i="5"/>
  <c r="EO85" i="5"/>
  <c r="EK85" i="5"/>
  <c r="EH85" i="5"/>
  <c r="ED85" i="5"/>
  <c r="EA85" i="5"/>
  <c r="DW85" i="5"/>
  <c r="DT85" i="5"/>
  <c r="DP85" i="5"/>
  <c r="DM85" i="5"/>
  <c r="DI85" i="5"/>
  <c r="DF85" i="5"/>
  <c r="DB85" i="5"/>
  <c r="CY85" i="5"/>
  <c r="CU85" i="5"/>
  <c r="CU86" i="5" s="1"/>
  <c r="CR85" i="5"/>
  <c r="CN85" i="5"/>
  <c r="CK85" i="5"/>
  <c r="CG85" i="5"/>
  <c r="CD85" i="5"/>
  <c r="BZ85" i="5"/>
  <c r="BW85" i="5"/>
  <c r="BS85" i="5"/>
  <c r="BP85" i="5"/>
  <c r="BL85" i="5"/>
  <c r="BI85" i="5"/>
  <c r="BE85" i="5"/>
  <c r="BB85" i="5"/>
  <c r="AX85" i="5"/>
  <c r="AU85" i="5"/>
  <c r="AQ85" i="5"/>
  <c r="AT81" i="5"/>
  <c r="AS81" i="5"/>
  <c r="AR81" i="5"/>
  <c r="AQ81" i="5"/>
  <c r="AT80" i="5"/>
  <c r="AS80" i="5"/>
  <c r="AR80" i="5"/>
  <c r="AQ80" i="5"/>
  <c r="AT78" i="5"/>
  <c r="AS78" i="5"/>
  <c r="AR78" i="5"/>
  <c r="AQ78" i="5"/>
  <c r="AT77" i="5"/>
  <c r="AS77" i="5"/>
  <c r="AR77" i="5"/>
  <c r="AQ77" i="5"/>
  <c r="AT76" i="5"/>
  <c r="AS76" i="5"/>
  <c r="AR76" i="5"/>
  <c r="AQ76" i="5"/>
  <c r="AU88" i="5" l="1"/>
  <c r="C88" i="5" s="1"/>
  <c r="C85" i="5"/>
  <c r="AU93" i="5"/>
  <c r="C93" i="5" s="1"/>
  <c r="C92" i="5"/>
  <c r="AU123" i="5"/>
  <c r="C123" i="5" s="1"/>
  <c r="C122" i="5"/>
  <c r="BB88" i="5"/>
  <c r="D88" i="5" s="1"/>
  <c r="D85" i="5"/>
  <c r="BB93" i="5"/>
  <c r="D93" i="5" s="1"/>
  <c r="D92" i="5"/>
  <c r="BB123" i="5"/>
  <c r="D123" i="5" s="1"/>
  <c r="D122" i="5"/>
  <c r="BW88" i="5"/>
  <c r="G88" i="5" s="1"/>
  <c r="G85" i="5"/>
  <c r="DM88" i="5"/>
  <c r="M88" i="5" s="1"/>
  <c r="M85" i="5"/>
  <c r="BP123" i="5"/>
  <c r="F123" i="5" s="1"/>
  <c r="F122" i="5"/>
  <c r="DF123" i="5"/>
  <c r="L123" i="5" s="1"/>
  <c r="L122" i="5"/>
  <c r="BW93" i="5"/>
  <c r="G93" i="5" s="1"/>
  <c r="G92" i="5"/>
  <c r="DM93" i="5"/>
  <c r="M93" i="5" s="1"/>
  <c r="M92" i="5"/>
  <c r="CD88" i="5"/>
  <c r="H88" i="5" s="1"/>
  <c r="H85" i="5"/>
  <c r="BW123" i="5"/>
  <c r="G123" i="5" s="1"/>
  <c r="G122" i="5"/>
  <c r="DM123" i="5"/>
  <c r="M123" i="5" s="1"/>
  <c r="M122" i="5"/>
  <c r="CD93" i="5"/>
  <c r="H93" i="5" s="1"/>
  <c r="H92" i="5"/>
  <c r="CK88" i="5"/>
  <c r="I88" i="5" s="1"/>
  <c r="I85" i="5"/>
  <c r="CD123" i="5"/>
  <c r="H123" i="5" s="1"/>
  <c r="H122" i="5"/>
  <c r="CK93" i="5"/>
  <c r="I93" i="5" s="1"/>
  <c r="I92" i="5"/>
  <c r="CR88" i="5"/>
  <c r="J88" i="5" s="1"/>
  <c r="J85" i="5"/>
  <c r="CK123" i="5"/>
  <c r="I123" i="5" s="1"/>
  <c r="I122" i="5"/>
  <c r="CR93" i="5"/>
  <c r="J93" i="5" s="1"/>
  <c r="J92" i="5"/>
  <c r="BI88" i="5"/>
  <c r="E88" i="5" s="1"/>
  <c r="E85" i="5"/>
  <c r="CY88" i="5"/>
  <c r="K88" i="5" s="1"/>
  <c r="K85" i="5"/>
  <c r="CR123" i="5"/>
  <c r="J123" i="5" s="1"/>
  <c r="J122" i="5"/>
  <c r="BI93" i="5"/>
  <c r="E93" i="5" s="1"/>
  <c r="E92" i="5"/>
  <c r="CY93" i="5"/>
  <c r="K93" i="5" s="1"/>
  <c r="K92" i="5"/>
  <c r="BP88" i="5"/>
  <c r="F88" i="5" s="1"/>
  <c r="F85" i="5"/>
  <c r="DF88" i="5"/>
  <c r="L88" i="5" s="1"/>
  <c r="L85" i="5"/>
  <c r="BI123" i="5"/>
  <c r="E123" i="5" s="1"/>
  <c r="E122" i="5"/>
  <c r="CY123" i="5"/>
  <c r="K123" i="5" s="1"/>
  <c r="K122" i="5"/>
  <c r="BP93" i="5"/>
  <c r="F93" i="5" s="1"/>
  <c r="F92" i="5"/>
  <c r="DF93" i="5"/>
  <c r="L93" i="5" s="1"/>
  <c r="L92" i="5"/>
  <c r="DT88" i="5"/>
  <c r="N88" i="5" s="1"/>
  <c r="N85" i="5"/>
  <c r="DT93" i="5"/>
  <c r="N93" i="5" s="1"/>
  <c r="N92" i="5"/>
  <c r="EA88" i="5"/>
  <c r="O88" i="5" s="1"/>
  <c r="O85" i="5"/>
  <c r="DT123" i="5"/>
  <c r="N123" i="5" s="1"/>
  <c r="N122" i="5"/>
  <c r="EA93" i="5"/>
  <c r="O93" i="5" s="1"/>
  <c r="O92" i="5"/>
  <c r="EA123" i="5"/>
  <c r="O123" i="5" s="1"/>
  <c r="O122" i="5"/>
  <c r="EH88" i="5"/>
  <c r="P88" i="5" s="1"/>
  <c r="P85" i="5"/>
  <c r="EH93" i="5"/>
  <c r="P93" i="5" s="1"/>
  <c r="P92" i="5"/>
  <c r="EH123" i="5"/>
  <c r="P123" i="5" s="1"/>
  <c r="P122" i="5"/>
  <c r="FJ123" i="5"/>
  <c r="T123" i="5" s="1"/>
  <c r="T122" i="5"/>
  <c r="FC88" i="5"/>
  <c r="S88" i="5" s="1"/>
  <c r="S85" i="5"/>
  <c r="EV123" i="5"/>
  <c r="R123" i="5" s="1"/>
  <c r="R122" i="5"/>
  <c r="FC93" i="5"/>
  <c r="S93" i="5" s="1"/>
  <c r="S92" i="5"/>
  <c r="FJ88" i="5"/>
  <c r="T88" i="5" s="1"/>
  <c r="T85" i="5"/>
  <c r="FC123" i="5"/>
  <c r="S123" i="5" s="1"/>
  <c r="S122" i="5"/>
  <c r="EO88" i="5"/>
  <c r="Q88" i="5" s="1"/>
  <c r="Q85" i="5"/>
  <c r="EO93" i="5"/>
  <c r="Q93" i="5" s="1"/>
  <c r="Q92" i="5"/>
  <c r="FJ93" i="5"/>
  <c r="T93" i="5" s="1"/>
  <c r="T92" i="5"/>
  <c r="EV88" i="5"/>
  <c r="R88" i="5" s="1"/>
  <c r="R85" i="5"/>
  <c r="EO123" i="5"/>
  <c r="Q123" i="5" s="1"/>
  <c r="Q122" i="5"/>
  <c r="EV93" i="5"/>
  <c r="R93" i="5" s="1"/>
  <c r="R92" i="5"/>
  <c r="FM131" i="5"/>
  <c r="BT150" i="5"/>
  <c r="AY128" i="5"/>
  <c r="CB128" i="5"/>
  <c r="CH128" i="5"/>
  <c r="CP128" i="5"/>
  <c r="CW128" i="5"/>
  <c r="FM134" i="5"/>
  <c r="BF128" i="5"/>
  <c r="AR150" i="5"/>
  <c r="BG128" i="5"/>
  <c r="AS150" i="5"/>
  <c r="CN128" i="5"/>
  <c r="CO128" i="5"/>
  <c r="BU128" i="5"/>
  <c r="DR128" i="5"/>
  <c r="BU131" i="5"/>
  <c r="S65" i="4"/>
  <c r="L65" i="4"/>
  <c r="X65" i="4"/>
  <c r="Q65" i="4"/>
  <c r="J65" i="4"/>
  <c r="V65" i="4"/>
  <c r="O65" i="4"/>
  <c r="AA65" i="4"/>
  <c r="T65" i="4"/>
  <c r="CI128" i="5"/>
  <c r="BS128" i="5"/>
  <c r="BS131" i="5"/>
  <c r="BT128" i="5"/>
  <c r="BT131" i="5"/>
  <c r="BS150" i="5"/>
  <c r="DP128" i="5"/>
  <c r="BZ128" i="5"/>
  <c r="DQ128" i="5"/>
  <c r="CA128" i="5"/>
  <c r="CG128" i="5"/>
  <c r="EY86" i="5"/>
  <c r="GA41" i="1"/>
  <c r="BS86" i="5"/>
  <c r="AX86" i="5"/>
  <c r="ED86" i="5"/>
  <c r="CG86" i="5"/>
  <c r="FM86" i="5"/>
  <c r="DP86" i="5"/>
  <c r="DB86" i="5"/>
  <c r="BE86" i="5"/>
  <c r="EK86" i="5"/>
  <c r="CN86" i="5"/>
  <c r="AQ86" i="5"/>
  <c r="DW86" i="5"/>
  <c r="BZ86" i="5"/>
  <c r="FF86" i="5"/>
  <c r="DI86" i="5"/>
  <c r="BL86" i="5"/>
  <c r="ER86" i="5"/>
  <c r="AZ128" i="5"/>
  <c r="BE150" i="5"/>
  <c r="BU150" i="5"/>
  <c r="CN150" i="5"/>
  <c r="BM128" i="5"/>
  <c r="CU128" i="5"/>
  <c r="CA131" i="5"/>
  <c r="DI131" i="5"/>
  <c r="AQ134" i="5"/>
  <c r="DW134" i="5"/>
  <c r="AX128" i="5"/>
  <c r="BN128" i="5"/>
  <c r="CV128" i="5"/>
  <c r="ED128" i="5"/>
  <c r="BL131" i="5"/>
  <c r="CB131" i="5"/>
  <c r="ER131" i="5"/>
  <c r="BZ134" i="5"/>
  <c r="FF134" i="5"/>
  <c r="ER153" i="5"/>
  <c r="IM41" i="1" l="1"/>
  <c r="IE41" i="1"/>
  <c r="GP41" i="1"/>
  <c r="JU41" i="1"/>
  <c r="HX41" i="1"/>
  <c r="JB41" i="1"/>
  <c r="JW41" i="1"/>
  <c r="HE41" i="1"/>
  <c r="KX41" i="1"/>
  <c r="IU41" i="1"/>
  <c r="KD41" i="1"/>
  <c r="FU150" i="5"/>
  <c r="HS41" i="1"/>
  <c r="GJ41" i="1"/>
  <c r="HR41" i="1"/>
  <c r="GO41" i="1"/>
  <c r="JP41" i="1"/>
  <c r="HY41" i="1"/>
  <c r="JG41" i="1"/>
  <c r="JV41" i="1"/>
  <c r="KI41" i="1"/>
  <c r="JN41" i="1"/>
  <c r="KC41" i="1"/>
  <c r="KK41" i="1"/>
  <c r="GH41" i="1"/>
  <c r="GW41" i="1"/>
  <c r="IZ41" i="1"/>
  <c r="GI41" i="1"/>
  <c r="IN41" i="1"/>
  <c r="IL41" i="1"/>
  <c r="JA41" i="1"/>
  <c r="HC41" i="1"/>
  <c r="KW41" i="1"/>
  <c r="GQ41" i="1"/>
  <c r="HD41" i="1"/>
  <c r="KJ41" i="1"/>
  <c r="HQ41" i="1"/>
  <c r="IG41" i="1"/>
  <c r="GX41" i="1"/>
  <c r="JO41" i="1"/>
  <c r="IF41" i="1"/>
  <c r="HJ41" i="1"/>
  <c r="JI41" i="1"/>
  <c r="KB41" i="1"/>
  <c r="GB41" i="1"/>
  <c r="GV41" i="1"/>
  <c r="KR41" i="1"/>
  <c r="KQ41" i="1"/>
  <c r="HL41" i="1"/>
  <c r="KP41" i="1"/>
  <c r="HK41" i="1"/>
  <c r="GC41" i="1"/>
  <c r="JH41" i="1"/>
  <c r="IT41" i="1"/>
  <c r="HZ41" i="1"/>
  <c r="IS41" i="1"/>
  <c r="LA91" i="29" l="1"/>
  <c r="LJ98" i="1" l="1"/>
  <c r="LK98" i="1"/>
  <c r="LC91" i="29"/>
  <c r="LD27" i="1"/>
  <c r="LE27" i="1"/>
  <c r="LC88" i="29" s="1"/>
  <c r="LC89" i="29" l="1"/>
  <c r="LM98" i="1"/>
  <c r="LB88" i="29"/>
  <c r="GD150" i="5"/>
  <c r="GE150" i="5" s="1"/>
  <c r="W150" i="5" s="1"/>
  <c r="LL98" i="1" l="1"/>
  <c r="LB89" i="29"/>
  <c r="LD91" i="29"/>
  <c r="LF27" i="1"/>
  <c r="LD88" i="29" s="1"/>
  <c r="LE7" i="29"/>
  <c r="LJ27" i="1"/>
  <c r="LH88" i="29" s="1"/>
  <c r="GH55" i="5"/>
  <c r="GE55" i="5"/>
  <c r="LH89" i="29" l="1"/>
  <c r="LO88" i="29"/>
  <c r="LV88" i="29" s="1"/>
  <c r="MC88" i="29" s="1"/>
  <c r="LD89" i="29"/>
  <c r="LQ98" i="1"/>
  <c r="W55" i="5"/>
  <c r="LN98" i="1"/>
  <c r="LE91" i="29"/>
  <c r="LE88" i="29"/>
  <c r="LG27" i="1"/>
  <c r="AW27" i="1" s="1"/>
  <c r="GH150" i="5"/>
  <c r="GE149" i="5"/>
  <c r="W149" i="5" s="1"/>
  <c r="AW88" i="29" l="1"/>
  <c r="AW91" i="29"/>
  <c r="GI150" i="5"/>
  <c r="GI55" i="5"/>
  <c r="GJ55" i="5"/>
  <c r="KW97" i="29"/>
  <c r="KV97" i="29"/>
  <c r="LR98" i="1" l="1"/>
  <c r="LS98" i="1"/>
  <c r="KB97" i="29"/>
  <c r="JK97" i="29"/>
  <c r="IK97" i="29"/>
  <c r="JF97" i="29"/>
  <c r="KA97" i="29"/>
  <c r="IQ97" i="29"/>
  <c r="JL97" i="29"/>
  <c r="KG97" i="29"/>
  <c r="IL97" i="29"/>
  <c r="IR97" i="29"/>
  <c r="JM97" i="29"/>
  <c r="KH97" i="29"/>
  <c r="KF97" i="29"/>
  <c r="IS97" i="29"/>
  <c r="JN97" i="29"/>
  <c r="KI97" i="29"/>
  <c r="IB97" i="29"/>
  <c r="IW97" i="29"/>
  <c r="JR97" i="29"/>
  <c r="KM97" i="29"/>
  <c r="IC97" i="29"/>
  <c r="IX97" i="29"/>
  <c r="JS97" i="29"/>
  <c r="KN97" i="29"/>
  <c r="ID97" i="29"/>
  <c r="IY97" i="29"/>
  <c r="JT97" i="29"/>
  <c r="KO97" i="29"/>
  <c r="JG97" i="29"/>
  <c r="KU97" i="29"/>
  <c r="IE97" i="29"/>
  <c r="IZ97" i="29"/>
  <c r="JU97" i="29"/>
  <c r="KP97" i="29"/>
  <c r="IP97" i="29"/>
  <c r="II97" i="29"/>
  <c r="JD97" i="29"/>
  <c r="JY97" i="29"/>
  <c r="KT97" i="29"/>
  <c r="IJ97" i="29"/>
  <c r="JE97" i="29"/>
  <c r="JZ97" i="29"/>
  <c r="GJ150" i="5"/>
  <c r="LU60" i="1"/>
  <c r="FN31" i="5"/>
  <c r="FN30" i="5"/>
  <c r="FN29" i="5"/>
  <c r="FN28" i="5"/>
  <c r="FN27" i="5"/>
  <c r="FN17" i="5"/>
  <c r="HH24" i="4"/>
  <c r="HH19" i="4"/>
  <c r="HH11" i="4"/>
  <c r="AY60" i="1" l="1"/>
  <c r="FO30" i="5"/>
  <c r="FP30" i="5" s="1"/>
  <c r="FO27" i="5"/>
  <c r="FP27" i="5" s="1"/>
  <c r="FO31" i="5"/>
  <c r="FP31" i="5" s="1"/>
  <c r="FO28" i="5"/>
  <c r="FP28" i="5" s="1"/>
  <c r="FO29" i="5"/>
  <c r="FP29" i="5" s="1"/>
  <c r="KX97" i="29"/>
  <c r="AV97" i="29" s="1"/>
  <c r="GK55" i="5"/>
  <c r="GK150" i="5"/>
  <c r="GL150" i="5" s="1"/>
  <c r="X150" i="5" s="1"/>
  <c r="FO17" i="5"/>
  <c r="FP17" i="5" s="1"/>
  <c r="FN26" i="5"/>
  <c r="FN57" i="5"/>
  <c r="FN55" i="5"/>
  <c r="FN54" i="5"/>
  <c r="FN53" i="5"/>
  <c r="FN43" i="5"/>
  <c r="FN42" i="5"/>
  <c r="FN45" i="5"/>
  <c r="FN44" i="5"/>
  <c r="FN38" i="5"/>
  <c r="FN37" i="5"/>
  <c r="FN18" i="5"/>
  <c r="FN11" i="5"/>
  <c r="FN10" i="5"/>
  <c r="FN9" i="5"/>
  <c r="HH95" i="4"/>
  <c r="HH92" i="4"/>
  <c r="HH80" i="4"/>
  <c r="FN106" i="5" s="1"/>
  <c r="LT98" i="1" l="1"/>
  <c r="KW98" i="1"/>
  <c r="GL55" i="5"/>
  <c r="X55" i="5" s="1"/>
  <c r="FP26" i="5"/>
  <c r="FO18" i="5"/>
  <c r="FP18" i="5" s="1"/>
  <c r="FP13" i="5" s="1"/>
  <c r="FO26" i="5"/>
  <c r="FO53" i="5"/>
  <c r="FP53" i="5" s="1"/>
  <c r="FO9" i="5"/>
  <c r="FP9" i="5" s="1"/>
  <c r="FO45" i="5"/>
  <c r="FP45" i="5" s="1"/>
  <c r="FO42" i="5"/>
  <c r="FP42" i="5" s="1"/>
  <c r="FO44" i="5"/>
  <c r="FO10" i="5"/>
  <c r="FO85" i="5" s="1"/>
  <c r="FN127" i="5"/>
  <c r="FN128" i="5" s="1"/>
  <c r="FO38" i="5"/>
  <c r="FN133" i="5"/>
  <c r="FO43" i="5"/>
  <c r="FO133" i="5" s="1"/>
  <c r="FN152" i="5"/>
  <c r="FN153" i="5" s="1"/>
  <c r="FO57" i="5"/>
  <c r="FO152" i="5" s="1"/>
  <c r="FN122" i="5"/>
  <c r="FO37" i="5"/>
  <c r="FN92" i="5"/>
  <c r="FO11" i="5"/>
  <c r="FO92" i="5" s="1"/>
  <c r="FN149" i="5"/>
  <c r="FN150" i="5" s="1"/>
  <c r="FO55" i="5"/>
  <c r="FO54" i="5"/>
  <c r="FN85" i="5"/>
  <c r="FN130" i="5"/>
  <c r="FP54" i="5" l="1"/>
  <c r="FO127" i="5"/>
  <c r="FO128" i="5" s="1"/>
  <c r="FO149" i="5"/>
  <c r="FO150" i="5" s="1"/>
  <c r="KX98" i="1"/>
  <c r="FO122" i="5"/>
  <c r="LU98" i="1"/>
  <c r="GL149" i="5"/>
  <c r="X149" i="5" s="1"/>
  <c r="FP10" i="5"/>
  <c r="FO153" i="5"/>
  <c r="FO130" i="5"/>
  <c r="FO131" i="5" s="1"/>
  <c r="FP44" i="5"/>
  <c r="FP130" i="5" s="1"/>
  <c r="FP57" i="5"/>
  <c r="FP152" i="5" s="1"/>
  <c r="FP153" i="5" s="1"/>
  <c r="FQ153" i="5" s="1"/>
  <c r="U153" i="5" s="1"/>
  <c r="FP55" i="5"/>
  <c r="FP38" i="5"/>
  <c r="FN86" i="5"/>
  <c r="FP37" i="5"/>
  <c r="FP43" i="5"/>
  <c r="FP133" i="5" s="1"/>
  <c r="FP134" i="5" s="1"/>
  <c r="FQ134" i="5" s="1"/>
  <c r="U134" i="5" s="1"/>
  <c r="FO134" i="5"/>
  <c r="FN134" i="5"/>
  <c r="FO86" i="5"/>
  <c r="FN131" i="5"/>
  <c r="HN77" i="4" l="1"/>
  <c r="HP77" i="4"/>
  <c r="HP100" i="4"/>
  <c r="HN100" i="4"/>
  <c r="FP127" i="5"/>
  <c r="FP128" i="5" s="1"/>
  <c r="FQ128" i="5" s="1"/>
  <c r="U128" i="5" s="1"/>
  <c r="FP149" i="5"/>
  <c r="FP150" i="5" s="1"/>
  <c r="FQ150" i="5" s="1"/>
  <c r="U150" i="5" s="1"/>
  <c r="KY98" i="1"/>
  <c r="FP174" i="5"/>
  <c r="FP77" i="5" s="1"/>
  <c r="FP131" i="5"/>
  <c r="FQ131" i="5" s="1"/>
  <c r="U131" i="5" s="1"/>
  <c r="FP59" i="5"/>
  <c r="FP85" i="5"/>
  <c r="FV88" i="5" s="1"/>
  <c r="HJ77" i="4"/>
  <c r="FP47" i="5"/>
  <c r="FP122" i="5"/>
  <c r="FV90" i="5" l="1"/>
  <c r="FP123" i="5"/>
  <c r="FP125" i="5" s="1"/>
  <c r="FV123" i="5"/>
  <c r="FT88" i="5"/>
  <c r="FT90" i="5" s="1"/>
  <c r="FU88" i="5"/>
  <c r="FU90" i="5" s="1"/>
  <c r="FP88" i="5"/>
  <c r="FP90" i="5" s="1"/>
  <c r="FP86" i="5"/>
  <c r="FQ86" i="5" s="1"/>
  <c r="U86" i="5" s="1"/>
  <c r="FV125" i="5" l="1"/>
  <c r="HG43" i="4"/>
  <c r="FM112" i="5" s="1"/>
  <c r="HG32" i="4"/>
  <c r="HG11" i="4"/>
  <c r="HG92" i="4"/>
  <c r="HG80" i="4"/>
  <c r="FM106" i="5" s="1"/>
  <c r="HG24" i="4"/>
  <c r="KV20" i="1" l="1"/>
  <c r="KT131" i="29" l="1"/>
  <c r="KT95" i="29"/>
  <c r="KT92" i="29"/>
  <c r="KT25" i="29"/>
  <c r="KT22" i="29"/>
  <c r="KT24" i="29"/>
  <c r="KT23" i="29"/>
  <c r="KT21" i="29"/>
  <c r="KT19" i="29"/>
  <c r="KT20" i="29"/>
  <c r="KV7" i="1"/>
  <c r="KT27" i="29" l="1"/>
  <c r="FI24" i="5" l="1"/>
  <c r="FI23" i="5"/>
  <c r="FI22" i="5"/>
  <c r="FI21" i="5"/>
  <c r="FI20" i="5"/>
  <c r="FI19" i="5"/>
  <c r="FI16" i="5"/>
  <c r="FI15" i="5"/>
  <c r="FI14" i="5"/>
  <c r="FJ26" i="5"/>
  <c r="FJ13" i="5"/>
  <c r="HD100" i="4"/>
  <c r="Z100" i="4" s="1"/>
  <c r="HC92" i="4"/>
  <c r="HC80" i="4"/>
  <c r="FI106" i="5" s="1"/>
  <c r="HD77" i="4"/>
  <c r="Z77" i="4" s="1"/>
  <c r="HC24" i="4"/>
  <c r="HC19" i="4"/>
  <c r="HC11" i="4"/>
  <c r="T13" i="5" l="1"/>
  <c r="KR60" i="1" l="1"/>
  <c r="KR93" i="1" s="1"/>
  <c r="KR94" i="1" s="1"/>
  <c r="KR96" i="1" s="1"/>
  <c r="HD56" i="4"/>
  <c r="HD32" i="4"/>
  <c r="HD24" i="4"/>
  <c r="HD19" i="4"/>
  <c r="HD11" i="4"/>
  <c r="FJ174" i="5"/>
  <c r="FJ59" i="5"/>
  <c r="FJ47" i="5"/>
  <c r="FI56" i="5"/>
  <c r="FI51" i="5"/>
  <c r="FI41" i="5"/>
  <c r="FI40" i="5"/>
  <c r="FI39" i="5"/>
  <c r="KR23" i="1"/>
  <c r="KP96" i="29" s="1"/>
  <c r="T59" i="5" l="1"/>
  <c r="FJ77" i="5"/>
  <c r="T77" i="5" s="1"/>
  <c r="T174" i="5"/>
  <c r="T47" i="5"/>
  <c r="Z11" i="4"/>
  <c r="Z19" i="4"/>
  <c r="Z24" i="4"/>
  <c r="Z32" i="4"/>
  <c r="Z56" i="4"/>
  <c r="KY25" i="1"/>
  <c r="KQ97" i="29" l="1"/>
  <c r="AU97" i="29" s="1"/>
  <c r="KR20" i="1"/>
  <c r="KP131" i="29" l="1"/>
  <c r="KP95" i="29"/>
  <c r="KP92" i="29"/>
  <c r="KP25" i="29"/>
  <c r="KP22" i="29"/>
  <c r="KP23" i="29"/>
  <c r="KP21" i="29"/>
  <c r="KP19" i="29"/>
  <c r="KP20" i="29"/>
  <c r="KP24" i="29"/>
  <c r="KR7" i="1"/>
  <c r="KR24" i="1"/>
  <c r="KS20" i="1"/>
  <c r="KQ95" i="29" s="1"/>
  <c r="AU95" i="29" s="1"/>
  <c r="KR13" i="1" l="1"/>
  <c r="KP27" i="29"/>
  <c r="KS7" i="1"/>
  <c r="AU7" i="1" s="1"/>
  <c r="AU20" i="1"/>
  <c r="HD69" i="4"/>
  <c r="Z69" i="4" s="1"/>
  <c r="HD101" i="4" l="1"/>
  <c r="Z101" i="4" s="1"/>
  <c r="FJ124" i="5"/>
  <c r="T124" i="5" s="1"/>
  <c r="FJ89" i="5"/>
  <c r="T89" i="5" s="1"/>
  <c r="HD78" i="4"/>
  <c r="Z78" i="4" s="1"/>
  <c r="V159" i="5"/>
  <c r="LG58" i="1"/>
  <c r="AW58" i="1" s="1"/>
  <c r="LG57" i="1"/>
  <c r="LG56" i="1"/>
  <c r="LG53" i="1"/>
  <c r="LE98" i="1" l="1"/>
  <c r="AW56" i="1"/>
  <c r="AW57" i="1"/>
  <c r="V53" i="5"/>
  <c r="V14" i="5"/>
  <c r="V15" i="5"/>
  <c r="V17" i="5"/>
  <c r="V39" i="5"/>
  <c r="V45" i="5"/>
  <c r="V40" i="5"/>
  <c r="V18" i="5"/>
  <c r="V19" i="5"/>
  <c r="V41" i="5"/>
  <c r="V20" i="5"/>
  <c r="V42" i="5"/>
  <c r="V21" i="5"/>
  <c r="V22" i="5"/>
  <c r="V23" i="5"/>
  <c r="FT13" i="5"/>
  <c r="FU13" i="5"/>
  <c r="FV13" i="5"/>
  <c r="LG38" i="1"/>
  <c r="LG70" i="1"/>
  <c r="AW70" i="1" l="1"/>
  <c r="AW38" i="1"/>
  <c r="AW13" i="29"/>
  <c r="V152" i="5"/>
  <c r="V57" i="5"/>
  <c r="V133" i="5"/>
  <c r="V43" i="5"/>
  <c r="V51" i="5"/>
  <c r="V130" i="5"/>
  <c r="V44" i="5"/>
  <c r="V127" i="5"/>
  <c r="V38" i="5"/>
  <c r="HB92" i="4"/>
  <c r="HB80" i="4"/>
  <c r="FH106" i="5" s="1"/>
  <c r="HB43" i="4"/>
  <c r="FH112" i="5" s="1"/>
  <c r="HB32" i="4"/>
  <c r="HB24" i="4"/>
  <c r="HB19" i="4"/>
  <c r="HB11" i="4"/>
  <c r="HB120" i="4"/>
  <c r="HB119" i="4"/>
  <c r="HB118" i="4"/>
  <c r="V16" i="5" l="1"/>
  <c r="HW77" i="4"/>
  <c r="V85" i="5" l="1"/>
  <c r="AW9" i="29"/>
  <c r="HU77" i="4"/>
  <c r="HV77" i="4"/>
  <c r="V10" i="5"/>
  <c r="FH52" i="5"/>
  <c r="V88" i="5" l="1"/>
  <c r="FI52" i="5"/>
  <c r="AB77" i="4"/>
  <c r="KQ20" i="1" l="1"/>
  <c r="FG57" i="5"/>
  <c r="FG55" i="5"/>
  <c r="FG54" i="5"/>
  <c r="FG53" i="5"/>
  <c r="FG45" i="5"/>
  <c r="FG44" i="5"/>
  <c r="FG43" i="5"/>
  <c r="FG42" i="5"/>
  <c r="FG38" i="5"/>
  <c r="FG37" i="5"/>
  <c r="FF26" i="5"/>
  <c r="FG31" i="5"/>
  <c r="FG30" i="5"/>
  <c r="FG29" i="5"/>
  <c r="FG28" i="5"/>
  <c r="FG27" i="5"/>
  <c r="FG18" i="5"/>
  <c r="FG17" i="5"/>
  <c r="FG11" i="5"/>
  <c r="FG10" i="5"/>
  <c r="FG9" i="5"/>
  <c r="KP98" i="1" l="1"/>
  <c r="KO131" i="29"/>
  <c r="KO95" i="29"/>
  <c r="KO92" i="29"/>
  <c r="KQ7" i="1"/>
  <c r="KO25" i="29"/>
  <c r="KO22" i="29"/>
  <c r="KO24" i="29"/>
  <c r="KO21" i="29"/>
  <c r="KO19" i="29"/>
  <c r="KO23" i="29"/>
  <c r="KO20" i="29"/>
  <c r="FG130" i="5"/>
  <c r="FG131" i="5" s="1"/>
  <c r="FG122" i="5"/>
  <c r="FG149" i="5"/>
  <c r="FG85" i="5"/>
  <c r="FG92" i="5"/>
  <c r="FG133" i="5"/>
  <c r="FG152" i="5"/>
  <c r="FG127" i="5"/>
  <c r="FI44" i="5"/>
  <c r="FH30" i="5"/>
  <c r="FH18" i="5"/>
  <c r="FH27" i="5"/>
  <c r="FH31" i="5"/>
  <c r="FH28" i="5"/>
  <c r="FH29" i="5"/>
  <c r="FH37" i="5"/>
  <c r="FH9" i="5"/>
  <c r="FH38" i="5"/>
  <c r="FH42" i="5"/>
  <c r="FH55" i="5"/>
  <c r="FH45" i="5"/>
  <c r="FH130" i="5" s="1"/>
  <c r="FH53" i="5"/>
  <c r="FH11" i="5"/>
  <c r="FH92" i="5" s="1"/>
  <c r="FH43" i="5"/>
  <c r="FH133" i="5" s="1"/>
  <c r="FH57" i="5"/>
  <c r="FH152" i="5" s="1"/>
  <c r="FG13" i="5"/>
  <c r="FH17" i="5"/>
  <c r="FH10" i="5"/>
  <c r="FH85" i="5" s="1"/>
  <c r="FH54" i="5"/>
  <c r="FG26" i="5"/>
  <c r="FH149" i="5" l="1"/>
  <c r="FH150" i="5" s="1"/>
  <c r="KQ98" i="1"/>
  <c r="FH127" i="5"/>
  <c r="FH128" i="5" s="1"/>
  <c r="FH122" i="5"/>
  <c r="KO27" i="29"/>
  <c r="FH131" i="5"/>
  <c r="FH134" i="5"/>
  <c r="FG134" i="5"/>
  <c r="FH86" i="5"/>
  <c r="FG86" i="5"/>
  <c r="FG128" i="5"/>
  <c r="FG150" i="5"/>
  <c r="FH153" i="5"/>
  <c r="FG153" i="5"/>
  <c r="FI42" i="5"/>
  <c r="FI31" i="5"/>
  <c r="FI27" i="5"/>
  <c r="FI9" i="5"/>
  <c r="FI18" i="5"/>
  <c r="FI53" i="5"/>
  <c r="FI30" i="5"/>
  <c r="FI54" i="5"/>
  <c r="FI17" i="5"/>
  <c r="FI29" i="5"/>
  <c r="FI28" i="5"/>
  <c r="FI57" i="5"/>
  <c r="FI152" i="5" s="1"/>
  <c r="FI153" i="5" s="1"/>
  <c r="FJ153" i="5" s="1"/>
  <c r="T153" i="5" s="1"/>
  <c r="FI45" i="5"/>
  <c r="FI130" i="5" s="1"/>
  <c r="FI131" i="5" s="1"/>
  <c r="FJ131" i="5" s="1"/>
  <c r="T131" i="5" s="1"/>
  <c r="FI38" i="5"/>
  <c r="FI43" i="5"/>
  <c r="FI133" i="5" s="1"/>
  <c r="FI134" i="5" s="1"/>
  <c r="FJ134" i="5" s="1"/>
  <c r="T134" i="5" s="1"/>
  <c r="FI10" i="5"/>
  <c r="HI77" i="4" s="1"/>
  <c r="FI37" i="5"/>
  <c r="FI11" i="5"/>
  <c r="FI92" i="5" s="1"/>
  <c r="FI55" i="5"/>
  <c r="HA11" i="4"/>
  <c r="HA56" i="4"/>
  <c r="HA43" i="4"/>
  <c r="FG112" i="5" s="1"/>
  <c r="HA32" i="4"/>
  <c r="HA24" i="4"/>
  <c r="HA19" i="4"/>
  <c r="FM174" i="5" l="1"/>
  <c r="FM77" i="5" s="1"/>
  <c r="KR98" i="1"/>
  <c r="FI122" i="5"/>
  <c r="FN123" i="5" s="1"/>
  <c r="FI127" i="5"/>
  <c r="FI128" i="5" s="1"/>
  <c r="FJ128" i="5" s="1"/>
  <c r="T128" i="5" s="1"/>
  <c r="FO174" i="5"/>
  <c r="FO77" i="5" s="1"/>
  <c r="FI93" i="5"/>
  <c r="FO93" i="5"/>
  <c r="FO94" i="5" s="1"/>
  <c r="FI174" i="5"/>
  <c r="FI77" i="5" s="1"/>
  <c r="FN93" i="5"/>
  <c r="FN94" i="5" s="1"/>
  <c r="FM93" i="5"/>
  <c r="FI85" i="5"/>
  <c r="FO88" i="5" s="1"/>
  <c r="FO90" i="5" s="1"/>
  <c r="FI149" i="5"/>
  <c r="FI150" i="5" s="1"/>
  <c r="FJ150" i="5" s="1"/>
  <c r="T150" i="5" s="1"/>
  <c r="FN174" i="5"/>
  <c r="FN77" i="5" s="1"/>
  <c r="HH77" i="4"/>
  <c r="HC100" i="4"/>
  <c r="HG77" i="4"/>
  <c r="HC77" i="4"/>
  <c r="FI59" i="5"/>
  <c r="FI47" i="5"/>
  <c r="FM123" i="5" l="1"/>
  <c r="FM125" i="5" s="1"/>
  <c r="FI123" i="5"/>
  <c r="FI125" i="5" s="1"/>
  <c r="FO123" i="5"/>
  <c r="FO125" i="5" s="1"/>
  <c r="FN125" i="5"/>
  <c r="FI88" i="5"/>
  <c r="FI86" i="5"/>
  <c r="FJ86" i="5" s="1"/>
  <c r="T86" i="5" s="1"/>
  <c r="FM88" i="5"/>
  <c r="FN88" i="5"/>
  <c r="HA120" i="4"/>
  <c r="HA119" i="4"/>
  <c r="HA118" i="4"/>
  <c r="HA92" i="4"/>
  <c r="HA80" i="4"/>
  <c r="FG106" i="5" s="1"/>
  <c r="KP46" i="1"/>
  <c r="KP33" i="1"/>
  <c r="KP58" i="1"/>
  <c r="KN13" i="29" l="1"/>
  <c r="KN5" i="29" s="1"/>
  <c r="FN90" i="5"/>
  <c r="FM90" i="5"/>
  <c r="FI90" i="5"/>
  <c r="HG95" i="4"/>
  <c r="FM94" i="5" s="1"/>
  <c r="HA95" i="4"/>
  <c r="HC95" i="4"/>
  <c r="FI94" i="5" s="1"/>
  <c r="HB95" i="4"/>
  <c r="KP20" i="1" l="1"/>
  <c r="KN131" i="29" l="1"/>
  <c r="KN95" i="29"/>
  <c r="KN92" i="29"/>
  <c r="KP7" i="1"/>
  <c r="KN23" i="29"/>
  <c r="KN24" i="29"/>
  <c r="KN20" i="29"/>
  <c r="KN22" i="29"/>
  <c r="KN21" i="29"/>
  <c r="KN19" i="29"/>
  <c r="KN25" i="29"/>
  <c r="HG69" i="4"/>
  <c r="KN27" i="29" l="1"/>
  <c r="FM116" i="5"/>
  <c r="FM103" i="5"/>
  <c r="FM113" i="5"/>
  <c r="HG78" i="4"/>
  <c r="HG93" i="4"/>
  <c r="HG81" i="4"/>
  <c r="HG105" i="4"/>
  <c r="FM100" i="5" s="1"/>
  <c r="FM89" i="5"/>
  <c r="FM124" i="5"/>
  <c r="GZ43" i="4" l="1"/>
  <c r="FF112" i="5" s="1"/>
  <c r="GZ32" i="4"/>
  <c r="GZ24" i="4"/>
  <c r="GZ19" i="4"/>
  <c r="GZ11" i="4"/>
  <c r="GZ92" i="4" l="1"/>
  <c r="GZ80" i="4"/>
  <c r="FF106" i="5" s="1"/>
  <c r="GZ17" i="4"/>
  <c r="GS11" i="4"/>
  <c r="EZ17" i="5" l="1"/>
  <c r="EZ18" i="5"/>
  <c r="EZ31" i="5"/>
  <c r="EZ30" i="5"/>
  <c r="EZ29" i="5"/>
  <c r="EZ28" i="5"/>
  <c r="EZ27" i="5"/>
  <c r="FC13" i="5"/>
  <c r="FC26" i="5"/>
  <c r="FB24" i="5"/>
  <c r="FB23" i="5"/>
  <c r="FB22" i="5"/>
  <c r="FB21" i="5"/>
  <c r="FB20" i="5"/>
  <c r="FB19" i="5"/>
  <c r="FB15" i="5"/>
  <c r="FB14" i="5"/>
  <c r="GV56" i="4"/>
  <c r="GV43" i="4"/>
  <c r="FB112" i="5" s="1"/>
  <c r="GV32" i="4"/>
  <c r="GV24" i="4"/>
  <c r="GV19" i="4"/>
  <c r="GW15" i="4"/>
  <c r="GW14" i="4"/>
  <c r="GW13" i="4"/>
  <c r="GW12" i="4"/>
  <c r="GV11" i="4"/>
  <c r="S13" i="5" l="1"/>
  <c r="Y12" i="4"/>
  <c r="FC105" i="5"/>
  <c r="S105" i="5" s="1"/>
  <c r="Y13" i="4"/>
  <c r="FC102" i="5"/>
  <c r="S102" i="5" s="1"/>
  <c r="Y15" i="4"/>
  <c r="Y14" i="4"/>
  <c r="FA29" i="5"/>
  <c r="FA30" i="5"/>
  <c r="FA31" i="5"/>
  <c r="FA18" i="5"/>
  <c r="FA27" i="5"/>
  <c r="FA28" i="5"/>
  <c r="EZ26" i="5"/>
  <c r="EZ13" i="5"/>
  <c r="FA17" i="5"/>
  <c r="EU42" i="5"/>
  <c r="FA42" i="5"/>
  <c r="GW23" i="4"/>
  <c r="GU26" i="4"/>
  <c r="GU56" i="4"/>
  <c r="GU19" i="4"/>
  <c r="GU11" i="4"/>
  <c r="GT24" i="4"/>
  <c r="GT19" i="4"/>
  <c r="GT11" i="4"/>
  <c r="Y23" i="4" l="1"/>
  <c r="GU24" i="4"/>
  <c r="FB31" i="5"/>
  <c r="FA13" i="5"/>
  <c r="FB27" i="5"/>
  <c r="FB30" i="5"/>
  <c r="FB28" i="5"/>
  <c r="FA26" i="5"/>
  <c r="FB42" i="5"/>
  <c r="FB18" i="5"/>
  <c r="FB29" i="5"/>
  <c r="GZ28" i="4"/>
  <c r="FB17" i="5"/>
  <c r="FB26" i="5" l="1"/>
  <c r="FA12" i="5"/>
  <c r="KK60" i="1" l="1"/>
  <c r="KK93" i="1" s="1"/>
  <c r="KK94" i="1" s="1"/>
  <c r="KK96" i="1" s="1"/>
  <c r="FB41" i="5"/>
  <c r="FB40" i="5"/>
  <c r="FB39" i="5"/>
  <c r="FC174" i="5"/>
  <c r="GV119" i="4"/>
  <c r="GV118" i="4"/>
  <c r="GW100" i="4"/>
  <c r="Y100" i="4" s="1"/>
  <c r="GV92" i="4"/>
  <c r="GV80" i="4"/>
  <c r="FB106" i="5" s="1"/>
  <c r="GW77" i="4"/>
  <c r="Y77" i="4" s="1"/>
  <c r="GW11" i="4"/>
  <c r="FC77" i="5" l="1"/>
  <c r="S77" i="5" s="1"/>
  <c r="S174" i="5"/>
  <c r="Y11" i="4"/>
  <c r="GV41" i="4"/>
  <c r="KL53" i="1"/>
  <c r="KL57" i="1"/>
  <c r="KL56" i="1"/>
  <c r="KL38" i="1"/>
  <c r="AT38" i="1" s="1"/>
  <c r="KL40" i="1"/>
  <c r="AT40" i="1" s="1"/>
  <c r="KL32" i="1"/>
  <c r="KL31" i="1"/>
  <c r="KL30" i="1"/>
  <c r="KL29" i="1"/>
  <c r="KL28" i="1"/>
  <c r="KL27" i="1"/>
  <c r="KK23" i="1"/>
  <c r="KI96" i="29" s="1"/>
  <c r="KJ120" i="29" l="1"/>
  <c r="AT120" i="29" s="1"/>
  <c r="KJ130" i="29"/>
  <c r="KJ88" i="29"/>
  <c r="KJ91" i="29"/>
  <c r="AT32" i="1"/>
  <c r="AT12" i="29" s="1"/>
  <c r="KJ12" i="29"/>
  <c r="AT31" i="1"/>
  <c r="AT11" i="29" s="1"/>
  <c r="KJ11" i="29"/>
  <c r="AT29" i="1"/>
  <c r="AT9" i="29" s="1"/>
  <c r="KJ9" i="29"/>
  <c r="AT30" i="1"/>
  <c r="AT10" i="29" s="1"/>
  <c r="KJ10" i="29"/>
  <c r="AT27" i="1"/>
  <c r="AT7" i="29" s="1"/>
  <c r="KJ7" i="29"/>
  <c r="AT28" i="1"/>
  <c r="AT8" i="29" s="1"/>
  <c r="KJ8" i="29"/>
  <c r="AT56" i="1"/>
  <c r="AT57" i="1"/>
  <c r="KR25" i="1"/>
  <c r="GW80" i="4"/>
  <c r="GW92" i="4"/>
  <c r="Y92" i="4" s="1"/>
  <c r="GV48" i="4"/>
  <c r="AT91" i="29" l="1"/>
  <c r="AT88" i="29"/>
  <c r="AT130" i="29"/>
  <c r="FC106" i="5"/>
  <c r="S106" i="5" s="1"/>
  <c r="Y80" i="4"/>
  <c r="KJ97" i="29"/>
  <c r="AT97" i="29" s="1"/>
  <c r="GV58" i="4"/>
  <c r="KK20" i="1" l="1"/>
  <c r="KI131" i="29" l="1"/>
  <c r="KI95" i="29"/>
  <c r="KI92" i="29"/>
  <c r="KI23" i="29"/>
  <c r="KI25" i="29"/>
  <c r="KI22" i="29"/>
  <c r="KI24" i="29"/>
  <c r="KI20" i="29"/>
  <c r="KI21" i="29"/>
  <c r="KI19" i="29"/>
  <c r="KK7" i="1"/>
  <c r="KK24" i="1"/>
  <c r="KR21" i="1"/>
  <c r="KK35" i="1"/>
  <c r="KL20" i="1"/>
  <c r="KZ58" i="1"/>
  <c r="AV58" i="1" s="1"/>
  <c r="KZ57" i="1"/>
  <c r="AV57" i="1" s="1"/>
  <c r="KZ56" i="1"/>
  <c r="AV56" i="1" s="1"/>
  <c r="KZ53" i="1"/>
  <c r="KK13" i="1" l="1"/>
  <c r="KR8" i="1"/>
  <c r="KJ95" i="29"/>
  <c r="AT95" i="29" s="1"/>
  <c r="KJ92" i="29"/>
  <c r="AT92" i="29" s="1"/>
  <c r="KJ131" i="29"/>
  <c r="AT131" i="29" s="1"/>
  <c r="KI27" i="29"/>
  <c r="AT20" i="1"/>
  <c r="KJ24" i="29"/>
  <c r="AT24" i="29" s="1"/>
  <c r="KJ19" i="29"/>
  <c r="KJ23" i="29"/>
  <c r="AT23" i="29" s="1"/>
  <c r="KJ20" i="29"/>
  <c r="AT20" i="29" s="1"/>
  <c r="KJ21" i="29"/>
  <c r="AT21" i="29" s="1"/>
  <c r="KJ22" i="29"/>
  <c r="AT22" i="29" s="1"/>
  <c r="KL7" i="1"/>
  <c r="AT7" i="1" s="1"/>
  <c r="KR14" i="1"/>
  <c r="KS21" i="1"/>
  <c r="AU21" i="1" s="1"/>
  <c r="KK43" i="1"/>
  <c r="GW69" i="4"/>
  <c r="KZ29" i="1"/>
  <c r="KZ38" i="1"/>
  <c r="AV38" i="1" s="1"/>
  <c r="KZ70" i="1"/>
  <c r="AV70" i="1" s="1"/>
  <c r="AV29" i="1" l="1"/>
  <c r="AV9" i="29" s="1"/>
  <c r="KX9" i="29"/>
  <c r="AT19" i="29"/>
  <c r="FC103" i="5"/>
  <c r="S103" i="5" s="1"/>
  <c r="Y69" i="4"/>
  <c r="KS8" i="1"/>
  <c r="AU8" i="1" s="1"/>
  <c r="KK47" i="1"/>
  <c r="KK49" i="1"/>
  <c r="FC89" i="5"/>
  <c r="S89" i="5" s="1"/>
  <c r="FC124" i="5"/>
  <c r="S124" i="5" s="1"/>
  <c r="HO77" i="4"/>
  <c r="GW78" i="4"/>
  <c r="Y78" i="4" s="1"/>
  <c r="GW101" i="4"/>
  <c r="Y101" i="4" s="1"/>
  <c r="GW93" i="4"/>
  <c r="Y93" i="4" s="1"/>
  <c r="GW81" i="4"/>
  <c r="Y81" i="4" s="1"/>
  <c r="GU120" i="4"/>
  <c r="GU119" i="4"/>
  <c r="GU118" i="4"/>
  <c r="GU92" i="4"/>
  <c r="GU80" i="4"/>
  <c r="FA106" i="5" s="1"/>
  <c r="HK77" i="4" l="1"/>
  <c r="AA77" i="4" s="1"/>
  <c r="KK50" i="1"/>
  <c r="KK65" i="1"/>
  <c r="KK67" i="1" s="1"/>
  <c r="EZ57" i="5" l="1"/>
  <c r="EZ55" i="5"/>
  <c r="EZ54" i="5"/>
  <c r="EZ53" i="5"/>
  <c r="EZ45" i="5"/>
  <c r="EZ44" i="5"/>
  <c r="EZ43" i="5"/>
  <c r="EZ38" i="5"/>
  <c r="EZ37" i="5"/>
  <c r="EZ11" i="5"/>
  <c r="EZ10" i="5"/>
  <c r="EZ9" i="5"/>
  <c r="GT92" i="4"/>
  <c r="GT80" i="4"/>
  <c r="EZ106" i="5" s="1"/>
  <c r="KI58" i="1"/>
  <c r="KI46" i="1"/>
  <c r="KI33" i="1"/>
  <c r="KI60" i="1"/>
  <c r="KI93" i="1" s="1"/>
  <c r="KI94" i="1" s="1"/>
  <c r="KI96" i="1" s="1"/>
  <c r="KI98" i="1" l="1"/>
  <c r="KG13" i="29"/>
  <c r="KG5" i="29" s="1"/>
  <c r="EZ85" i="5"/>
  <c r="EZ92" i="5"/>
  <c r="EZ122" i="5"/>
  <c r="EZ127" i="5"/>
  <c r="EZ133" i="5"/>
  <c r="EZ130" i="5"/>
  <c r="EZ149" i="5"/>
  <c r="EZ152" i="5"/>
  <c r="GT95" i="4"/>
  <c r="KL58" i="1"/>
  <c r="KL33" i="1"/>
  <c r="KJ60" i="1"/>
  <c r="KJ93" i="1" s="1"/>
  <c r="KJ94" i="1" s="1"/>
  <c r="KJ96" i="1" s="1"/>
  <c r="FA53" i="5"/>
  <c r="FB45" i="5"/>
  <c r="GZ95" i="4"/>
  <c r="GV95" i="4"/>
  <c r="KL46" i="1"/>
  <c r="GU95" i="4"/>
  <c r="FA9" i="5"/>
  <c r="FA43" i="5"/>
  <c r="FA133" i="5" s="1"/>
  <c r="FA38" i="5"/>
  <c r="FA44" i="5"/>
  <c r="FA130" i="5" s="1"/>
  <c r="FA10" i="5"/>
  <c r="FA54" i="5"/>
  <c r="FA11" i="5"/>
  <c r="FA92" i="5" s="1"/>
  <c r="FA55" i="5"/>
  <c r="FA37" i="5"/>
  <c r="FA57" i="5"/>
  <c r="FA152" i="5" s="1"/>
  <c r="FA122" i="5" l="1"/>
  <c r="FA149" i="5"/>
  <c r="FA150" i="5" s="1"/>
  <c r="KJ98" i="1"/>
  <c r="FA127" i="5"/>
  <c r="FA128" i="5" s="1"/>
  <c r="KJ13" i="29"/>
  <c r="KJ5" i="29" s="1"/>
  <c r="KJ25" i="29"/>
  <c r="AT46" i="1"/>
  <c r="AT58" i="1"/>
  <c r="AT33" i="1"/>
  <c r="AT13" i="29" s="1"/>
  <c r="FA85" i="5"/>
  <c r="FA86" i="5" s="1"/>
  <c r="FA153" i="5"/>
  <c r="EZ153" i="5"/>
  <c r="EZ150" i="5"/>
  <c r="FA131" i="5"/>
  <c r="EZ131" i="5"/>
  <c r="FA134" i="5"/>
  <c r="EZ134" i="5"/>
  <c r="EZ128" i="5"/>
  <c r="EZ86" i="5"/>
  <c r="FB53" i="5"/>
  <c r="FB43" i="5"/>
  <c r="FB133" i="5" s="1"/>
  <c r="FB134" i="5" s="1"/>
  <c r="FC134" i="5" s="1"/>
  <c r="S134" i="5" s="1"/>
  <c r="FB9" i="5"/>
  <c r="FB37" i="5"/>
  <c r="GW95" i="4"/>
  <c r="FB55" i="5"/>
  <c r="FB57" i="5"/>
  <c r="FB152" i="5" s="1"/>
  <c r="FB153" i="5" s="1"/>
  <c r="FC153" i="5" s="1"/>
  <c r="S153" i="5" s="1"/>
  <c r="FB54" i="5"/>
  <c r="FB11" i="5"/>
  <c r="FB92" i="5" s="1"/>
  <c r="FH93" i="5" s="1"/>
  <c r="FH94" i="5" s="1"/>
  <c r="FB10" i="5"/>
  <c r="FB85" i="5" s="1"/>
  <c r="FH88" i="5" s="1"/>
  <c r="FB38" i="5"/>
  <c r="FB44" i="5"/>
  <c r="FB130" i="5" s="1"/>
  <c r="FB131" i="5" s="1"/>
  <c r="FC131" i="5" s="1"/>
  <c r="S131" i="5" s="1"/>
  <c r="FA47" i="5"/>
  <c r="KK98" i="1" l="1"/>
  <c r="FB127" i="5"/>
  <c r="FB128" i="5" s="1"/>
  <c r="FC128" i="5" s="1"/>
  <c r="S128" i="5" s="1"/>
  <c r="HB100" i="4"/>
  <c r="AT25" i="29"/>
  <c r="KJ27" i="29"/>
  <c r="AT27" i="29" s="1"/>
  <c r="AT5" i="29"/>
  <c r="FC94" i="5"/>
  <c r="S94" i="5" s="1"/>
  <c r="Y95" i="4"/>
  <c r="FF88" i="5"/>
  <c r="FF90" i="5" s="1"/>
  <c r="FB86" i="5"/>
  <c r="FC86" i="5" s="1"/>
  <c r="S86" i="5" s="1"/>
  <c r="FB88" i="5"/>
  <c r="FB90" i="5" s="1"/>
  <c r="FG88" i="5"/>
  <c r="FG90" i="5" s="1"/>
  <c r="FF93" i="5"/>
  <c r="FF94" i="5" s="1"/>
  <c r="FB93" i="5"/>
  <c r="FB94" i="5" s="1"/>
  <c r="FG93" i="5"/>
  <c r="FG94" i="5" s="1"/>
  <c r="FH90" i="5"/>
  <c r="FB122" i="5"/>
  <c r="HB77" i="4"/>
  <c r="FH174" i="5"/>
  <c r="FH77" i="5" s="1"/>
  <c r="FB174" i="5"/>
  <c r="FB77" i="5" s="1"/>
  <c r="HA77" i="4"/>
  <c r="FF174" i="5"/>
  <c r="FF77" i="5" s="1"/>
  <c r="GZ77" i="4"/>
  <c r="GV77" i="4"/>
  <c r="GS56" i="4"/>
  <c r="GS24" i="4"/>
  <c r="GS19" i="4"/>
  <c r="FH123" i="5" l="1"/>
  <c r="FH125" i="5" s="1"/>
  <c r="FG123" i="5"/>
  <c r="FB123" i="5"/>
  <c r="FF123" i="5"/>
  <c r="FB125" i="5" l="1"/>
  <c r="FG125" i="5"/>
  <c r="FF125" i="5"/>
  <c r="GS95" i="4" l="1"/>
  <c r="GS92" i="4"/>
  <c r="GS80" i="4"/>
  <c r="EY106" i="5" s="1"/>
  <c r="GS17" i="4"/>
  <c r="GS28" i="4" l="1"/>
  <c r="AW7" i="29" l="1"/>
  <c r="KH20" i="1"/>
  <c r="EV13" i="5"/>
  <c r="EV26" i="5"/>
  <c r="GO56" i="4"/>
  <c r="GO43" i="4"/>
  <c r="EU112" i="5" s="1"/>
  <c r="KF95" i="29" l="1"/>
  <c r="KF92" i="29"/>
  <c r="KF131" i="29"/>
  <c r="KH7" i="1"/>
  <c r="KF24" i="29"/>
  <c r="KF25" i="29"/>
  <c r="KF22" i="29"/>
  <c r="KF20" i="29"/>
  <c r="KF23" i="29"/>
  <c r="KF21" i="29"/>
  <c r="KF19" i="29"/>
  <c r="R13" i="5"/>
  <c r="EV12" i="5"/>
  <c r="R12" i="5" s="1"/>
  <c r="EV174" i="5"/>
  <c r="EU56" i="5"/>
  <c r="EU41" i="5"/>
  <c r="EU40" i="5"/>
  <c r="EU39" i="5"/>
  <c r="KH8" i="1" l="1"/>
  <c r="KF27" i="29"/>
  <c r="EV77" i="5"/>
  <c r="R77" i="5" s="1"/>
  <c r="R174" i="5"/>
  <c r="EV33" i="5"/>
  <c r="R33" i="5" s="1"/>
  <c r="GO120" i="4"/>
  <c r="GO119" i="4"/>
  <c r="GO118" i="4"/>
  <c r="GO95" i="4"/>
  <c r="GO92" i="4"/>
  <c r="GO80" i="4"/>
  <c r="EU106" i="5" s="1"/>
  <c r="GP77" i="4"/>
  <c r="X77" i="4" s="1"/>
  <c r="KE58" i="1"/>
  <c r="KE57" i="1"/>
  <c r="KE56" i="1"/>
  <c r="KE53" i="1"/>
  <c r="KE46" i="1"/>
  <c r="KE38" i="1"/>
  <c r="AS38" i="1" s="1"/>
  <c r="KE40" i="1"/>
  <c r="AS40" i="1" s="1"/>
  <c r="KE33" i="1"/>
  <c r="KE32" i="1"/>
  <c r="KE31" i="1"/>
  <c r="KE30" i="1"/>
  <c r="KE29" i="1"/>
  <c r="KE28" i="1"/>
  <c r="KE27" i="1"/>
  <c r="KC91" i="29" l="1"/>
  <c r="KC88" i="29"/>
  <c r="KC130" i="29"/>
  <c r="KC120" i="29"/>
  <c r="AS120" i="29" s="1"/>
  <c r="AS33" i="1"/>
  <c r="AS13" i="29" s="1"/>
  <c r="KC13" i="29"/>
  <c r="AS30" i="1"/>
  <c r="AS10" i="29" s="1"/>
  <c r="KC10" i="29"/>
  <c r="AS32" i="1"/>
  <c r="AS12" i="29" s="1"/>
  <c r="KC12" i="29"/>
  <c r="AS27" i="1"/>
  <c r="AS7" i="29" s="1"/>
  <c r="KC7" i="29"/>
  <c r="AS31" i="1"/>
  <c r="AS11" i="29" s="1"/>
  <c r="KC11" i="29"/>
  <c r="AS28" i="1"/>
  <c r="AS8" i="29" s="1"/>
  <c r="KC8" i="29"/>
  <c r="AS29" i="1"/>
  <c r="AS9" i="29" s="1"/>
  <c r="KC9" i="29"/>
  <c r="AS56" i="1"/>
  <c r="AS57" i="1"/>
  <c r="AS58" i="1"/>
  <c r="AS46" i="1"/>
  <c r="GP80" i="4"/>
  <c r="X80" i="4" s="1"/>
  <c r="EV163" i="5"/>
  <c r="KE23" i="1"/>
  <c r="GP92" i="4"/>
  <c r="X92" i="4" s="1"/>
  <c r="GP95" i="4"/>
  <c r="KD23" i="1"/>
  <c r="KB96" i="29" s="1"/>
  <c r="AS23" i="1" l="1"/>
  <c r="KC96" i="29"/>
  <c r="AS96" i="29" s="1"/>
  <c r="AS130" i="29"/>
  <c r="AS88" i="29"/>
  <c r="KJ89" i="29"/>
  <c r="AT89" i="29" s="1"/>
  <c r="AS91" i="29"/>
  <c r="KC5" i="29"/>
  <c r="AS5" i="29" s="1"/>
  <c r="EV167" i="5"/>
  <c r="EV173" i="5" s="1"/>
  <c r="R163" i="5"/>
  <c r="EV94" i="5"/>
  <c r="R94" i="5" s="1"/>
  <c r="X95" i="4"/>
  <c r="KK25" i="1"/>
  <c r="GP83" i="4"/>
  <c r="X83" i="4" s="1"/>
  <c r="GP71" i="4"/>
  <c r="X71" i="4" s="1"/>
  <c r="EV76" i="5" l="1"/>
  <c r="R76" i="5" s="1"/>
  <c r="R173" i="5"/>
  <c r="EV169" i="5"/>
  <c r="R169" i="5" s="1"/>
  <c r="R167" i="5"/>
  <c r="KC97" i="29"/>
  <c r="AS97" i="29" s="1"/>
  <c r="EV175" i="5"/>
  <c r="KD20" i="1"/>
  <c r="B2" i="1"/>
  <c r="KB131" i="29" l="1"/>
  <c r="KB95" i="29"/>
  <c r="KB92" i="29"/>
  <c r="KB25" i="29"/>
  <c r="KB22" i="29"/>
  <c r="KB24" i="29"/>
  <c r="KB23" i="29"/>
  <c r="KB21" i="29"/>
  <c r="KB19" i="29"/>
  <c r="KB20" i="29"/>
  <c r="EV78" i="5"/>
  <c r="R78" i="5" s="1"/>
  <c r="R175" i="5"/>
  <c r="KD7" i="1"/>
  <c r="KD24" i="1"/>
  <c r="B2" i="4"/>
  <c r="B2" i="5"/>
  <c r="KD35" i="1"/>
  <c r="GN19" i="4"/>
  <c r="GN11" i="4"/>
  <c r="KD13" i="1" l="1"/>
  <c r="KD43" i="1"/>
  <c r="KD49" i="1" s="1"/>
  <c r="KD8" i="1"/>
  <c r="KB27" i="29"/>
  <c r="KK8" i="1"/>
  <c r="KK36" i="1"/>
  <c r="ET17" i="5"/>
  <c r="KK14" i="1" l="1"/>
  <c r="KK44" i="1"/>
  <c r="KD47" i="1"/>
  <c r="KK51" i="1"/>
  <c r="EU17" i="5"/>
  <c r="KD62" i="1"/>
  <c r="KD65" i="1"/>
  <c r="KD50" i="1"/>
  <c r="KD10" i="1" l="1"/>
  <c r="KD67" i="1"/>
  <c r="KD71" i="1"/>
  <c r="KK68" i="1" l="1"/>
  <c r="KC20" i="1"/>
  <c r="T159" i="5"/>
  <c r="KS58" i="1"/>
  <c r="AU58" i="1" s="1"/>
  <c r="KS57" i="1"/>
  <c r="AU57" i="1" s="1"/>
  <c r="KS56" i="1"/>
  <c r="AU56" i="1" s="1"/>
  <c r="KS53" i="1"/>
  <c r="KA131" i="29" l="1"/>
  <c r="KA95" i="29"/>
  <c r="KA92" i="29"/>
  <c r="KC7" i="1"/>
  <c r="KA25" i="29"/>
  <c r="KA24" i="29"/>
  <c r="KA23" i="29"/>
  <c r="KA21" i="29"/>
  <c r="KA19" i="29"/>
  <c r="KA22" i="29"/>
  <c r="KA20" i="29"/>
  <c r="KS38" i="1"/>
  <c r="AU38" i="1" s="1"/>
  <c r="GM11" i="4"/>
  <c r="GM24" i="4"/>
  <c r="GM19" i="4"/>
  <c r="GM32" i="4"/>
  <c r="GM56" i="4"/>
  <c r="ES31" i="5"/>
  <c r="ES30" i="5"/>
  <c r="ES29" i="5"/>
  <c r="ES28" i="5"/>
  <c r="ES27" i="5"/>
  <c r="KC8" i="1" l="1"/>
  <c r="KA27" i="29"/>
  <c r="ET30" i="5"/>
  <c r="ET31" i="5"/>
  <c r="ET27" i="5"/>
  <c r="ET28" i="5"/>
  <c r="ET29" i="5"/>
  <c r="ET26" i="5" l="1"/>
  <c r="KS29" i="1"/>
  <c r="AU29" i="1" l="1"/>
  <c r="AU9" i="29" s="1"/>
  <c r="KQ21" i="29"/>
  <c r="AU21" i="29" s="1"/>
  <c r="KQ9" i="29"/>
  <c r="ES57" i="5" l="1"/>
  <c r="ES55" i="5"/>
  <c r="ES54" i="5"/>
  <c r="ES53" i="5"/>
  <c r="ES52" i="5"/>
  <c r="ES43" i="5"/>
  <c r="ES133" i="5" s="1"/>
  <c r="ES45" i="5"/>
  <c r="ES44" i="5"/>
  <c r="ES38" i="5"/>
  <c r="ES18" i="5"/>
  <c r="ES37" i="5"/>
  <c r="ES11" i="5"/>
  <c r="ES92" i="5" s="1"/>
  <c r="ES10" i="5"/>
  <c r="ES9" i="5"/>
  <c r="KB98" i="1" l="1"/>
  <c r="ES127" i="5"/>
  <c r="ES128" i="5" s="1"/>
  <c r="ES122" i="5"/>
  <c r="ES85" i="5"/>
  <c r="ES130" i="5"/>
  <c r="ES134" i="5"/>
  <c r="ES149" i="5"/>
  <c r="ES152" i="5"/>
  <c r="ET10" i="5"/>
  <c r="ET52" i="5"/>
  <c r="ET9" i="5"/>
  <c r="ET11" i="5"/>
  <c r="ET92" i="5" s="1"/>
  <c r="ET53" i="5"/>
  <c r="ET37" i="5"/>
  <c r="ET54" i="5"/>
  <c r="ET45" i="5"/>
  <c r="ET43" i="5"/>
  <c r="ET133" i="5" s="1"/>
  <c r="ET55" i="5"/>
  <c r="ET38" i="5"/>
  <c r="ET57" i="5"/>
  <c r="ET152" i="5" s="1"/>
  <c r="ET44" i="5"/>
  <c r="ET18" i="5"/>
  <c r="KB23" i="1"/>
  <c r="JZ96" i="29" s="1"/>
  <c r="ET149" i="5" l="1"/>
  <c r="KC98" i="1"/>
  <c r="ET127" i="5"/>
  <c r="ET128" i="5" s="1"/>
  <c r="ET122" i="5"/>
  <c r="ET134" i="5"/>
  <c r="ET130" i="5"/>
  <c r="ET131" i="5" s="1"/>
  <c r="ET85" i="5"/>
  <c r="ET86" i="5" s="1"/>
  <c r="ET153" i="5"/>
  <c r="ES153" i="5"/>
  <c r="ET150" i="5"/>
  <c r="ES150" i="5"/>
  <c r="ES131" i="5"/>
  <c r="ES86" i="5"/>
  <c r="EU53" i="5"/>
  <c r="EU9" i="5"/>
  <c r="EU18" i="5"/>
  <c r="EU45" i="5"/>
  <c r="EU52" i="5"/>
  <c r="EU37" i="5"/>
  <c r="EU11" i="5"/>
  <c r="EU92" i="5" s="1"/>
  <c r="FA93" i="5" s="1"/>
  <c r="FA94" i="5" s="1"/>
  <c r="EU54" i="5"/>
  <c r="EU43" i="5"/>
  <c r="EU133" i="5" s="1"/>
  <c r="EU134" i="5" s="1"/>
  <c r="EV134" i="5" s="1"/>
  <c r="R134" i="5" s="1"/>
  <c r="EU44" i="5"/>
  <c r="EU55" i="5"/>
  <c r="EU57" i="5"/>
  <c r="EU152" i="5" s="1"/>
  <c r="EU153" i="5" s="1"/>
  <c r="EV153" i="5" s="1"/>
  <c r="R153" i="5" s="1"/>
  <c r="EU38" i="5"/>
  <c r="EU10" i="5"/>
  <c r="EU85" i="5" s="1"/>
  <c r="FA88" i="5" s="1"/>
  <c r="EU149" i="5" l="1"/>
  <c r="EU150" i="5" s="1"/>
  <c r="EV150" i="5" s="1"/>
  <c r="R150" i="5" s="1"/>
  <c r="KD98" i="1"/>
  <c r="EU122" i="5"/>
  <c r="FA123" i="5" s="1"/>
  <c r="FA125" i="5" s="1"/>
  <c r="EU127" i="5"/>
  <c r="EU128" i="5" s="1"/>
  <c r="EV128" i="5" s="1"/>
  <c r="R128" i="5" s="1"/>
  <c r="EU130" i="5"/>
  <c r="EU131" i="5" s="1"/>
  <c r="EV131" i="5" s="1"/>
  <c r="R131" i="5" s="1"/>
  <c r="EU93" i="5"/>
  <c r="EU94" i="5" s="1"/>
  <c r="EY93" i="5"/>
  <c r="EY94" i="5" s="1"/>
  <c r="EZ93" i="5"/>
  <c r="EZ94" i="5" s="1"/>
  <c r="EU88" i="5"/>
  <c r="EU90" i="5" s="1"/>
  <c r="EZ88" i="5"/>
  <c r="FA90" i="5"/>
  <c r="EY88" i="5"/>
  <c r="EY90" i="5" s="1"/>
  <c r="EU86" i="5"/>
  <c r="EV86" i="5" s="1"/>
  <c r="R86" i="5" s="1"/>
  <c r="GT77" i="4"/>
  <c r="EZ174" i="5"/>
  <c r="EZ77" i="5" s="1"/>
  <c r="EY174" i="5"/>
  <c r="EY77" i="5" s="1"/>
  <c r="FA174" i="5"/>
  <c r="FA77" i="5" s="1"/>
  <c r="EU174" i="5"/>
  <c r="EU77" i="5" s="1"/>
  <c r="GU77" i="4"/>
  <c r="GO77" i="4"/>
  <c r="GS77" i="4"/>
  <c r="EU59" i="5"/>
  <c r="EU47" i="5"/>
  <c r="KB20" i="1"/>
  <c r="EZ123" i="5" l="1"/>
  <c r="EY123" i="5"/>
  <c r="EY125" i="5" s="1"/>
  <c r="EU123" i="5"/>
  <c r="EU125" i="5" s="1"/>
  <c r="JZ131" i="29"/>
  <c r="JZ95" i="29"/>
  <c r="JZ92" i="29"/>
  <c r="JZ25" i="29"/>
  <c r="JZ22" i="29"/>
  <c r="JZ23" i="29"/>
  <c r="JZ24" i="29"/>
  <c r="JZ21" i="29"/>
  <c r="JZ19" i="29"/>
  <c r="JZ20" i="29"/>
  <c r="KB7" i="1"/>
  <c r="KB24" i="1"/>
  <c r="EZ125" i="5"/>
  <c r="EZ90" i="5"/>
  <c r="KB35" i="1"/>
  <c r="GS69" i="4"/>
  <c r="GO69" i="4"/>
  <c r="KE20" i="1"/>
  <c r="KB13" i="1" l="1"/>
  <c r="JZ27" i="29"/>
  <c r="KC95" i="29"/>
  <c r="AS95" i="29" s="1"/>
  <c r="KC131" i="29"/>
  <c r="AS131" i="29" s="1"/>
  <c r="KC92" i="29"/>
  <c r="AS92" i="29" s="1"/>
  <c r="AS20" i="1"/>
  <c r="KC25" i="29"/>
  <c r="AS25" i="29" s="1"/>
  <c r="KC23" i="29"/>
  <c r="AS23" i="29" s="1"/>
  <c r="KC22" i="29"/>
  <c r="AS22" i="29" s="1"/>
  <c r="KC20" i="29"/>
  <c r="AS20" i="29" s="1"/>
  <c r="KC24" i="29"/>
  <c r="AS24" i="29" s="1"/>
  <c r="KC21" i="29"/>
  <c r="AS21" i="29" s="1"/>
  <c r="KC19" i="29"/>
  <c r="EU116" i="5"/>
  <c r="EU103" i="5"/>
  <c r="EU113" i="5"/>
  <c r="EY113" i="5"/>
  <c r="EY116" i="5"/>
  <c r="EY103" i="5"/>
  <c r="EU124" i="5"/>
  <c r="EY89" i="5"/>
  <c r="KE7" i="1"/>
  <c r="AS7" i="1" s="1"/>
  <c r="KE24" i="1"/>
  <c r="EY124" i="5"/>
  <c r="EU89" i="5"/>
  <c r="GS105" i="4"/>
  <c r="EY100" i="5" s="1"/>
  <c r="GS93" i="4"/>
  <c r="GS78" i="4"/>
  <c r="GS81" i="4"/>
  <c r="KB43" i="1"/>
  <c r="GO105" i="4"/>
  <c r="EU100" i="5" s="1"/>
  <c r="GO93" i="4"/>
  <c r="GO78" i="4"/>
  <c r="GO81" i="4"/>
  <c r="GP69" i="4"/>
  <c r="X69" i="4" s="1"/>
  <c r="KE35" i="1"/>
  <c r="KC27" i="29" l="1"/>
  <c r="AS27" i="29" s="1"/>
  <c r="AS19" i="29"/>
  <c r="KL8" i="1"/>
  <c r="AT8" i="1" s="1"/>
  <c r="KE13" i="1"/>
  <c r="AS13" i="1" s="1"/>
  <c r="AS24" i="1"/>
  <c r="AS35" i="1"/>
  <c r="EV124" i="5"/>
  <c r="R124" i="5" s="1"/>
  <c r="EV89" i="5"/>
  <c r="R89" i="5" s="1"/>
  <c r="KB49" i="1"/>
  <c r="KB47" i="1"/>
  <c r="KE43" i="1"/>
  <c r="GP74" i="4"/>
  <c r="X74" i="4" s="1"/>
  <c r="GP78" i="4"/>
  <c r="X78" i="4" s="1"/>
  <c r="GP93" i="4"/>
  <c r="X93" i="4" s="1"/>
  <c r="GP81" i="4"/>
  <c r="X81" i="4" s="1"/>
  <c r="GP84" i="4"/>
  <c r="X84" i="4" s="1"/>
  <c r="GP72" i="4"/>
  <c r="X72" i="4" s="1"/>
  <c r="ER26" i="5"/>
  <c r="GH56" i="4"/>
  <c r="GL56" i="4"/>
  <c r="GL43" i="4"/>
  <c r="ER112" i="5" s="1"/>
  <c r="GL32" i="4"/>
  <c r="GL22" i="4"/>
  <c r="GL24" i="4"/>
  <c r="GL19" i="4"/>
  <c r="AS43" i="1" l="1"/>
  <c r="KB65" i="1"/>
  <c r="KB50" i="1"/>
  <c r="KB62" i="1"/>
  <c r="GP86" i="4"/>
  <c r="X86" i="4" s="1"/>
  <c r="GP75" i="4"/>
  <c r="X75" i="4" s="1"/>
  <c r="GP89" i="4"/>
  <c r="KE47" i="1"/>
  <c r="AS47" i="1" s="1"/>
  <c r="GP90" i="4" l="1"/>
  <c r="X90" i="4" s="1"/>
  <c r="X89" i="4"/>
  <c r="KB10" i="1"/>
  <c r="KB67" i="1"/>
  <c r="KB71" i="1"/>
  <c r="GP125" i="4"/>
  <c r="X125" i="4" s="1"/>
  <c r="EV177" i="5"/>
  <c r="GP87" i="4"/>
  <c r="X87" i="4" s="1"/>
  <c r="ER66" i="5"/>
  <c r="ER59" i="5"/>
  <c r="ER47" i="5"/>
  <c r="ER13" i="5"/>
  <c r="GL119" i="4"/>
  <c r="GL95" i="4"/>
  <c r="GL92" i="4"/>
  <c r="GL80" i="4"/>
  <c r="ER106" i="5" s="1"/>
  <c r="GL41" i="4"/>
  <c r="KA23" i="1"/>
  <c r="JY96" i="29" s="1"/>
  <c r="KA21" i="1"/>
  <c r="EV80" i="5" l="1"/>
  <c r="R80" i="5" s="1"/>
  <c r="R177" i="5"/>
  <c r="KA24" i="1"/>
  <c r="GL48" i="4"/>
  <c r="ER12" i="5"/>
  <c r="KA35" i="1"/>
  <c r="GL118" i="4"/>
  <c r="KA13" i="1" l="1"/>
  <c r="GL58" i="4"/>
  <c r="ER33" i="5"/>
  <c r="KA43" i="1"/>
  <c r="ER63" i="5" l="1"/>
  <c r="KA47" i="1"/>
  <c r="ER163" i="5"/>
  <c r="KA49" i="1"/>
  <c r="ER165" i="5" l="1"/>
  <c r="KA65" i="1"/>
  <c r="KA50" i="1"/>
  <c r="KA62" i="1"/>
  <c r="KA10" i="1" s="1"/>
  <c r="GH43" i="4"/>
  <c r="EN112" i="5" s="1"/>
  <c r="GI44" i="4"/>
  <c r="GI38" i="4"/>
  <c r="GH32" i="4"/>
  <c r="GI37" i="4"/>
  <c r="GI36" i="4"/>
  <c r="GI35" i="4"/>
  <c r="GI34" i="4"/>
  <c r="GI33" i="4"/>
  <c r="GI26" i="4"/>
  <c r="GI25" i="4"/>
  <c r="GH24" i="4"/>
  <c r="GH22" i="4"/>
  <c r="GH19" i="4"/>
  <c r="GI21" i="4"/>
  <c r="GI20" i="4"/>
  <c r="W20" i="4" s="1"/>
  <c r="GH11" i="4"/>
  <c r="GI15" i="4"/>
  <c r="GI14" i="4"/>
  <c r="GI13" i="4"/>
  <c r="GI12" i="4"/>
  <c r="W34" i="4" l="1"/>
  <c r="W36" i="4"/>
  <c r="W37" i="4"/>
  <c r="W44" i="4"/>
  <c r="EO102" i="5"/>
  <c r="Q102" i="5" s="1"/>
  <c r="W15" i="4"/>
  <c r="W14" i="4"/>
  <c r="W25" i="4"/>
  <c r="EO105" i="5"/>
  <c r="Q105" i="5" s="1"/>
  <c r="W13" i="4"/>
  <c r="W35" i="4"/>
  <c r="W38" i="4"/>
  <c r="W26" i="4"/>
  <c r="W21" i="4"/>
  <c r="W12" i="4"/>
  <c r="W33" i="4"/>
  <c r="EO125" i="5"/>
  <c r="Q125" i="5" s="1"/>
  <c r="EO90" i="5"/>
  <c r="Q90" i="5" s="1"/>
  <c r="KA67" i="1"/>
  <c r="GI24" i="4"/>
  <c r="KA71" i="1"/>
  <c r="EO26" i="5"/>
  <c r="EO174" i="5"/>
  <c r="EN66" i="5"/>
  <c r="EO59" i="5"/>
  <c r="EO47" i="5"/>
  <c r="EN41" i="5"/>
  <c r="EN40" i="5"/>
  <c r="EN39" i="5"/>
  <c r="EN24" i="5"/>
  <c r="EN23" i="5"/>
  <c r="EN22" i="5"/>
  <c r="EN21" i="5"/>
  <c r="EN20" i="5"/>
  <c r="EN19" i="5"/>
  <c r="EN15" i="5"/>
  <c r="EN14" i="5"/>
  <c r="EO13" i="5"/>
  <c r="Q13" i="5" s="1"/>
  <c r="Q159" i="5"/>
  <c r="GI32" i="4"/>
  <c r="GH41" i="4"/>
  <c r="GG32" i="4"/>
  <c r="GF32" i="4"/>
  <c r="GE32" i="4"/>
  <c r="GA32" i="4"/>
  <c r="GA41" i="4" s="1"/>
  <c r="FZ32" i="4"/>
  <c r="FZ41" i="4" s="1"/>
  <c r="FY32" i="4"/>
  <c r="FY41" i="4" s="1"/>
  <c r="FX32" i="4"/>
  <c r="FX41" i="4" s="1"/>
  <c r="FT32" i="4"/>
  <c r="FT41" i="4" s="1"/>
  <c r="FS32" i="4"/>
  <c r="FS41" i="4" s="1"/>
  <c r="FR32" i="4"/>
  <c r="FR41" i="4" s="1"/>
  <c r="FQ32" i="4"/>
  <c r="FQ41" i="4" s="1"/>
  <c r="FM32" i="4"/>
  <c r="FM41" i="4" s="1"/>
  <c r="FL32" i="4"/>
  <c r="FL41" i="4" s="1"/>
  <c r="FK32" i="4"/>
  <c r="FK41" i="4" s="1"/>
  <c r="FJ32" i="4"/>
  <c r="FJ41" i="4" s="1"/>
  <c r="FF32" i="4"/>
  <c r="FF41" i="4" s="1"/>
  <c r="FE32" i="4"/>
  <c r="FE41" i="4" s="1"/>
  <c r="FD32" i="4"/>
  <c r="FD41" i="4" s="1"/>
  <c r="FC32" i="4"/>
  <c r="FC41" i="4" s="1"/>
  <c r="EY32" i="4"/>
  <c r="EY41" i="4" s="1"/>
  <c r="EX32" i="4"/>
  <c r="EX41" i="4" s="1"/>
  <c r="EW32" i="4"/>
  <c r="EW41" i="4" s="1"/>
  <c r="EV32" i="4"/>
  <c r="EV41" i="4" s="1"/>
  <c r="ER32" i="4"/>
  <c r="ER41" i="4" s="1"/>
  <c r="EQ32" i="4"/>
  <c r="EQ41" i="4" s="1"/>
  <c r="EP32" i="4"/>
  <c r="EP41" i="4" s="1"/>
  <c r="EO32" i="4"/>
  <c r="EO41" i="4" s="1"/>
  <c r="EK32" i="4"/>
  <c r="EK41" i="4" s="1"/>
  <c r="EJ32" i="4"/>
  <c r="EJ41" i="4" s="1"/>
  <c r="EI32" i="4"/>
  <c r="EI41" i="4" s="1"/>
  <c r="EH32" i="4"/>
  <c r="EH41" i="4" s="1"/>
  <c r="ED32" i="4"/>
  <c r="ED41" i="4" s="1"/>
  <c r="EC32" i="4"/>
  <c r="EC41" i="4" s="1"/>
  <c r="EB32" i="4"/>
  <c r="EB41" i="4" s="1"/>
  <c r="EA32" i="4"/>
  <c r="EA41" i="4" s="1"/>
  <c r="DW32" i="4"/>
  <c r="DW41" i="4" s="1"/>
  <c r="DV32" i="4"/>
  <c r="DV41" i="4" s="1"/>
  <c r="DU32" i="4"/>
  <c r="DU41" i="4" s="1"/>
  <c r="DT32" i="4"/>
  <c r="DT41" i="4" s="1"/>
  <c r="DP32" i="4"/>
  <c r="DP41" i="4" s="1"/>
  <c r="DO32" i="4"/>
  <c r="DO41" i="4" s="1"/>
  <c r="DN32" i="4"/>
  <c r="DN41" i="4" s="1"/>
  <c r="DM32" i="4"/>
  <c r="DM41" i="4" s="1"/>
  <c r="DI32" i="4"/>
  <c r="DI41" i="4" s="1"/>
  <c r="DB32" i="4"/>
  <c r="DB41" i="4" s="1"/>
  <c r="CU32" i="4"/>
  <c r="CU41" i="4" s="1"/>
  <c r="BP32" i="4"/>
  <c r="BP41" i="4" s="1"/>
  <c r="Q47" i="5" l="1"/>
  <c r="Q59" i="5"/>
  <c r="EO77" i="5"/>
  <c r="Q77" i="5" s="1"/>
  <c r="Q174" i="5"/>
  <c r="W32" i="4"/>
  <c r="W24" i="4"/>
  <c r="GF41" i="4"/>
  <c r="GG41" i="4"/>
  <c r="GE41" i="4"/>
  <c r="EO12" i="5"/>
  <c r="GI19" i="4"/>
  <c r="W19" i="4" s="1"/>
  <c r="GG24" i="4"/>
  <c r="GF24" i="4"/>
  <c r="GE24" i="4"/>
  <c r="GA24" i="4"/>
  <c r="FZ24" i="4"/>
  <c r="FY24" i="4"/>
  <c r="FX24" i="4"/>
  <c r="FT24" i="4"/>
  <c r="FS24" i="4"/>
  <c r="FR24" i="4"/>
  <c r="FQ24" i="4"/>
  <c r="FM24" i="4"/>
  <c r="FL24" i="4"/>
  <c r="FK24" i="4"/>
  <c r="FJ24" i="4"/>
  <c r="FF24" i="4"/>
  <c r="FE24" i="4"/>
  <c r="FD24" i="4"/>
  <c r="FC24" i="4"/>
  <c r="EY24" i="4"/>
  <c r="EX24" i="4"/>
  <c r="EW24" i="4"/>
  <c r="EV24" i="4"/>
  <c r="ER24" i="4"/>
  <c r="EQ24" i="4"/>
  <c r="EP24" i="4"/>
  <c r="EO24" i="4"/>
  <c r="EK24" i="4"/>
  <c r="EJ24" i="4"/>
  <c r="EI24" i="4"/>
  <c r="EH24" i="4"/>
  <c r="ED24" i="4"/>
  <c r="EC24" i="4"/>
  <c r="EB24" i="4"/>
  <c r="EA24" i="4"/>
  <c r="DW24" i="4"/>
  <c r="DV24" i="4"/>
  <c r="DU24" i="4"/>
  <c r="DT24" i="4"/>
  <c r="DP24" i="4"/>
  <c r="DO24" i="4"/>
  <c r="DN24" i="4"/>
  <c r="DM24" i="4"/>
  <c r="DI24" i="4"/>
  <c r="DH24" i="4"/>
  <c r="DG24" i="4"/>
  <c r="DF24" i="4"/>
  <c r="DB24" i="4"/>
  <c r="DA24" i="4"/>
  <c r="CZ24" i="4"/>
  <c r="CY24" i="4"/>
  <c r="CU24" i="4"/>
  <c r="CT24" i="4"/>
  <c r="CS24" i="4"/>
  <c r="CR24" i="4"/>
  <c r="CN24" i="4"/>
  <c r="CM24" i="4"/>
  <c r="CL24" i="4"/>
  <c r="CK24" i="4"/>
  <c r="CG24" i="4"/>
  <c r="CF24" i="4"/>
  <c r="CE24" i="4"/>
  <c r="CD24" i="4"/>
  <c r="BZ24" i="4"/>
  <c r="BY24" i="4"/>
  <c r="BX24" i="4"/>
  <c r="BW24" i="4"/>
  <c r="BS24" i="4"/>
  <c r="BR24" i="4"/>
  <c r="BQ24" i="4"/>
  <c r="BP24" i="4"/>
  <c r="BL24" i="4"/>
  <c r="BK24" i="4"/>
  <c r="BJ24" i="4"/>
  <c r="BI24" i="4"/>
  <c r="BE24" i="4"/>
  <c r="BD24" i="4"/>
  <c r="BC24" i="4"/>
  <c r="BB24" i="4"/>
  <c r="AX24" i="4"/>
  <c r="GG19" i="4"/>
  <c r="GF19" i="4"/>
  <c r="GE19" i="4"/>
  <c r="GA19" i="4"/>
  <c r="FZ19" i="4"/>
  <c r="FY19" i="4"/>
  <c r="FX19" i="4"/>
  <c r="FT19" i="4"/>
  <c r="FS19" i="4"/>
  <c r="FR19" i="4"/>
  <c r="FQ19" i="4"/>
  <c r="FM19" i="4"/>
  <c r="FL19" i="4"/>
  <c r="FK19" i="4"/>
  <c r="FJ19" i="4"/>
  <c r="FF19" i="4"/>
  <c r="FE19" i="4"/>
  <c r="FD19" i="4"/>
  <c r="FC19" i="4"/>
  <c r="EY19" i="4"/>
  <c r="EX19" i="4"/>
  <c r="EW19" i="4"/>
  <c r="EV19" i="4"/>
  <c r="ER19" i="4"/>
  <c r="EQ19" i="4"/>
  <c r="EP19" i="4"/>
  <c r="EO19" i="4"/>
  <c r="EK19" i="4"/>
  <c r="EJ19" i="4"/>
  <c r="EI19" i="4"/>
  <c r="EH19" i="4"/>
  <c r="ED19" i="4"/>
  <c r="EC19" i="4"/>
  <c r="EB19" i="4"/>
  <c r="EA19" i="4"/>
  <c r="DW19" i="4"/>
  <c r="DV19" i="4"/>
  <c r="DU19" i="4"/>
  <c r="DT19" i="4"/>
  <c r="DP19" i="4"/>
  <c r="DO19" i="4"/>
  <c r="DN19" i="4"/>
  <c r="DM19" i="4"/>
  <c r="DI19" i="4"/>
  <c r="DH19" i="4"/>
  <c r="DG19" i="4"/>
  <c r="DF19" i="4"/>
  <c r="DB19" i="4"/>
  <c r="DA19" i="4"/>
  <c r="CZ19" i="4"/>
  <c r="CY19" i="4"/>
  <c r="CU19" i="4"/>
  <c r="CT19" i="4"/>
  <c r="CS19" i="4"/>
  <c r="CR19" i="4"/>
  <c r="CN19" i="4"/>
  <c r="CM19" i="4"/>
  <c r="CL19" i="4"/>
  <c r="CK19" i="4"/>
  <c r="CG19" i="4"/>
  <c r="CF19" i="4"/>
  <c r="CE19" i="4"/>
  <c r="CD19" i="4"/>
  <c r="BZ19" i="4"/>
  <c r="BY19" i="4"/>
  <c r="BX19" i="4"/>
  <c r="BW19" i="4"/>
  <c r="BS19" i="4"/>
  <c r="BR19" i="4"/>
  <c r="BQ19" i="4"/>
  <c r="BP19" i="4"/>
  <c r="BL19" i="4"/>
  <c r="BK19" i="4"/>
  <c r="BJ19" i="4"/>
  <c r="BI19" i="4"/>
  <c r="BE19" i="4"/>
  <c r="BD19" i="4"/>
  <c r="BC19" i="4"/>
  <c r="BB19" i="4"/>
  <c r="AX19" i="4"/>
  <c r="GI11" i="4"/>
  <c r="GH17" i="4"/>
  <c r="GG11" i="4"/>
  <c r="GF11" i="4"/>
  <c r="GE11" i="4"/>
  <c r="GA11" i="4"/>
  <c r="GA17" i="4" s="1"/>
  <c r="FZ11" i="4"/>
  <c r="FZ17" i="4" s="1"/>
  <c r="FY11" i="4"/>
  <c r="FY17" i="4" s="1"/>
  <c r="FX11" i="4"/>
  <c r="FX17" i="4" s="1"/>
  <c r="FT11" i="4"/>
  <c r="FT17" i="4" s="1"/>
  <c r="FS11" i="4"/>
  <c r="FS17" i="4" s="1"/>
  <c r="FR11" i="4"/>
  <c r="FR17" i="4" s="1"/>
  <c r="FQ11" i="4"/>
  <c r="FQ17" i="4" s="1"/>
  <c r="FM11" i="4"/>
  <c r="FM17" i="4" s="1"/>
  <c r="FL11" i="4"/>
  <c r="FL17" i="4" s="1"/>
  <c r="FK11" i="4"/>
  <c r="FK17" i="4" s="1"/>
  <c r="FJ11" i="4"/>
  <c r="FJ17" i="4" s="1"/>
  <c r="FF11" i="4"/>
  <c r="FF17" i="4" s="1"/>
  <c r="FE11" i="4"/>
  <c r="FE17" i="4" s="1"/>
  <c r="FD11" i="4"/>
  <c r="FD17" i="4" s="1"/>
  <c r="FC11" i="4"/>
  <c r="FC17" i="4" s="1"/>
  <c r="EY11" i="4"/>
  <c r="EY17" i="4" s="1"/>
  <c r="EX11" i="4"/>
  <c r="EX17" i="4" s="1"/>
  <c r="EW11" i="4"/>
  <c r="EW17" i="4" s="1"/>
  <c r="EV11" i="4"/>
  <c r="EV17" i="4" s="1"/>
  <c r="ER11" i="4"/>
  <c r="ER17" i="4" s="1"/>
  <c r="EQ11" i="4"/>
  <c r="EQ17" i="4" s="1"/>
  <c r="EP11" i="4"/>
  <c r="EP17" i="4" s="1"/>
  <c r="EO11" i="4"/>
  <c r="EO17" i="4" s="1"/>
  <c r="EK11" i="4"/>
  <c r="EK17" i="4" s="1"/>
  <c r="EJ11" i="4"/>
  <c r="EJ17" i="4" s="1"/>
  <c r="EI11" i="4"/>
  <c r="EI17" i="4" s="1"/>
  <c r="EH11" i="4"/>
  <c r="EH17" i="4" s="1"/>
  <c r="ED11" i="4"/>
  <c r="ED17" i="4" s="1"/>
  <c r="EC11" i="4"/>
  <c r="EC17" i="4" s="1"/>
  <c r="EB11" i="4"/>
  <c r="EB17" i="4" s="1"/>
  <c r="EA11" i="4"/>
  <c r="EA17" i="4" s="1"/>
  <c r="DW11" i="4"/>
  <c r="DW17" i="4" s="1"/>
  <c r="DV11" i="4"/>
  <c r="DV17" i="4" s="1"/>
  <c r="DU11" i="4"/>
  <c r="DU17" i="4" s="1"/>
  <c r="DT11" i="4"/>
  <c r="DT17" i="4" s="1"/>
  <c r="DP11" i="4"/>
  <c r="DP17" i="4" s="1"/>
  <c r="DO11" i="4"/>
  <c r="DO17" i="4" s="1"/>
  <c r="DN11" i="4"/>
  <c r="DN17" i="4" s="1"/>
  <c r="DM11" i="4"/>
  <c r="DM17" i="4" s="1"/>
  <c r="DI11" i="4"/>
  <c r="DI17" i="4" s="1"/>
  <c r="DH11" i="4"/>
  <c r="DH17" i="4" s="1"/>
  <c r="DG11" i="4"/>
  <c r="DG17" i="4" s="1"/>
  <c r="DF11" i="4"/>
  <c r="DF17" i="4" s="1"/>
  <c r="DB11" i="4"/>
  <c r="DB17" i="4" s="1"/>
  <c r="DA11" i="4"/>
  <c r="DA17" i="4" s="1"/>
  <c r="CZ11" i="4"/>
  <c r="CZ17" i="4" s="1"/>
  <c r="CY11" i="4"/>
  <c r="CY17" i="4" s="1"/>
  <c r="CU11" i="4"/>
  <c r="CU17" i="4" s="1"/>
  <c r="CT11" i="4"/>
  <c r="CT17" i="4" s="1"/>
  <c r="CS11" i="4"/>
  <c r="CS17" i="4" s="1"/>
  <c r="CR11" i="4"/>
  <c r="CR17" i="4" s="1"/>
  <c r="CN11" i="4"/>
  <c r="CN17" i="4" s="1"/>
  <c r="CM11" i="4"/>
  <c r="CM17" i="4" s="1"/>
  <c r="CL11" i="4"/>
  <c r="CL17" i="4" s="1"/>
  <c r="CK11" i="4"/>
  <c r="CK17" i="4" s="1"/>
  <c r="CF11" i="4"/>
  <c r="CF17" i="4" s="1"/>
  <c r="CE11" i="4"/>
  <c r="CE17" i="4" s="1"/>
  <c r="CD11" i="4"/>
  <c r="CD17" i="4" s="1"/>
  <c r="BY11" i="4"/>
  <c r="BY17" i="4" s="1"/>
  <c r="BX11" i="4"/>
  <c r="BX17" i="4" s="1"/>
  <c r="BW11" i="4"/>
  <c r="BW17" i="4" s="1"/>
  <c r="BR11" i="4"/>
  <c r="BR17" i="4" s="1"/>
  <c r="BQ11" i="4"/>
  <c r="BQ17" i="4" s="1"/>
  <c r="BP11" i="4"/>
  <c r="BP17" i="4" s="1"/>
  <c r="BK11" i="4"/>
  <c r="BK17" i="4" s="1"/>
  <c r="BJ11" i="4"/>
  <c r="BJ17" i="4" s="1"/>
  <c r="BI11" i="4"/>
  <c r="BI17" i="4" s="1"/>
  <c r="BE11" i="4"/>
  <c r="BE17" i="4" s="1"/>
  <c r="BD11" i="4"/>
  <c r="BD17" i="4" s="1"/>
  <c r="BC11" i="4"/>
  <c r="BC17" i="4" s="1"/>
  <c r="BB11" i="4"/>
  <c r="BB17" i="4" s="1"/>
  <c r="AX11" i="4"/>
  <c r="AX17" i="4" s="1"/>
  <c r="GH95" i="4"/>
  <c r="GH92" i="4"/>
  <c r="GH80" i="4"/>
  <c r="EN106" i="5" s="1"/>
  <c r="GI54" i="4"/>
  <c r="W54" i="4" s="1"/>
  <c r="GI53" i="4"/>
  <c r="GI52" i="4"/>
  <c r="GI51" i="4"/>
  <c r="GI50" i="4"/>
  <c r="GI46" i="4"/>
  <c r="GI45" i="4"/>
  <c r="EO141" i="5" s="1"/>
  <c r="GI43" i="4"/>
  <c r="GH48" i="4"/>
  <c r="GI39" i="4"/>
  <c r="EO138" i="5" s="1"/>
  <c r="GI22" i="4"/>
  <c r="GI10" i="4"/>
  <c r="GI9" i="4"/>
  <c r="JX58" i="1"/>
  <c r="JX57" i="1"/>
  <c r="JX56" i="1"/>
  <c r="JX53" i="1"/>
  <c r="JX46" i="1"/>
  <c r="AR46" i="1" s="1"/>
  <c r="JX38" i="1"/>
  <c r="AR38" i="1" s="1"/>
  <c r="JX40" i="1"/>
  <c r="AR40" i="1" s="1"/>
  <c r="JX33" i="1"/>
  <c r="JX32" i="1"/>
  <c r="JX31" i="1"/>
  <c r="JX30" i="1"/>
  <c r="JX29" i="1"/>
  <c r="JX28" i="1"/>
  <c r="JX27" i="1"/>
  <c r="JW23" i="1"/>
  <c r="JU96" i="29" s="1"/>
  <c r="EO147" i="5" l="1"/>
  <c r="ER145" i="5"/>
  <c r="EV145" i="5"/>
  <c r="GI117" i="4"/>
  <c r="W117" i="4" s="1"/>
  <c r="JV120" i="29"/>
  <c r="AR120" i="29" s="1"/>
  <c r="JV130" i="29"/>
  <c r="JV88" i="29"/>
  <c r="JV91" i="29"/>
  <c r="AR27" i="1"/>
  <c r="AR7" i="29" s="1"/>
  <c r="JV7" i="29"/>
  <c r="AR28" i="1"/>
  <c r="AR8" i="29" s="1"/>
  <c r="JV8" i="29"/>
  <c r="AR29" i="1"/>
  <c r="AR9" i="29" s="1"/>
  <c r="JV9" i="29"/>
  <c r="AR30" i="1"/>
  <c r="AR10" i="29" s="1"/>
  <c r="JV10" i="29"/>
  <c r="AR31" i="1"/>
  <c r="AR11" i="29" s="1"/>
  <c r="JV11" i="29"/>
  <c r="AR32" i="1"/>
  <c r="AR12" i="29" s="1"/>
  <c r="JV12" i="29"/>
  <c r="AR33" i="1"/>
  <c r="AR13" i="29" s="1"/>
  <c r="JV13" i="29"/>
  <c r="AR57" i="1"/>
  <c r="AR56" i="1"/>
  <c r="AR58" i="1"/>
  <c r="Q12" i="5"/>
  <c r="Q138" i="5"/>
  <c r="W39" i="4"/>
  <c r="EO112" i="5"/>
  <c r="Q112" i="5" s="1"/>
  <c r="W43" i="4"/>
  <c r="W45" i="4"/>
  <c r="EO115" i="5"/>
  <c r="Q115" i="5" s="1"/>
  <c r="W46" i="4"/>
  <c r="W50" i="4"/>
  <c r="W51" i="4"/>
  <c r="W11" i="4"/>
  <c r="W52" i="4"/>
  <c r="W53" i="4"/>
  <c r="EO98" i="5"/>
  <c r="Q98" i="5" s="1"/>
  <c r="W9" i="4"/>
  <c r="W10" i="4"/>
  <c r="W22" i="4"/>
  <c r="JW24" i="1"/>
  <c r="KD25" i="1"/>
  <c r="EO33" i="5"/>
  <c r="GH58" i="4"/>
  <c r="GE17" i="4"/>
  <c r="GF17" i="4"/>
  <c r="GG17" i="4"/>
  <c r="GH28" i="4"/>
  <c r="GP19" i="4"/>
  <c r="DV28" i="4"/>
  <c r="DB28" i="4"/>
  <c r="DW28" i="4"/>
  <c r="ER28" i="4"/>
  <c r="FM28" i="4"/>
  <c r="FL28" i="4"/>
  <c r="DI28" i="4"/>
  <c r="ED28" i="4"/>
  <c r="EY28" i="4"/>
  <c r="FT28" i="4"/>
  <c r="EX28" i="4"/>
  <c r="EJ28" i="4"/>
  <c r="FZ28" i="4"/>
  <c r="CU28" i="4"/>
  <c r="DP28" i="4"/>
  <c r="EK28" i="4"/>
  <c r="FF28" i="4"/>
  <c r="GA28" i="4"/>
  <c r="DM28" i="4"/>
  <c r="EA28" i="4"/>
  <c r="EO28" i="4"/>
  <c r="FC28" i="4"/>
  <c r="FQ28" i="4"/>
  <c r="DO28" i="4"/>
  <c r="EC28" i="4"/>
  <c r="EQ28" i="4"/>
  <c r="FE28" i="4"/>
  <c r="FS28" i="4"/>
  <c r="GI56" i="4"/>
  <c r="W56" i="4" s="1"/>
  <c r="DN28" i="4"/>
  <c r="EB28" i="4"/>
  <c r="EP28" i="4"/>
  <c r="FD28" i="4"/>
  <c r="FR28" i="4"/>
  <c r="DT28" i="4"/>
  <c r="EH28" i="4"/>
  <c r="EV28" i="4"/>
  <c r="FJ28" i="4"/>
  <c r="FX28" i="4"/>
  <c r="DU28" i="4"/>
  <c r="EI28" i="4"/>
  <c r="EW28" i="4"/>
  <c r="FK28" i="4"/>
  <c r="FY28" i="4"/>
  <c r="JX23" i="1"/>
  <c r="GI80" i="4"/>
  <c r="GI92" i="4"/>
  <c r="W92" i="4" s="1"/>
  <c r="GI95" i="4"/>
  <c r="EO66" i="5"/>
  <c r="GI41" i="4"/>
  <c r="W41" i="4" s="1"/>
  <c r="GH119" i="4"/>
  <c r="GH118" i="4"/>
  <c r="GH120" i="4"/>
  <c r="GI17" i="4"/>
  <c r="W17" i="4" s="1"/>
  <c r="GH112" i="4"/>
  <c r="JW35" i="1"/>
  <c r="ER144" i="5" l="1"/>
  <c r="ER146" i="5"/>
  <c r="R145" i="5"/>
  <c r="JW13" i="1"/>
  <c r="AR23" i="1"/>
  <c r="JV96" i="29"/>
  <c r="AR96" i="29" s="1"/>
  <c r="AR91" i="29"/>
  <c r="AR88" i="29"/>
  <c r="KC89" i="29"/>
  <c r="AS89" i="29" s="1"/>
  <c r="AR130" i="29"/>
  <c r="JV5" i="29"/>
  <c r="Q141" i="5"/>
  <c r="Q66" i="5"/>
  <c r="Q33" i="5"/>
  <c r="Q147" i="5"/>
  <c r="EO106" i="5"/>
  <c r="Q106" i="5" s="1"/>
  <c r="W80" i="4"/>
  <c r="X19" i="4"/>
  <c r="EO94" i="5"/>
  <c r="Q94" i="5" s="1"/>
  <c r="W95" i="4"/>
  <c r="KE25" i="1"/>
  <c r="EO163" i="5"/>
  <c r="EO63" i="5"/>
  <c r="JV97" i="29"/>
  <c r="AR97" i="29" s="1"/>
  <c r="GE28" i="4"/>
  <c r="KD36" i="1"/>
  <c r="GI28" i="4"/>
  <c r="GI48" i="4"/>
  <c r="GI83" i="4"/>
  <c r="W83" i="4" s="1"/>
  <c r="GI71" i="4"/>
  <c r="W71" i="4" s="1"/>
  <c r="GI119" i="4"/>
  <c r="W119" i="4" s="1"/>
  <c r="GH59" i="4"/>
  <c r="GI120" i="4"/>
  <c r="W120" i="4" s="1"/>
  <c r="GI118" i="4"/>
  <c r="W118" i="4" s="1"/>
  <c r="GI112" i="4"/>
  <c r="W112" i="4" s="1"/>
  <c r="JW43" i="1"/>
  <c r="KD14" i="1" l="1"/>
  <c r="KA41" i="1"/>
  <c r="AR5" i="29"/>
  <c r="AS25" i="1"/>
  <c r="Q63" i="5"/>
  <c r="EO167" i="5"/>
  <c r="Q167" i="5" s="1"/>
  <c r="Q163" i="5"/>
  <c r="W28" i="4"/>
  <c r="W48" i="4"/>
  <c r="GI58" i="4"/>
  <c r="W58" i="4" s="1"/>
  <c r="GI106" i="4"/>
  <c r="JW47" i="1"/>
  <c r="JW49" i="1"/>
  <c r="EO169" i="5" l="1"/>
  <c r="Q169" i="5" s="1"/>
  <c r="EO173" i="5"/>
  <c r="EO175" i="5" s="1"/>
  <c r="EO110" i="5"/>
  <c r="Q110" i="5" s="1"/>
  <c r="W106" i="4"/>
  <c r="KD51" i="1"/>
  <c r="GI59" i="4"/>
  <c r="W59" i="4" s="1"/>
  <c r="JW50" i="1"/>
  <c r="JW65" i="1"/>
  <c r="JW62" i="1"/>
  <c r="EO78" i="5" l="1"/>
  <c r="Q78" i="5" s="1"/>
  <c r="Q175" i="5"/>
  <c r="EO76" i="5"/>
  <c r="Q76" i="5" s="1"/>
  <c r="Q173" i="5"/>
  <c r="JW10" i="1"/>
  <c r="JW67" i="1"/>
  <c r="GP32" i="4"/>
  <c r="JW71" i="1"/>
  <c r="X32" i="4" l="1"/>
  <c r="KD11" i="1"/>
  <c r="KD68" i="1"/>
  <c r="FB52" i="5" l="1"/>
  <c r="FB51" i="5"/>
  <c r="S159" i="5"/>
  <c r="GG43" i="4" l="1"/>
  <c r="EM112" i="5" s="1"/>
  <c r="GG22" i="4"/>
  <c r="GG28" i="4" l="1"/>
  <c r="EM53" i="5"/>
  <c r="EN53" i="5" l="1"/>
  <c r="EM66" i="5"/>
  <c r="GG95" i="4"/>
  <c r="GG92" i="4"/>
  <c r="GG80" i="4"/>
  <c r="EM106" i="5" s="1"/>
  <c r="GG56" i="4"/>
  <c r="GG48" i="4"/>
  <c r="JV23" i="1"/>
  <c r="JT96" i="29" s="1"/>
  <c r="JV24" i="1" l="1"/>
  <c r="GG58" i="4"/>
  <c r="GG119" i="4"/>
  <c r="GG112" i="4"/>
  <c r="GG118" i="4"/>
  <c r="GG120" i="4"/>
  <c r="JV35" i="1"/>
  <c r="JV13" i="1" l="1"/>
  <c r="GG59" i="4"/>
  <c r="JV43" i="1"/>
  <c r="JV47" i="1" l="1"/>
  <c r="JV49" i="1"/>
  <c r="JV65" i="1" l="1"/>
  <c r="JV62" i="1"/>
  <c r="JV50" i="1"/>
  <c r="JV10" i="1" l="1"/>
  <c r="JV67" i="1"/>
  <c r="JV71" i="1"/>
  <c r="GP38" i="4" l="1"/>
  <c r="GP44" i="4"/>
  <c r="X44" i="4" l="1"/>
  <c r="X38" i="4"/>
  <c r="GS38" i="4"/>
  <c r="EL57" i="5"/>
  <c r="EL56" i="5"/>
  <c r="EL55" i="5"/>
  <c r="EL54" i="5"/>
  <c r="EL52" i="5"/>
  <c r="EL43" i="5"/>
  <c r="EL45" i="5"/>
  <c r="EL44" i="5"/>
  <c r="EL38" i="5"/>
  <c r="EL37" i="5"/>
  <c r="EL18" i="5"/>
  <c r="EL31" i="5"/>
  <c r="EL30" i="5"/>
  <c r="EL29" i="5"/>
  <c r="EL28" i="5"/>
  <c r="EL27" i="5"/>
  <c r="EL17" i="5"/>
  <c r="EL16" i="5"/>
  <c r="EL11" i="5"/>
  <c r="EL10" i="5"/>
  <c r="EL9" i="5"/>
  <c r="EL66" i="5"/>
  <c r="JU98" i="1" l="1"/>
  <c r="EL149" i="5"/>
  <c r="EL150" i="5" s="1"/>
  <c r="EL85" i="5"/>
  <c r="EL92" i="5"/>
  <c r="EL122" i="5"/>
  <c r="EL127" i="5"/>
  <c r="EL130" i="5"/>
  <c r="EL133" i="5"/>
  <c r="EL152" i="5"/>
  <c r="EM17" i="5"/>
  <c r="EN56" i="5"/>
  <c r="EL47" i="5"/>
  <c r="EM9" i="5"/>
  <c r="EM11" i="5"/>
  <c r="EM92" i="5" s="1"/>
  <c r="EM28" i="5"/>
  <c r="EM30" i="5"/>
  <c r="EM18" i="5"/>
  <c r="EM38" i="5"/>
  <c r="EM45" i="5"/>
  <c r="EM52" i="5"/>
  <c r="EM55" i="5"/>
  <c r="EM57" i="5"/>
  <c r="EM152" i="5" s="1"/>
  <c r="EM27" i="5"/>
  <c r="EM29" i="5"/>
  <c r="EM31" i="5"/>
  <c r="EM44" i="5"/>
  <c r="EM43" i="5"/>
  <c r="EM133" i="5" s="1"/>
  <c r="EM54" i="5"/>
  <c r="EL13" i="5"/>
  <c r="EM10" i="5"/>
  <c r="EM37" i="5"/>
  <c r="EM16" i="5"/>
  <c r="EL26" i="5"/>
  <c r="EL59" i="5"/>
  <c r="GF43" i="4"/>
  <c r="EL112" i="5" s="1"/>
  <c r="GP25" i="4"/>
  <c r="X25" i="4" s="1"/>
  <c r="GF22" i="4"/>
  <c r="GF95" i="4"/>
  <c r="GF92" i="4"/>
  <c r="GF80" i="4"/>
  <c r="EL106" i="5" s="1"/>
  <c r="GF56" i="4"/>
  <c r="EM122" i="5" l="1"/>
  <c r="EM149" i="5"/>
  <c r="EM150" i="5" s="1"/>
  <c r="JV98" i="1"/>
  <c r="EM127" i="5"/>
  <c r="EM128" i="5" s="1"/>
  <c r="EM130" i="5"/>
  <c r="EM131" i="5" s="1"/>
  <c r="EM85" i="5"/>
  <c r="EM86" i="5" s="1"/>
  <c r="EM153" i="5"/>
  <c r="EL153" i="5"/>
  <c r="EM134" i="5"/>
  <c r="EL134" i="5"/>
  <c r="EL131" i="5"/>
  <c r="EL128" i="5"/>
  <c r="EL86" i="5"/>
  <c r="GF28" i="4"/>
  <c r="GW25" i="4"/>
  <c r="EN29" i="5"/>
  <c r="EN38" i="5"/>
  <c r="EN18" i="5"/>
  <c r="EN57" i="5"/>
  <c r="EN30" i="5"/>
  <c r="EN43" i="5"/>
  <c r="EN133" i="5" s="1"/>
  <c r="EN134" i="5" s="1"/>
  <c r="EO134" i="5" s="1"/>
  <c r="Q134" i="5" s="1"/>
  <c r="EN55" i="5"/>
  <c r="EN28" i="5"/>
  <c r="EN27" i="5"/>
  <c r="EN44" i="5"/>
  <c r="EN52" i="5"/>
  <c r="EN11" i="5"/>
  <c r="EN92" i="5" s="1"/>
  <c r="ET93" i="5" s="1"/>
  <c r="EN54" i="5"/>
  <c r="EN37" i="5"/>
  <c r="EN31" i="5"/>
  <c r="EN45" i="5"/>
  <c r="EN9" i="5"/>
  <c r="HD25" i="4"/>
  <c r="Z25" i="4" s="1"/>
  <c r="GW38" i="4"/>
  <c r="Y38" i="4" s="1"/>
  <c r="EM13" i="5"/>
  <c r="EM59" i="5"/>
  <c r="EL33" i="5"/>
  <c r="EM26" i="5"/>
  <c r="EM47" i="5"/>
  <c r="EN10" i="5"/>
  <c r="EN85" i="5" s="1"/>
  <c r="ET88" i="5" s="1"/>
  <c r="EL12" i="5"/>
  <c r="EN16" i="5"/>
  <c r="GF119" i="4"/>
  <c r="GF48" i="4"/>
  <c r="GF112" i="4"/>
  <c r="GF118" i="4"/>
  <c r="GF120" i="4"/>
  <c r="EN122" i="5" l="1"/>
  <c r="ET123" i="5" s="1"/>
  <c r="EN127" i="5"/>
  <c r="EN128" i="5" s="1"/>
  <c r="EO128" i="5" s="1"/>
  <c r="Q128" i="5" s="1"/>
  <c r="ER174" i="5"/>
  <c r="ER77" i="5" s="1"/>
  <c r="EN149" i="5"/>
  <c r="EN150" i="5" s="1"/>
  <c r="EO150" i="5" s="1"/>
  <c r="Q150" i="5" s="1"/>
  <c r="JW98" i="1"/>
  <c r="Y25" i="4"/>
  <c r="EN123" i="5"/>
  <c r="EN125" i="5" s="1"/>
  <c r="ER123" i="5"/>
  <c r="ER125" i="5" s="1"/>
  <c r="ER88" i="5"/>
  <c r="ER90" i="5" s="1"/>
  <c r="ET90" i="5"/>
  <c r="EN88" i="5"/>
  <c r="ES88" i="5"/>
  <c r="EN86" i="5"/>
  <c r="EO86" i="5" s="1"/>
  <c r="Q86" i="5" s="1"/>
  <c r="ER93" i="5"/>
  <c r="ER94" i="5" s="1"/>
  <c r="ES93" i="5"/>
  <c r="ET125" i="5"/>
  <c r="EN93" i="5"/>
  <c r="EN94" i="5" s="1"/>
  <c r="EN130" i="5"/>
  <c r="EN131" i="5" s="1"/>
  <c r="EO131" i="5" s="1"/>
  <c r="Q131" i="5" s="1"/>
  <c r="EN59" i="5"/>
  <c r="EN152" i="5"/>
  <c r="EN153" i="5" s="1"/>
  <c r="EO153" i="5" s="1"/>
  <c r="Q153" i="5" s="1"/>
  <c r="EN26" i="5"/>
  <c r="GF58" i="4"/>
  <c r="GZ38" i="4"/>
  <c r="EL163" i="5"/>
  <c r="EN47" i="5"/>
  <c r="EN13" i="5"/>
  <c r="EN174" i="5"/>
  <c r="EN77" i="5" s="1"/>
  <c r="EM12" i="5"/>
  <c r="EM33" i="5"/>
  <c r="EL63" i="5"/>
  <c r="HD38" i="4"/>
  <c r="Z38" i="4" s="1"/>
  <c r="GH77" i="4"/>
  <c r="GL77" i="4"/>
  <c r="GW44" i="4"/>
  <c r="Y44" i="4" s="1"/>
  <c r="ES123" i="5" l="1"/>
  <c r="GF59" i="4"/>
  <c r="ES90" i="5"/>
  <c r="EN90" i="5"/>
  <c r="ES125" i="5"/>
  <c r="EM163" i="5"/>
  <c r="EM63" i="5"/>
  <c r="HJ38" i="4" l="1"/>
  <c r="HK25" i="4"/>
  <c r="AA25" i="4" s="1"/>
  <c r="FR80" i="4"/>
  <c r="DX106" i="5" s="1"/>
  <c r="GE80" i="4"/>
  <c r="EK106" i="5" s="1"/>
  <c r="GA80" i="4"/>
  <c r="EG106" i="5" s="1"/>
  <c r="FZ80" i="4"/>
  <c r="EF106" i="5" s="1"/>
  <c r="FY80" i="4"/>
  <c r="EE106" i="5" s="1"/>
  <c r="FX80" i="4"/>
  <c r="ED106" i="5" s="1"/>
  <c r="FT80" i="4"/>
  <c r="DZ106" i="5" s="1"/>
  <c r="FS80" i="4"/>
  <c r="DY106" i="5" s="1"/>
  <c r="FQ80" i="4"/>
  <c r="DW106" i="5" s="1"/>
  <c r="FM80" i="4"/>
  <c r="DS106" i="5" s="1"/>
  <c r="FL80" i="4"/>
  <c r="DR106" i="5" s="1"/>
  <c r="FK80" i="4"/>
  <c r="DQ106" i="5" s="1"/>
  <c r="FJ80" i="4"/>
  <c r="DP106" i="5" s="1"/>
  <c r="FF80" i="4"/>
  <c r="DL106" i="5" s="1"/>
  <c r="FE80" i="4"/>
  <c r="DK106" i="5" s="1"/>
  <c r="FD80" i="4"/>
  <c r="DJ106" i="5" s="1"/>
  <c r="FC80" i="4"/>
  <c r="DI106" i="5" s="1"/>
  <c r="EY80" i="4"/>
  <c r="DE106" i="5" s="1"/>
  <c r="EX80" i="4"/>
  <c r="DD106" i="5" s="1"/>
  <c r="EW80" i="4"/>
  <c r="DC106" i="5" s="1"/>
  <c r="EV80" i="4"/>
  <c r="DB106" i="5" s="1"/>
  <c r="ER80" i="4"/>
  <c r="CX106" i="5" s="1"/>
  <c r="EQ80" i="4"/>
  <c r="CW106" i="5" s="1"/>
  <c r="EP80" i="4"/>
  <c r="CV106" i="5" s="1"/>
  <c r="EO80" i="4"/>
  <c r="CU106" i="5" s="1"/>
  <c r="EK80" i="4"/>
  <c r="CQ106" i="5" s="1"/>
  <c r="EJ80" i="4"/>
  <c r="CP106" i="5" s="1"/>
  <c r="EI80" i="4"/>
  <c r="CO106" i="5" s="1"/>
  <c r="EH80" i="4"/>
  <c r="CN106" i="5" s="1"/>
  <c r="ED80" i="4"/>
  <c r="CJ106" i="5" s="1"/>
  <c r="EC80" i="4"/>
  <c r="CI106" i="5" s="1"/>
  <c r="EB80" i="4"/>
  <c r="CH106" i="5" s="1"/>
  <c r="EA80" i="4"/>
  <c r="CG106" i="5" s="1"/>
  <c r="DW80" i="4"/>
  <c r="CC106" i="5" s="1"/>
  <c r="DV80" i="4"/>
  <c r="CB106" i="5" s="1"/>
  <c r="DU80" i="4"/>
  <c r="CA106" i="5" s="1"/>
  <c r="DT80" i="4"/>
  <c r="BZ106" i="5" s="1"/>
  <c r="DP80" i="4"/>
  <c r="BV106" i="5" s="1"/>
  <c r="DO80" i="4"/>
  <c r="BU106" i="5" s="1"/>
  <c r="DN80" i="4"/>
  <c r="BT106" i="5" s="1"/>
  <c r="DM80" i="4"/>
  <c r="BS106" i="5" s="1"/>
  <c r="DI80" i="4"/>
  <c r="BO106" i="5" s="1"/>
  <c r="GB100" i="4"/>
  <c r="V100" i="4" s="1"/>
  <c r="FU100" i="4"/>
  <c r="U100" i="4" s="1"/>
  <c r="FN100" i="4"/>
  <c r="T100" i="4" s="1"/>
  <c r="FG100" i="4"/>
  <c r="S100" i="4" s="1"/>
  <c r="EZ100" i="4"/>
  <c r="R100" i="4" s="1"/>
  <c r="ES100" i="4"/>
  <c r="Q100" i="4" s="1"/>
  <c r="EL100" i="4"/>
  <c r="P100" i="4" s="1"/>
  <c r="EE100" i="4"/>
  <c r="O100" i="4" s="1"/>
  <c r="DX100" i="4"/>
  <c r="N100" i="4" s="1"/>
  <c r="DQ100" i="4"/>
  <c r="M100" i="4" s="1"/>
  <c r="FE95" i="4"/>
  <c r="FD95" i="4"/>
  <c r="FC95" i="4"/>
  <c r="EY95" i="4"/>
  <c r="EX95" i="4"/>
  <c r="EW95" i="4"/>
  <c r="EV95" i="4"/>
  <c r="ER95" i="4"/>
  <c r="EQ95" i="4"/>
  <c r="EP95" i="4"/>
  <c r="EO95" i="4"/>
  <c r="EK95" i="4"/>
  <c r="EJ95" i="4"/>
  <c r="EI95" i="4"/>
  <c r="EH95" i="4"/>
  <c r="ED95" i="4"/>
  <c r="EC95" i="4"/>
  <c r="EB95" i="4"/>
  <c r="EA95" i="4"/>
  <c r="DW95" i="4"/>
  <c r="DV95" i="4"/>
  <c r="DU95" i="4"/>
  <c r="DT95" i="4"/>
  <c r="DP95" i="4"/>
  <c r="FE92" i="4"/>
  <c r="FD92" i="4"/>
  <c r="FC92" i="4"/>
  <c r="EY92" i="4"/>
  <c r="EX92" i="4"/>
  <c r="EW92" i="4"/>
  <c r="EV92" i="4"/>
  <c r="ER92" i="4"/>
  <c r="EQ92" i="4"/>
  <c r="EP92" i="4"/>
  <c r="EO92" i="4"/>
  <c r="EK92" i="4"/>
  <c r="EJ92" i="4"/>
  <c r="EI92" i="4"/>
  <c r="EH92" i="4"/>
  <c r="ED92" i="4"/>
  <c r="EC92" i="4"/>
  <c r="EB92" i="4"/>
  <c r="EA92" i="4"/>
  <c r="DW92" i="4"/>
  <c r="DV92" i="4"/>
  <c r="DU92" i="4"/>
  <c r="DT92" i="4"/>
  <c r="DP92" i="4"/>
  <c r="CR92" i="4"/>
  <c r="CS92" i="4"/>
  <c r="CT92" i="4"/>
  <c r="CU92" i="4"/>
  <c r="CY92" i="4"/>
  <c r="CZ92" i="4"/>
  <c r="DA92" i="4"/>
  <c r="DB92" i="4"/>
  <c r="DF92" i="4"/>
  <c r="DG92" i="4"/>
  <c r="DH92" i="4"/>
  <c r="DI92" i="4"/>
  <c r="DM92" i="4"/>
  <c r="DN92" i="4"/>
  <c r="DO92" i="4"/>
  <c r="FF92" i="4"/>
  <c r="FJ92" i="4"/>
  <c r="FK92" i="4"/>
  <c r="FL92" i="4"/>
  <c r="FM92" i="4"/>
  <c r="FQ92" i="4"/>
  <c r="FR92" i="4"/>
  <c r="FT92" i="4"/>
  <c r="FS92" i="4"/>
  <c r="FX92" i="4"/>
  <c r="FY92" i="4"/>
  <c r="FZ92" i="4"/>
  <c r="GA92" i="4"/>
  <c r="GE92" i="4"/>
  <c r="CR95" i="4"/>
  <c r="CS95" i="4"/>
  <c r="CT95" i="4"/>
  <c r="CU95" i="4"/>
  <c r="CY95" i="4"/>
  <c r="CZ95" i="4"/>
  <c r="DA95" i="4"/>
  <c r="DB95" i="4"/>
  <c r="DF95" i="4"/>
  <c r="DG95" i="4"/>
  <c r="DH95" i="4"/>
  <c r="DI95" i="4"/>
  <c r="DM95" i="4"/>
  <c r="DN95" i="4"/>
  <c r="DO95" i="4"/>
  <c r="FF95" i="4"/>
  <c r="FJ95" i="4"/>
  <c r="FK95" i="4"/>
  <c r="FL95" i="4"/>
  <c r="FM95" i="4"/>
  <c r="GA95" i="4"/>
  <c r="GE95" i="4"/>
  <c r="CV100" i="4"/>
  <c r="J100" i="4" s="1"/>
  <c r="DC100" i="4"/>
  <c r="K100" i="4" s="1"/>
  <c r="DJ100" i="4"/>
  <c r="L100" i="4" s="1"/>
  <c r="HK38" i="4" l="1"/>
  <c r="AA38" i="4" s="1"/>
  <c r="HD44" i="4"/>
  <c r="Z44" i="4" l="1"/>
  <c r="HN38" i="4"/>
  <c r="CR80" i="4"/>
  <c r="AX106" i="5" s="1"/>
  <c r="DB80" i="4"/>
  <c r="BH106" i="5" s="1"/>
  <c r="CZ80" i="4"/>
  <c r="BF106" i="5" s="1"/>
  <c r="DA80" i="4"/>
  <c r="BG106" i="5" s="1"/>
  <c r="CU80" i="4"/>
  <c r="BA106" i="5" s="1"/>
  <c r="CS80" i="4"/>
  <c r="AY106" i="5" s="1"/>
  <c r="CY80" i="4"/>
  <c r="BE106" i="5" s="1"/>
  <c r="CT80" i="4"/>
  <c r="AZ106" i="5" s="1"/>
  <c r="DG80" i="4"/>
  <c r="BM106" i="5" s="1"/>
  <c r="DH80" i="4"/>
  <c r="BN106" i="5" s="1"/>
  <c r="DF80" i="4"/>
  <c r="BL106" i="5" s="1"/>
  <c r="JF46" i="1"/>
  <c r="JF38" i="1"/>
  <c r="JI46" i="1"/>
  <c r="JG56" i="1"/>
  <c r="JG46" i="1"/>
  <c r="JG38" i="1"/>
  <c r="JI38" i="1"/>
  <c r="JT23" i="1"/>
  <c r="JR96" i="29" s="1"/>
  <c r="JP23" i="1"/>
  <c r="JN96" i="29" s="1"/>
  <c r="JO23" i="1"/>
  <c r="JM96" i="29" s="1"/>
  <c r="JN23" i="1"/>
  <c r="JL96" i="29" s="1"/>
  <c r="JM23" i="1"/>
  <c r="JK96" i="29" s="1"/>
  <c r="JG23" i="1"/>
  <c r="JE96" i="29" s="1"/>
  <c r="JB23" i="1"/>
  <c r="IZ96" i="29" s="1"/>
  <c r="JA23" i="1"/>
  <c r="IY96" i="29" s="1"/>
  <c r="IZ23" i="1"/>
  <c r="IX96" i="29" s="1"/>
  <c r="IY23" i="1"/>
  <c r="IW96" i="29" s="1"/>
  <c r="IU23" i="1"/>
  <c r="IS96" i="29" s="1"/>
  <c r="IT23" i="1"/>
  <c r="IR96" i="29" s="1"/>
  <c r="IS23" i="1"/>
  <c r="IQ96" i="29" s="1"/>
  <c r="IR23" i="1"/>
  <c r="IP96" i="29" s="1"/>
  <c r="IN23" i="1"/>
  <c r="IL96" i="29" s="1"/>
  <c r="IM23" i="1"/>
  <c r="IK96" i="29" s="1"/>
  <c r="IL23" i="1"/>
  <c r="IJ96" i="29" s="1"/>
  <c r="IK23" i="1"/>
  <c r="II96" i="29" s="1"/>
  <c r="IG23" i="1"/>
  <c r="IE96" i="29" s="1"/>
  <c r="IF23" i="1"/>
  <c r="ID96" i="29" s="1"/>
  <c r="IE23" i="1"/>
  <c r="IC96" i="29" s="1"/>
  <c r="ID23" i="1"/>
  <c r="IB96" i="29" s="1"/>
  <c r="HZ23" i="1"/>
  <c r="HX96" i="29" s="1"/>
  <c r="HY23" i="1"/>
  <c r="HW96" i="29" s="1"/>
  <c r="HX23" i="1"/>
  <c r="HV96" i="29" s="1"/>
  <c r="HW23" i="1"/>
  <c r="HU96" i="29" s="1"/>
  <c r="HS23" i="1"/>
  <c r="HQ96" i="29" s="1"/>
  <c r="HR23" i="1"/>
  <c r="HP96" i="29" s="1"/>
  <c r="HQ23" i="1"/>
  <c r="HO96" i="29" s="1"/>
  <c r="HP23" i="1"/>
  <c r="HN96" i="29" s="1"/>
  <c r="HL23" i="1"/>
  <c r="HJ96" i="29" s="1"/>
  <c r="HK23" i="1"/>
  <c r="HI96" i="29" s="1"/>
  <c r="HJ23" i="1"/>
  <c r="HH96" i="29" s="1"/>
  <c r="HI23" i="1"/>
  <c r="HG96" i="29" s="1"/>
  <c r="HE23" i="1"/>
  <c r="HC96" i="29" s="1"/>
  <c r="HD23" i="1"/>
  <c r="HB96" i="29" s="1"/>
  <c r="HC23" i="1"/>
  <c r="HA96" i="29" s="1"/>
  <c r="HB23" i="1"/>
  <c r="GZ96" i="29" s="1"/>
  <c r="GX23" i="1"/>
  <c r="GV96" i="29" s="1"/>
  <c r="GW23" i="1"/>
  <c r="GU96" i="29" s="1"/>
  <c r="GV23" i="1"/>
  <c r="GT96" i="29" s="1"/>
  <c r="GU23" i="1"/>
  <c r="GS96" i="29" s="1"/>
  <c r="GP23" i="1"/>
  <c r="GN96" i="29" s="1"/>
  <c r="GO23" i="1"/>
  <c r="GM96" i="29" s="1"/>
  <c r="GG23" i="1"/>
  <c r="GE96" i="29" s="1"/>
  <c r="JQ58" i="1"/>
  <c r="AQ58" i="1" s="1"/>
  <c r="JJ58" i="1"/>
  <c r="AP58" i="1" s="1"/>
  <c r="JC58" i="1"/>
  <c r="AO58" i="1" s="1"/>
  <c r="IV58" i="1"/>
  <c r="AN58" i="1" s="1"/>
  <c r="IO58" i="1"/>
  <c r="AM58" i="1" s="1"/>
  <c r="IH58" i="1"/>
  <c r="AL58" i="1" s="1"/>
  <c r="IA58" i="1"/>
  <c r="AK58" i="1" s="1"/>
  <c r="HT58" i="1"/>
  <c r="AJ58" i="1" s="1"/>
  <c r="HM58" i="1"/>
  <c r="AI58" i="1" s="1"/>
  <c r="HF58" i="1"/>
  <c r="AH58" i="1" s="1"/>
  <c r="GY58" i="1"/>
  <c r="AG58" i="1" s="1"/>
  <c r="GR58" i="1"/>
  <c r="AF58" i="1" s="1"/>
  <c r="GK58" i="1"/>
  <c r="AE58" i="1" s="1"/>
  <c r="GD58" i="1"/>
  <c r="AD58" i="1" s="1"/>
  <c r="FZ95" i="4" l="1"/>
  <c r="IL25" i="1"/>
  <c r="HR25" i="1"/>
  <c r="JO24" i="1"/>
  <c r="JV25" i="1"/>
  <c r="IR25" i="1"/>
  <c r="IR24" i="1"/>
  <c r="HY25" i="1"/>
  <c r="HI25" i="1"/>
  <c r="ID25" i="1"/>
  <c r="IY25" i="1"/>
  <c r="IY24" i="1"/>
  <c r="HQ25" i="1"/>
  <c r="JM24" i="1"/>
  <c r="IM25" i="1"/>
  <c r="HS25" i="1"/>
  <c r="HW25" i="1"/>
  <c r="HC24" i="1"/>
  <c r="HC13" i="1" s="1"/>
  <c r="HC25" i="1"/>
  <c r="JT24" i="1"/>
  <c r="JT25" i="1"/>
  <c r="KA25" i="1"/>
  <c r="HD25" i="1"/>
  <c r="HD24" i="1"/>
  <c r="HD13" i="1" s="1"/>
  <c r="IT24" i="1"/>
  <c r="IT25" i="1"/>
  <c r="GG24" i="1"/>
  <c r="GG13" i="1" s="1"/>
  <c r="IE25" i="1"/>
  <c r="IZ25" i="1"/>
  <c r="IZ24" i="1"/>
  <c r="GO24" i="1"/>
  <c r="GO13" i="1" s="1"/>
  <c r="HK25" i="1"/>
  <c r="IF25" i="1"/>
  <c r="JA24" i="1"/>
  <c r="JA25" i="1"/>
  <c r="GV24" i="1"/>
  <c r="GV13" i="1" s="1"/>
  <c r="GV25" i="1"/>
  <c r="GW25" i="1"/>
  <c r="GW24" i="1"/>
  <c r="GW13" i="1" s="1"/>
  <c r="JN24" i="1"/>
  <c r="JN25" i="1"/>
  <c r="IN25" i="1"/>
  <c r="JP24" i="1"/>
  <c r="JW25" i="1"/>
  <c r="IS25" i="1"/>
  <c r="IS24" i="1"/>
  <c r="HE25" i="1"/>
  <c r="HE24" i="1"/>
  <c r="HE13" i="1" s="1"/>
  <c r="IU25" i="1"/>
  <c r="IU24" i="1"/>
  <c r="HJ25" i="1"/>
  <c r="GP24" i="1"/>
  <c r="GP13" i="1" s="1"/>
  <c r="HL25" i="1"/>
  <c r="IG25" i="1"/>
  <c r="JB25" i="1"/>
  <c r="JB24" i="1"/>
  <c r="GX25" i="1"/>
  <c r="GX24" i="1"/>
  <c r="GX13" i="1" s="1"/>
  <c r="HB25" i="1"/>
  <c r="HB24" i="1"/>
  <c r="HB13" i="1" s="1"/>
  <c r="HX25" i="1"/>
  <c r="HZ25" i="1"/>
  <c r="GU24" i="1"/>
  <c r="GU13" i="1" s="1"/>
  <c r="HP25" i="1"/>
  <c r="IK25" i="1"/>
  <c r="JG24" i="1"/>
  <c r="JG25" i="1"/>
  <c r="JH23" i="1"/>
  <c r="JF23" i="1"/>
  <c r="JI23" i="1"/>
  <c r="JG96" i="29" s="1"/>
  <c r="JB35" i="1"/>
  <c r="JN35" i="1"/>
  <c r="GX35" i="1"/>
  <c r="IS35" i="1"/>
  <c r="IT35" i="1"/>
  <c r="HE35" i="1"/>
  <c r="IU35" i="1"/>
  <c r="JG35" i="1"/>
  <c r="IZ35" i="1"/>
  <c r="JA35" i="1"/>
  <c r="HO38" i="4"/>
  <c r="HP38" i="4" s="1"/>
  <c r="FY95" i="4"/>
  <c r="JP35" i="1"/>
  <c r="FX95" i="4"/>
  <c r="FS95" i="4"/>
  <c r="FQ95" i="4"/>
  <c r="FT95" i="4"/>
  <c r="FR95" i="4"/>
  <c r="GP35" i="1"/>
  <c r="JO35" i="1"/>
  <c r="JT35" i="1"/>
  <c r="GE83" i="4"/>
  <c r="GO35" i="1"/>
  <c r="DI71" i="4"/>
  <c r="DI83" i="4"/>
  <c r="GU35" i="1"/>
  <c r="GW35" i="1"/>
  <c r="DP83" i="4"/>
  <c r="DN83" i="4"/>
  <c r="DO71" i="4"/>
  <c r="DM71" i="4"/>
  <c r="DO83" i="4"/>
  <c r="DM83" i="4"/>
  <c r="DP71" i="4"/>
  <c r="DN71" i="4"/>
  <c r="HB35" i="1"/>
  <c r="HD35" i="1"/>
  <c r="DV83" i="4"/>
  <c r="DT83" i="4"/>
  <c r="DW71" i="4"/>
  <c r="DU71" i="4"/>
  <c r="DW83" i="4"/>
  <c r="DU83" i="4"/>
  <c r="DV71" i="4"/>
  <c r="DT71" i="4"/>
  <c r="ED83" i="4"/>
  <c r="EB83" i="4"/>
  <c r="EC71" i="4"/>
  <c r="EA71" i="4"/>
  <c r="EC83" i="4"/>
  <c r="EA83" i="4"/>
  <c r="ED71" i="4"/>
  <c r="EB71" i="4"/>
  <c r="EJ83" i="4"/>
  <c r="EH83" i="4"/>
  <c r="EK71" i="4"/>
  <c r="EI71" i="4"/>
  <c r="EK83" i="4"/>
  <c r="EI83" i="4"/>
  <c r="EJ71" i="4"/>
  <c r="EH71" i="4"/>
  <c r="ER83" i="4"/>
  <c r="EP83" i="4"/>
  <c r="EQ71" i="4"/>
  <c r="EO71" i="4"/>
  <c r="EQ83" i="4"/>
  <c r="EO83" i="4"/>
  <c r="ER71" i="4"/>
  <c r="EP71" i="4"/>
  <c r="EX83" i="4"/>
  <c r="EV83" i="4"/>
  <c r="EY71" i="4"/>
  <c r="EW71" i="4"/>
  <c r="EY83" i="4"/>
  <c r="EW83" i="4"/>
  <c r="EX71" i="4"/>
  <c r="EV71" i="4"/>
  <c r="FF83" i="4"/>
  <c r="FD83" i="4"/>
  <c r="FE71" i="4"/>
  <c r="FC71" i="4"/>
  <c r="FE83" i="4"/>
  <c r="FC83" i="4"/>
  <c r="FF71" i="4"/>
  <c r="FD71" i="4"/>
  <c r="IR35" i="1"/>
  <c r="FL83" i="4"/>
  <c r="FJ83" i="4"/>
  <c r="FM71" i="4"/>
  <c r="FK71" i="4"/>
  <c r="FM83" i="4"/>
  <c r="FK83" i="4"/>
  <c r="FL71" i="4"/>
  <c r="FJ71" i="4"/>
  <c r="IY35" i="1"/>
  <c r="GG35" i="1"/>
  <c r="GV35" i="1"/>
  <c r="HC35" i="1"/>
  <c r="JM35" i="1"/>
  <c r="GA71" i="4"/>
  <c r="GA83" i="4"/>
  <c r="EH174" i="5"/>
  <c r="EA174" i="5"/>
  <c r="DT174" i="5"/>
  <c r="DM174" i="5"/>
  <c r="DF174" i="5"/>
  <c r="CY174" i="5"/>
  <c r="CR174" i="5"/>
  <c r="CK174" i="5"/>
  <c r="CD174" i="5"/>
  <c r="BW174" i="5"/>
  <c r="BP174" i="5"/>
  <c r="BI174" i="5"/>
  <c r="JB13" i="1" l="1"/>
  <c r="IR13" i="1"/>
  <c r="IS13" i="1"/>
  <c r="IZ13" i="1"/>
  <c r="JM13" i="1"/>
  <c r="JN13" i="1"/>
  <c r="JT13" i="1"/>
  <c r="IY13" i="1"/>
  <c r="JO13" i="1"/>
  <c r="JP13" i="1"/>
  <c r="JG13" i="1"/>
  <c r="IU13" i="1"/>
  <c r="JA13" i="1"/>
  <c r="IT13" i="1"/>
  <c r="JM25" i="1"/>
  <c r="JD96" i="29"/>
  <c r="JO25" i="1"/>
  <c r="JF96" i="29"/>
  <c r="BI77" i="5"/>
  <c r="E77" i="5" s="1"/>
  <c r="E174" i="5"/>
  <c r="BP77" i="5"/>
  <c r="F77" i="5" s="1"/>
  <c r="F174" i="5"/>
  <c r="BW77" i="5"/>
  <c r="G77" i="5" s="1"/>
  <c r="G174" i="5"/>
  <c r="CD77" i="5"/>
  <c r="H77" i="5" s="1"/>
  <c r="H174" i="5"/>
  <c r="CK77" i="5"/>
  <c r="I77" i="5" s="1"/>
  <c r="I174" i="5"/>
  <c r="CR77" i="5"/>
  <c r="J77" i="5" s="1"/>
  <c r="J174" i="5"/>
  <c r="CY77" i="5"/>
  <c r="K77" i="5" s="1"/>
  <c r="K174" i="5"/>
  <c r="DF77" i="5"/>
  <c r="L77" i="5" s="1"/>
  <c r="L174" i="5"/>
  <c r="DM77" i="5"/>
  <c r="M77" i="5" s="1"/>
  <c r="M174" i="5"/>
  <c r="DT77" i="5"/>
  <c r="N77" i="5" s="1"/>
  <c r="N174" i="5"/>
  <c r="EA77" i="5"/>
  <c r="O77" i="5" s="1"/>
  <c r="O174" i="5"/>
  <c r="EH77" i="5"/>
  <c r="P77" i="5" s="1"/>
  <c r="P174" i="5"/>
  <c r="JF35" i="1"/>
  <c r="GV14" i="1"/>
  <c r="JI25" i="1"/>
  <c r="JI24" i="1"/>
  <c r="JH25" i="1"/>
  <c r="JH24" i="1"/>
  <c r="JP25" i="1"/>
  <c r="GW14" i="1"/>
  <c r="JF25" i="1"/>
  <c r="JF24" i="1"/>
  <c r="FY71" i="4"/>
  <c r="FQ83" i="4"/>
  <c r="FR71" i="4"/>
  <c r="FR83" i="4"/>
  <c r="FS71" i="4"/>
  <c r="FT71" i="4"/>
  <c r="FS83" i="4"/>
  <c r="FX71" i="4"/>
  <c r="FQ71" i="4"/>
  <c r="FZ71" i="4"/>
  <c r="FY83" i="4"/>
  <c r="FT83" i="4"/>
  <c r="FX83" i="4"/>
  <c r="JI35" i="1"/>
  <c r="FZ83" i="4"/>
  <c r="JH35" i="1"/>
  <c r="HB14" i="1"/>
  <c r="HE14" i="1"/>
  <c r="JW14" i="1"/>
  <c r="HD14" i="1"/>
  <c r="HC14" i="1"/>
  <c r="KA36" i="1"/>
  <c r="JW36" i="1"/>
  <c r="JV36" i="1"/>
  <c r="KA14" i="1" l="1"/>
  <c r="JA14" i="1"/>
  <c r="IY14" i="1"/>
  <c r="JG14" i="1"/>
  <c r="JV14" i="1"/>
  <c r="IZ14" i="1"/>
  <c r="JB14" i="1"/>
  <c r="JN14" i="1"/>
  <c r="JT14" i="1"/>
  <c r="JH13" i="1"/>
  <c r="JO14" i="1" s="1"/>
  <c r="JI13" i="1"/>
  <c r="JP14" i="1" s="1"/>
  <c r="JF13" i="1"/>
  <c r="JF14" i="1" s="1"/>
  <c r="HK44" i="4"/>
  <c r="AA44" i="4" s="1"/>
  <c r="HQ38" i="4"/>
  <c r="HR38" i="4" s="1"/>
  <c r="JH14" i="1" l="1"/>
  <c r="JI14" i="1"/>
  <c r="JM14" i="1"/>
  <c r="AB25" i="4"/>
  <c r="JJ20" i="1"/>
  <c r="AP20" i="1" l="1"/>
  <c r="JH95" i="29"/>
  <c r="AP95" i="29" s="1"/>
  <c r="HV38" i="4"/>
  <c r="AB38" i="4"/>
  <c r="JJ7" i="1"/>
  <c r="AP7" i="1" s="1"/>
  <c r="JU20" i="1"/>
  <c r="JS131" i="29" l="1"/>
  <c r="JS95" i="29"/>
  <c r="JS92" i="29"/>
  <c r="JS23" i="29"/>
  <c r="JS25" i="29"/>
  <c r="JS22" i="29"/>
  <c r="JS20" i="29"/>
  <c r="JS24" i="29"/>
  <c r="JS21" i="29"/>
  <c r="JS19" i="29"/>
  <c r="JU7" i="1"/>
  <c r="JU21" i="1"/>
  <c r="HX25" i="4"/>
  <c r="HW38" i="4"/>
  <c r="KB21" i="1"/>
  <c r="GL69" i="4"/>
  <c r="GH69" i="4"/>
  <c r="GG69" i="4"/>
  <c r="JX20" i="1"/>
  <c r="GF69" i="4"/>
  <c r="KB8" i="1" l="1"/>
  <c r="JS27" i="29"/>
  <c r="JU8" i="1"/>
  <c r="JV95" i="29"/>
  <c r="AR95" i="29" s="1"/>
  <c r="JV92" i="29"/>
  <c r="AR92" i="29" s="1"/>
  <c r="JV131" i="29"/>
  <c r="AR131" i="29" s="1"/>
  <c r="AR20" i="1"/>
  <c r="JV19" i="29"/>
  <c r="JV23" i="29"/>
  <c r="AR23" i="29" s="1"/>
  <c r="JV20" i="29"/>
  <c r="AR20" i="29" s="1"/>
  <c r="JV24" i="29"/>
  <c r="AR24" i="29" s="1"/>
  <c r="JV21" i="29"/>
  <c r="AR21" i="29" s="1"/>
  <c r="JV25" i="29"/>
  <c r="AR25" i="29" s="1"/>
  <c r="JV22" i="29"/>
  <c r="AR22" i="29" s="1"/>
  <c r="EL103" i="5"/>
  <c r="EL116" i="5"/>
  <c r="EL113" i="5"/>
  <c r="EM116" i="5"/>
  <c r="EM103" i="5"/>
  <c r="EM113" i="5"/>
  <c r="EN116" i="5"/>
  <c r="EN103" i="5"/>
  <c r="EN113" i="5"/>
  <c r="ER116" i="5"/>
  <c r="ER103" i="5"/>
  <c r="ER113" i="5"/>
  <c r="JX7" i="1"/>
  <c r="AR7" i="1" s="1"/>
  <c r="JX24" i="1"/>
  <c r="AR24" i="1" s="1"/>
  <c r="HX38" i="4"/>
  <c r="HY25" i="4"/>
  <c r="AC25" i="4" s="1"/>
  <c r="EN124" i="5"/>
  <c r="EN89" i="5"/>
  <c r="ER124" i="5"/>
  <c r="ER89" i="5"/>
  <c r="GG81" i="4"/>
  <c r="KE21" i="1"/>
  <c r="AS21" i="1" s="1"/>
  <c r="GG105" i="4"/>
  <c r="EM100" i="5" s="1"/>
  <c r="GI69" i="4"/>
  <c r="W69" i="4" s="1"/>
  <c r="GH105" i="4"/>
  <c r="EN100" i="5" s="1"/>
  <c r="GH93" i="4"/>
  <c r="GH81" i="4"/>
  <c r="GH113" i="4"/>
  <c r="GH78" i="4"/>
  <c r="GL81" i="4"/>
  <c r="GL93" i="4"/>
  <c r="GL78" i="4"/>
  <c r="GG93" i="4"/>
  <c r="GG113" i="4"/>
  <c r="JX35" i="1"/>
  <c r="AR35" i="1" s="1"/>
  <c r="GF105" i="4"/>
  <c r="EL100" i="5" s="1"/>
  <c r="GF113" i="4"/>
  <c r="GF81" i="4"/>
  <c r="GF93" i="4"/>
  <c r="JX13" i="1" l="1"/>
  <c r="AR13" i="1" s="1"/>
  <c r="JV27" i="29"/>
  <c r="AR27" i="29" s="1"/>
  <c r="AR19" i="29"/>
  <c r="KE8" i="1"/>
  <c r="AS8" i="1" s="1"/>
  <c r="EO103" i="5"/>
  <c r="Q103" i="5" s="1"/>
  <c r="EO113" i="5"/>
  <c r="Q113" i="5" s="1"/>
  <c r="EO116" i="5"/>
  <c r="Q116" i="5" s="1"/>
  <c r="IB25" i="4"/>
  <c r="HY38" i="4"/>
  <c r="AC38" i="4" s="1"/>
  <c r="EO124" i="5"/>
  <c r="Q124" i="5" s="1"/>
  <c r="EO89" i="5"/>
  <c r="Q89" i="5" s="1"/>
  <c r="KE36" i="1"/>
  <c r="HR44" i="4"/>
  <c r="GI74" i="4"/>
  <c r="GI81" i="4"/>
  <c r="W81" i="4" s="1"/>
  <c r="GI93" i="4"/>
  <c r="W93" i="4" s="1"/>
  <c r="GI105" i="4"/>
  <c r="GI113" i="4"/>
  <c r="W113" i="4" s="1"/>
  <c r="GI72" i="4"/>
  <c r="W72" i="4" s="1"/>
  <c r="GI84" i="4"/>
  <c r="W84" i="4" s="1"/>
  <c r="JX43" i="1"/>
  <c r="IC25" i="4" l="1"/>
  <c r="KE14" i="1"/>
  <c r="AS14" i="1" s="1"/>
  <c r="AR43" i="1"/>
  <c r="EO117" i="5"/>
  <c r="Q117" i="5" s="1"/>
  <c r="W74" i="4"/>
  <c r="AB44" i="4"/>
  <c r="EO100" i="5"/>
  <c r="Q100" i="5" s="1"/>
  <c r="W105" i="4"/>
  <c r="IB38" i="4"/>
  <c r="GI89" i="4"/>
  <c r="KE44" i="1"/>
  <c r="GI75" i="4"/>
  <c r="W75" i="4" s="1"/>
  <c r="JX47" i="1"/>
  <c r="AR47" i="1" s="1"/>
  <c r="GP54" i="4"/>
  <c r="GP53" i="4"/>
  <c r="X53" i="4" s="1"/>
  <c r="GP51" i="4"/>
  <c r="X51" i="4" s="1"/>
  <c r="GP35" i="4"/>
  <c r="X35" i="4" s="1"/>
  <c r="GP22" i="4"/>
  <c r="X22" i="4" s="1"/>
  <c r="EH59" i="5"/>
  <c r="P59" i="5" s="1"/>
  <c r="ED59" i="5"/>
  <c r="EA59" i="5"/>
  <c r="O59" i="5" s="1"/>
  <c r="DW59" i="5"/>
  <c r="DT59" i="5"/>
  <c r="N59" i="5" s="1"/>
  <c r="DP59" i="5"/>
  <c r="DM59" i="5"/>
  <c r="M59" i="5" s="1"/>
  <c r="DI59" i="5"/>
  <c r="DF59" i="5"/>
  <c r="L59" i="5" s="1"/>
  <c r="DB59" i="5"/>
  <c r="EK59" i="5"/>
  <c r="EK47" i="5"/>
  <c r="EK66" i="5"/>
  <c r="BB174" i="5"/>
  <c r="AU174" i="5"/>
  <c r="IC38" i="4" l="1"/>
  <c r="ID25" i="4"/>
  <c r="AS44" i="1"/>
  <c r="AU77" i="5"/>
  <c r="C77" i="5" s="1"/>
  <c r="C174" i="5"/>
  <c r="BB77" i="5"/>
  <c r="D77" i="5" s="1"/>
  <c r="D174" i="5"/>
  <c r="X54" i="4"/>
  <c r="GI90" i="4"/>
  <c r="W90" i="4" s="1"/>
  <c r="W89" i="4"/>
  <c r="GW22" i="4"/>
  <c r="GW35" i="4"/>
  <c r="Y35" i="4" s="1"/>
  <c r="GW51" i="4"/>
  <c r="Y51" i="4" s="1"/>
  <c r="GW53" i="4"/>
  <c r="HD22" i="4"/>
  <c r="Z22" i="4" s="1"/>
  <c r="HD53" i="4"/>
  <c r="Z53" i="4" s="1"/>
  <c r="IE25" i="4" l="1"/>
  <c r="ID38" i="4"/>
  <c r="Y22" i="4"/>
  <c r="Y53" i="4"/>
  <c r="HD51" i="4"/>
  <c r="Z51" i="4" s="1"/>
  <c r="HD35" i="4"/>
  <c r="Z35" i="4" s="1"/>
  <c r="HX44" i="4" l="1"/>
  <c r="IE38" i="4"/>
  <c r="IF25" i="4"/>
  <c r="II25" i="4" s="1"/>
  <c r="GP50" i="4"/>
  <c r="X50" i="4" s="1"/>
  <c r="GP34" i="4"/>
  <c r="X34" i="4" s="1"/>
  <c r="IJ25" i="4" l="1"/>
  <c r="HY44" i="4"/>
  <c r="AD25" i="4"/>
  <c r="IF38" i="4"/>
  <c r="II38" i="4" s="1"/>
  <c r="GW34" i="4"/>
  <c r="GW50" i="4"/>
  <c r="HD34" i="4"/>
  <c r="Z34" i="4" s="1"/>
  <c r="GW54" i="4"/>
  <c r="IJ38" i="4" l="1"/>
  <c r="IK25" i="4"/>
  <c r="IB44" i="4"/>
  <c r="AC44" i="4"/>
  <c r="AD38" i="4"/>
  <c r="Y34" i="4"/>
  <c r="Y50" i="4"/>
  <c r="Y54" i="4"/>
  <c r="HK22" i="4"/>
  <c r="AA22" i="4" s="1"/>
  <c r="HK53" i="4"/>
  <c r="AA53" i="4" s="1"/>
  <c r="HD50" i="4"/>
  <c r="Z50" i="4" s="1"/>
  <c r="GP36" i="4"/>
  <c r="IK38" i="4" l="1"/>
  <c r="IL25" i="4"/>
  <c r="IC44" i="4"/>
  <c r="X36" i="4"/>
  <c r="HK51" i="4"/>
  <c r="AA51" i="4" s="1"/>
  <c r="HK35" i="4"/>
  <c r="AA35" i="4" s="1"/>
  <c r="GB77" i="4"/>
  <c r="V77" i="4" s="1"/>
  <c r="FU77" i="4"/>
  <c r="U77" i="4" s="1"/>
  <c r="FN77" i="4"/>
  <c r="T77" i="4" s="1"/>
  <c r="FG77" i="4"/>
  <c r="S77" i="4" s="1"/>
  <c r="EZ77" i="4"/>
  <c r="R77" i="4" s="1"/>
  <c r="ES77" i="4"/>
  <c r="Q77" i="4" s="1"/>
  <c r="EL77" i="4"/>
  <c r="P77" i="4" s="1"/>
  <c r="EE77" i="4"/>
  <c r="O77" i="4" s="1"/>
  <c r="DX77" i="4"/>
  <c r="N77" i="4" s="1"/>
  <c r="DQ77" i="4"/>
  <c r="M77" i="4" s="1"/>
  <c r="DJ77" i="4"/>
  <c r="L77" i="4" s="1"/>
  <c r="DC77" i="4"/>
  <c r="K77" i="4" s="1"/>
  <c r="GE69" i="4"/>
  <c r="GA69" i="4"/>
  <c r="FZ69" i="4"/>
  <c r="FY69" i="4"/>
  <c r="FX69" i="4"/>
  <c r="FT69" i="4"/>
  <c r="FS69" i="4"/>
  <c r="FR69" i="4"/>
  <c r="FQ69" i="4"/>
  <c r="FM69" i="4"/>
  <c r="FL69" i="4"/>
  <c r="FK69" i="4"/>
  <c r="FJ69" i="4"/>
  <c r="FF69" i="4"/>
  <c r="DP69" i="4"/>
  <c r="DO69" i="4"/>
  <c r="DN69" i="4"/>
  <c r="DM69" i="4"/>
  <c r="DI69" i="4"/>
  <c r="DH69" i="4"/>
  <c r="DG69" i="4"/>
  <c r="DF69" i="4"/>
  <c r="DB69" i="4"/>
  <c r="DA69" i="4"/>
  <c r="CZ69" i="4"/>
  <c r="CY69" i="4"/>
  <c r="GE56" i="4"/>
  <c r="GA56" i="4"/>
  <c r="FZ56" i="4"/>
  <c r="FY56" i="4"/>
  <c r="FX56" i="4"/>
  <c r="FT56" i="4"/>
  <c r="FS56" i="4"/>
  <c r="FR56" i="4"/>
  <c r="FQ56" i="4"/>
  <c r="FM56" i="4"/>
  <c r="FL56" i="4"/>
  <c r="FK56" i="4"/>
  <c r="FJ56" i="4"/>
  <c r="FF56" i="4"/>
  <c r="FE56" i="4"/>
  <c r="FD56" i="4"/>
  <c r="FC56" i="4"/>
  <c r="EY56" i="4"/>
  <c r="EX56" i="4"/>
  <c r="EW56" i="4"/>
  <c r="EV56" i="4"/>
  <c r="ER56" i="4"/>
  <c r="EQ56" i="4"/>
  <c r="EP56" i="4"/>
  <c r="EO56" i="4"/>
  <c r="EK56" i="4"/>
  <c r="EJ56" i="4"/>
  <c r="EI56" i="4"/>
  <c r="EH56" i="4"/>
  <c r="ED56" i="4"/>
  <c r="EC56" i="4"/>
  <c r="EB56" i="4"/>
  <c r="EA56" i="4"/>
  <c r="DW56" i="4"/>
  <c r="DV56" i="4"/>
  <c r="DU56" i="4"/>
  <c r="DT56" i="4"/>
  <c r="DP56" i="4"/>
  <c r="DO56" i="4"/>
  <c r="DN56" i="4"/>
  <c r="DM56" i="4"/>
  <c r="DI56" i="4"/>
  <c r="DH56" i="4"/>
  <c r="DG56" i="4"/>
  <c r="DF56" i="4"/>
  <c r="DB56" i="4"/>
  <c r="DA56" i="4"/>
  <c r="CZ56" i="4"/>
  <c r="CY56" i="4"/>
  <c r="CU56" i="4"/>
  <c r="CT56" i="4"/>
  <c r="CS56" i="4"/>
  <c r="CR56" i="4"/>
  <c r="CN56" i="4"/>
  <c r="CM56" i="4"/>
  <c r="CL56" i="4"/>
  <c r="CK56" i="4"/>
  <c r="CV77" i="4"/>
  <c r="J77" i="4" s="1"/>
  <c r="CU69" i="4"/>
  <c r="CT69" i="4"/>
  <c r="CS69" i="4"/>
  <c r="CR69" i="4"/>
  <c r="IL38" i="4" l="1"/>
  <c r="IM25" i="4"/>
  <c r="IP25" i="4" s="1"/>
  <c r="CM120" i="4"/>
  <c r="CM119" i="4"/>
  <c r="CM118" i="4"/>
  <c r="CN119" i="4"/>
  <c r="CN118" i="4"/>
  <c r="CN120" i="4"/>
  <c r="CK118" i="4"/>
  <c r="CK120" i="4"/>
  <c r="CK119" i="4"/>
  <c r="CL120" i="4"/>
  <c r="CL119" i="4"/>
  <c r="CL118" i="4"/>
  <c r="ID44" i="4"/>
  <c r="DQ113" i="5"/>
  <c r="DQ116" i="5"/>
  <c r="DQ103" i="5"/>
  <c r="DR113" i="5"/>
  <c r="DR116" i="5"/>
  <c r="DR103" i="5"/>
  <c r="BL116" i="5"/>
  <c r="BL103" i="5"/>
  <c r="DS103" i="5"/>
  <c r="DS113" i="5"/>
  <c r="DS116" i="5"/>
  <c r="BM116" i="5"/>
  <c r="BM103" i="5"/>
  <c r="DW113" i="5"/>
  <c r="DW116" i="5"/>
  <c r="DW103" i="5"/>
  <c r="BG116" i="5"/>
  <c r="BG103" i="5"/>
  <c r="BN116" i="5"/>
  <c r="BN103" i="5"/>
  <c r="DX113" i="5"/>
  <c r="DX116" i="5"/>
  <c r="DX103" i="5"/>
  <c r="EK103" i="5"/>
  <c r="EK113" i="5"/>
  <c r="EK116" i="5"/>
  <c r="DY113" i="5"/>
  <c r="DY116" i="5"/>
  <c r="DY103" i="5"/>
  <c r="DP113" i="5"/>
  <c r="DP116" i="5"/>
  <c r="DP103" i="5"/>
  <c r="BO113" i="5"/>
  <c r="BO116" i="5"/>
  <c r="BO103" i="5"/>
  <c r="BS113" i="5"/>
  <c r="BS116" i="5"/>
  <c r="BS103" i="5"/>
  <c r="DZ113" i="5"/>
  <c r="DZ116" i="5"/>
  <c r="DZ103" i="5"/>
  <c r="AX116" i="5"/>
  <c r="AX103" i="5"/>
  <c r="BT113" i="5"/>
  <c r="BT116" i="5"/>
  <c r="BT103" i="5"/>
  <c r="ED113" i="5"/>
  <c r="ED116" i="5"/>
  <c r="ED103" i="5"/>
  <c r="AY116" i="5"/>
  <c r="AY103" i="5"/>
  <c r="BU103" i="5"/>
  <c r="BU113" i="5"/>
  <c r="BU116" i="5"/>
  <c r="EE113" i="5"/>
  <c r="EE116" i="5"/>
  <c r="EE103" i="5"/>
  <c r="AZ116" i="5"/>
  <c r="AZ103" i="5"/>
  <c r="BV103" i="5"/>
  <c r="BV113" i="5"/>
  <c r="BV116" i="5"/>
  <c r="EF113" i="5"/>
  <c r="EF116" i="5"/>
  <c r="EF103" i="5"/>
  <c r="BF103" i="5"/>
  <c r="BF116" i="5"/>
  <c r="BH113" i="5"/>
  <c r="BH116" i="5"/>
  <c r="BH103" i="5"/>
  <c r="BA113" i="5"/>
  <c r="BA116" i="5"/>
  <c r="BA103" i="5"/>
  <c r="BE103" i="5"/>
  <c r="BE116" i="5"/>
  <c r="DL113" i="5"/>
  <c r="DL116" i="5"/>
  <c r="DL103" i="5"/>
  <c r="EG113" i="5"/>
  <c r="EG116" i="5"/>
  <c r="EG103" i="5"/>
  <c r="DI74" i="4"/>
  <c r="BO117" i="5" s="1"/>
  <c r="DM74" i="4"/>
  <c r="BS117" i="5" s="1"/>
  <c r="DN74" i="4"/>
  <c r="BT117" i="5" s="1"/>
  <c r="DO74" i="4"/>
  <c r="BU117" i="5" s="1"/>
  <c r="DP74" i="4"/>
  <c r="BV117" i="5" s="1"/>
  <c r="FF74" i="4"/>
  <c r="DL117" i="5" s="1"/>
  <c r="FJ74" i="4"/>
  <c r="DP117" i="5" s="1"/>
  <c r="FK74" i="4"/>
  <c r="DQ117" i="5" s="1"/>
  <c r="FL74" i="4"/>
  <c r="DR117" i="5" s="1"/>
  <c r="FM74" i="4"/>
  <c r="DS117" i="5" s="1"/>
  <c r="FQ74" i="4"/>
  <c r="DW117" i="5" s="1"/>
  <c r="FR74" i="4"/>
  <c r="DX117" i="5" s="1"/>
  <c r="FS74" i="4"/>
  <c r="DY117" i="5" s="1"/>
  <c r="FT74" i="4"/>
  <c r="DZ117" i="5" s="1"/>
  <c r="FX74" i="4"/>
  <c r="ED117" i="5" s="1"/>
  <c r="FY74" i="4"/>
  <c r="EE117" i="5" s="1"/>
  <c r="FZ74" i="4"/>
  <c r="EF117" i="5" s="1"/>
  <c r="GA74" i="4"/>
  <c r="EG117" i="5" s="1"/>
  <c r="CS120" i="4"/>
  <c r="CS119" i="4"/>
  <c r="CU120" i="4"/>
  <c r="CU119" i="4"/>
  <c r="CZ120" i="4"/>
  <c r="CZ119" i="4"/>
  <c r="DB120" i="4"/>
  <c r="DB119" i="4"/>
  <c r="DG120" i="4"/>
  <c r="DG119" i="4"/>
  <c r="DI120" i="4"/>
  <c r="DI119" i="4"/>
  <c r="DN120" i="4"/>
  <c r="DN119" i="4"/>
  <c r="DP120" i="4"/>
  <c r="DP119" i="4"/>
  <c r="DU120" i="4"/>
  <c r="DU119" i="4"/>
  <c r="DW120" i="4"/>
  <c r="DW119" i="4"/>
  <c r="EB120" i="4"/>
  <c r="EB119" i="4"/>
  <c r="ED120" i="4"/>
  <c r="ED119" i="4"/>
  <c r="EI120" i="4"/>
  <c r="EI119" i="4"/>
  <c r="EK120" i="4"/>
  <c r="EK119" i="4"/>
  <c r="EP120" i="4"/>
  <c r="EP119" i="4"/>
  <c r="ER120" i="4"/>
  <c r="ER119" i="4"/>
  <c r="EW120" i="4"/>
  <c r="EW119" i="4"/>
  <c r="EY120" i="4"/>
  <c r="EY119" i="4"/>
  <c r="FD120" i="4"/>
  <c r="FD119" i="4"/>
  <c r="FF120" i="4"/>
  <c r="FF119" i="4"/>
  <c r="FK120" i="4"/>
  <c r="FK119" i="4"/>
  <c r="FM120" i="4"/>
  <c r="FM119" i="4"/>
  <c r="FR120" i="4"/>
  <c r="FR119" i="4"/>
  <c r="FT120" i="4"/>
  <c r="FT119" i="4"/>
  <c r="FY120" i="4"/>
  <c r="FY119" i="4"/>
  <c r="GA120" i="4"/>
  <c r="GA119" i="4"/>
  <c r="CR120" i="4"/>
  <c r="CR119" i="4"/>
  <c r="CT120" i="4"/>
  <c r="CT119" i="4"/>
  <c r="CY120" i="4"/>
  <c r="CY119" i="4"/>
  <c r="DA120" i="4"/>
  <c r="DA119" i="4"/>
  <c r="DF120" i="4"/>
  <c r="DF119" i="4"/>
  <c r="DH120" i="4"/>
  <c r="DH119" i="4"/>
  <c r="DM120" i="4"/>
  <c r="DM119" i="4"/>
  <c r="DO120" i="4"/>
  <c r="DO119" i="4"/>
  <c r="DT120" i="4"/>
  <c r="DT119" i="4"/>
  <c r="DV120" i="4"/>
  <c r="DV119" i="4"/>
  <c r="EA120" i="4"/>
  <c r="EA119" i="4"/>
  <c r="EC120" i="4"/>
  <c r="EC119" i="4"/>
  <c r="EH120" i="4"/>
  <c r="EH119" i="4"/>
  <c r="EJ120" i="4"/>
  <c r="EJ119" i="4"/>
  <c r="EO120" i="4"/>
  <c r="EO119" i="4"/>
  <c r="EQ120" i="4"/>
  <c r="EQ119" i="4"/>
  <c r="EV120" i="4"/>
  <c r="EV119" i="4"/>
  <c r="EX120" i="4"/>
  <c r="EX119" i="4"/>
  <c r="FC120" i="4"/>
  <c r="FC119" i="4"/>
  <c r="FE120" i="4"/>
  <c r="FE119" i="4"/>
  <c r="FJ120" i="4"/>
  <c r="FJ119" i="4"/>
  <c r="FL120" i="4"/>
  <c r="FL119" i="4"/>
  <c r="FQ120" i="4"/>
  <c r="FQ119" i="4"/>
  <c r="FS120" i="4"/>
  <c r="FS119" i="4"/>
  <c r="FX120" i="4"/>
  <c r="FX119" i="4"/>
  <c r="FZ120" i="4"/>
  <c r="FZ119" i="4"/>
  <c r="GE120" i="4"/>
  <c r="GE119" i="4"/>
  <c r="CU118" i="4"/>
  <c r="CS105" i="4"/>
  <c r="AY100" i="5" s="1"/>
  <c r="CU105" i="4"/>
  <c r="BA100" i="5" s="1"/>
  <c r="CY105" i="4"/>
  <c r="BE100" i="5" s="1"/>
  <c r="DA105" i="4"/>
  <c r="BG100" i="5" s="1"/>
  <c r="DH105" i="4"/>
  <c r="BN100" i="5" s="1"/>
  <c r="DM105" i="4"/>
  <c r="BS100" i="5" s="1"/>
  <c r="FL105" i="4"/>
  <c r="DR100" i="5" s="1"/>
  <c r="FQ105" i="4"/>
  <c r="DW100" i="5" s="1"/>
  <c r="FX105" i="4"/>
  <c r="ED100" i="5" s="1"/>
  <c r="CR105" i="4"/>
  <c r="AX100" i="5" s="1"/>
  <c r="CT105" i="4"/>
  <c r="AZ100" i="5" s="1"/>
  <c r="DB105" i="4"/>
  <c r="BH100" i="5" s="1"/>
  <c r="DG105" i="4"/>
  <c r="BM100" i="5" s="1"/>
  <c r="DI105" i="4"/>
  <c r="BO100" i="5" s="1"/>
  <c r="DN105" i="4"/>
  <c r="BT100" i="5" s="1"/>
  <c r="FF105" i="4"/>
  <c r="DL100" i="5" s="1"/>
  <c r="FK105" i="4"/>
  <c r="DQ100" i="5" s="1"/>
  <c r="FM105" i="4"/>
  <c r="DS100" i="5" s="1"/>
  <c r="FR105" i="4"/>
  <c r="DX100" i="5" s="1"/>
  <c r="FY105" i="4"/>
  <c r="EE100" i="5" s="1"/>
  <c r="GA105" i="4"/>
  <c r="EG100" i="5" s="1"/>
  <c r="DO105" i="4"/>
  <c r="BU100" i="5" s="1"/>
  <c r="FS105" i="4"/>
  <c r="DY100" i="5" s="1"/>
  <c r="GE105" i="4"/>
  <c r="EK100" i="5" s="1"/>
  <c r="DM81" i="4"/>
  <c r="FQ81" i="4"/>
  <c r="GA81" i="4"/>
  <c r="DM118" i="4"/>
  <c r="DO118" i="4"/>
  <c r="DU118" i="4"/>
  <c r="DW118" i="4"/>
  <c r="EO118" i="4"/>
  <c r="EQ118" i="4"/>
  <c r="EW118" i="4"/>
  <c r="EY118" i="4"/>
  <c r="FQ118" i="4"/>
  <c r="FS118" i="4"/>
  <c r="FY118" i="4"/>
  <c r="GA118" i="4"/>
  <c r="CS118" i="4"/>
  <c r="CY118" i="4"/>
  <c r="DA118" i="4"/>
  <c r="DG118" i="4"/>
  <c r="DI118" i="4"/>
  <c r="EA118" i="4"/>
  <c r="EC118" i="4"/>
  <c r="EI118" i="4"/>
  <c r="EK118" i="4"/>
  <c r="FC118" i="4"/>
  <c r="FE118" i="4"/>
  <c r="FK118" i="4"/>
  <c r="FM118" i="4"/>
  <c r="GE118" i="4"/>
  <c r="CZ118" i="4"/>
  <c r="DB118" i="4"/>
  <c r="DF118" i="4"/>
  <c r="DH118" i="4"/>
  <c r="DN118" i="4"/>
  <c r="DP118" i="4"/>
  <c r="DT118" i="4"/>
  <c r="DV118" i="4"/>
  <c r="EB118" i="4"/>
  <c r="ED118" i="4"/>
  <c r="EH118" i="4"/>
  <c r="EJ118" i="4"/>
  <c r="EP118" i="4"/>
  <c r="ER118" i="4"/>
  <c r="EV118" i="4"/>
  <c r="EX118" i="4"/>
  <c r="FD118" i="4"/>
  <c r="FF118" i="4"/>
  <c r="FJ118" i="4"/>
  <c r="FL118" i="4"/>
  <c r="FR118" i="4"/>
  <c r="FT118" i="4"/>
  <c r="FX118" i="4"/>
  <c r="FZ118" i="4"/>
  <c r="CR118" i="4"/>
  <c r="CT118" i="4"/>
  <c r="CZ105" i="4"/>
  <c r="BF100" i="5" s="1"/>
  <c r="DF105" i="4"/>
  <c r="BL100" i="5" s="1"/>
  <c r="DP105" i="4"/>
  <c r="BV100" i="5" s="1"/>
  <c r="FJ105" i="4"/>
  <c r="DP100" i="5" s="1"/>
  <c r="FT105" i="4"/>
  <c r="DZ100" i="5" s="1"/>
  <c r="FZ105" i="4"/>
  <c r="EF100" i="5" s="1"/>
  <c r="DI81" i="4"/>
  <c r="DO81" i="4"/>
  <c r="FM81" i="4"/>
  <c r="FS81" i="4"/>
  <c r="FY81" i="4"/>
  <c r="GE81" i="4"/>
  <c r="DN81" i="4"/>
  <c r="DP81" i="4"/>
  <c r="FF81" i="4"/>
  <c r="FJ81" i="4"/>
  <c r="FL81" i="4"/>
  <c r="FR81" i="4"/>
  <c r="FT81" i="4"/>
  <c r="FX81" i="4"/>
  <c r="FZ81" i="4"/>
  <c r="FK81" i="4"/>
  <c r="FF93" i="4"/>
  <c r="FL93" i="4"/>
  <c r="FR93" i="4"/>
  <c r="FX93" i="4"/>
  <c r="CY93" i="4"/>
  <c r="DA93" i="4"/>
  <c r="DG93" i="4"/>
  <c r="DI93" i="4"/>
  <c r="DM93" i="4"/>
  <c r="DO93" i="4"/>
  <c r="CZ93" i="4"/>
  <c r="DB93" i="4"/>
  <c r="DF93" i="4"/>
  <c r="DH93" i="4"/>
  <c r="DN93" i="4"/>
  <c r="DP93" i="4"/>
  <c r="FJ93" i="4"/>
  <c r="FT93" i="4"/>
  <c r="FZ93" i="4"/>
  <c r="FK93" i="4"/>
  <c r="FM93" i="4"/>
  <c r="FQ93" i="4"/>
  <c r="FS93" i="4"/>
  <c r="FY93" i="4"/>
  <c r="GA93" i="4"/>
  <c r="GE93" i="4"/>
  <c r="CR93" i="4"/>
  <c r="CT93" i="4"/>
  <c r="CS93" i="4"/>
  <c r="CU93" i="4"/>
  <c r="IQ25" i="4" l="1"/>
  <c r="IM38" i="4"/>
  <c r="IP38" i="4" s="1"/>
  <c r="AE25" i="4"/>
  <c r="IE44" i="4"/>
  <c r="HK34" i="4"/>
  <c r="AA34" i="4" s="1"/>
  <c r="IQ38" i="4" l="1"/>
  <c r="IR25" i="4"/>
  <c r="AE38" i="4"/>
  <c r="IF44" i="4"/>
  <c r="HK50" i="4"/>
  <c r="AA50" i="4" s="1"/>
  <c r="HD54" i="4"/>
  <c r="GW36" i="4"/>
  <c r="IS25" i="4" l="1"/>
  <c r="IR38" i="4"/>
  <c r="AD44" i="4"/>
  <c r="II44" i="4"/>
  <c r="Y36" i="4"/>
  <c r="Z54" i="4"/>
  <c r="HR53" i="4"/>
  <c r="IS38" i="4" l="1"/>
  <c r="IT25" i="4"/>
  <c r="IJ44" i="4"/>
  <c r="AB22" i="4"/>
  <c r="AB53" i="4"/>
  <c r="HR51" i="4"/>
  <c r="AF25" i="4" l="1"/>
  <c r="IT38" i="4"/>
  <c r="IK44" i="4"/>
  <c r="AB51" i="4"/>
  <c r="AB35" i="4"/>
  <c r="AF38" i="4" l="1"/>
  <c r="IL44" i="4"/>
  <c r="HX53" i="4"/>
  <c r="HD36" i="4"/>
  <c r="IM44" i="4" l="1"/>
  <c r="IP44" i="4" s="1"/>
  <c r="AB34" i="4"/>
  <c r="Z36" i="4"/>
  <c r="HX51" i="4"/>
  <c r="HX35" i="4"/>
  <c r="HY53" i="4"/>
  <c r="AC53" i="4" s="1"/>
  <c r="HR50" i="4"/>
  <c r="HK54" i="4"/>
  <c r="AA54" i="4" s="1"/>
  <c r="IQ44" i="4" l="1"/>
  <c r="AE44" i="4"/>
  <c r="AB50" i="4"/>
  <c r="IB53" i="4"/>
  <c r="HY35" i="4"/>
  <c r="AC35" i="4" s="1"/>
  <c r="HY51" i="4"/>
  <c r="AC51" i="4" s="1"/>
  <c r="IR44" i="4" l="1"/>
  <c r="IC53" i="4"/>
  <c r="HX34" i="4"/>
  <c r="IB51" i="4"/>
  <c r="IB35" i="4"/>
  <c r="IS44" i="4" l="1"/>
  <c r="HY34" i="4"/>
  <c r="AC34" i="4" s="1"/>
  <c r="IC51" i="4"/>
  <c r="ID53" i="4"/>
  <c r="IC35" i="4"/>
  <c r="HK36" i="4"/>
  <c r="AA36" i="4" s="1"/>
  <c r="IT44" i="4" l="1"/>
  <c r="IB34" i="4"/>
  <c r="IC34" i="4" s="1"/>
  <c r="IE53" i="4"/>
  <c r="ID35" i="4"/>
  <c r="ID51" i="4"/>
  <c r="ET59" i="5"/>
  <c r="ES59" i="5"/>
  <c r="AF44" i="4" l="1"/>
  <c r="ID34" i="4"/>
  <c r="IE35" i="4"/>
  <c r="IF53" i="4"/>
  <c r="II53" i="4" s="1"/>
  <c r="IE51" i="4"/>
  <c r="HR54" i="4"/>
  <c r="ES174" i="5"/>
  <c r="ES77" i="5" s="1"/>
  <c r="ET174" i="5"/>
  <c r="ET77" i="5" s="1"/>
  <c r="IE34" i="4" l="1"/>
  <c r="IJ53" i="4"/>
  <c r="FU30" i="5"/>
  <c r="AD53" i="4"/>
  <c r="IF51" i="4"/>
  <c r="II51" i="4" s="1"/>
  <c r="IF35" i="4"/>
  <c r="II35" i="4" s="1"/>
  <c r="AB54" i="4"/>
  <c r="KW20" i="1"/>
  <c r="IF34" i="4" l="1"/>
  <c r="II34" i="4" s="1"/>
  <c r="IJ34" i="4" s="1"/>
  <c r="IJ35" i="4"/>
  <c r="IJ51" i="4"/>
  <c r="IK53" i="4"/>
  <c r="FV30" i="5"/>
  <c r="AD51" i="4"/>
  <c r="AD34" i="4"/>
  <c r="AD35" i="4"/>
  <c r="KU131" i="29"/>
  <c r="KU95" i="29"/>
  <c r="KU92" i="29"/>
  <c r="KU24" i="29"/>
  <c r="KU23" i="29"/>
  <c r="KU22" i="29"/>
  <c r="KU20" i="29"/>
  <c r="KU25" i="29"/>
  <c r="KU21" i="29"/>
  <c r="KU19" i="29"/>
  <c r="KW7" i="1"/>
  <c r="HH69" i="4"/>
  <c r="FW30" i="5" l="1"/>
  <c r="IK34" i="4"/>
  <c r="IK35" i="4"/>
  <c r="IL53" i="4"/>
  <c r="IK51" i="4"/>
  <c r="KW8" i="1"/>
  <c r="KU27" i="29"/>
  <c r="FN113" i="5"/>
  <c r="FN116" i="5"/>
  <c r="FN103" i="5"/>
  <c r="FN124" i="5"/>
  <c r="FN89" i="5"/>
  <c r="HH81" i="4"/>
  <c r="HH105" i="4"/>
  <c r="FN100" i="5" s="1"/>
  <c r="HH93" i="4"/>
  <c r="HH78" i="4"/>
  <c r="IL35" i="4" l="1"/>
  <c r="IL34" i="4"/>
  <c r="HX54" i="4"/>
  <c r="IL51" i="4"/>
  <c r="IM53" i="4"/>
  <c r="IP53" i="4" s="1"/>
  <c r="AB36" i="4"/>
  <c r="KY20" i="1"/>
  <c r="ID20" i="1"/>
  <c r="HX20" i="1"/>
  <c r="HR20" i="1"/>
  <c r="HW20" i="1"/>
  <c r="IK20" i="1"/>
  <c r="IE20" i="1"/>
  <c r="HY20" i="1"/>
  <c r="HS20" i="1"/>
  <c r="IL20" i="1"/>
  <c r="IF20" i="1"/>
  <c r="HJ20" i="1"/>
  <c r="IM20" i="1"/>
  <c r="IG20" i="1"/>
  <c r="HK20" i="1"/>
  <c r="IN20" i="1"/>
  <c r="HL20" i="1"/>
  <c r="HQ20" i="1"/>
  <c r="HP20" i="1"/>
  <c r="IQ53" i="4" l="1"/>
  <c r="IM34" i="4"/>
  <c r="IP34" i="4" s="1"/>
  <c r="IM35" i="4"/>
  <c r="IP35" i="4" s="1"/>
  <c r="HY54" i="4"/>
  <c r="AC54" i="4" s="1"/>
  <c r="AE53" i="4"/>
  <c r="IM51" i="4"/>
  <c r="IP51" i="4" s="1"/>
  <c r="HN131" i="29"/>
  <c r="HN95" i="29"/>
  <c r="HN92" i="29"/>
  <c r="HO131" i="29"/>
  <c r="HO95" i="29"/>
  <c r="HO92" i="29"/>
  <c r="HJ131" i="29"/>
  <c r="HJ95" i="29"/>
  <c r="HJ92" i="29"/>
  <c r="IL131" i="29"/>
  <c r="IL95" i="29"/>
  <c r="IL92" i="29"/>
  <c r="HI131" i="29"/>
  <c r="HI95" i="29"/>
  <c r="HI92" i="29"/>
  <c r="IE131" i="29"/>
  <c r="IE95" i="29"/>
  <c r="IE92" i="29"/>
  <c r="IK131" i="29"/>
  <c r="IK95" i="29"/>
  <c r="IK92" i="29"/>
  <c r="HH131" i="29"/>
  <c r="HH95" i="29"/>
  <c r="HH92" i="29"/>
  <c r="ID131" i="29"/>
  <c r="ID95" i="29"/>
  <c r="ID92" i="29"/>
  <c r="IJ131" i="29"/>
  <c r="IJ95" i="29"/>
  <c r="IJ92" i="29"/>
  <c r="HQ131" i="29"/>
  <c r="HQ95" i="29"/>
  <c r="HQ92" i="29"/>
  <c r="HW131" i="29"/>
  <c r="HW95" i="29"/>
  <c r="HW92" i="29"/>
  <c r="IC131" i="29"/>
  <c r="IC95" i="29"/>
  <c r="IC92" i="29"/>
  <c r="II95" i="29"/>
  <c r="II92" i="29"/>
  <c r="II131" i="29"/>
  <c r="HU131" i="29"/>
  <c r="HU95" i="29"/>
  <c r="HU92" i="29"/>
  <c r="HP95" i="29"/>
  <c r="HP92" i="29"/>
  <c r="HP131" i="29"/>
  <c r="HV131" i="29"/>
  <c r="HV95" i="29"/>
  <c r="HV92" i="29"/>
  <c r="IB131" i="29"/>
  <c r="IB95" i="29"/>
  <c r="IB92" i="29"/>
  <c r="KW95" i="29"/>
  <c r="KW92" i="29"/>
  <c r="KW131" i="29"/>
  <c r="IE24" i="29"/>
  <c r="IE23" i="29"/>
  <c r="IE22" i="29"/>
  <c r="IE25" i="29"/>
  <c r="IE20" i="29"/>
  <c r="IE21" i="29"/>
  <c r="IE19" i="29"/>
  <c r="ID25" i="29"/>
  <c r="ID22" i="29"/>
  <c r="ID24" i="29"/>
  <c r="ID23" i="29"/>
  <c r="ID21" i="29"/>
  <c r="ID19" i="29"/>
  <c r="ID20" i="29"/>
  <c r="IC25" i="29"/>
  <c r="IC24" i="29"/>
  <c r="IC23" i="29"/>
  <c r="IC21" i="29"/>
  <c r="IC19" i="29"/>
  <c r="IC22" i="29"/>
  <c r="IC20" i="29"/>
  <c r="IK23" i="29"/>
  <c r="IK25" i="29"/>
  <c r="IK24" i="29"/>
  <c r="IK20" i="29"/>
  <c r="IK22" i="29"/>
  <c r="IK21" i="29"/>
  <c r="IK19" i="29"/>
  <c r="IJ24" i="29"/>
  <c r="IJ23" i="29"/>
  <c r="IJ25" i="29"/>
  <c r="IJ22" i="29"/>
  <c r="IJ20" i="29"/>
  <c r="IJ21" i="29"/>
  <c r="IJ19" i="29"/>
  <c r="II24" i="29"/>
  <c r="II23" i="29"/>
  <c r="II25" i="29"/>
  <c r="II22" i="29"/>
  <c r="II20" i="29"/>
  <c r="II21" i="29"/>
  <c r="II19" i="29"/>
  <c r="HJ25" i="29"/>
  <c r="HJ23" i="29"/>
  <c r="HJ21" i="29"/>
  <c r="HJ19" i="29"/>
  <c r="HJ22" i="29"/>
  <c r="HJ24" i="29"/>
  <c r="HJ20" i="29"/>
  <c r="HU23" i="29"/>
  <c r="HU25" i="29"/>
  <c r="HU22" i="29"/>
  <c r="HU24" i="29"/>
  <c r="HU20" i="29"/>
  <c r="HU21" i="29"/>
  <c r="HU19" i="29"/>
  <c r="HN25" i="29"/>
  <c r="HN22" i="29"/>
  <c r="HN24" i="29"/>
  <c r="HN23" i="29"/>
  <c r="HN21" i="29"/>
  <c r="HN19" i="29"/>
  <c r="HN20" i="29"/>
  <c r="FE69" i="4"/>
  <c r="DK113" i="5" s="1"/>
  <c r="IL23" i="29"/>
  <c r="IL24" i="29"/>
  <c r="IL20" i="29"/>
  <c r="IL22" i="29"/>
  <c r="IL25" i="29"/>
  <c r="IL21" i="29"/>
  <c r="IL19" i="29"/>
  <c r="HP24" i="29"/>
  <c r="HP25" i="29"/>
  <c r="HP22" i="29"/>
  <c r="HP23" i="29"/>
  <c r="HP20" i="29"/>
  <c r="HP21" i="29"/>
  <c r="HP19" i="29"/>
  <c r="HH23" i="29"/>
  <c r="HH25" i="29"/>
  <c r="HH24" i="29"/>
  <c r="HH20" i="29"/>
  <c r="HH21" i="29"/>
  <c r="HH19" i="29"/>
  <c r="HH22" i="29"/>
  <c r="HQ24" i="29"/>
  <c r="HQ23" i="29"/>
  <c r="HQ25" i="29"/>
  <c r="HQ22" i="29"/>
  <c r="HQ20" i="29"/>
  <c r="HQ21" i="29"/>
  <c r="HQ19" i="29"/>
  <c r="HV23" i="29"/>
  <c r="HV24" i="29"/>
  <c r="HV20" i="29"/>
  <c r="HV21" i="29"/>
  <c r="HV19" i="29"/>
  <c r="HV25" i="29"/>
  <c r="HV22" i="29"/>
  <c r="HI25" i="29"/>
  <c r="HI24" i="29"/>
  <c r="HI21" i="29"/>
  <c r="HI19" i="29"/>
  <c r="HI22" i="29"/>
  <c r="HI23" i="29"/>
  <c r="HI20" i="29"/>
  <c r="HW23" i="29"/>
  <c r="HW25" i="29"/>
  <c r="HW22" i="29"/>
  <c r="HW24" i="29"/>
  <c r="HW20" i="29"/>
  <c r="HW21" i="29"/>
  <c r="HW19" i="29"/>
  <c r="HO24" i="29"/>
  <c r="HO23" i="29"/>
  <c r="HO22" i="29"/>
  <c r="HO20" i="29"/>
  <c r="HO25" i="29"/>
  <c r="HO21" i="29"/>
  <c r="HO19" i="29"/>
  <c r="IB25" i="29"/>
  <c r="IB23" i="29"/>
  <c r="IB24" i="29"/>
  <c r="IB21" i="29"/>
  <c r="IB19" i="29"/>
  <c r="IB22" i="29"/>
  <c r="IB20" i="29"/>
  <c r="KW24" i="29"/>
  <c r="KW23" i="29"/>
  <c r="KW25" i="29"/>
  <c r="KW22" i="29"/>
  <c r="KW20" i="29"/>
  <c r="KW21" i="29"/>
  <c r="KW19" i="29"/>
  <c r="FD69" i="4"/>
  <c r="FC69" i="4"/>
  <c r="EW69" i="4"/>
  <c r="EV69" i="4"/>
  <c r="EY69" i="4"/>
  <c r="EX69" i="4"/>
  <c r="ER69" i="4"/>
  <c r="EJ69" i="4"/>
  <c r="EI69" i="4"/>
  <c r="EH69" i="4"/>
  <c r="EB69" i="4"/>
  <c r="EA69" i="4"/>
  <c r="EC69" i="4"/>
  <c r="ED69" i="4"/>
  <c r="HT20" i="1"/>
  <c r="HP7" i="1"/>
  <c r="HP35" i="1"/>
  <c r="HP24" i="1"/>
  <c r="HP13" i="1" s="1"/>
  <c r="HQ21" i="1"/>
  <c r="HQ7" i="1"/>
  <c r="HQ24" i="1"/>
  <c r="HQ13" i="1" s="1"/>
  <c r="HQ35" i="1"/>
  <c r="HL21" i="1"/>
  <c r="HL7" i="1"/>
  <c r="HL24" i="1"/>
  <c r="HL13" i="1" s="1"/>
  <c r="HL35" i="1"/>
  <c r="IU21" i="1"/>
  <c r="IN21" i="1"/>
  <c r="IN7" i="1"/>
  <c r="IN24" i="1"/>
  <c r="IN35" i="1"/>
  <c r="HK21" i="1"/>
  <c r="HK7" i="1"/>
  <c r="HK24" i="1"/>
  <c r="HK13" i="1" s="1"/>
  <c r="HK35" i="1"/>
  <c r="IG7" i="1"/>
  <c r="IG24" i="1"/>
  <c r="IG35" i="1"/>
  <c r="IM21" i="1"/>
  <c r="IT21" i="1"/>
  <c r="IM7" i="1"/>
  <c r="IM24" i="1"/>
  <c r="IM35" i="1"/>
  <c r="HJ21" i="1"/>
  <c r="HJ7" i="1"/>
  <c r="HJ35" i="1"/>
  <c r="HJ24" i="1"/>
  <c r="HJ13" i="1" s="1"/>
  <c r="HZ20" i="1"/>
  <c r="IF21" i="1"/>
  <c r="IF7" i="1"/>
  <c r="IF24" i="1"/>
  <c r="IF35" i="1"/>
  <c r="IS21" i="1"/>
  <c r="IL21" i="1"/>
  <c r="IL7" i="1"/>
  <c r="IL35" i="1"/>
  <c r="IL24" i="1"/>
  <c r="HS21" i="1"/>
  <c r="HS7" i="1"/>
  <c r="HS35" i="1"/>
  <c r="HS24" i="1"/>
  <c r="HS13" i="1" s="1"/>
  <c r="HY21" i="1"/>
  <c r="HY7" i="1"/>
  <c r="HY24" i="1"/>
  <c r="HY13" i="1" s="1"/>
  <c r="HY35" i="1"/>
  <c r="IE21" i="1"/>
  <c r="IE7" i="1"/>
  <c r="IE24" i="1"/>
  <c r="IE35" i="1"/>
  <c r="IR21" i="1"/>
  <c r="IK21" i="1"/>
  <c r="IO20" i="1"/>
  <c r="IK7" i="1"/>
  <c r="IK24" i="1"/>
  <c r="IK35" i="1"/>
  <c r="HW21" i="1"/>
  <c r="HW7" i="1"/>
  <c r="HW24" i="1"/>
  <c r="HW13" i="1" s="1"/>
  <c r="HW35" i="1"/>
  <c r="HR21" i="1"/>
  <c r="HR7" i="1"/>
  <c r="HR35" i="1"/>
  <c r="HR24" i="1"/>
  <c r="HR13" i="1" s="1"/>
  <c r="HX21" i="1"/>
  <c r="HX7" i="1"/>
  <c r="HX35" i="1"/>
  <c r="HX24" i="1"/>
  <c r="HX13" i="1" s="1"/>
  <c r="ID21" i="1"/>
  <c r="IH20" i="1"/>
  <c r="ID7" i="1"/>
  <c r="ID35" i="1"/>
  <c r="ID24" i="1"/>
  <c r="KY21" i="1"/>
  <c r="KY7" i="1"/>
  <c r="KY24" i="1"/>
  <c r="IB54" i="4"/>
  <c r="IQ35" i="4" l="1"/>
  <c r="IQ34" i="4"/>
  <c r="IQ51" i="4"/>
  <c r="IR53" i="4"/>
  <c r="AE35" i="4"/>
  <c r="AE34" i="4"/>
  <c r="AE51" i="4"/>
  <c r="IL13" i="1"/>
  <c r="IN13" i="1"/>
  <c r="IG13" i="1"/>
  <c r="ID13" i="1"/>
  <c r="IE13" i="1"/>
  <c r="IF13" i="1"/>
  <c r="IK13" i="1"/>
  <c r="IM13" i="1"/>
  <c r="HJ8" i="1"/>
  <c r="HK8" i="1"/>
  <c r="HL14" i="1"/>
  <c r="HK14" i="1"/>
  <c r="KY8" i="1"/>
  <c r="HL8" i="1"/>
  <c r="HJ14" i="1"/>
  <c r="FE74" i="4"/>
  <c r="DK117" i="5" s="1"/>
  <c r="FE93" i="4"/>
  <c r="DK116" i="5"/>
  <c r="FE81" i="4"/>
  <c r="FE105" i="4"/>
  <c r="DK100" i="5" s="1"/>
  <c r="DK103" i="5"/>
  <c r="AL20" i="1"/>
  <c r="IF95" i="29"/>
  <c r="AL95" i="29" s="1"/>
  <c r="AM20" i="1"/>
  <c r="IM95" i="29"/>
  <c r="AM95" i="29" s="1"/>
  <c r="HX131" i="29"/>
  <c r="HX95" i="29"/>
  <c r="HX92" i="29"/>
  <c r="AJ20" i="1"/>
  <c r="HR95" i="29"/>
  <c r="AJ95" i="29" s="1"/>
  <c r="HP27" i="29"/>
  <c r="IE27" i="29"/>
  <c r="HI27" i="29"/>
  <c r="IL27" i="29"/>
  <c r="IJ27" i="29"/>
  <c r="HW27" i="29"/>
  <c r="IG21" i="1"/>
  <c r="HX23" i="29"/>
  <c r="HX25" i="29"/>
  <c r="HX24" i="29"/>
  <c r="HX20" i="29"/>
  <c r="HX21" i="29"/>
  <c r="HX19" i="29"/>
  <c r="HX22" i="29"/>
  <c r="HQ27" i="29"/>
  <c r="HJ27" i="29"/>
  <c r="IB27" i="29"/>
  <c r="HU27" i="29"/>
  <c r="IC27" i="29"/>
  <c r="KW27" i="29"/>
  <c r="II27" i="29"/>
  <c r="HV27" i="29"/>
  <c r="HO27" i="29"/>
  <c r="HH27" i="29"/>
  <c r="IK27" i="29"/>
  <c r="HN27" i="29"/>
  <c r="ID27" i="29"/>
  <c r="GW97" i="29"/>
  <c r="AG97" i="29" s="1"/>
  <c r="GI97" i="29"/>
  <c r="AE97" i="29" s="1"/>
  <c r="GP97" i="29"/>
  <c r="AF97" i="29" s="1"/>
  <c r="HW8" i="1"/>
  <c r="CP113" i="5"/>
  <c r="CP116" i="5"/>
  <c r="CP103" i="5"/>
  <c r="CX113" i="5"/>
  <c r="CX116" i="5"/>
  <c r="CX103" i="5"/>
  <c r="CO113" i="5"/>
  <c r="CO116" i="5"/>
  <c r="CO103" i="5"/>
  <c r="DD103" i="5"/>
  <c r="DD113" i="5"/>
  <c r="DD116" i="5"/>
  <c r="DE113" i="5"/>
  <c r="DE116" i="5"/>
  <c r="DE103" i="5"/>
  <c r="DB113" i="5"/>
  <c r="DB116" i="5"/>
  <c r="DB103" i="5"/>
  <c r="DC103" i="5"/>
  <c r="DC113" i="5"/>
  <c r="DC116" i="5"/>
  <c r="CJ113" i="5"/>
  <c r="CJ116" i="5"/>
  <c r="CJ103" i="5"/>
  <c r="DI113" i="5"/>
  <c r="DI116" i="5"/>
  <c r="DI103" i="5"/>
  <c r="CI113" i="5"/>
  <c r="CI116" i="5"/>
  <c r="CI103" i="5"/>
  <c r="DJ113" i="5"/>
  <c r="DJ116" i="5"/>
  <c r="DJ103" i="5"/>
  <c r="CG113" i="5"/>
  <c r="CG116" i="5"/>
  <c r="CG103" i="5"/>
  <c r="CH113" i="5"/>
  <c r="CH116" i="5"/>
  <c r="CH103" i="5"/>
  <c r="CN103" i="5"/>
  <c r="CN113" i="5"/>
  <c r="CN116" i="5"/>
  <c r="FD93" i="4"/>
  <c r="FD105" i="4"/>
  <c r="DJ100" i="5" s="1"/>
  <c r="FD74" i="4"/>
  <c r="DJ117" i="5" s="1"/>
  <c r="FD81" i="4"/>
  <c r="HX14" i="1"/>
  <c r="HX8" i="1"/>
  <c r="HW14" i="1"/>
  <c r="HY14" i="1"/>
  <c r="HS14" i="1"/>
  <c r="HY8" i="1"/>
  <c r="HS8" i="1"/>
  <c r="EX81" i="4"/>
  <c r="EX74" i="4"/>
  <c r="DD117" i="5" s="1"/>
  <c r="EX105" i="4"/>
  <c r="DD100" i="5" s="1"/>
  <c r="EX93" i="4"/>
  <c r="IA20" i="1"/>
  <c r="HY95" i="29" s="1"/>
  <c r="AK95" i="29" s="1"/>
  <c r="EV105" i="4"/>
  <c r="DB100" i="5" s="1"/>
  <c r="EV93" i="4"/>
  <c r="EV81" i="4"/>
  <c r="EV74" i="4"/>
  <c r="DB117" i="5" s="1"/>
  <c r="EW74" i="4"/>
  <c r="DC117" i="5" s="1"/>
  <c r="EW93" i="4"/>
  <c r="EW81" i="4"/>
  <c r="EW105" i="4"/>
  <c r="DC100" i="5" s="1"/>
  <c r="FC81" i="4"/>
  <c r="FC105" i="4"/>
  <c r="DI100" i="5" s="1"/>
  <c r="FC74" i="4"/>
  <c r="DI117" i="5" s="1"/>
  <c r="FC93" i="4"/>
  <c r="IO21" i="1"/>
  <c r="AM21" i="1" s="1"/>
  <c r="EJ93" i="4"/>
  <c r="EJ81" i="4"/>
  <c r="EJ105" i="4"/>
  <c r="CP100" i="5" s="1"/>
  <c r="EJ74" i="4"/>
  <c r="CP117" i="5" s="1"/>
  <c r="HR14" i="1"/>
  <c r="EP69" i="4"/>
  <c r="EY74" i="4"/>
  <c r="DE117" i="5" s="1"/>
  <c r="EY105" i="4"/>
  <c r="DE100" i="5" s="1"/>
  <c r="EY81" i="4"/>
  <c r="EY93" i="4"/>
  <c r="EH81" i="4"/>
  <c r="EH93" i="4"/>
  <c r="EH105" i="4"/>
  <c r="CN100" i="5" s="1"/>
  <c r="EH74" i="4"/>
  <c r="CN117" i="5" s="1"/>
  <c r="EI74" i="4"/>
  <c r="CO117" i="5" s="1"/>
  <c r="EI93" i="4"/>
  <c r="EI105" i="4"/>
  <c r="CO100" i="5" s="1"/>
  <c r="EI81" i="4"/>
  <c r="HR8" i="1"/>
  <c r="IE8" i="1"/>
  <c r="IF8" i="1"/>
  <c r="EO69" i="4"/>
  <c r="ED81" i="4"/>
  <c r="ED105" i="4"/>
  <c r="CJ100" i="5" s="1"/>
  <c r="ED93" i="4"/>
  <c r="ED74" i="4"/>
  <c r="CJ117" i="5" s="1"/>
  <c r="EC93" i="4"/>
  <c r="EC74" i="4"/>
  <c r="CI117" i="5" s="1"/>
  <c r="EC105" i="4"/>
  <c r="CI100" i="5" s="1"/>
  <c r="EC81" i="4"/>
  <c r="ID8" i="1"/>
  <c r="EA93" i="4"/>
  <c r="EA74" i="4"/>
  <c r="CG117" i="5" s="1"/>
  <c r="EA105" i="4"/>
  <c r="CG100" i="5" s="1"/>
  <c r="EA81" i="4"/>
  <c r="EB74" i="4"/>
  <c r="CH117" i="5" s="1"/>
  <c r="EB93" i="4"/>
  <c r="EB81" i="4"/>
  <c r="EB105" i="4"/>
  <c r="CH100" i="5" s="1"/>
  <c r="EK69" i="4"/>
  <c r="EQ69" i="4"/>
  <c r="HQ14" i="1"/>
  <c r="HQ8" i="1"/>
  <c r="ER93" i="4"/>
  <c r="ER74" i="4"/>
  <c r="CX117" i="5" s="1"/>
  <c r="ER105" i="4"/>
  <c r="CX100" i="5" s="1"/>
  <c r="ER81" i="4"/>
  <c r="HI20" i="1"/>
  <c r="IR8" i="1"/>
  <c r="IK8" i="1"/>
  <c r="IS8" i="1"/>
  <c r="IL8" i="1"/>
  <c r="HZ21" i="1"/>
  <c r="HZ7" i="1"/>
  <c r="HZ24" i="1"/>
  <c r="HZ13" i="1" s="1"/>
  <c r="HZ35" i="1"/>
  <c r="IM8" i="1"/>
  <c r="IT8" i="1"/>
  <c r="IN8" i="1"/>
  <c r="IU8" i="1"/>
  <c r="HK97" i="29"/>
  <c r="AI97" i="29" s="1"/>
  <c r="HY97" i="29"/>
  <c r="AK97" i="29" s="1"/>
  <c r="IM97" i="29"/>
  <c r="AM97" i="29" s="1"/>
  <c r="IC54" i="4"/>
  <c r="IS53" i="4" l="1"/>
  <c r="IR51" i="4"/>
  <c r="IR34" i="4"/>
  <c r="IR35" i="4"/>
  <c r="IT14" i="1"/>
  <c r="IR14" i="1"/>
  <c r="IK14" i="1"/>
  <c r="HX36" i="4"/>
  <c r="GD30" i="5" s="1"/>
  <c r="IU14" i="1"/>
  <c r="IE14" i="1"/>
  <c r="IF14" i="1"/>
  <c r="IM14" i="1"/>
  <c r="ID14" i="1"/>
  <c r="IS14" i="1"/>
  <c r="IL14" i="1"/>
  <c r="IN14" i="1"/>
  <c r="HZ14" i="1"/>
  <c r="HZ8" i="1"/>
  <c r="GB97" i="29"/>
  <c r="AD97" i="29" s="1"/>
  <c r="HG131" i="29"/>
  <c r="HG95" i="29"/>
  <c r="HG92" i="29"/>
  <c r="HD97" i="29"/>
  <c r="AH97" i="29" s="1"/>
  <c r="HR97" i="29"/>
  <c r="AJ97" i="29" s="1"/>
  <c r="IF97" i="29"/>
  <c r="AL97" i="29" s="1"/>
  <c r="HX27" i="29"/>
  <c r="HG23" i="29"/>
  <c r="HG25" i="29"/>
  <c r="HG22" i="29"/>
  <c r="HG24" i="29"/>
  <c r="HG20" i="29"/>
  <c r="HG21" i="29"/>
  <c r="HG19" i="29"/>
  <c r="IA21" i="1"/>
  <c r="AK21" i="1" s="1"/>
  <c r="AK20" i="1"/>
  <c r="CW113" i="5"/>
  <c r="CW116" i="5"/>
  <c r="CW103" i="5"/>
  <c r="CU113" i="5"/>
  <c r="CU116" i="5"/>
  <c r="CU103" i="5"/>
  <c r="CV113" i="5"/>
  <c r="CV116" i="5"/>
  <c r="CV103" i="5"/>
  <c r="CQ113" i="5"/>
  <c r="CQ116" i="5"/>
  <c r="CQ103" i="5"/>
  <c r="IG14" i="1"/>
  <c r="EK93" i="4"/>
  <c r="EK81" i="4"/>
  <c r="EK105" i="4"/>
  <c r="CQ100" i="5" s="1"/>
  <c r="EK74" i="4"/>
  <c r="CQ117" i="5" s="1"/>
  <c r="EP81" i="4"/>
  <c r="EP74" i="4"/>
  <c r="CV117" i="5" s="1"/>
  <c r="EP105" i="4"/>
  <c r="CV100" i="5" s="1"/>
  <c r="EP93" i="4"/>
  <c r="DW69" i="4"/>
  <c r="DU69" i="4"/>
  <c r="DT69" i="4"/>
  <c r="DV69" i="4"/>
  <c r="HP21" i="1"/>
  <c r="EQ105" i="4"/>
  <c r="CW100" i="5" s="1"/>
  <c r="EQ74" i="4"/>
  <c r="CW117" i="5" s="1"/>
  <c r="EQ81" i="4"/>
  <c r="EQ93" i="4"/>
  <c r="IH21" i="1"/>
  <c r="AL21" i="1" s="1"/>
  <c r="EO74" i="4"/>
  <c r="CU117" i="5" s="1"/>
  <c r="EO105" i="4"/>
  <c r="CU100" i="5" s="1"/>
  <c r="EO81" i="4"/>
  <c r="EO93" i="4"/>
  <c r="IG8" i="1"/>
  <c r="HI21" i="1"/>
  <c r="HM20" i="1"/>
  <c r="HI7" i="1"/>
  <c r="HI35" i="1"/>
  <c r="HI24" i="1"/>
  <c r="HI13" i="1" s="1"/>
  <c r="ID54" i="4"/>
  <c r="IS35" i="4" l="1"/>
  <c r="IS34" i="4"/>
  <c r="IS51" i="4"/>
  <c r="IT53" i="4"/>
  <c r="HY36" i="4"/>
  <c r="GE30" i="5"/>
  <c r="W30" i="5" s="1"/>
  <c r="AI20" i="1"/>
  <c r="HK95" i="29"/>
  <c r="AI95" i="29" s="1"/>
  <c r="IT97" i="29"/>
  <c r="AN97" i="29" s="1"/>
  <c r="HG27" i="29"/>
  <c r="CB113" i="5"/>
  <c r="CB116" i="5"/>
  <c r="CB103" i="5"/>
  <c r="BZ113" i="5"/>
  <c r="BZ116" i="5"/>
  <c r="BZ103" i="5"/>
  <c r="CA113" i="5"/>
  <c r="CA116" i="5"/>
  <c r="CA103" i="5"/>
  <c r="CC113" i="5"/>
  <c r="CC116" i="5"/>
  <c r="CC103" i="5"/>
  <c r="HI8" i="1"/>
  <c r="HP8" i="1"/>
  <c r="DV74" i="4"/>
  <c r="CB117" i="5" s="1"/>
  <c r="DV81" i="4"/>
  <c r="DV105" i="4"/>
  <c r="CB100" i="5" s="1"/>
  <c r="DV93" i="4"/>
  <c r="HM21" i="1"/>
  <c r="AI21" i="1" s="1"/>
  <c r="HT21" i="1"/>
  <c r="AJ21" i="1" s="1"/>
  <c r="DT74" i="4"/>
  <c r="BZ117" i="5" s="1"/>
  <c r="DT105" i="4"/>
  <c r="BZ100" i="5" s="1"/>
  <c r="DT93" i="4"/>
  <c r="DT81" i="4"/>
  <c r="HI14" i="1"/>
  <c r="HP14" i="1"/>
  <c r="DW105" i="4"/>
  <c r="CC100" i="5" s="1"/>
  <c r="DW81" i="4"/>
  <c r="DW74" i="4"/>
  <c r="CC117" i="5" s="1"/>
  <c r="DW93" i="4"/>
  <c r="DU74" i="4"/>
  <c r="CA117" i="5" s="1"/>
  <c r="DU105" i="4"/>
  <c r="CA100" i="5" s="1"/>
  <c r="DU81" i="4"/>
  <c r="DU93" i="4"/>
  <c r="IE54" i="4"/>
  <c r="GA23" i="1"/>
  <c r="FY96" i="29" s="1"/>
  <c r="GH23" i="1"/>
  <c r="GF96" i="29" s="1"/>
  <c r="GN23" i="1"/>
  <c r="GL96" i="29" s="1"/>
  <c r="JQ53" i="1"/>
  <c r="JJ53" i="1"/>
  <c r="JC53" i="1"/>
  <c r="IV53" i="1"/>
  <c r="IO53" i="1"/>
  <c r="IH53" i="1"/>
  <c r="IA53" i="1"/>
  <c r="HT53" i="1"/>
  <c r="HM53" i="1"/>
  <c r="HF53" i="1"/>
  <c r="GY53" i="1"/>
  <c r="GR53" i="1"/>
  <c r="GK53" i="1"/>
  <c r="GD53" i="1"/>
  <c r="IT51" i="4" l="1"/>
  <c r="AF53" i="4"/>
  <c r="IT34" i="4"/>
  <c r="IT35" i="4"/>
  <c r="AC36" i="4"/>
  <c r="IB36" i="4"/>
  <c r="GN25" i="1"/>
  <c r="GN24" i="1"/>
  <c r="GN13" i="1" s="1"/>
  <c r="GU25" i="1"/>
  <c r="GH25" i="1"/>
  <c r="GH24" i="1"/>
  <c r="GH13" i="1" s="1"/>
  <c r="GO25" i="1"/>
  <c r="GA24" i="1"/>
  <c r="GA13" i="1" s="1"/>
  <c r="GA25" i="1"/>
  <c r="GQ13" i="1"/>
  <c r="IF54" i="4"/>
  <c r="II54" i="4" s="1"/>
  <c r="DB83" i="4"/>
  <c r="DB71" i="4"/>
  <c r="DB74" i="4" s="1"/>
  <c r="BH117" i="5" s="1"/>
  <c r="GN35" i="1"/>
  <c r="GA35" i="1"/>
  <c r="GH35" i="1"/>
  <c r="GQ35" i="1"/>
  <c r="DF83" i="4"/>
  <c r="DG71" i="4"/>
  <c r="DG74" i="4" s="1"/>
  <c r="BM117" i="5" s="1"/>
  <c r="DG83" i="4"/>
  <c r="DF71" i="4"/>
  <c r="DF74" i="4" s="1"/>
  <c r="BL117" i="5" s="1"/>
  <c r="DH83" i="4"/>
  <c r="DH71" i="4"/>
  <c r="DH74" i="4" s="1"/>
  <c r="BN117" i="5" s="1"/>
  <c r="GI23" i="1"/>
  <c r="GG96" i="29" s="1"/>
  <c r="GB23" i="1"/>
  <c r="FZ96" i="29" s="1"/>
  <c r="FZ23" i="1"/>
  <c r="FX96" i="29" s="1"/>
  <c r="GC23" i="1"/>
  <c r="GA96" i="29" s="1"/>
  <c r="GJ23" i="1"/>
  <c r="GH96" i="29" s="1"/>
  <c r="JQ56" i="1"/>
  <c r="AQ56" i="1" s="1"/>
  <c r="JJ56" i="1"/>
  <c r="AP56" i="1" s="1"/>
  <c r="JC56" i="1"/>
  <c r="AO56" i="1" s="1"/>
  <c r="IV56" i="1"/>
  <c r="AN56" i="1" s="1"/>
  <c r="IO56" i="1"/>
  <c r="AM56" i="1" s="1"/>
  <c r="IH56" i="1"/>
  <c r="AL56" i="1" s="1"/>
  <c r="IA56" i="1"/>
  <c r="AK56" i="1" s="1"/>
  <c r="HT56" i="1"/>
  <c r="AJ56" i="1" s="1"/>
  <c r="HM56" i="1"/>
  <c r="AI56" i="1" s="1"/>
  <c r="HF56" i="1"/>
  <c r="AH56" i="1" s="1"/>
  <c r="GY56" i="1"/>
  <c r="AG56" i="1" s="1"/>
  <c r="GR56" i="1"/>
  <c r="AF56" i="1" s="1"/>
  <c r="GK56" i="1"/>
  <c r="AE56" i="1" s="1"/>
  <c r="GD56" i="1"/>
  <c r="AD56" i="1" s="1"/>
  <c r="JQ33" i="1"/>
  <c r="JJ33" i="1"/>
  <c r="JC33" i="1"/>
  <c r="IV33" i="1"/>
  <c r="IO33" i="1"/>
  <c r="IH33" i="1"/>
  <c r="IA33" i="1"/>
  <c r="HT33" i="1"/>
  <c r="HM33" i="1"/>
  <c r="HF33" i="1"/>
  <c r="GY33" i="1"/>
  <c r="GR33" i="1"/>
  <c r="GK33" i="1"/>
  <c r="IV20" i="1"/>
  <c r="IT95" i="29" s="1"/>
  <c r="AN95" i="29" s="1"/>
  <c r="R159" i="5"/>
  <c r="P159" i="5"/>
  <c r="O159" i="5"/>
  <c r="N159" i="5"/>
  <c r="M159" i="5"/>
  <c r="L159" i="5"/>
  <c r="K159" i="5"/>
  <c r="J159" i="5"/>
  <c r="I159" i="5"/>
  <c r="H159" i="5"/>
  <c r="G159" i="5"/>
  <c r="F159" i="5"/>
  <c r="E159" i="5"/>
  <c r="D159" i="5"/>
  <c r="AU159" i="5"/>
  <c r="C159" i="5" s="1"/>
  <c r="AT159" i="5"/>
  <c r="AS159" i="5"/>
  <c r="AR159" i="5"/>
  <c r="AQ159" i="5"/>
  <c r="AF35" i="4" l="1"/>
  <c r="AF34" i="4"/>
  <c r="AF51" i="4"/>
  <c r="IC36" i="4"/>
  <c r="GH30" i="5"/>
  <c r="IJ54" i="4"/>
  <c r="AD54" i="4"/>
  <c r="GU14" i="1"/>
  <c r="GX14" i="1"/>
  <c r="GO14" i="1"/>
  <c r="AN33" i="1"/>
  <c r="AN13" i="29" s="1"/>
  <c r="IT25" i="29"/>
  <c r="AN25" i="29" s="1"/>
  <c r="IT13" i="29"/>
  <c r="JH25" i="29"/>
  <c r="AP25" i="29" s="1"/>
  <c r="JH13" i="29"/>
  <c r="AG33" i="1"/>
  <c r="AG13" i="29" s="1"/>
  <c r="GW25" i="29"/>
  <c r="AG25" i="29" s="1"/>
  <c r="GW13" i="29"/>
  <c r="AF33" i="1"/>
  <c r="AF13" i="29" s="1"/>
  <c r="GP25" i="29"/>
  <c r="AF25" i="29" s="1"/>
  <c r="GP13" i="29"/>
  <c r="AH33" i="1"/>
  <c r="AH13" i="29" s="1"/>
  <c r="HD13" i="29"/>
  <c r="HD25" i="29"/>
  <c r="AH25" i="29" s="1"/>
  <c r="AO33" i="1"/>
  <c r="AO13" i="29" s="1"/>
  <c r="JA13" i="29"/>
  <c r="AE33" i="1"/>
  <c r="AE13" i="29" s="1"/>
  <c r="GI25" i="29"/>
  <c r="AE25" i="29" s="1"/>
  <c r="GI13" i="29"/>
  <c r="AI33" i="1"/>
  <c r="AI13" i="29" s="1"/>
  <c r="HK25" i="29"/>
  <c r="AI25" i="29" s="1"/>
  <c r="HK13" i="29"/>
  <c r="AQ33" i="1"/>
  <c r="AQ13" i="29" s="1"/>
  <c r="JO13" i="29"/>
  <c r="AJ33" i="1"/>
  <c r="AJ13" i="29" s="1"/>
  <c r="HR25" i="29"/>
  <c r="AJ25" i="29" s="1"/>
  <c r="HR13" i="29"/>
  <c r="AK33" i="1"/>
  <c r="AK13" i="29" s="1"/>
  <c r="HY25" i="29"/>
  <c r="AK25" i="29" s="1"/>
  <c r="HY13" i="29"/>
  <c r="AL33" i="1"/>
  <c r="AL13" i="29" s="1"/>
  <c r="IF25" i="29"/>
  <c r="AL25" i="29" s="1"/>
  <c r="IF13" i="29"/>
  <c r="AM33" i="1"/>
  <c r="AM13" i="29" s="1"/>
  <c r="IM25" i="29"/>
  <c r="AM25" i="29" s="1"/>
  <c r="IM13" i="29"/>
  <c r="IV21" i="1"/>
  <c r="AN21" i="1" s="1"/>
  <c r="AN20" i="1"/>
  <c r="AP33" i="1"/>
  <c r="AP13" i="29" s="1"/>
  <c r="GN14" i="1"/>
  <c r="GH14" i="1"/>
  <c r="GJ25" i="1"/>
  <c r="GJ24" i="1"/>
  <c r="GJ13" i="1" s="1"/>
  <c r="GQ25" i="1"/>
  <c r="GC25" i="1"/>
  <c r="GC24" i="1"/>
  <c r="GC13" i="1" s="1"/>
  <c r="FZ25" i="1"/>
  <c r="GG25" i="1"/>
  <c r="GB25" i="1"/>
  <c r="GB24" i="1"/>
  <c r="GB13" i="1" s="1"/>
  <c r="GI25" i="1"/>
  <c r="GI24" i="1"/>
  <c r="GI13" i="1" s="1"/>
  <c r="GP25" i="1"/>
  <c r="GR7" i="1"/>
  <c r="AF7" i="1" s="1"/>
  <c r="GK7" i="1"/>
  <c r="AE7" i="1" s="1"/>
  <c r="IV7" i="1"/>
  <c r="AN7" i="1" s="1"/>
  <c r="IO7" i="1"/>
  <c r="AM7" i="1" s="1"/>
  <c r="IH7" i="1"/>
  <c r="AL7" i="1" s="1"/>
  <c r="IA7" i="1"/>
  <c r="AK7" i="1" s="1"/>
  <c r="HT7" i="1"/>
  <c r="AJ7" i="1" s="1"/>
  <c r="HM7" i="1"/>
  <c r="AI7" i="1" s="1"/>
  <c r="HF7" i="1"/>
  <c r="AH7" i="1" s="1"/>
  <c r="GY7" i="1"/>
  <c r="AG7" i="1" s="1"/>
  <c r="GC35" i="1"/>
  <c r="GJ35" i="1"/>
  <c r="GB35" i="1"/>
  <c r="GI35" i="1"/>
  <c r="CS83" i="4"/>
  <c r="CU83" i="4"/>
  <c r="CT83" i="4"/>
  <c r="CR83" i="4"/>
  <c r="CZ71" i="4"/>
  <c r="CZ74" i="4" s="1"/>
  <c r="BF117" i="5" s="1"/>
  <c r="CY83" i="4"/>
  <c r="CY71" i="4"/>
  <c r="CY74" i="4" s="1"/>
  <c r="BE117" i="5" s="1"/>
  <c r="CZ83" i="4"/>
  <c r="CR71" i="4"/>
  <c r="CR74" i="4" s="1"/>
  <c r="AX117" i="5" s="1"/>
  <c r="CS71" i="4"/>
  <c r="CS74" i="4" s="1"/>
  <c r="AY117" i="5" s="1"/>
  <c r="CT71" i="4"/>
  <c r="CT74" i="4" s="1"/>
  <c r="AZ117" i="5" s="1"/>
  <c r="CU71" i="4"/>
  <c r="CU74" i="4" s="1"/>
  <c r="BA117" i="5" s="1"/>
  <c r="DA83" i="4"/>
  <c r="DA71" i="4"/>
  <c r="DA74" i="4" s="1"/>
  <c r="BG117" i="5" s="1"/>
  <c r="FY72" i="4"/>
  <c r="FX84" i="4"/>
  <c r="FX106" i="4"/>
  <c r="ED110" i="5" s="1"/>
  <c r="FX72" i="4"/>
  <c r="FS106" i="4"/>
  <c r="DY110" i="5" s="1"/>
  <c r="FS84" i="4"/>
  <c r="FT106" i="4"/>
  <c r="DZ110" i="5" s="1"/>
  <c r="FT84" i="4"/>
  <c r="FL84" i="4"/>
  <c r="FL106" i="4"/>
  <c r="DR110" i="5" s="1"/>
  <c r="GE106" i="4"/>
  <c r="EK110" i="5" s="1"/>
  <c r="GE84" i="4"/>
  <c r="GA72" i="4"/>
  <c r="FZ106" i="4"/>
  <c r="EF110" i="5" s="1"/>
  <c r="FZ84" i="4"/>
  <c r="FZ72" i="4"/>
  <c r="GA106" i="4"/>
  <c r="EG110" i="5" s="1"/>
  <c r="GA84" i="4"/>
  <c r="FQ72" i="4"/>
  <c r="FQ106" i="4"/>
  <c r="DW110" i="5" s="1"/>
  <c r="FQ84" i="4"/>
  <c r="FR72" i="4"/>
  <c r="FR84" i="4"/>
  <c r="FR106" i="4"/>
  <c r="DX110" i="5" s="1"/>
  <c r="FK72" i="4"/>
  <c r="FJ106" i="4"/>
  <c r="DP110" i="5" s="1"/>
  <c r="FJ84" i="4"/>
  <c r="FJ72" i="4"/>
  <c r="FK106" i="4"/>
  <c r="DQ110" i="5" s="1"/>
  <c r="FK84" i="4"/>
  <c r="FE72" i="4"/>
  <c r="FE106" i="4"/>
  <c r="DK110" i="5" s="1"/>
  <c r="FE84" i="4"/>
  <c r="FF72" i="4"/>
  <c r="FF84" i="4"/>
  <c r="FF106" i="4"/>
  <c r="DL110" i="5" s="1"/>
  <c r="EY72" i="4"/>
  <c r="EX106" i="4"/>
  <c r="DD110" i="5" s="1"/>
  <c r="EX84" i="4"/>
  <c r="EX72" i="4"/>
  <c r="EY106" i="4"/>
  <c r="DE110" i="5" s="1"/>
  <c r="EY84" i="4"/>
  <c r="EO72" i="4"/>
  <c r="EO106" i="4"/>
  <c r="CU110" i="5" s="1"/>
  <c r="EO84" i="4"/>
  <c r="EP72" i="4"/>
  <c r="EP84" i="4"/>
  <c r="EP106" i="4"/>
  <c r="CV110" i="5" s="1"/>
  <c r="EI72" i="4"/>
  <c r="EH106" i="4"/>
  <c r="CN110" i="5" s="1"/>
  <c r="EH84" i="4"/>
  <c r="EH72" i="4"/>
  <c r="EI106" i="4"/>
  <c r="CO110" i="5" s="1"/>
  <c r="EI84" i="4"/>
  <c r="EC72" i="4"/>
  <c r="EC106" i="4"/>
  <c r="CI110" i="5" s="1"/>
  <c r="EC84" i="4"/>
  <c r="ED72" i="4"/>
  <c r="ED84" i="4"/>
  <c r="ED106" i="4"/>
  <c r="CJ110" i="5" s="1"/>
  <c r="DU72" i="4"/>
  <c r="DT84" i="4"/>
  <c r="DT106" i="4"/>
  <c r="BZ110" i="5" s="1"/>
  <c r="DT72" i="4"/>
  <c r="DU106" i="4"/>
  <c r="CA110" i="5" s="1"/>
  <c r="DU84" i="4"/>
  <c r="DM72" i="4"/>
  <c r="DM106" i="4"/>
  <c r="BS110" i="5" s="1"/>
  <c r="DM84" i="4"/>
  <c r="DN72" i="4"/>
  <c r="DN84" i="4"/>
  <c r="DN106" i="4"/>
  <c r="BT110" i="5" s="1"/>
  <c r="DG72" i="4"/>
  <c r="DF106" i="4"/>
  <c r="BL110" i="5" s="1"/>
  <c r="DF84" i="4"/>
  <c r="DF72" i="4"/>
  <c r="DG106" i="4"/>
  <c r="BM110" i="5" s="1"/>
  <c r="DG84" i="4"/>
  <c r="DG81" i="4"/>
  <c r="DH81" i="4"/>
  <c r="CS81" i="4"/>
  <c r="CY81" i="4"/>
  <c r="CZ81" i="4"/>
  <c r="DA81" i="4"/>
  <c r="FY106" i="4"/>
  <c r="EE110" i="5" s="1"/>
  <c r="FY84" i="4"/>
  <c r="FS72" i="4"/>
  <c r="FT72" i="4"/>
  <c r="FM72" i="4"/>
  <c r="FL72" i="4"/>
  <c r="FM106" i="4"/>
  <c r="DS110" i="5" s="1"/>
  <c r="FM84" i="4"/>
  <c r="FC72" i="4"/>
  <c r="FC106" i="4"/>
  <c r="DI110" i="5" s="1"/>
  <c r="FC84" i="4"/>
  <c r="FD72" i="4"/>
  <c r="FD106" i="4"/>
  <c r="DJ110" i="5" s="1"/>
  <c r="FD84" i="4"/>
  <c r="EW72" i="4"/>
  <c r="EV84" i="4"/>
  <c r="EV106" i="4"/>
  <c r="DB110" i="5" s="1"/>
  <c r="EV72" i="4"/>
  <c r="EW106" i="4"/>
  <c r="DC110" i="5" s="1"/>
  <c r="EW84" i="4"/>
  <c r="EQ72" i="4"/>
  <c r="EQ106" i="4"/>
  <c r="CW110" i="5" s="1"/>
  <c r="EQ84" i="4"/>
  <c r="ER72" i="4"/>
  <c r="ER106" i="4"/>
  <c r="CX110" i="5" s="1"/>
  <c r="ER84" i="4"/>
  <c r="EK72" i="4"/>
  <c r="EJ84" i="4"/>
  <c r="EJ106" i="4"/>
  <c r="CP110" i="5" s="1"/>
  <c r="EJ72" i="4"/>
  <c r="EK106" i="4"/>
  <c r="CQ110" i="5" s="1"/>
  <c r="EK84" i="4"/>
  <c r="EA72" i="4"/>
  <c r="EA106" i="4"/>
  <c r="CG110" i="5" s="1"/>
  <c r="EA84" i="4"/>
  <c r="EB72" i="4"/>
  <c r="EB106" i="4"/>
  <c r="CH110" i="5" s="1"/>
  <c r="EB84" i="4"/>
  <c r="DW72" i="4"/>
  <c r="DV106" i="4"/>
  <c r="CB110" i="5" s="1"/>
  <c r="DV84" i="4"/>
  <c r="DV72" i="4"/>
  <c r="DW106" i="4"/>
  <c r="CC110" i="5" s="1"/>
  <c r="DW84" i="4"/>
  <c r="DO72" i="4"/>
  <c r="DO106" i="4"/>
  <c r="BU110" i="5" s="1"/>
  <c r="DO84" i="4"/>
  <c r="DP72" i="4"/>
  <c r="DP106" i="4"/>
  <c r="BV110" i="5" s="1"/>
  <c r="DP84" i="4"/>
  <c r="DI72" i="4"/>
  <c r="DH84" i="4"/>
  <c r="DH106" i="4"/>
  <c r="BN110" i="5" s="1"/>
  <c r="DH72" i="4"/>
  <c r="DI106" i="4"/>
  <c r="BO110" i="5" s="1"/>
  <c r="DI84" i="4"/>
  <c r="DF81" i="4"/>
  <c r="CR81" i="4"/>
  <c r="CT81" i="4"/>
  <c r="CU81" i="4"/>
  <c r="DB81" i="4"/>
  <c r="EZ69" i="4"/>
  <c r="R69" i="4" s="1"/>
  <c r="EL69" i="4"/>
  <c r="P69" i="4" s="1"/>
  <c r="DX69" i="4"/>
  <c r="N69" i="4" s="1"/>
  <c r="CV69" i="4"/>
  <c r="J69" i="4" s="1"/>
  <c r="FG69" i="4"/>
  <c r="S69" i="4" s="1"/>
  <c r="ES69" i="4"/>
  <c r="Q69" i="4" s="1"/>
  <c r="EE69" i="4"/>
  <c r="O69" i="4" s="1"/>
  <c r="DQ69" i="4"/>
  <c r="M69" i="4" s="1"/>
  <c r="DC69" i="4"/>
  <c r="K69" i="4" s="1"/>
  <c r="DJ69" i="4"/>
  <c r="L69" i="4" s="1"/>
  <c r="GD46" i="1"/>
  <c r="GD57" i="1"/>
  <c r="AD57" i="1" s="1"/>
  <c r="GD38" i="1"/>
  <c r="AD38" i="1" s="1"/>
  <c r="GD40" i="1"/>
  <c r="GD32" i="1"/>
  <c r="GD31" i="1"/>
  <c r="GD30" i="1"/>
  <c r="GD29" i="1"/>
  <c r="GD28" i="1"/>
  <c r="GD27" i="1"/>
  <c r="GA43" i="1"/>
  <c r="GR46" i="1"/>
  <c r="AF46" i="1" s="1"/>
  <c r="GR57" i="1"/>
  <c r="AF57" i="1" s="1"/>
  <c r="GK57" i="1"/>
  <c r="AE57" i="1" s="1"/>
  <c r="GR40" i="1"/>
  <c r="AF40" i="1" s="1"/>
  <c r="GK40" i="1"/>
  <c r="AE40" i="1" s="1"/>
  <c r="GR32" i="1"/>
  <c r="GK32" i="1"/>
  <c r="GR31" i="1"/>
  <c r="GK31" i="1"/>
  <c r="GR30" i="1"/>
  <c r="GK30" i="1"/>
  <c r="GR29" i="1"/>
  <c r="GK29" i="1"/>
  <c r="GR28" i="1"/>
  <c r="GK28" i="1"/>
  <c r="GR27" i="1"/>
  <c r="GK27" i="1"/>
  <c r="GQ43" i="1"/>
  <c r="GP43" i="1"/>
  <c r="GO43" i="1"/>
  <c r="GN43" i="1"/>
  <c r="GH43" i="1"/>
  <c r="DJ95" i="4"/>
  <c r="GY57" i="1"/>
  <c r="AG57" i="1" s="1"/>
  <c r="GY38" i="1"/>
  <c r="AG38" i="1" s="1"/>
  <c r="GY40" i="1"/>
  <c r="AG40" i="1" s="1"/>
  <c r="GY32" i="1"/>
  <c r="GY31" i="1"/>
  <c r="GY30" i="1"/>
  <c r="GY29" i="1"/>
  <c r="GY28" i="1"/>
  <c r="GY27" i="1"/>
  <c r="GX43" i="1"/>
  <c r="GW43" i="1"/>
  <c r="GV43" i="1"/>
  <c r="EE28" i="5"/>
  <c r="DQ29" i="5"/>
  <c r="BM55" i="5"/>
  <c r="BM54" i="5"/>
  <c r="BM53" i="5"/>
  <c r="BM52" i="5"/>
  <c r="BM43" i="5"/>
  <c r="BM133" i="5" s="1"/>
  <c r="BM45" i="5"/>
  <c r="BM44" i="5"/>
  <c r="BM37" i="5"/>
  <c r="BM31" i="5"/>
  <c r="BM30" i="5"/>
  <c r="BM29" i="5"/>
  <c r="BM28" i="5"/>
  <c r="BM27" i="5"/>
  <c r="BM17" i="5"/>
  <c r="BM11" i="5"/>
  <c r="BM92" i="5" s="1"/>
  <c r="BM10" i="5"/>
  <c r="BM85" i="5" s="1"/>
  <c r="BM9" i="5"/>
  <c r="BL57" i="5"/>
  <c r="BL152" i="5" s="1"/>
  <c r="AR66" i="5"/>
  <c r="AS66" i="5"/>
  <c r="AT66" i="5"/>
  <c r="AX66" i="5"/>
  <c r="AY66" i="5"/>
  <c r="AZ66" i="5"/>
  <c r="BA66" i="5"/>
  <c r="BE66" i="5"/>
  <c r="BF66" i="5"/>
  <c r="BG66" i="5"/>
  <c r="BH66" i="5"/>
  <c r="BL66" i="5"/>
  <c r="BM66" i="5"/>
  <c r="BN66" i="5"/>
  <c r="BO66" i="5"/>
  <c r="BS66" i="5"/>
  <c r="BT66" i="5"/>
  <c r="BU66" i="5"/>
  <c r="BV66" i="5"/>
  <c r="BZ66" i="5"/>
  <c r="CA66" i="5"/>
  <c r="CB66" i="5"/>
  <c r="CC66" i="5"/>
  <c r="CG66" i="5"/>
  <c r="CH66" i="5"/>
  <c r="CI66" i="5"/>
  <c r="CJ66" i="5"/>
  <c r="CN66" i="5"/>
  <c r="CO66" i="5"/>
  <c r="CP66" i="5"/>
  <c r="CQ66" i="5"/>
  <c r="CU66" i="5"/>
  <c r="CV66" i="5"/>
  <c r="CW66" i="5"/>
  <c r="CX66" i="5"/>
  <c r="DB66" i="5"/>
  <c r="DC66" i="5"/>
  <c r="DD66" i="5"/>
  <c r="DE66" i="5"/>
  <c r="DI66" i="5"/>
  <c r="DJ66" i="5"/>
  <c r="DK66" i="5"/>
  <c r="DL66" i="5"/>
  <c r="DP66" i="5"/>
  <c r="DQ66" i="5"/>
  <c r="DR66" i="5"/>
  <c r="DS66" i="5"/>
  <c r="DW66" i="5"/>
  <c r="DX66" i="5"/>
  <c r="DY66" i="5"/>
  <c r="DZ66" i="5"/>
  <c r="ED66" i="5"/>
  <c r="EE66" i="5"/>
  <c r="EF66" i="5"/>
  <c r="EG66" i="5"/>
  <c r="AQ66" i="5"/>
  <c r="AU62" i="5"/>
  <c r="C62" i="5" s="1"/>
  <c r="AT56" i="5"/>
  <c r="AT55" i="5"/>
  <c r="GC98" i="1" s="1"/>
  <c r="AT41" i="5"/>
  <c r="AT38" i="5"/>
  <c r="AT24" i="5"/>
  <c r="AT23" i="5"/>
  <c r="AT22" i="5"/>
  <c r="AT20" i="5"/>
  <c r="AT19" i="5"/>
  <c r="AT18" i="5"/>
  <c r="AT16" i="5"/>
  <c r="AT15" i="5"/>
  <c r="AT14" i="5"/>
  <c r="BA56" i="5"/>
  <c r="BA41" i="5"/>
  <c r="BA40" i="5"/>
  <c r="BA39" i="5"/>
  <c r="BA38" i="5"/>
  <c r="BA24" i="5"/>
  <c r="BA23" i="5"/>
  <c r="BA22" i="5"/>
  <c r="BA21" i="5"/>
  <c r="BA20" i="5"/>
  <c r="BA19" i="5"/>
  <c r="BA18" i="5"/>
  <c r="BA16" i="5"/>
  <c r="AQ57" i="5"/>
  <c r="AX57" i="5"/>
  <c r="AX152" i="5" s="1"/>
  <c r="AR54" i="5"/>
  <c r="AS54" i="5" s="1"/>
  <c r="AR53" i="5"/>
  <c r="AS53" i="5" s="1"/>
  <c r="AR52" i="5"/>
  <c r="AS52" i="5" s="1"/>
  <c r="AR51" i="5"/>
  <c r="AS51" i="5" s="1"/>
  <c r="AR43" i="5"/>
  <c r="AR133" i="5" s="1"/>
  <c r="AR45" i="5"/>
  <c r="AS45" i="5" s="1"/>
  <c r="AR44" i="5"/>
  <c r="AR40" i="5"/>
  <c r="AS40" i="5" s="1"/>
  <c r="AR39" i="5"/>
  <c r="AR37" i="5"/>
  <c r="AR31" i="5"/>
  <c r="AS31" i="5" s="1"/>
  <c r="AR30" i="5"/>
  <c r="AS30" i="5" s="1"/>
  <c r="AR29" i="5"/>
  <c r="AS29" i="5" s="1"/>
  <c r="AR28" i="5"/>
  <c r="AS28" i="5" s="1"/>
  <c r="AR27" i="5"/>
  <c r="AS27" i="5" s="1"/>
  <c r="AR17" i="5"/>
  <c r="AS17" i="5" s="1"/>
  <c r="AR21" i="5"/>
  <c r="AS21" i="5" s="1"/>
  <c r="AR11" i="5"/>
  <c r="AR10" i="5"/>
  <c r="AR9" i="5"/>
  <c r="AS9" i="5" s="1"/>
  <c r="AY55" i="5"/>
  <c r="AY54" i="5"/>
  <c r="AY53" i="5"/>
  <c r="AZ53" i="5" s="1"/>
  <c r="AY52" i="5"/>
  <c r="AZ52" i="5" s="1"/>
  <c r="AY51" i="5"/>
  <c r="AZ51" i="5" s="1"/>
  <c r="AY43" i="5"/>
  <c r="AY45" i="5"/>
  <c r="AZ45" i="5" s="1"/>
  <c r="AY44" i="5"/>
  <c r="AY37" i="5"/>
  <c r="AY31" i="5"/>
  <c r="AZ31" i="5" s="1"/>
  <c r="AY30" i="5"/>
  <c r="AZ30" i="5" s="1"/>
  <c r="AY29" i="5"/>
  <c r="AZ29" i="5" s="1"/>
  <c r="AY28" i="5"/>
  <c r="AZ28" i="5" s="1"/>
  <c r="AY27" i="5"/>
  <c r="AZ27" i="5" s="1"/>
  <c r="AY17" i="5"/>
  <c r="AZ17" i="5" s="1"/>
  <c r="AY15" i="5"/>
  <c r="AY14" i="5"/>
  <c r="AY11" i="5"/>
  <c r="AY92" i="5" s="1"/>
  <c r="AY10" i="5"/>
  <c r="AY9" i="5"/>
  <c r="AZ9" i="5" s="1"/>
  <c r="AU57" i="5"/>
  <c r="AU43" i="5"/>
  <c r="ID36" i="4" l="1"/>
  <c r="GI30" i="5"/>
  <c r="IK54" i="4"/>
  <c r="BM149" i="5"/>
  <c r="BM150" i="5" s="1"/>
  <c r="GV98" i="1"/>
  <c r="BM122" i="5"/>
  <c r="AZ54" i="5"/>
  <c r="BA54" i="5" s="1"/>
  <c r="AY149" i="5"/>
  <c r="AY150" i="5" s="1"/>
  <c r="GH98" i="1"/>
  <c r="GI43" i="1"/>
  <c r="GQ14" i="1"/>
  <c r="GW91" i="29"/>
  <c r="GW88" i="29"/>
  <c r="AG88" i="29" s="1"/>
  <c r="GW130" i="29"/>
  <c r="GW120" i="29"/>
  <c r="AG120" i="29" s="1"/>
  <c r="GI91" i="29"/>
  <c r="GI88" i="29"/>
  <c r="AE88" i="29" s="1"/>
  <c r="GP88" i="29"/>
  <c r="AF88" i="29" s="1"/>
  <c r="GP91" i="29"/>
  <c r="GI120" i="29"/>
  <c r="AE120" i="29" s="1"/>
  <c r="GI130" i="29"/>
  <c r="GP120" i="29"/>
  <c r="AF120" i="29" s="1"/>
  <c r="GP130" i="29"/>
  <c r="GB91" i="29"/>
  <c r="GB88" i="29"/>
  <c r="AD88" i="29" s="1"/>
  <c r="GB120" i="29"/>
  <c r="AD120" i="29" s="1"/>
  <c r="GB130" i="29"/>
  <c r="GW24" i="29"/>
  <c r="AG24" i="29" s="1"/>
  <c r="GW12" i="29"/>
  <c r="GB8" i="29"/>
  <c r="GW23" i="29"/>
  <c r="AG23" i="29" s="1"/>
  <c r="GW11" i="29"/>
  <c r="AF28" i="1"/>
  <c r="AF8" i="29" s="1"/>
  <c r="GP20" i="29"/>
  <c r="AF20" i="29" s="1"/>
  <c r="GP8" i="29"/>
  <c r="AE28" i="1"/>
  <c r="AE8" i="29" s="1"/>
  <c r="GI20" i="29"/>
  <c r="AE20" i="29" s="1"/>
  <c r="GI8" i="29"/>
  <c r="GI9" i="29"/>
  <c r="GI21" i="29"/>
  <c r="AE21" i="29" s="1"/>
  <c r="GP21" i="29"/>
  <c r="AF21" i="29" s="1"/>
  <c r="GP9" i="29"/>
  <c r="GP22" i="29"/>
  <c r="AF22" i="29" s="1"/>
  <c r="GP10" i="29"/>
  <c r="AF27" i="1"/>
  <c r="AF7" i="29" s="1"/>
  <c r="GP19" i="29"/>
  <c r="GP7" i="29"/>
  <c r="GI22" i="29"/>
  <c r="AE22" i="29" s="1"/>
  <c r="GI10" i="29"/>
  <c r="AD27" i="1"/>
  <c r="AD7" i="29" s="1"/>
  <c r="GB7" i="29"/>
  <c r="GI23" i="29"/>
  <c r="AE23" i="29" s="1"/>
  <c r="GI11" i="29"/>
  <c r="GW7" i="29"/>
  <c r="GW19" i="29"/>
  <c r="GP23" i="29"/>
  <c r="AF23" i="29" s="1"/>
  <c r="GP11" i="29"/>
  <c r="AD30" i="1"/>
  <c r="AD10" i="29" s="1"/>
  <c r="GB10" i="29"/>
  <c r="AD31" i="1"/>
  <c r="AD11" i="29" s="1"/>
  <c r="GB11" i="29"/>
  <c r="GW9" i="29"/>
  <c r="GW21" i="29"/>
  <c r="AG21" i="29" s="1"/>
  <c r="GP24" i="29"/>
  <c r="AF24" i="29" s="1"/>
  <c r="GP12" i="29"/>
  <c r="AD32" i="1"/>
  <c r="AD12" i="29" s="1"/>
  <c r="GB12" i="29"/>
  <c r="AD29" i="1"/>
  <c r="AD9" i="29" s="1"/>
  <c r="GB9" i="29"/>
  <c r="AG28" i="1"/>
  <c r="AG8" i="29" s="1"/>
  <c r="GW8" i="29"/>
  <c r="GW20" i="29"/>
  <c r="AG20" i="29" s="1"/>
  <c r="GI24" i="29"/>
  <c r="AE24" i="29" s="1"/>
  <c r="GI12" i="29"/>
  <c r="GW10" i="29"/>
  <c r="GW22" i="29"/>
  <c r="AG22" i="29" s="1"/>
  <c r="AE27" i="1"/>
  <c r="AE7" i="29" s="1"/>
  <c r="GI7" i="29"/>
  <c r="GI19" i="29"/>
  <c r="CO95" i="4"/>
  <c r="I95" i="4" s="1"/>
  <c r="AD46" i="1"/>
  <c r="AG29" i="1"/>
  <c r="AG9" i="29" s="1"/>
  <c r="AF32" i="1"/>
  <c r="AF12" i="29" s="1"/>
  <c r="AG30" i="1"/>
  <c r="AG10" i="29" s="1"/>
  <c r="CO92" i="4"/>
  <c r="I92" i="4" s="1"/>
  <c r="AD40" i="1"/>
  <c r="AG31" i="1"/>
  <c r="AG11" i="29" s="1"/>
  <c r="AG27" i="1"/>
  <c r="AG7" i="29" s="1"/>
  <c r="AF31" i="1"/>
  <c r="AF11" i="29" s="1"/>
  <c r="AE32" i="1"/>
  <c r="AE12" i="29" s="1"/>
  <c r="AG32" i="1"/>
  <c r="AG12" i="29" s="1"/>
  <c r="AE29" i="1"/>
  <c r="AE9" i="29" s="1"/>
  <c r="AF29" i="1"/>
  <c r="AF9" i="29" s="1"/>
  <c r="AE30" i="1"/>
  <c r="AE10" i="29" s="1"/>
  <c r="AF30" i="1"/>
  <c r="AF10" i="29" s="1"/>
  <c r="CO80" i="4"/>
  <c r="I80" i="4" s="1"/>
  <c r="AD28" i="1"/>
  <c r="AD8" i="29" s="1"/>
  <c r="AE31" i="1"/>
  <c r="AE11" i="29" s="1"/>
  <c r="AU152" i="5"/>
  <c r="C152" i="5" s="1"/>
  <c r="C57" i="5"/>
  <c r="AU133" i="5"/>
  <c r="C133" i="5" s="1"/>
  <c r="C43" i="5"/>
  <c r="BP94" i="5"/>
  <c r="F94" i="5" s="1"/>
  <c r="L95" i="4"/>
  <c r="DC95" i="4"/>
  <c r="CV95" i="4"/>
  <c r="GJ14" i="1"/>
  <c r="GR8" i="1"/>
  <c r="AF8" i="1" s="1"/>
  <c r="GY8" i="1"/>
  <c r="AG8" i="1" s="1"/>
  <c r="HT8" i="1"/>
  <c r="AJ8" i="1" s="1"/>
  <c r="BM130" i="5"/>
  <c r="BM131" i="5" s="1"/>
  <c r="AT149" i="5"/>
  <c r="AT150" i="5" s="1"/>
  <c r="AU150" i="5" s="1"/>
  <c r="C150" i="5" s="1"/>
  <c r="BA127" i="5"/>
  <c r="BA128" i="5" s="1"/>
  <c r="BB128" i="5" s="1"/>
  <c r="D128" i="5" s="1"/>
  <c r="GI14" i="1"/>
  <c r="GP14" i="1"/>
  <c r="IA8" i="1"/>
  <c r="AK8" i="1" s="1"/>
  <c r="IH8" i="1"/>
  <c r="AL8" i="1" s="1"/>
  <c r="IO8" i="1"/>
  <c r="AM8" i="1" s="1"/>
  <c r="HF8" i="1"/>
  <c r="AH8" i="1" s="1"/>
  <c r="IV8" i="1"/>
  <c r="AN8" i="1" s="1"/>
  <c r="HM8" i="1"/>
  <c r="AI8" i="1" s="1"/>
  <c r="DJ92" i="4"/>
  <c r="CV92" i="4"/>
  <c r="DC92" i="4"/>
  <c r="AZ10" i="5"/>
  <c r="AZ85" i="5" s="1"/>
  <c r="AY85" i="5"/>
  <c r="AZ37" i="5"/>
  <c r="AY122" i="5"/>
  <c r="AZ44" i="5"/>
  <c r="AZ130" i="5" s="1"/>
  <c r="AY130" i="5"/>
  <c r="AZ43" i="5"/>
  <c r="AZ133" i="5" s="1"/>
  <c r="AY133" i="5"/>
  <c r="AS10" i="5"/>
  <c r="AS85" i="5" s="1"/>
  <c r="AR85" i="5"/>
  <c r="AS11" i="5"/>
  <c r="AS92" i="5" s="1"/>
  <c r="AR92" i="5"/>
  <c r="AS37" i="5"/>
  <c r="AS122" i="5" s="1"/>
  <c r="AR122" i="5"/>
  <c r="AS39" i="5"/>
  <c r="AS127" i="5" s="1"/>
  <c r="AR127" i="5"/>
  <c r="AS44" i="5"/>
  <c r="AS130" i="5" s="1"/>
  <c r="AR130" i="5"/>
  <c r="AR134" i="5"/>
  <c r="AX153" i="5"/>
  <c r="AR57" i="5"/>
  <c r="AR152" i="5" s="1"/>
  <c r="AQ152" i="5"/>
  <c r="BL153" i="5"/>
  <c r="BM86" i="5"/>
  <c r="BM134" i="5"/>
  <c r="BP89" i="5"/>
  <c r="F89" i="5" s="1"/>
  <c r="BP124" i="5"/>
  <c r="F124" i="5" s="1"/>
  <c r="BI89" i="5"/>
  <c r="E89" i="5" s="1"/>
  <c r="BI124" i="5"/>
  <c r="E124" i="5" s="1"/>
  <c r="BW89" i="5"/>
  <c r="G89" i="5" s="1"/>
  <c r="BW124" i="5"/>
  <c r="G124" i="5" s="1"/>
  <c r="CK89" i="5"/>
  <c r="I89" i="5" s="1"/>
  <c r="CK124" i="5"/>
  <c r="CY89" i="5"/>
  <c r="K89" i="5" s="1"/>
  <c r="CY124" i="5"/>
  <c r="DM89" i="5"/>
  <c r="M89" i="5" s="1"/>
  <c r="DM124" i="5"/>
  <c r="BB89" i="5"/>
  <c r="D89" i="5" s="1"/>
  <c r="BB124" i="5"/>
  <c r="D124" i="5" s="1"/>
  <c r="CD124" i="5"/>
  <c r="CD89" i="5"/>
  <c r="H89" i="5" s="1"/>
  <c r="CR89" i="5"/>
  <c r="J89" i="5" s="1"/>
  <c r="CR124" i="5"/>
  <c r="DF89" i="5"/>
  <c r="L89" i="5" s="1"/>
  <c r="DF124" i="5"/>
  <c r="L124" i="5" s="1"/>
  <c r="DJ80" i="4"/>
  <c r="CV80" i="4"/>
  <c r="DC80" i="4"/>
  <c r="AU59" i="5"/>
  <c r="C59" i="5" s="1"/>
  <c r="AY57" i="5"/>
  <c r="AX59" i="5"/>
  <c r="AQ59" i="5"/>
  <c r="BM57" i="5"/>
  <c r="BM152" i="5" s="1"/>
  <c r="BM153" i="5" s="1"/>
  <c r="BL59" i="5"/>
  <c r="AZ55" i="5"/>
  <c r="AS43" i="5"/>
  <c r="AS133" i="5" s="1"/>
  <c r="GJ43" i="1"/>
  <c r="GJ49" i="1" s="1"/>
  <c r="GB43" i="1"/>
  <c r="GB47" i="1" s="1"/>
  <c r="BA45" i="5"/>
  <c r="BA53" i="5"/>
  <c r="AT52" i="5"/>
  <c r="GK23" i="1"/>
  <c r="GI96" i="29" s="1"/>
  <c r="AE96" i="29" s="1"/>
  <c r="AT27" i="5"/>
  <c r="AT29" i="5"/>
  <c r="AT31" i="5"/>
  <c r="AT54" i="5"/>
  <c r="AX174" i="5" s="1"/>
  <c r="AX77" i="5" s="1"/>
  <c r="BA51" i="5"/>
  <c r="AZ11" i="5"/>
  <c r="AZ92" i="5" s="1"/>
  <c r="BA52" i="5"/>
  <c r="AT40" i="5"/>
  <c r="AT45" i="5"/>
  <c r="AT51" i="5"/>
  <c r="AT53" i="5"/>
  <c r="BA30" i="5"/>
  <c r="BA31" i="5"/>
  <c r="AT28" i="5"/>
  <c r="AT30" i="5"/>
  <c r="BA27" i="5"/>
  <c r="BA28" i="5"/>
  <c r="BA29" i="5"/>
  <c r="AT21" i="5"/>
  <c r="AZ14" i="5"/>
  <c r="BA14" i="5" s="1"/>
  <c r="AT17" i="5"/>
  <c r="GY23" i="1"/>
  <c r="GD23" i="1"/>
  <c r="GC43" i="1"/>
  <c r="GC47" i="1" s="1"/>
  <c r="GR23" i="1"/>
  <c r="GP96" i="29" s="1"/>
  <c r="AF96" i="29" s="1"/>
  <c r="CU106" i="4"/>
  <c r="BA110" i="5" s="1"/>
  <c r="CU84" i="4"/>
  <c r="DW75" i="4"/>
  <c r="CT72" i="4"/>
  <c r="CU72" i="4"/>
  <c r="DH75" i="4"/>
  <c r="DP75" i="4"/>
  <c r="DO75" i="4"/>
  <c r="DV75" i="4"/>
  <c r="EA75" i="4"/>
  <c r="EJ75" i="4"/>
  <c r="EV75" i="4"/>
  <c r="EW75" i="4"/>
  <c r="FC75" i="4"/>
  <c r="FL75" i="4"/>
  <c r="FT75" i="4"/>
  <c r="FS75" i="4"/>
  <c r="CY72" i="4"/>
  <c r="CY106" i="4"/>
  <c r="BE110" i="5" s="1"/>
  <c r="CY84" i="4"/>
  <c r="CZ72" i="4"/>
  <c r="CZ106" i="4"/>
  <c r="BF110" i="5" s="1"/>
  <c r="CZ84" i="4"/>
  <c r="CR72" i="4"/>
  <c r="CS72" i="4"/>
  <c r="DG75" i="4"/>
  <c r="DM75" i="4"/>
  <c r="DT75" i="4"/>
  <c r="DU75" i="4"/>
  <c r="EH75" i="4"/>
  <c r="EI75" i="4"/>
  <c r="EP75" i="4"/>
  <c r="EY75" i="4"/>
  <c r="FJ75" i="4"/>
  <c r="FK75" i="4"/>
  <c r="FR75" i="4"/>
  <c r="GA75" i="4"/>
  <c r="FX75" i="4"/>
  <c r="FY75" i="4"/>
  <c r="CT106" i="4"/>
  <c r="AZ110" i="5" s="1"/>
  <c r="CT84" i="4"/>
  <c r="DI75" i="4"/>
  <c r="EB75" i="4"/>
  <c r="EK75" i="4"/>
  <c r="ER75" i="4"/>
  <c r="EQ75" i="4"/>
  <c r="FD75" i="4"/>
  <c r="FM75" i="4"/>
  <c r="DA72" i="4"/>
  <c r="DA106" i="4"/>
  <c r="BG110" i="5" s="1"/>
  <c r="DA84" i="4"/>
  <c r="DB72" i="4"/>
  <c r="DB84" i="4"/>
  <c r="DB106" i="4"/>
  <c r="BH110" i="5" s="1"/>
  <c r="CR106" i="4"/>
  <c r="AX110" i="5" s="1"/>
  <c r="CR84" i="4"/>
  <c r="CS106" i="4"/>
  <c r="AY110" i="5" s="1"/>
  <c r="CS84" i="4"/>
  <c r="DF75" i="4"/>
  <c r="DN75" i="4"/>
  <c r="ED75" i="4"/>
  <c r="EC75" i="4"/>
  <c r="EO75" i="4"/>
  <c r="EX75" i="4"/>
  <c r="FF75" i="4"/>
  <c r="FE75" i="4"/>
  <c r="FQ75" i="4"/>
  <c r="FZ75" i="4"/>
  <c r="DC78" i="4"/>
  <c r="K78" i="4" s="1"/>
  <c r="DC101" i="4"/>
  <c r="K101" i="4" s="1"/>
  <c r="ES101" i="4"/>
  <c r="Q101" i="4" s="1"/>
  <c r="ES78" i="4"/>
  <c r="Q78" i="4" s="1"/>
  <c r="DX101" i="4"/>
  <c r="N101" i="4" s="1"/>
  <c r="DX78" i="4"/>
  <c r="N78" i="4" s="1"/>
  <c r="EZ101" i="4"/>
  <c r="R101" i="4" s="1"/>
  <c r="EZ78" i="4"/>
  <c r="R78" i="4" s="1"/>
  <c r="DJ78" i="4"/>
  <c r="L78" i="4" s="1"/>
  <c r="DJ101" i="4"/>
  <c r="L101" i="4" s="1"/>
  <c r="DQ101" i="4"/>
  <c r="M101" i="4" s="1"/>
  <c r="DQ78" i="4"/>
  <c r="M78" i="4" s="1"/>
  <c r="EE78" i="4"/>
  <c r="O78" i="4" s="1"/>
  <c r="EE101" i="4"/>
  <c r="O101" i="4" s="1"/>
  <c r="FG78" i="4"/>
  <c r="S78" i="4" s="1"/>
  <c r="FG101" i="4"/>
  <c r="S101" i="4" s="1"/>
  <c r="CV101" i="4"/>
  <c r="J101" i="4" s="1"/>
  <c r="CV78" i="4"/>
  <c r="J78" i="4" s="1"/>
  <c r="EL78" i="4"/>
  <c r="P78" i="4" s="1"/>
  <c r="EL101" i="4"/>
  <c r="P101" i="4" s="1"/>
  <c r="GV47" i="1"/>
  <c r="GV36" i="1"/>
  <c r="GH49" i="1"/>
  <c r="GH36" i="1"/>
  <c r="GW47" i="1"/>
  <c r="GW36" i="1"/>
  <c r="GI36" i="1"/>
  <c r="GJ36" i="1"/>
  <c r="GO36" i="1"/>
  <c r="GX36" i="1"/>
  <c r="GP36" i="1"/>
  <c r="GQ36" i="1"/>
  <c r="AT9" i="5"/>
  <c r="AZ15" i="5"/>
  <c r="BA15" i="5" s="1"/>
  <c r="BA9" i="5"/>
  <c r="BA17" i="5"/>
  <c r="GG43" i="1"/>
  <c r="GA49" i="1"/>
  <c r="BE57" i="5"/>
  <c r="BE43" i="5"/>
  <c r="BE133" i="5" s="1"/>
  <c r="BE17" i="5"/>
  <c r="BE13" i="5" s="1"/>
  <c r="BF55" i="5"/>
  <c r="BF54" i="5"/>
  <c r="BF53" i="5"/>
  <c r="BG53" i="5" s="1"/>
  <c r="BH53" i="5" s="1"/>
  <c r="BF52" i="5"/>
  <c r="BG52" i="5" s="1"/>
  <c r="BF51" i="5"/>
  <c r="BF45" i="5"/>
  <c r="BF44" i="5"/>
  <c r="BF37" i="5"/>
  <c r="BF31" i="5"/>
  <c r="BG31" i="5" s="1"/>
  <c r="BH31" i="5" s="1"/>
  <c r="BF30" i="5"/>
  <c r="BF29" i="5"/>
  <c r="BG29" i="5" s="1"/>
  <c r="BH29" i="5" s="1"/>
  <c r="BF28" i="5"/>
  <c r="BG28" i="5" s="1"/>
  <c r="BH28" i="5" s="1"/>
  <c r="BF27" i="5"/>
  <c r="BF11" i="5"/>
  <c r="BF92" i="5" s="1"/>
  <c r="BF10" i="5"/>
  <c r="BF9" i="5"/>
  <c r="BG9" i="5" s="1"/>
  <c r="BH9" i="5" s="1"/>
  <c r="BI57" i="5"/>
  <c r="BG23" i="5"/>
  <c r="BH23" i="5" s="1"/>
  <c r="BB57" i="5"/>
  <c r="AU47" i="5"/>
  <c r="C47" i="5" s="1"/>
  <c r="AR47" i="5"/>
  <c r="AQ47" i="5"/>
  <c r="AU26" i="5"/>
  <c r="AS26" i="5"/>
  <c r="AR26" i="5"/>
  <c r="AQ26" i="5"/>
  <c r="AU13" i="5"/>
  <c r="C13" i="5" s="1"/>
  <c r="AS13" i="5"/>
  <c r="AR13" i="5"/>
  <c r="AQ13" i="5"/>
  <c r="BH56" i="5"/>
  <c r="BH41" i="5"/>
  <c r="BH40" i="5"/>
  <c r="BH39" i="5"/>
  <c r="BH38" i="5"/>
  <c r="BH24" i="5"/>
  <c r="BH22" i="5"/>
  <c r="BH21" i="5"/>
  <c r="BH20" i="5"/>
  <c r="BH19" i="5"/>
  <c r="BH18" i="5"/>
  <c r="BH16" i="5"/>
  <c r="BH15" i="5"/>
  <c r="BH14" i="5"/>
  <c r="BO56" i="5"/>
  <c r="BO41" i="5"/>
  <c r="BO40" i="5"/>
  <c r="BO39" i="5"/>
  <c r="BO38" i="5"/>
  <c r="BO24" i="5"/>
  <c r="BO23" i="5"/>
  <c r="BO22" i="5"/>
  <c r="BO21" i="5"/>
  <c r="BO20" i="5"/>
  <c r="BO18" i="5"/>
  <c r="BO16" i="5"/>
  <c r="BO15" i="5"/>
  <c r="BO14" i="5"/>
  <c r="BN52" i="5"/>
  <c r="BN29" i="5"/>
  <c r="BN31" i="5"/>
  <c r="BN11" i="5"/>
  <c r="BN92" i="5" s="1"/>
  <c r="BN10" i="5"/>
  <c r="BN85" i="5" s="1"/>
  <c r="BN55" i="5"/>
  <c r="BN53" i="5"/>
  <c r="BN43" i="5"/>
  <c r="BN133" i="5" s="1"/>
  <c r="BN45" i="5"/>
  <c r="BO45" i="5" s="1"/>
  <c r="BN44" i="5"/>
  <c r="BN27" i="5"/>
  <c r="BN19" i="5"/>
  <c r="BO19" i="5" s="1"/>
  <c r="BN9" i="5"/>
  <c r="BV55" i="5"/>
  <c r="BV45" i="5"/>
  <c r="BV44" i="5"/>
  <c r="BV41" i="5"/>
  <c r="BV40" i="5"/>
  <c r="BV39" i="5"/>
  <c r="BV38" i="5"/>
  <c r="BV24" i="5"/>
  <c r="BV23" i="5"/>
  <c r="BV22" i="5"/>
  <c r="BV21" i="5"/>
  <c r="BV20" i="5"/>
  <c r="BV18" i="5"/>
  <c r="BV16" i="5"/>
  <c r="BV15" i="5"/>
  <c r="BV14" i="5"/>
  <c r="BS57" i="5"/>
  <c r="BS152" i="5" s="1"/>
  <c r="BT54" i="5"/>
  <c r="BT53" i="5"/>
  <c r="BU53" i="5" s="1"/>
  <c r="BT52" i="5"/>
  <c r="BT43" i="5"/>
  <c r="BT133" i="5" s="1"/>
  <c r="BT37" i="5"/>
  <c r="BT31" i="5"/>
  <c r="BU31" i="5" s="1"/>
  <c r="BT30" i="5"/>
  <c r="BT29" i="5"/>
  <c r="BU29" i="5" s="1"/>
  <c r="BT28" i="5"/>
  <c r="BU28" i="5" s="1"/>
  <c r="BT27" i="5"/>
  <c r="BU27" i="5" s="1"/>
  <c r="BT17" i="5"/>
  <c r="BT11" i="5"/>
  <c r="BT92" i="5" s="1"/>
  <c r="BT10" i="5"/>
  <c r="BT9" i="5"/>
  <c r="BU9" i="5" s="1"/>
  <c r="BV56" i="5"/>
  <c r="BU19" i="5"/>
  <c r="BV19" i="5" s="1"/>
  <c r="BP57" i="5"/>
  <c r="CC56" i="5"/>
  <c r="CC52" i="5"/>
  <c r="CC45" i="5"/>
  <c r="CC44" i="5"/>
  <c r="CC41" i="5"/>
  <c r="CC40" i="5"/>
  <c r="CC39" i="5"/>
  <c r="CC38" i="5"/>
  <c r="CC24" i="5"/>
  <c r="CC23" i="5"/>
  <c r="CC22" i="5"/>
  <c r="CC21" i="5"/>
  <c r="CC20" i="5"/>
  <c r="CC19" i="5"/>
  <c r="CC18" i="5"/>
  <c r="CC16" i="5"/>
  <c r="CC15" i="5"/>
  <c r="CC14" i="5"/>
  <c r="CJ56" i="5"/>
  <c r="CJ41" i="5"/>
  <c r="CJ40" i="5"/>
  <c r="CJ39" i="5"/>
  <c r="CJ38" i="5"/>
  <c r="CJ24" i="5"/>
  <c r="CJ23" i="5"/>
  <c r="CJ22" i="5"/>
  <c r="CJ21" i="5"/>
  <c r="CJ20" i="5"/>
  <c r="CJ19" i="5"/>
  <c r="CJ18" i="5"/>
  <c r="CJ16" i="5"/>
  <c r="CJ15" i="5"/>
  <c r="CJ14" i="5"/>
  <c r="BZ57" i="5"/>
  <c r="CA55" i="5"/>
  <c r="CA54" i="5"/>
  <c r="CA53" i="5"/>
  <c r="CB53" i="5" s="1"/>
  <c r="CA43" i="5"/>
  <c r="CA133" i="5" s="1"/>
  <c r="CA37" i="5"/>
  <c r="CA31" i="5"/>
  <c r="CB31" i="5" s="1"/>
  <c r="CA30" i="5"/>
  <c r="CB30" i="5" s="1"/>
  <c r="CA29" i="5"/>
  <c r="CB29" i="5" s="1"/>
  <c r="CA28" i="5"/>
  <c r="CB28" i="5" s="1"/>
  <c r="CA27" i="5"/>
  <c r="CB27" i="5" s="1"/>
  <c r="CA17" i="5"/>
  <c r="CB17" i="5" s="1"/>
  <c r="CA11" i="5"/>
  <c r="CA92" i="5" s="1"/>
  <c r="CA10" i="5"/>
  <c r="CA9" i="5"/>
  <c r="CB9" i="5" s="1"/>
  <c r="BW57" i="5"/>
  <c r="CG57" i="5"/>
  <c r="CH55" i="5"/>
  <c r="CH54" i="5"/>
  <c r="CH53" i="5"/>
  <c r="CI53" i="5" s="1"/>
  <c r="CH52" i="5"/>
  <c r="CH43" i="5"/>
  <c r="CH133" i="5" s="1"/>
  <c r="CH45" i="5"/>
  <c r="CI45" i="5" s="1"/>
  <c r="CJ45" i="5" s="1"/>
  <c r="CH44" i="5"/>
  <c r="CH37" i="5"/>
  <c r="CH31" i="5"/>
  <c r="CH30" i="5"/>
  <c r="CI30" i="5" s="1"/>
  <c r="CH29" i="5"/>
  <c r="CI29" i="5" s="1"/>
  <c r="CH28" i="5"/>
  <c r="CI28" i="5" s="1"/>
  <c r="CH27" i="5"/>
  <c r="CH17" i="5"/>
  <c r="CI17" i="5" s="1"/>
  <c r="CH11" i="5"/>
  <c r="CH92" i="5" s="1"/>
  <c r="CH10" i="5"/>
  <c r="CH9" i="5"/>
  <c r="CI9" i="5" s="1"/>
  <c r="CD57" i="5"/>
  <c r="BI47" i="5"/>
  <c r="E47" i="5" s="1"/>
  <c r="BB47" i="5"/>
  <c r="D47" i="5" s="1"/>
  <c r="AY47" i="5"/>
  <c r="AX47" i="5"/>
  <c r="BI26" i="5"/>
  <c r="BE26" i="5"/>
  <c r="BB26" i="5"/>
  <c r="AZ26" i="5"/>
  <c r="AY26" i="5"/>
  <c r="AX26" i="5"/>
  <c r="BI13" i="5"/>
  <c r="E13" i="5" s="1"/>
  <c r="BB13" i="5"/>
  <c r="D13" i="5" s="1"/>
  <c r="AY13" i="5"/>
  <c r="AX13" i="5"/>
  <c r="BP47" i="5"/>
  <c r="F47" i="5" s="1"/>
  <c r="BL47" i="5"/>
  <c r="BP26" i="5"/>
  <c r="BL26" i="5"/>
  <c r="BP13" i="5"/>
  <c r="F13" i="5" s="1"/>
  <c r="BL13" i="5"/>
  <c r="CQ56" i="5"/>
  <c r="CQ41" i="5"/>
  <c r="CQ40" i="5"/>
  <c r="CQ39" i="5"/>
  <c r="CQ38" i="5"/>
  <c r="CQ24" i="5"/>
  <c r="CQ23" i="5"/>
  <c r="CQ22" i="5"/>
  <c r="CQ21" i="5"/>
  <c r="CQ20" i="5"/>
  <c r="CQ16" i="5"/>
  <c r="CQ15" i="5"/>
  <c r="CQ14" i="5"/>
  <c r="CX56" i="5"/>
  <c r="CX52" i="5"/>
  <c r="CX41" i="5"/>
  <c r="CX40" i="5"/>
  <c r="CX39" i="5"/>
  <c r="CX38" i="5"/>
  <c r="CX24" i="5"/>
  <c r="CX23" i="5"/>
  <c r="CX22" i="5"/>
  <c r="CX21" i="5"/>
  <c r="CX20" i="5"/>
  <c r="CX19" i="5"/>
  <c r="CX16" i="5"/>
  <c r="CX15" i="5"/>
  <c r="CX14" i="5"/>
  <c r="DE56" i="5"/>
  <c r="DE41" i="5"/>
  <c r="DE40" i="5"/>
  <c r="DE39" i="5"/>
  <c r="DE24" i="5"/>
  <c r="DE23" i="5"/>
  <c r="DE22" i="5"/>
  <c r="DE21" i="5"/>
  <c r="DE20" i="5"/>
  <c r="DE19" i="5"/>
  <c r="DE16" i="5"/>
  <c r="DE15" i="5"/>
  <c r="DE14" i="5"/>
  <c r="DL56" i="5"/>
  <c r="DL41" i="5"/>
  <c r="DL40" i="5"/>
  <c r="DL39" i="5"/>
  <c r="DL24" i="5"/>
  <c r="DL23" i="5"/>
  <c r="DL22" i="5"/>
  <c r="DL21" i="5"/>
  <c r="DL20" i="5"/>
  <c r="DL19" i="5"/>
  <c r="DL16" i="5"/>
  <c r="DL15" i="5"/>
  <c r="DL14" i="5"/>
  <c r="DS56" i="5"/>
  <c r="DS52" i="5"/>
  <c r="DS41" i="5"/>
  <c r="DS40" i="5"/>
  <c r="DS39" i="5"/>
  <c r="DS38" i="5"/>
  <c r="DS24" i="5"/>
  <c r="DS23" i="5"/>
  <c r="DS22" i="5"/>
  <c r="DS21" i="5"/>
  <c r="DS20" i="5"/>
  <c r="DS19" i="5"/>
  <c r="DS18" i="5"/>
  <c r="DS16" i="5"/>
  <c r="DS15" i="5"/>
  <c r="DS14" i="5"/>
  <c r="CN57" i="5"/>
  <c r="CN152" i="5" s="1"/>
  <c r="CO55" i="5"/>
  <c r="CO54" i="5"/>
  <c r="CO53" i="5"/>
  <c r="CP53" i="5" s="1"/>
  <c r="CO52" i="5"/>
  <c r="CO43" i="5"/>
  <c r="CO133" i="5" s="1"/>
  <c r="CO45" i="5"/>
  <c r="CP45" i="5" s="1"/>
  <c r="CO44" i="5"/>
  <c r="CO37" i="5"/>
  <c r="CO31" i="5"/>
  <c r="CO30" i="5"/>
  <c r="CP30" i="5" s="1"/>
  <c r="CO29" i="5"/>
  <c r="CP29" i="5" s="1"/>
  <c r="CO28" i="5"/>
  <c r="CP28" i="5" s="1"/>
  <c r="CO27" i="5"/>
  <c r="CO17" i="5"/>
  <c r="CP17" i="5" s="1"/>
  <c r="CO18" i="5"/>
  <c r="CP18" i="5" s="1"/>
  <c r="CO19" i="5"/>
  <c r="CP19" i="5" s="1"/>
  <c r="CO11" i="5"/>
  <c r="CO92" i="5" s="1"/>
  <c r="CO10" i="5"/>
  <c r="CO9" i="5"/>
  <c r="CK57" i="5"/>
  <c r="CU57" i="5"/>
  <c r="CU152" i="5" s="1"/>
  <c r="CV55" i="5"/>
  <c r="CV54" i="5"/>
  <c r="CV53" i="5"/>
  <c r="CV43" i="5"/>
  <c r="CV133" i="5" s="1"/>
  <c r="CV45" i="5"/>
  <c r="CW45" i="5" s="1"/>
  <c r="CV44" i="5"/>
  <c r="CV37" i="5"/>
  <c r="CV31" i="5"/>
  <c r="CW31" i="5" s="1"/>
  <c r="CV30" i="5"/>
  <c r="CV29" i="5"/>
  <c r="CW29" i="5" s="1"/>
  <c r="CV28" i="5"/>
  <c r="CW28" i="5" s="1"/>
  <c r="CV27" i="5"/>
  <c r="CW27" i="5" s="1"/>
  <c r="CV17" i="5"/>
  <c r="CW17" i="5" s="1"/>
  <c r="CV18" i="5"/>
  <c r="CW18" i="5" s="1"/>
  <c r="CV11" i="5"/>
  <c r="CV92" i="5" s="1"/>
  <c r="CV10" i="5"/>
  <c r="CV9" i="5"/>
  <c r="CW9" i="5" s="1"/>
  <c r="CR57" i="5"/>
  <c r="DC57" i="5"/>
  <c r="DC152" i="5" s="1"/>
  <c r="DC55" i="5"/>
  <c r="DC54" i="5"/>
  <c r="DC53" i="5"/>
  <c r="DC43" i="5"/>
  <c r="DC133" i="5" s="1"/>
  <c r="DC38" i="5"/>
  <c r="DC45" i="5"/>
  <c r="DD45" i="5" s="1"/>
  <c r="DC44" i="5"/>
  <c r="DC37" i="5"/>
  <c r="DC31" i="5"/>
  <c r="DD31" i="5" s="1"/>
  <c r="DC30" i="5"/>
  <c r="DD30" i="5" s="1"/>
  <c r="DC29" i="5"/>
  <c r="DD29" i="5" s="1"/>
  <c r="DC28" i="5"/>
  <c r="DD28" i="5" s="1"/>
  <c r="DC27" i="5"/>
  <c r="DD27" i="5" s="1"/>
  <c r="DC18" i="5"/>
  <c r="DD18" i="5" s="1"/>
  <c r="DC17" i="5"/>
  <c r="DD17" i="5" s="1"/>
  <c r="DC11" i="5"/>
  <c r="DC92" i="5" s="1"/>
  <c r="DC10" i="5"/>
  <c r="DC85" i="5" s="1"/>
  <c r="DC9" i="5"/>
  <c r="DD9" i="5" s="1"/>
  <c r="DD52" i="5"/>
  <c r="CY57" i="5"/>
  <c r="DJ57" i="5"/>
  <c r="DJ152" i="5" s="1"/>
  <c r="DJ55" i="5"/>
  <c r="DJ54" i="5"/>
  <c r="DJ53" i="5"/>
  <c r="DK53" i="5" s="1"/>
  <c r="DJ52" i="5"/>
  <c r="DJ43" i="5"/>
  <c r="DJ133" i="5" s="1"/>
  <c r="DJ45" i="5"/>
  <c r="DJ44" i="5"/>
  <c r="DJ38" i="5"/>
  <c r="DJ37" i="5"/>
  <c r="DJ31" i="5"/>
  <c r="DK31" i="5" s="1"/>
  <c r="DJ30" i="5"/>
  <c r="DK30" i="5" s="1"/>
  <c r="DJ29" i="5"/>
  <c r="DJ28" i="5"/>
  <c r="DK28" i="5" s="1"/>
  <c r="DJ27" i="5"/>
  <c r="DK27" i="5" s="1"/>
  <c r="DJ17" i="5"/>
  <c r="DK17" i="5" s="1"/>
  <c r="DJ18" i="5"/>
  <c r="DJ11" i="5"/>
  <c r="DJ92" i="5" s="1"/>
  <c r="DJ10" i="5"/>
  <c r="DJ9" i="5"/>
  <c r="DK9" i="5" s="1"/>
  <c r="DQ57" i="5"/>
  <c r="DQ152" i="5" s="1"/>
  <c r="DQ55" i="5"/>
  <c r="DQ54" i="5"/>
  <c r="DQ43" i="5"/>
  <c r="DQ133" i="5" s="1"/>
  <c r="DQ45" i="5"/>
  <c r="DR45" i="5" s="1"/>
  <c r="DS45" i="5" s="1"/>
  <c r="DQ44" i="5"/>
  <c r="DQ37" i="5"/>
  <c r="DQ31" i="5"/>
  <c r="DR31" i="5" s="1"/>
  <c r="DQ30" i="5"/>
  <c r="DR30" i="5" s="1"/>
  <c r="DQ28" i="5"/>
  <c r="DQ27" i="5"/>
  <c r="DR27" i="5" s="1"/>
  <c r="DS27" i="5" s="1"/>
  <c r="DQ17" i="5"/>
  <c r="DR17" i="5" s="1"/>
  <c r="DQ11" i="5"/>
  <c r="DQ92" i="5" s="1"/>
  <c r="DQ10" i="5"/>
  <c r="DQ85" i="5" s="1"/>
  <c r="DQ9" i="5"/>
  <c r="DR9" i="5" s="1"/>
  <c r="DR53" i="5"/>
  <c r="DR29" i="5"/>
  <c r="DS29" i="5" s="1"/>
  <c r="IE36" i="4" l="1"/>
  <c r="GJ30" i="5"/>
  <c r="IL54" i="4"/>
  <c r="DJ149" i="5"/>
  <c r="DJ150" i="5" s="1"/>
  <c r="IS98" i="1"/>
  <c r="CP54" i="5"/>
  <c r="CQ54" i="5" s="1"/>
  <c r="BE174" i="5"/>
  <c r="BE77" i="5" s="1"/>
  <c r="CO149" i="5"/>
  <c r="CO150" i="5" s="1"/>
  <c r="HX98" i="1"/>
  <c r="CI54" i="5"/>
  <c r="BF149" i="5"/>
  <c r="BF150" i="5" s="1"/>
  <c r="GO98" i="1"/>
  <c r="CH149" i="5"/>
  <c r="CH150" i="5" s="1"/>
  <c r="HQ98" i="1"/>
  <c r="HE98" i="1"/>
  <c r="CV122" i="5"/>
  <c r="CW54" i="5"/>
  <c r="AZ149" i="5"/>
  <c r="AZ150" i="5" s="1"/>
  <c r="GI98" i="1"/>
  <c r="DQ149" i="5"/>
  <c r="DQ150" i="5" s="1"/>
  <c r="IZ98" i="1"/>
  <c r="DJ122" i="5"/>
  <c r="CV149" i="5"/>
  <c r="CV150" i="5" s="1"/>
  <c r="IE98" i="1"/>
  <c r="DJ127" i="5"/>
  <c r="DJ128" i="5" s="1"/>
  <c r="DC127" i="5"/>
  <c r="DC128" i="5" s="1"/>
  <c r="CB54" i="5"/>
  <c r="CC54" i="5" s="1"/>
  <c r="BT122" i="5"/>
  <c r="CA149" i="5"/>
  <c r="CA150" i="5" s="1"/>
  <c r="HJ98" i="1"/>
  <c r="DD54" i="5"/>
  <c r="DE54" i="5" s="1"/>
  <c r="DC149" i="5"/>
  <c r="DC150" i="5" s="1"/>
  <c r="IL98" i="1"/>
  <c r="AZ122" i="5"/>
  <c r="BN149" i="5"/>
  <c r="BN150" i="5" s="1"/>
  <c r="GW98" i="1"/>
  <c r="DQ122" i="5"/>
  <c r="DK54" i="5"/>
  <c r="GH65" i="1"/>
  <c r="GH67" i="1" s="1"/>
  <c r="AU94" i="5"/>
  <c r="C94" i="5" s="1"/>
  <c r="AD23" i="1"/>
  <c r="GB96" i="29"/>
  <c r="AD96" i="29" s="1"/>
  <c r="AG23" i="1"/>
  <c r="GW96" i="29"/>
  <c r="AG96" i="29" s="1"/>
  <c r="AD130" i="29"/>
  <c r="AD91" i="29"/>
  <c r="GP131" i="29"/>
  <c r="AF131" i="29" s="1"/>
  <c r="AF130" i="29"/>
  <c r="AE130" i="29"/>
  <c r="GI131" i="29"/>
  <c r="AE131" i="29" s="1"/>
  <c r="GP92" i="29"/>
  <c r="AF92" i="29" s="1"/>
  <c r="AF91" i="29"/>
  <c r="GI92" i="29"/>
  <c r="AE92" i="29" s="1"/>
  <c r="AE91" i="29"/>
  <c r="GW131" i="29"/>
  <c r="AG131" i="29" s="1"/>
  <c r="AG130" i="29"/>
  <c r="AG91" i="29"/>
  <c r="GW92" i="29"/>
  <c r="AG92" i="29" s="1"/>
  <c r="GB5" i="29"/>
  <c r="AD5" i="29" s="1"/>
  <c r="GP5" i="29"/>
  <c r="AF5" i="29" s="1"/>
  <c r="GI27" i="29"/>
  <c r="AE27" i="29" s="1"/>
  <c r="AE19" i="29"/>
  <c r="GI5" i="29"/>
  <c r="GP27" i="29"/>
  <c r="AF27" i="29" s="1"/>
  <c r="AF19" i="29"/>
  <c r="GW27" i="29"/>
  <c r="AG27" i="29" s="1"/>
  <c r="AG19" i="29"/>
  <c r="GW5" i="29"/>
  <c r="AF23" i="1"/>
  <c r="AE23" i="1"/>
  <c r="CO83" i="4"/>
  <c r="CO71" i="4"/>
  <c r="BB152" i="5"/>
  <c r="D152" i="5" s="1"/>
  <c r="D57" i="5"/>
  <c r="CD152" i="5"/>
  <c r="H152" i="5" s="1"/>
  <c r="H57" i="5"/>
  <c r="BI152" i="5"/>
  <c r="E152" i="5" s="1"/>
  <c r="E57" i="5"/>
  <c r="CR152" i="5"/>
  <c r="J152" i="5" s="1"/>
  <c r="J57" i="5"/>
  <c r="CY152" i="5"/>
  <c r="K152" i="5" s="1"/>
  <c r="K57" i="5"/>
  <c r="BW152" i="5"/>
  <c r="G152" i="5" s="1"/>
  <c r="G57" i="5"/>
  <c r="BP152" i="5"/>
  <c r="F152" i="5" s="1"/>
  <c r="F57" i="5"/>
  <c r="CK152" i="5"/>
  <c r="I152" i="5" s="1"/>
  <c r="I57" i="5"/>
  <c r="K124" i="5"/>
  <c r="I124" i="5"/>
  <c r="J124" i="5"/>
  <c r="H124" i="5"/>
  <c r="M124" i="5"/>
  <c r="BB94" i="5"/>
  <c r="D94" i="5" s="1"/>
  <c r="J95" i="4"/>
  <c r="BI94" i="5"/>
  <c r="E94" i="5" s="1"/>
  <c r="K95" i="4"/>
  <c r="DC93" i="4"/>
  <c r="K93" i="4" s="1"/>
  <c r="K92" i="4"/>
  <c r="CV93" i="4"/>
  <c r="J93" i="4" s="1"/>
  <c r="J92" i="4"/>
  <c r="DC81" i="4"/>
  <c r="K81" i="4" s="1"/>
  <c r="K80" i="4"/>
  <c r="DJ93" i="4"/>
  <c r="L93" i="4" s="1"/>
  <c r="L92" i="4"/>
  <c r="CV81" i="4"/>
  <c r="J81" i="4" s="1"/>
  <c r="J80" i="4"/>
  <c r="DJ81" i="4"/>
  <c r="L81" i="4" s="1"/>
  <c r="L80" i="4"/>
  <c r="GA65" i="1"/>
  <c r="GA67" i="1" s="1"/>
  <c r="GR25" i="1"/>
  <c r="AF25" i="1" s="1"/>
  <c r="GR24" i="1"/>
  <c r="GD25" i="1"/>
  <c r="AD25" i="1" s="1"/>
  <c r="GY24" i="1"/>
  <c r="GY25" i="1"/>
  <c r="AG25" i="1" s="1"/>
  <c r="GK24" i="1"/>
  <c r="GK25" i="1"/>
  <c r="AE25" i="1" s="1"/>
  <c r="AS57" i="5"/>
  <c r="AS152" i="5" s="1"/>
  <c r="AS153" i="5" s="1"/>
  <c r="AR59" i="5"/>
  <c r="AT10" i="5"/>
  <c r="AT85" i="5" s="1"/>
  <c r="AY88" i="5" s="1"/>
  <c r="BA10" i="5"/>
  <c r="BA85" i="5" s="1"/>
  <c r="BA86" i="5" s="1"/>
  <c r="BB86" i="5" s="1"/>
  <c r="D86" i="5" s="1"/>
  <c r="AT39" i="5"/>
  <c r="AT127" i="5" s="1"/>
  <c r="AT128" i="5" s="1"/>
  <c r="AU128" i="5" s="1"/>
  <c r="C128" i="5" s="1"/>
  <c r="DC130" i="5"/>
  <c r="DC131" i="5" s="1"/>
  <c r="BA37" i="5"/>
  <c r="BA44" i="5"/>
  <c r="BA130" i="5" s="1"/>
  <c r="BA131" i="5" s="1"/>
  <c r="BB131" i="5" s="1"/>
  <c r="D131" i="5" s="1"/>
  <c r="AT37" i="5"/>
  <c r="AT122" i="5" s="1"/>
  <c r="AY123" i="5" s="1"/>
  <c r="CV130" i="5"/>
  <c r="CV131" i="5" s="1"/>
  <c r="BV149" i="5"/>
  <c r="BV150" i="5" s="1"/>
  <c r="BW150" i="5" s="1"/>
  <c r="G150" i="5" s="1"/>
  <c r="CC130" i="5"/>
  <c r="CC131" i="5" s="1"/>
  <c r="CD131" i="5" s="1"/>
  <c r="H131" i="5" s="1"/>
  <c r="BH127" i="5"/>
  <c r="BH128" i="5" s="1"/>
  <c r="BI128" i="5" s="1"/>
  <c r="E128" i="5" s="1"/>
  <c r="BO127" i="5"/>
  <c r="BO128" i="5" s="1"/>
  <c r="BP128" i="5" s="1"/>
  <c r="F128" i="5" s="1"/>
  <c r="DJ130" i="5"/>
  <c r="DJ131" i="5" s="1"/>
  <c r="DQ130" i="5"/>
  <c r="DQ131" i="5" s="1"/>
  <c r="AT11" i="5"/>
  <c r="AT92" i="5" s="1"/>
  <c r="AY93" i="5" s="1"/>
  <c r="AY94" i="5" s="1"/>
  <c r="BF130" i="5"/>
  <c r="BF131" i="5" s="1"/>
  <c r="CH130" i="5"/>
  <c r="CH131" i="5" s="1"/>
  <c r="BV127" i="5"/>
  <c r="BV128" i="5" s="1"/>
  <c r="BW128" i="5" s="1"/>
  <c r="G128" i="5" s="1"/>
  <c r="CO130" i="5"/>
  <c r="CO131" i="5" s="1"/>
  <c r="AZ47" i="5"/>
  <c r="AS47" i="5"/>
  <c r="AT44" i="5"/>
  <c r="AT130" i="5" s="1"/>
  <c r="AT131" i="5" s="1"/>
  <c r="AU131" i="5" s="1"/>
  <c r="C131" i="5" s="1"/>
  <c r="BA43" i="5"/>
  <c r="BA133" i="5" s="1"/>
  <c r="BA134" i="5" s="1"/>
  <c r="BB134" i="5" s="1"/>
  <c r="D134" i="5" s="1"/>
  <c r="BN134" i="5"/>
  <c r="CX127" i="5"/>
  <c r="CX128" i="5" s="1"/>
  <c r="CY128" i="5" s="1"/>
  <c r="K128" i="5" s="1"/>
  <c r="CJ127" i="5"/>
  <c r="CJ128" i="5" s="1"/>
  <c r="CK128" i="5" s="1"/>
  <c r="I128" i="5" s="1"/>
  <c r="BN130" i="5"/>
  <c r="BN86" i="5"/>
  <c r="CQ127" i="5"/>
  <c r="CQ128" i="5" s="1"/>
  <c r="CR128" i="5" s="1"/>
  <c r="J128" i="5" s="1"/>
  <c r="CC127" i="5"/>
  <c r="CC128" i="5" s="1"/>
  <c r="CD128" i="5" s="1"/>
  <c r="H128" i="5" s="1"/>
  <c r="AS134" i="5"/>
  <c r="DS127" i="5"/>
  <c r="DS128" i="5" s="1"/>
  <c r="DT128" i="5" s="1"/>
  <c r="N128" i="5" s="1"/>
  <c r="BV130" i="5"/>
  <c r="BV131" i="5" s="1"/>
  <c r="BW131" i="5" s="1"/>
  <c r="G131" i="5" s="1"/>
  <c r="DQ86" i="5"/>
  <c r="DQ134" i="5"/>
  <c r="DQ153" i="5"/>
  <c r="DK10" i="5"/>
  <c r="DK85" i="5" s="1"/>
  <c r="DJ85" i="5"/>
  <c r="DJ134" i="5"/>
  <c r="DJ153" i="5"/>
  <c r="DC86" i="5"/>
  <c r="DD37" i="5"/>
  <c r="DC122" i="5"/>
  <c r="DC134" i="5"/>
  <c r="DC153" i="5"/>
  <c r="CW10" i="5"/>
  <c r="CW85" i="5" s="1"/>
  <c r="CV85" i="5"/>
  <c r="CV134" i="5"/>
  <c r="CU153" i="5"/>
  <c r="CP10" i="5"/>
  <c r="CP85" i="5" s="1"/>
  <c r="CO85" i="5"/>
  <c r="CP37" i="5"/>
  <c r="CO122" i="5"/>
  <c r="CO134" i="5"/>
  <c r="CN153" i="5"/>
  <c r="CI10" i="5"/>
  <c r="CI85" i="5" s="1"/>
  <c r="CH85" i="5"/>
  <c r="CI37" i="5"/>
  <c r="CH122" i="5"/>
  <c r="CH134" i="5"/>
  <c r="CH57" i="5"/>
  <c r="CH152" i="5" s="1"/>
  <c r="CG152" i="5"/>
  <c r="CB10" i="5"/>
  <c r="CB85" i="5" s="1"/>
  <c r="CA85" i="5"/>
  <c r="CB37" i="5"/>
  <c r="CA122" i="5"/>
  <c r="CA134" i="5"/>
  <c r="CA57" i="5"/>
  <c r="CA152" i="5" s="1"/>
  <c r="BZ152" i="5"/>
  <c r="BU10" i="5"/>
  <c r="BU85" i="5" s="1"/>
  <c r="BT85" i="5"/>
  <c r="BT134" i="5"/>
  <c r="BS153" i="5"/>
  <c r="BG10" i="5"/>
  <c r="BG85" i="5" s="1"/>
  <c r="BF85" i="5"/>
  <c r="BG37" i="5"/>
  <c r="BF122" i="5"/>
  <c r="BE134" i="5"/>
  <c r="BF57" i="5"/>
  <c r="BF152" i="5" s="1"/>
  <c r="BE152" i="5"/>
  <c r="AY59" i="5"/>
  <c r="AY152" i="5"/>
  <c r="AR153" i="5"/>
  <c r="AQ153" i="5"/>
  <c r="AS131" i="5"/>
  <c r="AR131" i="5"/>
  <c r="AS128" i="5"/>
  <c r="AR128" i="5"/>
  <c r="AS86" i="5"/>
  <c r="AR86" i="5"/>
  <c r="AZ134" i="5"/>
  <c r="AY134" i="5"/>
  <c r="AZ131" i="5"/>
  <c r="AY131" i="5"/>
  <c r="AZ86" i="5"/>
  <c r="AY86" i="5"/>
  <c r="BN57" i="5"/>
  <c r="BN152" i="5" s="1"/>
  <c r="BN153" i="5" s="1"/>
  <c r="AT43" i="5"/>
  <c r="AT133" i="5" s="1"/>
  <c r="AT134" i="5" s="1"/>
  <c r="AU134" i="5" s="1"/>
  <c r="C134" i="5" s="1"/>
  <c r="BA11" i="5"/>
  <c r="BA92" i="5" s="1"/>
  <c r="BE93" i="5" s="1"/>
  <c r="BE94" i="5" s="1"/>
  <c r="BE47" i="5"/>
  <c r="BF17" i="5"/>
  <c r="BG17" i="5" s="1"/>
  <c r="BH17" i="5" s="1"/>
  <c r="BH13" i="5" s="1"/>
  <c r="BM59" i="5"/>
  <c r="AZ57" i="5"/>
  <c r="AZ152" i="5" s="1"/>
  <c r="BF43" i="5"/>
  <c r="BF47" i="5" s="1"/>
  <c r="DK38" i="5"/>
  <c r="AZ174" i="5"/>
  <c r="AZ77" i="5" s="1"/>
  <c r="GB49" i="1"/>
  <c r="BG55" i="5"/>
  <c r="CV57" i="5"/>
  <c r="CV59" i="5" s="1"/>
  <c r="CU59" i="5"/>
  <c r="BI59" i="5"/>
  <c r="E59" i="5" s="1"/>
  <c r="CK59" i="5"/>
  <c r="I59" i="5" s="1"/>
  <c r="CG59" i="5"/>
  <c r="BW59" i="5"/>
  <c r="G59" i="5" s="1"/>
  <c r="BP59" i="5"/>
  <c r="F59" i="5" s="1"/>
  <c r="CR59" i="5"/>
  <c r="J59" i="5" s="1"/>
  <c r="CD59" i="5"/>
  <c r="H59" i="5" s="1"/>
  <c r="BZ59" i="5"/>
  <c r="BA55" i="5"/>
  <c r="BT57" i="5"/>
  <c r="BS59" i="5"/>
  <c r="BE59" i="5"/>
  <c r="CY59" i="5"/>
  <c r="K59" i="5" s="1"/>
  <c r="CO57" i="5"/>
  <c r="CN59" i="5"/>
  <c r="BB59" i="5"/>
  <c r="D59" i="5" s="1"/>
  <c r="AY174" i="5"/>
  <c r="AY77" i="5" s="1"/>
  <c r="CB55" i="5"/>
  <c r="AQ12" i="5"/>
  <c r="GK35" i="1"/>
  <c r="AE35" i="1" s="1"/>
  <c r="AT26" i="5"/>
  <c r="DK55" i="5"/>
  <c r="BG45" i="5"/>
  <c r="BH45" i="5" s="1"/>
  <c r="AT13" i="5"/>
  <c r="AR12" i="5"/>
  <c r="CB43" i="5"/>
  <c r="CB133" i="5" s="1"/>
  <c r="CB134" i="5" s="1"/>
  <c r="CI55" i="5"/>
  <c r="BP12" i="5"/>
  <c r="F12" i="5" s="1"/>
  <c r="AZ13" i="5"/>
  <c r="AZ12" i="5" s="1"/>
  <c r="AS12" i="5"/>
  <c r="BE12" i="5"/>
  <c r="BI12" i="5"/>
  <c r="E12" i="5" s="1"/>
  <c r="AU12" i="5"/>
  <c r="C12" i="5" s="1"/>
  <c r="AX12" i="5"/>
  <c r="CV71" i="4"/>
  <c r="CV83" i="4"/>
  <c r="GC49" i="1"/>
  <c r="BU11" i="5"/>
  <c r="BU92" i="5" s="1"/>
  <c r="BL12" i="5"/>
  <c r="AY12" i="5"/>
  <c r="BB12" i="5"/>
  <c r="D12" i="5" s="1"/>
  <c r="CI52" i="5"/>
  <c r="CJ52" i="5" s="1"/>
  <c r="BG51" i="5"/>
  <c r="BH51" i="5" s="1"/>
  <c r="CW44" i="5"/>
  <c r="CW130" i="5" s="1"/>
  <c r="CP52" i="5"/>
  <c r="CQ52" i="5" s="1"/>
  <c r="CB11" i="5"/>
  <c r="CB92" i="5" s="1"/>
  <c r="BF26" i="5"/>
  <c r="DR37" i="5"/>
  <c r="DR54" i="5"/>
  <c r="DQ59" i="5"/>
  <c r="DS53" i="5"/>
  <c r="DR55" i="5"/>
  <c r="DK52" i="5"/>
  <c r="DL52" i="5" s="1"/>
  <c r="DJ59" i="5"/>
  <c r="DD43" i="5"/>
  <c r="DD133" i="5" s="1"/>
  <c r="DD44" i="5"/>
  <c r="DD130" i="5" s="1"/>
  <c r="DD53" i="5"/>
  <c r="DE53" i="5" s="1"/>
  <c r="DC59" i="5"/>
  <c r="CW43" i="5"/>
  <c r="CW133" i="5" s="1"/>
  <c r="CW11" i="5"/>
  <c r="CW92" i="5" s="1"/>
  <c r="CW37" i="5"/>
  <c r="CW53" i="5"/>
  <c r="CX53" i="5" s="1"/>
  <c r="CW55" i="5"/>
  <c r="CP11" i="5"/>
  <c r="CP92" i="5" s="1"/>
  <c r="CP44" i="5"/>
  <c r="CP130" i="5" s="1"/>
  <c r="CP43" i="5"/>
  <c r="CP133" i="5" s="1"/>
  <c r="CI43" i="5"/>
  <c r="CI133" i="5" s="1"/>
  <c r="CC28" i="5"/>
  <c r="BU37" i="5"/>
  <c r="BU54" i="5"/>
  <c r="BA174" i="5"/>
  <c r="BA77" i="5" s="1"/>
  <c r="DK37" i="5"/>
  <c r="DK44" i="5"/>
  <c r="DE52" i="5"/>
  <c r="DD11" i="5"/>
  <c r="DD92" i="5" s="1"/>
  <c r="BU43" i="5"/>
  <c r="BU133" i="5" s="1"/>
  <c r="BO44" i="5"/>
  <c r="BO130" i="5" s="1"/>
  <c r="BO55" i="5"/>
  <c r="BG11" i="5"/>
  <c r="BG92" i="5" s="1"/>
  <c r="BG44" i="5"/>
  <c r="BG54" i="5"/>
  <c r="BF174" i="5"/>
  <c r="BF77" i="5" s="1"/>
  <c r="DC71" i="4"/>
  <c r="K71" i="4" s="1"/>
  <c r="DC83" i="4"/>
  <c r="GR35" i="1"/>
  <c r="AF35" i="1" s="1"/>
  <c r="DJ83" i="4"/>
  <c r="DJ71" i="4"/>
  <c r="GY35" i="1"/>
  <c r="AG35" i="1" s="1"/>
  <c r="BG27" i="5"/>
  <c r="BH27" i="5" s="1"/>
  <c r="BA26" i="5"/>
  <c r="BG30" i="5"/>
  <c r="BH30" i="5" s="1"/>
  <c r="BA13" i="5"/>
  <c r="CC17" i="5"/>
  <c r="CC13" i="5" s="1"/>
  <c r="GU43" i="1"/>
  <c r="GU49" i="1" s="1"/>
  <c r="GW49" i="1"/>
  <c r="GJ50" i="1"/>
  <c r="GJ65" i="1"/>
  <c r="GJ67" i="1" s="1"/>
  <c r="GV49" i="1"/>
  <c r="GH50" i="1"/>
  <c r="GA50" i="1"/>
  <c r="GQ44" i="1"/>
  <c r="GQ47" i="1"/>
  <c r="GP49" i="1"/>
  <c r="GP47" i="1"/>
  <c r="GX44" i="1"/>
  <c r="GX47" i="1"/>
  <c r="GO44" i="1"/>
  <c r="GO47" i="1"/>
  <c r="DA89" i="4"/>
  <c r="CY89" i="4"/>
  <c r="DB89" i="4"/>
  <c r="CZ89" i="4"/>
  <c r="GN47" i="1"/>
  <c r="GJ44" i="1"/>
  <c r="GJ47" i="1"/>
  <c r="GI44" i="1"/>
  <c r="GI47" i="1"/>
  <c r="GH44" i="1"/>
  <c r="GH47" i="1"/>
  <c r="CS75" i="4"/>
  <c r="CZ75" i="4"/>
  <c r="DB75" i="4"/>
  <c r="DA75" i="4"/>
  <c r="CR75" i="4"/>
  <c r="CY75" i="4"/>
  <c r="CU75" i="4"/>
  <c r="CT75" i="4"/>
  <c r="GO49" i="1"/>
  <c r="GW44" i="1"/>
  <c r="GX49" i="1"/>
  <c r="GI49" i="1"/>
  <c r="GQ49" i="1"/>
  <c r="GH62" i="1"/>
  <c r="GH10" i="1" s="1"/>
  <c r="GH51" i="1"/>
  <c r="GN36" i="1"/>
  <c r="GU36" i="1"/>
  <c r="GP44" i="1"/>
  <c r="GV44" i="1"/>
  <c r="GJ62" i="1"/>
  <c r="GJ10" i="1" s="1"/>
  <c r="GA62" i="1"/>
  <c r="DE17" i="5"/>
  <c r="DD38" i="5"/>
  <c r="CW30" i="5"/>
  <c r="CX30" i="5" s="1"/>
  <c r="CP9" i="5"/>
  <c r="CQ9" i="5" s="1"/>
  <c r="CP27" i="5"/>
  <c r="CQ27" i="5" s="1"/>
  <c r="CP31" i="5"/>
  <c r="CQ31" i="5" s="1"/>
  <c r="CP55" i="5"/>
  <c r="CJ17" i="5"/>
  <c r="CJ13" i="5" s="1"/>
  <c r="CC30" i="5"/>
  <c r="BH52" i="5"/>
  <c r="AQ33" i="5"/>
  <c r="AQ163" i="5" s="1"/>
  <c r="GN49" i="1"/>
  <c r="AR33" i="5"/>
  <c r="AR163" i="5" s="1"/>
  <c r="AY33" i="5"/>
  <c r="AS33" i="5"/>
  <c r="AS163" i="5" s="1"/>
  <c r="AU33" i="5"/>
  <c r="AU163" i="5" s="1"/>
  <c r="BE33" i="5"/>
  <c r="DS9" i="5"/>
  <c r="DE45" i="5"/>
  <c r="CX17" i="5"/>
  <c r="CX28" i="5"/>
  <c r="CQ29" i="5"/>
  <c r="CQ53" i="5"/>
  <c r="BV9" i="5"/>
  <c r="BV27" i="5"/>
  <c r="BV31" i="5"/>
  <c r="BV53" i="5"/>
  <c r="DR11" i="5"/>
  <c r="DR92" i="5" s="1"/>
  <c r="DR57" i="5"/>
  <c r="DR152" i="5" s="1"/>
  <c r="DD57" i="5"/>
  <c r="DD152" i="5" s="1"/>
  <c r="DE29" i="5"/>
  <c r="CQ19" i="5"/>
  <c r="CQ45" i="5"/>
  <c r="DL30" i="5"/>
  <c r="CJ28" i="5"/>
  <c r="CJ30" i="5"/>
  <c r="CC53" i="5"/>
  <c r="CJ53" i="5"/>
  <c r="BO9" i="5"/>
  <c r="BO27" i="5"/>
  <c r="DR10" i="5"/>
  <c r="DR85" i="5" s="1"/>
  <c r="DR86" i="5" s="1"/>
  <c r="DR28" i="5"/>
  <c r="DS28" i="5" s="1"/>
  <c r="DL27" i="5"/>
  <c r="DL31" i="5"/>
  <c r="DE9" i="5"/>
  <c r="DS17" i="5"/>
  <c r="DS13" i="5" s="1"/>
  <c r="DS31" i="5"/>
  <c r="BM13" i="5"/>
  <c r="BN17" i="5"/>
  <c r="BN13" i="5" s="1"/>
  <c r="BN30" i="5"/>
  <c r="BO30" i="5" s="1"/>
  <c r="BM26" i="5"/>
  <c r="BN28" i="5"/>
  <c r="BO28" i="5" s="1"/>
  <c r="BM47" i="5"/>
  <c r="BN37" i="5"/>
  <c r="BN54" i="5"/>
  <c r="BO10" i="5"/>
  <c r="BO85" i="5" s="1"/>
  <c r="BO86" i="5" s="1"/>
  <c r="BP86" i="5" s="1"/>
  <c r="F86" i="5" s="1"/>
  <c r="DR44" i="5"/>
  <c r="DR130" i="5" s="1"/>
  <c r="DR43" i="5"/>
  <c r="DR133" i="5" s="1"/>
  <c r="DS30" i="5"/>
  <c r="DK18" i="5"/>
  <c r="DL18" i="5" s="1"/>
  <c r="DK29" i="5"/>
  <c r="DL29" i="5" s="1"/>
  <c r="DK45" i="5"/>
  <c r="DL45" i="5" s="1"/>
  <c r="DK57" i="5"/>
  <c r="DK152" i="5" s="1"/>
  <c r="DK153" i="5" s="1"/>
  <c r="DL9" i="5"/>
  <c r="DK11" i="5"/>
  <c r="DK92" i="5" s="1"/>
  <c r="DK43" i="5"/>
  <c r="DK133" i="5" s="1"/>
  <c r="DK134" i="5" s="1"/>
  <c r="DD10" i="5"/>
  <c r="DD85" i="5" s="1"/>
  <c r="DE27" i="5"/>
  <c r="DE31" i="5"/>
  <c r="DD55" i="5"/>
  <c r="CX18" i="5"/>
  <c r="CX27" i="5"/>
  <c r="CX29" i="5"/>
  <c r="CX31" i="5"/>
  <c r="CQ17" i="5"/>
  <c r="CQ28" i="5"/>
  <c r="CQ30" i="5"/>
  <c r="DL17" i="5"/>
  <c r="DL28" i="5"/>
  <c r="CI11" i="5"/>
  <c r="CI92" i="5" s="1"/>
  <c r="CI27" i="5"/>
  <c r="CJ27" i="5" s="1"/>
  <c r="CI31" i="5"/>
  <c r="CJ31" i="5" s="1"/>
  <c r="CI44" i="5"/>
  <c r="CI130" i="5" s="1"/>
  <c r="CC9" i="5"/>
  <c r="CC27" i="5"/>
  <c r="CC29" i="5"/>
  <c r="CC31" i="5"/>
  <c r="CJ9" i="5"/>
  <c r="CJ29" i="5"/>
  <c r="BU17" i="5"/>
  <c r="BV17" i="5" s="1"/>
  <c r="BV13" i="5" s="1"/>
  <c r="BU30" i="5"/>
  <c r="BV30" i="5" s="1"/>
  <c r="BU52" i="5"/>
  <c r="BV28" i="5"/>
  <c r="BO52" i="5"/>
  <c r="DL53" i="5"/>
  <c r="DE18" i="5"/>
  <c r="DE28" i="5"/>
  <c r="DE30" i="5"/>
  <c r="CX9" i="5"/>
  <c r="CX45" i="5"/>
  <c r="CQ18" i="5"/>
  <c r="BV29" i="5"/>
  <c r="BO43" i="5"/>
  <c r="BO133" i="5" s="1"/>
  <c r="BO134" i="5" s="1"/>
  <c r="BP134" i="5" s="1"/>
  <c r="F134" i="5" s="1"/>
  <c r="BO53" i="5"/>
  <c r="AX33" i="5"/>
  <c r="BO11" i="5"/>
  <c r="BO92" i="5" s="1"/>
  <c r="BS93" i="5" s="1"/>
  <c r="BS94" i="5" s="1"/>
  <c r="BO29" i="5"/>
  <c r="BO31" i="5"/>
  <c r="BB33" i="5"/>
  <c r="BB163" i="5" s="1"/>
  <c r="BL33" i="5"/>
  <c r="BI33" i="5"/>
  <c r="BP33" i="5"/>
  <c r="DZ56" i="5"/>
  <c r="DZ41" i="5"/>
  <c r="DZ40" i="5"/>
  <c r="DZ39" i="5"/>
  <c r="DZ24" i="5"/>
  <c r="DZ23" i="5"/>
  <c r="DZ22" i="5"/>
  <c r="DZ21" i="5"/>
  <c r="DZ19" i="5"/>
  <c r="DZ15" i="5"/>
  <c r="DZ14" i="5"/>
  <c r="EG41" i="5"/>
  <c r="EG40" i="5"/>
  <c r="EG39" i="5"/>
  <c r="EG24" i="5"/>
  <c r="EG23" i="5"/>
  <c r="EG22" i="5"/>
  <c r="EG21" i="5"/>
  <c r="EG19" i="5"/>
  <c r="EG15" i="5"/>
  <c r="EG14" i="5"/>
  <c r="DW20" i="5"/>
  <c r="DX20" i="5" s="1"/>
  <c r="DY20" i="5" s="1"/>
  <c r="DX17" i="5"/>
  <c r="DY17" i="5" s="1"/>
  <c r="DX57" i="5"/>
  <c r="DX152" i="5" s="1"/>
  <c r="DX55" i="5"/>
  <c r="DX54" i="5"/>
  <c r="DX53" i="5"/>
  <c r="DY53" i="5" s="1"/>
  <c r="DX52" i="5"/>
  <c r="DY52" i="5" s="1"/>
  <c r="DX43" i="5"/>
  <c r="DX133" i="5" s="1"/>
  <c r="DX45" i="5"/>
  <c r="DY45" i="5" s="1"/>
  <c r="DX44" i="5"/>
  <c r="DX38" i="5"/>
  <c r="DX37" i="5"/>
  <c r="DX31" i="5"/>
  <c r="DY31" i="5" s="1"/>
  <c r="DX30" i="5"/>
  <c r="DY30" i="5" s="1"/>
  <c r="DX29" i="5"/>
  <c r="DY29" i="5" s="1"/>
  <c r="DX28" i="5"/>
  <c r="DY28" i="5" s="1"/>
  <c r="DX27" i="5"/>
  <c r="DY27" i="5" s="1"/>
  <c r="DX16" i="5"/>
  <c r="DY16" i="5" s="1"/>
  <c r="DX18" i="5"/>
  <c r="DY18" i="5" s="1"/>
  <c r="DX11" i="5"/>
  <c r="DX92" i="5" s="1"/>
  <c r="DX10" i="5"/>
  <c r="DX9" i="5"/>
  <c r="DY9" i="5" s="1"/>
  <c r="EE56" i="5"/>
  <c r="EE57" i="5"/>
  <c r="EE152" i="5" s="1"/>
  <c r="EE55" i="5"/>
  <c r="EE54" i="5"/>
  <c r="EE52" i="5"/>
  <c r="EE43" i="5"/>
  <c r="EE133" i="5" s="1"/>
  <c r="EE45" i="5"/>
  <c r="EF45" i="5" s="1"/>
  <c r="EE44" i="5"/>
  <c r="EE38" i="5"/>
  <c r="EE37" i="5"/>
  <c r="EE31" i="5"/>
  <c r="EF31" i="5" s="1"/>
  <c r="EE30" i="5"/>
  <c r="EF30" i="5" s="1"/>
  <c r="EE29" i="5"/>
  <c r="EF29" i="5" s="1"/>
  <c r="EF28" i="5"/>
  <c r="EE27" i="5"/>
  <c r="EF27" i="5" s="1"/>
  <c r="EE10" i="5"/>
  <c r="EE85" i="5" s="1"/>
  <c r="EE17" i="5"/>
  <c r="EF17" i="5" s="1"/>
  <c r="EE20" i="5"/>
  <c r="EE16" i="5"/>
  <c r="EF16" i="5" s="1"/>
  <c r="EG16" i="5" s="1"/>
  <c r="EE18" i="5"/>
  <c r="EE11" i="5"/>
  <c r="EE92" i="5" s="1"/>
  <c r="EE9" i="5"/>
  <c r="EF53" i="5"/>
  <c r="EG53" i="5" s="1"/>
  <c r="EA20" i="5"/>
  <c r="O20" i="5" s="1"/>
  <c r="BB43" i="4"/>
  <c r="BB37" i="4"/>
  <c r="BB32" i="4" s="1"/>
  <c r="BB41" i="4" s="1"/>
  <c r="BB22" i="4"/>
  <c r="BB28" i="4" s="1"/>
  <c r="BC37" i="4"/>
  <c r="BC32" i="4" s="1"/>
  <c r="BC41" i="4" s="1"/>
  <c r="BC43" i="4"/>
  <c r="BC22" i="4"/>
  <c r="BC28" i="4" s="1"/>
  <c r="BD43" i="4"/>
  <c r="BD37" i="4"/>
  <c r="BD22" i="4"/>
  <c r="BD28" i="4" s="1"/>
  <c r="AX43" i="4"/>
  <c r="AX37" i="4"/>
  <c r="AX32" i="4" s="1"/>
  <c r="AX41" i="4" s="1"/>
  <c r="AX22" i="4"/>
  <c r="AX28" i="4" s="1"/>
  <c r="BI43" i="4"/>
  <c r="BI37" i="4"/>
  <c r="BI32" i="4" s="1"/>
  <c r="BI41" i="4" s="1"/>
  <c r="BI22" i="4"/>
  <c r="BI28" i="4" s="1"/>
  <c r="BJ43" i="4"/>
  <c r="BJ37" i="4"/>
  <c r="BJ32" i="4" s="1"/>
  <c r="BJ41" i="4" s="1"/>
  <c r="BJ22" i="4"/>
  <c r="BJ28" i="4" s="1"/>
  <c r="BK22" i="4"/>
  <c r="BK28" i="4" s="1"/>
  <c r="BK43" i="4"/>
  <c r="BK37" i="4"/>
  <c r="BK32" i="4" s="1"/>
  <c r="BK41" i="4" s="1"/>
  <c r="BE43" i="4"/>
  <c r="BE37" i="4"/>
  <c r="BE32" i="4" s="1"/>
  <c r="BE41" i="4" s="1"/>
  <c r="BE22" i="4"/>
  <c r="BE28" i="4" s="1"/>
  <c r="AY54" i="4"/>
  <c r="C54" i="4" s="1"/>
  <c r="AY53" i="4"/>
  <c r="C53" i="4" s="1"/>
  <c r="AY52" i="4"/>
  <c r="C52" i="4" s="1"/>
  <c r="AY51" i="4"/>
  <c r="C51" i="4" s="1"/>
  <c r="AY50" i="4"/>
  <c r="C50" i="4" s="1"/>
  <c r="AY46" i="4"/>
  <c r="C46" i="4" s="1"/>
  <c r="AY45" i="4"/>
  <c r="AW48" i="4"/>
  <c r="AW58" i="4" s="1"/>
  <c r="AV48" i="4"/>
  <c r="AV58" i="4" s="1"/>
  <c r="AU48" i="4"/>
  <c r="AU58" i="4" s="1"/>
  <c r="AY36" i="4"/>
  <c r="C36" i="4" s="1"/>
  <c r="AY35" i="4"/>
  <c r="C35" i="4" s="1"/>
  <c r="AY34" i="4"/>
  <c r="C34" i="4" s="1"/>
  <c r="AY33" i="4"/>
  <c r="C33" i="4" s="1"/>
  <c r="AY26" i="4"/>
  <c r="AY21" i="4"/>
  <c r="C21" i="4" s="1"/>
  <c r="AY20" i="4"/>
  <c r="C20" i="4" s="1"/>
  <c r="AY15" i="4"/>
  <c r="C15" i="4" s="1"/>
  <c r="AY14" i="4"/>
  <c r="C14" i="4" s="1"/>
  <c r="AY13" i="4"/>
  <c r="C13" i="4" s="1"/>
  <c r="AY12" i="4"/>
  <c r="C12" i="4" s="1"/>
  <c r="AY10" i="4"/>
  <c r="C10" i="4" s="1"/>
  <c r="AY9" i="4"/>
  <c r="C9" i="4" s="1"/>
  <c r="BP43" i="4"/>
  <c r="BP22" i="4"/>
  <c r="BP28" i="4" s="1"/>
  <c r="BQ43" i="4"/>
  <c r="BQ37" i="4"/>
  <c r="BQ32" i="4" s="1"/>
  <c r="BQ41" i="4" s="1"/>
  <c r="BQ22" i="4"/>
  <c r="BQ28" i="4" s="1"/>
  <c r="BR43" i="4"/>
  <c r="BR37" i="4"/>
  <c r="BR22" i="4"/>
  <c r="BR28" i="4" s="1"/>
  <c r="BL37" i="4"/>
  <c r="BL43" i="4"/>
  <c r="BM39" i="4"/>
  <c r="E39" i="4" s="1"/>
  <c r="BL22" i="4"/>
  <c r="BM22" i="4" s="1"/>
  <c r="E22" i="4" s="1"/>
  <c r="BL15" i="4"/>
  <c r="BL11" i="4" s="1"/>
  <c r="BL17" i="4" s="1"/>
  <c r="BW43" i="4"/>
  <c r="BW37" i="4"/>
  <c r="BW32" i="4" s="1"/>
  <c r="BW41" i="4" s="1"/>
  <c r="BW22" i="4"/>
  <c r="BW28" i="4" s="1"/>
  <c r="BX43" i="4"/>
  <c r="BX37" i="4"/>
  <c r="BX32" i="4" s="1"/>
  <c r="BX41" i="4" s="1"/>
  <c r="BX22" i="4"/>
  <c r="BX28" i="4" s="1"/>
  <c r="BY43" i="4"/>
  <c r="BY37" i="4"/>
  <c r="BY22" i="4"/>
  <c r="BY28" i="4" s="1"/>
  <c r="BS22" i="4"/>
  <c r="BT22" i="4" s="1"/>
  <c r="F22" i="4" s="1"/>
  <c r="BS43" i="4"/>
  <c r="BS37" i="4"/>
  <c r="BS32" i="4" s="1"/>
  <c r="BS41" i="4" s="1"/>
  <c r="BS15" i="4"/>
  <c r="BS11" i="4" s="1"/>
  <c r="BS17" i="4" s="1"/>
  <c r="CD43" i="4"/>
  <c r="CD37" i="4"/>
  <c r="CD32" i="4" s="1"/>
  <c r="CD41" i="4" s="1"/>
  <c r="CD22" i="4"/>
  <c r="CD28" i="4" s="1"/>
  <c r="CE43" i="4"/>
  <c r="CE37" i="4"/>
  <c r="CE32" i="4" s="1"/>
  <c r="CE41" i="4" s="1"/>
  <c r="CE22" i="4"/>
  <c r="CE28" i="4" s="1"/>
  <c r="CF43" i="4"/>
  <c r="CF37" i="4"/>
  <c r="CF32" i="4" s="1"/>
  <c r="CF41" i="4" s="1"/>
  <c r="CF22" i="4"/>
  <c r="CF28" i="4" s="1"/>
  <c r="BZ43" i="4"/>
  <c r="BZ37" i="4"/>
  <c r="BZ32" i="4" s="1"/>
  <c r="BZ41" i="4" s="1"/>
  <c r="BZ22" i="4"/>
  <c r="CA22" i="4" s="1"/>
  <c r="G22" i="4" s="1"/>
  <c r="BZ15" i="4"/>
  <c r="BM54" i="4"/>
  <c r="E54" i="4" s="1"/>
  <c r="BF54" i="4"/>
  <c r="D54" i="4" s="1"/>
  <c r="BM53" i="4"/>
  <c r="E53" i="4" s="1"/>
  <c r="BF53" i="4"/>
  <c r="D53" i="4" s="1"/>
  <c r="BM52" i="4"/>
  <c r="E52" i="4" s="1"/>
  <c r="BF52" i="4"/>
  <c r="D52" i="4" s="1"/>
  <c r="BM51" i="4"/>
  <c r="E51" i="4" s="1"/>
  <c r="BF51" i="4"/>
  <c r="D51" i="4" s="1"/>
  <c r="BM50" i="4"/>
  <c r="E50" i="4" s="1"/>
  <c r="BF50" i="4"/>
  <c r="D50" i="4" s="1"/>
  <c r="BM46" i="4"/>
  <c r="E46" i="4" s="1"/>
  <c r="BF46" i="4"/>
  <c r="D46" i="4" s="1"/>
  <c r="BM45" i="4"/>
  <c r="BF45" i="4"/>
  <c r="BM36" i="4"/>
  <c r="E36" i="4" s="1"/>
  <c r="BF36" i="4"/>
  <c r="D36" i="4" s="1"/>
  <c r="BM35" i="4"/>
  <c r="E35" i="4" s="1"/>
  <c r="BF35" i="4"/>
  <c r="D35" i="4" s="1"/>
  <c r="BM34" i="4"/>
  <c r="E34" i="4" s="1"/>
  <c r="BF34" i="4"/>
  <c r="D34" i="4" s="1"/>
  <c r="BM33" i="4"/>
  <c r="E33" i="4" s="1"/>
  <c r="BF33" i="4"/>
  <c r="D33" i="4" s="1"/>
  <c r="BM26" i="4"/>
  <c r="BF26" i="4"/>
  <c r="BM21" i="4"/>
  <c r="E21" i="4" s="1"/>
  <c r="BF21" i="4"/>
  <c r="D21" i="4" s="1"/>
  <c r="BM20" i="4"/>
  <c r="E20" i="4" s="1"/>
  <c r="BF20" i="4"/>
  <c r="D20" i="4" s="1"/>
  <c r="BF15" i="4"/>
  <c r="D15" i="4" s="1"/>
  <c r="BM14" i="4"/>
  <c r="E14" i="4" s="1"/>
  <c r="BF14" i="4"/>
  <c r="D14" i="4" s="1"/>
  <c r="BM13" i="4"/>
  <c r="E13" i="4" s="1"/>
  <c r="BF13" i="4"/>
  <c r="D13" i="4" s="1"/>
  <c r="BM12" i="4"/>
  <c r="E12" i="4" s="1"/>
  <c r="BF12" i="4"/>
  <c r="D12" i="4" s="1"/>
  <c r="BM10" i="4"/>
  <c r="E10" i="4" s="1"/>
  <c r="BF10" i="4"/>
  <c r="D10" i="4" s="1"/>
  <c r="BM9" i="4"/>
  <c r="E9" i="4" s="1"/>
  <c r="BF9" i="4"/>
  <c r="D9" i="4" s="1"/>
  <c r="BT54" i="4"/>
  <c r="F54" i="4" s="1"/>
  <c r="BT53" i="4"/>
  <c r="F53" i="4" s="1"/>
  <c r="BT52" i="4"/>
  <c r="F52" i="4" s="1"/>
  <c r="BT51" i="4"/>
  <c r="F51" i="4" s="1"/>
  <c r="BT50" i="4"/>
  <c r="F50" i="4" s="1"/>
  <c r="BT46" i="4"/>
  <c r="F46" i="4" s="1"/>
  <c r="BT45" i="4"/>
  <c r="BT36" i="4"/>
  <c r="F36" i="4" s="1"/>
  <c r="BT35" i="4"/>
  <c r="F35" i="4" s="1"/>
  <c r="BT34" i="4"/>
  <c r="F34" i="4" s="1"/>
  <c r="BT33" i="4"/>
  <c r="F33" i="4" s="1"/>
  <c r="BT26" i="4"/>
  <c r="BT21" i="4"/>
  <c r="F21" i="4" s="1"/>
  <c r="BT20" i="4"/>
  <c r="F20" i="4" s="1"/>
  <c r="BT14" i="4"/>
  <c r="F14" i="4" s="1"/>
  <c r="BT13" i="4"/>
  <c r="F13" i="4" s="1"/>
  <c r="BT12" i="4"/>
  <c r="F12" i="4" s="1"/>
  <c r="BT10" i="4"/>
  <c r="F10" i="4" s="1"/>
  <c r="BT9" i="4"/>
  <c r="F9" i="4" s="1"/>
  <c r="CK43" i="4"/>
  <c r="AQ112" i="5" s="1"/>
  <c r="CK37" i="4"/>
  <c r="CK32" i="4" s="1"/>
  <c r="CK41" i="4" s="1"/>
  <c r="CT22" i="4"/>
  <c r="CT28" i="4" s="1"/>
  <c r="CS22" i="4"/>
  <c r="CS28" i="4" s="1"/>
  <c r="CR22" i="4"/>
  <c r="CR28" i="4" s="1"/>
  <c r="CM22" i="4"/>
  <c r="CM28" i="4" s="1"/>
  <c r="CL22" i="4"/>
  <c r="CL28" i="4" s="1"/>
  <c r="CK22" i="4"/>
  <c r="CK28" i="4" s="1"/>
  <c r="CL43" i="4"/>
  <c r="AR112" i="5" s="1"/>
  <c r="CL37" i="4"/>
  <c r="CL32" i="4" s="1"/>
  <c r="CL41" i="4" s="1"/>
  <c r="CM43" i="4"/>
  <c r="AS112" i="5" s="1"/>
  <c r="CM37" i="4"/>
  <c r="CM32" i="4" s="1"/>
  <c r="CM41" i="4" s="1"/>
  <c r="CG37" i="4"/>
  <c r="CG43" i="4"/>
  <c r="CH43" i="4" s="1"/>
  <c r="H43" i="4" s="1"/>
  <c r="CH54" i="4"/>
  <c r="H54" i="4" s="1"/>
  <c r="CH53" i="4"/>
  <c r="H53" i="4" s="1"/>
  <c r="CH52" i="4"/>
  <c r="H52" i="4" s="1"/>
  <c r="CH51" i="4"/>
  <c r="H51" i="4" s="1"/>
  <c r="CH50" i="4"/>
  <c r="H50" i="4" s="1"/>
  <c r="CH46" i="4"/>
  <c r="H46" i="4" s="1"/>
  <c r="CH45" i="4"/>
  <c r="CH39" i="4"/>
  <c r="H39" i="4" s="1"/>
  <c r="CH36" i="4"/>
  <c r="H36" i="4" s="1"/>
  <c r="CH35" i="4"/>
  <c r="H35" i="4" s="1"/>
  <c r="CH34" i="4"/>
  <c r="H34" i="4" s="1"/>
  <c r="CH33" i="4"/>
  <c r="H33" i="4" s="1"/>
  <c r="CH26" i="4"/>
  <c r="CH21" i="4"/>
  <c r="H21" i="4" s="1"/>
  <c r="CH20" i="4"/>
  <c r="H20" i="4" s="1"/>
  <c r="CH14" i="4"/>
  <c r="H14" i="4" s="1"/>
  <c r="CH13" i="4"/>
  <c r="H13" i="4" s="1"/>
  <c r="CH12" i="4"/>
  <c r="H12" i="4" s="1"/>
  <c r="CH10" i="4"/>
  <c r="H10" i="4" s="1"/>
  <c r="CH9" i="4"/>
  <c r="H9" i="4" s="1"/>
  <c r="CO54" i="4"/>
  <c r="I54" i="4" s="1"/>
  <c r="CO53" i="4"/>
  <c r="I53" i="4" s="1"/>
  <c r="CO52" i="4"/>
  <c r="I52" i="4" s="1"/>
  <c r="CO51" i="4"/>
  <c r="I51" i="4" s="1"/>
  <c r="CO50" i="4"/>
  <c r="I50" i="4" s="1"/>
  <c r="CO46" i="4"/>
  <c r="CO45" i="4"/>
  <c r="AU141" i="5" s="1"/>
  <c r="AU142" i="5" s="1"/>
  <c r="CO39" i="4"/>
  <c r="CO36" i="4"/>
  <c r="I36" i="4" s="1"/>
  <c r="CO35" i="4"/>
  <c r="I35" i="4" s="1"/>
  <c r="CO34" i="4"/>
  <c r="I34" i="4" s="1"/>
  <c r="CO33" i="4"/>
  <c r="CO26" i="4"/>
  <c r="CO21" i="4"/>
  <c r="I21" i="4" s="1"/>
  <c r="CO20" i="4"/>
  <c r="I20" i="4" s="1"/>
  <c r="CO15" i="4"/>
  <c r="CO14" i="4"/>
  <c r="I14" i="4" s="1"/>
  <c r="CO13" i="4"/>
  <c r="CO12" i="4"/>
  <c r="CO10" i="4"/>
  <c r="I10" i="4" s="1"/>
  <c r="CO9" i="4"/>
  <c r="CG22" i="4"/>
  <c r="CH22" i="4" s="1"/>
  <c r="H22" i="4" s="1"/>
  <c r="CG15" i="4"/>
  <c r="CA54" i="4"/>
  <c r="G54" i="4" s="1"/>
  <c r="CA53" i="4"/>
  <c r="G53" i="4" s="1"/>
  <c r="CA52" i="4"/>
  <c r="G52" i="4" s="1"/>
  <c r="CA51" i="4"/>
  <c r="G51" i="4" s="1"/>
  <c r="CA50" i="4"/>
  <c r="G50" i="4" s="1"/>
  <c r="CA46" i="4"/>
  <c r="G46" i="4" s="1"/>
  <c r="CA45" i="4"/>
  <c r="CA36" i="4"/>
  <c r="G36" i="4" s="1"/>
  <c r="CA35" i="4"/>
  <c r="G35" i="4" s="1"/>
  <c r="CA34" i="4"/>
  <c r="G34" i="4" s="1"/>
  <c r="CA33" i="4"/>
  <c r="G33" i="4" s="1"/>
  <c r="CA26" i="4"/>
  <c r="CA21" i="4"/>
  <c r="G21" i="4" s="1"/>
  <c r="CA20" i="4"/>
  <c r="G20" i="4" s="1"/>
  <c r="CA14" i="4"/>
  <c r="G14" i="4" s="1"/>
  <c r="CA13" i="4"/>
  <c r="G13" i="4" s="1"/>
  <c r="CA12" i="4"/>
  <c r="G12" i="4" s="1"/>
  <c r="CA10" i="4"/>
  <c r="G10" i="4" s="1"/>
  <c r="CA9" i="4"/>
  <c r="G9" i="4" s="1"/>
  <c r="CR43" i="4"/>
  <c r="AX112" i="5" s="1"/>
  <c r="AX113" i="5" s="1"/>
  <c r="CR37" i="4"/>
  <c r="CR32" i="4" s="1"/>
  <c r="CR41" i="4" s="1"/>
  <c r="CR112" i="4" s="1"/>
  <c r="CS43" i="4"/>
  <c r="AY112" i="5" s="1"/>
  <c r="AY113" i="5" s="1"/>
  <c r="CS37" i="4"/>
  <c r="CT43" i="4"/>
  <c r="AZ112" i="5" s="1"/>
  <c r="AZ113" i="5" s="1"/>
  <c r="CT37" i="4"/>
  <c r="CT32" i="4" s="1"/>
  <c r="CT41" i="4" s="1"/>
  <c r="CT112" i="4" s="1"/>
  <c r="CN43" i="4"/>
  <c r="AT112" i="5" s="1"/>
  <c r="CN37" i="4"/>
  <c r="CN22" i="4"/>
  <c r="CY43" i="4"/>
  <c r="BE112" i="5" s="1"/>
  <c r="BE113" i="5" s="1"/>
  <c r="CY37" i="4"/>
  <c r="CY32" i="4" s="1"/>
  <c r="CY41" i="4" s="1"/>
  <c r="CY112" i="4" s="1"/>
  <c r="CY22" i="4"/>
  <c r="CY28" i="4" s="1"/>
  <c r="CZ43" i="4"/>
  <c r="BF112" i="5" s="1"/>
  <c r="BF113" i="5" s="1"/>
  <c r="CZ37" i="4"/>
  <c r="CZ22" i="4"/>
  <c r="CZ28" i="4" s="1"/>
  <c r="DA43" i="4"/>
  <c r="BG112" i="5" s="1"/>
  <c r="BG113" i="5" s="1"/>
  <c r="DA37" i="4"/>
  <c r="DA32" i="4" s="1"/>
  <c r="DA41" i="4" s="1"/>
  <c r="DA112" i="4" s="1"/>
  <c r="DA22" i="4"/>
  <c r="DA28" i="4" s="1"/>
  <c r="DF43" i="4"/>
  <c r="BL112" i="5" s="1"/>
  <c r="BL113" i="5" s="1"/>
  <c r="DF37" i="4"/>
  <c r="DF22" i="4"/>
  <c r="DF28" i="4" s="1"/>
  <c r="DG22" i="4"/>
  <c r="DG28" i="4" s="1"/>
  <c r="DG43" i="4"/>
  <c r="BM112" i="5" s="1"/>
  <c r="BM113" i="5" s="1"/>
  <c r="DG37" i="4"/>
  <c r="DH43" i="4"/>
  <c r="BN112" i="5" s="1"/>
  <c r="BN113" i="5" s="1"/>
  <c r="DH37" i="4"/>
  <c r="DH32" i="4" s="1"/>
  <c r="DH41" i="4" s="1"/>
  <c r="DH112" i="4" s="1"/>
  <c r="DH22" i="4"/>
  <c r="DH28" i="4" s="1"/>
  <c r="FN54" i="4"/>
  <c r="T54" i="4" s="1"/>
  <c r="FN53" i="4"/>
  <c r="T53" i="4" s="1"/>
  <c r="FN52" i="4"/>
  <c r="T52" i="4" s="1"/>
  <c r="FN51" i="4"/>
  <c r="T51" i="4" s="1"/>
  <c r="FN50" i="4"/>
  <c r="T50" i="4" s="1"/>
  <c r="FN46" i="4"/>
  <c r="FN45" i="4"/>
  <c r="DT141" i="5" s="1"/>
  <c r="FN43" i="4"/>
  <c r="FN39" i="4"/>
  <c r="DT138" i="5" s="1"/>
  <c r="FN37" i="4"/>
  <c r="T37" i="4" s="1"/>
  <c r="FN36" i="4"/>
  <c r="T36" i="4" s="1"/>
  <c r="FN35" i="4"/>
  <c r="T35" i="4" s="1"/>
  <c r="FN34" i="4"/>
  <c r="T34" i="4" s="1"/>
  <c r="FN33" i="4"/>
  <c r="T33" i="4" s="1"/>
  <c r="FN26" i="4"/>
  <c r="FN22" i="4"/>
  <c r="T22" i="4" s="1"/>
  <c r="FN21" i="4"/>
  <c r="T21" i="4" s="1"/>
  <c r="FN20" i="4"/>
  <c r="T20" i="4" s="1"/>
  <c r="FN15" i="4"/>
  <c r="FN14" i="4"/>
  <c r="T14" i="4" s="1"/>
  <c r="FN13" i="4"/>
  <c r="FN12" i="4"/>
  <c r="T12" i="4" s="1"/>
  <c r="FN10" i="4"/>
  <c r="T10" i="4" s="1"/>
  <c r="FN9" i="4"/>
  <c r="FG54" i="4"/>
  <c r="S54" i="4" s="1"/>
  <c r="FG53" i="4"/>
  <c r="S53" i="4" s="1"/>
  <c r="FG52" i="4"/>
  <c r="S52" i="4" s="1"/>
  <c r="FG51" i="4"/>
  <c r="S51" i="4" s="1"/>
  <c r="FG50" i="4"/>
  <c r="S50" i="4" s="1"/>
  <c r="FG46" i="4"/>
  <c r="FG45" i="4"/>
  <c r="DM141" i="5" s="1"/>
  <c r="FG43" i="4"/>
  <c r="FG39" i="4"/>
  <c r="DM138" i="5" s="1"/>
  <c r="FG37" i="4"/>
  <c r="S37" i="4" s="1"/>
  <c r="FG36" i="4"/>
  <c r="S36" i="4" s="1"/>
  <c r="FG35" i="4"/>
  <c r="S35" i="4" s="1"/>
  <c r="FG34" i="4"/>
  <c r="S34" i="4" s="1"/>
  <c r="FG33" i="4"/>
  <c r="S33" i="4" s="1"/>
  <c r="FG26" i="4"/>
  <c r="FG22" i="4"/>
  <c r="S22" i="4" s="1"/>
  <c r="FG21" i="4"/>
  <c r="S21" i="4" s="1"/>
  <c r="FG20" i="4"/>
  <c r="S20" i="4" s="1"/>
  <c r="FG15" i="4"/>
  <c r="FG14" i="4"/>
  <c r="S14" i="4" s="1"/>
  <c r="FG13" i="4"/>
  <c r="FG12" i="4"/>
  <c r="S12" i="4" s="1"/>
  <c r="FG10" i="4"/>
  <c r="S10" i="4" s="1"/>
  <c r="FG9" i="4"/>
  <c r="EZ54" i="4"/>
  <c r="R54" i="4" s="1"/>
  <c r="EZ53" i="4"/>
  <c r="R53" i="4" s="1"/>
  <c r="EZ52" i="4"/>
  <c r="R52" i="4" s="1"/>
  <c r="EZ51" i="4"/>
  <c r="R51" i="4" s="1"/>
  <c r="EZ50" i="4"/>
  <c r="R50" i="4" s="1"/>
  <c r="EZ46" i="4"/>
  <c r="EZ45" i="4"/>
  <c r="DF141" i="5" s="1"/>
  <c r="EZ43" i="4"/>
  <c r="EZ39" i="4"/>
  <c r="DF138" i="5" s="1"/>
  <c r="EZ37" i="4"/>
  <c r="R37" i="4" s="1"/>
  <c r="EZ36" i="4"/>
  <c r="R36" i="4" s="1"/>
  <c r="EZ35" i="4"/>
  <c r="R35" i="4" s="1"/>
  <c r="EZ34" i="4"/>
  <c r="R34" i="4" s="1"/>
  <c r="EZ33" i="4"/>
  <c r="R33" i="4" s="1"/>
  <c r="EZ26" i="4"/>
  <c r="EZ22" i="4"/>
  <c r="R22" i="4" s="1"/>
  <c r="EZ21" i="4"/>
  <c r="R21" i="4" s="1"/>
  <c r="EZ20" i="4"/>
  <c r="R20" i="4" s="1"/>
  <c r="EZ15" i="4"/>
  <c r="EZ14" i="4"/>
  <c r="R14" i="4" s="1"/>
  <c r="EZ13" i="4"/>
  <c r="EZ12" i="4"/>
  <c r="R12" i="4" s="1"/>
  <c r="EZ10" i="4"/>
  <c r="R10" i="4" s="1"/>
  <c r="EZ9" i="4"/>
  <c r="ES54" i="4"/>
  <c r="Q54" i="4" s="1"/>
  <c r="ES53" i="4"/>
  <c r="Q53" i="4" s="1"/>
  <c r="ES52" i="4"/>
  <c r="Q52" i="4" s="1"/>
  <c r="ES51" i="4"/>
  <c r="Q51" i="4" s="1"/>
  <c r="ES50" i="4"/>
  <c r="Q50" i="4" s="1"/>
  <c r="ES46" i="4"/>
  <c r="ES45" i="4"/>
  <c r="CY141" i="5" s="1"/>
  <c r="ES43" i="4"/>
  <c r="ES39" i="4"/>
  <c r="CY138" i="5" s="1"/>
  <c r="ES37" i="4"/>
  <c r="Q37" i="4" s="1"/>
  <c r="ES36" i="4"/>
  <c r="Q36" i="4" s="1"/>
  <c r="ES35" i="4"/>
  <c r="Q35" i="4" s="1"/>
  <c r="ES34" i="4"/>
  <c r="Q34" i="4" s="1"/>
  <c r="ES33" i="4"/>
  <c r="Q33" i="4" s="1"/>
  <c r="ES26" i="4"/>
  <c r="ES22" i="4"/>
  <c r="Q22" i="4" s="1"/>
  <c r="ES21" i="4"/>
  <c r="Q21" i="4" s="1"/>
  <c r="ES20" i="4"/>
  <c r="Q20" i="4" s="1"/>
  <c r="ES15" i="4"/>
  <c r="ES14" i="4"/>
  <c r="Q14" i="4" s="1"/>
  <c r="ES13" i="4"/>
  <c r="ES12" i="4"/>
  <c r="Q12" i="4" s="1"/>
  <c r="ES10" i="4"/>
  <c r="Q10" i="4" s="1"/>
  <c r="ES9" i="4"/>
  <c r="EL54" i="4"/>
  <c r="P54" i="4" s="1"/>
  <c r="EL53" i="4"/>
  <c r="P53" i="4" s="1"/>
  <c r="EL52" i="4"/>
  <c r="P52" i="4" s="1"/>
  <c r="EL51" i="4"/>
  <c r="P51" i="4" s="1"/>
  <c r="EL50" i="4"/>
  <c r="P50" i="4" s="1"/>
  <c r="EL46" i="4"/>
  <c r="EL45" i="4"/>
  <c r="CR141" i="5" s="1"/>
  <c r="EL43" i="4"/>
  <c r="EL39" i="4"/>
  <c r="CR138" i="5" s="1"/>
  <c r="EL37" i="4"/>
  <c r="P37" i="4" s="1"/>
  <c r="EL36" i="4"/>
  <c r="P36" i="4" s="1"/>
  <c r="EL35" i="4"/>
  <c r="P35" i="4" s="1"/>
  <c r="EL34" i="4"/>
  <c r="P34" i="4" s="1"/>
  <c r="EL33" i="4"/>
  <c r="P33" i="4" s="1"/>
  <c r="EL26" i="4"/>
  <c r="EL22" i="4"/>
  <c r="P22" i="4" s="1"/>
  <c r="EL21" i="4"/>
  <c r="P21" i="4" s="1"/>
  <c r="EL20" i="4"/>
  <c r="P20" i="4" s="1"/>
  <c r="EL15" i="4"/>
  <c r="EL14" i="4"/>
  <c r="P14" i="4" s="1"/>
  <c r="EL13" i="4"/>
  <c r="EL12" i="4"/>
  <c r="P12" i="4" s="1"/>
  <c r="EL10" i="4"/>
  <c r="P10" i="4" s="1"/>
  <c r="EL9" i="4"/>
  <c r="EE54" i="4"/>
  <c r="O54" i="4" s="1"/>
  <c r="EE53" i="4"/>
  <c r="O53" i="4" s="1"/>
  <c r="EE52" i="4"/>
  <c r="O52" i="4" s="1"/>
  <c r="EE51" i="4"/>
  <c r="O51" i="4" s="1"/>
  <c r="EE50" i="4"/>
  <c r="O50" i="4" s="1"/>
  <c r="EE46" i="4"/>
  <c r="EE45" i="4"/>
  <c r="CK141" i="5" s="1"/>
  <c r="EE43" i="4"/>
  <c r="EE39" i="4"/>
  <c r="CK138" i="5" s="1"/>
  <c r="EE37" i="4"/>
  <c r="O37" i="4" s="1"/>
  <c r="EE36" i="4"/>
  <c r="O36" i="4" s="1"/>
  <c r="EE35" i="4"/>
  <c r="O35" i="4" s="1"/>
  <c r="EE34" i="4"/>
  <c r="O34" i="4" s="1"/>
  <c r="EE33" i="4"/>
  <c r="O33" i="4" s="1"/>
  <c r="EE26" i="4"/>
  <c r="EE22" i="4"/>
  <c r="O22" i="4" s="1"/>
  <c r="EE21" i="4"/>
  <c r="O21" i="4" s="1"/>
  <c r="EE20" i="4"/>
  <c r="O20" i="4" s="1"/>
  <c r="EE15" i="4"/>
  <c r="EE14" i="4"/>
  <c r="O14" i="4" s="1"/>
  <c r="EE13" i="4"/>
  <c r="EE12" i="4"/>
  <c r="O12" i="4" s="1"/>
  <c r="EE10" i="4"/>
  <c r="O10" i="4" s="1"/>
  <c r="EE9" i="4"/>
  <c r="DX54" i="4"/>
  <c r="N54" i="4" s="1"/>
  <c r="DX53" i="4"/>
  <c r="N53" i="4" s="1"/>
  <c r="DX52" i="4"/>
  <c r="N52" i="4" s="1"/>
  <c r="DX51" i="4"/>
  <c r="N51" i="4" s="1"/>
  <c r="DX50" i="4"/>
  <c r="N50" i="4" s="1"/>
  <c r="DX46" i="4"/>
  <c r="DX45" i="4"/>
  <c r="CD141" i="5" s="1"/>
  <c r="DX43" i="4"/>
  <c r="DX39" i="4"/>
  <c r="CD138" i="5" s="1"/>
  <c r="DX37" i="4"/>
  <c r="N37" i="4" s="1"/>
  <c r="DX36" i="4"/>
  <c r="N36" i="4" s="1"/>
  <c r="DX35" i="4"/>
  <c r="N35" i="4" s="1"/>
  <c r="DX34" i="4"/>
  <c r="N34" i="4" s="1"/>
  <c r="DX33" i="4"/>
  <c r="N33" i="4" s="1"/>
  <c r="DX26" i="4"/>
  <c r="DX22" i="4"/>
  <c r="N22" i="4" s="1"/>
  <c r="DX21" i="4"/>
  <c r="N21" i="4" s="1"/>
  <c r="DX20" i="4"/>
  <c r="N20" i="4" s="1"/>
  <c r="DX15" i="4"/>
  <c r="DX14" i="4"/>
  <c r="N14" i="4" s="1"/>
  <c r="DX13" i="4"/>
  <c r="DX12" i="4"/>
  <c r="N12" i="4" s="1"/>
  <c r="DX10" i="4"/>
  <c r="N10" i="4" s="1"/>
  <c r="DX9" i="4"/>
  <c r="DJ54" i="4"/>
  <c r="L54" i="4" s="1"/>
  <c r="DJ53" i="4"/>
  <c r="L53" i="4" s="1"/>
  <c r="DJ52" i="4"/>
  <c r="L52" i="4" s="1"/>
  <c r="DJ51" i="4"/>
  <c r="L51" i="4" s="1"/>
  <c r="DJ50" i="4"/>
  <c r="L50" i="4" s="1"/>
  <c r="DJ46" i="4"/>
  <c r="DJ45" i="4"/>
  <c r="BP141" i="5" s="1"/>
  <c r="DJ43" i="4"/>
  <c r="DJ39" i="4"/>
  <c r="BP138" i="5" s="1"/>
  <c r="DJ37" i="4"/>
  <c r="L37" i="4" s="1"/>
  <c r="DJ36" i="4"/>
  <c r="L36" i="4" s="1"/>
  <c r="DJ35" i="4"/>
  <c r="L35" i="4" s="1"/>
  <c r="DJ34" i="4"/>
  <c r="L34" i="4" s="1"/>
  <c r="DJ33" i="4"/>
  <c r="L33" i="4" s="1"/>
  <c r="DJ26" i="4"/>
  <c r="DJ22" i="4"/>
  <c r="L22" i="4" s="1"/>
  <c r="DJ21" i="4"/>
  <c r="L21" i="4" s="1"/>
  <c r="DJ20" i="4"/>
  <c r="L20" i="4" s="1"/>
  <c r="DJ15" i="4"/>
  <c r="DJ14" i="4"/>
  <c r="L14" i="4" s="1"/>
  <c r="DJ13" i="4"/>
  <c r="DJ12" i="4"/>
  <c r="L12" i="4" s="1"/>
  <c r="DJ10" i="4"/>
  <c r="L10" i="4" s="1"/>
  <c r="DJ9" i="4"/>
  <c r="DC54" i="4"/>
  <c r="K54" i="4" s="1"/>
  <c r="DC53" i="4"/>
  <c r="K53" i="4" s="1"/>
  <c r="DC52" i="4"/>
  <c r="K52" i="4" s="1"/>
  <c r="DC51" i="4"/>
  <c r="K51" i="4" s="1"/>
  <c r="DC50" i="4"/>
  <c r="K50" i="4" s="1"/>
  <c r="DC46" i="4"/>
  <c r="DC45" i="4"/>
  <c r="BI141" i="5" s="1"/>
  <c r="DC43" i="4"/>
  <c r="DC39" i="4"/>
  <c r="BI138" i="5" s="1"/>
  <c r="DC37" i="4"/>
  <c r="K37" i="4" s="1"/>
  <c r="DC36" i="4"/>
  <c r="K36" i="4" s="1"/>
  <c r="DC35" i="4"/>
  <c r="K35" i="4" s="1"/>
  <c r="DC34" i="4"/>
  <c r="K34" i="4" s="1"/>
  <c r="DC33" i="4"/>
  <c r="K33" i="4" s="1"/>
  <c r="DC26" i="4"/>
  <c r="DC22" i="4"/>
  <c r="K22" i="4" s="1"/>
  <c r="DC21" i="4"/>
  <c r="K21" i="4" s="1"/>
  <c r="DC20" i="4"/>
  <c r="K20" i="4" s="1"/>
  <c r="DC15" i="4"/>
  <c r="DC14" i="4"/>
  <c r="K14" i="4" s="1"/>
  <c r="DC13" i="4"/>
  <c r="DC12" i="4"/>
  <c r="K12" i="4" s="1"/>
  <c r="DC10" i="4"/>
  <c r="K10" i="4" s="1"/>
  <c r="DC9" i="4"/>
  <c r="CV43" i="4"/>
  <c r="CV39" i="4"/>
  <c r="BB138" i="5" s="1"/>
  <c r="CV14" i="4"/>
  <c r="J14" i="4" s="1"/>
  <c r="CV15" i="4"/>
  <c r="DO48" i="4"/>
  <c r="DO58" i="4" s="1"/>
  <c r="DM48" i="4"/>
  <c r="DM58" i="4" s="1"/>
  <c r="DB48" i="4"/>
  <c r="DB58" i="4" s="1"/>
  <c r="CU48" i="4"/>
  <c r="CU58" i="4" s="1"/>
  <c r="DP48" i="4"/>
  <c r="DP58" i="4" s="1"/>
  <c r="DN48" i="4"/>
  <c r="DN58" i="4" s="1"/>
  <c r="DI48" i="4"/>
  <c r="DI58" i="4" s="1"/>
  <c r="DQ14" i="4"/>
  <c r="M14" i="4" s="1"/>
  <c r="DQ15" i="4"/>
  <c r="DQ39" i="4"/>
  <c r="BW138" i="5" s="1"/>
  <c r="DQ43" i="4"/>
  <c r="CV54" i="4"/>
  <c r="J54" i="4" s="1"/>
  <c r="CV53" i="4"/>
  <c r="J53" i="4" s="1"/>
  <c r="CV52" i="4"/>
  <c r="J52" i="4" s="1"/>
  <c r="CV51" i="4"/>
  <c r="J51" i="4" s="1"/>
  <c r="CV50" i="4"/>
  <c r="J50" i="4" s="1"/>
  <c r="CV46" i="4"/>
  <c r="CV45" i="4"/>
  <c r="BB141" i="5" s="1"/>
  <c r="CV37" i="4"/>
  <c r="J37" i="4" s="1"/>
  <c r="CV36" i="4"/>
  <c r="J36" i="4" s="1"/>
  <c r="CV35" i="4"/>
  <c r="J35" i="4" s="1"/>
  <c r="CV34" i="4"/>
  <c r="J34" i="4" s="1"/>
  <c r="CV33" i="4"/>
  <c r="J33" i="4" s="1"/>
  <c r="CV26" i="4"/>
  <c r="CV22" i="4"/>
  <c r="J22" i="4" s="1"/>
  <c r="CV21" i="4"/>
  <c r="J21" i="4" s="1"/>
  <c r="CV20" i="4"/>
  <c r="J20" i="4" s="1"/>
  <c r="DB112" i="4"/>
  <c r="CU112" i="4"/>
  <c r="CV13" i="4"/>
  <c r="CV12" i="4"/>
  <c r="J12" i="4" s="1"/>
  <c r="CV10" i="4"/>
  <c r="J10" i="4" s="1"/>
  <c r="CV9" i="4"/>
  <c r="DI112" i="4"/>
  <c r="FU39" i="4"/>
  <c r="EA138" i="5" s="1"/>
  <c r="FU43" i="4"/>
  <c r="FU14" i="4"/>
  <c r="U14" i="4" s="1"/>
  <c r="FU15" i="4"/>
  <c r="GB39" i="4"/>
  <c r="EH138" i="5" s="1"/>
  <c r="GB43" i="4"/>
  <c r="GB15" i="4"/>
  <c r="GB14" i="4"/>
  <c r="V14" i="4" s="1"/>
  <c r="BB142" i="5" l="1"/>
  <c r="IF36" i="4"/>
  <c r="GK30" i="5"/>
  <c r="EH139" i="5"/>
  <c r="EO139" i="5"/>
  <c r="Q139" i="5" s="1"/>
  <c r="EA139" i="5"/>
  <c r="BI142" i="5"/>
  <c r="BP142" i="5"/>
  <c r="CK142" i="5"/>
  <c r="CR142" i="5"/>
  <c r="CY142" i="5"/>
  <c r="DF142" i="5"/>
  <c r="DM142" i="5"/>
  <c r="DT142" i="5"/>
  <c r="I39" i="4"/>
  <c r="AU138" i="5"/>
  <c r="BB139" i="5" s="1"/>
  <c r="BW139" i="5"/>
  <c r="BB147" i="5"/>
  <c r="BE145" i="5"/>
  <c r="BI145" i="5"/>
  <c r="BI147" i="5"/>
  <c r="BL145" i="5"/>
  <c r="BI139" i="5"/>
  <c r="E139" i="5" s="1"/>
  <c r="BP145" i="5"/>
  <c r="BP147" i="5"/>
  <c r="BS145" i="5"/>
  <c r="BP139" i="5"/>
  <c r="BW145" i="5"/>
  <c r="CD147" i="5"/>
  <c r="CD139" i="5"/>
  <c r="CG145" i="5"/>
  <c r="CK145" i="5"/>
  <c r="CK147" i="5"/>
  <c r="CR145" i="5"/>
  <c r="J145" i="5" s="1"/>
  <c r="CK139" i="5"/>
  <c r="CN145" i="5"/>
  <c r="CR147" i="5"/>
  <c r="CU145" i="5"/>
  <c r="CR139" i="5"/>
  <c r="CY145" i="5"/>
  <c r="CY147" i="5"/>
  <c r="DF145" i="5"/>
  <c r="DB145" i="5"/>
  <c r="CY139" i="5"/>
  <c r="DF147" i="5"/>
  <c r="DI145" i="5"/>
  <c r="DM145" i="5"/>
  <c r="M145" i="5" s="1"/>
  <c r="DF139" i="5"/>
  <c r="DM147" i="5"/>
  <c r="DP145" i="5"/>
  <c r="DT145" i="5"/>
  <c r="DM139" i="5"/>
  <c r="DT147" i="5"/>
  <c r="EA145" i="5"/>
  <c r="DW145" i="5"/>
  <c r="DT139" i="5"/>
  <c r="IM54" i="4"/>
  <c r="IP54" i="4" s="1"/>
  <c r="GA10" i="1"/>
  <c r="GH11" i="1" s="1"/>
  <c r="CV117" i="4"/>
  <c r="J117" i="4" s="1"/>
  <c r="I45" i="4"/>
  <c r="CO117" i="4"/>
  <c r="I117" i="4" s="1"/>
  <c r="H45" i="4"/>
  <c r="CH117" i="4"/>
  <c r="H117" i="4" s="1"/>
  <c r="G45" i="4"/>
  <c r="CA117" i="4"/>
  <c r="G117" i="4" s="1"/>
  <c r="F45" i="4"/>
  <c r="BT117" i="4"/>
  <c r="F117" i="4" s="1"/>
  <c r="D45" i="4"/>
  <c r="BF117" i="4"/>
  <c r="D117" i="4" s="1"/>
  <c r="E45" i="4"/>
  <c r="BM117" i="4"/>
  <c r="E117" i="4" s="1"/>
  <c r="C45" i="4"/>
  <c r="AY117" i="4"/>
  <c r="C117" i="4" s="1"/>
  <c r="DC117" i="4"/>
  <c r="K117" i="4" s="1"/>
  <c r="DJ117" i="4"/>
  <c r="L117" i="4" s="1"/>
  <c r="DX117" i="4"/>
  <c r="N117" i="4" s="1"/>
  <c r="EE117" i="4"/>
  <c r="O117" i="4" s="1"/>
  <c r="EL117" i="4"/>
  <c r="P117" i="4" s="1"/>
  <c r="ES117" i="4"/>
  <c r="Q117" i="4" s="1"/>
  <c r="EZ117" i="4"/>
  <c r="R117" i="4" s="1"/>
  <c r="FG117" i="4"/>
  <c r="S117" i="4" s="1"/>
  <c r="FN117" i="4"/>
  <c r="T117" i="4" s="1"/>
  <c r="CX54" i="5"/>
  <c r="DD174" i="5" s="1"/>
  <c r="DD77" i="5" s="1"/>
  <c r="CJ54" i="5"/>
  <c r="CJ174" i="5" s="1"/>
  <c r="CJ77" i="5" s="1"/>
  <c r="DL54" i="5"/>
  <c r="DQ174" i="5" s="1"/>
  <c r="DQ77" i="5" s="1"/>
  <c r="DY54" i="5"/>
  <c r="BV54" i="5"/>
  <c r="BV174" i="5" s="1"/>
  <c r="BV77" i="5" s="1"/>
  <c r="DK149" i="5"/>
  <c r="DK150" i="5" s="1"/>
  <c r="IT98" i="1"/>
  <c r="BG149" i="5"/>
  <c r="BG150" i="5" s="1"/>
  <c r="GP98" i="1"/>
  <c r="CP122" i="5"/>
  <c r="DX149" i="5"/>
  <c r="DX150" i="5" s="1"/>
  <c r="JG98" i="1"/>
  <c r="BG174" i="5"/>
  <c r="BG77" i="5" s="1"/>
  <c r="BA149" i="5"/>
  <c r="BA150" i="5" s="1"/>
  <c r="BB150" i="5" s="1"/>
  <c r="D150" i="5" s="1"/>
  <c r="GJ98" i="1"/>
  <c r="DD122" i="5"/>
  <c r="EF54" i="5"/>
  <c r="EG54" i="5" s="1"/>
  <c r="DK127" i="5"/>
  <c r="DK128" i="5" s="1"/>
  <c r="EF55" i="5"/>
  <c r="JN98" i="1"/>
  <c r="BL163" i="5"/>
  <c r="BO149" i="5"/>
  <c r="BO150" i="5" s="1"/>
  <c r="BP150" i="5" s="1"/>
  <c r="F150" i="5" s="1"/>
  <c r="GX98" i="1"/>
  <c r="CB149" i="5"/>
  <c r="CB150" i="5" s="1"/>
  <c r="HK98" i="1"/>
  <c r="DX122" i="5"/>
  <c r="CP149" i="5"/>
  <c r="CP150" i="5" s="1"/>
  <c r="HY98" i="1"/>
  <c r="CI122" i="5"/>
  <c r="DX127" i="5"/>
  <c r="DR149" i="5"/>
  <c r="DR150" i="5" s="1"/>
  <c r="JA98" i="1"/>
  <c r="BE163" i="5"/>
  <c r="CW149" i="5"/>
  <c r="CW150" i="5" s="1"/>
  <c r="IF98" i="1"/>
  <c r="HR98" i="1"/>
  <c r="BA122" i="5"/>
  <c r="BA123" i="5" s="1"/>
  <c r="EE122" i="5"/>
  <c r="AX163" i="5"/>
  <c r="DS54" i="5"/>
  <c r="BG122" i="5"/>
  <c r="CB122" i="5"/>
  <c r="EE127" i="5"/>
  <c r="DD149" i="5"/>
  <c r="IM98" i="1"/>
  <c r="AY163" i="5"/>
  <c r="DD127" i="5"/>
  <c r="DD128" i="5" s="1"/>
  <c r="GH68" i="1"/>
  <c r="GN65" i="1"/>
  <c r="GN67" i="1" s="1"/>
  <c r="GQ65" i="1"/>
  <c r="GQ67" i="1" s="1"/>
  <c r="GQ68" i="1" s="1"/>
  <c r="GI65" i="1"/>
  <c r="GI67" i="1" s="1"/>
  <c r="GP65" i="1"/>
  <c r="GP67" i="1" s="1"/>
  <c r="GW65" i="1"/>
  <c r="GW67" i="1" s="1"/>
  <c r="GX62" i="1"/>
  <c r="GX10" i="1" s="1"/>
  <c r="GV65" i="1"/>
  <c r="GV67" i="1" s="1"/>
  <c r="GU65" i="1"/>
  <c r="GU67" i="1" s="1"/>
  <c r="AE5" i="29"/>
  <c r="AG5" i="29"/>
  <c r="GK13" i="1"/>
  <c r="AE13" i="1" s="1"/>
  <c r="AE24" i="1"/>
  <c r="GR13" i="1"/>
  <c r="AF13" i="1" s="1"/>
  <c r="AF24" i="1"/>
  <c r="GY13" i="1"/>
  <c r="AG13" i="1" s="1"/>
  <c r="AG24" i="1"/>
  <c r="I71" i="4"/>
  <c r="I83" i="4"/>
  <c r="BE88" i="5"/>
  <c r="BE89" i="5" s="1"/>
  <c r="BA88" i="5"/>
  <c r="BA90" i="5" s="1"/>
  <c r="CZ77" i="4"/>
  <c r="CZ78" i="4" s="1"/>
  <c r="CY77" i="4"/>
  <c r="CY78" i="4" s="1"/>
  <c r="CU77" i="4"/>
  <c r="CU78" i="4" s="1"/>
  <c r="CR77" i="4"/>
  <c r="CR78" i="4" s="1"/>
  <c r="CI57" i="5"/>
  <c r="CI152" i="5" s="1"/>
  <c r="CI153" i="5" s="1"/>
  <c r="AT86" i="5"/>
  <c r="AU86" i="5" s="1"/>
  <c r="C86" i="5" s="1"/>
  <c r="CS77" i="4"/>
  <c r="CS78" i="4" s="1"/>
  <c r="CT77" i="4"/>
  <c r="CT78" i="4" s="1"/>
  <c r="CH59" i="5"/>
  <c r="AZ88" i="5"/>
  <c r="AZ90" i="5" s="1"/>
  <c r="AX88" i="5"/>
  <c r="C163" i="5"/>
  <c r="C33" i="5"/>
  <c r="D163" i="5"/>
  <c r="D33" i="5"/>
  <c r="BP163" i="5"/>
  <c r="F163" i="5" s="1"/>
  <c r="F33" i="5"/>
  <c r="BI163" i="5"/>
  <c r="E163" i="5" s="1"/>
  <c r="E33" i="5"/>
  <c r="CY100" i="4"/>
  <c r="CY101" i="4" s="1"/>
  <c r="CZ100" i="4"/>
  <c r="CZ101" i="4" s="1"/>
  <c r="G138" i="5"/>
  <c r="M39" i="4"/>
  <c r="CA24" i="4"/>
  <c r="G24" i="4" s="1"/>
  <c r="G26" i="4"/>
  <c r="CV74" i="4"/>
  <c r="J74" i="4" s="1"/>
  <c r="J71" i="4"/>
  <c r="BB98" i="5"/>
  <c r="D98" i="5" s="1"/>
  <c r="J9" i="4"/>
  <c r="BW102" i="5"/>
  <c r="M15" i="4"/>
  <c r="BB112" i="5"/>
  <c r="J43" i="4"/>
  <c r="DJ74" i="4"/>
  <c r="L74" i="4" s="1"/>
  <c r="L71" i="4"/>
  <c r="BI98" i="5"/>
  <c r="E98" i="5" s="1"/>
  <c r="K9" i="4"/>
  <c r="BP98" i="5"/>
  <c r="F98" i="5" s="1"/>
  <c r="L9" i="4"/>
  <c r="CD98" i="5"/>
  <c r="H98" i="5" s="1"/>
  <c r="N9" i="4"/>
  <c r="CK98" i="5"/>
  <c r="I98" i="5" s="1"/>
  <c r="O9" i="4"/>
  <c r="CR98" i="5"/>
  <c r="J98" i="5" s="1"/>
  <c r="P9" i="4"/>
  <c r="CY98" i="5"/>
  <c r="K98" i="5" s="1"/>
  <c r="Q9" i="4"/>
  <c r="DF98" i="5"/>
  <c r="L98" i="5" s="1"/>
  <c r="R9" i="4"/>
  <c r="DM98" i="5"/>
  <c r="M98" i="5" s="1"/>
  <c r="S9" i="4"/>
  <c r="DT98" i="5"/>
  <c r="N98" i="5" s="1"/>
  <c r="T9" i="4"/>
  <c r="AU98" i="5"/>
  <c r="C98" i="5" s="1"/>
  <c r="I9" i="4"/>
  <c r="DJ84" i="4"/>
  <c r="L84" i="4" s="1"/>
  <c r="L83" i="4"/>
  <c r="D138" i="5"/>
  <c r="J39" i="4"/>
  <c r="I12" i="4"/>
  <c r="BT24" i="4"/>
  <c r="F24" i="4" s="1"/>
  <c r="F26" i="4"/>
  <c r="DC84" i="4"/>
  <c r="K84" i="4" s="1"/>
  <c r="K83" i="4"/>
  <c r="EH102" i="5"/>
  <c r="P102" i="5" s="1"/>
  <c r="V15" i="4"/>
  <c r="BB115" i="5"/>
  <c r="J46" i="4"/>
  <c r="BI105" i="5"/>
  <c r="K13" i="4"/>
  <c r="E138" i="5"/>
  <c r="K39" i="4"/>
  <c r="BP105" i="5"/>
  <c r="L13" i="4"/>
  <c r="F138" i="5"/>
  <c r="L39" i="4"/>
  <c r="CD105" i="5"/>
  <c r="H105" i="5" s="1"/>
  <c r="N13" i="4"/>
  <c r="N39" i="4"/>
  <c r="CK105" i="5"/>
  <c r="I105" i="5" s="1"/>
  <c r="O13" i="4"/>
  <c r="I138" i="5"/>
  <c r="O39" i="4"/>
  <c r="CR105" i="5"/>
  <c r="J105" i="5" s="1"/>
  <c r="P13" i="4"/>
  <c r="J138" i="5"/>
  <c r="P39" i="4"/>
  <c r="CY105" i="5"/>
  <c r="K105" i="5" s="1"/>
  <c r="Q13" i="4"/>
  <c r="Q39" i="4"/>
  <c r="DF105" i="5"/>
  <c r="L105" i="5" s="1"/>
  <c r="R13" i="4"/>
  <c r="L138" i="5"/>
  <c r="R39" i="4"/>
  <c r="DM105" i="5"/>
  <c r="M105" i="5" s="1"/>
  <c r="S13" i="4"/>
  <c r="M138" i="5"/>
  <c r="S39" i="4"/>
  <c r="DT105" i="5"/>
  <c r="N105" i="5" s="1"/>
  <c r="T13" i="4"/>
  <c r="T39" i="4"/>
  <c r="AU105" i="5"/>
  <c r="I13" i="4"/>
  <c r="AU115" i="5"/>
  <c r="C115" i="5" s="1"/>
  <c r="I46" i="4"/>
  <c r="BB105" i="5"/>
  <c r="J13" i="4"/>
  <c r="BI112" i="5"/>
  <c r="K43" i="4"/>
  <c r="BP112" i="5"/>
  <c r="L43" i="4"/>
  <c r="CD112" i="5"/>
  <c r="N43" i="4"/>
  <c r="CK112" i="5"/>
  <c r="O43" i="4"/>
  <c r="CR112" i="5"/>
  <c r="P43" i="4"/>
  <c r="CY112" i="5"/>
  <c r="Q43" i="4"/>
  <c r="DF112" i="5"/>
  <c r="R43" i="4"/>
  <c r="DM112" i="5"/>
  <c r="S43" i="4"/>
  <c r="DT112" i="5"/>
  <c r="N112" i="5" s="1"/>
  <c r="T43" i="4"/>
  <c r="CH24" i="4"/>
  <c r="H24" i="4" s="1"/>
  <c r="H26" i="4"/>
  <c r="AY24" i="4"/>
  <c r="C24" i="4" s="1"/>
  <c r="C26" i="4"/>
  <c r="D141" i="5"/>
  <c r="J45" i="4"/>
  <c r="EH112" i="5"/>
  <c r="P112" i="5" s="1"/>
  <c r="V43" i="4"/>
  <c r="V39" i="4"/>
  <c r="BI102" i="5"/>
  <c r="K15" i="4"/>
  <c r="E141" i="5"/>
  <c r="K45" i="4"/>
  <c r="BP102" i="5"/>
  <c r="L15" i="4"/>
  <c r="F141" i="5"/>
  <c r="L45" i="4"/>
  <c r="CD102" i="5"/>
  <c r="N15" i="4"/>
  <c r="N45" i="4"/>
  <c r="CK102" i="5"/>
  <c r="O15" i="4"/>
  <c r="I141" i="5"/>
  <c r="O45" i="4"/>
  <c r="CR102" i="5"/>
  <c r="P15" i="4"/>
  <c r="J141" i="5"/>
  <c r="P45" i="4"/>
  <c r="CY102" i="5"/>
  <c r="Q15" i="4"/>
  <c r="Q45" i="4"/>
  <c r="DF102" i="5"/>
  <c r="R15" i="4"/>
  <c r="L141" i="5"/>
  <c r="R45" i="4"/>
  <c r="DM102" i="5"/>
  <c r="S15" i="4"/>
  <c r="M141" i="5"/>
  <c r="S45" i="4"/>
  <c r="DT102" i="5"/>
  <c r="N102" i="5" s="1"/>
  <c r="T15" i="4"/>
  <c r="T45" i="4"/>
  <c r="AU102" i="5"/>
  <c r="I15" i="4"/>
  <c r="BF24" i="4"/>
  <c r="D24" i="4" s="1"/>
  <c r="D26" i="4"/>
  <c r="EA102" i="5"/>
  <c r="O102" i="5" s="1"/>
  <c r="U15" i="4"/>
  <c r="BI115" i="5"/>
  <c r="K46" i="4"/>
  <c r="BP115" i="5"/>
  <c r="L46" i="4"/>
  <c r="CD115" i="5"/>
  <c r="N46" i="4"/>
  <c r="CK115" i="5"/>
  <c r="O46" i="4"/>
  <c r="CR115" i="5"/>
  <c r="P46" i="4"/>
  <c r="CY115" i="5"/>
  <c r="Q46" i="4"/>
  <c r="DF115" i="5"/>
  <c r="L115" i="5" s="1"/>
  <c r="R46" i="4"/>
  <c r="DM115" i="5"/>
  <c r="S46" i="4"/>
  <c r="DT115" i="5"/>
  <c r="N115" i="5" s="1"/>
  <c r="T46" i="4"/>
  <c r="BM24" i="4"/>
  <c r="E24" i="4" s="1"/>
  <c r="E26" i="4"/>
  <c r="EA112" i="5"/>
  <c r="O112" i="5" s="1"/>
  <c r="U43" i="4"/>
  <c r="BB102" i="5"/>
  <c r="J15" i="4"/>
  <c r="CO24" i="4"/>
  <c r="I24" i="4" s="1"/>
  <c r="I26" i="4"/>
  <c r="CV24" i="4"/>
  <c r="J24" i="4" s="1"/>
  <c r="J26" i="4"/>
  <c r="U39" i="4"/>
  <c r="BW112" i="5"/>
  <c r="M43" i="4"/>
  <c r="DC24" i="4"/>
  <c r="K24" i="4" s="1"/>
  <c r="K26" i="4"/>
  <c r="DJ24" i="4"/>
  <c r="L24" i="4" s="1"/>
  <c r="L26" i="4"/>
  <c r="DX24" i="4"/>
  <c r="N24" i="4" s="1"/>
  <c r="N26" i="4"/>
  <c r="EE24" i="4"/>
  <c r="O24" i="4" s="1"/>
  <c r="O26" i="4"/>
  <c r="EL24" i="4"/>
  <c r="P24" i="4" s="1"/>
  <c r="P26" i="4"/>
  <c r="ES24" i="4"/>
  <c r="Q24" i="4" s="1"/>
  <c r="Q26" i="4"/>
  <c r="EZ24" i="4"/>
  <c r="R24" i="4" s="1"/>
  <c r="R26" i="4"/>
  <c r="FG24" i="4"/>
  <c r="S24" i="4" s="1"/>
  <c r="S26" i="4"/>
  <c r="FN24" i="4"/>
  <c r="T24" i="4" s="1"/>
  <c r="T26" i="4"/>
  <c r="CO106" i="4"/>
  <c r="I106" i="4" s="1"/>
  <c r="I33" i="4"/>
  <c r="CV84" i="4"/>
  <c r="J84" i="4" s="1"/>
  <c r="J83" i="4"/>
  <c r="CS100" i="4"/>
  <c r="CS101" i="4" s="1"/>
  <c r="CU100" i="4"/>
  <c r="CU101" i="4" s="1"/>
  <c r="GB65" i="1"/>
  <c r="GB67" i="1" s="1"/>
  <c r="AS59" i="5"/>
  <c r="AS63" i="5" s="1"/>
  <c r="GC62" i="1"/>
  <c r="AT57" i="5"/>
  <c r="AT152" i="5" s="1"/>
  <c r="AT153" i="5" s="1"/>
  <c r="AU153" i="5" s="1"/>
  <c r="C153" i="5" s="1"/>
  <c r="BO57" i="5"/>
  <c r="BO152" i="5" s="1"/>
  <c r="BO153" i="5" s="1"/>
  <c r="BP153" i="5" s="1"/>
  <c r="F153" i="5" s="1"/>
  <c r="AZ123" i="5"/>
  <c r="AZ125" i="5" s="1"/>
  <c r="BV10" i="5"/>
  <c r="BV85" i="5" s="1"/>
  <c r="CA88" i="5" s="1"/>
  <c r="CW131" i="5"/>
  <c r="CT100" i="4"/>
  <c r="CT101" i="4" s="1"/>
  <c r="DL10" i="5"/>
  <c r="DL85" i="5" s="1"/>
  <c r="DP88" i="5" s="1"/>
  <c r="AX123" i="5"/>
  <c r="CR100" i="4"/>
  <c r="CR101" i="4" s="1"/>
  <c r="DE37" i="5"/>
  <c r="BA47" i="5"/>
  <c r="BG57" i="5"/>
  <c r="BG152" i="5" s="1"/>
  <c r="BG153" i="5" s="1"/>
  <c r="BF59" i="5"/>
  <c r="CB57" i="5"/>
  <c r="CB152" i="5" s="1"/>
  <c r="CB153" i="5" s="1"/>
  <c r="CA59" i="5"/>
  <c r="AZ93" i="5"/>
  <c r="AZ94" i="5" s="1"/>
  <c r="AX93" i="5"/>
  <c r="AX94" i="5" s="1"/>
  <c r="CQ10" i="5"/>
  <c r="CQ85" i="5" s="1"/>
  <c r="CV88" i="5" s="1"/>
  <c r="CJ10" i="5"/>
  <c r="CJ85" i="5" s="1"/>
  <c r="CJ88" i="5" s="1"/>
  <c r="DA77" i="4"/>
  <c r="DA78" i="4" s="1"/>
  <c r="AT47" i="5"/>
  <c r="CC10" i="5"/>
  <c r="CC85" i="5" s="1"/>
  <c r="CC86" i="5" s="1"/>
  <c r="CD86" i="5" s="1"/>
  <c r="H86" i="5" s="1"/>
  <c r="BH10" i="5"/>
  <c r="BH85" i="5" s="1"/>
  <c r="BN88" i="5" s="1"/>
  <c r="BN90" i="5" s="1"/>
  <c r="CQ37" i="5"/>
  <c r="CX10" i="5"/>
  <c r="CX85" i="5" s="1"/>
  <c r="DC88" i="5" s="1"/>
  <c r="DC89" i="5" s="1"/>
  <c r="CC37" i="5"/>
  <c r="BH37" i="5"/>
  <c r="DA100" i="4"/>
  <c r="DA101" i="4" s="1"/>
  <c r="EE130" i="5"/>
  <c r="EE131" i="5" s="1"/>
  <c r="GA71" i="1"/>
  <c r="CJ37" i="5"/>
  <c r="BB90" i="5"/>
  <c r="D90" i="5" s="1"/>
  <c r="BB125" i="5"/>
  <c r="D125" i="5" s="1"/>
  <c r="BI90" i="5"/>
  <c r="E90" i="5" s="1"/>
  <c r="BI125" i="5"/>
  <c r="E125" i="5" s="1"/>
  <c r="BP90" i="5"/>
  <c r="F90" i="5" s="1"/>
  <c r="BP125" i="5"/>
  <c r="F125" i="5" s="1"/>
  <c r="CD125" i="5"/>
  <c r="H125" i="5" s="1"/>
  <c r="CD90" i="5"/>
  <c r="H90" i="5" s="1"/>
  <c r="CK90" i="5"/>
  <c r="I90" i="5" s="1"/>
  <c r="CK125" i="5"/>
  <c r="I125" i="5" s="1"/>
  <c r="CR125" i="5"/>
  <c r="J125" i="5" s="1"/>
  <c r="CR90" i="5"/>
  <c r="J90" i="5" s="1"/>
  <c r="CY90" i="5"/>
  <c r="K90" i="5" s="1"/>
  <c r="CY125" i="5"/>
  <c r="K125" i="5" s="1"/>
  <c r="DF125" i="5"/>
  <c r="L125" i="5" s="1"/>
  <c r="DF90" i="5"/>
  <c r="L90" i="5" s="1"/>
  <c r="DM125" i="5"/>
  <c r="M125" i="5" s="1"/>
  <c r="DM90" i="5"/>
  <c r="M90" i="5" s="1"/>
  <c r="DT90" i="5"/>
  <c r="N90" i="5" s="1"/>
  <c r="DT125" i="5"/>
  <c r="N125" i="5" s="1"/>
  <c r="AU125" i="5"/>
  <c r="C125" i="5" s="1"/>
  <c r="AU90" i="5"/>
  <c r="C90" i="5" s="1"/>
  <c r="CP134" i="5"/>
  <c r="DD86" i="5"/>
  <c r="DR134" i="5"/>
  <c r="BS88" i="5"/>
  <c r="BU93" i="5"/>
  <c r="BU94" i="5" s="1"/>
  <c r="DD153" i="5"/>
  <c r="DD131" i="5"/>
  <c r="AZ153" i="5"/>
  <c r="AY153" i="5"/>
  <c r="BT93" i="5"/>
  <c r="BT94" i="5" s="1"/>
  <c r="BO88" i="5"/>
  <c r="EE149" i="5"/>
  <c r="EE150" i="5" s="1"/>
  <c r="CI134" i="5"/>
  <c r="CP131" i="5"/>
  <c r="DR131" i="5"/>
  <c r="BO93" i="5"/>
  <c r="BO94" i="5" s="1"/>
  <c r="DD150" i="5"/>
  <c r="BU134" i="5"/>
  <c r="BF93" i="5"/>
  <c r="BF94" i="5" s="1"/>
  <c r="CI131" i="5"/>
  <c r="DR153" i="5"/>
  <c r="DD134" i="5"/>
  <c r="BO131" i="5"/>
  <c r="BP131" i="5" s="1"/>
  <c r="F131" i="5" s="1"/>
  <c r="BN131" i="5"/>
  <c r="BG93" i="5"/>
  <c r="BG94" i="5" s="1"/>
  <c r="CW134" i="5"/>
  <c r="BA93" i="5"/>
  <c r="BA94" i="5" s="1"/>
  <c r="EE86" i="5"/>
  <c r="EE128" i="5"/>
  <c r="EE134" i="5"/>
  <c r="EE153" i="5"/>
  <c r="DY10" i="5"/>
  <c r="DY85" i="5" s="1"/>
  <c r="DX85" i="5"/>
  <c r="DX128" i="5"/>
  <c r="DY44" i="5"/>
  <c r="DY130" i="5" s="1"/>
  <c r="DX130" i="5"/>
  <c r="DX134" i="5"/>
  <c r="DX153" i="5"/>
  <c r="BO37" i="5"/>
  <c r="BN122" i="5"/>
  <c r="BH44" i="5"/>
  <c r="BH130" i="5" s="1"/>
  <c r="BG130" i="5"/>
  <c r="DL44" i="5"/>
  <c r="DL130" i="5" s="1"/>
  <c r="DK130" i="5"/>
  <c r="DL37" i="5"/>
  <c r="DK122" i="5"/>
  <c r="BV37" i="5"/>
  <c r="BU122" i="5"/>
  <c r="CX37" i="5"/>
  <c r="CW122" i="5"/>
  <c r="DS37" i="5"/>
  <c r="DR122" i="5"/>
  <c r="CJ55" i="5"/>
  <c r="CI149" i="5"/>
  <c r="CO59" i="5"/>
  <c r="CO152" i="5"/>
  <c r="BU57" i="5"/>
  <c r="BU152" i="5" s="1"/>
  <c r="BT152" i="5"/>
  <c r="CW57" i="5"/>
  <c r="CW152" i="5" s="1"/>
  <c r="CV152" i="5"/>
  <c r="BG43" i="5"/>
  <c r="BG133" i="5" s="1"/>
  <c r="BF133" i="5"/>
  <c r="AY90" i="5"/>
  <c r="AY89" i="5"/>
  <c r="AY125" i="5"/>
  <c r="AY124" i="5"/>
  <c r="BA125" i="5"/>
  <c r="BA124" i="5"/>
  <c r="AX90" i="5"/>
  <c r="AX89" i="5"/>
  <c r="BF153" i="5"/>
  <c r="BE153" i="5"/>
  <c r="BG123" i="5"/>
  <c r="BF123" i="5"/>
  <c r="BF86" i="5"/>
  <c r="BG88" i="5"/>
  <c r="BF88" i="5"/>
  <c r="BG86" i="5"/>
  <c r="BU88" i="5"/>
  <c r="BU86" i="5"/>
  <c r="BT88" i="5"/>
  <c r="BT86" i="5"/>
  <c r="CA153" i="5"/>
  <c r="BZ153" i="5"/>
  <c r="CA86" i="5"/>
  <c r="CB86" i="5"/>
  <c r="CH153" i="5"/>
  <c r="CG153" i="5"/>
  <c r="CH86" i="5"/>
  <c r="CI86" i="5"/>
  <c r="CO86" i="5"/>
  <c r="CP86" i="5"/>
  <c r="CW86" i="5"/>
  <c r="CV86" i="5"/>
  <c r="DK86" i="5"/>
  <c r="DJ86" i="5"/>
  <c r="BA57" i="5"/>
  <c r="BA152" i="5" s="1"/>
  <c r="BA153" i="5" s="1"/>
  <c r="BB153" i="5" s="1"/>
  <c r="D153" i="5" s="1"/>
  <c r="GB50" i="1"/>
  <c r="GB62" i="1"/>
  <c r="CP57" i="5"/>
  <c r="CP152" i="5" s="1"/>
  <c r="BG13" i="5"/>
  <c r="AZ59" i="5"/>
  <c r="CE48" i="4"/>
  <c r="CE58" i="4" s="1"/>
  <c r="CE59" i="4" s="1"/>
  <c r="DL55" i="5"/>
  <c r="BT59" i="5"/>
  <c r="DE11" i="5"/>
  <c r="DE92" i="5" s="1"/>
  <c r="DI93" i="5" s="1"/>
  <c r="DI94" i="5" s="1"/>
  <c r="BF13" i="5"/>
  <c r="BF33" i="5" s="1"/>
  <c r="CC43" i="5"/>
  <c r="CX43" i="5"/>
  <c r="CX133" i="5" s="1"/>
  <c r="CX134" i="5" s="1"/>
  <c r="CY134" i="5" s="1"/>
  <c r="K134" i="5" s="1"/>
  <c r="DE44" i="5"/>
  <c r="DE130" i="5" s="1"/>
  <c r="DE131" i="5" s="1"/>
  <c r="DF131" i="5" s="1"/>
  <c r="L131" i="5" s="1"/>
  <c r="CJ43" i="5"/>
  <c r="CJ133" i="5" s="1"/>
  <c r="CJ134" i="5" s="1"/>
  <c r="CK134" i="5" s="1"/>
  <c r="I134" i="5" s="1"/>
  <c r="AY37" i="4"/>
  <c r="CC11" i="5"/>
  <c r="CC92" i="5" s="1"/>
  <c r="CG93" i="5" s="1"/>
  <c r="CG94" i="5" s="1"/>
  <c r="CY48" i="4"/>
  <c r="CY58" i="4" s="1"/>
  <c r="CY59" i="4" s="1"/>
  <c r="BV43" i="5"/>
  <c r="BF22" i="4"/>
  <c r="D22" i="4" s="1"/>
  <c r="DL38" i="5"/>
  <c r="BF37" i="4"/>
  <c r="CK48" i="4"/>
  <c r="CK58" i="4" s="1"/>
  <c r="CK59" i="4" s="1"/>
  <c r="BV11" i="5"/>
  <c r="BV92" i="5" s="1"/>
  <c r="BZ93" i="5" s="1"/>
  <c r="BZ94" i="5" s="1"/>
  <c r="CQ11" i="5"/>
  <c r="CQ92" i="5" s="1"/>
  <c r="CU93" i="5" s="1"/>
  <c r="CU94" i="5" s="1"/>
  <c r="GC50" i="1"/>
  <c r="DA48" i="4"/>
  <c r="DA58" i="4" s="1"/>
  <c r="DA59" i="4" s="1"/>
  <c r="CA37" i="4"/>
  <c r="BT37" i="4"/>
  <c r="CF48" i="4"/>
  <c r="CF58" i="4" s="1"/>
  <c r="CF59" i="4" s="1"/>
  <c r="CD48" i="4"/>
  <c r="CD58" i="4" s="1"/>
  <c r="CD59" i="4" s="1"/>
  <c r="AY22" i="4"/>
  <c r="C22" i="4" s="1"/>
  <c r="BJ48" i="4"/>
  <c r="BJ58" i="4" s="1"/>
  <c r="BJ59" i="4" s="1"/>
  <c r="CX44" i="5"/>
  <c r="CX130" i="5" s="1"/>
  <c r="CX131" i="5" s="1"/>
  <c r="CY131" i="5" s="1"/>
  <c r="K131" i="5" s="1"/>
  <c r="GK43" i="1"/>
  <c r="AE43" i="1" s="1"/>
  <c r="GJ51" i="1"/>
  <c r="BS28" i="4"/>
  <c r="BK48" i="4"/>
  <c r="BK58" i="4" s="1"/>
  <c r="BK59" i="4" s="1"/>
  <c r="CL48" i="4"/>
  <c r="CL58" i="4" s="1"/>
  <c r="CL59" i="4" s="1"/>
  <c r="CT48" i="4"/>
  <c r="CT58" i="4" s="1"/>
  <c r="CT59" i="4" s="1"/>
  <c r="CM48" i="4"/>
  <c r="CM58" i="4" s="1"/>
  <c r="CM59" i="4" s="1"/>
  <c r="GC65" i="1"/>
  <c r="GC67" i="1" s="1"/>
  <c r="GJ68" i="1" s="1"/>
  <c r="CR48" i="4"/>
  <c r="CR58" i="4" s="1"/>
  <c r="CR59" i="4" s="1"/>
  <c r="DH48" i="4"/>
  <c r="DH58" i="4" s="1"/>
  <c r="DH59" i="4" s="1"/>
  <c r="CX11" i="5"/>
  <c r="CX92" i="5" s="1"/>
  <c r="DB93" i="5" s="1"/>
  <c r="DB94" i="5" s="1"/>
  <c r="CQ43" i="5"/>
  <c r="CQ133" i="5" s="1"/>
  <c r="CQ134" i="5" s="1"/>
  <c r="CR134" i="5" s="1"/>
  <c r="J134" i="5" s="1"/>
  <c r="AZ33" i="5"/>
  <c r="BH55" i="5"/>
  <c r="BI48" i="4"/>
  <c r="BI58" i="4" s="1"/>
  <c r="BI59" i="4" s="1"/>
  <c r="GW50" i="1"/>
  <c r="GW62" i="1"/>
  <c r="GW10" i="1" s="1"/>
  <c r="DF32" i="4"/>
  <c r="DF41" i="4" s="1"/>
  <c r="DF112" i="4" s="1"/>
  <c r="DF113" i="4" s="1"/>
  <c r="CO37" i="4"/>
  <c r="CN32" i="4"/>
  <c r="CN41" i="4" s="1"/>
  <c r="CN48" i="4" s="1"/>
  <c r="CN58" i="4" s="1"/>
  <c r="BL28" i="4"/>
  <c r="CO43" i="4"/>
  <c r="CH37" i="4"/>
  <c r="CG32" i="4"/>
  <c r="CG41" i="4" s="1"/>
  <c r="CG48" i="4" s="1"/>
  <c r="CG58" i="4" s="1"/>
  <c r="CH58" i="4" s="1"/>
  <c r="H58" i="4" s="1"/>
  <c r="CQ44" i="5"/>
  <c r="CQ130" i="5" s="1"/>
  <c r="CQ131" i="5" s="1"/>
  <c r="CR131" i="5" s="1"/>
  <c r="J131" i="5" s="1"/>
  <c r="CS32" i="4"/>
  <c r="CS41" i="4" s="1"/>
  <c r="CS112" i="4" s="1"/>
  <c r="CS113" i="4" s="1"/>
  <c r="BY32" i="4"/>
  <c r="BY41" i="4" s="1"/>
  <c r="BY48" i="4" s="1"/>
  <c r="BY58" i="4" s="1"/>
  <c r="BY59" i="4" s="1"/>
  <c r="BL32" i="4"/>
  <c r="BL41" i="4" s="1"/>
  <c r="BL48" i="4" s="1"/>
  <c r="BL58" i="4" s="1"/>
  <c r="BM58" i="4" s="1"/>
  <c r="E58" i="4" s="1"/>
  <c r="CH15" i="4"/>
  <c r="CG11" i="4"/>
  <c r="CG17" i="4" s="1"/>
  <c r="CG28" i="4" s="1"/>
  <c r="CZ32" i="4"/>
  <c r="CZ41" i="4" s="1"/>
  <c r="CZ112" i="4" s="1"/>
  <c r="CZ113" i="4" s="1"/>
  <c r="BR32" i="4"/>
  <c r="BR41" i="4" s="1"/>
  <c r="BR48" i="4" s="1"/>
  <c r="BR58" i="4" s="1"/>
  <c r="BR59" i="4" s="1"/>
  <c r="CA15" i="4"/>
  <c r="BZ11" i="4"/>
  <c r="BZ17" i="4" s="1"/>
  <c r="BZ28" i="4" s="1"/>
  <c r="CC55" i="5"/>
  <c r="DG32" i="4"/>
  <c r="DG41" i="4" s="1"/>
  <c r="DG112" i="4" s="1"/>
  <c r="DG113" i="4" s="1"/>
  <c r="BT15" i="4"/>
  <c r="BD32" i="4"/>
  <c r="BD41" i="4" s="1"/>
  <c r="BD48" i="4" s="1"/>
  <c r="BD58" i="4" s="1"/>
  <c r="BD59" i="4" s="1"/>
  <c r="CO22" i="4"/>
  <c r="I22" i="4" s="1"/>
  <c r="CN28" i="4"/>
  <c r="DS55" i="5"/>
  <c r="AT12" i="5"/>
  <c r="AT33" i="5"/>
  <c r="BH54" i="5"/>
  <c r="DE43" i="5"/>
  <c r="DE133" i="5" s="1"/>
  <c r="DE134" i="5" s="1"/>
  <c r="DF134" i="5" s="1"/>
  <c r="L134" i="5" s="1"/>
  <c r="BG26" i="5"/>
  <c r="CV72" i="4"/>
  <c r="J72" i="4" s="1"/>
  <c r="CX55" i="5"/>
  <c r="GY43" i="1"/>
  <c r="AG43" i="1" s="1"/>
  <c r="DJ72" i="4"/>
  <c r="L72" i="4" s="1"/>
  <c r="GV62" i="1"/>
  <c r="GV10" i="1" s="1"/>
  <c r="AR63" i="5"/>
  <c r="DE13" i="5"/>
  <c r="CX13" i="5"/>
  <c r="BF11" i="4"/>
  <c r="AU167" i="5"/>
  <c r="C167" i="5" s="1"/>
  <c r="BA33" i="5"/>
  <c r="BA12" i="5"/>
  <c r="BM12" i="5"/>
  <c r="DS11" i="5"/>
  <c r="DS92" i="5" s="1"/>
  <c r="DS93" i="5" s="1"/>
  <c r="DS94" i="5" s="1"/>
  <c r="DC19" i="4"/>
  <c r="K19" i="4" s="1"/>
  <c r="DJ19" i="4"/>
  <c r="L19" i="4" s="1"/>
  <c r="DX19" i="4"/>
  <c r="N19" i="4" s="1"/>
  <c r="EE19" i="4"/>
  <c r="O19" i="4" s="1"/>
  <c r="EL19" i="4"/>
  <c r="P19" i="4" s="1"/>
  <c r="ES19" i="4"/>
  <c r="Q19" i="4" s="1"/>
  <c r="EZ19" i="4"/>
  <c r="R19" i="4" s="1"/>
  <c r="FG19" i="4"/>
  <c r="S19" i="4" s="1"/>
  <c r="FN19" i="4"/>
  <c r="T19" i="4" s="1"/>
  <c r="CA19" i="4"/>
  <c r="G19" i="4" s="1"/>
  <c r="CO19" i="4"/>
  <c r="I19" i="4" s="1"/>
  <c r="CH19" i="4"/>
  <c r="H19" i="4" s="1"/>
  <c r="BT19" i="4"/>
  <c r="F19" i="4" s="1"/>
  <c r="AY19" i="4"/>
  <c r="C19" i="4" s="1"/>
  <c r="CV19" i="4"/>
  <c r="J19" i="4" s="1"/>
  <c r="FN11" i="4"/>
  <c r="BM19" i="4"/>
  <c r="E19" i="4" s="1"/>
  <c r="BF19" i="4"/>
  <c r="D19" i="4" s="1"/>
  <c r="DC32" i="4"/>
  <c r="DJ32" i="4"/>
  <c r="DX32" i="4"/>
  <c r="EE32" i="4"/>
  <c r="EL32" i="4"/>
  <c r="ES32" i="4"/>
  <c r="EZ32" i="4"/>
  <c r="FG32" i="4"/>
  <c r="FN32" i="4"/>
  <c r="CV106" i="4"/>
  <c r="CV32" i="4"/>
  <c r="AY17" i="4"/>
  <c r="C17" i="4" s="1"/>
  <c r="CV105" i="4"/>
  <c r="CV11" i="4"/>
  <c r="DC56" i="4"/>
  <c r="DJ56" i="4"/>
  <c r="DX56" i="4"/>
  <c r="N56" i="4" s="1"/>
  <c r="EE56" i="4"/>
  <c r="O56" i="4" s="1"/>
  <c r="EL56" i="4"/>
  <c r="ES56" i="4"/>
  <c r="EZ56" i="4"/>
  <c r="FG56" i="4"/>
  <c r="S56" i="4" s="1"/>
  <c r="FN56" i="4"/>
  <c r="AU59" i="4"/>
  <c r="AW59" i="4"/>
  <c r="DC105" i="4"/>
  <c r="DC11" i="4"/>
  <c r="DJ105" i="4"/>
  <c r="DJ11" i="4"/>
  <c r="DX105" i="4"/>
  <c r="DX11" i="4"/>
  <c r="EE105" i="4"/>
  <c r="EE11" i="4"/>
  <c r="EL105" i="4"/>
  <c r="EL11" i="4"/>
  <c r="ES105" i="4"/>
  <c r="ES11" i="4"/>
  <c r="EZ105" i="4"/>
  <c r="EZ11" i="4"/>
  <c r="FG105" i="4"/>
  <c r="FG11" i="4"/>
  <c r="CO11" i="4"/>
  <c r="GW51" i="1"/>
  <c r="DC106" i="4"/>
  <c r="DJ106" i="4"/>
  <c r="AU63" i="5"/>
  <c r="EF11" i="5"/>
  <c r="EF92" i="5" s="1"/>
  <c r="EF38" i="5"/>
  <c r="EF52" i="5"/>
  <c r="EE59" i="5"/>
  <c r="EF56" i="5"/>
  <c r="DY38" i="5"/>
  <c r="DX59" i="5"/>
  <c r="DY57" i="5"/>
  <c r="DY152" i="5" s="1"/>
  <c r="BV52" i="5"/>
  <c r="CJ11" i="5"/>
  <c r="CJ92" i="5" s="1"/>
  <c r="CN93" i="5" s="1"/>
  <c r="CN94" i="5" s="1"/>
  <c r="DL43" i="5"/>
  <c r="DL133" i="5" s="1"/>
  <c r="DL134" i="5" s="1"/>
  <c r="DM134" i="5" s="1"/>
  <c r="M134" i="5" s="1"/>
  <c r="DL11" i="5"/>
  <c r="DL92" i="5" s="1"/>
  <c r="DP93" i="5" s="1"/>
  <c r="DP94" i="5" s="1"/>
  <c r="DS43" i="5"/>
  <c r="DS133" i="5" s="1"/>
  <c r="DS134" i="5" s="1"/>
  <c r="DT134" i="5" s="1"/>
  <c r="N134" i="5" s="1"/>
  <c r="BO54" i="5"/>
  <c r="BN59" i="5"/>
  <c r="DP174" i="5"/>
  <c r="DP77" i="5" s="1"/>
  <c r="DE57" i="5"/>
  <c r="DE152" i="5" s="1"/>
  <c r="DE153" i="5" s="1"/>
  <c r="DF153" i="5" s="1"/>
  <c r="L153" i="5" s="1"/>
  <c r="CI174" i="5"/>
  <c r="CI77" i="5" s="1"/>
  <c r="CG174" i="5"/>
  <c r="CG77" i="5" s="1"/>
  <c r="CH174" i="5"/>
  <c r="CH77" i="5" s="1"/>
  <c r="CC174" i="5"/>
  <c r="CC77" i="5" s="1"/>
  <c r="EF10" i="5"/>
  <c r="EF85" i="5" s="1"/>
  <c r="EF37" i="5"/>
  <c r="EF44" i="5"/>
  <c r="EF130" i="5" s="1"/>
  <c r="DY11" i="5"/>
  <c r="DY92" i="5" s="1"/>
  <c r="DY37" i="5"/>
  <c r="DY43" i="5"/>
  <c r="DY133" i="5" s="1"/>
  <c r="DY55" i="5"/>
  <c r="DK174" i="5"/>
  <c r="DK77" i="5" s="1"/>
  <c r="DE174" i="5"/>
  <c r="DE77" i="5" s="1"/>
  <c r="DJ174" i="5"/>
  <c r="DJ77" i="5" s="1"/>
  <c r="DI174" i="5"/>
  <c r="DI77" i="5" s="1"/>
  <c r="CJ44" i="5"/>
  <c r="CJ130" i="5" s="1"/>
  <c r="CJ131" i="5" s="1"/>
  <c r="CK131" i="5" s="1"/>
  <c r="I131" i="5" s="1"/>
  <c r="CV174" i="5"/>
  <c r="CV77" i="5" s="1"/>
  <c r="CU174" i="5"/>
  <c r="CU77" i="5" s="1"/>
  <c r="CW174" i="5"/>
  <c r="CW77" i="5" s="1"/>
  <c r="CQ174" i="5"/>
  <c r="CQ77" i="5" s="1"/>
  <c r="DE55" i="5"/>
  <c r="DD59" i="5"/>
  <c r="DE10" i="5"/>
  <c r="DL57" i="5"/>
  <c r="DL152" i="5" s="1"/>
  <c r="DL153" i="5" s="1"/>
  <c r="DM153" i="5" s="1"/>
  <c r="M153" i="5" s="1"/>
  <c r="DS44" i="5"/>
  <c r="DS130" i="5" s="1"/>
  <c r="DS131" i="5" s="1"/>
  <c r="DT131" i="5" s="1"/>
  <c r="N131" i="5" s="1"/>
  <c r="DO77" i="4"/>
  <c r="DM77" i="4"/>
  <c r="DI77" i="4"/>
  <c r="DN77" i="4"/>
  <c r="BN47" i="5"/>
  <c r="DS10" i="5"/>
  <c r="DS85" i="5" s="1"/>
  <c r="DS88" i="5" s="1"/>
  <c r="DS57" i="5"/>
  <c r="DS152" i="5" s="1"/>
  <c r="DS153" i="5" s="1"/>
  <c r="DT153" i="5" s="1"/>
  <c r="N153" i="5" s="1"/>
  <c r="DE38" i="5"/>
  <c r="CQ55" i="5"/>
  <c r="BH11" i="5"/>
  <c r="BH92" i="5" s="1"/>
  <c r="BN93" i="5" s="1"/>
  <c r="BN94" i="5" s="1"/>
  <c r="DK59" i="5"/>
  <c r="DR59" i="5"/>
  <c r="DC74" i="4"/>
  <c r="DC72" i="4"/>
  <c r="K72" i="4" s="1"/>
  <c r="GP62" i="1"/>
  <c r="GP10" i="1" s="1"/>
  <c r="GR43" i="1"/>
  <c r="BH26" i="5"/>
  <c r="BH12" i="5" s="1"/>
  <c r="BV26" i="5"/>
  <c r="AQ63" i="5"/>
  <c r="AQ65" i="5" s="1"/>
  <c r="AQ67" i="5" s="1"/>
  <c r="CQ26" i="5"/>
  <c r="BP63" i="5"/>
  <c r="F63" i="5" s="1"/>
  <c r="BL63" i="5"/>
  <c r="AY63" i="5"/>
  <c r="AR165" i="5"/>
  <c r="AQ165" i="5"/>
  <c r="BB63" i="5"/>
  <c r="D63" i="5" s="1"/>
  <c r="BB167" i="5"/>
  <c r="D167" i="5" s="1"/>
  <c r="BE63" i="5"/>
  <c r="AX63" i="5"/>
  <c r="CZ90" i="4"/>
  <c r="CZ110" i="4"/>
  <c r="CY90" i="4"/>
  <c r="CY110" i="4"/>
  <c r="DB90" i="4"/>
  <c r="DB110" i="4"/>
  <c r="DA90" i="4"/>
  <c r="DA110" i="4"/>
  <c r="GV50" i="1"/>
  <c r="GX50" i="1"/>
  <c r="GX65" i="1"/>
  <c r="GX67" i="1" s="1"/>
  <c r="GV51" i="1"/>
  <c r="GO65" i="1"/>
  <c r="GO67" i="1" s="1"/>
  <c r="GO68" i="1" s="1"/>
  <c r="DI97" i="4"/>
  <c r="DH97" i="4"/>
  <c r="GU50" i="1"/>
  <c r="GO62" i="1"/>
  <c r="GO10" i="1" s="1"/>
  <c r="GP51" i="1"/>
  <c r="CZ97" i="4"/>
  <c r="GI50" i="1"/>
  <c r="DG97" i="4"/>
  <c r="GP50" i="1"/>
  <c r="CY97" i="4"/>
  <c r="DA97" i="4"/>
  <c r="DB97" i="4"/>
  <c r="GN50" i="1"/>
  <c r="GU44" i="1"/>
  <c r="DI89" i="4"/>
  <c r="DG89" i="4"/>
  <c r="DH89" i="4"/>
  <c r="DF89" i="4"/>
  <c r="GU47" i="1"/>
  <c r="GQ50" i="1"/>
  <c r="GO51" i="1"/>
  <c r="DF97" i="4"/>
  <c r="GO50" i="1"/>
  <c r="GJ71" i="1"/>
  <c r="GH71" i="1"/>
  <c r="DH113" i="4"/>
  <c r="CR113" i="4"/>
  <c r="CT113" i="4"/>
  <c r="CY113" i="4"/>
  <c r="DA113" i="4"/>
  <c r="DI113" i="4"/>
  <c r="CU113" i="4"/>
  <c r="DB113" i="4"/>
  <c r="CV56" i="4"/>
  <c r="J56" i="4" s="1"/>
  <c r="CO56" i="4"/>
  <c r="CO118" i="4" s="1"/>
  <c r="GN44" i="1"/>
  <c r="CT89" i="4"/>
  <c r="CR89" i="4"/>
  <c r="CU89" i="4"/>
  <c r="CS89" i="4"/>
  <c r="GG47" i="1"/>
  <c r="BZ48" i="4"/>
  <c r="BZ58" i="4" s="1"/>
  <c r="CA58" i="4" s="1"/>
  <c r="G58" i="4" s="1"/>
  <c r="BS48" i="4"/>
  <c r="BS58" i="4" s="1"/>
  <c r="BT58" i="4" s="1"/>
  <c r="F58" i="4" s="1"/>
  <c r="BM15" i="4"/>
  <c r="BM37" i="4"/>
  <c r="E37" i="4" s="1"/>
  <c r="BQ48" i="4"/>
  <c r="BQ58" i="4" s="1"/>
  <c r="BP48" i="4"/>
  <c r="BP58" i="4" s="1"/>
  <c r="BE48" i="4"/>
  <c r="BE58" i="4" s="1"/>
  <c r="BF58" i="4" s="1"/>
  <c r="D58" i="4" s="1"/>
  <c r="BB48" i="4"/>
  <c r="BB58" i="4" s="1"/>
  <c r="BB66" i="5"/>
  <c r="D66" i="5" s="1"/>
  <c r="BI66" i="5"/>
  <c r="E66" i="5" s="1"/>
  <c r="CD66" i="5"/>
  <c r="H66" i="5" s="1"/>
  <c r="CR66" i="5"/>
  <c r="J66" i="5" s="1"/>
  <c r="DF66" i="5"/>
  <c r="L66" i="5" s="1"/>
  <c r="DT66" i="5"/>
  <c r="N66" i="5" s="1"/>
  <c r="BW48" i="4"/>
  <c r="BW58" i="4" s="1"/>
  <c r="AV59" i="4"/>
  <c r="BP66" i="5"/>
  <c r="F66" i="5" s="1"/>
  <c r="CK66" i="5"/>
  <c r="I66" i="5" s="1"/>
  <c r="CY66" i="5"/>
  <c r="K66" i="5" s="1"/>
  <c r="DM66" i="5"/>
  <c r="M66" i="5" s="1"/>
  <c r="AU66" i="5"/>
  <c r="C66" i="5" s="1"/>
  <c r="GQ51" i="1"/>
  <c r="GI62" i="1"/>
  <c r="GI10" i="1" s="1"/>
  <c r="GQ62" i="1"/>
  <c r="GI51" i="1"/>
  <c r="GX51" i="1"/>
  <c r="GU51" i="1"/>
  <c r="GY36" i="1"/>
  <c r="GG49" i="1"/>
  <c r="GR36" i="1"/>
  <c r="GY49" i="1"/>
  <c r="GU62" i="1"/>
  <c r="GU10" i="1" s="1"/>
  <c r="GR49" i="1"/>
  <c r="GN62" i="1"/>
  <c r="GN10" i="1" s="1"/>
  <c r="DZ18" i="5"/>
  <c r="CQ13" i="5"/>
  <c r="DZ53" i="5"/>
  <c r="DZ17" i="5"/>
  <c r="EF9" i="5"/>
  <c r="EG9" i="5" s="1"/>
  <c r="EF18" i="5"/>
  <c r="EG18" i="5" s="1"/>
  <c r="EF20" i="5"/>
  <c r="EG20" i="5" s="1"/>
  <c r="EG17" i="5"/>
  <c r="EG27" i="5"/>
  <c r="EG29" i="5"/>
  <c r="EG31" i="5"/>
  <c r="EG45" i="5"/>
  <c r="DZ27" i="5"/>
  <c r="DZ31" i="5"/>
  <c r="DZ52" i="5"/>
  <c r="DZ54" i="5"/>
  <c r="BI63" i="5"/>
  <c r="E63" i="5" s="1"/>
  <c r="BN26" i="5"/>
  <c r="BN33" i="5" s="1"/>
  <c r="BM33" i="5"/>
  <c r="CJ26" i="5"/>
  <c r="BO26" i="5"/>
  <c r="DS26" i="5"/>
  <c r="EG28" i="5"/>
  <c r="EG30" i="5"/>
  <c r="DZ9" i="5"/>
  <c r="DZ16" i="5"/>
  <c r="DZ20" i="5"/>
  <c r="DZ29" i="5"/>
  <c r="DZ45" i="5"/>
  <c r="EF43" i="5"/>
  <c r="EF133" i="5" s="1"/>
  <c r="EF57" i="5"/>
  <c r="EF152" i="5" s="1"/>
  <c r="DZ28" i="5"/>
  <c r="DZ30" i="5"/>
  <c r="CC26" i="5"/>
  <c r="DL13" i="5"/>
  <c r="CX26" i="5"/>
  <c r="DE26" i="5"/>
  <c r="BO17" i="5"/>
  <c r="BO13" i="5" s="1"/>
  <c r="DL26" i="5"/>
  <c r="DY26" i="5"/>
  <c r="AX48" i="4"/>
  <c r="AX58" i="4" s="1"/>
  <c r="AY58" i="4" s="1"/>
  <c r="C58" i="4" s="1"/>
  <c r="BC48" i="4"/>
  <c r="BC58" i="4" s="1"/>
  <c r="BX48" i="4"/>
  <c r="BX58" i="4" s="1"/>
  <c r="IQ54" i="4" l="1"/>
  <c r="DR174" i="5"/>
  <c r="DR77" i="5" s="1"/>
  <c r="CZ86" i="4"/>
  <c r="CZ123" i="4" s="1"/>
  <c r="DY174" i="5"/>
  <c r="DY77" i="5" s="1"/>
  <c r="CK146" i="5"/>
  <c r="BE123" i="5"/>
  <c r="BE124" i="5" s="1"/>
  <c r="CN174" i="5"/>
  <c r="CN77" i="5" s="1"/>
  <c r="CO174" i="5"/>
  <c r="CO77" i="5" s="1"/>
  <c r="CY86" i="4"/>
  <c r="CY123" i="4" s="1"/>
  <c r="DX174" i="5"/>
  <c r="DX77" i="5" s="1"/>
  <c r="GU68" i="1"/>
  <c r="CP174" i="5"/>
  <c r="CP77" i="5" s="1"/>
  <c r="CT86" i="4"/>
  <c r="CT126" i="4" s="1"/>
  <c r="DS174" i="5"/>
  <c r="DS77" i="5" s="1"/>
  <c r="DW174" i="5"/>
  <c r="DW77" i="5" s="1"/>
  <c r="EF149" i="5"/>
  <c r="EF150" i="5" s="1"/>
  <c r="CY146" i="5"/>
  <c r="CB174" i="5"/>
  <c r="CB77" i="5" s="1"/>
  <c r="BZ174" i="5"/>
  <c r="BZ77" i="5" s="1"/>
  <c r="CA174" i="5"/>
  <c r="CA77" i="5" s="1"/>
  <c r="DL174" i="5"/>
  <c r="DL77" i="5" s="1"/>
  <c r="EG55" i="5"/>
  <c r="DF146" i="5"/>
  <c r="GL30" i="5"/>
  <c r="II36" i="4"/>
  <c r="AD36" i="4"/>
  <c r="CY144" i="5"/>
  <c r="K145" i="5"/>
  <c r="CN144" i="5"/>
  <c r="HW41" i="1" s="1"/>
  <c r="CN146" i="5"/>
  <c r="CK144" i="5"/>
  <c r="I145" i="5"/>
  <c r="G145" i="5"/>
  <c r="BP144" i="5"/>
  <c r="F145" i="5"/>
  <c r="BI144" i="5"/>
  <c r="E145" i="5"/>
  <c r="AU147" i="5"/>
  <c r="C147" i="5" s="1"/>
  <c r="AU139" i="5"/>
  <c r="C139" i="5" s="1"/>
  <c r="AX145" i="5"/>
  <c r="BB145" i="5"/>
  <c r="BB146" i="5" s="1"/>
  <c r="D146" i="5" s="1"/>
  <c r="DW144" i="5"/>
  <c r="JF41" i="1" s="1"/>
  <c r="DW146" i="5"/>
  <c r="DT144" i="5"/>
  <c r="N145" i="5"/>
  <c r="DB146" i="5"/>
  <c r="DB144" i="5"/>
  <c r="CG144" i="5"/>
  <c r="CG146" i="5"/>
  <c r="O145" i="5"/>
  <c r="DP144" i="5"/>
  <c r="DP146" i="5"/>
  <c r="DI144" i="5"/>
  <c r="DI146" i="5"/>
  <c r="DF144" i="5"/>
  <c r="L145" i="5"/>
  <c r="CU144" i="5"/>
  <c r="CU146" i="5"/>
  <c r="BS144" i="5"/>
  <c r="BS146" i="5"/>
  <c r="BL144" i="5"/>
  <c r="BL146" i="5"/>
  <c r="BE144" i="5"/>
  <c r="GN41" i="1" s="1"/>
  <c r="BE146" i="5"/>
  <c r="DT146" i="5"/>
  <c r="DM146" i="5"/>
  <c r="DM144" i="5"/>
  <c r="CR144" i="5"/>
  <c r="CR146" i="5"/>
  <c r="BP146" i="5"/>
  <c r="BI146" i="5"/>
  <c r="AE54" i="4"/>
  <c r="GB10" i="1"/>
  <c r="GI11" i="1" s="1"/>
  <c r="CX174" i="5"/>
  <c r="CX77" i="5" s="1"/>
  <c r="DC174" i="5"/>
  <c r="DC77" i="5" s="1"/>
  <c r="DB174" i="5"/>
  <c r="DB77" i="5" s="1"/>
  <c r="AX165" i="5"/>
  <c r="CO119" i="4"/>
  <c r="I119" i="4" s="1"/>
  <c r="CO120" i="4"/>
  <c r="I120" i="4" s="1"/>
  <c r="M139" i="5"/>
  <c r="CJ57" i="5"/>
  <c r="CJ152" i="5" s="1"/>
  <c r="CJ153" i="5" s="1"/>
  <c r="CK153" i="5" s="1"/>
  <c r="I153" i="5" s="1"/>
  <c r="CI59" i="5"/>
  <c r="AY165" i="5"/>
  <c r="EF127" i="5"/>
  <c r="EF128" i="5" s="1"/>
  <c r="DL127" i="5"/>
  <c r="DL128" i="5" s="1"/>
  <c r="DM128" i="5" s="1"/>
  <c r="M128" i="5" s="1"/>
  <c r="BV122" i="5"/>
  <c r="CB123" i="5" s="1"/>
  <c r="CB124" i="5" s="1"/>
  <c r="CQ122" i="5"/>
  <c r="CV123" i="5" s="1"/>
  <c r="CV125" i="5" s="1"/>
  <c r="BL174" i="5"/>
  <c r="BL77" i="5" s="1"/>
  <c r="DL149" i="5"/>
  <c r="DL150" i="5" s="1"/>
  <c r="DM150" i="5" s="1"/>
  <c r="M150" i="5" s="1"/>
  <c r="IU98" i="1"/>
  <c r="DL122" i="5"/>
  <c r="DQ123" i="5" s="1"/>
  <c r="DE122" i="5"/>
  <c r="DI123" i="5" s="1"/>
  <c r="DI124" i="5" s="1"/>
  <c r="BM163" i="5"/>
  <c r="CJ122" i="5"/>
  <c r="CJ123" i="5" s="1"/>
  <c r="CJ125" i="5" s="1"/>
  <c r="BN163" i="5"/>
  <c r="DS149" i="5"/>
  <c r="DS150" i="5" s="1"/>
  <c r="DT150" i="5" s="1"/>
  <c r="N150" i="5" s="1"/>
  <c r="JB98" i="1"/>
  <c r="CQ149" i="5"/>
  <c r="CQ150" i="5" s="1"/>
  <c r="CR150" i="5" s="1"/>
  <c r="J150" i="5" s="1"/>
  <c r="HZ98" i="1"/>
  <c r="DY149" i="5"/>
  <c r="JH98" i="1"/>
  <c r="CJ149" i="5"/>
  <c r="CJ150" i="5" s="1"/>
  <c r="CK150" i="5" s="1"/>
  <c r="I150" i="5" s="1"/>
  <c r="HS98" i="1"/>
  <c r="L139" i="5"/>
  <c r="CC149" i="5"/>
  <c r="CC150" i="5" s="1"/>
  <c r="CD150" i="5" s="1"/>
  <c r="H150" i="5" s="1"/>
  <c r="HL98" i="1"/>
  <c r="BU174" i="5"/>
  <c r="BU77" i="5" s="1"/>
  <c r="CX149" i="5"/>
  <c r="CX150" i="5" s="1"/>
  <c r="CY150" i="5" s="1"/>
  <c r="K150" i="5" s="1"/>
  <c r="IG98" i="1"/>
  <c r="DE127" i="5"/>
  <c r="DE128" i="5" s="1"/>
  <c r="DF128" i="5" s="1"/>
  <c r="L128" i="5" s="1"/>
  <c r="DE149" i="5"/>
  <c r="DE150" i="5" s="1"/>
  <c r="DF150" i="5" s="1"/>
  <c r="L150" i="5" s="1"/>
  <c r="IN98" i="1"/>
  <c r="DS122" i="5"/>
  <c r="DX123" i="5" s="1"/>
  <c r="DX125" i="5" s="1"/>
  <c r="BO122" i="5"/>
  <c r="BU123" i="5" s="1"/>
  <c r="I139" i="5"/>
  <c r="DZ174" i="5"/>
  <c r="DZ77" i="5" s="1"/>
  <c r="EM174" i="5"/>
  <c r="EM77" i="5" s="1"/>
  <c r="DY127" i="5"/>
  <c r="DY128" i="5" s="1"/>
  <c r="BH149" i="5"/>
  <c r="BH150" i="5" s="1"/>
  <c r="BI150" i="5" s="1"/>
  <c r="E150" i="5" s="1"/>
  <c r="GQ98" i="1"/>
  <c r="BH122" i="5"/>
  <c r="BL123" i="5" s="1"/>
  <c r="BL125" i="5" s="1"/>
  <c r="JO98" i="1"/>
  <c r="CC122" i="5"/>
  <c r="CG123" i="5" s="1"/>
  <c r="CG125" i="5" s="1"/>
  <c r="BA163" i="5"/>
  <c r="AZ163" i="5"/>
  <c r="CX122" i="5"/>
  <c r="DD123" i="5" s="1"/>
  <c r="DD124" i="5" s="1"/>
  <c r="EF122" i="5"/>
  <c r="BF163" i="5"/>
  <c r="GP68" i="1"/>
  <c r="GX68" i="1"/>
  <c r="CN88" i="5"/>
  <c r="CN89" i="5" s="1"/>
  <c r="EH77" i="4"/>
  <c r="EH78" i="4" s="1"/>
  <c r="CU86" i="4"/>
  <c r="CU87" i="4" s="1"/>
  <c r="GR14" i="1"/>
  <c r="AF14" i="1" s="1"/>
  <c r="GW68" i="1"/>
  <c r="GG65" i="1"/>
  <c r="GG67" i="1" s="1"/>
  <c r="GN68" i="1" s="1"/>
  <c r="GO11" i="1"/>
  <c r="GI68" i="1"/>
  <c r="J142" i="5"/>
  <c r="D142" i="5"/>
  <c r="D147" i="5"/>
  <c r="J147" i="5"/>
  <c r="AT163" i="5"/>
  <c r="AT165" i="5" s="1"/>
  <c r="AU165" i="5" s="1"/>
  <c r="C165" i="5" s="1"/>
  <c r="D139" i="5"/>
  <c r="G139" i="5"/>
  <c r="CV86" i="4"/>
  <c r="CV125" i="4" s="1"/>
  <c r="J125" i="4" s="1"/>
  <c r="DJ86" i="4"/>
  <c r="DJ126" i="4" s="1"/>
  <c r="L126" i="4" s="1"/>
  <c r="CV75" i="4"/>
  <c r="J75" i="4" s="1"/>
  <c r="DJ75" i="4"/>
  <c r="L75" i="4" s="1"/>
  <c r="F142" i="5"/>
  <c r="CR86" i="4"/>
  <c r="CR123" i="4" s="1"/>
  <c r="I142" i="5"/>
  <c r="E142" i="5"/>
  <c r="L147" i="5"/>
  <c r="BA89" i="5"/>
  <c r="BE90" i="5"/>
  <c r="M142" i="5"/>
  <c r="L142" i="5"/>
  <c r="I147" i="5"/>
  <c r="AU110" i="5"/>
  <c r="C110" i="5" s="1"/>
  <c r="GY14" i="1"/>
  <c r="AG14" i="1" s="1"/>
  <c r="GR65" i="1"/>
  <c r="AF65" i="1" s="1"/>
  <c r="AF49" i="1"/>
  <c r="GY65" i="1"/>
  <c r="AG65" i="1" s="1"/>
  <c r="AG49" i="1"/>
  <c r="DC89" i="4"/>
  <c r="K89" i="4" s="1"/>
  <c r="AF43" i="1"/>
  <c r="JH97" i="29"/>
  <c r="AP97" i="29" s="1"/>
  <c r="GC71" i="1"/>
  <c r="GC10" i="1"/>
  <c r="GJ11" i="1" s="1"/>
  <c r="CS86" i="4"/>
  <c r="CS123" i="4" s="1"/>
  <c r="BP167" i="5"/>
  <c r="F167" i="5" s="1"/>
  <c r="BI167" i="5"/>
  <c r="BI173" i="5" s="1"/>
  <c r="BI175" i="5" s="1"/>
  <c r="BE125" i="5"/>
  <c r="DF116" i="5"/>
  <c r="L116" i="5" s="1"/>
  <c r="AZ89" i="5"/>
  <c r="M147" i="5"/>
  <c r="BB103" i="5"/>
  <c r="D103" i="5" s="1"/>
  <c r="D102" i="5"/>
  <c r="CY116" i="5"/>
  <c r="K116" i="5" s="1"/>
  <c r="K115" i="5"/>
  <c r="DM103" i="5"/>
  <c r="M103" i="5" s="1"/>
  <c r="M102" i="5"/>
  <c r="CR103" i="5"/>
  <c r="J103" i="5" s="1"/>
  <c r="J102" i="5"/>
  <c r="BP103" i="5"/>
  <c r="F103" i="5" s="1"/>
  <c r="F102" i="5"/>
  <c r="CR113" i="5"/>
  <c r="J113" i="5" s="1"/>
  <c r="J112" i="5"/>
  <c r="C142" i="5"/>
  <c r="C141" i="5"/>
  <c r="CR116" i="5"/>
  <c r="J116" i="5" s="1"/>
  <c r="J115" i="5"/>
  <c r="CK113" i="5"/>
  <c r="I113" i="5" s="1"/>
  <c r="I112" i="5"/>
  <c r="AU106" i="5"/>
  <c r="C106" i="5" s="1"/>
  <c r="C105" i="5"/>
  <c r="BI106" i="5"/>
  <c r="E106" i="5" s="1"/>
  <c r="E105" i="5"/>
  <c r="C138" i="5"/>
  <c r="C102" i="5"/>
  <c r="BI103" i="5"/>
  <c r="E103" i="5" s="1"/>
  <c r="E102" i="5"/>
  <c r="N139" i="5"/>
  <c r="N138" i="5"/>
  <c r="BB113" i="5"/>
  <c r="D113" i="5" s="1"/>
  <c r="D112" i="5"/>
  <c r="F147" i="5"/>
  <c r="CK116" i="5"/>
  <c r="I116" i="5" s="1"/>
  <c r="I115" i="5"/>
  <c r="CK103" i="5"/>
  <c r="I103" i="5" s="1"/>
  <c r="I102" i="5"/>
  <c r="CD113" i="5"/>
  <c r="H113" i="5" s="1"/>
  <c r="H112" i="5"/>
  <c r="O139" i="5"/>
  <c r="O138" i="5"/>
  <c r="CD116" i="5"/>
  <c r="H116" i="5" s="1"/>
  <c r="H115" i="5"/>
  <c r="N141" i="5"/>
  <c r="K142" i="5"/>
  <c r="K141" i="5"/>
  <c r="H141" i="5"/>
  <c r="P138" i="5"/>
  <c r="DM113" i="5"/>
  <c r="M113" i="5" s="1"/>
  <c r="M112" i="5"/>
  <c r="BP113" i="5"/>
  <c r="F113" i="5" s="1"/>
  <c r="F112" i="5"/>
  <c r="BW103" i="5"/>
  <c r="G103" i="5" s="1"/>
  <c r="G102" i="5"/>
  <c r="BW113" i="5"/>
  <c r="G113" i="5" s="1"/>
  <c r="G112" i="5"/>
  <c r="DF103" i="5"/>
  <c r="L103" i="5" s="1"/>
  <c r="L102" i="5"/>
  <c r="K139" i="5"/>
  <c r="K138" i="5"/>
  <c r="H139" i="5"/>
  <c r="H138" i="5"/>
  <c r="BB117" i="5"/>
  <c r="D117" i="5" s="1"/>
  <c r="D115" i="5"/>
  <c r="F139" i="5"/>
  <c r="E147" i="5"/>
  <c r="DM116" i="5"/>
  <c r="M116" i="5" s="1"/>
  <c r="M115" i="5"/>
  <c r="BP117" i="5"/>
  <c r="F117" i="5" s="1"/>
  <c r="F115" i="5"/>
  <c r="CY103" i="5"/>
  <c r="K103" i="5" s="1"/>
  <c r="K102" i="5"/>
  <c r="CD103" i="5"/>
  <c r="H103" i="5" s="1"/>
  <c r="H102" i="5"/>
  <c r="DF113" i="5"/>
  <c r="L113" i="5" s="1"/>
  <c r="L112" i="5"/>
  <c r="BI113" i="5"/>
  <c r="E113" i="5" s="1"/>
  <c r="E112" i="5"/>
  <c r="BI116" i="5"/>
  <c r="E116" i="5" s="1"/>
  <c r="E115" i="5"/>
  <c r="CY113" i="5"/>
  <c r="K113" i="5" s="1"/>
  <c r="K112" i="5"/>
  <c r="BB106" i="5"/>
  <c r="D106" i="5" s="1"/>
  <c r="D105" i="5"/>
  <c r="BP106" i="5"/>
  <c r="F106" i="5" s="1"/>
  <c r="F105" i="5"/>
  <c r="J139" i="5"/>
  <c r="AU65" i="5"/>
  <c r="AU67" i="5" s="1"/>
  <c r="C67" i="5" s="1"/>
  <c r="C63" i="5"/>
  <c r="DT77" i="4"/>
  <c r="DT78" i="4" s="1"/>
  <c r="DV77" i="4"/>
  <c r="DV78" i="4" s="1"/>
  <c r="DP77" i="4"/>
  <c r="DP78" i="4" s="1"/>
  <c r="DU77" i="4"/>
  <c r="DU78" i="4" s="1"/>
  <c r="CB88" i="5"/>
  <c r="CB89" i="5" s="1"/>
  <c r="BV86" i="5"/>
  <c r="BW86" i="5" s="1"/>
  <c r="G86" i="5" s="1"/>
  <c r="BV88" i="5"/>
  <c r="BV89" i="5" s="1"/>
  <c r="BP116" i="5"/>
  <c r="F116" i="5" s="1"/>
  <c r="N142" i="5"/>
  <c r="P139" i="5"/>
  <c r="BB116" i="5"/>
  <c r="D116" i="5" s="1"/>
  <c r="K144" i="5"/>
  <c r="H147" i="5"/>
  <c r="BT32" i="4"/>
  <c r="F37" i="4"/>
  <c r="DC41" i="4"/>
  <c r="K32" i="4"/>
  <c r="CY100" i="5"/>
  <c r="K100" i="5" s="1"/>
  <c r="Q105" i="4"/>
  <c r="BF17" i="4"/>
  <c r="D17" i="4" s="1"/>
  <c r="D11" i="4"/>
  <c r="CA32" i="4"/>
  <c r="G37" i="4"/>
  <c r="AY32" i="4"/>
  <c r="C37" i="4"/>
  <c r="BP110" i="5"/>
  <c r="F110" i="5" s="1"/>
  <c r="L106" i="4"/>
  <c r="EL17" i="4"/>
  <c r="P17" i="4" s="1"/>
  <c r="P11" i="4"/>
  <c r="FN120" i="4"/>
  <c r="T120" i="4" s="1"/>
  <c r="T56" i="4"/>
  <c r="CV41" i="4"/>
  <c r="J32" i="4"/>
  <c r="BM11" i="4"/>
  <c r="E15" i="4"/>
  <c r="BI110" i="5"/>
  <c r="E110" i="5" s="1"/>
  <c r="K106" i="4"/>
  <c r="CR100" i="5"/>
  <c r="J100" i="5" s="1"/>
  <c r="P105" i="4"/>
  <c r="BB110" i="5"/>
  <c r="D110" i="5" s="1"/>
  <c r="J106" i="4"/>
  <c r="FN17" i="4"/>
  <c r="T17" i="4" s="1"/>
  <c r="T11" i="4"/>
  <c r="BT11" i="4"/>
  <c r="F15" i="4"/>
  <c r="I56" i="4"/>
  <c r="BI117" i="5"/>
  <c r="E117" i="5" s="1"/>
  <c r="K74" i="4"/>
  <c r="EE17" i="4"/>
  <c r="O17" i="4" s="1"/>
  <c r="O11" i="4"/>
  <c r="EZ120" i="4"/>
  <c r="R120" i="4" s="1"/>
  <c r="R56" i="4"/>
  <c r="FN41" i="4"/>
  <c r="T32" i="4"/>
  <c r="CK100" i="5"/>
  <c r="I100" i="5" s="1"/>
  <c r="O105" i="4"/>
  <c r="ES120" i="4"/>
  <c r="Q120" i="4" s="1"/>
  <c r="Q56" i="4"/>
  <c r="FG41" i="4"/>
  <c r="S32" i="4"/>
  <c r="CH32" i="4"/>
  <c r="H37" i="4"/>
  <c r="CO17" i="4"/>
  <c r="CO28" i="4" s="1"/>
  <c r="I11" i="4"/>
  <c r="DX17" i="4"/>
  <c r="N17" i="4" s="1"/>
  <c r="N11" i="4"/>
  <c r="EL118" i="4"/>
  <c r="P118" i="4" s="1"/>
  <c r="P56" i="4"/>
  <c r="EZ41" i="4"/>
  <c r="R32" i="4"/>
  <c r="AU112" i="5"/>
  <c r="I43" i="4"/>
  <c r="ES17" i="4"/>
  <c r="Q17" i="4" s="1"/>
  <c r="Q11" i="4"/>
  <c r="CD100" i="5"/>
  <c r="H100" i="5" s="1"/>
  <c r="N105" i="4"/>
  <c r="ES41" i="4"/>
  <c r="Q32" i="4"/>
  <c r="CA11" i="4"/>
  <c r="G15" i="4"/>
  <c r="BF32" i="4"/>
  <c r="D37" i="4"/>
  <c r="FG17" i="4"/>
  <c r="S17" i="4" s="1"/>
  <c r="S11" i="4"/>
  <c r="DJ17" i="4"/>
  <c r="L17" i="4" s="1"/>
  <c r="L11" i="4"/>
  <c r="EL41" i="4"/>
  <c r="P32" i="4"/>
  <c r="DM100" i="5"/>
  <c r="M100" i="5" s="1"/>
  <c r="S105" i="4"/>
  <c r="BP100" i="5"/>
  <c r="F100" i="5" s="1"/>
  <c r="L105" i="4"/>
  <c r="DJ120" i="4"/>
  <c r="L120" i="4" s="1"/>
  <c r="L56" i="4"/>
  <c r="EE41" i="4"/>
  <c r="O32" i="4"/>
  <c r="CO32" i="4"/>
  <c r="I37" i="4"/>
  <c r="EZ17" i="4"/>
  <c r="R17" i="4" s="1"/>
  <c r="R11" i="4"/>
  <c r="DC17" i="4"/>
  <c r="K17" i="4" s="1"/>
  <c r="K11" i="4"/>
  <c r="DC118" i="4"/>
  <c r="K118" i="4" s="1"/>
  <c r="K56" i="4"/>
  <c r="DX41" i="4"/>
  <c r="N32" i="4"/>
  <c r="BB100" i="5"/>
  <c r="D100" i="5" s="1"/>
  <c r="J105" i="4"/>
  <c r="DF100" i="5"/>
  <c r="L100" i="5" s="1"/>
  <c r="R105" i="4"/>
  <c r="BI100" i="5"/>
  <c r="E100" i="5" s="1"/>
  <c r="K105" i="4"/>
  <c r="CV17" i="4"/>
  <c r="J17" i="4" s="1"/>
  <c r="J11" i="4"/>
  <c r="DJ41" i="4"/>
  <c r="L32" i="4"/>
  <c r="CH11" i="4"/>
  <c r="H15" i="4"/>
  <c r="I118" i="4"/>
  <c r="DL86" i="5"/>
  <c r="DM86" i="5" s="1"/>
  <c r="M86" i="5" s="1"/>
  <c r="DR88" i="5"/>
  <c r="DR90" i="5" s="1"/>
  <c r="AT59" i="5"/>
  <c r="AT63" i="5" s="1"/>
  <c r="BZ88" i="5"/>
  <c r="BZ89" i="5" s="1"/>
  <c r="AZ124" i="5"/>
  <c r="EJ77" i="4"/>
  <c r="EJ78" i="4" s="1"/>
  <c r="DM100" i="4"/>
  <c r="DM101" i="4" s="1"/>
  <c r="CJ86" i="5"/>
  <c r="CK86" i="5" s="1"/>
  <c r="I86" i="5" s="1"/>
  <c r="CP88" i="5"/>
  <c r="CP90" i="5" s="1"/>
  <c r="CO88" i="5"/>
  <c r="CO90" i="5" s="1"/>
  <c r="EB77" i="4"/>
  <c r="EB78" i="4" s="1"/>
  <c r="FJ77" i="4"/>
  <c r="FJ78" i="4" s="1"/>
  <c r="DL88" i="5"/>
  <c r="DL90" i="5" s="1"/>
  <c r="FK77" i="4"/>
  <c r="FK78" i="4" s="1"/>
  <c r="FF77" i="4"/>
  <c r="FF78" i="4" s="1"/>
  <c r="DQ88" i="5"/>
  <c r="DQ90" i="5" s="1"/>
  <c r="FL77" i="4"/>
  <c r="FL86" i="4" s="1"/>
  <c r="EQ100" i="4"/>
  <c r="EQ101" i="4" s="1"/>
  <c r="BH86" i="5"/>
  <c r="BI86" i="5" s="1"/>
  <c r="E86" i="5" s="1"/>
  <c r="DZ44" i="5"/>
  <c r="DZ130" i="5" s="1"/>
  <c r="DZ131" i="5" s="1"/>
  <c r="EA131" i="5" s="1"/>
  <c r="O131" i="5" s="1"/>
  <c r="EA100" i="4"/>
  <c r="EA101" i="4" s="1"/>
  <c r="DH77" i="4"/>
  <c r="DH78" i="4" s="1"/>
  <c r="BH88" i="5"/>
  <c r="BH89" i="5" s="1"/>
  <c r="BO47" i="5"/>
  <c r="DB77" i="4"/>
  <c r="DB78" i="4" s="1"/>
  <c r="DG77" i="4"/>
  <c r="DG78" i="4" s="1"/>
  <c r="DB100" i="4"/>
  <c r="DB101" i="4" s="1"/>
  <c r="CC33" i="5"/>
  <c r="EC77" i="4"/>
  <c r="EC86" i="4" s="1"/>
  <c r="DW77" i="4"/>
  <c r="DW78" i="4" s="1"/>
  <c r="DF77" i="4"/>
  <c r="DF78" i="4" s="1"/>
  <c r="DB88" i="5"/>
  <c r="DB90" i="5" s="1"/>
  <c r="EO100" i="4"/>
  <c r="EO101" i="4" s="1"/>
  <c r="BH57" i="5"/>
  <c r="BH152" i="5" s="1"/>
  <c r="BH153" i="5" s="1"/>
  <c r="BI153" i="5" s="1"/>
  <c r="E153" i="5" s="1"/>
  <c r="EY100" i="4"/>
  <c r="EY101" i="4" s="1"/>
  <c r="EP100" i="4"/>
  <c r="EP101" i="4" s="1"/>
  <c r="FC100" i="4"/>
  <c r="FC101" i="4" s="1"/>
  <c r="DW100" i="4"/>
  <c r="DW101" i="4" s="1"/>
  <c r="DI100" i="4"/>
  <c r="DI101" i="4" s="1"/>
  <c r="EH100" i="4"/>
  <c r="EH101" i="4" s="1"/>
  <c r="CH88" i="5"/>
  <c r="CH90" i="5" s="1"/>
  <c r="BL88" i="5"/>
  <c r="BL90" i="5" s="1"/>
  <c r="DN100" i="4"/>
  <c r="DN101" i="4" s="1"/>
  <c r="BG59" i="5"/>
  <c r="CG88" i="5"/>
  <c r="CG90" i="5" s="1"/>
  <c r="CC57" i="5"/>
  <c r="CC152" i="5" s="1"/>
  <c r="CC153" i="5" s="1"/>
  <c r="CD153" i="5" s="1"/>
  <c r="H153" i="5" s="1"/>
  <c r="FQ100" i="4"/>
  <c r="FQ101" i="4" s="1"/>
  <c r="FE100" i="4"/>
  <c r="FE101" i="4" s="1"/>
  <c r="DO100" i="4"/>
  <c r="DO101" i="4" s="1"/>
  <c r="CI88" i="5"/>
  <c r="CI89" i="5" s="1"/>
  <c r="CC88" i="5"/>
  <c r="CC90" i="5" s="1"/>
  <c r="AX124" i="5"/>
  <c r="AX125" i="5"/>
  <c r="EA77" i="4"/>
  <c r="EA78" i="4" s="1"/>
  <c r="BM88" i="5"/>
  <c r="BM90" i="5" s="1"/>
  <c r="FR100" i="4"/>
  <c r="FR101" i="4" s="1"/>
  <c r="EK100" i="4"/>
  <c r="EK101" i="4" s="1"/>
  <c r="EB100" i="4"/>
  <c r="EB101" i="4" s="1"/>
  <c r="ED77" i="4"/>
  <c r="ED78" i="4" s="1"/>
  <c r="FM100" i="4"/>
  <c r="FM101" i="4" s="1"/>
  <c r="FD100" i="4"/>
  <c r="FD101" i="4" s="1"/>
  <c r="CX88" i="5"/>
  <c r="CX90" i="5" s="1"/>
  <c r="CB59" i="5"/>
  <c r="EI77" i="4"/>
  <c r="EI78" i="4" s="1"/>
  <c r="EC100" i="4"/>
  <c r="EC101" i="4" s="1"/>
  <c r="DH100" i="4"/>
  <c r="DH101" i="4" s="1"/>
  <c r="BN89" i="5"/>
  <c r="EQ77" i="4"/>
  <c r="EQ78" i="4" s="1"/>
  <c r="BV57" i="5"/>
  <c r="BV152" i="5" s="1"/>
  <c r="BV153" i="5" s="1"/>
  <c r="BW153" i="5" s="1"/>
  <c r="G153" i="5" s="1"/>
  <c r="CQ88" i="5"/>
  <c r="CQ90" i="5" s="1"/>
  <c r="CQ86" i="5"/>
  <c r="CR86" i="5" s="1"/>
  <c r="J86" i="5" s="1"/>
  <c r="CW88" i="5"/>
  <c r="CW90" i="5" s="1"/>
  <c r="CU88" i="5"/>
  <c r="CU90" i="5" s="1"/>
  <c r="BA59" i="5"/>
  <c r="BA63" i="5" s="1"/>
  <c r="FF100" i="4"/>
  <c r="FF101" i="4" s="1"/>
  <c r="EO77" i="4"/>
  <c r="EO86" i="4" s="1"/>
  <c r="DA86" i="4"/>
  <c r="DA123" i="4" s="1"/>
  <c r="EP77" i="4"/>
  <c r="EP78" i="4" s="1"/>
  <c r="BU59" i="5"/>
  <c r="EK77" i="4"/>
  <c r="EK78" i="4" s="1"/>
  <c r="EX77" i="4"/>
  <c r="EX86" i="4" s="1"/>
  <c r="EV77" i="4"/>
  <c r="EV78" i="4" s="1"/>
  <c r="DC90" i="5"/>
  <c r="DD88" i="5"/>
  <c r="ER77" i="4"/>
  <c r="ER78" i="4" s="1"/>
  <c r="CX86" i="5"/>
  <c r="CY86" i="5" s="1"/>
  <c r="K86" i="5" s="1"/>
  <c r="EW77" i="4"/>
  <c r="EW78" i="4" s="1"/>
  <c r="BG12" i="5"/>
  <c r="EW100" i="4"/>
  <c r="EW101" i="4" s="1"/>
  <c r="FK100" i="4"/>
  <c r="FK101" i="4" s="1"/>
  <c r="ED100" i="4"/>
  <c r="ED101" i="4" s="1"/>
  <c r="DG100" i="4"/>
  <c r="DG101" i="4" s="1"/>
  <c r="DF100" i="4"/>
  <c r="DF101" i="4" s="1"/>
  <c r="EX100" i="4"/>
  <c r="EX101" i="4" s="1"/>
  <c r="FJ100" i="4"/>
  <c r="FJ101" i="4" s="1"/>
  <c r="EI100" i="4"/>
  <c r="EI101" i="4" s="1"/>
  <c r="BG47" i="5"/>
  <c r="ER100" i="4"/>
  <c r="ER101" i="4" s="1"/>
  <c r="BH43" i="5"/>
  <c r="BH133" i="5" s="1"/>
  <c r="BH134" i="5" s="1"/>
  <c r="BI134" i="5" s="1"/>
  <c r="E134" i="5" s="1"/>
  <c r="EV100" i="4"/>
  <c r="EV101" i="4" s="1"/>
  <c r="FL100" i="4"/>
  <c r="FL101" i="4" s="1"/>
  <c r="EJ100" i="4"/>
  <c r="EJ101" i="4" s="1"/>
  <c r="GU11" i="1"/>
  <c r="CX57" i="5"/>
  <c r="CX152" i="5" s="1"/>
  <c r="CX153" i="5" s="1"/>
  <c r="CY153" i="5" s="1"/>
  <c r="K153" i="5" s="1"/>
  <c r="CW59" i="5"/>
  <c r="DT100" i="4"/>
  <c r="DT101" i="4" s="1"/>
  <c r="DV100" i="4"/>
  <c r="DV101" i="4" s="1"/>
  <c r="DP100" i="4"/>
  <c r="DP101" i="4" s="1"/>
  <c r="DU100" i="4"/>
  <c r="DU101" i="4" s="1"/>
  <c r="GW11" i="1"/>
  <c r="GP11" i="1"/>
  <c r="GV11" i="1"/>
  <c r="GQ10" i="1"/>
  <c r="GB71" i="1"/>
  <c r="DZ10" i="5"/>
  <c r="DZ85" i="5" s="1"/>
  <c r="EE88" i="5" s="1"/>
  <c r="DS89" i="5"/>
  <c r="DS90" i="5"/>
  <c r="DS86" i="5"/>
  <c r="DT86" i="5" s="1"/>
  <c r="N86" i="5" s="1"/>
  <c r="DK93" i="5"/>
  <c r="DK94" i="5" s="1"/>
  <c r="BU153" i="5"/>
  <c r="BT153" i="5"/>
  <c r="DY150" i="5"/>
  <c r="EF153" i="5"/>
  <c r="DC93" i="5"/>
  <c r="DC94" i="5" s="1"/>
  <c r="DD93" i="5"/>
  <c r="DD94" i="5" s="1"/>
  <c r="DL93" i="5"/>
  <c r="DL94" i="5" s="1"/>
  <c r="CX93" i="5"/>
  <c r="CX94" i="5" s="1"/>
  <c r="CO93" i="5"/>
  <c r="CO94" i="5" s="1"/>
  <c r="CP153" i="5"/>
  <c r="CO153" i="5"/>
  <c r="DL131" i="5"/>
  <c r="DM131" i="5" s="1"/>
  <c r="M131" i="5" s="1"/>
  <c r="DK131" i="5"/>
  <c r="DX93" i="5"/>
  <c r="DX94" i="5" s="1"/>
  <c r="CC93" i="5"/>
  <c r="CC94" i="5" s="1"/>
  <c r="CI93" i="5"/>
  <c r="CI94" i="5" s="1"/>
  <c r="DJ93" i="5"/>
  <c r="DJ94" i="5" s="1"/>
  <c r="DY134" i="5"/>
  <c r="DY93" i="5"/>
  <c r="DY94" i="5" s="1"/>
  <c r="EF134" i="5"/>
  <c r="DW93" i="5"/>
  <c r="DW94" i="5" s="1"/>
  <c r="DE93" i="5"/>
  <c r="DE94" i="5" s="1"/>
  <c r="CP93" i="5"/>
  <c r="CP94" i="5" s="1"/>
  <c r="CB93" i="5"/>
  <c r="CB94" i="5" s="1"/>
  <c r="CI150" i="5"/>
  <c r="BH131" i="5"/>
  <c r="BI131" i="5" s="1"/>
  <c r="E131" i="5" s="1"/>
  <c r="BG131" i="5"/>
  <c r="CW93" i="5"/>
  <c r="CW94" i="5" s="1"/>
  <c r="BV93" i="5"/>
  <c r="BV94" i="5" s="1"/>
  <c r="DR93" i="5"/>
  <c r="DR94" i="5" s="1"/>
  <c r="CQ93" i="5"/>
  <c r="CQ94" i="5" s="1"/>
  <c r="BO90" i="5"/>
  <c r="BO89" i="5"/>
  <c r="CJ93" i="5"/>
  <c r="CJ94" i="5" s="1"/>
  <c r="BL93" i="5"/>
  <c r="BL94" i="5" s="1"/>
  <c r="EF131" i="5"/>
  <c r="EF86" i="5"/>
  <c r="CV93" i="5"/>
  <c r="CV94" i="5" s="1"/>
  <c r="BS90" i="5"/>
  <c r="BS89" i="5"/>
  <c r="CH93" i="5"/>
  <c r="CH94" i="5" s="1"/>
  <c r="BG134" i="5"/>
  <c r="BF134" i="5"/>
  <c r="BH93" i="5"/>
  <c r="BH94" i="5" s="1"/>
  <c r="CA93" i="5"/>
  <c r="CA94" i="5" s="1"/>
  <c r="DQ93" i="5"/>
  <c r="DQ94" i="5" s="1"/>
  <c r="DY153" i="5"/>
  <c r="BM93" i="5"/>
  <c r="BM94" i="5" s="1"/>
  <c r="CV153" i="5"/>
  <c r="CW153" i="5"/>
  <c r="DW88" i="5"/>
  <c r="FD77" i="4"/>
  <c r="FD78" i="4" s="1"/>
  <c r="DE85" i="5"/>
  <c r="FS100" i="4"/>
  <c r="FS101" i="4" s="1"/>
  <c r="DY122" i="5"/>
  <c r="BV47" i="5"/>
  <c r="BV133" i="5"/>
  <c r="BV134" i="5" s="1"/>
  <c r="BW134" i="5" s="1"/>
  <c r="G134" i="5" s="1"/>
  <c r="CC47" i="5"/>
  <c r="CC133" i="5"/>
  <c r="CC134" i="5" s="1"/>
  <c r="CD134" i="5" s="1"/>
  <c r="H134" i="5" s="1"/>
  <c r="DP90" i="5"/>
  <c r="DP89" i="5"/>
  <c r="CV90" i="5"/>
  <c r="CV89" i="5"/>
  <c r="CJ90" i="5"/>
  <c r="CJ89" i="5"/>
  <c r="CA89" i="5"/>
  <c r="CA90" i="5"/>
  <c r="BT90" i="5"/>
  <c r="BT89" i="5"/>
  <c r="BU89" i="5"/>
  <c r="BU90" i="5"/>
  <c r="BF89" i="5"/>
  <c r="BF90" i="5"/>
  <c r="BG89" i="5"/>
  <c r="BG90" i="5"/>
  <c r="BF124" i="5"/>
  <c r="BF125" i="5"/>
  <c r="BG124" i="5"/>
  <c r="BG125" i="5"/>
  <c r="DY131" i="5"/>
  <c r="DX131" i="5"/>
  <c r="DX86" i="5"/>
  <c r="DY86" i="5"/>
  <c r="DX88" i="5"/>
  <c r="DY88" i="5"/>
  <c r="CQ57" i="5"/>
  <c r="CQ152" i="5" s="1"/>
  <c r="CQ153" i="5" s="1"/>
  <c r="CR153" i="5" s="1"/>
  <c r="J153" i="5" s="1"/>
  <c r="CP59" i="5"/>
  <c r="DZ11" i="5"/>
  <c r="DZ92" i="5" s="1"/>
  <c r="EE93" i="5" s="1"/>
  <c r="EE94" i="5" s="1"/>
  <c r="BF12" i="5"/>
  <c r="BH174" i="5"/>
  <c r="BH77" i="5" s="1"/>
  <c r="BN174" i="5"/>
  <c r="BN77" i="5" s="1"/>
  <c r="DL47" i="5"/>
  <c r="CX47" i="5"/>
  <c r="BV33" i="5"/>
  <c r="BM174" i="5"/>
  <c r="BM77" i="5" s="1"/>
  <c r="EG37" i="5"/>
  <c r="DZ55" i="5"/>
  <c r="CX33" i="5"/>
  <c r="EG11" i="5"/>
  <c r="EG92" i="5" s="1"/>
  <c r="EM93" i="5" s="1"/>
  <c r="EM94" i="5" s="1"/>
  <c r="AZ63" i="5"/>
  <c r="DE59" i="5"/>
  <c r="DZ38" i="5"/>
  <c r="BO59" i="5"/>
  <c r="GW71" i="1"/>
  <c r="CQ12" i="5"/>
  <c r="CQ47" i="5"/>
  <c r="ES118" i="4"/>
  <c r="Q118" i="4" s="1"/>
  <c r="DS33" i="5"/>
  <c r="DZ37" i="5"/>
  <c r="EG38" i="5"/>
  <c r="DZ57" i="5"/>
  <c r="DZ152" i="5" s="1"/>
  <c r="DZ153" i="5" s="1"/>
  <c r="EA153" i="5" s="1"/>
  <c r="O153" i="5" s="1"/>
  <c r="EG44" i="5"/>
  <c r="EG130" i="5" s="1"/>
  <c r="EG131" i="5" s="1"/>
  <c r="EH131" i="5" s="1"/>
  <c r="P131" i="5" s="1"/>
  <c r="DG48" i="4"/>
  <c r="DG58" i="4" s="1"/>
  <c r="DG59" i="4" s="1"/>
  <c r="DS47" i="5"/>
  <c r="DY47" i="5"/>
  <c r="EG10" i="5"/>
  <c r="DZ43" i="5"/>
  <c r="DZ133" i="5" s="1"/>
  <c r="DZ134" i="5" s="1"/>
  <c r="EA134" i="5" s="1"/>
  <c r="O134" i="5" s="1"/>
  <c r="CS48" i="4"/>
  <c r="CS58" i="4" s="1"/>
  <c r="CS59" i="4" s="1"/>
  <c r="BF63" i="5"/>
  <c r="CZ48" i="4"/>
  <c r="CZ58" i="4" s="1"/>
  <c r="CZ59" i="4" s="1"/>
  <c r="CJ33" i="5"/>
  <c r="DF48" i="4"/>
  <c r="DF58" i="4" s="1"/>
  <c r="DF59" i="4" s="1"/>
  <c r="CZ125" i="4"/>
  <c r="CZ87" i="4"/>
  <c r="CZ122" i="4"/>
  <c r="CZ126" i="4"/>
  <c r="GO71" i="1"/>
  <c r="AR62" i="5"/>
  <c r="AR65" i="5" s="1"/>
  <c r="AR67" i="5" s="1"/>
  <c r="BG33" i="5"/>
  <c r="CQ33" i="5"/>
  <c r="ES119" i="4"/>
  <c r="Q119" i="4" s="1"/>
  <c r="FG118" i="4"/>
  <c r="S118" i="4" s="1"/>
  <c r="FG120" i="4"/>
  <c r="S120" i="4" s="1"/>
  <c r="DJ118" i="4"/>
  <c r="L118" i="4" s="1"/>
  <c r="DE33" i="5"/>
  <c r="EZ118" i="4"/>
  <c r="R118" i="4" s="1"/>
  <c r="EZ119" i="4"/>
  <c r="R119" i="4" s="1"/>
  <c r="GV71" i="1"/>
  <c r="BO12" i="5"/>
  <c r="FC77" i="4"/>
  <c r="FC78" i="4" s="1"/>
  <c r="BH33" i="5"/>
  <c r="EE118" i="4"/>
  <c r="O118" i="4" s="1"/>
  <c r="EE120" i="4"/>
  <c r="O120" i="4" s="1"/>
  <c r="DX119" i="4"/>
  <c r="N119" i="4" s="1"/>
  <c r="DX118" i="4"/>
  <c r="N118" i="4" s="1"/>
  <c r="DX120" i="4"/>
  <c r="N120" i="4" s="1"/>
  <c r="DJ119" i="4"/>
  <c r="L119" i="4" s="1"/>
  <c r="GP71" i="1"/>
  <c r="GR47" i="1"/>
  <c r="AF47" i="1" s="1"/>
  <c r="EL119" i="4"/>
  <c r="P119" i="4" s="1"/>
  <c r="EL120" i="4"/>
  <c r="P120" i="4" s="1"/>
  <c r="DC119" i="4"/>
  <c r="K119" i="4" s="1"/>
  <c r="FN118" i="4"/>
  <c r="T118" i="4" s="1"/>
  <c r="DC120" i="4"/>
  <c r="K120" i="4" s="1"/>
  <c r="FN119" i="4"/>
  <c r="T119" i="4" s="1"/>
  <c r="AY28" i="4"/>
  <c r="AU169" i="5"/>
  <c r="C169" i="5" s="1"/>
  <c r="AU173" i="5"/>
  <c r="C173" i="5" s="1"/>
  <c r="BT174" i="5"/>
  <c r="BT77" i="5" s="1"/>
  <c r="BS174" i="5"/>
  <c r="BS77" i="5" s="1"/>
  <c r="BO174" i="5"/>
  <c r="BO77" i="5" s="1"/>
  <c r="DL12" i="5"/>
  <c r="FQ77" i="4"/>
  <c r="FQ78" i="4" s="1"/>
  <c r="CX12" i="5"/>
  <c r="CC12" i="5"/>
  <c r="DE12" i="5"/>
  <c r="CJ12" i="5"/>
  <c r="BV12" i="5"/>
  <c r="BN12" i="5"/>
  <c r="DS12" i="5"/>
  <c r="FM77" i="4"/>
  <c r="FM78" i="4" s="1"/>
  <c r="FG119" i="4"/>
  <c r="S119" i="4" s="1"/>
  <c r="EE119" i="4"/>
  <c r="O119" i="4" s="1"/>
  <c r="BX59" i="4"/>
  <c r="BC59" i="4"/>
  <c r="AX59" i="4"/>
  <c r="BW59" i="4"/>
  <c r="BE59" i="4"/>
  <c r="BQ59" i="4"/>
  <c r="BB59" i="4"/>
  <c r="BP59" i="4"/>
  <c r="CN59" i="4"/>
  <c r="BM32" i="4"/>
  <c r="DL33" i="5"/>
  <c r="EG43" i="5"/>
  <c r="EG133" i="5" s="1"/>
  <c r="EG134" i="5" s="1"/>
  <c r="EH134" i="5" s="1"/>
  <c r="P134" i="5" s="1"/>
  <c r="DI78" i="4"/>
  <c r="DI86" i="4"/>
  <c r="DO78" i="4"/>
  <c r="DO86" i="4"/>
  <c r="EY77" i="4"/>
  <c r="EF174" i="5"/>
  <c r="EF77" i="5" s="1"/>
  <c r="EG174" i="5"/>
  <c r="EG77" i="5" s="1"/>
  <c r="DL59" i="5"/>
  <c r="ED174" i="5"/>
  <c r="ED77" i="5" s="1"/>
  <c r="FR77" i="4"/>
  <c r="DY59" i="5"/>
  <c r="EG57" i="5"/>
  <c r="EG152" i="5" s="1"/>
  <c r="EG153" i="5" s="1"/>
  <c r="EH153" i="5" s="1"/>
  <c r="P153" i="5" s="1"/>
  <c r="DE47" i="5"/>
  <c r="DN78" i="4"/>
  <c r="DN86" i="4"/>
  <c r="DM78" i="4"/>
  <c r="DM86" i="4"/>
  <c r="DS59" i="5"/>
  <c r="FE77" i="4"/>
  <c r="CJ47" i="5"/>
  <c r="EE174" i="5"/>
  <c r="EE77" i="5" s="1"/>
  <c r="EK174" i="5"/>
  <c r="EK77" i="5" s="1"/>
  <c r="FS77" i="4"/>
  <c r="EG56" i="5"/>
  <c r="EG52" i="5"/>
  <c r="EF59" i="5"/>
  <c r="EL174" i="5"/>
  <c r="EL77" i="5" s="1"/>
  <c r="DC86" i="4"/>
  <c r="K86" i="4" s="1"/>
  <c r="DC75" i="4"/>
  <c r="K75" i="4" s="1"/>
  <c r="AS165" i="5"/>
  <c r="BM63" i="5"/>
  <c r="BN63" i="5"/>
  <c r="BE165" i="5"/>
  <c r="BB169" i="5"/>
  <c r="D169" i="5" s="1"/>
  <c r="BB173" i="5"/>
  <c r="BL165" i="5"/>
  <c r="CS90" i="4"/>
  <c r="CS110" i="4"/>
  <c r="CU90" i="4"/>
  <c r="CU110" i="4"/>
  <c r="CT90" i="4"/>
  <c r="CT110" i="4"/>
  <c r="DF90" i="4"/>
  <c r="DF110" i="4"/>
  <c r="DG90" i="4"/>
  <c r="DG110" i="4"/>
  <c r="CR90" i="4"/>
  <c r="CR110" i="4"/>
  <c r="DH90" i="4"/>
  <c r="DH110" i="4"/>
  <c r="DI90" i="4"/>
  <c r="DI110" i="4"/>
  <c r="DF108" i="4"/>
  <c r="DA108" i="4"/>
  <c r="CY108" i="4"/>
  <c r="DG108" i="4"/>
  <c r="CZ108" i="4"/>
  <c r="DB108" i="4"/>
  <c r="DI108" i="4"/>
  <c r="DH108" i="4"/>
  <c r="BL59" i="4"/>
  <c r="DB59" i="4"/>
  <c r="BS59" i="4"/>
  <c r="BZ59" i="4"/>
  <c r="CV120" i="4"/>
  <c r="J120" i="4" s="1"/>
  <c r="CV119" i="4"/>
  <c r="J119" i="4" s="1"/>
  <c r="CU59" i="4"/>
  <c r="DI59" i="4"/>
  <c r="GV68" i="1"/>
  <c r="DC97" i="4"/>
  <c r="GR50" i="1"/>
  <c r="AF50" i="1" s="1"/>
  <c r="GU71" i="1"/>
  <c r="GY44" i="1"/>
  <c r="AG44" i="1" s="1"/>
  <c r="DJ89" i="4"/>
  <c r="L89" i="4" s="1"/>
  <c r="GY47" i="1"/>
  <c r="AG47" i="1" s="1"/>
  <c r="DJ97" i="4"/>
  <c r="L97" i="4" s="1"/>
  <c r="GY50" i="1"/>
  <c r="AG50" i="1" s="1"/>
  <c r="GG50" i="1"/>
  <c r="CT97" i="4"/>
  <c r="CU97" i="4"/>
  <c r="CR97" i="4"/>
  <c r="CS97" i="4"/>
  <c r="DA98" i="4"/>
  <c r="DA109" i="4"/>
  <c r="CY109" i="4"/>
  <c r="CY98" i="4"/>
  <c r="CZ98" i="4"/>
  <c r="CZ109" i="4"/>
  <c r="GX71" i="1"/>
  <c r="DH109" i="4"/>
  <c r="DH98" i="4"/>
  <c r="DF98" i="4"/>
  <c r="DF109" i="4"/>
  <c r="DB109" i="4"/>
  <c r="DB98" i="4"/>
  <c r="DG109" i="4"/>
  <c r="DG98" i="4"/>
  <c r="DI98" i="4"/>
  <c r="DI109" i="4"/>
  <c r="GN71" i="1"/>
  <c r="GQ71" i="1"/>
  <c r="GI71" i="1"/>
  <c r="CV118" i="4"/>
  <c r="J118" i="4" s="1"/>
  <c r="CV89" i="4"/>
  <c r="J89" i="4" s="1"/>
  <c r="GK47" i="1"/>
  <c r="AE47" i="1" s="1"/>
  <c r="CG59" i="4"/>
  <c r="GY62" i="1"/>
  <c r="GY51" i="1"/>
  <c r="AG51" i="1" s="1"/>
  <c r="GG62" i="1"/>
  <c r="GG10" i="1" s="1"/>
  <c r="GK49" i="1"/>
  <c r="GR62" i="1"/>
  <c r="GN51" i="1"/>
  <c r="GR44" i="1"/>
  <c r="AF44" i="1" s="1"/>
  <c r="BO33" i="5"/>
  <c r="DZ13" i="5"/>
  <c r="DZ26" i="5"/>
  <c r="IR54" i="4" l="1"/>
  <c r="AY167" i="5"/>
  <c r="FG28" i="4"/>
  <c r="S28" i="4" s="1"/>
  <c r="DP123" i="5"/>
  <c r="DL123" i="5"/>
  <c r="DL125" i="5" s="1"/>
  <c r="DR123" i="5"/>
  <c r="DR124" i="5" s="1"/>
  <c r="CT123" i="4"/>
  <c r="CB125" i="5"/>
  <c r="CT125" i="4"/>
  <c r="CT122" i="4"/>
  <c r="CY122" i="4"/>
  <c r="CY126" i="4"/>
  <c r="CY87" i="4"/>
  <c r="CY125" i="4"/>
  <c r="BM165" i="5"/>
  <c r="BM123" i="5"/>
  <c r="BM124" i="5" s="1"/>
  <c r="CJ124" i="5"/>
  <c r="CP123" i="5"/>
  <c r="CP124" i="5" s="1"/>
  <c r="EH86" i="4"/>
  <c r="EH123" i="4" s="1"/>
  <c r="DD125" i="5"/>
  <c r="CX123" i="5"/>
  <c r="CX125" i="5" s="1"/>
  <c r="DC123" i="5"/>
  <c r="DC124" i="5" s="1"/>
  <c r="CU126" i="4"/>
  <c r="DB123" i="5"/>
  <c r="DB125" i="5" s="1"/>
  <c r="CN123" i="5"/>
  <c r="CN124" i="5" s="1"/>
  <c r="CO123" i="5"/>
  <c r="CO124" i="5" s="1"/>
  <c r="CN90" i="5"/>
  <c r="CT87" i="4"/>
  <c r="CJ59" i="5"/>
  <c r="AZ165" i="5"/>
  <c r="JP98" i="1"/>
  <c r="AZ167" i="5"/>
  <c r="AZ169" i="5" s="1"/>
  <c r="EG149" i="5"/>
  <c r="EG150" i="5" s="1"/>
  <c r="EH150" i="5" s="1"/>
  <c r="P150" i="5" s="1"/>
  <c r="GO30" i="5"/>
  <c r="IJ36" i="4"/>
  <c r="X30" i="5"/>
  <c r="BB144" i="5"/>
  <c r="D144" i="5" s="1"/>
  <c r="D145" i="5"/>
  <c r="AX144" i="5"/>
  <c r="GG41" i="1" s="1"/>
  <c r="AX146" i="5"/>
  <c r="AU146" i="5"/>
  <c r="C146" i="5" s="1"/>
  <c r="AU144" i="5"/>
  <c r="C144" i="5" s="1"/>
  <c r="BA165" i="5"/>
  <c r="BB165" i="5" s="1"/>
  <c r="D165" i="5" s="1"/>
  <c r="BE167" i="5"/>
  <c r="BE168" i="5" s="1"/>
  <c r="BA167" i="5"/>
  <c r="BA173" i="5" s="1"/>
  <c r="BA76" i="5" s="1"/>
  <c r="BT123" i="5"/>
  <c r="BT124" i="5" s="1"/>
  <c r="DI125" i="5"/>
  <c r="BS123" i="5"/>
  <c r="BS125" i="5" s="1"/>
  <c r="BL124" i="5"/>
  <c r="BN123" i="5"/>
  <c r="BN125" i="5" s="1"/>
  <c r="BO123" i="5"/>
  <c r="BO125" i="5" s="1"/>
  <c r="DE123" i="5"/>
  <c r="DE125" i="5" s="1"/>
  <c r="BH123" i="5"/>
  <c r="BH124" i="5" s="1"/>
  <c r="DK123" i="5"/>
  <c r="DK125" i="5" s="1"/>
  <c r="DJ123" i="5"/>
  <c r="CU122" i="4"/>
  <c r="CU125" i="4"/>
  <c r="CU123" i="4"/>
  <c r="BF167" i="5"/>
  <c r="BF168" i="5" s="1"/>
  <c r="CU123" i="5"/>
  <c r="CU125" i="5" s="1"/>
  <c r="BP173" i="5"/>
  <c r="BP175" i="5" s="1"/>
  <c r="F175" i="5" s="1"/>
  <c r="BV123" i="5"/>
  <c r="BV124" i="5" s="1"/>
  <c r="BZ123" i="5"/>
  <c r="BZ124" i="5" s="1"/>
  <c r="CW123" i="5"/>
  <c r="CW125" i="5" s="1"/>
  <c r="CQ123" i="5"/>
  <c r="CQ124" i="5" s="1"/>
  <c r="CA123" i="5"/>
  <c r="CA124" i="5" s="1"/>
  <c r="CV124" i="5"/>
  <c r="BP169" i="5"/>
  <c r="F169" i="5" s="1"/>
  <c r="BO163" i="5"/>
  <c r="DZ149" i="5"/>
  <c r="DZ150" i="5" s="1"/>
  <c r="EA150" i="5" s="1"/>
  <c r="O150" i="5" s="1"/>
  <c r="JI98" i="1"/>
  <c r="DW123" i="5"/>
  <c r="DW125" i="5" s="1"/>
  <c r="CI123" i="5"/>
  <c r="CI125" i="5" s="1"/>
  <c r="EG122" i="5"/>
  <c r="EM123" i="5" s="1"/>
  <c r="EM125" i="5" s="1"/>
  <c r="DE163" i="5"/>
  <c r="DS123" i="5"/>
  <c r="DS125" i="5" s="1"/>
  <c r="E146" i="5"/>
  <c r="BV163" i="5"/>
  <c r="BF165" i="5"/>
  <c r="CC163" i="5"/>
  <c r="CX163" i="5"/>
  <c r="CJ163" i="5"/>
  <c r="CC123" i="5"/>
  <c r="CC125" i="5" s="1"/>
  <c r="EG127" i="5"/>
  <c r="EG128" i="5" s="1"/>
  <c r="EH128" i="5" s="1"/>
  <c r="P128" i="5" s="1"/>
  <c r="CG124" i="5"/>
  <c r="CQ163" i="5"/>
  <c r="DZ122" i="5"/>
  <c r="EF123" i="5" s="1"/>
  <c r="EF125" i="5" s="1"/>
  <c r="DZ127" i="5"/>
  <c r="DZ128" i="5" s="1"/>
  <c r="EA128" i="5" s="1"/>
  <c r="O128" i="5" s="1"/>
  <c r="CH123" i="5"/>
  <c r="CH125" i="5" s="1"/>
  <c r="BG163" i="5"/>
  <c r="BG165" i="5" s="1"/>
  <c r="DS163" i="5"/>
  <c r="DL163" i="5"/>
  <c r="DJ125" i="4"/>
  <c r="L125" i="4" s="1"/>
  <c r="CS87" i="4"/>
  <c r="BI169" i="5"/>
  <c r="E169" i="5" s="1"/>
  <c r="L144" i="5"/>
  <c r="E167" i="5"/>
  <c r="DF86" i="4"/>
  <c r="DF125" i="4" s="1"/>
  <c r="EL28" i="4"/>
  <c r="P28" i="4" s="1"/>
  <c r="AX167" i="5"/>
  <c r="AX168" i="5" s="1"/>
  <c r="DT86" i="4"/>
  <c r="DT126" i="4" s="1"/>
  <c r="DJ123" i="4"/>
  <c r="L123" i="4" s="1"/>
  <c r="F146" i="5"/>
  <c r="DJ87" i="4"/>
  <c r="L87" i="4" s="1"/>
  <c r="DX28" i="4"/>
  <c r="N28" i="4" s="1"/>
  <c r="GR41" i="1"/>
  <c r="M146" i="5"/>
  <c r="J86" i="4"/>
  <c r="DJ122" i="4"/>
  <c r="L122" i="4" s="1"/>
  <c r="CR122" i="4"/>
  <c r="CR126" i="4"/>
  <c r="L146" i="5"/>
  <c r="M144" i="5"/>
  <c r="CR87" i="4"/>
  <c r="CV122" i="4"/>
  <c r="J122" i="4" s="1"/>
  <c r="CV87" i="4"/>
  <c r="J87" i="4" s="1"/>
  <c r="CV126" i="4"/>
  <c r="J126" i="4" s="1"/>
  <c r="CV123" i="4"/>
  <c r="J123" i="4" s="1"/>
  <c r="CR125" i="4"/>
  <c r="L86" i="4"/>
  <c r="J144" i="5"/>
  <c r="I144" i="5"/>
  <c r="J146" i="5"/>
  <c r="AX62" i="5"/>
  <c r="AX65" i="5" s="1"/>
  <c r="AX67" i="5" s="1"/>
  <c r="CS125" i="4"/>
  <c r="CS122" i="4"/>
  <c r="CS126" i="4"/>
  <c r="HB41" i="1"/>
  <c r="GY41" i="1"/>
  <c r="IY41" i="1"/>
  <c r="DC90" i="4"/>
  <c r="K90" i="4" s="1"/>
  <c r="HP41" i="1"/>
  <c r="I146" i="5"/>
  <c r="ID41" i="1"/>
  <c r="DP86" i="4"/>
  <c r="DP126" i="4" s="1"/>
  <c r="FK86" i="4"/>
  <c r="FK123" i="4" s="1"/>
  <c r="GU41" i="1"/>
  <c r="GR67" i="1"/>
  <c r="AF67" i="1" s="1"/>
  <c r="GY67" i="1"/>
  <c r="AG67" i="1" s="1"/>
  <c r="DC110" i="4"/>
  <c r="K110" i="4" s="1"/>
  <c r="GK65" i="1"/>
  <c r="AE65" i="1" s="1"/>
  <c r="AE49" i="1"/>
  <c r="GR10" i="1"/>
  <c r="AF10" i="1" s="1"/>
  <c r="AF62" i="1"/>
  <c r="GY10" i="1"/>
  <c r="AG10" i="1" s="1"/>
  <c r="AG62" i="1"/>
  <c r="JO97" i="29"/>
  <c r="AQ97" i="29" s="1"/>
  <c r="DR89" i="5"/>
  <c r="BV90" i="5"/>
  <c r="IR41" i="1"/>
  <c r="DU86" i="4"/>
  <c r="DU126" i="4" s="1"/>
  <c r="DV86" i="4"/>
  <c r="DV126" i="4" s="1"/>
  <c r="CB90" i="5"/>
  <c r="C112" i="5"/>
  <c r="BB62" i="5"/>
  <c r="C65" i="5"/>
  <c r="BB76" i="5"/>
  <c r="D76" i="5" s="1"/>
  <c r="D173" i="5"/>
  <c r="K146" i="5"/>
  <c r="K147" i="5"/>
  <c r="BI76" i="5"/>
  <c r="E76" i="5" s="1"/>
  <c r="E173" i="5"/>
  <c r="BI78" i="5"/>
  <c r="E78" i="5" s="1"/>
  <c r="E175" i="5"/>
  <c r="N146" i="5"/>
  <c r="N147" i="5"/>
  <c r="EE28" i="4"/>
  <c r="O28" i="4" s="1"/>
  <c r="DJ28" i="4"/>
  <c r="L28" i="4" s="1"/>
  <c r="ES28" i="4"/>
  <c r="Q28" i="4" s="1"/>
  <c r="FJ86" i="4"/>
  <c r="FJ125" i="4" s="1"/>
  <c r="IK41" i="1"/>
  <c r="DH86" i="4"/>
  <c r="DH122" i="4" s="1"/>
  <c r="BF28" i="4"/>
  <c r="BF59" i="4" s="1"/>
  <c r="D59" i="4" s="1"/>
  <c r="N144" i="5"/>
  <c r="CV28" i="4"/>
  <c r="J28" i="4" s="1"/>
  <c r="CV112" i="4"/>
  <c r="J112" i="4" s="1"/>
  <c r="DC28" i="4"/>
  <c r="K28" i="4" s="1"/>
  <c r="DC112" i="4"/>
  <c r="K112" i="4" s="1"/>
  <c r="DJ112" i="4"/>
  <c r="L112" i="4" s="1"/>
  <c r="EZ28" i="4"/>
  <c r="R28" i="4" s="1"/>
  <c r="FN28" i="4"/>
  <c r="T28" i="4" s="1"/>
  <c r="CA41" i="4"/>
  <c r="G32" i="4"/>
  <c r="BM41" i="4"/>
  <c r="E32" i="4"/>
  <c r="AY59" i="4"/>
  <c r="C59" i="4" s="1"/>
  <c r="C28" i="4"/>
  <c r="I28" i="4"/>
  <c r="CA17" i="4"/>
  <c r="G11" i="4"/>
  <c r="BT17" i="4"/>
  <c r="F11" i="4"/>
  <c r="CV48" i="4"/>
  <c r="J41" i="4"/>
  <c r="BM17" i="4"/>
  <c r="E11" i="4"/>
  <c r="ES48" i="4"/>
  <c r="Q41" i="4"/>
  <c r="FN48" i="4"/>
  <c r="T41" i="4"/>
  <c r="BF41" i="4"/>
  <c r="D32" i="4"/>
  <c r="EJ86" i="4"/>
  <c r="EJ126" i="4" s="1"/>
  <c r="EL48" i="4"/>
  <c r="P41" i="4"/>
  <c r="I17" i="4"/>
  <c r="DJ48" i="4"/>
  <c r="L41" i="4"/>
  <c r="CO41" i="4"/>
  <c r="I32" i="4"/>
  <c r="CH41" i="4"/>
  <c r="H32" i="4"/>
  <c r="DC48" i="4"/>
  <c r="K41" i="4"/>
  <c r="DC109" i="4"/>
  <c r="K109" i="4" s="1"/>
  <c r="K97" i="4"/>
  <c r="CH17" i="4"/>
  <c r="H11" i="4"/>
  <c r="DX48" i="4"/>
  <c r="N41" i="4"/>
  <c r="EE48" i="4"/>
  <c r="O41" i="4"/>
  <c r="FG48" i="4"/>
  <c r="S41" i="4"/>
  <c r="EZ48" i="4"/>
  <c r="R41" i="4"/>
  <c r="AY41" i="4"/>
  <c r="C32" i="4"/>
  <c r="BT41" i="4"/>
  <c r="F32" i="4"/>
  <c r="BZ90" i="5"/>
  <c r="CP89" i="5"/>
  <c r="CO89" i="5"/>
  <c r="EB86" i="4"/>
  <c r="EB122" i="4" s="1"/>
  <c r="DW86" i="4"/>
  <c r="DW126" i="4" s="1"/>
  <c r="BH90" i="5"/>
  <c r="DL89" i="5"/>
  <c r="FF86" i="4"/>
  <c r="FF126" i="4" s="1"/>
  <c r="BL89" i="5"/>
  <c r="DQ89" i="5"/>
  <c r="FL78" i="4"/>
  <c r="FZ77" i="4"/>
  <c r="FZ78" i="4" s="1"/>
  <c r="FY77" i="4"/>
  <c r="FY78" i="4" s="1"/>
  <c r="EC78" i="4"/>
  <c r="DX124" i="5"/>
  <c r="DB89" i="5"/>
  <c r="CX89" i="5"/>
  <c r="CW89" i="5"/>
  <c r="EA86" i="4"/>
  <c r="EA126" i="4" s="1"/>
  <c r="DB86" i="4"/>
  <c r="DB123" i="4" s="1"/>
  <c r="FX77" i="4"/>
  <c r="FX78" i="4" s="1"/>
  <c r="FT77" i="4"/>
  <c r="FT78" i="4" s="1"/>
  <c r="CX59" i="5"/>
  <c r="CG89" i="5"/>
  <c r="FD86" i="4"/>
  <c r="FD123" i="4" s="1"/>
  <c r="BH59" i="5"/>
  <c r="CC59" i="5"/>
  <c r="DZ88" i="5"/>
  <c r="DZ90" i="5" s="1"/>
  <c r="EK86" i="4"/>
  <c r="EK125" i="4" s="1"/>
  <c r="ED86" i="4"/>
  <c r="ED126" i="4" s="1"/>
  <c r="DJ124" i="5"/>
  <c r="DJ125" i="5"/>
  <c r="EQ86" i="4"/>
  <c r="EQ123" i="4" s="1"/>
  <c r="EI86" i="4"/>
  <c r="EI87" i="4" s="1"/>
  <c r="EP86" i="4"/>
  <c r="EP123" i="4" s="1"/>
  <c r="BM89" i="5"/>
  <c r="DG86" i="4"/>
  <c r="DG123" i="4" s="1"/>
  <c r="CQ89" i="5"/>
  <c r="EX78" i="4"/>
  <c r="BM125" i="5"/>
  <c r="BH163" i="5"/>
  <c r="CH89" i="5"/>
  <c r="CI90" i="5"/>
  <c r="BH47" i="5"/>
  <c r="BV59" i="5"/>
  <c r="CC89" i="5"/>
  <c r="EV86" i="4"/>
  <c r="EV126" i="4" s="1"/>
  <c r="CU89" i="5"/>
  <c r="ER86" i="4"/>
  <c r="ER126" i="4" s="1"/>
  <c r="JA97" i="29"/>
  <c r="AO97" i="29" s="1"/>
  <c r="DA126" i="4"/>
  <c r="DA87" i="4"/>
  <c r="DA125" i="4"/>
  <c r="DA122" i="4"/>
  <c r="EO78" i="4"/>
  <c r="EW86" i="4"/>
  <c r="EW126" i="4" s="1"/>
  <c r="DD90" i="5"/>
  <c r="DD89" i="5"/>
  <c r="ED88" i="5"/>
  <c r="ED89" i="5" s="1"/>
  <c r="DZ86" i="5"/>
  <c r="EA86" i="5" s="1"/>
  <c r="O86" i="5" s="1"/>
  <c r="EF88" i="5"/>
  <c r="CQ59" i="5"/>
  <c r="GN11" i="1"/>
  <c r="GQ11" i="1"/>
  <c r="GX11" i="1"/>
  <c r="EE89" i="5"/>
  <c r="EE90" i="5"/>
  <c r="DZ93" i="5"/>
  <c r="DZ94" i="5" s="1"/>
  <c r="DY123" i="5"/>
  <c r="EK93" i="5"/>
  <c r="EK94" i="5" s="1"/>
  <c r="DR125" i="5"/>
  <c r="DQ125" i="5"/>
  <c r="DQ124" i="5"/>
  <c r="BU124" i="5"/>
  <c r="BU125" i="5"/>
  <c r="DP124" i="5"/>
  <c r="DP125" i="5"/>
  <c r="DL124" i="5"/>
  <c r="EG123" i="5"/>
  <c r="EL123" i="5"/>
  <c r="EG93" i="5"/>
  <c r="EG94" i="5" s="1"/>
  <c r="EM124" i="5"/>
  <c r="ED93" i="5"/>
  <c r="ED94" i="5" s="1"/>
  <c r="CW124" i="5"/>
  <c r="EK123" i="5"/>
  <c r="DI88" i="5"/>
  <c r="DK88" i="5"/>
  <c r="DE88" i="5"/>
  <c r="DE86" i="5"/>
  <c r="DF86" i="5" s="1"/>
  <c r="L86" i="5" s="1"/>
  <c r="DJ88" i="5"/>
  <c r="EF93" i="5"/>
  <c r="EF94" i="5" s="1"/>
  <c r="EL93" i="5"/>
  <c r="EL94" i="5" s="1"/>
  <c r="DW89" i="5"/>
  <c r="DW90" i="5"/>
  <c r="AU175" i="5"/>
  <c r="AU76" i="5"/>
  <c r="C76" i="5" s="1"/>
  <c r="GA77" i="4"/>
  <c r="GA78" i="4" s="1"/>
  <c r="EG85" i="5"/>
  <c r="DY89" i="5"/>
  <c r="DY90" i="5"/>
  <c r="DX89" i="5"/>
  <c r="DX90" i="5"/>
  <c r="GA100" i="4"/>
  <c r="GA101" i="4" s="1"/>
  <c r="GE100" i="4"/>
  <c r="GE101" i="4" s="1"/>
  <c r="FY100" i="4"/>
  <c r="FY101" i="4" s="1"/>
  <c r="DZ47" i="5"/>
  <c r="BG63" i="5"/>
  <c r="FX100" i="4"/>
  <c r="FX101" i="4" s="1"/>
  <c r="FZ100" i="4"/>
  <c r="FZ101" i="4" s="1"/>
  <c r="FT100" i="4"/>
  <c r="FT101" i="4" s="1"/>
  <c r="DZ59" i="5"/>
  <c r="GG77" i="4"/>
  <c r="GG78" i="4" s="1"/>
  <c r="GE77" i="4"/>
  <c r="GE78" i="4" s="1"/>
  <c r="AS62" i="5"/>
  <c r="AS65" i="5" s="1"/>
  <c r="AS67" i="5" s="1"/>
  <c r="FC86" i="4"/>
  <c r="FC126" i="4" s="1"/>
  <c r="FM86" i="4"/>
  <c r="FM87" i="4" s="1"/>
  <c r="FQ86" i="4"/>
  <c r="FQ122" i="4" s="1"/>
  <c r="EG59" i="5"/>
  <c r="DZ12" i="5"/>
  <c r="BN165" i="5"/>
  <c r="FS78" i="4"/>
  <c r="FS86" i="4"/>
  <c r="EO126" i="4"/>
  <c r="EO122" i="4"/>
  <c r="EO123" i="4"/>
  <c r="EO125" i="4"/>
  <c r="EO87" i="4"/>
  <c r="FE78" i="4"/>
  <c r="FE86" i="4"/>
  <c r="EX126" i="4"/>
  <c r="EX123" i="4"/>
  <c r="EX87" i="4"/>
  <c r="EX122" i="4"/>
  <c r="EX125" i="4"/>
  <c r="DM126" i="4"/>
  <c r="DM123" i="4"/>
  <c r="DM122" i="4"/>
  <c r="DM125" i="4"/>
  <c r="DM87" i="4"/>
  <c r="DN126" i="4"/>
  <c r="DN123" i="4"/>
  <c r="DN87" i="4"/>
  <c r="DN122" i="4"/>
  <c r="DN125" i="4"/>
  <c r="FR78" i="4"/>
  <c r="FR86" i="4"/>
  <c r="EY78" i="4"/>
  <c r="EY86" i="4"/>
  <c r="FL126" i="4"/>
  <c r="FL123" i="4"/>
  <c r="FL122" i="4"/>
  <c r="FL87" i="4"/>
  <c r="FL125" i="4"/>
  <c r="EH122" i="4"/>
  <c r="EC126" i="4"/>
  <c r="EC123" i="4"/>
  <c r="EC125" i="4"/>
  <c r="EC87" i="4"/>
  <c r="EC122" i="4"/>
  <c r="DO126" i="4"/>
  <c r="DO123" i="4"/>
  <c r="DO87" i="4"/>
  <c r="DO122" i="4"/>
  <c r="DO125" i="4"/>
  <c r="DI126" i="4"/>
  <c r="DI125" i="4"/>
  <c r="DI123" i="4"/>
  <c r="DI122" i="4"/>
  <c r="DI87" i="4"/>
  <c r="DC126" i="4"/>
  <c r="K126" i="4" s="1"/>
  <c r="DC125" i="4"/>
  <c r="K125" i="4" s="1"/>
  <c r="DC122" i="4"/>
  <c r="K122" i="4" s="1"/>
  <c r="DC123" i="4"/>
  <c r="K123" i="4" s="1"/>
  <c r="DC87" i="4"/>
  <c r="K87" i="4" s="1"/>
  <c r="BI177" i="5"/>
  <c r="BO63" i="5"/>
  <c r="BF173" i="5"/>
  <c r="BF76" i="5" s="1"/>
  <c r="AY169" i="5"/>
  <c r="AY173" i="5"/>
  <c r="AY76" i="5" s="1"/>
  <c r="AZ173" i="5"/>
  <c r="AZ76" i="5" s="1"/>
  <c r="BB175" i="5"/>
  <c r="CV90" i="4"/>
  <c r="J90" i="4" s="1"/>
  <c r="CV110" i="4"/>
  <c r="J110" i="4" s="1"/>
  <c r="DJ90" i="4"/>
  <c r="L90" i="4" s="1"/>
  <c r="DJ110" i="4"/>
  <c r="L110" i="4" s="1"/>
  <c r="CR108" i="4"/>
  <c r="CT108" i="4"/>
  <c r="CS108" i="4"/>
  <c r="CU108" i="4"/>
  <c r="CV97" i="4"/>
  <c r="J97" i="4" s="1"/>
  <c r="AY168" i="5"/>
  <c r="CS109" i="4"/>
  <c r="CS98" i="4"/>
  <c r="CU109" i="4"/>
  <c r="CU98" i="4"/>
  <c r="BI168" i="5"/>
  <c r="E168" i="5" s="1"/>
  <c r="BI178" i="5"/>
  <c r="DC98" i="4"/>
  <c r="K98" i="4" s="1"/>
  <c r="CR109" i="4"/>
  <c r="CR98" i="4"/>
  <c r="CT109" i="4"/>
  <c r="CT98" i="4"/>
  <c r="BP168" i="5"/>
  <c r="F168" i="5" s="1"/>
  <c r="DJ98" i="4"/>
  <c r="L98" i="4" s="1"/>
  <c r="DJ109" i="4"/>
  <c r="L109" i="4" s="1"/>
  <c r="GG71" i="1"/>
  <c r="GY71" i="1"/>
  <c r="AG71" i="1" s="1"/>
  <c r="GR71" i="1"/>
  <c r="AF71" i="1" s="1"/>
  <c r="GR51" i="1"/>
  <c r="AF51" i="1" s="1"/>
  <c r="GK50" i="1"/>
  <c r="AE50" i="1" s="1"/>
  <c r="GK62" i="1"/>
  <c r="DZ33" i="5"/>
  <c r="IS54" i="4" l="1"/>
  <c r="BZ125" i="5"/>
  <c r="DC125" i="5"/>
  <c r="EH125" i="4"/>
  <c r="EH87" i="4"/>
  <c r="EH126" i="4"/>
  <c r="DS124" i="5"/>
  <c r="CO125" i="5"/>
  <c r="BS124" i="5"/>
  <c r="DB124" i="5"/>
  <c r="CP125" i="5"/>
  <c r="BE169" i="5"/>
  <c r="CQ125" i="5"/>
  <c r="CX124" i="5"/>
  <c r="DW124" i="5"/>
  <c r="GK41" i="1"/>
  <c r="CN125" i="5"/>
  <c r="BO124" i="5"/>
  <c r="CU124" i="5"/>
  <c r="BN124" i="5"/>
  <c r="BF169" i="5"/>
  <c r="CA125" i="5"/>
  <c r="AZ168" i="5"/>
  <c r="GD41" i="1"/>
  <c r="BV125" i="5"/>
  <c r="BH125" i="5"/>
  <c r="BA168" i="5"/>
  <c r="CI124" i="5"/>
  <c r="BA169" i="5"/>
  <c r="BE173" i="5"/>
  <c r="BE76" i="5" s="1"/>
  <c r="CH124" i="5"/>
  <c r="BT125" i="5"/>
  <c r="DE124" i="5"/>
  <c r="IK36" i="4"/>
  <c r="GP30" i="5"/>
  <c r="F173" i="5"/>
  <c r="EF124" i="5"/>
  <c r="BP76" i="5"/>
  <c r="F76" i="5" s="1"/>
  <c r="ED123" i="5"/>
  <c r="ED124" i="5" s="1"/>
  <c r="EE123" i="5"/>
  <c r="EE124" i="5" s="1"/>
  <c r="DK124" i="5"/>
  <c r="DZ123" i="5"/>
  <c r="DZ125" i="5" s="1"/>
  <c r="FK125" i="4"/>
  <c r="FK87" i="4"/>
  <c r="FK126" i="4"/>
  <c r="BL167" i="5"/>
  <c r="BL169" i="5" s="1"/>
  <c r="BG167" i="5"/>
  <c r="BO165" i="5"/>
  <c r="BP165" i="5" s="1"/>
  <c r="F165" i="5" s="1"/>
  <c r="AX173" i="5"/>
  <c r="AX76" i="5" s="1"/>
  <c r="AX169" i="5"/>
  <c r="DZ163" i="5"/>
  <c r="CC124" i="5"/>
  <c r="DF126" i="4"/>
  <c r="DF87" i="4"/>
  <c r="DF123" i="4"/>
  <c r="DF122" i="4"/>
  <c r="FK122" i="4"/>
  <c r="DT125" i="4"/>
  <c r="DT87" i="4"/>
  <c r="DT122" i="4"/>
  <c r="DT123" i="4"/>
  <c r="DV122" i="4"/>
  <c r="AY62" i="5"/>
  <c r="AY65" i="5" s="1"/>
  <c r="AZ62" i="5" s="1"/>
  <c r="AZ65" i="5" s="1"/>
  <c r="AZ67" i="5" s="1"/>
  <c r="DV125" i="4"/>
  <c r="F144" i="5"/>
  <c r="DV123" i="4"/>
  <c r="E144" i="5"/>
  <c r="DP122" i="4"/>
  <c r="DU125" i="4"/>
  <c r="DP125" i="4"/>
  <c r="DU122" i="4"/>
  <c r="DP87" i="4"/>
  <c r="DU87" i="4"/>
  <c r="DP123" i="4"/>
  <c r="DU123" i="4"/>
  <c r="DV87" i="4"/>
  <c r="DC108" i="4"/>
  <c r="K108" i="4" s="1"/>
  <c r="GY68" i="1"/>
  <c r="AG68" i="1" s="1"/>
  <c r="DJ108" i="4"/>
  <c r="L108" i="4" s="1"/>
  <c r="GY11" i="1"/>
  <c r="AG11" i="1" s="1"/>
  <c r="D28" i="4"/>
  <c r="GK67" i="1"/>
  <c r="GR68" i="1" s="1"/>
  <c r="AF68" i="1" s="1"/>
  <c r="FJ87" i="4"/>
  <c r="GK10" i="1"/>
  <c r="AE10" i="1" s="1"/>
  <c r="AE62" i="1"/>
  <c r="FJ126" i="4"/>
  <c r="FF125" i="4"/>
  <c r="FF123" i="4"/>
  <c r="FF122" i="4"/>
  <c r="FF87" i="4"/>
  <c r="DH87" i="4"/>
  <c r="AU78" i="5"/>
  <c r="C78" i="5" s="1"/>
  <c r="C175" i="5"/>
  <c r="D62" i="5"/>
  <c r="BB65" i="5"/>
  <c r="BB78" i="5"/>
  <c r="D78" i="5" s="1"/>
  <c r="D175" i="5"/>
  <c r="BI80" i="5"/>
  <c r="E80" i="5" s="1"/>
  <c r="E177" i="5"/>
  <c r="BI81" i="5"/>
  <c r="E81" i="5" s="1"/>
  <c r="E178" i="5"/>
  <c r="FJ122" i="4"/>
  <c r="FJ123" i="4"/>
  <c r="DH126" i="4"/>
  <c r="DH123" i="4"/>
  <c r="DH125" i="4"/>
  <c r="CV113" i="4"/>
  <c r="J113" i="4" s="1"/>
  <c r="DJ113" i="4"/>
  <c r="L113" i="4" s="1"/>
  <c r="EJ125" i="4"/>
  <c r="EJ122" i="4"/>
  <c r="DW123" i="4"/>
  <c r="DC113" i="4"/>
  <c r="K113" i="4" s="1"/>
  <c r="EJ87" i="4"/>
  <c r="EJ123" i="4"/>
  <c r="EB125" i="4"/>
  <c r="EB87" i="4"/>
  <c r="EB126" i="4"/>
  <c r="BF48" i="4"/>
  <c r="D48" i="4" s="1"/>
  <c r="D41" i="4"/>
  <c r="G17" i="4"/>
  <c r="CA28" i="4"/>
  <c r="BT48" i="4"/>
  <c r="F48" i="4" s="1"/>
  <c r="F41" i="4"/>
  <c r="N48" i="4"/>
  <c r="DX58" i="4"/>
  <c r="N58" i="4" s="1"/>
  <c r="I41" i="4"/>
  <c r="CO48" i="4"/>
  <c r="CH48" i="4"/>
  <c r="H48" i="4" s="1"/>
  <c r="H41" i="4"/>
  <c r="T48" i="4"/>
  <c r="FN58" i="4"/>
  <c r="T58" i="4" s="1"/>
  <c r="AY48" i="4"/>
  <c r="C48" i="4" s="1"/>
  <c r="C41" i="4"/>
  <c r="H17" i="4"/>
  <c r="CH28" i="4"/>
  <c r="O48" i="4"/>
  <c r="EE58" i="4"/>
  <c r="O58" i="4" s="1"/>
  <c r="Q48" i="4"/>
  <c r="ES58" i="4"/>
  <c r="Q58" i="4" s="1"/>
  <c r="L48" i="4"/>
  <c r="DJ58" i="4"/>
  <c r="E17" i="4"/>
  <c r="BM28" i="4"/>
  <c r="BM48" i="4"/>
  <c r="E48" i="4" s="1"/>
  <c r="E41" i="4"/>
  <c r="R48" i="4"/>
  <c r="EZ58" i="4"/>
  <c r="R58" i="4" s="1"/>
  <c r="K48" i="4"/>
  <c r="DC58" i="4"/>
  <c r="CO112" i="4"/>
  <c r="J48" i="4"/>
  <c r="CV58" i="4"/>
  <c r="CA48" i="4"/>
  <c r="G48" i="4" s="1"/>
  <c r="G41" i="4"/>
  <c r="S48" i="4"/>
  <c r="FG58" i="4"/>
  <c r="S58" i="4" s="1"/>
  <c r="P48" i="4"/>
  <c r="EL58" i="4"/>
  <c r="P58" i="4" s="1"/>
  <c r="F17" i="4"/>
  <c r="BT28" i="4"/>
  <c r="DW122" i="4"/>
  <c r="DW87" i="4"/>
  <c r="DW125" i="4"/>
  <c r="EB123" i="4"/>
  <c r="FZ86" i="4"/>
  <c r="FZ126" i="4" s="1"/>
  <c r="FY86" i="4"/>
  <c r="FY126" i="4" s="1"/>
  <c r="EQ126" i="4"/>
  <c r="EQ122" i="4"/>
  <c r="EQ87" i="4"/>
  <c r="DZ89" i="5"/>
  <c r="DG125" i="4"/>
  <c r="DB126" i="4"/>
  <c r="EA125" i="4"/>
  <c r="DB125" i="4"/>
  <c r="EA87" i="4"/>
  <c r="DB87" i="4"/>
  <c r="DB122" i="4"/>
  <c r="EA122" i="4"/>
  <c r="EA123" i="4"/>
  <c r="FX86" i="4"/>
  <c r="FX126" i="4" s="1"/>
  <c r="BN167" i="5"/>
  <c r="BN168" i="5" s="1"/>
  <c r="BH165" i="5"/>
  <c r="BI165" i="5" s="1"/>
  <c r="E165" i="5" s="1"/>
  <c r="ED125" i="4"/>
  <c r="ED87" i="4"/>
  <c r="ED123" i="4"/>
  <c r="ER122" i="4"/>
  <c r="BH167" i="5"/>
  <c r="BH168" i="5" s="1"/>
  <c r="ED122" i="4"/>
  <c r="ER125" i="4"/>
  <c r="ER87" i="4"/>
  <c r="ER123" i="4"/>
  <c r="FT86" i="4"/>
  <c r="FT126" i="4" s="1"/>
  <c r="FD125" i="4"/>
  <c r="FD87" i="4"/>
  <c r="FD126" i="4"/>
  <c r="FD122" i="4"/>
  <c r="DG87" i="4"/>
  <c r="EK126" i="4"/>
  <c r="BH63" i="5"/>
  <c r="EQ125" i="4"/>
  <c r="BM167" i="5"/>
  <c r="BM173" i="5" s="1"/>
  <c r="BM76" i="5" s="1"/>
  <c r="EK87" i="4"/>
  <c r="EK122" i="4"/>
  <c r="EK123" i="4"/>
  <c r="EI125" i="4"/>
  <c r="EI122" i="4"/>
  <c r="EI126" i="4"/>
  <c r="EP126" i="4"/>
  <c r="EI123" i="4"/>
  <c r="EP125" i="4"/>
  <c r="EP87" i="4"/>
  <c r="EP122" i="4"/>
  <c r="DG122" i="4"/>
  <c r="DG126" i="4"/>
  <c r="EV125" i="4"/>
  <c r="EV122" i="4"/>
  <c r="EV87" i="4"/>
  <c r="EV123" i="4"/>
  <c r="EW125" i="4"/>
  <c r="EW123" i="4"/>
  <c r="EW122" i="4"/>
  <c r="EW87" i="4"/>
  <c r="ED90" i="5"/>
  <c r="EF90" i="5"/>
  <c r="EF89" i="5"/>
  <c r="EG125" i="5"/>
  <c r="EG124" i="5"/>
  <c r="DE89" i="5"/>
  <c r="DE90" i="5"/>
  <c r="DJ90" i="5"/>
  <c r="DJ89" i="5"/>
  <c r="DK89" i="5"/>
  <c r="DK90" i="5"/>
  <c r="DI89" i="5"/>
  <c r="DI90" i="5"/>
  <c r="DY124" i="5"/>
  <c r="DY125" i="5"/>
  <c r="GA86" i="4"/>
  <c r="GA123" i="4" s="1"/>
  <c r="EK124" i="5"/>
  <c r="EK125" i="5"/>
  <c r="EE125" i="5"/>
  <c r="EM88" i="5"/>
  <c r="EG88" i="5"/>
  <c r="EG86" i="5"/>
  <c r="EH86" i="5" s="1"/>
  <c r="P86" i="5" s="1"/>
  <c r="EK88" i="5"/>
  <c r="EL88" i="5"/>
  <c r="EL125" i="5"/>
  <c r="EL124" i="5"/>
  <c r="BP178" i="5"/>
  <c r="BP78" i="5"/>
  <c r="F78" i="5" s="1"/>
  <c r="AT62" i="5"/>
  <c r="AT65" i="5" s="1"/>
  <c r="AT67" i="5" s="1"/>
  <c r="FM123" i="4"/>
  <c r="FM125" i="4"/>
  <c r="FM126" i="4"/>
  <c r="FM122" i="4"/>
  <c r="FQ87" i="4"/>
  <c r="FQ126" i="4"/>
  <c r="FQ125" i="4"/>
  <c r="FQ123" i="4"/>
  <c r="FC122" i="4"/>
  <c r="FC125" i="4"/>
  <c r="FC123" i="4"/>
  <c r="FC87" i="4"/>
  <c r="EY126" i="4"/>
  <c r="EY123" i="4"/>
  <c r="EY125" i="4"/>
  <c r="EY87" i="4"/>
  <c r="EY122" i="4"/>
  <c r="FE126" i="4"/>
  <c r="FE123" i="4"/>
  <c r="FE87" i="4"/>
  <c r="FE122" i="4"/>
  <c r="FE125" i="4"/>
  <c r="FS126" i="4"/>
  <c r="FS123" i="4"/>
  <c r="FS125" i="4"/>
  <c r="FS87" i="4"/>
  <c r="FS122" i="4"/>
  <c r="FR126" i="4"/>
  <c r="FR123" i="4"/>
  <c r="FR87" i="4"/>
  <c r="FR122" i="4"/>
  <c r="FR125" i="4"/>
  <c r="BA175" i="5"/>
  <c r="BA78" i="5" s="1"/>
  <c r="AY175" i="5"/>
  <c r="AY78" i="5" s="1"/>
  <c r="BB177" i="5"/>
  <c r="AZ175" i="5"/>
  <c r="AZ78" i="5" s="1"/>
  <c r="BF175" i="5"/>
  <c r="BF78" i="5" s="1"/>
  <c r="BP177" i="5"/>
  <c r="BO167" i="5"/>
  <c r="CV108" i="4"/>
  <c r="J108" i="4" s="1"/>
  <c r="GK71" i="1"/>
  <c r="AE71" i="1" s="1"/>
  <c r="BB178" i="5"/>
  <c r="BB168" i="5"/>
  <c r="D168" i="5" s="1"/>
  <c r="CV98" i="4"/>
  <c r="J98" i="4" s="1"/>
  <c r="CV109" i="4"/>
  <c r="J109" i="4" s="1"/>
  <c r="IT54" i="4" l="1"/>
  <c r="ED125" i="5"/>
  <c r="BL173" i="5"/>
  <c r="DZ124" i="5"/>
  <c r="BE175" i="5"/>
  <c r="BE78" i="5" s="1"/>
  <c r="BL168" i="5"/>
  <c r="IL36" i="4"/>
  <c r="GQ30" i="5"/>
  <c r="AX175" i="5"/>
  <c r="AX78" i="5" s="1"/>
  <c r="BG168" i="5"/>
  <c r="BG169" i="5"/>
  <c r="BG173" i="5"/>
  <c r="BA62" i="5"/>
  <c r="BA65" i="5" s="1"/>
  <c r="BA67" i="5" s="1"/>
  <c r="AY67" i="5"/>
  <c r="GR11" i="1"/>
  <c r="AF11" i="1" s="1"/>
  <c r="AE67" i="1"/>
  <c r="BE62" i="5"/>
  <c r="BE65" i="5" s="1"/>
  <c r="BB67" i="5"/>
  <c r="D67" i="5" s="1"/>
  <c r="BI62" i="5"/>
  <c r="D65" i="5"/>
  <c r="BB80" i="5"/>
  <c r="D80" i="5" s="1"/>
  <c r="D177" i="5"/>
  <c r="BB81" i="5"/>
  <c r="D81" i="5" s="1"/>
  <c r="D178" i="5"/>
  <c r="BP81" i="5"/>
  <c r="F81" i="5" s="1"/>
  <c r="F178" i="5"/>
  <c r="BP80" i="5"/>
  <c r="F80" i="5" s="1"/>
  <c r="F177" i="5"/>
  <c r="FY123" i="4"/>
  <c r="FY125" i="4"/>
  <c r="FY122" i="4"/>
  <c r="FY87" i="4"/>
  <c r="FZ87" i="4"/>
  <c r="FZ125" i="4"/>
  <c r="FZ122" i="4"/>
  <c r="FZ123" i="4"/>
  <c r="L58" i="4"/>
  <c r="DJ59" i="4"/>
  <c r="L59" i="4" s="1"/>
  <c r="J58" i="4"/>
  <c r="CV59" i="4"/>
  <c r="J59" i="4" s="1"/>
  <c r="CO58" i="4"/>
  <c r="I48" i="4"/>
  <c r="I112" i="4"/>
  <c r="K58" i="4"/>
  <c r="DC59" i="4"/>
  <c r="K59" i="4" s="1"/>
  <c r="BT59" i="4"/>
  <c r="F59" i="4" s="1"/>
  <c r="F28" i="4"/>
  <c r="H28" i="4"/>
  <c r="CH59" i="4"/>
  <c r="H59" i="4" s="1"/>
  <c r="CA59" i="4"/>
  <c r="G59" i="4" s="1"/>
  <c r="G28" i="4"/>
  <c r="BM59" i="4"/>
  <c r="E59" i="4" s="1"/>
  <c r="E28" i="4"/>
  <c r="FT122" i="4"/>
  <c r="BH173" i="5"/>
  <c r="BH175" i="5" s="1"/>
  <c r="BH78" i="5" s="1"/>
  <c r="BH169" i="5"/>
  <c r="FT125" i="4"/>
  <c r="FT87" i="4"/>
  <c r="FT123" i="4"/>
  <c r="BN173" i="5"/>
  <c r="BN76" i="5" s="1"/>
  <c r="BN169" i="5"/>
  <c r="FX122" i="4"/>
  <c r="FX125" i="4"/>
  <c r="FX87" i="4"/>
  <c r="FX123" i="4"/>
  <c r="BM169" i="5"/>
  <c r="BM175" i="5"/>
  <c r="BM78" i="5" s="1"/>
  <c r="BM168" i="5"/>
  <c r="GA125" i="4"/>
  <c r="GA122" i="4"/>
  <c r="GA87" i="4"/>
  <c r="GA126" i="4"/>
  <c r="EM89" i="5"/>
  <c r="EM90" i="5"/>
  <c r="EG89" i="5"/>
  <c r="EG90" i="5"/>
  <c r="EL89" i="5"/>
  <c r="EL90" i="5"/>
  <c r="EK89" i="5"/>
  <c r="EK90" i="5"/>
  <c r="BL175" i="5"/>
  <c r="BL78" i="5" s="1"/>
  <c r="BL76" i="5"/>
  <c r="AY177" i="5"/>
  <c r="AY80" i="5" s="1"/>
  <c r="AY178" i="5"/>
  <c r="AY81" i="5" s="1"/>
  <c r="BA177" i="5"/>
  <c r="BA80" i="5" s="1"/>
  <c r="BA178" i="5"/>
  <c r="BA81" i="5" s="1"/>
  <c r="BO173" i="5"/>
  <c r="BO76" i="5" s="1"/>
  <c r="BO169" i="5"/>
  <c r="BO168" i="5"/>
  <c r="AZ177" i="5"/>
  <c r="AZ80" i="5" s="1"/>
  <c r="AZ178" i="5"/>
  <c r="AZ81" i="5" s="1"/>
  <c r="BF177" i="5"/>
  <c r="BF80" i="5" s="1"/>
  <c r="BF178" i="5"/>
  <c r="BF81" i="5" s="1"/>
  <c r="BE178" i="5" l="1"/>
  <c r="BE81" i="5" s="1"/>
  <c r="AF54" i="4"/>
  <c r="BE177" i="5"/>
  <c r="BE80" i="5" s="1"/>
  <c r="AX178" i="5"/>
  <c r="AX81" i="5" s="1"/>
  <c r="AX177" i="5"/>
  <c r="AX80" i="5" s="1"/>
  <c r="GR30" i="5"/>
  <c r="IM36" i="4"/>
  <c r="IP36" i="4" s="1"/>
  <c r="BG76" i="5"/>
  <c r="BG175" i="5"/>
  <c r="BI65" i="5"/>
  <c r="E62" i="5"/>
  <c r="BF62" i="5"/>
  <c r="BF65" i="5" s="1"/>
  <c r="BE67" i="5"/>
  <c r="BH76" i="5"/>
  <c r="I58" i="4"/>
  <c r="CO59" i="4"/>
  <c r="I59" i="4" s="1"/>
  <c r="BN175" i="5"/>
  <c r="BN78" i="5" s="1"/>
  <c r="BM178" i="5"/>
  <c r="BM81" i="5" s="1"/>
  <c r="BM177" i="5"/>
  <c r="BM80" i="5" s="1"/>
  <c r="BH178" i="5"/>
  <c r="BH81" i="5" s="1"/>
  <c r="BL178" i="5"/>
  <c r="BL81" i="5" s="1"/>
  <c r="BH177" i="5"/>
  <c r="BH80" i="5" s="1"/>
  <c r="BL177" i="5"/>
  <c r="BL80" i="5" s="1"/>
  <c r="BO175" i="5"/>
  <c r="BO78" i="5" s="1"/>
  <c r="IQ36" i="4" l="1"/>
  <c r="GV30" i="5"/>
  <c r="AE36" i="4"/>
  <c r="GS30" i="5"/>
  <c r="BG78" i="5"/>
  <c r="BG177" i="5"/>
  <c r="BG80" i="5" s="1"/>
  <c r="BG178" i="5"/>
  <c r="BG81" i="5" s="1"/>
  <c r="BF67" i="5"/>
  <c r="BG62" i="5"/>
  <c r="BG65" i="5" s="1"/>
  <c r="BL62" i="5"/>
  <c r="BL65" i="5" s="1"/>
  <c r="BP62" i="5"/>
  <c r="E65" i="5"/>
  <c r="BI67" i="5"/>
  <c r="E67" i="5" s="1"/>
  <c r="BN178" i="5"/>
  <c r="BN81" i="5" s="1"/>
  <c r="BN177" i="5"/>
  <c r="BN80" i="5" s="1"/>
  <c r="BO177" i="5"/>
  <c r="BO80" i="5" s="1"/>
  <c r="BO178" i="5"/>
  <c r="BO81" i="5" s="1"/>
  <c r="IR36" i="4" l="1"/>
  <c r="GW30" i="5"/>
  <c r="Y30" i="5"/>
  <c r="BH62" i="5"/>
  <c r="BH65" i="5" s="1"/>
  <c r="BH67" i="5" s="1"/>
  <c r="BG67" i="5"/>
  <c r="BP65" i="5"/>
  <c r="F62" i="5"/>
  <c r="BM62" i="5"/>
  <c r="BM65" i="5" s="1"/>
  <c r="BL67" i="5"/>
  <c r="DW26" i="5"/>
  <c r="CX63" i="5"/>
  <c r="EH47" i="5"/>
  <c r="P47" i="5" s="1"/>
  <c r="ED47" i="5"/>
  <c r="EA47" i="5"/>
  <c r="O47" i="5" s="1"/>
  <c r="DW47" i="5"/>
  <c r="DT47" i="5"/>
  <c r="N47" i="5" s="1"/>
  <c r="DP47" i="5"/>
  <c r="DM47" i="5"/>
  <c r="M47" i="5" s="1"/>
  <c r="DI47" i="5"/>
  <c r="DF47" i="5"/>
  <c r="L47" i="5" s="1"/>
  <c r="DC47" i="5"/>
  <c r="DB47" i="5"/>
  <c r="CY47" i="5"/>
  <c r="K47" i="5" s="1"/>
  <c r="CW47" i="5"/>
  <c r="CV47" i="5"/>
  <c r="CU47" i="5"/>
  <c r="CR47" i="5"/>
  <c r="J47" i="5" s="1"/>
  <c r="CP47" i="5"/>
  <c r="CO47" i="5"/>
  <c r="CN47" i="5"/>
  <c r="CK47" i="5"/>
  <c r="I47" i="5" s="1"/>
  <c r="CI47" i="5"/>
  <c r="CH47" i="5"/>
  <c r="CG47" i="5"/>
  <c r="CD47" i="5"/>
  <c r="H47" i="5" s="1"/>
  <c r="CB47" i="5"/>
  <c r="CA47" i="5"/>
  <c r="BZ47" i="5"/>
  <c r="BW47" i="5"/>
  <c r="G47" i="5" s="1"/>
  <c r="BU47" i="5"/>
  <c r="BT47" i="5"/>
  <c r="BS47" i="5"/>
  <c r="EH26" i="5"/>
  <c r="ED26" i="5"/>
  <c r="EA26" i="5"/>
  <c r="DT26" i="5"/>
  <c r="DP26" i="5"/>
  <c r="DM26" i="5"/>
  <c r="DI26" i="5"/>
  <c r="DF26" i="5"/>
  <c r="DC26" i="5"/>
  <c r="DB26" i="5"/>
  <c r="CY26" i="5"/>
  <c r="CW26" i="5"/>
  <c r="CV26" i="5"/>
  <c r="CU26" i="5"/>
  <c r="CR26" i="5"/>
  <c r="CP26" i="5"/>
  <c r="CO26" i="5"/>
  <c r="CN26" i="5"/>
  <c r="CK26" i="5"/>
  <c r="CI26" i="5"/>
  <c r="CH26" i="5"/>
  <c r="CG26" i="5"/>
  <c r="CD26" i="5"/>
  <c r="CB26" i="5"/>
  <c r="CA26" i="5"/>
  <c r="BZ26" i="5"/>
  <c r="BW26" i="5"/>
  <c r="BU26" i="5"/>
  <c r="BT26" i="5"/>
  <c r="BS26" i="5"/>
  <c r="EH13" i="5"/>
  <c r="P13" i="5" s="1"/>
  <c r="ED13" i="5"/>
  <c r="EA13" i="5"/>
  <c r="O13" i="5" s="1"/>
  <c r="DW13" i="5"/>
  <c r="DT13" i="5"/>
  <c r="N13" i="5" s="1"/>
  <c r="DP13" i="5"/>
  <c r="DM13" i="5"/>
  <c r="M13" i="5" s="1"/>
  <c r="DI13" i="5"/>
  <c r="DF13" i="5"/>
  <c r="L13" i="5" s="1"/>
  <c r="DC13" i="5"/>
  <c r="DB13" i="5"/>
  <c r="CY13" i="5"/>
  <c r="K13" i="5" s="1"/>
  <c r="CW13" i="5"/>
  <c r="CV13" i="5"/>
  <c r="CU13" i="5"/>
  <c r="CR13" i="5"/>
  <c r="J13" i="5" s="1"/>
  <c r="CP13" i="5"/>
  <c r="CO13" i="5"/>
  <c r="CN13" i="5"/>
  <c r="CK13" i="5"/>
  <c r="I13" i="5" s="1"/>
  <c r="CI13" i="5"/>
  <c r="CH13" i="5"/>
  <c r="CG13" i="5"/>
  <c r="CD13" i="5"/>
  <c r="H13" i="5" s="1"/>
  <c r="CB13" i="5"/>
  <c r="CA13" i="5"/>
  <c r="BZ13" i="5"/>
  <c r="BW13" i="5"/>
  <c r="G13" i="5" s="1"/>
  <c r="BU13" i="5"/>
  <c r="BT13" i="5"/>
  <c r="BS13" i="5"/>
  <c r="IS36" i="4" l="1"/>
  <c r="GX30" i="5"/>
  <c r="BN62" i="5"/>
  <c r="BN65" i="5" s="1"/>
  <c r="BM67" i="5"/>
  <c r="BW62" i="5"/>
  <c r="G62" i="5" s="1"/>
  <c r="BS62" i="5"/>
  <c r="BP67" i="5"/>
  <c r="F67" i="5" s="1"/>
  <c r="F65" i="5"/>
  <c r="BT12" i="5"/>
  <c r="CH12" i="5"/>
  <c r="DP12" i="5"/>
  <c r="CV12" i="5"/>
  <c r="DW12" i="5"/>
  <c r="DT12" i="5"/>
  <c r="N12" i="5" s="1"/>
  <c r="DF12" i="5"/>
  <c r="L12" i="5" s="1"/>
  <c r="CR12" i="5"/>
  <c r="J12" i="5" s="1"/>
  <c r="BS12" i="5"/>
  <c r="CG12" i="5"/>
  <c r="CU12" i="5"/>
  <c r="DM12" i="5"/>
  <c r="M12" i="5" s="1"/>
  <c r="CP12" i="5"/>
  <c r="DI12" i="5"/>
  <c r="CB12" i="5"/>
  <c r="BU12" i="5"/>
  <c r="BW12" i="5"/>
  <c r="G12" i="5" s="1"/>
  <c r="CN12" i="5"/>
  <c r="CI12" i="5"/>
  <c r="DB12" i="5"/>
  <c r="CA12" i="5"/>
  <c r="ED12" i="5"/>
  <c r="CW12" i="5"/>
  <c r="EH12" i="5"/>
  <c r="P12" i="5" s="1"/>
  <c r="CY12" i="5"/>
  <c r="K12" i="5" s="1"/>
  <c r="DC12" i="5"/>
  <c r="CD12" i="5"/>
  <c r="H12" i="5" s="1"/>
  <c r="CK12" i="5"/>
  <c r="I12" i="5" s="1"/>
  <c r="BZ12" i="5"/>
  <c r="EA12" i="5"/>
  <c r="O12" i="5" s="1"/>
  <c r="CO12" i="5"/>
  <c r="DD26" i="5"/>
  <c r="DD13" i="5"/>
  <c r="DQ47" i="5"/>
  <c r="DX26" i="5"/>
  <c r="DQ26" i="5"/>
  <c r="DQ13" i="5"/>
  <c r="DD47" i="5"/>
  <c r="EE47" i="5"/>
  <c r="DX13" i="5"/>
  <c r="DX47" i="5"/>
  <c r="DJ13" i="5"/>
  <c r="DJ26" i="5"/>
  <c r="DJ47" i="5"/>
  <c r="ED33" i="5"/>
  <c r="EE26" i="5"/>
  <c r="EE13" i="5"/>
  <c r="BT33" i="5"/>
  <c r="BV63" i="5"/>
  <c r="BZ33" i="5"/>
  <c r="CB33" i="5"/>
  <c r="CD33" i="5"/>
  <c r="CH33" i="5"/>
  <c r="CJ63" i="5"/>
  <c r="CN33" i="5"/>
  <c r="CP33" i="5"/>
  <c r="DF33" i="5"/>
  <c r="BS33" i="5"/>
  <c r="BU33" i="5"/>
  <c r="BW33" i="5"/>
  <c r="CA33" i="5"/>
  <c r="CC63" i="5"/>
  <c r="CG33" i="5"/>
  <c r="CI33" i="5"/>
  <c r="CO33" i="5"/>
  <c r="CQ63" i="5"/>
  <c r="DI33" i="5"/>
  <c r="CK33" i="5"/>
  <c r="CW33" i="5"/>
  <c r="CV33" i="5"/>
  <c r="CU33" i="5"/>
  <c r="CR33" i="5"/>
  <c r="DC33" i="5"/>
  <c r="DB33" i="5"/>
  <c r="CY33" i="5"/>
  <c r="DM33" i="5"/>
  <c r="DP33" i="5"/>
  <c r="DW33" i="5"/>
  <c r="DT33" i="5"/>
  <c r="EA33" i="5"/>
  <c r="EH33" i="5"/>
  <c r="IT36" i="4" l="1"/>
  <c r="GY30" i="5"/>
  <c r="DW163" i="5"/>
  <c r="CH163" i="5"/>
  <c r="CO163" i="5"/>
  <c r="CI163" i="5"/>
  <c r="BZ163" i="5"/>
  <c r="DC163" i="5"/>
  <c r="DP163" i="5"/>
  <c r="CG163" i="5"/>
  <c r="DB163" i="5"/>
  <c r="CV163" i="5"/>
  <c r="BS163" i="5"/>
  <c r="BT163" i="5"/>
  <c r="CW163" i="5"/>
  <c r="ED163" i="5"/>
  <c r="CB163" i="5"/>
  <c r="CA163" i="5"/>
  <c r="BU163" i="5"/>
  <c r="CP163" i="5"/>
  <c r="CU163" i="5"/>
  <c r="DI163" i="5"/>
  <c r="CN163" i="5"/>
  <c r="BO62" i="5"/>
  <c r="BO65" i="5" s="1"/>
  <c r="BO67" i="5" s="1"/>
  <c r="BN67" i="5"/>
  <c r="DF163" i="5"/>
  <c r="L163" i="5" s="1"/>
  <c r="L33" i="5"/>
  <c r="BW163" i="5"/>
  <c r="G163" i="5" s="1"/>
  <c r="G33" i="5"/>
  <c r="CD163" i="5"/>
  <c r="H163" i="5" s="1"/>
  <c r="H33" i="5"/>
  <c r="CY163" i="5"/>
  <c r="K163" i="5" s="1"/>
  <c r="K33" i="5"/>
  <c r="DM163" i="5"/>
  <c r="M163" i="5" s="1"/>
  <c r="M33" i="5"/>
  <c r="CR163" i="5"/>
  <c r="J163" i="5" s="1"/>
  <c r="J33" i="5"/>
  <c r="CK163" i="5"/>
  <c r="I163" i="5" s="1"/>
  <c r="I33" i="5"/>
  <c r="EA163" i="5"/>
  <c r="O163" i="5" s="1"/>
  <c r="O33" i="5"/>
  <c r="DT163" i="5"/>
  <c r="N163" i="5" s="1"/>
  <c r="N33" i="5"/>
  <c r="EH163" i="5"/>
  <c r="P163" i="5" s="1"/>
  <c r="P33" i="5"/>
  <c r="DD12" i="5"/>
  <c r="DQ12" i="5"/>
  <c r="DX12" i="5"/>
  <c r="EE12" i="5"/>
  <c r="DJ12" i="5"/>
  <c r="BZ63" i="5"/>
  <c r="BU63" i="5"/>
  <c r="CY63" i="5"/>
  <c r="K63" i="5" s="1"/>
  <c r="CI63" i="5"/>
  <c r="DB63" i="5"/>
  <c r="BT63" i="5"/>
  <c r="CR63" i="5"/>
  <c r="J63" i="5" s="1"/>
  <c r="CU63" i="5"/>
  <c r="DW63" i="5"/>
  <c r="CV63" i="5"/>
  <c r="CB63" i="5"/>
  <c r="BS63" i="5"/>
  <c r="BS65" i="5" s="1"/>
  <c r="BT62" i="5" s="1"/>
  <c r="DC63" i="5"/>
  <c r="EA63" i="5"/>
  <c r="O63" i="5" s="1"/>
  <c r="DT63" i="5"/>
  <c r="N63" i="5" s="1"/>
  <c r="CN63" i="5"/>
  <c r="CW63" i="5"/>
  <c r="CH63" i="5"/>
  <c r="ED63" i="5"/>
  <c r="CO63" i="5"/>
  <c r="CP63" i="5"/>
  <c r="CG63" i="5"/>
  <c r="DP63" i="5"/>
  <c r="CA63" i="5"/>
  <c r="CK63" i="5"/>
  <c r="I63" i="5" s="1"/>
  <c r="BW63" i="5"/>
  <c r="CD63" i="5"/>
  <c r="H63" i="5" s="1"/>
  <c r="DI63" i="5"/>
  <c r="DF63" i="5"/>
  <c r="L63" i="5" s="1"/>
  <c r="DM63" i="5"/>
  <c r="M63" i="5" s="1"/>
  <c r="DJ33" i="5"/>
  <c r="DQ33" i="5"/>
  <c r="DD33" i="5"/>
  <c r="EH63" i="5"/>
  <c r="P63" i="5" s="1"/>
  <c r="EF26" i="5"/>
  <c r="DX33" i="5"/>
  <c r="EE33" i="5"/>
  <c r="DK47" i="5"/>
  <c r="DK26" i="5"/>
  <c r="DK13" i="5"/>
  <c r="DR47" i="5"/>
  <c r="DE63" i="5"/>
  <c r="EF13" i="5"/>
  <c r="EG13" i="5"/>
  <c r="DR26" i="5"/>
  <c r="DR13" i="5"/>
  <c r="DY13" i="5"/>
  <c r="EF47" i="5"/>
  <c r="EG47" i="5"/>
  <c r="EG26" i="5"/>
  <c r="GZ30" i="5" l="1"/>
  <c r="AF36" i="4"/>
  <c r="DF167" i="5"/>
  <c r="L167" i="5" s="1"/>
  <c r="CA167" i="5"/>
  <c r="CA169" i="5" s="1"/>
  <c r="DI165" i="5"/>
  <c r="DD163" i="5"/>
  <c r="DQ163" i="5"/>
  <c r="DJ163" i="5"/>
  <c r="DX163" i="5"/>
  <c r="EE163" i="5"/>
  <c r="EA167" i="5"/>
  <c r="O167" i="5" s="1"/>
  <c r="CK167" i="5"/>
  <c r="I167" i="5" s="1"/>
  <c r="DT167" i="5"/>
  <c r="N167" i="5" s="1"/>
  <c r="CY167" i="5"/>
  <c r="K167" i="5" s="1"/>
  <c r="EH167" i="5"/>
  <c r="P167" i="5" s="1"/>
  <c r="BW167" i="5"/>
  <c r="G167" i="5" s="1"/>
  <c r="CD167" i="5"/>
  <c r="H167" i="5" s="1"/>
  <c r="DM167" i="5"/>
  <c r="M167" i="5" s="1"/>
  <c r="BW65" i="5"/>
  <c r="CD62" i="5" s="1"/>
  <c r="G63" i="5"/>
  <c r="CR167" i="5"/>
  <c r="J167" i="5" s="1"/>
  <c r="EF12" i="5"/>
  <c r="BS67" i="5"/>
  <c r="DF169" i="5"/>
  <c r="L169" i="5" s="1"/>
  <c r="DF173" i="5"/>
  <c r="DY33" i="5"/>
  <c r="DY12" i="5"/>
  <c r="DR12" i="5"/>
  <c r="EG12" i="5"/>
  <c r="DK12" i="5"/>
  <c r="DC167" i="5"/>
  <c r="DW165" i="5"/>
  <c r="CI165" i="5"/>
  <c r="CJ167" i="5"/>
  <c r="CH165" i="5"/>
  <c r="CG165" i="5"/>
  <c r="CH167" i="5"/>
  <c r="CJ165" i="5"/>
  <c r="CK165" i="5" s="1"/>
  <c r="I165" i="5" s="1"/>
  <c r="CG167" i="5"/>
  <c r="CI167" i="5"/>
  <c r="CA173" i="5"/>
  <c r="CA76" i="5" s="1"/>
  <c r="CQ167" i="5"/>
  <c r="CP165" i="5"/>
  <c r="CO167" i="5"/>
  <c r="CO165" i="5"/>
  <c r="CQ165" i="5"/>
  <c r="CR165" i="5" s="1"/>
  <c r="J165" i="5" s="1"/>
  <c r="CP167" i="5"/>
  <c r="CN167" i="5"/>
  <c r="CN165" i="5"/>
  <c r="BS165" i="5"/>
  <c r="BT165" i="5"/>
  <c r="BV165" i="5"/>
  <c r="BW165" i="5" s="1"/>
  <c r="G165" i="5" s="1"/>
  <c r="BV167" i="5"/>
  <c r="BT167" i="5"/>
  <c r="BU165" i="5"/>
  <c r="BS167" i="5"/>
  <c r="BU167" i="5"/>
  <c r="CV167" i="5"/>
  <c r="CW167" i="5"/>
  <c r="CV165" i="5"/>
  <c r="CU167" i="5"/>
  <c r="CX165" i="5"/>
  <c r="CY165" i="5" s="1"/>
  <c r="K165" i="5" s="1"/>
  <c r="CU165" i="5"/>
  <c r="CW165" i="5"/>
  <c r="CX167" i="5"/>
  <c r="DB167" i="5"/>
  <c r="DB165" i="5"/>
  <c r="DC165" i="5"/>
  <c r="DQ63" i="5"/>
  <c r="DJ63" i="5"/>
  <c r="BT65" i="5"/>
  <c r="BU62" i="5" s="1"/>
  <c r="BU65" i="5" s="1"/>
  <c r="BV62" i="5" s="1"/>
  <c r="BV65" i="5" s="1"/>
  <c r="BV67" i="5" s="1"/>
  <c r="DP165" i="5"/>
  <c r="ED165" i="5"/>
  <c r="BZ167" i="5"/>
  <c r="BZ165" i="5"/>
  <c r="CB165" i="5"/>
  <c r="CB167" i="5"/>
  <c r="CA165" i="5"/>
  <c r="CC165" i="5"/>
  <c r="CD165" i="5" s="1"/>
  <c r="H165" i="5" s="1"/>
  <c r="CC167" i="5"/>
  <c r="DX63" i="5"/>
  <c r="DD63" i="5"/>
  <c r="EE63" i="5"/>
  <c r="EF33" i="5"/>
  <c r="EG33" i="5"/>
  <c r="DK33" i="5"/>
  <c r="DZ63" i="5"/>
  <c r="DS63" i="5"/>
  <c r="DR33" i="5"/>
  <c r="DL63" i="5"/>
  <c r="Z30" i="5" l="1"/>
  <c r="DI167" i="5"/>
  <c r="DI173" i="5" s="1"/>
  <c r="DI76" i="5" s="1"/>
  <c r="DT169" i="5"/>
  <c r="N169" i="5" s="1"/>
  <c r="EA173" i="5"/>
  <c r="BW169" i="5"/>
  <c r="G169" i="5" s="1"/>
  <c r="DK163" i="5"/>
  <c r="EG163" i="5"/>
  <c r="EF163" i="5"/>
  <c r="EA169" i="5"/>
  <c r="O169" i="5" s="1"/>
  <c r="CK169" i="5"/>
  <c r="I169" i="5" s="1"/>
  <c r="CK173" i="5"/>
  <c r="I173" i="5" s="1"/>
  <c r="DY163" i="5"/>
  <c r="ED167" i="5" s="1"/>
  <c r="ED169" i="5" s="1"/>
  <c r="DR163" i="5"/>
  <c r="BW173" i="5"/>
  <c r="BW175" i="5" s="1"/>
  <c r="EH169" i="5"/>
  <c r="P169" i="5" s="1"/>
  <c r="CR173" i="5"/>
  <c r="J173" i="5" s="1"/>
  <c r="CD173" i="5"/>
  <c r="CD76" i="5" s="1"/>
  <c r="H76" i="5" s="1"/>
  <c r="CR169" i="5"/>
  <c r="J169" i="5" s="1"/>
  <c r="CD169" i="5"/>
  <c r="H169" i="5" s="1"/>
  <c r="DT173" i="5"/>
  <c r="DT76" i="5" s="1"/>
  <c r="N76" i="5" s="1"/>
  <c r="CY169" i="5"/>
  <c r="K169" i="5" s="1"/>
  <c r="DM169" i="5"/>
  <c r="M169" i="5" s="1"/>
  <c r="CY173" i="5"/>
  <c r="K173" i="5" s="1"/>
  <c r="EH173" i="5"/>
  <c r="P173" i="5" s="1"/>
  <c r="DM173" i="5"/>
  <c r="M173" i="5" s="1"/>
  <c r="DF76" i="5"/>
  <c r="L76" i="5" s="1"/>
  <c r="L173" i="5"/>
  <c r="CD65" i="5"/>
  <c r="H62" i="5"/>
  <c r="BZ62" i="5"/>
  <c r="BZ65" i="5" s="1"/>
  <c r="CA62" i="5" s="1"/>
  <c r="CA65" i="5" s="1"/>
  <c r="CB62" i="5" s="1"/>
  <c r="CB65" i="5" s="1"/>
  <c r="CC62" i="5" s="1"/>
  <c r="CC65" i="5" s="1"/>
  <c r="G65" i="5"/>
  <c r="EA76" i="5"/>
  <c r="O76" i="5" s="1"/>
  <c r="O173" i="5"/>
  <c r="DF175" i="5"/>
  <c r="DY63" i="5"/>
  <c r="DX165" i="5"/>
  <c r="BT169" i="5"/>
  <c r="BT173" i="5"/>
  <c r="BT76" i="5" s="1"/>
  <c r="CG169" i="5"/>
  <c r="CG173" i="5"/>
  <c r="CG76" i="5" s="1"/>
  <c r="DD165" i="5"/>
  <c r="CU173" i="5"/>
  <c r="CU76" i="5" s="1"/>
  <c r="CU169" i="5"/>
  <c r="BV173" i="5"/>
  <c r="BV76" i="5" s="1"/>
  <c r="BV169" i="5"/>
  <c r="DC169" i="5"/>
  <c r="DC173" i="5"/>
  <c r="DC76" i="5" s="1"/>
  <c r="CC169" i="5"/>
  <c r="CC173" i="5"/>
  <c r="CC76" i="5" s="1"/>
  <c r="DJ167" i="5"/>
  <c r="DJ165" i="5"/>
  <c r="DE167" i="5"/>
  <c r="CO169" i="5"/>
  <c r="CO173" i="5"/>
  <c r="CO76" i="5" s="1"/>
  <c r="CH173" i="5"/>
  <c r="CH76" i="5" s="1"/>
  <c r="CH169" i="5"/>
  <c r="EA175" i="5"/>
  <c r="CB173" i="5"/>
  <c r="CB76" i="5" s="1"/>
  <c r="CB169" i="5"/>
  <c r="CW173" i="5"/>
  <c r="CW76" i="5" s="1"/>
  <c r="CW169" i="5"/>
  <c r="DI169" i="5"/>
  <c r="DB173" i="5"/>
  <c r="DB76" i="5" s="1"/>
  <c r="DB169" i="5"/>
  <c r="CV169" i="5"/>
  <c r="CV173" i="5"/>
  <c r="CV76" i="5" s="1"/>
  <c r="CQ173" i="5"/>
  <c r="CQ76" i="5" s="1"/>
  <c r="CQ169" i="5"/>
  <c r="CX169" i="5"/>
  <c r="CX173" i="5"/>
  <c r="CX76" i="5" s="1"/>
  <c r="BU173" i="5"/>
  <c r="BU76" i="5" s="1"/>
  <c r="BU169" i="5"/>
  <c r="CA175" i="5"/>
  <c r="CA78" i="5" s="1"/>
  <c r="CJ173" i="5"/>
  <c r="CJ76" i="5" s="1"/>
  <c r="CJ169" i="5"/>
  <c r="EG63" i="5"/>
  <c r="BT67" i="5"/>
  <c r="DR63" i="5"/>
  <c r="BZ173" i="5"/>
  <c r="BZ76" i="5" s="1"/>
  <c r="BZ169" i="5"/>
  <c r="EE165" i="5"/>
  <c r="DQ165" i="5"/>
  <c r="DE165" i="5"/>
  <c r="DF165" i="5" s="1"/>
  <c r="L165" i="5" s="1"/>
  <c r="BS173" i="5"/>
  <c r="BS76" i="5" s="1"/>
  <c r="BS169" i="5"/>
  <c r="CN173" i="5"/>
  <c r="CN76" i="5" s="1"/>
  <c r="CN169" i="5"/>
  <c r="DK63" i="5"/>
  <c r="DK167" i="5"/>
  <c r="BU67" i="5"/>
  <c r="EF63" i="5"/>
  <c r="DD167" i="5"/>
  <c r="CP169" i="5"/>
  <c r="CP173" i="5"/>
  <c r="CP76" i="5" s="1"/>
  <c r="CI169" i="5"/>
  <c r="CI173" i="5"/>
  <c r="CI76" i="5" s="1"/>
  <c r="CR175" i="5" l="1"/>
  <c r="CR76" i="5"/>
  <c r="J76" i="5" s="1"/>
  <c r="EF165" i="5"/>
  <c r="EE167" i="5"/>
  <c r="DY167" i="5"/>
  <c r="DY169" i="5" s="1"/>
  <c r="DZ165" i="5"/>
  <c r="EA165" i="5" s="1"/>
  <c r="O165" i="5" s="1"/>
  <c r="DR167" i="5"/>
  <c r="DR173" i="5" s="1"/>
  <c r="DR76" i="5" s="1"/>
  <c r="BW76" i="5"/>
  <c r="G76" i="5" s="1"/>
  <c r="DY165" i="5"/>
  <c r="DZ167" i="5"/>
  <c r="DZ173" i="5" s="1"/>
  <c r="DZ76" i="5" s="1"/>
  <c r="CK175" i="5"/>
  <c r="CK78" i="5" s="1"/>
  <c r="I78" i="5" s="1"/>
  <c r="G173" i="5"/>
  <c r="CK76" i="5"/>
  <c r="I76" i="5" s="1"/>
  <c r="DR165" i="5"/>
  <c r="CY175" i="5"/>
  <c r="K175" i="5" s="1"/>
  <c r="CD175" i="5"/>
  <c r="CD78" i="5" s="1"/>
  <c r="H78" i="5" s="1"/>
  <c r="H173" i="5"/>
  <c r="DT175" i="5"/>
  <c r="N175" i="5" s="1"/>
  <c r="CA67" i="5"/>
  <c r="CY76" i="5"/>
  <c r="K76" i="5" s="1"/>
  <c r="BZ67" i="5"/>
  <c r="DM175" i="5"/>
  <c r="M175" i="5" s="1"/>
  <c r="DM76" i="5"/>
  <c r="M76" i="5" s="1"/>
  <c r="N173" i="5"/>
  <c r="EH175" i="5"/>
  <c r="EH78" i="5" s="1"/>
  <c r="P78" i="5" s="1"/>
  <c r="EH76" i="5"/>
  <c r="P76" i="5" s="1"/>
  <c r="BW78" i="5"/>
  <c r="G78" i="5" s="1"/>
  <c r="G175" i="5"/>
  <c r="CR78" i="5"/>
  <c r="J78" i="5" s="1"/>
  <c r="J175" i="5"/>
  <c r="CG62" i="5"/>
  <c r="CG65" i="5" s="1"/>
  <c r="CH62" i="5" s="1"/>
  <c r="CH65" i="5" s="1"/>
  <c r="CI62" i="5" s="1"/>
  <c r="CI65" i="5" s="1"/>
  <c r="CJ62" i="5" s="1"/>
  <c r="CJ65" i="5" s="1"/>
  <c r="H65" i="5"/>
  <c r="CK62" i="5"/>
  <c r="DF78" i="5"/>
  <c r="L78" i="5" s="1"/>
  <c r="L175" i="5"/>
  <c r="EA78" i="5"/>
  <c r="O78" i="5" s="1"/>
  <c r="O175" i="5"/>
  <c r="ED173" i="5"/>
  <c r="DW167" i="5"/>
  <c r="DW173" i="5" s="1"/>
  <c r="DW76" i="5" s="1"/>
  <c r="DS165" i="5"/>
  <c r="DT165" i="5" s="1"/>
  <c r="N165" i="5" s="1"/>
  <c r="DS167" i="5"/>
  <c r="DS169" i="5" s="1"/>
  <c r="DX167" i="5"/>
  <c r="DX169" i="5" s="1"/>
  <c r="DK169" i="5"/>
  <c r="DK173" i="5"/>
  <c r="DK76" i="5" s="1"/>
  <c r="DB175" i="5"/>
  <c r="DB78" i="5" s="1"/>
  <c r="DJ173" i="5"/>
  <c r="DJ76" i="5" s="1"/>
  <c r="DJ169" i="5"/>
  <c r="DC175" i="5"/>
  <c r="DC78" i="5" s="1"/>
  <c r="CP175" i="5"/>
  <c r="CP78" i="5" s="1"/>
  <c r="CB175" i="5"/>
  <c r="CB78" i="5" s="1"/>
  <c r="DL167" i="5"/>
  <c r="BT175" i="5"/>
  <c r="BT78" i="5" s="1"/>
  <c r="DI175" i="5"/>
  <c r="DI78" i="5" s="1"/>
  <c r="CH175" i="5"/>
  <c r="CH78" i="5" s="1"/>
  <c r="DK165" i="5"/>
  <c r="BU175" i="5"/>
  <c r="BU78" i="5" s="1"/>
  <c r="CO175" i="5"/>
  <c r="CO78" i="5" s="1"/>
  <c r="DL165" i="5"/>
  <c r="DM165" i="5" s="1"/>
  <c r="M165" i="5" s="1"/>
  <c r="BV175" i="5"/>
  <c r="BV78" i="5" s="1"/>
  <c r="CX175" i="5"/>
  <c r="CX78" i="5" s="1"/>
  <c r="CA177" i="5"/>
  <c r="CA80" i="5" s="1"/>
  <c r="CV175" i="5"/>
  <c r="CV78" i="5" s="1"/>
  <c r="DE169" i="5"/>
  <c r="DE173" i="5"/>
  <c r="DE76" i="5" s="1"/>
  <c r="CU175" i="5"/>
  <c r="CU78" i="5" s="1"/>
  <c r="DQ167" i="5"/>
  <c r="DD173" i="5"/>
  <c r="DD76" i="5" s="1"/>
  <c r="DD169" i="5"/>
  <c r="EG165" i="5"/>
  <c r="EH165" i="5" s="1"/>
  <c r="P165" i="5" s="1"/>
  <c r="CW175" i="5"/>
  <c r="CW78" i="5" s="1"/>
  <c r="CC175" i="5"/>
  <c r="CC78" i="5" s="1"/>
  <c r="BS175" i="5"/>
  <c r="BS78" i="5" s="1"/>
  <c r="CQ175" i="5"/>
  <c r="CQ78" i="5" s="1"/>
  <c r="BZ175" i="5"/>
  <c r="BZ78" i="5" s="1"/>
  <c r="CI175" i="5"/>
  <c r="CI78" i="5" s="1"/>
  <c r="CN175" i="5"/>
  <c r="CN78" i="5" s="1"/>
  <c r="DP167" i="5"/>
  <c r="CJ175" i="5"/>
  <c r="CJ78" i="5" s="1"/>
  <c r="EG167" i="5"/>
  <c r="EF167" i="5"/>
  <c r="CG175" i="5"/>
  <c r="CG78" i="5" s="1"/>
  <c r="CB67" i="5"/>
  <c r="DY173" i="5" l="1"/>
  <c r="DY76" i="5" s="1"/>
  <c r="DR169" i="5"/>
  <c r="DZ175" i="5"/>
  <c r="DZ78" i="5" s="1"/>
  <c r="DZ169" i="5"/>
  <c r="CY78" i="5"/>
  <c r="K78" i="5" s="1"/>
  <c r="I175" i="5"/>
  <c r="EE173" i="5"/>
  <c r="EE169" i="5"/>
  <c r="DT78" i="5"/>
  <c r="N78" i="5" s="1"/>
  <c r="H175" i="5"/>
  <c r="DM78" i="5"/>
  <c r="M78" i="5" s="1"/>
  <c r="P175" i="5"/>
  <c r="CK65" i="5"/>
  <c r="I62" i="5"/>
  <c r="ED175" i="5"/>
  <c r="ED78" i="5" s="1"/>
  <c r="ED76" i="5"/>
  <c r="DX173" i="5"/>
  <c r="DX76" i="5" s="1"/>
  <c r="DW169" i="5"/>
  <c r="DS173" i="5"/>
  <c r="BU177" i="5"/>
  <c r="BU80" i="5" s="1"/>
  <c r="CB177" i="5"/>
  <c r="CB80" i="5" s="1"/>
  <c r="DJ175" i="5"/>
  <c r="DJ78" i="5" s="1"/>
  <c r="DP173" i="5"/>
  <c r="DP76" i="5" s="1"/>
  <c r="DP169" i="5"/>
  <c r="CX177" i="5"/>
  <c r="CX80" i="5" s="1"/>
  <c r="DI177" i="5"/>
  <c r="DI80" i="5" s="1"/>
  <c r="DW175" i="5"/>
  <c r="DW78" i="5" s="1"/>
  <c r="CW177" i="5"/>
  <c r="CW80" i="5" s="1"/>
  <c r="CJ177" i="5"/>
  <c r="CJ80" i="5" s="1"/>
  <c r="CQ177" i="5"/>
  <c r="CQ80" i="5" s="1"/>
  <c r="DZ177" i="5"/>
  <c r="DZ80" i="5" s="1"/>
  <c r="DD175" i="5"/>
  <c r="DD78" i="5" s="1"/>
  <c r="DR175" i="5"/>
  <c r="DR78" i="5" s="1"/>
  <c r="DY175" i="5"/>
  <c r="DY78" i="5" s="1"/>
  <c r="BZ177" i="5"/>
  <c r="BZ80" i="5" s="1"/>
  <c r="DQ169" i="5"/>
  <c r="DQ173" i="5"/>
  <c r="DQ76" i="5" s="1"/>
  <c r="CG177" i="5"/>
  <c r="CG80" i="5" s="1"/>
  <c r="CP177" i="5"/>
  <c r="CP80" i="5" s="1"/>
  <c r="DB177" i="5"/>
  <c r="DB80" i="5" s="1"/>
  <c r="CN177" i="5"/>
  <c r="CN80" i="5" s="1"/>
  <c r="EF173" i="5"/>
  <c r="EF76" i="5" s="1"/>
  <c r="EF169" i="5"/>
  <c r="CI177" i="5"/>
  <c r="CI80" i="5" s="1"/>
  <c r="CC177" i="5"/>
  <c r="CC80" i="5" s="1"/>
  <c r="CU177" i="5"/>
  <c r="CU80" i="5" s="1"/>
  <c r="CH177" i="5"/>
  <c r="CH80" i="5" s="1"/>
  <c r="BT177" i="5"/>
  <c r="BT80" i="5" s="1"/>
  <c r="DK175" i="5"/>
  <c r="DK78" i="5" s="1"/>
  <c r="CV177" i="5"/>
  <c r="CV80" i="5" s="1"/>
  <c r="BS177" i="5"/>
  <c r="BS80" i="5" s="1"/>
  <c r="BV177" i="5"/>
  <c r="BV80" i="5" s="1"/>
  <c r="EG169" i="5"/>
  <c r="EG173" i="5"/>
  <c r="EG76" i="5" s="1"/>
  <c r="DE175" i="5"/>
  <c r="DE78" i="5" s="1"/>
  <c r="CO177" i="5"/>
  <c r="CO80" i="5" s="1"/>
  <c r="DL173" i="5"/>
  <c r="DL76" i="5" s="1"/>
  <c r="DL169" i="5"/>
  <c r="DC177" i="5"/>
  <c r="DC80" i="5" s="1"/>
  <c r="CC67" i="5"/>
  <c r="EE76" i="5" l="1"/>
  <c r="EE175" i="5"/>
  <c r="ED177" i="5"/>
  <c r="ED80" i="5" s="1"/>
  <c r="CN62" i="5"/>
  <c r="CN65" i="5" s="1"/>
  <c r="CO62" i="5" s="1"/>
  <c r="CO65" i="5" s="1"/>
  <c r="CP62" i="5" s="1"/>
  <c r="CP65" i="5" s="1"/>
  <c r="CQ62" i="5" s="1"/>
  <c r="CQ65" i="5" s="1"/>
  <c r="I65" i="5"/>
  <c r="CR62" i="5"/>
  <c r="DX175" i="5"/>
  <c r="DX78" i="5" s="1"/>
  <c r="DS175" i="5"/>
  <c r="DS78" i="5" s="1"/>
  <c r="DS76" i="5"/>
  <c r="DW177" i="5"/>
  <c r="DW80" i="5" s="1"/>
  <c r="EF175" i="5"/>
  <c r="EF78" i="5" s="1"/>
  <c r="DJ177" i="5"/>
  <c r="DJ80" i="5" s="1"/>
  <c r="DY177" i="5"/>
  <c r="DY80" i="5" s="1"/>
  <c r="EG175" i="5"/>
  <c r="EG78" i="5" s="1"/>
  <c r="DQ175" i="5"/>
  <c r="DQ78" i="5" s="1"/>
  <c r="DK177" i="5"/>
  <c r="DK80" i="5" s="1"/>
  <c r="DL175" i="5"/>
  <c r="DL78" i="5" s="1"/>
  <c r="DR177" i="5"/>
  <c r="DR80" i="5" s="1"/>
  <c r="DE177" i="5"/>
  <c r="DE80" i="5" s="1"/>
  <c r="DD177" i="5"/>
  <c r="DD80" i="5" s="1"/>
  <c r="DP175" i="5"/>
  <c r="DP78" i="5" s="1"/>
  <c r="CG67" i="5"/>
  <c r="EE78" i="5" l="1"/>
  <c r="EE177" i="5"/>
  <c r="EE80" i="5" s="1"/>
  <c r="DS177" i="5"/>
  <c r="DS80" i="5" s="1"/>
  <c r="CR65" i="5"/>
  <c r="J62" i="5"/>
  <c r="DX177" i="5"/>
  <c r="DX80" i="5" s="1"/>
  <c r="DP177" i="5"/>
  <c r="DP80" i="5" s="1"/>
  <c r="EF177" i="5"/>
  <c r="EF80" i="5" s="1"/>
  <c r="DQ177" i="5"/>
  <c r="DQ80" i="5" s="1"/>
  <c r="EG177" i="5"/>
  <c r="EG80" i="5" s="1"/>
  <c r="DL177" i="5"/>
  <c r="DL80" i="5" s="1"/>
  <c r="CN67" i="5"/>
  <c r="CH67" i="5"/>
  <c r="CY62" i="5" l="1"/>
  <c r="J65" i="5"/>
  <c r="CU62" i="5"/>
  <c r="CU65" i="5" s="1"/>
  <c r="CV62" i="5" s="1"/>
  <c r="CV65" i="5" s="1"/>
  <c r="CW62" i="5" s="1"/>
  <c r="CW65" i="5" s="1"/>
  <c r="CX62" i="5" s="1"/>
  <c r="CX65" i="5" s="1"/>
  <c r="CO67" i="5"/>
  <c r="CI67" i="5"/>
  <c r="CJ67" i="5"/>
  <c r="CQ67" i="5"/>
  <c r="CP67" i="5"/>
  <c r="CU67" i="5" l="1"/>
  <c r="CY65" i="5"/>
  <c r="K62" i="5"/>
  <c r="CV67" i="5"/>
  <c r="K65" i="5" l="1"/>
  <c r="DB62" i="5"/>
  <c r="DB65" i="5" s="1"/>
  <c r="DF62" i="5"/>
  <c r="CW67" i="5"/>
  <c r="DF65" i="5" l="1"/>
  <c r="L62" i="5"/>
  <c r="DC62" i="5"/>
  <c r="DC65" i="5" s="1"/>
  <c r="DB67" i="5"/>
  <c r="CX67" i="5"/>
  <c r="DD62" i="5" l="1"/>
  <c r="DD65" i="5" s="1"/>
  <c r="DC67" i="5"/>
  <c r="L65" i="5"/>
  <c r="DI62" i="5"/>
  <c r="DI65" i="5" s="1"/>
  <c r="DM62" i="5"/>
  <c r="DJ62" i="5" l="1"/>
  <c r="DJ65" i="5" s="1"/>
  <c r="DI67" i="5"/>
  <c r="DM65" i="5"/>
  <c r="M62" i="5"/>
  <c r="DE62" i="5"/>
  <c r="DE65" i="5" s="1"/>
  <c r="DE67" i="5" s="1"/>
  <c r="DD67" i="5"/>
  <c r="M65" i="5" l="1"/>
  <c r="DT62" i="5"/>
  <c r="DP62" i="5"/>
  <c r="DP65" i="5" s="1"/>
  <c r="DK62" i="5"/>
  <c r="DK65" i="5" s="1"/>
  <c r="DJ67" i="5"/>
  <c r="DL62" i="5" l="1"/>
  <c r="DL65" i="5" s="1"/>
  <c r="DL67" i="5" s="1"/>
  <c r="DK67" i="5"/>
  <c r="DQ62" i="5"/>
  <c r="DQ65" i="5" s="1"/>
  <c r="DP67" i="5"/>
  <c r="DT65" i="5"/>
  <c r="N62" i="5"/>
  <c r="N65" i="5" l="1"/>
  <c r="DW62" i="5"/>
  <c r="DW65" i="5" s="1"/>
  <c r="EA62" i="5"/>
  <c r="DR62" i="5"/>
  <c r="DR65" i="5" s="1"/>
  <c r="DQ67" i="5"/>
  <c r="EK13" i="5"/>
  <c r="DS62" i="5" l="1"/>
  <c r="DS65" i="5" s="1"/>
  <c r="DS67" i="5" s="1"/>
  <c r="DR67" i="5"/>
  <c r="EA65" i="5"/>
  <c r="O62" i="5"/>
  <c r="DX62" i="5"/>
  <c r="DX65" i="5" s="1"/>
  <c r="DW67" i="5"/>
  <c r="EK26" i="5"/>
  <c r="DY62" i="5" l="1"/>
  <c r="DY65" i="5" s="1"/>
  <c r="DX67" i="5"/>
  <c r="O65" i="5"/>
  <c r="EH62" i="5"/>
  <c r="ED62" i="5"/>
  <c r="ED65" i="5" s="1"/>
  <c r="EK12" i="5"/>
  <c r="EK33" i="5"/>
  <c r="P62" i="5" l="1"/>
  <c r="EH65" i="5"/>
  <c r="EE62" i="5"/>
  <c r="EE65" i="5" s="1"/>
  <c r="ED67" i="5"/>
  <c r="DZ62" i="5"/>
  <c r="DZ65" i="5" s="1"/>
  <c r="DZ67" i="5" s="1"/>
  <c r="DY67" i="5"/>
  <c r="EN12" i="5"/>
  <c r="EK163" i="5"/>
  <c r="EK63" i="5"/>
  <c r="DQ54" i="4"/>
  <c r="M54" i="4" s="1"/>
  <c r="DQ53" i="4"/>
  <c r="M53" i="4" s="1"/>
  <c r="DQ52" i="4"/>
  <c r="M52" i="4" s="1"/>
  <c r="DQ51" i="4"/>
  <c r="M51" i="4" s="1"/>
  <c r="DQ50" i="4"/>
  <c r="M50" i="4" s="1"/>
  <c r="DQ46" i="4"/>
  <c r="DQ45" i="4"/>
  <c r="BW141" i="5" s="1"/>
  <c r="DQ37" i="4"/>
  <c r="M37" i="4" s="1"/>
  <c r="DQ36" i="4"/>
  <c r="M36" i="4" s="1"/>
  <c r="DQ35" i="4"/>
  <c r="M35" i="4" s="1"/>
  <c r="DQ34" i="4"/>
  <c r="M34" i="4" s="1"/>
  <c r="DQ33" i="4"/>
  <c r="M33" i="4" s="1"/>
  <c r="DQ26" i="4"/>
  <c r="DQ22" i="4"/>
  <c r="M22" i="4" s="1"/>
  <c r="DQ21" i="4"/>
  <c r="M21" i="4" s="1"/>
  <c r="DQ20" i="4"/>
  <c r="M20" i="4" s="1"/>
  <c r="DQ13" i="4"/>
  <c r="DQ12" i="4"/>
  <c r="M12" i="4" s="1"/>
  <c r="DQ10" i="4"/>
  <c r="M10" i="4" s="1"/>
  <c r="DQ9" i="4"/>
  <c r="CD67" i="5"/>
  <c r="H67" i="5" s="1"/>
  <c r="CK67" i="5"/>
  <c r="I67" i="5" s="1"/>
  <c r="CR67" i="5"/>
  <c r="J67" i="5" s="1"/>
  <c r="CY67" i="5"/>
  <c r="K67" i="5" s="1"/>
  <c r="DF67" i="5"/>
  <c r="L67" i="5" s="1"/>
  <c r="DM67" i="5"/>
  <c r="M67" i="5" s="1"/>
  <c r="DT67" i="5"/>
  <c r="N67" i="5" s="1"/>
  <c r="FU54" i="4"/>
  <c r="U54" i="4" s="1"/>
  <c r="FU53" i="4"/>
  <c r="U53" i="4" s="1"/>
  <c r="FU52" i="4"/>
  <c r="U52" i="4" s="1"/>
  <c r="FU51" i="4"/>
  <c r="U51" i="4" s="1"/>
  <c r="FU50" i="4"/>
  <c r="U50" i="4" s="1"/>
  <c r="FU46" i="4"/>
  <c r="FU45" i="4"/>
  <c r="EA141" i="5" s="1"/>
  <c r="FU37" i="4"/>
  <c r="U37" i="4" s="1"/>
  <c r="FU36" i="4"/>
  <c r="U36" i="4" s="1"/>
  <c r="FU35" i="4"/>
  <c r="U35" i="4" s="1"/>
  <c r="FU34" i="4"/>
  <c r="U34" i="4" s="1"/>
  <c r="FU33" i="4"/>
  <c r="U33" i="4" s="1"/>
  <c r="FU26" i="4"/>
  <c r="FU22" i="4"/>
  <c r="U22" i="4" s="1"/>
  <c r="FU21" i="4"/>
  <c r="U21" i="4" s="1"/>
  <c r="FU20" i="4"/>
  <c r="U20" i="4" s="1"/>
  <c r="FU13" i="4"/>
  <c r="FU12" i="4"/>
  <c r="U12" i="4" s="1"/>
  <c r="FU10" i="4"/>
  <c r="U10" i="4" s="1"/>
  <c r="FU9" i="4"/>
  <c r="GB51" i="4"/>
  <c r="V51" i="4" s="1"/>
  <c r="GB52" i="4"/>
  <c r="V52" i="4" s="1"/>
  <c r="GB53" i="4"/>
  <c r="V53" i="4" s="1"/>
  <c r="GB54" i="4"/>
  <c r="V54" i="4" s="1"/>
  <c r="GB50" i="4"/>
  <c r="V50" i="4" s="1"/>
  <c r="GB46" i="4"/>
  <c r="GB45" i="4"/>
  <c r="EH141" i="5" s="1"/>
  <c r="GB34" i="4"/>
  <c r="V34" i="4" s="1"/>
  <c r="GB35" i="4"/>
  <c r="V35" i="4" s="1"/>
  <c r="GB36" i="4"/>
  <c r="V36" i="4" s="1"/>
  <c r="GB37" i="4"/>
  <c r="V37" i="4" s="1"/>
  <c r="GB33" i="4"/>
  <c r="V33" i="4" s="1"/>
  <c r="GB21" i="4"/>
  <c r="V21" i="4" s="1"/>
  <c r="GB22" i="4"/>
  <c r="V22" i="4" s="1"/>
  <c r="GB26" i="4"/>
  <c r="GB20" i="4"/>
  <c r="V20" i="4" s="1"/>
  <c r="GB13" i="4"/>
  <c r="GB12" i="4"/>
  <c r="V12" i="4" s="1"/>
  <c r="GB10" i="4"/>
  <c r="V10" i="4" s="1"/>
  <c r="GB9" i="4"/>
  <c r="BW142" i="5" l="1"/>
  <c r="BW147" i="5"/>
  <c r="BZ145" i="5"/>
  <c r="CD142" i="5"/>
  <c r="H142" i="5" s="1"/>
  <c r="CD145" i="5"/>
  <c r="EA142" i="5"/>
  <c r="EA147" i="5"/>
  <c r="ED145" i="5"/>
  <c r="EH145" i="5"/>
  <c r="EH142" i="5"/>
  <c r="EO142" i="5"/>
  <c r="Q142" i="5" s="1"/>
  <c r="EH147" i="5"/>
  <c r="EH146" i="5" s="1"/>
  <c r="EK145" i="5"/>
  <c r="EO145" i="5"/>
  <c r="FU117" i="4"/>
  <c r="U117" i="4" s="1"/>
  <c r="DQ117" i="4"/>
  <c r="M117" i="4" s="1"/>
  <c r="GB117" i="4"/>
  <c r="V117" i="4" s="1"/>
  <c r="EF62" i="5"/>
  <c r="EF65" i="5" s="1"/>
  <c r="EE67" i="5"/>
  <c r="P65" i="5"/>
  <c r="EO62" i="5"/>
  <c r="EK62" i="5"/>
  <c r="EH98" i="5"/>
  <c r="P98" i="5" s="1"/>
  <c r="V9" i="4"/>
  <c r="G141" i="5"/>
  <c r="M45" i="4"/>
  <c r="BW115" i="5"/>
  <c r="M46" i="4"/>
  <c r="BW98" i="5"/>
  <c r="G98" i="5" s="1"/>
  <c r="M9" i="4"/>
  <c r="BW105" i="5"/>
  <c r="G105" i="5" s="1"/>
  <c r="M13" i="4"/>
  <c r="EH115" i="5"/>
  <c r="P115" i="5" s="1"/>
  <c r="V46" i="4"/>
  <c r="EH105" i="5"/>
  <c r="P105" i="5" s="1"/>
  <c r="V13" i="4"/>
  <c r="FU24" i="4"/>
  <c r="U24" i="4" s="1"/>
  <c r="U26" i="4"/>
  <c r="DQ24" i="4"/>
  <c r="M24" i="4" s="1"/>
  <c r="M26" i="4"/>
  <c r="V45" i="4"/>
  <c r="EA105" i="5"/>
  <c r="O105" i="5" s="1"/>
  <c r="U13" i="4"/>
  <c r="EA98" i="5"/>
  <c r="O98" i="5" s="1"/>
  <c r="U9" i="4"/>
  <c r="GB24" i="4"/>
  <c r="V24" i="4" s="1"/>
  <c r="V26" i="4"/>
  <c r="U45" i="4"/>
  <c r="EA115" i="5"/>
  <c r="O115" i="5" s="1"/>
  <c r="U46" i="4"/>
  <c r="EH125" i="5"/>
  <c r="P125" i="5" s="1"/>
  <c r="EH90" i="5"/>
  <c r="P90" i="5" s="1"/>
  <c r="EA125" i="5"/>
  <c r="O125" i="5" s="1"/>
  <c r="EA90" i="5"/>
  <c r="O90" i="5" s="1"/>
  <c r="BW90" i="5"/>
  <c r="G90" i="5" s="1"/>
  <c r="BW125" i="5"/>
  <c r="G125" i="5" s="1"/>
  <c r="EN33" i="5"/>
  <c r="GB19" i="4"/>
  <c r="V19" i="4" s="1"/>
  <c r="DQ32" i="4"/>
  <c r="FU19" i="4"/>
  <c r="U19" i="4" s="1"/>
  <c r="FU11" i="4"/>
  <c r="DQ19" i="4"/>
  <c r="M19" i="4" s="1"/>
  <c r="GB32" i="4"/>
  <c r="FU32" i="4"/>
  <c r="GB11" i="4"/>
  <c r="DQ105" i="4"/>
  <c r="DQ11" i="4"/>
  <c r="EK167" i="5"/>
  <c r="EK173" i="5" s="1"/>
  <c r="EK76" i="5" s="1"/>
  <c r="EM165" i="5"/>
  <c r="EM167" i="5"/>
  <c r="EK165" i="5"/>
  <c r="EL167" i="5"/>
  <c r="EL165" i="5"/>
  <c r="DQ56" i="4"/>
  <c r="GB56" i="4"/>
  <c r="V56" i="4" s="1"/>
  <c r="FU56" i="4"/>
  <c r="U56" i="4" s="1"/>
  <c r="BW66" i="5"/>
  <c r="EA66" i="5"/>
  <c r="EH66" i="5"/>
  <c r="DP112" i="4"/>
  <c r="DO112" i="4"/>
  <c r="DN112" i="4"/>
  <c r="DM112" i="4"/>
  <c r="ED146" i="5" l="1"/>
  <c r="ED144" i="5"/>
  <c r="EA146" i="5"/>
  <c r="EA144" i="5"/>
  <c r="BZ146" i="5"/>
  <c r="BZ144" i="5"/>
  <c r="HI41" i="1" s="1"/>
  <c r="EO144" i="5"/>
  <c r="Q145" i="5"/>
  <c r="EO146" i="5"/>
  <c r="Q146" i="5" s="1"/>
  <c r="BW146" i="5"/>
  <c r="G146" i="5" s="1"/>
  <c r="BW144" i="5"/>
  <c r="G144" i="5" s="1"/>
  <c r="EK146" i="5"/>
  <c r="EK144" i="5"/>
  <c r="JT41" i="1" s="1"/>
  <c r="EH144" i="5"/>
  <c r="P145" i="5"/>
  <c r="CD144" i="5"/>
  <c r="H144" i="5" s="1"/>
  <c r="H145" i="5"/>
  <c r="CD146" i="5"/>
  <c r="H146" i="5" s="1"/>
  <c r="G142" i="5"/>
  <c r="BW116" i="5"/>
  <c r="G116" i="5" s="1"/>
  <c r="G115" i="5"/>
  <c r="BW67" i="5"/>
  <c r="G67" i="5" s="1"/>
  <c r="G66" i="5"/>
  <c r="P147" i="5"/>
  <c r="P141" i="5"/>
  <c r="O142" i="5"/>
  <c r="O141" i="5"/>
  <c r="EH67" i="5"/>
  <c r="P67" i="5" s="1"/>
  <c r="P66" i="5"/>
  <c r="P142" i="5"/>
  <c r="G147" i="5"/>
  <c r="EA67" i="5"/>
  <c r="O67" i="5" s="1"/>
  <c r="O66" i="5"/>
  <c r="Q62" i="5"/>
  <c r="EO65" i="5"/>
  <c r="EK65" i="5"/>
  <c r="EK67" i="5" s="1"/>
  <c r="EG62" i="5"/>
  <c r="EG65" i="5" s="1"/>
  <c r="EG67" i="5" s="1"/>
  <c r="EF67" i="5"/>
  <c r="O147" i="5"/>
  <c r="GB41" i="4"/>
  <c r="V41" i="4" s="1"/>
  <c r="V32" i="4"/>
  <c r="FU17" i="4"/>
  <c r="U17" i="4" s="1"/>
  <c r="U11" i="4"/>
  <c r="FU41" i="4"/>
  <c r="U41" i="4" s="1"/>
  <c r="U32" i="4"/>
  <c r="DQ118" i="4"/>
  <c r="M118" i="4" s="1"/>
  <c r="M56" i="4"/>
  <c r="DQ41" i="4"/>
  <c r="M41" i="4" s="1"/>
  <c r="M32" i="4"/>
  <c r="DQ17" i="4"/>
  <c r="M17" i="4" s="1"/>
  <c r="M11" i="4"/>
  <c r="BW100" i="5"/>
  <c r="G100" i="5" s="1"/>
  <c r="M105" i="4"/>
  <c r="GB17" i="4"/>
  <c r="V17" i="4" s="1"/>
  <c r="V11" i="4"/>
  <c r="EN163" i="5"/>
  <c r="EN63" i="5"/>
  <c r="EK169" i="5"/>
  <c r="GI110" i="4"/>
  <c r="W110" i="4" s="1"/>
  <c r="EM173" i="5"/>
  <c r="EM169" i="5"/>
  <c r="EL169" i="5"/>
  <c r="EL173" i="5"/>
  <c r="FU120" i="4"/>
  <c r="U120" i="4" s="1"/>
  <c r="FU119" i="4"/>
  <c r="U119" i="4" s="1"/>
  <c r="GB120" i="4"/>
  <c r="V120" i="4" s="1"/>
  <c r="GB119" i="4"/>
  <c r="V119" i="4" s="1"/>
  <c r="DQ120" i="4"/>
  <c r="M120" i="4" s="1"/>
  <c r="DQ119" i="4"/>
  <c r="M119" i="4" s="1"/>
  <c r="EK175" i="5"/>
  <c r="EK78" i="5" s="1"/>
  <c r="FU118" i="4"/>
  <c r="U118" i="4" s="1"/>
  <c r="DN59" i="4"/>
  <c r="DN113" i="4"/>
  <c r="DM59" i="4"/>
  <c r="DM113" i="4"/>
  <c r="DO113" i="4"/>
  <c r="GB118" i="4"/>
  <c r="V118" i="4" s="1"/>
  <c r="DP113" i="4"/>
  <c r="DO59" i="4"/>
  <c r="JX41" i="1" l="1"/>
  <c r="Q144" i="5"/>
  <c r="P146" i="5"/>
  <c r="FU28" i="4"/>
  <c r="U28" i="4" s="1"/>
  <c r="JM41" i="1"/>
  <c r="P144" i="5"/>
  <c r="O144" i="5"/>
  <c r="O146" i="5"/>
  <c r="EL62" i="5"/>
  <c r="EL65" i="5" s="1"/>
  <c r="Q65" i="5"/>
  <c r="ER62" i="5"/>
  <c r="EO67" i="5"/>
  <c r="GB28" i="4"/>
  <c r="V28" i="4" s="1"/>
  <c r="DQ28" i="4"/>
  <c r="M28" i="4" s="1"/>
  <c r="DQ112" i="4"/>
  <c r="M112" i="4" s="1"/>
  <c r="DQ48" i="4"/>
  <c r="EL175" i="5"/>
  <c r="EL78" i="5" s="1"/>
  <c r="EL76" i="5"/>
  <c r="EM175" i="5"/>
  <c r="EM78" i="5" s="1"/>
  <c r="EM76" i="5"/>
  <c r="ER167" i="5"/>
  <c r="EN165" i="5"/>
  <c r="EO165" i="5" s="1"/>
  <c r="Q165" i="5" s="1"/>
  <c r="EN167" i="5"/>
  <c r="DP59" i="4"/>
  <c r="Q67" i="5" l="1"/>
  <c r="ER65" i="5"/>
  <c r="DQ113" i="4"/>
  <c r="M113" i="4" s="1"/>
  <c r="DQ58" i="4"/>
  <c r="M48" i="4"/>
  <c r="ER169" i="5"/>
  <c r="ER173" i="5"/>
  <c r="ER76" i="5" s="1"/>
  <c r="EL67" i="5"/>
  <c r="EM62" i="5"/>
  <c r="EN169" i="5"/>
  <c r="EN173" i="5"/>
  <c r="EN76" i="5" s="1"/>
  <c r="FM48" i="4"/>
  <c r="FM58" i="4" s="1"/>
  <c r="FL48" i="4"/>
  <c r="FL58" i="4" s="1"/>
  <c r="FK48" i="4"/>
  <c r="FK58" i="4" s="1"/>
  <c r="FJ48" i="4"/>
  <c r="FJ58" i="4" s="1"/>
  <c r="FF48" i="4"/>
  <c r="FF58" i="4" s="1"/>
  <c r="FE48" i="4"/>
  <c r="FE58" i="4" s="1"/>
  <c r="FD48" i="4"/>
  <c r="FD58" i="4" s="1"/>
  <c r="FC48" i="4"/>
  <c r="FC58" i="4" s="1"/>
  <c r="EY48" i="4"/>
  <c r="EY58" i="4" s="1"/>
  <c r="EX48" i="4"/>
  <c r="EX58" i="4" s="1"/>
  <c r="EW48" i="4"/>
  <c r="EW58" i="4" s="1"/>
  <c r="EV48" i="4"/>
  <c r="EV58" i="4" s="1"/>
  <c r="ER48" i="4"/>
  <c r="ER58" i="4" s="1"/>
  <c r="EQ48" i="4"/>
  <c r="EQ58" i="4" s="1"/>
  <c r="EP48" i="4"/>
  <c r="EP58" i="4" s="1"/>
  <c r="EO48" i="4"/>
  <c r="EO58" i="4" s="1"/>
  <c r="EK48" i="4"/>
  <c r="EK58" i="4" s="1"/>
  <c r="EJ48" i="4"/>
  <c r="EJ58" i="4" s="1"/>
  <c r="EI48" i="4"/>
  <c r="EI58" i="4" s="1"/>
  <c r="EH48" i="4"/>
  <c r="EH58" i="4" s="1"/>
  <c r="ED48" i="4"/>
  <c r="ED58" i="4" s="1"/>
  <c r="EC48" i="4"/>
  <c r="EC58" i="4" s="1"/>
  <c r="EB48" i="4"/>
  <c r="EB58" i="4" s="1"/>
  <c r="EA48" i="4"/>
  <c r="EA58" i="4" s="1"/>
  <c r="DW48" i="4"/>
  <c r="DW58" i="4" s="1"/>
  <c r="DV48" i="4"/>
  <c r="DV58" i="4" s="1"/>
  <c r="DU48" i="4"/>
  <c r="DU58" i="4" s="1"/>
  <c r="DT48" i="4"/>
  <c r="DT58" i="4" s="1"/>
  <c r="FM112" i="4"/>
  <c r="FL112" i="4"/>
  <c r="FK112" i="4"/>
  <c r="FJ112" i="4"/>
  <c r="FF112" i="4"/>
  <c r="FE112" i="4"/>
  <c r="FD112" i="4"/>
  <c r="FC112" i="4"/>
  <c r="EY112" i="4"/>
  <c r="EX112" i="4"/>
  <c r="EW112" i="4"/>
  <c r="EV112" i="4"/>
  <c r="ER112" i="4"/>
  <c r="EQ112" i="4"/>
  <c r="EP112" i="4"/>
  <c r="EO112" i="4"/>
  <c r="EK112" i="4"/>
  <c r="EJ112" i="4"/>
  <c r="EI112" i="4"/>
  <c r="EH112" i="4"/>
  <c r="ED112" i="4"/>
  <c r="EC112" i="4"/>
  <c r="EB112" i="4"/>
  <c r="EA112" i="4"/>
  <c r="DW112" i="4"/>
  <c r="DV112" i="4"/>
  <c r="DU112" i="4"/>
  <c r="DT112" i="4"/>
  <c r="FT48" i="4"/>
  <c r="FT58" i="4" s="1"/>
  <c r="FS48" i="4"/>
  <c r="FS58" i="4" s="1"/>
  <c r="FR48" i="4"/>
  <c r="FR58" i="4" s="1"/>
  <c r="FQ48" i="4"/>
  <c r="FQ58" i="4" s="1"/>
  <c r="FT112" i="4"/>
  <c r="FS112" i="4"/>
  <c r="FR112" i="4"/>
  <c r="FQ112" i="4"/>
  <c r="GA48" i="4"/>
  <c r="GA58" i="4" s="1"/>
  <c r="FZ48" i="4"/>
  <c r="FZ58" i="4" s="1"/>
  <c r="FY48" i="4"/>
  <c r="FY58" i="4" s="1"/>
  <c r="FX48" i="4"/>
  <c r="FX58" i="4" s="1"/>
  <c r="GA112" i="4"/>
  <c r="GE112" i="4"/>
  <c r="FZ112" i="4"/>
  <c r="FY112" i="4"/>
  <c r="FX112" i="4"/>
  <c r="ER67" i="5" l="1"/>
  <c r="M58" i="4"/>
  <c r="DQ59" i="4"/>
  <c r="M59" i="4" s="1"/>
  <c r="EN175" i="5"/>
  <c r="EN78" i="5" s="1"/>
  <c r="EM65" i="5"/>
  <c r="ER175" i="5"/>
  <c r="ER78" i="5" s="1"/>
  <c r="EC113" i="4"/>
  <c r="EO113" i="4"/>
  <c r="EV113" i="4"/>
  <c r="FE113" i="4"/>
  <c r="FL113" i="4"/>
  <c r="FY113" i="4"/>
  <c r="GE113" i="4"/>
  <c r="FQ113" i="4"/>
  <c r="FS113" i="4"/>
  <c r="DT113" i="4"/>
  <c r="DV113" i="4"/>
  <c r="EA113" i="4"/>
  <c r="EH113" i="4"/>
  <c r="EJ113" i="4"/>
  <c r="EQ113" i="4"/>
  <c r="EX113" i="4"/>
  <c r="FC113" i="4"/>
  <c r="FJ113" i="4"/>
  <c r="FX113" i="4"/>
  <c r="FZ113" i="4"/>
  <c r="GA113" i="4"/>
  <c r="FR113" i="4"/>
  <c r="FT113" i="4"/>
  <c r="DU113" i="4"/>
  <c r="DX112" i="4"/>
  <c r="N112" i="4" s="1"/>
  <c r="DW113" i="4"/>
  <c r="EB113" i="4"/>
  <c r="EE112" i="4"/>
  <c r="O112" i="4" s="1"/>
  <c r="ED113" i="4"/>
  <c r="EI113" i="4"/>
  <c r="EL112" i="4"/>
  <c r="P112" i="4" s="1"/>
  <c r="EK113" i="4"/>
  <c r="EP113" i="4"/>
  <c r="ES112" i="4"/>
  <c r="Q112" i="4" s="1"/>
  <c r="ER113" i="4"/>
  <c r="EW113" i="4"/>
  <c r="EZ112" i="4"/>
  <c r="R112" i="4" s="1"/>
  <c r="EY113" i="4"/>
  <c r="FD113" i="4"/>
  <c r="FG112" i="4"/>
  <c r="S112" i="4" s="1"/>
  <c r="FF113" i="4"/>
  <c r="FK113" i="4"/>
  <c r="FN112" i="4"/>
  <c r="T112" i="4" s="1"/>
  <c r="FM113" i="4"/>
  <c r="FX59" i="4"/>
  <c r="FQ59" i="4"/>
  <c r="DT59" i="4"/>
  <c r="EA59" i="4"/>
  <c r="EC59" i="4"/>
  <c r="EH59" i="4"/>
  <c r="EO59" i="4"/>
  <c r="EV59" i="4"/>
  <c r="FC59" i="4"/>
  <c r="FE59" i="4"/>
  <c r="FJ59" i="4"/>
  <c r="FL59" i="4"/>
  <c r="FY59" i="4"/>
  <c r="FR59" i="4"/>
  <c r="DU59" i="4"/>
  <c r="EI59" i="4"/>
  <c r="EW59" i="4"/>
  <c r="FK59" i="4"/>
  <c r="GB112" i="4"/>
  <c r="V112" i="4" s="1"/>
  <c r="GB48" i="4"/>
  <c r="FU112" i="4"/>
  <c r="U112" i="4" s="1"/>
  <c r="FU48" i="4"/>
  <c r="GE48" i="4"/>
  <c r="FU58" i="4" l="1"/>
  <c r="U58" i="4" s="1"/>
  <c r="U48" i="4"/>
  <c r="GB58" i="4"/>
  <c r="V58" i="4" s="1"/>
  <c r="V48" i="4"/>
  <c r="GE58" i="4"/>
  <c r="EN62" i="5"/>
  <c r="EM67" i="5"/>
  <c r="FD59" i="4"/>
  <c r="EP59" i="4"/>
  <c r="EB59" i="4"/>
  <c r="EX59" i="4"/>
  <c r="EQ59" i="4"/>
  <c r="EJ59" i="4"/>
  <c r="DV59" i="4"/>
  <c r="FS59" i="4"/>
  <c r="FZ59" i="4"/>
  <c r="FG113" i="4"/>
  <c r="S113" i="4" s="1"/>
  <c r="EL113" i="4"/>
  <c r="P113" i="4" s="1"/>
  <c r="EE113" i="4"/>
  <c r="O113" i="4" s="1"/>
  <c r="DX113" i="4"/>
  <c r="N113" i="4" s="1"/>
  <c r="EZ113" i="4"/>
  <c r="R113" i="4" s="1"/>
  <c r="ES113" i="4"/>
  <c r="Q113" i="4" s="1"/>
  <c r="EY59" i="4"/>
  <c r="DW59" i="4"/>
  <c r="FT59" i="4"/>
  <c r="GA59" i="4"/>
  <c r="FM59" i="4"/>
  <c r="EK59" i="4"/>
  <c r="FF59" i="4"/>
  <c r="ER59" i="4"/>
  <c r="ED59" i="4"/>
  <c r="GE59" i="4" l="1"/>
  <c r="EN65" i="5"/>
  <c r="EE59" i="4"/>
  <c r="O59" i="4" s="1"/>
  <c r="ES59" i="4"/>
  <c r="Q59" i="4" s="1"/>
  <c r="FG59" i="4"/>
  <c r="S59" i="4" s="1"/>
  <c r="EL59" i="4"/>
  <c r="P59" i="4" s="1"/>
  <c r="FN59" i="4"/>
  <c r="T59" i="4" s="1"/>
  <c r="DX59" i="4"/>
  <c r="N59" i="4" s="1"/>
  <c r="EZ59" i="4"/>
  <c r="R59" i="4" s="1"/>
  <c r="GB59" i="4"/>
  <c r="V59" i="4" s="1"/>
  <c r="FU59" i="4"/>
  <c r="U59" i="4" s="1"/>
  <c r="DQ95" i="4"/>
  <c r="HF57" i="1"/>
  <c r="AH57" i="1" s="1"/>
  <c r="HF38" i="1"/>
  <c r="AH38" i="1" s="1"/>
  <c r="HF40" i="1"/>
  <c r="AH40" i="1" s="1"/>
  <c r="HF32" i="1"/>
  <c r="HF31" i="1"/>
  <c r="HF30" i="1"/>
  <c r="HF29" i="1"/>
  <c r="HF28" i="1"/>
  <c r="HF27" i="1"/>
  <c r="DX95" i="4"/>
  <c r="HM57" i="1"/>
  <c r="AI57" i="1" s="1"/>
  <c r="HM38" i="1"/>
  <c r="AI38" i="1" s="1"/>
  <c r="HM40" i="1"/>
  <c r="AI40" i="1" s="1"/>
  <c r="HM32" i="1"/>
  <c r="HM31" i="1"/>
  <c r="HM30" i="1"/>
  <c r="HM29" i="1"/>
  <c r="HM28" i="1"/>
  <c r="HM27" i="1"/>
  <c r="EE95" i="4"/>
  <c r="HT57" i="1"/>
  <c r="AJ57" i="1" s="1"/>
  <c r="HT38" i="1"/>
  <c r="AJ38" i="1" s="1"/>
  <c r="HT40" i="1"/>
  <c r="AJ40" i="1" s="1"/>
  <c r="HT32" i="1"/>
  <c r="HT31" i="1"/>
  <c r="HT30" i="1"/>
  <c r="HT29" i="1"/>
  <c r="HT28" i="1"/>
  <c r="HT27" i="1"/>
  <c r="EL95" i="4"/>
  <c r="IA57" i="1"/>
  <c r="AK57" i="1" s="1"/>
  <c r="IA38" i="1"/>
  <c r="AK38" i="1" s="1"/>
  <c r="IA40" i="1"/>
  <c r="AK40" i="1" s="1"/>
  <c r="IA32" i="1"/>
  <c r="IA31" i="1"/>
  <c r="IA30" i="1"/>
  <c r="IA29" i="1"/>
  <c r="IA28" i="1"/>
  <c r="IA27" i="1"/>
  <c r="IH46" i="1"/>
  <c r="AL46" i="1" s="1"/>
  <c r="IH57" i="1"/>
  <c r="AL57" i="1" s="1"/>
  <c r="IH38" i="1"/>
  <c r="AL38" i="1" s="1"/>
  <c r="IH40" i="1"/>
  <c r="AL40" i="1" s="1"/>
  <c r="IH32" i="1"/>
  <c r="IH31" i="1"/>
  <c r="IH30" i="1"/>
  <c r="IH29" i="1"/>
  <c r="IH28" i="1"/>
  <c r="IH27" i="1"/>
  <c r="IO46" i="1"/>
  <c r="IO57" i="1"/>
  <c r="AM57" i="1" s="1"/>
  <c r="IO38" i="1"/>
  <c r="AM38" i="1" s="1"/>
  <c r="IO40" i="1"/>
  <c r="AM40" i="1" s="1"/>
  <c r="IO32" i="1"/>
  <c r="IO31" i="1"/>
  <c r="IO30" i="1"/>
  <c r="IO29" i="1"/>
  <c r="IO28" i="1"/>
  <c r="IO27" i="1"/>
  <c r="IV46" i="1"/>
  <c r="IV57" i="1"/>
  <c r="AN57" i="1" s="1"/>
  <c r="IV38" i="1"/>
  <c r="AN38" i="1" s="1"/>
  <c r="IV40" i="1"/>
  <c r="AN40" i="1" s="1"/>
  <c r="IV32" i="1"/>
  <c r="IV31" i="1"/>
  <c r="IV30" i="1"/>
  <c r="IV29" i="1"/>
  <c r="IV28" i="1"/>
  <c r="IV27" i="1"/>
  <c r="JC46" i="1"/>
  <c r="JC57" i="1"/>
  <c r="AO57" i="1" s="1"/>
  <c r="JC38" i="1"/>
  <c r="AO38" i="1" s="1"/>
  <c r="JC40" i="1"/>
  <c r="AO40" i="1" s="1"/>
  <c r="JC32" i="1"/>
  <c r="JC31" i="1"/>
  <c r="JC30" i="1"/>
  <c r="JC29" i="1"/>
  <c r="JC28" i="1"/>
  <c r="JC27" i="1"/>
  <c r="JC20" i="1"/>
  <c r="JA95" i="29" s="1"/>
  <c r="AO95" i="29" s="1"/>
  <c r="JJ46" i="1"/>
  <c r="AP46" i="1" s="1"/>
  <c r="JJ57" i="1"/>
  <c r="AP57" i="1" s="1"/>
  <c r="JJ38" i="1"/>
  <c r="AP38" i="1" s="1"/>
  <c r="JJ40" i="1"/>
  <c r="AP40" i="1" s="1"/>
  <c r="JJ32" i="1"/>
  <c r="JJ31" i="1"/>
  <c r="JJ30" i="1"/>
  <c r="JJ29" i="1"/>
  <c r="JJ28" i="1"/>
  <c r="JJ27" i="1"/>
  <c r="JQ46" i="1"/>
  <c r="JQ57" i="1"/>
  <c r="AQ57" i="1" s="1"/>
  <c r="JQ38" i="1"/>
  <c r="AQ38" i="1" s="1"/>
  <c r="JQ40" i="1"/>
  <c r="AQ40" i="1" s="1"/>
  <c r="JQ32" i="1"/>
  <c r="JQ31" i="1"/>
  <c r="JQ30" i="1"/>
  <c r="JQ29" i="1"/>
  <c r="JQ28" i="1"/>
  <c r="JQ27" i="1"/>
  <c r="JQ20" i="1"/>
  <c r="JO95" i="29" s="1"/>
  <c r="AQ95" i="29" s="1"/>
  <c r="HK43" i="1"/>
  <c r="JI43" i="1"/>
  <c r="JA43" i="1"/>
  <c r="IT43" i="1"/>
  <c r="IN43" i="1"/>
  <c r="IM43" i="1"/>
  <c r="HZ43" i="1"/>
  <c r="HY43" i="1"/>
  <c r="HR43" i="1"/>
  <c r="IU43" i="1"/>
  <c r="IG43" i="1"/>
  <c r="IF43" i="1"/>
  <c r="HS43" i="1"/>
  <c r="HQ43" i="1"/>
  <c r="HJ43" i="1"/>
  <c r="HE43" i="1"/>
  <c r="HD43" i="1"/>
  <c r="HC43" i="1"/>
  <c r="HB43" i="1"/>
  <c r="JO91" i="29" l="1"/>
  <c r="JO88" i="29"/>
  <c r="JO120" i="29"/>
  <c r="AQ120" i="29" s="1"/>
  <c r="JO130" i="29"/>
  <c r="JH88" i="29"/>
  <c r="JH91" i="29"/>
  <c r="JH120" i="29"/>
  <c r="AP120" i="29" s="1"/>
  <c r="JH130" i="29"/>
  <c r="JA88" i="29"/>
  <c r="JA91" i="29"/>
  <c r="JA120" i="29"/>
  <c r="AO120" i="29" s="1"/>
  <c r="JA130" i="29"/>
  <c r="IT91" i="29"/>
  <c r="IT88" i="29"/>
  <c r="IT130" i="29"/>
  <c r="IT120" i="29"/>
  <c r="AN120" i="29" s="1"/>
  <c r="IM88" i="29"/>
  <c r="IM91" i="29"/>
  <c r="IM120" i="29"/>
  <c r="AM120" i="29" s="1"/>
  <c r="IM130" i="29"/>
  <c r="IF91" i="29"/>
  <c r="IF88" i="29"/>
  <c r="IF120" i="29"/>
  <c r="AL120" i="29" s="1"/>
  <c r="IF130" i="29"/>
  <c r="HY88" i="29"/>
  <c r="HY91" i="29"/>
  <c r="HY120" i="29"/>
  <c r="AK120" i="29" s="1"/>
  <c r="HY130" i="29"/>
  <c r="HR91" i="29"/>
  <c r="HR88" i="29"/>
  <c r="HR120" i="29"/>
  <c r="AJ120" i="29" s="1"/>
  <c r="HR130" i="29"/>
  <c r="HK91" i="29"/>
  <c r="HK88" i="29"/>
  <c r="HK130" i="29"/>
  <c r="HK120" i="29"/>
  <c r="AI120" i="29" s="1"/>
  <c r="HD88" i="29"/>
  <c r="HD91" i="29"/>
  <c r="HD120" i="29"/>
  <c r="AH120" i="29" s="1"/>
  <c r="HD130" i="29"/>
  <c r="JO24" i="29"/>
  <c r="AQ24" i="29" s="1"/>
  <c r="JO12" i="29"/>
  <c r="IM19" i="29"/>
  <c r="IM7" i="29"/>
  <c r="IF9" i="29"/>
  <c r="IF21" i="29"/>
  <c r="AL21" i="29" s="1"/>
  <c r="HY11" i="29"/>
  <c r="HY23" i="29"/>
  <c r="AK23" i="29" s="1"/>
  <c r="AM28" i="1"/>
  <c r="AM8" i="29" s="1"/>
  <c r="IM20" i="29"/>
  <c r="AM20" i="29" s="1"/>
  <c r="IM8" i="29"/>
  <c r="AL30" i="1"/>
  <c r="AL10" i="29" s="1"/>
  <c r="IF22" i="29"/>
  <c r="AL22" i="29" s="1"/>
  <c r="IF10" i="29"/>
  <c r="HY24" i="29"/>
  <c r="AK24" i="29" s="1"/>
  <c r="HY12" i="29"/>
  <c r="HD19" i="29"/>
  <c r="HD7" i="29"/>
  <c r="AO20" i="1"/>
  <c r="JA25" i="29"/>
  <c r="AO25" i="29" s="1"/>
  <c r="AN28" i="1"/>
  <c r="AN8" i="29" s="1"/>
  <c r="IT8" i="29"/>
  <c r="IT20" i="29"/>
  <c r="AN20" i="29" s="1"/>
  <c r="AM30" i="1"/>
  <c r="AM10" i="29" s="1"/>
  <c r="IM22" i="29"/>
  <c r="AM22" i="29" s="1"/>
  <c r="IM10" i="29"/>
  <c r="IF24" i="29"/>
  <c r="AL24" i="29" s="1"/>
  <c r="IF12" i="29"/>
  <c r="AH28" i="1"/>
  <c r="AH8" i="29" s="1"/>
  <c r="HD8" i="29"/>
  <c r="HD20" i="29"/>
  <c r="AH20" i="29" s="1"/>
  <c r="AO27" i="1"/>
  <c r="AO7" i="29" s="1"/>
  <c r="JA7" i="29"/>
  <c r="JA19" i="29"/>
  <c r="IT21" i="29"/>
  <c r="AN21" i="29" s="1"/>
  <c r="IT9" i="29"/>
  <c r="IM23" i="29"/>
  <c r="AM23" i="29" s="1"/>
  <c r="IM11" i="29"/>
  <c r="HK19" i="29"/>
  <c r="HK7" i="29"/>
  <c r="HD21" i="29"/>
  <c r="AH21" i="29" s="1"/>
  <c r="HD9" i="29"/>
  <c r="IM9" i="29"/>
  <c r="IM21" i="29"/>
  <c r="AM21" i="29" s="1"/>
  <c r="AI28" i="1"/>
  <c r="AI8" i="29" s="1"/>
  <c r="HK8" i="29"/>
  <c r="HK20" i="29"/>
  <c r="AI20" i="29" s="1"/>
  <c r="AH30" i="1"/>
  <c r="AH10" i="29" s="1"/>
  <c r="HD10" i="29"/>
  <c r="HD22" i="29"/>
  <c r="AH22" i="29" s="1"/>
  <c r="IT19" i="29"/>
  <c r="IT7" i="29"/>
  <c r="HR19" i="29"/>
  <c r="HR7" i="29"/>
  <c r="HK21" i="29"/>
  <c r="AI21" i="29" s="1"/>
  <c r="HK9" i="29"/>
  <c r="HD23" i="29"/>
  <c r="AH23" i="29" s="1"/>
  <c r="HD11" i="29"/>
  <c r="IT23" i="29"/>
  <c r="AN23" i="29" s="1"/>
  <c r="IT11" i="29"/>
  <c r="AQ27" i="1"/>
  <c r="AQ7" i="29" s="1"/>
  <c r="JO7" i="29"/>
  <c r="JO19" i="29"/>
  <c r="JH21" i="29"/>
  <c r="AP21" i="29" s="1"/>
  <c r="JH9" i="29"/>
  <c r="AO30" i="1"/>
  <c r="AO10" i="29" s="1"/>
  <c r="JA22" i="29"/>
  <c r="AO22" i="29" s="1"/>
  <c r="JA10" i="29"/>
  <c r="IT24" i="29"/>
  <c r="AN24" i="29" s="1"/>
  <c r="IT12" i="29"/>
  <c r="AJ28" i="1"/>
  <c r="AJ8" i="29" s="1"/>
  <c r="HR8" i="29"/>
  <c r="HR20" i="29"/>
  <c r="AJ20" i="29" s="1"/>
  <c r="AI30" i="1"/>
  <c r="AI10" i="29" s="1"/>
  <c r="HK22" i="29"/>
  <c r="AI22" i="29" s="1"/>
  <c r="HK10" i="29"/>
  <c r="HD24" i="29"/>
  <c r="AH24" i="29" s="1"/>
  <c r="HD12" i="29"/>
  <c r="AN30" i="1"/>
  <c r="AN10" i="29" s="1"/>
  <c r="IT22" i="29"/>
  <c r="AN22" i="29" s="1"/>
  <c r="IT10" i="29"/>
  <c r="AQ20" i="1"/>
  <c r="JO25" i="29"/>
  <c r="AQ25" i="29" s="1"/>
  <c r="AQ28" i="1"/>
  <c r="AQ8" i="29" s="1"/>
  <c r="JO20" i="29"/>
  <c r="AQ20" i="29" s="1"/>
  <c r="JO8" i="29"/>
  <c r="AP30" i="1"/>
  <c r="AP10" i="29" s="1"/>
  <c r="JH22" i="29"/>
  <c r="AP22" i="29" s="1"/>
  <c r="JH10" i="29"/>
  <c r="AO31" i="1"/>
  <c r="AO11" i="29" s="1"/>
  <c r="JA23" i="29"/>
  <c r="AO23" i="29" s="1"/>
  <c r="JA11" i="29"/>
  <c r="HY19" i="29"/>
  <c r="HY7" i="29"/>
  <c r="HR21" i="29"/>
  <c r="AJ21" i="29" s="1"/>
  <c r="HR9" i="29"/>
  <c r="HK23" i="29"/>
  <c r="AI23" i="29" s="1"/>
  <c r="HK11" i="29"/>
  <c r="JH19" i="29"/>
  <c r="JH7" i="29"/>
  <c r="AO29" i="1"/>
  <c r="AO9" i="29" s="1"/>
  <c r="JA9" i="29"/>
  <c r="JA21" i="29"/>
  <c r="AO21" i="29" s="1"/>
  <c r="AQ29" i="1"/>
  <c r="AQ9" i="29" s="1"/>
  <c r="JO9" i="29"/>
  <c r="JO21" i="29"/>
  <c r="AQ21" i="29" s="1"/>
  <c r="JH23" i="29"/>
  <c r="AP23" i="29" s="1"/>
  <c r="JH11" i="29"/>
  <c r="AO32" i="1"/>
  <c r="AO12" i="29" s="1"/>
  <c r="JA12" i="29"/>
  <c r="JA24" i="29"/>
  <c r="AO24" i="29" s="1"/>
  <c r="AK28" i="1"/>
  <c r="AK8" i="29" s="1"/>
  <c r="HY8" i="29"/>
  <c r="HY20" i="29"/>
  <c r="AK20" i="29" s="1"/>
  <c r="AJ30" i="1"/>
  <c r="AJ10" i="29" s="1"/>
  <c r="HR22" i="29"/>
  <c r="AJ22" i="29" s="1"/>
  <c r="HR10" i="29"/>
  <c r="HK24" i="29"/>
  <c r="AI24" i="29" s="1"/>
  <c r="HK12" i="29"/>
  <c r="AO28" i="1"/>
  <c r="AO8" i="29" s="1"/>
  <c r="JA20" i="29"/>
  <c r="AO20" i="29" s="1"/>
  <c r="JA8" i="29"/>
  <c r="AP28" i="1"/>
  <c r="AP8" i="29" s="1"/>
  <c r="JH8" i="29"/>
  <c r="JH20" i="29"/>
  <c r="AP20" i="29" s="1"/>
  <c r="AQ30" i="1"/>
  <c r="AQ10" i="29" s="1"/>
  <c r="JO22" i="29"/>
  <c r="AQ22" i="29" s="1"/>
  <c r="JO10" i="29"/>
  <c r="JH12" i="29"/>
  <c r="JH24" i="29"/>
  <c r="AP24" i="29" s="1"/>
  <c r="IF19" i="29"/>
  <c r="IF7" i="29"/>
  <c r="HY21" i="29"/>
  <c r="AK21" i="29" s="1"/>
  <c r="HY9" i="29"/>
  <c r="HR23" i="29"/>
  <c r="AJ23" i="29" s="1"/>
  <c r="HR11" i="29"/>
  <c r="IF11" i="29"/>
  <c r="IF23" i="29"/>
  <c r="AL23" i="29" s="1"/>
  <c r="IM24" i="29"/>
  <c r="AM24" i="29" s="1"/>
  <c r="IM12" i="29"/>
  <c r="AQ31" i="1"/>
  <c r="AQ11" i="29" s="1"/>
  <c r="JO23" i="29"/>
  <c r="AQ23" i="29" s="1"/>
  <c r="JO11" i="29"/>
  <c r="AL28" i="1"/>
  <c r="AL8" i="29" s="1"/>
  <c r="IF8" i="29"/>
  <c r="IF20" i="29"/>
  <c r="AL20" i="29" s="1"/>
  <c r="AK30" i="1"/>
  <c r="AK10" i="29" s="1"/>
  <c r="HY10" i="29"/>
  <c r="HY22" i="29"/>
  <c r="AK22" i="29" s="1"/>
  <c r="HR24" i="29"/>
  <c r="AJ24" i="29" s="1"/>
  <c r="HR12" i="29"/>
  <c r="AQ32" i="1"/>
  <c r="AQ12" i="29" s="1"/>
  <c r="AM27" i="1"/>
  <c r="AM7" i="29" s="1"/>
  <c r="AL29" i="1"/>
  <c r="AL9" i="29" s="1"/>
  <c r="AK31" i="1"/>
  <c r="AK11" i="29" s="1"/>
  <c r="AK32" i="1"/>
  <c r="AK12" i="29" s="1"/>
  <c r="AN27" i="1"/>
  <c r="AN7" i="29" s="1"/>
  <c r="AM29" i="1"/>
  <c r="AM9" i="29" s="1"/>
  <c r="AL31" i="1"/>
  <c r="AL11" i="29" s="1"/>
  <c r="AH27" i="1"/>
  <c r="AH7" i="29" s="1"/>
  <c r="GB95" i="4"/>
  <c r="V95" i="4" s="1"/>
  <c r="AQ46" i="1"/>
  <c r="AN29" i="1"/>
  <c r="AN9" i="29" s="1"/>
  <c r="AM31" i="1"/>
  <c r="AM11" i="29" s="1"/>
  <c r="AI27" i="1"/>
  <c r="AI7" i="29" s="1"/>
  <c r="AH29" i="1"/>
  <c r="AH9" i="29" s="1"/>
  <c r="AL32" i="1"/>
  <c r="AL12" i="29" s="1"/>
  <c r="AP27" i="1"/>
  <c r="AP7" i="29" s="1"/>
  <c r="AM32" i="1"/>
  <c r="AM12" i="29" s="1"/>
  <c r="AN31" i="1"/>
  <c r="AN11" i="29" s="1"/>
  <c r="AJ27" i="1"/>
  <c r="AJ7" i="29" s="1"/>
  <c r="AI29" i="1"/>
  <c r="AI9" i="29" s="1"/>
  <c r="AH31" i="1"/>
  <c r="AH11" i="29" s="1"/>
  <c r="AP29" i="1"/>
  <c r="AP9" i="29" s="1"/>
  <c r="AN32" i="1"/>
  <c r="AN12" i="29" s="1"/>
  <c r="AH32" i="1"/>
  <c r="AH12" i="29" s="1"/>
  <c r="AK27" i="1"/>
  <c r="AK7" i="29" s="1"/>
  <c r="AJ29" i="1"/>
  <c r="AJ9" i="29" s="1"/>
  <c r="AI31" i="1"/>
  <c r="AI11" i="29" s="1"/>
  <c r="AP31" i="1"/>
  <c r="AP11" i="29" s="1"/>
  <c r="EZ95" i="4"/>
  <c r="DF94" i="5" s="1"/>
  <c r="L94" i="5" s="1"/>
  <c r="AM46" i="1"/>
  <c r="AI32" i="1"/>
  <c r="AI12" i="29" s="1"/>
  <c r="FN95" i="4"/>
  <c r="DT94" i="5" s="1"/>
  <c r="N94" i="5" s="1"/>
  <c r="AO46" i="1"/>
  <c r="AP32" i="1"/>
  <c r="AP12" i="29" s="1"/>
  <c r="AL27" i="1"/>
  <c r="AL7" i="29" s="1"/>
  <c r="AK29" i="1"/>
  <c r="AK9" i="29" s="1"/>
  <c r="AJ31" i="1"/>
  <c r="AJ11" i="29" s="1"/>
  <c r="FG95" i="4"/>
  <c r="DM94" i="5" s="1"/>
  <c r="M94" i="5" s="1"/>
  <c r="AN46" i="1"/>
  <c r="AJ32" i="1"/>
  <c r="AJ12" i="29" s="1"/>
  <c r="CD94" i="5"/>
  <c r="H94" i="5" s="1"/>
  <c r="N95" i="4"/>
  <c r="CK94" i="5"/>
  <c r="I94" i="5" s="1"/>
  <c r="O95" i="4"/>
  <c r="CR94" i="5"/>
  <c r="J94" i="5" s="1"/>
  <c r="P95" i="4"/>
  <c r="BW94" i="5"/>
  <c r="G94" i="5" s="1"/>
  <c r="M95" i="4"/>
  <c r="FU95" i="4"/>
  <c r="ES95" i="4"/>
  <c r="JQ21" i="1"/>
  <c r="AQ21" i="1" s="1"/>
  <c r="JX21" i="1"/>
  <c r="JC21" i="1"/>
  <c r="AO21" i="1" s="1"/>
  <c r="JJ21" i="1"/>
  <c r="AP21" i="1" s="1"/>
  <c r="JC7" i="1"/>
  <c r="JQ7" i="1"/>
  <c r="AQ7" i="1" s="1"/>
  <c r="GB92" i="4"/>
  <c r="V92" i="4" s="1"/>
  <c r="JQ41" i="1"/>
  <c r="FU92" i="4"/>
  <c r="U92" i="4" s="1"/>
  <c r="JJ41" i="1"/>
  <c r="FN92" i="4"/>
  <c r="T92" i="4" s="1"/>
  <c r="JC41" i="1"/>
  <c r="FG92" i="4"/>
  <c r="S92" i="4" s="1"/>
  <c r="IV41" i="1"/>
  <c r="EZ92" i="4"/>
  <c r="R92" i="4" s="1"/>
  <c r="IO41" i="1"/>
  <c r="ES92" i="4"/>
  <c r="Q92" i="4" s="1"/>
  <c r="IH41" i="1"/>
  <c r="EL92" i="4"/>
  <c r="P92" i="4" s="1"/>
  <c r="IA41" i="1"/>
  <c r="EE92" i="4"/>
  <c r="O92" i="4" s="1"/>
  <c r="HT41" i="1"/>
  <c r="DX92" i="4"/>
  <c r="N92" i="4" s="1"/>
  <c r="HM41" i="1"/>
  <c r="DQ92" i="4"/>
  <c r="M92" i="4" s="1"/>
  <c r="HF41" i="1"/>
  <c r="DQ80" i="4"/>
  <c r="DX80" i="4"/>
  <c r="EE80" i="4"/>
  <c r="EL80" i="4"/>
  <c r="ES80" i="4"/>
  <c r="EZ80" i="4"/>
  <c r="FG80" i="4"/>
  <c r="FU80" i="4"/>
  <c r="FN80" i="4"/>
  <c r="GB80" i="4"/>
  <c r="EN67" i="5"/>
  <c r="JB36" i="1"/>
  <c r="JB43" i="1"/>
  <c r="JB47" i="1" s="1"/>
  <c r="JH43" i="1"/>
  <c r="JH47" i="1" s="1"/>
  <c r="JH36" i="1"/>
  <c r="JI47" i="1"/>
  <c r="JI36" i="1"/>
  <c r="JJ23" i="1"/>
  <c r="JC23" i="1"/>
  <c r="IO23" i="1"/>
  <c r="IA23" i="1"/>
  <c r="HM23" i="1"/>
  <c r="JQ23" i="1"/>
  <c r="IV23" i="1"/>
  <c r="IH23" i="1"/>
  <c r="HT23" i="1"/>
  <c r="HF23" i="1"/>
  <c r="GB69" i="4"/>
  <c r="V69" i="4" s="1"/>
  <c r="FN69" i="4"/>
  <c r="T69" i="4" s="1"/>
  <c r="IU47" i="1"/>
  <c r="IU36" i="1"/>
  <c r="HJ47" i="1"/>
  <c r="HJ36" i="1"/>
  <c r="HZ47" i="1"/>
  <c r="HZ36" i="1"/>
  <c r="HD36" i="1"/>
  <c r="IM47" i="1"/>
  <c r="IM36" i="1"/>
  <c r="HY47" i="1"/>
  <c r="HY36" i="1"/>
  <c r="HK47" i="1"/>
  <c r="HK36" i="1"/>
  <c r="HS47" i="1"/>
  <c r="IN47" i="1"/>
  <c r="IN36" i="1"/>
  <c r="HQ36" i="1"/>
  <c r="IF47" i="1"/>
  <c r="IF36" i="1"/>
  <c r="IT47" i="1"/>
  <c r="IT36" i="1"/>
  <c r="HC36" i="1"/>
  <c r="HR36" i="1"/>
  <c r="HE49" i="1"/>
  <c r="HE36" i="1"/>
  <c r="HB36" i="1"/>
  <c r="IG47" i="1"/>
  <c r="IG36" i="1"/>
  <c r="JA36" i="1"/>
  <c r="HL43" i="1"/>
  <c r="HI43" i="1"/>
  <c r="HP43" i="1"/>
  <c r="HW43" i="1"/>
  <c r="ID43" i="1"/>
  <c r="IK43" i="1"/>
  <c r="IR43" i="1"/>
  <c r="IY43" i="1"/>
  <c r="IE43" i="1"/>
  <c r="IL43" i="1"/>
  <c r="IS43" i="1"/>
  <c r="JI49" i="1"/>
  <c r="HK49" i="1"/>
  <c r="IM49" i="1"/>
  <c r="HK44" i="1"/>
  <c r="IU49" i="1"/>
  <c r="B128" i="4"/>
  <c r="B180" i="5" s="1"/>
  <c r="B69" i="5" s="1"/>
  <c r="HK65" i="1" l="1"/>
  <c r="HK67" i="1" s="1"/>
  <c r="HE65" i="1"/>
  <c r="HE67" i="1" s="1"/>
  <c r="HE68" i="1" s="1"/>
  <c r="IM65" i="1"/>
  <c r="IM67" i="1" s="1"/>
  <c r="HK5" i="29"/>
  <c r="AI5" i="29" s="1"/>
  <c r="AH23" i="1"/>
  <c r="HD96" i="29"/>
  <c r="AH96" i="29" s="1"/>
  <c r="AJ23" i="1"/>
  <c r="HR96" i="29"/>
  <c r="AJ96" i="29" s="1"/>
  <c r="AL23" i="1"/>
  <c r="IF96" i="29"/>
  <c r="AL96" i="29" s="1"/>
  <c r="AN23" i="1"/>
  <c r="IT96" i="29"/>
  <c r="AN96" i="29" s="1"/>
  <c r="AQ23" i="1"/>
  <c r="JO96" i="29"/>
  <c r="AQ96" i="29" s="1"/>
  <c r="AI23" i="1"/>
  <c r="HK96" i="29"/>
  <c r="AI96" i="29" s="1"/>
  <c r="AK23" i="1"/>
  <c r="HY96" i="29"/>
  <c r="AK96" i="29" s="1"/>
  <c r="AM23" i="1"/>
  <c r="IM96" i="29"/>
  <c r="AM96" i="29" s="1"/>
  <c r="AO23" i="1"/>
  <c r="JA96" i="29"/>
  <c r="AO96" i="29" s="1"/>
  <c r="AP23" i="1"/>
  <c r="JH96" i="29"/>
  <c r="AP96" i="29" s="1"/>
  <c r="HD131" i="29"/>
  <c r="AH131" i="29" s="1"/>
  <c r="AH130" i="29"/>
  <c r="HD92" i="29"/>
  <c r="AH92" i="29" s="1"/>
  <c r="AH91" i="29"/>
  <c r="AH88" i="29"/>
  <c r="HD89" i="29"/>
  <c r="AH89" i="29" s="1"/>
  <c r="HK131" i="29"/>
  <c r="AI131" i="29" s="1"/>
  <c r="AI130" i="29"/>
  <c r="HK89" i="29"/>
  <c r="AI89" i="29" s="1"/>
  <c r="AI88" i="29"/>
  <c r="AI91" i="29"/>
  <c r="HK92" i="29"/>
  <c r="AI92" i="29" s="1"/>
  <c r="AJ130" i="29"/>
  <c r="HR131" i="29"/>
  <c r="AJ131" i="29" s="1"/>
  <c r="AJ88" i="29"/>
  <c r="HR89" i="29"/>
  <c r="AJ89" i="29" s="1"/>
  <c r="HR92" i="29"/>
  <c r="AJ92" i="29" s="1"/>
  <c r="AJ91" i="29"/>
  <c r="HY131" i="29"/>
  <c r="AK131" i="29" s="1"/>
  <c r="AK130" i="29"/>
  <c r="HY92" i="29"/>
  <c r="AK92" i="29" s="1"/>
  <c r="AK91" i="29"/>
  <c r="AK88" i="29"/>
  <c r="HY89" i="29"/>
  <c r="AK89" i="29" s="1"/>
  <c r="AL130" i="29"/>
  <c r="IF131" i="29"/>
  <c r="AL131" i="29" s="1"/>
  <c r="AL88" i="29"/>
  <c r="IF89" i="29"/>
  <c r="AL89" i="29" s="1"/>
  <c r="IF92" i="29"/>
  <c r="AL92" i="29" s="1"/>
  <c r="AL91" i="29"/>
  <c r="AM130" i="29"/>
  <c r="IM131" i="29"/>
  <c r="AM131" i="29" s="1"/>
  <c r="IM92" i="29"/>
  <c r="AM92" i="29" s="1"/>
  <c r="AM91" i="29"/>
  <c r="AM88" i="29"/>
  <c r="IM89" i="29"/>
  <c r="AM89" i="29" s="1"/>
  <c r="IT131" i="29"/>
  <c r="AN131" i="29" s="1"/>
  <c r="AN130" i="29"/>
  <c r="IT89" i="29"/>
  <c r="AN89" i="29" s="1"/>
  <c r="AN88" i="29"/>
  <c r="IT92" i="29"/>
  <c r="AN92" i="29" s="1"/>
  <c r="AN91" i="29"/>
  <c r="AO130" i="29"/>
  <c r="JA131" i="29"/>
  <c r="AO131" i="29" s="1"/>
  <c r="JA92" i="29"/>
  <c r="AO92" i="29" s="1"/>
  <c r="AO91" i="29"/>
  <c r="JA89" i="29"/>
  <c r="AO89" i="29" s="1"/>
  <c r="AO88" i="29"/>
  <c r="AP130" i="29"/>
  <c r="JH131" i="29"/>
  <c r="AP131" i="29" s="1"/>
  <c r="JH92" i="29"/>
  <c r="AP92" i="29" s="1"/>
  <c r="AP91" i="29"/>
  <c r="JH89" i="29"/>
  <c r="AP89" i="29" s="1"/>
  <c r="AP88" i="29"/>
  <c r="AQ130" i="29"/>
  <c r="JO131" i="29"/>
  <c r="AQ131" i="29" s="1"/>
  <c r="AQ88" i="29"/>
  <c r="JO89" i="29"/>
  <c r="AQ89" i="29" s="1"/>
  <c r="JV89" i="29"/>
  <c r="AR89" i="29" s="1"/>
  <c r="JO92" i="29"/>
  <c r="AQ92" i="29" s="1"/>
  <c r="AQ91" i="29"/>
  <c r="T95" i="4"/>
  <c r="HY5" i="29"/>
  <c r="AK5" i="29" s="1"/>
  <c r="JO5" i="29"/>
  <c r="AQ5" i="29" s="1"/>
  <c r="JA5" i="29"/>
  <c r="AO5" i="29" s="1"/>
  <c r="IT5" i="29"/>
  <c r="IF27" i="29"/>
  <c r="AL27" i="29" s="1"/>
  <c r="AL19" i="29"/>
  <c r="HD5" i="29"/>
  <c r="JA27" i="29"/>
  <c r="AO27" i="29" s="1"/>
  <c r="AO19" i="29"/>
  <c r="HY27" i="29"/>
  <c r="AK27" i="29" s="1"/>
  <c r="AK19" i="29"/>
  <c r="IM5" i="29"/>
  <c r="HR5" i="29"/>
  <c r="IF5" i="29"/>
  <c r="HR27" i="29"/>
  <c r="AJ27" i="29" s="1"/>
  <c r="AJ19" i="29"/>
  <c r="HD27" i="29"/>
  <c r="AH27" i="29" s="1"/>
  <c r="AH19" i="29"/>
  <c r="JH5" i="29"/>
  <c r="JH27" i="29"/>
  <c r="AP27" i="29" s="1"/>
  <c r="AP19" i="29"/>
  <c r="JO27" i="29"/>
  <c r="AQ27" i="29" s="1"/>
  <c r="AQ19" i="29"/>
  <c r="IT27" i="29"/>
  <c r="AN27" i="29" s="1"/>
  <c r="AN19" i="29"/>
  <c r="HK27" i="29"/>
  <c r="AI27" i="29" s="1"/>
  <c r="AI19" i="29"/>
  <c r="IM27" i="29"/>
  <c r="AM27" i="29" s="1"/>
  <c r="AM19" i="29"/>
  <c r="EH94" i="5"/>
  <c r="P94" i="5" s="1"/>
  <c r="R95" i="4"/>
  <c r="AR21" i="1"/>
  <c r="S95" i="4"/>
  <c r="JC8" i="1"/>
  <c r="AO8" i="1" s="1"/>
  <c r="AO7" i="1"/>
  <c r="CY106" i="5"/>
  <c r="K106" i="5" s="1"/>
  <c r="Q80" i="4"/>
  <c r="EH106" i="5"/>
  <c r="P106" i="5" s="1"/>
  <c r="V80" i="4"/>
  <c r="CR106" i="5"/>
  <c r="J106" i="5" s="1"/>
  <c r="P80" i="4"/>
  <c r="DT106" i="5"/>
  <c r="N106" i="5" s="1"/>
  <c r="T80" i="4"/>
  <c r="CK106" i="5"/>
  <c r="I106" i="5" s="1"/>
  <c r="O80" i="4"/>
  <c r="CY94" i="5"/>
  <c r="K94" i="5" s="1"/>
  <c r="Q95" i="4"/>
  <c r="EA94" i="5"/>
  <c r="O94" i="5" s="1"/>
  <c r="U95" i="4"/>
  <c r="EA106" i="5"/>
  <c r="O106" i="5" s="1"/>
  <c r="U80" i="4"/>
  <c r="CD106" i="5"/>
  <c r="H106" i="5" s="1"/>
  <c r="N80" i="4"/>
  <c r="DM106" i="5"/>
  <c r="M106" i="5" s="1"/>
  <c r="S80" i="4"/>
  <c r="BW106" i="5"/>
  <c r="G106" i="5" s="1"/>
  <c r="M80" i="4"/>
  <c r="DF106" i="5"/>
  <c r="L106" i="5" s="1"/>
  <c r="R80" i="4"/>
  <c r="DT103" i="5"/>
  <c r="N103" i="5" s="1"/>
  <c r="DT113" i="5"/>
  <c r="N113" i="5" s="1"/>
  <c r="DT116" i="5"/>
  <c r="N116" i="5" s="1"/>
  <c r="EH113" i="5"/>
  <c r="P113" i="5" s="1"/>
  <c r="EH103" i="5"/>
  <c r="P103" i="5" s="1"/>
  <c r="EH116" i="5"/>
  <c r="P116" i="5" s="1"/>
  <c r="JJ8" i="1"/>
  <c r="AP8" i="1" s="1"/>
  <c r="HF25" i="1"/>
  <c r="AH25" i="1" s="1"/>
  <c r="HF24" i="1"/>
  <c r="HT25" i="1"/>
  <c r="AJ25" i="1" s="1"/>
  <c r="HT24" i="1"/>
  <c r="IH25" i="1"/>
  <c r="AL25" i="1" s="1"/>
  <c r="IH24" i="1"/>
  <c r="IV25" i="1"/>
  <c r="AN25" i="1" s="1"/>
  <c r="IV24" i="1"/>
  <c r="JQ25" i="1"/>
  <c r="AQ25" i="1" s="1"/>
  <c r="JQ24" i="1"/>
  <c r="JX25" i="1"/>
  <c r="HM25" i="1"/>
  <c r="AI25" i="1" s="1"/>
  <c r="HM24" i="1"/>
  <c r="IA24" i="1"/>
  <c r="AK24" i="1" s="1"/>
  <c r="IA25" i="1"/>
  <c r="AK25" i="1" s="1"/>
  <c r="IO24" i="1"/>
  <c r="IO25" i="1"/>
  <c r="AM25" i="1" s="1"/>
  <c r="JC25" i="1"/>
  <c r="AO25" i="1" s="1"/>
  <c r="JC24" i="1"/>
  <c r="JJ24" i="1"/>
  <c r="JJ25" i="1"/>
  <c r="AP25" i="1" s="1"/>
  <c r="JQ8" i="1"/>
  <c r="AQ8" i="1" s="1"/>
  <c r="JX8" i="1"/>
  <c r="AR8" i="1" s="1"/>
  <c r="DT89" i="5"/>
  <c r="N89" i="5" s="1"/>
  <c r="DT124" i="5"/>
  <c r="EH89" i="5"/>
  <c r="P89" i="5" s="1"/>
  <c r="EH124" i="5"/>
  <c r="JB44" i="1"/>
  <c r="DQ71" i="4"/>
  <c r="DQ83" i="4"/>
  <c r="HF35" i="1"/>
  <c r="EE71" i="4"/>
  <c r="EE83" i="4"/>
  <c r="HT35" i="1"/>
  <c r="AJ35" i="1" s="1"/>
  <c r="ES71" i="4"/>
  <c r="ES83" i="4"/>
  <c r="IH35" i="1"/>
  <c r="AL35" i="1" s="1"/>
  <c r="FG71" i="4"/>
  <c r="FG83" i="4"/>
  <c r="IV35" i="1"/>
  <c r="AN35" i="1" s="1"/>
  <c r="JQ35" i="1"/>
  <c r="GB83" i="4"/>
  <c r="GB71" i="4"/>
  <c r="DX83" i="4"/>
  <c r="DX71" i="4"/>
  <c r="HM35" i="1"/>
  <c r="AI35" i="1" s="1"/>
  <c r="EL83" i="4"/>
  <c r="EL71" i="4"/>
  <c r="IA35" i="1"/>
  <c r="EZ83" i="4"/>
  <c r="EZ71" i="4"/>
  <c r="IO35" i="1"/>
  <c r="AM35" i="1" s="1"/>
  <c r="JC35" i="1"/>
  <c r="AO35" i="1" s="1"/>
  <c r="FN83" i="4"/>
  <c r="FN71" i="4"/>
  <c r="JJ35" i="1"/>
  <c r="FU71" i="4"/>
  <c r="U71" i="4" s="1"/>
  <c r="FU83" i="4"/>
  <c r="IZ43" i="1"/>
  <c r="HX43" i="1"/>
  <c r="HX47" i="1" s="1"/>
  <c r="JF43" i="1"/>
  <c r="JF44" i="1" s="1"/>
  <c r="JG43" i="1"/>
  <c r="JG47" i="1" s="1"/>
  <c r="JG36" i="1"/>
  <c r="IT44" i="1"/>
  <c r="IN44" i="1"/>
  <c r="IG49" i="1"/>
  <c r="IU50" i="1"/>
  <c r="IU65" i="1"/>
  <c r="IU67" i="1" s="1"/>
  <c r="JI50" i="1"/>
  <c r="JI65" i="1"/>
  <c r="JI67" i="1" s="1"/>
  <c r="IM50" i="1"/>
  <c r="HK50" i="1"/>
  <c r="IK47" i="1"/>
  <c r="HD44" i="1"/>
  <c r="HD47" i="1"/>
  <c r="DX93" i="4"/>
  <c r="N93" i="4" s="1"/>
  <c r="EL93" i="4"/>
  <c r="P93" i="4" s="1"/>
  <c r="DQ93" i="4"/>
  <c r="M93" i="4" s="1"/>
  <c r="EE93" i="4"/>
  <c r="O93" i="4" s="1"/>
  <c r="FG93" i="4"/>
  <c r="S93" i="4" s="1"/>
  <c r="HE51" i="1"/>
  <c r="HE50" i="1"/>
  <c r="IR47" i="1"/>
  <c r="ID47" i="1"/>
  <c r="JH44" i="1"/>
  <c r="JA47" i="1"/>
  <c r="HB44" i="1"/>
  <c r="DO89" i="4"/>
  <c r="DM89" i="4"/>
  <c r="DP89" i="4"/>
  <c r="DN89" i="4"/>
  <c r="HB47" i="1"/>
  <c r="HE44" i="1"/>
  <c r="HE47" i="1"/>
  <c r="HR44" i="1"/>
  <c r="HR47" i="1"/>
  <c r="HC44" i="1"/>
  <c r="HC47" i="1"/>
  <c r="HQ49" i="1"/>
  <c r="HQ47" i="1"/>
  <c r="EZ93" i="4"/>
  <c r="R93" i="4" s="1"/>
  <c r="ES93" i="4"/>
  <c r="Q93" i="4" s="1"/>
  <c r="DX81" i="4"/>
  <c r="N81" i="4" s="1"/>
  <c r="EL81" i="4"/>
  <c r="P81" i="4" s="1"/>
  <c r="EZ81" i="4"/>
  <c r="R81" i="4" s="1"/>
  <c r="DQ81" i="4"/>
  <c r="M81" i="4" s="1"/>
  <c r="EE81" i="4"/>
  <c r="O81" i="4" s="1"/>
  <c r="ES81" i="4"/>
  <c r="Q81" i="4" s="1"/>
  <c r="FG81" i="4"/>
  <c r="S81" i="4" s="1"/>
  <c r="GB93" i="4"/>
  <c r="V93" i="4" s="1"/>
  <c r="GB101" i="4"/>
  <c r="V101" i="4" s="1"/>
  <c r="GB78" i="4"/>
  <c r="V78" i="4" s="1"/>
  <c r="GB81" i="4"/>
  <c r="V81" i="4" s="1"/>
  <c r="GB105" i="4"/>
  <c r="GB113" i="4"/>
  <c r="V113" i="4" s="1"/>
  <c r="FN78" i="4"/>
  <c r="T78" i="4" s="1"/>
  <c r="FN81" i="4"/>
  <c r="T81" i="4" s="1"/>
  <c r="FN93" i="4"/>
  <c r="T93" i="4" s="1"/>
  <c r="FN101" i="4"/>
  <c r="T101" i="4" s="1"/>
  <c r="FN105" i="4"/>
  <c r="FN113" i="4"/>
  <c r="T113" i="4" s="1"/>
  <c r="IY36" i="1"/>
  <c r="HL44" i="1"/>
  <c r="HL36" i="1"/>
  <c r="JA49" i="1"/>
  <c r="IL36" i="1"/>
  <c r="IE36" i="1"/>
  <c r="HS36" i="1"/>
  <c r="IZ36" i="1"/>
  <c r="HW36" i="1"/>
  <c r="HI36" i="1"/>
  <c r="IS36" i="1"/>
  <c r="HP36" i="1"/>
  <c r="IM62" i="1"/>
  <c r="HK62" i="1"/>
  <c r="IU62" i="1"/>
  <c r="HE62" i="1"/>
  <c r="JI62" i="1"/>
  <c r="ID44" i="1"/>
  <c r="IR44" i="1"/>
  <c r="JA44" i="1"/>
  <c r="IU44" i="1"/>
  <c r="IM44" i="1"/>
  <c r="IF44" i="1"/>
  <c r="HZ44" i="1"/>
  <c r="HJ44" i="1"/>
  <c r="IG44" i="1"/>
  <c r="IK44" i="1"/>
  <c r="HY44" i="1"/>
  <c r="HI44" i="1"/>
  <c r="HQ44" i="1"/>
  <c r="JI44" i="1"/>
  <c r="IT49" i="1"/>
  <c r="IN49" i="1"/>
  <c r="ID49" i="1"/>
  <c r="HR49" i="1"/>
  <c r="HB49" i="1"/>
  <c r="IK49" i="1"/>
  <c r="HY49" i="1"/>
  <c r="HC49" i="1"/>
  <c r="JH49" i="1"/>
  <c r="JB49" i="1"/>
  <c r="IR49" i="1"/>
  <c r="IF49" i="1"/>
  <c r="HZ49" i="1"/>
  <c r="HJ49" i="1"/>
  <c r="HD49" i="1"/>
  <c r="HS49" i="1"/>
  <c r="HI49" i="1"/>
  <c r="IR65" i="1" l="1"/>
  <c r="IR67" i="1" s="1"/>
  <c r="JB65" i="1"/>
  <c r="JB67" i="1" s="1"/>
  <c r="JA65" i="1"/>
  <c r="JA67" i="1" s="1"/>
  <c r="IT65" i="1"/>
  <c r="IT67" i="1" s="1"/>
  <c r="IT68" i="1" s="1"/>
  <c r="JH65" i="1"/>
  <c r="JH67" i="1" s="1"/>
  <c r="HI65" i="1"/>
  <c r="HI67" i="1" s="1"/>
  <c r="IF65" i="1"/>
  <c r="IF67" i="1" s="1"/>
  <c r="IM68" i="1" s="1"/>
  <c r="HD65" i="1"/>
  <c r="HD67" i="1" s="1"/>
  <c r="HD68" i="1" s="1"/>
  <c r="HY65" i="1"/>
  <c r="HY67" i="1" s="1"/>
  <c r="ID65" i="1"/>
  <c r="ID67" i="1" s="1"/>
  <c r="HR65" i="1"/>
  <c r="HR67" i="1" s="1"/>
  <c r="HR68" i="1" s="1"/>
  <c r="HJ65" i="1"/>
  <c r="HJ67" i="1" s="1"/>
  <c r="IK65" i="1"/>
  <c r="IK67" i="1" s="1"/>
  <c r="IN65" i="1"/>
  <c r="IN67" i="1" s="1"/>
  <c r="HB65" i="1"/>
  <c r="HB67" i="1" s="1"/>
  <c r="HB68" i="1" s="1"/>
  <c r="HQ65" i="1"/>
  <c r="HQ67" i="1" s="1"/>
  <c r="HZ65" i="1"/>
  <c r="HZ67" i="1" s="1"/>
  <c r="HC65" i="1"/>
  <c r="HC67" i="1" s="1"/>
  <c r="HC68" i="1" s="1"/>
  <c r="IG65" i="1"/>
  <c r="IG67" i="1" s="1"/>
  <c r="AL5" i="29"/>
  <c r="AH5" i="29"/>
  <c r="AJ5" i="29"/>
  <c r="AM5" i="29"/>
  <c r="AP5" i="29"/>
  <c r="AN5" i="29"/>
  <c r="IA13" i="1"/>
  <c r="AK13" i="1" s="1"/>
  <c r="JJ43" i="1"/>
  <c r="AP43" i="1" s="1"/>
  <c r="AP35" i="1"/>
  <c r="IH13" i="1"/>
  <c r="AL13" i="1" s="1"/>
  <c r="AL24" i="1"/>
  <c r="HF36" i="1"/>
  <c r="AH35" i="1"/>
  <c r="HT13" i="1"/>
  <c r="AJ13" i="1" s="1"/>
  <c r="AJ24" i="1"/>
  <c r="IO13" i="1"/>
  <c r="AM13" i="1" s="1"/>
  <c r="AM24" i="1"/>
  <c r="JX36" i="1"/>
  <c r="AQ35" i="1"/>
  <c r="HM13" i="1"/>
  <c r="AI13" i="1" s="1"/>
  <c r="AI24" i="1"/>
  <c r="HF13" i="1"/>
  <c r="AH24" i="1"/>
  <c r="AR25" i="1"/>
  <c r="JQ13" i="1"/>
  <c r="AQ13" i="1" s="1"/>
  <c r="AQ24" i="1"/>
  <c r="IA43" i="1"/>
  <c r="AK43" i="1" s="1"/>
  <c r="AK35" i="1"/>
  <c r="JJ13" i="1"/>
  <c r="AP13" i="1" s="1"/>
  <c r="AP24" i="1"/>
  <c r="JC13" i="1"/>
  <c r="AO13" i="1" s="1"/>
  <c r="AO24" i="1"/>
  <c r="IV13" i="1"/>
  <c r="AN13" i="1" s="1"/>
  <c r="AN24" i="1"/>
  <c r="N124" i="5"/>
  <c r="P124" i="5"/>
  <c r="DQ74" i="4"/>
  <c r="M71" i="4"/>
  <c r="EZ74" i="4"/>
  <c r="R71" i="4"/>
  <c r="FG84" i="4"/>
  <c r="S84" i="4" s="1"/>
  <c r="S83" i="4"/>
  <c r="EZ84" i="4"/>
  <c r="R84" i="4" s="1"/>
  <c r="R83" i="4"/>
  <c r="FG74" i="4"/>
  <c r="S71" i="4"/>
  <c r="EL74" i="4"/>
  <c r="P71" i="4"/>
  <c r="ES84" i="4"/>
  <c r="Q84" i="4" s="1"/>
  <c r="Q83" i="4"/>
  <c r="EL106" i="4"/>
  <c r="P83" i="4"/>
  <c r="ES74" i="4"/>
  <c r="Q71" i="4"/>
  <c r="FU106" i="4"/>
  <c r="U83" i="4"/>
  <c r="DX74" i="4"/>
  <c r="N71" i="4"/>
  <c r="EE106" i="4"/>
  <c r="O83" i="4"/>
  <c r="DX84" i="4"/>
  <c r="N84" i="4" s="1"/>
  <c r="N83" i="4"/>
  <c r="EE74" i="4"/>
  <c r="O71" i="4"/>
  <c r="EH100" i="5"/>
  <c r="P100" i="5" s="1"/>
  <c r="V105" i="4"/>
  <c r="FN74" i="4"/>
  <c r="FN75" i="4" s="1"/>
  <c r="T75" i="4" s="1"/>
  <c r="T71" i="4"/>
  <c r="GB74" i="4"/>
  <c r="GB86" i="4" s="1"/>
  <c r="V86" i="4" s="1"/>
  <c r="V71" i="4"/>
  <c r="DT100" i="5"/>
  <c r="N100" i="5" s="1"/>
  <c r="T105" i="4"/>
  <c r="FN84" i="4"/>
  <c r="T84" i="4" s="1"/>
  <c r="T83" i="4"/>
  <c r="GB106" i="4"/>
  <c r="V83" i="4"/>
  <c r="DQ84" i="4"/>
  <c r="M84" i="4" s="1"/>
  <c r="M83" i="4"/>
  <c r="EE84" i="4"/>
  <c r="O84" i="4" s="1"/>
  <c r="JI71" i="1"/>
  <c r="JI10" i="1"/>
  <c r="HE71" i="1"/>
  <c r="HE10" i="1"/>
  <c r="IU71" i="1"/>
  <c r="IU10" i="1"/>
  <c r="HK71" i="1"/>
  <c r="HK10" i="1"/>
  <c r="IM71" i="1"/>
  <c r="IM10" i="1"/>
  <c r="EL84" i="4"/>
  <c r="P84" i="4" s="1"/>
  <c r="GB84" i="4"/>
  <c r="V84" i="4" s="1"/>
  <c r="HT43" i="1"/>
  <c r="AJ43" i="1" s="1"/>
  <c r="FN106" i="4"/>
  <c r="HX44" i="1"/>
  <c r="JF49" i="1"/>
  <c r="IG50" i="1"/>
  <c r="HM43" i="1"/>
  <c r="AI43" i="1" s="1"/>
  <c r="DQ106" i="4"/>
  <c r="FG106" i="4"/>
  <c r="GB72" i="4"/>
  <c r="V72" i="4" s="1"/>
  <c r="HF43" i="1"/>
  <c r="AH43" i="1" s="1"/>
  <c r="EO89" i="4"/>
  <c r="EO90" i="4" s="1"/>
  <c r="DP90" i="4"/>
  <c r="DP110" i="4"/>
  <c r="DO90" i="4"/>
  <c r="DO110" i="4"/>
  <c r="DN90" i="4"/>
  <c r="DN110" i="4"/>
  <c r="DM90" i="4"/>
  <c r="DM110" i="4"/>
  <c r="DX106" i="4"/>
  <c r="EZ106" i="4"/>
  <c r="ES106" i="4"/>
  <c r="JC43" i="1"/>
  <c r="JC36" i="1"/>
  <c r="IH43" i="1"/>
  <c r="AL43" i="1" s="1"/>
  <c r="IO43" i="1"/>
  <c r="AM43" i="1" s="1"/>
  <c r="IV43" i="1"/>
  <c r="AN43" i="1" s="1"/>
  <c r="JJ36" i="1"/>
  <c r="DQ72" i="4"/>
  <c r="M72" i="4" s="1"/>
  <c r="EZ72" i="4"/>
  <c r="R72" i="4" s="1"/>
  <c r="EL72" i="4"/>
  <c r="P72" i="4" s="1"/>
  <c r="FG72" i="4"/>
  <c r="S72" i="4" s="1"/>
  <c r="ES72" i="4"/>
  <c r="Q72" i="4" s="1"/>
  <c r="HQ62" i="1"/>
  <c r="IG62" i="1"/>
  <c r="FN72" i="4"/>
  <c r="T72" i="4" s="1"/>
  <c r="DX72" i="4"/>
  <c r="N72" i="4" s="1"/>
  <c r="EE72" i="4"/>
  <c r="O72" i="4" s="1"/>
  <c r="JB68" i="1"/>
  <c r="JG49" i="1"/>
  <c r="HS50" i="1"/>
  <c r="HS65" i="1"/>
  <c r="HS67" i="1" s="1"/>
  <c r="IR68" i="1"/>
  <c r="JI68" i="1"/>
  <c r="DV97" i="4"/>
  <c r="HI50" i="1"/>
  <c r="DU97" i="4"/>
  <c r="HD50" i="1"/>
  <c r="HZ50" i="1"/>
  <c r="IR50" i="1"/>
  <c r="HY50" i="1"/>
  <c r="HB51" i="1"/>
  <c r="DO97" i="4"/>
  <c r="DP97" i="4"/>
  <c r="HB50" i="1"/>
  <c r="DN97" i="4"/>
  <c r="DM97" i="4"/>
  <c r="ID50" i="1"/>
  <c r="IT50" i="1"/>
  <c r="IS49" i="1"/>
  <c r="IS47" i="1"/>
  <c r="HJ50" i="1"/>
  <c r="IF50" i="1"/>
  <c r="JB50" i="1"/>
  <c r="HC51" i="1"/>
  <c r="DT97" i="4"/>
  <c r="HC50" i="1"/>
  <c r="IK50" i="1"/>
  <c r="HR50" i="1"/>
  <c r="IN50" i="1"/>
  <c r="FS89" i="4"/>
  <c r="FQ89" i="4"/>
  <c r="FT89" i="4"/>
  <c r="FR89" i="4"/>
  <c r="JF47" i="1"/>
  <c r="DW89" i="4"/>
  <c r="DU89" i="4"/>
  <c r="DV89" i="4"/>
  <c r="DT89" i="4"/>
  <c r="HI47" i="1"/>
  <c r="EK89" i="4"/>
  <c r="EI89" i="4"/>
  <c r="EJ89" i="4"/>
  <c r="EH89" i="4"/>
  <c r="HW47" i="1"/>
  <c r="IZ49" i="1"/>
  <c r="IZ47" i="1"/>
  <c r="IE49" i="1"/>
  <c r="IE47" i="1"/>
  <c r="IL49" i="1"/>
  <c r="IL47" i="1"/>
  <c r="HS44" i="1"/>
  <c r="HL47" i="1"/>
  <c r="FM89" i="4"/>
  <c r="FK89" i="4"/>
  <c r="FL89" i="4"/>
  <c r="FJ89" i="4"/>
  <c r="IY47" i="1"/>
  <c r="ER89" i="4"/>
  <c r="EQ89" i="4"/>
  <c r="FD89" i="4"/>
  <c r="FC89" i="4"/>
  <c r="EX89" i="4"/>
  <c r="EY89" i="4"/>
  <c r="JH50" i="1"/>
  <c r="EC89" i="4"/>
  <c r="EA89" i="4"/>
  <c r="ED89" i="4"/>
  <c r="EB89" i="4"/>
  <c r="HP47" i="1"/>
  <c r="JA62" i="1"/>
  <c r="JA50" i="1"/>
  <c r="HQ50" i="1"/>
  <c r="EP89" i="4"/>
  <c r="FF89" i="4"/>
  <c r="FE89" i="4"/>
  <c r="EV89" i="4"/>
  <c r="EW89" i="4"/>
  <c r="IL44" i="1"/>
  <c r="IV36" i="1"/>
  <c r="HP44" i="1"/>
  <c r="HL49" i="1"/>
  <c r="HT36" i="1"/>
  <c r="IH36" i="1"/>
  <c r="HD51" i="1"/>
  <c r="IO36" i="1"/>
  <c r="HM36" i="1"/>
  <c r="HI62" i="1"/>
  <c r="IF62" i="1"/>
  <c r="IF10" i="1" s="1"/>
  <c r="HB62" i="1"/>
  <c r="HS62" i="1"/>
  <c r="HC62" i="1"/>
  <c r="IK62" i="1"/>
  <c r="ID62" i="1"/>
  <c r="JG44" i="1"/>
  <c r="JH51" i="1"/>
  <c r="JH62" i="1"/>
  <c r="JH10" i="1" s="1"/>
  <c r="JB51" i="1"/>
  <c r="JB62" i="1"/>
  <c r="JB10" i="1" s="1"/>
  <c r="IS44" i="1"/>
  <c r="IZ44" i="1"/>
  <c r="IT51" i="1"/>
  <c r="IT62" i="1"/>
  <c r="IT10" i="1" s="1"/>
  <c r="IR62" i="1"/>
  <c r="IR10" i="1" s="1"/>
  <c r="IN51" i="1"/>
  <c r="IN62" i="1"/>
  <c r="IN10" i="1" s="1"/>
  <c r="HX49" i="1"/>
  <c r="IE44" i="1"/>
  <c r="HJ51" i="1"/>
  <c r="HJ62" i="1"/>
  <c r="IG51" i="1"/>
  <c r="HZ62" i="1"/>
  <c r="HK51" i="1"/>
  <c r="HD62" i="1"/>
  <c r="HD10" i="1" s="1"/>
  <c r="HP49" i="1"/>
  <c r="HY51" i="1"/>
  <c r="HY62" i="1"/>
  <c r="HR51" i="1"/>
  <c r="HR62" i="1"/>
  <c r="HR10" i="1" s="1"/>
  <c r="IY44" i="1"/>
  <c r="HW44" i="1"/>
  <c r="IY49" i="1"/>
  <c r="IF51" i="1"/>
  <c r="HW49" i="1"/>
  <c r="HF49" i="1"/>
  <c r="IR51" i="1"/>
  <c r="IM51" i="1"/>
  <c r="HI51" i="1"/>
  <c r="HZ51" i="1"/>
  <c r="IK51" i="1"/>
  <c r="HQ51" i="1"/>
  <c r="JA51" i="1"/>
  <c r="IU51" i="1"/>
  <c r="JI51" i="1"/>
  <c r="HK68" i="1" l="1"/>
  <c r="IK68" i="1"/>
  <c r="IF68" i="1"/>
  <c r="HI68" i="1"/>
  <c r="IN68" i="1"/>
  <c r="IU68" i="1"/>
  <c r="HJ68" i="1"/>
  <c r="IG68" i="1"/>
  <c r="JH68" i="1"/>
  <c r="HQ68" i="1"/>
  <c r="JA68" i="1"/>
  <c r="JF65" i="1"/>
  <c r="JF67" i="1" s="1"/>
  <c r="IZ65" i="1"/>
  <c r="IZ67" i="1" s="1"/>
  <c r="HY68" i="1"/>
  <c r="JG65" i="1"/>
  <c r="JG67" i="1" s="1"/>
  <c r="JJ47" i="1"/>
  <c r="AP47" i="1" s="1"/>
  <c r="IY65" i="1"/>
  <c r="IY67" i="1" s="1"/>
  <c r="IY68" i="1" s="1"/>
  <c r="IS65" i="1"/>
  <c r="IS67" i="1" s="1"/>
  <c r="JX14" i="1"/>
  <c r="AR14" i="1" s="1"/>
  <c r="HE11" i="1"/>
  <c r="HL65" i="1"/>
  <c r="HL67" i="1" s="1"/>
  <c r="HL68" i="1" s="1"/>
  <c r="IO49" i="1"/>
  <c r="EZ97" i="4" s="1"/>
  <c r="R97" i="4" s="1"/>
  <c r="HD11" i="1"/>
  <c r="HP65" i="1"/>
  <c r="HP67" i="1" s="1"/>
  <c r="HP68" i="1" s="1"/>
  <c r="HX65" i="1"/>
  <c r="HX67" i="1" s="1"/>
  <c r="HX68" i="1" s="1"/>
  <c r="IH49" i="1"/>
  <c r="IH65" i="1" s="1"/>
  <c r="JC14" i="1"/>
  <c r="AO14" i="1" s="1"/>
  <c r="IA14" i="1"/>
  <c r="AK14" i="1" s="1"/>
  <c r="HM14" i="1"/>
  <c r="AI14" i="1" s="1"/>
  <c r="IH14" i="1"/>
  <c r="AL14" i="1" s="1"/>
  <c r="FN86" i="4"/>
  <c r="T86" i="4" s="1"/>
  <c r="IV14" i="1"/>
  <c r="AN14" i="1" s="1"/>
  <c r="IO14" i="1"/>
  <c r="AM14" i="1" s="1"/>
  <c r="HT14" i="1"/>
  <c r="AJ14" i="1" s="1"/>
  <c r="GB75" i="4"/>
  <c r="V75" i="4" s="1"/>
  <c r="JQ14" i="1"/>
  <c r="AQ14" i="1" s="1"/>
  <c r="JJ14" i="1"/>
  <c r="AP14" i="1" s="1"/>
  <c r="JJ44" i="1"/>
  <c r="AP44" i="1" s="1"/>
  <c r="AO43" i="1"/>
  <c r="HF14" i="1"/>
  <c r="AH14" i="1" s="1"/>
  <c r="AH13" i="1"/>
  <c r="HF65" i="1"/>
  <c r="AH65" i="1" s="1"/>
  <c r="AH49" i="1"/>
  <c r="IT11" i="1"/>
  <c r="CK110" i="5"/>
  <c r="I110" i="5" s="1"/>
  <c r="O106" i="4"/>
  <c r="CR117" i="5"/>
  <c r="J117" i="5" s="1"/>
  <c r="P74" i="4"/>
  <c r="EH117" i="5"/>
  <c r="P117" i="5" s="1"/>
  <c r="V74" i="4"/>
  <c r="CD117" i="5"/>
  <c r="H117" i="5" s="1"/>
  <c r="N74" i="4"/>
  <c r="DM117" i="5"/>
  <c r="M117" i="5" s="1"/>
  <c r="S74" i="4"/>
  <c r="DT110" i="5"/>
  <c r="N110" i="5" s="1"/>
  <c r="T106" i="4"/>
  <c r="CY110" i="5"/>
  <c r="K110" i="5" s="1"/>
  <c r="Q106" i="4"/>
  <c r="DT117" i="5"/>
  <c r="N117" i="5" s="1"/>
  <c r="T74" i="4"/>
  <c r="EA110" i="5"/>
  <c r="O110" i="5" s="1"/>
  <c r="U106" i="4"/>
  <c r="DF110" i="5"/>
  <c r="L110" i="5" s="1"/>
  <c r="R106" i="4"/>
  <c r="CD110" i="5"/>
  <c r="H110" i="5" s="1"/>
  <c r="N106" i="4"/>
  <c r="CY117" i="5"/>
  <c r="K117" i="5" s="1"/>
  <c r="Q74" i="4"/>
  <c r="DM110" i="5"/>
  <c r="M110" i="5" s="1"/>
  <c r="S106" i="4"/>
  <c r="BW110" i="5"/>
  <c r="G110" i="5" s="1"/>
  <c r="M106" i="4"/>
  <c r="EH110" i="5"/>
  <c r="P110" i="5" s="1"/>
  <c r="V106" i="4"/>
  <c r="CK117" i="5"/>
  <c r="I117" i="5" s="1"/>
  <c r="O74" i="4"/>
  <c r="CR110" i="5"/>
  <c r="J110" i="5" s="1"/>
  <c r="P106" i="4"/>
  <c r="DF117" i="5"/>
  <c r="L117" i="5" s="1"/>
  <c r="R74" i="4"/>
  <c r="BW117" i="5"/>
  <c r="G117" i="5" s="1"/>
  <c r="M74" i="4"/>
  <c r="JB11" i="1"/>
  <c r="HR11" i="1"/>
  <c r="HZ71" i="1"/>
  <c r="HZ10" i="1"/>
  <c r="HI71" i="1"/>
  <c r="HI10" i="1"/>
  <c r="HJ71" i="1"/>
  <c r="HJ10" i="1"/>
  <c r="HK11" i="1"/>
  <c r="JA71" i="1"/>
  <c r="JA10" i="1"/>
  <c r="IU11" i="1"/>
  <c r="ID71" i="1"/>
  <c r="ID10" i="1"/>
  <c r="IG71" i="1"/>
  <c r="IG10" i="1"/>
  <c r="IK71" i="1"/>
  <c r="IK10" i="1"/>
  <c r="HQ71" i="1"/>
  <c r="HQ10" i="1"/>
  <c r="HC71" i="1"/>
  <c r="HC10" i="1"/>
  <c r="JI11" i="1"/>
  <c r="HS71" i="1"/>
  <c r="HS10" i="1"/>
  <c r="IM11" i="1"/>
  <c r="HY71" i="1"/>
  <c r="HY10" i="1"/>
  <c r="HB71" i="1"/>
  <c r="HB10" i="1"/>
  <c r="JF50" i="1"/>
  <c r="JF62" i="1"/>
  <c r="IV49" i="1"/>
  <c r="IE62" i="1"/>
  <c r="IZ62" i="1"/>
  <c r="HF44" i="1"/>
  <c r="AH44" i="1" s="1"/>
  <c r="FS97" i="4"/>
  <c r="DY178" i="5" s="1"/>
  <c r="DY81" i="5" s="1"/>
  <c r="JG50" i="1"/>
  <c r="FT97" i="4"/>
  <c r="FT108" i="4" s="1"/>
  <c r="JG62" i="1"/>
  <c r="FR97" i="4"/>
  <c r="FR108" i="4" s="1"/>
  <c r="JJ49" i="1"/>
  <c r="IL62" i="1"/>
  <c r="DQ89" i="4"/>
  <c r="EO110" i="4"/>
  <c r="JG51" i="1"/>
  <c r="IL51" i="1"/>
  <c r="HM44" i="1"/>
  <c r="AI44" i="1" s="1"/>
  <c r="HF47" i="1"/>
  <c r="AH47" i="1" s="1"/>
  <c r="EV90" i="4"/>
  <c r="EV110" i="4"/>
  <c r="FF90" i="4"/>
  <c r="FF110" i="4"/>
  <c r="ED90" i="4"/>
  <c r="ED110" i="4"/>
  <c r="EC90" i="4"/>
  <c r="EC110" i="4"/>
  <c r="EY90" i="4"/>
  <c r="EY110" i="4"/>
  <c r="FC90" i="4"/>
  <c r="FC110" i="4"/>
  <c r="EQ90" i="4"/>
  <c r="EQ110" i="4"/>
  <c r="FL90" i="4"/>
  <c r="FL110" i="4"/>
  <c r="FM90" i="4"/>
  <c r="FM110" i="4"/>
  <c r="EH90" i="4"/>
  <c r="EH110" i="4"/>
  <c r="EI90" i="4"/>
  <c r="EI110" i="4"/>
  <c r="DV90" i="4"/>
  <c r="DV110" i="4"/>
  <c r="DW90" i="4"/>
  <c r="DW110" i="4"/>
  <c r="FR90" i="4"/>
  <c r="FR110" i="4"/>
  <c r="FQ90" i="4"/>
  <c r="FQ110" i="4"/>
  <c r="EW90" i="4"/>
  <c r="EW110" i="4"/>
  <c r="FE90" i="4"/>
  <c r="FE110" i="4"/>
  <c r="EP90" i="4"/>
  <c r="EP110" i="4"/>
  <c r="EB90" i="4"/>
  <c r="EB110" i="4"/>
  <c r="EA90" i="4"/>
  <c r="EA110" i="4"/>
  <c r="EX90" i="4"/>
  <c r="EX110" i="4"/>
  <c r="FD90" i="4"/>
  <c r="FD110" i="4"/>
  <c r="ER90" i="4"/>
  <c r="ER110" i="4"/>
  <c r="FJ90" i="4"/>
  <c r="FJ110" i="4"/>
  <c r="FK90" i="4"/>
  <c r="FK110" i="4"/>
  <c r="EJ90" i="4"/>
  <c r="EJ110" i="4"/>
  <c r="EK90" i="4"/>
  <c r="EK110" i="4"/>
  <c r="DT90" i="4"/>
  <c r="DT110" i="4"/>
  <c r="DU90" i="4"/>
  <c r="DU110" i="4"/>
  <c r="FT90" i="4"/>
  <c r="FT110" i="4"/>
  <c r="FS90" i="4"/>
  <c r="FS110" i="4"/>
  <c r="DP108" i="4"/>
  <c r="DV108" i="4"/>
  <c r="DT108" i="4"/>
  <c r="DM108" i="4"/>
  <c r="DN108" i="4"/>
  <c r="DO108" i="4"/>
  <c r="DU108" i="4"/>
  <c r="GB126" i="4"/>
  <c r="V126" i="4" s="1"/>
  <c r="GB123" i="4"/>
  <c r="EE86" i="4"/>
  <c r="O86" i="4" s="1"/>
  <c r="EE75" i="4"/>
  <c r="O75" i="4" s="1"/>
  <c r="DX86" i="4"/>
  <c r="N86" i="4" s="1"/>
  <c r="DX75" i="4"/>
  <c r="N75" i="4" s="1"/>
  <c r="FG86" i="4"/>
  <c r="S86" i="4" s="1"/>
  <c r="FG75" i="4"/>
  <c r="S75" i="4" s="1"/>
  <c r="EL86" i="4"/>
  <c r="P86" i="4" s="1"/>
  <c r="EL75" i="4"/>
  <c r="P75" i="4" s="1"/>
  <c r="DQ75" i="4"/>
  <c r="M75" i="4" s="1"/>
  <c r="DQ86" i="4"/>
  <c r="M86" i="4" s="1"/>
  <c r="IS51" i="1"/>
  <c r="IZ51" i="1"/>
  <c r="IS62" i="1"/>
  <c r="IS10" i="1" s="1"/>
  <c r="FD97" i="4"/>
  <c r="ES86" i="4"/>
  <c r="Q86" i="4" s="1"/>
  <c r="ES75" i="4"/>
  <c r="Q75" i="4" s="1"/>
  <c r="EZ75" i="4"/>
  <c r="R75" i="4" s="1"/>
  <c r="EZ86" i="4"/>
  <c r="R86" i="4" s="1"/>
  <c r="EI97" i="4"/>
  <c r="EI108" i="4" s="1"/>
  <c r="HW65" i="1"/>
  <c r="HW67" i="1" s="1"/>
  <c r="EW97" i="4"/>
  <c r="EW108" i="4" s="1"/>
  <c r="IL65" i="1"/>
  <c r="IL67" i="1" s="1"/>
  <c r="EP97" i="4"/>
  <c r="EP108" i="4" s="1"/>
  <c r="IE65" i="1"/>
  <c r="IE67" i="1" s="1"/>
  <c r="HZ68" i="1"/>
  <c r="HD71" i="1"/>
  <c r="HX51" i="1"/>
  <c r="EO97" i="4"/>
  <c r="HX50" i="1"/>
  <c r="IR71" i="1"/>
  <c r="EE89" i="4"/>
  <c r="O89" i="4" s="1"/>
  <c r="HT47" i="1"/>
  <c r="AJ47" i="1" s="1"/>
  <c r="FN89" i="4"/>
  <c r="T89" i="4" s="1"/>
  <c r="JC47" i="1"/>
  <c r="AO47" i="1" s="1"/>
  <c r="DX89" i="4"/>
  <c r="N89" i="4" s="1"/>
  <c r="HM47" i="1"/>
  <c r="AI47" i="1" s="1"/>
  <c r="ES89" i="4"/>
  <c r="Q89" i="4" s="1"/>
  <c r="IH47" i="1"/>
  <c r="AL47" i="1" s="1"/>
  <c r="HF51" i="1"/>
  <c r="AH51" i="1" s="1"/>
  <c r="DQ97" i="4"/>
  <c r="M97" i="4" s="1"/>
  <c r="HF50" i="1"/>
  <c r="AH50" i="1" s="1"/>
  <c r="IO44" i="1"/>
  <c r="AM44" i="1" s="1"/>
  <c r="FL97" i="4"/>
  <c r="FM97" i="4"/>
  <c r="IY50" i="1"/>
  <c r="HT44" i="1"/>
  <c r="AJ44" i="1" s="1"/>
  <c r="HR71" i="1"/>
  <c r="ED97" i="4"/>
  <c r="EC97" i="4"/>
  <c r="HP50" i="1"/>
  <c r="IN71" i="1"/>
  <c r="IT71" i="1"/>
  <c r="JB71" i="1"/>
  <c r="JH71" i="1"/>
  <c r="FG89" i="4"/>
  <c r="S89" i="4" s="1"/>
  <c r="IV47" i="1"/>
  <c r="AN47" i="1" s="1"/>
  <c r="EZ89" i="4"/>
  <c r="R89" i="4" s="1"/>
  <c r="IO47" i="1"/>
  <c r="AM47" i="1" s="1"/>
  <c r="HL51" i="1"/>
  <c r="HL50" i="1"/>
  <c r="EB97" i="4"/>
  <c r="FQ97" i="4"/>
  <c r="IZ50" i="1"/>
  <c r="EX97" i="4"/>
  <c r="BZ168" i="5"/>
  <c r="BZ178" i="5"/>
  <c r="BZ81" i="5" s="1"/>
  <c r="DT98" i="4"/>
  <c r="DT109" i="4"/>
  <c r="EA97" i="4"/>
  <c r="FJ97" i="4"/>
  <c r="IS50" i="1"/>
  <c r="FK97" i="4"/>
  <c r="ER97" i="4"/>
  <c r="BV168" i="5"/>
  <c r="BV178" i="5"/>
  <c r="BV81" i="5" s="1"/>
  <c r="DP109" i="4"/>
  <c r="DP98" i="4"/>
  <c r="FF97" i="4"/>
  <c r="DW97" i="4"/>
  <c r="EJ97" i="4"/>
  <c r="EK97" i="4"/>
  <c r="HW50" i="1"/>
  <c r="IF71" i="1"/>
  <c r="EH97" i="4"/>
  <c r="FC97" i="4"/>
  <c r="IL50" i="1"/>
  <c r="EV97" i="4"/>
  <c r="IE50" i="1"/>
  <c r="FU89" i="4"/>
  <c r="U89" i="4" s="1"/>
  <c r="EL89" i="4"/>
  <c r="P89" i="4" s="1"/>
  <c r="IA47" i="1"/>
  <c r="AK47" i="1" s="1"/>
  <c r="EY97" i="4"/>
  <c r="EQ97" i="4"/>
  <c r="BS168" i="5"/>
  <c r="BS178" i="5"/>
  <c r="BS81" i="5" s="1"/>
  <c r="DM109" i="4"/>
  <c r="DM98" i="4"/>
  <c r="BT168" i="5"/>
  <c r="BT178" i="5"/>
  <c r="BT81" i="5" s="1"/>
  <c r="DN109" i="4"/>
  <c r="DN98" i="4"/>
  <c r="BU168" i="5"/>
  <c r="BU178" i="5"/>
  <c r="BU81" i="5" s="1"/>
  <c r="DO98" i="4"/>
  <c r="DO109" i="4"/>
  <c r="FE97" i="4"/>
  <c r="CA168" i="5"/>
  <c r="CA178" i="5"/>
  <c r="CA81" i="5" s="1"/>
  <c r="DU109" i="4"/>
  <c r="DU98" i="4"/>
  <c r="CB168" i="5"/>
  <c r="CB178" i="5"/>
  <c r="CB81" i="5" s="1"/>
  <c r="DV109" i="4"/>
  <c r="DV98" i="4"/>
  <c r="EH177" i="5"/>
  <c r="GB125" i="4"/>
  <c r="V125" i="4" s="1"/>
  <c r="GB87" i="4"/>
  <c r="V87" i="4" s="1"/>
  <c r="GB122" i="4"/>
  <c r="V122" i="4" s="1"/>
  <c r="HL62" i="1"/>
  <c r="HS51" i="1"/>
  <c r="HM49" i="1"/>
  <c r="IV44" i="1"/>
  <c r="AN44" i="1" s="1"/>
  <c r="JF51" i="1"/>
  <c r="IE51" i="1"/>
  <c r="HP62" i="1"/>
  <c r="HP10" i="1" s="1"/>
  <c r="HP51" i="1"/>
  <c r="HT49" i="1"/>
  <c r="HX62" i="1"/>
  <c r="HX10" i="1" s="1"/>
  <c r="JC49" i="1"/>
  <c r="IY62" i="1"/>
  <c r="IY10" i="1" s="1"/>
  <c r="HF62" i="1"/>
  <c r="IA49" i="1"/>
  <c r="HW62" i="1"/>
  <c r="HW10" i="1" s="1"/>
  <c r="HW51" i="1"/>
  <c r="IA44" i="1"/>
  <c r="AK44" i="1" s="1"/>
  <c r="IY51" i="1"/>
  <c r="JC44" i="1"/>
  <c r="AO44" i="1" s="1"/>
  <c r="ID51" i="1"/>
  <c r="IH44" i="1"/>
  <c r="AL44" i="1" s="1"/>
  <c r="IZ68" i="1" l="1"/>
  <c r="JG68" i="1"/>
  <c r="IS68" i="1"/>
  <c r="FN125" i="4"/>
  <c r="T125" i="4" s="1"/>
  <c r="FN87" i="4"/>
  <c r="T87" i="4" s="1"/>
  <c r="DT177" i="5"/>
  <c r="N177" i="5" s="1"/>
  <c r="FN126" i="4"/>
  <c r="T126" i="4" s="1"/>
  <c r="FN123" i="4"/>
  <c r="FN122" i="4"/>
  <c r="T122" i="4" s="1"/>
  <c r="IE68" i="1"/>
  <c r="IH50" i="1"/>
  <c r="AL50" i="1" s="1"/>
  <c r="IH62" i="1"/>
  <c r="AL62" i="1" s="1"/>
  <c r="JF68" i="1"/>
  <c r="IO65" i="1"/>
  <c r="AM65" i="1" s="1"/>
  <c r="IO62" i="1"/>
  <c r="IO10" i="1" s="1"/>
  <c r="AM10" i="1" s="1"/>
  <c r="AM49" i="1"/>
  <c r="IO50" i="1"/>
  <c r="AM50" i="1" s="1"/>
  <c r="IO51" i="1"/>
  <c r="AM51" i="1" s="1"/>
  <c r="IY11" i="1"/>
  <c r="JA11" i="1"/>
  <c r="HS68" i="1"/>
  <c r="AL65" i="1"/>
  <c r="IH67" i="1"/>
  <c r="AL67" i="1" s="1"/>
  <c r="HB11" i="1"/>
  <c r="HC11" i="1"/>
  <c r="AL49" i="1"/>
  <c r="ES97" i="4"/>
  <c r="Q97" i="4" s="1"/>
  <c r="HY11" i="1"/>
  <c r="HP11" i="1"/>
  <c r="HF67" i="1"/>
  <c r="AH67" i="1" s="1"/>
  <c r="IA65" i="1"/>
  <c r="AK65" i="1" s="1"/>
  <c r="AK49" i="1"/>
  <c r="JJ65" i="1"/>
  <c r="AP49" i="1"/>
  <c r="IV65" i="1"/>
  <c r="AN65" i="1" s="1"/>
  <c r="AN49" i="1"/>
  <c r="HF10" i="1"/>
  <c r="AH62" i="1"/>
  <c r="HM65" i="1"/>
  <c r="AI65" i="1" s="1"/>
  <c r="AI49" i="1"/>
  <c r="JC65" i="1"/>
  <c r="AO65" i="1" s="1"/>
  <c r="AO49" i="1"/>
  <c r="HT65" i="1"/>
  <c r="AJ65" i="1" s="1"/>
  <c r="AJ49" i="1"/>
  <c r="EH80" i="5"/>
  <c r="P80" i="5" s="1"/>
  <c r="P177" i="5"/>
  <c r="DQ110" i="4"/>
  <c r="M110" i="4" s="1"/>
  <c r="M89" i="4"/>
  <c r="V123" i="4"/>
  <c r="IK11" i="1"/>
  <c r="IG11" i="1"/>
  <c r="HQ11" i="1"/>
  <c r="IR11" i="1"/>
  <c r="JH11" i="1"/>
  <c r="HX11" i="1"/>
  <c r="JF71" i="1"/>
  <c r="JF10" i="1"/>
  <c r="IL71" i="1"/>
  <c r="IL10" i="1"/>
  <c r="HJ11" i="1"/>
  <c r="HW11" i="1"/>
  <c r="JG71" i="1"/>
  <c r="JG10" i="1"/>
  <c r="HI11" i="1"/>
  <c r="HL10" i="1"/>
  <c r="ID11" i="1"/>
  <c r="IF11" i="1"/>
  <c r="IE71" i="1"/>
  <c r="IE10" i="1"/>
  <c r="HZ11" i="1"/>
  <c r="IZ71" i="1"/>
  <c r="IZ10" i="1"/>
  <c r="IN11" i="1"/>
  <c r="IV51" i="1"/>
  <c r="AN51" i="1" s="1"/>
  <c r="DX178" i="5"/>
  <c r="DX81" i="5" s="1"/>
  <c r="FG97" i="4"/>
  <c r="S97" i="4" s="1"/>
  <c r="FR98" i="4"/>
  <c r="FR109" i="4"/>
  <c r="IV50" i="1"/>
  <c r="AN50" i="1" s="1"/>
  <c r="DX168" i="5"/>
  <c r="IV62" i="1"/>
  <c r="FU97" i="4"/>
  <c r="IS71" i="1"/>
  <c r="JJ62" i="1"/>
  <c r="FS109" i="4"/>
  <c r="FS98" i="4"/>
  <c r="DY168" i="5"/>
  <c r="FS108" i="4"/>
  <c r="DZ168" i="5"/>
  <c r="FT98" i="4"/>
  <c r="DQ90" i="4"/>
  <c r="M90" i="4" s="1"/>
  <c r="FT109" i="4"/>
  <c r="DZ178" i="5"/>
  <c r="DZ81" i="5" s="1"/>
  <c r="CV168" i="5"/>
  <c r="EW109" i="4"/>
  <c r="CO178" i="5"/>
  <c r="CO81" i="5" s="1"/>
  <c r="FD98" i="4"/>
  <c r="DJ178" i="5"/>
  <c r="DJ81" i="5" s="1"/>
  <c r="FD109" i="4"/>
  <c r="DJ168" i="5"/>
  <c r="FG90" i="4"/>
  <c r="S90" i="4" s="1"/>
  <c r="FG110" i="4"/>
  <c r="S110" i="4" s="1"/>
  <c r="ES90" i="4"/>
  <c r="Q90" i="4" s="1"/>
  <c r="ES110" i="4"/>
  <c r="FN90" i="4"/>
  <c r="T90" i="4" s="1"/>
  <c r="FN110" i="4"/>
  <c r="T110" i="4" s="1"/>
  <c r="EL90" i="4"/>
  <c r="P90" i="4" s="1"/>
  <c r="EL110" i="4"/>
  <c r="P110" i="4" s="1"/>
  <c r="EZ90" i="4"/>
  <c r="R90" i="4" s="1"/>
  <c r="EZ110" i="4"/>
  <c r="DX90" i="4"/>
  <c r="N90" i="4" s="1"/>
  <c r="DX110" i="4"/>
  <c r="N110" i="4" s="1"/>
  <c r="EE90" i="4"/>
  <c r="O90" i="4" s="1"/>
  <c r="EE110" i="4"/>
  <c r="O110" i="4" s="1"/>
  <c r="FE108" i="4"/>
  <c r="EQ108" i="4"/>
  <c r="FC108" i="4"/>
  <c r="EY108" i="4"/>
  <c r="EH108" i="4"/>
  <c r="EK108" i="4"/>
  <c r="DW108" i="4"/>
  <c r="FF108" i="4"/>
  <c r="ER108" i="4"/>
  <c r="EA108" i="4"/>
  <c r="EX108" i="4"/>
  <c r="EB108" i="4"/>
  <c r="ED108" i="4"/>
  <c r="FL108" i="4"/>
  <c r="EZ108" i="4"/>
  <c r="FD108" i="4"/>
  <c r="EV108" i="4"/>
  <c r="EJ108" i="4"/>
  <c r="FK108" i="4"/>
  <c r="FJ108" i="4"/>
  <c r="FQ108" i="4"/>
  <c r="EC108" i="4"/>
  <c r="FM108" i="4"/>
  <c r="DQ108" i="4"/>
  <c r="EO108" i="4"/>
  <c r="CO168" i="5"/>
  <c r="DC168" i="5"/>
  <c r="ES126" i="4"/>
  <c r="Q126" i="4" s="1"/>
  <c r="ES123" i="4"/>
  <c r="DQ126" i="4"/>
  <c r="M126" i="4" s="1"/>
  <c r="DQ123" i="4"/>
  <c r="FG126" i="4"/>
  <c r="S126" i="4" s="1"/>
  <c r="FG123" i="4"/>
  <c r="EZ126" i="4"/>
  <c r="R126" i="4" s="1"/>
  <c r="EZ123" i="4"/>
  <c r="EL126" i="4"/>
  <c r="P126" i="4" s="1"/>
  <c r="EL123" i="4"/>
  <c r="DX126" i="4"/>
  <c r="N126" i="4" s="1"/>
  <c r="DX123" i="4"/>
  <c r="EE126" i="4"/>
  <c r="O126" i="4" s="1"/>
  <c r="EE123" i="4"/>
  <c r="EI98" i="4"/>
  <c r="EI109" i="4"/>
  <c r="DF177" i="5"/>
  <c r="EZ87" i="4"/>
  <c r="R87" i="4" s="1"/>
  <c r="EZ122" i="4"/>
  <c r="R122" i="4" s="1"/>
  <c r="EZ125" i="4"/>
  <c r="R125" i="4" s="1"/>
  <c r="CR177" i="5"/>
  <c r="EL122" i="4"/>
  <c r="P122" i="4" s="1"/>
  <c r="EL87" i="4"/>
  <c r="P87" i="4" s="1"/>
  <c r="EL125" i="4"/>
  <c r="P125" i="4" s="1"/>
  <c r="CD177" i="5"/>
  <c r="DX87" i="4"/>
  <c r="N87" i="4" s="1"/>
  <c r="DX122" i="4"/>
  <c r="N122" i="4" s="1"/>
  <c r="DX125" i="4"/>
  <c r="N125" i="4" s="1"/>
  <c r="CK177" i="5"/>
  <c r="EE122" i="4"/>
  <c r="O122" i="4" s="1"/>
  <c r="EE87" i="4"/>
  <c r="O87" i="4" s="1"/>
  <c r="EE125" i="4"/>
  <c r="O125" i="4" s="1"/>
  <c r="DC178" i="5"/>
  <c r="DC81" i="5" s="1"/>
  <c r="ES87" i="4"/>
  <c r="Q87" i="4" s="1"/>
  <c r="ES122" i="4"/>
  <c r="Q122" i="4" s="1"/>
  <c r="CY177" i="5"/>
  <c r="ES125" i="4"/>
  <c r="Q125" i="4" s="1"/>
  <c r="DQ87" i="4"/>
  <c r="M87" i="4" s="1"/>
  <c r="BW177" i="5"/>
  <c r="DQ122" i="4"/>
  <c r="M122" i="4" s="1"/>
  <c r="DQ125" i="4"/>
  <c r="M125" i="4" s="1"/>
  <c r="DM177" i="5"/>
  <c r="FG87" i="4"/>
  <c r="S87" i="4" s="1"/>
  <c r="FG122" i="4"/>
  <c r="S122" i="4" s="1"/>
  <c r="FG125" i="4"/>
  <c r="S125" i="4" s="1"/>
  <c r="CV178" i="5"/>
  <c r="CV81" i="5" s="1"/>
  <c r="HM51" i="1"/>
  <c r="AI51" i="1" s="1"/>
  <c r="HM62" i="1"/>
  <c r="EW98" i="4"/>
  <c r="EP109" i="4"/>
  <c r="EP98" i="4"/>
  <c r="IL68" i="1"/>
  <c r="HW68" i="1"/>
  <c r="ID68" i="1"/>
  <c r="JC62" i="1"/>
  <c r="FN97" i="4"/>
  <c r="T97" i="4" s="1"/>
  <c r="JC50" i="1"/>
  <c r="AO50" i="1" s="1"/>
  <c r="HP71" i="1"/>
  <c r="HW71" i="1"/>
  <c r="IY71" i="1"/>
  <c r="HT62" i="1"/>
  <c r="EE97" i="4"/>
  <c r="O97" i="4" s="1"/>
  <c r="HT50" i="1"/>
  <c r="AJ50" i="1" s="1"/>
  <c r="DX97" i="4"/>
  <c r="N97" i="4" s="1"/>
  <c r="HM50" i="1"/>
  <c r="AI50" i="1" s="1"/>
  <c r="HL71" i="1"/>
  <c r="CW168" i="5"/>
  <c r="CW178" i="5"/>
  <c r="CW81" i="5" s="1"/>
  <c r="EQ98" i="4"/>
  <c r="EQ109" i="4"/>
  <c r="DE168" i="5"/>
  <c r="DE178" i="5"/>
  <c r="DE81" i="5" s="1"/>
  <c r="EY98" i="4"/>
  <c r="EY109" i="4"/>
  <c r="DB168" i="5"/>
  <c r="DB178" i="5"/>
  <c r="DB81" i="5" s="1"/>
  <c r="EV98" i="4"/>
  <c r="EV109" i="4"/>
  <c r="CN168" i="5"/>
  <c r="CN178" i="5"/>
  <c r="CN81" i="5" s="1"/>
  <c r="EH98" i="4"/>
  <c r="EH109" i="4"/>
  <c r="CQ168" i="5"/>
  <c r="CQ178" i="5"/>
  <c r="CQ81" i="5" s="1"/>
  <c r="EK98" i="4"/>
  <c r="EK109" i="4"/>
  <c r="CX168" i="5"/>
  <c r="CX178" i="5"/>
  <c r="CX81" i="5" s="1"/>
  <c r="ER109" i="4"/>
  <c r="ER98" i="4"/>
  <c r="DP178" i="5"/>
  <c r="DP81" i="5" s="1"/>
  <c r="DP168" i="5"/>
  <c r="FJ98" i="4"/>
  <c r="FJ109" i="4"/>
  <c r="CG168" i="5"/>
  <c r="CG178" i="5"/>
  <c r="CG81" i="5" s="1"/>
  <c r="EA109" i="4"/>
  <c r="EA98" i="4"/>
  <c r="DD168" i="5"/>
  <c r="DD178" i="5"/>
  <c r="DD81" i="5" s="1"/>
  <c r="EX109" i="4"/>
  <c r="EX98" i="4"/>
  <c r="CH168" i="5"/>
  <c r="CH178" i="5"/>
  <c r="CH81" i="5" s="1"/>
  <c r="EB98" i="4"/>
  <c r="EB109" i="4"/>
  <c r="CI178" i="5"/>
  <c r="CI81" i="5" s="1"/>
  <c r="CI168" i="5"/>
  <c r="EC98" i="4"/>
  <c r="EC109" i="4"/>
  <c r="DS168" i="5"/>
  <c r="DS178" i="5"/>
  <c r="DS81" i="5" s="1"/>
  <c r="FM98" i="4"/>
  <c r="FM109" i="4"/>
  <c r="BW168" i="5"/>
  <c r="BW178" i="5"/>
  <c r="DQ98" i="4"/>
  <c r="M98" i="4" s="1"/>
  <c r="DQ109" i="4"/>
  <c r="DF168" i="5"/>
  <c r="DF178" i="5"/>
  <c r="EZ98" i="4"/>
  <c r="R98" i="4" s="1"/>
  <c r="EZ109" i="4"/>
  <c r="IA62" i="1"/>
  <c r="EL97" i="4"/>
  <c r="P97" i="4" s="1"/>
  <c r="IA50" i="1"/>
  <c r="AK50" i="1" s="1"/>
  <c r="HX71" i="1"/>
  <c r="DK168" i="5"/>
  <c r="DK178" i="5"/>
  <c r="DK81" i="5" s="1"/>
  <c r="FE98" i="4"/>
  <c r="FE109" i="4"/>
  <c r="DI168" i="5"/>
  <c r="DI178" i="5"/>
  <c r="DI81" i="5" s="1"/>
  <c r="FC109" i="4"/>
  <c r="FC98" i="4"/>
  <c r="CP168" i="5"/>
  <c r="CP178" i="5"/>
  <c r="CP81" i="5" s="1"/>
  <c r="EJ109" i="4"/>
  <c r="EJ98" i="4"/>
  <c r="CC178" i="5"/>
  <c r="CC81" i="5" s="1"/>
  <c r="CC168" i="5"/>
  <c r="DW98" i="4"/>
  <c r="DW109" i="4"/>
  <c r="DL178" i="5"/>
  <c r="DL81" i="5" s="1"/>
  <c r="DL168" i="5"/>
  <c r="FF109" i="4"/>
  <c r="FF98" i="4"/>
  <c r="DQ168" i="5"/>
  <c r="DQ178" i="5"/>
  <c r="DQ81" i="5" s="1"/>
  <c r="FK109" i="4"/>
  <c r="FK98" i="4"/>
  <c r="DW168" i="5"/>
  <c r="DW178" i="5"/>
  <c r="DW81" i="5" s="1"/>
  <c r="FQ109" i="4"/>
  <c r="FQ98" i="4"/>
  <c r="CJ168" i="5"/>
  <c r="CJ178" i="5"/>
  <c r="CJ81" i="5" s="1"/>
  <c r="ED109" i="4"/>
  <c r="ED98" i="4"/>
  <c r="DR178" i="5"/>
  <c r="DR81" i="5" s="1"/>
  <c r="DR168" i="5"/>
  <c r="FL109" i="4"/>
  <c r="FL98" i="4"/>
  <c r="CU168" i="5"/>
  <c r="CU178" i="5"/>
  <c r="CU81" i="5" s="1"/>
  <c r="EO109" i="4"/>
  <c r="EO98" i="4"/>
  <c r="HF71" i="1"/>
  <c r="AH71" i="1" s="1"/>
  <c r="HT51" i="1"/>
  <c r="AJ51" i="1" s="1"/>
  <c r="IH51" i="1"/>
  <c r="AL51" i="1" s="1"/>
  <c r="JJ51" i="1"/>
  <c r="AP51" i="1" s="1"/>
  <c r="JC51" i="1"/>
  <c r="AO51" i="1" s="1"/>
  <c r="IA51" i="1"/>
  <c r="AK51" i="1" s="1"/>
  <c r="DT80" i="5" l="1"/>
  <c r="N80" i="5" s="1"/>
  <c r="T123" i="4"/>
  <c r="IH71" i="1"/>
  <c r="AL71" i="1" s="1"/>
  <c r="ES98" i="4"/>
  <c r="Q98" i="4" s="1"/>
  <c r="ES109" i="4"/>
  <c r="IH10" i="1"/>
  <c r="AL10" i="1" s="1"/>
  <c r="CY178" i="5"/>
  <c r="K178" i="5" s="1"/>
  <c r="CY168" i="5"/>
  <c r="AM62" i="1"/>
  <c r="IO71" i="1"/>
  <c r="AM71" i="1" s="1"/>
  <c r="ES108" i="4"/>
  <c r="IO67" i="1"/>
  <c r="AM67" i="1" s="1"/>
  <c r="IZ11" i="1"/>
  <c r="JC67" i="1"/>
  <c r="AO67" i="1" s="1"/>
  <c r="JF11" i="1"/>
  <c r="IE11" i="1"/>
  <c r="HL11" i="1"/>
  <c r="IA67" i="1"/>
  <c r="IH68" i="1" s="1"/>
  <c r="AL68" i="1" s="1"/>
  <c r="IS11" i="1"/>
  <c r="HM67" i="1"/>
  <c r="AI67" i="1" s="1"/>
  <c r="HF68" i="1"/>
  <c r="AH68" i="1" s="1"/>
  <c r="HT67" i="1"/>
  <c r="AJ67" i="1" s="1"/>
  <c r="IV67" i="1"/>
  <c r="AN67" i="1" s="1"/>
  <c r="IA10" i="1"/>
  <c r="AK10" i="1" s="1"/>
  <c r="AK62" i="1"/>
  <c r="HF11" i="1"/>
  <c r="AH11" i="1" s="1"/>
  <c r="AH10" i="1"/>
  <c r="HT10" i="1"/>
  <c r="AJ10" i="1" s="1"/>
  <c r="AJ62" i="1"/>
  <c r="JJ10" i="1"/>
  <c r="AP10" i="1" s="1"/>
  <c r="AP62" i="1"/>
  <c r="JJ67" i="1"/>
  <c r="AP67" i="1" s="1"/>
  <c r="AP65" i="1"/>
  <c r="JC10" i="1"/>
  <c r="AO10" i="1" s="1"/>
  <c r="AO62" i="1"/>
  <c r="HM10" i="1"/>
  <c r="AI62" i="1"/>
  <c r="IV10" i="1"/>
  <c r="AN62" i="1"/>
  <c r="CR80" i="5"/>
  <c r="J80" i="5" s="1"/>
  <c r="J177" i="5"/>
  <c r="L168" i="5"/>
  <c r="CY80" i="5"/>
  <c r="K80" i="5" s="1"/>
  <c r="K177" i="5"/>
  <c r="CD80" i="5"/>
  <c r="H80" i="5" s="1"/>
  <c r="H177" i="5"/>
  <c r="BW81" i="5"/>
  <c r="G81" i="5" s="1"/>
  <c r="G178" i="5"/>
  <c r="G168" i="5"/>
  <c r="DM80" i="5"/>
  <c r="M80" i="5" s="1"/>
  <c r="M177" i="5"/>
  <c r="CK80" i="5"/>
  <c r="I80" i="5" s="1"/>
  <c r="I177" i="5"/>
  <c r="DF80" i="5"/>
  <c r="L80" i="5" s="1"/>
  <c r="L177" i="5"/>
  <c r="DF81" i="5"/>
  <c r="L81" i="5" s="1"/>
  <c r="L178" i="5"/>
  <c r="BW80" i="5"/>
  <c r="G80" i="5" s="1"/>
  <c r="G177" i="5"/>
  <c r="R109" i="4"/>
  <c r="S123" i="4"/>
  <c r="M123" i="4"/>
  <c r="R110" i="4"/>
  <c r="Q109" i="4"/>
  <c r="M109" i="4"/>
  <c r="O123" i="4"/>
  <c r="Q123" i="4"/>
  <c r="FU108" i="4"/>
  <c r="U97" i="4"/>
  <c r="N123" i="4"/>
  <c r="R108" i="4"/>
  <c r="P123" i="4"/>
  <c r="M108" i="4"/>
  <c r="Q110" i="4"/>
  <c r="R123" i="4"/>
  <c r="FU109" i="4"/>
  <c r="IV71" i="1"/>
  <c r="AN71" i="1" s="1"/>
  <c r="FG108" i="4"/>
  <c r="JG11" i="1"/>
  <c r="IL11" i="1"/>
  <c r="HS11" i="1"/>
  <c r="FG109" i="4"/>
  <c r="FG98" i="4"/>
  <c r="S98" i="4" s="1"/>
  <c r="DM178" i="5"/>
  <c r="DM168" i="5"/>
  <c r="EA178" i="5"/>
  <c r="EA168" i="5"/>
  <c r="JJ71" i="1"/>
  <c r="AP71" i="1" s="1"/>
  <c r="JC71" i="1"/>
  <c r="AO71" i="1" s="1"/>
  <c r="HM71" i="1"/>
  <c r="AI71" i="1" s="1"/>
  <c r="EL108" i="4"/>
  <c r="DX108" i="4"/>
  <c r="EE108" i="4"/>
  <c r="FN108" i="4"/>
  <c r="IA71" i="1"/>
  <c r="AK71" i="1" s="1"/>
  <c r="CD168" i="5"/>
  <c r="CD178" i="5"/>
  <c r="DX98" i="4"/>
  <c r="N98" i="4" s="1"/>
  <c r="DX109" i="4"/>
  <c r="CK168" i="5"/>
  <c r="CK178" i="5"/>
  <c r="EE98" i="4"/>
  <c r="O98" i="4" s="1"/>
  <c r="EE109" i="4"/>
  <c r="CR168" i="5"/>
  <c r="CR178" i="5"/>
  <c r="EL98" i="4"/>
  <c r="P98" i="4" s="1"/>
  <c r="EL109" i="4"/>
  <c r="HT71" i="1"/>
  <c r="AJ71" i="1" s="1"/>
  <c r="DT168" i="5"/>
  <c r="DT178" i="5"/>
  <c r="FN109" i="4"/>
  <c r="FN98" i="4"/>
  <c r="T98" i="4" s="1"/>
  <c r="K168" i="5" l="1"/>
  <c r="CY81" i="5"/>
  <c r="K81" i="5" s="1"/>
  <c r="IO11" i="1"/>
  <c r="AM11" i="1" s="1"/>
  <c r="Q108" i="4"/>
  <c r="IO68" i="1"/>
  <c r="AM68" i="1" s="1"/>
  <c r="HM68" i="1"/>
  <c r="AI68" i="1" s="1"/>
  <c r="HT68" i="1"/>
  <c r="AJ68" i="1" s="1"/>
  <c r="IH11" i="1"/>
  <c r="AL11" i="1" s="1"/>
  <c r="AK67" i="1"/>
  <c r="IA68" i="1"/>
  <c r="AK68" i="1" s="1"/>
  <c r="IA11" i="1"/>
  <c r="AK11" i="1" s="1"/>
  <c r="HT11" i="1"/>
  <c r="AJ11" i="1" s="1"/>
  <c r="IV68" i="1"/>
  <c r="AN68" i="1" s="1"/>
  <c r="JC11" i="1"/>
  <c r="AO11" i="1" s="1"/>
  <c r="JC68" i="1"/>
  <c r="AO68" i="1" s="1"/>
  <c r="JJ11" i="1"/>
  <c r="AP11" i="1" s="1"/>
  <c r="IV11" i="1"/>
  <c r="AN11" i="1" s="1"/>
  <c r="AN10" i="1"/>
  <c r="JJ68" i="1"/>
  <c r="AP68" i="1" s="1"/>
  <c r="HM11" i="1"/>
  <c r="AI11" i="1" s="1"/>
  <c r="AI10" i="1"/>
  <c r="CK81" i="5"/>
  <c r="I81" i="5" s="1"/>
  <c r="I178" i="5"/>
  <c r="I168" i="5"/>
  <c r="CR81" i="5"/>
  <c r="J81" i="5" s="1"/>
  <c r="J178" i="5"/>
  <c r="J168" i="5"/>
  <c r="CD81" i="5"/>
  <c r="H81" i="5" s="1"/>
  <c r="H178" i="5"/>
  <c r="M168" i="5"/>
  <c r="H168" i="5"/>
  <c r="DM81" i="5"/>
  <c r="M81" i="5" s="1"/>
  <c r="M178" i="5"/>
  <c r="N168" i="5"/>
  <c r="O168" i="5"/>
  <c r="EA81" i="5"/>
  <c r="O81" i="5" s="1"/>
  <c r="O178" i="5"/>
  <c r="DT81" i="5"/>
  <c r="N81" i="5" s="1"/>
  <c r="N178" i="5"/>
  <c r="T108" i="4"/>
  <c r="U109" i="4"/>
  <c r="S109" i="4"/>
  <c r="N109" i="4"/>
  <c r="O109" i="4"/>
  <c r="T109" i="4"/>
  <c r="O108" i="4"/>
  <c r="U108" i="4"/>
  <c r="N108" i="4"/>
  <c r="P108" i="4"/>
  <c r="P109" i="4"/>
  <c r="S108" i="4"/>
  <c r="JM43" i="1"/>
  <c r="FX89" i="4" s="1"/>
  <c r="JM36" i="1"/>
  <c r="JO43" i="1"/>
  <c r="JV44" i="1" s="1"/>
  <c r="JO36" i="1"/>
  <c r="JN43" i="1"/>
  <c r="JN47" i="1" s="1"/>
  <c r="JN36" i="1"/>
  <c r="JP43" i="1"/>
  <c r="JP36" i="1"/>
  <c r="JT43" i="1"/>
  <c r="JT36" i="1"/>
  <c r="JO47" i="1" l="1"/>
  <c r="JT47" i="1"/>
  <c r="KA44" i="1"/>
  <c r="JP47" i="1"/>
  <c r="JW44" i="1"/>
  <c r="JM47" i="1"/>
  <c r="FX90" i="4"/>
  <c r="FX110" i="4"/>
  <c r="JQ43" i="1"/>
  <c r="JQ36" i="1"/>
  <c r="FZ89" i="4"/>
  <c r="GA89" i="4"/>
  <c r="GE89" i="4"/>
  <c r="GE90" i="4" s="1"/>
  <c r="FY89" i="4"/>
  <c r="JT44" i="1"/>
  <c r="JT49" i="1"/>
  <c r="JO49" i="1"/>
  <c r="JO44" i="1"/>
  <c r="JM49" i="1"/>
  <c r="JM44" i="1"/>
  <c r="JP49" i="1"/>
  <c r="JP44" i="1"/>
  <c r="JN44" i="1"/>
  <c r="JN49" i="1"/>
  <c r="JM65" i="1" l="1"/>
  <c r="JM67" i="1" s="1"/>
  <c r="JM68" i="1" s="1"/>
  <c r="JV51" i="1"/>
  <c r="JW51" i="1"/>
  <c r="JN65" i="1"/>
  <c r="JN67" i="1" s="1"/>
  <c r="JN68" i="1" s="1"/>
  <c r="JX44" i="1"/>
  <c r="AQ43" i="1"/>
  <c r="KA51" i="1"/>
  <c r="JT65" i="1"/>
  <c r="FY90" i="4"/>
  <c r="FY110" i="4"/>
  <c r="FZ90" i="4"/>
  <c r="FZ110" i="4"/>
  <c r="GA90" i="4"/>
  <c r="GA110" i="4"/>
  <c r="JO50" i="1"/>
  <c r="JO65" i="1"/>
  <c r="JO67" i="1" s="1"/>
  <c r="JP50" i="1"/>
  <c r="JP65" i="1"/>
  <c r="JP67" i="1" s="1"/>
  <c r="FZ97" i="4"/>
  <c r="GA97" i="4"/>
  <c r="JM50" i="1"/>
  <c r="FX97" i="4"/>
  <c r="FY97" i="4"/>
  <c r="JT50" i="1"/>
  <c r="GB89" i="4"/>
  <c r="V89" i="4" s="1"/>
  <c r="JQ47" i="1"/>
  <c r="AQ47" i="1" s="1"/>
  <c r="GE97" i="4"/>
  <c r="JN50" i="1"/>
  <c r="JN62" i="1"/>
  <c r="JN10" i="1" s="1"/>
  <c r="JP62" i="1"/>
  <c r="JP10" i="1" s="1"/>
  <c r="JM62" i="1"/>
  <c r="JO62" i="1"/>
  <c r="JO10" i="1" s="1"/>
  <c r="JT62" i="1"/>
  <c r="JQ49" i="1"/>
  <c r="JQ44" i="1"/>
  <c r="AQ44" i="1" s="1"/>
  <c r="JT51" i="1"/>
  <c r="JN51" i="1"/>
  <c r="JP51" i="1"/>
  <c r="JM51" i="1"/>
  <c r="JO51" i="1"/>
  <c r="JN11" i="1" l="1"/>
  <c r="JQ65" i="1"/>
  <c r="AQ65" i="1" s="1"/>
  <c r="AQ49" i="1"/>
  <c r="AR44" i="1"/>
  <c r="JO11" i="1"/>
  <c r="JV11" i="1"/>
  <c r="JT10" i="1"/>
  <c r="JP11" i="1"/>
  <c r="JW11" i="1"/>
  <c r="JM71" i="1"/>
  <c r="JM10" i="1"/>
  <c r="JT67" i="1"/>
  <c r="JT68" i="1" s="1"/>
  <c r="JT71" i="1"/>
  <c r="JP68" i="1"/>
  <c r="JW68" i="1"/>
  <c r="JP71" i="1"/>
  <c r="JO71" i="1"/>
  <c r="JO68" i="1"/>
  <c r="JV68" i="1"/>
  <c r="GB90" i="4"/>
  <c r="V90" i="4" s="1"/>
  <c r="GB110" i="4"/>
  <c r="V110" i="4" s="1"/>
  <c r="GE108" i="4"/>
  <c r="FY108" i="4"/>
  <c r="FZ108" i="4"/>
  <c r="FX108" i="4"/>
  <c r="GA108" i="4"/>
  <c r="JN71" i="1"/>
  <c r="GB97" i="4"/>
  <c r="V97" i="4" s="1"/>
  <c r="JQ50" i="1"/>
  <c r="AQ50" i="1" s="1"/>
  <c r="ED168" i="5"/>
  <c r="ED178" i="5"/>
  <c r="ED81" i="5" s="1"/>
  <c r="FX98" i="4"/>
  <c r="FX109" i="4"/>
  <c r="EG168" i="5"/>
  <c r="EG178" i="5"/>
  <c r="EG81" i="5" s="1"/>
  <c r="GA98" i="4"/>
  <c r="GA109" i="4"/>
  <c r="GE109" i="4"/>
  <c r="GE98" i="4"/>
  <c r="EK168" i="5"/>
  <c r="EK178" i="5"/>
  <c r="EK81" i="5" s="1"/>
  <c r="EE168" i="5"/>
  <c r="EE178" i="5"/>
  <c r="EE81" i="5" s="1"/>
  <c r="FY109" i="4"/>
  <c r="FY98" i="4"/>
  <c r="EF168" i="5"/>
  <c r="EF178" i="5"/>
  <c r="EF81" i="5" s="1"/>
  <c r="FZ109" i="4"/>
  <c r="FZ98" i="4"/>
  <c r="JQ62" i="1"/>
  <c r="JQ51" i="1"/>
  <c r="AQ51" i="1" s="1"/>
  <c r="JM11" i="1" l="1"/>
  <c r="JQ67" i="1"/>
  <c r="AQ67" i="1" s="1"/>
  <c r="JQ10" i="1"/>
  <c r="AQ62" i="1"/>
  <c r="JT11" i="1"/>
  <c r="KA11" i="1"/>
  <c r="KA68" i="1"/>
  <c r="GB108" i="4"/>
  <c r="JQ71" i="1"/>
  <c r="AQ71" i="1" s="1"/>
  <c r="EH168" i="5"/>
  <c r="EH178" i="5"/>
  <c r="GB109" i="4"/>
  <c r="GB98" i="4"/>
  <c r="V98" i="4" s="1"/>
  <c r="JQ68" i="1" l="1"/>
  <c r="AQ68" i="1" s="1"/>
  <c r="JQ11" i="1"/>
  <c r="AQ11" i="1" s="1"/>
  <c r="AQ10" i="1"/>
  <c r="P168" i="5"/>
  <c r="EH81" i="5"/>
  <c r="P81" i="5" s="1"/>
  <c r="P178" i="5"/>
  <c r="V108" i="4"/>
  <c r="V109" i="4"/>
  <c r="GH100" i="4" l="1"/>
  <c r="GH101" i="4" l="1"/>
  <c r="KH21" i="1" l="1"/>
  <c r="GL100" i="4" l="1"/>
  <c r="FF13" i="5" l="1"/>
  <c r="GL101" i="4"/>
  <c r="KH23" i="1"/>
  <c r="KF96" i="29" s="1"/>
  <c r="EY16" i="5"/>
  <c r="KH24" i="1" l="1"/>
  <c r="KH25" i="1"/>
  <c r="FB16" i="5"/>
  <c r="FB13" i="5" s="1"/>
  <c r="FF12" i="5"/>
  <c r="KH35" i="1"/>
  <c r="KH13" i="1" l="1"/>
  <c r="FF33" i="5"/>
  <c r="KH36" i="1"/>
  <c r="KH14" i="1" l="1"/>
  <c r="FF163" i="5"/>
  <c r="FF165" i="5" l="1"/>
  <c r="KI20" i="1"/>
  <c r="GM69" i="4"/>
  <c r="KG95" i="29" l="1"/>
  <c r="KG92" i="29"/>
  <c r="KG131" i="29"/>
  <c r="KI7" i="1"/>
  <c r="KG24" i="29"/>
  <c r="KG23" i="29"/>
  <c r="KG22" i="29"/>
  <c r="KG20" i="29"/>
  <c r="KG21" i="29"/>
  <c r="KG19" i="29"/>
  <c r="KG25" i="29"/>
  <c r="ES113" i="5"/>
  <c r="ES116" i="5"/>
  <c r="ES103" i="5"/>
  <c r="ES89" i="5"/>
  <c r="ES124" i="5"/>
  <c r="GT69" i="4"/>
  <c r="KI21" i="1"/>
  <c r="ES16" i="5"/>
  <c r="KP8" i="1" l="1"/>
  <c r="KI8" i="1"/>
  <c r="KG27" i="29"/>
  <c r="EZ113" i="5"/>
  <c r="EZ116" i="5"/>
  <c r="EZ103" i="5"/>
  <c r="EZ124" i="5"/>
  <c r="EZ89" i="5"/>
  <c r="GT78" i="4"/>
  <c r="GT81" i="4"/>
  <c r="GT93" i="4"/>
  <c r="GT105" i="4"/>
  <c r="EZ100" i="5" s="1"/>
  <c r="GM105" i="4"/>
  <c r="ES100" i="5" s="1"/>
  <c r="ES47" i="5"/>
  <c r="GM77" i="4"/>
  <c r="GM78" i="4" s="1"/>
  <c r="GM80" i="4"/>
  <c r="ES106" i="5" s="1"/>
  <c r="ES13" i="5"/>
  <c r="GM83" i="4" l="1"/>
  <c r="GM71" i="4"/>
  <c r="GM74" i="4" s="1"/>
  <c r="ES117" i="5" s="1"/>
  <c r="GM81" i="4"/>
  <c r="FG12" i="5" l="1"/>
  <c r="GM106" i="4"/>
  <c r="ES110" i="5" s="1"/>
  <c r="GM84" i="4"/>
  <c r="GM72" i="4"/>
  <c r="FG33" i="5" l="1"/>
  <c r="GM86" i="4"/>
  <c r="GM75" i="4"/>
  <c r="GM87" i="4" l="1"/>
  <c r="GN69" i="4" l="1"/>
  <c r="KC21" i="1"/>
  <c r="ET113" i="5" l="1"/>
  <c r="ET116" i="5"/>
  <c r="ET103" i="5"/>
  <c r="ET89" i="5"/>
  <c r="ET124" i="5"/>
  <c r="GN105" i="4" l="1"/>
  <c r="ET100" i="5" s="1"/>
  <c r="GN100" i="4"/>
  <c r="GN101" i="4" s="1"/>
  <c r="ET47" i="5"/>
  <c r="GN77" i="4" l="1"/>
  <c r="GN78" i="4" s="1"/>
  <c r="GN80" i="4"/>
  <c r="ET106" i="5" s="1"/>
  <c r="KC23" i="1"/>
  <c r="KA96" i="29" s="1"/>
  <c r="ET13" i="5"/>
  <c r="KC24" i="1" l="1"/>
  <c r="KC25" i="1"/>
  <c r="GS83" i="4"/>
  <c r="GS84" i="4" s="1"/>
  <c r="GL71" i="4"/>
  <c r="GL72" i="4" s="1"/>
  <c r="GO83" i="4"/>
  <c r="GO71" i="4"/>
  <c r="KC35" i="1"/>
  <c r="GN71" i="4"/>
  <c r="GN74" i="4" s="1"/>
  <c r="ET117" i="5" s="1"/>
  <c r="GN83" i="4"/>
  <c r="GN81" i="4"/>
  <c r="KC13" i="1" l="1"/>
  <c r="KC14" i="1"/>
  <c r="GS106" i="4"/>
  <c r="EY110" i="5" s="1"/>
  <c r="GL74" i="4"/>
  <c r="GO106" i="4"/>
  <c r="EU110" i="5" s="1"/>
  <c r="GO84" i="4"/>
  <c r="GO72" i="4"/>
  <c r="GO74" i="4"/>
  <c r="EU117" i="5" s="1"/>
  <c r="KC36" i="1"/>
  <c r="GN72" i="4"/>
  <c r="GN106" i="4"/>
  <c r="ET110" i="5" s="1"/>
  <c r="GN84" i="4"/>
  <c r="ER117" i="5" l="1"/>
  <c r="GL86" i="4"/>
  <c r="ER177" i="5" s="1"/>
  <c r="ER80" i="5" s="1"/>
  <c r="GL75" i="4"/>
  <c r="GO75" i="4"/>
  <c r="GO86" i="4"/>
  <c r="GN75" i="4"/>
  <c r="GN86" i="4"/>
  <c r="GL125" i="4" l="1"/>
  <c r="GL122" i="4"/>
  <c r="GL87" i="4"/>
  <c r="GL126" i="4"/>
  <c r="GL123" i="4"/>
  <c r="GO123" i="4"/>
  <c r="GO125" i="4"/>
  <c r="GO87" i="4"/>
  <c r="GO122" i="4"/>
  <c r="GN87" i="4"/>
  <c r="KD21" i="1" l="1"/>
  <c r="GP43" i="4"/>
  <c r="EV112" i="5" l="1"/>
  <c r="X43" i="4"/>
  <c r="GP46" i="4"/>
  <c r="GO100" i="4"/>
  <c r="EV113" i="5" l="1"/>
  <c r="R113" i="5" s="1"/>
  <c r="R112" i="5"/>
  <c r="EV115" i="5"/>
  <c r="EV116" i="5" s="1"/>
  <c r="R116" i="5" s="1"/>
  <c r="X46" i="4"/>
  <c r="GO101" i="4"/>
  <c r="GO126" i="4"/>
  <c r="GT100" i="4"/>
  <c r="GU100" i="4"/>
  <c r="GS100" i="4"/>
  <c r="GP12" i="4"/>
  <c r="GP15" i="4"/>
  <c r="GP100" i="4"/>
  <c r="X100" i="4" s="1"/>
  <c r="EV117" i="5" l="1"/>
  <c r="R117" i="5" s="1"/>
  <c r="R115" i="5"/>
  <c r="X12" i="4"/>
  <c r="EV102" i="5"/>
  <c r="X15" i="4"/>
  <c r="GT101" i="4"/>
  <c r="GS101" i="4"/>
  <c r="GP105" i="4"/>
  <c r="GP101" i="4"/>
  <c r="X101" i="4" s="1"/>
  <c r="GP126" i="4"/>
  <c r="X126" i="4" s="1"/>
  <c r="EZ47" i="5"/>
  <c r="EY47" i="5"/>
  <c r="GP37" i="4"/>
  <c r="EV47" i="5"/>
  <c r="EV103" i="5" l="1"/>
  <c r="R103" i="5" s="1"/>
  <c r="R102" i="5"/>
  <c r="R47" i="5"/>
  <c r="EV100" i="5"/>
  <c r="R100" i="5" s="1"/>
  <c r="X105" i="4"/>
  <c r="X37" i="4"/>
  <c r="GP13" i="4"/>
  <c r="EV105" i="5" l="1"/>
  <c r="X13" i="4"/>
  <c r="GP33" i="4"/>
  <c r="X33" i="4" s="1"/>
  <c r="EV106" i="5" l="1"/>
  <c r="R106" i="5" s="1"/>
  <c r="R105" i="5"/>
  <c r="GP106" i="4"/>
  <c r="EV110" i="5" l="1"/>
  <c r="R110" i="5" s="1"/>
  <c r="X106" i="4"/>
  <c r="EY26" i="5"/>
  <c r="EY13" i="5" l="1"/>
  <c r="EY12" i="5" l="1"/>
  <c r="EZ12" i="5"/>
  <c r="EZ33" i="5" l="1"/>
  <c r="JJ50" i="1"/>
  <c r="AP50" i="1" s="1"/>
  <c r="FU69" i="4"/>
  <c r="U69" i="4" s="1"/>
  <c r="EA103" i="5" l="1"/>
  <c r="O103" i="5" s="1"/>
  <c r="EA113" i="5"/>
  <c r="O113" i="5" s="1"/>
  <c r="EA116" i="5"/>
  <c r="O116" i="5" s="1"/>
  <c r="EA124" i="5"/>
  <c r="EA89" i="5"/>
  <c r="O89" i="5" s="1"/>
  <c r="EZ163" i="5"/>
  <c r="FU101" i="4"/>
  <c r="U101" i="4" s="1"/>
  <c r="FU74" i="4"/>
  <c r="FU84" i="4"/>
  <c r="U84" i="4" s="1"/>
  <c r="FU81" i="4"/>
  <c r="U81" i="4" s="1"/>
  <c r="FU90" i="4"/>
  <c r="U90" i="4" s="1"/>
  <c r="FU113" i="4"/>
  <c r="U113" i="4" s="1"/>
  <c r="FU98" i="4"/>
  <c r="U98" i="4" s="1"/>
  <c r="FU105" i="4"/>
  <c r="FU93" i="4"/>
  <c r="U93" i="4" s="1"/>
  <c r="FU78" i="4"/>
  <c r="U78" i="4" s="1"/>
  <c r="FU72" i="4"/>
  <c r="U72" i="4" s="1"/>
  <c r="O124" i="5" l="1"/>
  <c r="EA117" i="5"/>
  <c r="O117" i="5" s="1"/>
  <c r="U74" i="4"/>
  <c r="EA100" i="5"/>
  <c r="O100" i="5" s="1"/>
  <c r="U105" i="4"/>
  <c r="FU110" i="4"/>
  <c r="U110" i="4" s="1"/>
  <c r="FU86" i="4"/>
  <c r="FU75" i="4"/>
  <c r="U75" i="4" s="1"/>
  <c r="FU125" i="4" l="1"/>
  <c r="U125" i="4" s="1"/>
  <c r="U86" i="4"/>
  <c r="FU87" i="4"/>
  <c r="U87" i="4" s="1"/>
  <c r="FU126" i="4"/>
  <c r="U126" i="4" s="1"/>
  <c r="FU123" i="4"/>
  <c r="EA177" i="5"/>
  <c r="FU122" i="4"/>
  <c r="U122" i="4" s="1"/>
  <c r="GP21" i="4"/>
  <c r="EA80" i="5" l="1"/>
  <c r="O80" i="5" s="1"/>
  <c r="O177" i="5"/>
  <c r="X21" i="4"/>
  <c r="U123" i="4"/>
  <c r="GF100" i="4"/>
  <c r="GF101" i="4" s="1"/>
  <c r="GI77" i="4"/>
  <c r="W77" i="4" s="1"/>
  <c r="GF77" i="4"/>
  <c r="GF78" i="4" s="1"/>
  <c r="GI78" i="4" l="1"/>
  <c r="W78" i="4" s="1"/>
  <c r="GI86" i="4"/>
  <c r="W86" i="4" s="1"/>
  <c r="EO177" i="5" l="1"/>
  <c r="GI122" i="4"/>
  <c r="W122" i="4" s="1"/>
  <c r="GI125" i="4"/>
  <c r="W125" i="4" s="1"/>
  <c r="GI87" i="4"/>
  <c r="W87" i="4" s="1"/>
  <c r="GI123" i="4"/>
  <c r="W123" i="4" s="1"/>
  <c r="EO80" i="5" l="1"/>
  <c r="Q80" i="5" s="1"/>
  <c r="Q177" i="5"/>
  <c r="JU23" i="1"/>
  <c r="JS96" i="29" s="1"/>
  <c r="JU25" i="1" l="1"/>
  <c r="JU24" i="1"/>
  <c r="KB25" i="1"/>
  <c r="GL83" i="4"/>
  <c r="GH71" i="4"/>
  <c r="GH83" i="4"/>
  <c r="GG83" i="4"/>
  <c r="GG71" i="4"/>
  <c r="GF83" i="4"/>
  <c r="GE71" i="4"/>
  <c r="GF71" i="4"/>
  <c r="JU35" i="1"/>
  <c r="JU13" i="1" l="1"/>
  <c r="JU14" i="1"/>
  <c r="KB14" i="1"/>
  <c r="KB36" i="1"/>
  <c r="GH72" i="4"/>
  <c r="GH74" i="4"/>
  <c r="EN117" i="5" s="1"/>
  <c r="GH84" i="4"/>
  <c r="GH106" i="4"/>
  <c r="EN110" i="5" s="1"/>
  <c r="GL106" i="4"/>
  <c r="ER110" i="5" s="1"/>
  <c r="GL84" i="4"/>
  <c r="GG74" i="4"/>
  <c r="EM117" i="5" s="1"/>
  <c r="GG72" i="4"/>
  <c r="GG106" i="4"/>
  <c r="EM110" i="5" s="1"/>
  <c r="GG84" i="4"/>
  <c r="JU36" i="1"/>
  <c r="JU43" i="1"/>
  <c r="GF72" i="4"/>
  <c r="GF74" i="4"/>
  <c r="EL117" i="5" s="1"/>
  <c r="GE72" i="4"/>
  <c r="GE74" i="4"/>
  <c r="EK117" i="5" s="1"/>
  <c r="GF106" i="4"/>
  <c r="EL110" i="5" s="1"/>
  <c r="GF84" i="4"/>
  <c r="KB44" i="1" l="1"/>
  <c r="GG89" i="4"/>
  <c r="GG110" i="4" s="1"/>
  <c r="GL89" i="4"/>
  <c r="GL110" i="4" s="1"/>
  <c r="GH89" i="4"/>
  <c r="GH90" i="4" s="1"/>
  <c r="GH75" i="4"/>
  <c r="GH86" i="4"/>
  <c r="GG75" i="4"/>
  <c r="GG86" i="4"/>
  <c r="GE110" i="4"/>
  <c r="GF86" i="4"/>
  <c r="GF75" i="4"/>
  <c r="JU44" i="1"/>
  <c r="GF89" i="4"/>
  <c r="GF90" i="4" s="1"/>
  <c r="JU47" i="1"/>
  <c r="JU49" i="1"/>
  <c r="GE75" i="4"/>
  <c r="GE86" i="4"/>
  <c r="KB51" i="1" l="1"/>
  <c r="GG90" i="4"/>
  <c r="GL97" i="4"/>
  <c r="GH97" i="4"/>
  <c r="GH110" i="4"/>
  <c r="GL90" i="4"/>
  <c r="GH87" i="4"/>
  <c r="GH123" i="4"/>
  <c r="GH122" i="4"/>
  <c r="GH125" i="4"/>
  <c r="EN177" i="5"/>
  <c r="EN80" i="5" s="1"/>
  <c r="GH126" i="4"/>
  <c r="GG97" i="4"/>
  <c r="EM168" i="5" s="1"/>
  <c r="JX49" i="1"/>
  <c r="AR49" i="1" s="1"/>
  <c r="GG125" i="4"/>
  <c r="GG123" i="4"/>
  <c r="GG87" i="4"/>
  <c r="GG122" i="4"/>
  <c r="EM177" i="5"/>
  <c r="EM80" i="5" s="1"/>
  <c r="GF110" i="4"/>
  <c r="GE123" i="4"/>
  <c r="GE122" i="4"/>
  <c r="GE126" i="4"/>
  <c r="GE125" i="4"/>
  <c r="GE87" i="4"/>
  <c r="EK177" i="5"/>
  <c r="EK80" i="5" s="1"/>
  <c r="GF125" i="4"/>
  <c r="GF126" i="4"/>
  <c r="GF122" i="4"/>
  <c r="GF123" i="4"/>
  <c r="GF87" i="4"/>
  <c r="EL177" i="5"/>
  <c r="EL80" i="5" s="1"/>
  <c r="JU51" i="1"/>
  <c r="JU50" i="1"/>
  <c r="GF97" i="4"/>
  <c r="JU65" i="1"/>
  <c r="JU62" i="1"/>
  <c r="JU10" i="1" l="1"/>
  <c r="JU67" i="1"/>
  <c r="JU68" i="1" s="1"/>
  <c r="GI97" i="4"/>
  <c r="GG109" i="4"/>
  <c r="EM178" i="5"/>
  <c r="EM81" i="5" s="1"/>
  <c r="GG98" i="4"/>
  <c r="GG108" i="4"/>
  <c r="GH98" i="4"/>
  <c r="GH109" i="4"/>
  <c r="EN168" i="5"/>
  <c r="EN178" i="5"/>
  <c r="EN81" i="5" s="1"/>
  <c r="GH108" i="4"/>
  <c r="GL109" i="4"/>
  <c r="GL98" i="4"/>
  <c r="ER168" i="5"/>
  <c r="ER178" i="5"/>
  <c r="ER81" i="5" s="1"/>
  <c r="JX62" i="1"/>
  <c r="JX50" i="1"/>
  <c r="JX65" i="1"/>
  <c r="AR65" i="1" s="1"/>
  <c r="JX51" i="1"/>
  <c r="JU71" i="1"/>
  <c r="EL168" i="5"/>
  <c r="GF108" i="4"/>
  <c r="GF109" i="4"/>
  <c r="GF98" i="4"/>
  <c r="EL178" i="5"/>
  <c r="EL81" i="5" s="1"/>
  <c r="AR50" i="1" l="1"/>
  <c r="AR51" i="1"/>
  <c r="JX10" i="1"/>
  <c r="AR62" i="1"/>
  <c r="GI98" i="4"/>
  <c r="W98" i="4" s="1"/>
  <c r="W97" i="4"/>
  <c r="EO168" i="5"/>
  <c r="Q168" i="5" s="1"/>
  <c r="JU11" i="1"/>
  <c r="KB11" i="1"/>
  <c r="GI108" i="4"/>
  <c r="W108" i="4" s="1"/>
  <c r="GI109" i="4"/>
  <c r="W109" i="4" s="1"/>
  <c r="EO178" i="5"/>
  <c r="JX67" i="1"/>
  <c r="AR67" i="1" s="1"/>
  <c r="KB68" i="1"/>
  <c r="JX71" i="1"/>
  <c r="AR71" i="1" l="1"/>
  <c r="JX11" i="1"/>
  <c r="AR11" i="1" s="1"/>
  <c r="AR10" i="1"/>
  <c r="EO81" i="5"/>
  <c r="Q81" i="5" s="1"/>
  <c r="Q178" i="5"/>
  <c r="JX68" i="1"/>
  <c r="GP10" i="4"/>
  <c r="X10" i="4" s="1"/>
  <c r="AR68" i="1" l="1"/>
  <c r="GW10" i="4"/>
  <c r="Y10" i="4" s="1"/>
  <c r="HD10" i="4" l="1"/>
  <c r="Z10" i="4" s="1"/>
  <c r="GM41" i="4" l="1"/>
  <c r="GP20" i="4" l="1"/>
  <c r="X20" i="4" s="1"/>
  <c r="GM92" i="4"/>
  <c r="GN41" i="4"/>
  <c r="GM48" i="4"/>
  <c r="GM122" i="4"/>
  <c r="EV125" i="5" l="1"/>
  <c r="R125" i="5" s="1"/>
  <c r="EV90" i="5"/>
  <c r="R90" i="5" s="1"/>
  <c r="KC43" i="1"/>
  <c r="GM125" i="4"/>
  <c r="GM93" i="4"/>
  <c r="GN92" i="4"/>
  <c r="GO41" i="4"/>
  <c r="GN122" i="4"/>
  <c r="GN48" i="4"/>
  <c r="GM89" i="4"/>
  <c r="GM90" i="4" s="1"/>
  <c r="HK10" i="4" l="1"/>
  <c r="AA10" i="4" s="1"/>
  <c r="GO89" i="4"/>
  <c r="GO90" i="4" s="1"/>
  <c r="KC44" i="1"/>
  <c r="GN89" i="4"/>
  <c r="GN90" i="4" s="1"/>
  <c r="GO48" i="4"/>
  <c r="GP39" i="4"/>
  <c r="EV138" i="5" s="1"/>
  <c r="GP45" i="4"/>
  <c r="EV141" i="5" s="1"/>
  <c r="EV142" i="5" s="1"/>
  <c r="GN125" i="4"/>
  <c r="GN126" i="4"/>
  <c r="GN93" i="4"/>
  <c r="EV147" i="5" l="1"/>
  <c r="EV139" i="5"/>
  <c r="FC145" i="5"/>
  <c r="S145" i="5" s="1"/>
  <c r="R141" i="5"/>
  <c r="X45" i="4"/>
  <c r="R138" i="5"/>
  <c r="X39" i="4"/>
  <c r="R142" i="5"/>
  <c r="GO110" i="4"/>
  <c r="GP41" i="4"/>
  <c r="GP122" i="4"/>
  <c r="X122" i="4" s="1"/>
  <c r="KC47" i="1"/>
  <c r="KC49" i="1"/>
  <c r="GS41" i="4"/>
  <c r="GN95" i="4"/>
  <c r="ET94" i="5" s="1"/>
  <c r="GM95" i="4"/>
  <c r="ES94" i="5" s="1"/>
  <c r="EV144" i="5" l="1"/>
  <c r="EV146" i="5"/>
  <c r="EY145" i="5"/>
  <c r="EY146" i="5" s="1"/>
  <c r="R139" i="5"/>
  <c r="R147" i="5"/>
  <c r="X41" i="4"/>
  <c r="GP48" i="4"/>
  <c r="GS112" i="4"/>
  <c r="GS113" i="4" s="1"/>
  <c r="KC50" i="1"/>
  <c r="GO97" i="4"/>
  <c r="KE49" i="1"/>
  <c r="KC62" i="1"/>
  <c r="KC51" i="1"/>
  <c r="KC65" i="1"/>
  <c r="GT41" i="4"/>
  <c r="GN97" i="4"/>
  <c r="GM97" i="4"/>
  <c r="KD44" i="1"/>
  <c r="EY144" i="5" l="1"/>
  <c r="KH41" i="1" s="1"/>
  <c r="R146" i="5"/>
  <c r="KE41" i="1"/>
  <c r="AS49" i="1"/>
  <c r="X48" i="4"/>
  <c r="KC10" i="1"/>
  <c r="KC67" i="1"/>
  <c r="GO98" i="4"/>
  <c r="GO109" i="4"/>
  <c r="KE51" i="1"/>
  <c r="GP97" i="4"/>
  <c r="X97" i="4" s="1"/>
  <c r="KE50" i="1"/>
  <c r="KH43" i="1"/>
  <c r="GU41" i="4"/>
  <c r="GM98" i="4"/>
  <c r="GN98" i="4"/>
  <c r="KC11" i="1" l="1"/>
  <c r="R144" i="5"/>
  <c r="AS50" i="1"/>
  <c r="AS51" i="1"/>
  <c r="KC68" i="1"/>
  <c r="GS89" i="4"/>
  <c r="GS90" i="4" s="1"/>
  <c r="GP98" i="4"/>
  <c r="X98" i="4" s="1"/>
  <c r="EV168" i="5"/>
  <c r="R168" i="5" s="1"/>
  <c r="EV178" i="5"/>
  <c r="GS48" i="4"/>
  <c r="KH44" i="1"/>
  <c r="EV81" i="5" l="1"/>
  <c r="R81" i="5" s="1"/>
  <c r="R178" i="5"/>
  <c r="GT48" i="4"/>
  <c r="GW39" i="4"/>
  <c r="FC138" i="5" s="1"/>
  <c r="FC139" i="5" s="1"/>
  <c r="AB10" i="4" l="1"/>
  <c r="Y39" i="4"/>
  <c r="GU48" i="4"/>
  <c r="KH47" i="1"/>
  <c r="KH49" i="1"/>
  <c r="GM58" i="4"/>
  <c r="KE65" i="1"/>
  <c r="AS65" i="1" l="1"/>
  <c r="S138" i="5"/>
  <c r="S139" i="5"/>
  <c r="GS97" i="4"/>
  <c r="GW45" i="4"/>
  <c r="KH50" i="1"/>
  <c r="KH65" i="1"/>
  <c r="KH51" i="1"/>
  <c r="GN56" i="4"/>
  <c r="GM118" i="4"/>
  <c r="GM120" i="4"/>
  <c r="GM109" i="4"/>
  <c r="FC141" i="5" l="1"/>
  <c r="Y45" i="4"/>
  <c r="GS98" i="4"/>
  <c r="GN58" i="4"/>
  <c r="EY33" i="5"/>
  <c r="GN118" i="4"/>
  <c r="GN120" i="4"/>
  <c r="GN109" i="4"/>
  <c r="S141" i="5" l="1"/>
  <c r="FJ145" i="5"/>
  <c r="FF145" i="5"/>
  <c r="FC142" i="5"/>
  <c r="S142" i="5" s="1"/>
  <c r="FC147" i="5"/>
  <c r="EY163" i="5"/>
  <c r="HY10" i="4" l="1"/>
  <c r="AC10" i="4" s="1"/>
  <c r="FF144" i="5"/>
  <c r="KO41" i="1" s="1"/>
  <c r="FF146" i="5"/>
  <c r="T145" i="5"/>
  <c r="S147" i="5"/>
  <c r="FC146" i="5"/>
  <c r="S146" i="5" s="1"/>
  <c r="EZ165" i="5"/>
  <c r="FC144" i="5"/>
  <c r="S144" i="5" s="1"/>
  <c r="IB10" i="4"/>
  <c r="EY165" i="5"/>
  <c r="IC10" i="4" l="1"/>
  <c r="KL41" i="1"/>
  <c r="GG100" i="4"/>
  <c r="GG101" i="4" s="1"/>
  <c r="GM100" i="4"/>
  <c r="GM101" i="4" s="1"/>
  <c r="ID10" i="4" l="1"/>
  <c r="GI100" i="4"/>
  <c r="W100" i="4" s="1"/>
  <c r="GM126" i="4"/>
  <c r="GG126" i="4"/>
  <c r="IE10" i="4" l="1"/>
  <c r="GI101" i="4"/>
  <c r="W101" i="4" s="1"/>
  <c r="GI126" i="4"/>
  <c r="W126" i="4" s="1"/>
  <c r="IF10" i="4" l="1"/>
  <c r="EV62" i="5"/>
  <c r="AD10" i="4" l="1"/>
  <c r="II10" i="4"/>
  <c r="R62" i="5"/>
  <c r="ES62" i="5"/>
  <c r="IJ10" i="4" l="1"/>
  <c r="GL120" i="4"/>
  <c r="GL105" i="4"/>
  <c r="ER100" i="5" s="1"/>
  <c r="IK10" i="4" l="1"/>
  <c r="GP14" i="4"/>
  <c r="IL10" i="4" l="1"/>
  <c r="X14" i="4"/>
  <c r="GP11" i="4"/>
  <c r="IM10" i="4" l="1"/>
  <c r="IP10" i="4" s="1"/>
  <c r="X11" i="4"/>
  <c r="GL11" i="4"/>
  <c r="ES26" i="5"/>
  <c r="IQ10" i="4" l="1"/>
  <c r="AE10" i="4"/>
  <c r="GL17" i="4"/>
  <c r="ES12" i="5"/>
  <c r="IR10" i="4" l="1"/>
  <c r="GL112" i="4"/>
  <c r="GL113" i="4" s="1"/>
  <c r="GL28" i="4"/>
  <c r="ET12" i="5"/>
  <c r="ET33" i="5" s="1"/>
  <c r="ES33" i="5"/>
  <c r="IS10" i="4" l="1"/>
  <c r="GL59" i="4"/>
  <c r="GL108" i="4"/>
  <c r="ES63" i="5"/>
  <c r="EU12" i="5"/>
  <c r="ES163" i="5"/>
  <c r="ET163" i="5"/>
  <c r="ET63" i="5"/>
  <c r="IT10" i="4" l="1"/>
  <c r="ES65" i="5"/>
  <c r="ES165" i="5"/>
  <c r="EU33" i="5"/>
  <c r="ET167" i="5"/>
  <c r="ET173" i="5" s="1"/>
  <c r="ET76" i="5" s="1"/>
  <c r="ES167" i="5"/>
  <c r="ES173" i="5" s="1"/>
  <c r="ES76" i="5" s="1"/>
  <c r="ET165" i="5"/>
  <c r="GM119" i="4"/>
  <c r="GM110" i="4"/>
  <c r="GM123" i="4"/>
  <c r="GM17" i="4"/>
  <c r="ES66" i="5"/>
  <c r="AF10" i="4" l="1"/>
  <c r="ET62" i="5"/>
  <c r="ET65" i="5" s="1"/>
  <c r="EU63" i="5"/>
  <c r="EU163" i="5"/>
  <c r="ES168" i="5"/>
  <c r="ES169" i="5"/>
  <c r="ET168" i="5"/>
  <c r="ET169" i="5"/>
  <c r="ES67" i="5"/>
  <c r="EU62" i="5"/>
  <c r="HD14" i="4"/>
  <c r="Z14" i="4" s="1"/>
  <c r="ES175" i="5"/>
  <c r="ES78" i="5" s="1"/>
  <c r="GM28" i="4"/>
  <c r="GM112" i="4"/>
  <c r="GM113" i="4" s="1"/>
  <c r="GN110" i="4"/>
  <c r="GN123" i="4"/>
  <c r="ET66" i="5"/>
  <c r="GN119" i="4"/>
  <c r="GN17" i="4"/>
  <c r="ET175" i="5"/>
  <c r="ET78" i="5" s="1"/>
  <c r="EU167" i="5" l="1"/>
  <c r="EY167" i="5"/>
  <c r="EY168" i="5" s="1"/>
  <c r="EU165" i="5"/>
  <c r="EV165" i="5" s="1"/>
  <c r="R165" i="5" s="1"/>
  <c r="EZ167" i="5"/>
  <c r="EZ169" i="5" s="1"/>
  <c r="ET67" i="5"/>
  <c r="EU65" i="5"/>
  <c r="EU173" i="5"/>
  <c r="EU76" i="5" s="1"/>
  <c r="EU168" i="5"/>
  <c r="EU169" i="5"/>
  <c r="ET177" i="5"/>
  <c r="ET80" i="5" s="1"/>
  <c r="ET178" i="5"/>
  <c r="ET81" i="5" s="1"/>
  <c r="GN28" i="4"/>
  <c r="GN112" i="4"/>
  <c r="GN113" i="4" s="1"/>
  <c r="GM108" i="4"/>
  <c r="GM59" i="4"/>
  <c r="ES177" i="5"/>
  <c r="ES80" i="5" s="1"/>
  <c r="ES178" i="5"/>
  <c r="ES81" i="5" s="1"/>
  <c r="EY173" i="5" l="1"/>
  <c r="EY76" i="5" s="1"/>
  <c r="EY169" i="5"/>
  <c r="EZ173" i="5"/>
  <c r="EZ76" i="5" s="1"/>
  <c r="EY175" i="5"/>
  <c r="EY78" i="5" s="1"/>
  <c r="EU175" i="5"/>
  <c r="EU78" i="5" s="1"/>
  <c r="GN59" i="4"/>
  <c r="GN108" i="4"/>
  <c r="EZ175" i="5" l="1"/>
  <c r="EZ78" i="5" s="1"/>
  <c r="EY178" i="5"/>
  <c r="EY81" i="5" s="1"/>
  <c r="EU178" i="5"/>
  <c r="EU81" i="5" s="1"/>
  <c r="EU177" i="5"/>
  <c r="EU80" i="5" s="1"/>
  <c r="HK14" i="4" l="1"/>
  <c r="AA14" i="4" s="1"/>
  <c r="KE67" i="1" l="1"/>
  <c r="KE62" i="1"/>
  <c r="KE10" i="1" l="1"/>
  <c r="AS62" i="1"/>
  <c r="AS67" i="1"/>
  <c r="GP52" i="4"/>
  <c r="KE68" i="1"/>
  <c r="AS68" i="1" s="1"/>
  <c r="KE11" i="1" l="1"/>
  <c r="AS11" i="1" s="1"/>
  <c r="AS10" i="1"/>
  <c r="X52" i="4"/>
  <c r="GP56" i="4"/>
  <c r="GO58" i="4"/>
  <c r="X56" i="4" l="1"/>
  <c r="GP109" i="4"/>
  <c r="GP118" i="4"/>
  <c r="X118" i="4" s="1"/>
  <c r="GP120" i="4"/>
  <c r="X120" i="4" s="1"/>
  <c r="GP58" i="4"/>
  <c r="X109" i="4" l="1"/>
  <c r="X58" i="4"/>
  <c r="AB14" i="4" l="1"/>
  <c r="KC71" i="1"/>
  <c r="KE71" i="1" l="1"/>
  <c r="AS71" i="1" s="1"/>
  <c r="HX14" i="4" l="1"/>
  <c r="KH62" i="1"/>
  <c r="KH67" i="1"/>
  <c r="HY14" i="4" l="1"/>
  <c r="KH10" i="1"/>
  <c r="KH68" i="1"/>
  <c r="KL60" i="1"/>
  <c r="KL93" i="1" s="1"/>
  <c r="KL94" i="1" s="1"/>
  <c r="KL96" i="1" s="1"/>
  <c r="EY59" i="5"/>
  <c r="EZ59" i="5"/>
  <c r="AT60" i="1" l="1"/>
  <c r="KH11" i="1"/>
  <c r="IB14" i="4"/>
  <c r="AC14" i="4"/>
  <c r="EZ63" i="5"/>
  <c r="EY63" i="5"/>
  <c r="FA59" i="5"/>
  <c r="EV59" i="5"/>
  <c r="R59" i="5" s="1"/>
  <c r="EU66" i="5"/>
  <c r="GO17" i="4"/>
  <c r="GP9" i="4"/>
  <c r="GP117" i="4" s="1"/>
  <c r="X117" i="4" s="1"/>
  <c r="IC14" i="4" l="1"/>
  <c r="EV98" i="5"/>
  <c r="R98" i="5" s="1"/>
  <c r="X9" i="4"/>
  <c r="ID14" i="4"/>
  <c r="GO112" i="4"/>
  <c r="GO113" i="4" s="1"/>
  <c r="EU67" i="5"/>
  <c r="EV63" i="5"/>
  <c r="R63" i="5" s="1"/>
  <c r="GP123" i="4"/>
  <c r="GP119" i="4"/>
  <c r="X119" i="4" s="1"/>
  <c r="GP110" i="4"/>
  <c r="X110" i="4" s="1"/>
  <c r="GS119" i="4"/>
  <c r="GS120" i="4"/>
  <c r="GS118" i="4"/>
  <c r="GS109" i="4"/>
  <c r="GT56" i="4"/>
  <c r="GS58" i="4"/>
  <c r="EV66" i="5"/>
  <c r="GP17" i="4"/>
  <c r="X17" i="4" s="1"/>
  <c r="GP26" i="4"/>
  <c r="GO28" i="4"/>
  <c r="R66" i="5" l="1"/>
  <c r="X26" i="4"/>
  <c r="X123" i="4"/>
  <c r="IE14" i="4"/>
  <c r="GO108" i="4"/>
  <c r="GP112" i="4"/>
  <c r="GS59" i="4"/>
  <c r="EV65" i="5"/>
  <c r="R65" i="5" s="1"/>
  <c r="GT119" i="4"/>
  <c r="GT118" i="4"/>
  <c r="GT120" i="4"/>
  <c r="GT58" i="4"/>
  <c r="GO59" i="4"/>
  <c r="GP24" i="4"/>
  <c r="X24" i="4" s="1"/>
  <c r="GP113" i="4" l="1"/>
  <c r="X113" i="4" s="1"/>
  <c r="X112" i="4"/>
  <c r="IF14" i="4"/>
  <c r="GP28" i="4"/>
  <c r="FC62" i="5"/>
  <c r="EY62" i="5"/>
  <c r="EV67" i="5"/>
  <c r="GU58" i="4"/>
  <c r="FG59" i="5"/>
  <c r="FF59" i="5"/>
  <c r="EY66" i="5"/>
  <c r="II14" i="4" l="1"/>
  <c r="S62" i="5"/>
  <c r="R67" i="5"/>
  <c r="GP59" i="4"/>
  <c r="X59" i="4" s="1"/>
  <c r="X28" i="4"/>
  <c r="AD14" i="4"/>
  <c r="GP108" i="4"/>
  <c r="EY65" i="5"/>
  <c r="EY67" i="5" s="1"/>
  <c r="EZ66" i="5"/>
  <c r="GT17" i="4"/>
  <c r="FH59" i="5"/>
  <c r="FG174" i="5"/>
  <c r="FG77" i="5" s="1"/>
  <c r="IJ14" i="4" l="1"/>
  <c r="X108" i="4"/>
  <c r="EZ62" i="5"/>
  <c r="GT112" i="4"/>
  <c r="GT113" i="4" s="1"/>
  <c r="GT28" i="4"/>
  <c r="IK14" i="4" l="1"/>
  <c r="EZ65" i="5"/>
  <c r="EU24" i="5"/>
  <c r="EU14" i="5"/>
  <c r="EU15" i="5"/>
  <c r="EU16" i="5"/>
  <c r="EU19" i="5"/>
  <c r="EU20" i="5"/>
  <c r="EU21" i="5"/>
  <c r="EU22" i="5"/>
  <c r="EU23" i="5"/>
  <c r="EU31" i="5"/>
  <c r="EU28" i="5"/>
  <c r="EU29" i="5"/>
  <c r="EU30" i="5"/>
  <c r="EU27" i="5"/>
  <c r="IL14" i="4" l="1"/>
  <c r="FA62" i="5"/>
  <c r="EZ67" i="5"/>
  <c r="EU13" i="5"/>
  <c r="EU26" i="5"/>
  <c r="IM14" i="4" l="1"/>
  <c r="IP14" i="4" s="1"/>
  <c r="KH71" i="1"/>
  <c r="IQ14" i="4" l="1"/>
  <c r="IP11" i="4"/>
  <c r="AE14" i="4"/>
  <c r="GT59" i="4"/>
  <c r="GS108" i="4"/>
  <c r="IR14" i="4" l="1"/>
  <c r="IQ11" i="4"/>
  <c r="GW21" i="4"/>
  <c r="IS14" i="4" l="1"/>
  <c r="IR11" i="4"/>
  <c r="Y21" i="4"/>
  <c r="IT14" i="4" l="1"/>
  <c r="IS11" i="4"/>
  <c r="HD21" i="4"/>
  <c r="Z21" i="4" s="1"/>
  <c r="AF14" i="4" l="1"/>
  <c r="IT11" i="4"/>
  <c r="AF11" i="4" l="1"/>
  <c r="HK21" i="4"/>
  <c r="AA21" i="4" s="1"/>
  <c r="KI23" i="1" l="1"/>
  <c r="KG96" i="29" s="1"/>
  <c r="KI24" i="1" l="1"/>
  <c r="KI25" i="1"/>
  <c r="GT71" i="4"/>
  <c r="GT83" i="4"/>
  <c r="KI35" i="1"/>
  <c r="KI13" i="1" l="1"/>
  <c r="KI14" i="1"/>
  <c r="GT84" i="4"/>
  <c r="GT106" i="4"/>
  <c r="EZ110" i="5" s="1"/>
  <c r="KI36" i="1"/>
  <c r="KI43" i="1"/>
  <c r="GT74" i="4"/>
  <c r="EZ117" i="5" s="1"/>
  <c r="GT72" i="4"/>
  <c r="AB21" i="4" l="1"/>
  <c r="GT89" i="4"/>
  <c r="GT90" i="4" s="1"/>
  <c r="KI44" i="1"/>
  <c r="KI47" i="1"/>
  <c r="KI49" i="1"/>
  <c r="GT75" i="4"/>
  <c r="GT86" i="4"/>
  <c r="EZ177" i="5" s="1"/>
  <c r="EZ80" i="5" s="1"/>
  <c r="GT110" i="4" l="1"/>
  <c r="GT125" i="4"/>
  <c r="GT126" i="4"/>
  <c r="GT122" i="4"/>
  <c r="GT87" i="4"/>
  <c r="GT123" i="4"/>
  <c r="FA33" i="5"/>
  <c r="KI51" i="1"/>
  <c r="KI50" i="1"/>
  <c r="GT97" i="4"/>
  <c r="KI62" i="1"/>
  <c r="KI10" i="1" s="1"/>
  <c r="KI65" i="1"/>
  <c r="HX21" i="4" l="1"/>
  <c r="KI11" i="1"/>
  <c r="KI67" i="1"/>
  <c r="FA163" i="5"/>
  <c r="EZ168" i="5"/>
  <c r="EZ178" i="5"/>
  <c r="EZ81" i="5" s="1"/>
  <c r="FA63" i="5"/>
  <c r="KI71" i="1"/>
  <c r="GT109" i="4"/>
  <c r="GT98" i="4"/>
  <c r="GT108" i="4"/>
  <c r="FA167" i="5" l="1"/>
  <c r="FA173" i="5" s="1"/>
  <c r="HY21" i="4"/>
  <c r="AC21" i="4" s="1"/>
  <c r="FA165" i="5"/>
  <c r="KI68" i="1"/>
  <c r="FA65" i="5"/>
  <c r="FA169" i="5" l="1"/>
  <c r="IB21" i="4"/>
  <c r="FA175" i="5"/>
  <c r="FA78" i="5" s="1"/>
  <c r="FA76" i="5"/>
  <c r="FB62" i="5"/>
  <c r="FA66" i="5"/>
  <c r="GU17" i="4"/>
  <c r="IC21" i="4" l="1"/>
  <c r="FA67" i="5"/>
  <c r="GU112" i="4"/>
  <c r="GU28" i="4"/>
  <c r="ID21" i="4" l="1"/>
  <c r="GU59" i="4"/>
  <c r="IE21" i="4" l="1"/>
  <c r="KJ23" i="1"/>
  <c r="KH96" i="29" s="1"/>
  <c r="IF21" i="4" l="1"/>
  <c r="II21" i="4" s="1"/>
  <c r="KJ25" i="1"/>
  <c r="GV83" i="4"/>
  <c r="GV71" i="4"/>
  <c r="GU83" i="4"/>
  <c r="GU71" i="4"/>
  <c r="GS71" i="4"/>
  <c r="IJ21" i="4" l="1"/>
  <c r="AD21" i="4"/>
  <c r="GS72" i="4"/>
  <c r="GS74" i="4"/>
  <c r="EY117" i="5" s="1"/>
  <c r="GU106" i="4"/>
  <c r="FA110" i="5" s="1"/>
  <c r="IK21" i="4" l="1"/>
  <c r="GS110" i="4"/>
  <c r="GS75" i="4"/>
  <c r="GS86" i="4"/>
  <c r="IL21" i="4" l="1"/>
  <c r="GS123" i="4"/>
  <c r="GS125" i="4"/>
  <c r="GS126" i="4"/>
  <c r="GS87" i="4"/>
  <c r="GS122" i="4"/>
  <c r="EY177" i="5"/>
  <c r="EY80" i="5" s="1"/>
  <c r="IM21" i="4" l="1"/>
  <c r="KK21" i="1"/>
  <c r="IP21" i="4" l="1"/>
  <c r="AE21" i="4"/>
  <c r="IQ21" i="4" l="1"/>
  <c r="KL23" i="1"/>
  <c r="FI13" i="5"/>
  <c r="IR21" i="4" l="1"/>
  <c r="AT23" i="1"/>
  <c r="KJ96" i="29"/>
  <c r="AT96" i="29" s="1"/>
  <c r="KL25" i="1"/>
  <c r="AT25" i="1" s="1"/>
  <c r="KL24" i="1"/>
  <c r="AT24" i="1" s="1"/>
  <c r="GW83" i="4"/>
  <c r="GW71" i="4"/>
  <c r="Y71" i="4" s="1"/>
  <c r="KL35" i="1"/>
  <c r="AT35" i="1" s="1"/>
  <c r="IS21" i="4" l="1"/>
  <c r="KL13" i="1"/>
  <c r="KL14" i="1" s="1"/>
  <c r="AT14" i="1" s="1"/>
  <c r="GW84" i="4"/>
  <c r="Y84" i="4" s="1"/>
  <c r="Y83" i="4"/>
  <c r="KL43" i="1"/>
  <c r="KL36" i="1"/>
  <c r="GW72" i="4"/>
  <c r="Y72" i="4" s="1"/>
  <c r="GW74" i="4"/>
  <c r="Y74" i="4" s="1"/>
  <c r="IT21" i="4" l="1"/>
  <c r="AT13" i="1"/>
  <c r="AT43" i="1"/>
  <c r="GW86" i="4"/>
  <c r="GW75" i="4"/>
  <c r="Y75" i="4" s="1"/>
  <c r="KL44" i="1"/>
  <c r="GW89" i="4"/>
  <c r="KL47" i="1"/>
  <c r="AT47" i="1" s="1"/>
  <c r="AF21" i="4" l="1"/>
  <c r="AT44" i="1"/>
  <c r="GW90" i="4"/>
  <c r="Y90" i="4" s="1"/>
  <c r="Y89" i="4"/>
  <c r="Y86" i="4"/>
  <c r="GW125" i="4"/>
  <c r="Y125" i="4" s="1"/>
  <c r="GW87" i="4"/>
  <c r="Y87" i="4" s="1"/>
  <c r="GW126" i="4"/>
  <c r="Y126" i="4" s="1"/>
  <c r="GW122" i="4"/>
  <c r="Y122" i="4" s="1"/>
  <c r="KK62" i="1"/>
  <c r="KK10" i="1" s="1"/>
  <c r="KK11" i="1" l="1"/>
  <c r="KK71" i="1"/>
  <c r="GW52" i="4" l="1"/>
  <c r="Y52" i="4" l="1"/>
  <c r="GW56" i="4"/>
  <c r="Y56" i="4" l="1"/>
  <c r="GW118" i="4"/>
  <c r="Y118" i="4" s="1"/>
  <c r="KW21" i="1" l="1"/>
  <c r="KP21" i="1"/>
  <c r="FN13" i="5" l="1"/>
  <c r="FN12" i="5" s="1"/>
  <c r="FN33" i="5" s="1"/>
  <c r="KR35" i="1" l="1"/>
  <c r="KO20" i="1"/>
  <c r="KM131" i="29" l="1"/>
  <c r="KM95" i="29"/>
  <c r="KM92" i="29"/>
  <c r="KO7" i="1"/>
  <c r="KM23" i="29"/>
  <c r="KM25" i="29"/>
  <c r="KM22" i="29"/>
  <c r="KM24" i="29"/>
  <c r="KM20" i="29"/>
  <c r="KM21" i="29"/>
  <c r="KM19" i="29"/>
  <c r="KR36" i="1"/>
  <c r="KV21" i="1"/>
  <c r="HB69" i="4"/>
  <c r="HC69" i="4"/>
  <c r="KO21" i="1"/>
  <c r="KY35" i="1"/>
  <c r="KV8" i="1" l="1"/>
  <c r="KO8" i="1"/>
  <c r="KM27" i="29"/>
  <c r="FI113" i="5"/>
  <c r="FI116" i="5"/>
  <c r="FI103" i="5"/>
  <c r="FH116" i="5"/>
  <c r="FH103" i="5"/>
  <c r="FH113" i="5"/>
  <c r="KY13" i="1"/>
  <c r="FH89" i="5"/>
  <c r="FH124" i="5"/>
  <c r="FI124" i="5"/>
  <c r="FI89" i="5"/>
  <c r="HB93" i="4"/>
  <c r="HB78" i="4"/>
  <c r="HB105" i="4"/>
  <c r="FH100" i="5" s="1"/>
  <c r="HB101" i="4"/>
  <c r="HB81" i="4"/>
  <c r="HC93" i="4"/>
  <c r="HC81" i="4"/>
  <c r="HC101" i="4"/>
  <c r="HC78" i="4"/>
  <c r="KY36" i="1"/>
  <c r="KY14" i="1" l="1"/>
  <c r="FM13" i="5" l="1"/>
  <c r="GZ56" i="4" l="1"/>
  <c r="GZ120" i="4" l="1"/>
  <c r="GZ119" i="4"/>
  <c r="GZ118" i="4"/>
  <c r="KX20" i="1" l="1"/>
  <c r="KX24" i="1" s="1"/>
  <c r="KL21" i="1"/>
  <c r="KV131" i="29" l="1"/>
  <c r="KV95" i="29"/>
  <c r="KV92" i="29"/>
  <c r="KV24" i="29"/>
  <c r="KV25" i="29"/>
  <c r="KV22" i="29"/>
  <c r="KV23" i="29"/>
  <c r="KV20" i="29"/>
  <c r="KV21" i="29"/>
  <c r="KV19" i="29"/>
  <c r="AT21" i="1"/>
  <c r="HJ69" i="4"/>
  <c r="KX7" i="1"/>
  <c r="KZ32" i="1"/>
  <c r="KX8" i="1" l="1"/>
  <c r="KV27" i="29"/>
  <c r="AV32" i="1"/>
  <c r="AV12" i="29" s="1"/>
  <c r="KX12" i="29"/>
  <c r="FP113" i="5"/>
  <c r="FP116" i="5"/>
  <c r="FP103" i="5"/>
  <c r="FP124" i="5"/>
  <c r="HJ105" i="4"/>
  <c r="FP100" i="5" s="1"/>
  <c r="FP89" i="5"/>
  <c r="HJ93" i="4"/>
  <c r="HJ78" i="4"/>
  <c r="HJ81" i="4"/>
  <c r="HI69" i="4"/>
  <c r="KX21" i="1"/>
  <c r="FO116" i="5" l="1"/>
  <c r="FO103" i="5"/>
  <c r="FO113" i="5"/>
  <c r="KZ20" i="1"/>
  <c r="KX95" i="29" s="1"/>
  <c r="AV95" i="29" s="1"/>
  <c r="FO124" i="5"/>
  <c r="FO89" i="5"/>
  <c r="HI93" i="4"/>
  <c r="HI105" i="4"/>
  <c r="FO100" i="5" s="1"/>
  <c r="HI81" i="4"/>
  <c r="HI78" i="4"/>
  <c r="HG100" i="4"/>
  <c r="FH47" i="5"/>
  <c r="KS31" i="1"/>
  <c r="KS30" i="1"/>
  <c r="KS27" i="1"/>
  <c r="KQ91" i="29" l="1"/>
  <c r="KQ88" i="29"/>
  <c r="KQ130" i="29"/>
  <c r="KQ120" i="29"/>
  <c r="AU120" i="29" s="1"/>
  <c r="KQ19" i="29"/>
  <c r="KQ7" i="29"/>
  <c r="KX25" i="29"/>
  <c r="AV25" i="29" s="1"/>
  <c r="KX21" i="29"/>
  <c r="AV21" i="29" s="1"/>
  <c r="KX24" i="29"/>
  <c r="AV24" i="29" s="1"/>
  <c r="AU30" i="1"/>
  <c r="AU10" i="29" s="1"/>
  <c r="KQ22" i="29"/>
  <c r="AU22" i="29" s="1"/>
  <c r="KQ10" i="29"/>
  <c r="KQ23" i="29"/>
  <c r="AU23" i="29" s="1"/>
  <c r="KQ11" i="29"/>
  <c r="AV20" i="1"/>
  <c r="AU31" i="1"/>
  <c r="AU11" i="29" s="1"/>
  <c r="AU27" i="1"/>
  <c r="AU7" i="29" s="1"/>
  <c r="KZ7" i="1"/>
  <c r="KZ21" i="1"/>
  <c r="AV21" i="1" s="1"/>
  <c r="HK69" i="4"/>
  <c r="AA69" i="4" s="1"/>
  <c r="V86" i="5"/>
  <c r="HH100" i="4"/>
  <c r="HK43" i="4"/>
  <c r="HG101" i="4"/>
  <c r="FN47" i="5"/>
  <c r="KJ20" i="1"/>
  <c r="FM47" i="5"/>
  <c r="HK12" i="4"/>
  <c r="KS28" i="1"/>
  <c r="AA12" i="4" l="1"/>
  <c r="KH131" i="29"/>
  <c r="KH95" i="29"/>
  <c r="KH92" i="29"/>
  <c r="KQ131" i="29"/>
  <c r="AU131" i="29" s="1"/>
  <c r="AU130" i="29"/>
  <c r="KQ89" i="29"/>
  <c r="AU89" i="29" s="1"/>
  <c r="AU88" i="29"/>
  <c r="AU91" i="29"/>
  <c r="KQ92" i="29"/>
  <c r="AU92" i="29" s="1"/>
  <c r="KH24" i="29"/>
  <c r="KH23" i="29"/>
  <c r="KH25" i="29"/>
  <c r="KH22" i="29"/>
  <c r="KH20" i="29"/>
  <c r="KH21" i="29"/>
  <c r="KH19" i="29"/>
  <c r="AU28" i="1"/>
  <c r="AU8" i="29" s="1"/>
  <c r="KQ20" i="29"/>
  <c r="AU20" i="29" s="1"/>
  <c r="KQ8" i="29"/>
  <c r="AU19" i="29"/>
  <c r="KZ8" i="1"/>
  <c r="AV8" i="1" s="1"/>
  <c r="AV7" i="1"/>
  <c r="FQ112" i="5"/>
  <c r="AA43" i="4"/>
  <c r="KJ7" i="1"/>
  <c r="KJ24" i="1"/>
  <c r="FQ89" i="5"/>
  <c r="U89" i="5" s="1"/>
  <c r="HK105" i="4"/>
  <c r="FQ124" i="5"/>
  <c r="U124" i="5" s="1"/>
  <c r="HK78" i="4"/>
  <c r="AA78" i="4" s="1"/>
  <c r="HJ100" i="4"/>
  <c r="HI100" i="4"/>
  <c r="KJ21" i="1"/>
  <c r="HH101" i="4"/>
  <c r="HA69" i="4"/>
  <c r="KZ31" i="1"/>
  <c r="HK46" i="4"/>
  <c r="HD80" i="4"/>
  <c r="KJ35" i="1"/>
  <c r="GV69" i="4"/>
  <c r="GZ69" i="4"/>
  <c r="KQ21" i="1"/>
  <c r="GU69" i="4"/>
  <c r="FO47" i="5"/>
  <c r="KZ28" i="1"/>
  <c r="FO13" i="5"/>
  <c r="HK15" i="4"/>
  <c r="HK37" i="4"/>
  <c r="AA37" i="4" s="1"/>
  <c r="KZ27" i="1"/>
  <c r="GW43" i="4"/>
  <c r="GV100" i="4"/>
  <c r="KJ13" i="1" l="1"/>
  <c r="KJ14" i="1" s="1"/>
  <c r="KJ36" i="1"/>
  <c r="KJ8" i="1"/>
  <c r="KX91" i="29"/>
  <c r="KX88" i="29"/>
  <c r="KH27" i="29"/>
  <c r="AV28" i="1"/>
  <c r="AV8" i="29" s="1"/>
  <c r="KX20" i="29"/>
  <c r="AV20" i="29" s="1"/>
  <c r="KX8" i="29"/>
  <c r="KX7" i="29"/>
  <c r="KX19" i="29"/>
  <c r="KX23" i="29"/>
  <c r="AV23" i="29" s="1"/>
  <c r="KX11" i="29"/>
  <c r="AV31" i="1"/>
  <c r="AV11" i="29" s="1"/>
  <c r="AV27" i="1"/>
  <c r="AV7" i="29" s="1"/>
  <c r="KQ8" i="1"/>
  <c r="FQ113" i="5"/>
  <c r="U113" i="5" s="1"/>
  <c r="U112" i="5"/>
  <c r="FC112" i="5"/>
  <c r="Y43" i="4"/>
  <c r="FQ115" i="5"/>
  <c r="U115" i="5" s="1"/>
  <c r="AA46" i="4"/>
  <c r="HD81" i="4"/>
  <c r="Z81" i="4" s="1"/>
  <c r="Z80" i="4"/>
  <c r="FQ100" i="5"/>
  <c r="U100" i="5" s="1"/>
  <c r="AA105" i="4"/>
  <c r="FQ102" i="5"/>
  <c r="AA15" i="4"/>
  <c r="FB103" i="5"/>
  <c r="FB116" i="5"/>
  <c r="FB113" i="5"/>
  <c r="FF116" i="5"/>
  <c r="FF103" i="5"/>
  <c r="FF113" i="5"/>
  <c r="FG116" i="5"/>
  <c r="FG103" i="5"/>
  <c r="FG113" i="5"/>
  <c r="FA103" i="5"/>
  <c r="FA113" i="5"/>
  <c r="FA116" i="5"/>
  <c r="HK80" i="4"/>
  <c r="AA80" i="4" s="1"/>
  <c r="HK100" i="4"/>
  <c r="AA100" i="4" s="1"/>
  <c r="HJ101" i="4"/>
  <c r="FO12" i="5"/>
  <c r="HI101" i="4"/>
  <c r="FG89" i="5"/>
  <c r="FG124" i="5"/>
  <c r="FF89" i="5"/>
  <c r="FF124" i="5"/>
  <c r="FB89" i="5"/>
  <c r="FB124" i="5"/>
  <c r="FA124" i="5"/>
  <c r="FA89" i="5"/>
  <c r="GU74" i="4"/>
  <c r="FA117" i="5" s="1"/>
  <c r="GV93" i="4"/>
  <c r="HA93" i="4"/>
  <c r="HA81" i="4"/>
  <c r="HA105" i="4"/>
  <c r="FG100" i="5" s="1"/>
  <c r="HA78" i="4"/>
  <c r="FQ47" i="5"/>
  <c r="GV74" i="4"/>
  <c r="FB117" i="5" s="1"/>
  <c r="GV72" i="4"/>
  <c r="KJ43" i="1"/>
  <c r="KJ47" i="1" s="1"/>
  <c r="GV81" i="4"/>
  <c r="GV84" i="4"/>
  <c r="GV78" i="4"/>
  <c r="GZ105" i="4"/>
  <c r="FF100" i="5" s="1"/>
  <c r="GZ93" i="4"/>
  <c r="GZ81" i="4"/>
  <c r="GZ78" i="4"/>
  <c r="GU84" i="4"/>
  <c r="GU101" i="4"/>
  <c r="GU105" i="4"/>
  <c r="FA100" i="5" s="1"/>
  <c r="GU81" i="4"/>
  <c r="GU113" i="4"/>
  <c r="GU72" i="4"/>
  <c r="GU78" i="4"/>
  <c r="GU93" i="4"/>
  <c r="GV101" i="4"/>
  <c r="HA100" i="4"/>
  <c r="GZ100" i="4"/>
  <c r="FB47" i="5"/>
  <c r="GZ41" i="4"/>
  <c r="AV88" i="29" l="1"/>
  <c r="KX89" i="29"/>
  <c r="AV89" i="29" s="1"/>
  <c r="LE89" i="29"/>
  <c r="AW89" i="29" s="1"/>
  <c r="KX92" i="29"/>
  <c r="AV92" i="29" s="1"/>
  <c r="AV91" i="29"/>
  <c r="AV19" i="29"/>
  <c r="FQ116" i="5"/>
  <c r="U116" i="5" s="1"/>
  <c r="FQ103" i="5"/>
  <c r="U103" i="5" s="1"/>
  <c r="U102" i="5"/>
  <c r="U47" i="5"/>
  <c r="FC113" i="5"/>
  <c r="S113" i="5" s="1"/>
  <c r="S112" i="5"/>
  <c r="GU75" i="4"/>
  <c r="GU86" i="4"/>
  <c r="FA177" i="5" s="1"/>
  <c r="FA80" i="5" s="1"/>
  <c r="HK81" i="4"/>
  <c r="AA81" i="4" s="1"/>
  <c r="HK101" i="4"/>
  <c r="AA101" i="4" s="1"/>
  <c r="GV86" i="4"/>
  <c r="GV87" i="4" s="1"/>
  <c r="GV75" i="4"/>
  <c r="GU89" i="4"/>
  <c r="GU90" i="4" s="1"/>
  <c r="GV89" i="4"/>
  <c r="GV90" i="4" s="1"/>
  <c r="KJ49" i="1"/>
  <c r="KJ44" i="1"/>
  <c r="HA101" i="4"/>
  <c r="GZ48" i="4"/>
  <c r="GZ112" i="4"/>
  <c r="GZ113" i="4" s="1"/>
  <c r="GZ101" i="4"/>
  <c r="HK13" i="4"/>
  <c r="HK11" i="4" s="1"/>
  <c r="GW20" i="4"/>
  <c r="Y20" i="4" s="1"/>
  <c r="FG47" i="5"/>
  <c r="FF47" i="5"/>
  <c r="FC47" i="5"/>
  <c r="KS33" i="1"/>
  <c r="KQ23" i="1"/>
  <c r="KO96" i="29" s="1"/>
  <c r="GW46" i="4"/>
  <c r="KJ51" i="1" l="1"/>
  <c r="KQ25" i="29"/>
  <c r="AU25" i="29" s="1"/>
  <c r="KQ13" i="29"/>
  <c r="AU33" i="1"/>
  <c r="AU13" i="29" s="1"/>
  <c r="S47" i="5"/>
  <c r="GU125" i="4"/>
  <c r="GU123" i="4"/>
  <c r="FQ105" i="5"/>
  <c r="AA13" i="4"/>
  <c r="FC115" i="5"/>
  <c r="S115" i="5" s="1"/>
  <c r="Y46" i="4"/>
  <c r="KQ25" i="1"/>
  <c r="KQ24" i="1"/>
  <c r="GU122" i="4"/>
  <c r="GU87" i="4"/>
  <c r="GU126" i="4"/>
  <c r="GV126" i="4"/>
  <c r="FC125" i="5"/>
  <c r="S125" i="5" s="1"/>
  <c r="FC90" i="5"/>
  <c r="S90" i="5" s="1"/>
  <c r="GV123" i="4"/>
  <c r="GV125" i="4"/>
  <c r="GV122" i="4"/>
  <c r="GU110" i="4"/>
  <c r="KJ65" i="1"/>
  <c r="GV97" i="4"/>
  <c r="GV110" i="4"/>
  <c r="KL49" i="1"/>
  <c r="KJ50" i="1"/>
  <c r="GU97" i="4"/>
  <c r="FA168" i="5" s="1"/>
  <c r="GZ58" i="4"/>
  <c r="KJ62" i="1"/>
  <c r="KJ10" i="1" s="1"/>
  <c r="GW19" i="4"/>
  <c r="KQ35" i="1"/>
  <c r="FH13" i="5"/>
  <c r="KQ13" i="1" l="1"/>
  <c r="KJ11" i="1"/>
  <c r="FC116" i="5"/>
  <c r="S116" i="5" s="1"/>
  <c r="FC117" i="5"/>
  <c r="S117" i="5" s="1"/>
  <c r="AT49" i="1"/>
  <c r="FQ106" i="5"/>
  <c r="U106" i="5" s="1"/>
  <c r="U105" i="5"/>
  <c r="AA11" i="4"/>
  <c r="Y19" i="4"/>
  <c r="KQ14" i="1"/>
  <c r="GV98" i="4"/>
  <c r="KL62" i="1"/>
  <c r="GW97" i="4"/>
  <c r="KJ67" i="1"/>
  <c r="KJ68" i="1" s="1"/>
  <c r="GU98" i="4"/>
  <c r="GU109" i="4"/>
  <c r="GV109" i="4"/>
  <c r="GU108" i="4"/>
  <c r="FA178" i="5"/>
  <c r="FA81" i="5" s="1"/>
  <c r="KJ71" i="1"/>
  <c r="KL50" i="1"/>
  <c r="KL51" i="1"/>
  <c r="AT51" i="1" s="1"/>
  <c r="KL65" i="1"/>
  <c r="FC12" i="5"/>
  <c r="KQ36" i="1"/>
  <c r="KQ43" i="1"/>
  <c r="KL10" i="1" l="1"/>
  <c r="AT62" i="1"/>
  <c r="AT50" i="1"/>
  <c r="AT65" i="1"/>
  <c r="S12" i="5"/>
  <c r="GW98" i="4"/>
  <c r="Y98" i="4" s="1"/>
  <c r="Y97" i="4"/>
  <c r="GW109" i="4"/>
  <c r="KL71" i="1"/>
  <c r="KL67" i="1"/>
  <c r="FC33" i="5"/>
  <c r="S33" i="5" s="1"/>
  <c r="FB12" i="5"/>
  <c r="KQ44" i="1"/>
  <c r="GV17" i="4"/>
  <c r="FB66" i="5"/>
  <c r="GW9" i="4"/>
  <c r="GW117" i="4" s="1"/>
  <c r="Y117" i="4" s="1"/>
  <c r="KL68" i="1" l="1"/>
  <c r="AT67" i="1"/>
  <c r="AT71" i="1"/>
  <c r="KL11" i="1"/>
  <c r="AT11" i="1" s="1"/>
  <c r="AT10" i="1"/>
  <c r="Y109" i="4"/>
  <c r="FC98" i="5"/>
  <c r="S98" i="5" s="1"/>
  <c r="Y9" i="4"/>
  <c r="GV28" i="4"/>
  <c r="FB33" i="5"/>
  <c r="FC163" i="5"/>
  <c r="GW26" i="4"/>
  <c r="Y26" i="4" s="1"/>
  <c r="GW119" i="4"/>
  <c r="Y119" i="4" s="1"/>
  <c r="GW110" i="4"/>
  <c r="Y110" i="4" s="1"/>
  <c r="GW123" i="4"/>
  <c r="GV112" i="4"/>
  <c r="GV113" i="4" s="1"/>
  <c r="FC66" i="5"/>
  <c r="GW17" i="4"/>
  <c r="AT68" i="1" l="1"/>
  <c r="S66" i="5"/>
  <c r="FC167" i="5"/>
  <c r="S167" i="5" s="1"/>
  <c r="S163" i="5"/>
  <c r="Y17" i="4"/>
  <c r="Y123" i="4"/>
  <c r="FB163" i="5"/>
  <c r="GW24" i="4"/>
  <c r="GV59" i="4"/>
  <c r="HD20" i="4"/>
  <c r="Z20" i="4" s="1"/>
  <c r="GV108" i="4"/>
  <c r="KQ47" i="1"/>
  <c r="KQ49" i="1"/>
  <c r="FB165" i="5" l="1"/>
  <c r="FC165" i="5" s="1"/>
  <c r="S165" i="5" s="1"/>
  <c r="FC168" i="5"/>
  <c r="S168" i="5" s="1"/>
  <c r="FC169" i="5"/>
  <c r="S169" i="5" s="1"/>
  <c r="FC173" i="5"/>
  <c r="S173" i="5" s="1"/>
  <c r="Y24" i="4"/>
  <c r="GW28" i="4"/>
  <c r="GW108" i="4" s="1"/>
  <c r="Y108" i="4" s="1"/>
  <c r="FF167" i="5"/>
  <c r="FF173" i="5" s="1"/>
  <c r="FF76" i="5" s="1"/>
  <c r="FB167" i="5"/>
  <c r="FB168" i="5" s="1"/>
  <c r="FJ90" i="5"/>
  <c r="T90" i="5" s="1"/>
  <c r="FJ125" i="5"/>
  <c r="T125" i="5" s="1"/>
  <c r="KQ65" i="1"/>
  <c r="KQ51" i="1"/>
  <c r="KQ50" i="1"/>
  <c r="KQ62" i="1"/>
  <c r="FC175" i="5" l="1"/>
  <c r="FC78" i="5" s="1"/>
  <c r="S78" i="5" s="1"/>
  <c r="FC76" i="5"/>
  <c r="S76" i="5" s="1"/>
  <c r="FF169" i="5"/>
  <c r="Y28" i="4"/>
  <c r="FB169" i="5"/>
  <c r="FF175" i="5"/>
  <c r="FF78" i="5" s="1"/>
  <c r="FB173" i="5"/>
  <c r="FB76" i="5" s="1"/>
  <c r="KQ10" i="1"/>
  <c r="KQ67" i="1"/>
  <c r="KQ71" i="1"/>
  <c r="FC177" i="5" l="1"/>
  <c r="S177" i="5" s="1"/>
  <c r="S175" i="5"/>
  <c r="FC178" i="5"/>
  <c r="S178" i="5" s="1"/>
  <c r="KQ11" i="1"/>
  <c r="FB175" i="5"/>
  <c r="FB78" i="5" s="1"/>
  <c r="KQ68" i="1"/>
  <c r="FC80" i="5" l="1"/>
  <c r="S80" i="5" s="1"/>
  <c r="FC81" i="5"/>
  <c r="S81" i="5" s="1"/>
  <c r="FB178" i="5"/>
  <c r="FB81" i="5" s="1"/>
  <c r="FB177" i="5"/>
  <c r="FB80" i="5" s="1"/>
  <c r="HK20" i="4" l="1"/>
  <c r="AA20" i="4" s="1"/>
  <c r="FQ90" i="5" l="1"/>
  <c r="U90" i="5" s="1"/>
  <c r="FQ125" i="5"/>
  <c r="U125" i="5" s="1"/>
  <c r="HK19" i="4"/>
  <c r="AA19" i="4" l="1"/>
  <c r="FB56" i="5" l="1"/>
  <c r="FB149" i="5" s="1"/>
  <c r="FB150" i="5" s="1"/>
  <c r="FC150" i="5" s="1"/>
  <c r="S150" i="5" s="1"/>
  <c r="FC59" i="5"/>
  <c r="S59" i="5" s="1"/>
  <c r="FC63" i="5" l="1"/>
  <c r="S63" i="5" s="1"/>
  <c r="FB59" i="5"/>
  <c r="GW120" i="4"/>
  <c r="Y120" i="4" s="1"/>
  <c r="GW105" i="4"/>
  <c r="GV120" i="4"/>
  <c r="FC100" i="5" l="1"/>
  <c r="S100" i="5" s="1"/>
  <c r="Y105" i="4"/>
  <c r="FC65" i="5"/>
  <c r="S65" i="5" s="1"/>
  <c r="FB63" i="5"/>
  <c r="GV105" i="4"/>
  <c r="FB100" i="5" s="1"/>
  <c r="FB65" i="5" l="1"/>
  <c r="FJ62" i="5"/>
  <c r="FF62" i="5"/>
  <c r="FC67" i="5"/>
  <c r="GW37" i="4"/>
  <c r="GV106" i="4"/>
  <c r="FB110" i="5" s="1"/>
  <c r="GW33" i="4"/>
  <c r="S67" i="5" l="1"/>
  <c r="T62" i="5"/>
  <c r="Y37" i="4"/>
  <c r="Y33" i="4"/>
  <c r="FB67" i="5"/>
  <c r="GW106" i="4"/>
  <c r="GW32" i="4"/>
  <c r="Y32" i="4" s="1"/>
  <c r="FC110" i="5" l="1"/>
  <c r="S110" i="5" s="1"/>
  <c r="Y106" i="4"/>
  <c r="GW41" i="4"/>
  <c r="FF63" i="5"/>
  <c r="Y41" i="4" l="1"/>
  <c r="GW112" i="4"/>
  <c r="GW48" i="4"/>
  <c r="FF65" i="5"/>
  <c r="GW113" i="4" l="1"/>
  <c r="Y113" i="4" s="1"/>
  <c r="Y112" i="4"/>
  <c r="GW58" i="4"/>
  <c r="Y58" i="4" s="1"/>
  <c r="Y48" i="4"/>
  <c r="FG62" i="5"/>
  <c r="FF66" i="5"/>
  <c r="GW59" i="4" l="1"/>
  <c r="Y59" i="4" s="1"/>
  <c r="FF67" i="5"/>
  <c r="GZ59" i="4"/>
  <c r="KO23" i="1" l="1"/>
  <c r="KM96" i="29" s="1"/>
  <c r="KO25" i="1" l="1"/>
  <c r="KO24" i="1"/>
  <c r="GZ83" i="4"/>
  <c r="KO35" i="1"/>
  <c r="KO13" i="1" l="1"/>
  <c r="KO14" i="1"/>
  <c r="GZ84" i="4"/>
  <c r="GZ106" i="4"/>
  <c r="FF110" i="5" s="1"/>
  <c r="KO36" i="1"/>
  <c r="KO43" i="1"/>
  <c r="KO44" i="1" l="1"/>
  <c r="GZ89" i="4"/>
  <c r="GZ90" i="4" s="1"/>
  <c r="KO47" i="1"/>
  <c r="KO49" i="1"/>
  <c r="HA41" i="4"/>
  <c r="HA48" i="4" l="1"/>
  <c r="KO50" i="1"/>
  <c r="KO51" i="1"/>
  <c r="KO65" i="1"/>
  <c r="KO62" i="1"/>
  <c r="KO10" i="1" s="1"/>
  <c r="GZ97" i="4"/>
  <c r="KO11" i="1" l="1"/>
  <c r="KO67" i="1"/>
  <c r="HA58" i="4"/>
  <c r="FF168" i="5"/>
  <c r="FF178" i="5"/>
  <c r="FF81" i="5" s="1"/>
  <c r="FG163" i="5"/>
  <c r="FG63" i="5"/>
  <c r="GZ109" i="4"/>
  <c r="GZ98" i="4"/>
  <c r="GZ108" i="4"/>
  <c r="KO71" i="1"/>
  <c r="KO68" i="1" l="1"/>
  <c r="FG65" i="5"/>
  <c r="FG165" i="5"/>
  <c r="FG167" i="5"/>
  <c r="FH62" i="5" l="1"/>
  <c r="HA17" i="4"/>
  <c r="FG66" i="5"/>
  <c r="FG173" i="5"/>
  <c r="FG76" i="5" s="1"/>
  <c r="FG169" i="5"/>
  <c r="FG67" i="5" l="1"/>
  <c r="HA112" i="4"/>
  <c r="HA113" i="4" s="1"/>
  <c r="HA28" i="4"/>
  <c r="FG175" i="5"/>
  <c r="FG78" i="5" s="1"/>
  <c r="HA59" i="4" l="1"/>
  <c r="KS32" i="1" l="1"/>
  <c r="KQ24" i="29" l="1"/>
  <c r="KQ12" i="29"/>
  <c r="KQ5" i="29" s="1"/>
  <c r="AU32" i="1"/>
  <c r="AU12" i="29" s="1"/>
  <c r="AU5" i="29" l="1"/>
  <c r="AU24" i="29"/>
  <c r="KQ27" i="29"/>
  <c r="AU27" i="29" s="1"/>
  <c r="KP23" i="1"/>
  <c r="KN96" i="29" s="1"/>
  <c r="KP25" i="1" l="1"/>
  <c r="KP24" i="1"/>
  <c r="HC83" i="4"/>
  <c r="HC84" i="4" s="1"/>
  <c r="HC71" i="4"/>
  <c r="KS23" i="1"/>
  <c r="HB71" i="4"/>
  <c r="HB83" i="4"/>
  <c r="GZ71" i="4"/>
  <c r="KP35" i="1"/>
  <c r="HA71" i="4"/>
  <c r="HA83" i="4"/>
  <c r="KP13" i="1" l="1"/>
  <c r="KP14" i="1"/>
  <c r="AU23" i="1"/>
  <c r="KQ96" i="29"/>
  <c r="AU96" i="29" s="1"/>
  <c r="KS24" i="1"/>
  <c r="AU24" i="1" s="1"/>
  <c r="KS25" i="1"/>
  <c r="HD71" i="4"/>
  <c r="Z71" i="4" s="1"/>
  <c r="HD83" i="4"/>
  <c r="HC72" i="4"/>
  <c r="HC74" i="4"/>
  <c r="FI117" i="5" s="1"/>
  <c r="HB106" i="4"/>
  <c r="FH110" i="5" s="1"/>
  <c r="HB84" i="4"/>
  <c r="HB72" i="4"/>
  <c r="HB74" i="4"/>
  <c r="FH117" i="5" s="1"/>
  <c r="HA106" i="4"/>
  <c r="FG110" i="5" s="1"/>
  <c r="HA84" i="4"/>
  <c r="GZ74" i="4"/>
  <c r="FF117" i="5" s="1"/>
  <c r="GZ72" i="4"/>
  <c r="HA72" i="4"/>
  <c r="HA74" i="4"/>
  <c r="FG117" i="5" s="1"/>
  <c r="KP43" i="1"/>
  <c r="KP36" i="1"/>
  <c r="KS13" i="1" l="1"/>
  <c r="KS14" i="1" s="1"/>
  <c r="AU14" i="1" s="1"/>
  <c r="AU25" i="1"/>
  <c r="HD84" i="4"/>
  <c r="Z84" i="4" s="1"/>
  <c r="Z83" i="4"/>
  <c r="HD72" i="4"/>
  <c r="Z72" i="4" s="1"/>
  <c r="HD74" i="4"/>
  <c r="Z74" i="4" s="1"/>
  <c r="HB89" i="4"/>
  <c r="HB90" i="4" s="1"/>
  <c r="HC75" i="4"/>
  <c r="HC86" i="4"/>
  <c r="HC87" i="4" s="1"/>
  <c r="HB75" i="4"/>
  <c r="HB86" i="4"/>
  <c r="HA86" i="4"/>
  <c r="HA75" i="4"/>
  <c r="GZ86" i="4"/>
  <c r="GZ75" i="4"/>
  <c r="GZ110" i="4"/>
  <c r="HB41" i="4"/>
  <c r="KP47" i="1"/>
  <c r="KP49" i="1"/>
  <c r="KP44" i="1"/>
  <c r="HA89" i="4"/>
  <c r="HA90" i="4" s="1"/>
  <c r="AU13" i="1" l="1"/>
  <c r="HB48" i="4"/>
  <c r="HB110" i="4"/>
  <c r="HB97" i="4"/>
  <c r="HB109" i="4" s="1"/>
  <c r="HD86" i="4"/>
  <c r="HD75" i="4"/>
  <c r="Z75" i="4" s="1"/>
  <c r="HB87" i="4"/>
  <c r="HB122" i="4"/>
  <c r="HB126" i="4"/>
  <c r="HB125" i="4"/>
  <c r="HB123" i="4"/>
  <c r="HA122" i="4"/>
  <c r="HA87" i="4"/>
  <c r="HA126" i="4"/>
  <c r="FG177" i="5"/>
  <c r="FG80" i="5" s="1"/>
  <c r="HA123" i="4"/>
  <c r="HA125" i="4"/>
  <c r="HA110" i="4"/>
  <c r="FF177" i="5"/>
  <c r="FF80" i="5" s="1"/>
  <c r="GZ126" i="4"/>
  <c r="GZ122" i="4"/>
  <c r="GZ125" i="4"/>
  <c r="GZ87" i="4"/>
  <c r="GZ123" i="4"/>
  <c r="KP62" i="1"/>
  <c r="KP65" i="1"/>
  <c r="HA97" i="4"/>
  <c r="KP50" i="1"/>
  <c r="KP51" i="1"/>
  <c r="HD87" i="4" l="1"/>
  <c r="Z87" i="4" s="1"/>
  <c r="Z86" i="4"/>
  <c r="KP10" i="1"/>
  <c r="KP67" i="1"/>
  <c r="HB58" i="4"/>
  <c r="HB98" i="4"/>
  <c r="HA108" i="4"/>
  <c r="FG168" i="5"/>
  <c r="FG178" i="5"/>
  <c r="FG81" i="5" s="1"/>
  <c r="HA98" i="4"/>
  <c r="HA109" i="4"/>
  <c r="KP11" i="1" l="1"/>
  <c r="KP68" i="1"/>
  <c r="FH66" i="5" l="1"/>
  <c r="HB17" i="4"/>
  <c r="HB112" i="4" l="1"/>
  <c r="HB113" i="4" s="1"/>
  <c r="KP71" i="1"/>
  <c r="HB28" i="4" l="1"/>
  <c r="HD23" i="4"/>
  <c r="Z23" i="4" l="1"/>
  <c r="HB108" i="4"/>
  <c r="HB59" i="4"/>
  <c r="HK23" i="4" l="1"/>
  <c r="AA23" i="4" s="1"/>
  <c r="FM59" i="5" l="1"/>
  <c r="FN59" i="5" l="1"/>
  <c r="AV61" i="1" l="1"/>
  <c r="FO59" i="5"/>
  <c r="AV60" i="1" l="1"/>
  <c r="FT174" i="5"/>
  <c r="FT77" i="5" s="1"/>
  <c r="FT59" i="5"/>
  <c r="FU174" i="5" l="1"/>
  <c r="FU77" i="5" s="1"/>
  <c r="FQ59" i="5"/>
  <c r="U59" i="5" l="1"/>
  <c r="FU59" i="5"/>
  <c r="FV59" i="5"/>
  <c r="FV174" i="5"/>
  <c r="FV77" i="5" s="1"/>
  <c r="HD33" i="4"/>
  <c r="Z33" i="4" s="1"/>
  <c r="HD37" i="4"/>
  <c r="Z37" i="4" s="1"/>
  <c r="HD12" i="4"/>
  <c r="HD13" i="4"/>
  <c r="HD43" i="4"/>
  <c r="HD46" i="4"/>
  <c r="FJ105" i="5" l="1"/>
  <c r="Z13" i="4"/>
  <c r="FJ112" i="5"/>
  <c r="Z43" i="4"/>
  <c r="Z12" i="4"/>
  <c r="FJ115" i="5"/>
  <c r="Z46" i="4"/>
  <c r="HD106" i="4"/>
  <c r="HC106" i="4"/>
  <c r="FI110" i="5" s="1"/>
  <c r="HD39" i="4"/>
  <c r="FJ138" i="5" s="1"/>
  <c r="HC122" i="4"/>
  <c r="KR43" i="1"/>
  <c r="HD15" i="4"/>
  <c r="KS40" i="1"/>
  <c r="AU40" i="1" s="1"/>
  <c r="HD45" i="4"/>
  <c r="FJ141" i="5" s="1"/>
  <c r="FJ142" i="5" s="1"/>
  <c r="HC41" i="4"/>
  <c r="HC105" i="4"/>
  <c r="FI100" i="5" s="1"/>
  <c r="FJ147" i="5" l="1"/>
  <c r="FM145" i="5"/>
  <c r="FQ145" i="5"/>
  <c r="U145" i="5" s="1"/>
  <c r="FJ139" i="5"/>
  <c r="FJ116" i="5"/>
  <c r="T116" i="5" s="1"/>
  <c r="T115" i="5"/>
  <c r="FJ113" i="5"/>
  <c r="T113" i="5" s="1"/>
  <c r="T112" i="5"/>
  <c r="FJ106" i="5"/>
  <c r="T106" i="5" s="1"/>
  <c r="T105" i="5"/>
  <c r="FJ117" i="5"/>
  <c r="T117" i="5" s="1"/>
  <c r="FJ102" i="5"/>
  <c r="Z15" i="4"/>
  <c r="FJ110" i="5"/>
  <c r="T110" i="5" s="1"/>
  <c r="Z106" i="4"/>
  <c r="Z39" i="4"/>
  <c r="Z45" i="4"/>
  <c r="HC89" i="4"/>
  <c r="HC90" i="4" s="1"/>
  <c r="HC48" i="4"/>
  <c r="HD92" i="4"/>
  <c r="KR44" i="1"/>
  <c r="HC126" i="4"/>
  <c r="HC125" i="4"/>
  <c r="HD41" i="4"/>
  <c r="Z41" i="4" s="1"/>
  <c r="FM146" i="5" l="1"/>
  <c r="FM144" i="5"/>
  <c r="FJ146" i="5"/>
  <c r="FJ144" i="5"/>
  <c r="T138" i="5"/>
  <c r="FJ103" i="5"/>
  <c r="T103" i="5" s="1"/>
  <c r="T102" i="5"/>
  <c r="T142" i="5"/>
  <c r="T141" i="5"/>
  <c r="T139" i="5"/>
  <c r="HD93" i="4"/>
  <c r="Z93" i="4" s="1"/>
  <c r="Z92" i="4"/>
  <c r="HD48" i="4"/>
  <c r="FM26" i="5"/>
  <c r="HG41" i="4"/>
  <c r="KV41" i="1" l="1"/>
  <c r="T147" i="5"/>
  <c r="T146" i="5"/>
  <c r="Z48" i="4"/>
  <c r="HG48" i="4"/>
  <c r="FM12" i="5"/>
  <c r="KR47" i="1"/>
  <c r="KS46" i="1"/>
  <c r="KR49" i="1"/>
  <c r="FP12" i="5" l="1"/>
  <c r="AU46" i="1"/>
  <c r="KS41" i="1"/>
  <c r="T144" i="5"/>
  <c r="FN163" i="5"/>
  <c r="HC97" i="4"/>
  <c r="HC98" i="4" s="1"/>
  <c r="HD95" i="4"/>
  <c r="KR65" i="1"/>
  <c r="KR62" i="1"/>
  <c r="KS49" i="1"/>
  <c r="KR50" i="1"/>
  <c r="KR51" i="1"/>
  <c r="AU49" i="1" l="1"/>
  <c r="FJ94" i="5"/>
  <c r="T94" i="5" s="1"/>
  <c r="Z95" i="4"/>
  <c r="KR10" i="1"/>
  <c r="KR67" i="1"/>
  <c r="KS62" i="1"/>
  <c r="AU62" i="1" s="1"/>
  <c r="HD97" i="4"/>
  <c r="HK39" i="4"/>
  <c r="FQ138" i="5" s="1"/>
  <c r="KS65" i="1"/>
  <c r="KS51" i="1"/>
  <c r="AU51" i="1" s="1"/>
  <c r="KS50" i="1"/>
  <c r="AU50" i="1" s="1"/>
  <c r="FX139" i="5" l="1"/>
  <c r="FQ139" i="5"/>
  <c r="KR11" i="1"/>
  <c r="AU65" i="1"/>
  <c r="HD98" i="4"/>
  <c r="Z98" i="4" s="1"/>
  <c r="Z97" i="4"/>
  <c r="AA39" i="4"/>
  <c r="KS10" i="1"/>
  <c r="KR68" i="1"/>
  <c r="HK45" i="4"/>
  <c r="FQ141" i="5" s="1"/>
  <c r="FQ142" i="5" s="1"/>
  <c r="HD52" i="4"/>
  <c r="KS67" i="1"/>
  <c r="FX145" i="5" l="1"/>
  <c r="FQ147" i="5"/>
  <c r="FT139" i="5"/>
  <c r="KS11" i="1"/>
  <c r="AU11" i="1" s="1"/>
  <c r="AU10" i="1"/>
  <c r="AU67" i="1"/>
  <c r="U139" i="5"/>
  <c r="U138" i="5"/>
  <c r="Z52" i="4"/>
  <c r="FT142" i="5"/>
  <c r="AA45" i="4"/>
  <c r="KS68" i="1"/>
  <c r="AU68" i="1" s="1"/>
  <c r="HC118" i="4"/>
  <c r="HC120" i="4"/>
  <c r="HC58" i="4"/>
  <c r="HC109" i="4"/>
  <c r="FQ146" i="5" l="1"/>
  <c r="FQ144" i="5"/>
  <c r="FT145" i="5"/>
  <c r="V145" i="5"/>
  <c r="U141" i="5"/>
  <c r="U147" i="5"/>
  <c r="U142" i="5"/>
  <c r="HD120" i="4"/>
  <c r="Z120" i="4" s="1"/>
  <c r="HD118" i="4"/>
  <c r="Z118" i="4" s="1"/>
  <c r="HD58" i="4"/>
  <c r="HD109" i="4"/>
  <c r="Z109" i="4" s="1"/>
  <c r="HG56" i="4"/>
  <c r="FT146" i="5" l="1"/>
  <c r="FT144" i="5"/>
  <c r="U146" i="5"/>
  <c r="U144" i="5"/>
  <c r="FU145" i="5"/>
  <c r="FU147" i="5"/>
  <c r="Z58" i="4"/>
  <c r="HG118" i="4"/>
  <c r="HG120" i="4"/>
  <c r="HG119" i="4"/>
  <c r="HG58" i="4"/>
  <c r="HH56" i="4"/>
  <c r="FM33" i="5"/>
  <c r="FU144" i="5" l="1"/>
  <c r="LD41" i="1" s="1"/>
  <c r="LC41" i="1"/>
  <c r="LF41" i="1"/>
  <c r="HH120" i="4"/>
  <c r="HH118" i="4"/>
  <c r="HH119" i="4"/>
  <c r="FM163" i="5"/>
  <c r="FM63" i="5"/>
  <c r="FM165" i="5" l="1"/>
  <c r="FN165" i="5"/>
  <c r="AB39" i="4" l="1"/>
  <c r="HR45" i="4"/>
  <c r="FX141" i="5" l="1"/>
  <c r="V141" i="5" s="1"/>
  <c r="HR117" i="4"/>
  <c r="GD141" i="5"/>
  <c r="V138" i="5"/>
  <c r="GE145" i="5"/>
  <c r="W145" i="5" s="1"/>
  <c r="V139" i="5"/>
  <c r="AB45" i="4"/>
  <c r="GA142" i="5" l="1"/>
  <c r="GA145" i="5"/>
  <c r="FX142" i="5"/>
  <c r="V142" i="5" s="1"/>
  <c r="FX147" i="5"/>
  <c r="GA146" i="5" l="1"/>
  <c r="GA144" i="5"/>
  <c r="LJ41" i="1" s="1"/>
  <c r="FX146" i="5"/>
  <c r="V146" i="5" s="1"/>
  <c r="FX144" i="5"/>
  <c r="V144" i="5" s="1"/>
  <c r="V147" i="5"/>
  <c r="LK41" i="1"/>
  <c r="GD138" i="5" l="1"/>
  <c r="GD145" i="5"/>
  <c r="LL41" i="1"/>
  <c r="HW92" i="4"/>
  <c r="HX92" i="4"/>
  <c r="AX40" i="1"/>
  <c r="GD147" i="5" l="1"/>
  <c r="GD144" i="5" s="1"/>
  <c r="LM41" i="1" s="1"/>
  <c r="HY45" i="4"/>
  <c r="HY92" i="4"/>
  <c r="AC92" i="4" s="1"/>
  <c r="HY39" i="4" l="1"/>
  <c r="AC45" i="4"/>
  <c r="GE141" i="5"/>
  <c r="FI26" i="5"/>
  <c r="FH26" i="5"/>
  <c r="GE142" i="5" l="1"/>
  <c r="W142" i="5" s="1"/>
  <c r="GH141" i="5"/>
  <c r="W141" i="5"/>
  <c r="AC39" i="4"/>
  <c r="GE138" i="5"/>
  <c r="IB92" i="4"/>
  <c r="IC92" i="4"/>
  <c r="FH12" i="5"/>
  <c r="GL145" i="5" l="1"/>
  <c r="X145" i="5" s="1"/>
  <c r="W138" i="5"/>
  <c r="GH138" i="5"/>
  <c r="GH145" i="5"/>
  <c r="GE139" i="5"/>
  <c r="W139" i="5" s="1"/>
  <c r="GE147" i="5"/>
  <c r="GI141" i="5"/>
  <c r="IB45" i="4"/>
  <c r="FH33" i="5"/>
  <c r="FJ12" i="5"/>
  <c r="GJ141" i="5" l="1"/>
  <c r="IC45" i="4"/>
  <c r="GI145" i="5"/>
  <c r="GI138" i="5"/>
  <c r="GH147" i="5"/>
  <c r="GH144" i="5" s="1"/>
  <c r="LQ41" i="1" s="1"/>
  <c r="IB39" i="4"/>
  <c r="W147" i="5"/>
  <c r="GE144" i="5"/>
  <c r="W144" i="5" s="1"/>
  <c r="GE146" i="5"/>
  <c r="W146" i="5" s="1"/>
  <c r="T12" i="5"/>
  <c r="ID92" i="4"/>
  <c r="FH163" i="5"/>
  <c r="FH63" i="5"/>
  <c r="FJ33" i="5"/>
  <c r="T33" i="5" s="1"/>
  <c r="FI12" i="5"/>
  <c r="FI66" i="5"/>
  <c r="HC123" i="4"/>
  <c r="HD9" i="4"/>
  <c r="HD117" i="4" s="1"/>
  <c r="Z117" i="4" s="1"/>
  <c r="HC17" i="4"/>
  <c r="HC110" i="4"/>
  <c r="HC119" i="4"/>
  <c r="GJ145" i="5" l="1"/>
  <c r="GJ138" i="5"/>
  <c r="GI147" i="5"/>
  <c r="GI144" i="5" s="1"/>
  <c r="LR41" i="1" s="1"/>
  <c r="IC39" i="4"/>
  <c r="GK141" i="5"/>
  <c r="IE45" i="4" s="1"/>
  <c r="ID45" i="4"/>
  <c r="FJ98" i="5"/>
  <c r="T98" i="5" s="1"/>
  <c r="Z9" i="4"/>
  <c r="IE92" i="4"/>
  <c r="LU40" i="1"/>
  <c r="HC112" i="4"/>
  <c r="HC113" i="4" s="1"/>
  <c r="FH65" i="5"/>
  <c r="FI33" i="5"/>
  <c r="FJ63" i="5"/>
  <c r="T63" i="5" s="1"/>
  <c r="FH165" i="5"/>
  <c r="FH167" i="5"/>
  <c r="HD119" i="4"/>
  <c r="Z119" i="4" s="1"/>
  <c r="FJ163" i="5"/>
  <c r="HC28" i="4"/>
  <c r="FJ66" i="5"/>
  <c r="HD17" i="4"/>
  <c r="FM66" i="5"/>
  <c r="HG17" i="4"/>
  <c r="GK138" i="5" l="1"/>
  <c r="GJ147" i="5"/>
  <c r="GJ144" i="5" s="1"/>
  <c r="LS41" i="1" s="1"/>
  <c r="GK145" i="5"/>
  <c r="ID39" i="4"/>
  <c r="IF45" i="4"/>
  <c r="GL141" i="5" s="1"/>
  <c r="IF92" i="4"/>
  <c r="AD92" i="4" s="1"/>
  <c r="AY40" i="1"/>
  <c r="T66" i="5"/>
  <c r="FJ167" i="5"/>
  <c r="T167" i="5" s="1"/>
  <c r="T163" i="5"/>
  <c r="Z17" i="4"/>
  <c r="HC59" i="4"/>
  <c r="FJ65" i="5"/>
  <c r="T65" i="5" s="1"/>
  <c r="FH173" i="5"/>
  <c r="FH76" i="5" s="1"/>
  <c r="FH168" i="5"/>
  <c r="FH169" i="5"/>
  <c r="FI63" i="5"/>
  <c r="FI163" i="5"/>
  <c r="FH67" i="5"/>
  <c r="FI62" i="5"/>
  <c r="HG28" i="4"/>
  <c r="HG112" i="4"/>
  <c r="HG113" i="4" s="1"/>
  <c r="HD112" i="4"/>
  <c r="Z112" i="4" s="1"/>
  <c r="HD28" i="4"/>
  <c r="Z28" i="4" s="1"/>
  <c r="HD26" i="4"/>
  <c r="HC108" i="4"/>
  <c r="AD45" i="4" l="1"/>
  <c r="GL142" i="5"/>
  <c r="X142" i="5" s="1"/>
  <c r="X141" i="5"/>
  <c r="GO141" i="5"/>
  <c r="GK147" i="5"/>
  <c r="GK144" i="5" s="1"/>
  <c r="LT41" i="1" s="1"/>
  <c r="IE39" i="4"/>
  <c r="FJ169" i="5"/>
  <c r="T169" i="5" s="1"/>
  <c r="FJ168" i="5"/>
  <c r="T168" i="5" s="1"/>
  <c r="FJ173" i="5"/>
  <c r="FJ76" i="5" s="1"/>
  <c r="T76" i="5" s="1"/>
  <c r="Z26" i="4"/>
  <c r="FM167" i="5"/>
  <c r="FM169" i="5" s="1"/>
  <c r="FN167" i="5"/>
  <c r="FI167" i="5"/>
  <c r="FI168" i="5" s="1"/>
  <c r="FI165" i="5"/>
  <c r="FJ165" i="5" s="1"/>
  <c r="T165" i="5" s="1"/>
  <c r="HD108" i="4"/>
  <c r="Z108" i="4" s="1"/>
  <c r="FH175" i="5"/>
  <c r="FH78" i="5" s="1"/>
  <c r="FI65" i="5"/>
  <c r="FM62" i="5"/>
  <c r="FQ62" i="5"/>
  <c r="U62" i="5" s="1"/>
  <c r="FJ67" i="5"/>
  <c r="HD59" i="4"/>
  <c r="Z59" i="4" s="1"/>
  <c r="HG59" i="4"/>
  <c r="IF39" i="4" l="1"/>
  <c r="GP141" i="5"/>
  <c r="II45" i="4"/>
  <c r="FJ175" i="5"/>
  <c r="T175" i="5" s="1"/>
  <c r="T173" i="5"/>
  <c r="T67" i="5"/>
  <c r="FM173" i="5"/>
  <c r="FM76" i="5" s="1"/>
  <c r="FI173" i="5"/>
  <c r="FI76" i="5" s="1"/>
  <c r="FI169" i="5"/>
  <c r="FN173" i="5"/>
  <c r="FN76" i="5" s="1"/>
  <c r="FN169" i="5"/>
  <c r="FM65" i="5"/>
  <c r="FI67" i="5"/>
  <c r="FH178" i="5"/>
  <c r="FH81" i="5" s="1"/>
  <c r="FH177" i="5"/>
  <c r="FH80" i="5" s="1"/>
  <c r="FJ178" i="5" l="1"/>
  <c r="FJ81" i="5" s="1"/>
  <c r="T81" i="5" s="1"/>
  <c r="IJ45" i="4"/>
  <c r="GQ141" i="5"/>
  <c r="GL138" i="5"/>
  <c r="GS145" i="5" s="1"/>
  <c r="AD39" i="4"/>
  <c r="FJ78" i="5"/>
  <c r="T78" i="5" s="1"/>
  <c r="FM175" i="5"/>
  <c r="FM78" i="5" s="1"/>
  <c r="T178" i="5"/>
  <c r="FI175" i="5"/>
  <c r="FI78" i="5" s="1"/>
  <c r="FN175" i="5"/>
  <c r="FN78" i="5" s="1"/>
  <c r="FN62" i="5"/>
  <c r="FM67" i="5"/>
  <c r="GL147" i="5" l="1"/>
  <c r="GL139" i="5"/>
  <c r="X139" i="5" s="1"/>
  <c r="X138" i="5"/>
  <c r="GO145" i="5"/>
  <c r="Y145" i="5"/>
  <c r="GO138" i="5"/>
  <c r="IK45" i="4"/>
  <c r="GR141" i="5"/>
  <c r="FI178" i="5"/>
  <c r="FI81" i="5" s="1"/>
  <c r="FI177" i="5"/>
  <c r="FI80" i="5" s="1"/>
  <c r="GP145" i="5" l="1"/>
  <c r="II39" i="4"/>
  <c r="GO147" i="5"/>
  <c r="GO144" i="5" s="1"/>
  <c r="LX41" i="1" s="1"/>
  <c r="GP138" i="5"/>
  <c r="IL45" i="4"/>
  <c r="GL146" i="5"/>
  <c r="X146" i="5" s="1"/>
  <c r="GL144" i="5"/>
  <c r="X144" i="5" s="1"/>
  <c r="X147" i="5"/>
  <c r="KS35" i="1"/>
  <c r="AU35" i="1" s="1"/>
  <c r="IM45" i="4" l="1"/>
  <c r="GS141" i="5"/>
  <c r="IJ39" i="4"/>
  <c r="GP147" i="5"/>
  <c r="GP144" i="5" s="1"/>
  <c r="LY41" i="1" s="1"/>
  <c r="GQ145" i="5"/>
  <c r="GQ138" i="5"/>
  <c r="KS43" i="1"/>
  <c r="AU43" i="1" s="1"/>
  <c r="KS36" i="1"/>
  <c r="HD113" i="4"/>
  <c r="Z113" i="4" s="1"/>
  <c r="HD105" i="4"/>
  <c r="Y141" i="5" l="1"/>
  <c r="GV141" i="5"/>
  <c r="AE45" i="4"/>
  <c r="GS142" i="5"/>
  <c r="Y142" i="5" s="1"/>
  <c r="IK39" i="4"/>
  <c r="GQ147" i="5"/>
  <c r="GQ144" i="5" s="1"/>
  <c r="LZ41" i="1" s="1"/>
  <c r="GR145" i="5"/>
  <c r="GR138" i="5"/>
  <c r="FJ100" i="5"/>
  <c r="T100" i="5" s="1"/>
  <c r="Z105" i="4"/>
  <c r="HD89" i="4"/>
  <c r="FJ177" i="5"/>
  <c r="KS47" i="1"/>
  <c r="AU47" i="1" s="1"/>
  <c r="KS44" i="1"/>
  <c r="GW141" i="5" l="1"/>
  <c r="IP45" i="4"/>
  <c r="GR147" i="5"/>
  <c r="GR144" i="5" s="1"/>
  <c r="MA41" i="1" s="1"/>
  <c r="IL39" i="4"/>
  <c r="AU44" i="1"/>
  <c r="FJ80" i="5"/>
  <c r="T80" i="5" s="1"/>
  <c r="T177" i="5"/>
  <c r="HD90" i="4"/>
  <c r="Z90" i="4" s="1"/>
  <c r="Z89" i="4"/>
  <c r="HD123" i="4"/>
  <c r="Z123" i="4" s="1"/>
  <c r="HD126" i="4"/>
  <c r="Z126" i="4" s="1"/>
  <c r="HD125" i="4"/>
  <c r="Z125" i="4" s="1"/>
  <c r="HD122" i="4"/>
  <c r="Z122" i="4" s="1"/>
  <c r="HD110" i="4"/>
  <c r="Z110" i="4" s="1"/>
  <c r="IQ45" i="4" l="1"/>
  <c r="GX141" i="5"/>
  <c r="IM39" i="4"/>
  <c r="KR71" i="1"/>
  <c r="KS70" i="1"/>
  <c r="IR45" i="4" l="1"/>
  <c r="GY141" i="5"/>
  <c r="IS45" i="4" s="1"/>
  <c r="AE39" i="4"/>
  <c r="GS138" i="5"/>
  <c r="AU70" i="1"/>
  <c r="KS71" i="1"/>
  <c r="AU71" i="1" s="1"/>
  <c r="KV23" i="1"/>
  <c r="KT96" i="29" s="1"/>
  <c r="GZ145" i="5" l="1"/>
  <c r="Z145" i="5" s="1"/>
  <c r="GV145" i="5"/>
  <c r="GV138" i="5"/>
  <c r="IT45" i="4"/>
  <c r="GS139" i="5"/>
  <c r="Y139" i="5" s="1"/>
  <c r="GS147" i="5"/>
  <c r="Y138" i="5"/>
  <c r="KV24" i="1"/>
  <c r="HG83" i="4"/>
  <c r="HG84" i="4" s="1"/>
  <c r="KV35" i="1"/>
  <c r="KV25" i="1"/>
  <c r="GZ141" i="5" l="1"/>
  <c r="AF45" i="4"/>
  <c r="GW145" i="5"/>
  <c r="IP39" i="4"/>
  <c r="GW138" i="5"/>
  <c r="GV147" i="5"/>
  <c r="GV144" i="5" s="1"/>
  <c r="ME41" i="1" s="1"/>
  <c r="GS146" i="5"/>
  <c r="Y146" i="5" s="1"/>
  <c r="GS144" i="5"/>
  <c r="Y144" i="5" s="1"/>
  <c r="Y147" i="5"/>
  <c r="KV13" i="1"/>
  <c r="HG106" i="4"/>
  <c r="FM110" i="5" s="1"/>
  <c r="KV36" i="1"/>
  <c r="KV43" i="1"/>
  <c r="IQ39" i="4" l="1"/>
  <c r="GX138" i="5"/>
  <c r="GW147" i="5"/>
  <c r="GW144" i="5" s="1"/>
  <c r="MF41" i="1" s="1"/>
  <c r="GX145" i="5"/>
  <c r="GZ142" i="5"/>
  <c r="Z142" i="5" s="1"/>
  <c r="Z141" i="5"/>
  <c r="KV14" i="1"/>
  <c r="HG89" i="4"/>
  <c r="KV47" i="1"/>
  <c r="KV49" i="1"/>
  <c r="KV44" i="1"/>
  <c r="GX147" i="5" l="1"/>
  <c r="GX144" i="5" s="1"/>
  <c r="MG41" i="1" s="1"/>
  <c r="GY138" i="5"/>
  <c r="IR39" i="4"/>
  <c r="GY145" i="5"/>
  <c r="HH41" i="4"/>
  <c r="HH48" i="4" s="1"/>
  <c r="KV65" i="1"/>
  <c r="HG97" i="4"/>
  <c r="KV50" i="1"/>
  <c r="KV62" i="1"/>
  <c r="KV10" i="1" s="1"/>
  <c r="KV51" i="1"/>
  <c r="HG90" i="4"/>
  <c r="IS39" i="4" l="1"/>
  <c r="GY147" i="5"/>
  <c r="GY144" i="5" s="1"/>
  <c r="MH41" i="1" s="1"/>
  <c r="KV11" i="1"/>
  <c r="KV67" i="1"/>
  <c r="KV71" i="1"/>
  <c r="HG108" i="4"/>
  <c r="FM168" i="5"/>
  <c r="FM178" i="5"/>
  <c r="FM81" i="5" s="1"/>
  <c r="HG109" i="4"/>
  <c r="HG98" i="4"/>
  <c r="IT39" i="4" l="1"/>
  <c r="KV68" i="1"/>
  <c r="HH58" i="4"/>
  <c r="AF39" i="4" l="1"/>
  <c r="GZ138" i="5"/>
  <c r="FN63" i="5"/>
  <c r="Z138" i="5" l="1"/>
  <c r="GZ147" i="5"/>
  <c r="GZ139" i="5"/>
  <c r="Z139" i="5" s="1"/>
  <c r="FN65" i="5"/>
  <c r="Z147" i="5" l="1"/>
  <c r="GZ146" i="5"/>
  <c r="Z146" i="5" s="1"/>
  <c r="GZ144" i="5"/>
  <c r="Z144" i="5" s="1"/>
  <c r="FO62" i="5"/>
  <c r="HH17" i="4" l="1"/>
  <c r="FN66" i="5"/>
  <c r="HH112" i="4" l="1"/>
  <c r="HH113" i="4" s="1"/>
  <c r="HH28" i="4"/>
  <c r="FN67" i="5"/>
  <c r="HH59" i="4" l="1"/>
  <c r="KW23" i="1" l="1"/>
  <c r="KU96" i="29" s="1"/>
  <c r="HJ83" i="4" l="1"/>
  <c r="HJ71" i="4"/>
  <c r="KW24" i="1"/>
  <c r="KW25" i="1"/>
  <c r="HH83" i="4"/>
  <c r="KW35" i="1"/>
  <c r="HH71" i="4"/>
  <c r="KW36" i="1" l="1"/>
  <c r="HJ72" i="4"/>
  <c r="HJ74" i="4"/>
  <c r="FP117" i="5" s="1"/>
  <c r="HJ106" i="4"/>
  <c r="FP110" i="5" s="1"/>
  <c r="HJ84" i="4"/>
  <c r="KW13" i="1"/>
  <c r="KW43" i="1"/>
  <c r="HH74" i="4"/>
  <c r="FN117" i="5" s="1"/>
  <c r="HH72" i="4"/>
  <c r="HH106" i="4"/>
  <c r="FN110" i="5" s="1"/>
  <c r="HH84" i="4"/>
  <c r="HJ75" i="4" l="1"/>
  <c r="HJ86" i="4"/>
  <c r="KW14" i="1"/>
  <c r="HH75" i="4"/>
  <c r="HH86" i="4"/>
  <c r="KW47" i="1"/>
  <c r="KW49" i="1"/>
  <c r="KW44" i="1"/>
  <c r="HH89" i="4"/>
  <c r="HH90" i="4" s="1"/>
  <c r="HJ123" i="4" l="1"/>
  <c r="HJ125" i="4"/>
  <c r="HJ122" i="4"/>
  <c r="HJ87" i="4"/>
  <c r="HJ126" i="4"/>
  <c r="KW65" i="1"/>
  <c r="KW62" i="1"/>
  <c r="HH97" i="4"/>
  <c r="KW50" i="1"/>
  <c r="KW51" i="1"/>
  <c r="HH110" i="4"/>
  <c r="FN177" i="5"/>
  <c r="FN80" i="5" s="1"/>
  <c r="HH126" i="4"/>
  <c r="HH125" i="4"/>
  <c r="HH123" i="4"/>
  <c r="HH87" i="4"/>
  <c r="HH122" i="4"/>
  <c r="KW10" i="1" l="1"/>
  <c r="FN178" i="5"/>
  <c r="FN81" i="5" s="1"/>
  <c r="HH108" i="4"/>
  <c r="HH109" i="4"/>
  <c r="FN168" i="5"/>
  <c r="HH98" i="4"/>
  <c r="KW71" i="1"/>
  <c r="KW67" i="1"/>
  <c r="KW11" i="1" l="1"/>
  <c r="KW68" i="1"/>
  <c r="KZ30" i="1" l="1"/>
  <c r="KX130" i="29" l="1"/>
  <c r="KX120" i="29"/>
  <c r="AV120" i="29" s="1"/>
  <c r="KX22" i="29"/>
  <c r="KX10" i="29"/>
  <c r="KX5" i="29" s="1"/>
  <c r="AV30" i="1"/>
  <c r="AV10" i="29" s="1"/>
  <c r="KZ23" i="1"/>
  <c r="HI83" i="4"/>
  <c r="HI71" i="4"/>
  <c r="HG71" i="4"/>
  <c r="KX25" i="1"/>
  <c r="KX35" i="1"/>
  <c r="AV23" i="1" l="1"/>
  <c r="KX96" i="29"/>
  <c r="AV96" i="29" s="1"/>
  <c r="AV130" i="29"/>
  <c r="KX131" i="29"/>
  <c r="AV131" i="29" s="1"/>
  <c r="AV5" i="29"/>
  <c r="AV22" i="29"/>
  <c r="KX27" i="29"/>
  <c r="AV27" i="29" s="1"/>
  <c r="KZ24" i="1"/>
  <c r="AV24" i="1" s="1"/>
  <c r="KZ25" i="1"/>
  <c r="AV25" i="1" s="1"/>
  <c r="HK83" i="4"/>
  <c r="AA83" i="4" s="1"/>
  <c r="HK71" i="4"/>
  <c r="AA71" i="4" s="1"/>
  <c r="HI72" i="4"/>
  <c r="HI74" i="4"/>
  <c r="FO117" i="5" s="1"/>
  <c r="HI106" i="4"/>
  <c r="FO110" i="5" s="1"/>
  <c r="HI84" i="4"/>
  <c r="KX13" i="1"/>
  <c r="KZ35" i="1"/>
  <c r="AV35" i="1" s="1"/>
  <c r="KX36" i="1"/>
  <c r="KX43" i="1"/>
  <c r="HG74" i="4"/>
  <c r="FM117" i="5" s="1"/>
  <c r="HG72" i="4"/>
  <c r="KZ13" i="1" l="1"/>
  <c r="KZ14" i="1" s="1"/>
  <c r="AV14" i="1" s="1"/>
  <c r="HK72" i="4"/>
  <c r="AA72" i="4" s="1"/>
  <c r="HK74" i="4"/>
  <c r="HI89" i="4"/>
  <c r="HI90" i="4" s="1"/>
  <c r="HK84" i="4"/>
  <c r="AA84" i="4" s="1"/>
  <c r="KX14" i="1"/>
  <c r="HI75" i="4"/>
  <c r="HI86" i="4"/>
  <c r="KX47" i="1"/>
  <c r="HG86" i="4"/>
  <c r="HG110" i="4"/>
  <c r="HG75" i="4"/>
  <c r="KX44" i="1"/>
  <c r="KZ36" i="1"/>
  <c r="HK33" i="4"/>
  <c r="AV13" i="1" l="1"/>
  <c r="FQ117" i="5"/>
  <c r="U117" i="5" s="1"/>
  <c r="AA74" i="4"/>
  <c r="HK106" i="4"/>
  <c r="AA33" i="4"/>
  <c r="HK86" i="4"/>
  <c r="AA86" i="4" s="1"/>
  <c r="HK75" i="4"/>
  <c r="AA75" i="4" s="1"/>
  <c r="HI123" i="4"/>
  <c r="HI125" i="4"/>
  <c r="HI122" i="4"/>
  <c r="HI87" i="4"/>
  <c r="HI126" i="4"/>
  <c r="HJ41" i="4"/>
  <c r="HK32" i="4"/>
  <c r="AA32" i="4" s="1"/>
  <c r="HG126" i="4"/>
  <c r="FM177" i="5"/>
  <c r="FM80" i="5" s="1"/>
  <c r="HG123" i="4"/>
  <c r="HG87" i="4"/>
  <c r="HG125" i="4"/>
  <c r="HG122" i="4"/>
  <c r="KX49" i="1"/>
  <c r="FQ110" i="5" l="1"/>
  <c r="U110" i="5" s="1"/>
  <c r="AA106" i="4"/>
  <c r="HI97" i="4"/>
  <c r="HI98" i="4" s="1"/>
  <c r="HK122" i="4"/>
  <c r="AA122" i="4" s="1"/>
  <c r="HK87" i="4"/>
  <c r="AA87" i="4" s="1"/>
  <c r="KX50" i="1"/>
  <c r="KX65" i="1"/>
  <c r="KX62" i="1"/>
  <c r="KX51" i="1"/>
  <c r="HJ48" i="4"/>
  <c r="HK41" i="4"/>
  <c r="AA41" i="4" s="1"/>
  <c r="FO33" i="5" l="1"/>
  <c r="KX10" i="1"/>
  <c r="KX71" i="1"/>
  <c r="HK48" i="4"/>
  <c r="AA48" i="4" s="1"/>
  <c r="KX67" i="1"/>
  <c r="FO163" i="5" l="1"/>
  <c r="FO63" i="5"/>
  <c r="FO65" i="5" s="1"/>
  <c r="KX68" i="1"/>
  <c r="KX11" i="1"/>
  <c r="FO165" i="5" l="1"/>
  <c r="FO167" i="5"/>
  <c r="FO168" i="5" s="1"/>
  <c r="FO67" i="5"/>
  <c r="FP62" i="5"/>
  <c r="HI120" i="4"/>
  <c r="HI119" i="4"/>
  <c r="HI118" i="4"/>
  <c r="HI110" i="4"/>
  <c r="HI109" i="4"/>
  <c r="FO173" i="5" l="1"/>
  <c r="FO175" i="5" s="1"/>
  <c r="FO169" i="5"/>
  <c r="FO76" i="5" l="1"/>
  <c r="FO78" i="5"/>
  <c r="FO177" i="5"/>
  <c r="FO80" i="5" s="1"/>
  <c r="FO178" i="5"/>
  <c r="FO81" i="5" s="1"/>
  <c r="HI112" i="4"/>
  <c r="HI113" i="4" s="1"/>
  <c r="HI108" i="4" l="1"/>
  <c r="HO92" i="4" l="1"/>
  <c r="KY43" i="1" l="1"/>
  <c r="HJ89" i="4" s="1"/>
  <c r="KZ40" i="1"/>
  <c r="AV40" i="1" s="1"/>
  <c r="KY41" i="1"/>
  <c r="HJ90" i="4" l="1"/>
  <c r="HK92" i="4"/>
  <c r="AA92" i="4" s="1"/>
  <c r="KY47" i="1"/>
  <c r="KY44" i="1"/>
  <c r="KY49" i="1"/>
  <c r="KZ43" i="1"/>
  <c r="HJ97" i="4" l="1"/>
  <c r="HJ98" i="4" s="1"/>
  <c r="HK89" i="4"/>
  <c r="HK90" i="4" s="1"/>
  <c r="AA90" i="4" s="1"/>
  <c r="AV43" i="1"/>
  <c r="HK93" i="4"/>
  <c r="AA93" i="4" s="1"/>
  <c r="HK125" i="4"/>
  <c r="AA125" i="4" s="1"/>
  <c r="HK126" i="4"/>
  <c r="AA126" i="4" s="1"/>
  <c r="KZ44" i="1"/>
  <c r="KZ49" i="1"/>
  <c r="AV49" i="1" s="1"/>
  <c r="KY65" i="1"/>
  <c r="KY50" i="1"/>
  <c r="KY51" i="1"/>
  <c r="KY62" i="1"/>
  <c r="KZ46" i="1"/>
  <c r="AA89" i="4" l="1"/>
  <c r="AV44" i="1"/>
  <c r="HK95" i="4"/>
  <c r="AA95" i="4" s="1"/>
  <c r="AV46" i="1"/>
  <c r="KZ62" i="1"/>
  <c r="AV62" i="1" s="1"/>
  <c r="HK97" i="4"/>
  <c r="AA97" i="4" s="1"/>
  <c r="KZ47" i="1"/>
  <c r="AV47" i="1" s="1"/>
  <c r="KZ51" i="1"/>
  <c r="KZ65" i="1"/>
  <c r="AV65" i="1" s="1"/>
  <c r="KZ50" i="1"/>
  <c r="KY67" i="1"/>
  <c r="KY10" i="1"/>
  <c r="KY71" i="1"/>
  <c r="AV50" i="1" l="1"/>
  <c r="AV51" i="1"/>
  <c r="HK98" i="4"/>
  <c r="AA98" i="4" s="1"/>
  <c r="KZ10" i="1"/>
  <c r="AV10" i="1" s="1"/>
  <c r="KZ71" i="1"/>
  <c r="KY68" i="1"/>
  <c r="HJ56" i="4"/>
  <c r="HK52" i="4"/>
  <c r="AA52" i="4" s="1"/>
  <c r="KY11" i="1"/>
  <c r="KZ67" i="1"/>
  <c r="AV67" i="1" s="1"/>
  <c r="AV71" i="1" l="1"/>
  <c r="HJ118" i="4"/>
  <c r="HJ120" i="4"/>
  <c r="HJ119" i="4"/>
  <c r="HJ110" i="4"/>
  <c r="HJ109" i="4"/>
  <c r="HJ58" i="4"/>
  <c r="KZ68" i="1"/>
  <c r="KZ11" i="1"/>
  <c r="AV11" i="1" s="1"/>
  <c r="HK56" i="4"/>
  <c r="AA56" i="4" s="1"/>
  <c r="AV68" i="1" l="1"/>
  <c r="HK120" i="4"/>
  <c r="AA120" i="4" s="1"/>
  <c r="HK118" i="4"/>
  <c r="AA118" i="4" s="1"/>
  <c r="HK109" i="4"/>
  <c r="AA109" i="4" s="1"/>
  <c r="HK58" i="4"/>
  <c r="AA58" i="4" s="1"/>
  <c r="HK9" i="4" l="1"/>
  <c r="HK117" i="4" s="1"/>
  <c r="AA117" i="4" s="1"/>
  <c r="HJ17" i="4"/>
  <c r="HJ112" i="4" s="1"/>
  <c r="HJ113" i="4" s="1"/>
  <c r="FQ98" i="5" l="1"/>
  <c r="U98" i="5" s="1"/>
  <c r="AA9" i="4"/>
  <c r="FQ66" i="5"/>
  <c r="HK119" i="4"/>
  <c r="AA119" i="4" s="1"/>
  <c r="HK123" i="4"/>
  <c r="AA123" i="4" s="1"/>
  <c r="HK110" i="4"/>
  <c r="AA110" i="4" s="1"/>
  <c r="HK17" i="4"/>
  <c r="U66" i="5" l="1"/>
  <c r="HK112" i="4"/>
  <c r="AA17" i="4"/>
  <c r="HK113" i="4" l="1"/>
  <c r="AA113" i="4" s="1"/>
  <c r="AA112" i="4"/>
  <c r="U13" i="5" l="1"/>
  <c r="GI86" i="5"/>
  <c r="GJ86" i="5"/>
  <c r="GK86" i="5"/>
  <c r="GL86" i="5" s="1"/>
  <c r="X86" i="5" s="1"/>
  <c r="GH86" i="5"/>
  <c r="GD86" i="5"/>
  <c r="GE86" i="5" s="1"/>
  <c r="W86" i="5" s="1"/>
  <c r="GJ88" i="5"/>
  <c r="GD88" i="5"/>
  <c r="GI88" i="5"/>
  <c r="GH88" i="5"/>
  <c r="GK88" i="5"/>
  <c r="CJ24" i="1" l="1"/>
  <c r="DB24" i="1"/>
  <c r="DB13" i="1" s="1"/>
  <c r="CT24" i="1"/>
  <c r="CT13" i="1" s="1"/>
  <c r="FV24" i="1"/>
  <c r="FV13" i="1" s="1"/>
  <c r="FU24" i="1"/>
  <c r="FU13" i="1" s="1"/>
  <c r="FT24" i="1"/>
  <c r="FT13" i="1" s="1"/>
  <c r="GA14" i="1" s="1"/>
  <c r="CA24" i="1"/>
  <c r="CA13" i="1" s="1"/>
  <c r="FL21" i="1"/>
  <c r="FI21" i="1"/>
  <c r="AA21" i="1" s="1"/>
  <c r="FF24" i="1"/>
  <c r="FF13" i="1" s="1"/>
  <c r="EQ21" i="1"/>
  <c r="EN21" i="1"/>
  <c r="X21" i="1" s="1"/>
  <c r="EK24" i="1"/>
  <c r="EK13" i="1" s="1"/>
  <c r="DV21" i="1"/>
  <c r="DS21" i="1"/>
  <c r="U21" i="1" s="1"/>
  <c r="DP24" i="1"/>
  <c r="DP13" i="1" s="1"/>
  <c r="DA21" i="1"/>
  <c r="CW24" i="1"/>
  <c r="CW13" i="1" s="1"/>
  <c r="CN35" i="1"/>
  <c r="CN43" i="1" s="1"/>
  <c r="CN49" i="1" s="1"/>
  <c r="CH21" i="1"/>
  <c r="CB24" i="1"/>
  <c r="CB13" i="1" s="1"/>
  <c r="BS35" i="1"/>
  <c r="BS43" i="1" s="1"/>
  <c r="BS49" i="1" s="1"/>
  <c r="DO24" i="1"/>
  <c r="DO13" i="1" s="1"/>
  <c r="FS35" i="1"/>
  <c r="FS43" i="1" s="1"/>
  <c r="FS49" i="1" s="1"/>
  <c r="FM21" i="1"/>
  <c r="FG24" i="1"/>
  <c r="FG13" i="1" s="1"/>
  <c r="EX35" i="1"/>
  <c r="EX43" i="1" s="1"/>
  <c r="EX49" i="1" s="1"/>
  <c r="ER21" i="1"/>
  <c r="EL24" i="1"/>
  <c r="EL13" i="1" s="1"/>
  <c r="EC35" i="1"/>
  <c r="EC43" i="1" s="1"/>
  <c r="EC49" i="1" s="1"/>
  <c r="DW21" i="1"/>
  <c r="DQ24" i="1"/>
  <c r="DQ13" i="1" s="1"/>
  <c r="DH35" i="1"/>
  <c r="DH43" i="1" s="1"/>
  <c r="DH49" i="1" s="1"/>
  <c r="DB21" i="1"/>
  <c r="DE35" i="1"/>
  <c r="CX24" i="1"/>
  <c r="CO35" i="1"/>
  <c r="CO43" i="1" s="1"/>
  <c r="CO49" i="1" s="1"/>
  <c r="CI21" i="1"/>
  <c r="CF24" i="1"/>
  <c r="CF13" i="1" s="1"/>
  <c r="CC24" i="1"/>
  <c r="BT35" i="1"/>
  <c r="BT43" i="1" s="1"/>
  <c r="BT49" i="1" s="1"/>
  <c r="FH21" i="1"/>
  <c r="FT35" i="1"/>
  <c r="FT43" i="1" s="1"/>
  <c r="FT49" i="1" s="1"/>
  <c r="FN21" i="1"/>
  <c r="FP35" i="1"/>
  <c r="FH24" i="1"/>
  <c r="FH13" i="1" s="1"/>
  <c r="EY35" i="1"/>
  <c r="EY43" i="1" s="1"/>
  <c r="EY49" i="1" s="1"/>
  <c r="ES21" i="1"/>
  <c r="EU35" i="1"/>
  <c r="EM24" i="1"/>
  <c r="EM13" i="1" s="1"/>
  <c r="ED35" i="1"/>
  <c r="ED43" i="1" s="1"/>
  <c r="ED49" i="1" s="1"/>
  <c r="DX21" i="1"/>
  <c r="DZ35" i="1"/>
  <c r="DR24" i="1"/>
  <c r="DR13" i="1" s="1"/>
  <c r="DI35" i="1"/>
  <c r="DI43" i="1" s="1"/>
  <c r="DI49" i="1" s="1"/>
  <c r="DC21" i="1"/>
  <c r="DA24" i="1"/>
  <c r="DA13" i="1" s="1"/>
  <c r="CM21" i="1"/>
  <c r="CJ21" i="1"/>
  <c r="P21" i="1" s="1"/>
  <c r="CG24" i="1"/>
  <c r="CG13" i="1" s="1"/>
  <c r="ES35" i="1"/>
  <c r="ES43" i="1" s="1"/>
  <c r="ES49" i="1" s="1"/>
  <c r="BR35" i="1"/>
  <c r="BR43" i="1" s="1"/>
  <c r="BR49" i="1" s="1"/>
  <c r="FU35" i="1"/>
  <c r="FU43" i="1" s="1"/>
  <c r="FU49" i="1" s="1"/>
  <c r="FO21" i="1"/>
  <c r="FL24" i="1"/>
  <c r="FL13" i="1" s="1"/>
  <c r="FI24" i="1"/>
  <c r="EZ35" i="1"/>
  <c r="EZ43" i="1" s="1"/>
  <c r="EZ49" i="1" s="1"/>
  <c r="ET21" i="1"/>
  <c r="EQ24" i="1"/>
  <c r="EQ13" i="1" s="1"/>
  <c r="EN24" i="1"/>
  <c r="EE35" i="1"/>
  <c r="EE43" i="1" s="1"/>
  <c r="EE49" i="1" s="1"/>
  <c r="DY21" i="1"/>
  <c r="DV24" i="1"/>
  <c r="DV13" i="1" s="1"/>
  <c r="DS24" i="1"/>
  <c r="DJ35" i="1"/>
  <c r="DJ43" i="1" s="1"/>
  <c r="DJ49" i="1" s="1"/>
  <c r="DD21" i="1"/>
  <c r="CN21" i="1"/>
  <c r="CH24" i="1"/>
  <c r="CH13" i="1" s="1"/>
  <c r="BY35" i="1"/>
  <c r="BY43" i="1" s="1"/>
  <c r="BY49" i="1" s="1"/>
  <c r="FN35" i="1"/>
  <c r="FN43" i="1" s="1"/>
  <c r="FN49" i="1" s="1"/>
  <c r="EG24" i="1"/>
  <c r="CM35" i="1"/>
  <c r="CM43" i="1" s="1"/>
  <c r="CM49" i="1" s="1"/>
  <c r="GD20" i="1"/>
  <c r="FS21" i="1"/>
  <c r="FV35" i="1"/>
  <c r="FV43" i="1" s="1"/>
  <c r="FV49" i="1" s="1"/>
  <c r="FP21" i="1"/>
  <c r="AB21" i="1" s="1"/>
  <c r="FM24" i="1"/>
  <c r="FM13" i="1" s="1"/>
  <c r="EX21" i="1"/>
  <c r="FA35" i="1"/>
  <c r="FA43" i="1" s="1"/>
  <c r="FA49" i="1" s="1"/>
  <c r="EU21" i="1"/>
  <c r="Y21" i="1" s="1"/>
  <c r="ER24" i="1"/>
  <c r="ER13" i="1" s="1"/>
  <c r="ER14" i="1" s="1"/>
  <c r="EC21" i="1"/>
  <c r="EF35" i="1"/>
  <c r="EF43" i="1" s="1"/>
  <c r="EF49" i="1" s="1"/>
  <c r="DZ21" i="1"/>
  <c r="V21" i="1" s="1"/>
  <c r="DW24" i="1"/>
  <c r="DW13" i="1" s="1"/>
  <c r="DH21" i="1"/>
  <c r="DE21" i="1"/>
  <c r="S21" i="1" s="1"/>
  <c r="DC24" i="1"/>
  <c r="DC13" i="1" s="1"/>
  <c r="CT35" i="1"/>
  <c r="CT43" i="1" s="1"/>
  <c r="CT49" i="1" s="1"/>
  <c r="CO21" i="1"/>
  <c r="CQ35" i="1"/>
  <c r="CI24" i="1"/>
  <c r="CI13" i="1" s="1"/>
  <c r="BZ35" i="1"/>
  <c r="BZ43" i="1" s="1"/>
  <c r="BZ49" i="1" s="1"/>
  <c r="BU35" i="1"/>
  <c r="BU43" i="1" s="1"/>
  <c r="BU49" i="1" s="1"/>
  <c r="FZ24" i="1"/>
  <c r="FZ13" i="1" s="1"/>
  <c r="EJ24" i="1"/>
  <c r="EJ13" i="1" s="1"/>
  <c r="DK35" i="1"/>
  <c r="DK43" i="1" s="1"/>
  <c r="DK49" i="1" s="1"/>
  <c r="FT21" i="1"/>
  <c r="GA21" i="1"/>
  <c r="FN24" i="1"/>
  <c r="FN13" i="1" s="1"/>
  <c r="FE35" i="1"/>
  <c r="FE43" i="1" s="1"/>
  <c r="FE49" i="1" s="1"/>
  <c r="EY21" i="1"/>
  <c r="ES24" i="1"/>
  <c r="ES13" i="1" s="1"/>
  <c r="EJ35" i="1"/>
  <c r="EJ43" i="1" s="1"/>
  <c r="EJ49" i="1" s="1"/>
  <c r="ED21" i="1"/>
  <c r="DX24" i="1"/>
  <c r="DX13" i="1" s="1"/>
  <c r="DO35" i="1"/>
  <c r="DO43" i="1" s="1"/>
  <c r="DO49" i="1" s="1"/>
  <c r="DI21" i="1"/>
  <c r="DD24" i="1"/>
  <c r="DD13" i="1" s="1"/>
  <c r="CU35" i="1"/>
  <c r="CU43" i="1" s="1"/>
  <c r="CP21" i="1"/>
  <c r="CM24" i="1"/>
  <c r="CM13" i="1" s="1"/>
  <c r="CA35" i="1"/>
  <c r="CA43" i="1" s="1"/>
  <c r="CA49" i="1" s="1"/>
  <c r="BV35" i="1"/>
  <c r="CM7" i="1"/>
  <c r="FW24" i="1"/>
  <c r="EM21" i="1"/>
  <c r="DR21" i="1"/>
  <c r="CX21" i="1"/>
  <c r="R21" i="1" s="1"/>
  <c r="FU21" i="1"/>
  <c r="GB21" i="1"/>
  <c r="FW35" i="1"/>
  <c r="FN7" i="1"/>
  <c r="FO24" i="1"/>
  <c r="FO13" i="1" s="1"/>
  <c r="FF35" i="1"/>
  <c r="FF43" i="1" s="1"/>
  <c r="FF49" i="1" s="1"/>
  <c r="EZ21" i="1"/>
  <c r="FB35" i="1"/>
  <c r="ES7" i="1"/>
  <c r="ET24" i="1"/>
  <c r="ET13" i="1" s="1"/>
  <c r="EK35" i="1"/>
  <c r="EK43" i="1" s="1"/>
  <c r="EK49" i="1" s="1"/>
  <c r="EE21" i="1"/>
  <c r="EG35" i="1"/>
  <c r="DY24" i="1"/>
  <c r="DY13" i="1" s="1"/>
  <c r="DP35" i="1"/>
  <c r="DP43" i="1" s="1"/>
  <c r="DP49" i="1" s="1"/>
  <c r="DJ21" i="1"/>
  <c r="DL35" i="1"/>
  <c r="DE24" i="1"/>
  <c r="CV35" i="1"/>
  <c r="CV43" i="1" s="1"/>
  <c r="CV49" i="1" s="1"/>
  <c r="CQ21" i="1"/>
  <c r="Q21" i="1" s="1"/>
  <c r="CN24" i="1"/>
  <c r="CN13" i="1" s="1"/>
  <c r="BY21" i="1"/>
  <c r="CB35" i="1"/>
  <c r="CB43" i="1" s="1"/>
  <c r="CB49" i="1" s="1"/>
  <c r="BV21" i="1"/>
  <c r="N21" i="1" s="1"/>
  <c r="BR7" i="1"/>
  <c r="BR8" i="1" s="1"/>
  <c r="BR24" i="1"/>
  <c r="BR13" i="1" s="1"/>
  <c r="BR14" i="1" s="1"/>
  <c r="CJ7" i="1"/>
  <c r="P7" i="1" s="1"/>
  <c r="CJ35" i="1"/>
  <c r="GC21" i="1"/>
  <c r="FV21" i="1"/>
  <c r="FS7" i="1"/>
  <c r="FS24" i="1"/>
  <c r="FS13" i="1" s="1"/>
  <c r="FP24" i="1"/>
  <c r="FG35" i="1"/>
  <c r="FG43" i="1" s="1"/>
  <c r="FG49" i="1" s="1"/>
  <c r="FA21" i="1"/>
  <c r="EX7" i="1"/>
  <c r="EX24" i="1"/>
  <c r="EX13" i="1" s="1"/>
  <c r="EU24" i="1"/>
  <c r="Y24" i="1" s="1"/>
  <c r="EL35" i="1"/>
  <c r="EL43" i="1" s="1"/>
  <c r="EL49" i="1" s="1"/>
  <c r="EF21" i="1"/>
  <c r="EC7" i="1"/>
  <c r="EC24" i="1"/>
  <c r="EC13" i="1" s="1"/>
  <c r="DZ24" i="1"/>
  <c r="DQ35" i="1"/>
  <c r="DQ43" i="1" s="1"/>
  <c r="DQ49" i="1" s="1"/>
  <c r="DK21" i="1"/>
  <c r="DH24" i="1"/>
  <c r="DH13" i="1" s="1"/>
  <c r="CT21" i="1"/>
  <c r="DD7" i="1"/>
  <c r="DD35" i="1"/>
  <c r="DD43" i="1" s="1"/>
  <c r="DD49" i="1" s="1"/>
  <c r="CW35" i="1"/>
  <c r="CW43" i="1" s="1"/>
  <c r="CW49" i="1" s="1"/>
  <c r="CN7" i="1"/>
  <c r="CO24" i="1"/>
  <c r="CO13" i="1" s="1"/>
  <c r="CF35" i="1"/>
  <c r="CF43" i="1" s="1"/>
  <c r="CF49" i="1" s="1"/>
  <c r="BZ21" i="1"/>
  <c r="BS7" i="1"/>
  <c r="BS24" i="1"/>
  <c r="BS13" i="1" s="1"/>
  <c r="DE7" i="1"/>
  <c r="S7" i="1" s="1"/>
  <c r="DL24" i="1"/>
  <c r="FZ21" i="1"/>
  <c r="GG21" i="1"/>
  <c r="FW21" i="1"/>
  <c r="AC21" i="1" s="1"/>
  <c r="FP7" i="1"/>
  <c r="AB7" i="1" s="1"/>
  <c r="FE21" i="1"/>
  <c r="FO7" i="1"/>
  <c r="FO35" i="1"/>
  <c r="FO43" i="1" s="1"/>
  <c r="FO49" i="1" s="1"/>
  <c r="FH35" i="1"/>
  <c r="FH43" i="1" s="1"/>
  <c r="FH49" i="1" s="1"/>
  <c r="FB21" i="1"/>
  <c r="Z21" i="1" s="1"/>
  <c r="EY24" i="1"/>
  <c r="EY13" i="1" s="1"/>
  <c r="EU7" i="1"/>
  <c r="Y7" i="1" s="1"/>
  <c r="EJ21" i="1"/>
  <c r="EJ7" i="1"/>
  <c r="ET7" i="1"/>
  <c r="ET35" i="1"/>
  <c r="ET43" i="1" s="1"/>
  <c r="ET49" i="1" s="1"/>
  <c r="EM7" i="1"/>
  <c r="EM35" i="1"/>
  <c r="EM43" i="1" s="1"/>
  <c r="EM49" i="1" s="1"/>
  <c r="EM62" i="1" s="1"/>
  <c r="EG21" i="1"/>
  <c r="W21" i="1" s="1"/>
  <c r="EG7" i="1"/>
  <c r="W7" i="1" s="1"/>
  <c r="ED24" i="1"/>
  <c r="ED13" i="1" s="1"/>
  <c r="DO21" i="1"/>
  <c r="DO7" i="1"/>
  <c r="DY35" i="1"/>
  <c r="DY43" i="1" s="1"/>
  <c r="DY49" i="1" s="1"/>
  <c r="DY62" i="1" s="1"/>
  <c r="DR7" i="1"/>
  <c r="DR35" i="1"/>
  <c r="DR43" i="1" s="1"/>
  <c r="DR49" i="1" s="1"/>
  <c r="DL21" i="1"/>
  <c r="T21" i="1" s="1"/>
  <c r="DL7" i="1"/>
  <c r="DI24" i="1"/>
  <c r="DI13" i="1" s="1"/>
  <c r="DA7" i="1"/>
  <c r="DA35" i="1"/>
  <c r="DA43" i="1" s="1"/>
  <c r="DA49" i="1" s="1"/>
  <c r="CU21" i="1"/>
  <c r="CX7" i="1"/>
  <c r="R7" i="1" s="1"/>
  <c r="CX35" i="1"/>
  <c r="CO7" i="1"/>
  <c r="CP24" i="1"/>
  <c r="CP13" i="1" s="1"/>
  <c r="CG35" i="1"/>
  <c r="CG43" i="1" s="1"/>
  <c r="CG49" i="1" s="1"/>
  <c r="CA21" i="1"/>
  <c r="CC35" i="1"/>
  <c r="BT7" i="1"/>
  <c r="BT24" i="1"/>
  <c r="BT13" i="1" s="1"/>
  <c r="DH7" i="1"/>
  <c r="FV7" i="1"/>
  <c r="FB7" i="1"/>
  <c r="FB24" i="1"/>
  <c r="CG21" i="1"/>
  <c r="CG7" i="1"/>
  <c r="FT7" i="1"/>
  <c r="GA8" i="1" s="1"/>
  <c r="FL7" i="1"/>
  <c r="FL35" i="1"/>
  <c r="FL43" i="1" s="1"/>
  <c r="FL49" i="1" s="1"/>
  <c r="FF7" i="1"/>
  <c r="FF21" i="1"/>
  <c r="EY7" i="1"/>
  <c r="EZ24" i="1"/>
  <c r="EZ13" i="1" s="1"/>
  <c r="EQ35" i="1"/>
  <c r="EQ43" i="1" s="1"/>
  <c r="EQ49" i="1" s="1"/>
  <c r="EK7" i="1"/>
  <c r="EK21" i="1"/>
  <c r="ED7" i="1"/>
  <c r="EE24" i="1"/>
  <c r="EE13" i="1" s="1"/>
  <c r="DV7" i="1"/>
  <c r="DV35" i="1"/>
  <c r="DV43" i="1" s="1"/>
  <c r="DV49" i="1" s="1"/>
  <c r="DP7" i="1"/>
  <c r="DP21" i="1"/>
  <c r="DJ24" i="1"/>
  <c r="DJ13" i="1" s="1"/>
  <c r="DJ14" i="1" s="1"/>
  <c r="DB7" i="1"/>
  <c r="DB35" i="1"/>
  <c r="DB43" i="1" s="1"/>
  <c r="DB49" i="1" s="1"/>
  <c r="CV21" i="1"/>
  <c r="CQ24" i="1"/>
  <c r="CH7" i="1"/>
  <c r="CH35" i="1"/>
  <c r="CH43" i="1" s="1"/>
  <c r="CH49" i="1" s="1"/>
  <c r="CB21" i="1"/>
  <c r="BY24" i="1"/>
  <c r="BY13" i="1" s="1"/>
  <c r="BU7" i="1"/>
  <c r="BU24" i="1"/>
  <c r="BU13" i="1" s="1"/>
  <c r="DI7" i="1"/>
  <c r="DY7" i="1"/>
  <c r="EQ7" i="1"/>
  <c r="FW7" i="1"/>
  <c r="FE7" i="1"/>
  <c r="FE24" i="1"/>
  <c r="FE13" i="1" s="1"/>
  <c r="DX7" i="1"/>
  <c r="DX35" i="1"/>
  <c r="DX43" i="1" s="1"/>
  <c r="DX49" i="1" s="1"/>
  <c r="CV7" i="1"/>
  <c r="CV24" i="1"/>
  <c r="CV13" i="1" s="1"/>
  <c r="FZ35" i="1"/>
  <c r="GG36" i="1" s="1"/>
  <c r="FU7" i="1"/>
  <c r="GB8" i="1" s="1"/>
  <c r="FM7" i="1"/>
  <c r="FM35" i="1"/>
  <c r="FM43" i="1" s="1"/>
  <c r="FM49" i="1" s="1"/>
  <c r="FG7" i="1"/>
  <c r="FG21" i="1"/>
  <c r="FI7" i="1"/>
  <c r="FI35" i="1"/>
  <c r="AA35" i="1" s="1"/>
  <c r="EZ7" i="1"/>
  <c r="FA7" i="1"/>
  <c r="FA24" i="1"/>
  <c r="FA13" i="1" s="1"/>
  <c r="ER35" i="1"/>
  <c r="ER43" i="1" s="1"/>
  <c r="ER49" i="1" s="1"/>
  <c r="EL7" i="1"/>
  <c r="EL21" i="1"/>
  <c r="EN7" i="1"/>
  <c r="EN35" i="1"/>
  <c r="EE7" i="1"/>
  <c r="EF7" i="1"/>
  <c r="EF24" i="1"/>
  <c r="EF13" i="1" s="1"/>
  <c r="DW7" i="1"/>
  <c r="DW35" i="1"/>
  <c r="DW43" i="1" s="1"/>
  <c r="DW49" i="1" s="1"/>
  <c r="DQ21" i="1"/>
  <c r="DQ7" i="1"/>
  <c r="DS7" i="1"/>
  <c r="DS35" i="1"/>
  <c r="DK7" i="1"/>
  <c r="DK24" i="1"/>
  <c r="DK13" i="1" s="1"/>
  <c r="DC7" i="1"/>
  <c r="DC35" i="1"/>
  <c r="DC43" i="1" s="1"/>
  <c r="DC49" i="1" s="1"/>
  <c r="CW21" i="1"/>
  <c r="CW7" i="1"/>
  <c r="CU7" i="1"/>
  <c r="CU24" i="1"/>
  <c r="CU13" i="1" s="1"/>
  <c r="CQ7" i="1"/>
  <c r="CF21" i="1"/>
  <c r="CF7" i="1"/>
  <c r="CP7" i="1"/>
  <c r="CP35" i="1"/>
  <c r="CP43" i="1" s="1"/>
  <c r="CP49" i="1" s="1"/>
  <c r="CI7" i="1"/>
  <c r="CI35" i="1"/>
  <c r="CI43" i="1" s="1"/>
  <c r="CI49" i="1" s="1"/>
  <c r="CI62" i="1" s="1"/>
  <c r="O7" i="1"/>
  <c r="CC21" i="1"/>
  <c r="O21" i="1" s="1"/>
  <c r="BZ24" i="1"/>
  <c r="BZ13" i="1" s="1"/>
  <c r="BV7" i="1"/>
  <c r="BV24" i="1"/>
  <c r="CT7" i="1"/>
  <c r="DJ7" i="1"/>
  <c r="DZ7" i="1"/>
  <c r="ER7" i="1"/>
  <c r="FH7" i="1"/>
  <c r="FZ7" i="1"/>
  <c r="GG8" i="1" s="1"/>
  <c r="ES14" i="1" l="1"/>
  <c r="DK8" i="1"/>
  <c r="CT8" i="1"/>
  <c r="BY8" i="1"/>
  <c r="CI14" i="1"/>
  <c r="FA8" i="1"/>
  <c r="FE8" i="1"/>
  <c r="ED14" i="1"/>
  <c r="DA14" i="1"/>
  <c r="EF14" i="1"/>
  <c r="CM14" i="1"/>
  <c r="DK14" i="1"/>
  <c r="DW14" i="1"/>
  <c r="BZ8" i="1"/>
  <c r="EJ8" i="1"/>
  <c r="DI14" i="1"/>
  <c r="DH8" i="1"/>
  <c r="ET14" i="1"/>
  <c r="EZ14" i="1"/>
  <c r="DD14" i="1"/>
  <c r="EF8" i="1"/>
  <c r="DC8" i="1"/>
  <c r="CB8" i="1"/>
  <c r="DW8" i="1"/>
  <c r="EQ8" i="1"/>
  <c r="GB95" i="29"/>
  <c r="AD95" i="29" s="1"/>
  <c r="GB131" i="29"/>
  <c r="AD131" i="29" s="1"/>
  <c r="GB92" i="29"/>
  <c r="AD92" i="29" s="1"/>
  <c r="FI43" i="1"/>
  <c r="FI49" i="1" s="1"/>
  <c r="AA49" i="1" s="1"/>
  <c r="GB25" i="29"/>
  <c r="AD25" i="29" s="1"/>
  <c r="GB19" i="29"/>
  <c r="GB23" i="29"/>
  <c r="AD23" i="29" s="1"/>
  <c r="GB20" i="29"/>
  <c r="AD20" i="29" s="1"/>
  <c r="GB24" i="29"/>
  <c r="AD24" i="29" s="1"/>
  <c r="GB22" i="29"/>
  <c r="AD22" i="29" s="1"/>
  <c r="GB21" i="29"/>
  <c r="AD21" i="29" s="1"/>
  <c r="FM8" i="1"/>
  <c r="FN14" i="1"/>
  <c r="CV14" i="1"/>
  <c r="DY14" i="1"/>
  <c r="EE8" i="1"/>
  <c r="FG8" i="1"/>
  <c r="FH8" i="1"/>
  <c r="FV8" i="1"/>
  <c r="CP8" i="1"/>
  <c r="DY8" i="1"/>
  <c r="CA8" i="1"/>
  <c r="EE14" i="1"/>
  <c r="FA14" i="1"/>
  <c r="ET8" i="1"/>
  <c r="CU8" i="1"/>
  <c r="CP14" i="1"/>
  <c r="DJ8" i="1"/>
  <c r="FF8" i="1"/>
  <c r="CH8" i="1"/>
  <c r="EU13" i="1"/>
  <c r="Y13" i="1" s="1"/>
  <c r="FM14" i="1"/>
  <c r="FW8" i="1"/>
  <c r="AC8" i="1" s="1"/>
  <c r="AC7" i="1"/>
  <c r="FP43" i="1"/>
  <c r="AB35" i="1"/>
  <c r="FP13" i="1"/>
  <c r="AB13" i="1" s="1"/>
  <c r="AB24" i="1"/>
  <c r="EG43" i="1"/>
  <c r="W35" i="1"/>
  <c r="FW13" i="1"/>
  <c r="AC13" i="1" s="1"/>
  <c r="AC24" i="1"/>
  <c r="CC43" i="1"/>
  <c r="O35" i="1"/>
  <c r="FO14" i="1"/>
  <c r="DS13" i="1"/>
  <c r="U13" i="1" s="1"/>
  <c r="U24" i="1"/>
  <c r="DI8" i="1"/>
  <c r="EU43" i="1"/>
  <c r="Y35" i="1"/>
  <c r="CQ13" i="1"/>
  <c r="Q24" i="1"/>
  <c r="DE13" i="1"/>
  <c r="S24" i="1"/>
  <c r="FW43" i="1"/>
  <c r="AC35" i="1"/>
  <c r="FI13" i="1"/>
  <c r="AA13" i="1" s="1"/>
  <c r="AA24" i="1"/>
  <c r="DZ8" i="1"/>
  <c r="V8" i="1" s="1"/>
  <c r="V7" i="1"/>
  <c r="DS43" i="1"/>
  <c r="U35" i="1"/>
  <c r="DL13" i="1"/>
  <c r="T13" i="1" s="1"/>
  <c r="T24" i="1"/>
  <c r="DL43" i="1"/>
  <c r="T35" i="1"/>
  <c r="CX13" i="1"/>
  <c r="R13" i="1" s="1"/>
  <c r="R24" i="1"/>
  <c r="CJ13" i="1"/>
  <c r="P13" i="1" s="1"/>
  <c r="P24" i="1"/>
  <c r="ER8" i="1"/>
  <c r="DS8" i="1"/>
  <c r="U8" i="1" s="1"/>
  <c r="U7" i="1"/>
  <c r="EN43" i="1"/>
  <c r="X35" i="1"/>
  <c r="DZ13" i="1"/>
  <c r="V24" i="1"/>
  <c r="DE43" i="1"/>
  <c r="S35" i="1"/>
  <c r="EN8" i="1"/>
  <c r="X8" i="1" s="1"/>
  <c r="X7" i="1"/>
  <c r="FI8" i="1"/>
  <c r="AA8" i="1" s="1"/>
  <c r="AA7" i="1"/>
  <c r="FB13" i="1"/>
  <c r="Z24" i="1"/>
  <c r="DL8" i="1"/>
  <c r="T8" i="1" s="1"/>
  <c r="T7" i="1"/>
  <c r="AD20" i="1"/>
  <c r="CC13" i="1"/>
  <c r="O13" i="1" s="1"/>
  <c r="O24" i="1"/>
  <c r="BY14" i="1"/>
  <c r="FB8" i="1"/>
  <c r="Z8" i="1" s="1"/>
  <c r="Z7" i="1"/>
  <c r="CJ43" i="1"/>
  <c r="P35" i="1"/>
  <c r="FB43" i="1"/>
  <c r="Z35" i="1"/>
  <c r="DZ43" i="1"/>
  <c r="V35" i="1"/>
  <c r="CQ8" i="1"/>
  <c r="Q8" i="1" s="1"/>
  <c r="Q7" i="1"/>
  <c r="CX43" i="1"/>
  <c r="R43" i="1" s="1"/>
  <c r="R35" i="1"/>
  <c r="CQ43" i="1"/>
  <c r="Q35" i="1"/>
  <c r="EG13" i="1"/>
  <c r="W13" i="1" s="1"/>
  <c r="W24" i="1"/>
  <c r="EN13" i="1"/>
  <c r="X13" i="1" s="1"/>
  <c r="X24" i="1"/>
  <c r="BV13" i="1"/>
  <c r="N24" i="1"/>
  <c r="BV8" i="1"/>
  <c r="N8" i="1" s="1"/>
  <c r="N7" i="1"/>
  <c r="BV43" i="1"/>
  <c r="N35" i="1"/>
  <c r="EK8" i="1"/>
  <c r="EC14" i="1"/>
  <c r="BZ14" i="1"/>
  <c r="CU14" i="1"/>
  <c r="EY14" i="1"/>
  <c r="CO14" i="1"/>
  <c r="FE14" i="1"/>
  <c r="EZ8" i="1"/>
  <c r="FU8" i="1"/>
  <c r="CA14" i="1"/>
  <c r="FP8" i="1"/>
  <c r="AB8" i="1" s="1"/>
  <c r="DH14" i="1"/>
  <c r="CN14" i="1"/>
  <c r="DX8" i="1"/>
  <c r="DP8" i="1"/>
  <c r="EU8" i="1"/>
  <c r="Y8" i="1" s="1"/>
  <c r="EX14" i="1"/>
  <c r="CI8" i="1"/>
  <c r="CO8" i="1"/>
  <c r="EQ51" i="1"/>
  <c r="EQ50" i="1"/>
  <c r="EQ65" i="1"/>
  <c r="EQ67" i="1" s="1"/>
  <c r="EQ62" i="1"/>
  <c r="ET65" i="1"/>
  <c r="ET67" i="1" s="1"/>
  <c r="ET51" i="1"/>
  <c r="ET50" i="1"/>
  <c r="ET62" i="1"/>
  <c r="DC51" i="1"/>
  <c r="DC50" i="1"/>
  <c r="DC65" i="1"/>
  <c r="DC67" i="1" s="1"/>
  <c r="DC62" i="1"/>
  <c r="DW65" i="1"/>
  <c r="DW67" i="1" s="1"/>
  <c r="DW50" i="1"/>
  <c r="DW51" i="1"/>
  <c r="DW62" i="1"/>
  <c r="DB50" i="1"/>
  <c r="DB65" i="1"/>
  <c r="DB67" i="1" s="1"/>
  <c r="DB62" i="1"/>
  <c r="CH51" i="1"/>
  <c r="CH65" i="1"/>
  <c r="CH67" i="1" s="1"/>
  <c r="CH50" i="1"/>
  <c r="CH62" i="1"/>
  <c r="DR51" i="1"/>
  <c r="DR50" i="1"/>
  <c r="DR65" i="1"/>
  <c r="DR67" i="1" s="1"/>
  <c r="DR62" i="1"/>
  <c r="FH50" i="1"/>
  <c r="FH51" i="1"/>
  <c r="FH65" i="1"/>
  <c r="FH67" i="1" s="1"/>
  <c r="FH62" i="1"/>
  <c r="DX65" i="1"/>
  <c r="DX67" i="1" s="1"/>
  <c r="DX51" i="1"/>
  <c r="DX50" i="1"/>
  <c r="DX62" i="1"/>
  <c r="CI10" i="1"/>
  <c r="CI71" i="1"/>
  <c r="ER65" i="1"/>
  <c r="ER67" i="1" s="1"/>
  <c r="ER51" i="1"/>
  <c r="ER50" i="1"/>
  <c r="ER62" i="1"/>
  <c r="DA65" i="1"/>
  <c r="DA67" i="1" s="1"/>
  <c r="DA50" i="1"/>
  <c r="DA51" i="1"/>
  <c r="DA62" i="1"/>
  <c r="FO50" i="1"/>
  <c r="FO65" i="1"/>
  <c r="FO67" i="1" s="1"/>
  <c r="FO51" i="1"/>
  <c r="FO62" i="1"/>
  <c r="DY71" i="1"/>
  <c r="DY10" i="1"/>
  <c r="DV50" i="1"/>
  <c r="DV65" i="1"/>
  <c r="DV67" i="1" s="1"/>
  <c r="DV51" i="1"/>
  <c r="DV62" i="1"/>
  <c r="FL51" i="1"/>
  <c r="FL65" i="1"/>
  <c r="FL67" i="1" s="1"/>
  <c r="FL50" i="1"/>
  <c r="FL62" i="1"/>
  <c r="FM65" i="1"/>
  <c r="FM67" i="1" s="1"/>
  <c r="FM51" i="1"/>
  <c r="FM50" i="1"/>
  <c r="FM62" i="1"/>
  <c r="EM10" i="1"/>
  <c r="EM71" i="1"/>
  <c r="CG50" i="1"/>
  <c r="CG51" i="1"/>
  <c r="CG65" i="1"/>
  <c r="CG67" i="1" s="1"/>
  <c r="CG62" i="1"/>
  <c r="CP51" i="1"/>
  <c r="CP50" i="1"/>
  <c r="CP65" i="1"/>
  <c r="CP67" i="1" s="1"/>
  <c r="CP62" i="1"/>
  <c r="FZ8" i="1"/>
  <c r="EY8" i="1"/>
  <c r="EC8" i="1"/>
  <c r="FF50" i="1"/>
  <c r="FF51" i="1"/>
  <c r="FF65" i="1"/>
  <c r="FF67" i="1" s="1"/>
  <c r="FF62" i="1"/>
  <c r="EJ14" i="1"/>
  <c r="FL14" i="1"/>
  <c r="FS14" i="1"/>
  <c r="ED62" i="1"/>
  <c r="ED65" i="1"/>
  <c r="ED67" i="1" s="1"/>
  <c r="ED50" i="1"/>
  <c r="ED51" i="1"/>
  <c r="FG14" i="1"/>
  <c r="CV51" i="1"/>
  <c r="CV62" i="1"/>
  <c r="CV65" i="1"/>
  <c r="CV67" i="1" s="1"/>
  <c r="CV50" i="1"/>
  <c r="CM51" i="1"/>
  <c r="CM65" i="1"/>
  <c r="CM67" i="1" s="1"/>
  <c r="CM50" i="1"/>
  <c r="CM62" i="1"/>
  <c r="FL8" i="1"/>
  <c r="DY51" i="1"/>
  <c r="DY50" i="1"/>
  <c r="DY65" i="1"/>
  <c r="DY67" i="1" s="1"/>
  <c r="EG8" i="1"/>
  <c r="W8" i="1" s="1"/>
  <c r="FZ14" i="1"/>
  <c r="GG14" i="1"/>
  <c r="CG14" i="1"/>
  <c r="EM14" i="1"/>
  <c r="CN65" i="1"/>
  <c r="CN67" i="1" s="1"/>
  <c r="CN62" i="1"/>
  <c r="CN50" i="1"/>
  <c r="CN51" i="1"/>
  <c r="CC8" i="1"/>
  <c r="O8" i="1" s="1"/>
  <c r="CV8" i="1"/>
  <c r="DV8" i="1"/>
  <c r="FT8" i="1"/>
  <c r="FN8" i="1"/>
  <c r="BU50" i="1"/>
  <c r="BU51" i="1"/>
  <c r="BU65" i="1"/>
  <c r="BU67" i="1" s="1"/>
  <c r="BU62" i="1"/>
  <c r="FN65" i="1"/>
  <c r="FN67" i="1" s="1"/>
  <c r="FN50" i="1"/>
  <c r="FN62" i="1"/>
  <c r="FN51" i="1"/>
  <c r="EE62" i="1"/>
  <c r="EE51" i="1"/>
  <c r="EE50" i="1"/>
  <c r="EE65" i="1"/>
  <c r="EE67" i="1" s="1"/>
  <c r="FF14" i="1"/>
  <c r="GB14" i="1"/>
  <c r="FU14" i="1"/>
  <c r="CF51" i="1"/>
  <c r="CF50" i="1"/>
  <c r="CF65" i="1"/>
  <c r="CF67" i="1" s="1"/>
  <c r="CF62" i="1"/>
  <c r="FG62" i="1"/>
  <c r="FG50" i="1"/>
  <c r="FG65" i="1"/>
  <c r="FG67" i="1" s="1"/>
  <c r="FG51" i="1"/>
  <c r="EK65" i="1"/>
  <c r="EK67" i="1" s="1"/>
  <c r="EK50" i="1"/>
  <c r="EK62" i="1"/>
  <c r="EK51" i="1"/>
  <c r="FT51" i="1"/>
  <c r="FT62" i="1"/>
  <c r="FT65" i="1"/>
  <c r="FT67" i="1" s="1"/>
  <c r="GA51" i="1"/>
  <c r="FT50" i="1"/>
  <c r="CO51" i="1"/>
  <c r="CO50" i="1"/>
  <c r="CO62" i="1"/>
  <c r="CO65" i="1"/>
  <c r="CO67" i="1" s="1"/>
  <c r="CW14" i="1"/>
  <c r="FV14" i="1"/>
  <c r="GC14" i="1"/>
  <c r="DQ8" i="1"/>
  <c r="EL8" i="1"/>
  <c r="ES8" i="1"/>
  <c r="GC8" i="1"/>
  <c r="CJ8" i="1"/>
  <c r="P8" i="1" s="1"/>
  <c r="CA51" i="1"/>
  <c r="CA50" i="1"/>
  <c r="CA65" i="1"/>
  <c r="CA67" i="1" s="1"/>
  <c r="CA62" i="1"/>
  <c r="DO62" i="1"/>
  <c r="DO51" i="1"/>
  <c r="DO50" i="1"/>
  <c r="DO65" i="1"/>
  <c r="DO67" i="1" s="1"/>
  <c r="FE62" i="1"/>
  <c r="FE51" i="1"/>
  <c r="FE65" i="1"/>
  <c r="FE67" i="1" s="1"/>
  <c r="FE50" i="1"/>
  <c r="CT50" i="1"/>
  <c r="CT51" i="1"/>
  <c r="CT65" i="1"/>
  <c r="CT67" i="1" s="1"/>
  <c r="CT62" i="1"/>
  <c r="EQ14" i="1"/>
  <c r="DI51" i="1"/>
  <c r="DI50" i="1"/>
  <c r="DI62" i="1"/>
  <c r="DI65" i="1"/>
  <c r="DI67" i="1" s="1"/>
  <c r="EC62" i="1"/>
  <c r="EC51" i="1"/>
  <c r="EC50" i="1"/>
  <c r="EC65" i="1"/>
  <c r="EC67" i="1" s="1"/>
  <c r="CT14" i="1"/>
  <c r="DA8" i="1"/>
  <c r="DO8" i="1"/>
  <c r="CN8" i="1"/>
  <c r="EL51" i="1"/>
  <c r="EL50" i="1"/>
  <c r="EL65" i="1"/>
  <c r="EL67" i="1" s="1"/>
  <c r="EL62" i="1"/>
  <c r="DX14" i="1"/>
  <c r="DC14" i="1"/>
  <c r="FV65" i="1"/>
  <c r="FV67" i="1" s="1"/>
  <c r="FV50" i="1"/>
  <c r="FV62" i="1"/>
  <c r="GC51" i="1"/>
  <c r="FV51" i="1"/>
  <c r="DJ50" i="1"/>
  <c r="DJ51" i="1"/>
  <c r="DJ62" i="1"/>
  <c r="DJ65" i="1"/>
  <c r="DJ67" i="1" s="1"/>
  <c r="FU50" i="1"/>
  <c r="FU65" i="1"/>
  <c r="FU67" i="1" s="1"/>
  <c r="FU62" i="1"/>
  <c r="GB51" i="1"/>
  <c r="FU51" i="1"/>
  <c r="EL14" i="1"/>
  <c r="FS50" i="1"/>
  <c r="FS51" i="1"/>
  <c r="FS62" i="1"/>
  <c r="FS65" i="1"/>
  <c r="FS67" i="1" s="1"/>
  <c r="EK14" i="1"/>
  <c r="DB14" i="1"/>
  <c r="DK51" i="1"/>
  <c r="DK50" i="1"/>
  <c r="DK62" i="1"/>
  <c r="DK65" i="1"/>
  <c r="DK67" i="1" s="1"/>
  <c r="CW8" i="1"/>
  <c r="CW50" i="1"/>
  <c r="CW51" i="1"/>
  <c r="CW65" i="1"/>
  <c r="CW67" i="1" s="1"/>
  <c r="CW62" i="1"/>
  <c r="BZ50" i="1"/>
  <c r="BZ62" i="1"/>
  <c r="BZ51" i="1"/>
  <c r="BZ65" i="1"/>
  <c r="BZ67" i="1" s="1"/>
  <c r="FA51" i="1"/>
  <c r="FA50" i="1"/>
  <c r="FA65" i="1"/>
  <c r="FA67" i="1" s="1"/>
  <c r="FA62" i="1"/>
  <c r="BY62" i="1"/>
  <c r="BY51" i="1"/>
  <c r="BY50" i="1"/>
  <c r="BY65" i="1"/>
  <c r="BY67" i="1" s="1"/>
  <c r="BR50" i="1"/>
  <c r="BR51" i="1"/>
  <c r="BR62" i="1"/>
  <c r="BR65" i="1"/>
  <c r="BR67" i="1" s="1"/>
  <c r="DR14" i="1"/>
  <c r="DO14" i="1"/>
  <c r="DV14" i="1"/>
  <c r="CI51" i="1"/>
  <c r="CI65" i="1"/>
  <c r="CI67" i="1" s="1"/>
  <c r="CI50" i="1"/>
  <c r="CX8" i="1"/>
  <c r="R8" i="1" s="1"/>
  <c r="DE8" i="1"/>
  <c r="S8" i="1" s="1"/>
  <c r="EM65" i="1"/>
  <c r="EM67" i="1" s="1"/>
  <c r="EM50" i="1"/>
  <c r="EM51" i="1"/>
  <c r="FO8" i="1"/>
  <c r="DD50" i="1"/>
  <c r="DD65" i="1"/>
  <c r="DD67" i="1" s="1"/>
  <c r="DD62" i="1"/>
  <c r="DD51" i="1"/>
  <c r="DQ51" i="1"/>
  <c r="DQ50" i="1"/>
  <c r="DQ65" i="1"/>
  <c r="DQ67" i="1" s="1"/>
  <c r="DQ62" i="1"/>
  <c r="FS8" i="1"/>
  <c r="EF65" i="1"/>
  <c r="EF67" i="1" s="1"/>
  <c r="EF62" i="1"/>
  <c r="EF50" i="1"/>
  <c r="EF51" i="1"/>
  <c r="CH14" i="1"/>
  <c r="EY65" i="1"/>
  <c r="EY67" i="1" s="1"/>
  <c r="EY62" i="1"/>
  <c r="EY51" i="1"/>
  <c r="EY50" i="1"/>
  <c r="BS50" i="1"/>
  <c r="BS65" i="1"/>
  <c r="BS67" i="1" s="1"/>
  <c r="BS62" i="1"/>
  <c r="BS51" i="1"/>
  <c r="ED8" i="1"/>
  <c r="CG8" i="1"/>
  <c r="DD8" i="1"/>
  <c r="DP65" i="1"/>
  <c r="DP67" i="1" s="1"/>
  <c r="DP62" i="1"/>
  <c r="DP50" i="1"/>
  <c r="DP51" i="1"/>
  <c r="ES51" i="1"/>
  <c r="ES65" i="1"/>
  <c r="ES67" i="1" s="1"/>
  <c r="ES62" i="1"/>
  <c r="ES50" i="1"/>
  <c r="BT51" i="1"/>
  <c r="BT62" i="1"/>
  <c r="BT65" i="1"/>
  <c r="BT67" i="1" s="1"/>
  <c r="BT50" i="1"/>
  <c r="CB14" i="1"/>
  <c r="DP14" i="1"/>
  <c r="CB65" i="1"/>
  <c r="CB67" i="1" s="1"/>
  <c r="CB62" i="1"/>
  <c r="CB50" i="1"/>
  <c r="CB51" i="1"/>
  <c r="FZ43" i="1"/>
  <c r="DB8" i="1"/>
  <c r="DR8" i="1"/>
  <c r="FH14" i="1"/>
  <c r="DQ14" i="1"/>
  <c r="CM8" i="1"/>
  <c r="CF8" i="1"/>
  <c r="EM8" i="1"/>
  <c r="EX8" i="1"/>
  <c r="CU46" i="1"/>
  <c r="CX46" i="1" s="1"/>
  <c r="EJ50" i="1"/>
  <c r="EJ62" i="1"/>
  <c r="EJ51" i="1"/>
  <c r="EJ65" i="1"/>
  <c r="EJ67" i="1" s="1"/>
  <c r="EZ62" i="1"/>
  <c r="EZ50" i="1"/>
  <c r="EZ51" i="1"/>
  <c r="EZ65" i="1"/>
  <c r="EZ67" i="1" s="1"/>
  <c r="CF14" i="1"/>
  <c r="DH62" i="1"/>
  <c r="DH51" i="1"/>
  <c r="DH50" i="1"/>
  <c r="DH65" i="1"/>
  <c r="DH67" i="1" s="1"/>
  <c r="EX65" i="1"/>
  <c r="EX67" i="1" s="1"/>
  <c r="EX51" i="1"/>
  <c r="EX50" i="1"/>
  <c r="EX62" i="1"/>
  <c r="GD21" i="1"/>
  <c r="AD21" i="1" s="1"/>
  <c r="FT14" i="1"/>
  <c r="GK21" i="1"/>
  <c r="AE21" i="1" s="1"/>
  <c r="GD35" i="1"/>
  <c r="AD35" i="1" s="1"/>
  <c r="CO69" i="4"/>
  <c r="GD24" i="1"/>
  <c r="GD7" i="1"/>
  <c r="AD7" i="1" s="1"/>
  <c r="DS14" i="1" l="1"/>
  <c r="U14" i="1" s="1"/>
  <c r="AA43" i="1"/>
  <c r="CC14" i="1"/>
  <c r="O14" i="1" s="1"/>
  <c r="CX14" i="1"/>
  <c r="R14" i="1" s="1"/>
  <c r="FI50" i="1"/>
  <c r="AA50" i="1" s="1"/>
  <c r="FI65" i="1"/>
  <c r="FI67" i="1" s="1"/>
  <c r="AA67" i="1" s="1"/>
  <c r="FI62" i="1"/>
  <c r="GB27" i="29"/>
  <c r="AD27" i="29" s="1"/>
  <c r="AD19" i="29"/>
  <c r="FP14" i="1"/>
  <c r="AB14" i="1" s="1"/>
  <c r="FI14" i="1"/>
  <c r="AA14" i="1" s="1"/>
  <c r="CJ14" i="1"/>
  <c r="P14" i="1" s="1"/>
  <c r="EG14" i="1"/>
  <c r="W14" i="1" s="1"/>
  <c r="DL14" i="1"/>
  <c r="T14" i="1" s="1"/>
  <c r="FW14" i="1"/>
  <c r="AC14" i="1" s="1"/>
  <c r="EN14" i="1"/>
  <c r="X14" i="1" s="1"/>
  <c r="DZ49" i="1"/>
  <c r="V43" i="1"/>
  <c r="DE14" i="1"/>
  <c r="S14" i="1" s="1"/>
  <c r="S13" i="1"/>
  <c r="CC49" i="1"/>
  <c r="O43" i="1"/>
  <c r="EN49" i="1"/>
  <c r="X43" i="1"/>
  <c r="FB49" i="1"/>
  <c r="Z43" i="1"/>
  <c r="CQ14" i="1"/>
  <c r="Q14" i="1" s="1"/>
  <c r="Q13" i="1"/>
  <c r="CX49" i="1"/>
  <c r="R49" i="1" s="1"/>
  <c r="R46" i="1"/>
  <c r="FB14" i="1"/>
  <c r="Z14" i="1" s="1"/>
  <c r="Z13" i="1"/>
  <c r="DZ14" i="1"/>
  <c r="V14" i="1" s="1"/>
  <c r="V13" i="1"/>
  <c r="CJ49" i="1"/>
  <c r="P43" i="1"/>
  <c r="DS49" i="1"/>
  <c r="U43" i="1"/>
  <c r="EU49" i="1"/>
  <c r="Y43" i="1"/>
  <c r="EG49" i="1"/>
  <c r="W43" i="1"/>
  <c r="CQ49" i="1"/>
  <c r="Q43" i="1"/>
  <c r="FP49" i="1"/>
  <c r="AB43" i="1"/>
  <c r="DE49" i="1"/>
  <c r="S43" i="1"/>
  <c r="GD13" i="1"/>
  <c r="AD13" i="1" s="1"/>
  <c r="AD24" i="1"/>
  <c r="DL49" i="1"/>
  <c r="T43" i="1"/>
  <c r="FW49" i="1"/>
  <c r="AC43" i="1"/>
  <c r="EU14" i="1"/>
  <c r="Y14" i="1" s="1"/>
  <c r="BV49" i="1"/>
  <c r="N43" i="1"/>
  <c r="BV14" i="1"/>
  <c r="N14" i="1" s="1"/>
  <c r="N13" i="1"/>
  <c r="DQ10" i="1"/>
  <c r="DQ71" i="1"/>
  <c r="CW10" i="1"/>
  <c r="CW71" i="1"/>
  <c r="FS10" i="1"/>
  <c r="FS71" i="1"/>
  <c r="EL71" i="1"/>
  <c r="EL10" i="1"/>
  <c r="CO10" i="1"/>
  <c r="CO71" i="1"/>
  <c r="FN71" i="1"/>
  <c r="FN10" i="1"/>
  <c r="EK10" i="1"/>
  <c r="EK71" i="1"/>
  <c r="ES71" i="1"/>
  <c r="ES10" i="1"/>
  <c r="BS10" i="1"/>
  <c r="BS71" i="1"/>
  <c r="DJ10" i="1"/>
  <c r="DJ71" i="1"/>
  <c r="DI10" i="1"/>
  <c r="DI71" i="1"/>
  <c r="BY71" i="1"/>
  <c r="BY10" i="1"/>
  <c r="BU10" i="1"/>
  <c r="BU71" i="1"/>
  <c r="FM10" i="1"/>
  <c r="FM71" i="1"/>
  <c r="DX10" i="1"/>
  <c r="DX71" i="1"/>
  <c r="CH10" i="1"/>
  <c r="CH71" i="1"/>
  <c r="DC10" i="1"/>
  <c r="DC71" i="1"/>
  <c r="FZ47" i="1"/>
  <c r="GG44" i="1"/>
  <c r="FZ49" i="1"/>
  <c r="GK8" i="1"/>
  <c r="AE8" i="1" s="1"/>
  <c r="GD8" i="1"/>
  <c r="AD8" i="1" s="1"/>
  <c r="DH71" i="1"/>
  <c r="DH10" i="1"/>
  <c r="FA10" i="1"/>
  <c r="FA71" i="1"/>
  <c r="EQ10" i="1"/>
  <c r="EQ71" i="1"/>
  <c r="EF71" i="1"/>
  <c r="EF10" i="1"/>
  <c r="EF11" i="1" s="1"/>
  <c r="DD10" i="1"/>
  <c r="DD71" i="1"/>
  <c r="DO71" i="1"/>
  <c r="DO10" i="1"/>
  <c r="CM10" i="1"/>
  <c r="CM71" i="1"/>
  <c r="ED71" i="1"/>
  <c r="ED10" i="1"/>
  <c r="CP71" i="1"/>
  <c r="CP10" i="1"/>
  <c r="CP11" i="1" s="1"/>
  <c r="DA10" i="1"/>
  <c r="DA71" i="1"/>
  <c r="FO71" i="1"/>
  <c r="FO10" i="1"/>
  <c r="CB71" i="1"/>
  <c r="CB10" i="1"/>
  <c r="DK71" i="1"/>
  <c r="DK10" i="1"/>
  <c r="CT10" i="1"/>
  <c r="CT71" i="1"/>
  <c r="CA10" i="1"/>
  <c r="CA71" i="1"/>
  <c r="FT71" i="1"/>
  <c r="FT10" i="1"/>
  <c r="CN10" i="1"/>
  <c r="CN71" i="1"/>
  <c r="AU124" i="5"/>
  <c r="C124" i="5" s="1"/>
  <c r="CO84" i="4"/>
  <c r="I84" i="4" s="1"/>
  <c r="CO81" i="4"/>
  <c r="I81" i="4" s="1"/>
  <c r="CO72" i="4"/>
  <c r="I72" i="4" s="1"/>
  <c r="CO113" i="4"/>
  <c r="I113" i="4" s="1"/>
  <c r="CO78" i="4"/>
  <c r="I78" i="4" s="1"/>
  <c r="AU89" i="5"/>
  <c r="C89" i="5" s="1"/>
  <c r="AU113" i="5"/>
  <c r="C113" i="5" s="1"/>
  <c r="CO101" i="4"/>
  <c r="I101" i="4" s="1"/>
  <c r="I69" i="4"/>
  <c r="CO74" i="4"/>
  <c r="AU103" i="5"/>
  <c r="C103" i="5" s="1"/>
  <c r="CO105" i="4"/>
  <c r="CO93" i="4"/>
  <c r="I93" i="4" s="1"/>
  <c r="AU116" i="5"/>
  <c r="C116" i="5" s="1"/>
  <c r="DP10" i="1"/>
  <c r="DP71" i="1"/>
  <c r="EY10" i="1"/>
  <c r="EY71" i="1"/>
  <c r="FV71" i="1"/>
  <c r="FV10" i="1"/>
  <c r="FG71" i="1"/>
  <c r="FG10" i="1"/>
  <c r="FL10" i="1"/>
  <c r="FL71" i="1"/>
  <c r="DV71" i="1"/>
  <c r="DV10" i="1"/>
  <c r="FH10" i="1"/>
  <c r="FH71" i="1"/>
  <c r="DB10" i="1"/>
  <c r="DB71" i="1"/>
  <c r="CF10" i="1"/>
  <c r="CF71" i="1"/>
  <c r="EJ10" i="1"/>
  <c r="EJ71" i="1"/>
  <c r="EX71" i="1"/>
  <c r="EX10" i="1"/>
  <c r="BR71" i="1"/>
  <c r="BR10" i="1"/>
  <c r="BR11" i="1" s="1"/>
  <c r="FF10" i="1"/>
  <c r="FF71" i="1"/>
  <c r="CG10" i="1"/>
  <c r="CG71" i="1"/>
  <c r="ER10" i="1"/>
  <c r="ER71" i="1"/>
  <c r="EZ71" i="1"/>
  <c r="EZ10" i="1"/>
  <c r="FE71" i="1"/>
  <c r="FE10" i="1"/>
  <c r="GK36" i="1"/>
  <c r="GD43" i="1"/>
  <c r="AD43" i="1" s="1"/>
  <c r="BZ10" i="1"/>
  <c r="BZ71" i="1"/>
  <c r="FU10" i="1"/>
  <c r="FU71" i="1"/>
  <c r="EE71" i="1"/>
  <c r="EE10" i="1"/>
  <c r="CU49" i="1"/>
  <c r="BT71" i="1"/>
  <c r="BT10" i="1"/>
  <c r="EC71" i="1"/>
  <c r="EC10" i="1"/>
  <c r="CV71" i="1"/>
  <c r="CV10" i="1"/>
  <c r="DR10" i="1"/>
  <c r="DR71" i="1"/>
  <c r="DW10" i="1"/>
  <c r="DW71" i="1"/>
  <c r="ET71" i="1"/>
  <c r="ET10" i="1"/>
  <c r="ET11" i="1" s="1"/>
  <c r="EZ11" i="1" l="1"/>
  <c r="AA62" i="1"/>
  <c r="FI71" i="1"/>
  <c r="AA71" i="1" s="1"/>
  <c r="DV11" i="1"/>
  <c r="AA65" i="1"/>
  <c r="FI10" i="1"/>
  <c r="AA10" i="1" s="1"/>
  <c r="ER11" i="1"/>
  <c r="CB11" i="1"/>
  <c r="DD11" i="1"/>
  <c r="GD14" i="1"/>
  <c r="AD14" i="1" s="1"/>
  <c r="GK14" i="1"/>
  <c r="AE14" i="1" s="1"/>
  <c r="CX51" i="1"/>
  <c r="R51" i="1" s="1"/>
  <c r="EC11" i="1"/>
  <c r="CV11" i="1"/>
  <c r="FH11" i="1"/>
  <c r="DP11" i="1"/>
  <c r="CX62" i="1"/>
  <c r="CX65" i="1"/>
  <c r="CX67" i="1" s="1"/>
  <c r="R67" i="1" s="1"/>
  <c r="DX11" i="1"/>
  <c r="EE11" i="1"/>
  <c r="CX50" i="1"/>
  <c r="R50" i="1" s="1"/>
  <c r="DK11" i="1"/>
  <c r="DO11" i="1"/>
  <c r="CH11" i="1"/>
  <c r="U49" i="1"/>
  <c r="DS62" i="1"/>
  <c r="DS65" i="1"/>
  <c r="DS51" i="1"/>
  <c r="U51" i="1" s="1"/>
  <c r="DS50" i="1"/>
  <c r="U50" i="1" s="1"/>
  <c r="S49" i="1"/>
  <c r="DE65" i="1"/>
  <c r="DE62" i="1"/>
  <c r="DE50" i="1"/>
  <c r="S50" i="1" s="1"/>
  <c r="CJ65" i="1"/>
  <c r="P49" i="1"/>
  <c r="CJ50" i="1"/>
  <c r="P50" i="1" s="1"/>
  <c r="CJ62" i="1"/>
  <c r="CJ51" i="1"/>
  <c r="P51" i="1" s="1"/>
  <c r="Z49" i="1"/>
  <c r="FB62" i="1"/>
  <c r="FI51" i="1"/>
  <c r="AA51" i="1" s="1"/>
  <c r="FB50" i="1"/>
  <c r="Z50" i="1" s="1"/>
  <c r="FB65" i="1"/>
  <c r="FB51" i="1"/>
  <c r="Z51" i="1" s="1"/>
  <c r="AB49" i="1"/>
  <c r="FP62" i="1"/>
  <c r="FP50" i="1"/>
  <c r="AB50" i="1" s="1"/>
  <c r="FP51" i="1"/>
  <c r="AB51" i="1" s="1"/>
  <c r="FP65" i="1"/>
  <c r="X49" i="1"/>
  <c r="EN51" i="1"/>
  <c r="X51" i="1" s="1"/>
  <c r="EN50" i="1"/>
  <c r="X50" i="1" s="1"/>
  <c r="EN65" i="1"/>
  <c r="EN62" i="1"/>
  <c r="ES11" i="1"/>
  <c r="Q49" i="1"/>
  <c r="CQ65" i="1"/>
  <c r="CQ51" i="1"/>
  <c r="Q51" i="1" s="1"/>
  <c r="CQ62" i="1"/>
  <c r="CQ50" i="1"/>
  <c r="Q50" i="1" s="1"/>
  <c r="O49" i="1"/>
  <c r="CC50" i="1"/>
  <c r="O50" i="1" s="1"/>
  <c r="CC65" i="1"/>
  <c r="CC62" i="1"/>
  <c r="AC49" i="1"/>
  <c r="FW51" i="1"/>
  <c r="AC51" i="1" s="1"/>
  <c r="FW65" i="1"/>
  <c r="FW50" i="1"/>
  <c r="AC50" i="1" s="1"/>
  <c r="FW62" i="1"/>
  <c r="W49" i="1"/>
  <c r="EG51" i="1"/>
  <c r="W51" i="1" s="1"/>
  <c r="EG62" i="1"/>
  <c r="EG65" i="1"/>
  <c r="EG50" i="1"/>
  <c r="W50" i="1" s="1"/>
  <c r="DE51" i="1"/>
  <c r="S51" i="1" s="1"/>
  <c r="DR11" i="1"/>
  <c r="T49" i="1"/>
  <c r="DL51" i="1"/>
  <c r="T51" i="1" s="1"/>
  <c r="DL50" i="1"/>
  <c r="T50" i="1" s="1"/>
  <c r="DL62" i="1"/>
  <c r="DL65" i="1"/>
  <c r="Y49" i="1"/>
  <c r="EU51" i="1"/>
  <c r="Y51" i="1" s="1"/>
  <c r="EU65" i="1"/>
  <c r="EU62" i="1"/>
  <c r="EU50" i="1"/>
  <c r="Y50" i="1" s="1"/>
  <c r="V49" i="1"/>
  <c r="DZ51" i="1"/>
  <c r="V51" i="1" s="1"/>
  <c r="DZ50" i="1"/>
  <c r="V50" i="1" s="1"/>
  <c r="DZ62" i="1"/>
  <c r="DZ65" i="1"/>
  <c r="N49" i="1"/>
  <c r="CC51" i="1"/>
  <c r="O51" i="1" s="1"/>
  <c r="BV62" i="1"/>
  <c r="BV65" i="1"/>
  <c r="BV51" i="1"/>
  <c r="N51" i="1" s="1"/>
  <c r="BV50" i="1"/>
  <c r="N50" i="1" s="1"/>
  <c r="BZ11" i="1"/>
  <c r="EX11" i="1"/>
  <c r="CF11" i="1"/>
  <c r="FL11" i="1"/>
  <c r="DJ11" i="1"/>
  <c r="CN11" i="1"/>
  <c r="CM11" i="1"/>
  <c r="EJ11" i="1"/>
  <c r="CG11" i="1"/>
  <c r="EK11" i="1"/>
  <c r="CI11" i="1"/>
  <c r="CO86" i="4"/>
  <c r="I74" i="4"/>
  <c r="CO75" i="4"/>
  <c r="I75" i="4" s="1"/>
  <c r="AU117" i="5"/>
  <c r="C117" i="5" s="1"/>
  <c r="FT11" i="1"/>
  <c r="GA11" i="1"/>
  <c r="FA11" i="1"/>
  <c r="FS11" i="1"/>
  <c r="FU11" i="1"/>
  <c r="GB11" i="1"/>
  <c r="FO11" i="1"/>
  <c r="DH11" i="1"/>
  <c r="DY11" i="1"/>
  <c r="CA11" i="1"/>
  <c r="CW11" i="1"/>
  <c r="EY11" i="1"/>
  <c r="FV11" i="1"/>
  <c r="GC11" i="1"/>
  <c r="CT11" i="1"/>
  <c r="DA11" i="1"/>
  <c r="DQ11" i="1"/>
  <c r="GG51" i="1"/>
  <c r="FZ65" i="1"/>
  <c r="FZ67" i="1" s="1"/>
  <c r="GG68" i="1" s="1"/>
  <c r="FZ50" i="1"/>
  <c r="FZ51" i="1"/>
  <c r="FZ62" i="1"/>
  <c r="GD49" i="1"/>
  <c r="AD49" i="1" s="1"/>
  <c r="FM11" i="1"/>
  <c r="FN11" i="1"/>
  <c r="EM11" i="1"/>
  <c r="ED11" i="1"/>
  <c r="FG11" i="1"/>
  <c r="FE11" i="1"/>
  <c r="AU100" i="5"/>
  <c r="C100" i="5" s="1"/>
  <c r="I105" i="4"/>
  <c r="EQ11" i="1"/>
  <c r="BY11" i="1"/>
  <c r="DI11" i="1"/>
  <c r="CO11" i="1"/>
  <c r="FF11" i="1"/>
  <c r="GK44" i="1"/>
  <c r="AE44" i="1" s="1"/>
  <c r="CO89" i="4"/>
  <c r="CO110" i="4" s="1"/>
  <c r="I110" i="4" s="1"/>
  <c r="GD47" i="1"/>
  <c r="AD47" i="1" s="1"/>
  <c r="DW11" i="1"/>
  <c r="CU51" i="1"/>
  <c r="CU50" i="1"/>
  <c r="CU65" i="1"/>
  <c r="CU67" i="1" s="1"/>
  <c r="CU62" i="1"/>
  <c r="DB51" i="1"/>
  <c r="DC11" i="1"/>
  <c r="EL11" i="1"/>
  <c r="R62" i="1" l="1"/>
  <c r="CO125" i="4"/>
  <c r="I125" i="4" s="1"/>
  <c r="CO123" i="4"/>
  <c r="I123" i="4" s="1"/>
  <c r="CO122" i="4"/>
  <c r="I122" i="4" s="1"/>
  <c r="CO126" i="4"/>
  <c r="I126" i="4" s="1"/>
  <c r="R65" i="1"/>
  <c r="CX71" i="1"/>
  <c r="R71" i="1" s="1"/>
  <c r="CX10" i="1"/>
  <c r="R10" i="1" s="1"/>
  <c r="DL67" i="1"/>
  <c r="T67" i="1" s="1"/>
  <c r="T65" i="1"/>
  <c r="AC62" i="1"/>
  <c r="FW10" i="1"/>
  <c r="FW71" i="1"/>
  <c r="AC71" i="1" s="1"/>
  <c r="Q62" i="1"/>
  <c r="CQ10" i="1"/>
  <c r="CQ71" i="1"/>
  <c r="Q71" i="1" s="1"/>
  <c r="T62" i="1"/>
  <c r="DL10" i="1"/>
  <c r="DL71" i="1"/>
  <c r="T71" i="1" s="1"/>
  <c r="AB62" i="1"/>
  <c r="FP71" i="1"/>
  <c r="AB71" i="1" s="1"/>
  <c r="FP10" i="1"/>
  <c r="CJ67" i="1"/>
  <c r="P67" i="1" s="1"/>
  <c r="P65" i="1"/>
  <c r="DZ67" i="1"/>
  <c r="V67" i="1" s="1"/>
  <c r="V65" i="1"/>
  <c r="FW67" i="1"/>
  <c r="AC67" i="1" s="1"/>
  <c r="AC65" i="1"/>
  <c r="CQ67" i="1"/>
  <c r="Q67" i="1" s="1"/>
  <c r="Q65" i="1"/>
  <c r="V62" i="1"/>
  <c r="DZ71" i="1"/>
  <c r="V71" i="1" s="1"/>
  <c r="DZ10" i="1"/>
  <c r="S62" i="1"/>
  <c r="DE71" i="1"/>
  <c r="S71" i="1" s="1"/>
  <c r="DE10" i="1"/>
  <c r="S10" i="1" s="1"/>
  <c r="FB67" i="1"/>
  <c r="Z67" i="1" s="1"/>
  <c r="Z65" i="1"/>
  <c r="DE67" i="1"/>
  <c r="S67" i="1" s="1"/>
  <c r="S65" i="1"/>
  <c r="X62" i="1"/>
  <c r="EN10" i="1"/>
  <c r="EN71" i="1"/>
  <c r="X71" i="1" s="1"/>
  <c r="EN67" i="1"/>
  <c r="X67" i="1" s="1"/>
  <c r="X65" i="1"/>
  <c r="O62" i="1"/>
  <c r="CC71" i="1"/>
  <c r="O71" i="1" s="1"/>
  <c r="CC10" i="1"/>
  <c r="O10" i="1" s="1"/>
  <c r="Z62" i="1"/>
  <c r="FB71" i="1"/>
  <c r="Z71" i="1" s="1"/>
  <c r="FB10" i="1"/>
  <c r="Y62" i="1"/>
  <c r="EU10" i="1"/>
  <c r="EU71" i="1"/>
  <c r="Y71" i="1" s="1"/>
  <c r="EG67" i="1"/>
  <c r="W67" i="1" s="1"/>
  <c r="W65" i="1"/>
  <c r="CC67" i="1"/>
  <c r="O67" i="1" s="1"/>
  <c r="O65" i="1"/>
  <c r="DS67" i="1"/>
  <c r="U67" i="1" s="1"/>
  <c r="U65" i="1"/>
  <c r="EU67" i="1"/>
  <c r="Y67" i="1" s="1"/>
  <c r="Y65" i="1"/>
  <c r="W62" i="1"/>
  <c r="EG10" i="1"/>
  <c r="EG71" i="1"/>
  <c r="W71" i="1" s="1"/>
  <c r="U62" i="1"/>
  <c r="DS10" i="1"/>
  <c r="DS71" i="1"/>
  <c r="U71" i="1" s="1"/>
  <c r="FP67" i="1"/>
  <c r="AB67" i="1" s="1"/>
  <c r="AB65" i="1"/>
  <c r="P62" i="1"/>
  <c r="CJ10" i="1"/>
  <c r="CJ71" i="1"/>
  <c r="P71" i="1" s="1"/>
  <c r="BV67" i="1"/>
  <c r="N67" i="1" s="1"/>
  <c r="N65" i="1"/>
  <c r="N62" i="1"/>
  <c r="BV10" i="1"/>
  <c r="BV71" i="1"/>
  <c r="N71" i="1" s="1"/>
  <c r="CU10" i="1"/>
  <c r="CU71" i="1"/>
  <c r="GD65" i="1"/>
  <c r="GK51" i="1"/>
  <c r="AE51" i="1" s="1"/>
  <c r="GD50" i="1"/>
  <c r="AD50" i="1" s="1"/>
  <c r="GD51" i="1"/>
  <c r="AD51" i="1" s="1"/>
  <c r="CO97" i="4"/>
  <c r="GD62" i="1"/>
  <c r="FZ10" i="1"/>
  <c r="FZ71" i="1"/>
  <c r="I89" i="4"/>
  <c r="CO90" i="4"/>
  <c r="I90" i="4" s="1"/>
  <c r="CO87" i="4"/>
  <c r="I87" i="4" s="1"/>
  <c r="I86" i="4"/>
  <c r="AU177" i="5"/>
  <c r="AD62" i="1" l="1"/>
  <c r="CX11" i="1"/>
  <c r="R11" i="1" s="1"/>
  <c r="DE11" i="1"/>
  <c r="S11" i="1" s="1"/>
  <c r="Y10" i="1"/>
  <c r="EU11" i="1"/>
  <c r="Y11" i="1" s="1"/>
  <c r="W10" i="1"/>
  <c r="EG11" i="1"/>
  <c r="W11" i="1" s="1"/>
  <c r="EN11" i="1"/>
  <c r="X11" i="1" s="1"/>
  <c r="X10" i="1"/>
  <c r="DL11" i="1"/>
  <c r="T11" i="1" s="1"/>
  <c r="T10" i="1"/>
  <c r="Z10" i="1"/>
  <c r="FB11" i="1"/>
  <c r="Z11" i="1" s="1"/>
  <c r="FI11" i="1"/>
  <c r="AA11" i="1" s="1"/>
  <c r="CQ11" i="1"/>
  <c r="Q11" i="1" s="1"/>
  <c r="Q10" i="1"/>
  <c r="P10" i="1"/>
  <c r="CJ11" i="1"/>
  <c r="P11" i="1" s="1"/>
  <c r="GD67" i="1"/>
  <c r="AD65" i="1"/>
  <c r="FW11" i="1"/>
  <c r="AC11" i="1" s="1"/>
  <c r="AC10" i="1"/>
  <c r="AB10" i="1"/>
  <c r="FP11" i="1"/>
  <c r="AB11" i="1" s="1"/>
  <c r="DS11" i="1"/>
  <c r="U11" i="1" s="1"/>
  <c r="U10" i="1"/>
  <c r="V10" i="1"/>
  <c r="DZ11" i="1"/>
  <c r="V11" i="1" s="1"/>
  <c r="BV11" i="1"/>
  <c r="N11" i="1" s="1"/>
  <c r="N10" i="1"/>
  <c r="CC11" i="1"/>
  <c r="O11" i="1" s="1"/>
  <c r="GG11" i="1"/>
  <c r="FZ11" i="1"/>
  <c r="C177" i="5"/>
  <c r="AU80" i="5"/>
  <c r="C80" i="5" s="1"/>
  <c r="GD71" i="1"/>
  <c r="AD71" i="1" s="1"/>
  <c r="GD10" i="1"/>
  <c r="AD10" i="1" s="1"/>
  <c r="AU168" i="5"/>
  <c r="C168" i="5" s="1"/>
  <c r="CO108" i="4"/>
  <c r="I108" i="4" s="1"/>
  <c r="AU178" i="5"/>
  <c r="CO109" i="4"/>
  <c r="I109" i="4" s="1"/>
  <c r="CO98" i="4"/>
  <c r="I98" i="4" s="1"/>
  <c r="I97" i="4"/>
  <c r="CU11" i="1"/>
  <c r="DB11" i="1"/>
  <c r="GK68" i="1" l="1"/>
  <c r="AE68" i="1" s="1"/>
  <c r="AD67" i="1"/>
  <c r="GD11" i="1"/>
  <c r="AD11" i="1" s="1"/>
  <c r="GK11" i="1"/>
  <c r="AE11" i="1" s="1"/>
  <c r="C178" i="5"/>
  <c r="AU81" i="5"/>
  <c r="C81" i="5" s="1"/>
  <c r="HK26" i="4" l="1"/>
  <c r="HJ28" i="4" l="1"/>
  <c r="AA26" i="4"/>
  <c r="HK24" i="4"/>
  <c r="HJ59" i="4" l="1"/>
  <c r="HJ108" i="4"/>
  <c r="AA24" i="4"/>
  <c r="HK28" i="4"/>
  <c r="AA28" i="4" l="1"/>
  <c r="HK108" i="4"/>
  <c r="AA108" i="4" s="1"/>
  <c r="HK59" i="4"/>
  <c r="AA59" i="4" s="1"/>
  <c r="BV17" i="1"/>
  <c r="BV75" i="1" s="1"/>
  <c r="BT75" i="29"/>
  <c r="M4" i="1"/>
  <c r="L4" i="1" s="1"/>
  <c r="K4" i="1" s="1"/>
  <c r="J4" i="1" s="1"/>
  <c r="I4" i="1" s="1"/>
  <c r="H4" i="1" s="1"/>
  <c r="G4" i="1" s="1"/>
  <c r="F4" i="1" s="1"/>
  <c r="E4" i="1" s="1"/>
  <c r="D4" i="1" s="1"/>
  <c r="C4" i="1" s="1"/>
  <c r="BT4" i="30"/>
  <c r="N4" i="1"/>
  <c r="BT333" i="30"/>
  <c r="BT64" i="30"/>
  <c r="N64" i="30" s="1"/>
  <c r="BT110" i="30"/>
  <c r="N110" i="30" s="1"/>
  <c r="BT16" i="29"/>
  <c r="N16" i="29" s="1"/>
  <c r="CC4" i="1"/>
  <c r="N4" i="30" l="1"/>
  <c r="M4" i="30" s="1"/>
  <c r="L4" i="30" s="1"/>
  <c r="K4" i="30" s="1"/>
  <c r="J4" i="30" s="1"/>
  <c r="I4" i="30" s="1"/>
  <c r="H4" i="30" s="1"/>
  <c r="G4" i="30" s="1"/>
  <c r="F4" i="30" s="1"/>
  <c r="E4" i="30" s="1"/>
  <c r="D4" i="30" s="1"/>
  <c r="BT165" i="30"/>
  <c r="N165" i="30" s="1"/>
  <c r="N17" i="1"/>
  <c r="N75" i="1" s="1"/>
  <c r="M75" i="1" s="1"/>
  <c r="L75" i="1" s="1"/>
  <c r="K75" i="1" s="1"/>
  <c r="J75" i="1" s="1"/>
  <c r="I75" i="1" s="1"/>
  <c r="H75" i="1" s="1"/>
  <c r="G75" i="1" s="1"/>
  <c r="F75" i="1" s="1"/>
  <c r="E75" i="1" s="1"/>
  <c r="D75" i="1" s="1"/>
  <c r="C75" i="1" s="1"/>
  <c r="CC17" i="1"/>
  <c r="CC75" i="1" s="1"/>
  <c r="CA110" i="30"/>
  <c r="O110" i="30" s="1"/>
  <c r="CA333" i="30"/>
  <c r="CA64" i="30"/>
  <c r="O64" i="30" s="1"/>
  <c r="CA4" i="30"/>
  <c r="CA2" i="29"/>
  <c r="CA154" i="29" s="1"/>
  <c r="CB4" i="1"/>
  <c r="CA75" i="29"/>
  <c r="CA4" i="1"/>
  <c r="BZ4" i="1"/>
  <c r="CJ4" i="1"/>
  <c r="BY4" i="1"/>
  <c r="CA16" i="29"/>
  <c r="O16" i="29" s="1"/>
  <c r="O4" i="1"/>
  <c r="O4" i="30" l="1"/>
  <c r="CA165" i="30"/>
  <c r="O165" i="30" s="1"/>
  <c r="O17" i="1"/>
  <c r="O75" i="1" s="1"/>
  <c r="M17" i="1"/>
  <c r="L17" i="1" s="1"/>
  <c r="K17" i="1" s="1"/>
  <c r="J17" i="1" s="1"/>
  <c r="I17" i="1" s="1"/>
  <c r="H17" i="1" s="1"/>
  <c r="G17" i="1" s="1"/>
  <c r="F17" i="1" s="1"/>
  <c r="E17" i="1" s="1"/>
  <c r="D17" i="1" s="1"/>
  <c r="C17" i="1" s="1"/>
  <c r="BZ333" i="30"/>
  <c r="BZ110" i="30"/>
  <c r="BZ64" i="30"/>
  <c r="BZ4" i="30"/>
  <c r="BZ165" i="30" s="1"/>
  <c r="BZ2" i="29"/>
  <c r="BZ154" i="29" s="1"/>
  <c r="BZ75" i="29"/>
  <c r="CI4" i="1"/>
  <c r="BZ16" i="29"/>
  <c r="BW333" i="30"/>
  <c r="BW110" i="30"/>
  <c r="BW4" i="30"/>
  <c r="BW165" i="30" s="1"/>
  <c r="BW64" i="30"/>
  <c r="CF4" i="1"/>
  <c r="BW2" i="29"/>
  <c r="CH110" i="30"/>
  <c r="P110" i="30" s="1"/>
  <c r="CH333" i="30"/>
  <c r="CH4" i="30"/>
  <c r="CH64" i="30"/>
  <c r="P64" i="30" s="1"/>
  <c r="CH75" i="29"/>
  <c r="CQ4" i="1"/>
  <c r="CH16" i="29"/>
  <c r="P16" i="29" s="1"/>
  <c r="CJ17" i="1"/>
  <c r="CJ75" i="1" s="1"/>
  <c r="CH2" i="29"/>
  <c r="CH154" i="29" s="1"/>
  <c r="P4" i="1"/>
  <c r="BX333" i="30"/>
  <c r="BX4" i="30"/>
  <c r="BX165" i="30" s="1"/>
  <c r="BX110" i="30"/>
  <c r="BX64" i="30"/>
  <c r="BX16" i="29"/>
  <c r="BX2" i="29"/>
  <c r="BX154" i="29" s="1"/>
  <c r="BX75" i="29"/>
  <c r="CG4" i="1"/>
  <c r="BY333" i="30"/>
  <c r="BY110" i="30"/>
  <c r="BY64" i="30"/>
  <c r="BY4" i="30"/>
  <c r="BY165" i="30" s="1"/>
  <c r="BY2" i="29"/>
  <c r="BY154" i="29" s="1"/>
  <c r="BY75" i="29"/>
  <c r="CH4" i="1"/>
  <c r="BY16" i="29"/>
  <c r="CA17" i="1"/>
  <c r="CA75" i="1" s="1"/>
  <c r="BZ17" i="1"/>
  <c r="BZ75" i="1" s="1"/>
  <c r="CB17" i="1"/>
  <c r="CB75" i="1" s="1"/>
  <c r="BY17" i="1"/>
  <c r="BY75" i="1" s="1"/>
  <c r="P4" i="30" l="1"/>
  <c r="CH165" i="30"/>
  <c r="P165" i="30" s="1"/>
  <c r="P17" i="1"/>
  <c r="P75" i="1" s="1"/>
  <c r="CE333" i="30"/>
  <c r="CE110" i="30"/>
  <c r="CE64" i="30"/>
  <c r="CE4" i="30"/>
  <c r="CE165" i="30" s="1"/>
  <c r="CN4" i="1"/>
  <c r="CE2" i="29"/>
  <c r="CE154" i="29" s="1"/>
  <c r="CE75" i="29"/>
  <c r="CE16" i="29"/>
  <c r="CG17" i="1"/>
  <c r="CG75" i="1" s="1"/>
  <c r="CF110" i="30"/>
  <c r="CF333" i="30"/>
  <c r="CF64" i="30"/>
  <c r="CF4" i="30"/>
  <c r="CF165" i="30" s="1"/>
  <c r="CF2" i="29"/>
  <c r="CF154" i="29" s="1"/>
  <c r="CF75" i="29"/>
  <c r="CF16" i="29"/>
  <c r="CH17" i="1"/>
  <c r="CH75" i="1" s="1"/>
  <c r="CO4" i="1"/>
  <c r="CG110" i="30"/>
  <c r="CG333" i="30"/>
  <c r="CG64" i="30"/>
  <c r="CG4" i="30"/>
  <c r="CG165" i="30" s="1"/>
  <c r="CG2" i="29"/>
  <c r="CG154" i="29" s="1"/>
  <c r="CG75" i="29"/>
  <c r="CG16" i="29"/>
  <c r="CI17" i="1"/>
  <c r="CI75" i="1" s="1"/>
  <c r="BW154" i="29"/>
  <c r="BW16" i="29"/>
  <c r="BW75" i="29"/>
  <c r="CD333" i="30"/>
  <c r="CD110" i="30"/>
  <c r="CD64" i="30"/>
  <c r="CD4" i="30"/>
  <c r="CD165" i="30" s="1"/>
  <c r="CF17" i="1"/>
  <c r="CF75" i="1" s="1"/>
  <c r="CM4" i="1"/>
  <c r="CD2" i="29"/>
  <c r="CP4" i="1"/>
  <c r="CO333" i="30"/>
  <c r="CO110" i="30"/>
  <c r="Q110" i="30" s="1"/>
  <c r="CO4" i="30"/>
  <c r="CO64" i="30"/>
  <c r="Q64" i="30" s="1"/>
  <c r="CO75" i="29"/>
  <c r="CO16" i="29"/>
  <c r="Q16" i="29" s="1"/>
  <c r="CQ17" i="1"/>
  <c r="CQ75" i="1" s="1"/>
  <c r="CX4" i="1"/>
  <c r="CO2" i="29"/>
  <c r="CO154" i="29" s="1"/>
  <c r="Q4" i="1"/>
  <c r="Q4" i="30" l="1"/>
  <c r="CO165" i="30"/>
  <c r="Q165" i="30" s="1"/>
  <c r="Q17" i="1"/>
  <c r="Q75" i="1" s="1"/>
  <c r="CN110" i="30"/>
  <c r="CN333" i="30"/>
  <c r="CN4" i="30"/>
  <c r="CN165" i="30" s="1"/>
  <c r="CN64" i="30"/>
  <c r="CN75" i="29"/>
  <c r="CN16" i="29"/>
  <c r="CP17" i="1"/>
  <c r="CP75" i="1" s="1"/>
  <c r="CN2" i="29"/>
  <c r="CN154" i="29" s="1"/>
  <c r="CL110" i="30"/>
  <c r="CL333" i="30"/>
  <c r="CL64" i="30"/>
  <c r="CL4" i="30"/>
  <c r="CL165" i="30" s="1"/>
  <c r="CL2" i="29"/>
  <c r="CL154" i="29" s="1"/>
  <c r="CL75" i="29"/>
  <c r="CL16" i="29"/>
  <c r="CN17" i="1"/>
  <c r="CN75" i="1" s="1"/>
  <c r="CU4" i="1"/>
  <c r="CW4" i="1"/>
  <c r="CV333" i="30"/>
  <c r="CV110" i="30"/>
  <c r="R110" i="30" s="1"/>
  <c r="CV64" i="30"/>
  <c r="R64" i="30" s="1"/>
  <c r="CV4" i="30"/>
  <c r="CV75" i="29"/>
  <c r="CX17" i="1"/>
  <c r="CX75" i="1" s="1"/>
  <c r="CV2" i="29"/>
  <c r="CV154" i="29" s="1"/>
  <c r="CV16" i="29"/>
  <c r="R16" i="29" s="1"/>
  <c r="DE4" i="1"/>
  <c r="R4" i="1"/>
  <c r="CD154" i="29"/>
  <c r="CD75" i="29"/>
  <c r="CD16" i="29"/>
  <c r="CK110" i="30"/>
  <c r="CK333" i="30"/>
  <c r="CK64" i="30"/>
  <c r="CK4" i="30"/>
  <c r="CK165" i="30" s="1"/>
  <c r="CK2" i="29"/>
  <c r="CM17" i="1"/>
  <c r="CM75" i="1" s="1"/>
  <c r="CT4" i="1"/>
  <c r="CM110" i="30"/>
  <c r="CM333" i="30"/>
  <c r="CM4" i="30"/>
  <c r="CM165" i="30" s="1"/>
  <c r="CM64" i="30"/>
  <c r="CM75" i="29"/>
  <c r="CM16" i="29"/>
  <c r="CO17" i="1"/>
  <c r="CO75" i="1" s="1"/>
  <c r="CM2" i="29"/>
  <c r="CM154" i="29" s="1"/>
  <c r="CV4" i="1"/>
  <c r="R4" i="30" l="1"/>
  <c r="CV165" i="30"/>
  <c r="R165" i="30" s="1"/>
  <c r="R17" i="1"/>
  <c r="R75" i="1" s="1"/>
  <c r="CT333" i="30"/>
  <c r="CT110" i="30"/>
  <c r="CT4" i="30"/>
  <c r="CT165" i="30" s="1"/>
  <c r="CT64" i="30"/>
  <c r="CT75" i="29"/>
  <c r="DC4" i="1"/>
  <c r="CT16" i="29"/>
  <c r="CV17" i="1"/>
  <c r="CV75" i="1" s="1"/>
  <c r="CT2" i="29"/>
  <c r="CT154" i="29" s="1"/>
  <c r="CR110" i="30"/>
  <c r="CR333" i="30"/>
  <c r="CR4" i="30"/>
  <c r="CR165" i="30" s="1"/>
  <c r="CR64" i="30"/>
  <c r="DA4" i="1"/>
  <c r="CT17" i="1"/>
  <c r="CT75" i="1" s="1"/>
  <c r="CR2" i="29"/>
  <c r="CK154" i="29"/>
  <c r="CK75" i="29"/>
  <c r="CK16" i="29"/>
  <c r="DD4" i="1"/>
  <c r="DC110" i="30"/>
  <c r="S110" i="30" s="1"/>
  <c r="DC333" i="30"/>
  <c r="DC64" i="30"/>
  <c r="S64" i="30" s="1"/>
  <c r="DC4" i="30"/>
  <c r="DC75" i="29"/>
  <c r="DC2" i="29"/>
  <c r="DC154" i="29" s="1"/>
  <c r="DL4" i="1"/>
  <c r="DC16" i="29"/>
  <c r="S16" i="29" s="1"/>
  <c r="DE17" i="1"/>
  <c r="DE75" i="1" s="1"/>
  <c r="S4" i="1"/>
  <c r="CU333" i="30"/>
  <c r="CU110" i="30"/>
  <c r="CU4" i="30"/>
  <c r="CU165" i="30" s="1"/>
  <c r="CU64" i="30"/>
  <c r="CU75" i="29"/>
  <c r="CU16" i="29"/>
  <c r="CW17" i="1"/>
  <c r="CW75" i="1" s="1"/>
  <c r="CU2" i="29"/>
  <c r="CU154" i="29" s="1"/>
  <c r="CS110" i="30"/>
  <c r="CS333" i="30"/>
  <c r="CS4" i="30"/>
  <c r="CS165" i="30" s="1"/>
  <c r="CS64" i="30"/>
  <c r="CS75" i="29"/>
  <c r="DB4" i="1"/>
  <c r="CS16" i="29"/>
  <c r="CU17" i="1"/>
  <c r="CU75" i="1" s="1"/>
  <c r="CS2" i="29"/>
  <c r="CS154" i="29" s="1"/>
  <c r="S4" i="30" l="1"/>
  <c r="DC165" i="30"/>
  <c r="S165" i="30" s="1"/>
  <c r="S17" i="1"/>
  <c r="S75" i="1" s="1"/>
  <c r="CR75" i="29"/>
  <c r="CR154" i="29"/>
  <c r="CR16" i="29"/>
  <c r="CY333" i="30"/>
  <c r="CY110" i="30"/>
  <c r="CY4" i="30"/>
  <c r="CY165" i="30" s="1"/>
  <c r="CY64" i="30"/>
  <c r="DA17" i="1"/>
  <c r="DA75" i="1" s="1"/>
  <c r="CY2" i="29"/>
  <c r="DH4" i="1"/>
  <c r="DA333" i="30"/>
  <c r="DA110" i="30"/>
  <c r="DA64" i="30"/>
  <c r="DA4" i="30"/>
  <c r="DA165" i="30" s="1"/>
  <c r="DA75" i="29"/>
  <c r="DC17" i="1"/>
  <c r="DC75" i="1" s="1"/>
  <c r="DA2" i="29"/>
  <c r="DA154" i="29" s="1"/>
  <c r="DA16" i="29"/>
  <c r="DJ4" i="1"/>
  <c r="CZ333" i="30"/>
  <c r="CZ110" i="30"/>
  <c r="CZ4" i="30"/>
  <c r="CZ165" i="30" s="1"/>
  <c r="CZ64" i="30"/>
  <c r="CZ75" i="29"/>
  <c r="CZ16" i="29"/>
  <c r="DB17" i="1"/>
  <c r="DB75" i="1" s="1"/>
  <c r="CZ2" i="29"/>
  <c r="CZ154" i="29" s="1"/>
  <c r="DI4" i="1"/>
  <c r="DB333" i="30"/>
  <c r="DB110" i="30"/>
  <c r="DB64" i="30"/>
  <c r="DB4" i="30"/>
  <c r="DB165" i="30" s="1"/>
  <c r="DB75" i="29"/>
  <c r="DB2" i="29"/>
  <c r="DB154" i="29" s="1"/>
  <c r="DB16" i="29"/>
  <c r="DD17" i="1"/>
  <c r="DD75" i="1" s="1"/>
  <c r="DK4" i="1"/>
  <c r="DJ110" i="30"/>
  <c r="T110" i="30" s="1"/>
  <c r="DJ333" i="30"/>
  <c r="DJ4" i="30"/>
  <c r="DJ64" i="30"/>
  <c r="T64" i="30" s="1"/>
  <c r="DJ75" i="29"/>
  <c r="DS4" i="1"/>
  <c r="DJ16" i="29"/>
  <c r="T16" i="29" s="1"/>
  <c r="DL17" i="1"/>
  <c r="DL75" i="1" s="1"/>
  <c r="DJ2" i="29"/>
  <c r="DJ154" i="29" s="1"/>
  <c r="T4" i="1"/>
  <c r="T4" i="30" l="1"/>
  <c r="DJ165" i="30"/>
  <c r="T165" i="30" s="1"/>
  <c r="T17" i="1"/>
  <c r="T75" i="1" s="1"/>
  <c r="DO4" i="1"/>
  <c r="DQ333" i="30"/>
  <c r="DQ110" i="30"/>
  <c r="U110" i="30" s="1"/>
  <c r="DQ4" i="30"/>
  <c r="DQ64" i="30"/>
  <c r="U64" i="30" s="1"/>
  <c r="DQ75" i="29"/>
  <c r="DQ16" i="29"/>
  <c r="U16" i="29" s="1"/>
  <c r="DS17" i="1"/>
  <c r="DS75" i="1" s="1"/>
  <c r="DZ4" i="1"/>
  <c r="DQ2" i="29"/>
  <c r="DQ154" i="29" s="1"/>
  <c r="U4" i="1"/>
  <c r="DI110" i="30"/>
  <c r="DI333" i="30"/>
  <c r="DI64" i="30"/>
  <c r="DI4" i="30"/>
  <c r="DI165" i="30" s="1"/>
  <c r="DI75" i="29"/>
  <c r="DI2" i="29"/>
  <c r="DI154" i="29" s="1"/>
  <c r="DI16" i="29"/>
  <c r="DK17" i="1"/>
  <c r="DK75" i="1" s="1"/>
  <c r="DR4" i="1"/>
  <c r="DG333" i="30"/>
  <c r="DG110" i="30"/>
  <c r="DG64" i="30"/>
  <c r="DG4" i="30"/>
  <c r="DG165" i="30" s="1"/>
  <c r="DG75" i="29"/>
  <c r="DP4" i="1"/>
  <c r="DG2" i="29"/>
  <c r="DG154" i="29" s="1"/>
  <c r="DG16" i="29"/>
  <c r="DI17" i="1"/>
  <c r="DI75" i="1" s="1"/>
  <c r="DH110" i="30"/>
  <c r="DH333" i="30"/>
  <c r="DH64" i="30"/>
  <c r="DH4" i="30"/>
  <c r="DH165" i="30" s="1"/>
  <c r="DH75" i="29"/>
  <c r="DH2" i="29"/>
  <c r="DH154" i="29" s="1"/>
  <c r="DH16" i="29"/>
  <c r="DJ17" i="1"/>
  <c r="DJ75" i="1" s="1"/>
  <c r="DQ4" i="1"/>
  <c r="DF333" i="30"/>
  <c r="DF110" i="30"/>
  <c r="DF64" i="30"/>
  <c r="DF4" i="30"/>
  <c r="DF165" i="30" s="1"/>
  <c r="DH17" i="1"/>
  <c r="DH75" i="1" s="1"/>
  <c r="DF2" i="29"/>
  <c r="CY154" i="29"/>
  <c r="CY75" i="29"/>
  <c r="CY16" i="29"/>
  <c r="U4" i="30" l="1"/>
  <c r="DQ165" i="30"/>
  <c r="U165" i="30" s="1"/>
  <c r="U17" i="1"/>
  <c r="U75" i="1" s="1"/>
  <c r="DO110" i="30"/>
  <c r="DO333" i="30"/>
  <c r="DO4" i="30"/>
  <c r="DO165" i="30" s="1"/>
  <c r="DO64" i="30"/>
  <c r="DO75" i="29"/>
  <c r="DO16" i="29"/>
  <c r="DQ17" i="1"/>
  <c r="DQ75" i="1" s="1"/>
  <c r="DX4" i="1"/>
  <c r="DO2" i="29"/>
  <c r="DO154" i="29" s="1"/>
  <c r="DF75" i="29"/>
  <c r="DF154" i="29"/>
  <c r="DF16" i="29"/>
  <c r="DP110" i="30"/>
  <c r="DP333" i="30"/>
  <c r="DP4" i="30"/>
  <c r="DP165" i="30" s="1"/>
  <c r="DP64" i="30"/>
  <c r="DP75" i="29"/>
  <c r="DP16" i="29"/>
  <c r="DR17" i="1"/>
  <c r="DR75" i="1" s="1"/>
  <c r="DP2" i="29"/>
  <c r="DP154" i="29" s="1"/>
  <c r="DY4" i="1"/>
  <c r="DN110" i="30"/>
  <c r="DN333" i="30"/>
  <c r="DN64" i="30"/>
  <c r="DN4" i="30"/>
  <c r="DN165" i="30" s="1"/>
  <c r="DN75" i="29"/>
  <c r="DN2" i="29"/>
  <c r="DN154" i="29" s="1"/>
  <c r="DN16" i="29"/>
  <c r="DP17" i="1"/>
  <c r="DP75" i="1" s="1"/>
  <c r="DW4" i="1"/>
  <c r="DV4" i="1"/>
  <c r="DX333" i="30"/>
  <c r="DX110" i="30"/>
  <c r="V110" i="30" s="1"/>
  <c r="DX64" i="30"/>
  <c r="V64" i="30" s="1"/>
  <c r="DX4" i="30"/>
  <c r="DX75" i="29"/>
  <c r="DZ17" i="1"/>
  <c r="DZ75" i="1" s="1"/>
  <c r="DX2" i="29"/>
  <c r="DX154" i="29" s="1"/>
  <c r="EG4" i="1"/>
  <c r="DX16" i="29"/>
  <c r="V16" i="29" s="1"/>
  <c r="V4" i="1"/>
  <c r="DM110" i="30"/>
  <c r="DM333" i="30"/>
  <c r="DM64" i="30"/>
  <c r="DM4" i="30"/>
  <c r="DM165" i="30" s="1"/>
  <c r="DM2" i="29"/>
  <c r="DO17" i="1"/>
  <c r="DO75" i="1" s="1"/>
  <c r="V4" i="30" l="1"/>
  <c r="DX165" i="30"/>
  <c r="V165" i="30" s="1"/>
  <c r="V17" i="1"/>
  <c r="V75" i="1" s="1"/>
  <c r="DV333" i="30"/>
  <c r="DV110" i="30"/>
  <c r="DV4" i="30"/>
  <c r="DV165" i="30" s="1"/>
  <c r="DV64" i="30"/>
  <c r="DV75" i="29"/>
  <c r="EE4" i="1"/>
  <c r="DV16" i="29"/>
  <c r="DX17" i="1"/>
  <c r="DX75" i="1" s="1"/>
  <c r="DV2" i="29"/>
  <c r="DV154" i="29" s="1"/>
  <c r="EE110" i="30"/>
  <c r="W110" i="30" s="1"/>
  <c r="EE333" i="30"/>
  <c r="EE64" i="30"/>
  <c r="W64" i="30" s="1"/>
  <c r="EE4" i="30"/>
  <c r="EE75" i="29"/>
  <c r="EN4" i="1"/>
  <c r="EE2" i="29"/>
  <c r="EE154" i="29" s="1"/>
  <c r="EE16" i="29"/>
  <c r="W16" i="29" s="1"/>
  <c r="EG17" i="1"/>
  <c r="EG75" i="1" s="1"/>
  <c r="W4" i="1"/>
  <c r="DT110" i="30"/>
  <c r="DT333" i="30"/>
  <c r="DT4" i="30"/>
  <c r="DT165" i="30" s="1"/>
  <c r="DT64" i="30"/>
  <c r="EC4" i="1"/>
  <c r="DV17" i="1"/>
  <c r="DV75" i="1" s="1"/>
  <c r="DT2" i="29"/>
  <c r="DM154" i="29"/>
  <c r="DM75" i="29"/>
  <c r="DM16" i="29"/>
  <c r="DW333" i="30"/>
  <c r="DW110" i="30"/>
  <c r="DW4" i="30"/>
  <c r="DW165" i="30" s="1"/>
  <c r="DW64" i="30"/>
  <c r="DW75" i="29"/>
  <c r="DW16" i="29"/>
  <c r="DY17" i="1"/>
  <c r="DY75" i="1" s="1"/>
  <c r="DW2" i="29"/>
  <c r="DW154" i="29" s="1"/>
  <c r="EF4" i="1"/>
  <c r="DU110" i="30"/>
  <c r="DU333" i="30"/>
  <c r="DU4" i="30"/>
  <c r="DU165" i="30" s="1"/>
  <c r="DU64" i="30"/>
  <c r="DU75" i="29"/>
  <c r="ED4" i="1"/>
  <c r="DU16" i="29"/>
  <c r="DW17" i="1"/>
  <c r="DW75" i="1" s="1"/>
  <c r="DU2" i="29"/>
  <c r="DU154" i="29" s="1"/>
  <c r="W4" i="30" l="1"/>
  <c r="EE165" i="30"/>
  <c r="W165" i="30" s="1"/>
  <c r="W17" i="1"/>
  <c r="W75" i="1" s="1"/>
  <c r="EA333" i="30"/>
  <c r="EA110" i="30"/>
  <c r="EA4" i="30"/>
  <c r="EA165" i="30" s="1"/>
  <c r="EA64" i="30"/>
  <c r="EC17" i="1"/>
  <c r="EC75" i="1" s="1"/>
  <c r="EJ4" i="1"/>
  <c r="EA2" i="29"/>
  <c r="AY4" i="4"/>
  <c r="EL110" i="30"/>
  <c r="X110" i="30" s="1"/>
  <c r="EL333" i="30"/>
  <c r="EL4" i="30"/>
  <c r="EL64" i="30"/>
  <c r="X64" i="30" s="1"/>
  <c r="EL75" i="29"/>
  <c r="EL16" i="29"/>
  <c r="X16" i="29" s="1"/>
  <c r="EU4" i="1"/>
  <c r="EN17" i="1"/>
  <c r="EN75" i="1" s="1"/>
  <c r="EL2" i="29"/>
  <c r="EL154" i="29" s="1"/>
  <c r="X4" i="1"/>
  <c r="EC333" i="30"/>
  <c r="EC110" i="30"/>
  <c r="EC64" i="30"/>
  <c r="EC4" i="30"/>
  <c r="EC165" i="30" s="1"/>
  <c r="EC75" i="29"/>
  <c r="EE17" i="1"/>
  <c r="EE75" i="1" s="1"/>
  <c r="EL4" i="1"/>
  <c r="EC2" i="29"/>
  <c r="EC154" i="29" s="1"/>
  <c r="EC16" i="29"/>
  <c r="ED333" i="30"/>
  <c r="ED110" i="30"/>
  <c r="ED64" i="30"/>
  <c r="ED4" i="30"/>
  <c r="ED165" i="30" s="1"/>
  <c r="ED75" i="29"/>
  <c r="EM4" i="1"/>
  <c r="ED2" i="29"/>
  <c r="ED154" i="29" s="1"/>
  <c r="ED16" i="29"/>
  <c r="EF17" i="1"/>
  <c r="EF75" i="1" s="1"/>
  <c r="EB333" i="30"/>
  <c r="EB110" i="30"/>
  <c r="EB4" i="30"/>
  <c r="EB165" i="30" s="1"/>
  <c r="EB64" i="30"/>
  <c r="EB75" i="29"/>
  <c r="EB16" i="29"/>
  <c r="ED17" i="1"/>
  <c r="ED75" i="1" s="1"/>
  <c r="EK4" i="1"/>
  <c r="EB2" i="29"/>
  <c r="EB154" i="29" s="1"/>
  <c r="DT75" i="29"/>
  <c r="DT154" i="29"/>
  <c r="DT16" i="29"/>
  <c r="X4" i="30" l="1"/>
  <c r="EL165" i="30"/>
  <c r="X165" i="30" s="1"/>
  <c r="X17" i="1"/>
  <c r="X75" i="1" s="1"/>
  <c r="AX4" i="4"/>
  <c r="AX64" i="4" s="1"/>
  <c r="EK110" i="30"/>
  <c r="EK333" i="30"/>
  <c r="EK64" i="30"/>
  <c r="EK4" i="30"/>
  <c r="EK165" i="30" s="1"/>
  <c r="EK75" i="29"/>
  <c r="EK2" i="29"/>
  <c r="EK154" i="29" s="1"/>
  <c r="EK16" i="29"/>
  <c r="EM17" i="1"/>
  <c r="EM75" i="1" s="1"/>
  <c r="C4" i="4"/>
  <c r="AY64" i="4"/>
  <c r="C64" i="4" s="1"/>
  <c r="ET4" i="1"/>
  <c r="BF4" i="4"/>
  <c r="ES333" i="30"/>
  <c r="ES110" i="30"/>
  <c r="Y110" i="30" s="1"/>
  <c r="ES4" i="30"/>
  <c r="ES64" i="30"/>
  <c r="Y64" i="30" s="1"/>
  <c r="ES75" i="29"/>
  <c r="ES16" i="29"/>
  <c r="Y16" i="29" s="1"/>
  <c r="FB4" i="1"/>
  <c r="EU17" i="1"/>
  <c r="EU75" i="1" s="1"/>
  <c r="ES2" i="29"/>
  <c r="ES154" i="29" s="1"/>
  <c r="Y4" i="1"/>
  <c r="EA154" i="29"/>
  <c r="EA75" i="29"/>
  <c r="EA16" i="29"/>
  <c r="AU4" i="4"/>
  <c r="AU64" i="4" s="1"/>
  <c r="EH333" i="30"/>
  <c r="EH110" i="30"/>
  <c r="EH64" i="30"/>
  <c r="EH4" i="30"/>
  <c r="EH165" i="30" s="1"/>
  <c r="EJ17" i="1"/>
  <c r="EJ75" i="1" s="1"/>
  <c r="EH2" i="29"/>
  <c r="EQ4" i="1"/>
  <c r="AV4" i="4"/>
  <c r="AV64" i="4" s="1"/>
  <c r="EI333" i="30"/>
  <c r="EI110" i="30"/>
  <c r="EI64" i="30"/>
  <c r="EI4" i="30"/>
  <c r="EI165" i="30" s="1"/>
  <c r="EI75" i="29"/>
  <c r="EI2" i="29"/>
  <c r="EI154" i="29" s="1"/>
  <c r="ER4" i="1"/>
  <c r="EI16" i="29"/>
  <c r="EK17" i="1"/>
  <c r="EK75" i="1" s="1"/>
  <c r="AW4" i="4"/>
  <c r="AW64" i="4" s="1"/>
  <c r="EJ110" i="30"/>
  <c r="EJ333" i="30"/>
  <c r="EJ64" i="30"/>
  <c r="EJ4" i="30"/>
  <c r="EJ165" i="30" s="1"/>
  <c r="EJ75" i="29"/>
  <c r="EJ2" i="29"/>
  <c r="EJ154" i="29" s="1"/>
  <c r="ES4" i="1"/>
  <c r="EJ16" i="29"/>
  <c r="EL17" i="1"/>
  <c r="EL75" i="1" s="1"/>
  <c r="Y4" i="30" l="1"/>
  <c r="ES165" i="30"/>
  <c r="Y165" i="30" s="1"/>
  <c r="Y17" i="1"/>
  <c r="Y75" i="1" s="1"/>
  <c r="BB4" i="4"/>
  <c r="BB64" i="4" s="1"/>
  <c r="EO110" i="30"/>
  <c r="EO333" i="30"/>
  <c r="EO64" i="30"/>
  <c r="EO4" i="30"/>
  <c r="EO165" i="30" s="1"/>
  <c r="EO2" i="29"/>
  <c r="EQ17" i="1"/>
  <c r="EQ75" i="1" s="1"/>
  <c r="BF64" i="4"/>
  <c r="D64" i="4" s="1"/>
  <c r="D4" i="4"/>
  <c r="BD4" i="4"/>
  <c r="BD64" i="4" s="1"/>
  <c r="EQ110" i="30"/>
  <c r="EQ333" i="30"/>
  <c r="EQ4" i="30"/>
  <c r="EQ165" i="30" s="1"/>
  <c r="EQ64" i="30"/>
  <c r="EQ75" i="29"/>
  <c r="EQ16" i="29"/>
  <c r="ES17" i="1"/>
  <c r="ES75" i="1" s="1"/>
  <c r="EQ2" i="29"/>
  <c r="EQ154" i="29" s="1"/>
  <c r="EZ4" i="1"/>
  <c r="EX4" i="1"/>
  <c r="BM4" i="4"/>
  <c r="EZ333" i="30"/>
  <c r="EZ110" i="30"/>
  <c r="Z110" i="30" s="1"/>
  <c r="EZ64" i="30"/>
  <c r="Z64" i="30" s="1"/>
  <c r="EZ4" i="30"/>
  <c r="EZ75" i="29"/>
  <c r="FB17" i="1"/>
  <c r="FB75" i="1" s="1"/>
  <c r="EZ2" i="29"/>
  <c r="EZ154" i="29" s="1"/>
  <c r="FI4" i="1"/>
  <c r="EZ16" i="29"/>
  <c r="Z16" i="29" s="1"/>
  <c r="Z4" i="1"/>
  <c r="BE4" i="4"/>
  <c r="BE64" i="4" s="1"/>
  <c r="ER110" i="30"/>
  <c r="ER333" i="30"/>
  <c r="ER4" i="30"/>
  <c r="ER165" i="30" s="1"/>
  <c r="ER64" i="30"/>
  <c r="ER75" i="29"/>
  <c r="ER16" i="29"/>
  <c r="ET17" i="1"/>
  <c r="ET75" i="1" s="1"/>
  <c r="ER2" i="29"/>
  <c r="ER154" i="29" s="1"/>
  <c r="FA4" i="1"/>
  <c r="BC4" i="4"/>
  <c r="BC64" i="4" s="1"/>
  <c r="EP110" i="30"/>
  <c r="EP333" i="30"/>
  <c r="EP64" i="30"/>
  <c r="EP4" i="30"/>
  <c r="EP165" i="30" s="1"/>
  <c r="EP75" i="29"/>
  <c r="EP2" i="29"/>
  <c r="EP154" i="29" s="1"/>
  <c r="EP16" i="29"/>
  <c r="ER17" i="1"/>
  <c r="ER75" i="1" s="1"/>
  <c r="EY4" i="1"/>
  <c r="EH75" i="29"/>
  <c r="EH154" i="29"/>
  <c r="EH16" i="29"/>
  <c r="Z4" i="30" l="1"/>
  <c r="EZ165" i="30"/>
  <c r="Z165" i="30" s="1"/>
  <c r="Z17" i="1"/>
  <c r="Z75" i="1" s="1"/>
  <c r="EO154" i="29"/>
  <c r="EO75" i="29"/>
  <c r="EO16" i="29"/>
  <c r="FE4" i="1"/>
  <c r="BT4" i="4"/>
  <c r="FG110" i="30"/>
  <c r="AA110" i="30" s="1"/>
  <c r="FG333" i="30"/>
  <c r="FG64" i="30"/>
  <c r="AA64" i="30" s="1"/>
  <c r="FG4" i="30"/>
  <c r="FG75" i="29"/>
  <c r="FP4" i="1"/>
  <c r="FN2" i="29" s="1"/>
  <c r="FG2" i="29"/>
  <c r="FG154" i="29" s="1"/>
  <c r="FG16" i="29"/>
  <c r="AA16" i="29" s="1"/>
  <c r="FI17" i="1"/>
  <c r="FI75" i="1" s="1"/>
  <c r="AA4" i="1"/>
  <c r="BM64" i="4"/>
  <c r="E64" i="4" s="1"/>
  <c r="E4" i="4"/>
  <c r="BI4" i="4"/>
  <c r="BI64" i="4" s="1"/>
  <c r="EV110" i="30"/>
  <c r="EV333" i="30"/>
  <c r="EV4" i="30"/>
  <c r="EV165" i="30" s="1"/>
  <c r="EV64" i="30"/>
  <c r="EX17" i="1"/>
  <c r="EX75" i="1" s="1"/>
  <c r="EV2" i="29"/>
  <c r="BJ4" i="4"/>
  <c r="BJ64" i="4" s="1"/>
  <c r="EW110" i="30"/>
  <c r="EW333" i="30"/>
  <c r="EW4" i="30"/>
  <c r="EW165" i="30" s="1"/>
  <c r="EW64" i="30"/>
  <c r="EW75" i="29"/>
  <c r="EW16" i="29"/>
  <c r="EY17" i="1"/>
  <c r="EY75" i="1" s="1"/>
  <c r="EW2" i="29"/>
  <c r="EW154" i="29" s="1"/>
  <c r="FF4" i="1"/>
  <c r="BK4" i="4"/>
  <c r="BK64" i="4" s="1"/>
  <c r="EX333" i="30"/>
  <c r="EX110" i="30"/>
  <c r="EX4" i="30"/>
  <c r="EX165" i="30" s="1"/>
  <c r="EX64" i="30"/>
  <c r="EX75" i="29"/>
  <c r="EX16" i="29"/>
  <c r="EZ17" i="1"/>
  <c r="EZ75" i="1" s="1"/>
  <c r="EX2" i="29"/>
  <c r="EX154" i="29" s="1"/>
  <c r="FG4" i="1"/>
  <c r="BL4" i="4"/>
  <c r="BL64" i="4" s="1"/>
  <c r="EY333" i="30"/>
  <c r="EY110" i="30"/>
  <c r="EY4" i="30"/>
  <c r="EY165" i="30" s="1"/>
  <c r="EY64" i="30"/>
  <c r="EY75" i="29"/>
  <c r="EY16" i="29"/>
  <c r="FA17" i="1"/>
  <c r="FA75" i="1" s="1"/>
  <c r="EY2" i="29"/>
  <c r="EY154" i="29" s="1"/>
  <c r="FH4" i="1"/>
  <c r="AA4" i="30" l="1"/>
  <c r="FG165" i="30"/>
  <c r="AA165" i="30" s="1"/>
  <c r="AA17" i="1"/>
  <c r="AA75" i="1" s="1"/>
  <c r="EV75" i="29"/>
  <c r="EV154" i="29"/>
  <c r="EV16" i="29"/>
  <c r="BR4" i="4"/>
  <c r="BR64" i="4" s="1"/>
  <c r="FE333" i="30"/>
  <c r="FE110" i="30"/>
  <c r="FE64" i="30"/>
  <c r="FE4" i="30"/>
  <c r="FE165" i="30" s="1"/>
  <c r="FE75" i="29"/>
  <c r="FG17" i="1"/>
  <c r="FG75" i="1" s="1"/>
  <c r="FN4" i="1"/>
  <c r="FE2" i="29"/>
  <c r="FE154" i="29" s="1"/>
  <c r="FE16" i="29"/>
  <c r="BS4" i="4"/>
  <c r="BS64" i="4" s="1"/>
  <c r="FF333" i="30"/>
  <c r="FF110" i="30"/>
  <c r="FF64" i="30"/>
  <c r="FF4" i="30"/>
  <c r="FF165" i="30" s="1"/>
  <c r="FF75" i="29"/>
  <c r="FF2" i="29"/>
  <c r="FF154" i="29" s="1"/>
  <c r="FF16" i="29"/>
  <c r="FH17" i="1"/>
  <c r="FH75" i="1" s="1"/>
  <c r="BT64" i="4"/>
  <c r="F64" i="4" s="1"/>
  <c r="F4" i="4"/>
  <c r="BP4" i="4"/>
  <c r="BP64" i="4" s="1"/>
  <c r="FC333" i="30"/>
  <c r="FC110" i="30"/>
  <c r="FC4" i="30"/>
  <c r="FC165" i="30" s="1"/>
  <c r="FC64" i="30"/>
  <c r="FE17" i="1"/>
  <c r="FE75" i="1" s="1"/>
  <c r="FL4" i="1"/>
  <c r="FC2" i="29"/>
  <c r="FO4" i="1"/>
  <c r="CA4" i="4"/>
  <c r="FN110" i="30"/>
  <c r="AB110" i="30" s="1"/>
  <c r="FN333" i="30"/>
  <c r="FN4" i="30"/>
  <c r="FN64" i="30"/>
  <c r="AB64" i="30" s="1"/>
  <c r="FN75" i="29"/>
  <c r="FN16" i="29"/>
  <c r="AB16" i="29" s="1"/>
  <c r="FP17" i="1"/>
  <c r="FP75" i="1" s="1"/>
  <c r="FW4" i="1"/>
  <c r="FN154" i="29"/>
  <c r="AB4" i="1"/>
  <c r="BQ4" i="4"/>
  <c r="BQ64" i="4" s="1"/>
  <c r="FD333" i="30"/>
  <c r="FD110" i="30"/>
  <c r="FD4" i="30"/>
  <c r="FD165" i="30" s="1"/>
  <c r="FD64" i="30"/>
  <c r="FD75" i="29"/>
  <c r="FD16" i="29"/>
  <c r="FF17" i="1"/>
  <c r="FF75" i="1" s="1"/>
  <c r="FM4" i="1"/>
  <c r="FD2" i="29"/>
  <c r="FD154" i="29" s="1"/>
  <c r="AB4" i="30" l="1"/>
  <c r="FN165" i="30"/>
  <c r="AB165" i="30" s="1"/>
  <c r="AB17" i="1"/>
  <c r="AB75" i="1" s="1"/>
  <c r="FC154" i="29"/>
  <c r="FC75" i="29"/>
  <c r="FC16" i="29"/>
  <c r="BW4" i="4"/>
  <c r="BW64" i="4" s="1"/>
  <c r="FJ333" i="30"/>
  <c r="FJ110" i="30"/>
  <c r="FJ64" i="30"/>
  <c r="FJ4" i="30"/>
  <c r="FJ165" i="30" s="1"/>
  <c r="FL17" i="1"/>
  <c r="FL75" i="1" s="1"/>
  <c r="FJ2" i="29"/>
  <c r="BY4" i="4"/>
  <c r="BY64" i="4" s="1"/>
  <c r="FL110" i="30"/>
  <c r="FL333" i="30"/>
  <c r="FL64" i="30"/>
  <c r="FL4" i="30"/>
  <c r="FL165" i="30" s="1"/>
  <c r="FL75" i="29"/>
  <c r="FL2" i="29"/>
  <c r="FL154" i="29" s="1"/>
  <c r="FL16" i="29"/>
  <c r="FN17" i="1"/>
  <c r="FN75" i="1" s="1"/>
  <c r="FU4" i="1"/>
  <c r="BX4" i="4"/>
  <c r="BX64" i="4" s="1"/>
  <c r="FK333" i="30"/>
  <c r="FK110" i="30"/>
  <c r="FK64" i="30"/>
  <c r="FK4" i="30"/>
  <c r="FK165" i="30" s="1"/>
  <c r="FK75" i="29"/>
  <c r="FK2" i="29"/>
  <c r="FK154" i="29" s="1"/>
  <c r="FK16" i="29"/>
  <c r="FM17" i="1"/>
  <c r="FM75" i="1" s="1"/>
  <c r="FT4" i="1"/>
  <c r="FS4" i="1"/>
  <c r="CH4" i="4"/>
  <c r="FU333" i="30"/>
  <c r="FU110" i="30"/>
  <c r="AC110" i="30" s="1"/>
  <c r="FU4" i="30"/>
  <c r="FU64" i="30"/>
  <c r="AC64" i="30" s="1"/>
  <c r="FU75" i="29"/>
  <c r="FU16" i="29"/>
  <c r="AC16" i="29" s="1"/>
  <c r="GD4" i="1"/>
  <c r="FW17" i="1"/>
  <c r="FW75" i="1" s="1"/>
  <c r="FU2" i="29"/>
  <c r="FU154" i="29" s="1"/>
  <c r="AC4" i="1"/>
  <c r="CA64" i="4"/>
  <c r="G64" i="4" s="1"/>
  <c r="G4" i="4"/>
  <c r="BZ4" i="4"/>
  <c r="BZ64" i="4" s="1"/>
  <c r="FM110" i="30"/>
  <c r="FM333" i="30"/>
  <c r="FM64" i="30"/>
  <c r="FM4" i="30"/>
  <c r="FM165" i="30" s="1"/>
  <c r="FM75" i="29"/>
  <c r="FM2" i="29"/>
  <c r="FM154" i="29" s="1"/>
  <c r="FM16" i="29"/>
  <c r="FO17" i="1"/>
  <c r="FO75" i="1" s="1"/>
  <c r="FV4" i="1"/>
  <c r="AC4" i="30" l="1"/>
  <c r="FU165" i="30"/>
  <c r="AC165" i="30" s="1"/>
  <c r="AC17" i="1"/>
  <c r="AC75" i="1" s="1"/>
  <c r="CH64" i="4"/>
  <c r="H64" i="4" s="1"/>
  <c r="H4" i="4"/>
  <c r="FZ4" i="1"/>
  <c r="AU4" i="5"/>
  <c r="CO4" i="4"/>
  <c r="GB333" i="30"/>
  <c r="GB110" i="30"/>
  <c r="AD110" i="30" s="1"/>
  <c r="GB64" i="30"/>
  <c r="AD64" i="30" s="1"/>
  <c r="GB4" i="30"/>
  <c r="GB75" i="29"/>
  <c r="GD17" i="1"/>
  <c r="GD75" i="1" s="1"/>
  <c r="GB2" i="29"/>
  <c r="GB154" i="29" s="1"/>
  <c r="GK4" i="1"/>
  <c r="GB16" i="29"/>
  <c r="AD16" i="29" s="1"/>
  <c r="AD4" i="1"/>
  <c r="CD4" i="4"/>
  <c r="CD64" i="4" s="1"/>
  <c r="FQ110" i="30"/>
  <c r="FQ333" i="30"/>
  <c r="FQ64" i="30"/>
  <c r="FQ4" i="30"/>
  <c r="FQ165" i="30" s="1"/>
  <c r="FQ2" i="29"/>
  <c r="FS17" i="1"/>
  <c r="FS75" i="1" s="1"/>
  <c r="CE4" i="4"/>
  <c r="CE64" i="4" s="1"/>
  <c r="FR110" i="30"/>
  <c r="FR333" i="30"/>
  <c r="FR64" i="30"/>
  <c r="FR4" i="30"/>
  <c r="FR165" i="30" s="1"/>
  <c r="FR75" i="29"/>
  <c r="FR2" i="29"/>
  <c r="FR154" i="29" s="1"/>
  <c r="GA4" i="1"/>
  <c r="FR16" i="29"/>
  <c r="FT17" i="1"/>
  <c r="FT75" i="1" s="1"/>
  <c r="CG4" i="4"/>
  <c r="CG64" i="4" s="1"/>
  <c r="FT110" i="30"/>
  <c r="FT333" i="30"/>
  <c r="FT4" i="30"/>
  <c r="FT165" i="30" s="1"/>
  <c r="FT64" i="30"/>
  <c r="FT75" i="29"/>
  <c r="FT16" i="29"/>
  <c r="FV17" i="1"/>
  <c r="FV75" i="1" s="1"/>
  <c r="FT2" i="29"/>
  <c r="FT154" i="29" s="1"/>
  <c r="GC4" i="1"/>
  <c r="CF4" i="4"/>
  <c r="CF64" i="4" s="1"/>
  <c r="FS110" i="30"/>
  <c r="FS333" i="30"/>
  <c r="FS4" i="30"/>
  <c r="FS165" i="30" s="1"/>
  <c r="FS64" i="30"/>
  <c r="FS75" i="29"/>
  <c r="FS16" i="29"/>
  <c r="FU17" i="1"/>
  <c r="FU75" i="1" s="1"/>
  <c r="FS2" i="29"/>
  <c r="FS154" i="29" s="1"/>
  <c r="GB4" i="1"/>
  <c r="FJ75" i="29"/>
  <c r="FJ154" i="29"/>
  <c r="FJ16" i="29"/>
  <c r="AD4" i="30" l="1"/>
  <c r="GB165" i="30"/>
  <c r="AD165" i="30" s="1"/>
  <c r="AD17" i="1"/>
  <c r="AD75" i="1" s="1"/>
  <c r="AR4" i="5"/>
  <c r="CL4" i="4"/>
  <c r="CL64" i="4" s="1"/>
  <c r="FY110" i="30"/>
  <c r="FY333" i="30"/>
  <c r="FY4" i="30"/>
  <c r="FY165" i="30" s="1"/>
  <c r="FY64" i="30"/>
  <c r="FY75" i="29"/>
  <c r="FY16" i="29"/>
  <c r="GA17" i="1"/>
  <c r="GA75" i="1" s="1"/>
  <c r="FY2" i="29"/>
  <c r="FY154" i="29" s="1"/>
  <c r="GH4" i="1"/>
  <c r="FQ154" i="29"/>
  <c r="FQ75" i="29"/>
  <c r="FQ16" i="29"/>
  <c r="GJ4" i="1"/>
  <c r="BB4" i="5"/>
  <c r="CV4" i="4"/>
  <c r="GI110" i="30"/>
  <c r="AE110" i="30" s="1"/>
  <c r="GI333" i="30"/>
  <c r="GI64" i="30"/>
  <c r="AE64" i="30" s="1"/>
  <c r="GI4" i="30"/>
  <c r="GI75" i="29"/>
  <c r="GR4" i="1"/>
  <c r="GI2" i="29"/>
  <c r="GI154" i="29" s="1"/>
  <c r="GI16" i="29"/>
  <c r="AE16" i="29" s="1"/>
  <c r="GK17" i="1"/>
  <c r="GK75" i="1" s="1"/>
  <c r="AE4" i="1"/>
  <c r="CO64" i="4"/>
  <c r="I64" i="4" s="1"/>
  <c r="I4" i="4"/>
  <c r="CK2" i="4"/>
  <c r="CL2" i="4"/>
  <c r="CM2" i="4"/>
  <c r="CO2" i="4"/>
  <c r="CN2" i="4"/>
  <c r="AS4" i="5"/>
  <c r="CM4" i="4"/>
  <c r="CM64" i="4" s="1"/>
  <c r="FZ333" i="30"/>
  <c r="FZ110" i="30"/>
  <c r="FZ4" i="30"/>
  <c r="FZ165" i="30" s="1"/>
  <c r="FZ64" i="30"/>
  <c r="FZ75" i="29"/>
  <c r="FZ16" i="29"/>
  <c r="GB17" i="1"/>
  <c r="GB75" i="1" s="1"/>
  <c r="FZ2" i="29"/>
  <c r="FZ154" i="29" s="1"/>
  <c r="GI4" i="1"/>
  <c r="C4" i="5"/>
  <c r="AU71" i="5"/>
  <c r="C71" i="5" s="1"/>
  <c r="AU158" i="5"/>
  <c r="C158" i="5" s="1"/>
  <c r="AQ4" i="5"/>
  <c r="CK4" i="4"/>
  <c r="CK64" i="4" s="1"/>
  <c r="FX110" i="30"/>
  <c r="FX333" i="30"/>
  <c r="FX4" i="30"/>
  <c r="FX165" i="30" s="1"/>
  <c r="FX64" i="30"/>
  <c r="FZ17" i="1"/>
  <c r="FZ75" i="1" s="1"/>
  <c r="FX2" i="29"/>
  <c r="GG4" i="1"/>
  <c r="AT4" i="5"/>
  <c r="CN4" i="4"/>
  <c r="CN64" i="4" s="1"/>
  <c r="GA333" i="30"/>
  <c r="GA110" i="30"/>
  <c r="GA4" i="30"/>
  <c r="GA165" i="30" s="1"/>
  <c r="GA64" i="30"/>
  <c r="GA75" i="29"/>
  <c r="GA16" i="29"/>
  <c r="GC17" i="1"/>
  <c r="GC75" i="1" s="1"/>
  <c r="GA2" i="29"/>
  <c r="GA154" i="29" s="1"/>
  <c r="AE4" i="30" l="1"/>
  <c r="GI165" i="30"/>
  <c r="AE165" i="30" s="1"/>
  <c r="AE17" i="1"/>
  <c r="AE75" i="1" s="1"/>
  <c r="AT71" i="5"/>
  <c r="AT158" i="5"/>
  <c r="FX75" i="29"/>
  <c r="FX154" i="29"/>
  <c r="FX16" i="29"/>
  <c r="BB158" i="5"/>
  <c r="D158" i="5" s="1"/>
  <c r="BB71" i="5"/>
  <c r="D71" i="5" s="1"/>
  <c r="D4" i="5"/>
  <c r="GN4" i="1"/>
  <c r="BI4" i="5"/>
  <c r="DC4" i="4"/>
  <c r="GP110" i="30"/>
  <c r="AF110" i="30" s="1"/>
  <c r="GP333" i="30"/>
  <c r="GP4" i="30"/>
  <c r="GP64" i="30"/>
  <c r="AF64" i="30" s="1"/>
  <c r="GP75" i="29"/>
  <c r="GP16" i="29"/>
  <c r="AF16" i="29" s="1"/>
  <c r="GY4" i="1"/>
  <c r="GR17" i="1"/>
  <c r="GR75" i="1" s="1"/>
  <c r="GP2" i="29"/>
  <c r="GP154" i="29" s="1"/>
  <c r="AF4" i="1"/>
  <c r="BA4" i="5"/>
  <c r="CU4" i="4"/>
  <c r="CU64" i="4" s="1"/>
  <c r="GH333" i="30"/>
  <c r="GH110" i="30"/>
  <c r="GH64" i="30"/>
  <c r="GH4" i="30"/>
  <c r="GH165" i="30" s="1"/>
  <c r="GH75" i="29"/>
  <c r="GH2" i="29"/>
  <c r="GH154" i="29" s="1"/>
  <c r="GH16" i="29"/>
  <c r="GJ17" i="1"/>
  <c r="GJ75" i="1" s="1"/>
  <c r="GQ4" i="1"/>
  <c r="AZ4" i="5"/>
  <c r="CT4" i="4"/>
  <c r="CT64" i="4" s="1"/>
  <c r="GG333" i="30"/>
  <c r="GG110" i="30"/>
  <c r="GG64" i="30"/>
  <c r="GG4" i="30"/>
  <c r="GG165" i="30" s="1"/>
  <c r="GG75" i="29"/>
  <c r="GI17" i="1"/>
  <c r="GI75" i="1" s="1"/>
  <c r="GP4" i="1"/>
  <c r="GG2" i="29"/>
  <c r="GG154" i="29" s="1"/>
  <c r="GG16" i="29"/>
  <c r="AS71" i="5"/>
  <c r="AS158" i="5"/>
  <c r="AY4" i="5"/>
  <c r="CS4" i="4"/>
  <c r="CS64" i="4" s="1"/>
  <c r="GF333" i="30"/>
  <c r="GF110" i="30"/>
  <c r="GF4" i="30"/>
  <c r="GF165" i="30" s="1"/>
  <c r="GF64" i="30"/>
  <c r="GF75" i="29"/>
  <c r="GF16" i="29"/>
  <c r="GH17" i="1"/>
  <c r="GH75" i="1" s="1"/>
  <c r="GO4" i="1"/>
  <c r="GF2" i="29"/>
  <c r="GF154" i="29" s="1"/>
  <c r="AX4" i="5"/>
  <c r="CR4" i="4"/>
  <c r="CR64" i="4" s="1"/>
  <c r="GE333" i="30"/>
  <c r="GE110" i="30"/>
  <c r="GE4" i="30"/>
  <c r="GE165" i="30" s="1"/>
  <c r="GE64" i="30"/>
  <c r="GG17" i="1"/>
  <c r="GG75" i="1" s="1"/>
  <c r="GE2" i="29"/>
  <c r="AQ71" i="5"/>
  <c r="AQ158" i="5"/>
  <c r="CV64" i="4"/>
  <c r="J64" i="4" s="1"/>
  <c r="J4" i="4"/>
  <c r="CV2" i="4"/>
  <c r="CS2" i="4"/>
  <c r="CU2" i="4"/>
  <c r="CT2" i="4"/>
  <c r="CR2" i="4"/>
  <c r="AR71" i="5"/>
  <c r="AR158" i="5"/>
  <c r="AF4" i="30" l="1"/>
  <c r="GP165" i="30"/>
  <c r="AF165" i="30" s="1"/>
  <c r="AF17" i="1"/>
  <c r="AF75" i="1" s="1"/>
  <c r="BH4" i="5"/>
  <c r="DB4" i="4"/>
  <c r="DB64" i="4" s="1"/>
  <c r="GO110" i="30"/>
  <c r="GO333" i="30"/>
  <c r="GO64" i="30"/>
  <c r="GO4" i="30"/>
  <c r="GO165" i="30" s="1"/>
  <c r="GO75" i="29"/>
  <c r="GO2" i="29"/>
  <c r="GO154" i="29" s="1"/>
  <c r="GO16" i="29"/>
  <c r="GX4" i="1"/>
  <c r="GQ17" i="1"/>
  <c r="GQ75" i="1" s="1"/>
  <c r="CZ4" i="4"/>
  <c r="CZ64" i="4" s="1"/>
  <c r="BF4" i="5"/>
  <c r="GM333" i="30"/>
  <c r="GM110" i="30"/>
  <c r="GM64" i="30"/>
  <c r="GM4" i="30"/>
  <c r="GM165" i="30" s="1"/>
  <c r="GM75" i="29"/>
  <c r="GM2" i="29"/>
  <c r="GM154" i="29" s="1"/>
  <c r="GV4" i="1"/>
  <c r="GM16" i="29"/>
  <c r="GO17" i="1"/>
  <c r="GO75" i="1" s="1"/>
  <c r="GE154" i="29"/>
  <c r="GE75" i="29"/>
  <c r="GE16" i="29"/>
  <c r="AY158" i="5"/>
  <c r="AY71" i="5"/>
  <c r="BA158" i="5"/>
  <c r="BA71" i="5"/>
  <c r="DC64" i="4"/>
  <c r="K64" i="4" s="1"/>
  <c r="K4" i="4"/>
  <c r="DC2" i="4"/>
  <c r="DA2" i="4"/>
  <c r="DB2" i="4"/>
  <c r="CY2" i="4"/>
  <c r="CZ2" i="4"/>
  <c r="GW4" i="1"/>
  <c r="BP4" i="5"/>
  <c r="DJ4" i="4"/>
  <c r="GW333" i="30"/>
  <c r="GW110" i="30"/>
  <c r="AG110" i="30" s="1"/>
  <c r="GW4" i="30"/>
  <c r="GW64" i="30"/>
  <c r="AG64" i="30" s="1"/>
  <c r="GW75" i="29"/>
  <c r="HF4" i="1"/>
  <c r="GW16" i="29"/>
  <c r="AG16" i="29" s="1"/>
  <c r="GY17" i="1"/>
  <c r="GY75" i="1" s="1"/>
  <c r="GW2" i="29"/>
  <c r="GW154" i="29" s="1"/>
  <c r="AG4" i="1"/>
  <c r="BI71" i="5"/>
  <c r="E71" i="5" s="1"/>
  <c r="BI158" i="5"/>
  <c r="E158" i="5" s="1"/>
  <c r="E4" i="5"/>
  <c r="AX158" i="5"/>
  <c r="AX71" i="5"/>
  <c r="DA4" i="4"/>
  <c r="DA64" i="4" s="1"/>
  <c r="BG4" i="5"/>
  <c r="GN110" i="30"/>
  <c r="GN333" i="30"/>
  <c r="GN64" i="30"/>
  <c r="GN4" i="30"/>
  <c r="GN165" i="30" s="1"/>
  <c r="GN75" i="29"/>
  <c r="GN2" i="29"/>
  <c r="GN154" i="29" s="1"/>
  <c r="GN16" i="29"/>
  <c r="GP17" i="1"/>
  <c r="GP75" i="1" s="1"/>
  <c r="AZ158" i="5"/>
  <c r="AZ71" i="5"/>
  <c r="BE4" i="5"/>
  <c r="CY4" i="4"/>
  <c r="CY64" i="4" s="1"/>
  <c r="GL333" i="30"/>
  <c r="GL110" i="30"/>
  <c r="GL64" i="30"/>
  <c r="GL4" i="30"/>
  <c r="GL165" i="30" s="1"/>
  <c r="GN17" i="1"/>
  <c r="GN75" i="1" s="1"/>
  <c r="GL2" i="29"/>
  <c r="GU4" i="1"/>
  <c r="AG4" i="30" l="1"/>
  <c r="GW165" i="30"/>
  <c r="AG165" i="30" s="1"/>
  <c r="AG17" i="1"/>
  <c r="AG75" i="1" s="1"/>
  <c r="BG158" i="5"/>
  <c r="BG71" i="5"/>
  <c r="BL4" i="5"/>
  <c r="DF4" i="4"/>
  <c r="DF64" i="4" s="1"/>
  <c r="GS110" i="30"/>
  <c r="GS333" i="30"/>
  <c r="GS64" i="30"/>
  <c r="GS4" i="30"/>
  <c r="GS165" i="30" s="1"/>
  <c r="GS2" i="29"/>
  <c r="GU17" i="1"/>
  <c r="GU75" i="1" s="1"/>
  <c r="DJ64" i="4"/>
  <c r="L64" i="4" s="1"/>
  <c r="L4" i="4"/>
  <c r="DH2" i="4"/>
  <c r="DG2" i="4"/>
  <c r="DI2" i="4"/>
  <c r="DF2" i="4"/>
  <c r="DJ2" i="4"/>
  <c r="BP158" i="5"/>
  <c r="F158" i="5" s="1"/>
  <c r="BP71" i="5"/>
  <c r="F71" i="5" s="1"/>
  <c r="F4" i="5"/>
  <c r="HB4" i="1"/>
  <c r="BW4" i="5"/>
  <c r="DQ4" i="4"/>
  <c r="HD333" i="30"/>
  <c r="HD110" i="30"/>
  <c r="AH110" i="30" s="1"/>
  <c r="HD64" i="30"/>
  <c r="AH64" i="30" s="1"/>
  <c r="HD4" i="30"/>
  <c r="HD75" i="29"/>
  <c r="HF17" i="1"/>
  <c r="HF75" i="1" s="1"/>
  <c r="HM4" i="1"/>
  <c r="DX4" i="4" s="1"/>
  <c r="HD2" i="29"/>
  <c r="HD154" i="29" s="1"/>
  <c r="HD16" i="29"/>
  <c r="AH16" i="29" s="1"/>
  <c r="AH4" i="1"/>
  <c r="BN4" i="5"/>
  <c r="DH4" i="4"/>
  <c r="DH64" i="4" s="1"/>
  <c r="GU110" i="30"/>
  <c r="GU333" i="30"/>
  <c r="GU4" i="30"/>
  <c r="GU165" i="30" s="1"/>
  <c r="GU64" i="30"/>
  <c r="GU75" i="29"/>
  <c r="GU16" i="29"/>
  <c r="GW17" i="1"/>
  <c r="GW75" i="1" s="1"/>
  <c r="GU2" i="29"/>
  <c r="GU154" i="29" s="1"/>
  <c r="HD4" i="1"/>
  <c r="BF158" i="5"/>
  <c r="BF71" i="5"/>
  <c r="BM4" i="5"/>
  <c r="DG4" i="4"/>
  <c r="DG64" i="4" s="1"/>
  <c r="GT110" i="30"/>
  <c r="GT333" i="30"/>
  <c r="GT64" i="30"/>
  <c r="GT4" i="30"/>
  <c r="GT165" i="30" s="1"/>
  <c r="GT75" i="29"/>
  <c r="GT2" i="29"/>
  <c r="GT154" i="29" s="1"/>
  <c r="GT16" i="29"/>
  <c r="GV17" i="1"/>
  <c r="GV75" i="1" s="1"/>
  <c r="HC4" i="1"/>
  <c r="BE158" i="5"/>
  <c r="BE71" i="5"/>
  <c r="GL75" i="29"/>
  <c r="GL154" i="29"/>
  <c r="GL16" i="29"/>
  <c r="BO4" i="5"/>
  <c r="DI4" i="4"/>
  <c r="DI64" i="4" s="1"/>
  <c r="GV110" i="30"/>
  <c r="GV333" i="30"/>
  <c r="GV4" i="30"/>
  <c r="GV165" i="30" s="1"/>
  <c r="GV64" i="30"/>
  <c r="GV75" i="29"/>
  <c r="GV16" i="29"/>
  <c r="GX17" i="1"/>
  <c r="GX75" i="1" s="1"/>
  <c r="GV2" i="29"/>
  <c r="GV154" i="29" s="1"/>
  <c r="HE4" i="1"/>
  <c r="BH158" i="5"/>
  <c r="BH71" i="5"/>
  <c r="AH4" i="30" l="1"/>
  <c r="HD165" i="30"/>
  <c r="AH165" i="30" s="1"/>
  <c r="AH17" i="1"/>
  <c r="AH75" i="1" s="1"/>
  <c r="BM158" i="5"/>
  <c r="BM71" i="5"/>
  <c r="DQ64" i="4"/>
  <c r="M64" i="4" s="1"/>
  <c r="M4" i="4"/>
  <c r="DQ2" i="4"/>
  <c r="DP2" i="4"/>
  <c r="DM2" i="4"/>
  <c r="DO2" i="4"/>
  <c r="DN2" i="4"/>
  <c r="CD4" i="5"/>
  <c r="HK110" i="30"/>
  <c r="AI110" i="30" s="1"/>
  <c r="HK333" i="30"/>
  <c r="HK64" i="30"/>
  <c r="AI64" i="30" s="1"/>
  <c r="HK4" i="30"/>
  <c r="HK75" i="29"/>
  <c r="HK2" i="29"/>
  <c r="HK154" i="29" s="1"/>
  <c r="HK16" i="29"/>
  <c r="AI16" i="29" s="1"/>
  <c r="HM17" i="1"/>
  <c r="HM75" i="1" s="1"/>
  <c r="HT4" i="1"/>
  <c r="AI4" i="1"/>
  <c r="BW158" i="5"/>
  <c r="G158" i="5" s="1"/>
  <c r="BW71" i="5"/>
  <c r="G71" i="5" s="1"/>
  <c r="G4" i="5"/>
  <c r="BS4" i="5"/>
  <c r="DM4" i="4"/>
  <c r="DM64" i="4" s="1"/>
  <c r="GZ110" i="30"/>
  <c r="GZ333" i="30"/>
  <c r="GZ4" i="30"/>
  <c r="GZ165" i="30" s="1"/>
  <c r="GZ64" i="30"/>
  <c r="HB17" i="1"/>
  <c r="HB75" i="1" s="1"/>
  <c r="HI4" i="1"/>
  <c r="GZ2" i="29"/>
  <c r="BU4" i="5"/>
  <c r="DO4" i="4"/>
  <c r="DO64" i="4" s="1"/>
  <c r="HB333" i="30"/>
  <c r="HB110" i="30"/>
  <c r="HB4" i="30"/>
  <c r="HB165" i="30" s="1"/>
  <c r="HB64" i="30"/>
  <c r="HB75" i="29"/>
  <c r="HB16" i="29"/>
  <c r="HD17" i="1"/>
  <c r="HD75" i="1" s="1"/>
  <c r="HK4" i="1"/>
  <c r="HB2" i="29"/>
  <c r="HB154" i="29" s="1"/>
  <c r="BO71" i="5"/>
  <c r="BO158" i="5"/>
  <c r="BL158" i="5"/>
  <c r="BL71" i="5"/>
  <c r="BN71" i="5"/>
  <c r="BN158" i="5"/>
  <c r="BV4" i="5"/>
  <c r="DP4" i="4"/>
  <c r="DP64" i="4" s="1"/>
  <c r="HC333" i="30"/>
  <c r="HC110" i="30"/>
  <c r="HC4" i="30"/>
  <c r="HC165" i="30" s="1"/>
  <c r="HC64" i="30"/>
  <c r="HC75" i="29"/>
  <c r="HC16" i="29"/>
  <c r="HE17" i="1"/>
  <c r="HE75" i="1" s="1"/>
  <c r="HL4" i="1"/>
  <c r="HC2" i="29"/>
  <c r="HC154" i="29" s="1"/>
  <c r="BT4" i="5"/>
  <c r="DN4" i="4"/>
  <c r="DN64" i="4" s="1"/>
  <c r="HA110" i="30"/>
  <c r="HA333" i="30"/>
  <c r="HA4" i="30"/>
  <c r="HA165" i="30" s="1"/>
  <c r="HA64" i="30"/>
  <c r="HA75" i="29"/>
  <c r="HA16" i="29"/>
  <c r="HC17" i="1"/>
  <c r="HC75" i="1" s="1"/>
  <c r="HJ4" i="1"/>
  <c r="HA2" i="29"/>
  <c r="HA154" i="29" s="1"/>
  <c r="GS154" i="29"/>
  <c r="GS75" i="29"/>
  <c r="GS16" i="29"/>
  <c r="AI4" i="30" l="1"/>
  <c r="HK165" i="30"/>
  <c r="AI165" i="30" s="1"/>
  <c r="AI17" i="1"/>
  <c r="AI75" i="1" s="1"/>
  <c r="BZ4" i="5"/>
  <c r="DT4" i="4"/>
  <c r="DT64" i="4" s="1"/>
  <c r="HG333" i="30"/>
  <c r="HG110" i="30"/>
  <c r="HG4" i="30"/>
  <c r="HG165" i="30" s="1"/>
  <c r="HG64" i="30"/>
  <c r="HI17" i="1"/>
  <c r="HI75" i="1" s="1"/>
  <c r="HG2" i="29"/>
  <c r="CA4" i="5"/>
  <c r="DU4" i="4"/>
  <c r="DU64" i="4" s="1"/>
  <c r="HH333" i="30"/>
  <c r="HH110" i="30"/>
  <c r="HH4" i="30"/>
  <c r="HH165" i="30" s="1"/>
  <c r="HH64" i="30"/>
  <c r="HH75" i="29"/>
  <c r="HH16" i="29"/>
  <c r="HQ4" i="1"/>
  <c r="HJ17" i="1"/>
  <c r="HJ75" i="1" s="1"/>
  <c r="HH2" i="29"/>
  <c r="HH154" i="29" s="1"/>
  <c r="BT71" i="5"/>
  <c r="BT158" i="5"/>
  <c r="CC4" i="5"/>
  <c r="DW4" i="4"/>
  <c r="DW64" i="4" s="1"/>
  <c r="HJ333" i="30"/>
  <c r="HJ110" i="30"/>
  <c r="HJ64" i="30"/>
  <c r="HJ4" i="30"/>
  <c r="HJ165" i="30" s="1"/>
  <c r="HJ75" i="29"/>
  <c r="HJ2" i="29"/>
  <c r="HJ154" i="29" s="1"/>
  <c r="HJ16" i="29"/>
  <c r="HL17" i="1"/>
  <c r="HL75" i="1" s="1"/>
  <c r="HS4" i="1"/>
  <c r="HP4" i="1"/>
  <c r="CK4" i="5"/>
  <c r="EE4" i="4"/>
  <c r="HR110" i="30"/>
  <c r="AJ110" i="30" s="1"/>
  <c r="HR333" i="30"/>
  <c r="HR4" i="30"/>
  <c r="HR64" i="30"/>
  <c r="AJ64" i="30" s="1"/>
  <c r="HR75" i="29"/>
  <c r="HR16" i="29"/>
  <c r="AJ16" i="29" s="1"/>
  <c r="IA4" i="1"/>
  <c r="HT17" i="1"/>
  <c r="HT75" i="1" s="1"/>
  <c r="HR2" i="29"/>
  <c r="HR154" i="29" s="1"/>
  <c r="AJ4" i="1"/>
  <c r="BV158" i="5"/>
  <c r="BV71" i="5"/>
  <c r="CB4" i="5"/>
  <c r="DV4" i="4"/>
  <c r="DV64" i="4" s="1"/>
  <c r="HI333" i="30"/>
  <c r="HI110" i="30"/>
  <c r="HI64" i="30"/>
  <c r="HI4" i="30"/>
  <c r="HI165" i="30" s="1"/>
  <c r="HI75" i="29"/>
  <c r="HK17" i="1"/>
  <c r="HK75" i="1" s="1"/>
  <c r="HI2" i="29"/>
  <c r="HI154" i="29" s="1"/>
  <c r="HI16" i="29"/>
  <c r="HR4" i="1"/>
  <c r="DX64" i="4"/>
  <c r="N64" i="4" s="1"/>
  <c r="N4" i="4"/>
  <c r="DT2" i="4"/>
  <c r="DX2" i="4"/>
  <c r="DU2" i="4"/>
  <c r="DW2" i="4"/>
  <c r="DV2" i="4"/>
  <c r="BU158" i="5"/>
  <c r="BU71" i="5"/>
  <c r="CD158" i="5"/>
  <c r="H158" i="5" s="1"/>
  <c r="CD71" i="5"/>
  <c r="H71" i="5" s="1"/>
  <c r="H4" i="5"/>
  <c r="GZ75" i="29"/>
  <c r="GZ154" i="29"/>
  <c r="GZ16" i="29"/>
  <c r="BS71" i="5"/>
  <c r="BS158" i="5"/>
  <c r="AJ4" i="30" l="1"/>
  <c r="HR165" i="30"/>
  <c r="AJ165" i="30" s="1"/>
  <c r="AJ17" i="1"/>
  <c r="AJ75" i="1" s="1"/>
  <c r="CB158" i="5"/>
  <c r="CB71" i="5"/>
  <c r="CJ4" i="5"/>
  <c r="ED4" i="4"/>
  <c r="ED64" i="4" s="1"/>
  <c r="HQ110" i="30"/>
  <c r="HQ333" i="30"/>
  <c r="HQ64" i="30"/>
  <c r="HQ4" i="30"/>
  <c r="HQ165" i="30" s="1"/>
  <c r="HQ75" i="29"/>
  <c r="HQ2" i="29"/>
  <c r="HQ154" i="29" s="1"/>
  <c r="HQ16" i="29"/>
  <c r="HS17" i="1"/>
  <c r="HS75" i="1" s="1"/>
  <c r="HZ4" i="1"/>
  <c r="HG154" i="29"/>
  <c r="HG75" i="29"/>
  <c r="HG16" i="29"/>
  <c r="CC158" i="5"/>
  <c r="CC71" i="5"/>
  <c r="EC4" i="4"/>
  <c r="EC64" i="4" s="1"/>
  <c r="CI4" i="5"/>
  <c r="HP110" i="30"/>
  <c r="HP333" i="30"/>
  <c r="HP64" i="30"/>
  <c r="HP4" i="30"/>
  <c r="HP165" i="30" s="1"/>
  <c r="HP75" i="29"/>
  <c r="HP2" i="29"/>
  <c r="HP154" i="29" s="1"/>
  <c r="HP16" i="29"/>
  <c r="HR17" i="1"/>
  <c r="HR75" i="1" s="1"/>
  <c r="HY4" i="1"/>
  <c r="EE64" i="4"/>
  <c r="O64" i="4" s="1"/>
  <c r="O4" i="4"/>
  <c r="ED2" i="4"/>
  <c r="EC2" i="4"/>
  <c r="EB2" i="4"/>
  <c r="EA2" i="4"/>
  <c r="EE2" i="4"/>
  <c r="HW4" i="1"/>
  <c r="CR4" i="5"/>
  <c r="EL4" i="4"/>
  <c r="HY333" i="30"/>
  <c r="HY110" i="30"/>
  <c r="AK110" i="30" s="1"/>
  <c r="HY4" i="30"/>
  <c r="HY64" i="30"/>
  <c r="AK64" i="30" s="1"/>
  <c r="HY75" i="29"/>
  <c r="HY16" i="29"/>
  <c r="AK16" i="29" s="1"/>
  <c r="IA17" i="1"/>
  <c r="IA75" i="1" s="1"/>
  <c r="HY2" i="29"/>
  <c r="HY154" i="29" s="1"/>
  <c r="IH4" i="1"/>
  <c r="AK4" i="1"/>
  <c r="CK71" i="5"/>
  <c r="I71" i="5" s="1"/>
  <c r="CK158" i="5"/>
  <c r="I158" i="5" s="1"/>
  <c r="I4" i="5"/>
  <c r="CG4" i="5"/>
  <c r="EA4" i="4"/>
  <c r="EA64" i="4" s="1"/>
  <c r="HN333" i="30"/>
  <c r="HN110" i="30"/>
  <c r="HN64" i="30"/>
  <c r="HN4" i="30"/>
  <c r="HN165" i="30" s="1"/>
  <c r="HP17" i="1"/>
  <c r="HP75" i="1" s="1"/>
  <c r="HN2" i="29"/>
  <c r="EB4" i="4"/>
  <c r="EB64" i="4" s="1"/>
  <c r="CH4" i="5"/>
  <c r="HO333" i="30"/>
  <c r="HO110" i="30"/>
  <c r="HO64" i="30"/>
  <c r="HO4" i="30"/>
  <c r="HO165" i="30" s="1"/>
  <c r="HO75" i="29"/>
  <c r="HO2" i="29"/>
  <c r="HO154" i="29" s="1"/>
  <c r="HX4" i="1"/>
  <c r="HO16" i="29"/>
  <c r="HQ17" i="1"/>
  <c r="HQ75" i="1" s="1"/>
  <c r="CA158" i="5"/>
  <c r="CA71" i="5"/>
  <c r="BZ158" i="5"/>
  <c r="BZ71" i="5"/>
  <c r="AK4" i="30" l="1"/>
  <c r="HY165" i="30"/>
  <c r="AK165" i="30" s="1"/>
  <c r="AK17" i="1"/>
  <c r="AK75" i="1" s="1"/>
  <c r="ID4" i="1"/>
  <c r="CY4" i="5"/>
  <c r="ES4" i="4"/>
  <c r="IF333" i="30"/>
  <c r="IF110" i="30"/>
  <c r="AL110" i="30" s="1"/>
  <c r="IF64" i="30"/>
  <c r="AL64" i="30" s="1"/>
  <c r="IF4" i="30"/>
  <c r="IF75" i="29"/>
  <c r="IH17" i="1"/>
  <c r="IH75" i="1" s="1"/>
  <c r="IF2" i="29"/>
  <c r="IF154" i="29" s="1"/>
  <c r="IO4" i="1"/>
  <c r="IF16" i="29"/>
  <c r="AL16" i="29" s="1"/>
  <c r="AL4" i="1"/>
  <c r="EL64" i="4"/>
  <c r="P64" i="4" s="1"/>
  <c r="P4" i="4"/>
  <c r="EL2" i="4"/>
  <c r="EK2" i="4"/>
  <c r="EJ2" i="4"/>
  <c r="EI2" i="4"/>
  <c r="EH2" i="4"/>
  <c r="CH158" i="5"/>
  <c r="CH71" i="5"/>
  <c r="CR158" i="5"/>
  <c r="J158" i="5" s="1"/>
  <c r="CR71" i="5"/>
  <c r="J71" i="5" s="1"/>
  <c r="J4" i="5"/>
  <c r="CG158" i="5"/>
  <c r="CG71" i="5"/>
  <c r="CN4" i="5"/>
  <c r="EH4" i="4"/>
  <c r="EH64" i="4" s="1"/>
  <c r="HU110" i="30"/>
  <c r="HU333" i="30"/>
  <c r="HU64" i="30"/>
  <c r="HU4" i="30"/>
  <c r="HU165" i="30" s="1"/>
  <c r="HU2" i="29"/>
  <c r="HW17" i="1"/>
  <c r="HW75" i="1" s="1"/>
  <c r="CP4" i="5"/>
  <c r="EJ4" i="4"/>
  <c r="EJ64" i="4" s="1"/>
  <c r="HW110" i="30"/>
  <c r="HW333" i="30"/>
  <c r="HW4" i="30"/>
  <c r="HW165" i="30" s="1"/>
  <c r="HW64" i="30"/>
  <c r="HW75" i="29"/>
  <c r="IF4" i="1"/>
  <c r="HW16" i="29"/>
  <c r="HY17" i="1"/>
  <c r="HY75" i="1" s="1"/>
  <c r="HW2" i="29"/>
  <c r="HW154" i="29" s="1"/>
  <c r="CQ4" i="5"/>
  <c r="EK4" i="4"/>
  <c r="EK64" i="4" s="1"/>
  <c r="HX110" i="30"/>
  <c r="HX333" i="30"/>
  <c r="HX4" i="30"/>
  <c r="HX165" i="30" s="1"/>
  <c r="HX64" i="30"/>
  <c r="HX75" i="29"/>
  <c r="HX16" i="29"/>
  <c r="HZ17" i="1"/>
  <c r="HZ75" i="1" s="1"/>
  <c r="HX2" i="29"/>
  <c r="HX154" i="29" s="1"/>
  <c r="IG4" i="1"/>
  <c r="HN75" i="29"/>
  <c r="HN154" i="29"/>
  <c r="HN16" i="29"/>
  <c r="CI158" i="5"/>
  <c r="CI71" i="5"/>
  <c r="CJ158" i="5"/>
  <c r="CJ71" i="5"/>
  <c r="CO4" i="5"/>
  <c r="EI4" i="4"/>
  <c r="EI64" i="4" s="1"/>
  <c r="HV110" i="30"/>
  <c r="HV333" i="30"/>
  <c r="HV64" i="30"/>
  <c r="HV4" i="30"/>
  <c r="HV165" i="30" s="1"/>
  <c r="HV75" i="29"/>
  <c r="HV2" i="29"/>
  <c r="HV154" i="29" s="1"/>
  <c r="IE4" i="1"/>
  <c r="HV16" i="29"/>
  <c r="HX17" i="1"/>
  <c r="HX75" i="1" s="1"/>
  <c r="AL4" i="30" l="1"/>
  <c r="IF165" i="30"/>
  <c r="AL165" i="30" s="1"/>
  <c r="AL17" i="1"/>
  <c r="AL75" i="1" s="1"/>
  <c r="CQ71" i="5"/>
  <c r="CQ158" i="5"/>
  <c r="CP71" i="5"/>
  <c r="CP158" i="5"/>
  <c r="CN158" i="5"/>
  <c r="CN71" i="5"/>
  <c r="CW4" i="5"/>
  <c r="EQ4" i="4"/>
  <c r="EQ64" i="4" s="1"/>
  <c r="ID333" i="30"/>
  <c r="ID110" i="30"/>
  <c r="ID4" i="30"/>
  <c r="ID165" i="30" s="1"/>
  <c r="ID64" i="30"/>
  <c r="ID75" i="29"/>
  <c r="ID16" i="29"/>
  <c r="IF17" i="1"/>
  <c r="IF75" i="1" s="1"/>
  <c r="ID2" i="29"/>
  <c r="ID154" i="29" s="1"/>
  <c r="IM4" i="1"/>
  <c r="IK4" i="1"/>
  <c r="EZ4" i="4"/>
  <c r="DF4" i="5"/>
  <c r="IM110" i="30"/>
  <c r="AM110" i="30" s="1"/>
  <c r="IM333" i="30"/>
  <c r="IM64" i="30"/>
  <c r="AM64" i="30" s="1"/>
  <c r="IM4" i="30"/>
  <c r="IM75" i="29"/>
  <c r="IM2" i="29"/>
  <c r="IM154" i="29" s="1"/>
  <c r="IM16" i="29"/>
  <c r="AM16" i="29" s="1"/>
  <c r="IO17" i="1"/>
  <c r="IO75" i="1" s="1"/>
  <c r="IV4" i="1"/>
  <c r="AM4" i="1"/>
  <c r="ES64" i="4"/>
  <c r="Q64" i="4" s="1"/>
  <c r="Q4" i="4"/>
  <c r="EP2" i="4"/>
  <c r="EO2" i="4"/>
  <c r="ES2" i="4"/>
  <c r="EQ2" i="4"/>
  <c r="ER2" i="4"/>
  <c r="HU154" i="29"/>
  <c r="HU75" i="29"/>
  <c r="HU16" i="29"/>
  <c r="CY158" i="5"/>
  <c r="K158" i="5" s="1"/>
  <c r="CY71" i="5"/>
  <c r="K71" i="5" s="1"/>
  <c r="K4" i="5"/>
  <c r="CV4" i="5"/>
  <c r="EP4" i="4"/>
  <c r="EP64" i="4" s="1"/>
  <c r="IC110" i="30"/>
  <c r="IC333" i="30"/>
  <c r="IC4" i="30"/>
  <c r="IC165" i="30" s="1"/>
  <c r="IC64" i="30"/>
  <c r="IC75" i="29"/>
  <c r="IC16" i="29"/>
  <c r="IE17" i="1"/>
  <c r="IE75" i="1" s="1"/>
  <c r="IL4" i="1"/>
  <c r="IC2" i="29"/>
  <c r="IC154" i="29" s="1"/>
  <c r="CO158" i="5"/>
  <c r="CO71" i="5"/>
  <c r="CX4" i="5"/>
  <c r="ER4" i="4"/>
  <c r="ER64" i="4" s="1"/>
  <c r="IE333" i="30"/>
  <c r="IE110" i="30"/>
  <c r="IE4" i="30"/>
  <c r="IE165" i="30" s="1"/>
  <c r="IE64" i="30"/>
  <c r="IE75" i="29"/>
  <c r="IE16" i="29"/>
  <c r="IG17" i="1"/>
  <c r="IG75" i="1" s="1"/>
  <c r="IE2" i="29"/>
  <c r="IE154" i="29" s="1"/>
  <c r="IN4" i="1"/>
  <c r="CU4" i="5"/>
  <c r="EO4" i="4"/>
  <c r="EO64" i="4" s="1"/>
  <c r="IB110" i="30"/>
  <c r="IB333" i="30"/>
  <c r="IB4" i="30"/>
  <c r="IB165" i="30" s="1"/>
  <c r="IB64" i="30"/>
  <c r="ID17" i="1"/>
  <c r="ID75" i="1" s="1"/>
  <c r="IB2" i="29"/>
  <c r="AM4" i="30" l="1"/>
  <c r="IM165" i="30"/>
  <c r="AM165" i="30" s="1"/>
  <c r="AM17" i="1"/>
  <c r="AM75" i="1" s="1"/>
  <c r="CX158" i="5"/>
  <c r="CX71" i="5"/>
  <c r="CW158" i="5"/>
  <c r="CW71" i="5"/>
  <c r="DC4" i="5"/>
  <c r="EW4" i="4"/>
  <c r="EW64" i="4" s="1"/>
  <c r="IJ333" i="30"/>
  <c r="IJ110" i="30"/>
  <c r="IJ4" i="30"/>
  <c r="IJ165" i="30" s="1"/>
  <c r="IJ64" i="30"/>
  <c r="IJ75" i="29"/>
  <c r="IJ16" i="29"/>
  <c r="IL17" i="1"/>
  <c r="IL75" i="1" s="1"/>
  <c r="IS4" i="1"/>
  <c r="IJ2" i="29"/>
  <c r="IJ154" i="29" s="1"/>
  <c r="IR4" i="1"/>
  <c r="DM4" i="5"/>
  <c r="FG4" i="4"/>
  <c r="IT110" i="30"/>
  <c r="AN110" i="30" s="1"/>
  <c r="IT333" i="30"/>
  <c r="IT4" i="30"/>
  <c r="IT64" i="30"/>
  <c r="AN64" i="30" s="1"/>
  <c r="IT75" i="29"/>
  <c r="IT16" i="29"/>
  <c r="AN16" i="29" s="1"/>
  <c r="JC4" i="1"/>
  <c r="IV17" i="1"/>
  <c r="IV75" i="1" s="1"/>
  <c r="IT2" i="29"/>
  <c r="IT154" i="29" s="1"/>
  <c r="AN4" i="1"/>
  <c r="CV71" i="5"/>
  <c r="CV158" i="5"/>
  <c r="DF158" i="5"/>
  <c r="L158" i="5" s="1"/>
  <c r="DF71" i="5"/>
  <c r="L71" i="5" s="1"/>
  <c r="L4" i="5"/>
  <c r="IB75" i="29"/>
  <c r="IB154" i="29"/>
  <c r="IB16" i="29"/>
  <c r="DE4" i="5"/>
  <c r="EY4" i="4"/>
  <c r="EY64" i="4" s="1"/>
  <c r="IL333" i="30"/>
  <c r="IL110" i="30"/>
  <c r="IL64" i="30"/>
  <c r="IL4" i="30"/>
  <c r="IL165" i="30" s="1"/>
  <c r="IL75" i="29"/>
  <c r="IL2" i="29"/>
  <c r="IL154" i="29" s="1"/>
  <c r="IL16" i="29"/>
  <c r="IN17" i="1"/>
  <c r="IN75" i="1" s="1"/>
  <c r="IU4" i="1"/>
  <c r="EZ64" i="4"/>
  <c r="R64" i="4" s="1"/>
  <c r="R4" i="4"/>
  <c r="EZ2" i="4"/>
  <c r="EY2" i="4"/>
  <c r="EX2" i="4"/>
  <c r="EW2" i="4"/>
  <c r="EV2" i="4"/>
  <c r="CU71" i="5"/>
  <c r="CU158" i="5"/>
  <c r="DB4" i="5"/>
  <c r="EV4" i="4"/>
  <c r="EV64" i="4" s="1"/>
  <c r="II333" i="30"/>
  <c r="II110" i="30"/>
  <c r="II4" i="30"/>
  <c r="II165" i="30" s="1"/>
  <c r="II64" i="30"/>
  <c r="IK17" i="1"/>
  <c r="IK75" i="1" s="1"/>
  <c r="II2" i="29"/>
  <c r="DD4" i="5"/>
  <c r="EX4" i="4"/>
  <c r="EX64" i="4" s="1"/>
  <c r="IK333" i="30"/>
  <c r="IK110" i="30"/>
  <c r="IK64" i="30"/>
  <c r="IK4" i="30"/>
  <c r="IK165" i="30" s="1"/>
  <c r="IK75" i="29"/>
  <c r="IM17" i="1"/>
  <c r="IM75" i="1" s="1"/>
  <c r="IT4" i="1"/>
  <c r="IK2" i="29"/>
  <c r="IK154" i="29" s="1"/>
  <c r="IK16" i="29"/>
  <c r="AN4" i="30" l="1"/>
  <c r="IT165" i="30"/>
  <c r="AN165" i="30" s="1"/>
  <c r="AN17" i="1"/>
  <c r="AN75" i="1" s="1"/>
  <c r="II154" i="29"/>
  <c r="II75" i="29"/>
  <c r="II16" i="29"/>
  <c r="DI4" i="5"/>
  <c r="FC4" i="4"/>
  <c r="FC64" i="4" s="1"/>
  <c r="IP333" i="30"/>
  <c r="IP110" i="30"/>
  <c r="IP64" i="30"/>
  <c r="IP4" i="30"/>
  <c r="IP165" i="30" s="1"/>
  <c r="IR17" i="1"/>
  <c r="IR75" i="1" s="1"/>
  <c r="IP2" i="29"/>
  <c r="DL4" i="5"/>
  <c r="FF4" i="4"/>
  <c r="FF64" i="4" s="1"/>
  <c r="IS110" i="30"/>
  <c r="IS333" i="30"/>
  <c r="IS64" i="30"/>
  <c r="IS4" i="30"/>
  <c r="IS165" i="30" s="1"/>
  <c r="IS75" i="29"/>
  <c r="IS2" i="29"/>
  <c r="IS154" i="29" s="1"/>
  <c r="IS16" i="29"/>
  <c r="IU17" i="1"/>
  <c r="IU75" i="1" s="1"/>
  <c r="JB4" i="1"/>
  <c r="FD4" i="4"/>
  <c r="FD64" i="4" s="1"/>
  <c r="DJ4" i="5"/>
  <c r="IQ333" i="30"/>
  <c r="IQ110" i="30"/>
  <c r="IQ64" i="30"/>
  <c r="IQ4" i="30"/>
  <c r="IQ165" i="30" s="1"/>
  <c r="IQ75" i="29"/>
  <c r="IQ2" i="29"/>
  <c r="IQ154" i="29" s="1"/>
  <c r="IZ4" i="1"/>
  <c r="IQ16" i="29"/>
  <c r="IS17" i="1"/>
  <c r="IS75" i="1" s="1"/>
  <c r="DE158" i="5"/>
  <c r="DE71" i="5"/>
  <c r="DC158" i="5"/>
  <c r="DC71" i="5"/>
  <c r="FG64" i="4"/>
  <c r="S64" i="4" s="1"/>
  <c r="S4" i="4"/>
  <c r="FC2" i="4"/>
  <c r="FG2" i="4"/>
  <c r="FF2" i="4"/>
  <c r="FE2" i="4"/>
  <c r="FD2" i="4"/>
  <c r="FE4" i="4"/>
  <c r="FE64" i="4" s="1"/>
  <c r="DK4" i="5"/>
  <c r="IR110" i="30"/>
  <c r="IR333" i="30"/>
  <c r="IR64" i="30"/>
  <c r="IR4" i="30"/>
  <c r="IR165" i="30" s="1"/>
  <c r="IR75" i="29"/>
  <c r="IR2" i="29"/>
  <c r="IR154" i="29" s="1"/>
  <c r="JA4" i="1"/>
  <c r="IR16" i="29"/>
  <c r="IT17" i="1"/>
  <c r="IT75" i="1" s="1"/>
  <c r="DD158" i="5"/>
  <c r="DD71" i="5"/>
  <c r="DB158" i="5"/>
  <c r="DB71" i="5"/>
  <c r="IY4" i="1"/>
  <c r="DT4" i="5"/>
  <c r="FN4" i="4"/>
  <c r="JA333" i="30"/>
  <c r="JA110" i="30"/>
  <c r="AO110" i="30" s="1"/>
  <c r="JA4" i="30"/>
  <c r="JA64" i="30"/>
  <c r="AO64" i="30" s="1"/>
  <c r="JA75" i="29"/>
  <c r="JA16" i="29"/>
  <c r="AO16" i="29" s="1"/>
  <c r="JC17" i="1"/>
  <c r="JC75" i="1" s="1"/>
  <c r="JA2" i="29"/>
  <c r="JA154" i="29" s="1"/>
  <c r="JJ4" i="1"/>
  <c r="AO4" i="1"/>
  <c r="DM71" i="5"/>
  <c r="M71" i="5" s="1"/>
  <c r="DM158" i="5"/>
  <c r="M158" i="5" s="1"/>
  <c r="M4" i="5"/>
  <c r="AO4" i="30" l="1"/>
  <c r="JA165" i="30"/>
  <c r="AO165" i="30" s="1"/>
  <c r="AO17" i="1"/>
  <c r="AO75" i="1" s="1"/>
  <c r="DJ158" i="5"/>
  <c r="DJ71" i="5"/>
  <c r="DQ4" i="5"/>
  <c r="FK4" i="4"/>
  <c r="FK64" i="4" s="1"/>
  <c r="IX110" i="30"/>
  <c r="IX333" i="30"/>
  <c r="IX64" i="30"/>
  <c r="IX4" i="30"/>
  <c r="IX165" i="30" s="1"/>
  <c r="IX75" i="29"/>
  <c r="IX2" i="29"/>
  <c r="IX154" i="29" s="1"/>
  <c r="JG4" i="1"/>
  <c r="IX16" i="29"/>
  <c r="IZ17" i="1"/>
  <c r="IZ75" i="1" s="1"/>
  <c r="DK158" i="5"/>
  <c r="DK71" i="5"/>
  <c r="DS4" i="5"/>
  <c r="FM4" i="4"/>
  <c r="FM64" i="4" s="1"/>
  <c r="IZ110" i="30"/>
  <c r="IZ333" i="30"/>
  <c r="IZ4" i="30"/>
  <c r="IZ165" i="30" s="1"/>
  <c r="IZ64" i="30"/>
  <c r="IZ75" i="29"/>
  <c r="IZ16" i="29"/>
  <c r="JB17" i="1"/>
  <c r="JB75" i="1" s="1"/>
  <c r="IZ2" i="29"/>
  <c r="IZ154" i="29" s="1"/>
  <c r="DT158" i="5"/>
  <c r="N158" i="5" s="1"/>
  <c r="DT71" i="5"/>
  <c r="N71" i="5" s="1"/>
  <c r="N4" i="5"/>
  <c r="DR4" i="5"/>
  <c r="FL4" i="4"/>
  <c r="FL64" i="4" s="1"/>
  <c r="IY110" i="30"/>
  <c r="IY333" i="30"/>
  <c r="IY4" i="30"/>
  <c r="IY165" i="30" s="1"/>
  <c r="IY64" i="30"/>
  <c r="IY75" i="29"/>
  <c r="IY16" i="29"/>
  <c r="JA17" i="1"/>
  <c r="JA75" i="1" s="1"/>
  <c r="IY2" i="29"/>
  <c r="IY154" i="29" s="1"/>
  <c r="JH4" i="1"/>
  <c r="DL158" i="5"/>
  <c r="DL71" i="5"/>
  <c r="DI158" i="5"/>
  <c r="DI71" i="5"/>
  <c r="JI4" i="1"/>
  <c r="EA4" i="5"/>
  <c r="FU4" i="4"/>
  <c r="JH333" i="30"/>
  <c r="JH110" i="30"/>
  <c r="AP110" i="30" s="1"/>
  <c r="JH64" i="30"/>
  <c r="AP64" i="30" s="1"/>
  <c r="JH4" i="30"/>
  <c r="JH75" i="29"/>
  <c r="JJ17" i="1"/>
  <c r="JJ75" i="1" s="1"/>
  <c r="JH2" i="29"/>
  <c r="JH154" i="29" s="1"/>
  <c r="JQ4" i="1"/>
  <c r="JH16" i="29"/>
  <c r="AP16" i="29" s="1"/>
  <c r="AP4" i="1"/>
  <c r="FN64" i="4"/>
  <c r="T64" i="4" s="1"/>
  <c r="T4" i="4"/>
  <c r="FL2" i="4"/>
  <c r="FM2" i="4"/>
  <c r="FK2" i="4"/>
  <c r="FJ2" i="4"/>
  <c r="FN2" i="4"/>
  <c r="IP75" i="29"/>
  <c r="IP154" i="29"/>
  <c r="IP16" i="29"/>
  <c r="DP4" i="5"/>
  <c r="FJ4" i="4"/>
  <c r="FJ64" i="4" s="1"/>
  <c r="IW110" i="30"/>
  <c r="IW333" i="30"/>
  <c r="IW64" i="30"/>
  <c r="IW4" i="30"/>
  <c r="IW165" i="30" s="1"/>
  <c r="IW2" i="29"/>
  <c r="JF4" i="1"/>
  <c r="IY17" i="1"/>
  <c r="IY75" i="1" s="1"/>
  <c r="AP4" i="30" l="1"/>
  <c r="JH165" i="30"/>
  <c r="AP165" i="30" s="1"/>
  <c r="AP17" i="1"/>
  <c r="AP75" i="1" s="1"/>
  <c r="DS71" i="5"/>
  <c r="DS158" i="5"/>
  <c r="IW154" i="29"/>
  <c r="IW75" i="29"/>
  <c r="IW16" i="29"/>
  <c r="DY4" i="5"/>
  <c r="FS4" i="4"/>
  <c r="FS64" i="4" s="1"/>
  <c r="JF333" i="30"/>
  <c r="JF110" i="30"/>
  <c r="JF4" i="30"/>
  <c r="JF165" i="30" s="1"/>
  <c r="JF64" i="30"/>
  <c r="JF75" i="29"/>
  <c r="JF16" i="29"/>
  <c r="JH17" i="1"/>
  <c r="JH75" i="1" s="1"/>
  <c r="JF2" i="29"/>
  <c r="JF154" i="29" s="1"/>
  <c r="JO4" i="1"/>
  <c r="JP4" i="1"/>
  <c r="EH4" i="5"/>
  <c r="GB4" i="4"/>
  <c r="JO333" i="30"/>
  <c r="JO110" i="30"/>
  <c r="AQ110" i="30" s="1"/>
  <c r="JO64" i="30"/>
  <c r="AQ64" i="30" s="1"/>
  <c r="JO4" i="30"/>
  <c r="JO75" i="29"/>
  <c r="JO2" i="29"/>
  <c r="JO154" i="29" s="1"/>
  <c r="JO16" i="29"/>
  <c r="AQ16" i="29" s="1"/>
  <c r="JX4" i="1"/>
  <c r="JQ17" i="1"/>
  <c r="JQ75" i="1" s="1"/>
  <c r="AQ4" i="1"/>
  <c r="EA158" i="5"/>
  <c r="O158" i="5" s="1"/>
  <c r="EA71" i="5"/>
  <c r="O71" i="5" s="1"/>
  <c r="O4" i="5"/>
  <c r="DR71" i="5"/>
  <c r="DR158" i="5"/>
  <c r="FU64" i="4"/>
  <c r="U64" i="4" s="1"/>
  <c r="U4" i="4"/>
  <c r="FU2" i="4"/>
  <c r="FT2" i="4"/>
  <c r="FS2" i="4"/>
  <c r="FR2" i="4"/>
  <c r="FQ2" i="4"/>
  <c r="DZ4" i="5"/>
  <c r="FT4" i="4"/>
  <c r="FT64" i="4" s="1"/>
  <c r="JG333" i="30"/>
  <c r="JG110" i="30"/>
  <c r="JG4" i="30"/>
  <c r="JG165" i="30" s="1"/>
  <c r="JG64" i="30"/>
  <c r="JG75" i="29"/>
  <c r="JG16" i="29"/>
  <c r="JI17" i="1"/>
  <c r="JI75" i="1" s="1"/>
  <c r="JG2" i="29"/>
  <c r="JG154" i="29" s="1"/>
  <c r="DP158" i="5"/>
  <c r="DP71" i="5"/>
  <c r="DX4" i="5"/>
  <c r="FR4" i="4"/>
  <c r="FR64" i="4" s="1"/>
  <c r="JE110" i="30"/>
  <c r="JE333" i="30"/>
  <c r="JE4" i="30"/>
  <c r="JE165" i="30" s="1"/>
  <c r="JE64" i="30"/>
  <c r="JE75" i="29"/>
  <c r="JE16" i="29"/>
  <c r="JG17" i="1"/>
  <c r="JG75" i="1" s="1"/>
  <c r="JE2" i="29"/>
  <c r="JE154" i="29" s="1"/>
  <c r="JN4" i="1"/>
  <c r="DQ158" i="5"/>
  <c r="DQ71" i="5"/>
  <c r="DW4" i="5"/>
  <c r="FQ4" i="4"/>
  <c r="FQ64" i="4" s="1"/>
  <c r="JD110" i="30"/>
  <c r="JD333" i="30"/>
  <c r="JD4" i="30"/>
  <c r="JD165" i="30" s="1"/>
  <c r="JD64" i="30"/>
  <c r="JF17" i="1"/>
  <c r="JF75" i="1" s="1"/>
  <c r="JM4" i="1"/>
  <c r="JD2" i="29"/>
  <c r="AQ4" i="30" l="1"/>
  <c r="JO165" i="30"/>
  <c r="AQ165" i="30" s="1"/>
  <c r="AQ17" i="1"/>
  <c r="AQ75" i="1" s="1"/>
  <c r="EE4" i="5"/>
  <c r="FY4" i="4"/>
  <c r="FY64" i="4" s="1"/>
  <c r="JL110" i="30"/>
  <c r="JL333" i="30"/>
  <c r="JL4" i="30"/>
  <c r="JL165" i="30" s="1"/>
  <c r="JL64" i="30"/>
  <c r="JL75" i="29"/>
  <c r="JL16" i="29"/>
  <c r="JU4" i="1"/>
  <c r="JN17" i="1"/>
  <c r="JN75" i="1" s="1"/>
  <c r="JL2" i="29"/>
  <c r="JL154" i="29" s="1"/>
  <c r="EF4" i="5"/>
  <c r="FZ4" i="4"/>
  <c r="FZ64" i="4" s="1"/>
  <c r="JM333" i="30"/>
  <c r="JM110" i="30"/>
  <c r="JM64" i="30"/>
  <c r="JM4" i="30"/>
  <c r="JM165" i="30" s="1"/>
  <c r="JM75" i="29"/>
  <c r="JO17" i="1"/>
  <c r="JO75" i="1" s="1"/>
  <c r="JM2" i="29"/>
  <c r="JM154" i="29" s="1"/>
  <c r="JM16" i="29"/>
  <c r="JV4" i="1"/>
  <c r="DW71" i="5"/>
  <c r="DW158" i="5"/>
  <c r="DX71" i="5"/>
  <c r="DX158" i="5"/>
  <c r="DY158" i="5"/>
  <c r="DY71" i="5"/>
  <c r="EO4" i="5"/>
  <c r="GI4" i="4"/>
  <c r="JV333" i="30"/>
  <c r="JV110" i="30"/>
  <c r="AR110" i="30" s="1"/>
  <c r="JV4" i="30"/>
  <c r="JV64" i="30"/>
  <c r="AR64" i="30" s="1"/>
  <c r="JV75" i="29"/>
  <c r="KE4" i="1"/>
  <c r="JV16" i="29"/>
  <c r="AR16" i="29" s="1"/>
  <c r="JX17" i="1"/>
  <c r="JX75" i="1" s="1"/>
  <c r="JV2" i="29"/>
  <c r="JV154" i="29" s="1"/>
  <c r="AR4" i="1"/>
  <c r="GB64" i="4"/>
  <c r="V64" i="4" s="1"/>
  <c r="V4" i="4"/>
  <c r="FX2" i="4"/>
  <c r="FY2" i="4"/>
  <c r="GB2" i="4"/>
  <c r="GA2" i="4"/>
  <c r="FZ2" i="4"/>
  <c r="ED4" i="5"/>
  <c r="FX4" i="4"/>
  <c r="FX64" i="4" s="1"/>
  <c r="JK333" i="30"/>
  <c r="JK110" i="30"/>
  <c r="JK4" i="30"/>
  <c r="JK165" i="30" s="1"/>
  <c r="JK64" i="30"/>
  <c r="JT4" i="1"/>
  <c r="JM17" i="1"/>
  <c r="JM75" i="1" s="1"/>
  <c r="JK2" i="29"/>
  <c r="DZ158" i="5"/>
  <c r="DZ71" i="5"/>
  <c r="EH158" i="5"/>
  <c r="P158" i="5" s="1"/>
  <c r="EH71" i="5"/>
  <c r="P71" i="5" s="1"/>
  <c r="P4" i="5"/>
  <c r="JD75" i="29"/>
  <c r="JD154" i="29"/>
  <c r="JD16" i="29"/>
  <c r="EG4" i="5"/>
  <c r="GA4" i="4"/>
  <c r="GA64" i="4" s="1"/>
  <c r="JN110" i="30"/>
  <c r="JN333" i="30"/>
  <c r="JN64" i="30"/>
  <c r="JN4" i="30"/>
  <c r="JN165" i="30" s="1"/>
  <c r="JN75" i="29"/>
  <c r="JN2" i="29"/>
  <c r="JN154" i="29" s="1"/>
  <c r="JN16" i="29"/>
  <c r="JW4" i="1"/>
  <c r="JP17" i="1"/>
  <c r="JP75" i="1" s="1"/>
  <c r="AR4" i="30" l="1"/>
  <c r="JV165" i="30"/>
  <c r="AR165" i="30" s="1"/>
  <c r="AR17" i="1"/>
  <c r="AR75" i="1" s="1"/>
  <c r="JK154" i="29"/>
  <c r="JK75" i="29"/>
  <c r="JK16" i="29"/>
  <c r="ED158" i="5"/>
  <c r="ED71" i="5"/>
  <c r="EK4" i="5"/>
  <c r="GE4" i="4"/>
  <c r="GE64" i="4" s="1"/>
  <c r="JR333" i="30"/>
  <c r="JR110" i="30"/>
  <c r="JR64" i="30"/>
  <c r="JR4" i="30"/>
  <c r="JR165" i="30" s="1"/>
  <c r="JT17" i="1"/>
  <c r="JT75" i="1" s="1"/>
  <c r="JR2" i="29"/>
  <c r="KA4" i="1"/>
  <c r="GI64" i="4"/>
  <c r="W64" i="4" s="1"/>
  <c r="W4" i="4"/>
  <c r="GI2" i="4"/>
  <c r="GH2" i="4"/>
  <c r="GG2" i="4"/>
  <c r="GF2" i="4"/>
  <c r="GE2" i="4"/>
  <c r="EM4" i="5"/>
  <c r="GG4" i="4"/>
  <c r="GG64" i="4" s="1"/>
  <c r="JT333" i="30"/>
  <c r="JT110" i="30"/>
  <c r="JT64" i="30"/>
  <c r="JT4" i="30"/>
  <c r="JT165" i="30" s="1"/>
  <c r="JT75" i="29"/>
  <c r="JT2" i="29"/>
  <c r="JT154" i="29" s="1"/>
  <c r="JT16" i="29"/>
  <c r="JV17" i="1"/>
  <c r="JV75" i="1" s="1"/>
  <c r="KC4" i="1"/>
  <c r="EN4" i="5"/>
  <c r="GH4" i="4"/>
  <c r="GH64" i="4" s="1"/>
  <c r="JU333" i="30"/>
  <c r="JU110" i="30"/>
  <c r="JU64" i="30"/>
  <c r="JU4" i="30"/>
  <c r="JU165" i="30" s="1"/>
  <c r="JU75" i="29"/>
  <c r="JU2" i="29"/>
  <c r="JU154" i="29" s="1"/>
  <c r="JU16" i="29"/>
  <c r="JW17" i="1"/>
  <c r="JW75" i="1" s="1"/>
  <c r="EO71" i="5"/>
  <c r="Q71" i="5" s="1"/>
  <c r="EO158" i="5"/>
  <c r="Q158" i="5" s="1"/>
  <c r="Q4" i="5"/>
  <c r="KD4" i="1"/>
  <c r="EV4" i="5"/>
  <c r="GP4" i="4"/>
  <c r="KC333" i="30"/>
  <c r="KC64" i="30"/>
  <c r="AS64" i="30" s="1"/>
  <c r="KC110" i="30"/>
  <c r="AS110" i="30" s="1"/>
  <c r="KC4" i="30"/>
  <c r="KC75" i="29"/>
  <c r="KC16" i="29"/>
  <c r="AS16" i="29" s="1"/>
  <c r="KE17" i="1"/>
  <c r="KE75" i="1" s="1"/>
  <c r="KL4" i="1"/>
  <c r="KC2" i="29"/>
  <c r="KC154" i="29" s="1"/>
  <c r="AS4" i="1"/>
  <c r="EF158" i="5"/>
  <c r="EF71" i="5"/>
  <c r="EG158" i="5"/>
  <c r="EG71" i="5"/>
  <c r="GF4" i="4"/>
  <c r="GF64" i="4" s="1"/>
  <c r="EL4" i="5"/>
  <c r="JS333" i="30"/>
  <c r="JS110" i="30"/>
  <c r="JS64" i="30"/>
  <c r="JS4" i="30"/>
  <c r="JS165" i="30" s="1"/>
  <c r="JS75" i="29"/>
  <c r="JS2" i="29"/>
  <c r="JS154" i="29" s="1"/>
  <c r="KB4" i="1"/>
  <c r="JS16" i="29"/>
  <c r="JU17" i="1"/>
  <c r="JU75" i="1" s="1"/>
  <c r="EE158" i="5"/>
  <c r="EE71" i="5"/>
  <c r="AS4" i="30" l="1"/>
  <c r="KC165" i="30"/>
  <c r="AS165" i="30" s="1"/>
  <c r="AS17" i="1"/>
  <c r="AS75" i="1" s="1"/>
  <c r="KJ4" i="1"/>
  <c r="FC4" i="5"/>
  <c r="GW4" i="4"/>
  <c r="KJ333" i="30"/>
  <c r="KJ64" i="30"/>
  <c r="AT64" i="30" s="1"/>
  <c r="KJ110" i="30"/>
  <c r="AT110" i="30" s="1"/>
  <c r="KJ4" i="30"/>
  <c r="KJ75" i="29"/>
  <c r="KL17" i="1"/>
  <c r="KL75" i="1" s="1"/>
  <c r="KJ2" i="29"/>
  <c r="KJ154" i="29" s="1"/>
  <c r="KJ16" i="29"/>
  <c r="AT16" i="29" s="1"/>
  <c r="KS4" i="1"/>
  <c r="AT4" i="1"/>
  <c r="ET4" i="5"/>
  <c r="GN4" i="4"/>
  <c r="GN64" i="4" s="1"/>
  <c r="KA333" i="30"/>
  <c r="KA110" i="30"/>
  <c r="KA64" i="30"/>
  <c r="KA4" i="30"/>
  <c r="KA165" i="30" s="1"/>
  <c r="KA75" i="29"/>
  <c r="KA16" i="29"/>
  <c r="KC17" i="1"/>
  <c r="KC75" i="1" s="1"/>
  <c r="KA2" i="29"/>
  <c r="KA154" i="29" s="1"/>
  <c r="ES4" i="5"/>
  <c r="GM4" i="4"/>
  <c r="GM64" i="4" s="1"/>
  <c r="JZ333" i="30"/>
  <c r="JZ110" i="30"/>
  <c r="JZ64" i="30"/>
  <c r="JZ4" i="30"/>
  <c r="JZ165" i="30" s="1"/>
  <c r="JZ75" i="29"/>
  <c r="JZ2" i="29"/>
  <c r="JZ154" i="29" s="1"/>
  <c r="JZ16" i="29"/>
  <c r="KB17" i="1"/>
  <c r="KB75" i="1" s="1"/>
  <c r="KI4" i="1"/>
  <c r="EV158" i="5"/>
  <c r="R158" i="5" s="1"/>
  <c r="EV71" i="5"/>
  <c r="R71" i="5" s="1"/>
  <c r="R4" i="5"/>
  <c r="EU4" i="5"/>
  <c r="GO4" i="4"/>
  <c r="GO64" i="4" s="1"/>
  <c r="KB110" i="30"/>
  <c r="KB333" i="30"/>
  <c r="KB64" i="30"/>
  <c r="KB4" i="30"/>
  <c r="KB165" i="30" s="1"/>
  <c r="KB75" i="29"/>
  <c r="KB16" i="29"/>
  <c r="KD17" i="1"/>
  <c r="KD75" i="1" s="1"/>
  <c r="KK4" i="1"/>
  <c r="KB2" i="29"/>
  <c r="KB154" i="29" s="1"/>
  <c r="EM158" i="5"/>
  <c r="EM71" i="5"/>
  <c r="ER4" i="5"/>
  <c r="GL4" i="4"/>
  <c r="GL64" i="4" s="1"/>
  <c r="JY333" i="30"/>
  <c r="JY110" i="30"/>
  <c r="JY64" i="30"/>
  <c r="JY4" i="30"/>
  <c r="JY165" i="30" s="1"/>
  <c r="JY2" i="29"/>
  <c r="KA17" i="1"/>
  <c r="KA75" i="1" s="1"/>
  <c r="KH4" i="1"/>
  <c r="EK158" i="5"/>
  <c r="EK71" i="5"/>
  <c r="EL158" i="5"/>
  <c r="EL71" i="5"/>
  <c r="GP64" i="4"/>
  <c r="X64" i="4" s="1"/>
  <c r="X4" i="4"/>
  <c r="GL2" i="4"/>
  <c r="GO2" i="4"/>
  <c r="GN2" i="4"/>
  <c r="GM2" i="4"/>
  <c r="GP2" i="4"/>
  <c r="JR75" i="29"/>
  <c r="JR154" i="29"/>
  <c r="JR16" i="29"/>
  <c r="EN158" i="5"/>
  <c r="EN71" i="5"/>
  <c r="AT4" i="30" l="1"/>
  <c r="KJ165" i="30"/>
  <c r="AT165" i="30" s="1"/>
  <c r="AT17" i="1"/>
  <c r="AT75" i="1" s="1"/>
  <c r="ES158" i="5"/>
  <c r="ES71" i="5"/>
  <c r="FB4" i="5"/>
  <c r="GV4" i="4"/>
  <c r="GV64" i="4" s="1"/>
  <c r="KI333" i="30"/>
  <c r="KI64" i="30"/>
  <c r="KI110" i="30"/>
  <c r="KI4" i="30"/>
  <c r="KI165" i="30" s="1"/>
  <c r="KI75" i="29"/>
  <c r="KI16" i="29"/>
  <c r="KR4" i="1"/>
  <c r="KK17" i="1"/>
  <c r="KK75" i="1" s="1"/>
  <c r="KI2" i="29"/>
  <c r="KI154" i="29" s="1"/>
  <c r="EU71" i="5"/>
  <c r="EU158" i="5"/>
  <c r="ET71" i="5"/>
  <c r="ET158" i="5"/>
  <c r="KP4" i="1"/>
  <c r="FJ4" i="5"/>
  <c r="HD4" i="4"/>
  <c r="KQ333" i="30"/>
  <c r="KQ110" i="30"/>
  <c r="AU110" i="30" s="1"/>
  <c r="KQ64" i="30"/>
  <c r="AU64" i="30" s="1"/>
  <c r="KQ4" i="30"/>
  <c r="KQ75" i="29"/>
  <c r="KQ2" i="29"/>
  <c r="KQ154" i="29" s="1"/>
  <c r="KZ4" i="1"/>
  <c r="LG4" i="1" s="1"/>
  <c r="LN4" i="1" s="1"/>
  <c r="LL16" i="29" s="1"/>
  <c r="KQ16" i="29"/>
  <c r="AU16" i="29" s="1"/>
  <c r="KS17" i="1"/>
  <c r="KS75" i="1" s="1"/>
  <c r="AU4" i="1"/>
  <c r="EY4" i="5"/>
  <c r="GS4" i="4"/>
  <c r="GS64" i="4" s="1"/>
  <c r="KF333" i="30"/>
  <c r="KF110" i="30"/>
  <c r="KF64" i="30"/>
  <c r="KF4" i="30"/>
  <c r="KF165" i="30" s="1"/>
  <c r="KO4" i="1"/>
  <c r="KH17" i="1"/>
  <c r="KH75" i="1" s="1"/>
  <c r="KF2" i="29"/>
  <c r="ER158" i="5"/>
  <c r="ER71" i="5"/>
  <c r="GW64" i="4"/>
  <c r="Y64" i="4" s="1"/>
  <c r="Y4" i="4"/>
  <c r="GT2" i="4"/>
  <c r="GU2" i="4"/>
  <c r="GW2" i="4"/>
  <c r="GV2" i="4"/>
  <c r="GS2" i="4"/>
  <c r="EZ4" i="5"/>
  <c r="GT4" i="4"/>
  <c r="GT64" i="4" s="1"/>
  <c r="KG110" i="30"/>
  <c r="KG333" i="30"/>
  <c r="KG4" i="30"/>
  <c r="KG165" i="30" s="1"/>
  <c r="KG64" i="30"/>
  <c r="KG75" i="29"/>
  <c r="KG16" i="29"/>
  <c r="KI17" i="1"/>
  <c r="KI75" i="1" s="1"/>
  <c r="KG2" i="29"/>
  <c r="KG154" i="29" s="1"/>
  <c r="FC158" i="5"/>
  <c r="S158" i="5" s="1"/>
  <c r="FC71" i="5"/>
  <c r="S71" i="5" s="1"/>
  <c r="S4" i="5"/>
  <c r="JY75" i="29"/>
  <c r="JY154" i="29"/>
  <c r="JY16" i="29"/>
  <c r="FA4" i="5"/>
  <c r="GU4" i="4"/>
  <c r="GU64" i="4" s="1"/>
  <c r="KH333" i="30"/>
  <c r="KH64" i="30"/>
  <c r="KH110" i="30"/>
  <c r="KH4" i="30"/>
  <c r="KH165" i="30" s="1"/>
  <c r="KH75" i="29"/>
  <c r="KH16" i="29"/>
  <c r="KQ4" i="1"/>
  <c r="KJ17" i="1"/>
  <c r="KJ75" i="1" s="1"/>
  <c r="KH2" i="29"/>
  <c r="KH154" i="29" s="1"/>
  <c r="AU4" i="30" l="1"/>
  <c r="KQ165" i="30"/>
  <c r="AU165" i="30" s="1"/>
  <c r="AU17" i="1"/>
  <c r="AU75" i="1" s="1"/>
  <c r="KV4" i="1"/>
  <c r="LC4" i="1" s="1"/>
  <c r="KF154" i="29"/>
  <c r="KF75" i="29"/>
  <c r="KF16" i="29"/>
  <c r="EY71" i="5"/>
  <c r="EY158" i="5"/>
  <c r="FH4" i="5"/>
  <c r="HB4" i="4"/>
  <c r="HB64" i="4" s="1"/>
  <c r="KO333" i="30"/>
  <c r="KO64" i="30"/>
  <c r="KO110" i="30"/>
  <c r="KO4" i="30"/>
  <c r="KO165" i="30" s="1"/>
  <c r="KO75" i="29"/>
  <c r="KQ17" i="1"/>
  <c r="KQ75" i="1" s="1"/>
  <c r="KO2" i="29"/>
  <c r="KO154" i="29" s="1"/>
  <c r="KX4" i="1"/>
  <c r="KO16" i="29"/>
  <c r="FF4" i="5"/>
  <c r="GZ4" i="4"/>
  <c r="GZ64" i="4" s="1"/>
  <c r="KM333" i="30"/>
  <c r="KM64" i="30"/>
  <c r="KM110" i="30"/>
  <c r="KM4" i="30"/>
  <c r="KM165" i="30" s="1"/>
  <c r="KO17" i="1"/>
  <c r="KO75" i="1" s="1"/>
  <c r="KM2" i="29"/>
  <c r="HD64" i="4"/>
  <c r="Z64" i="4" s="1"/>
  <c r="Z4" i="4"/>
  <c r="GZ2" i="4"/>
  <c r="HD2" i="4"/>
  <c r="HB2" i="4"/>
  <c r="HC2" i="4"/>
  <c r="HA2" i="4"/>
  <c r="FQ4" i="5"/>
  <c r="HK4" i="4"/>
  <c r="KX333" i="30"/>
  <c r="KX110" i="30"/>
  <c r="AV110" i="30" s="1"/>
  <c r="KX64" i="30"/>
  <c r="KX4" i="30"/>
  <c r="KX75" i="29"/>
  <c r="KX16" i="29"/>
  <c r="AV16" i="29" s="1"/>
  <c r="KZ17" i="1"/>
  <c r="KZ75" i="1" s="1"/>
  <c r="KX2" i="29"/>
  <c r="AV4" i="1"/>
  <c r="FJ158" i="5"/>
  <c r="T158" i="5" s="1"/>
  <c r="FJ71" i="5"/>
  <c r="T71" i="5" s="1"/>
  <c r="T4" i="5"/>
  <c r="HC4" i="4"/>
  <c r="HC64" i="4" s="1"/>
  <c r="KP333" i="30"/>
  <c r="FI4" i="5"/>
  <c r="KP110" i="30"/>
  <c r="KP64" i="30"/>
  <c r="KP4" i="30"/>
  <c r="KP165" i="30" s="1"/>
  <c r="KP75" i="29"/>
  <c r="KP2" i="29"/>
  <c r="KP154" i="29" s="1"/>
  <c r="KP16" i="29"/>
  <c r="KR17" i="1"/>
  <c r="KR75" i="1" s="1"/>
  <c r="KY4" i="1"/>
  <c r="FB158" i="5"/>
  <c r="FB71" i="5"/>
  <c r="FG4" i="5"/>
  <c r="HA4" i="4"/>
  <c r="HA64" i="4" s="1"/>
  <c r="KN333" i="30"/>
  <c r="KN64" i="30"/>
  <c r="KN110" i="30"/>
  <c r="KN4" i="30"/>
  <c r="KN165" i="30" s="1"/>
  <c r="KN75" i="29"/>
  <c r="KN16" i="29"/>
  <c r="KP17" i="1"/>
  <c r="KP75" i="1" s="1"/>
  <c r="KN2" i="29"/>
  <c r="KN154" i="29" s="1"/>
  <c r="KW4" i="1"/>
  <c r="LD4" i="1" s="1"/>
  <c r="FA158" i="5"/>
  <c r="FA71" i="5"/>
  <c r="EZ71" i="5"/>
  <c r="EZ158" i="5"/>
  <c r="LF4" i="1" l="1"/>
  <c r="LE4" i="1"/>
  <c r="AV4" i="30"/>
  <c r="KX165" i="30"/>
  <c r="AV165" i="30" s="1"/>
  <c r="AV17" i="1"/>
  <c r="AV75" i="1" s="1"/>
  <c r="KX154" i="29"/>
  <c r="AV2" i="29"/>
  <c r="AV64" i="30"/>
  <c r="FM4" i="5"/>
  <c r="HG4" i="4"/>
  <c r="HG64" i="4" s="1"/>
  <c r="KT333" i="30"/>
  <c r="KT64" i="30"/>
  <c r="KT110" i="30"/>
  <c r="KT4" i="30"/>
  <c r="KT165" i="30" s="1"/>
  <c r="KV17" i="1"/>
  <c r="KV75" i="1" s="1"/>
  <c r="KT2" i="29"/>
  <c r="KM154" i="29"/>
  <c r="KM75" i="29"/>
  <c r="KM16" i="29"/>
  <c r="FN4" i="5"/>
  <c r="HH4" i="4"/>
  <c r="HH64" i="4" s="1"/>
  <c r="KU333" i="30"/>
  <c r="KU64" i="30"/>
  <c r="KU110" i="30"/>
  <c r="KU4" i="30"/>
  <c r="KU165" i="30" s="1"/>
  <c r="KU75" i="29"/>
  <c r="KU2" i="29"/>
  <c r="KU154" i="29" s="1"/>
  <c r="KU16" i="29"/>
  <c r="KW17" i="1"/>
  <c r="KW75" i="1" s="1"/>
  <c r="FO4" i="5"/>
  <c r="HI4" i="4"/>
  <c r="HI64" i="4" s="1"/>
  <c r="KV333" i="30"/>
  <c r="KV110" i="30"/>
  <c r="KV64" i="30"/>
  <c r="KV4" i="30"/>
  <c r="KV165" i="30" s="1"/>
  <c r="KV75" i="29"/>
  <c r="KV2" i="29"/>
  <c r="KV154" i="29" s="1"/>
  <c r="KV16" i="29"/>
  <c r="KX17" i="1"/>
  <c r="FH158" i="5"/>
  <c r="FH71" i="5"/>
  <c r="FG158" i="5"/>
  <c r="FG71" i="5"/>
  <c r="LE75" i="29"/>
  <c r="FX4" i="5"/>
  <c r="AW4" i="1"/>
  <c r="LE2" i="29"/>
  <c r="LE4" i="30"/>
  <c r="HR4" i="4"/>
  <c r="LE16" i="29"/>
  <c r="AW16" i="29" s="1"/>
  <c r="LG17" i="1"/>
  <c r="LG75" i="1" s="1"/>
  <c r="LE64" i="30"/>
  <c r="AW64" i="30" s="1"/>
  <c r="LE333" i="30"/>
  <c r="LE110" i="30"/>
  <c r="AW110" i="30" s="1"/>
  <c r="FP4" i="5"/>
  <c r="HJ4" i="4"/>
  <c r="HJ64" i="4" s="1"/>
  <c r="KW333" i="30"/>
  <c r="KW110" i="30"/>
  <c r="KW64" i="30"/>
  <c r="KW4" i="30"/>
  <c r="KW165" i="30" s="1"/>
  <c r="KW75" i="29"/>
  <c r="KW2" i="29"/>
  <c r="KW154" i="29" s="1"/>
  <c r="KW16" i="29"/>
  <c r="KY17" i="1"/>
  <c r="FI158" i="5"/>
  <c r="FI71" i="5"/>
  <c r="HK64" i="4"/>
  <c r="AA64" i="4" s="1"/>
  <c r="AA4" i="4"/>
  <c r="HI2" i="4"/>
  <c r="HH2" i="4"/>
  <c r="HJ2" i="4"/>
  <c r="HG2" i="4"/>
  <c r="HK2" i="4"/>
  <c r="FQ71" i="5"/>
  <c r="U71" i="5" s="1"/>
  <c r="FQ158" i="5"/>
  <c r="U158" i="5" s="1"/>
  <c r="U4" i="5"/>
  <c r="FF158" i="5"/>
  <c r="FF71" i="5"/>
  <c r="KY75" i="1" l="1"/>
  <c r="KX75" i="1"/>
  <c r="AW4" i="30"/>
  <c r="LE165" i="30"/>
  <c r="AW165" i="30" s="1"/>
  <c r="AW17" i="1"/>
  <c r="AW75" i="1" s="1"/>
  <c r="LD17" i="1"/>
  <c r="AV154" i="29"/>
  <c r="LE154" i="29"/>
  <c r="AW2" i="29"/>
  <c r="AW154" i="29" s="1"/>
  <c r="LC4" i="30"/>
  <c r="LC165" i="30" s="1"/>
  <c r="LC2" i="29"/>
  <c r="LC154" i="29" s="1"/>
  <c r="LC75" i="29"/>
  <c r="LC110" i="30"/>
  <c r="LC333" i="30"/>
  <c r="LC64" i="30"/>
  <c r="LC16" i="29"/>
  <c r="FV4" i="5"/>
  <c r="HP4" i="4"/>
  <c r="HP64" i="4" s="1"/>
  <c r="LE17" i="1"/>
  <c r="KT75" i="29"/>
  <c r="KT16" i="29"/>
  <c r="KT154" i="29"/>
  <c r="LN17" i="1"/>
  <c r="LN75" i="1" s="1"/>
  <c r="LL333" i="30"/>
  <c r="LL110" i="30"/>
  <c r="AX110" i="30" s="1"/>
  <c r="LL75" i="29"/>
  <c r="HY4" i="4"/>
  <c r="GE4" i="5"/>
  <c r="AX4" i="1"/>
  <c r="LL4" i="30"/>
  <c r="LL2" i="29"/>
  <c r="LL64" i="30"/>
  <c r="AX64" i="30" s="1"/>
  <c r="AX16" i="29"/>
  <c r="FN158" i="5"/>
  <c r="FN71" i="5"/>
  <c r="HR64" i="4"/>
  <c r="AB64" i="4" s="1"/>
  <c r="AB4" i="4"/>
  <c r="LB110" i="30"/>
  <c r="HO4" i="4"/>
  <c r="HO64" i="4" s="1"/>
  <c r="LB2" i="29"/>
  <c r="LB154" i="29" s="1"/>
  <c r="LB75" i="29"/>
  <c r="LB333" i="30"/>
  <c r="FU4" i="5"/>
  <c r="LB64" i="30"/>
  <c r="LB16" i="29"/>
  <c r="LB4" i="30"/>
  <c r="LB165" i="30" s="1"/>
  <c r="FP158" i="5"/>
  <c r="FP71" i="5"/>
  <c r="LD110" i="30"/>
  <c r="LD64" i="30"/>
  <c r="LD4" i="30"/>
  <c r="LD165" i="30" s="1"/>
  <c r="HQ4" i="4"/>
  <c r="HQ64" i="4" s="1"/>
  <c r="LD333" i="30"/>
  <c r="LD75" i="29"/>
  <c r="LF17" i="1"/>
  <c r="FW4" i="5"/>
  <c r="LD2" i="29"/>
  <c r="LD154" i="29" s="1"/>
  <c r="LD16" i="29"/>
  <c r="V4" i="5"/>
  <c r="FX158" i="5"/>
  <c r="V158" i="5" s="1"/>
  <c r="FX71" i="5"/>
  <c r="V71" i="5" s="1"/>
  <c r="FO158" i="5"/>
  <c r="FO71" i="5"/>
  <c r="HN4" i="4"/>
  <c r="HN64" i="4" s="1"/>
  <c r="LA110" i="30"/>
  <c r="LC17" i="1"/>
  <c r="LA64" i="30"/>
  <c r="LA4" i="30"/>
  <c r="LA165" i="30" s="1"/>
  <c r="LA333" i="30"/>
  <c r="FT4" i="5"/>
  <c r="LA2" i="29"/>
  <c r="FM158" i="5"/>
  <c r="FM71" i="5"/>
  <c r="LF75" i="1" l="1"/>
  <c r="BA4" i="1"/>
  <c r="MG333" i="30"/>
  <c r="MG64" i="30"/>
  <c r="BA64" i="30" s="1"/>
  <c r="GZ4" i="5"/>
  <c r="MG4" i="30"/>
  <c r="MG75" i="29"/>
  <c r="MG16" i="29"/>
  <c r="BA16" i="29" s="1"/>
  <c r="MG2" i="29"/>
  <c r="IT4" i="4"/>
  <c r="MG110" i="30"/>
  <c r="BA110" i="30" s="1"/>
  <c r="MI17" i="1"/>
  <c r="LE75" i="1"/>
  <c r="LD75" i="1"/>
  <c r="LC75" i="1"/>
  <c r="LZ75" i="29"/>
  <c r="LZ2" i="29"/>
  <c r="LZ154" i="29" s="1"/>
  <c r="LZ16" i="29"/>
  <c r="AZ16" i="29" s="1"/>
  <c r="MB17" i="1"/>
  <c r="LZ110" i="30"/>
  <c r="AZ110" i="30" s="1"/>
  <c r="LZ64" i="30"/>
  <c r="AZ64" i="30" s="1"/>
  <c r="IM4" i="4"/>
  <c r="LZ333" i="30"/>
  <c r="LZ4" i="30"/>
  <c r="AZ4" i="1"/>
  <c r="GS4" i="5"/>
  <c r="AX4" i="30"/>
  <c r="LL165" i="30"/>
  <c r="AX165" i="30" s="1"/>
  <c r="AX17" i="1"/>
  <c r="AX75" i="1" s="1"/>
  <c r="LL154" i="29"/>
  <c r="AX2" i="29"/>
  <c r="LP75" i="29"/>
  <c r="GB4" i="5"/>
  <c r="LI4" i="30"/>
  <c r="LI165" i="30" s="1"/>
  <c r="LI16" i="29"/>
  <c r="LI2" i="29"/>
  <c r="LI154" i="29" s="1"/>
  <c r="LI64" i="30"/>
  <c r="HV4" i="4"/>
  <c r="HV64" i="4" s="1"/>
  <c r="LI75" i="29"/>
  <c r="LI333" i="30"/>
  <c r="LK17" i="1"/>
  <c r="LK75" i="1" s="1"/>
  <c r="LI110" i="30"/>
  <c r="LS110" i="30"/>
  <c r="AY110" i="30" s="1"/>
  <c r="GL4" i="5"/>
  <c r="LS75" i="29"/>
  <c r="IF4" i="4"/>
  <c r="LU17" i="1"/>
  <c r="LU75" i="1" s="1"/>
  <c r="LS16" i="29"/>
  <c r="AY16" i="29" s="1"/>
  <c r="LS2" i="29"/>
  <c r="AY4" i="1"/>
  <c r="LS4" i="30"/>
  <c r="LS165" i="30" s="1"/>
  <c r="AY165" i="30" s="1"/>
  <c r="LS333" i="30"/>
  <c r="LS64" i="30"/>
  <c r="AY64" i="30" s="1"/>
  <c r="LJ17" i="1"/>
  <c r="LJ75" i="1" s="1"/>
  <c r="LH110" i="30"/>
  <c r="LH4" i="30"/>
  <c r="LH165" i="30" s="1"/>
  <c r="LH2" i="29"/>
  <c r="LH64" i="30"/>
  <c r="GA4" i="5"/>
  <c r="HU4" i="4"/>
  <c r="HU64" i="4" s="1"/>
  <c r="LH333" i="30"/>
  <c r="FU158" i="5"/>
  <c r="FU71" i="5"/>
  <c r="GE158" i="5"/>
  <c r="W158" i="5" s="1"/>
  <c r="GE71" i="5"/>
  <c r="W71" i="5" s="1"/>
  <c r="W4" i="5"/>
  <c r="FW71" i="5"/>
  <c r="FW158" i="5"/>
  <c r="LR75" i="29"/>
  <c r="LK4" i="30"/>
  <c r="LK165" i="30" s="1"/>
  <c r="LK110" i="30"/>
  <c r="LM17" i="1"/>
  <c r="LM75" i="1" s="1"/>
  <c r="LK64" i="30"/>
  <c r="GD4" i="5"/>
  <c r="HX4" i="4"/>
  <c r="HX64" i="4" s="1"/>
  <c r="LK333" i="30"/>
  <c r="LK2" i="29"/>
  <c r="LK154" i="29" s="1"/>
  <c r="LK75" i="29"/>
  <c r="LK16" i="29"/>
  <c r="HY64" i="4"/>
  <c r="AC64" i="4" s="1"/>
  <c r="AC4" i="4"/>
  <c r="FT158" i="5"/>
  <c r="FT71" i="5"/>
  <c r="LA154" i="29"/>
  <c r="LA16" i="29"/>
  <c r="LA75" i="29"/>
  <c r="FV71" i="5"/>
  <c r="FV158" i="5"/>
  <c r="LQ75" i="29"/>
  <c r="LJ2" i="29"/>
  <c r="LJ154" i="29" s="1"/>
  <c r="LJ75" i="29"/>
  <c r="GC4" i="5"/>
  <c r="LL17" i="1"/>
  <c r="LL75" i="1" s="1"/>
  <c r="HW4" i="4"/>
  <c r="HW64" i="4" s="1"/>
  <c r="LJ4" i="30"/>
  <c r="LJ165" i="30" s="1"/>
  <c r="LJ64" i="30"/>
  <c r="LJ110" i="30"/>
  <c r="LJ333" i="30"/>
  <c r="LJ16" i="29"/>
  <c r="GZ71" i="5" l="1"/>
  <c r="Z71" i="5" s="1"/>
  <c r="Z4" i="5"/>
  <c r="GZ158" i="5"/>
  <c r="Z158" i="5" s="1"/>
  <c r="MI75" i="1"/>
  <c r="BA17" i="1"/>
  <c r="BA75" i="1" s="1"/>
  <c r="IT64" i="4"/>
  <c r="AF64" i="4" s="1"/>
  <c r="AF4" i="4"/>
  <c r="MG154" i="29"/>
  <c r="BA2" i="29"/>
  <c r="BA154" i="29" s="1"/>
  <c r="MG165" i="30"/>
  <c r="BA165" i="30" s="1"/>
  <c r="BA4" i="30"/>
  <c r="GS158" i="5"/>
  <c r="Y158" i="5" s="1"/>
  <c r="Y4" i="5"/>
  <c r="GS71" i="5"/>
  <c r="Y71" i="5" s="1"/>
  <c r="LZ165" i="30"/>
  <c r="AZ165" i="30" s="1"/>
  <c r="AZ4" i="30"/>
  <c r="LX4" i="1"/>
  <c r="AZ2" i="29"/>
  <c r="LZ4" i="1"/>
  <c r="MA4" i="1"/>
  <c r="AE4" i="4"/>
  <c r="IM64" i="4"/>
  <c r="AE64" i="4" s="1"/>
  <c r="LY4" i="1"/>
  <c r="MB75" i="1"/>
  <c r="AZ17" i="1"/>
  <c r="AZ75" i="1" s="1"/>
  <c r="AY17" i="1"/>
  <c r="AY75" i="1" s="1"/>
  <c r="AY4" i="30"/>
  <c r="AX154" i="29"/>
  <c r="LS154" i="29"/>
  <c r="AY2" i="29"/>
  <c r="IE4" i="4"/>
  <c r="IE64" i="4" s="1"/>
  <c r="LR4" i="30"/>
  <c r="LR165" i="30" s="1"/>
  <c r="LT17" i="1"/>
  <c r="LT75" i="1" s="1"/>
  <c r="LR2" i="29"/>
  <c r="LR154" i="29" s="1"/>
  <c r="LR64" i="30"/>
  <c r="GK4" i="5"/>
  <c r="LR333" i="30"/>
  <c r="LR16" i="29"/>
  <c r="LR110" i="30"/>
  <c r="LO64" i="30"/>
  <c r="LO2" i="29"/>
  <c r="LO75" i="29" s="1"/>
  <c r="GH4" i="5"/>
  <c r="LO110" i="30"/>
  <c r="IB4" i="4"/>
  <c r="IB64" i="4" s="1"/>
  <c r="LQ17" i="1"/>
  <c r="LQ75" i="1" s="1"/>
  <c r="LO4" i="30"/>
  <c r="LO165" i="30" s="1"/>
  <c r="LO333" i="30"/>
  <c r="IF64" i="4"/>
  <c r="AD64" i="4" s="1"/>
  <c r="AD4" i="4"/>
  <c r="GA71" i="5"/>
  <c r="GA158" i="5"/>
  <c r="GL158" i="5"/>
  <c r="X158" i="5" s="1"/>
  <c r="GL71" i="5"/>
  <c r="X71" i="5" s="1"/>
  <c r="X4" i="5"/>
  <c r="GC158" i="5"/>
  <c r="GC71" i="5"/>
  <c r="GD158" i="5"/>
  <c r="GD71" i="5"/>
  <c r="LS17" i="1"/>
  <c r="LS75" i="1" s="1"/>
  <c r="LQ2" i="29"/>
  <c r="LQ154" i="29" s="1"/>
  <c r="LQ16" i="29"/>
  <c r="LQ64" i="30"/>
  <c r="LQ333" i="30"/>
  <c r="LQ4" i="30"/>
  <c r="LQ165" i="30" s="1"/>
  <c r="ID4" i="4"/>
  <c r="ID64" i="4" s="1"/>
  <c r="LQ110" i="30"/>
  <c r="GJ4" i="5"/>
  <c r="LH154" i="29"/>
  <c r="LH16" i="29"/>
  <c r="LH75" i="29"/>
  <c r="GB71" i="5"/>
  <c r="GB158" i="5"/>
  <c r="LP110" i="30"/>
  <c r="LP2" i="29"/>
  <c r="LP154" i="29" s="1"/>
  <c r="GI4" i="5"/>
  <c r="LP64" i="30"/>
  <c r="LR17" i="1"/>
  <c r="LR75" i="1" s="1"/>
  <c r="LP16" i="29"/>
  <c r="IC4" i="4"/>
  <c r="IC64" i="4" s="1"/>
  <c r="LP333" i="30"/>
  <c r="LP4" i="30"/>
  <c r="MH4" i="1" l="1"/>
  <c r="MG4" i="1"/>
  <c r="MF4" i="1"/>
  <c r="ME4" i="1"/>
  <c r="AZ154" i="29"/>
  <c r="GQ4" i="5"/>
  <c r="LX110" i="30"/>
  <c r="LX64" i="30"/>
  <c r="IK4" i="4"/>
  <c r="IK64" i="4" s="1"/>
  <c r="LX75" i="29"/>
  <c r="LX333" i="30"/>
  <c r="LX16" i="29"/>
  <c r="LX2" i="29"/>
  <c r="LX154" i="29" s="1"/>
  <c r="LX4" i="30"/>
  <c r="LX165" i="30" s="1"/>
  <c r="LZ17" i="1"/>
  <c r="LZ75" i="1" s="1"/>
  <c r="LX17" i="1"/>
  <c r="LX75" i="1" s="1"/>
  <c r="LV4" i="30"/>
  <c r="GO4" i="5"/>
  <c r="LV110" i="30"/>
  <c r="LV64" i="30"/>
  <c r="II4" i="4"/>
  <c r="II64" i="4" s="1"/>
  <c r="LV333" i="30"/>
  <c r="LV2" i="29"/>
  <c r="LY17" i="1"/>
  <c r="LY75" i="1" s="1"/>
  <c r="GP4" i="5"/>
  <c r="LW110" i="30"/>
  <c r="LW64" i="30"/>
  <c r="IJ4" i="4"/>
  <c r="IJ64" i="4" s="1"/>
  <c r="LW75" i="29"/>
  <c r="LW333" i="30"/>
  <c r="LW16" i="29"/>
  <c r="LW2" i="29"/>
  <c r="LW154" i="29" s="1"/>
  <c r="LW4" i="30"/>
  <c r="LW165" i="30" s="1"/>
  <c r="LY110" i="30"/>
  <c r="LY64" i="30"/>
  <c r="IL4" i="4"/>
  <c r="IL64" i="4" s="1"/>
  <c r="LY75" i="29"/>
  <c r="LY333" i="30"/>
  <c r="LY16" i="29"/>
  <c r="LY2" i="29"/>
  <c r="LY154" i="29" s="1"/>
  <c r="LY4" i="30"/>
  <c r="LY165" i="30" s="1"/>
  <c r="GR4" i="5"/>
  <c r="MA17" i="1"/>
  <c r="MA75" i="1" s="1"/>
  <c r="LP165" i="30"/>
  <c r="AY154" i="29"/>
  <c r="GJ158" i="5"/>
  <c r="GJ71" i="5"/>
  <c r="GK158" i="5"/>
  <c r="GK71" i="5"/>
  <c r="GI158" i="5"/>
  <c r="GI71" i="5"/>
  <c r="GH158" i="5"/>
  <c r="GH71" i="5"/>
  <c r="LO16" i="29"/>
  <c r="LO154" i="29"/>
  <c r="BW174" i="30"/>
  <c r="BW177" i="30"/>
  <c r="MG17" i="1" l="1"/>
  <c r="MG75" i="1" s="1"/>
  <c r="ME2" i="29"/>
  <c r="ME154" i="29" s="1"/>
  <c r="IR4" i="4"/>
  <c r="IR64" i="4" s="1"/>
  <c r="ME110" i="30"/>
  <c r="ME333" i="30"/>
  <c r="ME64" i="30"/>
  <c r="GX4" i="5"/>
  <c r="ME4" i="30"/>
  <c r="ME165" i="30" s="1"/>
  <c r="ME75" i="29"/>
  <c r="ME16" i="29"/>
  <c r="MF17" i="1"/>
  <c r="MF75" i="1" s="1"/>
  <c r="MD2" i="29"/>
  <c r="MD154" i="29" s="1"/>
  <c r="IQ4" i="4"/>
  <c r="IQ64" i="4" s="1"/>
  <c r="MD110" i="30"/>
  <c r="MD333" i="30"/>
  <c r="MD64" i="30"/>
  <c r="GW4" i="5"/>
  <c r="MD4" i="30"/>
  <c r="MD165" i="30" s="1"/>
  <c r="MD75" i="29"/>
  <c r="MD16" i="29"/>
  <c r="MH17" i="1"/>
  <c r="MH75" i="1" s="1"/>
  <c r="IS4" i="4"/>
  <c r="IS64" i="4" s="1"/>
  <c r="MF110" i="30"/>
  <c r="MF333" i="30"/>
  <c r="MF64" i="30"/>
  <c r="GY4" i="5"/>
  <c r="MF4" i="30"/>
  <c r="MF165" i="30" s="1"/>
  <c r="MF75" i="29"/>
  <c r="MF16" i="29"/>
  <c r="MF2" i="29"/>
  <c r="ME17" i="1"/>
  <c r="ME75" i="1" s="1"/>
  <c r="MC2" i="29"/>
  <c r="IP4" i="4"/>
  <c r="IP64" i="4" s="1"/>
  <c r="MC110" i="30"/>
  <c r="MC333" i="30"/>
  <c r="MC64" i="30"/>
  <c r="GV4" i="5"/>
  <c r="MC4" i="30"/>
  <c r="MC165" i="30" s="1"/>
  <c r="LV165" i="30"/>
  <c r="GP71" i="5"/>
  <c r="GP158" i="5"/>
  <c r="LV75" i="29"/>
  <c r="LV154" i="29"/>
  <c r="LV16" i="29"/>
  <c r="GR158" i="5"/>
  <c r="GR71" i="5"/>
  <c r="GO158" i="5"/>
  <c r="GO71" i="5"/>
  <c r="GQ158" i="5"/>
  <c r="GQ71" i="5"/>
  <c r="E154" i="29"/>
  <c r="D154" i="29"/>
  <c r="C154" i="29"/>
  <c r="GV158" i="5" l="1"/>
  <c r="GV71" i="5"/>
  <c r="MF154" i="29"/>
  <c r="GX71" i="5"/>
  <c r="GX158" i="5"/>
  <c r="GY71" i="5"/>
  <c r="GY158" i="5"/>
  <c r="MC16" i="29"/>
  <c r="MC154" i="29"/>
  <c r="MC75" i="29"/>
  <c r="GW71" i="5"/>
  <c r="GW158" i="5"/>
  <c r="LA80" i="30"/>
  <c r="LA90" i="30" l="1"/>
  <c r="LA310" i="30"/>
  <c r="LA103" i="30"/>
  <c r="LA81" i="30"/>
  <c r="LA108" i="30" l="1"/>
  <c r="LA91" i="30"/>
  <c r="LA315" i="30"/>
  <c r="LA97" i="29"/>
  <c r="LA101" i="30"/>
  <c r="LA48" i="30"/>
  <c r="LA20" i="30" l="1"/>
  <c r="LH80" i="30"/>
  <c r="LA243" i="30" l="1"/>
  <c r="LA246" i="30" s="1"/>
  <c r="LA247" i="30" s="1"/>
  <c r="LH48" i="30"/>
  <c r="LH20" i="30"/>
  <c r="LH243" i="30" s="1"/>
  <c r="LO80" i="30"/>
  <c r="LO15" i="30"/>
  <c r="LA31" i="30"/>
  <c r="LA126" i="30"/>
  <c r="LA21" i="30"/>
  <c r="LA50" i="30"/>
  <c r="LA37" i="30"/>
  <c r="LH90" i="30"/>
  <c r="LH103" i="30"/>
  <c r="LH81" i="30"/>
  <c r="LH244" i="30" l="1"/>
  <c r="LH246" i="30"/>
  <c r="LH247" i="30" s="1"/>
  <c r="LV48" i="30"/>
  <c r="LV81" i="30"/>
  <c r="LV103" i="30"/>
  <c r="LA136" i="30"/>
  <c r="LA159" i="30"/>
  <c r="LH305" i="30"/>
  <c r="LH310" i="30"/>
  <c r="LH315" i="30" s="1"/>
  <c r="LA244" i="30"/>
  <c r="LA149" i="30"/>
  <c r="LA321" i="30"/>
  <c r="LA273" i="30"/>
  <c r="LA32" i="30"/>
  <c r="LA55" i="30"/>
  <c r="LO103" i="30"/>
  <c r="LO301" i="30" s="1"/>
  <c r="LO81" i="30"/>
  <c r="LO90" i="30"/>
  <c r="LA127" i="30"/>
  <c r="LO48" i="30"/>
  <c r="LO20" i="30"/>
  <c r="LH97" i="29"/>
  <c r="LH91" i="30"/>
  <c r="LH108" i="30"/>
  <c r="LH126" i="30"/>
  <c r="LH31" i="30"/>
  <c r="LH273" i="30" s="1"/>
  <c r="LH21" i="30"/>
  <c r="LH50" i="30"/>
  <c r="LH37" i="30"/>
  <c r="LA38" i="30"/>
  <c r="LA60" i="30"/>
  <c r="LC20" i="1"/>
  <c r="LH276" i="30" l="1"/>
  <c r="LH274" i="30"/>
  <c r="LH136" i="30"/>
  <c r="LH321" i="30"/>
  <c r="LH326" i="30" s="1"/>
  <c r="LA154" i="30"/>
  <c r="LA160" i="30"/>
  <c r="LA161" i="30" s="1"/>
  <c r="HN69" i="4"/>
  <c r="FT103" i="5" s="1"/>
  <c r="LV108" i="30"/>
  <c r="LV137" i="29" s="1"/>
  <c r="LV91" i="30"/>
  <c r="LV301" i="30"/>
  <c r="MC301" i="30" s="1"/>
  <c r="LV50" i="30"/>
  <c r="LV21" i="30"/>
  <c r="LH306" i="30"/>
  <c r="LO310" i="30"/>
  <c r="LO315" i="30" s="1"/>
  <c r="LO305" i="30"/>
  <c r="LH307" i="30"/>
  <c r="LA326" i="30"/>
  <c r="LA19" i="29"/>
  <c r="LA21" i="29"/>
  <c r="LA95" i="29"/>
  <c r="LA20" i="29"/>
  <c r="LA25" i="29"/>
  <c r="LA23" i="29"/>
  <c r="LV11" i="29" s="1"/>
  <c r="LA22" i="29"/>
  <c r="LA131" i="29"/>
  <c r="LA276" i="30"/>
  <c r="LA277" i="30" s="1"/>
  <c r="LA274" i="30"/>
  <c r="LA137" i="30"/>
  <c r="LH60" i="30"/>
  <c r="LH38" i="30"/>
  <c r="LJ20" i="1"/>
  <c r="LH92" i="29" s="1"/>
  <c r="LC7" i="1"/>
  <c r="LA92" i="29"/>
  <c r="LC21" i="1"/>
  <c r="LH55" i="30"/>
  <c r="LH32" i="30"/>
  <c r="LO126" i="30"/>
  <c r="LO31" i="30"/>
  <c r="LO243" i="30"/>
  <c r="LV244" i="30" s="1"/>
  <c r="LO50" i="30"/>
  <c r="LO21" i="30"/>
  <c r="LO37" i="30"/>
  <c r="LO91" i="30"/>
  <c r="LO108" i="30"/>
  <c r="LO137" i="29" s="1"/>
  <c r="LO136" i="29" s="1"/>
  <c r="LH127" i="30"/>
  <c r="LH149" i="30"/>
  <c r="MC305" i="30" l="1"/>
  <c r="MC310" i="30"/>
  <c r="LH277" i="30"/>
  <c r="LH21" i="29"/>
  <c r="LH19" i="29"/>
  <c r="LH25" i="29"/>
  <c r="LV136" i="29"/>
  <c r="HN101" i="4"/>
  <c r="FT112" i="5"/>
  <c r="HN81" i="4"/>
  <c r="FT115" i="5"/>
  <c r="HN93" i="4"/>
  <c r="FT89" i="5"/>
  <c r="HN105" i="4"/>
  <c r="FT100" i="5" s="1"/>
  <c r="HN78" i="4"/>
  <c r="LZ11" i="29"/>
  <c r="LV310" i="30"/>
  <c r="LV305" i="30"/>
  <c r="LV55" i="30"/>
  <c r="LV32" i="30"/>
  <c r="LV127" i="30"/>
  <c r="LV149" i="30"/>
  <c r="LO136" i="30"/>
  <c r="LV60" i="30"/>
  <c r="LV38" i="30"/>
  <c r="LX31" i="1"/>
  <c r="LO321" i="30"/>
  <c r="LO307" i="30"/>
  <c r="LO306" i="30"/>
  <c r="LC8" i="1"/>
  <c r="LO117" i="29"/>
  <c r="LH137" i="30"/>
  <c r="LH154" i="30"/>
  <c r="LA24" i="29"/>
  <c r="LA27" i="29" s="1"/>
  <c r="LO244" i="30"/>
  <c r="LO246" i="30"/>
  <c r="LV247" i="30" s="1"/>
  <c r="LO32" i="30"/>
  <c r="LO273" i="30"/>
  <c r="LO55" i="30"/>
  <c r="LO127" i="30"/>
  <c r="LO149" i="30"/>
  <c r="LA5" i="29"/>
  <c r="LJ21" i="1"/>
  <c r="LJ7" i="1"/>
  <c r="LH95" i="29"/>
  <c r="LO60" i="30"/>
  <c r="LO38" i="30"/>
  <c r="LQ20" i="1"/>
  <c r="LV117" i="29" l="1"/>
  <c r="LV119" i="29" s="1"/>
  <c r="MC136" i="29"/>
  <c r="MC315" i="30"/>
  <c r="MC321" i="30"/>
  <c r="MC306" i="30"/>
  <c r="LZ23" i="29"/>
  <c r="AZ23" i="29" s="1"/>
  <c r="LV274" i="30"/>
  <c r="LV306" i="30"/>
  <c r="LV307" i="30"/>
  <c r="LV315" i="30"/>
  <c r="LV321" i="30"/>
  <c r="LV326" i="30" s="1"/>
  <c r="LV154" i="30"/>
  <c r="LV137" i="30"/>
  <c r="LX21" i="1"/>
  <c r="LO326" i="30"/>
  <c r="MB31" i="1"/>
  <c r="AZ31" i="1" s="1"/>
  <c r="AZ11" i="29" s="1"/>
  <c r="LJ8" i="1"/>
  <c r="LC23" i="1"/>
  <c r="LJ32" i="1"/>
  <c r="LH24" i="29" s="1"/>
  <c r="LJ31" i="1"/>
  <c r="LH23" i="29" s="1"/>
  <c r="LO276" i="30"/>
  <c r="LO274" i="30"/>
  <c r="LO247" i="30"/>
  <c r="LO119" i="29"/>
  <c r="LQ7" i="1"/>
  <c r="LX8" i="1" s="1"/>
  <c r="LO11" i="29"/>
  <c r="LO21" i="29"/>
  <c r="LQ21" i="1"/>
  <c r="LO25" i="29"/>
  <c r="LO154" i="30"/>
  <c r="LO137" i="30"/>
  <c r="LJ28" i="1"/>
  <c r="LH20" i="29" s="1"/>
  <c r="LV8" i="29" s="1"/>
  <c r="MC117" i="29" l="1"/>
  <c r="MC307" i="30"/>
  <c r="MC326" i="30"/>
  <c r="LO8" i="29"/>
  <c r="LX28" i="1"/>
  <c r="IL80" i="4"/>
  <c r="LZ8" i="29"/>
  <c r="HN83" i="4"/>
  <c r="HN84" i="4" s="1"/>
  <c r="LO277" i="30"/>
  <c r="LV277" i="30"/>
  <c r="LQ8" i="1"/>
  <c r="LC25" i="1"/>
  <c r="LH5" i="29"/>
  <c r="LA96" i="29"/>
  <c r="LC35" i="1"/>
  <c r="LC24" i="1"/>
  <c r="FT47" i="5"/>
  <c r="LQ32" i="1"/>
  <c r="LQ31" i="1"/>
  <c r="LJ30" i="1"/>
  <c r="MC119" i="29" l="1"/>
  <c r="LQ28" i="1"/>
  <c r="HN106" i="4"/>
  <c r="FT110" i="5" s="1"/>
  <c r="IL81" i="4"/>
  <c r="GR105" i="5"/>
  <c r="IL13" i="4" s="1"/>
  <c r="LJ23" i="1"/>
  <c r="LH130" i="29"/>
  <c r="LH131" i="29" s="1"/>
  <c r="LH22" i="29"/>
  <c r="LH27" i="29" s="1"/>
  <c r="LZ20" i="29"/>
  <c r="AZ20" i="29" s="1"/>
  <c r="MB28" i="1"/>
  <c r="AZ28" i="1" s="1"/>
  <c r="AZ8" i="29" s="1"/>
  <c r="IM80" i="4"/>
  <c r="LC13" i="1"/>
  <c r="LC14" i="1" s="1"/>
  <c r="LC43" i="1"/>
  <c r="LC36" i="1"/>
  <c r="LJ25" i="1" l="1"/>
  <c r="LH96" i="29"/>
  <c r="LJ35" i="1"/>
  <c r="LJ36" i="1" s="1"/>
  <c r="LJ24" i="1"/>
  <c r="IM81" i="4"/>
  <c r="AE81" i="4" s="1"/>
  <c r="AE80" i="4"/>
  <c r="IM13" i="4"/>
  <c r="IL11" i="4"/>
  <c r="HN89" i="4"/>
  <c r="HN90" i="4" s="1"/>
  <c r="LC49" i="1"/>
  <c r="LC44" i="1"/>
  <c r="LC47" i="1"/>
  <c r="LJ43" i="1"/>
  <c r="LJ47" i="1" s="1"/>
  <c r="HN41" i="4"/>
  <c r="LJ13" i="1" l="1"/>
  <c r="LJ14" i="1" s="1"/>
  <c r="AE13" i="4"/>
  <c r="GS105" i="5"/>
  <c r="IM11" i="4"/>
  <c r="LC51" i="1"/>
  <c r="LC62" i="1"/>
  <c r="LC50" i="1"/>
  <c r="HN97" i="4"/>
  <c r="HN98" i="4" s="1"/>
  <c r="LC65" i="1"/>
  <c r="LJ44" i="1"/>
  <c r="HN48" i="4"/>
  <c r="AE11" i="4" l="1"/>
  <c r="Y105" i="5"/>
  <c r="GS106" i="5"/>
  <c r="Y106" i="5" s="1"/>
  <c r="LC10" i="1"/>
  <c r="LC71" i="1"/>
  <c r="HN109" i="4"/>
  <c r="LC67" i="1"/>
  <c r="LJ49" i="1"/>
  <c r="HN58" i="4"/>
  <c r="LC11" i="1" l="1"/>
  <c r="LC68" i="1"/>
  <c r="LJ65" i="1"/>
  <c r="LJ51" i="1"/>
  <c r="LJ50" i="1"/>
  <c r="FT66" i="5" l="1"/>
  <c r="HN17" i="4"/>
  <c r="HN112" i="4" s="1"/>
  <c r="HN113" i="4" s="1"/>
  <c r="HN28" i="4" l="1"/>
  <c r="HN108" i="4" s="1"/>
  <c r="HN59" i="4" l="1"/>
  <c r="AW75" i="30"/>
  <c r="AW230" i="30" s="1"/>
  <c r="AW231" i="30" s="1"/>
  <c r="LE101" i="30"/>
  <c r="AW101" i="30" s="1"/>
  <c r="LE80" i="30"/>
  <c r="LE103" i="30" s="1"/>
  <c r="AW240" i="30" l="1"/>
  <c r="AW270" i="30" s="1"/>
  <c r="AW271" i="30" s="1"/>
  <c r="AW103" i="30"/>
  <c r="LE81" i="30"/>
  <c r="AW81" i="30" s="1"/>
  <c r="LE90" i="30"/>
  <c r="AW80" i="30"/>
  <c r="AW241" i="30" l="1"/>
  <c r="LE91" i="30"/>
  <c r="AW91" i="30" s="1"/>
  <c r="LE108" i="30"/>
  <c r="AW108" i="30" s="1"/>
  <c r="AW90" i="30"/>
  <c r="LE97" i="29"/>
  <c r="AW97" i="29" s="1"/>
  <c r="LD80" i="30"/>
  <c r="LI80" i="30"/>
  <c r="LK80" i="30"/>
  <c r="LB80" i="30"/>
  <c r="LC48" i="30"/>
  <c r="LD101" i="30"/>
  <c r="LC101" i="30"/>
  <c r="LC80" i="30"/>
  <c r="LL75" i="30"/>
  <c r="LP15" i="30"/>
  <c r="LW48" i="30" l="1"/>
  <c r="LD48" i="30"/>
  <c r="LB310" i="30"/>
  <c r="LB103" i="30"/>
  <c r="LC81" i="30"/>
  <c r="LB81" i="30"/>
  <c r="LI48" i="30"/>
  <c r="LD103" i="30"/>
  <c r="LD81" i="30"/>
  <c r="LC103" i="30"/>
  <c r="LD20" i="30"/>
  <c r="LD243" i="30" s="1"/>
  <c r="LE15" i="30"/>
  <c r="AW15" i="30" s="1"/>
  <c r="AW233" i="30" s="1"/>
  <c r="LK103" i="30"/>
  <c r="LI90" i="30"/>
  <c r="LR15" i="30"/>
  <c r="LR80" i="30"/>
  <c r="LP48" i="30"/>
  <c r="LP20" i="30"/>
  <c r="LJ48" i="30"/>
  <c r="LJ20" i="30"/>
  <c r="LL101" i="30"/>
  <c r="AX101" i="30" s="1"/>
  <c r="AX75" i="30"/>
  <c r="LL80" i="30"/>
  <c r="LI81" i="30"/>
  <c r="LB48" i="30"/>
  <c r="LB90" i="30"/>
  <c r="LI103" i="30"/>
  <c r="LC20" i="30"/>
  <c r="LI20" i="30"/>
  <c r="LI243" i="30" s="1"/>
  <c r="LB20" i="30"/>
  <c r="LJ80" i="30"/>
  <c r="LK90" i="30"/>
  <c r="LP80" i="30"/>
  <c r="LC90" i="30"/>
  <c r="LK81" i="30"/>
  <c r="LD90" i="30"/>
  <c r="LJ243" i="30" l="1"/>
  <c r="LI246" i="30"/>
  <c r="LD244" i="30"/>
  <c r="LD246" i="30"/>
  <c r="LD247" i="30" s="1"/>
  <c r="LD37" i="30"/>
  <c r="LD38" i="30" s="1"/>
  <c r="LY48" i="30"/>
  <c r="LL15" i="30"/>
  <c r="LL48" i="30" s="1"/>
  <c r="AX48" i="30" s="1"/>
  <c r="LC243" i="30"/>
  <c r="LY81" i="30"/>
  <c r="LY103" i="30"/>
  <c r="LW103" i="30"/>
  <c r="LW81" i="30"/>
  <c r="LW21" i="30"/>
  <c r="LW50" i="30"/>
  <c r="LD310" i="30"/>
  <c r="LD315" i="30" s="1"/>
  <c r="LD305" i="30"/>
  <c r="LI310" i="30"/>
  <c r="LI315" i="30" s="1"/>
  <c r="LC305" i="30"/>
  <c r="LC310" i="30"/>
  <c r="LC315" i="30" s="1"/>
  <c r="LE301" i="30"/>
  <c r="LB243" i="30"/>
  <c r="LI244" i="30" s="1"/>
  <c r="LB315" i="30"/>
  <c r="LB108" i="30"/>
  <c r="LD21" i="30"/>
  <c r="LD50" i="30"/>
  <c r="LD31" i="30"/>
  <c r="LD273" i="30" s="1"/>
  <c r="LD126" i="30"/>
  <c r="LE20" i="30"/>
  <c r="LE243" i="30" s="1"/>
  <c r="LE244" i="30" s="1"/>
  <c r="LE48" i="30"/>
  <c r="AW48" i="30" s="1"/>
  <c r="LE121" i="30"/>
  <c r="LE147" i="30" s="1"/>
  <c r="AW147" i="30" s="1"/>
  <c r="LI108" i="30"/>
  <c r="LI91" i="30"/>
  <c r="LQ15" i="30"/>
  <c r="LQ80" i="30"/>
  <c r="LS75" i="30"/>
  <c r="LZ101" i="30" s="1"/>
  <c r="AZ101" i="30" s="1"/>
  <c r="LI21" i="30"/>
  <c r="LI50" i="30"/>
  <c r="LI126" i="30"/>
  <c r="LI31" i="30"/>
  <c r="LI273" i="30" s="1"/>
  <c r="LI37" i="30"/>
  <c r="LK48" i="30"/>
  <c r="LK20" i="30"/>
  <c r="AX230" i="30"/>
  <c r="AX231" i="30" s="1"/>
  <c r="AX240" i="30"/>
  <c r="LK108" i="30"/>
  <c r="LK91" i="30"/>
  <c r="LC21" i="30"/>
  <c r="LC126" i="30"/>
  <c r="LC37" i="30"/>
  <c r="LC31" i="30"/>
  <c r="LC50" i="30"/>
  <c r="LB21" i="30"/>
  <c r="LB50" i="30"/>
  <c r="LB126" i="30"/>
  <c r="LB37" i="30"/>
  <c r="LB31" i="30"/>
  <c r="LC97" i="29"/>
  <c r="LC91" i="30"/>
  <c r="LC108" i="30"/>
  <c r="LJ103" i="30"/>
  <c r="LJ90" i="30"/>
  <c r="LJ81" i="30"/>
  <c r="LB91" i="30"/>
  <c r="LB97" i="29"/>
  <c r="LJ31" i="30"/>
  <c r="LJ50" i="30"/>
  <c r="LJ37" i="30"/>
  <c r="LJ21" i="30"/>
  <c r="LJ126" i="30"/>
  <c r="AW236" i="30"/>
  <c r="AW237" i="30" s="1"/>
  <c r="AW234" i="30"/>
  <c r="LP90" i="30"/>
  <c r="LP103" i="30"/>
  <c r="LP301" i="30" s="1"/>
  <c r="LP81" i="30"/>
  <c r="LR90" i="30"/>
  <c r="LR103" i="30"/>
  <c r="LR81" i="30"/>
  <c r="LD108" i="30"/>
  <c r="LD97" i="29"/>
  <c r="LD91" i="30"/>
  <c r="LL103" i="30"/>
  <c r="AX103" i="30" s="1"/>
  <c r="LL81" i="30"/>
  <c r="AX81" i="30" s="1"/>
  <c r="AX80" i="30"/>
  <c r="LL90" i="30"/>
  <c r="LP37" i="30"/>
  <c r="LP21" i="30"/>
  <c r="LP50" i="30"/>
  <c r="LP126" i="30"/>
  <c r="LP31" i="30"/>
  <c r="LP243" i="30"/>
  <c r="LW244" i="30" s="1"/>
  <c r="LR20" i="30"/>
  <c r="LR48" i="30"/>
  <c r="LJ273" i="30" l="1"/>
  <c r="LJ246" i="30"/>
  <c r="LJ244" i="30"/>
  <c r="LD60" i="30"/>
  <c r="LI276" i="30"/>
  <c r="LF20" i="1"/>
  <c r="LD21" i="29" s="1"/>
  <c r="LL20" i="30"/>
  <c r="LL50" i="30" s="1"/>
  <c r="AX50" i="30" s="1"/>
  <c r="LD136" i="30"/>
  <c r="LD274" i="30"/>
  <c r="LD276" i="30"/>
  <c r="LD277" i="30" s="1"/>
  <c r="LL121" i="30"/>
  <c r="AX15" i="30"/>
  <c r="AX233" i="30" s="1"/>
  <c r="AX234" i="30" s="1"/>
  <c r="LX48" i="30"/>
  <c r="LB159" i="30"/>
  <c r="LI136" i="30"/>
  <c r="LC30" i="30"/>
  <c r="LI321" i="30"/>
  <c r="LD55" i="30"/>
  <c r="LD30" i="30"/>
  <c r="LC246" i="30"/>
  <c r="LC247" i="30" s="1"/>
  <c r="LC244" i="30"/>
  <c r="LC273" i="30"/>
  <c r="LY108" i="30"/>
  <c r="LY137" i="29" s="1"/>
  <c r="LY91" i="30"/>
  <c r="LX103" i="30"/>
  <c r="LX81" i="30"/>
  <c r="LW301" i="30"/>
  <c r="MD301" i="30" s="1"/>
  <c r="LW91" i="30"/>
  <c r="LW108" i="30"/>
  <c r="LW137" i="29" s="1"/>
  <c r="LY50" i="30"/>
  <c r="LY21" i="30"/>
  <c r="LW127" i="30"/>
  <c r="LW149" i="30"/>
  <c r="LW60" i="30"/>
  <c r="LW38" i="30"/>
  <c r="LW55" i="30"/>
  <c r="LW32" i="30"/>
  <c r="LC321" i="30"/>
  <c r="LC326" i="30" s="1"/>
  <c r="LP310" i="30"/>
  <c r="LP315" i="30" s="1"/>
  <c r="LP305" i="30"/>
  <c r="LD127" i="30"/>
  <c r="LD321" i="30"/>
  <c r="LD326" i="30" s="1"/>
  <c r="LD306" i="30"/>
  <c r="LI306" i="30"/>
  <c r="LC136" i="30"/>
  <c r="LK310" i="30"/>
  <c r="LK315" i="30" s="1"/>
  <c r="LR301" i="30"/>
  <c r="LK305" i="30"/>
  <c r="LJ305" i="30"/>
  <c r="LJ310" i="30"/>
  <c r="LJ315" i="30" s="1"/>
  <c r="LL301" i="30"/>
  <c r="LE305" i="30"/>
  <c r="LE310" i="30"/>
  <c r="AW301" i="30"/>
  <c r="LC306" i="30"/>
  <c r="LC159" i="30"/>
  <c r="LD159" i="30"/>
  <c r="LE108" i="29"/>
  <c r="LH159" i="30"/>
  <c r="LB273" i="30"/>
  <c r="LB274" i="30" s="1"/>
  <c r="LB149" i="30"/>
  <c r="LB321" i="30"/>
  <c r="LB246" i="30"/>
  <c r="LB247" i="30" s="1"/>
  <c r="LB244" i="30"/>
  <c r="LD307" i="30"/>
  <c r="LC307" i="30"/>
  <c r="LB136" i="30"/>
  <c r="LF7" i="1"/>
  <c r="LF8" i="1" s="1"/>
  <c r="LP136" i="30"/>
  <c r="LD149" i="30"/>
  <c r="AW121" i="30"/>
  <c r="LF21" i="1"/>
  <c r="LD95" i="29"/>
  <c r="LJ136" i="30"/>
  <c r="LD32" i="30"/>
  <c r="LE50" i="30"/>
  <c r="AW50" i="30" s="1"/>
  <c r="LE37" i="30"/>
  <c r="LE136" i="30" s="1"/>
  <c r="LE126" i="30"/>
  <c r="LE31" i="30"/>
  <c r="AW31" i="30" s="1"/>
  <c r="AW273" i="30" s="1"/>
  <c r="AW20" i="30"/>
  <c r="AW243" i="30" s="1"/>
  <c r="LE21" i="30"/>
  <c r="AW21" i="30" s="1"/>
  <c r="LD92" i="29"/>
  <c r="LD137" i="30"/>
  <c r="LJ127" i="30"/>
  <c r="LJ149" i="30"/>
  <c r="LD20" i="1"/>
  <c r="LB38" i="30"/>
  <c r="LB60" i="30"/>
  <c r="LK50" i="30"/>
  <c r="LK21" i="30"/>
  <c r="LK31" i="30"/>
  <c r="LK126" i="30"/>
  <c r="LK37" i="30"/>
  <c r="LP108" i="30"/>
  <c r="LP137" i="29" s="1"/>
  <c r="LP91" i="30"/>
  <c r="LL108" i="30"/>
  <c r="AX108" i="30" s="1"/>
  <c r="LL91" i="30"/>
  <c r="AX91" i="30" s="1"/>
  <c r="AX90" i="30"/>
  <c r="LL147" i="30"/>
  <c r="AX147" i="30" s="1"/>
  <c r="AX121" i="30"/>
  <c r="LB127" i="30"/>
  <c r="LP38" i="30"/>
  <c r="LP60" i="30"/>
  <c r="LR20" i="1"/>
  <c r="LR21" i="30"/>
  <c r="LR126" i="30"/>
  <c r="LR50" i="30"/>
  <c r="LR243" i="30"/>
  <c r="LY244" i="30" s="1"/>
  <c r="LR31" i="30"/>
  <c r="LR37" i="30"/>
  <c r="LR91" i="30"/>
  <c r="LR108" i="30"/>
  <c r="LR137" i="29" s="1"/>
  <c r="LJ60" i="30"/>
  <c r="LL20" i="1"/>
  <c r="LJ38" i="30"/>
  <c r="LJ108" i="30"/>
  <c r="LJ91" i="30"/>
  <c r="LI60" i="30"/>
  <c r="LI38" i="30"/>
  <c r="LK20" i="1"/>
  <c r="LI21" i="29" s="1"/>
  <c r="LP127" i="30"/>
  <c r="LP149" i="30"/>
  <c r="LP244" i="30"/>
  <c r="LP246" i="30"/>
  <c r="LW247" i="30" s="1"/>
  <c r="LI32" i="30"/>
  <c r="LI55" i="30"/>
  <c r="AY75" i="30"/>
  <c r="LS101" i="30"/>
  <c r="AY101" i="30" s="1"/>
  <c r="LS80" i="30"/>
  <c r="LP273" i="30"/>
  <c r="LP32" i="30"/>
  <c r="LP55" i="30"/>
  <c r="LJ32" i="30"/>
  <c r="LJ55" i="30"/>
  <c r="LI149" i="30"/>
  <c r="LI127" i="30"/>
  <c r="LQ81" i="30"/>
  <c r="LQ90" i="30"/>
  <c r="LQ103" i="30"/>
  <c r="LQ301" i="30" s="1"/>
  <c r="LC55" i="30"/>
  <c r="LC32" i="30"/>
  <c r="LQ48" i="30"/>
  <c r="LQ20" i="30"/>
  <c r="LS15" i="30"/>
  <c r="LZ48" i="30" s="1"/>
  <c r="AZ48" i="30" s="1"/>
  <c r="LE20" i="1"/>
  <c r="LC60" i="30"/>
  <c r="LC38" i="30"/>
  <c r="LB55" i="30"/>
  <c r="LB32" i="30"/>
  <c r="LC149" i="30"/>
  <c r="LC127" i="30"/>
  <c r="AX241" i="30"/>
  <c r="AX270" i="30"/>
  <c r="AX271" i="30" s="1"/>
  <c r="LD19" i="29" l="1"/>
  <c r="LD25" i="29"/>
  <c r="MD305" i="30"/>
  <c r="MD310" i="30"/>
  <c r="LJ247" i="30"/>
  <c r="LJ274" i="30"/>
  <c r="LJ276" i="30"/>
  <c r="AX236" i="30"/>
  <c r="AX237" i="30" s="1"/>
  <c r="LJ25" i="29"/>
  <c r="LJ21" i="29"/>
  <c r="LI247" i="30"/>
  <c r="LI274" i="30"/>
  <c r="LJ154" i="30"/>
  <c r="LL126" i="30"/>
  <c r="LL149" i="30" s="1"/>
  <c r="AX149" i="30" s="1"/>
  <c r="LL21" i="30"/>
  <c r="AX21" i="30" s="1"/>
  <c r="LL31" i="30"/>
  <c r="LL273" i="30" s="1"/>
  <c r="AX20" i="30"/>
  <c r="AX243" i="30" s="1"/>
  <c r="AX244" i="30" s="1"/>
  <c r="LL243" i="30"/>
  <c r="LL244" i="30" s="1"/>
  <c r="LL37" i="30"/>
  <c r="LL136" i="30" s="1"/>
  <c r="LB154" i="30"/>
  <c r="LL303" i="30"/>
  <c r="LL312" i="30" s="1"/>
  <c r="HQ69" i="4"/>
  <c r="HQ105" i="4" s="1"/>
  <c r="FW100" i="5" s="1"/>
  <c r="LD154" i="30"/>
  <c r="LB160" i="30"/>
  <c r="LB161" i="30" s="1"/>
  <c r="LC160" i="30"/>
  <c r="LC161" i="30" s="1"/>
  <c r="LY301" i="30"/>
  <c r="MF301" i="30" s="1"/>
  <c r="LK136" i="30"/>
  <c r="LB276" i="30"/>
  <c r="LB277" i="30" s="1"/>
  <c r="LW274" i="30"/>
  <c r="LH160" i="30"/>
  <c r="LH161" i="30" s="1"/>
  <c r="LD160" i="30"/>
  <c r="LD161" i="30" s="1"/>
  <c r="LC276" i="30"/>
  <c r="LC277" i="30" s="1"/>
  <c r="LC274" i="30"/>
  <c r="HP69" i="4"/>
  <c r="LK321" i="30"/>
  <c r="LK326" i="30" s="1"/>
  <c r="LX108" i="30"/>
  <c r="LX137" i="29" s="1"/>
  <c r="LX91" i="30"/>
  <c r="LX301" i="30"/>
  <c r="ME301" i="30" s="1"/>
  <c r="LW305" i="30"/>
  <c r="LW310" i="30"/>
  <c r="LZ103" i="30"/>
  <c r="AZ103" i="30" s="1"/>
  <c r="LZ81" i="30"/>
  <c r="AZ81" i="30" s="1"/>
  <c r="LX21" i="30"/>
  <c r="LX50" i="30"/>
  <c r="LY32" i="30"/>
  <c r="LY55" i="30"/>
  <c r="LR136" i="30"/>
  <c r="LY38" i="30"/>
  <c r="LY60" i="30"/>
  <c r="LY149" i="30"/>
  <c r="LY127" i="30"/>
  <c r="LY21" i="1"/>
  <c r="LW137" i="30"/>
  <c r="LW154" i="30"/>
  <c r="LC25" i="29"/>
  <c r="LC21" i="29"/>
  <c r="LC19" i="29"/>
  <c r="LP321" i="30"/>
  <c r="LR310" i="30"/>
  <c r="LR315" i="30" s="1"/>
  <c r="LR305" i="30"/>
  <c r="LJ321" i="30"/>
  <c r="LJ326" i="30" s="1"/>
  <c r="LP306" i="30"/>
  <c r="LK306" i="30"/>
  <c r="LQ305" i="30"/>
  <c r="LQ310" i="30"/>
  <c r="LQ315" i="30" s="1"/>
  <c r="LS301" i="30"/>
  <c r="AW126" i="30"/>
  <c r="LE321" i="30"/>
  <c r="AW310" i="30"/>
  <c r="LE315" i="30"/>
  <c r="AW315" i="30" s="1"/>
  <c r="LE306" i="30"/>
  <c r="AW305" i="30"/>
  <c r="LL310" i="30"/>
  <c r="AX301" i="30"/>
  <c r="LJ306" i="30"/>
  <c r="AW108" i="29"/>
  <c r="LE159" i="30"/>
  <c r="LI307" i="30"/>
  <c r="LI159" i="30"/>
  <c r="LI326" i="30"/>
  <c r="LB326" i="30"/>
  <c r="LB21" i="29"/>
  <c r="LB25" i="29"/>
  <c r="LB19" i="29"/>
  <c r="LC119" i="29"/>
  <c r="LE136" i="29"/>
  <c r="LE127" i="30"/>
  <c r="AW127" i="30" s="1"/>
  <c r="LE149" i="30"/>
  <c r="AW149" i="30" s="1"/>
  <c r="LE60" i="30"/>
  <c r="AW60" i="30" s="1"/>
  <c r="AW37" i="30"/>
  <c r="LG20" i="1"/>
  <c r="HR69" i="4" s="1"/>
  <c r="LE38" i="30"/>
  <c r="AW38" i="30" s="1"/>
  <c r="LF31" i="1"/>
  <c r="LD23" i="29" s="1"/>
  <c r="LE32" i="30"/>
  <c r="AW32" i="30" s="1"/>
  <c r="LE273" i="30"/>
  <c r="LE276" i="30" s="1"/>
  <c r="LE277" i="30" s="1"/>
  <c r="LF28" i="1"/>
  <c r="LD20" i="29" s="1"/>
  <c r="LE55" i="30"/>
  <c r="AW246" i="30"/>
  <c r="AW247" i="30" s="1"/>
  <c r="AW244" i="30"/>
  <c r="LK127" i="30"/>
  <c r="LK149" i="30"/>
  <c r="LD21" i="1"/>
  <c r="LB95" i="29"/>
  <c r="LB92" i="29"/>
  <c r="HU69" i="4"/>
  <c r="HO69" i="4"/>
  <c r="LD7" i="1"/>
  <c r="AY230" i="30"/>
  <c r="AY240" i="30"/>
  <c r="AZ241" i="30" s="1"/>
  <c r="LE137" i="30"/>
  <c r="AW136" i="30"/>
  <c r="LE154" i="30"/>
  <c r="AW154" i="30" s="1"/>
  <c r="LR127" i="30"/>
  <c r="LR149" i="30"/>
  <c r="AW274" i="30"/>
  <c r="AW276" i="30"/>
  <c r="AW277" i="30" s="1"/>
  <c r="LK32" i="30"/>
  <c r="LK55" i="30"/>
  <c r="LR7" i="1"/>
  <c r="LP8" i="29"/>
  <c r="LP11" i="29"/>
  <c r="LR21" i="1"/>
  <c r="LP25" i="29"/>
  <c r="LP21" i="29"/>
  <c r="LE246" i="30"/>
  <c r="LE247" i="30" s="1"/>
  <c r="LC137" i="30"/>
  <c r="LC154" i="30"/>
  <c r="LP247" i="30"/>
  <c r="LC92" i="29"/>
  <c r="LE21" i="1"/>
  <c r="LC95" i="29"/>
  <c r="LE7" i="1"/>
  <c r="LQ243" i="30"/>
  <c r="LX244" i="30" s="1"/>
  <c r="LQ31" i="30"/>
  <c r="LQ126" i="30"/>
  <c r="LQ21" i="30"/>
  <c r="LQ37" i="30"/>
  <c r="LQ50" i="30"/>
  <c r="LI154" i="30"/>
  <c r="LI137" i="30"/>
  <c r="LL7" i="1"/>
  <c r="LL21" i="1"/>
  <c r="LT20" i="1"/>
  <c r="MA21" i="1" s="1"/>
  <c r="LR38" i="30"/>
  <c r="LR60" i="30"/>
  <c r="LB137" i="30"/>
  <c r="LP136" i="29"/>
  <c r="LW136" i="29" s="1"/>
  <c r="MD136" i="29" s="1"/>
  <c r="LS121" i="30"/>
  <c r="LS48" i="30"/>
  <c r="AY48" i="30" s="1"/>
  <c r="LS20" i="30"/>
  <c r="AY15" i="30"/>
  <c r="AY233" i="30" s="1"/>
  <c r="AZ234" i="30" s="1"/>
  <c r="LP276" i="30"/>
  <c r="LW277" i="30" s="1"/>
  <c r="LP274" i="30"/>
  <c r="LK7" i="1"/>
  <c r="HV69" i="4"/>
  <c r="HW69" i="4"/>
  <c r="LK21" i="1"/>
  <c r="LI25" i="29"/>
  <c r="LJ137" i="30"/>
  <c r="LR32" i="30"/>
  <c r="LR273" i="30"/>
  <c r="LR55" i="30"/>
  <c r="LP154" i="30"/>
  <c r="LP137" i="30"/>
  <c r="LQ108" i="30"/>
  <c r="LQ137" i="29" s="1"/>
  <c r="LQ91" i="30"/>
  <c r="LS103" i="30"/>
  <c r="AY103" i="30" s="1"/>
  <c r="AY80" i="30"/>
  <c r="LS81" i="30"/>
  <c r="AY81" i="30" s="1"/>
  <c r="LS90" i="30"/>
  <c r="LR246" i="30"/>
  <c r="LY247" i="30" s="1"/>
  <c r="LR244" i="30"/>
  <c r="LK60" i="30"/>
  <c r="LK38" i="30"/>
  <c r="LM20" i="1"/>
  <c r="GC103" i="5" l="1"/>
  <c r="GC113" i="5"/>
  <c r="GC116" i="5"/>
  <c r="GC124" i="5"/>
  <c r="GC89" i="5"/>
  <c r="GB116" i="5"/>
  <c r="GB103" i="5"/>
  <c r="GB113" i="5"/>
  <c r="GB124" i="5"/>
  <c r="MD117" i="29"/>
  <c r="ME305" i="30"/>
  <c r="ME310" i="30"/>
  <c r="MD315" i="30"/>
  <c r="MD321" i="30"/>
  <c r="MD307" i="30"/>
  <c r="MD306" i="30"/>
  <c r="MF305" i="30"/>
  <c r="MF310" i="30"/>
  <c r="MG301" i="30"/>
  <c r="BA301" i="30" s="1"/>
  <c r="IC80" i="4"/>
  <c r="LJ277" i="30"/>
  <c r="LL127" i="30"/>
  <c r="AX127" i="30" s="1"/>
  <c r="AX126" i="30"/>
  <c r="LL55" i="30"/>
  <c r="AX55" i="30" s="1"/>
  <c r="AX31" i="30"/>
  <c r="AX273" i="30" s="1"/>
  <c r="AX276" i="30" s="1"/>
  <c r="AX277" i="30" s="1"/>
  <c r="LI277" i="30"/>
  <c r="LL32" i="30"/>
  <c r="AX32" i="30" s="1"/>
  <c r="GB89" i="5"/>
  <c r="LL38" i="30"/>
  <c r="AX38" i="30" s="1"/>
  <c r="LL60" i="30"/>
  <c r="AX60" i="30" s="1"/>
  <c r="LN20" i="1"/>
  <c r="LN7" i="1" s="1"/>
  <c r="AX37" i="30"/>
  <c r="LL305" i="30"/>
  <c r="LL306" i="30" s="1"/>
  <c r="FW113" i="5"/>
  <c r="HQ93" i="4"/>
  <c r="FW103" i="5"/>
  <c r="FW89" i="5"/>
  <c r="FW124" i="5"/>
  <c r="HQ78" i="4"/>
  <c r="HQ101" i="4"/>
  <c r="AX312" i="30"/>
  <c r="LL317" i="30"/>
  <c r="AX317" i="30" s="1"/>
  <c r="LS317" i="30"/>
  <c r="AY317" i="30" s="1"/>
  <c r="LL323" i="30"/>
  <c r="GA115" i="5"/>
  <c r="GA112" i="5"/>
  <c r="GA124" i="5"/>
  <c r="GA103" i="5"/>
  <c r="GA89" i="5"/>
  <c r="FW116" i="5"/>
  <c r="HR78" i="4"/>
  <c r="FX89" i="5"/>
  <c r="V89" i="5" s="1"/>
  <c r="HR101" i="4"/>
  <c r="FX124" i="5"/>
  <c r="HR105" i="4"/>
  <c r="FX100" i="5" s="1"/>
  <c r="FX103" i="5"/>
  <c r="HR113" i="4"/>
  <c r="LY310" i="30"/>
  <c r="LY315" i="30" s="1"/>
  <c r="LY305" i="30"/>
  <c r="LY306" i="30" s="1"/>
  <c r="LQ136" i="29"/>
  <c r="LZ301" i="30"/>
  <c r="LZ305" i="30" s="1"/>
  <c r="AZ305" i="30" s="1"/>
  <c r="LW306" i="30"/>
  <c r="LI160" i="30"/>
  <c r="LI161" i="30" s="1"/>
  <c r="LY274" i="30"/>
  <c r="HP105" i="4"/>
  <c r="FV116" i="5"/>
  <c r="FV113" i="5"/>
  <c r="HP93" i="4"/>
  <c r="HP101" i="4"/>
  <c r="HP78" i="4"/>
  <c r="FV89" i="5"/>
  <c r="FV124" i="5"/>
  <c r="AY231" i="30"/>
  <c r="AZ231" i="30"/>
  <c r="LS147" i="30"/>
  <c r="AY147" i="30" s="1"/>
  <c r="LZ147" i="30"/>
  <c r="AZ147" i="30" s="1"/>
  <c r="LX305" i="30"/>
  <c r="LX310" i="30"/>
  <c r="LW315" i="30"/>
  <c r="LW321" i="30"/>
  <c r="LW326" i="30" s="1"/>
  <c r="LZ108" i="30"/>
  <c r="AZ108" i="30" s="1"/>
  <c r="LZ91" i="30"/>
  <c r="AZ91" i="30" s="1"/>
  <c r="LQ321" i="30"/>
  <c r="LX149" i="30"/>
  <c r="LX127" i="30"/>
  <c r="LQ136" i="30"/>
  <c r="LX38" i="30"/>
  <c r="LX60" i="30"/>
  <c r="LX55" i="30"/>
  <c r="LX32" i="30"/>
  <c r="IK69" i="4"/>
  <c r="LY137" i="30"/>
  <c r="LY154" i="30"/>
  <c r="LP326" i="30"/>
  <c r="LZ50" i="30"/>
  <c r="AZ50" i="30" s="1"/>
  <c r="LZ21" i="30"/>
  <c r="AZ21" i="30" s="1"/>
  <c r="LY8" i="1"/>
  <c r="LW117" i="29"/>
  <c r="LW307" i="30"/>
  <c r="LR321" i="30"/>
  <c r="LR306" i="30"/>
  <c r="LP307" i="30"/>
  <c r="LL136" i="29"/>
  <c r="LR136" i="29"/>
  <c r="LE30" i="1"/>
  <c r="LC130" i="29"/>
  <c r="LC131" i="29" s="1"/>
  <c r="AW321" i="30"/>
  <c r="LE326" i="30"/>
  <c r="AW326" i="30" s="1"/>
  <c r="LL315" i="30"/>
  <c r="AX315" i="30" s="1"/>
  <c r="AX310" i="30"/>
  <c r="LS305" i="30"/>
  <c r="LS310" i="30"/>
  <c r="AY301" i="30"/>
  <c r="LL321" i="30"/>
  <c r="LQ306" i="30"/>
  <c r="LE160" i="30"/>
  <c r="LE161" i="30" s="1"/>
  <c r="AW159" i="30"/>
  <c r="LJ307" i="30"/>
  <c r="LE137" i="29"/>
  <c r="AW137" i="29" s="1"/>
  <c r="LE307" i="30"/>
  <c r="AW307" i="30" s="1"/>
  <c r="LK307" i="30"/>
  <c r="LJ159" i="30"/>
  <c r="LF30" i="1"/>
  <c r="LD22" i="29" s="1"/>
  <c r="LD131" i="29"/>
  <c r="HO105" i="4"/>
  <c r="FU100" i="5" s="1"/>
  <c r="FU103" i="5"/>
  <c r="FU89" i="5"/>
  <c r="FU116" i="5"/>
  <c r="FU113" i="5"/>
  <c r="AW136" i="29"/>
  <c r="AX246" i="30"/>
  <c r="AX247" i="30" s="1"/>
  <c r="LE95" i="29"/>
  <c r="AW95" i="29" s="1"/>
  <c r="LE19" i="29"/>
  <c r="AW19" i="29" s="1"/>
  <c r="AW20" i="1"/>
  <c r="LG7" i="1"/>
  <c r="AW7" i="1" s="1"/>
  <c r="LG21" i="1"/>
  <c r="AW21" i="1" s="1"/>
  <c r="LE25" i="29"/>
  <c r="AW25" i="29" s="1"/>
  <c r="LE21" i="29"/>
  <c r="AW21" i="29" s="1"/>
  <c r="LE92" i="29"/>
  <c r="AW92" i="29" s="1"/>
  <c r="AW55" i="30"/>
  <c r="LE274" i="30"/>
  <c r="LR247" i="30"/>
  <c r="LL246" i="30"/>
  <c r="LL247" i="30" s="1"/>
  <c r="LE8" i="1"/>
  <c r="LD8" i="1"/>
  <c r="LK8" i="1"/>
  <c r="LP277" i="30"/>
  <c r="LM7" i="1"/>
  <c r="LK25" i="29"/>
  <c r="LM21" i="1"/>
  <c r="HW80" i="4"/>
  <c r="GC106" i="5" s="1"/>
  <c r="HV80" i="4"/>
  <c r="GB106" i="5" s="1"/>
  <c r="LK28" i="1"/>
  <c r="LI20" i="29" s="1"/>
  <c r="LR8" i="29"/>
  <c r="IK80" i="4" s="1"/>
  <c r="LR11" i="29"/>
  <c r="LR25" i="29"/>
  <c r="LT21" i="1"/>
  <c r="LR21" i="29"/>
  <c r="LT7" i="1"/>
  <c r="LL31" i="1"/>
  <c r="LJ23" i="29" s="1"/>
  <c r="LK32" i="1"/>
  <c r="LI24" i="29" s="1"/>
  <c r="AY236" i="30"/>
  <c r="AY234" i="30"/>
  <c r="LR154" i="30"/>
  <c r="LR137" i="30"/>
  <c r="LL32" i="1"/>
  <c r="LJ24" i="29" s="1"/>
  <c r="LE28" i="1"/>
  <c r="LC20" i="29" s="1"/>
  <c r="LR32" i="1"/>
  <c r="AY241" i="30"/>
  <c r="AY270" i="30"/>
  <c r="LL276" i="30"/>
  <c r="LL277" i="30" s="1"/>
  <c r="LL274" i="30"/>
  <c r="LK154" i="30"/>
  <c r="LK137" i="30"/>
  <c r="LS91" i="30"/>
  <c r="AY91" i="30" s="1"/>
  <c r="AY90" i="30"/>
  <c r="LS108" i="30"/>
  <c r="AY108" i="30" s="1"/>
  <c r="HX69" i="4"/>
  <c r="LS243" i="30"/>
  <c r="LS21" i="30"/>
  <c r="AY21" i="30" s="1"/>
  <c r="LS126" i="30"/>
  <c r="LS31" i="30"/>
  <c r="LS50" i="30"/>
  <c r="AY50" i="30" s="1"/>
  <c r="AY20" i="30"/>
  <c r="LS37" i="30"/>
  <c r="LS20" i="1"/>
  <c r="IJ69" i="4" s="1"/>
  <c r="LQ60" i="30"/>
  <c r="LQ38" i="30"/>
  <c r="LE31" i="1"/>
  <c r="LC23" i="29" s="1"/>
  <c r="LL137" i="30"/>
  <c r="LL154" i="30"/>
  <c r="AX154" i="30" s="1"/>
  <c r="AX136" i="30"/>
  <c r="HO78" i="4"/>
  <c r="HO93" i="4"/>
  <c r="IC69" i="4"/>
  <c r="HU78" i="4"/>
  <c r="AY121" i="30"/>
  <c r="LL8" i="1"/>
  <c r="LQ127" i="30"/>
  <c r="LQ149" i="30"/>
  <c r="HO80" i="4"/>
  <c r="FU106" i="5" s="1"/>
  <c r="HU80" i="4"/>
  <c r="GA106" i="5" s="1"/>
  <c r="LE8" i="29"/>
  <c r="LD28" i="1"/>
  <c r="LR276" i="30"/>
  <c r="LY277" i="30" s="1"/>
  <c r="LR274" i="30"/>
  <c r="IB69" i="4"/>
  <c r="HW78" i="4"/>
  <c r="HW93" i="4"/>
  <c r="LL28" i="1"/>
  <c r="LJ20" i="29" s="1"/>
  <c r="LQ32" i="30"/>
  <c r="LQ273" i="30"/>
  <c r="LQ55" i="30"/>
  <c r="LR31" i="1"/>
  <c r="LP117" i="29"/>
  <c r="LQ246" i="30"/>
  <c r="LX247" i="30" s="1"/>
  <c r="LQ244" i="30"/>
  <c r="LR28" i="1"/>
  <c r="LE11" i="29"/>
  <c r="LD31" i="1"/>
  <c r="LB23" i="29" s="1"/>
  <c r="LK31" i="1"/>
  <c r="LI23" i="29" s="1"/>
  <c r="HV78" i="4"/>
  <c r="LR8" i="1"/>
  <c r="LL307" i="30" l="1"/>
  <c r="AX307" i="30" s="1"/>
  <c r="MD119" i="29"/>
  <c r="ME315" i="30"/>
  <c r="ME321" i="30"/>
  <c r="ME306" i="30"/>
  <c r="MD326" i="30"/>
  <c r="AX305" i="30"/>
  <c r="MG310" i="30"/>
  <c r="BA310" i="30" s="1"/>
  <c r="MG305" i="30"/>
  <c r="MF315" i="30"/>
  <c r="MF321" i="30"/>
  <c r="MF306" i="30"/>
  <c r="AX274" i="30"/>
  <c r="AX20" i="1"/>
  <c r="LL21" i="29"/>
  <c r="AX21" i="29" s="1"/>
  <c r="HY69" i="4"/>
  <c r="LL25" i="29"/>
  <c r="AX25" i="29" s="1"/>
  <c r="LN21" i="1"/>
  <c r="LS328" i="30"/>
  <c r="AY328" i="30" s="1"/>
  <c r="LL328" i="30"/>
  <c r="AX328" i="30" s="1"/>
  <c r="AX323" i="30"/>
  <c r="HQ80" i="4"/>
  <c r="LY321" i="30"/>
  <c r="LY326" i="30" s="1"/>
  <c r="LZ310" i="30"/>
  <c r="LZ315" i="30" s="1"/>
  <c r="AZ315" i="30" s="1"/>
  <c r="AZ301" i="30"/>
  <c r="LQ307" i="30"/>
  <c r="LS136" i="29"/>
  <c r="LS307" i="30" s="1"/>
  <c r="AY307" i="30" s="1"/>
  <c r="LQ117" i="29"/>
  <c r="LX136" i="29"/>
  <c r="LX306" i="30"/>
  <c r="LX274" i="30"/>
  <c r="AB78" i="4"/>
  <c r="AB69" i="4"/>
  <c r="LJ160" i="30"/>
  <c r="LJ161" i="30" s="1"/>
  <c r="LZ306" i="30"/>
  <c r="AY237" i="30"/>
  <c r="AZ237" i="30"/>
  <c r="LX315" i="30"/>
  <c r="LX321" i="30"/>
  <c r="LX326" i="30" s="1"/>
  <c r="AY271" i="30"/>
  <c r="AZ271" i="30"/>
  <c r="LZ21" i="1"/>
  <c r="LX137" i="30"/>
  <c r="LX154" i="30"/>
  <c r="II69" i="4"/>
  <c r="II93" i="4" s="1"/>
  <c r="LQ326" i="30"/>
  <c r="MA8" i="1"/>
  <c r="IK93" i="4"/>
  <c r="GQ115" i="5"/>
  <c r="IK46" i="4" s="1"/>
  <c r="GQ122" i="5"/>
  <c r="GQ102" i="5"/>
  <c r="IK12" i="4"/>
  <c r="GQ112" i="5"/>
  <c r="IK43" i="4" s="1"/>
  <c r="GQ89" i="5"/>
  <c r="IK78" i="4"/>
  <c r="LR326" i="30"/>
  <c r="GP112" i="5"/>
  <c r="IJ43" i="4" s="1"/>
  <c r="GP102" i="5"/>
  <c r="GP122" i="5"/>
  <c r="GP115" i="5"/>
  <c r="IJ46" i="4" s="1"/>
  <c r="IJ93" i="4"/>
  <c r="IJ12" i="4"/>
  <c r="GP89" i="5"/>
  <c r="IJ78" i="4"/>
  <c r="LS244" i="30"/>
  <c r="LZ244" i="30"/>
  <c r="LS321" i="30"/>
  <c r="LZ127" i="30"/>
  <c r="AZ127" i="30" s="1"/>
  <c r="LZ149" i="30"/>
  <c r="AZ149" i="30" s="1"/>
  <c r="LS136" i="30"/>
  <c r="LZ60" i="30"/>
  <c r="AZ60" i="30" s="1"/>
  <c r="LZ38" i="30"/>
  <c r="AZ38" i="30" s="1"/>
  <c r="LZ55" i="30"/>
  <c r="AZ55" i="30" s="1"/>
  <c r="LZ32" i="30"/>
  <c r="AZ32" i="30" s="1"/>
  <c r="IK81" i="4"/>
  <c r="GQ105" i="5"/>
  <c r="IK13" i="4" s="1"/>
  <c r="LC120" i="29"/>
  <c r="LC22" i="29"/>
  <c r="LB20" i="29"/>
  <c r="HP80" i="4"/>
  <c r="HP81" i="4" s="1"/>
  <c r="LY136" i="29"/>
  <c r="LW119" i="29"/>
  <c r="AX136" i="29"/>
  <c r="LL137" i="29"/>
  <c r="AX137" i="29" s="1"/>
  <c r="LR307" i="30"/>
  <c r="AX321" i="30"/>
  <c r="LL326" i="30"/>
  <c r="AX326" i="30" s="1"/>
  <c r="LS315" i="30"/>
  <c r="AY315" i="30" s="1"/>
  <c r="AY310" i="30"/>
  <c r="LS306" i="30"/>
  <c r="AY305" i="30"/>
  <c r="AW161" i="30"/>
  <c r="AW160" i="30"/>
  <c r="LK159" i="30"/>
  <c r="LT32" i="1"/>
  <c r="LT31" i="1"/>
  <c r="LG8" i="1"/>
  <c r="AW8" i="1" s="1"/>
  <c r="LT8" i="1"/>
  <c r="LL11" i="29"/>
  <c r="BS8" i="1"/>
  <c r="LM8" i="1"/>
  <c r="HX80" i="4"/>
  <c r="HX81" i="4" s="1"/>
  <c r="AY243" i="30"/>
  <c r="LL8" i="29"/>
  <c r="IB80" i="4"/>
  <c r="GH105" i="5" s="1"/>
  <c r="IB13" i="4" s="1"/>
  <c r="GC47" i="5"/>
  <c r="GB47" i="5"/>
  <c r="LQ247" i="30"/>
  <c r="LS246" i="30"/>
  <c r="LQ154" i="30"/>
  <c r="LQ137" i="30"/>
  <c r="LS32" i="30"/>
  <c r="AY32" i="30" s="1"/>
  <c r="LS55" i="30"/>
  <c r="AY55" i="30" s="1"/>
  <c r="AY31" i="30"/>
  <c r="AY273" i="30" s="1"/>
  <c r="AZ274" i="30" s="1"/>
  <c r="LS273" i="30"/>
  <c r="LZ274" i="30" s="1"/>
  <c r="HV81" i="4"/>
  <c r="LM31" i="1"/>
  <c r="FV47" i="5"/>
  <c r="LS127" i="30"/>
  <c r="AY127" i="30" s="1"/>
  <c r="LS149" i="30"/>
  <c r="AY149" i="30" s="1"/>
  <c r="AY126" i="30"/>
  <c r="HR43" i="4"/>
  <c r="FX112" i="5" s="1"/>
  <c r="FX113" i="5" s="1"/>
  <c r="HY93" i="4"/>
  <c r="AC93" i="4" s="1"/>
  <c r="AC69" i="4"/>
  <c r="GE89" i="5"/>
  <c r="W89" i="5" s="1"/>
  <c r="HY78" i="4"/>
  <c r="AC78" i="4" s="1"/>
  <c r="HW81" i="4"/>
  <c r="HV105" i="4"/>
  <c r="GB100" i="5" s="1"/>
  <c r="LG31" i="1"/>
  <c r="AW31" i="1" s="1"/>
  <c r="AW11" i="29" s="1"/>
  <c r="LE23" i="29"/>
  <c r="AW23" i="29" s="1"/>
  <c r="HO81" i="4"/>
  <c r="LP119" i="29"/>
  <c r="LS7" i="1"/>
  <c r="LZ8" i="1" s="1"/>
  <c r="LQ11" i="29"/>
  <c r="LQ8" i="29"/>
  <c r="LQ21" i="29"/>
  <c r="LQ25" i="29"/>
  <c r="LS21" i="1"/>
  <c r="IE69" i="4"/>
  <c r="ID69" i="4"/>
  <c r="AX7" i="1"/>
  <c r="LN8" i="1"/>
  <c r="AX8" i="1" s="1"/>
  <c r="LQ274" i="30"/>
  <c r="LQ276" i="30"/>
  <c r="GH115" i="5"/>
  <c r="IB12" i="4"/>
  <c r="GH102" i="5"/>
  <c r="GH89" i="5"/>
  <c r="GH112" i="5"/>
  <c r="IB43" i="4" s="1"/>
  <c r="IB93" i="4"/>
  <c r="GH122" i="5"/>
  <c r="IB78" i="4"/>
  <c r="LE10" i="29"/>
  <c r="LD30" i="1"/>
  <c r="LB131" i="29"/>
  <c r="HU105" i="4"/>
  <c r="GA100" i="5" s="1"/>
  <c r="GD122" i="5"/>
  <c r="GD112" i="5"/>
  <c r="GD89" i="5"/>
  <c r="HX93" i="4"/>
  <c r="GD102" i="5"/>
  <c r="HX78" i="4"/>
  <c r="GD115" i="5"/>
  <c r="LM32" i="1"/>
  <c r="GI105" i="5"/>
  <c r="IC13" i="4" s="1"/>
  <c r="IC81" i="4"/>
  <c r="LR277" i="30"/>
  <c r="LS60" i="30"/>
  <c r="AY60" i="30" s="1"/>
  <c r="LS38" i="30"/>
  <c r="AY38" i="30" s="1"/>
  <c r="AY37" i="30"/>
  <c r="LU20" i="1"/>
  <c r="MB21" i="1" s="1"/>
  <c r="FW47" i="5"/>
  <c r="LG28" i="1"/>
  <c r="LE20" i="29"/>
  <c r="GI115" i="5"/>
  <c r="GI122" i="5"/>
  <c r="IC12" i="4"/>
  <c r="GI102" i="5"/>
  <c r="IC93" i="4"/>
  <c r="GI89" i="5"/>
  <c r="IC78" i="4"/>
  <c r="GI112" i="5"/>
  <c r="IC43" i="4" s="1"/>
  <c r="LL24" i="29"/>
  <c r="AX24" i="29" s="1"/>
  <c r="LN32" i="1"/>
  <c r="AX32" i="1" s="1"/>
  <c r="AX12" i="29" s="1"/>
  <c r="LT28" i="1"/>
  <c r="HU81" i="4"/>
  <c r="LM28" i="1"/>
  <c r="HR80" i="4" l="1"/>
  <c r="AW28" i="1"/>
  <c r="AW8" i="29" s="1"/>
  <c r="BA305" i="30"/>
  <c r="LX117" i="29"/>
  <c r="LX119" i="29" s="1"/>
  <c r="ME136" i="29"/>
  <c r="ME326" i="30"/>
  <c r="GQ37" i="5"/>
  <c r="GQ47" i="5" s="1"/>
  <c r="GW123" i="5"/>
  <c r="MF136" i="29"/>
  <c r="GP37" i="5"/>
  <c r="GV123" i="5"/>
  <c r="MF326" i="30"/>
  <c r="MG306" i="30"/>
  <c r="MG315" i="30"/>
  <c r="BA315" i="30" s="1"/>
  <c r="MG321" i="30"/>
  <c r="BA321" i="30" s="1"/>
  <c r="AX21" i="1"/>
  <c r="AZ310" i="30"/>
  <c r="HR81" i="4"/>
  <c r="FX106" i="5"/>
  <c r="HQ81" i="4"/>
  <c r="FW106" i="5"/>
  <c r="LZ321" i="30"/>
  <c r="AZ321" i="30" s="1"/>
  <c r="LX307" i="30"/>
  <c r="LS137" i="29"/>
  <c r="AY137" i="29" s="1"/>
  <c r="AY136" i="29"/>
  <c r="LZ136" i="29"/>
  <c r="LZ137" i="29" s="1"/>
  <c r="LQ119" i="29"/>
  <c r="AZ21" i="1"/>
  <c r="IJ105" i="4"/>
  <c r="LK160" i="30"/>
  <c r="LK161" i="30" s="1"/>
  <c r="II12" i="4"/>
  <c r="GO115" i="5"/>
  <c r="II46" i="4" s="1"/>
  <c r="GO122" i="5"/>
  <c r="GO37" i="5" s="1"/>
  <c r="GO89" i="5"/>
  <c r="II78" i="4"/>
  <c r="GO112" i="5"/>
  <c r="II43" i="4" s="1"/>
  <c r="GO102" i="5"/>
  <c r="LQ277" i="30"/>
  <c r="LX277" i="30"/>
  <c r="LS326" i="30"/>
  <c r="AY326" i="30" s="1"/>
  <c r="AY321" i="30"/>
  <c r="GR27" i="5"/>
  <c r="IK105" i="4"/>
  <c r="GQ27" i="5"/>
  <c r="IK37" i="4"/>
  <c r="IK15" i="4"/>
  <c r="IJ15" i="4"/>
  <c r="IJ37" i="4"/>
  <c r="LZ154" i="30"/>
  <c r="AZ154" i="30" s="1"/>
  <c r="LZ137" i="30"/>
  <c r="AY246" i="30"/>
  <c r="AZ244" i="30"/>
  <c r="LS247" i="30"/>
  <c r="LZ247" i="30"/>
  <c r="GI37" i="5"/>
  <c r="IJ80" i="4"/>
  <c r="II80" i="4"/>
  <c r="LY307" i="30"/>
  <c r="LS8" i="1"/>
  <c r="LL108" i="29"/>
  <c r="LO108" i="29"/>
  <c r="LB22" i="29"/>
  <c r="LL23" i="29"/>
  <c r="AX23" i="29" s="1"/>
  <c r="LN31" i="1"/>
  <c r="AX31" i="1" s="1"/>
  <c r="AX11" i="29" s="1"/>
  <c r="AY244" i="30"/>
  <c r="GD105" i="5"/>
  <c r="HX13" i="4" s="1"/>
  <c r="IB81" i="4"/>
  <c r="BT8" i="1"/>
  <c r="HY80" i="4"/>
  <c r="AC80" i="4" s="1"/>
  <c r="LN28" i="1"/>
  <c r="AX28" i="1" s="1"/>
  <c r="AX8" i="29" s="1"/>
  <c r="LL20" i="29"/>
  <c r="AX20" i="29" s="1"/>
  <c r="AB12" i="4"/>
  <c r="IC37" i="4"/>
  <c r="IC15" i="4"/>
  <c r="LS21" i="29"/>
  <c r="AY21" i="29" s="1"/>
  <c r="LU7" i="1"/>
  <c r="MB8" i="1" s="1"/>
  <c r="AZ8" i="1" s="1"/>
  <c r="IF69" i="4"/>
  <c r="LU21" i="1"/>
  <c r="AY20" i="1"/>
  <c r="LS25" i="29"/>
  <c r="AY25" i="29" s="1"/>
  <c r="GI27" i="5"/>
  <c r="IC105" i="4"/>
  <c r="AB81" i="4"/>
  <c r="AB80" i="4"/>
  <c r="HY43" i="4"/>
  <c r="IB105" i="4"/>
  <c r="LS137" i="30"/>
  <c r="LS154" i="30"/>
  <c r="AY154" i="30" s="1"/>
  <c r="AY136" i="30"/>
  <c r="GD47" i="5"/>
  <c r="LG30" i="1"/>
  <c r="AW30" i="1" s="1"/>
  <c r="AW10" i="29" s="1"/>
  <c r="LE22" i="29"/>
  <c r="AW22" i="29" s="1"/>
  <c r="LE130" i="29"/>
  <c r="IB46" i="4"/>
  <c r="HR46" i="4"/>
  <c r="FX115" i="5" s="1"/>
  <c r="LS28" i="1"/>
  <c r="LS8" i="29"/>
  <c r="IE80" i="4"/>
  <c r="ID80" i="4"/>
  <c r="AB43" i="4"/>
  <c r="LS274" i="30"/>
  <c r="LS276" i="30"/>
  <c r="GD27" i="5"/>
  <c r="HX105" i="4"/>
  <c r="HY12" i="4"/>
  <c r="GH123" i="5"/>
  <c r="GI123" i="5"/>
  <c r="GH37" i="5"/>
  <c r="GA47" i="5"/>
  <c r="HX100" i="4"/>
  <c r="HX101" i="4" s="1"/>
  <c r="HW100" i="4"/>
  <c r="HW101" i="4" s="1"/>
  <c r="GE37" i="5"/>
  <c r="AY274" i="30"/>
  <c r="AY276" i="30"/>
  <c r="FU47" i="5"/>
  <c r="HU100" i="4"/>
  <c r="HU101" i="4" s="1"/>
  <c r="HO100" i="4"/>
  <c r="HO101" i="4" s="1"/>
  <c r="AW20" i="29"/>
  <c r="GJ115" i="5"/>
  <c r="ID12" i="4"/>
  <c r="GJ122" i="5"/>
  <c r="GJ89" i="5"/>
  <c r="GJ102" i="5"/>
  <c r="ID93" i="4"/>
  <c r="GJ112" i="5"/>
  <c r="ID43" i="4" s="1"/>
  <c r="ID78" i="4"/>
  <c r="LS31" i="1"/>
  <c r="LS11" i="29"/>
  <c r="HX37" i="4"/>
  <c r="HX15" i="4"/>
  <c r="GK122" i="5"/>
  <c r="GK102" i="5"/>
  <c r="IE93" i="4"/>
  <c r="IE78" i="4"/>
  <c r="GK112" i="5"/>
  <c r="IE43" i="4" s="1"/>
  <c r="GK115" i="5"/>
  <c r="IE12" i="4"/>
  <c r="GK89" i="5"/>
  <c r="IC46" i="4"/>
  <c r="GD123" i="5"/>
  <c r="HV100" i="4"/>
  <c r="HV101" i="4" s="1"/>
  <c r="IB37" i="4"/>
  <c r="IB15" i="4"/>
  <c r="LS32" i="1"/>
  <c r="GP47" i="5" l="1"/>
  <c r="ME117" i="29"/>
  <c r="ME307" i="30"/>
  <c r="MG326" i="30"/>
  <c r="BA326" i="30" s="1"/>
  <c r="IP100" i="4"/>
  <c r="IP101" i="4" s="1"/>
  <c r="MG136" i="29"/>
  <c r="MF307" i="30"/>
  <c r="IQ100" i="4"/>
  <c r="IQ101" i="4" s="1"/>
  <c r="HW11" i="4"/>
  <c r="HW105" i="4"/>
  <c r="GC100" i="5" s="1"/>
  <c r="LZ326" i="30"/>
  <c r="AZ326" i="30" s="1"/>
  <c r="FX116" i="5"/>
  <c r="IK11" i="4"/>
  <c r="II105" i="4"/>
  <c r="GS37" i="5"/>
  <c r="GO47" i="5"/>
  <c r="GP27" i="5"/>
  <c r="GR123" i="5"/>
  <c r="IL100" i="4"/>
  <c r="IL101" i="4" s="1"/>
  <c r="II15" i="4"/>
  <c r="II37" i="4"/>
  <c r="GQ28" i="5"/>
  <c r="GR28" i="5"/>
  <c r="GR31" i="5"/>
  <c r="GQ31" i="5"/>
  <c r="GI47" i="5"/>
  <c r="LS277" i="30"/>
  <c r="LZ277" i="30"/>
  <c r="AY277" i="30"/>
  <c r="AZ277" i="30"/>
  <c r="AY247" i="30"/>
  <c r="AZ247" i="30"/>
  <c r="GJ37" i="5"/>
  <c r="GP123" i="5"/>
  <c r="GO123" i="5"/>
  <c r="GK37" i="5"/>
  <c r="IK100" i="4" s="1"/>
  <c r="IK101" i="4" s="1"/>
  <c r="GQ123" i="5"/>
  <c r="II81" i="4"/>
  <c r="GO105" i="5"/>
  <c r="II13" i="4" s="1"/>
  <c r="AZ137" i="29"/>
  <c r="AZ136" i="29"/>
  <c r="LZ307" i="30"/>
  <c r="AZ307" i="30" s="1"/>
  <c r="GP105" i="5"/>
  <c r="IJ13" i="4" s="1"/>
  <c r="IJ81" i="4"/>
  <c r="LO159" i="30"/>
  <c r="AX108" i="29"/>
  <c r="LL159" i="30"/>
  <c r="LP108" i="29"/>
  <c r="IC100" i="4"/>
  <c r="IC101" i="4" s="1"/>
  <c r="IC11" i="4"/>
  <c r="IF43" i="4"/>
  <c r="AY21" i="1"/>
  <c r="HY81" i="4"/>
  <c r="AC81" i="4" s="1"/>
  <c r="HX11" i="4"/>
  <c r="HY13" i="4"/>
  <c r="LU32" i="1"/>
  <c r="AY32" i="1" s="1"/>
  <c r="AY12" i="29" s="1"/>
  <c r="LS24" i="29"/>
  <c r="AY24" i="29" s="1"/>
  <c r="GJ123" i="5"/>
  <c r="IE15" i="4"/>
  <c r="IE37" i="4"/>
  <c r="AC12" i="4"/>
  <c r="HY105" i="4"/>
  <c r="GE112" i="5"/>
  <c r="AC43" i="4"/>
  <c r="AB15" i="4"/>
  <c r="GI28" i="5"/>
  <c r="ID15" i="4"/>
  <c r="ID37" i="4"/>
  <c r="AB46" i="4"/>
  <c r="AB13" i="4"/>
  <c r="GL89" i="5"/>
  <c r="X89" i="5" s="1"/>
  <c r="AD69" i="4"/>
  <c r="IF93" i="4"/>
  <c r="AD93" i="4" s="1"/>
  <c r="IF78" i="4"/>
  <c r="AD78" i="4" s="1"/>
  <c r="GI31" i="5"/>
  <c r="GE47" i="5"/>
  <c r="GE122" i="5"/>
  <c r="HY100" i="4"/>
  <c r="W37" i="5"/>
  <c r="IB11" i="4"/>
  <c r="GK27" i="5"/>
  <c r="IF12" i="4"/>
  <c r="IE105" i="4"/>
  <c r="LU31" i="1"/>
  <c r="AY31" i="1" s="1"/>
  <c r="AY11" i="29" s="1"/>
  <c r="LS23" i="29"/>
  <c r="AY23" i="29" s="1"/>
  <c r="GH47" i="5"/>
  <c r="AY7" i="1"/>
  <c r="LU8" i="1"/>
  <c r="AY8" i="1" s="1"/>
  <c r="AB105" i="4"/>
  <c r="V100" i="5"/>
  <c r="IE46" i="4"/>
  <c r="GD28" i="5"/>
  <c r="HY15" i="4"/>
  <c r="GJ27" i="5"/>
  <c r="ID105" i="4"/>
  <c r="V112" i="5"/>
  <c r="V113" i="5"/>
  <c r="ID81" i="4"/>
  <c r="GJ105" i="5"/>
  <c r="ID13" i="4" s="1"/>
  <c r="GH27" i="5"/>
  <c r="HY37" i="4"/>
  <c r="GH31" i="5" s="1"/>
  <c r="ID46" i="4"/>
  <c r="FX47" i="5"/>
  <c r="V37" i="5"/>
  <c r="IE81" i="4"/>
  <c r="GK105" i="5"/>
  <c r="IE13" i="4" s="1"/>
  <c r="AB37" i="4"/>
  <c r="GK123" i="5"/>
  <c r="IF80" i="4"/>
  <c r="LU28" i="1"/>
  <c r="AY28" i="1" s="1"/>
  <c r="AY8" i="29" s="1"/>
  <c r="LS20" i="29"/>
  <c r="AY20" i="29" s="1"/>
  <c r="AW130" i="29"/>
  <c r="LE131" i="29"/>
  <c r="AW131" i="29" s="1"/>
  <c r="HY46" i="4"/>
  <c r="IB100" i="4"/>
  <c r="IB101" i="4" s="1"/>
  <c r="BA136" i="29" l="1"/>
  <c r="ME119" i="29"/>
  <c r="MG137" i="29"/>
  <c r="BA137" i="29" s="1"/>
  <c r="MG307" i="30"/>
  <c r="BA307" i="30" s="1"/>
  <c r="GP31" i="5"/>
  <c r="GP28" i="5"/>
  <c r="IJ11" i="4"/>
  <c r="GS47" i="5"/>
  <c r="GS122" i="5"/>
  <c r="GS123" i="5" s="1"/>
  <c r="Y37" i="5"/>
  <c r="IM100" i="4"/>
  <c r="AE100" i="4" s="1"/>
  <c r="LO160" i="30"/>
  <c r="LO161" i="30" s="1"/>
  <c r="II11" i="4"/>
  <c r="GK47" i="5"/>
  <c r="IE100" i="4"/>
  <c r="IE101" i="4" s="1"/>
  <c r="GJ47" i="5"/>
  <c r="ID100" i="4"/>
  <c r="ID101" i="4" s="1"/>
  <c r="GL37" i="5"/>
  <c r="II100" i="4"/>
  <c r="II101" i="4" s="1"/>
  <c r="GO27" i="5"/>
  <c r="IJ100" i="4"/>
  <c r="IJ101" i="4" s="1"/>
  <c r="LQ108" i="29"/>
  <c r="LP159" i="30"/>
  <c r="LL160" i="30"/>
  <c r="LL161" i="30" s="1"/>
  <c r="AX159" i="30"/>
  <c r="GL112" i="5"/>
  <c r="GL113" i="5" s="1"/>
  <c r="X113" i="5" s="1"/>
  <c r="AD43" i="4"/>
  <c r="GE105" i="5"/>
  <c r="GE106" i="5" s="1"/>
  <c r="W106" i="5" s="1"/>
  <c r="AC13" i="4"/>
  <c r="IF13" i="4"/>
  <c r="GJ31" i="5"/>
  <c r="GJ28" i="5"/>
  <c r="BU8" i="1"/>
  <c r="IE11" i="4"/>
  <c r="GE102" i="5"/>
  <c r="AC15" i="4"/>
  <c r="AB11" i="4"/>
  <c r="AC46" i="4"/>
  <c r="GE115" i="5"/>
  <c r="GE31" i="5"/>
  <c r="IF81" i="4"/>
  <c r="AD81" i="4" s="1"/>
  <c r="AD80" i="4"/>
  <c r="V116" i="5"/>
  <c r="V115" i="5"/>
  <c r="AC100" i="4"/>
  <c r="HY101" i="4"/>
  <c r="AC101" i="4" s="1"/>
  <c r="GH28" i="5"/>
  <c r="GE100" i="5"/>
  <c r="W100" i="5" s="1"/>
  <c r="AC105" i="4"/>
  <c r="GL27" i="5"/>
  <c r="GE123" i="5"/>
  <c r="W122" i="5"/>
  <c r="V103" i="5"/>
  <c r="V102" i="5"/>
  <c r="GE28" i="5"/>
  <c r="V47" i="5"/>
  <c r="AD12" i="4"/>
  <c r="IF105" i="4"/>
  <c r="AC37" i="4"/>
  <c r="AB101" i="4"/>
  <c r="AB100" i="4"/>
  <c r="ID11" i="4"/>
  <c r="W47" i="5"/>
  <c r="V106" i="5"/>
  <c r="V105" i="5"/>
  <c r="IF37" i="4"/>
  <c r="GO31" i="5" s="1"/>
  <c r="GK31" i="5"/>
  <c r="IF46" i="4"/>
  <c r="V122" i="5"/>
  <c r="GK28" i="5"/>
  <c r="IF15" i="4"/>
  <c r="GO28" i="5" s="1"/>
  <c r="HY11" i="4"/>
  <c r="GE113" i="5"/>
  <c r="W113" i="5" s="1"/>
  <c r="W112" i="5"/>
  <c r="IM101" i="4" l="1"/>
  <c r="AE101" i="4" s="1"/>
  <c r="Y122" i="5"/>
  <c r="Y47" i="5"/>
  <c r="GS28" i="5"/>
  <c r="GS27" i="5"/>
  <c r="GS31" i="5"/>
  <c r="LP160" i="30"/>
  <c r="LP161" i="30" s="1"/>
  <c r="GL122" i="5"/>
  <c r="GL123" i="5" s="1"/>
  <c r="X37" i="5"/>
  <c r="IF100" i="4"/>
  <c r="IF101" i="4" s="1"/>
  <c r="AD101" i="4" s="1"/>
  <c r="GL47" i="5"/>
  <c r="Y123" i="5"/>
  <c r="GS124" i="5"/>
  <c r="Y124" i="5" s="1"/>
  <c r="AX161" i="30"/>
  <c r="AX160" i="30"/>
  <c r="LR108" i="29"/>
  <c r="LV108" i="29" s="1"/>
  <c r="LQ159" i="30"/>
  <c r="X112" i="5"/>
  <c r="W105" i="5"/>
  <c r="AD13" i="4"/>
  <c r="GL105" i="5"/>
  <c r="GL106" i="5" s="1"/>
  <c r="X106" i="5" s="1"/>
  <c r="IF11" i="4"/>
  <c r="GL31" i="5"/>
  <c r="AD37" i="4"/>
  <c r="AC11" i="4"/>
  <c r="W28" i="5"/>
  <c r="AD46" i="4"/>
  <c r="GL115" i="5"/>
  <c r="GL100" i="5"/>
  <c r="X100" i="5" s="1"/>
  <c r="AD105" i="4"/>
  <c r="V125" i="5"/>
  <c r="W31" i="5"/>
  <c r="W115" i="5"/>
  <c r="GE116" i="5"/>
  <c r="W116" i="5" s="1"/>
  <c r="X27" i="5"/>
  <c r="GL28" i="5"/>
  <c r="V123" i="5"/>
  <c r="V124" i="5"/>
  <c r="GL102" i="5"/>
  <c r="AD15" i="4"/>
  <c r="GE124" i="5"/>
  <c r="W124" i="5" s="1"/>
  <c r="W123" i="5"/>
  <c r="GE103" i="5"/>
  <c r="W103" i="5" s="1"/>
  <c r="W102" i="5"/>
  <c r="Y27" i="5" l="1"/>
  <c r="Y28" i="5"/>
  <c r="Y31" i="5"/>
  <c r="X122" i="5"/>
  <c r="AD100" i="4"/>
  <c r="LQ160" i="30"/>
  <c r="LQ161" i="30" s="1"/>
  <c r="X47" i="5"/>
  <c r="LW108" i="29"/>
  <c r="LV159" i="30"/>
  <c r="LR159" i="30"/>
  <c r="LS108" i="29"/>
  <c r="X105" i="5"/>
  <c r="X28" i="5"/>
  <c r="X31" i="5"/>
  <c r="AD11" i="4"/>
  <c r="X115" i="5"/>
  <c r="GL116" i="5"/>
  <c r="X116" i="5" s="1"/>
  <c r="GL124" i="5"/>
  <c r="X124" i="5" s="1"/>
  <c r="X123" i="5"/>
  <c r="X102" i="5"/>
  <c r="GL103" i="5"/>
  <c r="X103" i="5" s="1"/>
  <c r="V90" i="5"/>
  <c r="AB20" i="4"/>
  <c r="LV160" i="30" l="1"/>
  <c r="LV161" i="30" s="1"/>
  <c r="LR160" i="30"/>
  <c r="LR161" i="30" s="1"/>
  <c r="LX108" i="29"/>
  <c r="LW159" i="30"/>
  <c r="AY108" i="29"/>
  <c r="LS159" i="30"/>
  <c r="AB19" i="4"/>
  <c r="LW160" i="30" l="1"/>
  <c r="LW161" i="30" s="1"/>
  <c r="LY108" i="29"/>
  <c r="LX159" i="30"/>
  <c r="LS160" i="30"/>
  <c r="AY159" i="30"/>
  <c r="HV19" i="4"/>
  <c r="LZ108" i="29" l="1"/>
  <c r="MC108" i="29"/>
  <c r="LY159" i="30"/>
  <c r="LY160" i="30" s="1"/>
  <c r="LY161" i="30" s="1"/>
  <c r="LX160" i="30"/>
  <c r="LX161" i="30" s="1"/>
  <c r="LS161" i="30"/>
  <c r="AY161" i="30" s="1"/>
  <c r="AY160" i="30"/>
  <c r="MD108" i="29" l="1"/>
  <c r="MC159" i="30"/>
  <c r="AZ108" i="29"/>
  <c r="LZ159" i="30"/>
  <c r="GD90" i="5"/>
  <c r="HY20" i="4"/>
  <c r="HX19" i="4"/>
  <c r="GD125" i="5"/>
  <c r="MC160" i="30" l="1"/>
  <c r="MC161" i="30" s="1"/>
  <c r="ME108" i="29"/>
  <c r="MD159" i="30"/>
  <c r="LZ160" i="30"/>
  <c r="AZ159" i="30"/>
  <c r="AC20" i="4"/>
  <c r="GE90" i="5"/>
  <c r="W90" i="5" s="1"/>
  <c r="HY19" i="4"/>
  <c r="IB20" i="4"/>
  <c r="GE125" i="5"/>
  <c r="W125" i="5" s="1"/>
  <c r="MD160" i="30" l="1"/>
  <c r="MD161" i="30" s="1"/>
  <c r="MF108" i="29"/>
  <c r="ME159" i="30"/>
  <c r="LZ161" i="30"/>
  <c r="AZ161" i="30" s="1"/>
  <c r="AZ160" i="30"/>
  <c r="IB19" i="4"/>
  <c r="IC20" i="4"/>
  <c r="GH90" i="5"/>
  <c r="GH125" i="5"/>
  <c r="AC19" i="4"/>
  <c r="ME160" i="30" l="1"/>
  <c r="ME161" i="30" s="1"/>
  <c r="MF159" i="30"/>
  <c r="MG108" i="29"/>
  <c r="IC19" i="4"/>
  <c r="ID20" i="4"/>
  <c r="GI90" i="5"/>
  <c r="GI125" i="5"/>
  <c r="MG159" i="30" l="1"/>
  <c r="BA108" i="29"/>
  <c r="MF160" i="30"/>
  <c r="MF161" i="30" s="1"/>
  <c r="IE20" i="4"/>
  <c r="ID19" i="4"/>
  <c r="GJ90" i="5"/>
  <c r="GJ125" i="5"/>
  <c r="MG160" i="30" l="1"/>
  <c r="BA159" i="30"/>
  <c r="IE19" i="4"/>
  <c r="IF20" i="4"/>
  <c r="GK90" i="5"/>
  <c r="GK125" i="5"/>
  <c r="MG161" i="30" l="1"/>
  <c r="BA161" i="30" s="1"/>
  <c r="BA160" i="30"/>
  <c r="II20" i="4"/>
  <c r="IF19" i="4"/>
  <c r="GL90" i="5"/>
  <c r="X90" i="5" s="1"/>
  <c r="AD20" i="4"/>
  <c r="GL125" i="5"/>
  <c r="X125" i="5" s="1"/>
  <c r="IJ20" i="4" l="1"/>
  <c r="GO90" i="5"/>
  <c r="II19" i="4"/>
  <c r="GO125" i="5"/>
  <c r="AD19" i="4"/>
  <c r="IK20" i="4" l="1"/>
  <c r="GP90" i="5"/>
  <c r="IJ19" i="4"/>
  <c r="GP125" i="5"/>
  <c r="IL20" i="4" l="1"/>
  <c r="GQ90" i="5"/>
  <c r="IK19" i="4"/>
  <c r="GQ125" i="5"/>
  <c r="FU31" i="5"/>
  <c r="FU28" i="5"/>
  <c r="FV28" i="5" l="1"/>
  <c r="FW28" i="5" s="1"/>
  <c r="FV31" i="5"/>
  <c r="FW31" i="5" s="1"/>
  <c r="IM20" i="4"/>
  <c r="GR90" i="5"/>
  <c r="GR125" i="5"/>
  <c r="IL19" i="4"/>
  <c r="FU27" i="5"/>
  <c r="IP20" i="4" l="1"/>
  <c r="FV27" i="5"/>
  <c r="FW27" i="5" s="1"/>
  <c r="AE20" i="4"/>
  <c r="GS90" i="5"/>
  <c r="Y90" i="5" s="1"/>
  <c r="GS125" i="5"/>
  <c r="Y125" i="5" s="1"/>
  <c r="IM19" i="4"/>
  <c r="IP19" i="4" l="1"/>
  <c r="GV90" i="5"/>
  <c r="IQ20" i="4"/>
  <c r="GV125" i="5"/>
  <c r="AE19" i="4"/>
  <c r="FT26" i="5"/>
  <c r="FU29" i="5"/>
  <c r="GW125" i="5" l="1"/>
  <c r="IQ19" i="4"/>
  <c r="IR20" i="4"/>
  <c r="GW90" i="5"/>
  <c r="FT12" i="5"/>
  <c r="FT33" i="5" s="1"/>
  <c r="FV29" i="5"/>
  <c r="FV26" i="5" s="1"/>
  <c r="GX90" i="5" l="1"/>
  <c r="IR19" i="4"/>
  <c r="IS20" i="4"/>
  <c r="GX125" i="5"/>
  <c r="FW29" i="5"/>
  <c r="FW26" i="5" s="1"/>
  <c r="FT163" i="5"/>
  <c r="FT63" i="5"/>
  <c r="GY90" i="5" l="1"/>
  <c r="IT20" i="4"/>
  <c r="IS19" i="4"/>
  <c r="GY125" i="5"/>
  <c r="FT165" i="5"/>
  <c r="AF20" i="4" l="1"/>
  <c r="IT19" i="4"/>
  <c r="GZ90" i="5"/>
  <c r="Z90" i="5" s="1"/>
  <c r="GZ125" i="5"/>
  <c r="Z125" i="5" s="1"/>
  <c r="FQ33" i="5"/>
  <c r="U33" i="5" s="1"/>
  <c r="FQ92" i="5"/>
  <c r="FQ93" i="5" s="1"/>
  <c r="U11" i="5"/>
  <c r="FP11" i="5"/>
  <c r="AF19" i="4" l="1"/>
  <c r="FQ163" i="5"/>
  <c r="FQ94" i="5"/>
  <c r="U94" i="5" s="1"/>
  <c r="U93" i="5"/>
  <c r="FP33" i="5"/>
  <c r="FQ63" i="5"/>
  <c r="FP92" i="5"/>
  <c r="FV93" i="5" s="1"/>
  <c r="FV94" i="5" s="1"/>
  <c r="U92" i="5"/>
  <c r="FT93" i="5" l="1"/>
  <c r="FT94" i="5" s="1"/>
  <c r="FU93" i="5"/>
  <c r="U163" i="5"/>
  <c r="FQ167" i="5"/>
  <c r="FQ168" i="5" s="1"/>
  <c r="U168" i="5" s="1"/>
  <c r="FP163" i="5"/>
  <c r="FP63" i="5"/>
  <c r="U63" i="5"/>
  <c r="FQ65" i="5"/>
  <c r="FP93" i="5"/>
  <c r="FP94" i="5" s="1"/>
  <c r="U167" i="5" l="1"/>
  <c r="FQ173" i="5"/>
  <c r="FQ76" i="5" s="1"/>
  <c r="U76" i="5" s="1"/>
  <c r="FQ169" i="5"/>
  <c r="U169" i="5" s="1"/>
  <c r="FP65" i="5"/>
  <c r="FT167" i="5"/>
  <c r="FP165" i="5"/>
  <c r="FQ165" i="5" s="1"/>
  <c r="U165" i="5" s="1"/>
  <c r="FP167" i="5"/>
  <c r="FQ67" i="5"/>
  <c r="FX62" i="5"/>
  <c r="FT62" i="5"/>
  <c r="U65" i="5"/>
  <c r="U173" i="5" l="1"/>
  <c r="FQ175" i="5"/>
  <c r="FQ177" i="5" s="1"/>
  <c r="FT173" i="5"/>
  <c r="FT76" i="5" s="1"/>
  <c r="FT169" i="5"/>
  <c r="FT168" i="5"/>
  <c r="FQ78" i="5"/>
  <c r="U78" i="5" s="1"/>
  <c r="U175" i="5"/>
  <c r="FQ178" i="5"/>
  <c r="FT65" i="5"/>
  <c r="V62" i="5"/>
  <c r="U67" i="5"/>
  <c r="FP173" i="5"/>
  <c r="FP168" i="5"/>
  <c r="FP169" i="5"/>
  <c r="FP67" i="5"/>
  <c r="FT67" i="5" l="1"/>
  <c r="FU62" i="5"/>
  <c r="U177" i="5"/>
  <c r="FQ80" i="5"/>
  <c r="U80" i="5" s="1"/>
  <c r="FP175" i="5"/>
  <c r="FP76" i="5"/>
  <c r="FQ81" i="5"/>
  <c r="U81" i="5" s="1"/>
  <c r="U178" i="5"/>
  <c r="FT175" i="5"/>
  <c r="FT78" i="5" s="1"/>
  <c r="FP78" i="5" l="1"/>
  <c r="FP178" i="5"/>
  <c r="FP81" i="5" s="1"/>
  <c r="FP177" i="5"/>
  <c r="FP80" i="5" s="1"/>
  <c r="FT178" i="5"/>
  <c r="FT81" i="5" s="1"/>
  <c r="FU123" i="5" l="1"/>
  <c r="FT123" i="5"/>
  <c r="FT124" i="5" s="1"/>
  <c r="FU125" i="5" l="1"/>
  <c r="FU124" i="5"/>
  <c r="FT125" i="5"/>
  <c r="FT106" i="5"/>
  <c r="HO95" i="4"/>
  <c r="FU94" i="5" s="1"/>
  <c r="LB119" i="29" l="1"/>
  <c r="LB120" i="29" l="1"/>
  <c r="LB115" i="29"/>
  <c r="LE118" i="29"/>
  <c r="LE115" i="29" s="1"/>
  <c r="LB114" i="29" l="1"/>
  <c r="AW115" i="29"/>
  <c r="LE114" i="29"/>
  <c r="AW114" i="29" s="1"/>
  <c r="AW118" i="29"/>
  <c r="LB5" i="29"/>
  <c r="LK30" i="1" l="1"/>
  <c r="LI130" i="29" l="1"/>
  <c r="LI131" i="29" s="1"/>
  <c r="LI22" i="29"/>
  <c r="LD32" i="1" l="1"/>
  <c r="LD23" i="1" s="1"/>
  <c r="LD35" i="1" l="1"/>
  <c r="HO83" i="4"/>
  <c r="HO84" i="4" s="1"/>
  <c r="LB24" i="29"/>
  <c r="LB27" i="29" s="1"/>
  <c r="LD25" i="1"/>
  <c r="LD24" i="1"/>
  <c r="HO71" i="4"/>
  <c r="LB96" i="29"/>
  <c r="LD43" i="1" l="1"/>
  <c r="LD44" i="1" s="1"/>
  <c r="LD47" i="1"/>
  <c r="LD36" i="1"/>
  <c r="LD49" i="1"/>
  <c r="LD65" i="1" s="1"/>
  <c r="HO89" i="4"/>
  <c r="HO90" i="4" s="1"/>
  <c r="HO106" i="4"/>
  <c r="FU110" i="5" s="1"/>
  <c r="HO72" i="4"/>
  <c r="HO74" i="4"/>
  <c r="LD13" i="1"/>
  <c r="HO41" i="4"/>
  <c r="LD50" i="1" l="1"/>
  <c r="LD62" i="1"/>
  <c r="HO97" i="4"/>
  <c r="HO98" i="4" s="1"/>
  <c r="LD51" i="1"/>
  <c r="HO110" i="4"/>
  <c r="FU117" i="5"/>
  <c r="LD14" i="1"/>
  <c r="LD67" i="1"/>
  <c r="HO48" i="4"/>
  <c r="HO86" i="4"/>
  <c r="HO75" i="4"/>
  <c r="LD10" i="1" l="1"/>
  <c r="LD71" i="1"/>
  <c r="HO109" i="4"/>
  <c r="HO123" i="4"/>
  <c r="HO122" i="4"/>
  <c r="HO125" i="4"/>
  <c r="HO126" i="4"/>
  <c r="LD68" i="1"/>
  <c r="LD11" i="1"/>
  <c r="HO87" i="4"/>
  <c r="HO58" i="4" l="1"/>
  <c r="FU66" i="5" l="1"/>
  <c r="HO17" i="4"/>
  <c r="HO112" i="4" s="1"/>
  <c r="HO113" i="4" s="1"/>
  <c r="HO24" i="4" l="1"/>
  <c r="HO28" i="4" l="1"/>
  <c r="HO108" i="4" s="1"/>
  <c r="HO59" i="4" l="1"/>
  <c r="FU26" i="5" l="1"/>
  <c r="FU12" i="5" l="1"/>
  <c r="FU33" i="5" l="1"/>
  <c r="FU63" i="5" l="1"/>
  <c r="FU163" i="5"/>
  <c r="FU165" i="5" l="1"/>
  <c r="FU167" i="5"/>
  <c r="FU65" i="5"/>
  <c r="FV62" i="5" l="1"/>
  <c r="FU67" i="5"/>
  <c r="FU168" i="5"/>
  <c r="FU169" i="5"/>
  <c r="FU173" i="5"/>
  <c r="FU76" i="5" s="1"/>
  <c r="FU175" i="5" l="1"/>
  <c r="FU78" i="5" s="1"/>
  <c r="FU178" i="5" l="1"/>
  <c r="FU81" i="5" s="1"/>
  <c r="FU177" i="5"/>
  <c r="FU80" i="5" s="1"/>
  <c r="HU92" i="4" l="1"/>
  <c r="HU93" i="4" s="1"/>
  <c r="HV92" i="4"/>
  <c r="HV93" i="4" s="1"/>
  <c r="LG40" i="1"/>
  <c r="HR92" i="4" s="1"/>
  <c r="HR93" i="4" s="1"/>
  <c r="LE41" i="1"/>
  <c r="AW40" i="1" l="1"/>
  <c r="AB92" i="4"/>
  <c r="AB93" i="4"/>
  <c r="HP17" i="4" l="1"/>
  <c r="FV66" i="5"/>
  <c r="HQ24" i="4" l="1"/>
  <c r="AB23" i="4"/>
  <c r="HP28" i="4" l="1"/>
  <c r="HP41" i="4"/>
  <c r="HP48" i="4" l="1"/>
  <c r="HP112" i="4"/>
  <c r="HP113" i="4" s="1"/>
  <c r="HP58" i="4" l="1"/>
  <c r="HP59" i="4" l="1"/>
  <c r="FV12" i="5" l="1"/>
  <c r="FV33" i="5" l="1"/>
  <c r="FV63" i="5" l="1"/>
  <c r="FV163" i="5"/>
  <c r="FV165" i="5" l="1"/>
  <c r="FV167" i="5"/>
  <c r="FV65" i="5"/>
  <c r="FV67" i="5" l="1"/>
  <c r="FW62" i="5"/>
  <c r="FV169" i="5"/>
  <c r="FV173" i="5"/>
  <c r="FV100" i="5"/>
  <c r="FV102" i="5"/>
  <c r="FV103" i="5" s="1"/>
  <c r="FV105" i="5"/>
  <c r="FV106" i="5" s="1"/>
  <c r="FV76" i="5" l="1"/>
  <c r="FV175" i="5"/>
  <c r="FV78" i="5" s="1"/>
  <c r="LC5" i="29" l="1"/>
  <c r="LE32" i="1" l="1"/>
  <c r="LC24" i="29" s="1"/>
  <c r="LC27" i="29" s="1"/>
  <c r="LE23" i="1" l="1"/>
  <c r="LE25" i="1" l="1"/>
  <c r="HP71" i="4"/>
  <c r="LE35" i="1"/>
  <c r="LC96" i="29"/>
  <c r="HN71" i="4"/>
  <c r="HP83" i="4"/>
  <c r="LE24" i="1"/>
  <c r="HP106" i="4" l="1"/>
  <c r="FV110" i="5" s="1"/>
  <c r="HP84" i="4"/>
  <c r="HN74" i="4"/>
  <c r="HN72" i="4"/>
  <c r="LE36" i="1"/>
  <c r="LE43" i="1"/>
  <c r="HP74" i="4"/>
  <c r="HP72" i="4"/>
  <c r="LE13" i="1"/>
  <c r="LE14" i="1" l="1"/>
  <c r="HP86" i="4"/>
  <c r="HP75" i="4"/>
  <c r="FV117" i="5"/>
  <c r="HN86" i="4"/>
  <c r="FT117" i="5"/>
  <c r="HN110" i="4"/>
  <c r="HN75" i="4"/>
  <c r="LE47" i="1"/>
  <c r="LE44" i="1"/>
  <c r="HP89" i="4"/>
  <c r="HP90" i="4" s="1"/>
  <c r="LE49" i="1"/>
  <c r="HP110" i="4" l="1"/>
  <c r="FT177" i="5"/>
  <c r="FT80" i="5" s="1"/>
  <c r="HN87" i="4"/>
  <c r="HN123" i="4"/>
  <c r="HN122" i="4"/>
  <c r="HN125" i="4"/>
  <c r="HN126" i="4"/>
  <c r="LE51" i="1"/>
  <c r="LE50" i="1"/>
  <c r="HP97" i="4"/>
  <c r="LE65" i="1"/>
  <c r="LE62" i="1"/>
  <c r="HP126" i="4"/>
  <c r="HP123" i="4"/>
  <c r="HP125" i="4"/>
  <c r="HP87" i="4"/>
  <c r="FV177" i="5"/>
  <c r="FV80" i="5" s="1"/>
  <c r="HP122" i="4"/>
  <c r="HP109" i="4" l="1"/>
  <c r="HP98" i="4"/>
  <c r="HP108" i="4"/>
  <c r="FV168" i="5"/>
  <c r="FV178" i="5"/>
  <c r="FV81" i="5" s="1"/>
  <c r="LE71" i="1"/>
  <c r="LE10" i="1"/>
  <c r="LE67" i="1"/>
  <c r="LE11" i="1" l="1"/>
  <c r="LE68" i="1"/>
  <c r="LI81" i="29" l="1"/>
  <c r="LI82" i="29" l="1"/>
  <c r="LJ82" i="29"/>
  <c r="LJ95" i="29"/>
  <c r="LJ81" i="29"/>
  <c r="LJ97" i="29"/>
  <c r="LJ85" i="29"/>
  <c r="LI97" i="29"/>
  <c r="LI95" i="29"/>
  <c r="LO84" i="29" l="1"/>
  <c r="LK85" i="29"/>
  <c r="LI5" i="29"/>
  <c r="LK27" i="1"/>
  <c r="LI91" i="29"/>
  <c r="LI92" i="29" s="1"/>
  <c r="LL27" i="1"/>
  <c r="LJ19" i="29" s="1"/>
  <c r="LJ92" i="29"/>
  <c r="LJ88" i="29" l="1"/>
  <c r="LK23" i="1"/>
  <c r="LK25" i="1" s="1"/>
  <c r="LI19" i="29"/>
  <c r="LI27" i="29" s="1"/>
  <c r="LI73" i="29" s="1"/>
  <c r="LI88" i="29"/>
  <c r="LI96" i="29"/>
  <c r="LK35" i="1"/>
  <c r="LK82" i="29"/>
  <c r="LK95" i="29"/>
  <c r="LK97" i="29"/>
  <c r="LK81" i="29"/>
  <c r="LL80" i="29"/>
  <c r="LL85" i="29"/>
  <c r="AX85" i="29" s="1"/>
  <c r="LL86" i="29"/>
  <c r="AX86" i="29" s="1"/>
  <c r="AX84" i="29"/>
  <c r="LO85" i="29"/>
  <c r="LP84" i="29"/>
  <c r="LO80" i="29"/>
  <c r="LO82" i="29" s="1"/>
  <c r="LJ89" i="29" l="1"/>
  <c r="LQ88" i="29"/>
  <c r="LX88" i="29" s="1"/>
  <c r="ME88" i="29" s="1"/>
  <c r="LK24" i="1"/>
  <c r="LK13" i="1" s="1"/>
  <c r="LK14" i="1" s="1"/>
  <c r="LI89" i="29"/>
  <c r="LP88" i="29"/>
  <c r="LW88" i="29" s="1"/>
  <c r="MD88" i="29" s="1"/>
  <c r="LK43" i="1"/>
  <c r="LK36" i="1"/>
  <c r="LL82" i="29"/>
  <c r="AX82" i="29" s="1"/>
  <c r="LL95" i="29"/>
  <c r="AX95" i="29" s="1"/>
  <c r="LL97" i="29"/>
  <c r="AX97" i="29" s="1"/>
  <c r="AX80" i="29"/>
  <c r="LL81" i="29"/>
  <c r="AX81" i="29" s="1"/>
  <c r="LO7" i="29"/>
  <c r="LO95" i="29"/>
  <c r="LO97" i="29"/>
  <c r="LO81" i="29"/>
  <c r="LK91" i="29"/>
  <c r="LK92" i="29" s="1"/>
  <c r="LM27" i="1"/>
  <c r="LK88" i="29" s="1"/>
  <c r="LL7" i="29"/>
  <c r="LQ84" i="29"/>
  <c r="LP85" i="29"/>
  <c r="LP80" i="29"/>
  <c r="LP82" i="29" s="1"/>
  <c r="LK89" i="29" l="1"/>
  <c r="LR88" i="29"/>
  <c r="LY88" i="29" s="1"/>
  <c r="MF88" i="29" s="1"/>
  <c r="LK47" i="1"/>
  <c r="LR84" i="29"/>
  <c r="LQ85" i="29"/>
  <c r="LQ80" i="29"/>
  <c r="LQ82" i="29" s="1"/>
  <c r="LN27" i="1"/>
  <c r="AX27" i="1" s="1"/>
  <c r="AX7" i="29" s="1"/>
  <c r="LL19" i="29"/>
  <c r="LL88" i="29"/>
  <c r="LL91" i="29"/>
  <c r="LQ27" i="1"/>
  <c r="LO19" i="29"/>
  <c r="LO91" i="29"/>
  <c r="LO92" i="29" s="1"/>
  <c r="LP7" i="29"/>
  <c r="LP81" i="29"/>
  <c r="LP97" i="29"/>
  <c r="LP95" i="29"/>
  <c r="LK44" i="1"/>
  <c r="LK49" i="1" l="1"/>
  <c r="LK50" i="1" s="1"/>
  <c r="LL92" i="29"/>
  <c r="AX92" i="29" s="1"/>
  <c r="AX91" i="29"/>
  <c r="AX88" i="29"/>
  <c r="LL89" i="29"/>
  <c r="AX89" i="29" s="1"/>
  <c r="LR27" i="1"/>
  <c r="LP19" i="29"/>
  <c r="LP91" i="29"/>
  <c r="LP92" i="29" s="1"/>
  <c r="AX19" i="29"/>
  <c r="LQ81" i="29"/>
  <c r="LQ95" i="29"/>
  <c r="LQ97" i="29"/>
  <c r="LQ7" i="29"/>
  <c r="LS84" i="29"/>
  <c r="LV84" i="29"/>
  <c r="LR85" i="29"/>
  <c r="LR80" i="29"/>
  <c r="LR82" i="29" s="1"/>
  <c r="LK51" i="1" l="1"/>
  <c r="LK65" i="1"/>
  <c r="LS80" i="29"/>
  <c r="LS82" i="29" s="1"/>
  <c r="AY82" i="29" s="1"/>
  <c r="LQ19" i="29"/>
  <c r="LS27" i="1"/>
  <c r="LQ91" i="29"/>
  <c r="LQ92" i="29" s="1"/>
  <c r="LR81" i="29"/>
  <c r="LR95" i="29"/>
  <c r="LR97" i="29"/>
  <c r="LR7" i="29"/>
  <c r="LS7" i="29" s="1"/>
  <c r="LW84" i="29"/>
  <c r="LW80" i="29" s="1"/>
  <c r="LV80" i="29"/>
  <c r="LV85" i="29"/>
  <c r="LS86" i="29"/>
  <c r="AY86" i="29" s="1"/>
  <c r="LS85" i="29"/>
  <c r="AY85" i="29" s="1"/>
  <c r="AY84" i="29"/>
  <c r="LS95" i="29" l="1"/>
  <c r="AY95" i="29" s="1"/>
  <c r="AY80" i="29"/>
  <c r="LS97" i="29"/>
  <c r="AY97" i="29" s="1"/>
  <c r="LS81" i="29"/>
  <c r="AY81" i="29" s="1"/>
  <c r="LW95" i="29"/>
  <c r="LW7" i="29"/>
  <c r="LW97" i="29"/>
  <c r="LW82" i="29"/>
  <c r="LW81" i="29"/>
  <c r="LV81" i="29"/>
  <c r="LV82" i="29"/>
  <c r="LV95" i="29"/>
  <c r="LV7" i="29"/>
  <c r="LV97" i="29"/>
  <c r="LW85" i="29"/>
  <c r="LX84" i="29"/>
  <c r="LX80" i="29" s="1"/>
  <c r="LR91" i="29"/>
  <c r="LR92" i="29" s="1"/>
  <c r="LT27" i="1"/>
  <c r="LR19" i="29"/>
  <c r="LU27" i="1"/>
  <c r="AY27" i="1" s="1"/>
  <c r="AY7" i="29" s="1"/>
  <c r="LS19" i="29"/>
  <c r="LS88" i="29"/>
  <c r="LS91" i="29"/>
  <c r="LX7" i="29" l="1"/>
  <c r="LX81" i="29"/>
  <c r="LX97" i="29"/>
  <c r="LX82" i="29"/>
  <c r="LX95" i="29"/>
  <c r="LV19" i="29"/>
  <c r="LX27" i="1"/>
  <c r="LV91" i="29"/>
  <c r="LV92" i="29" s="1"/>
  <c r="LW19" i="29"/>
  <c r="LY27" i="1"/>
  <c r="LW91" i="29"/>
  <c r="LW92" i="29" s="1"/>
  <c r="AY91" i="29"/>
  <c r="LS92" i="29"/>
  <c r="AY92" i="29" s="1"/>
  <c r="AY88" i="29"/>
  <c r="LS89" i="29"/>
  <c r="AY89" i="29" s="1"/>
  <c r="AY19" i="29"/>
  <c r="LX85" i="29"/>
  <c r="LY84" i="29"/>
  <c r="LZ84" i="29" l="1"/>
  <c r="LZ86" i="29" s="1"/>
  <c r="MC84" i="29"/>
  <c r="LY80" i="29"/>
  <c r="LY85" i="29"/>
  <c r="LX19" i="29"/>
  <c r="LZ27" i="1"/>
  <c r="LX91" i="29"/>
  <c r="LX92" i="29" s="1"/>
  <c r="LZ85" i="29" l="1"/>
  <c r="AZ85" i="29" s="1"/>
  <c r="MC80" i="29"/>
  <c r="MC85" i="29"/>
  <c r="MD84" i="29"/>
  <c r="MD80" i="29" s="1"/>
  <c r="LY95" i="29"/>
  <c r="LY97" i="29"/>
  <c r="LZ80" i="29"/>
  <c r="LZ81" i="29" s="1"/>
  <c r="AZ81" i="29" s="1"/>
  <c r="LY81" i="29"/>
  <c r="LY7" i="29"/>
  <c r="LZ7" i="29" s="1"/>
  <c r="LY82" i="29"/>
  <c r="AZ84" i="29"/>
  <c r="AZ86" i="29"/>
  <c r="MD82" i="29" l="1"/>
  <c r="MD7" i="29"/>
  <c r="MD81" i="29"/>
  <c r="MD97" i="29"/>
  <c r="MD95" i="29"/>
  <c r="ME84" i="29"/>
  <c r="MD85" i="29"/>
  <c r="MC82" i="29"/>
  <c r="MC7" i="29"/>
  <c r="MC81" i="29"/>
  <c r="MC97" i="29"/>
  <c r="MC95" i="29"/>
  <c r="LZ88" i="29"/>
  <c r="LZ82" i="29"/>
  <c r="AZ82" i="29" s="1"/>
  <c r="LZ95" i="29"/>
  <c r="AZ95" i="29" s="1"/>
  <c r="AZ80" i="29"/>
  <c r="MA27" i="1"/>
  <c r="LY91" i="29"/>
  <c r="LY92" i="29" s="1"/>
  <c r="LZ91" i="29"/>
  <c r="LZ92" i="29" s="1"/>
  <c r="LY19" i="29"/>
  <c r="LZ97" i="29"/>
  <c r="AZ97" i="29" s="1"/>
  <c r="LZ19" i="29"/>
  <c r="MB27" i="1"/>
  <c r="AZ27" i="1" s="1"/>
  <c r="AZ7" i="29" s="1"/>
  <c r="ME85" i="29" l="1"/>
  <c r="MF84" i="29"/>
  <c r="ME27" i="1"/>
  <c r="MC91" i="29"/>
  <c r="MC92" i="29" s="1"/>
  <c r="MC19" i="29"/>
  <c r="ME80" i="29"/>
  <c r="MF27" i="1"/>
  <c r="MD91" i="29"/>
  <c r="MD92" i="29" s="1"/>
  <c r="MD19" i="29"/>
  <c r="LZ89" i="29"/>
  <c r="AZ89" i="29" s="1"/>
  <c r="AZ19" i="29"/>
  <c r="AZ88" i="29"/>
  <c r="AZ91" i="29"/>
  <c r="AZ92" i="29"/>
  <c r="ME7" i="29" l="1"/>
  <c r="ME81" i="29"/>
  <c r="ME82" i="29"/>
  <c r="ME97" i="29"/>
  <c r="ME95" i="29"/>
  <c r="MF85" i="29"/>
  <c r="MG84" i="29"/>
  <c r="BA84" i="29" s="1"/>
  <c r="MF80" i="29"/>
  <c r="LG60" i="1"/>
  <c r="LE93" i="1"/>
  <c r="LG93" i="1" s="1"/>
  <c r="MG86" i="29" l="1"/>
  <c r="BA86" i="29" s="1"/>
  <c r="MG85" i="29"/>
  <c r="BA85" i="29" s="1"/>
  <c r="MF82" i="29"/>
  <c r="MF81" i="29"/>
  <c r="MF97" i="29"/>
  <c r="MF95" i="29"/>
  <c r="MF7" i="29"/>
  <c r="MG7" i="29" s="1"/>
  <c r="MG80" i="29"/>
  <c r="BA80" i="29" s="1"/>
  <c r="MG27" i="1"/>
  <c r="ME91" i="29"/>
  <c r="ME92" i="29" s="1"/>
  <c r="ME19" i="29"/>
  <c r="LE94" i="1"/>
  <c r="LE96" i="1" s="1"/>
  <c r="AW60" i="1"/>
  <c r="MG82" i="29" l="1"/>
  <c r="BA82" i="29" s="1"/>
  <c r="MG81" i="29"/>
  <c r="BA81" i="29" s="1"/>
  <c r="MG97" i="29"/>
  <c r="BA97" i="29" s="1"/>
  <c r="MG95" i="29"/>
  <c r="BA95" i="29" s="1"/>
  <c r="MF91" i="29"/>
  <c r="MF92" i="29" s="1"/>
  <c r="MH27" i="1"/>
  <c r="MF19" i="29"/>
  <c r="MG88" i="29"/>
  <c r="MG91" i="29"/>
  <c r="MI27" i="1"/>
  <c r="BA27" i="1" s="1"/>
  <c r="BA7" i="29" s="1"/>
  <c r="MG19" i="29"/>
  <c r="BA19" i="29" s="1"/>
  <c r="LG98" i="1"/>
  <c r="V55" i="5"/>
  <c r="MG92" i="29" l="1"/>
  <c r="BA92" i="29" s="1"/>
  <c r="BA91" i="29"/>
  <c r="MG89" i="29"/>
  <c r="BA89" i="29" s="1"/>
  <c r="BA88" i="29"/>
  <c r="LG61" i="1"/>
  <c r="AW61" i="1" l="1"/>
  <c r="LG95" i="1"/>
  <c r="LG94" i="1" s="1"/>
  <c r="LG96" i="1" s="1"/>
  <c r="FW77" i="5"/>
  <c r="V54" i="5" l="1"/>
  <c r="V77" i="5" l="1"/>
  <c r="V174" i="5"/>
  <c r="HV95" i="4" l="1"/>
  <c r="GB94" i="5" l="1"/>
  <c r="LG46" i="1"/>
  <c r="HU95" i="4"/>
  <c r="GA94" i="5" s="1"/>
  <c r="HR95" i="4" l="1"/>
  <c r="FX94" i="5" s="1"/>
  <c r="AW46" i="1"/>
  <c r="AB95" i="4"/>
  <c r="V11" i="5" l="1"/>
  <c r="LD5" i="29"/>
  <c r="LF32" i="1"/>
  <c r="LF23" i="1" s="1"/>
  <c r="LE12" i="29"/>
  <c r="HQ83" i="4" l="1"/>
  <c r="HQ71" i="4"/>
  <c r="V92" i="5"/>
  <c r="LD24" i="29"/>
  <c r="LD27" i="29" s="1"/>
  <c r="LH73" i="29" s="1"/>
  <c r="HV83" i="4"/>
  <c r="HV71" i="4"/>
  <c r="HU83" i="4"/>
  <c r="LF24" i="1"/>
  <c r="LD96" i="29"/>
  <c r="LF25" i="1"/>
  <c r="LF35" i="1"/>
  <c r="LE24" i="29"/>
  <c r="LG32" i="1"/>
  <c r="LE5" i="29"/>
  <c r="AW5" i="29" s="1"/>
  <c r="LG23" i="1" l="1"/>
  <c r="HR71" i="4" s="1"/>
  <c r="AW32" i="1"/>
  <c r="AW12" i="29" s="1"/>
  <c r="HQ72" i="4"/>
  <c r="HQ74" i="4"/>
  <c r="HQ106" i="4"/>
  <c r="FW110" i="5" s="1"/>
  <c r="HQ84" i="4"/>
  <c r="V93" i="5"/>
  <c r="V94" i="5"/>
  <c r="LF13" i="1"/>
  <c r="HU84" i="4"/>
  <c r="LE27" i="29"/>
  <c r="AW27" i="29" s="1"/>
  <c r="AW24" i="29"/>
  <c r="LF36" i="1"/>
  <c r="LF43" i="1"/>
  <c r="HQ89" i="4" s="1"/>
  <c r="HQ90" i="4" s="1"/>
  <c r="HV74" i="4"/>
  <c r="GB117" i="5" s="1"/>
  <c r="HV72" i="4"/>
  <c r="HV84" i="4"/>
  <c r="LG25" i="1" l="1"/>
  <c r="AW25" i="1" s="1"/>
  <c r="LG35" i="1"/>
  <c r="AW35" i="1" s="1"/>
  <c r="AW23" i="1"/>
  <c r="LG24" i="1"/>
  <c r="AW24" i="1" s="1"/>
  <c r="HR83" i="4"/>
  <c r="AB83" i="4" s="1"/>
  <c r="LE96" i="29"/>
  <c r="AW96" i="29" s="1"/>
  <c r="HQ110" i="4"/>
  <c r="HQ75" i="4"/>
  <c r="FW117" i="5"/>
  <c r="HQ86" i="4"/>
  <c r="HR74" i="4"/>
  <c r="HR72" i="4"/>
  <c r="AB72" i="4" s="1"/>
  <c r="HU106" i="4"/>
  <c r="GA110" i="5" s="1"/>
  <c r="LF14" i="1"/>
  <c r="LF44" i="1"/>
  <c r="LF47" i="1"/>
  <c r="LF49" i="1"/>
  <c r="HQ97" i="4" s="1"/>
  <c r="HV89" i="4"/>
  <c r="HV90" i="4" s="1"/>
  <c r="HU89" i="4"/>
  <c r="HU90" i="4" s="1"/>
  <c r="LG36" i="1"/>
  <c r="HV86" i="4"/>
  <c r="HV75" i="4"/>
  <c r="HV32" i="4"/>
  <c r="HV106" i="4"/>
  <c r="GB110" i="5" s="1"/>
  <c r="AB71" i="4"/>
  <c r="LG43" i="1" l="1"/>
  <c r="HR89" i="4" s="1"/>
  <c r="HR90" i="4" s="1"/>
  <c r="HR106" i="4"/>
  <c r="FX110" i="5" s="1"/>
  <c r="HR84" i="4"/>
  <c r="AB84" i="4" s="1"/>
  <c r="LG13" i="1"/>
  <c r="GE27" i="5"/>
  <c r="HR86" i="4"/>
  <c r="HR75" i="4"/>
  <c r="AB75" i="4" s="1"/>
  <c r="FX117" i="5"/>
  <c r="V117" i="5" s="1"/>
  <c r="HQ87" i="4"/>
  <c r="HQ125" i="4"/>
  <c r="HQ126" i="4"/>
  <c r="HQ123" i="4"/>
  <c r="HQ122" i="4"/>
  <c r="HQ98" i="4"/>
  <c r="HQ109" i="4"/>
  <c r="AB33" i="4"/>
  <c r="LG49" i="1"/>
  <c r="HR97" i="4" s="1"/>
  <c r="LF65" i="1"/>
  <c r="LF62" i="1"/>
  <c r="HV97" i="4"/>
  <c r="HU97" i="4"/>
  <c r="LF50" i="1"/>
  <c r="LF51" i="1"/>
  <c r="HU41" i="4"/>
  <c r="GB26" i="5"/>
  <c r="AW43" i="1"/>
  <c r="LG47" i="1"/>
  <c r="LG44" i="1"/>
  <c r="HQ41" i="4"/>
  <c r="HV41" i="4"/>
  <c r="HV125" i="4"/>
  <c r="HV126" i="4"/>
  <c r="HV122" i="4"/>
  <c r="HV87" i="4"/>
  <c r="AB74" i="4"/>
  <c r="LG14" i="1"/>
  <c r="AW14" i="1" s="1"/>
  <c r="AW13" i="1"/>
  <c r="W27" i="5" l="1"/>
  <c r="BS14" i="1"/>
  <c r="HR98" i="4"/>
  <c r="HR108" i="4"/>
  <c r="HR87" i="4"/>
  <c r="AB87" i="4" s="1"/>
  <c r="HR126" i="4"/>
  <c r="AB126" i="4" s="1"/>
  <c r="HR125" i="4"/>
  <c r="AB125" i="4" s="1"/>
  <c r="HR122" i="4"/>
  <c r="AB122" i="4" s="1"/>
  <c r="HR123" i="4"/>
  <c r="LF10" i="1"/>
  <c r="LF71" i="1"/>
  <c r="HV48" i="4"/>
  <c r="GB12" i="5"/>
  <c r="LF67" i="1"/>
  <c r="GA12" i="5"/>
  <c r="LG65" i="1"/>
  <c r="LG51" i="1"/>
  <c r="AW49" i="1"/>
  <c r="LG62" i="1"/>
  <c r="LG50" i="1"/>
  <c r="AB106" i="4"/>
  <c r="V110" i="5"/>
  <c r="HU98" i="4"/>
  <c r="AB32" i="4"/>
  <c r="HQ48" i="4"/>
  <c r="AB90" i="4"/>
  <c r="AB89" i="4"/>
  <c r="HU48" i="4"/>
  <c r="AW44" i="1"/>
  <c r="AB86" i="4"/>
  <c r="AW47" i="1"/>
  <c r="HV98" i="4"/>
  <c r="LF68" i="1" l="1"/>
  <c r="AB97" i="4"/>
  <c r="AB98" i="4"/>
  <c r="AW51" i="1"/>
  <c r="GB33" i="5"/>
  <c r="GB163" i="5" s="1"/>
  <c r="LG67" i="1"/>
  <c r="AW65" i="1"/>
  <c r="V9" i="5"/>
  <c r="AW50" i="1"/>
  <c r="HR52" i="4"/>
  <c r="HR56" i="4" s="1"/>
  <c r="LF11" i="1"/>
  <c r="HR48" i="4"/>
  <c r="AB41" i="4"/>
  <c r="LG10" i="1"/>
  <c r="LG71" i="1"/>
  <c r="AW62" i="1"/>
  <c r="HR118" i="4" l="1"/>
  <c r="HR119" i="4"/>
  <c r="HR120" i="4"/>
  <c r="HR110" i="4"/>
  <c r="HR109" i="4"/>
  <c r="GA33" i="5"/>
  <c r="HQ58" i="4"/>
  <c r="AB48" i="4"/>
  <c r="AB52" i="4"/>
  <c r="HR58" i="4"/>
  <c r="LG11" i="1"/>
  <c r="AW11" i="1" s="1"/>
  <c r="AW10" i="1"/>
  <c r="AW71" i="1"/>
  <c r="AW67" i="1"/>
  <c r="LG68" i="1"/>
  <c r="BS11" i="1" l="1"/>
  <c r="GA163" i="5"/>
  <c r="AB120" i="4"/>
  <c r="AB56" i="4"/>
  <c r="AB118" i="4"/>
  <c r="AB109" i="4"/>
  <c r="AW68" i="1"/>
  <c r="AB58" i="4"/>
  <c r="GB165" i="5" l="1"/>
  <c r="GA165" i="5"/>
  <c r="FW66" i="5" l="1"/>
  <c r="HQ17" i="4"/>
  <c r="HQ28" i="4" l="1"/>
  <c r="HQ108" i="4" s="1"/>
  <c r="HQ112" i="4"/>
  <c r="HQ113" i="4" s="1"/>
  <c r="AB119" i="4"/>
  <c r="AB117" i="4"/>
  <c r="FX66" i="5"/>
  <c r="AB123" i="4"/>
  <c r="AB9" i="4"/>
  <c r="V98" i="5"/>
  <c r="AB110" i="4"/>
  <c r="V66" i="5" l="1"/>
  <c r="AB17" i="4"/>
  <c r="AB112" i="4" l="1"/>
  <c r="AB113" i="4"/>
  <c r="AB26" i="4"/>
  <c r="AB24" i="4" l="1"/>
  <c r="HQ59" i="4"/>
  <c r="AB28" i="4" l="1"/>
  <c r="AB108" i="4"/>
  <c r="HR59" i="4"/>
  <c r="AB59" i="4" s="1"/>
  <c r="LD119" i="29" l="1"/>
  <c r="LD120" i="29" s="1"/>
  <c r="LR120" i="29" s="1"/>
  <c r="LY120" i="29" s="1"/>
  <c r="MF120" i="29" s="1"/>
  <c r="LE117" i="29"/>
  <c r="AW117" i="29" s="1"/>
  <c r="LE119" i="29" l="1"/>
  <c r="AW119" i="29" s="1"/>
  <c r="LE133" i="29"/>
  <c r="AW133" i="29" s="1"/>
  <c r="LD133" i="29"/>
  <c r="LD134" i="29" s="1"/>
  <c r="LE120" i="29" l="1"/>
  <c r="AW120" i="29" s="1"/>
  <c r="LE134" i="29"/>
  <c r="AW134" i="29" s="1"/>
  <c r="LR133" i="29" l="1"/>
  <c r="LL117" i="29" l="1"/>
  <c r="LK119" i="29"/>
  <c r="LR117" i="29"/>
  <c r="LY133" i="29"/>
  <c r="LY117" i="29" l="1"/>
  <c r="MF133" i="29"/>
  <c r="MF117" i="29" s="1"/>
  <c r="LZ117" i="29"/>
  <c r="LY119" i="29"/>
  <c r="LS117" i="29"/>
  <c r="LR119" i="29"/>
  <c r="LL133" i="29"/>
  <c r="AX117" i="29"/>
  <c r="MG117" i="29" l="1"/>
  <c r="MF119" i="29"/>
  <c r="LS133" i="29"/>
  <c r="AY117" i="29"/>
  <c r="LZ119" i="29"/>
  <c r="AZ119" i="29" s="1"/>
  <c r="LY10" i="29"/>
  <c r="LL134" i="29"/>
  <c r="AX134" i="29" s="1"/>
  <c r="AX133" i="29"/>
  <c r="LK131" i="29"/>
  <c r="LK27" i="29"/>
  <c r="LK5" i="29"/>
  <c r="LM30" i="1"/>
  <c r="LM23" i="1" s="1"/>
  <c r="LS119" i="29"/>
  <c r="AY119" i="29" s="1"/>
  <c r="LR10" i="29"/>
  <c r="LZ133" i="29"/>
  <c r="AZ117" i="29"/>
  <c r="MG119" i="29" l="1"/>
  <c r="BA119" i="29" s="1"/>
  <c r="MF10" i="29"/>
  <c r="MG133" i="29"/>
  <c r="BA133" i="29" s="1"/>
  <c r="BA117" i="29"/>
  <c r="LR22" i="29"/>
  <c r="LR27" i="29" s="1"/>
  <c r="LR130" i="29"/>
  <c r="LR131" i="29" s="1"/>
  <c r="LR5" i="29"/>
  <c r="LT30" i="1"/>
  <c r="LT23" i="1" s="1"/>
  <c r="LM24" i="1"/>
  <c r="LK96" i="29"/>
  <c r="LM25" i="1"/>
  <c r="LM35" i="1"/>
  <c r="LY5" i="29"/>
  <c r="LY130" i="29"/>
  <c r="LY131" i="29" s="1"/>
  <c r="LY22" i="29"/>
  <c r="LY27" i="29" s="1"/>
  <c r="MA30" i="1"/>
  <c r="MA23" i="1" s="1"/>
  <c r="AZ133" i="29"/>
  <c r="LZ134" i="29"/>
  <c r="AZ134" i="29" s="1"/>
  <c r="LS134" i="29"/>
  <c r="AY134" i="29" s="1"/>
  <c r="AY133" i="29"/>
  <c r="MG134" i="29" l="1"/>
  <c r="BA134" i="29" s="1"/>
  <c r="MF130" i="29"/>
  <c r="MF131" i="29" s="1"/>
  <c r="MH30" i="1"/>
  <c r="MH23" i="1" s="1"/>
  <c r="MF22" i="29"/>
  <c r="MF27" i="29" s="1"/>
  <c r="MF5" i="29"/>
  <c r="LM13" i="1"/>
  <c r="LT25" i="1"/>
  <c r="LT24" i="1"/>
  <c r="LR96" i="29"/>
  <c r="LT35" i="1"/>
  <c r="MA25" i="1"/>
  <c r="MA24" i="1"/>
  <c r="MA13" i="1" s="1"/>
  <c r="LY96" i="29"/>
  <c r="MA35" i="1"/>
  <c r="LM36" i="1"/>
  <c r="LM43" i="1"/>
  <c r="LM47" i="1" s="1"/>
  <c r="LM56" i="1" l="1"/>
  <c r="MF96" i="29"/>
  <c r="MH35" i="1"/>
  <c r="MH24" i="1"/>
  <c r="MH13" i="1" s="1"/>
  <c r="MH25" i="1"/>
  <c r="LM14" i="1"/>
  <c r="LT13" i="1"/>
  <c r="LT36" i="1"/>
  <c r="LT43" i="1"/>
  <c r="MA36" i="1"/>
  <c r="MA43" i="1"/>
  <c r="LM49" i="1"/>
  <c r="LM44" i="1"/>
  <c r="MH14" i="1" l="1"/>
  <c r="MH43" i="1"/>
  <c r="MH36" i="1"/>
  <c r="MA14" i="1"/>
  <c r="LT14" i="1"/>
  <c r="LT44" i="1"/>
  <c r="LT46" i="1"/>
  <c r="LT49" i="1" s="1"/>
  <c r="MA44" i="1"/>
  <c r="MA46" i="1"/>
  <c r="LM50" i="1"/>
  <c r="LM51" i="1"/>
  <c r="LM65" i="1"/>
  <c r="MH46" i="1" l="1"/>
  <c r="MH49" i="1" s="1"/>
  <c r="MH44" i="1"/>
  <c r="MA49" i="1"/>
  <c r="MA51" i="1" s="1"/>
  <c r="LT50" i="1"/>
  <c r="LT51" i="1"/>
  <c r="GK9" i="5"/>
  <c r="LT65" i="1"/>
  <c r="GR9" i="5" l="1"/>
  <c r="MA65" i="1"/>
  <c r="MA50" i="1"/>
  <c r="GY9" i="5"/>
  <c r="MH50" i="1"/>
  <c r="MH65" i="1"/>
  <c r="MH51" i="1"/>
  <c r="FX13" i="5" l="1"/>
  <c r="V24" i="5"/>
  <c r="V13" i="5" l="1"/>
  <c r="FX12" i="5"/>
  <c r="FW12" i="5" l="1"/>
  <c r="FW33" i="5" s="1"/>
  <c r="FW163" i="5" s="1"/>
  <c r="GB167" i="5" s="1"/>
  <c r="FX33" i="5"/>
  <c r="FX163" i="5" s="1"/>
  <c r="FX167" i="5" s="1"/>
  <c r="V12" i="5"/>
  <c r="GB169" i="5" l="1"/>
  <c r="GB173" i="5"/>
  <c r="GB175" i="5" s="1"/>
  <c r="GB168" i="5"/>
  <c r="V33" i="5"/>
  <c r="FX169" i="5"/>
  <c r="FX173" i="5"/>
  <c r="FX168" i="5"/>
  <c r="FW165" i="5"/>
  <c r="FX165" i="5" s="1"/>
  <c r="FW167" i="5"/>
  <c r="V163" i="5"/>
  <c r="GB178" i="5" l="1"/>
  <c r="GB177" i="5"/>
  <c r="FX76" i="5"/>
  <c r="FX175" i="5"/>
  <c r="FW169" i="5"/>
  <c r="FW168" i="5"/>
  <c r="FW173" i="5"/>
  <c r="GA167" i="5"/>
  <c r="V165" i="5"/>
  <c r="V168" i="5"/>
  <c r="V169" i="5"/>
  <c r="V167" i="5"/>
  <c r="FX178" i="5" l="1"/>
  <c r="FX81" i="5" s="1"/>
  <c r="FX177" i="5"/>
  <c r="FX80" i="5" s="1"/>
  <c r="FX78" i="5"/>
  <c r="FW175" i="5"/>
  <c r="FW76" i="5"/>
  <c r="V76" i="5"/>
  <c r="V173" i="5"/>
  <c r="GB76" i="5"/>
  <c r="GA173" i="5"/>
  <c r="GA168" i="5"/>
  <c r="FW178" i="5" l="1"/>
  <c r="FW177" i="5"/>
  <c r="V78" i="5"/>
  <c r="V175" i="5"/>
  <c r="GA76" i="5"/>
  <c r="FW78" i="5"/>
  <c r="FW80" i="5" l="1"/>
  <c r="FW81" i="5"/>
  <c r="V80" i="5"/>
  <c r="V177" i="5"/>
  <c r="V81" i="5"/>
  <c r="V178" i="5"/>
  <c r="V29" i="5" l="1"/>
  <c r="V30" i="5"/>
  <c r="V31" i="5" l="1"/>
  <c r="V28" i="5"/>
  <c r="V27" i="5" l="1"/>
  <c r="FW152" i="5" l="1"/>
  <c r="FW153" i="5" s="1"/>
  <c r="FX153" i="5" s="1"/>
  <c r="V153" i="5" s="1"/>
  <c r="LF98" i="1"/>
  <c r="FX149" i="5"/>
  <c r="V149" i="5" s="1"/>
  <c r="FW56" i="5"/>
  <c r="FW149" i="5" s="1"/>
  <c r="FW150" i="5" s="1"/>
  <c r="FX150" i="5" s="1"/>
  <c r="V150" i="5" s="1"/>
  <c r="V56" i="5"/>
  <c r="V52" i="5"/>
  <c r="FX59" i="5"/>
  <c r="FW52" i="5"/>
  <c r="V59" i="5" l="1"/>
  <c r="FW59" i="5"/>
  <c r="FX63" i="5"/>
  <c r="FW63" i="5" l="1"/>
  <c r="V63" i="5"/>
  <c r="FX65" i="5"/>
  <c r="FW65" i="5" l="1"/>
  <c r="V65" i="5"/>
  <c r="FX67" i="5"/>
  <c r="GA62" i="5"/>
  <c r="GE62" i="5"/>
  <c r="W62" i="5" l="1"/>
  <c r="FW67" i="5"/>
  <c r="V67" i="5"/>
  <c r="LF94" i="1" l="1"/>
  <c r="LF96" i="1" s="1"/>
  <c r="LJ67" i="1" l="1"/>
  <c r="GA169" i="5"/>
  <c r="LJ62" i="1"/>
  <c r="LK96" i="1"/>
  <c r="LK67" i="1" l="1"/>
  <c r="GB77" i="5"/>
  <c r="LK62" i="1"/>
  <c r="LJ71" i="1"/>
  <c r="LJ10" i="1"/>
  <c r="GA59" i="5"/>
  <c r="GA174" i="5"/>
  <c r="LJ68" i="1"/>
  <c r="GA63" i="5" l="1"/>
  <c r="HU56" i="4"/>
  <c r="LK71" i="1"/>
  <c r="LK10" i="1"/>
  <c r="GB59" i="5"/>
  <c r="GA77" i="5"/>
  <c r="GA175" i="5"/>
  <c r="GB78" i="5"/>
  <c r="LK68" i="1"/>
  <c r="LJ11" i="1"/>
  <c r="GB63" i="5" l="1"/>
  <c r="HU109" i="4"/>
  <c r="HU118" i="4"/>
  <c r="HU120" i="4"/>
  <c r="HU58" i="4"/>
  <c r="GA65" i="5"/>
  <c r="HV56" i="4"/>
  <c r="LK11" i="1"/>
  <c r="GC59" i="5"/>
  <c r="GC174" i="5"/>
  <c r="GB81" i="5"/>
  <c r="GB80" i="5"/>
  <c r="GA78" i="5"/>
  <c r="GA178" i="5"/>
  <c r="GA81" i="5" s="1"/>
  <c r="HX50" i="4" l="1"/>
  <c r="GC77" i="5"/>
  <c r="GB62" i="5"/>
  <c r="HV109" i="4"/>
  <c r="HV120" i="4"/>
  <c r="HV118" i="4"/>
  <c r="HV58" i="4"/>
  <c r="HY50" i="4" l="1"/>
  <c r="GB65" i="5"/>
  <c r="HU117" i="4"/>
  <c r="HU17" i="4"/>
  <c r="HU119" i="4"/>
  <c r="GA66" i="5"/>
  <c r="AC50" i="4" l="1"/>
  <c r="IB50" i="4"/>
  <c r="GA67" i="5"/>
  <c r="HU112" i="4"/>
  <c r="HU113" i="4" s="1"/>
  <c r="GC62" i="5"/>
  <c r="IC50" i="4" l="1"/>
  <c r="HV117" i="4"/>
  <c r="GB66" i="5"/>
  <c r="HV123" i="4"/>
  <c r="HV119" i="4"/>
  <c r="HV17" i="4"/>
  <c r="HV110" i="4"/>
  <c r="ID50" i="4" l="1"/>
  <c r="GB67" i="5"/>
  <c r="HV112" i="4"/>
  <c r="HV113" i="4" s="1"/>
  <c r="IE50" i="4" l="1"/>
  <c r="IF50" i="4" l="1"/>
  <c r="II50" i="4" l="1"/>
  <c r="AD50" i="4"/>
  <c r="IJ50" i="4" l="1"/>
  <c r="IK50" i="4" l="1"/>
  <c r="IL50" i="4" l="1"/>
  <c r="IM50" i="4" l="1"/>
  <c r="IP50" i="4" s="1"/>
  <c r="LH119" i="29"/>
  <c r="LH120" i="29" s="1"/>
  <c r="LO120" i="29" s="1"/>
  <c r="LH115" i="29"/>
  <c r="LH114" i="29" s="1"/>
  <c r="IQ50" i="4" l="1"/>
  <c r="LV120" i="29"/>
  <c r="AE50" i="4"/>
  <c r="IR50" i="4" l="1"/>
  <c r="LV10" i="29"/>
  <c r="LV130" i="29" s="1"/>
  <c r="LV131" i="29" s="1"/>
  <c r="MC120" i="29"/>
  <c r="MC10" i="29" s="1"/>
  <c r="LO10" i="29"/>
  <c r="LV5" i="29" l="1"/>
  <c r="LX30" i="1"/>
  <c r="LX23" i="1" s="1"/>
  <c r="IS50" i="4"/>
  <c r="LV22" i="29"/>
  <c r="LV27" i="29" s="1"/>
  <c r="LV73" i="29" s="1"/>
  <c r="LO5" i="29"/>
  <c r="LO22" i="29"/>
  <c r="LO27" i="29" s="1"/>
  <c r="LO73" i="29" s="1"/>
  <c r="LO130" i="29"/>
  <c r="LO131" i="29" s="1"/>
  <c r="LQ30" i="1"/>
  <c r="LQ23" i="1" s="1"/>
  <c r="LQ24" i="1" s="1"/>
  <c r="ME30" i="1"/>
  <c r="ME23" i="1" s="1"/>
  <c r="MC5" i="29"/>
  <c r="MC130" i="29"/>
  <c r="MC131" i="29" s="1"/>
  <c r="MC22" i="29"/>
  <c r="MC27" i="29" s="1"/>
  <c r="HU28" i="4"/>
  <c r="LV96" i="29" l="1"/>
  <c r="LX35" i="1"/>
  <c r="LX43" i="1" s="1"/>
  <c r="LX24" i="1"/>
  <c r="LX13" i="1" s="1"/>
  <c r="IT50" i="4"/>
  <c r="LQ25" i="1"/>
  <c r="LQ35" i="1"/>
  <c r="LQ36" i="1" s="1"/>
  <c r="LO96" i="29"/>
  <c r="LX25" i="1"/>
  <c r="MC73" i="29"/>
  <c r="ME25" i="1"/>
  <c r="MC96" i="29"/>
  <c r="ME35" i="1"/>
  <c r="ME24" i="1"/>
  <c r="ME13" i="1" s="1"/>
  <c r="LQ13" i="1"/>
  <c r="HU108" i="4"/>
  <c r="HU59" i="4"/>
  <c r="HY22" i="4"/>
  <c r="LX14" i="1" l="1"/>
  <c r="LQ43" i="1"/>
  <c r="LX44" i="1" s="1"/>
  <c r="LX36" i="1"/>
  <c r="ME14" i="1"/>
  <c r="AF50" i="4"/>
  <c r="ME36" i="1"/>
  <c r="ME43" i="1"/>
  <c r="LQ14" i="1"/>
  <c r="LX46" i="1"/>
  <c r="LX49" i="1" s="1"/>
  <c r="IB22" i="4"/>
  <c r="AC22" i="4"/>
  <c r="LQ44" i="1" l="1"/>
  <c r="LQ46" i="1"/>
  <c r="ME46" i="1"/>
  <c r="ME44" i="1"/>
  <c r="GO9" i="5"/>
  <c r="LX65" i="1"/>
  <c r="LX50" i="1"/>
  <c r="IC22" i="4"/>
  <c r="LQ49" i="1" l="1"/>
  <c r="LX51" i="1" s="1"/>
  <c r="ME49" i="1"/>
  <c r="GV9" i="5" s="1"/>
  <c r="LQ65" i="1"/>
  <c r="LQ50" i="1"/>
  <c r="GH9" i="5"/>
  <c r="LQ51" i="1"/>
  <c r="ID22" i="4"/>
  <c r="ME65" i="1" l="1"/>
  <c r="ME50" i="1"/>
  <c r="ME51" i="1"/>
  <c r="IE22" i="4"/>
  <c r="IF22" i="4" l="1"/>
  <c r="II22" i="4" l="1"/>
  <c r="AD22" i="4"/>
  <c r="IJ22" i="4" l="1"/>
  <c r="IK22" i="4" l="1"/>
  <c r="IL22" i="4" l="1"/>
  <c r="IM22" i="4" l="1"/>
  <c r="IP22" i="4" s="1"/>
  <c r="IQ22" i="4" l="1"/>
  <c r="AE22" i="4"/>
  <c r="IR22" i="4" l="1"/>
  <c r="IS22" i="4" l="1"/>
  <c r="IT22" i="4" l="1"/>
  <c r="LI115" i="29"/>
  <c r="LI114" i="29" s="1"/>
  <c r="LI119" i="29"/>
  <c r="LI120" i="29" s="1"/>
  <c r="LP120" i="29" s="1"/>
  <c r="AF22" i="4" l="1"/>
  <c r="LW120" i="29"/>
  <c r="LP10" i="29"/>
  <c r="LW10" i="29" l="1"/>
  <c r="LW5" i="29" s="1"/>
  <c r="MD120" i="29"/>
  <c r="MD10" i="29" s="1"/>
  <c r="LR30" i="1"/>
  <c r="LR23" i="1" s="1"/>
  <c r="LP22" i="29"/>
  <c r="LP27" i="29" s="1"/>
  <c r="LP130" i="29"/>
  <c r="LP131" i="29" s="1"/>
  <c r="LP5" i="29"/>
  <c r="LW130" i="29"/>
  <c r="LW131" i="29" s="1"/>
  <c r="LY30" i="1"/>
  <c r="LY23" i="1" s="1"/>
  <c r="HX23" i="4"/>
  <c r="HV28" i="4"/>
  <c r="LW22" i="29" l="1"/>
  <c r="LW27" i="29" s="1"/>
  <c r="LW73" i="29" s="1"/>
  <c r="MF30" i="1"/>
  <c r="MF23" i="1" s="1"/>
  <c r="MD130" i="29"/>
  <c r="MD131" i="29" s="1"/>
  <c r="MD22" i="29"/>
  <c r="MD27" i="29" s="1"/>
  <c r="MD73" i="29" s="1"/>
  <c r="MD5" i="29"/>
  <c r="LP73" i="29"/>
  <c r="LY24" i="1"/>
  <c r="LY13" i="1" s="1"/>
  <c r="LY35" i="1"/>
  <c r="LW96" i="29"/>
  <c r="LY25" i="1"/>
  <c r="LR25" i="1"/>
  <c r="LP96" i="29"/>
  <c r="LR35" i="1"/>
  <c r="LR24" i="1"/>
  <c r="HY23" i="4"/>
  <c r="HV59" i="4"/>
  <c r="HV108" i="4"/>
  <c r="MF25" i="1" l="1"/>
  <c r="MD96" i="29"/>
  <c r="MF24" i="1"/>
  <c r="MF13" i="1" s="1"/>
  <c r="MF35" i="1"/>
  <c r="LL30" i="1"/>
  <c r="LJ5" i="29"/>
  <c r="LL10" i="29"/>
  <c r="LR13" i="1"/>
  <c r="LR14" i="1" s="1"/>
  <c r="LY43" i="1"/>
  <c r="LY36" i="1"/>
  <c r="LR43" i="1"/>
  <c r="LR36" i="1"/>
  <c r="IB23" i="4"/>
  <c r="AC23" i="4"/>
  <c r="MF14" i="1" l="1"/>
  <c r="MF36" i="1"/>
  <c r="MF43" i="1"/>
  <c r="LY14" i="1"/>
  <c r="LL23" i="1"/>
  <c r="LL24" i="1" s="1"/>
  <c r="LJ130" i="29"/>
  <c r="LJ131" i="29" s="1"/>
  <c r="LJ22" i="29"/>
  <c r="LJ27" i="29" s="1"/>
  <c r="LK73" i="29" s="1"/>
  <c r="LL130" i="29"/>
  <c r="LN30" i="1"/>
  <c r="LL22" i="29"/>
  <c r="LL5" i="29"/>
  <c r="AX5" i="29" s="1"/>
  <c r="LL35" i="1"/>
  <c r="HU71" i="4"/>
  <c r="HW83" i="4"/>
  <c r="HX83" i="4"/>
  <c r="HX71" i="4"/>
  <c r="IB83" i="4"/>
  <c r="IC83" i="4"/>
  <c r="IC71" i="4"/>
  <c r="LY44" i="1"/>
  <c r="LY46" i="1"/>
  <c r="LR44" i="1"/>
  <c r="LR46" i="1"/>
  <c r="LR49" i="1" s="1"/>
  <c r="IC23" i="4"/>
  <c r="LJ96" i="29" l="1"/>
  <c r="LL25" i="1"/>
  <c r="LN23" i="1"/>
  <c r="AX30" i="1"/>
  <c r="AX10" i="29" s="1"/>
  <c r="HW71" i="4"/>
  <c r="HW74" i="4" s="1"/>
  <c r="GC117" i="5" s="1"/>
  <c r="LJ73" i="29"/>
  <c r="LY49" i="1"/>
  <c r="GP9" i="5" s="1"/>
  <c r="MF46" i="1"/>
  <c r="MF44" i="1"/>
  <c r="LL43" i="1"/>
  <c r="LL36" i="1"/>
  <c r="IB84" i="4"/>
  <c r="IB33" i="4"/>
  <c r="HX72" i="4"/>
  <c r="HX74" i="4"/>
  <c r="HX84" i="4"/>
  <c r="AX22" i="29"/>
  <c r="LL27" i="29"/>
  <c r="AX27" i="29" s="1"/>
  <c r="IC33" i="4"/>
  <c r="IC84" i="4"/>
  <c r="HW84" i="4"/>
  <c r="LL13" i="1"/>
  <c r="HU72" i="4"/>
  <c r="HU74" i="4"/>
  <c r="AX130" i="29"/>
  <c r="LL131" i="29"/>
  <c r="AX131" i="29" s="1"/>
  <c r="IC72" i="4"/>
  <c r="IC74" i="4"/>
  <c r="GI9" i="5"/>
  <c r="LR65" i="1"/>
  <c r="LR50" i="1"/>
  <c r="LR51" i="1"/>
  <c r="ID23" i="4"/>
  <c r="HY71" i="4" l="1"/>
  <c r="HY83" i="4"/>
  <c r="LN35" i="1"/>
  <c r="HW72" i="4"/>
  <c r="LN24" i="1"/>
  <c r="LN13" i="1" s="1"/>
  <c r="LN25" i="1"/>
  <c r="AX23" i="1"/>
  <c r="LL96" i="29"/>
  <c r="AX96" i="29" s="1"/>
  <c r="LY51" i="1"/>
  <c r="LY50" i="1"/>
  <c r="LY65" i="1"/>
  <c r="MF49" i="1"/>
  <c r="LL47" i="1"/>
  <c r="GD29" i="5"/>
  <c r="HX106" i="4"/>
  <c r="HY33" i="4"/>
  <c r="GH29" i="5" s="1"/>
  <c r="HX32" i="4"/>
  <c r="LL14" i="1"/>
  <c r="HW86" i="4"/>
  <c r="HW75" i="4"/>
  <c r="HY84" i="4"/>
  <c r="AC84" i="4" s="1"/>
  <c r="AC83" i="4"/>
  <c r="HY74" i="4"/>
  <c r="AC71" i="4"/>
  <c r="HY72" i="4"/>
  <c r="AC72" i="4" s="1"/>
  <c r="HW32" i="4"/>
  <c r="HW106" i="4"/>
  <c r="GC110" i="5" s="1"/>
  <c r="GA117" i="5"/>
  <c r="HU86" i="4"/>
  <c r="HU75" i="4"/>
  <c r="HU110" i="4"/>
  <c r="HX86" i="4"/>
  <c r="GD117" i="5"/>
  <c r="HX75" i="4"/>
  <c r="GI117" i="5"/>
  <c r="IC86" i="4"/>
  <c r="IC75" i="4"/>
  <c r="IC106" i="4"/>
  <c r="GI29" i="5"/>
  <c r="IC32" i="4"/>
  <c r="LL44" i="1"/>
  <c r="HW89" i="4"/>
  <c r="HW90" i="4" s="1"/>
  <c r="HX89" i="4"/>
  <c r="HX90" i="4" s="1"/>
  <c r="IB89" i="4"/>
  <c r="IB90" i="4" s="1"/>
  <c r="IC89" i="4"/>
  <c r="IC90" i="4" s="1"/>
  <c r="IB106" i="4"/>
  <c r="IB32" i="4"/>
  <c r="IE23" i="4"/>
  <c r="AX24" i="1" l="1"/>
  <c r="AX35" i="1"/>
  <c r="LN36" i="1"/>
  <c r="LN43" i="1"/>
  <c r="AX43" i="1" s="1"/>
  <c r="AX25" i="1"/>
  <c r="GW9" i="5"/>
  <c r="MF65" i="1"/>
  <c r="MF50" i="1"/>
  <c r="MF51" i="1"/>
  <c r="GI26" i="5"/>
  <c r="GC26" i="5"/>
  <c r="GC12" i="5" s="1"/>
  <c r="GE29" i="5"/>
  <c r="HY89" i="4"/>
  <c r="LN44" i="1"/>
  <c r="HX41" i="4"/>
  <c r="AX13" i="1"/>
  <c r="LN14" i="1"/>
  <c r="AX14" i="1" s="1"/>
  <c r="HX125" i="4"/>
  <c r="HX126" i="4"/>
  <c r="HX87" i="4"/>
  <c r="HX122" i="4"/>
  <c r="HY106" i="4"/>
  <c r="HY32" i="4"/>
  <c r="AC33" i="4"/>
  <c r="LL49" i="1"/>
  <c r="HW95" i="4"/>
  <c r="GC94" i="5" s="1"/>
  <c r="HX95" i="4"/>
  <c r="LN46" i="1"/>
  <c r="IB95" i="4"/>
  <c r="IC95" i="4"/>
  <c r="GI92" i="5" s="1"/>
  <c r="GI11" i="5" s="1"/>
  <c r="AC74" i="4"/>
  <c r="HY86" i="4"/>
  <c r="HY75" i="4"/>
  <c r="AC75" i="4" s="1"/>
  <c r="GE117" i="5"/>
  <c r="W117" i="5" s="1"/>
  <c r="HW126" i="4"/>
  <c r="HW87" i="4"/>
  <c r="HW122" i="4"/>
  <c r="HW125" i="4"/>
  <c r="IC125" i="4"/>
  <c r="IC126" i="4"/>
  <c r="IC87" i="4"/>
  <c r="IC122" i="4"/>
  <c r="HU126" i="4"/>
  <c r="HU87" i="4"/>
  <c r="HU125" i="4"/>
  <c r="HU122" i="4"/>
  <c r="GA177" i="5"/>
  <c r="GA80" i="5" s="1"/>
  <c r="HU123" i="4"/>
  <c r="GD26" i="5"/>
  <c r="GH26" i="5"/>
  <c r="IB41" i="4"/>
  <c r="IC41" i="4"/>
  <c r="HW41" i="4"/>
  <c r="IF23" i="4"/>
  <c r="LN56" i="1" l="1"/>
  <c r="GH92" i="5"/>
  <c r="AX44" i="1"/>
  <c r="HY95" i="4"/>
  <c r="AX46" i="1"/>
  <c r="LN47" i="1"/>
  <c r="HY90" i="4"/>
  <c r="AC90" i="4" s="1"/>
  <c r="AC89" i="4"/>
  <c r="GD92" i="5"/>
  <c r="AC32" i="4"/>
  <c r="HY41" i="4"/>
  <c r="BT14" i="1"/>
  <c r="W29" i="5"/>
  <c r="GE26" i="5"/>
  <c r="HW48" i="4"/>
  <c r="GH12" i="5"/>
  <c r="GE110" i="5"/>
  <c r="W110" i="5" s="1"/>
  <c r="AC106" i="4"/>
  <c r="IC48" i="4"/>
  <c r="HX48" i="4"/>
  <c r="GD12" i="5"/>
  <c r="HY87" i="4"/>
  <c r="AC87" i="4" s="1"/>
  <c r="HY126" i="4"/>
  <c r="AC126" i="4" s="1"/>
  <c r="AC86" i="4"/>
  <c r="HY125" i="4"/>
  <c r="AC125" i="4" s="1"/>
  <c r="HY122" i="4"/>
  <c r="AC122" i="4" s="1"/>
  <c r="GI12" i="5"/>
  <c r="IB48" i="4"/>
  <c r="LL65" i="1"/>
  <c r="LL51" i="1"/>
  <c r="LL50" i="1"/>
  <c r="HW97" i="4"/>
  <c r="LN49" i="1"/>
  <c r="HX97" i="4"/>
  <c r="LL62" i="1"/>
  <c r="IB97" i="4"/>
  <c r="IC97" i="4"/>
  <c r="IC98" i="4" s="1"/>
  <c r="AD23" i="4"/>
  <c r="II23" i="4"/>
  <c r="AX56" i="1" l="1"/>
  <c r="IB98" i="4"/>
  <c r="GI33" i="5"/>
  <c r="LL71" i="1"/>
  <c r="LL10" i="1"/>
  <c r="HX98" i="4"/>
  <c r="LL67" i="1"/>
  <c r="AC41" i="4"/>
  <c r="HY48" i="4"/>
  <c r="GC33" i="5"/>
  <c r="GD93" i="5"/>
  <c r="LN65" i="1"/>
  <c r="LN50" i="1"/>
  <c r="AX49" i="1"/>
  <c r="LN51" i="1"/>
  <c r="HY97" i="4"/>
  <c r="GE9" i="5"/>
  <c r="AX47" i="1"/>
  <c r="HW98" i="4"/>
  <c r="GE12" i="5"/>
  <c r="GH11" i="5"/>
  <c r="GH93" i="5"/>
  <c r="GI93" i="5"/>
  <c r="GD33" i="5"/>
  <c r="AC95" i="4"/>
  <c r="IJ23" i="4"/>
  <c r="GH33" i="5" l="1"/>
  <c r="W9" i="5"/>
  <c r="LL11" i="1"/>
  <c r="GD163" i="5"/>
  <c r="W12" i="5"/>
  <c r="AX65" i="1"/>
  <c r="LL68" i="1"/>
  <c r="GI163" i="5"/>
  <c r="GC163" i="5"/>
  <c r="GC63" i="5"/>
  <c r="HY98" i="4"/>
  <c r="AC98" i="4" s="1"/>
  <c r="AC97" i="4"/>
  <c r="GE11" i="5"/>
  <c r="AX51" i="1"/>
  <c r="HW56" i="4"/>
  <c r="AX50" i="1"/>
  <c r="AC48" i="4"/>
  <c r="IK23" i="4"/>
  <c r="GC65" i="5" l="1"/>
  <c r="HW120" i="4"/>
  <c r="HW118" i="4"/>
  <c r="HW58" i="4"/>
  <c r="HW109" i="4"/>
  <c r="GC165" i="5"/>
  <c r="GD165" i="5"/>
  <c r="GE165" i="5" s="1"/>
  <c r="W165" i="5" s="1"/>
  <c r="GD167" i="5"/>
  <c r="GC167" i="5"/>
  <c r="GE33" i="5"/>
  <c r="W11" i="5"/>
  <c r="GE92" i="5"/>
  <c r="GH163" i="5"/>
  <c r="IL23" i="4"/>
  <c r="W33" i="5" l="1"/>
  <c r="GE163" i="5"/>
  <c r="GC173" i="5"/>
  <c r="GC168" i="5"/>
  <c r="GC169" i="5"/>
  <c r="GD168" i="5"/>
  <c r="GD173" i="5"/>
  <c r="GH167" i="5"/>
  <c r="GH165" i="5"/>
  <c r="GI167" i="5"/>
  <c r="GI165" i="5"/>
  <c r="GE93" i="5"/>
  <c r="W92" i="5"/>
  <c r="GD62" i="5"/>
  <c r="IM23" i="4"/>
  <c r="IP23" i="4" s="1"/>
  <c r="IQ23" i="4" l="1"/>
  <c r="W163" i="5"/>
  <c r="GE167" i="5"/>
  <c r="GD76" i="5"/>
  <c r="GI168" i="5"/>
  <c r="GI173" i="5"/>
  <c r="HW17" i="4"/>
  <c r="HW117" i="4"/>
  <c r="HW119" i="4"/>
  <c r="HW123" i="4"/>
  <c r="GC66" i="5"/>
  <c r="HW110" i="4"/>
  <c r="GC76" i="5"/>
  <c r="GC175" i="5"/>
  <c r="GH168" i="5"/>
  <c r="GH173" i="5"/>
  <c r="W93" i="5"/>
  <c r="GE94" i="5"/>
  <c r="W94" i="5" s="1"/>
  <c r="AE23" i="4"/>
  <c r="IR23" i="4" l="1"/>
  <c r="GC67" i="5"/>
  <c r="GH76" i="5"/>
  <c r="GI76" i="5"/>
  <c r="GE168" i="5"/>
  <c r="W168" i="5" s="1"/>
  <c r="W167" i="5"/>
  <c r="GE173" i="5"/>
  <c r="GC78" i="5"/>
  <c r="GC177" i="5"/>
  <c r="GC80" i="5" s="1"/>
  <c r="GC178" i="5"/>
  <c r="GC81" i="5" s="1"/>
  <c r="HW112" i="4"/>
  <c r="HW113" i="4" s="1"/>
  <c r="IS23" i="4" l="1"/>
  <c r="HW24" i="4"/>
  <c r="GE76" i="5"/>
  <c r="W76" i="5" s="1"/>
  <c r="W173" i="5"/>
  <c r="IT23" i="4" l="1"/>
  <c r="HW28" i="4"/>
  <c r="AF23" i="4" l="1"/>
  <c r="HW108" i="4"/>
  <c r="HW59" i="4"/>
  <c r="LJ118" i="29" l="1"/>
  <c r="LL118" i="29" s="1"/>
  <c r="AX118" i="29" s="1"/>
  <c r="LJ114" i="29"/>
  <c r="LJ119" i="29" l="1"/>
  <c r="LJ120" i="29" s="1"/>
  <c r="LQ120" i="29" s="1"/>
  <c r="LL115" i="29"/>
  <c r="LX120" i="29" l="1"/>
  <c r="LQ10" i="29"/>
  <c r="LL119" i="29"/>
  <c r="LL114" i="29"/>
  <c r="AX114" i="29" s="1"/>
  <c r="AX115" i="29"/>
  <c r="LX10" i="29" l="1"/>
  <c r="LX130" i="29" s="1"/>
  <c r="LX131" i="29" s="1"/>
  <c r="ME120" i="29"/>
  <c r="ME10" i="29" s="1"/>
  <c r="AX119" i="29"/>
  <c r="LL120" i="29"/>
  <c r="AX120" i="29" s="1"/>
  <c r="LS30" i="1"/>
  <c r="LS23" i="1" s="1"/>
  <c r="LQ22" i="29"/>
  <c r="LQ27" i="29" s="1"/>
  <c r="LQ130" i="29"/>
  <c r="LQ131" i="29" s="1"/>
  <c r="LQ5" i="29"/>
  <c r="LS10" i="29"/>
  <c r="LZ30" i="1" l="1"/>
  <c r="LZ23" i="1" s="1"/>
  <c r="LZ25" i="1" s="1"/>
  <c r="LX22" i="29"/>
  <c r="LX27" i="29" s="1"/>
  <c r="LY73" i="29" s="1"/>
  <c r="LX5" i="29"/>
  <c r="LZ10" i="29"/>
  <c r="LZ5" i="29" s="1"/>
  <c r="AZ5" i="29" s="1"/>
  <c r="IP83" i="4"/>
  <c r="IQ83" i="4"/>
  <c r="IQ71" i="4"/>
  <c r="MG30" i="1"/>
  <c r="MG23" i="1" s="1"/>
  <c r="ME22" i="29"/>
  <c r="ME27" i="29" s="1"/>
  <c r="ME130" i="29"/>
  <c r="ME131" i="29" s="1"/>
  <c r="ME5" i="29"/>
  <c r="MG10" i="29"/>
  <c r="LR73" i="29"/>
  <c r="LQ73" i="29"/>
  <c r="LS24" i="1"/>
  <c r="LS35" i="1"/>
  <c r="LQ96" i="29"/>
  <c r="IE71" i="4"/>
  <c r="IE83" i="4"/>
  <c r="ID71" i="4"/>
  <c r="IJ71" i="4"/>
  <c r="II83" i="4"/>
  <c r="IJ83" i="4"/>
  <c r="IB71" i="4"/>
  <c r="ID83" i="4"/>
  <c r="LS25" i="1"/>
  <c r="LZ35" i="1"/>
  <c r="LX96" i="29"/>
  <c r="LZ24" i="1"/>
  <c r="LZ13" i="1" s="1"/>
  <c r="IL83" i="4"/>
  <c r="IK71" i="4"/>
  <c r="IL71" i="4"/>
  <c r="IK83" i="4"/>
  <c r="LS130" i="29"/>
  <c r="LS120" i="29"/>
  <c r="AY120" i="29" s="1"/>
  <c r="LS22" i="29"/>
  <c r="LS5" i="29"/>
  <c r="AY5" i="29" s="1"/>
  <c r="LU30" i="1"/>
  <c r="II71" i="4" l="1"/>
  <c r="LZ120" i="29"/>
  <c r="AZ120" i="29" s="1"/>
  <c r="LS13" i="1"/>
  <c r="LX73" i="29"/>
  <c r="MB30" i="1"/>
  <c r="MB23" i="1" s="1"/>
  <c r="LZ130" i="29"/>
  <c r="LZ131" i="29" s="1"/>
  <c r="AZ131" i="29" s="1"/>
  <c r="LZ22" i="29"/>
  <c r="LZ27" i="29" s="1"/>
  <c r="LU23" i="1"/>
  <c r="LU25" i="1" s="1"/>
  <c r="AY30" i="1"/>
  <c r="AY10" i="29" s="1"/>
  <c r="MG120" i="29"/>
  <c r="BA120" i="29" s="1"/>
  <c r="MG22" i="29"/>
  <c r="MI30" i="1"/>
  <c r="MG130" i="29"/>
  <c r="MG5" i="29"/>
  <c r="ME73" i="29"/>
  <c r="MF73" i="29"/>
  <c r="MG25" i="1"/>
  <c r="ME96" i="29"/>
  <c r="MG35" i="1"/>
  <c r="MG24" i="1"/>
  <c r="MG13" i="1" s="1"/>
  <c r="IS71" i="4"/>
  <c r="IR71" i="4"/>
  <c r="IS83" i="4"/>
  <c r="IR83" i="4"/>
  <c r="IP71" i="4"/>
  <c r="IQ72" i="4"/>
  <c r="IQ74" i="4"/>
  <c r="IQ84" i="4"/>
  <c r="IQ33" i="4"/>
  <c r="IP84" i="4"/>
  <c r="IP33" i="4"/>
  <c r="IE33" i="4"/>
  <c r="IE84" i="4"/>
  <c r="IE74" i="4"/>
  <c r="IE72" i="4"/>
  <c r="LZ43" i="1"/>
  <c r="LZ36" i="1"/>
  <c r="IL72" i="4"/>
  <c r="IL74" i="4"/>
  <c r="ID84" i="4"/>
  <c r="ID33" i="4"/>
  <c r="LS27" i="29"/>
  <c r="LS28" i="29" s="1"/>
  <c r="LR28" i="29" s="1"/>
  <c r="AY22" i="29"/>
  <c r="IK72" i="4"/>
  <c r="IK74" i="4"/>
  <c r="IB74" i="4"/>
  <c r="IB72" i="4"/>
  <c r="LS43" i="1"/>
  <c r="LS36" i="1"/>
  <c r="IJ33" i="4"/>
  <c r="IJ84" i="4"/>
  <c r="IK84" i="4"/>
  <c r="IK33" i="4"/>
  <c r="LS131" i="29"/>
  <c r="AY131" i="29" s="1"/>
  <c r="AY130" i="29"/>
  <c r="II74" i="4"/>
  <c r="II72" i="4"/>
  <c r="II84" i="4"/>
  <c r="II33" i="4"/>
  <c r="IL84" i="4"/>
  <c r="IL33" i="4"/>
  <c r="IJ74" i="4"/>
  <c r="IJ72" i="4"/>
  <c r="LZ14" i="1"/>
  <c r="ID72" i="4"/>
  <c r="ID74" i="4"/>
  <c r="LS14" i="1" l="1"/>
  <c r="AZ130" i="29"/>
  <c r="IM71" i="4"/>
  <c r="IM74" i="4" s="1"/>
  <c r="AZ23" i="1"/>
  <c r="IM83" i="4"/>
  <c r="IM84" i="4" s="1"/>
  <c r="AE84" i="4" s="1"/>
  <c r="MB35" i="1"/>
  <c r="AZ35" i="1" s="1"/>
  <c r="LZ96" i="29"/>
  <c r="AZ96" i="29" s="1"/>
  <c r="MB24" i="1"/>
  <c r="AZ24" i="1" s="1"/>
  <c r="AZ30" i="1"/>
  <c r="AZ10" i="29" s="1"/>
  <c r="MB25" i="1"/>
  <c r="AZ22" i="29"/>
  <c r="AY23" i="1"/>
  <c r="LU35" i="1"/>
  <c r="BA5" i="29"/>
  <c r="MG131" i="29"/>
  <c r="BA131" i="29" s="1"/>
  <c r="BA130" i="29"/>
  <c r="MG14" i="1"/>
  <c r="MI23" i="1"/>
  <c r="MI35" i="1" s="1"/>
  <c r="BA30" i="1"/>
  <c r="BA10" i="29" s="1"/>
  <c r="MG27" i="29"/>
  <c r="BA27" i="29" s="1"/>
  <c r="BA22" i="29"/>
  <c r="IF71" i="4"/>
  <c r="IF74" i="4" s="1"/>
  <c r="LU24" i="1"/>
  <c r="IF83" i="4"/>
  <c r="IF84" i="4" s="1"/>
  <c r="AD84" i="4" s="1"/>
  <c r="LS96" i="29"/>
  <c r="AY96" i="29" s="1"/>
  <c r="AY27" i="29"/>
  <c r="LS73" i="29"/>
  <c r="AZ27" i="29"/>
  <c r="IP89" i="4"/>
  <c r="IP90" i="4" s="1"/>
  <c r="IQ89" i="4"/>
  <c r="IQ90" i="4" s="1"/>
  <c r="IS72" i="4"/>
  <c r="IS74" i="4"/>
  <c r="IP106" i="4"/>
  <c r="IP32" i="4"/>
  <c r="MG36" i="1"/>
  <c r="MG43" i="1"/>
  <c r="IQ106" i="4"/>
  <c r="IQ32" i="4"/>
  <c r="GW29" i="5"/>
  <c r="IQ86" i="4"/>
  <c r="GW117" i="5"/>
  <c r="IQ75" i="4"/>
  <c r="IP72" i="4"/>
  <c r="IP74" i="4"/>
  <c r="IR33" i="4"/>
  <c r="IR84" i="4"/>
  <c r="IS33" i="4"/>
  <c r="IS84" i="4"/>
  <c r="IR72" i="4"/>
  <c r="IR74" i="4"/>
  <c r="IL32" i="4"/>
  <c r="IL106" i="4"/>
  <c r="IM33" i="4"/>
  <c r="GV29" i="5" s="1"/>
  <c r="GR29" i="5"/>
  <c r="IK75" i="4"/>
  <c r="IK86" i="4"/>
  <c r="GQ117" i="5"/>
  <c r="AY25" i="1"/>
  <c r="II106" i="4"/>
  <c r="II32" i="4"/>
  <c r="LS46" i="1"/>
  <c r="LS49" i="1" s="1"/>
  <c r="IJ89" i="4"/>
  <c r="IJ90" i="4" s="1"/>
  <c r="II89" i="4"/>
  <c r="II90" i="4" s="1"/>
  <c r="IE89" i="4"/>
  <c r="IE90" i="4" s="1"/>
  <c r="ID89" i="4"/>
  <c r="ID90" i="4" s="1"/>
  <c r="LS44" i="1"/>
  <c r="LZ46" i="1"/>
  <c r="LZ44" i="1"/>
  <c r="IL89" i="4"/>
  <c r="IL90" i="4" s="1"/>
  <c r="IK89" i="4"/>
  <c r="IK90" i="4" s="1"/>
  <c r="IK32" i="4"/>
  <c r="IK106" i="4"/>
  <c r="GQ29" i="5"/>
  <c r="ID106" i="4"/>
  <c r="ID32" i="4"/>
  <c r="GJ29" i="5"/>
  <c r="IE86" i="4"/>
  <c r="GK117" i="5"/>
  <c r="IE75" i="4"/>
  <c r="GR117" i="5"/>
  <c r="IL86" i="4"/>
  <c r="IL75" i="4"/>
  <c r="GP29" i="5"/>
  <c r="IJ106" i="4"/>
  <c r="IJ32" i="4"/>
  <c r="ID75" i="4"/>
  <c r="ID86" i="4"/>
  <c r="GJ117" i="5"/>
  <c r="IJ86" i="4"/>
  <c r="GP117" i="5"/>
  <c r="IJ75" i="4"/>
  <c r="II75" i="4"/>
  <c r="II86" i="4"/>
  <c r="GO117" i="5"/>
  <c r="GH117" i="5"/>
  <c r="IB86" i="4"/>
  <c r="IB75" i="4"/>
  <c r="IE106" i="4"/>
  <c r="IE32" i="4"/>
  <c r="IF33" i="4"/>
  <c r="GO29" i="5" s="1"/>
  <c r="GK29" i="5"/>
  <c r="LU43" i="1" l="1"/>
  <c r="AY24" i="1"/>
  <c r="AY35" i="1"/>
  <c r="AD71" i="4"/>
  <c r="IM72" i="4"/>
  <c r="AE72" i="4" s="1"/>
  <c r="MB36" i="1"/>
  <c r="AE71" i="4"/>
  <c r="MB43" i="1"/>
  <c r="LU36" i="1"/>
  <c r="MG96" i="29"/>
  <c r="BA96" i="29" s="1"/>
  <c r="AD83" i="4"/>
  <c r="AE83" i="4"/>
  <c r="IT83" i="4"/>
  <c r="IT84" i="4" s="1"/>
  <c r="AF84" i="4" s="1"/>
  <c r="MB13" i="1"/>
  <c r="AZ13" i="1" s="1"/>
  <c r="MI24" i="1"/>
  <c r="MI13" i="1" s="1"/>
  <c r="IF72" i="4"/>
  <c r="AD72" i="4" s="1"/>
  <c r="AZ25" i="1"/>
  <c r="LU13" i="1"/>
  <c r="GW26" i="5"/>
  <c r="MI25" i="1"/>
  <c r="BA23" i="1"/>
  <c r="IQ41" i="4"/>
  <c r="IP41" i="4"/>
  <c r="IT71" i="4"/>
  <c r="AF71" i="4" s="1"/>
  <c r="MI43" i="1"/>
  <c r="MI36" i="1"/>
  <c r="MG44" i="1"/>
  <c r="MG46" i="1"/>
  <c r="MI46" i="1" s="1"/>
  <c r="IS89" i="4"/>
  <c r="IS90" i="4" s="1"/>
  <c r="IR89" i="4"/>
  <c r="IR90" i="4" s="1"/>
  <c r="IR106" i="4"/>
  <c r="GX29" i="5"/>
  <c r="IR32" i="4"/>
  <c r="GV117" i="5"/>
  <c r="IP86" i="4"/>
  <c r="IP75" i="4"/>
  <c r="GX117" i="5"/>
  <c r="IR75" i="4"/>
  <c r="IR86" i="4"/>
  <c r="GY117" i="5"/>
  <c r="IS75" i="4"/>
  <c r="IS86" i="4"/>
  <c r="LZ49" i="1"/>
  <c r="IP95" i="4"/>
  <c r="GV92" i="5" s="1"/>
  <c r="IQ95" i="4"/>
  <c r="GW92" i="5" s="1"/>
  <c r="GW11" i="5" s="1"/>
  <c r="IS32" i="4"/>
  <c r="IS106" i="4"/>
  <c r="GY29" i="5"/>
  <c r="IT33" i="4"/>
  <c r="IQ122" i="4"/>
  <c r="IQ125" i="4"/>
  <c r="IQ126" i="4"/>
  <c r="IQ87" i="4"/>
  <c r="GV26" i="5"/>
  <c r="GS29" i="5"/>
  <c r="GO26" i="5"/>
  <c r="ID41" i="4"/>
  <c r="IL125" i="4"/>
  <c r="IL87" i="4"/>
  <c r="IL126" i="4"/>
  <c r="IL122" i="4"/>
  <c r="IE126" i="4"/>
  <c r="IE125" i="4"/>
  <c r="IE87" i="4"/>
  <c r="IE122" i="4"/>
  <c r="GR26" i="5"/>
  <c r="II125" i="4"/>
  <c r="II126" i="4"/>
  <c r="II87" i="4"/>
  <c r="II122" i="4"/>
  <c r="IJ41" i="4"/>
  <c r="IM106" i="4"/>
  <c r="AE33" i="4"/>
  <c r="IM32" i="4"/>
  <c r="LS65" i="1"/>
  <c r="GJ9" i="5"/>
  <c r="LS50" i="1"/>
  <c r="II97" i="4"/>
  <c r="ID97" i="4"/>
  <c r="LU49" i="1"/>
  <c r="IE97" i="4"/>
  <c r="IJ97" i="4"/>
  <c r="LS51" i="1"/>
  <c r="IB126" i="4"/>
  <c r="IB122" i="4"/>
  <c r="IB87" i="4"/>
  <c r="IB125" i="4"/>
  <c r="AD74" i="4"/>
  <c r="IF86" i="4"/>
  <c r="IF75" i="4"/>
  <c r="AD75" i="4" s="1"/>
  <c r="GL117" i="5"/>
  <c r="X117" i="5" s="1"/>
  <c r="IK95" i="4"/>
  <c r="MB46" i="1"/>
  <c r="IL95" i="4"/>
  <c r="IJ95" i="4"/>
  <c r="II95" i="4"/>
  <c r="ID95" i="4"/>
  <c r="IE95" i="4"/>
  <c r="LU46" i="1"/>
  <c r="GP26" i="5"/>
  <c r="GQ26" i="5"/>
  <c r="AY43" i="1"/>
  <c r="IF89" i="4"/>
  <c r="LU44" i="1"/>
  <c r="GK26" i="5"/>
  <c r="IL41" i="4"/>
  <c r="IF106" i="4"/>
  <c r="AD33" i="4"/>
  <c r="IF32" i="4"/>
  <c r="IK41" i="4"/>
  <c r="II41" i="4"/>
  <c r="IE41" i="4"/>
  <c r="IJ87" i="4"/>
  <c r="IJ125" i="4"/>
  <c r="IJ126" i="4"/>
  <c r="IJ122" i="4"/>
  <c r="ID122" i="4"/>
  <c r="ID125" i="4"/>
  <c r="ID87" i="4"/>
  <c r="ID126" i="4"/>
  <c r="GL29" i="5"/>
  <c r="GJ26" i="5"/>
  <c r="AE74" i="4"/>
  <c r="IM86" i="4"/>
  <c r="GS117" i="5"/>
  <c r="Y117" i="5" s="1"/>
  <c r="IM75" i="4"/>
  <c r="AE75" i="4" s="1"/>
  <c r="IK87" i="4"/>
  <c r="IK126" i="4"/>
  <c r="IK125" i="4"/>
  <c r="IK122" i="4"/>
  <c r="AZ43" i="1" l="1"/>
  <c r="MB44" i="1"/>
  <c r="AZ44" i="1" s="1"/>
  <c r="IM89" i="4"/>
  <c r="IM90" i="4" s="1"/>
  <c r="AE90" i="4" s="1"/>
  <c r="MI44" i="1"/>
  <c r="MI14" i="1"/>
  <c r="BA14" i="1" s="1"/>
  <c r="MB14" i="1"/>
  <c r="AZ14" i="1" s="1"/>
  <c r="BA24" i="1"/>
  <c r="AF83" i="4"/>
  <c r="LU14" i="1"/>
  <c r="AY14" i="1" s="1"/>
  <c r="AY13" i="1"/>
  <c r="IT74" i="4"/>
  <c r="AF74" i="4" s="1"/>
  <c r="AF33" i="4"/>
  <c r="IR41" i="4"/>
  <c r="IQ48" i="4"/>
  <c r="GY26" i="5"/>
  <c r="GX26" i="5"/>
  <c r="IT72" i="4"/>
  <c r="AF72" i="4" s="1"/>
  <c r="IP48" i="4"/>
  <c r="GV12" i="5"/>
  <c r="IS41" i="4"/>
  <c r="BA25" i="1"/>
  <c r="BA13" i="1"/>
  <c r="IT89" i="4"/>
  <c r="BA43" i="1"/>
  <c r="GW12" i="5"/>
  <c r="BA35" i="1"/>
  <c r="IK97" i="4"/>
  <c r="IK98" i="4" s="1"/>
  <c r="IL97" i="4"/>
  <c r="IL98" i="4" s="1"/>
  <c r="MB49" i="1"/>
  <c r="IM97" i="4" s="1"/>
  <c r="LZ65" i="1"/>
  <c r="LZ51" i="1"/>
  <c r="GQ9" i="5"/>
  <c r="GZ29" i="5"/>
  <c r="IP125" i="4"/>
  <c r="IP87" i="4"/>
  <c r="IP122" i="4"/>
  <c r="IP126" i="4"/>
  <c r="GV11" i="5"/>
  <c r="IQ97" i="4"/>
  <c r="IQ98" i="4" s="1"/>
  <c r="IP97" i="4"/>
  <c r="IP98" i="4" s="1"/>
  <c r="IS125" i="4"/>
  <c r="IS87" i="4"/>
  <c r="IS126" i="4"/>
  <c r="IS122" i="4"/>
  <c r="MG49" i="1"/>
  <c r="MI49" i="1" s="1"/>
  <c r="IS95" i="4"/>
  <c r="GY92" i="5" s="1"/>
  <c r="GY11" i="5" s="1"/>
  <c r="IR95" i="4"/>
  <c r="GX92" i="5" s="1"/>
  <c r="GX11" i="5" s="1"/>
  <c r="IR125" i="4"/>
  <c r="IR126" i="4"/>
  <c r="IR87" i="4"/>
  <c r="IR122" i="4"/>
  <c r="LZ50" i="1"/>
  <c r="IT32" i="4"/>
  <c r="IT106" i="4"/>
  <c r="LU65" i="1"/>
  <c r="LU50" i="1"/>
  <c r="AY49" i="1"/>
  <c r="IF97" i="4"/>
  <c r="LU51" i="1"/>
  <c r="IL48" i="4"/>
  <c r="GO92" i="5"/>
  <c r="GQ12" i="5"/>
  <c r="GP92" i="5"/>
  <c r="IK48" i="4"/>
  <c r="ID98" i="4"/>
  <c r="AE32" i="4"/>
  <c r="IM41" i="4"/>
  <c r="IM126" i="4"/>
  <c r="AE126" i="4" s="1"/>
  <c r="AE86" i="4"/>
  <c r="IM122" i="4"/>
  <c r="AE122" i="4" s="1"/>
  <c r="IM87" i="4"/>
  <c r="AE87" i="4" s="1"/>
  <c r="IM125" i="4"/>
  <c r="AE125" i="4" s="1"/>
  <c r="II98" i="4"/>
  <c r="GL26" i="5"/>
  <c r="X29" i="5"/>
  <c r="GK12" i="5"/>
  <c r="GP12" i="5"/>
  <c r="GR92" i="5"/>
  <c r="ID48" i="4"/>
  <c r="AY44" i="1"/>
  <c r="LU47" i="1"/>
  <c r="AY46" i="1"/>
  <c r="IF95" i="4"/>
  <c r="AZ46" i="1"/>
  <c r="IM95" i="4"/>
  <c r="MB47" i="1"/>
  <c r="GS110" i="5"/>
  <c r="Y110" i="5" s="1"/>
  <c r="AE106" i="4"/>
  <c r="GR12" i="5"/>
  <c r="GJ12" i="5"/>
  <c r="IF41" i="4"/>
  <c r="AD32" i="4"/>
  <c r="IE48" i="4"/>
  <c r="GL110" i="5"/>
  <c r="X110" i="5" s="1"/>
  <c r="AD106" i="4"/>
  <c r="IF90" i="4"/>
  <c r="AD90" i="4" s="1"/>
  <c r="AD89" i="4"/>
  <c r="GK92" i="5"/>
  <c r="GK11" i="5" s="1"/>
  <c r="GQ92" i="5"/>
  <c r="IF122" i="4"/>
  <c r="AD122" i="4" s="1"/>
  <c r="IF126" i="4"/>
  <c r="AD126" i="4" s="1"/>
  <c r="AD86" i="4"/>
  <c r="IF87" i="4"/>
  <c r="AD87" i="4" s="1"/>
  <c r="IF125" i="4"/>
  <c r="AD125" i="4" s="1"/>
  <c r="IJ48" i="4"/>
  <c r="GO12" i="5"/>
  <c r="GJ92" i="5"/>
  <c r="IJ98" i="4"/>
  <c r="GS26" i="5"/>
  <c r="Y29" i="5"/>
  <c r="II48" i="4"/>
  <c r="IE98" i="4"/>
  <c r="GL9" i="5"/>
  <c r="AE89" i="4" l="1"/>
  <c r="IT75" i="4"/>
  <c r="AF75" i="4" s="1"/>
  <c r="IT86" i="4"/>
  <c r="BA44" i="1"/>
  <c r="BU14" i="1"/>
  <c r="GZ117" i="5"/>
  <c r="Z117" i="5" s="1"/>
  <c r="GW33" i="5"/>
  <c r="GY12" i="5"/>
  <c r="GZ110" i="5"/>
  <c r="Z110" i="5" s="1"/>
  <c r="AF106" i="4"/>
  <c r="GZ26" i="5"/>
  <c r="Z29" i="5"/>
  <c r="IR48" i="4"/>
  <c r="IT41" i="4"/>
  <c r="AF32" i="4"/>
  <c r="GV33" i="5"/>
  <c r="GV163" i="5" s="1"/>
  <c r="IT90" i="4"/>
  <c r="AF90" i="4" s="1"/>
  <c r="AF89" i="4"/>
  <c r="GX12" i="5"/>
  <c r="IS48" i="4"/>
  <c r="MB50" i="1"/>
  <c r="AZ49" i="1"/>
  <c r="MB65" i="1"/>
  <c r="AZ65" i="1" s="1"/>
  <c r="GS9" i="5"/>
  <c r="MB51" i="1"/>
  <c r="AZ51" i="1" s="1"/>
  <c r="GY93" i="5"/>
  <c r="GZ11" i="5"/>
  <c r="IT122" i="4"/>
  <c r="AF122" i="4" s="1"/>
  <c r="IT87" i="4"/>
  <c r="AF87" i="4" s="1"/>
  <c r="IT125" i="4"/>
  <c r="AF125" i="4" s="1"/>
  <c r="GX9" i="5"/>
  <c r="MG65" i="1"/>
  <c r="MG51" i="1"/>
  <c r="MG50" i="1"/>
  <c r="IS97" i="4"/>
  <c r="IS98" i="4" s="1"/>
  <c r="IR97" i="4"/>
  <c r="IR98" i="4" s="1"/>
  <c r="GP11" i="5"/>
  <c r="GV93" i="5"/>
  <c r="GQ11" i="5"/>
  <c r="GW93" i="5"/>
  <c r="GR11" i="5"/>
  <c r="GX93" i="5"/>
  <c r="AY51" i="1"/>
  <c r="AD97" i="4"/>
  <c r="IF98" i="4"/>
  <c r="AD98" i="4" s="1"/>
  <c r="GS12" i="5"/>
  <c r="GJ11" i="5"/>
  <c r="GJ33" i="5" s="1"/>
  <c r="GK93" i="5"/>
  <c r="GJ93" i="5"/>
  <c r="AE97" i="4"/>
  <c r="IM98" i="4"/>
  <c r="AE98" i="4" s="1"/>
  <c r="AY47" i="1"/>
  <c r="GK33" i="5"/>
  <c r="AY50" i="1"/>
  <c r="X9" i="5"/>
  <c r="GO11" i="5"/>
  <c r="GQ93" i="5"/>
  <c r="GP93" i="5"/>
  <c r="GR93" i="5"/>
  <c r="GO93" i="5"/>
  <c r="AZ47" i="1"/>
  <c r="AY65" i="1"/>
  <c r="AE95" i="4"/>
  <c r="IM48" i="4"/>
  <c r="AE41" i="4"/>
  <c r="AD95" i="4"/>
  <c r="AD41" i="4"/>
  <c r="IF48" i="4"/>
  <c r="GL12" i="5"/>
  <c r="AF86" i="4" l="1"/>
  <c r="IT126" i="4"/>
  <c r="AF126" i="4" s="1"/>
  <c r="GW163" i="5"/>
  <c r="AZ50" i="1"/>
  <c r="Z11" i="5"/>
  <c r="GZ12" i="5"/>
  <c r="GZ9" i="5"/>
  <c r="BA49" i="1"/>
  <c r="GY33" i="5"/>
  <c r="IT48" i="4"/>
  <c r="AF41" i="4"/>
  <c r="Y9" i="5"/>
  <c r="GV165" i="5"/>
  <c r="GQ33" i="5"/>
  <c r="IT97" i="4"/>
  <c r="MI50" i="1"/>
  <c r="MI65" i="1"/>
  <c r="MI51" i="1"/>
  <c r="GZ92" i="5"/>
  <c r="GP33" i="5"/>
  <c r="GP163" i="5" s="1"/>
  <c r="GX33" i="5"/>
  <c r="GR33" i="5"/>
  <c r="GR163" i="5" s="1"/>
  <c r="X12" i="5"/>
  <c r="GS11" i="5"/>
  <c r="Y12" i="5"/>
  <c r="GJ163" i="5"/>
  <c r="GO33" i="5"/>
  <c r="AE48" i="4"/>
  <c r="AD48" i="4"/>
  <c r="GK163" i="5"/>
  <c r="GL11" i="5"/>
  <c r="GW165" i="5" l="1"/>
  <c r="GQ163" i="5"/>
  <c r="AF48" i="4"/>
  <c r="Z12" i="5"/>
  <c r="Z9" i="5"/>
  <c r="GZ93" i="5"/>
  <c r="Z92" i="5"/>
  <c r="GY163" i="5"/>
  <c r="IT98" i="4"/>
  <c r="AF98" i="4" s="1"/>
  <c r="AF97" i="4"/>
  <c r="GZ33" i="5"/>
  <c r="GZ163" i="5" s="1"/>
  <c r="BA50" i="1"/>
  <c r="BA51" i="1"/>
  <c r="BA65" i="1"/>
  <c r="GX163" i="5"/>
  <c r="X11" i="5"/>
  <c r="GL92" i="5"/>
  <c r="GO163" i="5"/>
  <c r="GJ165" i="5"/>
  <c r="GJ167" i="5"/>
  <c r="GK165" i="5"/>
  <c r="GL165" i="5" s="1"/>
  <c r="X165" i="5" s="1"/>
  <c r="GK167" i="5"/>
  <c r="Y11" i="5"/>
  <c r="GS92" i="5"/>
  <c r="GL33" i="5"/>
  <c r="GS33" i="5"/>
  <c r="GW167" i="5" l="1"/>
  <c r="GW173" i="5" s="1"/>
  <c r="GV167" i="5"/>
  <c r="GV168" i="5" s="1"/>
  <c r="GZ167" i="5"/>
  <c r="Z167" i="5" s="1"/>
  <c r="Z163" i="5"/>
  <c r="GX167" i="5"/>
  <c r="GX173" i="5" s="1"/>
  <c r="Z33" i="5"/>
  <c r="Z93" i="5"/>
  <c r="GX165" i="5"/>
  <c r="GY167" i="5"/>
  <c r="GY165" i="5"/>
  <c r="GZ165" i="5" s="1"/>
  <c r="Z165" i="5" s="1"/>
  <c r="Y33" i="5"/>
  <c r="GS163" i="5"/>
  <c r="GR167" i="5"/>
  <c r="GR165" i="5"/>
  <c r="GS165" i="5" s="1"/>
  <c r="Y165" i="5" s="1"/>
  <c r="GO165" i="5"/>
  <c r="GQ167" i="5"/>
  <c r="GQ165" i="5"/>
  <c r="GP165" i="5"/>
  <c r="GO167" i="5"/>
  <c r="GP167" i="5"/>
  <c r="GL163" i="5"/>
  <c r="X33" i="5"/>
  <c r="GJ168" i="5"/>
  <c r="GJ173" i="5"/>
  <c r="GK168" i="5"/>
  <c r="GK173" i="5"/>
  <c r="GS93" i="5"/>
  <c r="Y92" i="5"/>
  <c r="GL93" i="5"/>
  <c r="X92" i="5"/>
  <c r="GV173" i="5" l="1"/>
  <c r="GV76" i="5" s="1"/>
  <c r="GW168" i="5"/>
  <c r="GZ173" i="5"/>
  <c r="Z173" i="5" s="1"/>
  <c r="GZ168" i="5"/>
  <c r="Z168" i="5" s="1"/>
  <c r="GX168" i="5"/>
  <c r="GY173" i="5"/>
  <c r="GY168" i="5"/>
  <c r="GW76" i="5"/>
  <c r="GX76" i="5"/>
  <c r="Y93" i="5"/>
  <c r="GS94" i="5"/>
  <c r="Y94" i="5" s="1"/>
  <c r="GQ168" i="5"/>
  <c r="GQ173" i="5"/>
  <c r="GK76" i="5"/>
  <c r="GP173" i="5"/>
  <c r="GP168" i="5"/>
  <c r="GR173" i="5"/>
  <c r="GR168" i="5"/>
  <c r="GL167" i="5"/>
  <c r="X163" i="5"/>
  <c r="GO173" i="5"/>
  <c r="GO168" i="5"/>
  <c r="Y163" i="5"/>
  <c r="GS167" i="5"/>
  <c r="GJ76" i="5"/>
  <c r="GL94" i="5"/>
  <c r="X94" i="5" s="1"/>
  <c r="X93" i="5"/>
  <c r="GZ76" i="5" l="1"/>
  <c r="Z76" i="5" s="1"/>
  <c r="GY76" i="5"/>
  <c r="GR76" i="5"/>
  <c r="X167" i="5"/>
  <c r="GL168" i="5"/>
  <c r="X168" i="5" s="1"/>
  <c r="GL173" i="5"/>
  <c r="GS168" i="5"/>
  <c r="Y168" i="5" s="1"/>
  <c r="Y167" i="5"/>
  <c r="GS173" i="5"/>
  <c r="GQ76" i="5"/>
  <c r="GO76" i="5"/>
  <c r="GP76" i="5"/>
  <c r="Y173" i="5" l="1"/>
  <c r="GS76" i="5"/>
  <c r="Y76" i="5" s="1"/>
  <c r="X173" i="5"/>
  <c r="GL76" i="5"/>
  <c r="X76" i="5" s="1"/>
  <c r="LL93" i="1"/>
  <c r="LL94" i="1" s="1"/>
  <c r="LL96" i="1" l="1"/>
  <c r="LM67" i="1" l="1"/>
  <c r="GD169" i="5"/>
  <c r="LN61" i="1"/>
  <c r="LM62" i="1"/>
  <c r="LM10" i="1" l="1"/>
  <c r="LM71" i="1"/>
  <c r="GE54" i="5"/>
  <c r="GD59" i="5"/>
  <c r="GD174" i="5"/>
  <c r="LM68" i="1"/>
  <c r="LN67" i="1"/>
  <c r="LN62" i="1"/>
  <c r="GE169" i="5"/>
  <c r="W169" i="5" s="1"/>
  <c r="AX61" i="1"/>
  <c r="LN68" i="1" l="1"/>
  <c r="AX67" i="1"/>
  <c r="LM11" i="1"/>
  <c r="GD63" i="5"/>
  <c r="W54" i="5"/>
  <c r="GE59" i="5"/>
  <c r="GE174" i="5"/>
  <c r="HX56" i="4"/>
  <c r="HY52" i="4"/>
  <c r="AX62" i="1"/>
  <c r="LN71" i="1"/>
  <c r="LN10" i="1"/>
  <c r="GD175" i="5"/>
  <c r="GD77" i="5"/>
  <c r="HX118" i="4" l="1"/>
  <c r="HX120" i="4"/>
  <c r="HX58" i="4"/>
  <c r="HX109" i="4"/>
  <c r="AX71" i="1"/>
  <c r="GD65" i="5"/>
  <c r="HY56" i="4"/>
  <c r="AC52" i="4"/>
  <c r="GE175" i="5"/>
  <c r="GE77" i="5"/>
  <c r="W77" i="5" s="1"/>
  <c r="W174" i="5"/>
  <c r="GD178" i="5"/>
  <c r="GD81" i="5" s="1"/>
  <c r="GD177" i="5"/>
  <c r="GD80" i="5" s="1"/>
  <c r="GD78" i="5"/>
  <c r="AX10" i="1"/>
  <c r="LN11" i="1"/>
  <c r="AX11" i="1" s="1"/>
  <c r="GE63" i="5"/>
  <c r="W59" i="5"/>
  <c r="AX68" i="1"/>
  <c r="GE78" i="5" l="1"/>
  <c r="W78" i="5" s="1"/>
  <c r="GE178" i="5"/>
  <c r="GE177" i="5"/>
  <c r="W175" i="5"/>
  <c r="BT11" i="1"/>
  <c r="GE65" i="5"/>
  <c r="W63" i="5"/>
  <c r="HY109" i="4"/>
  <c r="AC109" i="4" s="1"/>
  <c r="HY58" i="4"/>
  <c r="HY118" i="4"/>
  <c r="AC118" i="4" s="1"/>
  <c r="HY120" i="4"/>
  <c r="AC120" i="4" s="1"/>
  <c r="AC56" i="4"/>
  <c r="AC58" i="4" l="1"/>
  <c r="GH62" i="5"/>
  <c r="GL62" i="5"/>
  <c r="W65" i="5"/>
  <c r="GE80" i="5"/>
  <c r="W80" i="5" s="1"/>
  <c r="W177" i="5"/>
  <c r="GE81" i="5"/>
  <c r="W81" i="5" s="1"/>
  <c r="W178" i="5"/>
  <c r="HX17" i="4"/>
  <c r="GD98" i="5"/>
  <c r="HX123" i="4"/>
  <c r="HX119" i="4"/>
  <c r="GD66" i="5"/>
  <c r="HX117" i="4"/>
  <c r="HY9" i="4"/>
  <c r="HX110" i="4"/>
  <c r="HY17" i="4" l="1"/>
  <c r="HY123" i="4"/>
  <c r="AC123" i="4" s="1"/>
  <c r="AC9" i="4"/>
  <c r="HY117" i="4"/>
  <c r="AC117" i="4" s="1"/>
  <c r="HY119" i="4"/>
  <c r="AC119" i="4" s="1"/>
  <c r="GE66" i="5"/>
  <c r="HY110" i="4"/>
  <c r="AC110" i="4" s="1"/>
  <c r="GE98" i="5"/>
  <c r="W98" i="5" s="1"/>
  <c r="GD67" i="5"/>
  <c r="X62" i="5"/>
  <c r="HX112" i="4"/>
  <c r="HX113" i="4" s="1"/>
  <c r="HX24" i="4"/>
  <c r="HX28" i="4" s="1"/>
  <c r="W66" i="5" l="1"/>
  <c r="GE67" i="5"/>
  <c r="AC17" i="4"/>
  <c r="HY112" i="4"/>
  <c r="HY26" i="4"/>
  <c r="AC26" i="4" l="1"/>
  <c r="HY24" i="4"/>
  <c r="AC112" i="4"/>
  <c r="HY113" i="4"/>
  <c r="AC113" i="4" s="1"/>
  <c r="W67" i="5"/>
  <c r="HX108" i="4" l="1"/>
  <c r="HX59" i="4"/>
  <c r="AC24" i="4"/>
  <c r="HY28" i="4"/>
  <c r="HY108" i="4" l="1"/>
  <c r="AC108" i="4" s="1"/>
  <c r="AC28" i="4"/>
  <c r="HY59" i="4"/>
  <c r="AC59" i="4" s="1"/>
  <c r="IT95" i="4" l="1"/>
  <c r="GZ94" i="5" s="1"/>
  <c r="Z94" i="5" s="1"/>
  <c r="BA46" i="1"/>
  <c r="MI47" i="1"/>
  <c r="BA47" i="1" s="1"/>
  <c r="AF95" i="4" l="1"/>
  <c r="LN60" i="1" l="1"/>
  <c r="AX60" i="1" s="1"/>
  <c r="LM93" i="1" l="1"/>
  <c r="LN93" i="1" s="1"/>
  <c r="LM94" i="1"/>
  <c r="LN94" i="1" l="1"/>
  <c r="LN96" i="1" s="1"/>
  <c r="LM96" i="1"/>
  <c r="LQ94" i="1"/>
  <c r="LN95" i="1"/>
  <c r="LQ96" i="1" l="1"/>
  <c r="LR94" i="1"/>
  <c r="LQ95" i="1"/>
  <c r="LQ61" i="1" s="1"/>
  <c r="LR96" i="1" l="1"/>
  <c r="LR95" i="1"/>
  <c r="LR61" i="1" s="1"/>
  <c r="LS94" i="1"/>
  <c r="GH169" i="5"/>
  <c r="LQ67" i="1"/>
  <c r="LQ62" i="1"/>
  <c r="GH54" i="5"/>
  <c r="LQ68" i="1" l="1"/>
  <c r="LS96" i="1"/>
  <c r="LS95" i="1"/>
  <c r="LS61" i="1" s="1"/>
  <c r="LT94" i="1"/>
  <c r="GI169" i="5"/>
  <c r="LR67" i="1"/>
  <c r="GI54" i="5"/>
  <c r="LR62" i="1"/>
  <c r="LQ71" i="1"/>
  <c r="LQ10" i="1"/>
  <c r="GH174" i="5"/>
  <c r="GI174" i="5"/>
  <c r="IB52" i="4"/>
  <c r="GH59" i="5"/>
  <c r="LR68" i="1" l="1"/>
  <c r="LQ11" i="1"/>
  <c r="GI77" i="5"/>
  <c r="GI175" i="5"/>
  <c r="GH63" i="5"/>
  <c r="IB56" i="4"/>
  <c r="IC52" i="4"/>
  <c r="LT96" i="1"/>
  <c r="LU94" i="1"/>
  <c r="LT95" i="1"/>
  <c r="LT61" i="1" s="1"/>
  <c r="LX94" i="1"/>
  <c r="GJ169" i="5"/>
  <c r="LS67" i="1"/>
  <c r="GJ54" i="5"/>
  <c r="LS62" i="1"/>
  <c r="GH77" i="5"/>
  <c r="GH175" i="5"/>
  <c r="LR71" i="1"/>
  <c r="LR10" i="1"/>
  <c r="GI59" i="5"/>
  <c r="GH65" i="5" l="1"/>
  <c r="GH78" i="5"/>
  <c r="GH177" i="5"/>
  <c r="GH80" i="5" s="1"/>
  <c r="GH178" i="5"/>
  <c r="GH81" i="5" s="1"/>
  <c r="LX96" i="1"/>
  <c r="LX95" i="1"/>
  <c r="LX61" i="1" s="1"/>
  <c r="LY94" i="1"/>
  <c r="GK169" i="5"/>
  <c r="LT67" i="1"/>
  <c r="GK54" i="5"/>
  <c r="GK174" i="5" s="1"/>
  <c r="LT62" i="1"/>
  <c r="GI78" i="5"/>
  <c r="GI177" i="5"/>
  <c r="GI80" i="5" s="1"/>
  <c r="GI178" i="5"/>
  <c r="GI81" i="5" s="1"/>
  <c r="LU61" i="1"/>
  <c r="LU96" i="1"/>
  <c r="LU95" i="1"/>
  <c r="GI63" i="5"/>
  <c r="LR11" i="1"/>
  <c r="LS71" i="1"/>
  <c r="LS10" i="1"/>
  <c r="GJ59" i="5"/>
  <c r="GJ174" i="5"/>
  <c r="IC56" i="4"/>
  <c r="ID52" i="4"/>
  <c r="LS68" i="1"/>
  <c r="IB120" i="4"/>
  <c r="IB118" i="4"/>
  <c r="IB109" i="4"/>
  <c r="IB58" i="4"/>
  <c r="GL54" i="5" l="1"/>
  <c r="X54" i="5" s="1"/>
  <c r="GJ63" i="5"/>
  <c r="LY96" i="1"/>
  <c r="LY95" i="1"/>
  <c r="LY61" i="1" s="1"/>
  <c r="LZ94" i="1"/>
  <c r="GO169" i="5"/>
  <c r="LX67" i="1"/>
  <c r="LX62" i="1"/>
  <c r="GO54" i="5"/>
  <c r="GK77" i="5"/>
  <c r="GK175" i="5"/>
  <c r="IC118" i="4"/>
  <c r="IC120" i="4"/>
  <c r="IC109" i="4"/>
  <c r="IC58" i="4"/>
  <c r="LT71" i="1"/>
  <c r="LT10" i="1"/>
  <c r="ID56" i="4"/>
  <c r="IE52" i="4"/>
  <c r="LS11" i="1"/>
  <c r="GK59" i="5"/>
  <c r="LT68" i="1"/>
  <c r="GJ77" i="5"/>
  <c r="GJ175" i="5"/>
  <c r="GL174" i="5"/>
  <c r="GL59" i="5"/>
  <c r="IB9" i="4"/>
  <c r="GI62" i="5"/>
  <c r="GL169" i="5"/>
  <c r="X169" i="5" s="1"/>
  <c r="AY61" i="1"/>
  <c r="LT74" i="1"/>
  <c r="LU67" i="1"/>
  <c r="LU62" i="1"/>
  <c r="AY67" i="1" l="1"/>
  <c r="LU68" i="1"/>
  <c r="GK63" i="5"/>
  <c r="LX68" i="1"/>
  <c r="GJ178" i="5"/>
  <c r="GJ81" i="5" s="1"/>
  <c r="GJ78" i="5"/>
  <c r="GJ177" i="5"/>
  <c r="GJ80" i="5" s="1"/>
  <c r="LT11" i="1"/>
  <c r="GI65" i="5"/>
  <c r="IB110" i="4"/>
  <c r="IB123" i="4"/>
  <c r="GH98" i="5"/>
  <c r="IB119" i="4"/>
  <c r="IB117" i="4"/>
  <c r="GH66" i="5"/>
  <c r="IB17" i="4"/>
  <c r="GK177" i="5"/>
  <c r="GK80" i="5" s="1"/>
  <c r="GK78" i="5"/>
  <c r="GK178" i="5"/>
  <c r="GK81" i="5" s="1"/>
  <c r="LZ96" i="1"/>
  <c r="LZ95" i="1"/>
  <c r="LZ61" i="1" s="1"/>
  <c r="MA94" i="1"/>
  <c r="AY62" i="1"/>
  <c r="LU73" i="1"/>
  <c r="LU71" i="1"/>
  <c r="LU10" i="1"/>
  <c r="GP169" i="5"/>
  <c r="LY67" i="1"/>
  <c r="GP54" i="5"/>
  <c r="GP174" i="5" s="1"/>
  <c r="LY62" i="1"/>
  <c r="GO59" i="5"/>
  <c r="GO174" i="5"/>
  <c r="X59" i="5"/>
  <c r="GL63" i="5"/>
  <c r="GL77" i="5"/>
  <c r="X77" i="5" s="1"/>
  <c r="X174" i="5"/>
  <c r="GL175" i="5"/>
  <c r="IE56" i="4"/>
  <c r="IF52" i="4"/>
  <c r="ID120" i="4"/>
  <c r="ID109" i="4"/>
  <c r="ID118" i="4"/>
  <c r="ID58" i="4"/>
  <c r="LX71" i="1"/>
  <c r="LX10" i="1"/>
  <c r="AD52" i="4" l="1"/>
  <c r="IF56" i="4"/>
  <c r="II52" i="4"/>
  <c r="LY68" i="1"/>
  <c r="GP175" i="5"/>
  <c r="GP77" i="5"/>
  <c r="IB112" i="4"/>
  <c r="IB113" i="4" s="1"/>
  <c r="IB26" i="4"/>
  <c r="IE120" i="4"/>
  <c r="IE118" i="4"/>
  <c r="IE109" i="4"/>
  <c r="IE58" i="4"/>
  <c r="GO77" i="5"/>
  <c r="GO175" i="5"/>
  <c r="X63" i="5"/>
  <c r="GL65" i="5"/>
  <c r="GO63" i="5"/>
  <c r="GH67" i="5"/>
  <c r="IC9" i="4"/>
  <c r="GJ62" i="5"/>
  <c r="LU11" i="1"/>
  <c r="AY11" i="1" s="1"/>
  <c r="AY10" i="1"/>
  <c r="MA96" i="1"/>
  <c r="MB94" i="1"/>
  <c r="MA95" i="1"/>
  <c r="MA61" i="1" s="1"/>
  <c r="ME94" i="1"/>
  <c r="GQ169" i="5"/>
  <c r="LZ67" i="1"/>
  <c r="GQ54" i="5"/>
  <c r="LZ62" i="1"/>
  <c r="AY68" i="1"/>
  <c r="AY71" i="1"/>
  <c r="LY71" i="1"/>
  <c r="LY10" i="1"/>
  <c r="LX11" i="1"/>
  <c r="X175" i="5"/>
  <c r="GL78" i="5"/>
  <c r="X78" i="5" s="1"/>
  <c r="GL178" i="5"/>
  <c r="GL177" i="5"/>
  <c r="GP59" i="5"/>
  <c r="BU11" i="1" l="1"/>
  <c r="ME96" i="1"/>
  <c r="MF94" i="1"/>
  <c r="ME95" i="1"/>
  <c r="ME61" i="1" s="1"/>
  <c r="X65" i="5"/>
  <c r="GS62" i="5"/>
  <c r="GO62" i="5"/>
  <c r="GR169" i="5"/>
  <c r="MA67" i="1"/>
  <c r="GR54" i="5"/>
  <c r="MA62" i="1"/>
  <c r="GJ65" i="5"/>
  <c r="LY11" i="1"/>
  <c r="MB61" i="1"/>
  <c r="MB95" i="1"/>
  <c r="MB96" i="1"/>
  <c r="IC119" i="4"/>
  <c r="IC117" i="4"/>
  <c r="IC110" i="4"/>
  <c r="GI98" i="5"/>
  <c r="IC123" i="4"/>
  <c r="GI66" i="5"/>
  <c r="IC17" i="4"/>
  <c r="IB24" i="4"/>
  <c r="X177" i="5"/>
  <c r="GL80" i="5"/>
  <c r="X80" i="5" s="1"/>
  <c r="LZ71" i="1"/>
  <c r="LZ10" i="1"/>
  <c r="GO177" i="5"/>
  <c r="GO80" i="5" s="1"/>
  <c r="GO178" i="5"/>
  <c r="GO81" i="5" s="1"/>
  <c r="GO78" i="5"/>
  <c r="IJ52" i="4"/>
  <c r="II56" i="4"/>
  <c r="X178" i="5"/>
  <c r="GL81" i="5"/>
  <c r="X81" i="5" s="1"/>
  <c r="GQ59" i="5"/>
  <c r="GQ174" i="5"/>
  <c r="GS54" i="5"/>
  <c r="IF118" i="4"/>
  <c r="AD118" i="4" s="1"/>
  <c r="AD56" i="4"/>
  <c r="IF109" i="4"/>
  <c r="AD109" i="4" s="1"/>
  <c r="IF120" i="4"/>
  <c r="AD120" i="4" s="1"/>
  <c r="IF58" i="4"/>
  <c r="GP63" i="5"/>
  <c r="LZ68" i="1"/>
  <c r="GP177" i="5"/>
  <c r="GP80" i="5" s="1"/>
  <c r="GP78" i="5"/>
  <c r="GP178" i="5"/>
  <c r="GP81" i="5" s="1"/>
  <c r="GR174" i="5"/>
  <c r="GQ63" i="5" l="1"/>
  <c r="GO65" i="5"/>
  <c r="IB28" i="4"/>
  <c r="ID9" i="4"/>
  <c r="GK62" i="5"/>
  <c r="Y62" i="5"/>
  <c r="AD58" i="4"/>
  <c r="GR77" i="5"/>
  <c r="GR175" i="5"/>
  <c r="IC112" i="4"/>
  <c r="IC113" i="4" s="1"/>
  <c r="IC26" i="4"/>
  <c r="MA71" i="1"/>
  <c r="MA10" i="1"/>
  <c r="LZ11" i="1"/>
  <c r="Y54" i="5"/>
  <c r="GS59" i="5"/>
  <c r="GS174" i="5"/>
  <c r="II118" i="4"/>
  <c r="II109" i="4"/>
  <c r="II120" i="4"/>
  <c r="II58" i="4"/>
  <c r="GI67" i="5"/>
  <c r="GR59" i="5"/>
  <c r="GV169" i="5"/>
  <c r="ME67" i="1"/>
  <c r="ME62" i="1"/>
  <c r="GV54" i="5"/>
  <c r="GQ175" i="5"/>
  <c r="GQ77" i="5"/>
  <c r="IJ56" i="4"/>
  <c r="IK52" i="4"/>
  <c r="MA68" i="1"/>
  <c r="MF96" i="1"/>
  <c r="MF95" i="1"/>
  <c r="MF61" i="1" s="1"/>
  <c r="MG94" i="1"/>
  <c r="AZ61" i="1"/>
  <c r="GS169" i="5"/>
  <c r="Y169" i="5" s="1"/>
  <c r="MB67" i="1"/>
  <c r="MB62" i="1"/>
  <c r="IL52" i="4" l="1"/>
  <c r="IK56" i="4"/>
  <c r="GW169" i="5"/>
  <c r="MF67" i="1"/>
  <c r="GW54" i="5"/>
  <c r="MF62" i="1"/>
  <c r="GV59" i="5"/>
  <c r="GV174" i="5"/>
  <c r="AZ67" i="1"/>
  <c r="MB68" i="1"/>
  <c r="ME71" i="1"/>
  <c r="ME10" i="1"/>
  <c r="Y59" i="5"/>
  <c r="GS63" i="5"/>
  <c r="ID117" i="4"/>
  <c r="ID119" i="4"/>
  <c r="GJ98" i="5"/>
  <c r="ID123" i="4"/>
  <c r="ID110" i="4"/>
  <c r="GJ66" i="5"/>
  <c r="ID17" i="4"/>
  <c r="ME68" i="1"/>
  <c r="IC24" i="4"/>
  <c r="IB108" i="4"/>
  <c r="IB59" i="4"/>
  <c r="GR63" i="5"/>
  <c r="II9" i="4"/>
  <c r="GP62" i="5"/>
  <c r="IJ118" i="4"/>
  <c r="IJ109" i="4"/>
  <c r="IJ120" i="4"/>
  <c r="IJ58" i="4"/>
  <c r="MG96" i="1"/>
  <c r="MG95" i="1"/>
  <c r="MG61" i="1" s="1"/>
  <c r="MH94" i="1"/>
  <c r="MA11" i="1"/>
  <c r="GR78" i="5"/>
  <c r="GR177" i="5"/>
  <c r="GR80" i="5" s="1"/>
  <c r="GR178" i="5"/>
  <c r="GR81" i="5" s="1"/>
  <c r="GQ178" i="5"/>
  <c r="GQ81" i="5" s="1"/>
  <c r="GQ78" i="5"/>
  <c r="GQ177" i="5"/>
  <c r="GQ80" i="5" s="1"/>
  <c r="MB66" i="1"/>
  <c r="MB71" i="1"/>
  <c r="AZ62" i="1"/>
  <c r="MB10" i="1"/>
  <c r="Y174" i="5"/>
  <c r="GS77" i="5"/>
  <c r="Y77" i="5" s="1"/>
  <c r="GS175" i="5"/>
  <c r="GK65" i="5"/>
  <c r="MF71" i="1" l="1"/>
  <c r="MF10" i="1"/>
  <c r="GW59" i="5"/>
  <c r="GV77" i="5"/>
  <c r="GV175" i="5"/>
  <c r="MF68" i="1"/>
  <c r="Y175" i="5"/>
  <c r="GS78" i="5"/>
  <c r="Y78" i="5" s="1"/>
  <c r="GS178" i="5"/>
  <c r="GS177" i="5"/>
  <c r="ID112" i="4"/>
  <c r="ID113" i="4" s="1"/>
  <c r="ID26" i="4"/>
  <c r="GW174" i="5"/>
  <c r="IE9" i="4"/>
  <c r="MH96" i="1"/>
  <c r="MI94" i="1"/>
  <c r="MH95" i="1"/>
  <c r="MH61" i="1" s="1"/>
  <c r="GP65" i="5"/>
  <c r="IC28" i="4"/>
  <c r="GJ67" i="5"/>
  <c r="Y63" i="5"/>
  <c r="GS65" i="5"/>
  <c r="AZ68" i="1"/>
  <c r="GV63" i="5"/>
  <c r="MB11" i="1"/>
  <c r="AZ11" i="1" s="1"/>
  <c r="AZ10" i="1"/>
  <c r="GX169" i="5"/>
  <c r="MG67" i="1"/>
  <c r="GX54" i="5"/>
  <c r="MG62" i="1"/>
  <c r="II110" i="4"/>
  <c r="II119" i="4"/>
  <c r="GO98" i="5"/>
  <c r="II117" i="4"/>
  <c r="II123" i="4"/>
  <c r="GO66" i="5"/>
  <c r="II17" i="4"/>
  <c r="IK120" i="4"/>
  <c r="IK109" i="4"/>
  <c r="IK118" i="4"/>
  <c r="IK58" i="4"/>
  <c r="IL56" i="4"/>
  <c r="IM52" i="4"/>
  <c r="AZ71" i="1"/>
  <c r="ME11" i="1"/>
  <c r="IE117" i="4" l="1"/>
  <c r="IE110" i="4"/>
  <c r="IE119" i="4"/>
  <c r="GK98" i="5"/>
  <c r="IE123" i="4"/>
  <c r="IF9" i="4"/>
  <c r="GK66" i="5"/>
  <c r="IE17" i="4"/>
  <c r="Y178" i="5"/>
  <c r="GS81" i="5"/>
  <c r="Y81" i="5" s="1"/>
  <c r="MG68" i="1"/>
  <c r="GQ62" i="5"/>
  <c r="IJ9" i="4"/>
  <c r="Y65" i="5"/>
  <c r="GZ62" i="5"/>
  <c r="GV62" i="5"/>
  <c r="GW77" i="5"/>
  <c r="GW175" i="5"/>
  <c r="GY169" i="5"/>
  <c r="MH67" i="1"/>
  <c r="GY54" i="5"/>
  <c r="GZ54" i="5" s="1"/>
  <c r="MH62" i="1"/>
  <c r="MI61" i="1"/>
  <c r="ID24" i="4"/>
  <c r="MF11" i="1"/>
  <c r="GX59" i="5"/>
  <c r="GX174" i="5"/>
  <c r="MI96" i="1"/>
  <c r="MI95" i="1"/>
  <c r="GV78" i="5"/>
  <c r="GV177" i="5"/>
  <c r="GV80" i="5" s="1"/>
  <c r="GV178" i="5"/>
  <c r="GV81" i="5" s="1"/>
  <c r="AE52" i="4"/>
  <c r="IM56" i="4"/>
  <c r="IP52" i="4"/>
  <c r="II112" i="4"/>
  <c r="II113" i="4" s="1"/>
  <c r="II26" i="4"/>
  <c r="IL118" i="4"/>
  <c r="IL109" i="4"/>
  <c r="IL120" i="4"/>
  <c r="IL58" i="4"/>
  <c r="GO67" i="5"/>
  <c r="MG71" i="1"/>
  <c r="MG10" i="1"/>
  <c r="IC108" i="4"/>
  <c r="IC59" i="4"/>
  <c r="GS80" i="5"/>
  <c r="Y80" i="5" s="1"/>
  <c r="Y177" i="5"/>
  <c r="GW63" i="5"/>
  <c r="GY174" i="5" l="1"/>
  <c r="II24" i="4"/>
  <c r="GX77" i="5"/>
  <c r="GX175" i="5"/>
  <c r="GQ65" i="5"/>
  <c r="IF117" i="4"/>
  <c r="AD117" i="4" s="1"/>
  <c r="AD9" i="4"/>
  <c r="IF17" i="4"/>
  <c r="IF119" i="4"/>
  <c r="AD119" i="4" s="1"/>
  <c r="GL98" i="5"/>
  <c r="X98" i="5" s="1"/>
  <c r="GL66" i="5"/>
  <c r="IF110" i="4"/>
  <c r="AD110" i="4" s="1"/>
  <c r="IF123" i="4"/>
  <c r="AD123" i="4" s="1"/>
  <c r="ID28" i="4"/>
  <c r="GW78" i="5"/>
  <c r="GW177" i="5"/>
  <c r="GW80" i="5" s="1"/>
  <c r="GW178" i="5"/>
  <c r="GW81" i="5" s="1"/>
  <c r="Z54" i="5"/>
  <c r="GZ59" i="5"/>
  <c r="GZ174" i="5"/>
  <c r="GY77" i="5"/>
  <c r="GY175" i="5"/>
  <c r="GX63" i="5"/>
  <c r="BA61" i="1"/>
  <c r="GZ169" i="5"/>
  <c r="Z169" i="5" s="1"/>
  <c r="MI67" i="1"/>
  <c r="MI62" i="1"/>
  <c r="GV65" i="5"/>
  <c r="MG11" i="1"/>
  <c r="IP56" i="4"/>
  <c r="IQ52" i="4"/>
  <c r="MH71" i="1"/>
  <c r="MH10" i="1"/>
  <c r="Z62" i="5"/>
  <c r="GY59" i="5"/>
  <c r="AE56" i="4"/>
  <c r="IM120" i="4"/>
  <c r="AE120" i="4" s="1"/>
  <c r="IM118" i="4"/>
  <c r="AE118" i="4" s="1"/>
  <c r="IM109" i="4"/>
  <c r="AE109" i="4" s="1"/>
  <c r="IM58" i="4"/>
  <c r="MH68" i="1"/>
  <c r="IE112" i="4"/>
  <c r="IE113" i="4" s="1"/>
  <c r="IE26" i="4"/>
  <c r="IJ123" i="4"/>
  <c r="IJ110" i="4"/>
  <c r="IJ117" i="4"/>
  <c r="GP98" i="5"/>
  <c r="IJ119" i="4"/>
  <c r="GP66" i="5"/>
  <c r="IJ17" i="4"/>
  <c r="GK67" i="5"/>
  <c r="AE58" i="4" l="1"/>
  <c r="MH11" i="1"/>
  <c r="GZ77" i="5"/>
  <c r="Z77" i="5" s="1"/>
  <c r="Z174" i="5"/>
  <c r="GZ175" i="5"/>
  <c r="GY63" i="5"/>
  <c r="IP9" i="4"/>
  <c r="GW62" i="5"/>
  <c r="IK9" i="4"/>
  <c r="GR62" i="5"/>
  <c r="IJ112" i="4"/>
  <c r="IJ113" i="4" s="1"/>
  <c r="IJ26" i="4"/>
  <c r="BA62" i="1"/>
  <c r="MI66" i="1"/>
  <c r="MI10" i="1"/>
  <c r="MI71" i="1"/>
  <c r="GL67" i="5"/>
  <c r="X66" i="5"/>
  <c r="GX177" i="5"/>
  <c r="GX80" i="5" s="1"/>
  <c r="GX78" i="5"/>
  <c r="GX178" i="5"/>
  <c r="GX81" i="5" s="1"/>
  <c r="GP67" i="5"/>
  <c r="IE24" i="4"/>
  <c r="IQ56" i="4"/>
  <c r="IR52" i="4"/>
  <c r="BA67" i="1"/>
  <c r="MI68" i="1"/>
  <c r="Z59" i="5"/>
  <c r="GZ63" i="5"/>
  <c r="IP120" i="4"/>
  <c r="IP109" i="4"/>
  <c r="IP118" i="4"/>
  <c r="IP58" i="4"/>
  <c r="GY177" i="5"/>
  <c r="GY80" i="5" s="1"/>
  <c r="GY178" i="5"/>
  <c r="GY81" i="5" s="1"/>
  <c r="GY78" i="5"/>
  <c r="II28" i="4"/>
  <c r="ID108" i="4"/>
  <c r="ID59" i="4"/>
  <c r="AD17" i="4"/>
  <c r="IF112" i="4"/>
  <c r="IF26" i="4"/>
  <c r="IQ118" i="4" l="1"/>
  <c r="IQ120" i="4"/>
  <c r="IQ109" i="4"/>
  <c r="IQ58" i="4"/>
  <c r="GR65" i="5"/>
  <c r="GQ98" i="5"/>
  <c r="IK110" i="4"/>
  <c r="IK17" i="4"/>
  <c r="IK117" i="4"/>
  <c r="GQ66" i="5"/>
  <c r="IK119" i="4"/>
  <c r="IK123" i="4"/>
  <c r="Z63" i="5"/>
  <c r="GZ65" i="5"/>
  <c r="IE28" i="4"/>
  <c r="GW65" i="5"/>
  <c r="AD112" i="4"/>
  <c r="IF113" i="4"/>
  <c r="AD113" i="4" s="1"/>
  <c r="X67" i="5"/>
  <c r="BA68" i="1"/>
  <c r="BA71" i="1"/>
  <c r="IJ24" i="4"/>
  <c r="IP117" i="4"/>
  <c r="IP119" i="4"/>
  <c r="IP123" i="4"/>
  <c r="GV98" i="5"/>
  <c r="IP110" i="4"/>
  <c r="IP17" i="4"/>
  <c r="IP26" i="4" s="1"/>
  <c r="GV66" i="5"/>
  <c r="BA10" i="1"/>
  <c r="MI11" i="1"/>
  <c r="BA11" i="1" s="1"/>
  <c r="AD26" i="4"/>
  <c r="IF24" i="4"/>
  <c r="II108" i="4"/>
  <c r="II59" i="4"/>
  <c r="IR56" i="4"/>
  <c r="IS52" i="4"/>
  <c r="Z175" i="5"/>
  <c r="GZ78" i="5"/>
  <c r="Z78" i="5" s="1"/>
  <c r="GZ178" i="5"/>
  <c r="GZ177" i="5"/>
  <c r="IP24" i="4" l="1"/>
  <c r="GX62" i="5"/>
  <c r="IQ9" i="4"/>
  <c r="IL9" i="4"/>
  <c r="IT52" i="4"/>
  <c r="IS56" i="4"/>
  <c r="IE108" i="4"/>
  <c r="IE59" i="4"/>
  <c r="GQ67" i="5"/>
  <c r="IP112" i="4"/>
  <c r="IP113" i="4" s="1"/>
  <c r="IR58" i="4"/>
  <c r="IR118" i="4"/>
  <c r="IR120" i="4"/>
  <c r="IR109" i="4"/>
  <c r="Z177" i="5"/>
  <c r="GZ80" i="5"/>
  <c r="Z80" i="5" s="1"/>
  <c r="GV67" i="5"/>
  <c r="GZ81" i="5"/>
  <c r="Z81" i="5" s="1"/>
  <c r="Z178" i="5"/>
  <c r="AD24" i="4"/>
  <c r="IF28" i="4"/>
  <c r="IJ28" i="4"/>
  <c r="Z65" i="5"/>
  <c r="IK112" i="4"/>
  <c r="IK113" i="4" s="1"/>
  <c r="IK26" i="4"/>
  <c r="IP28" i="4" l="1"/>
  <c r="IK24" i="4"/>
  <c r="IL117" i="4"/>
  <c r="IL110" i="4"/>
  <c r="IL17" i="4"/>
  <c r="GR66" i="5"/>
  <c r="GR98" i="5"/>
  <c r="IL123" i="4"/>
  <c r="IM9" i="4"/>
  <c r="IL119" i="4"/>
  <c r="IQ17" i="4"/>
  <c r="IQ123" i="4"/>
  <c r="GW98" i="5"/>
  <c r="GW66" i="5"/>
  <c r="IQ110" i="4"/>
  <c r="IQ119" i="4"/>
  <c r="IQ117" i="4"/>
  <c r="IJ108" i="4"/>
  <c r="IJ59" i="4"/>
  <c r="GX65" i="5"/>
  <c r="AD28" i="4"/>
  <c r="IF108" i="4"/>
  <c r="AD108" i="4" s="1"/>
  <c r="IF59" i="4"/>
  <c r="AD59" i="4" s="1"/>
  <c r="IS58" i="4"/>
  <c r="IS120" i="4"/>
  <c r="IS118" i="4"/>
  <c r="IS109" i="4"/>
  <c r="IT56" i="4"/>
  <c r="AF52" i="4"/>
  <c r="IP59" i="4" l="1"/>
  <c r="IP108" i="4"/>
  <c r="IQ112" i="4"/>
  <c r="IQ113" i="4" s="1"/>
  <c r="IQ26" i="4"/>
  <c r="GR67" i="5"/>
  <c r="GY62" i="5"/>
  <c r="IR9" i="4"/>
  <c r="IL112" i="4"/>
  <c r="IL113" i="4" s="1"/>
  <c r="IL26" i="4"/>
  <c r="GW67" i="5"/>
  <c r="IM117" i="4"/>
  <c r="AE117" i="4" s="1"/>
  <c r="GS98" i="5"/>
  <c r="Y98" i="5" s="1"/>
  <c r="IM123" i="4"/>
  <c r="AE123" i="4" s="1"/>
  <c r="AE9" i="4"/>
  <c r="IM119" i="4"/>
  <c r="AE119" i="4" s="1"/>
  <c r="IM17" i="4"/>
  <c r="IM110" i="4"/>
  <c r="AE110" i="4" s="1"/>
  <c r="GS66" i="5"/>
  <c r="IT120" i="4"/>
  <c r="AF120" i="4" s="1"/>
  <c r="IT58" i="4"/>
  <c r="AF56" i="4"/>
  <c r="IT109" i="4"/>
  <c r="AF109" i="4" s="1"/>
  <c r="IT118" i="4"/>
  <c r="AF118" i="4" s="1"/>
  <c r="IK28" i="4"/>
  <c r="AF58" i="4" l="1"/>
  <c r="IL24" i="4"/>
  <c r="GS67" i="5"/>
  <c r="Y66" i="5"/>
  <c r="IR123" i="4"/>
  <c r="IR117" i="4"/>
  <c r="GX98" i="5"/>
  <c r="GX66" i="5"/>
  <c r="IR110" i="4"/>
  <c r="IR17" i="4"/>
  <c r="IR119" i="4"/>
  <c r="GY65" i="5"/>
  <c r="AE17" i="4"/>
  <c r="IM112" i="4"/>
  <c r="IM26" i="4"/>
  <c r="IQ24" i="4"/>
  <c r="IK108" i="4"/>
  <c r="IK59" i="4"/>
  <c r="Y67" i="5" l="1"/>
  <c r="IL28" i="4"/>
  <c r="GX67" i="5"/>
  <c r="IR112" i="4"/>
  <c r="IR113" i="4" s="1"/>
  <c r="IR26" i="4"/>
  <c r="IS9" i="4"/>
  <c r="IQ28" i="4"/>
  <c r="AE112" i="4"/>
  <c r="IM113" i="4"/>
  <c r="AE113" i="4" s="1"/>
  <c r="AE26" i="4"/>
  <c r="IM24" i="4"/>
  <c r="IQ108" i="4" l="1"/>
  <c r="IQ59" i="4"/>
  <c r="IL108" i="4"/>
  <c r="IL59" i="4"/>
  <c r="IS119" i="4"/>
  <c r="IS110" i="4"/>
  <c r="GY98" i="5"/>
  <c r="IT9" i="4"/>
  <c r="IS123" i="4"/>
  <c r="GY66" i="5"/>
  <c r="IS17" i="4"/>
  <c r="IS117" i="4"/>
  <c r="AE24" i="4"/>
  <c r="IM28" i="4"/>
  <c r="IR24" i="4"/>
  <c r="IS112" i="4" l="1"/>
  <c r="IS113" i="4" s="1"/>
  <c r="IS26" i="4"/>
  <c r="IR28" i="4"/>
  <c r="GY67" i="5"/>
  <c r="IM108" i="4"/>
  <c r="AE108" i="4" s="1"/>
  <c r="AE28" i="4"/>
  <c r="IM59" i="4"/>
  <c r="AE59" i="4" s="1"/>
  <c r="AF9" i="4"/>
  <c r="GZ66" i="5"/>
  <c r="IT123" i="4"/>
  <c r="AF123" i="4" s="1"/>
  <c r="GZ98" i="5"/>
  <c r="Z98" i="5" s="1"/>
  <c r="IT119" i="4"/>
  <c r="AF119" i="4" s="1"/>
  <c r="IT17" i="4"/>
  <c r="IT117" i="4"/>
  <c r="AF117" i="4" s="1"/>
  <c r="IT110" i="4"/>
  <c r="AF110" i="4" s="1"/>
  <c r="GZ67" i="5" l="1"/>
  <c r="Z66" i="5"/>
  <c r="IR108" i="4"/>
  <c r="IR59" i="4"/>
  <c r="IS24" i="4"/>
  <c r="IT112" i="4"/>
  <c r="AF17" i="4"/>
  <c r="IT26" i="4"/>
  <c r="IT24" i="4" l="1"/>
  <c r="AF26" i="4"/>
  <c r="IS28" i="4"/>
  <c r="IT113" i="4"/>
  <c r="AF113" i="4" s="1"/>
  <c r="AF112" i="4"/>
  <c r="Z67" i="5"/>
  <c r="IS108" i="4" l="1"/>
  <c r="IS59" i="4"/>
  <c r="AF24" i="4"/>
  <c r="IT28" i="4"/>
  <c r="IT108" i="4" l="1"/>
  <c r="AF108" i="4" s="1"/>
  <c r="AF28" i="4"/>
  <c r="IT59" i="4"/>
  <c r="AF5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Hortopan, Matthew F.</author>
  </authors>
  <commentList>
    <comment ref="A1" authorId="0" shapeId="0" xr:uid="{6B3708B1-3BED-48DB-92E9-ECCB957445FD}">
      <text>
        <r>
          <rPr>
            <b/>
            <sz val="9"/>
            <color indexed="81"/>
            <rFont val="Tahoma"/>
            <family val="2"/>
          </rPr>
          <t>&lt;?xml version="1.0" encoding="utf-8"?&gt;&lt;Schema xmlns:xsd="http://www.w3.org/2001/XMLSchema" xmlns:xsi="http://www.w3.org/2001/XMLSchema-instance" Version="2" Timestamp="1769135878"&gt;&lt;FQL&gt;&lt;Q&gt;CSX^FF_ENTRPR_VAL_DAILY(0,0,,,,"DIL")&lt;/Q&gt;&lt;R&gt;1&lt;/R&gt;&lt;C&gt;1&lt;/C&gt;&lt;D xsi:type="xsd:double"&gt;82938.83&lt;/D&gt;&lt;/FQL&gt;&lt;FQL&gt;&lt;Q&gt;CSX^FG_PRICE(NOW,NOW)&lt;/Q&gt;&lt;R&gt;1&lt;/R&gt;&lt;C&gt;1&lt;/C&gt;&lt;D xsi:type="xsd:double"&gt;33.82&lt;/D&gt;&lt;/FQL&gt;&lt;FQL&gt;&lt;Q&gt;CSX-USA^FE_ESTIMATE(EPS,MEAN,ANN_ROLL,2024,0,,,'USEPRERPT=1')&lt;/Q&gt;&lt;R&gt;1&lt;/R&gt;&lt;C&gt;1&lt;/C&gt;&lt;D xsi:type="xsd:double"&gt;1.8265421&lt;/D&gt;&lt;/FQL&gt;&lt;FQL&gt;&lt;Q&gt;CSX^FF_DEBT(QTR_R,0,0)&lt;/Q&gt;&lt;R&gt;1&lt;/R&gt;&lt;C&gt;1&lt;/C&gt;&lt;D xsi:type="xsd:double"&gt;19650&lt;/D&gt;&lt;/FQL&gt;&lt;FQL&gt;&lt;Q&gt;CSX^FF_COM_SHS_OUT_EPS_DIL(QTR_R,0,0)&lt;/Q&gt;&lt;R&gt;1&lt;/R&gt;&lt;C&gt;1&lt;/C&gt;&lt;D xsi:type="xsd:double"&gt;1869&lt;/D&gt;&lt;/FQL&gt;&lt;FQL&gt;&lt;Q&gt;CSX-USA^FE_ESTIMATE(EPS,MEAN,ANN_ROLL,2027,0,,,'USEPRERPT=1')&lt;/Q&gt;&lt;R&gt;1&lt;/R&gt;&lt;C&gt;1&lt;/C&gt;&lt;D xsi:type="xsd:double"&gt;2.109469&lt;/D&gt;&lt;/FQL&gt;&lt;FQL&gt;&lt;Q&gt;CSX^P_BETA_LOCIDX(-3AY,NOW,,"SP50")&lt;/Q&gt;&lt;R&gt;1&lt;/R&gt;&lt;C&gt;1&lt;/C&gt;&lt;D xsi:type="xsd:double"&gt;0.7956571&lt;/D&gt;&lt;/FQL&gt;&lt;FQL&gt;&lt;Q&gt;CSX-USA^FE_ESTIMATE(EPS,MEAN,ANN_ROLL,2026,0,,,'USEPRERPT=1')&lt;/Q&gt;&lt;R&gt;1&lt;/R&gt;&lt;C&gt;1&lt;/C&gt;&lt;D xsi:type="xsd:double"&gt;1.8795483&lt;/D&gt;&lt;/FQL&gt;&lt;FQL&gt;&lt;Q&gt;CSX^FF_PENS_LIABS_UNFUNDED(ANN_R,0)&lt;/Q&gt;&lt;R&gt;1&lt;/R&gt;&lt;C&gt;1&lt;/C&gt;&lt;D xsi:type="xsd:double"&gt;-217&lt;/D&gt;&lt;/FQL&gt;&lt;FQL&gt;&lt;Q&gt;CSX^FDS_ECON_RG10Y_D(NOW)&lt;/Q&gt;&lt;R&gt;1&lt;/R&gt;&lt;C&gt;1&lt;/C&gt;&lt;D xsi:type="xsd:double"&gt;4.1081&lt;/D&gt;&lt;/FQL&gt;&lt;FQL&gt;&lt;Q&gt;CSX^FCS_PREF_EV(PREF_EV,QTR,NOW,NOW,,,,M)&lt;/Q&gt;&lt;R&gt;0&lt;/R&gt;&lt;C&gt;0&lt;/C&gt;&lt;/FQL&gt;&lt;FQL&gt;&lt;Q&gt;CSX-USA^FE_ESTIMATE(EPS,MEAN,ANN_ROLL,2028,0,,,'USEPRERPT=1')&lt;/Q&gt;&lt;R&gt;1&lt;/R&gt;&lt;C&gt;1&lt;/C&gt;&lt;D xsi:type="xsd:double"&gt;2.3523886&lt;/D&gt;&lt;/FQL&gt;&lt;FQL&gt;&lt;Q&gt;CSX^FF_MIN_INT_EXP(QTR_R,0,0)&lt;/Q&gt;&lt;R&gt;1&lt;/R&gt;&lt;C&gt;1&lt;/C&gt;&lt;D xsi:type="xsd:double"&gt;0&lt;/D&gt;&lt;/FQL&gt;&lt;FQL&gt;&lt;Q&gt;CSX^FF_NET_DEBT(QTR_R,0,0)&lt;/Q&gt;&lt;R&gt;1&lt;/R&gt;&lt;C&gt;1&lt;/C&gt;&lt;D xsi:type="xsd:double"&gt;19257&lt;/D&gt;&lt;/FQL&gt;&lt;FQL&gt;&lt;Q&gt;CSX-USA^FE_ESTIMATE(EPS,MEAN,ANN_ROLL,2023,0,,,'USEPRERPT=1')&lt;/Q&gt;&lt;R&gt;1&lt;/R&gt;&lt;C&gt;1&lt;/C&gt;&lt;D xsi:type="xsd:double"&gt;1.8342501&lt;/D&gt;&lt;/FQL&gt;&lt;FQL&gt;&lt;Q&gt;CSX^FE_ESTIMATE(PRODLINE_SALES_1,MEAN,QTR,2025/2F,45923,,,'')&lt;/Q&gt;&lt;R&gt;1&lt;/R&gt;&lt;C&gt;1&lt;/C&gt;&lt;D xsi:type="xsd:double"&gt;2257&lt;/D&gt;&lt;/FQL&gt;&lt;FQL&gt;&lt;Q&gt;CSX^FE_ESTIMATE(PRODLINE_SALES_9,MEAN,QTR,2025/2F,45923,,,'')&lt;/Q&gt;&lt;R&gt;1&lt;/R&gt;&lt;C&gt;1&lt;/C&gt;&lt;D xsi:type="xsd:double"&gt;477&lt;/D&gt;&lt;/FQL&gt;&lt;FQL&gt;&lt;Q&gt;CSX^FE_ESTIMATE(PRODLINE_SALES_10,MEAN,QTR,2025/2F,45923,,,'')&lt;/Q&gt;&lt;R&gt;1&lt;/R&gt;&lt;C&gt;1&lt;/C&gt;&lt;D xsi:type="xsd:double"&gt;491&lt;/D&gt;&lt;/FQL&gt;&lt;FQL&gt;&lt;Q&gt;CSX^FE_ESTIMATE(PRODLINE_SALES_2,MEAN,QTR,2025/2F,45923,,,'')&lt;/Q&gt;&lt;R&gt;1&lt;/R&gt;&lt;C&gt;1&lt;/C&gt;&lt;D xsi:type="xsd:double"&gt;211&lt;/D&gt;&lt;/FQL&gt;&lt;FQL&gt;&lt;Q&gt;CSX^FE_ESTIMATE(SALES,MEAN,QTR_ROLL,2025/2F,45923,,,'')&lt;/Q&gt;&lt;R&gt;1&lt;/R&gt;&lt;C&gt;1&lt;/C&gt;&lt;D xsi:type="xsd:double"&gt;3574&lt;/D&gt;&lt;/FQL&gt;&lt;FQL&gt;&lt;Q&gt;CSX^FE_ESTIMATE(EBIT,MEAN,QTR_ROLL,2025/2F,45923,,,'')&lt;/Q&gt;&lt;R&gt;1&lt;/R&gt;&lt;C&gt;1&lt;/C&gt;&lt;D xsi:type="xsd:double"&gt;1282.5742&lt;/D&gt;&lt;/FQL&gt;&lt;FQL&gt;&lt;Q&gt;CSX^FE_ESTIMATE(OP_RATIO,MEAN,QTR_ROLL,2025/2F,45923,,,'')&lt;/Q&gt;&lt;R&gt;1&lt;/R&gt;&lt;C&gt;1&lt;/C&gt;&lt;D xsi:type="xsd:double"&gt;64.1&lt;/D&gt;&lt;/FQL&gt;&lt;FQL&gt;&lt;Q&gt;CSX^FE_ESTIMATE(EPS,MEAN,QTR_ROLL,2025/2F,45923,,,'')&lt;/Q&gt;&lt;R&gt;1&lt;/R&gt;&lt;C&gt;1&lt;/C&gt;&lt;D xsi:type="xsd:double"&gt;0.44&lt;/D&gt;&lt;/FQL&gt;&lt;FQL&gt;&lt;Q&gt;CSX^FE_ESTIMATE(INT_EXP,MEAN,QTR_ROLL,2025/2F,45923,,,'')&lt;/Q&gt;&lt;R&gt;1&lt;/R&gt;&lt;C&gt;1&lt;/C&gt;&lt;D xsi:type="xsd:double"&gt;212&lt;/D&gt;&lt;/FQL&gt;&lt;FQL&gt;&lt;Q&gt;CSX^FE_ESTIMATE(PTX_INC,MEAN,QTR_ROLL,2025/2F,45923,,,'')&lt;/Q&gt;&lt;R&gt;1&lt;/R&gt;&lt;C&gt;1&lt;/C&gt;&lt;D xsi:type="xsd:double"&gt;1093.0391&lt;/D&gt;&lt;/FQL&gt;&lt;FQL&gt;&lt;Q&gt;CSX^FE_ESTIMATE(INC_TAX,MEAN,QTR,2025/2F,45923,,,'')&lt;/Q&gt;&lt;R&gt;1&lt;/R&gt;&lt;C&gt;1&lt;/C&gt;&lt;D xsi:type="xsd:double"&gt;264&lt;/D&gt;&lt;/FQL&gt;&lt;FQL&gt;&lt;Q&gt;CSX^FE_ESTIMATE(NET_INC,MEAN,QTR,2025/2F,45923,,,'')&lt;/Q&gt;&lt;R&gt;1&lt;/R&gt;&lt;C&gt;1&lt;/C&gt;&lt;D xsi:type="xsd:double"&gt;829&lt;/D&gt;&lt;/FQL&gt;&lt;FQL&gt;&lt;Q&gt;KSU^P_DATE(45559,0,W,"DATEJ")&lt;/Q&gt;&lt;R&gt;52&lt;/R&gt;&lt;C&gt;1&lt;/C&gt;&lt;D xsi:type="xsd:long"&gt;45562&lt;/D&gt;&lt;D xsi:type="xsd:long"&gt;45569&lt;/D&gt;&lt;D xsi:type="xsd:long"&gt;45576&lt;/D&gt;&lt;D xsi:type="xsd:long"&gt;45583&lt;/D&gt;&lt;D xsi:type="xsd:long"&gt;45590&lt;/D&gt;&lt;D xsi:type="xsd:long"&gt;45597&lt;/D&gt;&lt;D xsi:type="xsd:long"&gt;45604&lt;/D&gt;&lt;D xsi:type="xsd:long"&gt;45611&lt;/D&gt;&lt;D xsi:type="xsd:long"&gt;45618&lt;/D&gt;&lt;D xsi:type="xsd:long"&gt;45625&lt;/D&gt;&lt;D xsi:type="xsd:long"&gt;45632&lt;/D&gt;&lt;D xsi:type="xsd:long"&gt;45639&lt;/D&gt;&lt;D xsi:type="xsd:long"&gt;45646&lt;/D&gt;&lt;D xsi:type="xsd:long"&gt;45653&lt;/D&gt;&lt;D xsi:type="xsd:long"&gt;45660&lt;/D&gt;&lt;D xsi:type="xsd:long"&gt;45667&lt;/D&gt;&lt;D xsi:type="xsd:long"&gt;45674&lt;/D&gt;&lt;D xsi:type="xsd:long"&gt;45681&lt;/D&gt;&lt;D xsi:type="xsd:long"&gt;45688&lt;/D&gt;&lt;D xsi:type="xsd:long"&gt;45695&lt;/D&gt;&lt;D xsi:type="xsd:long"&gt;45702&lt;/D&gt;&lt;D xsi:type="xsd:long"&gt;45709&lt;/D&gt;&lt;D xsi:type="xsd:long"&gt;45716&lt;/D&gt;&lt;D xsi:type="xsd:long"&gt;45723&lt;/D&gt;&lt;D xsi:type="xsd:long"&gt;45730&lt;/D&gt;&lt;D xsi:type="xsd:long"&gt;45737&lt;/D&gt;&lt;D xsi:type="xsd:long"&gt;45744&lt;/D&gt;&lt;D xsi:type="xsd:long"&gt;45751&lt;/D&gt;&lt;D xsi:type="xsd:long"&gt;45758&lt;/D&gt;&lt;D xsi:type="xsd:long"&gt;45764&lt;/D&gt;&lt;D xsi:type="xsd:long"&gt;45772&lt;/D&gt;&lt;D xsi:type="xsd:long"&gt;45779&lt;/D&gt;&lt;D xsi:type="xsd:long"&gt;45786&lt;/D&gt;&lt;D xsi:type="xsd:long"&gt;45793&lt;/D&gt;&lt;D xsi:type="xsd:long"&gt;45800&lt;/D&gt;&lt;D xsi:type="xsd:long"&gt;45807&lt;/D&gt;&lt;D xsi:type="xsd:long"&gt;45814&lt;/D&gt;&lt;D xsi:type="xsd:long"&gt;45821&lt;/D&gt;&lt;D xsi:type="xsd:long"&gt;45828&lt;/D&gt;&lt;D xsi:type="xsd:long"&gt;45835&lt;/D&gt;&lt;D xsi:type="xsd:long"&gt;45841&lt;/D&gt;&lt;D xsi:type="xsd:long"&gt;45849&lt;/D&gt;&lt;D xsi:type="xsd:long"&gt;45856&lt;/D&gt;&lt;D xsi:type="xsd:long"&gt;45863&lt;/D&gt;&lt;D xsi:type="xsd:long"&gt;45870&lt;/D&gt;&lt;D xsi:type="xsd:long"&gt;45877&lt;/D&gt;&lt;D xsi:type="xsd:long"&gt;45884&lt;/D&gt;&lt;D xsi:type="xsd:long"&gt;45891&lt;/D&gt;&lt;D xsi:type="xsd:long"&gt;45898&lt;/D&gt;&lt;D xsi:type="xsd:long"&gt;45905&lt;/D&gt;&lt;D xsi:type="xsd:long"&gt;45912&lt;/D&gt;&lt;D xsi:type="xsd:long"&gt;45919&lt;/D&gt;&lt;/FQL&gt;&lt;FQL&gt;&lt;Q&gt;CSX^FG_PRICE(45559,0,W)&lt;/Q&gt;&lt;R&gt;52&lt;/R&gt;&lt;C&gt;1&lt;/C&gt;&lt;D xsi:type="xsd:double"&gt;34.53&lt;/D&gt;&lt;D xsi:type="xsd:double"&gt;34.49&lt;/D&gt;&lt;D xsi:type="xsd:double"&gt;34.96&lt;/D&gt;&lt;D xsi:type="xsd:double"&gt;34.12&lt;/D&gt;&lt;D xsi:type="xsd:double"&gt;33.27&lt;/D&gt;&lt;D xsi:type="xsd:double"&gt;33.39&lt;/D&gt;&lt;D xsi:type="xsd:double"&gt;36&lt;/D&gt;&lt;D xsi:type="xsd:double"&gt;35.13&lt;/D&gt;&lt;D xsi:type="xsd:double"&gt;35.78&lt;/D&gt;&lt;D xsi:type="xsd:double"&gt;36.55&lt;/D&gt;&lt;D xsi:type="xsd:double"&gt;34.45&lt;/D&gt;&lt;D xsi:type="xsd:double"&gt;33.24&lt;/D&gt;&lt;D xsi:type="xsd:double"&gt;31.85&lt;/D&gt;&lt;D xsi:type="xsd:double"&gt;32.46&lt;/D&gt;&lt;D xsi:type="xsd:double"&gt;32.34&lt;/D&gt;&lt;D xsi:type="xsd:double"&gt;31.78&lt;/D&gt;&lt;D xsi:type="xsd:double"&gt;32.73&lt;/D&gt;&lt;D xsi:type="xsd:double"&gt;32.69&lt;/D&gt;&lt;D xsi:type="xsd:double"&gt;32.87&lt;/D&gt;&lt;D xsi:type="xsd:double"&gt;32.59&lt;/D&gt;&lt;D xsi:type="xsd:double"&gt;33.37&lt;/D&gt;&lt;D xsi:type="xsd:double"&gt;32.3&lt;/D&gt;&lt;D xsi:type="xsd:double"&gt;32.01&lt;/D&gt;&lt;D xsi:type="xsd:double"&gt;31.26&lt;/D&gt;&lt;D xsi:type="xsd:double"&gt;30.01&lt;/D&gt;&lt;D xsi:type="xsd:double"&gt;29.57&lt;/D&gt;&lt;D xsi:type="xsd:double"&gt;29.11&lt;/D&gt;&lt;D xsi:type="xsd:double"&gt;27.21&lt;/D&gt;&lt;D xsi:type="xsd:double"&gt;28.01&lt;/D&gt;&lt;D xsi:type="xsd:double"&gt;27.68&lt;/D&gt;&lt;D xsi:type="xsd:double"&gt;27.84&lt;/D&gt;&lt;D xsi:type="xsd:double"&gt;28.7&lt;/D&gt;&lt;D xsi:type="xsd:double"&gt;28.74&lt;/D&gt;&lt;D xsi:type="xsd:double"&gt;31.32&lt;/D&gt;&lt;D xsi:type="xsd:double"&gt;30.82&lt;/D&gt;&lt;D xsi:type="xsd:double"&gt;31.59&lt;/D&gt;&lt;D xsi:type="xsd:double"&gt;32.23&lt;/D&gt;&lt;D xsi:type="xsd:double"&gt;32.12&lt;/D&gt;&lt;D xsi:type="xsd:double"&gt;32.06&lt;/D&gt;&lt;D xsi:type="xsd:double"&gt;32.91&lt;/D&gt;&lt;D xsi:type="xsd:double"&gt;33.6&lt;/D&gt;&lt;D xsi:type="xsd:double"&gt;34.1&lt;/D&gt;&lt;D xsi:type="xsd:double"&gt;34.39&lt;/D&gt;&lt;D xsi:type="xsd:double"&gt;35.76&lt;/D&gt;&lt;D xsi:type="xsd:double"&gt;35.01&lt;/D&gt;&lt;D xsi:type="xsd:double"&gt;35.43&lt;/D&gt;&lt;D xsi:type="xsd:double"&gt;36.32&lt;/D&gt;&lt;D xsi:type="xsd:double"&gt;34.58&lt;/D&gt;&lt;D xsi:type="xsd:double"&gt;32.51&lt;/D&gt;&lt;D xsi:type="xsd:double"&gt;32.53&lt;/D&gt;&lt;D xsi:type="xsd:double"&gt;32.47&lt;/D&gt;&lt;D xsi:type="xsd:double"&gt;32.98&lt;/D&gt;&lt;/FQL&gt;&lt;FQL&gt;&lt;Q&gt;SP50^FG_PRICE(45559,0,W)&lt;/Q&gt;&lt;R&gt;52&lt;/R&gt;&lt;C&gt;1&lt;/C&gt;&lt;D xsi:type="xsd:double"&gt;5738.17&lt;/D&gt;&lt;D xsi:type="xsd:double"&gt;5751.07&lt;/D&gt;&lt;D xsi:type="xsd:double"&gt;5815.03&lt;/D&gt;&lt;D xsi:type="xsd:double"&gt;5864.67&lt;/D&gt;&lt;D xsi:type="xsd:double"&gt;5808.12&lt;/D&gt;&lt;D xsi:type="xsd:double"&gt;5728.8&lt;/D&gt;&lt;D xsi:type="xsd:double"&gt;5995.54&lt;/D&gt;&lt;D xsi:type="xsd:double"&gt;5870.62&lt;/D&gt;&lt;D xsi:type="xsd:double"&gt;5969.34&lt;/D&gt;&lt;D xsi:type="xsd:double"&gt;6032.38&lt;/D&gt;&lt;D xsi:type="xsd:double"&gt;6090.27&lt;/D&gt;&lt;D xsi:type="xsd:double"&gt;6051.09&lt;/D&gt;&lt;D xsi:type="xsd:double"&gt;5930.85&lt;/D&gt;&lt;D xsi:type="xsd:double"&gt;5970.84&lt;/D&gt;&lt;D xsi:type="xsd:double"&gt;5942.47&lt;/D&gt;&lt;D xsi:type="xsd:double"&gt;5827.04&lt;/D&gt;&lt;D xsi:type="xsd:double"&gt;5996.66&lt;/D&gt;&lt;D xsi:type="xsd:double"&gt;6101.24&lt;/D&gt;&lt;D xsi:type="xsd:double"&gt;6040.53&lt;/D&gt;&lt;D xsi:type="xsd:double"&gt;6025.99&lt;/D&gt;&lt;D xsi:type="xsd:double"&gt;6114.63&lt;/D&gt;&lt;D xsi:type="xsd:double"&gt;6013.13&lt;/D&gt;&lt;D xsi:type="xsd:double"&gt;5954.5&lt;/D&gt;&lt;D xsi:type="xsd:double"&gt;5770.2&lt;/D&gt;&lt;D xsi:type="xsd:double"&gt;5638.94&lt;/D&gt;&lt;D xsi:type="xsd:double"&gt;5667.56&lt;/D&gt;&lt;D xsi:type="xsd:double"&gt;5580.94&lt;/D&gt;&lt;D xsi:type="xsd:double"&gt;5074.08&lt;/D&gt;&lt;D xsi:type="xsd:double"&gt;5363.36&lt;/D&gt;&lt;D xsi:type="xsd:double"&gt;5282.7&lt;/D&gt;&lt;D xsi:type="xsd:double"&gt;5525.21&lt;/D&gt;&lt;D xsi:type="xsd:double"&gt;5686.67&lt;/D&gt;&lt;D xsi:type="xsd:double"&gt;5659.91&lt;/D&gt;&lt;D xsi:type="xsd:double"&gt;5958.38&lt;/D&gt;&lt;D xsi:type="xsd:double"&gt;5802.82&lt;/D&gt;&lt;D xsi:type="xsd:double"&gt;5911.69&lt;/D&gt;&lt;D xsi:type="xsd:double"&gt;6000.36&lt;/D&gt;&lt;D xsi:type="xsd:double"&gt;5976.97&lt;/D&gt;&lt;D xsi:type="xsd:double"&gt;5967.84&lt;/D&gt;&lt;D xsi:type="xsd:double"&gt;6173.07&lt;/D&gt;&lt;D xsi:type="xsd:double"&gt;6279.35&lt;/D&gt;&lt;D xsi:type="xsd:double"&gt;6259.75&lt;/D&gt;&lt;D xsi:type="xsd:double"&gt;6296.79&lt;/D&gt;&lt;D xsi:type="xsd:double"&gt;6388.64&lt;/D&gt;&lt;D xsi:type="xsd:double"&gt;6238.01&lt;/D&gt;&lt;D xsi:type="xsd:double"&gt;6389.45&lt;/D&gt;&lt;D xsi:type="xsd:double"&gt;6449.8&lt;/D&gt;&lt;D xsi:type="xsd:double"&gt;6466.91&lt;/D&gt;&lt;D xsi:type="xsd:double"&gt;6460.26&lt;/D&gt;&lt;D xsi:type="xsd:double"&gt;6481.5&lt;/D&gt;&lt;D xsi:type="xsd:double"&gt;6584.29&lt;/D&gt;&lt;D xsi:type="xsd:double"&gt;6664.36&lt;/D&gt;&lt;/FQL&gt;&lt;FQL&gt;&lt;Q&gt;^P_EXCH_RATE(CAD,USD,45559,0,W)&lt;/Q&gt;&lt;R&gt;52&lt;/R&gt;&lt;C&gt;1&lt;/C&gt;&lt;D xsi:type="xsd:double"&gt;0.7415922&lt;/D&gt;&lt;D xsi:type="xsd:double"&gt;0.7365126&lt;/D&gt;&lt;D xsi:type="xsd:double"&gt;0.7260846&lt;/D&gt;&lt;D xsi:type="xsd:double"&gt;0.72437525&lt;/D&gt;&lt;D xsi:type="xsd:double"&gt;0.72121453&lt;/D&gt;&lt;D xsi:type="xsd:double"&gt;0.71810704&lt;/D&gt;&lt;D xsi:type="xsd:double"&gt;0.7195539&lt;/D&gt;&lt;D xsi:type="xsd:double"&gt;0.71030295&lt;/D&gt;&lt;D xsi:type="xsd:double"&gt;0.7153843&lt;/D&gt;&lt;D xsi:type="xsd:double"&gt;0.7142092&lt;/D&gt;&lt;D xsi:type="xsd:double"&gt;0.7072886&lt;/D&gt;&lt;D xsi:type="xsd:double"&gt;0.7023212&lt;/D&gt;&lt;D xsi:type="xsd:double"&gt;0.6959669&lt;/D&gt;&lt;D xsi:type="xsd:double"&gt;0.69393843&lt;/D&gt;&lt;D xsi:type="xsd:double"&gt;0.6926647&lt;/D&gt;&lt;D xsi:type="xsd:double"&gt;0.6932649&lt;/D&gt;&lt;D xsi:type="xsd:double"&gt;0.6943721&lt;/D&gt;&lt;D xsi:type="xsd:double"&gt;0.6979098&lt;/D&gt;&lt;D xsi:type="xsd:double"&gt;0.6904885&lt;/D&gt;&lt;D xsi:type="xsd:double"&gt;0.6987876&lt;/D&gt;&lt;D xsi:type="xsd:double"&gt;0.7058408&lt;/D&gt;&lt;D xsi:type="xsd:double"&gt;0.70405185&lt;/D&gt;&lt;D xsi:type="xsd:double"&gt;0.6941793&lt;/D&gt;&lt;D xsi:type="xsd:double"&gt;0.69623333&lt;/D&gt;&lt;D xsi:type="xsd:double"&gt;0.6953861&lt;/D&gt;&lt;D xsi:type="xsd:double"&gt;0.6965486&lt;/D&gt;&lt;D xsi:type="xsd:double"&gt;0.700133&lt;/D&gt;&lt;D xsi:type="xsd:double"&gt;0.703136&lt;/D&gt;&lt;D xsi:type="xsd:double"&gt;0.71999425&lt;/D&gt;&lt;D xsi:type="xsd:double"&gt;0.7206415&lt;/D&gt;&lt;D xsi:type="xsd:double"&gt;0.72131854&lt;/D&gt;&lt;D xsi:type="xsd:double"&gt;0.7263483&lt;/D&gt;&lt;D xsi:type="xsd:double"&gt;0.7180039&lt;/D&gt;&lt;D xsi:type="xsd:double"&gt;0.7152309&lt;/D&gt;&lt;D xsi:type="xsd:double"&gt;0.72698194&lt;/D&gt;&lt;D xsi:type="xsd:double"&gt;0.72729915&lt;/D&gt;&lt;D xsi:type="xsd:double"&gt;0.73048687&lt;/D&gt;&lt;D xsi:type="xsd:double"&gt;0.7355916&lt;/D&gt;&lt;D xsi:type="xsd:double"&gt;0.7283587&lt;/D&gt;&lt;D xsi:type="xsd:double"&gt;0.73214483&lt;/D&gt;&lt;D xsi:type="xsd:double"&gt;0.7347539&lt;/D&gt;&lt;D xsi:type="xsd:double"&gt;0.7301135&lt;/D&gt;&lt;D xsi:type="xsd:double"&gt;0.72894263&lt;/D&gt;&lt;D xsi:type="xsd:double"&gt;0.72974056&lt;/D&gt;&lt;D xsi:type="xsd:double"&gt;0.72518945&lt;/D&gt;&lt;D xsi:type="xsd:double"&gt;0.72698194&lt;/D&gt;&lt;D xsi:type="xsd:double"&gt;0.72434896&lt;/D&gt;&lt;D xsi:type="xsd:double"&gt;0.7228306&lt;/D&gt;&lt;D xsi:type="xsd:double"&gt;0.7283587&lt;/D&gt;&lt;D xsi:type="xsd:double"&gt;0.7230658&lt;/D&gt;&lt;D xsi:type="xsd:double"&gt;0.7220477&lt;/D&gt;&lt;D xsi:type="xsd:double"&gt;0.72597915&lt;/D&gt;&lt;/FQL&gt;&lt;FQL&gt;&lt;Q&gt;CSX^FE_VALUATION(PE,MEAN,ANN_ROLL,+1,45559,43481,W,'')&lt;/Q&gt;&lt;R&gt;297&lt;/R&gt;&lt;C&gt;1&lt;/C&gt;&lt;D xsi:type="xsd:double"&gt;18.08086&lt;/D&gt;&lt;D xsi:type="xsd:double"&gt;17.351&lt;/D&gt;&lt;D xsi:type="xsd:double"&gt;17.273355&lt;/D&gt;&lt;D xsi:type="xsd:double"&gt;17.739223&lt;/D&gt;&lt;D xsi:type="xsd:double"&gt;17.438997&lt;/D&gt;&lt;D xsi:type="xsd:double"&gt;17.301027&lt;/D&gt;&lt;D xsi:type="xsd:double"&gt;17.608244&lt;/D&gt;&lt;D xsi:type="xsd:double"&gt;17.61979&lt;/D&gt;&lt;D xsi:type="xsd:double"&gt;17.73594&lt;/D&gt;&lt;D xsi:type="xsd:double"&gt;17.91385&lt;/D&gt;&lt;D xsi:type="xsd:double"&gt;17.438478&lt;/D&gt;&lt;D xsi:type="xsd:double"&gt;17.113028&lt;/D&gt;&lt;D xsi:type="xsd:double"&gt;17.221796&lt;/D&gt;&lt;D xsi:type="xsd:double"&gt;17.197512&lt;/D&gt;&lt;D xsi:type="xsd:double"&gt;16.563314&lt;/D&gt;&lt;D xsi:type="xsd:double"&gt;16.860313&lt;/D&gt;&lt;D xsi:type="xsd:double"&gt;17.349081&lt;/D&gt;&lt;D xsi:type="xsd:double"&gt;17.364502&lt;/D&gt;&lt;D xsi:type="xsd:double"&gt;17.230186&lt;/D&gt;&lt;D xsi:type="xsd:double"&gt;17.680614&lt;/D&gt;&lt;D xsi:type="xsd:double"&gt;17.40805&lt;/D&gt;&lt;D xsi:type="xsd:double"&gt;17.48005&lt;/D&gt;&lt;D xsi:type="xsd:double"&gt;17.645506&lt;/D&gt;&lt;D xsi:type="xsd:double"&gt;17.981615&lt;/D&gt;&lt;D xsi:type="xsd:double"&gt;18.427666&lt;/D&gt;&lt;D xsi:type="xsd:double"&gt;18.772558&lt;/D&gt;&lt;D xsi:type="xsd:double"&gt;18.906374&lt;/D&gt;&lt;D xsi:type="xsd:double"&gt;18.714022&lt;/D&gt;&lt;D xsi:type="xsd:double"&gt;19.33158&lt;/D&gt;&lt;D xsi:type="xsd:double"&gt;19.353924&lt;/D&gt;&lt;D xsi:type="xsd:double"&gt;19.395226&lt;/D&gt;&lt;D xsi:type="xsd:double"&gt;18.58164&lt;/D&gt;&lt;D xsi:type="xsd:double"&gt;18.653982&lt;/D&gt;&lt;D xsi:type="xsd:double"&gt;18.47266&lt;/D&gt;&lt;D xsi:type="xsd:double"&gt;17.908092&lt;/D&gt;&lt;D xsi:type="xsd:double"&gt;18.836306&lt;/D&gt;&lt;D xsi:type="xsd:double"&gt;19.01629&lt;/D&gt;&lt;D xsi:type="xsd:double"&gt;18.894253&lt;/D&gt;&lt;D xsi:type="xsd:double"&gt;18.933462&lt;/D&gt;&lt;D xsi:type="xsd:double"&gt;18.90765&lt;/D&gt;&lt;D xsi:type="xsd:double"&gt;18.570107&lt;/D&gt;&lt;D xsi:type="xsd:double"&gt;17.992247&lt;/D&gt;&lt;D xsi:type="xsd:double"&gt;18.22861&lt;/D&gt;&lt;D xsi:type="xsd:double"&gt;17.813826&lt;/D&gt;&lt;D xsi:type="xsd:double"&gt;17.257145&lt;/D&gt;&lt;D xsi:type="xsd:double"&gt;16.75817&lt;/D&gt;&lt;D xsi:type="xsd:double"&gt;16.593712&lt;/D&gt;&lt;D xsi:type="xsd:double"&gt;15.946136&lt;/D&gt;&lt;D xsi:type="xsd:double"&gt;16.750479&lt;/D&gt;&lt;D xsi:type="xsd:double"&gt;16.905933&lt;/D&gt;&lt;D xsi:type="xsd:double"&gt;16.699696&lt;/D&gt;&lt;D xsi:type="xsd:double"&gt;16.462374&lt;/D&gt;&lt;D xsi:type="xsd:double"&gt;16.686872&lt;/D&gt;&lt;D xsi:type="xsd:double"&gt;16.41291&lt;/D&gt;&lt;D xsi:type="xsd:double"&gt;15.8826685&lt;/D&gt;&lt;D xsi:type="xsd:double"&gt;16.228327&lt;/D&gt;&lt;D xsi:type="xsd:double"&gt;16.33312&lt;/D&gt;&lt;D xsi:type="xsd:double"&gt;16.311985&lt;/D&gt;&lt;D xsi:type="xsd:double"&gt;16.247995&lt;/D&gt;&lt;D xsi:type="xsd:double"&gt;16.654858&lt;/D&gt;&lt;D xsi:type="xsd:double"&gt;17.859587&lt;/D&gt;&lt;D xsi:type="xsd:double"&gt;17.07048&lt;/D&gt;&lt;D xsi:type="xsd:double"&gt;17.396587&lt;/D&gt;&lt;D xsi:type="xsd:double"&gt;17.281065&lt;/D&gt;&lt;D xsi:type="xsd:double"&gt;17.68263&lt;/D&gt;&lt;D xsi:type="xsd:double"&gt;16.977402&lt;/D&gt;&lt;D xsi:type="xsd:double"&gt;17.219946&lt;/D&gt;&lt;D xsi:type="xsd:double"&gt;16.743635&lt;/D&gt;&lt;D xsi:type="xsd:double"&gt;16.54608&lt;/D&gt;&lt;D xsi:type="xsd:double"&gt;16.00208&lt;/D&gt;&lt;D xsi:type="xsd:double"&gt;16.782297&lt;/D&gt;&lt;D xsi:type="xsd:double"&gt;16.527782&lt;/D&gt;&lt;D xsi:type="xsd:double"&gt;16.54856&lt;/D&gt;&lt;D xsi:type="xsd:double"&gt;15.914873&lt;/D&gt;&lt;D xsi:type="xsd:double"&gt;16.539381&lt;/D&gt;&lt;D xsi:type="xsd:double"&gt;16.314747&lt;/D&gt;&lt;D xsi:type="xsd:double"&gt;16.066322&lt;/D&gt;&lt;D xsi:type="xsd:double"&gt;16.03277&lt;/D&gt;&lt;D xsi:type="xsd:double"&gt;15.121783&lt;/D&gt;&lt;D xsi:type="xsd:double"&gt;15.475377&lt;/D&gt;&lt;D xsi:type="xsd:double"&gt;15.787601&lt;/D&gt;&lt;D xsi:type="xsd:double"&gt;16.67629&lt;/D&gt;&lt;D xsi:type="xsd:double"&gt;16.46868&lt;/D&gt;&lt;D xsi:type="xsd:double"&gt;16.71504&lt;/D&gt;&lt;D xsi:type="xsd:double"&gt;16.90926&lt;/D&gt;&lt;D xsi:type="xsd:double"&gt;17.28419&lt;/D&gt;&lt;D xsi:type="xsd:double"&gt;16.113201&lt;/D&gt;&lt;D xsi:type="xsd:double"&gt;16.92415&lt;/D&gt;&lt;D xsi:type="xsd:double"&gt;17.118711&lt;/D&gt;&lt;D xsi:type="xsd:double"&gt;16.97401&lt;/D&gt;&lt;D xsi:type="xsd:double"&gt;16.312536&lt;/D&gt;&lt;D xsi:type="xsd:double"&gt;16.454704&lt;/D&gt;&lt;D xsi:type="xsd:double"&gt;16.640291&lt;/D&gt;&lt;D xsi:type="xsd:double"&gt;16.507051&lt;/D&gt;&lt;D xsi:type="xsd:double"&gt;16.82856&lt;/D&gt;&lt;D xsi:type="xsd:double"&gt;16.805573&lt;/D&gt;&lt;D xsi:type="xsd:double"&gt;16.20455&lt;/D&gt;&lt;D xsi:type="xsd:double"&gt;16.760794&lt;/D&gt;&lt;D xsi:type="xsd:double"&gt;15.548601&lt;/D&gt;&lt;D xsi:type="xsd:double"&gt;15.33345&lt;/D&gt;&lt;D xsi:type="xsd:double"&gt;14.434251&lt;/D&gt;&lt;D xsi:type="xsd:double"&gt;14.58724&lt;/D&gt;&lt;D xsi:type="xsd:double"&gt;14.272853&lt;/D&gt;&lt;D xsi:type="xsd:double"&gt;14.189248&lt;/D&gt;&lt;D xsi:type="xsd:double"&gt;14.6999035&lt;/D&gt;&lt;D xsi:type="xsd:double"&gt;15.661132&lt;/D&gt;&lt;D xsi:type="xsd:double"&gt;17.358341&lt;/D&gt;&lt;D xsi:type="xsd:double"&gt;16.618895&lt;/D&gt;&lt;D xsi:type="xsd:double"&gt;17.358341&lt;/D&gt;&lt;D xsi:type="xsd:double"&gt;17.996712&lt;/D&gt;&lt;D xsi:type="xsd:double"&gt;18.273336&lt;/D&gt;&lt;D xsi:type="xsd:double"&gt;17.613688&lt;/D&gt;&lt;D xsi:type="xsd:double"&gt;17.198748&lt;/D&gt;&lt;D xsi:type="xsd:double"&gt;16.445663&lt;/D&gt;&lt;D xsi:type="xsd:double"&gt;15.833156&lt;/D&gt;&lt;D xsi:type="xsd:double"&gt;15.85236&lt;/D&gt;&lt;D xsi:type="xsd:double"&gt;16.059807&lt;/D&gt;&lt;D xsi:type="xsd:double"&gt;16.182537&lt;/D&gt;&lt;D xsi:type="xsd:double"&gt;15.835209&lt;/D&gt;&lt;D xsi:type="xsd:double"&gt;16.605568&lt;/D&gt;&lt;D xsi:type="xsd:double"&gt;17.601091&lt;/D&gt;&lt;D xsi:type="xsd:double"&gt;17.55751&lt;/D&gt;&lt;D xsi:type="xsd:double"&gt;16.921967&lt;/D&gt;&lt;D xsi:type="xsd:double"&gt;18.283922&lt;/D&gt;&lt;D xsi:type="xsd:double"&gt;19.02228&lt;/D&gt;&lt;D xsi:type="xsd:double"&gt;18.800673&lt;/D&gt;&lt;D xsi:type="xsd:double"&gt;18.899221&lt;/D&gt;&lt;D xsi:type="xsd:double"&gt;19.616&lt;/D&gt;&lt;D xsi:type="xsd:double"&gt;19.207565&lt;/D&gt;&lt;D xsi:type="xsd:double"&gt;19.794065&lt;/D&gt;&lt;D xsi:type="xsd:double"&gt;20.585573&lt;/D&gt;&lt;D xsi:type="xsd:double"&gt;20.245455&lt;/D&gt;&lt;D xsi:type="xsd:double"&gt;19.322235&lt;/D&gt;&lt;D xsi:type="xsd:double"&gt;20.818346&lt;/D&gt;&lt;D xsi:type="xsd:double"&gt;19.051624&lt;/D&gt;&lt;D xsi:type="xsd:double"&gt;19.245972&lt;/D&gt;&lt;D xsi:type="xsd:double"&gt;18.529661&lt;/D&gt;&lt;D xsi:type="xsd:double"&gt;19.04607&lt;/D&gt;&lt;D xsi:type="xsd:double"&gt;19.118258&lt;/D&gt;&lt;D xsi:type="xsd:double"&gt;18.962332&lt;/D&gt;&lt;D xsi:type="xsd:double"&gt;23.553436&lt;/D&gt;&lt;D xsi:type="xsd:double"&gt;24.255873&lt;/D&gt;&lt;D xsi:type="xsd:double"&gt;24.28763&lt;/D&gt;&lt;D xsi:type="xsd:double"&gt;23.75203&lt;/D&gt;&lt;D xsi:type="xsd:double"&gt;23.061226&lt;/D&gt;&lt;D xsi:type="xsd:double"&gt;23.671375&lt;/D&gt;&lt;D xsi:type="xsd:double"&gt;23.048197&lt;/D&gt;&lt;D xsi:type="xsd:double"&gt;22.874563&lt;/D&gt;&lt;D xsi:type="xsd:double"&gt;23.199644&lt;/D&gt;&lt;D xsi:type="xsd:double"&gt;22.662466&lt;/D&gt;&lt;D xsi:type="xsd:double"&gt;22.778255&lt;/D&gt;&lt;D xsi:type="xsd:double"&gt;23.267141&lt;/D&gt;&lt;D xsi:type="xsd:double"&gt;22.842184&lt;/D&gt;&lt;D xsi:type="xsd:double"&gt;23.004581&lt;/D&gt;&lt;D xsi:type="xsd:double"&gt;21.98664&lt;/D&gt;&lt;D xsi:type="xsd:double"&gt;20.330896&lt;/D&gt;&lt;D xsi:type="xsd:double"&gt;20.309998&lt;/D&gt;&lt;D xsi:type="xsd:double"&gt;20.279884&lt;/D&gt;&lt;D xsi:type="xsd:double"&gt;20.672419&lt;/D&gt;&lt;D xsi:type="xsd:double"&gt;21.373743&lt;/D&gt;&lt;D xsi:type="xsd:double"&gt;22.348213&lt;/D&gt;&lt;D xsi:type="xsd:double"&gt;22.535284&lt;/D&gt;&lt;D xsi:type="xsd:double"&gt;22.628819&lt;/D&gt;&lt;D xsi:type="xsd:double"&gt;21.574121&lt;/D&gt;&lt;D xsi:type="xsd:double"&gt;21.58748&lt;/D&gt;&lt;D xsi:type="xsd:double"&gt;21.941353&lt;/D&gt;&lt;D xsi:type="xsd:double"&gt;21.517584&lt;/D&gt;&lt;D xsi:type="xsd:double"&gt;21.789246&lt;/D&gt;&lt;D xsi:type="xsd:double"&gt;22.343092&lt;/D&gt;&lt;D xsi:type="xsd:double"&gt;21.961298&lt;/D&gt;&lt;D xsi:type="xsd:double"&gt;21.697523&lt;/D&gt;&lt;D xsi:type="xsd:double"&gt;22.239397&lt;/D&gt;&lt;D xsi:type="xsd:double"&gt;22.79408&lt;/D&gt;&lt;D xsi:type="xsd:double"&gt;22.908487&lt;/D&gt;&lt;D xsi:type="xsd:double"&gt;22.428576&lt;/D&gt;&lt;D xsi:type="xsd:double"&gt;23.1988&lt;/D&gt;&lt;D xsi:type="xsd:double"&gt;23.54954&lt;/D&gt;&lt;D xsi:type="xsd:double"&gt;23.007875&lt;/D&gt;&lt;D xsi:type="xsd:double"&gt;23.54682&lt;/D&gt;&lt;D xsi:type="xsd:double"&gt;22.798738&lt;/D&gt;&lt;D xsi:type="xsd:double"&gt;22.685577&lt;/D&gt;&lt;D xsi:type="xsd:double"&gt;22.411041&lt;/D&gt;&lt;D xsi:type="xsd:double"&gt;22.499224&lt;/D&gt;&lt;D xsi:type="xsd:double"&gt;20.843084&lt;/D&gt;&lt;D xsi:type="xsd:double"&gt;21.507702&lt;/D&gt;&lt;D xsi:type="xsd:double"&gt;20.998941&lt;/D&gt;&lt;D xsi:type="xsd:double"&gt;20.970976&lt;/D&gt;&lt;D xsi:type="xsd:double"&gt;21.07922&lt;/D&gt;&lt;D xsi:type="xsd:double"&gt;20.632868&lt;/D&gt;&lt;D xsi:type="xsd:double"&gt;20.278206&lt;/D&gt;&lt;D xsi:type="xsd:double"&gt;19.658356&lt;/D&gt;&lt;D xsi:type="xsd:double"&gt;20.090471&lt;/D&gt;&lt;D xsi:type="xsd:double"&gt;25.864075&lt;/D&gt;&lt;D xsi:type="xsd:double"&gt;26.56772&lt;/D&gt;&lt;D xsi:type="xsd:double"&gt;25.193872&lt;/D&gt;&lt;D xsi:type="xsd:double"&gt;24.999943&lt;/D&gt;&lt;D xsi:type="xsd:double"&gt;25.169292&lt;/D&gt;&lt;D xsi:type="xsd:double"&gt;25.121065&lt;/D&gt;&lt;D xsi:type="xsd:double"&gt;25.588425&lt;/D&gt;&lt;D xsi:type="xsd:double"&gt;25.432415&lt;/D&gt;&lt;D xsi:type="xsd:double"&gt;25.508152&lt;/D&gt;&lt;D xsi:type="xsd:double"&gt;25.25925&lt;/D&gt;&lt;D xsi:type="xsd:double"&gt;24.036884&lt;/D&gt;&lt;D xsi:type="xsd:double"&gt;22.017542&lt;/D&gt;&lt;D xsi:type="xsd:double"&gt;22.672993&lt;/D&gt;&lt;D xsi:type="xsd:double"&gt;22.668505&lt;/D&gt;&lt;D xsi:type="xsd:double"&gt;22.300755&lt;/D&gt;&lt;D xsi:type="xsd:double"&gt;22.037296&lt;/D&gt;&lt;D xsi:type="xsd:double"&gt;22.347765&lt;/D&gt;&lt;D xsi:type="xsd:double"&gt;22.906921&lt;/D&gt;&lt;D xsi:type="xsd:double"&gt;22.155418&lt;/D&gt;&lt;D xsi:type="xsd:double"&gt;21.731043&lt;/D&gt;&lt;D xsi:type="xsd:double"&gt;22.179993&lt;/D&gt;&lt;D xsi:type="xsd:double"&gt;21.34754&lt;/D&gt;&lt;D xsi:type="xsd:double"&gt;21.3821&lt;/D&gt;&lt;D xsi:type="xsd:double"&gt;21.026644&lt;/D&gt;&lt;D xsi:type="xsd:double"&gt;20.568224&lt;/D&gt;&lt;D xsi:type="xsd:double"&gt;20.567781&lt;/D&gt;&lt;D xsi:type="xsd:double"&gt;20.998554&lt;/D&gt;&lt;D xsi:type="xsd:double"&gt;19.697708&lt;/D&gt;&lt;D xsi:type="xsd:double"&gt;19.862303&lt;/D&gt;&lt;D xsi:type="xsd:double"&gt;18.997158&lt;/D&gt;&lt;D xsi:type="xsd:double"&gt;19.456636&lt;/D&gt;&lt;D xsi:type="xsd:double"&gt;19.754972&lt;/D&gt;&lt;D xsi:type="xsd:double"&gt;21.288239&lt;/D&gt;&lt;D xsi:type="xsd:double"&gt;20.415762&lt;/D&gt;&lt;D xsi:type="xsd:double"&gt;19.500532&lt;/D&gt;&lt;D xsi:type="xsd:double"&gt;17.610952&lt;/D&gt;&lt;D xsi:type="xsd:double"&gt;18.802122&lt;/D&gt;&lt;D xsi:type="xsd:double"&gt;18.48643&lt;/D&gt;&lt;D xsi:type="xsd:double"&gt;18.150831&lt;/D&gt;&lt;D xsi:type="xsd:double"&gt;17.297838&lt;/D&gt;&lt;D xsi:type="xsd:double"&gt;17.010052&lt;/D&gt;&lt;D xsi:type="xsd:double"&gt;14.3680315&lt;/D&gt;&lt;D xsi:type="xsd:double"&gt;13.859203&lt;/D&gt;&lt;D xsi:type="xsd:double"&gt;12.117665&lt;/D&gt;&lt;D xsi:type="xsd:double"&gt;13.973975&lt;/D&gt;&lt;D xsi:type="xsd:double"&gt;16.315008&lt;/D&gt;&lt;D xsi:type="xsd:double"&gt;16.84091&lt;/D&gt;&lt;D xsi:type="xsd:double"&gt;19.006004&lt;/D&gt;&lt;D xsi:type="xsd:double"&gt;19.01317&lt;/D&gt;&lt;D xsi:type="xsd:double"&gt;18.602285&lt;/D&gt;&lt;D xsi:type="xsd:double"&gt;18.204565&lt;/D&gt;&lt;D xsi:type="xsd:double"&gt;18.290415&lt;/D&gt;&lt;D xsi:type="xsd:double"&gt;18.136276&lt;/D&gt;&lt;D xsi:type="xsd:double"&gt;17.699854&lt;/D&gt;&lt;D xsi:type="xsd:double"&gt;17.535072&lt;/D&gt;&lt;D xsi:type="xsd:double"&gt;17.482855&lt;/D&gt;&lt;D xsi:type="xsd:double"&gt;17.562052&lt;/D&gt;&lt;D xsi:type="xsd:double"&gt;17.442614&lt;/D&gt;&lt;D xsi:type="xsd:double"&gt;17.023136&lt;/D&gt;&lt;D xsi:type="xsd:double"&gt;17.07132&lt;/D&gt;&lt;D xsi:type="xsd:double"&gt;16.817507&lt;/D&gt;&lt;D xsi:type="xsd:double"&gt;17.07987&lt;/D&gt;&lt;D xsi:type="xsd:double"&gt;17.656805&lt;/D&gt;&lt;D xsi:type="xsd:double"&gt;17.233273&lt;/D&gt;&lt;D xsi:type="xsd:double"&gt;17.264956&lt;/D&gt;&lt;D xsi:type="xsd:double"&gt;16.38726&lt;/D&gt;&lt;D xsi:type="xsd:double"&gt;16.686245&lt;/D&gt;&lt;D xsi:type="xsd:double"&gt;16.108873&lt;/D&gt;&lt;D xsi:type="xsd:double"&gt;16.615723&lt;/D&gt;&lt;D xsi:type="xsd:double"&gt;16.545797&lt;/D&gt;&lt;D xsi:type="xsd:double"&gt;17.448837&lt;/D&gt;&lt;D xsi:type="xsd:double"&gt;16.253319&lt;/D&gt;&lt;D xsi:type="xsd:double"&gt;16.114342&lt;/D&gt;&lt;D xsi:type="xsd:double"&gt;15.511922&lt;/D&gt;&lt;D xsi:type="xsd:double"&gt;15.617244&lt;/D&gt;&lt;D xsi:type="xsd:double"&gt;15.972347&lt;/D&gt;&lt;D xsi:type="xsd:double"&gt;16.10431&lt;/D&gt;&lt;D xsi:type="xsd:double"&gt;16.545788&lt;/D&gt;&lt;D xsi:type="xsd:double"&gt;16.83899&lt;/D&gt;&lt;D xsi:type="xsd:double"&gt;18.133661&lt;/D&gt;&lt;D xsi:type="xsd:double"&gt;18.007383&lt;/D&gt;&lt;D xsi:type="xsd:double"&gt;17.76591&lt;/D&gt;&lt;D xsi:type="xsd:double"&gt;18.018179&lt;/D&gt;&lt;D xsi:type="xsd:double"&gt;17.644497&lt;/D&gt;&lt;D xsi:type="xsd:double"&gt;17.827543&lt;/D&gt;&lt;D xsi:type="xsd:double"&gt;17.00547&lt;/D&gt;&lt;D xsi:type="xsd:double"&gt;17.121708&lt;/D&gt;&lt;D xsi:type="xsd:double"&gt;17.917063&lt;/D&gt;&lt;D xsi:type="xsd:double"&gt;17.981756&lt;/D&gt;&lt;D xsi:type="xsd:double"&gt;18.395086&lt;/D&gt;&lt;D xsi:type="xsd:double"&gt;18.086674&lt;/D&gt;&lt;D xsi:type="xsd:double"&gt;18.07911&lt;/D&gt;&lt;D xsi:type="xsd:double"&gt;18.076477&lt;/D&gt;&lt;D xsi:type="xsd:double"&gt;17.525156&lt;/D&gt;&lt;D xsi:type="xsd:double"&gt;17.584805&lt;/D&gt;&lt;D xsi:type="xsd:double"&gt;17.028055&lt;/D&gt;&lt;D xsi:type="xsd:double"&gt;17.098505&lt;/D&gt;&lt;D xsi:type="xsd:double"&gt;16.860613&lt;/D&gt;&lt;D xsi:type="xsd:double"&gt;17.020908&lt;/D&gt;&lt;D xsi:type="xsd:double"&gt;17.220781&lt;/D&gt;&lt;D xsi:type="xsd:double"&gt;17.039907&lt;/D&gt;&lt;D xsi:type="xsd:double"&gt;16.161772&lt;/D&gt;&lt;D xsi:type="xsd:double"&gt;15.562317&lt;/D&gt;&lt;D xsi:type="xsd:double"&gt;15.562818&lt;/D&gt;&lt;D xsi:type="xsd:double"&gt;15.829659&lt;/D&gt;&lt;/FQL&gt;&lt;FQL&gt;&lt;Q&gt;CSX^FE_VALUATION(PE,MEAN,ANN_ROLL,+2,45559,43481,W,'')&lt;/Q&gt;&lt;R&gt;297&lt;/R&gt;&lt;C&gt;1&lt;/C&gt;&lt;D xsi:type="xsd:double"&gt;16.275705&lt;/D&gt;&lt;D xsi:type="xsd:double"&gt;15.618712&lt;/D&gt;&lt;D xsi:type="xsd:double"&gt;15.548819&lt;/D&gt;&lt;D xsi:type="xsd:double"&gt;15.968176&lt;/D&gt;&lt;D xsi:type="xsd:double"&gt;15.697924&lt;/D&gt;&lt;D xsi:type="xsd:double"&gt;15.571536&lt;/D&gt;&lt;D xsi:type="xsd:double"&gt;15.842941&lt;/D&gt;&lt;D xsi:type="xsd:double"&gt;15.771252&lt;/D&gt;&lt;D xsi:type="xsd:double"&gt;15.900503&lt;/D&gt;&lt;D xsi:type="xsd:double"&gt;16.055544&lt;/D&gt;&lt;D xsi:type="xsd:double"&gt;15.63008&lt;/D&gt;&lt;D xsi:type="xsd:double"&gt;15.296968&lt;/D&gt;&lt;D xsi:type="xsd:double"&gt;15.387404&lt;/D&gt;&lt;D xsi:type="xsd:double"&gt;15.354288&lt;/D&gt;&lt;D xsi:type="xsd:double"&gt;14.789582&lt;/D&gt;&lt;D xsi:type="xsd:double"&gt;15.05443&lt;/D&gt;&lt;D xsi:type="xsd:double"&gt;15.48445&lt;/D&gt;&lt;D xsi:type="xsd:double"&gt;15.498214&lt;/D&gt;&lt;D xsi:type="xsd:double"&gt;15.378927&lt;/D&gt;&lt;D xsi:type="xsd:double"&gt;15.774992&lt;/D&gt;&lt;D xsi:type="xsd:double"&gt;15.531804&lt;/D&gt;&lt;D xsi:type="xsd:double"&gt;15.596044&lt;/D&gt;&lt;D xsi:type="xsd:double"&gt;15.74042&lt;/D&gt;&lt;D xsi:type="xsd:double"&gt;16.113762&lt;/D&gt;&lt;D xsi:type="xsd:double"&gt;16.522255&lt;/D&gt;&lt;D xsi:type="xsd:double"&gt;16.866493&lt;/D&gt;&lt;D xsi:type="xsd:double"&gt;16.977098&lt;/D&gt;&lt;D xsi:type="xsd:double"&gt;16.804375&lt;/D&gt;&lt;D xsi:type="xsd:double"&gt;17.358913&lt;/D&gt;&lt;D xsi:type="xsd:double"&gt;17.406221&lt;/D&gt;&lt;D xsi:type="xsd:double"&gt;17.447412&lt;/D&gt;&lt;D xsi:type="xsd:double"&gt;16.71608&lt;/D&gt;&lt;D xsi:type="xsd:double"&gt;16.77942&lt;/D&gt;&lt;D xsi:type="xsd:double"&gt;16.616762&lt;/D&gt;&lt;D xsi:type="xsd:double"&gt;16.108782&lt;/D&gt;&lt;D xsi:type="xsd:double"&gt;17.429289&lt;/D&gt;&lt;D xsi:type="xsd:double"&gt;17.596481&lt;/D&gt;&lt;D xsi:type="xsd:double"&gt;17.49741&lt;/D&gt;&lt;D xsi:type="xsd:double"&gt;17.526087&lt;/D&gt;&lt;D xsi:type="xsd:double"&gt;17.488865&lt;/D&gt;&lt;D xsi:type="xsd:double"&gt;17.120766&lt;/D&gt;&lt;D xsi:type="xsd:double"&gt;16.605562&lt;/D&gt;&lt;D xsi:type="xsd:double"&gt;16.833405&lt;/D&gt;&lt;D xsi:type="xsd:double"&gt;16.450369&lt;/D&gt;&lt;D xsi:type="xsd:double"&gt;15.9362955&lt;/D&gt;&lt;D xsi:type="xsd:double"&gt;15.480992&lt;/D&gt;&lt;D xsi:type="xsd:double"&gt;15.330039&lt;/D&gt;&lt;D xsi:type="xsd:double"&gt;14.749198&lt;/D&gt;&lt;D xsi:type="xsd:double"&gt;15.488871&lt;/D&gt;&lt;D xsi:type="xsd:double"&gt;15.5546875&lt;/D&gt;&lt;D xsi:type="xsd:double"&gt;15.363798&lt;/D&gt;&lt;D xsi:type="xsd:double"&gt;15.155972&lt;/D&gt;&lt;D xsi:type="xsd:double"&gt;15.389864&lt;/D&gt;&lt;D xsi:type="xsd:double"&gt;15.200496&lt;/D&gt;&lt;D xsi:type="xsd:double"&gt;14.70182&lt;/D&gt;&lt;D xsi:type="xsd:double"&gt;15.029195&lt;/D&gt;&lt;D xsi:type="xsd:double"&gt;15.13144&lt;/D&gt;&lt;D xsi:type="xsd:double"&gt;15.111859&lt;/D&gt;&lt;D xsi:type="xsd:double"&gt;15.0543375&lt;/D&gt;&lt;D xsi:type="xsd:double"&gt;15.431309&lt;/D&gt;&lt;D xsi:type="xsd:double"&gt;16.547531&lt;/D&gt;&lt;D xsi:type="xsd:double"&gt;15.808768&lt;/D&gt;&lt;D xsi:type="xsd:double"&gt;16.135162&lt;/D&gt;&lt;D xsi:type="xsd:double"&gt;16.009472&lt;/D&gt;&lt;D xsi:type="xsd:double"&gt;16.402847&lt;/D&gt;&lt;D xsi:type="xsd:double"&gt;15.748659&lt;/D&gt;&lt;D xsi:type="xsd:double"&gt;15.974519&lt;/D&gt;&lt;D xsi:type="xsd:double"&gt;15.541606&lt;/D&gt;&lt;D xsi:type="xsd:double"&gt;15.35127&lt;/D&gt;&lt;D xsi:type="xsd:double"&gt;14.85132&lt;/D&gt;&lt;D xsi:type="xsd:double"&gt;15.574579&lt;/D&gt;&lt;D xsi:type="xsd:double"&gt;15.335479&lt;/D&gt;&lt;D xsi:type="xsd:double"&gt;15.354756&lt;/D&gt;&lt;D xsi:type="xsd:double"&gt;14.766784&lt;/D&gt;&lt;D xsi:type="xsd:double"&gt;15.368186&lt;/D&gt;&lt;D xsi:type="xsd:double"&gt;15.051533&lt;/D&gt;&lt;D xsi:type="xsd:double"&gt;14.808966&lt;/D&gt;&lt;D xsi:type="xsd:double"&gt;14.77527&lt;/D&gt;&lt;D xsi:type="xsd:double"&gt;13.922763&lt;/D&gt;&lt;D xsi:type="xsd:double"&gt;14.248795&lt;/D&gt;&lt;D xsi:type="xsd:double"&gt;14.53708&lt;/D&gt;&lt;D xsi:type="xsd:double"&gt;15.355376&lt;/D&gt;&lt;D xsi:type="xsd:double"&gt;15.172687&lt;/D&gt;&lt;D xsi:type="xsd:double"&gt;15.39966&lt;/D&gt;&lt;D xsi:type="xsd:double"&gt;15.576236&lt;/D&gt;&lt;D xsi:type="xsd:double"&gt;15.921608&lt;/D&gt;&lt;D xsi:type="xsd:double"&gt;14.841144&lt;/D&gt;&lt;D xsi:type="xsd:double"&gt;16.904732&lt;/D&gt;&lt;D xsi:type="xsd:double"&gt;17.057112&lt;/D&gt;&lt;D xsi:type="xsd:double"&gt;16.936348&lt;/D&gt;&lt;D xsi:type="xsd:double"&gt;16.309608&lt;/D&gt;&lt;D xsi:type="xsd:double"&gt;16.451752&lt;/D&gt;&lt;D xsi:type="xsd:double"&gt;16.652943&lt;/D&gt;&lt;D xsi:type="xsd:double"&gt;16.523394&lt;/D&gt;&lt;D xsi:type="xsd:double"&gt;16.854704&lt;/D&gt;&lt;D xsi:type="xsd:double"&gt;16.825281&lt;/D&gt;&lt;D xsi:type="xsd:double"&gt;16.208002&lt;/D&gt;&lt;D xsi:type="xsd:double"&gt;16.764366&lt;/D&gt;&lt;D xsi:type="xsd:double"&gt;15.551914&lt;/D&gt;&lt;D xsi:type="xsd:double"&gt;15.336718&lt;/D&gt;&lt;D xsi:type="xsd:double"&gt;14.384916&lt;/D&gt;&lt;D xsi:type="xsd:double"&gt;14.298535&lt;/D&gt;&lt;D xsi:type="xsd:double"&gt;13.852908&lt;/D&gt;&lt;D xsi:type="xsd:double"&gt;13.668332&lt;/D&gt;&lt;D xsi:type="xsd:double"&gt;14.030573&lt;/D&gt;&lt;D xsi:type="xsd:double"&gt;14.948033&lt;/D&gt;&lt;D xsi:type="xsd:double"&gt;16.533659&lt;/D&gt;&lt;D xsi:type="xsd:double"&gt;15.829343&lt;/D&gt;&lt;D xsi:type="xsd:double"&gt;16.533659&lt;/D&gt;&lt;D xsi:type="xsd:double"&gt;17.1417&lt;/D&gt;&lt;D xsi:type="xsd:double"&gt;17.405184&lt;/D&gt;&lt;D xsi:type="xsd:double"&gt;16.776875&lt;/D&gt;&lt;D xsi:type="xsd:double"&gt;16.381649&lt;/D&gt;&lt;D xsi:type="xsd:double"&gt;15.657875&lt;/D&gt;&lt;D xsi:type="xsd:double"&gt;14.843138&lt;/D&gt;&lt;D xsi:type="xsd:double"&gt;14.759746&lt;/D&gt;&lt;D xsi:type="xsd:double"&gt;14.901536&lt;/D&gt;&lt;D xsi:type="xsd:double"&gt;15.021076&lt;/D&gt;&lt;D xsi:type="xsd:double"&gt;14.703485&lt;/D&gt;&lt;D xsi:type="xsd:double"&gt;15.411257&lt;/D&gt;&lt;D xsi:type="xsd:double"&gt;16.33494&lt;/D&gt;&lt;D xsi:type="xsd:double"&gt;16.243208&lt;/D&gt;&lt;D xsi:type="xsd:double"&gt;15.630774&lt;/D&gt;&lt;D xsi:type="xsd:double"&gt;16.85781&lt;/D&gt;&lt;D xsi:type="xsd:double"&gt;17.538576&lt;/D&gt;&lt;D xsi:type="xsd:double"&gt;17.336124&lt;/D&gt;&lt;D xsi:type="xsd:double"&gt;17.426996&lt;/D&gt;&lt;D xsi:type="xsd:double"&gt;17.90706&lt;/D&gt;&lt;D xsi:type="xsd:double"&gt;17.544167&lt;/D&gt;&lt;D xsi:type="xsd:double"&gt;18.131092&lt;/D&gt;&lt;D xsi:type="xsd:double"&gt;18.855076&lt;/D&gt;&lt;D xsi:type="xsd:double"&gt;18.54355&lt;/D&gt;&lt;D xsi:type="xsd:double"&gt;17.702967&lt;/D&gt;&lt;D xsi:type="xsd:double"&gt;19.123764&lt;/D&gt;&lt;D xsi:type="xsd:double"&gt;17.522804&lt;/D&gt;&lt;D xsi:type="xsd:double"&gt;17.701555&lt;/D&gt;&lt;D xsi:type="xsd:double"&gt;17.042727&lt;/D&gt;&lt;D xsi:type="xsd:double"&gt;17.517696&lt;/D&gt;&lt;D xsi:type="xsd:double"&gt;17.584091&lt;/D&gt;&lt;D xsi:type="xsd:double"&gt;17.44609&lt;/D&gt;&lt;D xsi:type="xsd:double"&gt;20.342094&lt;/D&gt;&lt;D xsi:type="xsd:double"&gt;20.984966&lt;/D&gt;&lt;D xsi:type="xsd:double"&gt;21.073326&lt;/D&gt;&lt;D xsi:type="xsd:double"&gt;20.599909&lt;/D&gt;&lt;D xsi:type="xsd:double"&gt;20.000782&lt;/D&gt;&lt;D xsi:type="xsd:double"&gt;20.551105&lt;/D&gt;&lt;D xsi:type="xsd:double"&gt;20.05183&lt;/D&gt;&lt;D xsi:type="xsd:double"&gt;19.917278&lt;/D&gt;&lt;D xsi:type="xsd:double"&gt;20.238756&lt;/D&gt;&lt;D xsi:type="xsd:double"&gt;19.763628&lt;/D&gt;&lt;D xsi:type="xsd:double"&gt;19.864605&lt;/D&gt;&lt;D xsi:type="xsd:double"&gt;20.290956&lt;/D&gt;&lt;D xsi:type="xsd:double"&gt;19.91988&lt;/D&gt;&lt;D xsi:type="xsd:double"&gt;20.066288&lt;/D&gt;&lt;D xsi:type="xsd:double"&gt;19.214529&lt;/D&gt;&lt;D xsi:type="xsd:double"&gt;17.79357&lt;/D&gt;&lt;D xsi:type="xsd:double"&gt;17.793863&lt;/D&gt;&lt;D xsi:type="xsd:double"&gt;17.706503&lt;/D&gt;&lt;D xsi:type="xsd:double"&gt;18.113836&lt;/D&gt;&lt;D xsi:type="xsd:double"&gt;18.7243&lt;/D&gt;&lt;D xsi:type="xsd:double"&gt;19.57699&lt;/D&gt;&lt;D xsi:type="xsd:double"&gt;19.740862&lt;/D&gt;&lt;D xsi:type="xsd:double"&gt;19.822798&lt;/D&gt;&lt;D xsi:type="xsd:double"&gt;18.899841&lt;/D&gt;&lt;D xsi:type="xsd:double"&gt;18.90335&lt;/D&gt;&lt;D xsi:type="xsd:double"&gt;19.221964&lt;/D&gt;&lt;D xsi:type="xsd:double"&gt;18.984737&lt;/D&gt;&lt;D xsi:type="xsd:double"&gt;19.1583&lt;/D&gt;&lt;D xsi:type="xsd:double"&gt;19.602182&lt;/D&gt;&lt;D xsi:type="xsd:double"&gt;19.322248&lt;/D&gt;&lt;D xsi:type="xsd:double"&gt;19.08855&lt;/D&gt;&lt;D xsi:type="xsd:double"&gt;19.547747&lt;/D&gt;&lt;D xsi:type="xsd:double"&gt;20.053057&lt;/D&gt;&lt;D xsi:type="xsd:double"&gt;20.153704&lt;/D&gt;&lt;D xsi:type="xsd:double"&gt;19.792995&lt;/D&gt;&lt;D xsi:type="xsd:double"&gt;20.476934&lt;/D&gt;&lt;D xsi:type="xsd:double"&gt;20.78374&lt;/D&gt;&lt;D xsi:type="xsd:double"&gt;20.319576&lt;/D&gt;&lt;D xsi:type="xsd:double"&gt;20.79555&lt;/D&gt;&lt;D xsi:type="xsd:double"&gt;20.118042&lt;/D&gt;&lt;D xsi:type="xsd:double"&gt;20.066364&lt;/D&gt;&lt;D xsi:type="xsd:double"&gt;19.87959&lt;/D&gt;&lt;D xsi:type="xsd:double"&gt;19.965883&lt;/D&gt;&lt;D xsi:type="xsd:double"&gt;18.523182&lt;/D&gt;&lt;D xsi:type="xsd:double"&gt;19.154589&lt;/D&gt;&lt;D xsi:type="xsd:double"&gt;18.70149&lt;/D&gt;&lt;D xsi:type="xsd:double"&gt;18.68264&lt;/D&gt;&lt;D xsi:type="xsd:double"&gt;18.79437&lt;/D&gt;&lt;D xsi:type="xsd:double"&gt;18.3964&lt;/D&gt;&lt;D xsi:type="xsd:double"&gt;18.079285&lt;/D&gt;&lt;D xsi:type="xsd:double"&gt;17.508627&lt;/D&gt;&lt;D xsi:type="xsd:double"&gt;17.893812&lt;/D&gt;&lt;D xsi:type="xsd:double"&gt;21.36694&lt;/D&gt;&lt;D xsi:type="xsd:double"&gt;21.982487&lt;/D&gt;&lt;D xsi:type="xsd:double"&gt;20.892225&lt;/D&gt;&lt;D xsi:type="xsd:double"&gt;20.7304&lt;/D&gt;&lt;D xsi:type="xsd:double"&gt;20.870829&lt;/D&gt;&lt;D xsi:type="xsd:double"&gt;20.853003&lt;/D&gt;&lt;D xsi:type="xsd:double"&gt;21.259577&lt;/D&gt;&lt;D xsi:type="xsd:double"&gt;21.12996&lt;/D&gt;&lt;D xsi:type="xsd:double"&gt;21.217693&lt;/D&gt;&lt;D xsi:type="xsd:double"&gt;21.012442&lt;/D&gt;&lt;D xsi:type="xsd:double"&gt;20.001076&lt;/D&gt;&lt;D xsi:type="xsd:double"&gt;18.320782&lt;/D&gt;&lt;D xsi:type="xsd:double"&gt;18.866182&lt;/D&gt;&lt;D xsi:type="xsd:double"&gt;18.85576&lt;/D&gt;&lt;D xsi:type="xsd:double"&gt;18.565975&lt;/D&gt;&lt;D xsi:type="xsd:double"&gt;18.37587&lt;/D&gt;&lt;D xsi:type="xsd:double"&gt;18.640501&lt;/D&gt;&lt;D xsi:type="xsd:double"&gt;19.095432&lt;/D&gt;&lt;D xsi:type="xsd:double"&gt;18.491924&lt;/D&gt;&lt;D xsi:type="xsd:double"&gt;18.194038&lt;/D&gt;&lt;D xsi:type="xsd:double"&gt;18.564945&lt;/D&gt;&lt;D xsi:type="xsd:double"&gt;17.883867&lt;/D&gt;&lt;D xsi:type="xsd:double"&gt;17.912819&lt;/D&gt;&lt;D xsi:type="xsd:double"&gt;17.5928&lt;/D&gt;&lt;D xsi:type="xsd:double"&gt;17.209244&lt;/D&gt;&lt;D xsi:type="xsd:double"&gt;17.208797&lt;/D&gt;&lt;D xsi:type="xsd:double"&gt;17.594769&lt;/D&gt;&lt;D xsi:type="xsd:double"&gt;16.49855&lt;/D&gt;&lt;D xsi:type="xsd:double"&gt;16.751286&lt;/D&gt;&lt;D xsi:type="xsd:double"&gt;16.02458&lt;/D&gt;&lt;D xsi:type="xsd:double"&gt;16.469639&lt;/D&gt;&lt;D xsi:type="xsd:double"&gt;16.838152&lt;/D&gt;&lt;D xsi:type="xsd:double"&gt;18.17012&lt;/D&gt;&lt;D xsi:type="xsd:double"&gt;17.325626&lt;/D&gt;&lt;D xsi:type="xsd:double"&gt;16.5755&lt;/D&gt;&lt;D xsi:type="xsd:double"&gt;15.022771&lt;/D&gt;&lt;D xsi:type="xsd:double"&gt;15.98564&lt;/D&gt;&lt;D xsi:type="xsd:double"&gt;15.7172365&lt;/D&gt;&lt;D xsi:type="xsd:double"&gt;15.43191&lt;/D&gt;&lt;D xsi:type="xsd:double"&gt;14.849128&lt;/D&gt;&lt;D xsi:type="xsd:double"&gt;14.815607&lt;/D&gt;&lt;D xsi:type="xsd:double"&gt;12.7131&lt;/D&gt;&lt;D xsi:type="xsd:double"&gt;12.486436&lt;/D&gt;&lt;D xsi:type="xsd:double"&gt;10.931391&lt;/D&gt;&lt;D xsi:type="xsd:double"&gt;12.6311&lt;/D&gt;&lt;D xsi:type="xsd:double"&gt;14.729265&lt;/D&gt;&lt;D xsi:type="xsd:double"&gt;15.204053&lt;/D&gt;&lt;D xsi:type="xsd:double"&gt;17.162159&lt;/D&gt;&lt;D xsi:type="xsd:double"&gt;17.168629&lt;/D&gt;&lt;D xsi:type="xsd:double"&gt;16.797606&lt;/D&gt;&lt;D xsi:type="xsd:double"&gt;16.43971&lt;/D&gt;&lt;D xsi:type="xsd:double"&gt;16.517237&lt;/D&gt;&lt;D xsi:type="xsd:double"&gt;16.445915&lt;/D&gt;&lt;D xsi:type="xsd:double"&gt;16.95178&lt;/D&gt;&lt;D xsi:type="xsd:double"&gt;16.724174&lt;/D&gt;&lt;D xsi:type="xsd:double"&gt;16.67498&lt;/D&gt;&lt;D xsi:type="xsd:double"&gt;16.750515&lt;/D&gt;&lt;D xsi:type="xsd:double"&gt;16.591764&lt;/D&gt;&lt;D xsi:type="xsd:double"&gt;16.09497&lt;/D&gt;&lt;D xsi:type="xsd:double"&gt;16.123735&lt;/D&gt;&lt;D xsi:type="xsd:double"&gt;15.873703&lt;/D&gt;&lt;D xsi:type="xsd:double"&gt;16.121344&lt;/D&gt;&lt;D xsi:type="xsd:double"&gt;16.666552&lt;/D&gt;&lt;D xsi:type="xsd:double"&gt;16.238377&lt;/D&gt;&lt;D xsi:type="xsd:double"&gt;16.253824&lt;/D&gt;&lt;D xsi:type="xsd:double"&gt;15.42664&lt;/D&gt;&lt;D xsi:type="xsd:double"&gt;15.496445&lt;/D&gt;&lt;D xsi:type="xsd:double"&gt;14.925718&lt;/D&gt;&lt;D xsi:type="xsd:double"&gt;15.328945&lt;/D&gt;&lt;D xsi:type="xsd:double"&gt;15.264435&lt;/D&gt;&lt;D xsi:type="xsd:double"&gt;16.056927&lt;/D&gt;&lt;D xsi:type="xsd:double"&gt;14.941652&lt;/D&gt;&lt;D xsi:type="xsd:double"&gt;14.791729&lt;/D&gt;&lt;D xsi:type="xsd:double"&gt;14.233134&lt;/D&gt;&lt;D xsi:type="xsd:double"&gt;14.324034&lt;/D&gt;&lt;D xsi:type="xsd:double"&gt;14.649732&lt;/D&gt;&lt;D xsi:type="xsd:double"&gt;14.770767&lt;/D&gt;&lt;D xsi:type="xsd:double"&gt;15.175688&lt;/D&gt;&lt;D xsi:type="xsd:double"&gt;15.437443&lt;/D&gt;&lt;D xsi:type="xsd:double"&gt;16.532284&lt;/D&gt;&lt;D xsi:type="xsd:double"&gt;16.413576&lt;/D&gt;&lt;D xsi:type="xsd:double"&gt;16.17356&lt;/D&gt;&lt;D xsi:type="xsd:double"&gt;16.398245&lt;/D&gt;&lt;D xsi:type="xsd:double"&gt;16.074944&lt;/D&gt;&lt;D xsi:type="xsd:double"&gt;16.213844&lt;/D&gt;&lt;D xsi:type="xsd:double"&gt;15.466183&lt;/D&gt;&lt;D xsi:type="xsd:double"&gt;15.553002&lt;/D&gt;&lt;D xsi:</t>
        </r>
      </text>
    </comment>
    <comment ref="A2" authorId="0" shapeId="0" xr:uid="{30DA3186-AA52-4F66-A59A-848BDEBFB1F3}">
      <text>
        <r>
          <rPr>
            <b/>
            <sz val="9"/>
            <color indexed="81"/>
            <rFont val="Tahoma"/>
            <family val="2"/>
          </rPr>
          <t>type="xsd:double"&gt;16.27458&lt;/D&gt;&lt;D xsi:type="xsd:double"&gt;16.334778&lt;/D&gt;&lt;D xsi:type="xsd:double"&gt;16.711988&lt;/D&gt;&lt;D xsi:type="xsd:double"&gt;16.431795&lt;/D&gt;&lt;D xsi:type="xsd:double"&gt;16.40338&lt;/D&gt;&lt;D xsi:type="xsd:double"&gt;16.129576&lt;/D&gt;&lt;D xsi:type="xsd:double"&gt;15.670259&lt;/D&gt;&lt;D xsi:type="xsd:double"&gt;15.738106&lt;/D&gt;&lt;D xsi:type="xsd:double"&gt;15.248107&lt;/D&gt;&lt;D xsi:type="xsd:double"&gt;15.311192&lt;/D&gt;&lt;D xsi:type="xsd:double"&gt;15.092486&lt;/D&gt;&lt;D xsi:type="xsd:double"&gt;15.235482&lt;/D&gt;&lt;D xsi:type="xsd:double"&gt;15.416332&lt;/D&gt;&lt;D xsi:type="xsd:double"&gt;15.25441&lt;/D&gt;&lt;D xsi:type="xsd:double"&gt;14.46755&lt;/D&gt;&lt;D xsi:type="xsd:double"&gt;13.930935&lt;/D&gt;&lt;D xsi:type="xsd:double"&gt;13.930935&lt;/D&gt;&lt;D xsi:type="xsd:double"&gt;14.151459&lt;/D&gt;&lt;/FQL&gt;&lt;FQL&gt;&lt;Q&gt;CSX^FF_ENTRPR_VAL_DAILY(45559,0,W,,,"DIL")&lt;/Q&gt;&lt;R&gt;52&lt;/R&gt;&lt;C&gt;1&lt;/C&gt;&lt;D xsi:type="xsd:double"&gt;85034.44&lt;/D&gt;&lt;D xsi:type="xsd:double"&gt;84294.6&lt;/D&gt;&lt;D xsi:type="xsd:double"&gt;85206.4&lt;/D&gt;&lt;D xsi:type="xsd:double"&gt;83576.8&lt;/D&gt;&lt;D xsi:type="xsd:double"&gt;81927.8&lt;/D&gt;&lt;D xsi:type="xsd:double"&gt;82160.6&lt;/D&gt;&lt;D xsi:type="xsd:double"&gt;87224&lt;/D&gt;&lt;D xsi:type="xsd:double"&gt;85536.2&lt;/D&gt;&lt;D xsi:type="xsd:double"&gt;86797.2&lt;/D&gt;&lt;D xsi:type="xsd:double"&gt;88291&lt;/D&gt;&lt;D xsi:type="xsd:double"&gt;84217&lt;/D&gt;&lt;D xsi:type="xsd:double"&gt;81869.6&lt;/D&gt;&lt;D xsi:type="xsd:double"&gt;79173&lt;/D&gt;&lt;D xsi:type="xsd:double"&gt;80356.4&lt;/D&gt;&lt;D xsi:type="xsd:double"&gt;80898.62&lt;/D&gt;&lt;D xsi:type="xsd:double"&gt;79810.54&lt;/D&gt;&lt;D xsi:type="xsd:double"&gt;81656.39&lt;/D&gt;&lt;D xsi:type="xsd:double"&gt;81578.67&lt;/D&gt;&lt;D xsi:type="xsd:double"&gt;81928.41&lt;/D&gt;&lt;D xsi:type="xsd:double"&gt;81384.37&lt;/D&gt;&lt;D xsi:type="xsd:double"&gt;82899.91&lt;/D&gt;&lt;D xsi:type="xsd:double"&gt;80820.9&lt;/D&gt;&lt;D xsi:type="xsd:double"&gt;80257.43&lt;/D&gt;&lt;D xsi:type="xsd:double"&gt;78800.18&lt;/D&gt;&lt;D xsi:type="xsd:double"&gt;76371.43&lt;/D&gt;&lt;D xsi:type="xsd:double"&gt;75516.51&lt;/D&gt;&lt;D xsi:type="xsd:double"&gt;74622.73&lt;/D&gt;&lt;D xsi:type="xsd:double"&gt;69954.32&lt;/D&gt;&lt;D xsi:type="xsd:double"&gt;71467.92&lt;/D&gt;&lt;D xsi:type="xsd:double"&gt;70843.56&lt;/D&gt;&lt;D xsi:type="xsd:double"&gt;71146.28&lt;/D&gt;&lt;D xsi:type="xsd:double"&gt;72773.4&lt;/D&gt;&lt;D xsi:type="xsd:double"&gt;72849.08&lt;/D&gt;&lt;D xsi:type="xsd:double"&gt;77730.44&lt;/D&gt;&lt;D xsi:type="xsd:double"&gt;76784.44&lt;/D&gt;&lt;D xsi:type="xsd:double"&gt;78241.28&lt;/D&gt;&lt;D xsi:type="xsd:double"&gt;79452.16&lt;/D&gt;&lt;D xsi:type="xsd:double"&gt;79244.04&lt;/D&gt;&lt;D xsi:type="xsd:double"&gt;79130.52&lt;/D&gt;&lt;D xsi:type="xsd:double"&gt;80738.72&lt;/D&gt;&lt;D xsi:type="xsd:double"&gt;82060.4&lt;/D&gt;&lt;D xsi:type="xsd:double"&gt;82994.9&lt;/D&gt;&lt;D xsi:type="xsd:double"&gt;83536.91&lt;/D&gt;&lt;D xsi:type="xsd:double"&gt;86097.44&lt;/D&gt;&lt;D xsi:type="xsd:double"&gt;84695.69&lt;/D&gt;&lt;D xsi:type="xsd:double"&gt;85480.67&lt;/D&gt;&lt;D xsi:type="xsd:double"&gt;87144.08&lt;/D&gt;&lt;D xsi:type="xsd:double"&gt;83892.02&lt;/D&gt;&lt;D xsi:type="xsd:double"&gt;80023.19&lt;/D&gt;&lt;D xsi:type="xsd:double"&gt;80060.57&lt;/D&gt;&lt;D xsi:type="xsd:double"&gt;79948.43&lt;/D&gt;&lt;D xsi:type="xsd:double"&gt;80901.62&lt;/D&gt;&lt;/FQL&gt;&lt;FQL&gt;&lt;Q&gt;CSX^FE_VALUATION(FFEV_EBITDA,MEAN,ANN_ROLL,+1,45559,43481,W,'')&lt;/Q&gt;&lt;R&gt;297&lt;/R&gt;&lt;C&gt;1&lt;/C&gt;&lt;D xsi:type="xsd:double"&gt;11.726525&lt;/D&gt;&lt;D xsi:type="xsd:double"&gt;11.351189&lt;/D&gt;&lt;D xsi:type="xsd:double"&gt;11.311258&lt;/D&gt;&lt;D xsi:type="xsd:double"&gt;11.550836&lt;/D&gt;&lt;D xsi:type="xsd:double"&gt;11.396441&lt;/D&gt;&lt;D xsi:type="xsd:double"&gt;11.324568&lt;/D&gt;&lt;D xsi:type="xsd:double"&gt;11.478963&lt;/D&gt;&lt;D xsi:type="xsd:double"&gt;11.46582&lt;/D&gt;&lt;D xsi:type="xsd:double"&gt;11.511856&lt;/D&gt;&lt;D xsi:type="xsd:double"&gt;11.609903&lt;/D&gt;&lt;D xsi:type="xsd:double"&gt;11.373506&lt;/D&gt;&lt;D xsi:type="xsd:double"&gt;11.211354&lt;/D&gt;&lt;D xsi:type="xsd:double"&gt;11.254053&lt;/D&gt;&lt;D xsi:type="xsd:double"&gt;11.271082&lt;/D&gt;&lt;D xsi:type="xsd:double"&gt;10.9450655&lt;/D&gt;&lt;D xsi:type="xsd:double"&gt;11.096819&lt;/D&gt;&lt;D xsi:type="xsd:double"&gt;11.354348&lt;/D&gt;&lt;D xsi:type="xsd:double"&gt;11.3623295&lt;/D&gt;&lt;D xsi:type="xsd:double"&gt;11.293161&lt;/D&gt;&lt;D xsi:type="xsd:double"&gt;11.528391&lt;/D&gt;&lt;D xsi:type="xsd:double"&gt;11.387317&lt;/D&gt;&lt;D xsi:type="xsd:double"&gt;11.424582&lt;/D&gt;&lt;D xsi:type="xsd:double"&gt;11.506357&lt;/D&gt;&lt;D xsi:type="xsd:double"&gt;11.740075&lt;/D&gt;&lt;D xsi:type="xsd:double"&gt;11.974325&lt;/D&gt;&lt;D xsi:type="xsd:double"&gt;12.161558&lt;/D&gt;&lt;D xsi:type="xsd:double"&gt;12.506821&lt;/D&gt;&lt;D xsi:type="xsd:double"&gt;12.407514&lt;/D&gt;&lt;D xsi:type="xsd:double"&gt;12.737961&lt;/D&gt;&lt;D xsi:type="xsd:double"&gt;12.754266&lt;/D&gt;&lt;D xsi:type="xsd:double"&gt;12.777371&lt;/D&gt;&lt;D xsi:type="xsd:double"&gt;12.34064&lt;/D&gt;&lt;D xsi:type="xsd:double"&gt;12.385718&lt;/D&gt;&lt;D xsi:type="xsd:double"&gt;12.288072&lt;/D&gt;&lt;D xsi:type="xsd:double"&gt;11.989969&lt;/D&gt;&lt;D xsi:type="xsd:double"&gt;12.15536&lt;/D&gt;&lt;D xsi:type="xsd:double"&gt;12.246665&lt;/D&gt;&lt;D xsi:type="xsd:double"&gt;12.176404&lt;/D&gt;&lt;D xsi:type="xsd:double"&gt;12.194239&lt;/D&gt;&lt;D xsi:type="xsd:double"&gt;12.09491&lt;/D&gt;&lt;D xsi:type="xsd:double"&gt;11.921965&lt;/D&gt;&lt;D xsi:type="xsd:double"&gt;11.629369&lt;/D&gt;&lt;D xsi:type="xsd:double"&gt;11.750073&lt;/D&gt;&lt;D xsi:type="xsd:double"&gt;11.538266&lt;/D&gt;&lt;D xsi:type="xsd:double"&gt;11.254001&lt;/D&gt;&lt;D xsi:type="xsd:double"&gt;10.997602&lt;/D&gt;&lt;D xsi:type="xsd:double"&gt;10.913995&lt;/D&gt;&lt;D xsi:type="xsd:double"&gt;10.581418&lt;/D&gt;&lt;D xsi:type="xsd:double"&gt;10.983204&lt;/D&gt;&lt;D xsi:type="xsd:double"&gt;11.074516&lt;/D&gt;&lt;D xsi:type="xsd:double"&gt;10.970194&lt;/D&gt;&lt;D xsi:type="xsd:double"&gt;10.851162&lt;/D&gt;&lt;D xsi:type="xsd:double"&gt;11.058183&lt;/D&gt;&lt;D xsi:type="xsd:double"&gt;10.916482&lt;/D&gt;&lt;D xsi:type="xsd:double"&gt;10.63377&lt;/D&gt;&lt;D xsi:type="xsd:double"&gt;10.821468&lt;/D&gt;&lt;D xsi:type="xsd:double"&gt;10.898756&lt;/D&gt;&lt;D xsi:type="xsd:double"&gt;10.887715&lt;/D&gt;&lt;D xsi:type="xsd:double"&gt;10.858573&lt;/D&gt;&lt;D xsi:type="xsd:double"&gt;11.071192&lt;/D&gt;&lt;D xsi:type="xsd:double"&gt;11.700765&lt;/D&gt;&lt;D xsi:type="xsd:double"&gt;11.285337&lt;/D&gt;&lt;D xsi:type="xsd:double"&gt;11.446769&lt;/D&gt;&lt;D xsi:type="xsd:double"&gt;11.360826&lt;/D&gt;&lt;D xsi:type="xsd:double"&gt;11.568864&lt;/D&gt;&lt;D xsi:type="xsd:double"&gt;11.288051&lt;/D&gt;&lt;D xsi:type="xsd:double"&gt;11.417542&lt;/D&gt;&lt;D xsi:type="xsd:double"&gt;11.1695795&lt;/D&gt;&lt;D xsi:type="xsd:double"&gt;11.061283&lt;/D&gt;&lt;D xsi:type="xsd:double"&gt;10.772727&lt;/D&gt;&lt;D xsi:type="xsd:double"&gt;11.18663&lt;/D&gt;&lt;D xsi:type="xsd:double"&gt;11.051422&lt;/D&gt;&lt;D xsi:type="xsd:double"&gt;11.063087&lt;/D&gt;&lt;D xsi:type="xsd:double"&gt;10.726427&lt;/D&gt;&lt;D xsi:type="xsd:double"&gt;11.06482&lt;/D&gt;&lt;D xsi:type="xsd:double"&gt;10.893243&lt;/D&gt;&lt;D xsi:type="xsd:double"&gt;10.785115&lt;/D&gt;&lt;D xsi:type="xsd:double"&gt;10.783177&lt;/D&gt;&lt;D xsi:type="xsd:double"&gt;10.570716&lt;/D&gt;&lt;D xsi:type="xsd:double"&gt;10.76807&lt;/D&gt;&lt;D xsi:type="xsd:double"&gt;10.945251&lt;/D&gt;&lt;D xsi:type="xsd:double"&gt;11.433546&lt;/D&gt;&lt;D xsi:type="xsd:double"&gt;11.315921&lt;/D&gt;&lt;D xsi:type="xsd:double"&gt;11.451231&lt;/D&gt;&lt;D xsi:type="xsd:double"&gt;11.557127&lt;/D&gt;&lt;D xsi:type="xsd:double"&gt;11.763036&lt;/D&gt;&lt;D xsi:type="xsd:double"&gt;11.118698&lt;/D&gt;&lt;D xsi:type="xsd:double"&gt;11.42214&lt;/D&gt;&lt;D xsi:type="xsd:double"&gt;11.534037&lt;/D&gt;&lt;D xsi:type="xsd:double"&gt;11.459462&lt;/D&gt;&lt;D xsi:type="xsd:double"&gt;11.102095&lt;/D&gt;&lt;D xsi:type="xsd:double"&gt;11.065825&lt;/D&gt;&lt;D xsi:type="xsd:double"&gt;11.170578&lt;/D&gt;&lt;D xsi:type="xsd:double"&gt;11.099162&lt;/D&gt;&lt;D xsi:type="xsd:double"&gt;11.270666&lt;/D&gt;&lt;D xsi:type="xsd:double"&gt;11.257771&lt;/D&gt;&lt;D xsi:type="xsd:double"&gt;10.933805&lt;/D&gt;&lt;D xsi:type="xsd:double"&gt;11.235035&lt;/D&gt;&lt;D xsi:type="xsd:double"&gt;10.578582&lt;/D&gt;&lt;D xsi:type="xsd:double"&gt;10.456869&lt;/D&gt;&lt;D xsi:type="xsd:double"&gt;9.9877615&lt;/D&gt;&lt;D xsi:type="xsd:double"&gt;10.007671&lt;/D&gt;&lt;D xsi:type="xsd:double"&gt;9.8370495&lt;/D&gt;&lt;D xsi:type="xsd:double"&gt;9.786178&lt;/D&gt;&lt;D xsi:type="xsd:double"&gt;10.171936&lt;/D&gt;&lt;D xsi:type="xsd:double"&gt;10.70028&lt;/D&gt;&lt;D xsi:type="xsd:double"&gt;11.614024&lt;/D&gt;&lt;D xsi:type="xsd:double"&gt;11.2101555&lt;/D&gt;&lt;D xsi:type="xsd:double"&gt;11.614024&lt;/D&gt;&lt;D xsi:type="xsd:double"&gt;11.962688&lt;/D&gt;&lt;D xsi:type="xsd:double"&gt;12.113776&lt;/D&gt;&lt;D xsi:type="xsd:double"&gt;11.75349&lt;/D&gt;&lt;D xsi:type="xsd:double"&gt;11.526859&lt;/D&gt;&lt;D xsi:type="xsd:double"&gt;11.108462&lt;/D&gt;&lt;D xsi:type="xsd:double"&gt;10.713062&lt;/D&gt;&lt;D xsi:type="xsd:double"&gt;10.731297&lt;/D&gt;&lt;D xsi:type="xsd:double"&gt;10.839357&lt;/D&gt;&lt;D xsi:type="xsd:double"&gt;10.891453&lt;/D&gt;&lt;D xsi:type="xsd:double"&gt;10.698009&lt;/D&gt;&lt;D xsi:type="xsd:double"&gt;11.120948&lt;/D&gt;&lt;D xsi:type="xsd:double"&gt;11.664317&lt;/D&gt;&lt;D xsi:type="xsd:double"&gt;11.636788&lt;/D&gt;&lt;D xsi:type="xsd:double"&gt;11.303834&lt;/D&gt;&lt;D xsi:type="xsd:double"&gt;12.049909&lt;/D&gt;&lt;D xsi:type="xsd:double"&gt;12.454824&lt;/D&gt;&lt;D xsi:type="xsd:double"&gt;12.322851&lt;/D&gt;&lt;D xsi:type="xsd:double"&gt;12.376841&lt;/D&gt;&lt;D xsi:type="xsd:double"&gt;12.69124&lt;/D&gt;&lt;D xsi:type="xsd:double"&gt;12.462723&lt;/D&gt;&lt;D xsi:type="xsd:double"&gt;12.781982&lt;/D&gt;&lt;D xsi:type="xsd:double"&gt;13.490348&lt;/D&gt;&lt;D xsi:type="xsd:double"&gt;13.300716&lt;/D&gt;&lt;D xsi:type="xsd:double"&gt;12.776566&lt;/D&gt;&lt;D xsi:type="xsd:double"&gt;13.630011&lt;/D&gt;&lt;D xsi:type="xsd:double"&gt;12.661436&lt;/D&gt;&lt;D xsi:type="xsd:double"&gt;12.77009&lt;/D&gt;&lt;D xsi:type="xsd:double"&gt;12.369623&lt;/D&gt;&lt;D xsi:type="xsd:double"&gt;12.658006&lt;/D&gt;&lt;D xsi:type="xsd:double"&gt;12.698361&lt;/D&gt;&lt;D xsi:type="xsd:double"&gt;12.595919&lt;/D&gt;&lt;D xsi:type="xsd:double"&gt;14.337127&lt;/D&gt;&lt;D xsi:type="xsd:double"&gt;14.697087&lt;/D&gt;&lt;D xsi:type="xsd:double"&gt;14.711319&lt;/D&gt;&lt;D xsi:type="xsd:double"&gt;14.378642&lt;/D&gt;&lt;D xsi:type="xsd:double"&gt;14.023728&lt;/D&gt;&lt;D xsi:type="xsd:double"&gt;14.3494835&lt;/D&gt;&lt;D xsi:type="xsd:double"&gt;14.04292&lt;/D&gt;&lt;D xsi:type="xsd:double"&gt;13.952751&lt;/D&gt;&lt;D xsi:type="xsd:double"&gt;14.120761&lt;/D&gt;&lt;D xsi:type="xsd:double"&gt;13.839265&lt;/D&gt;&lt;D xsi:type="xsd:double"&gt;13.898876&lt;/D&gt;&lt;D xsi:type="xsd:double"&gt;14.150567&lt;/D&gt;&lt;D xsi:type="xsd:double"&gt;13.91582&lt;/D&gt;&lt;D xsi:type="xsd:double"&gt;13.9571905&lt;/D&gt;&lt;D xsi:type="xsd:double"&gt;13.428632&lt;/D&gt;&lt;D xsi:type="xsd:double"&gt;12.570424&lt;/D&gt;&lt;D xsi:type="xsd:double"&gt;12.585042&lt;/D&gt;&lt;D xsi:type="xsd:double"&gt;12.547564&lt;/D&gt;&lt;D xsi:type="xsd:double"&gt;12.753776&lt;/D&gt;&lt;D xsi:type="xsd:double"&gt;13.133821&lt;/D&gt;&lt;D xsi:type="xsd:double"&gt;13.634002&lt;/D&gt;&lt;D xsi:type="xsd:double"&gt;13.730588&lt;/D&gt;&lt;D xsi:type="xsd:double"&gt;13.778891&lt;/D&gt;&lt;D xsi:type="xsd:double"&gt;13.237315&lt;/D&gt;&lt;D xsi:type="xsd:double"&gt;13.244214&lt;/D&gt;&lt;D xsi:type="xsd:double"&gt;13.39356&lt;/D&gt;&lt;D xsi:type="xsd:double"&gt;13.38583&lt;/D&gt;&lt;D xsi:type="xsd:double"&gt;13.510191&lt;/D&gt;&lt;D xsi:type="xsd:double"&gt;13.79797&lt;/D&gt;&lt;D xsi:type="xsd:double"&gt;13.62835&lt;/D&gt;&lt;D xsi:type="xsd:double"&gt;13.490629&lt;/D&gt;&lt;D xsi:type="xsd:double"&gt;13.772847&lt;/D&gt;&lt;D xsi:type="xsd:double"&gt;14.061214&lt;/D&gt;&lt;D xsi:type="xsd:double"&gt;14.120897&lt;/D&gt;&lt;D xsi:type="xsd:double"&gt;13.906928&lt;/D&gt;&lt;D xsi:type="xsd:double"&gt;14.315293&lt;/D&gt;&lt;D xsi:type="xsd:double"&gt;14.484824&lt;/D&gt;&lt;D xsi:type="xsd:double"&gt;14.197932&lt;/D&gt;&lt;D xsi:type="xsd:double"&gt;14.479676&lt;/D&gt;&lt;D xsi:type="xsd:double"&gt;14.0236845&lt;/D&gt;&lt;D xsi:type="xsd:double"&gt;13.966092&lt;/D&gt;&lt;D xsi:type="xsd:double"&gt;13.833296&lt;/D&gt;&lt;D xsi:type="xsd:double"&gt;14.008824&lt;/D&gt;&lt;D xsi:type="xsd:double"&gt;13.161301&lt;/D&gt;&lt;D xsi:type="xsd:double"&gt;13.523191&lt;/D&gt;&lt;D xsi:type="xsd:double"&gt;13.2555895&lt;/D&gt;&lt;D xsi:type="xsd:double"&gt;13.240254&lt;/D&gt;&lt;D xsi:type="xsd:double"&gt;13.305318&lt;/D&gt;&lt;D xsi:type="xsd:double"&gt;13.070363&lt;/D&gt;&lt;D xsi:type="xsd:double"&gt;12.883788&lt;/D&gt;&lt;D xsi:type="xsd:double"&gt;12.546887&lt;/D&gt;&lt;D xsi:type="xsd:double"&gt;12.774098&lt;/D&gt;&lt;D xsi:type="xsd:double"&gt;14.995266&lt;/D&gt;&lt;D xsi:type="xsd:double"&gt;15.3262005&lt;/D&gt;&lt;D xsi:type="xsd:double"&gt;14.657156&lt;/D&gt;&lt;D xsi:type="xsd:double"&gt;14.5471735&lt;/D&gt;&lt;D xsi:type="xsd:double"&gt;14.629027&lt;/D&gt;&lt;D xsi:type="xsd:double"&gt;14.610679&lt;/D&gt;&lt;D xsi:type="xsd:double"&gt;14.825573&lt;/D&gt;&lt;D xsi:type="xsd:double"&gt;14.750242&lt;/D&gt;&lt;D xsi:type="xsd:double"&gt;14.786358&lt;/D&gt;&lt;D xsi:type="xsd:double"&gt;14.666191&lt;/D&gt;&lt;D xsi:type="xsd:double"&gt;14.076932&lt;/D&gt;&lt;D xsi:type="xsd:double"&gt;13.102022&lt;/D&gt;&lt;D xsi:type="xsd:double"&gt;13.418465&lt;/D&gt;&lt;D xsi:type="xsd:double"&gt;13.383489&lt;/D&gt;&lt;D xsi:type="xsd:double"&gt;13.169883&lt;/D&gt;&lt;D xsi:type="xsd:double"&gt;13.017089&lt;/D&gt;&lt;D xsi:type="xsd:double"&gt;13.218799&lt;/D&gt;&lt;D xsi:type="xsd:double"&gt;13.487018&lt;/D&gt;&lt;D xsi:type="xsd:double"&gt;13.123215&lt;/D&gt;&lt;D xsi:type="xsd:double"&gt;12.919242&lt;/D&gt;&lt;D xsi:type="xsd:double"&gt;13.132979&lt;/D&gt;&lt;D xsi:type="xsd:double"&gt;12.736561&lt;/D&gt;&lt;D xsi:type="xsd:double"&gt;12.753013&lt;/D&gt;&lt;D xsi:type="xsd:double"&gt;12.584098&lt;/D&gt;&lt;D xsi:type="xsd:double"&gt;12.365928&lt;/D&gt;&lt;D xsi:type="xsd:double"&gt;12.365929&lt;/D&gt;&lt;D xsi:type="xsd:double"&gt;12.495052&lt;/D&gt;&lt;D xsi:type="xsd:double"&gt;11.875671&lt;/D&gt;&lt;D xsi:type="xsd:double"&gt;11.958445&lt;/D&gt;&lt;D xsi:type="xsd:double"&gt;11.69277&lt;/D&gt;&lt;D xsi:type="xsd:double"&gt;11.929966&lt;/D&gt;&lt;D xsi:type="xsd:double"&gt;12.117252&lt;/D&gt;&lt;D xsi:type="xsd:double"&gt;12.8703165&lt;/D&gt;&lt;D xsi:type="xsd:double"&gt;12.391967&lt;/D&gt;&lt;D xsi:type="xsd:double"&gt;11.953136&lt;/D&gt;&lt;D xsi:type="xsd:double"&gt;11.051035&lt;/D&gt;&lt;D xsi:type="xsd:double"&gt;11.611155&lt;/D&gt;&lt;D xsi:type="xsd:double"&gt;11.459881&lt;/D&gt;&lt;D xsi:type="xsd:double"&gt;11.299068&lt;/D&gt;&lt;D xsi:type="xsd:double"&gt;10.906876&lt;/D&gt;&lt;D xsi:type="xsd:double"&gt;10.850545&lt;/D&gt;&lt;D xsi:type="xsd:double"&gt;9.512557&lt;/D&gt;&lt;D xsi:type="xsd:double"&gt;9.662048&lt;/D&gt;&lt;D xsi:type="xsd:double"&gt;8.787954&lt;/D&gt;&lt;D xsi:type="xsd:double"&gt;9.796992&lt;/D&gt;&lt;D xsi:type="xsd:double"&gt;11.031315&lt;/D&gt;&lt;D xsi:type="xsd:double"&gt;11.310723&lt;/D&gt;&lt;D xsi:type="xsd:double"&gt;12.46575&lt;/D&gt;&lt;D xsi:type="xsd:double"&gt;12.4677725&lt;/D&gt;&lt;D xsi:type="xsd:double"&gt;12.249393&lt;/D&gt;&lt;D xsi:type="xsd:double"&gt;12.03694&lt;/D&gt;&lt;D xsi:type="xsd:double"&gt;12.082579&lt;/D&gt;&lt;D xsi:type="xsd:double"&gt;12.044546&lt;/D&gt;&lt;D xsi:type="xsd:double"&gt;11.517637&lt;/D&gt;&lt;D xsi:type="xsd:double"&gt;11.437873&lt;/D&gt;&lt;D xsi:type="xsd:double"&gt;11.334971&lt;/D&gt;&lt;D xsi:type="xsd:double"&gt;11.375865&lt;/D&gt;&lt;D xsi:type="xsd:double"&gt;11.3216715&lt;/D&gt;&lt;D xsi:type="xsd:double"&gt;11.114069&lt;/D&gt;&lt;D xsi:type="xsd:double"&gt;11.141023&lt;/D&gt;&lt;D xsi:type="xsd:double"&gt;11.008211&lt;/D&gt;&lt;D xsi:type="xsd:double"&gt;11.14407&lt;/D&gt;&lt;D xsi:type="xsd:double"&gt;11.438303&lt;/D&gt;&lt;D xsi:type="xsd:double"&gt;11.223351&lt;/D&gt;&lt;D xsi:type="xsd:double"&gt;11.241891&lt;/D&gt;&lt;D xsi:type="xsd:double"&gt;10.790682&lt;/D&gt;&lt;D xsi:type="xsd:double"&gt;10.945702&lt;/D&gt;&lt;D xsi:type="xsd:double"&gt;10.643558&lt;/D&gt;&lt;D xsi:type="xsd:double"&gt;11.048745&lt;/D&gt;&lt;D xsi:type="xsd:double"&gt;11.011924&lt;/D&gt;&lt;D xsi:type="xsd:double"&gt;11.490282&lt;/D&gt;&lt;D xsi:type="xsd:double"&gt;10.859856&lt;/D&gt;&lt;D xsi:type="xsd:double"&gt;10.785979&lt;/D&gt;&lt;D xsi:type="xsd:double"&gt;10.481878&lt;/D&gt;&lt;D xsi:type="xsd:double"&gt;10.541476&lt;/D&gt;&lt;D xsi:type="xsd:double"&gt;10.729007&lt;/D&gt;&lt;D xsi:type="xsd:double"&gt;10.7986965&lt;/D&gt;&lt;D xsi:type="xsd:double"&gt;11.031843&lt;/D&gt;&lt;D xsi:type="xsd:double"&gt;11.189041&lt;/D&gt;&lt;D xsi:type="xsd:double"&gt;11.873438&lt;/D&gt;&lt;D xsi:type="xsd:double"&gt;11.802071&lt;/D&gt;&lt;D xsi:type="xsd:double"&gt;11.671944&lt;/D&gt;&lt;D xsi:type="xsd:double"&gt;11.884992&lt;/D&gt;&lt;D xsi:type="xsd:double"&gt;11.6857&lt;/D&gt;&lt;D xsi:type="xsd:double"&gt;11.78905&lt;/D&gt;&lt;D xsi:type="xsd:double"&gt;11.345143&lt;/D&gt;&lt;D xsi:type="xsd:double"&gt;11.398205&lt;/D&gt;&lt;D xsi:type="xsd:double"&gt;11.827203&lt;/D&gt;&lt;D xsi:type="xsd:double"&gt;11.862953&lt;/D&gt;&lt;D xsi:type="xsd:double"&gt;12.088558&lt;/D&gt;&lt;D xsi:type="xsd:double"&gt;11.938452&lt;/D&gt;&lt;D xsi:type="xsd:double"&gt;11.912531&lt;/D&gt;&lt;D xsi:type="xsd:double"&gt;11.781596&lt;/D&gt;&lt;D xsi:type="xsd:double"&gt;11.49668&lt;/D&gt;&lt;D xsi:type="xsd:double"&gt;11.544251&lt;/D&gt;&lt;D xsi:type="xsd:double"&gt;11.637117&lt;/D&gt;&lt;D xsi:type="xsd:double"&gt;11.676618&lt;/D&gt;&lt;D xsi:type="xsd:double"&gt;11.543013&lt;/D&gt;&lt;D xsi:type="xsd:double"&gt;11.632483&lt;/D&gt;&lt;D xsi:type="xsd:double"&gt;11.745753&lt;/D&gt;&lt;D xsi:type="xsd:double"&gt;11.644338&lt;/D&gt;&lt;D xsi:type="xsd:double"&gt;11.145155&lt;/D&gt;&lt;D xsi:type="xsd:double"&gt;10.809294&lt;/D&gt;&lt;D xsi:type="xsd:double"&gt;10.809207&lt;/D&gt;&lt;D xsi:type="xsd:double"&gt;10.964464&lt;/D&gt;&lt;/FQL&gt;&lt;FQL&gt;&lt;Q&gt;CSX^FE_VALUATION(FFEV_EBITDA,MEAN,ANN_ROLL,+2,45559,43481,W,'')&lt;/Q&gt;&lt;R&gt;297&lt;/R&gt;&lt;C&gt;1&lt;/C&gt;&lt;D xsi:type="xsd:double"&gt;11.067012&lt;/D&gt;&lt;D xsi:type="xsd:double"&gt;10.712785&lt;/D&gt;&lt;D xsi:type="xsd:double"&gt;10.6751&lt;/D&gt;&lt;D xsi:type="xsd:double"&gt;10.901203&lt;/D&gt;&lt;D xsi:type="xsd:double"&gt;10.755492&lt;/D&gt;&lt;D xsi:type="xsd:double"&gt;10.687661&lt;/D&gt;&lt;D xsi:type="xsd:double"&gt;10.833372&lt;/D&gt;&lt;D xsi:type="xsd:double"&gt;10.79702&lt;/D&gt;&lt;D xsi:type="xsd:double"&gt;10.843974&lt;/D&gt;&lt;D xsi:type="xsd:double"&gt;10.936333&lt;/D&gt;&lt;D xsi:type="xsd:double"&gt;10.716258&lt;/D&gt;&lt;D xsi:type="xsd:double"&gt;10.549161&lt;/D&gt;&lt;D xsi:type="xsd:double"&gt;10.5846615&lt;/D&gt;&lt;D xsi:type="xsd:double"&gt;10.594785&lt;/D&gt;&lt;D xsi:type="xsd:double"&gt;10.289235&lt;/D&gt;&lt;D xsi:type="xsd:double"&gt;10.431896&lt;/D&gt;&lt;D xsi:type="xsd:double"&gt;10.671831&lt;/D&gt;&lt;D xsi:type="xsd:double"&gt;10.679333&lt;/D&gt;&lt;D xsi:type="xsd:double"&gt;10.614323&lt;/D&gt;&lt;D xsi:type="xsd:double"&gt;10.839642&lt;/D&gt;&lt;D xsi:type="xsd:double"&gt;10.706995&lt;/D&gt;&lt;D xsi:type="xsd:double"&gt;10.742033&lt;/D&gt;&lt;D xsi:type="xsd:double"&gt;10.827245&lt;/D&gt;&lt;D xsi:type="xsd:double"&gt;11.090471&lt;/D&gt;&lt;D xsi:type="xsd:double"&gt;11.323675&lt;/D&gt;&lt;D xsi:type="xsd:double"&gt;11.524056&lt;/D&gt;&lt;D xsi:type="xsd:double"&gt;11.844903&lt;/D&gt;&lt;D xsi:type="xsd:double"&gt;11.74728&lt;/D&gt;&lt;D xsi:type="xsd:double"&gt;12.058384&lt;/D&gt;&lt;D xsi:type="xsd:double"&gt;12.09415&lt;/D&gt;&lt;D xsi:type="xsd:double"&gt;12.121179&lt;/D&gt;&lt;D xsi:type="xsd:double"&gt;11.706876&lt;/D&gt;&lt;D xsi:type="xsd:double"&gt;11.750072&lt;/D&gt;&lt;D xsi:type="xsd:double"&gt;11.657437&lt;/D&gt;&lt;D xsi:type="xsd:double"&gt;11.376498&lt;/D&gt;&lt;D xsi:type="xsd:double"&gt;11.742174&lt;/D&gt;&lt;D xsi:type="xsd:double"&gt;11.830402&lt;/D&gt;&lt;D xsi:type="xsd:double"&gt;11.7759695&lt;/D&gt;&lt;D xsi:type="xsd:double"&gt;11.784167&lt;/D&gt;&lt;D xsi:type="xsd:double"&gt;11.688179&lt;/D&gt;&lt;D xsi:type="xsd:double"&gt;11.491412&lt;/D&gt;&lt;D xsi:type="xsd:double"&gt;11.217174&lt;/D&gt;&lt;D xsi:type="xsd:double"&gt;11.337212&lt;/D&gt;&lt;D xsi:type="xsd:double"&gt;11.132847&lt;/D&gt;&lt;D xsi:type="xsd:double"&gt;10.858569&lt;/D&gt;&lt;D xsi:type="xsd:double"&gt;10.611179&lt;/D&gt;&lt;D xsi:type="xsd:double"&gt;10.53051&lt;/D&gt;&lt;D xsi:type="xsd:double"&gt;10.220706&lt;/D&gt;&lt;D xsi:type="xsd:double"&gt;10.606749&lt;/D&gt;&lt;D xsi:type="xsd:double"&gt;10.693803&lt;/D&gt;&lt;D xsi:type="xsd:double"&gt;10.585186&lt;/D&gt;&lt;D xsi:type="xsd:double"&gt;10.48374&lt;/D&gt;&lt;D xsi:type="xsd:double"&gt;10.703672&lt;/D&gt;&lt;D xsi:type="xsd:double"&gt;10.585301&lt;/D&gt;&lt;D xsi:type="xsd:double"&gt;10.312037&lt;/D&gt;&lt;D xsi:type="xsd:double"&gt;10.494057&lt;/D&gt;&lt;D xsi:type="xsd:double"&gt;10.569006&lt;/D&gt;&lt;D xsi:type="xsd:double"&gt;10.558299&lt;/D&gt;&lt;D xsi:type="xsd:double"&gt;10.533058&lt;/D&gt;&lt;D xsi:type="xsd:double"&gt;10.739304&lt;/D&gt;&lt;D xsi:type="xsd:double"&gt;11.350003&lt;/D&gt;&lt;D xsi:type="xsd:double"&gt;10.934756&lt;/D&gt;&lt;D xsi:type="xsd:double"&gt;11.08762&lt;/D&gt;&lt;D xsi:type="xsd:double"&gt;10.998446&lt;/D&gt;&lt;D xsi:type="xsd:double"&gt;11.224687&lt;/D&gt;&lt;D xsi:type="xsd:double"&gt;10.952229&lt;/D&gt;&lt;D xsi:type="xsd:double"&gt;11.0778675&lt;/D&gt;&lt;D xsi:type="xsd:double"&gt;10.837281&lt;/D&gt;&lt;D xsi:type="xsd:double"&gt;10.733034&lt;/D&gt;&lt;D xsi:type="xsd:double"&gt;10.455254&lt;/D&gt;&lt;D xsi:type="xsd:double"&gt;10.856958&lt;/D&gt;&lt;D xsi:type="xsd:double"&gt;10.725736&lt;/D&gt;&lt;D xsi:type="xsd:double"&gt;10.737093&lt;/D&gt;&lt;D xsi:type="xsd:double"&gt;10.410353&lt;/D&gt;&lt;D xsi:type="xsd:double"&gt;10.737959&lt;/D&gt;&lt;D xsi:type="xsd:double"&gt;10.528432&lt;/D&gt;&lt;D xsi:type="xsd:double"&gt;10.412463&lt;/D&gt;&lt;D xsi:type="xsd:double"&gt;10.404654&lt;/D&gt;&lt;D xsi:type="xsd:double"&gt;10.192332&lt;/D&gt;&lt;D xsi:type="xsd:double"&gt;10.382734&lt;/D&gt;&lt;D xsi:type="xsd:double"&gt;10.546073&lt;/D&gt;&lt;D xsi:type="xsd:double"&gt;11.016559&lt;/D&gt;&lt;D xsi:type="xsd:double"&gt;10.912447&lt;/D&gt;&lt;D xsi:type="xsd:double"&gt;11.042933&lt;/D&gt;&lt;D xsi:type="xsd:double"&gt;11.145053&lt;/D&gt;&lt;D xsi:type="xsd:double"&gt;11.34362&lt;/D&gt;&lt;D xsi:type="xsd:double"&gt;10.722391&lt;/D&gt;&lt;D xsi:type="xsd:double"&gt;11.600621&lt;/D&gt;&lt;D xsi:type="xsd:double"&gt;11.720403&lt;/D&gt;&lt;D xsi:type="xsd:double"&gt;11.661917&lt;/D&gt;&lt;D xsi:type="xsd:double"&gt;11.310545&lt;/D&gt;&lt;D xsi:type="xsd:double"&gt;11.273594&lt;/D&gt;&lt;D xsi:type="xsd:double"&gt;11.384096&lt;/D&gt;&lt;D xsi:type="xsd:double"&gt;11.317428&lt;/D&gt;&lt;D xsi:type="xsd:double"&gt;11.499318&lt;/D&gt;&lt;D xsi:type="xsd:double"&gt;11.444835&lt;/D&gt;&lt;D xsi:type="xsd:double"&gt;11.115487&lt;/D&gt;&lt;D xsi:type="xsd:double"&gt;11.421722&lt;/D&gt;&lt;D xsi:type="xsd:double"&gt;10.75436&lt;/D&gt;&lt;D xsi:type="xsd:double"&gt;10.621143&lt;/D&gt;&lt;D xsi:type="xsd:double"&gt;10.11855&lt;/D&gt;&lt;D xsi:type="xsd:double"&gt;10.041021&lt;/D&gt;&lt;D xsi:type="xsd:double"&gt;9.787453&lt;/D&gt;&lt;D xsi:type="xsd:double"&gt;9.662141&lt;/D&gt;&lt;D xsi:type="xsd:double"&gt;9.974612&lt;/D&gt;&lt;D xsi:type="xsd:double"&gt;10.49022&lt;/D&gt;&lt;D xsi:type="xsd:double"&gt;11.384668&lt;/D&gt;&lt;D xsi:type="xsd:double"&gt;10.988774&lt;/D&gt;&lt;D xsi:type="xsd:double"&gt;11.384668&lt;/D&gt;&lt;D xsi:type="xsd:double"&gt;11.726446&lt;/D&gt;&lt;D xsi:type="xsd:double"&gt;11.87455&lt;/D&gt;&lt;D xsi:type="xsd:double"&gt;11.521379&lt;/D&gt;&lt;D xsi:type="xsd:double"&gt;11.299224&lt;/D&gt;&lt;D xsi:type="xsd:double"&gt;10.88909&lt;/D&gt;&lt;D xsi:type="xsd:double"&gt;10.372176&lt;/D&gt;&lt;D xsi:type="xsd:double"&gt;10.347482&lt;/D&gt;&lt;D xsi:type="xsd:double"&gt;10.437622&lt;/D&gt;&lt;D xsi:type="xsd:double"&gt;10.491321&lt;/D&gt;&lt;D xsi:type="xsd:double"&gt;10.310391&lt;/D&gt;&lt;D xsi:type="xsd:double"&gt;10.71381&lt;/D&gt;&lt;D xsi:type="xsd:double"&gt;11.237287&lt;/D&gt;&lt;D xsi:type="xsd:double"&gt;11.183272&lt;/D&gt;&lt;D xsi:type="xsd:double"&gt;10.863296&lt;/D&gt;&lt;D xsi:type="xsd:double"&gt;11.561903&lt;/D&gt;&lt;D xsi:type="xsd:double"&gt;11.95042&lt;/D&gt;&lt;D xsi:type="xsd:double"&gt;11.823792&lt;/D&gt;&lt;D xsi:type="xsd:double"&gt;11.875595&lt;/D&gt;&lt;D xsi:type="xsd:double"&gt;12.10771&lt;/D&gt;&lt;D xsi:type="xsd:double"&gt;11.903543&lt;/D&gt;&lt;D xsi:type="xsd:double"&gt;12.223141&lt;/D&gt;&lt;D xsi:type="xsd:double"&gt;12.905144&lt;/D&gt;&lt;D xsi:type="xsd:double"&gt;12.723739&lt;/D&gt;&lt;D xsi:type="xsd:double"&gt;12.227084&lt;/D&gt;&lt;D xsi:type="xsd:double"&gt;13.052594&lt;/D&gt;&lt;D xsi:type="xsd:double"&gt;12.127573&lt;/D&gt;&lt;D xsi:type="xsd:double"&gt;12.231646&lt;/D&gt;&lt;D xsi:type="xsd:double"&gt;11.848063&lt;/D&gt;&lt;D xsi:type="xsd:double"&gt;12.134537&lt;/D&gt;&lt;D xsi:type="xsd:double"&gt;12.173224&lt;/D&gt;&lt;D xsi:type="xsd:double"&gt;12.075018&lt;/D&gt;&lt;D xsi:type="xsd:double"&gt;13.301271&lt;/D&gt;&lt;D xsi:type="xsd:double"&gt;13.654825&lt;/D&gt;&lt;D xsi:type="xsd:double"&gt;13.686063&lt;/D&gt;&lt;D xsi:type="xsd:double"&gt;13.362213&lt;/D&gt;&lt;D xsi:type="xsd:double"&gt;13.032388&lt;/D&gt;&lt;D xsi:type="xsd:double"&gt;13.33714&lt;/D&gt;&lt;D xsi:type="xsd:double"&gt;13.057751&lt;/D&gt;&lt;D xsi:type="xsd:double"&gt;12.981821&lt;/D&gt;&lt;D xsi:type="xsd:double"&gt;13.15692&lt;/D&gt;&lt;D xsi:type="xsd:double"&gt;12.894639&lt;/D&gt;&lt;D xsi:type="xsd:double"&gt;12.950181&lt;/D&gt;&lt;D xsi:type="xsd:double"&gt;13.184691&lt;/D&gt;&lt;D xsi:type="xsd:double"&gt;12.971347&lt;/D&gt;&lt;D xsi:type="xsd:double"&gt;12.996793&lt;/D&gt;&lt;D xsi:type="xsd:double"&gt;12.513894&lt;/D&gt;&lt;D xsi:type="xsd:double"&gt;11.7502165&lt;/D&gt;&lt;D xsi:type="xsd:double"&gt;11.770879&lt;/D&gt;&lt;D xsi:type="xsd:double"&gt;11.732635&lt;/D&gt;&lt;D xsi:type="xsd:double"&gt;11.944168&lt;/D&gt;&lt;D xsi:type="xsd:double"&gt;12.292964&lt;/D&gt;&lt;D xsi:type="xsd:double"&gt;12.761123&lt;/D&gt;&lt;D xsi:type="xsd:double"&gt;12.851526&lt;/D&gt;&lt;D xsi:type="xsd:double"&gt;12.896729&lt;/D&gt;&lt;D xsi:type="xsd:double"&gt;12.389827&lt;/D&gt;&lt;D xsi:type="xsd:double"&gt;12.396284&lt;/D&gt;&lt;D xsi:type="xsd:double"&gt;12.569196&lt;/D&gt;&lt;D xsi:type="xsd:double"&gt;12.526316&lt;/D&gt;&lt;D xsi:type="xsd:double"&gt;12.637555&lt;/D&gt;&lt;D xsi:type="xsd:double"&gt;12.914345&lt;/D&gt;&lt;D xsi:type="xsd:double"&gt;12.768148&lt;/D&gt;&lt;D xsi:type="xsd:double"&gt;12.638605&lt;/D&gt;&lt;D xsi:type="xsd:double"&gt;12.891285&lt;/D&gt;&lt;D xsi:type="xsd:double"&gt;13.165439&lt;/D&gt;&lt;D xsi:type="xsd:double"&gt;13.22132&lt;/D&gt;&lt;D xsi:type="xsd:double"&gt;13.021821&lt;/D&gt;&lt;D xsi:type="xsd:double"&gt;13.404197&lt;/D&gt;&lt;D xsi:type="xsd:double"&gt;13.562928&lt;/D&gt;&lt;D xsi:type="xsd:double"&gt;13.299019&lt;/D&gt;&lt;D xsi:type="xsd:double"&gt;13.562924&lt;/D&gt;&lt;D xsi:type="xsd:double"&gt;13.222654&lt;/D&gt;&lt;D xsi:type="xsd:double"&gt;13.179747&lt;/D&gt;&lt;D xsi:type="xsd:double"&gt;13.072376&lt;/D&gt;&lt;D xsi:type="xsd:double"&gt;13.239082&lt;/D&gt;&lt;D xsi:type="xsd:double"&gt;12.460523&lt;/D&gt;&lt;D xsi:type="xsd:double"&gt;12.808175&lt;/D&gt;&lt;D xsi:type="xsd:double"&gt;12.554722&lt;/D&gt;&lt;D xsi:type="xsd:double"&gt;12.542738&lt;/D&gt;&lt;D xsi:type="xsd:double"&gt;12.604375&lt;/D&gt;&lt;D xsi:type="xsd:double"&gt;12.381798&lt;/D&gt;&lt;D xsi:type="xsd:double"&gt;12.205183&lt;/D&gt;&lt;D xsi:type="xsd:double"&gt;11.886028&lt;/D&gt;&lt;D xsi:type="xsd:double"&gt;12.101272&lt;/D&gt;&lt;D xsi:type="xsd:double"&gt;13.513479&lt;/D&gt;&lt;D xsi:type="xsd:double"&gt;13.81161&lt;/D&gt;&lt;D xsi:type="xsd:double"&gt;13.223882&lt;/D&gt;&lt;D xsi:type="xsd:double"&gt;13.124655&lt;/D&gt;&lt;D xsi:type="xsd:double"&gt;13.1985035&lt;/D&gt;&lt;D xsi:type="xsd:double"&gt;13.201649&lt;/D&gt;&lt;D xsi:type="xsd:double"&gt;13.414877&lt;/D&gt;&lt;D xsi:type="xsd:double"&gt;13.346714&lt;/D&gt;&lt;D xsi:type="xsd:double"&gt;13.393118&lt;/D&gt;&lt;D xsi:type="xsd:double"&gt;13.285953&lt;/D&gt;&lt;D xsi:type="xsd:double"&gt;12.754201&lt;/D&gt;&lt;D xsi:type="xsd:double"&gt;11.870898&lt;/D&gt;&lt;D xsi:type="xsd:double"&gt;12.157606&lt;/D&gt;&lt;D xsi:type="xsd:double"&gt;12.130342&lt;/D&gt;&lt;D xsi:type="xsd:double"&gt;11.93683&lt;/D&gt;&lt;D xsi:type="xsd:double"&gt;11.804136&lt;/D&gt;&lt;D xsi:type="xsd:double"&gt;12.003442&lt;/D&gt;&lt;D xsi:type="xsd:double"&gt;12.244939&lt;/D&gt;&lt;D xsi:type="xsd:double"&gt;11.914639&lt;/D&gt;&lt;D xsi:type="xsd:double"&gt;11.7473345&lt;/D&gt;&lt;D xsi:type="xsd:double"&gt;11.941684&lt;/D&gt;&lt;D xsi:type="xsd:double"&gt;11.594429&lt;/D&gt;&lt;D xsi:type="xsd:double"&gt;11.609405&lt;/D&gt;&lt;D xsi:type="xsd:double"&gt;11.443288&lt;/D&gt;&lt;D xsi:type="xsd:double"&gt;11.244896&lt;/D&gt;&lt;D xsi:type="xsd:double"&gt;11.244869&lt;/D&gt;&lt;D xsi:type="xsd:double"&gt;11.376227&lt;/D&gt;&lt;D xsi:type="xsd:double"&gt;10.810562&lt;/D&gt;&lt;D xsi:type="xsd:double"&gt;10.950838&lt;/D&gt;&lt;D xsi:type="xsd:double"&gt;10.709429&lt;/D&gt;&lt;D xsi:type="xsd:double"&gt;10.938691&lt;/D&gt;&lt;D xsi:type="xsd:double"&gt;11.123053&lt;/D&gt;&lt;D xsi:type="xsd:double"&gt;11.814329&lt;/D&gt;&lt;D xsi:type="xsd:double"&gt;11.375227&lt;/D&gt;&lt;D xsi:type="xsd:double"&gt;10.987851&lt;/D&gt;&lt;D xsi:type="xsd:double"&gt;10.187976&lt;/D&gt;&lt;D xsi:type="xsd:double"&gt;10.704351&lt;/D&gt;&lt;D xsi:type="xsd:double"&gt;10.564892&lt;/D&gt;&lt;D xsi:type="xsd:double"&gt;10.416638&lt;/D&gt;&lt;D xsi:type="xsd:double"&gt;10.148305&lt;/D&gt;&lt;D xsi:type="xsd:double"&gt;10.179973&lt;/D&gt;&lt;D xsi:type="xsd:double"&gt;9.035452&lt;/D&gt;&lt;D xsi:type="xsd:double"&gt;9.19268&lt;/D&gt;&lt;D xsi:type="xsd:double"&gt;8.374302&lt;/D&gt;&lt;D xsi:type="xsd:double"&gt;9.340684&lt;/D&gt;&lt;D xsi:type="xsd:double"&gt;10.505883&lt;/D&gt;&lt;D xsi:type="xsd:double"&gt;10.771984&lt;/D&gt;&lt;D xsi:type="xsd:double"&gt;11.872185&lt;/D&gt;&lt;D xsi:type="xsd:double"&gt;11.875813&lt;/D&gt;&lt;D xsi:type="xsd:double"&gt;11.667802&lt;/D&gt;&lt;D xsi:type="xsd:double"&gt;11.464136&lt;/D&gt;&lt;D xsi:type="xsd:double"&gt;11.507604&lt;/D&gt;&lt;D xsi:type="xsd:double"&gt;11.471381&lt;/D&gt;&lt;D xsi:type="xsd:double"&gt;11.3965845&lt;/D&gt;&lt;D xsi:type="xsd:double"&gt;11.276997&lt;/D&gt;&lt;D xsi:type="xsd:double"&gt;11.173149&lt;/D&gt;&lt;D xsi:type="xsd:double"&gt;11.213459&lt;/D&gt;&lt;D xsi:type="xsd:double"&gt;11.1371155&lt;/D&gt;&lt;D xsi:type="xsd:double"&gt;10.903166&lt;/D&gt;&lt;D xsi:type="xsd:double"&gt;10.91175&lt;/D&gt;&lt;D xsi:type="xsd:double"&gt;10.774378&lt;/D&gt;&lt;D xsi:type="xsd:double"&gt;10.907351&lt;/D&gt;&lt;D xsi:type="xsd:double"&gt;11.182443&lt;/D&gt;&lt;D xsi:type="xsd:double"&gt;10.96213&lt;/D&gt;&lt;D xsi:type="xsd:double"&gt;10.978098&lt;/D&gt;&lt;D xsi:type="xsd:double"&gt;10.537476&lt;/D&gt;&lt;D xsi:type="xsd:double"&gt;10.591613&lt;/D&gt;&lt;D xsi:type="xsd:double"&gt;10.278802&lt;/D&gt;&lt;D xsi:type="xsd:double"&gt;10.6425085&lt;/D&gt;&lt;D xsi:type="xsd:double"&gt;10.60704&lt;/D&gt;&lt;D xsi:type="xsd:double"&gt;11.042214&lt;/D&gt;&lt;D xsi:type="xsd:double"&gt;10.431912&lt;/D&gt;&lt;D xsi:type="xsd:double"&gt;10.357554&lt;/D&gt;&lt;D xsi:type="xsd:double"&gt;10.065533&lt;/D&gt;&lt;D xsi:type="xsd:double"&gt;10.122694&lt;/D&gt;&lt;D xsi:type="xsd:double"&gt;10.302774&lt;/D&gt;&lt;D xsi:type="xsd:double"&gt;10.369696&lt;/D&gt;&lt;D xsi:type="xsd:double"&gt;10.59358&lt;/D&gt;&lt;D xsi:type="xsd:double"&gt;10.736977&lt;/D&gt;&lt;D xsi:type="xsd:double"&gt;11.349985&lt;/D&gt;&lt;D xsi:type="xsd:double"&gt;11.280181&lt;/D&gt;&lt;D xsi:type="xsd:double"&gt;11.1370125&lt;/D&gt;&lt;D xsi:type="xsd:double"&gt;11.343771&lt;/D&gt;&lt;D xsi:type="xsd:double"&gt;11.162525&lt;/D&gt;&lt;D xsi:type="xsd:double"&gt;11.262649&lt;/D&gt;&lt;D xsi:type="xsd:double"&gt;10.838563&lt;/D&gt;&lt;D xsi:type="xsd:double"&gt;10.889252&lt;/D&gt;&lt;D xsi:type="xsd:double"&gt;11.29839&lt;/D&gt;&lt;D xsi:type="xsd:double"&gt;11.332542&lt;/D&gt;&lt;D xsi:type="xsd:double"&gt;11.548059&lt;/D&gt;&lt;D xsi:type="xsd:double"&gt;11.400085&lt;/D&gt;&lt;D xsi:type="xsd:double"&gt;11.373314&lt;/D&gt;&lt;D xsi:type="xsd:double"&gt;11.189941&lt;/D&gt;&lt;D xsi:type="xsd:double"&gt;10.92408&lt;/D&gt;&lt;D xsi:type="xsd:double"&gt;10.97798&lt;/D&gt;&lt;D xsi:type="xsd:double"&gt;11.069366&lt;/D&gt;&lt;D xsi:type="xsd:double"&gt;11.106939&lt;/D&gt;&lt;D xsi:type="xsd:double"&gt;10.981499&lt;/D&gt;&lt;D xsi:type="xsd:double"&gt;11.064247&lt;/D&gt;&lt;D xsi:type="xsd:double"&gt;11.171985&lt;/D&gt;&lt;D xsi:type="xsd:double"&gt;11.075523&lt;/D&gt;&lt;D xsi:type="xsd:double"&gt;10.600725&lt;/D&gt;&lt;D xsi:type="xsd:double"&gt;10.28127&lt;/D&gt;&lt;D xsi:type="xsd:double"&gt;10.281192&lt;/D&gt;&lt;D xsi:type="xsd:double"&gt;10.428372&lt;/D&gt;&lt;/FQL&gt;&lt;FQL&gt;&lt;Q&gt;KSU^P_DATE(44099,0,W,"DATEJ")&lt;/Q&gt;&lt;R&gt;261&lt;/R&gt;&lt;C&gt;1&lt;/C&gt;&lt;D xsi:type="xsd:long"&gt;44099&lt;/D&gt;&lt;D xsi:type="xsd:long"&gt;44106&lt;/D&gt;&lt;D xsi:type="xsd:long"&gt;44113&lt;/D&gt;&lt;D xsi:type="xsd:long"&gt;44120&lt;/D&gt;&lt;D xsi:type="xsd:long"&gt;44127&lt;/D&gt;&lt;D xsi:type="xsd:long"&gt;44134&lt;/D&gt;&lt;D xsi:type="xsd:long"&gt;44141&lt;/D&gt;&lt;D xsi:type="xsd:long"&gt;44148&lt;/D&gt;&lt;D xsi:type="xsd:long"&gt;44155&lt;/D&gt;&lt;D xsi:type="xsd:long"&gt;44162&lt;/D&gt;&lt;D xsi:type="xsd:long"&gt;44169&lt;/D&gt;&lt;D xsi:type="xsd:long"&gt;44176&lt;/D&gt;&lt;D xsi:type="xsd:long"&gt;44183&lt;/D&gt;&lt;D xsi:type="xsd:long"&gt;44189&lt;/D&gt;&lt;D xsi:type="xsd:long"&gt;44196&lt;/D&gt;&lt;D xsi:type="xsd:long"&gt;44204&lt;/D&gt;&lt;D xsi:type="xsd:long"&gt;44211&lt;/D&gt;&lt;D xsi:type="xsd:long"&gt;44218&lt;/D&gt;&lt;D xsi:type="xsd:long"&gt;44225&lt;/D&gt;&lt;D xsi:type="xsd:long"&gt;44232&lt;/D&gt;&lt;D xsi:type="xsd:long"&gt;44239&lt;/D&gt;&lt;D xsi:type="xsd:long"&gt;44246&lt;/D&gt;&lt;D xsi:type="xsd:long"&gt;44253&lt;/D&gt;&lt;D xsi:type="xsd:long"&gt;44260&lt;/D&gt;&lt;D xsi:type="xsd:long"&gt;44267&lt;/D&gt;&lt;D xsi:type="xsd:long"&gt;44274&lt;/D&gt;&lt;D xsi:type="xsd:long"&gt;44281&lt;/D&gt;&lt;D xsi:type="xsd:long"&gt;44287&lt;/D&gt;&lt;D xsi:type="xsd:long"&gt;44295&lt;/D&gt;&lt;D xsi:type="xsd:long"&gt;44302&lt;/D&gt;&lt;D xsi:type="xsd:long"&gt;44309&lt;/D&gt;&lt;D xsi:type="xsd:long"&gt;44316&lt;/D&gt;&lt;D xsi:type="xsd:long"&gt;44323&lt;/D&gt;&lt;D xsi:type="xsd:long"&gt;44330&lt;/D&gt;&lt;D xsi:type="xsd:long"&gt;44337&lt;/D&gt;&lt;D xsi:type="xsd:long"&gt;44344&lt;/D&gt;&lt;D xsi:type="xsd:long"&gt;44351&lt;/D&gt;&lt;D xsi:type="xsd:long"&gt;44358&lt;/D&gt;&lt;D xsi:type="xsd:long"&gt;44365&lt;/D&gt;&lt;D xsi:type="xsd:long"&gt;44372&lt;/D&gt;&lt;D xsi:type="xsd:long"&gt;44379&lt;/D&gt;&lt;D xsi:type="xsd:long"&gt;44386&lt;/D&gt;&lt;D xsi:type="xsd:long"&gt;44393&lt;/D&gt;&lt;D xsi:type="xsd:long"&gt;44400&lt;/D&gt;&lt;D xsi:type="xsd:long"&gt;44407&lt;/D&gt;&lt;D xsi:type="xsd:long"&gt;44414&lt;/D&gt;&lt;D xsi:type="xsd:long"&gt;44421&lt;/D&gt;&lt;D xsi:type="xsd:long"&gt;44428&lt;/D&gt;&lt;D xsi:type="xsd:long"&gt;44435&lt;/D&gt;&lt;D xsi:type="xsd:long"&gt;44442&lt;/D&gt;&lt;D xsi:type="xsd:long"&gt;44449&lt;/D&gt;&lt;D xsi:type="xsd:long"&gt;44456&lt;/D&gt;&lt;D xsi:type="xsd:long"&gt;44463&lt;/D&gt;&lt;D xsi:type="xsd:long"&gt;44470&lt;/D&gt;&lt;D xsi:type="xsd:long"&gt;44477&lt;/D&gt;&lt;D xsi:type="xsd:long"&gt;44484&lt;/D&gt;&lt;D xsi:type="xsd:long"&gt;44491&lt;/D&gt;&lt;D xsi:type="xsd:long"&gt;44498&lt;/D&gt;&lt;D xsi:type="xsd:long"&gt;44505&lt;/D&gt;&lt;D xsi:type="xsd:long"&gt;44512&lt;/D&gt;&lt;D xsi:type="xsd:long"&gt;44519&lt;/D&gt;&lt;D xsi:type="xsd:long"&gt;44526&lt;/D&gt;&lt;D xsi:type="xsd:long"&gt;44533&lt;/D&gt;&lt;D xsi:type="xsd:long"&gt;44540&lt;/D&gt;&lt;D xsi:type="xsd:long"&gt;44547&lt;/D&gt;&lt;D xsi:type="xsd:long"&gt;44553&lt;/D&gt;&lt;D xsi:type="xsd:long"&gt;44561&lt;/D&gt;&lt;D xsi:type="xsd:long"&gt;44568&lt;/D&gt;&lt;D xsi:type="xsd:long"&gt;44575&lt;/D&gt;&lt;D xsi:type="xsd:long"&gt;44582&lt;/D&gt;&lt;D xsi:type="xsd:long"&gt;44589&lt;/D&gt;&lt;D xsi:type="xsd:long"&gt;44596&lt;/D&gt;&lt;D xsi:type="xsd:long"&gt;44603&lt;/D&gt;&lt;D xsi:type="xsd:long"&gt;44610&lt;/D&gt;&lt;D xsi:type="xsd:long"&gt;44617&lt;/D&gt;&lt;D xsi:type="xsd:long"&gt;44624&lt;/D&gt;&lt;D xsi:type="xsd:long"&gt;44631&lt;/D&gt;&lt;D xsi:type="xsd:long"&gt;44638&lt;/D&gt;&lt;D xsi:type="xsd:long"&gt;44645&lt;/D&gt;&lt;D xsi:type="xsd:long"&gt;44652&lt;/D&gt;&lt;D xsi:type="xsd:long"&gt;44659&lt;/D&gt;&lt;D xsi:type="xsd:long"&gt;44665&lt;/D&gt;&lt;D xsi:type="xsd:long"&gt;44673&lt;/D&gt;&lt;D xsi:type="xsd:long"&gt;44680&lt;/D&gt;&lt;D xsi:type="xsd:long"&gt;44687&lt;/D&gt;&lt;D xsi:type="xsd:long"&gt;44694&lt;/D&gt;&lt;D xsi:type="xsd:long"&gt;44701&lt;/D&gt;&lt;D xsi:type="xsd:long"&gt;44708&lt;/D&gt;&lt;D xsi:type="xsd:long"&gt;44715&lt;/D&gt;&lt;D xsi:type="xsd:long"&gt;44722&lt;/D&gt;&lt;D xsi:type="xsd:long"&gt;44729&lt;/D&gt;&lt;D xsi:type="xsd:long"&gt;44736&lt;/D&gt;&lt;D xsi:type="xsd:long"&gt;44743&lt;/D&gt;&lt;D xsi:type="xsd:long"&gt;44750&lt;/D&gt;&lt;D xsi:type="xsd:long"&gt;44757&lt;/D&gt;&lt;D xsi:type="xsd:long"&gt;44764&lt;/D&gt;&lt;D xsi:type="xsd:long"&gt;44771&lt;/D&gt;&lt;D xsi:type="xsd:long"&gt;44778&lt;/D&gt;&lt;D xsi:type="xsd:long"&gt;44785&lt;/D&gt;&lt;D xsi:type="xsd:long"&gt;44792&lt;/D&gt;&lt;D xsi:type="xsd:long"&gt;44799&lt;/D&gt;&lt;D xsi:type="xsd:long"&gt;44806&lt;/D&gt;&lt;D xsi:type="xsd:long"&gt;44813&lt;/D&gt;&lt;D xsi:type="xsd:long"&gt;44820&lt;/D&gt;&lt;D xsi:type="xsd:long"&gt;44827&lt;/D&gt;&lt;D xsi:type="xsd:long"&gt;44834&lt;/D&gt;&lt;D xsi:type="xsd:long"&gt;44841&lt;/D&gt;&lt;D xsi:type="xsd:long"&gt;44848&lt;/D&gt;&lt;D xsi:type="xsd:long"&gt;44855&lt;/D&gt;&lt;D xsi:type="xsd:long"&gt;44862&lt;/D&gt;&lt;D xsi:type="xsd:long"&gt;44869&lt;/D&gt;&lt;D xsi:type="xsd:long"&gt;44876&lt;/D&gt;&lt;D xsi:type="xsd:long"&gt;44883&lt;/D&gt;&lt;D xsi:type="xsd:long"&gt;44890&lt;/D&gt;&lt;D xsi:type="xsd:long"&gt;44897&lt;/D&gt;&lt;D xsi:type="xsd:long"&gt;44904&lt;/D&gt;&lt;D xsi:type="xsd:long"&gt;44911&lt;/D&gt;&lt;D xsi:type="xsd:long"&gt;44918&lt;/D&gt;&lt;D xsi:type="xsd:long"&gt;44925&lt;/D&gt;&lt;D xsi:type="xsd:long"&gt;44932&lt;/D&gt;&lt;D xsi:type="xsd:long"&gt;44939&lt;/D&gt;&lt;D xsi:type="xsd:long"&gt;44946&lt;/D&gt;&lt;D xsi:type="xsd:long"&gt;44953&lt;/D&gt;&lt;D xsi:type="xsd:long"&gt;44960&lt;/D&gt;&lt;D xsi:type="xsd:long"&gt;44967&lt;/D&gt;&lt;D xsi:type="xsd:long"&gt;44974&lt;/D&gt;&lt;D xsi:type="xsd:long"&gt;44981&lt;/D&gt;&lt;D xsi:type="xsd:long"&gt;44988&lt;/D&gt;&lt;D xsi:type="xsd:long"&gt;44995&lt;/D&gt;&lt;D xsi:type="xsd:long"&gt;45002&lt;/D&gt;&lt;D xsi:type="xsd:long"&gt;45009&lt;/D&gt;&lt;D xsi:type="xsd:long"&gt;45016&lt;/D&gt;&lt;D xsi:type="xsd:long"&gt;45022&lt;/D&gt;&lt;D xsi:type="xsd:long"&gt;45030&lt;/D&gt;&lt;D xsi:type="xsd:long"&gt;45037&lt;/D&gt;&lt;D xsi:type="xsd:long"&gt;45044&lt;/D&gt;&lt;D xsi:type="xsd:long"&gt;45051&lt;/D&gt;&lt;D xsi:type="xsd:long"&gt;45058&lt;/D&gt;&lt;D xsi:type="xsd:long"&gt;45065&lt;/D&gt;&lt;D xsi:type="xsd:long"&gt;45072&lt;/D&gt;&lt;D xsi:type="xsd:long"&gt;45079&lt;/D&gt;&lt;D xsi:type="xsd:long"&gt;45086&lt;/D&gt;&lt;D xsi:type="xsd:long"&gt;45093&lt;/D&gt;&lt;D xsi:type="xsd:long"&gt;45100&lt;/D&gt;&lt;D xsi:type="xsd:long"&gt;45107&lt;/D&gt;&lt;D xsi:type="xsd:long"&gt;45114&lt;/D&gt;&lt;D xsi:type="xsd:long"&gt;45121&lt;/D&gt;&lt;D xsi:type="xsd:long"&gt;45128&lt;/D&gt;&lt;D xsi:type="xsd:long"&gt;45135&lt;/D&gt;&lt;D xsi:type="xsd:long"&gt;45142&lt;/D&gt;&lt;D xsi:type="xsd:long"&gt;45149&lt;/D&gt;&lt;D xsi:type="xsd:long"&gt;45156&lt;/D&gt;&lt;D xsi:type="xsd:long"&gt;45163&lt;/D&gt;&lt;D xsi:type="xsd:long"&gt;45170&lt;/D&gt;&lt;D xsi:type="xsd:long"&gt;45177&lt;/D&gt;&lt;D xsi:type="xsd:long"&gt;45184&lt;/D&gt;&lt;D xsi:type="xsd:long"&gt;45191&lt;/D&gt;&lt;D xsi:type="xsd:long"&gt;45198&lt;/D&gt;&lt;D xsi:type="xsd:long"&gt;45205&lt;/D&gt;&lt;D xsi:type="xsd:long"&gt;45212&lt;/D&gt;&lt;D xsi:type="xsd:long"&gt;45219&lt;/D&gt;&lt;D xsi:type="xsd:long"&gt;45226&lt;/D&gt;&lt;D xsi:type="xsd:long"&gt;45233&lt;/D&gt;&lt;D xsi:type="xsd:long"&gt;45240&lt;/D&gt;&lt;D xsi:type="xsd:long"&gt;45247&lt;/D&gt;&lt;D xsi:type="xsd:long"&gt;45254&lt;/D&gt;&lt;D xsi:type="xsd:long"&gt;45261&lt;/D&gt;&lt;D xsi:type="xsd:long"&gt;45268&lt;/D&gt;&lt;D xsi:type="xsd:long"&gt;45275&lt;/D&gt;&lt;D xsi:type="xsd:long"&gt;45282&lt;/D&gt;&lt;D xsi:type="xsd:long"&gt;45289&lt;/D&gt;&lt;D xsi:type="xsd:long"&gt;45296&lt;/D&gt;&lt;D xsi:type="xsd:long"&gt;45303&lt;/D&gt;&lt;D xsi:type="xsd:long"&gt;45310&lt;/D&gt;&lt;D xsi:type="xsd:long"&gt;45317&lt;/D&gt;&lt;D xsi:type="xsd:long"&gt;45324&lt;/D&gt;&lt;D xsi:type="xsd:long"&gt;45331&lt;/D&gt;&lt;D xsi:type="xsd:long"&gt;45338&lt;/D&gt;&lt;D xsi:type="xsd:long"&gt;45345&lt;/D&gt;&lt;D xsi:type="xsd:long"&gt;45352&lt;/D&gt;&lt;D xsi:type="xsd:long"&gt;45359&lt;/D&gt;&lt;D xsi:type="xsd:long"&gt;45366&lt;/D&gt;&lt;D xsi:type="xsd:long"&gt;45373&lt;/D&gt;&lt;D xsi:type="xsd:long"&gt;45379&lt;/D&gt;&lt;D xsi:type="xsd:long"&gt;45387&lt;/D&gt;&lt;D xsi:type="xsd:long"&gt;45394&lt;/D&gt;&lt;D xsi:type="xsd:long"&gt;45401&lt;/D&gt;&lt;D xsi:type="xsd:long"&gt;45408&lt;/D&gt;&lt;D xsi:type="xsd:long"&gt;45415&lt;/D&gt;&lt;D xsi:type="xsd:long"&gt;45422&lt;/D&gt;&lt;D xsi:type="xsd:long"&gt;45429&lt;/D&gt;&lt;D xsi:type="xsd:long"&gt;45436&lt;/D&gt;&lt;D xsi:type="xsd:long"&gt;45443&lt;/D&gt;&lt;D xsi:type="xsd:long"&gt;45450&lt;/D&gt;&lt;D xsi:type="xsd:long"&gt;45457&lt;/D&gt;&lt;D xsi:type="xsd:long"&gt;45464&lt;/D&gt;&lt;D xsi:type="xsd:long"&gt;45471&lt;/D&gt;&lt;D xsi:type="xsd:long"&gt;45478&lt;/D&gt;&lt;D xsi:type="xsd:long"&gt;45485&lt;/D&gt;&lt;D xsi:type="xsd:long"&gt;45492&lt;/D&gt;&lt;D xsi:type="xsd:long"&gt;45499&lt;/D&gt;&lt;D xsi:type="xsd:long"&gt;45506&lt;/D&gt;&lt;D xsi:type="xsd:long"&gt;45513&lt;/D&gt;&lt;D xsi:type="xsd:long"&gt;45520&lt;/D&gt;&lt;D xsi:type="xsd:long"&gt;45527&lt;/D&gt;&lt;D xsi:type="xsd:long"&gt;45534&lt;/D&gt;&lt;D xsi:type="xsd:long"&gt;45541&lt;/D&gt;&lt;D xsi:type="xsd:long"&gt;45548&lt;/D&gt;&lt;D xsi:type="xsd:long"&gt;45555&lt;/D&gt;&lt;D xsi:type="xsd:long"&gt;45562&lt;/D&gt;&lt;D xsi:type="xsd:long"&gt;45569&lt;/D&gt;&lt;D xsi:type="xsd:long"&gt;45576&lt;/D&gt;&lt;D xsi:type="xsd:long"&gt;45583&lt;/D&gt;&lt;D xsi:type="xsd:long"&gt;45590&lt;/D&gt;&lt;D xsi:type="xsd:long"&gt;45597&lt;/D&gt;&lt;D xsi:type="xsd:long"&gt;45604&lt;/D&gt;&lt;D xsi:type="xsd:long"&gt;45611&lt;/D&gt;&lt;D xsi:type="xsd:long"&gt;45618&lt;/D&gt;&lt;D xsi:type="xsd:long"&gt;45625&lt;/D&gt;&lt;D xsi:type="xsd:long"&gt;45632&lt;/D&gt;&lt;D xsi:type="xsd:long"&gt;45639&lt;/D&gt;&lt;D xsi:type="xsd:long"&gt;45646&lt;/D&gt;&lt;D xsi:type="xsd:long"&gt;45653&lt;/D&gt;&lt;D xsi:type="xsd:long"&gt;45660&lt;/D&gt;&lt;D xsi:type="xsd:long"&gt;45667&lt;/D&gt;&lt;D xsi:type="xsd:long"&gt;45674&lt;/D&gt;&lt;D xsi:type="xsd:long"&gt;45681&lt;/D&gt;&lt;D xsi:type="xsd:long"&gt;45688&lt;/D&gt;&lt;D xsi:type="xsd:long"&gt;45695&lt;/D&gt;</t>
        </r>
      </text>
    </comment>
    <comment ref="A3" authorId="0" shapeId="0" xr:uid="{E782D0A4-75EA-43E3-B9C5-081C4BC1512B}">
      <text>
        <r>
          <rPr>
            <b/>
            <sz val="9"/>
            <color indexed="81"/>
            <rFont val="Tahoma"/>
            <family val="2"/>
          </rPr>
          <t>&lt;D xsi:type="xsd:long"&gt;45702&lt;/D&gt;&lt;D xsi:type="xsd:long"&gt;45709&lt;/D&gt;&lt;D xsi:type="xsd:long"&gt;45716&lt;/D&gt;&lt;D xsi:type="xsd:long"&gt;45723&lt;/D&gt;&lt;D xsi:type="xsd:long"&gt;45730&lt;/D&gt;&lt;D xsi:type="xsd:long"&gt;45737&lt;/D&gt;&lt;D xsi:type="xsd:long"&gt;45744&lt;/D&gt;&lt;D xsi:type="xsd:long"&gt;45751&lt;/D&gt;&lt;D xsi:type="xsd:long"&gt;45758&lt;/D&gt;&lt;D xsi:type="xsd:long"&gt;45764&lt;/D&gt;&lt;D xsi:type="xsd:long"&gt;45772&lt;/D&gt;&lt;D xsi:type="xsd:long"&gt;45779&lt;/D&gt;&lt;D xsi:type="xsd:long"&gt;45786&lt;/D&gt;&lt;D xsi:type="xsd:long"&gt;45793&lt;/D&gt;&lt;D xsi:type="xsd:long"&gt;45800&lt;/D&gt;&lt;D xsi:type="xsd:long"&gt;45807&lt;/D&gt;&lt;D xsi:type="xsd:long"&gt;45814&lt;/D&gt;&lt;D xsi:type="xsd:long"&gt;45821&lt;/D&gt;&lt;D xsi:type="xsd:long"&gt;45828&lt;/D&gt;&lt;D xsi:type="xsd:long"&gt;45835&lt;/D&gt;&lt;D xsi:type="xsd:long"&gt;45841&lt;/D&gt;&lt;D xsi:type="xsd:long"&gt;45849&lt;/D&gt;&lt;D xsi:type="xsd:long"&gt;45856&lt;/D&gt;&lt;D xsi:type="xsd:long"&gt;45863&lt;/D&gt;&lt;D xsi:type="xsd:long"&gt;45870&lt;/D&gt;&lt;D xsi:type="xsd:long"&gt;45877&lt;/D&gt;&lt;D xsi:type="xsd:long"&gt;45884&lt;/D&gt;&lt;D xsi:type="xsd:long"&gt;45891&lt;/D&gt;&lt;D xsi:type="xsd:long"&gt;45898&lt;/D&gt;&lt;D xsi:type="xsd:long"&gt;45905&lt;/D&gt;&lt;D xsi:type="xsd:long"&gt;45912&lt;/D&gt;&lt;D xsi:type="xsd:long"&gt;45919&lt;/D&gt;&lt;/FQL&gt;&lt;FQL&gt;&lt;Q&gt;CSX^FG_PRICE(44099,0,W)&lt;/Q&gt;&lt;R&gt;261&lt;/R&gt;&lt;C&gt;1&lt;/C&gt;&lt;D xsi:type="xsd:double"&gt;26.02664&lt;/D&gt;&lt;D xsi:type="xsd:double"&gt;25.71664&lt;/D&gt;&lt;D xsi:type="xsd:double"&gt;26.159973&lt;/D&gt;&lt;D xsi:type="xsd:double"&gt;26.703306&lt;/D&gt;&lt;D xsi:type="xsd:double"&gt;27.096642&lt;/D&gt;&lt;D xsi:type="xsd:double"&gt;26.313307&lt;/D&gt;&lt;D xsi:type="xsd:double"&gt;28.726637&lt;/D&gt;&lt;D xsi:type="xsd:double"&gt;30.19997&lt;/D&gt;&lt;D xsi:type="xsd:double"&gt;30.513302&lt;/D&gt;&lt;D xsi:type="xsd:double"&gt;30.429968&lt;/D&gt;&lt;D xsi:type="xsd:double"&gt;30.616634&lt;/D&gt;&lt;D xsi:type="xsd:double"&gt;30.143303&lt;/D&gt;&lt;D xsi:type="xsd:double"&gt;30.219969&lt;/D&gt;&lt;D xsi:type="xsd:double"&gt;30.016636&lt;/D&gt;&lt;D xsi:type="xsd:double"&gt;30.249968&lt;/D&gt;&lt;D xsi:type="xsd:double"&gt;31.946632&lt;/D&gt;&lt;D xsi:type="xsd:double"&gt;31.139967&lt;/D&gt;&lt;D xsi:type="xsd:double"&gt;29.213303&lt;/D&gt;&lt;D xsi:type="xsd:double"&gt;28.584969&lt;/D&gt;&lt;D xsi:type="xsd:double"&gt;29.516638&lt;/D&gt;&lt;D xsi:type="xsd:double"&gt;30.046635&lt;/D&gt;&lt;D xsi:type="xsd:double"&gt;30.696634&lt;/D&gt;&lt;D xsi:type="xsd:double"&gt;30.516636&lt;/D&gt;&lt;D xsi:type="xsd:double"&gt;30.5433&lt;/D&gt;&lt;D xsi:type="xsd:double"&gt;31.2833&lt;/D&gt;&lt;D xsi:type="xsd:double"&gt;30.256634&lt;/D&gt;&lt;D xsi:type="xsd:double"&gt;32.553303&lt;/D&gt;&lt;D xsi:type="xsd:double"&gt;32.419968&lt;/D&gt;&lt;D xsi:type="xsd:double"&gt;32.7633&lt;/D&gt;&lt;D xsi:type="xsd:double"&gt;32.879967&lt;/D&gt;&lt;D xsi:type="xsd:double"&gt;34.36997&lt;/D&gt;&lt;D xsi:type="xsd:double"&gt;33.5833&lt;/D&gt;&lt;D xsi:type="xsd:double"&gt;34.376633&lt;/D&gt;&lt;D xsi:type="xsd:double"&gt;33.9033&lt;/D&gt;&lt;D xsi:type="xsd:double"&gt;32.7633&lt;/D&gt;&lt;D xsi:type="xsd:double"&gt;33.373302&lt;/D&gt;&lt;D xsi:type="xsd:double"&gt;33.206635&lt;/D&gt;&lt;D xsi:type="xsd:double"&gt;32.40997&lt;/D&gt;&lt;D xsi:type="xsd:double"&gt;31.5833&lt;/D&gt;&lt;D xsi:type="xsd:double"&gt;31.969969&lt;/D&gt;&lt;D xsi:type="xsd:double"&gt;32.58&lt;/D&gt;&lt;D xsi:type="xsd:double"&gt;31.83&lt;/D&gt;&lt;D xsi:type="xsd:double"&gt;31.51&lt;/D&gt;&lt;D xsi:type="xsd:double"&gt;32.81&lt;/D&gt;&lt;D xsi:type="xsd:double"&gt;32.32&lt;/D&gt;&lt;D xsi:type="xsd:double"&gt;32.3&lt;/D&gt;&lt;D xsi:type="xsd:double"&gt;33.87&lt;/D&gt;&lt;D xsi:type="xsd:double"&gt;33.73&lt;/D&gt;&lt;D xsi:type="xsd:double"&gt;33.45&lt;/D&gt;&lt;D xsi:type="xsd:double"&gt;32&lt;/D&gt;&lt;D xsi:type="xsd:double"&gt;30.95&lt;/D&gt;&lt;D xsi:type="xsd:double"&gt;30.31&lt;/D&gt;&lt;D xsi:type="xsd:double"&gt;30.42&lt;/D&gt;&lt;D xsi:type="xsd:double"&gt;30.34&lt;/D&gt;&lt;D xsi:type="xsd:double"&gt;32.71&lt;/D&gt;&lt;D xsi:type="xsd:double"&gt;34.16&lt;/D&gt;&lt;D xsi:type="xsd:double"&gt;35.42&lt;/D&gt;&lt;D xsi:type="xsd:double"&gt;36.17&lt;/D&gt;&lt;D xsi:type="xsd:double"&gt;35.41&lt;/D&gt;&lt;D xsi:type="xsd:double"&gt;35.23&lt;/D&gt;&lt;D xsi:type="xsd:double"&gt;36.08&lt;/D&gt;&lt;D xsi:type="xsd:double"&gt;35.57&lt;/D&gt;&lt;D xsi:type="xsd:double"&gt;35.84&lt;/D&gt;&lt;D xsi:type="xsd:double"&gt;36.74&lt;/D&gt;&lt;D xsi:type="xsd:double"&gt;35.72&lt;/D&gt;&lt;D xsi:type="xsd:double"&gt;36.79&lt;/D&gt;&lt;D xsi:type="xsd:double"&gt;37.6&lt;/D&gt;&lt;D xsi:type="xsd:double"&gt;37.51&lt;/D&gt;&lt;D xsi:type="xsd:double"&gt;36.44&lt;/D&gt;&lt;D xsi:type="xsd:double"&gt;34.1&lt;/D&gt;&lt;D xsi:type="xsd:double"&gt;34.43&lt;/D&gt;&lt;D xsi:type="xsd:double"&gt;34.3&lt;/D&gt;&lt;D xsi:type="xsd:double"&gt;33.37&lt;/D&gt;&lt;D xsi:type="xsd:double"&gt;34.66&lt;/D&gt;&lt;D xsi:type="xsd:double"&gt;34.31&lt;/D&gt;&lt;D xsi:type="xsd:double"&gt;37.43&lt;/D&gt;&lt;D xsi:type="xsd:double"&gt;34.69&lt;/D&gt;&lt;D xsi:type="xsd:double"&gt;36.31&lt;/D&gt;&lt;D xsi:type="xsd:double"&gt;36.92&lt;/D&gt;&lt;D xsi:type="xsd:double"&gt;35.51&lt;/D&gt;&lt;D xsi:type="xsd:double"&gt;34.33&lt;/D&gt;&lt;D xsi:type="xsd:double"&gt;35.06&lt;/D&gt;&lt;D xsi:type="xsd:double"&gt;34.52&lt;/D&gt;&lt;D xsi:type="xsd:double"&gt;34.34&lt;/D&gt;&lt;D xsi:type="xsd:double"&gt;34.78&lt;/D&gt;&lt;D xsi:type="xsd:double"&gt;33.43&lt;/D&gt;&lt;D xsi:type="xsd:double"&gt;30.94&lt;/D&gt;&lt;D xsi:type="xsd:double"&gt;32.05&lt;/D&gt;&lt;D xsi:type="xsd:double"&gt;32.11&lt;/D&gt;&lt;D xsi:type="xsd:double"&gt;30.3&lt;/D&gt;&lt;D xsi:type="xsd:double"&gt;28.93&lt;/D&gt;&lt;D xsi:type="xsd:double"&gt;29.57&lt;/D&gt;&lt;D xsi:type="xsd:double"&gt;29.34&lt;/D&gt;&lt;D xsi:type="xsd:double"&gt;28.99&lt;/D&gt;&lt;D xsi:type="xsd:double"&gt;28.86&lt;/D&gt;&lt;D xsi:type="xsd:double"&gt;30.89&lt;/D&gt;&lt;D xsi:type="xsd:double"&gt;32.33&lt;/D&gt;&lt;D xsi:type="xsd:double"&gt;33.11&lt;/D&gt;&lt;D xsi:type="xsd:double"&gt;34.35&lt;/D&gt;&lt;D xsi:type="xsd:double"&gt;33.83&lt;/D&gt;&lt;D xsi:type="xsd:double"&gt;32.63&lt;/D&gt;&lt;D xsi:type="xsd:double"&gt;31.24&lt;/D&gt;&lt;D xsi:type="xsd:double"&gt;32.63&lt;/D&gt;&lt;D xsi:type="xsd:double"&gt;29.49&lt;/D&gt;&lt;D xsi:type="xsd:double"&gt;27.68&lt;/D&gt;&lt;D xsi:type="xsd:double"&gt;26.64&lt;/D&gt;&lt;D xsi:type="xsd:double"&gt;26.77&lt;/D&gt;&lt;D xsi:type="xsd:double"&gt;27.31&lt;/D&gt;&lt;D xsi:type="xsd:double"&gt;27.54&lt;/D&gt;&lt;D xsi:type="xsd:double"&gt;29.22&lt;/D&gt;&lt;D xsi:type="xsd:double"&gt;29.63&lt;/D&gt;&lt;D xsi:type="xsd:double"&gt;31.94&lt;/D&gt;&lt;D xsi:type="xsd:double"&gt;30.88&lt;/D&gt;&lt;D xsi:type="xsd:double"&gt;32.02&lt;/D&gt;&lt;D xsi:type="xsd:double"&gt;32.05&lt;/D&gt;&lt;D xsi:type="xsd:double"&gt;31.42&lt;/D&gt;&lt;D xsi:type="xsd:double"&gt;31.65&lt;/D&gt;&lt;D xsi:type="xsd:double"&gt;31.25&lt;/D&gt;&lt;D xsi:type="xsd:double"&gt;30.98&lt;/D&gt;&lt;D xsi:type="xsd:double"&gt;32.2&lt;/D&gt;&lt;D xsi:type="xsd:double"&gt;32.42&lt;/D&gt;&lt;D xsi:type="xsd:double"&gt;32.01&lt;/D&gt;&lt;D xsi:type="xsd:double"&gt;30.08&lt;/D&gt;&lt;D xsi:type="xsd:double"&gt;32.27&lt;/D&gt;&lt;D xsi:type="xsd:double"&gt;31.57&lt;/D&gt;&lt;D xsi:type="xsd:double"&gt;31.21&lt;/D&gt;&lt;D xsi:type="xsd:double"&gt;30.75&lt;/D&gt;&lt;D xsi:type="xsd:double"&gt;31.15&lt;/D&gt;&lt;D xsi:type="xsd:double"&gt;29.49&lt;/D&gt;&lt;D xsi:type="xsd:double"&gt;28.91&lt;/D&gt;&lt;D xsi:type="xsd:double"&gt;28.25&lt;/D&gt;&lt;D xsi:type="xsd:double"&gt;29.94&lt;/D&gt;&lt;D xsi:type="xsd:double"&gt;30.02&lt;/D&gt;&lt;D xsi:type="xsd:double"&gt;30.46&lt;/D&gt;&lt;D xsi:type="xsd:double"&gt;31.82&lt;/D&gt;&lt;D xsi:type="xsd:double"&gt;30.64&lt;/D&gt;&lt;D xsi:type="xsd:double"&gt;31.86&lt;/D&gt;&lt;D xsi:type="xsd:double"&gt;31.82&lt;/D&gt;&lt;D xsi:type="xsd:double"&gt;32.31&lt;/D&gt;&lt;D xsi:type="xsd:double"&gt;30.81&lt;/D&gt;&lt;D xsi:type="xsd:double"&gt;31.92&lt;/D&gt;&lt;D xsi:type="xsd:double"&gt;32.31&lt;/D&gt;&lt;D xsi:type="xsd:double"&gt;33.21&lt;/D&gt;&lt;D xsi:type="xsd:double"&gt;32.74&lt;/D&gt;&lt;D xsi:type="xsd:double"&gt;34.1&lt;/D&gt;&lt;D xsi:type="xsd:double"&gt;33.3&lt;/D&gt;&lt;D xsi:type="xsd:double"&gt;33.63&lt;/D&gt;&lt;D xsi:type="xsd:double"&gt;32.46&lt;/D&gt;&lt;D xsi:type="xsd:double"&gt;33.8&lt;/D&gt;&lt;D xsi:type="xsd:double"&gt;31.52&lt;/D&gt;&lt;D xsi:type="xsd:double"&gt;30.75&lt;/D&gt;&lt;D xsi:type="xsd:double"&gt;30.87&lt;/D&gt;&lt;D xsi:type="xsd:double"&gt;30.91&lt;/D&gt;&lt;D xsi:type="xsd:double"&gt;30.63&lt;/D&gt;&lt;D xsi:type="xsd:double"&gt;29.95&lt;/D&gt;&lt;D xsi:type="xsd:double"&gt;30.85&lt;/D&gt;&lt;D xsi:type="xsd:double"&gt;31.2&lt;/D&gt;&lt;D xsi:type="xsd:double"&gt;30.75&lt;/D&gt;&lt;D xsi:type="xsd:double"&gt;30.91&lt;/D&gt;&lt;D xsi:type="xsd:double"&gt;31.14&lt;/D&gt;&lt;D xsi:type="xsd:double"&gt;30.76&lt;/D&gt;&lt;D xsi:type="xsd:double"&gt;29.24&lt;/D&gt;&lt;D xsi:type="xsd:double"&gt;30.4&lt;/D&gt;&lt;D xsi:type="xsd:double"&gt;30.7&lt;/D&gt;&lt;D xsi:type="xsd:double"&gt;31.62&lt;/D&gt;&lt;D xsi:type="xsd:double"&gt;32.64&lt;/D&gt;&lt;D xsi:type="xsd:double"&gt;33.4&lt;/D&gt;&lt;D xsi:type="xsd:double"&gt;32.96&lt;/D&gt;&lt;D xsi:type="xsd:double"&gt;34&lt;/D&gt;&lt;D xsi:type="xsd:double"&gt;34.63&lt;/D&gt;&lt;D xsi:type="xsd:double"&gt;34.67&lt;/D&gt;&lt;D xsi:type="xsd:double"&gt;34.62&lt;/D&gt;&lt;D xsi:type="xsd:double"&gt;34.86&lt;/D&gt;&lt;D xsi:type="xsd:double"&gt;34.55&lt;/D&gt;&lt;D xsi:type="xsd:double"&gt;35.39&lt;/D&gt;&lt;D xsi:type="xsd:double"&gt;36.53&lt;/D&gt;&lt;D xsi:type="xsd:double"&gt;36.89&lt;/D&gt;&lt;D xsi:type="xsd:double"&gt;36.72&lt;/D&gt;&lt;D xsi:type="xsd:double"&gt;38.33&lt;/D&gt;&lt;D xsi:type="xsd:double"&gt;38.23&lt;/D&gt;&lt;D xsi:type="xsd:double"&gt;38.19&lt;/D&gt;&lt;D xsi:type="xsd:double"&gt;36.97&lt;/D&gt;&lt;D xsi:type="xsd:double"&gt;37.35&lt;/D&gt;&lt;D xsi:type="xsd:double"&gt;37.07&lt;/D&gt;&lt;D xsi:type="xsd:double"&gt;36.3&lt;/D&gt;&lt;D xsi:type="xsd:double"&gt;35.34&lt;/D&gt;&lt;D xsi:type="xsd:double"&gt;34.34&lt;/D&gt;&lt;D xsi:type="xsd:double"&gt;33.99&lt;/D&gt;&lt;D xsi:type="xsd:double"&gt;33.85&lt;/D&gt;&lt;D xsi:type="xsd:double"&gt;34.38&lt;/D&gt;&lt;D xsi:type="xsd:double"&gt;33.52&lt;/D&gt;&lt;D xsi:type="xsd:double"&gt;33.78&lt;/D&gt;&lt;D xsi:type="xsd:double"&gt;33.75&lt;/D&gt;&lt;D xsi:type="xsd:double"&gt;32.75&lt;/D&gt;&lt;D xsi:type="xsd:double"&gt;32.18&lt;/D&gt;&lt;D xsi:type="xsd:double"&gt;33.41&lt;/D&gt;&lt;D xsi:type="xsd:double"&gt;33.45&lt;/D&gt;&lt;D xsi:type="xsd:double"&gt;33.3&lt;/D&gt;&lt;D xsi:type="xsd:double"&gt;33.79&lt;/D&gt;&lt;D xsi:type="xsd:double"&gt;34.69&lt;/D&gt;&lt;D xsi:type="xsd:double"&gt;34.32&lt;/D&gt;&lt;D xsi:type="xsd:double"&gt;34.08&lt;/D&gt;&lt;D xsi:type="xsd:double"&gt;34&lt;/D&gt;&lt;D xsi:type="xsd:double"&gt;33.42&lt;/D&gt;&lt;D xsi:type="xsd:double"&gt;33.69&lt;/D&gt;&lt;D xsi:type="xsd:double"&gt;34.27&lt;/D&gt;&lt;D xsi:type="xsd:double"&gt;33.37&lt;/D&gt;&lt;D xsi:type="xsd:double"&gt;33.52&lt;/D&gt;&lt;D xsi:type="xsd:double"&gt;34.93&lt;/D&gt;&lt;D xsi:type="xsd:double"&gt;34.53&lt;/D&gt;&lt;D xsi:type="xsd:double"&gt;34.49&lt;/D&gt;&lt;D xsi:type="xsd:double"&gt;34.96&lt;/D&gt;&lt;D xsi:type="xsd:double"&gt;34.12&lt;/D&gt;&lt;D xsi:type="xsd:double"&gt;33.27&lt;/D&gt;&lt;D xsi:type="xsd:double"&gt;33.39&lt;/D&gt;&lt;D xsi:type="xsd:double"&gt;36&lt;/D&gt;&lt;D xsi:type="xsd:double"&gt;35.13&lt;/D&gt;&lt;D xsi:type="xsd:double"&gt;35.78&lt;/D&gt;&lt;D xsi:type="xsd:double"&gt;36.55&lt;/D&gt;&lt;D xsi:type="xsd:double"&gt;34.45&lt;/D&gt;&lt;D xsi:type="xsd:double"&gt;33.24&lt;/D&gt;&lt;D xsi:type="xsd:double"&gt;31.85&lt;/D&gt;&lt;D xsi:type="xsd:double"&gt;32.46&lt;/D&gt;&lt;D xsi:type="xsd:double"&gt;32.34&lt;/D&gt;&lt;D xsi:type="xsd:double"&gt;31.78&lt;/D&gt;&lt;D xsi:type="xsd:double"&gt;32.73&lt;/D&gt;&lt;D xsi:type="xsd:double"&gt;32.69&lt;/D&gt;&lt;D xsi:type="xsd:double"&gt;32.87&lt;/D&gt;&lt;D xsi:type="xsd:double"&gt;32.59&lt;/D&gt;&lt;D xsi:type="xsd:double"&gt;33.37&lt;/D&gt;&lt;D xsi:type="xsd:double"&gt;32.3&lt;/D&gt;&lt;D xsi:type="xsd:double"&gt;32.01&lt;/D&gt;&lt;D xsi:type="xsd:double"&gt;31.26&lt;/D&gt;&lt;D xsi:type="xsd:double"&gt;30.01&lt;/D&gt;&lt;D xsi:type="xsd:double"&gt;29.57&lt;/D&gt;&lt;D xsi:type="xsd:double"&gt;29.11&lt;/D&gt;&lt;D xsi:type="xsd:double"&gt;27.21&lt;/D&gt;&lt;D xsi:type="xsd:double"&gt;28.01&lt;/D&gt;&lt;D xsi:type="xsd:double"&gt;27.68&lt;/D&gt;&lt;D xsi:type="xsd:double"&gt;27.84&lt;/D&gt;&lt;D xsi:type="xsd:double"&gt;28.7&lt;/D&gt;&lt;D xsi:type="xsd:double"&gt;28.74&lt;/D&gt;&lt;D xsi:type="xsd:double"&gt;31.32&lt;/D&gt;&lt;D xsi:type="xsd:double"&gt;30.82&lt;/D&gt;&lt;D xsi:type="xsd:double"&gt;31.59&lt;/D&gt;&lt;D xsi:type="xsd:double"&gt;32.23&lt;/D&gt;&lt;D xsi:type="xsd:double"&gt;32.12&lt;/D&gt;&lt;D xsi:type="xsd:double"&gt;32.06&lt;/D&gt;&lt;D xsi:type="xsd:double"&gt;32.91&lt;/D&gt;&lt;D xsi:type="xsd:double"&gt;33.6&lt;/D&gt;&lt;D xsi:type="xsd:double"&gt;34.1&lt;/D&gt;&lt;D xsi:type="xsd:double"&gt;34.39&lt;/D&gt;&lt;D xsi:type="xsd:double"&gt;35.76&lt;/D&gt;&lt;D xsi:type="xsd:double"&gt;35.01&lt;/D&gt;&lt;D xsi:type="xsd:double"&gt;35.43&lt;/D&gt;&lt;D xsi:type="xsd:double"&gt;36.32&lt;/D&gt;&lt;D xsi:type="xsd:double"&gt;34.58&lt;/D&gt;&lt;D xsi:type="xsd:double"&gt;32.51&lt;/D&gt;&lt;D xsi:type="xsd:double"&gt;32.53&lt;/D&gt;&lt;D xsi:type="xsd:double"&gt;32.47&lt;/D&gt;&lt;D xsi:type="xsd:double"&gt;32.98&lt;/D&gt;&lt;/FQL&gt;&lt;FQL&gt;&lt;Q&gt;SP50^FG_PRICE(44099,0,W)&lt;/Q&gt;&lt;R&gt;261&lt;/R&gt;&lt;C&gt;1&lt;/C&gt;&lt;D xsi:type="xsd:double"&gt;3298.46&lt;/D&gt;&lt;D xsi:type="xsd:double"&gt;3348.44&lt;/D&gt;&lt;D xsi:type="xsd:double"&gt;3477.13&lt;/D&gt;&lt;D xsi:type="xsd:double"&gt;3483.81&lt;/D&gt;&lt;D xsi:type="xsd:double"&gt;3465.39&lt;/D&gt;&lt;D xsi:type="xsd:double"&gt;3269.96&lt;/D&gt;&lt;D xsi:type="xsd:double"&gt;3509.44&lt;/D&gt;&lt;D xsi:type="xsd:double"&gt;3585.15&lt;/D&gt;&lt;D xsi:type="xsd:double"&gt;3557.54&lt;/D&gt;&lt;D xsi:type="xsd:double"&gt;3638.35&lt;/D&gt;&lt;D xsi:type="xsd:double"&gt;3699.12&lt;/D&gt;&lt;D xsi:type="xsd:double"&gt;3663.46&lt;/D&gt;&lt;D xsi:type="xsd:double"&gt;3709.41&lt;/D&gt;&lt;D xsi:type="xsd:double"&gt;3703.06&lt;/D&gt;&lt;D xsi:type="xsd:double"&gt;3756.07&lt;/D&gt;&lt;D xsi:type="xsd:double"&gt;3824.68&lt;/D&gt;&lt;D xsi:type="xsd:double"&gt;3768.25&lt;/D&gt;&lt;D xsi:type="xsd:double"&gt;3841.47&lt;/D&gt;&lt;D xsi:type="xsd:double"&gt;3714.24&lt;/D&gt;&lt;D xsi:type="xsd:double"&gt;3886.83&lt;/D&gt;&lt;D xsi:type="xsd:double"&gt;3934.83&lt;/D&gt;&lt;D xsi:type="xsd:double"&gt;3906.71&lt;/D&gt;&lt;D xsi:type="xsd:double"&gt;3811.15&lt;/D&gt;&lt;D xsi:type="xsd:double"&gt;3841.94&lt;/D&gt;&lt;D xsi:type="xsd:double"&gt;3943.34&lt;/D&gt;&lt;D xsi:type="xsd:double"&gt;3913.1&lt;/D&gt;&lt;D xsi:type="xsd:double"&gt;3974.54&lt;/D&gt;&lt;D xsi:type="xsd:double"&gt;4019.87&lt;/D&gt;&lt;D xsi:type="xsd:double"&gt;4128.8&lt;/D&gt;&lt;D xsi:type="xsd:double"&gt;4185.47&lt;/D&gt;&lt;D xsi:type="xsd:double"&gt;4180.17&lt;/D&gt;&lt;D xsi:type="xsd:double"&gt;4181.17&lt;/D&gt;&lt;D xsi:type="xsd:double"&gt;4232.6&lt;/D&gt;&lt;D xsi:type="xsd:double"&gt;4173.85&lt;/D&gt;&lt;D xsi:type="xsd:double"&gt;4155.86&lt;/D&gt;&lt;D xsi:type="xsd:double"&gt;4204.11&lt;/D&gt;&lt;D xsi:type="xsd:double"&gt;4229.89&lt;/D&gt;&lt;D xsi:type="xsd:double"&gt;4247.44&lt;/D&gt;&lt;D xsi:type="xsd:double"&gt;4166.45&lt;/D&gt;&lt;D xsi:type="xsd:double"&gt;4280.7&lt;/D&gt;&lt;D xsi:type="xsd:double"&gt;4352.34&lt;/D&gt;&lt;D xsi:type="xsd:double"&gt;4369.55&lt;/D&gt;&lt;D xsi:type="xsd:double"&gt;4327.16&lt;/D&gt;&lt;D xsi:type="xsd:double"&gt;4411.79&lt;/D&gt;&lt;D xsi:type="xsd:double"&gt;4395.26&lt;/D&gt;&lt;D xsi:type="xsd:double"&gt;4436.52&lt;/D&gt;&lt;D xsi:type="xsd:double"&gt;4468&lt;/D&gt;&lt;D xsi:type="xsd:double"&gt;4441.67&lt;/D&gt;&lt;D xsi:type="xsd:double"&gt;4509.37&lt;/D&gt;&lt;D xsi:type="xsd:double"&gt;4535.43&lt;/D&gt;&lt;D xsi:type="xsd:double"&gt;4458.58&lt;/D&gt;&lt;D xsi:type="xsd:double"&gt;4432.99&lt;/D&gt;&lt;D xsi:type="xsd:double"&gt;4455.48&lt;/D&gt;&lt;D xsi:type="xsd:double"&gt;4357.04&lt;/D&gt;&lt;D xsi:type="xsd:double"&gt;4391.34&lt;/D&gt;&lt;D xsi:type="xsd:double"&gt;4471.37&lt;/D&gt;&lt;D xsi:type="xsd:double"&gt;4544.9&lt;/D&gt;&lt;D xsi:type="xsd:double"&gt;4605.38&lt;/D&gt;&lt;D xsi:type="xsd:double"&gt;4697.53&lt;/D&gt;&lt;D xsi:type="xsd:double"&gt;4682.85&lt;/D&gt;&lt;D xsi:type="xsd:double"&gt;4697.96&lt;/D&gt;&lt;D xsi:type="xsd:double"&gt;4594.62&lt;/D&gt;&lt;D xsi:type="xsd:double"&gt;4538.43&lt;/D&gt;&lt;D xsi:type="xsd:double"&gt;4712.02&lt;/D&gt;&lt;D xsi:type="xsd:double"&gt;4620.64&lt;/D&gt;&lt;D xsi:type="xsd:double"&gt;4725.79&lt;/D&gt;&lt;D xsi:type="xsd:double"&gt;4766.18&lt;/D&gt;&lt;D xsi:type="xsd:double"&gt;4677.03&lt;/D&gt;&lt;D xsi:type="xsd:double"&gt;4662.85&lt;/D&gt;&lt;D xsi:type="xsd:double"&gt;4397.94&lt;/D&gt;&lt;D xsi:type="xsd:double"&gt;4431.85&lt;/D&gt;&lt;D xsi:type="xsd:double"&gt;4500.53&lt;/D&gt;&lt;D xsi:type="xsd:double"&gt;4418.64&lt;/D&gt;&lt;D xsi:type="xsd:double"&gt;4348.87&lt;/D&gt;&lt;D xsi:type="xsd:double"&gt;4384.65&lt;/D&gt;&lt;D xsi:type="xsd:double"&gt;4328.87&lt;/D&gt;&lt;D xsi:type="xsd:double"&gt;4204.31&lt;/D&gt;&lt;D xsi:type="xsd:double"&gt;4463.12&lt;/D&gt;&lt;D xsi:type="xsd:double"&gt;4543.06&lt;/D&gt;&lt;D xsi:type="xsd:double"&gt;4545.86&lt;/D&gt;&lt;D xsi:type="xsd:double"&gt;4488.28&lt;/D&gt;&lt;D xsi:type="xsd:double"&gt;4392.59&lt;/D&gt;&lt;D xsi:type="xsd:double"&gt;4271.78&lt;/D&gt;&lt;D xsi:type="xsd:double"&gt;4131.93&lt;/D&gt;&lt;D xsi:type="xsd:double"&gt;4123.34&lt;/D&gt;&lt;D xsi:type="xsd:double"&gt;4023.89&lt;/D&gt;&lt;D xsi:type="xsd:double"&gt;3901.36&lt;/D&gt;&lt;D xsi:type="xsd:double"&gt;4158.24&lt;/D&gt;&lt;D xsi:type="xsd:double"&gt;4108.54&lt;/D&gt;&lt;D xsi:type="xsd:double"&gt;3900.86&lt;/D&gt;&lt;D xsi:type="xsd:double"&gt;3674.84&lt;/D&gt;&lt;D xsi:type="xsd:double"&gt;3911.74&lt;/D&gt;&lt;D xsi:type="xsd:double"&gt;3825.33&lt;/D&gt;&lt;D xsi:type="xsd:double"&gt;3899.38&lt;/D&gt;&lt;D xsi:type="xsd:double"&gt;3863.16&lt;/D&gt;&lt;D xsi:type="xsd:double"&gt;3961.63&lt;/D&gt;&lt;D xsi:type="xsd:double"&gt;4130.29&lt;/D&gt;&lt;D xsi:type="xsd:double"&gt;4145.19&lt;/D&gt;&lt;D xsi:type="xsd:double"&gt;4280.15&lt;/D&gt;&lt;D xsi:type="xsd:double"&gt;4228.48&lt;/D&gt;&lt;D xsi:type="xsd:double"&gt;4057.66&lt;/D&gt;&lt;D xsi:type="xsd:double"&gt;3924.26&lt;/D&gt;&lt;D xsi:type="xsd:double"&gt;4067.36&lt;/D&gt;&lt;D xsi:type="xsd:double"&gt;3873.33&lt;/D&gt;&lt;D xsi:type="xsd:double"&gt;3693.23&lt;/D&gt;&lt;D xsi:type="xsd:double"&gt;3585.62&lt;/D&gt;&lt;D xsi:type="xsd:double"&gt;3639.66&lt;/D&gt;&lt;D xsi:type="xsd:double"&gt;3583.07&lt;/D&gt;&lt;D xsi:type="xsd:double"&gt;3752.75&lt;/D&gt;&lt;D xsi:type="xsd:double"&gt;3901.06&lt;/D&gt;&lt;D xsi:type="xsd:double"&gt;3770.55&lt;/D&gt;&lt;D xsi:type="xsd:double"&gt;3992.93&lt;/D&gt;&lt;D xsi:type="xsd:double"&gt;3965.34&lt;/D&gt;&lt;D xsi:type="xsd:double"&gt;4026.12&lt;/D&gt;&lt;D xsi:type="xsd:double"&gt;4071.7&lt;/D&gt;&lt;D xsi:type="xsd:double"&gt;3934.38&lt;/D&gt;&lt;D xsi:type="xsd:double"&gt;3852.36&lt;/D&gt;&lt;D xsi:type="xsd:double"&gt;3844.82&lt;/D&gt;&lt;D xsi:type="xsd:double"&gt;3839.5&lt;/D&gt;&lt;D xsi:type="xsd:double"&gt;3895.08&lt;/D&gt;&lt;D xsi:type="xsd:double"&gt;3999.09&lt;/D&gt;&lt;D xsi:type="xsd:double"&gt;3972.61&lt;/D&gt;&lt;D xsi:type="xsd:double"&gt;4070.56&lt;/D&gt;&lt;D xsi:type="xsd:double"&gt;4136.48&lt;/D&gt;&lt;D xsi:type="xsd:double"&gt;4090.46&lt;/D&gt;&lt;D xsi:type="xsd:double"&gt;4079.09&lt;/D&gt;&lt;D xsi:type="xsd:double"&gt;3970.04&lt;/D&gt;&lt;D xsi:type="xsd:double"&gt;4045.64&lt;/D&gt;&lt;D xsi:type="xsd:double"&gt;3861.59&lt;/D&gt;&lt;D xsi:type="xsd:double"&gt;3916.64&lt;/D&gt;&lt;D xsi:type="xsd:double"&gt;3970.99&lt;/D&gt;&lt;D xsi:type="xsd:double"&gt;4109.31&lt;/D&gt;&lt;D xsi:type="xsd:double"&gt;4105.02&lt;/D&gt;&lt;D xsi:type="xsd:double"&gt;4137.64&lt;/D&gt;&lt;D xsi:type="xsd:double"&gt;4133.52&lt;/D&gt;&lt;D xsi:type="xsd:double"&gt;4169.48&lt;/D&gt;&lt;D xsi:type="xsd:double"&gt;4136.25&lt;/D&gt;&lt;D xsi:type="xsd:double"&gt;4124.08&lt;/D&gt;&lt;D xsi:type="xsd:double"&gt;4191.98&lt;/D&gt;&lt;D xsi:type="xsd:double"&gt;4205.45&lt;/D&gt;&lt;D xsi:type="xsd:double"&gt;4282.37&lt;/D&gt;&lt;D xsi:type="xsd:double"&gt;4298.86&lt;/D&gt;&lt;D xsi:type="xsd:double"&gt;4409.59&lt;/D&gt;&lt;D xsi:type="xsd:double"&gt;4348.33&lt;/D&gt;&lt;D xsi:type="xsd:double"&gt;4450.38&lt;/D&gt;&lt;D xsi:type="xsd:double"&gt;4398.95&lt;/D&gt;&lt;D xsi:type="xsd:double"&gt;4505.42&lt;/D&gt;&lt;D xsi:type="xsd:double"&gt;4536.34&lt;/D&gt;&lt;D xsi:type="xsd:double"&gt;4582.23&lt;/D&gt;&lt;D xsi:type="xsd:double"&gt;4478.03&lt;/D&gt;&lt;D xsi:type="xsd:double"&gt;4464.05&lt;/D&gt;&lt;D xsi:type="xsd:double"&gt;4369.71&lt;/D&gt;&lt;D xsi:type="xsd:double"&gt;4405.71&lt;/D&gt;&lt;D xsi:type="xsd:double"&gt;4515.77&lt;/D&gt;&lt;D xsi:type="xsd:double"&gt;4457.49&lt;/D&gt;&lt;D xsi:type="xsd:double"&gt;4450.32&lt;/D&gt;&lt;D xsi:type="xsd:double"&gt;4320.06&lt;/D&gt;&lt;D xsi:type="xsd:double"&gt;4288.05&lt;/D&gt;&lt;D xsi:type="xsd:double"&gt;4308.5&lt;/D&gt;&lt;D xsi:type="xsd:double"&gt;4327.78&lt;/D&gt;&lt;D xsi:type="xsd:double"&gt;4224.16&lt;/D&gt;&lt;D xsi:type="xsd:double"&gt;4117.37&lt;/D&gt;&lt;D xsi:type="xsd:double"&gt;4358.34&lt;/D&gt;&lt;D xsi:type="xsd:double"&gt;4415.24&lt;/D&gt;&lt;D xsi:type="xsd:double"&gt;4514.02&lt;/D&gt;&lt;D xsi:type="xsd:double"&gt;4559.34&lt;/D&gt;&lt;D xsi:type="xsd:double"&gt;4594.63&lt;/D&gt;&lt;D xsi:type="xsd:double"&gt;4604.37&lt;/D&gt;&lt;D xsi:type="xsd:double"&gt;4719.19&lt;/D&gt;&lt;D xsi:type="xsd:double"&gt;4754.63&lt;/D&gt;&lt;D xsi:type="xsd:double"&gt;4769.83&lt;/D&gt;&lt;D xsi:type="xsd:double"&gt;4697.24&lt;/D&gt;&lt;D xsi:type="xsd:double"&gt;4783.83&lt;/D&gt;&lt;D xsi:type="xsd:double"&gt;4839.81&lt;/D&gt;&lt;D xsi:type="xsd:double"&gt;4890.97&lt;/D&gt;&lt;D xsi:type="xsd:double"&gt;4958.61&lt;/D&gt;&lt;D xsi:type="xsd:double"&gt;5026.61&lt;/D&gt;&lt;D xsi:type="xsd:double"&gt;5005.57&lt;/D&gt;&lt;D xsi:type="xsd:double"&gt;5088.8&lt;/D&gt;&lt;D xsi:type="xsd:double"&gt;5137.08&lt;/D&gt;&lt;D xsi:type="xsd:double"&gt;5123.69&lt;/D&gt;&lt;D xsi:type="xsd:double"&gt;5117.09&lt;/D&gt;&lt;D xsi:type="xsd:double"&gt;5234.18&lt;/D&gt;&lt;D xsi:type="xsd:double"&gt;5254.35&lt;/D&gt;&lt;D xsi:type="xsd:double"&gt;5204.34&lt;/D&gt;&lt;D xsi:type="xsd:double"&gt;5123.41&lt;/D&gt;&lt;D xsi:type="xsd:double"&gt;4967.23&lt;/D&gt;&lt;D xsi:type="xsd:double"&gt;5099.96&lt;/D&gt;&lt;D xsi:type="xsd:double"&gt;5127.79&lt;/D&gt;&lt;D xsi:type="xsd:double"&gt;5222.68&lt;/D&gt;&lt;D xsi:type="xsd:double"&gt;5303.27&lt;/D&gt;&lt;D xsi:type="xsd:double"&gt;5304.72&lt;/D&gt;&lt;D xsi:type="xsd:double"&gt;5277.51&lt;/D&gt;&lt;D xsi:type="xsd:double"&gt;5346.99&lt;/D&gt;&lt;D xsi:type="xsd:double"&gt;5431.6&lt;/D&gt;&lt;D xsi:type="xsd:double"&gt;5464.62&lt;/D&gt;&lt;D xsi:type="xsd:double"&gt;5460.48&lt;/D&gt;&lt;D xsi:type="xsd:double"&gt;5567.19&lt;/D&gt;&lt;D xsi:type="xsd:double"&gt;5615.35&lt;/D&gt;&lt;D xsi:type="xsd:double"&gt;5505&lt;/D&gt;&lt;D xsi:type="xsd:double"&gt;5459.1&lt;/D&gt;&lt;D xsi:type="xsd:double"&gt;5346.56&lt;/D&gt;&lt;D xsi:type="xsd:double"&gt;5344.16&lt;/D&gt;&lt;D xsi:type="xsd:double"&gt;5554.25&lt;/D&gt;&lt;D xsi:type="xsd:double"&gt;5634.61&lt;/D&gt;&lt;D xsi:type="xsd:double"&gt;5648.4&lt;/D&gt;&lt;D xsi:type="xsd:double"&gt;5408.42&lt;/D&gt;&lt;D xsi:type="xsd:double"&gt;5626.02&lt;/D&gt;&lt;D xsi:type="xsd:double"&gt;5702.55&lt;/D&gt;&lt;D xsi:type="xsd:double"&gt;5738.17&lt;/D&gt;&lt;D xsi:type="xsd:double"&gt;5751.07&lt;/D&gt;&lt;D xsi:type="xsd:double"&gt;5815.03&lt;/D&gt;&lt;D xsi:type="xsd:double"&gt;5864.67&lt;/D&gt;&lt;D xsi:type="xsd:double"&gt;5808.12&lt;/D&gt;&lt;D xsi:type="xsd:double"&gt;5728.8&lt;/D&gt;&lt;D xsi:type="xsd:double"&gt;5995.54&lt;/D&gt;&lt;D xsi:type="xsd:double"&gt;5870.62&lt;/D&gt;&lt;D xsi:type="xsd:double"&gt;5969.34&lt;/D&gt;&lt;D xsi:type="xsd:double"&gt;6032.38&lt;/D&gt;&lt;D xsi:type="xsd:double"&gt;6090.27&lt;/D&gt;&lt;D xsi:type="xsd:double"&gt;6051.09&lt;/D&gt;&lt;D xsi:type="xsd:double"&gt;5930.85&lt;/D&gt;&lt;D xsi:type="xsd:double"&gt;5970.84&lt;/D&gt;&lt;D xsi:type="xsd:double"&gt;5942.47&lt;/D&gt;&lt;D xsi:type="xsd:double"&gt;5827.04&lt;/D&gt;&lt;D xsi:type="xsd:double"&gt;5996.66&lt;/D&gt;&lt;D xsi:type="xsd:double"&gt;6101.24&lt;/D&gt;&lt;D xsi:type="xsd:double"&gt;6040.53&lt;/D&gt;&lt;D xsi:type="xsd:double"&gt;6025.99&lt;/D&gt;&lt;D xsi:type="xsd:double"&gt;6114.63&lt;/D&gt;&lt;D xsi:type="xsd:double"&gt;6013.13&lt;/D&gt;&lt;D xsi:type="xsd:double"&gt;5954.5&lt;/D&gt;&lt;D xsi:type="xsd:double"&gt;5770.2&lt;/D&gt;&lt;D xsi:type="xsd:double"&gt;5638.94&lt;/D&gt;&lt;D xsi:type="xsd:double"&gt;5667.56&lt;/D&gt;&lt;D xsi:type="xsd:double"&gt;5580.94&lt;/D&gt;&lt;D xsi:type="xsd:double"&gt;5074.08&lt;/D&gt;&lt;D xsi:type="xsd:double"&gt;5363.36&lt;/D&gt;&lt;D xsi:type="xsd:double"&gt;5282.7&lt;/D&gt;&lt;D xsi:type="xsd:double"&gt;5525.21&lt;/D&gt;&lt;D xsi:type="xsd:double"&gt;5686.67&lt;/D&gt;&lt;D xsi:type="xsd:double"&gt;5659.91&lt;/D&gt;&lt;D xsi:type="xsd:double"&gt;5958.38&lt;/D&gt;&lt;D xsi:type="xsd:double"&gt;5802.82&lt;/D&gt;&lt;D xsi:type="xsd:double"&gt;5911.69&lt;/D&gt;&lt;D xsi:type="xsd:double"&gt;6000.36&lt;/D&gt;&lt;D xsi:type="xsd:double"&gt;5976.97&lt;/D&gt;&lt;D xsi:type="xsd:double"&gt;5967.84&lt;/D&gt;&lt;D xsi:type="xsd:double"&gt;6173.07&lt;/D&gt;&lt;D xsi:type="xsd:double"&gt;6279.35&lt;/D&gt;&lt;D xsi:type="xsd:double"&gt;6259.75&lt;/D&gt;&lt;D xsi:type="xsd:double"&gt;6296.79&lt;/D&gt;&lt;D xsi:type="xsd:double"&gt;6388.64&lt;/D&gt;&lt;D xsi:type="xsd:double"&gt;6238.01&lt;/D&gt;&lt;D xsi:type="xsd:double"&gt;6389.45&lt;/D&gt;&lt;D xsi:type="xsd:double"&gt;6449.8&lt;/D&gt;&lt;D xsi:type="xsd:double"&gt;6466.91&lt;/D&gt;&lt;D xsi:type="xsd:double"&gt;6460.26&lt;/D&gt;&lt;D xsi:type="xsd:double"&gt;6481.5&lt;/D&gt;&lt;D xsi:type="xsd:double"&gt;6584.29&lt;/D&gt;&lt;D xsi:type="xsd:double"&gt;6664.36&lt;/D&gt;&lt;/FQL&gt;&lt;FQL&gt;&lt;Q&gt;^P_EXCH_RATE(CAD,USD,44099,0,W)&lt;/Q&gt;&lt;R&gt;261&lt;/R&gt;&lt;C&gt;1&lt;/C&gt;&lt;D xsi:type="xsd:double"&gt;0.7458512&lt;/D&gt;&lt;D xsi:type="xsd:double"&gt;0.7507507&lt;/D&gt;&lt;D xsi:type="xsd:double"&gt;0.7613537&lt;/D&gt;&lt;D xsi:type="xsd:double"&gt;0.75769055&lt;/D&gt;&lt;D xsi:type="xsd:double"&gt;0.76034063&lt;/D&gt;&lt;D xsi:type="xsd:double"&gt;0.74999064&lt;/D&gt;&lt;D xsi:type="xsd:double"&gt;0.76745975&lt;/D&gt;&lt;D xsi:type="xsd:double"&gt;0.7596764&lt;/D&gt;&lt;D xsi:type="xsd:double"&gt;0.76531583&lt;/D&gt;&lt;D xsi:type="xsd:double"&gt;0.7706832&lt;/D&gt;&lt;D xsi:type="xsd:double"&gt;0.78097546&lt;/D&gt;&lt;D xsi:type="xsd:double"&gt;0.78293204&lt;/D&gt;&lt;D xsi:type="xsd:double"&gt;0.7826257&lt;/D&gt;&lt;D xsi:type="xsd:double"&gt;0.7786982&lt;/D&gt;&lt;D xsi:type="xsd:double"&gt;0.78492683&lt;/D&gt;&lt;D xsi:type="xsd:double"&gt;0.7880531&lt;/D&gt;&lt;D xsi:type="xsd:double"&gt;0.7837605&lt;/D&gt;&lt;D xsi:type="xsd:double"&gt;0.78634894&lt;/D&gt;&lt;D xsi:type="xsd:double"&gt;0.7828095&lt;/D&gt;&lt;D xsi:type="xsd:double"&gt;0.7829014&lt;/D&gt;&lt;D xsi:type="xsd:double"&gt;0.7870298&lt;/D&gt;&lt;D xsi:type="xsd:double"&gt;0.79308426&lt;/D&gt;&lt;D xsi:type="xsd:double"&gt;0.7898894&lt;/D&gt;&lt;D xsi:type="xsd:double"&gt;0.7882084&lt;/D&gt;&lt;D xsi:type="xsd:double"&gt;0.8003201&lt;/D&gt;&lt;D xsi:type="xsd:double"&gt;0.7992328&lt;/D&gt;&lt;D xsi:type="xsd:double"&gt;0.79484934&lt;/D&gt;&lt;D xsi:type="xsd:double"&gt;0.7954303&lt;/D&gt;&lt;D xsi:type="xsd:double"&gt;0.79659057&lt;/D&gt;&lt;D xsi:type="xsd:double"&gt;0.80012804&lt;/D&gt;&lt;D xsi:type="xsd:double"&gt;0.7997761&lt;/D&gt;&lt;D xsi:type="xsd:double"&gt;0.8128759&lt;/D&gt;&lt;D xsi:type="xsd:double"&gt;0.8228082&lt;/D&gt;&lt;D xsi:type="xsd:double"&gt;0.82648045&lt;/D&gt;&lt;D xsi:type="xsd:double"&gt;0.82987547&lt;/D&gt;&lt;D xsi:type="xsd:double"&gt;0.8278146&lt;/D&gt;&lt;D xsi:type="xsd:double"&gt;0.8272325&lt;/D&gt;&lt;D xsi:type="xsd:double"&gt;0.8233502&lt;/D&gt;&lt;D xsi:type="xsd:double"&gt;0.80318063&lt;/D&gt;&lt;D xsi:type="xsd:double"&gt;0.81426597&lt;/D&gt;&lt;D xsi:type="xsd:double"&gt;0.8083747&lt;/D&gt;&lt;D xsi:type="xsd:double"&gt;0.80144256&lt;/D&gt;&lt;D xsi:type="xsd:double"&gt;0.7936823&lt;/D&gt;&lt;D xsi:type="xsd:double"&gt;0.79437584&lt;/D&gt;&lt;D xsi:type="xsd:double"&gt;0.8010574&lt;/D&gt;&lt;D xsi:type="xsd:double"&gt;0.79513377&lt;/D&gt;&lt;D xsi:type="xsd:double"&gt;0.7994564&lt;/D&gt;&lt;D xsi:type="xsd:double"&gt;0.77697057&lt;/D&gt;&lt;D xsi:type="xsd:double"&gt;0.79182833&lt;/D&gt;&lt;D xsi:type="xsd:double"&gt;0.7991689&lt;/D&gt;&lt;D xsi:type="xsd:double"&gt;0.79207915&lt;/D&gt;&lt;D xsi:type="xsd:double"&gt;0.784037&lt;/D&gt;&lt;D xsi:type="xsd:double"&gt;0.7875876&lt;/D&gt;&lt;D xsi:type="xsd:double"&gt;0.7889235&lt;/D&gt;&lt;D xsi:type="xsd:double"&gt;0.8026649&lt;/D&gt;&lt;D xsi:type="xsd:double"&gt;0.8092252&lt;/D&gt;&lt;D xsi:type="xsd:double"&gt;0.80945444&lt;/D&gt;&lt;D xsi:type="xsd:double"&gt;0.8067444&lt;/D&gt;&lt;D xsi:type="xsd:double"&gt;0.8038908&lt;/D&gt;&lt;D xsi:type="xsd:double"&gt;0.79529184&lt;/D&gt;&lt;D xsi:type="xsd:double"&gt;0.79088897&lt;/D&gt;&lt;D xsi:type="xsd:double"&gt;0.7818608&lt;/D&gt;&lt;D xsi:type="xsd:double"&gt;0.78183025&lt;/D&gt;&lt;D xsi:type="xsd:double"&gt;0.7866583&lt;/D&gt;&lt;D xsi:type="xsd:double"&gt;0.7796967&lt;/D&gt;&lt;D xsi:type="xsd:double"&gt;0.7816469&lt;/D&gt;&lt;D xsi:type="xsd:double"&gt;0.79167163&lt;/D&gt;&lt;D xsi:type="xsd:double"&gt;0.7890791&lt;/D&gt;&lt;D xsi:type="xsd:double"&gt;0.7971621&lt;/D&gt;&lt;D xsi:type="xsd:double"&gt;0.79776627&lt;/D&gt;&lt;D xsi:type="xsd:double"&gt;0.78293204&lt;/D&gt;&lt;D xsi:type="xsd:double"&gt;0.7828095&lt;/D&gt;&lt;D xsi:type="xsd:double"&gt;0.78827053&lt;/D&gt;&lt;D xsi:type="xsd:double"&gt;0.7850835&lt;/D&gt;&lt;D xsi:type="xsd:double"&gt;0.78496015&lt;/D&gt;&lt;D xsi:type="xsd:double"&gt;0.7833614&lt;/D&gt;&lt;D xsi:type="xsd:double"&gt;0.78737056&lt;/D&gt;&lt;D xsi:type="xsd:double"&gt;0.791515&lt;/D&gt;&lt;D xsi:type="xsd:double"&gt;0.7991369&lt;/D&gt;&lt;D xsi:type="xsd:double"&gt;0.79984003&lt;/D&gt;&lt;D xsi:type="xsd:double"&gt;0.7937453&lt;/D&gt;&lt;D xsi:type="xsd:double"&gt;0.792654&lt;/D&gt;&lt;D xsi:type="xsd:double"&gt;0.78650355&lt;/D&gt;&lt;D xsi:type="xsd:double"&gt;0.78244203&lt;/D&gt;&lt;D xsi:type="xsd:double"&gt;0.77654827&lt;/D&gt;&lt;D xsi:type="xsd:double"&gt;0.7723499&lt;/D&gt;&lt;D xsi:type="xsd:double"&gt;0.779484&lt;/D&gt;&lt;D xsi:type="xsd:double"&gt;0.7837298&lt;/D&gt;&lt;D xsi:type="xsd:double"&gt;0.7946283&lt;/D&gt;&lt;D xsi:type="xsd:double"&gt;0.7816469&lt;/D&gt;&lt;D xsi:type="xsd:double"&gt;0.7649939&lt;/D&gt;&lt;D xsi:type="xsd:double"&gt;0.77435344&lt;/D&gt;&lt;D xsi:type="xsd:double"&gt;0.77384406&lt;/D&gt;&lt;D xsi:type="xsd:double"&gt;0.77258855&lt;/D&gt;&lt;D xsi:type="xsd:double"&gt;0.7678722&lt;/D&gt;&lt;D xsi:type="xsd:double"&gt;0.77902853&lt;/D&gt;&lt;D xsi:type="xsd:double"&gt;0.78042686000000006&lt;/D&gt;&lt;D xsi:type="xsd:double"&gt;0.7736645&lt;/D&gt;&lt;D xsi:type="xsd:double"&gt;0.7813721&lt;/D&gt;&lt;D xsi:type="xsd:double"&gt;0.7689646&lt;/D&gt;&lt;D xsi:type="xsd:double"&gt;0.7699118&lt;/D&gt;&lt;D xsi:type="xsd:double"&gt;0.7644383&lt;/D&gt;&lt;D xsi:type="xsd:double"&gt;0.76660657&lt;/D&gt;&lt;D xsi:type="xsd:double"&gt;0.7530404&lt;/D&gt;&lt;D xsi:type="xsd:double"&gt;0.7360789&lt;/D&gt;&lt;D xsi:type="xsd:double"&gt;0.7277755&lt;/D&gt;&lt;D xsi:type="xsd:double"&gt;0.7305402&lt;/D&gt;&lt;D xsi:type="xsd:double"&gt;0.7207987&lt;/D&gt;&lt;D xsi:type="xsd:double"&gt;0.7273521&lt;/D&gt;&lt;D xsi:type="xsd:double"&gt;0.73467284&lt;/D&gt;&lt;D xsi:type="xsd:double"&gt;0.73918027&lt;/D&gt;&lt;D xsi:type="xsd:double"&gt;0.75383514&lt;/D&gt;&lt;D xsi:type="xsd:double"&gt;0.7469376&lt;/D&gt;&lt;D xsi:type="xsd:double"&gt;0.74780333&lt;/D&gt;&lt;D xsi:type="xsd:double"&gt;0.7418948&lt;/D&gt;&lt;D xsi:type="xsd:double"&gt;0.73343354&lt;/D&gt;&lt;D xsi:type="xsd:double"&gt;0.7302735&lt;/D&gt;&lt;D xsi:type="xsd:double"&gt;0.7360789&lt;/D&gt;&lt;D xsi:type="xsd:double"&gt;0.73803467&lt;/D&gt;&lt;D xsi:type="xsd:double"&gt;0.7418397&lt;/D&gt;&lt;D xsi:type="xsd:double"&gt;0.74635226&lt;/D&gt;&lt;D xsi:type="xsd:double"&gt;0.74490666&lt;/D&gt;&lt;D xsi:type="xsd:double"&gt;0.7501313&lt;/D&gt;&lt;D xsi:type="xsd:double"&gt;0.748027&lt;/D&gt;&lt;D xsi:type="xsd:double"&gt;0.7488393&lt;/D&gt;&lt;D xsi:type="xsd:double"&gt;0.7411525&lt;/D&gt;&lt;D xsi:type="xsd:double"&gt;0.73292285&lt;/D&gt;&lt;D xsi:type="xsd:double"&gt;0.733918&lt;/D&gt;&lt;D xsi:type="xsd:double"&gt;0.7258211&lt;/D&gt;&lt;D xsi:type="xsd:double"&gt;0.7271141&lt;/D&gt;&lt;D xsi:type="xsd:double"&gt;0.7267442&lt;/D&gt;&lt;D xsi:type="xsd:double"&gt;0.73890716&lt;/D&gt;&lt;D xsi:type="xsd:double"&gt;0.74217427&lt;/D&gt;&lt;D xsi:type="xsd:double"&gt;0.74825096&lt;/D&gt;&lt;D xsi:type="xsd:double"&gt;0.7386615&lt;/D&gt;&lt;D xsi:type="xsd:double"&gt;0.73730004&lt;/D&gt;&lt;D xsi:type="xsd:double"&gt;0.7441307&lt;/D&gt;&lt;D xsi:type="xsd:double"&gt;0.7390437&lt;/D&gt;&lt;D xsi:type="xsd:double"&gt;0.7402472&lt;/D&gt;&lt;D xsi:type="xsd:double"&gt;0.7329766&lt;/D&gt;&lt;D xsi:type="xsd:double"&gt;0.74379855&lt;/D&gt;&lt;D xsi:type="xsd:double"&gt;0.7509481&lt;/D&gt;&lt;D xsi:type="xsd:double"&gt;0.75800645&lt;/D&gt;&lt;D xsi:type="xsd:double"&gt;0.7582076&lt;/D&gt;&lt;D xsi:type="xsd:double"&gt;0.7557151&lt;/D&gt;&lt;D xsi:type="xsd:double"&gt;0.75199276&lt;/D&gt;&lt;D xsi:type="xsd:double"&gt;0.7591573&lt;/D&gt;&lt;D xsi:type="xsd:double"&gt;0.7571456&lt;/D&gt;&lt;D xsi:type="xsd:double"&gt;0.7556009&lt;/D&gt;&lt;D xsi:type="xsd:double"&gt;0.7484189&lt;/D&gt;&lt;D xsi:type="xsd:double"&gt;0.74523973&lt;/D&gt;&lt;D xsi:type="xsd:double"&gt;0.7373544&lt;/D&gt;&lt;D xsi:type="xsd:double"&gt;0.73343354&lt;/D&gt;&lt;D xsi:type="xsd:double"&gt;0.73634994&lt;/D&gt;&lt;D xsi:type="xsd:double"&gt;0.73343354&lt;/D&gt;&lt;D xsi:type="xsd:double"&gt;0.7393442&lt;/D&gt;&lt;D xsi:type="xsd:double"&gt;0.7430249&lt;/D&gt;&lt;D xsi:type="xsd:double"&gt;0.73964494&lt;/D&gt;&lt;D xsi:type="xsd:double"&gt;0.7291553&lt;/D&gt;&lt;D xsi:type="xsd:double"&gt;0.73209125&lt;/D&gt;&lt;D xsi:type="xsd:double"&gt;0.7303535&lt;/D&gt;&lt;D xsi:type="xsd:double"&gt;0.7217611&lt;/D&gt;&lt;D xsi:type="xsd:double"&gt;0.73144865&lt;/D&gt;&lt;D xsi:type="xsd:double"&gt;0.7226478&lt;/D&gt;&lt;D xsi:type="xsd:double"&gt;0.7283321&lt;/D&gt;&lt;D xsi:type="xsd:double"&gt;0.73521304&lt;/D&gt;&lt;D xsi:type="xsd:double"&gt;0.73980916&lt;/D&gt;&lt;D xsi:type="xsd:double"&gt;0.7361873&lt;/D&gt;&lt;D xsi:type="xsd:double"&gt;0.7479152&lt;/D&gt;&lt;D xsi:type="xsd:double"&gt;0.7537215&lt;/D&gt;&lt;D xsi:type="xsd:double"&gt;0.75838006&lt;/D&gt;&lt;D xsi:type="xsd:double"&gt;0.75058174&lt;/D&gt;&lt;D xsi:type="xsd:double"&gt;0.74702126&lt;/D&gt;&lt;D xsi:type="xsd:double"&gt;0.7426938&lt;/D&gt;&lt;D xsi:type="xsd:double"&gt;0.74366033&lt;/D&gt;&lt;D xsi:type="xsd:double"&gt;0.7433562&lt;/D&gt;&lt;D xsi:type="xsd:double"&gt;0.74285924&lt;/D&gt;&lt;D xsi:type="xsd:double"&gt;0.7417022&lt;/D&gt;&lt;D xsi:type="xsd:double"&gt;0.74060357&lt;/D&gt;&lt;D xsi:type="xsd:double"&gt;0.7378712&lt;/D&gt;&lt;D xsi:type="xsd:double"&gt;0.74332863&lt;/D&gt;&lt;D xsi:type="xsd:double"&gt;0.73901635&lt;/D&gt;&lt;D xsi:type="xsd:double"&gt;0.73551047&lt;/D&gt;&lt;D xsi:type="xsd:double"&gt;0.7389588&lt;/D&gt;&lt;D xsi:type="xsd:double"&gt;0.7350779&lt;/D&gt;&lt;D xsi:type="xsd:double"&gt;0.72692907&lt;/D&gt;&lt;D xsi:type="xsd:double"&gt;0.72827905&lt;/D&gt;&lt;D xsi:type="xsd:double"&gt;0.7307271&lt;/D&gt;&lt;D xsi:type="xsd:double"&gt;0.73102087&lt;/D&gt;&lt;D xsi:type="xsd:double"&gt;0.731743&lt;/D&gt;&lt;D xsi:type="xsd:double"&gt;0.73505086&lt;/D&gt;&lt;D xsi:type="xsd:double"&gt;0.73155564&lt;/D&gt;&lt;D xsi:type="xsd:double"&gt;0.73359495&lt;/D&gt;&lt;D xsi:type="xsd:double"&gt;0.7278285&lt;/D&gt;&lt;D xsi:type="xsd:double"&gt;0.72687626&lt;/D&gt;&lt;D xsi:type="xsd:double"&gt;0.72979385&lt;/D&gt;&lt;D xsi:type="xsd:double"&gt;0.7308072&lt;/D&gt;&lt;D xsi:type="xsd:double"&gt;0.73348737&lt;/D&gt;&lt;D xsi:type="xsd:double"&gt;0.73407966&lt;/D&gt;&lt;D xsi:type="xsd:double"&gt;0.728624&lt;/D&gt;&lt;D xsi:type="xsd:double"&gt;0.72254336&lt;/D&gt;&lt;D xsi:type="xsd:double"&gt;0.72168297&lt;/D&gt;&lt;D xsi:type="xsd:double"&gt;0.72851783&lt;/D&gt;&lt;D xsi:type="xsd:double"&gt;0.72904897&lt;/D&gt;&lt;D xsi:type="xsd:double"&gt;0.7396723&lt;/D&gt;&lt;D xsi:type="xsd:double"&gt;0.7419774&lt;/D&gt;&lt;D xsi:type="xsd:double"&gt;0.7388526&lt;/D&gt;&lt;D xsi:type="xsd:double"&gt;0.7364042&lt;/D&gt;&lt;D xsi:type="xsd:double"&gt;0.7366211&lt;/D&gt;&lt;D xsi:type="xsd:double"&gt;0.7415922&lt;/D&gt;&lt;D xsi:type="xsd:double"&gt;0.7365126&lt;/D&gt;&lt;D xsi:type="xsd:double"&gt;0.7260846&lt;/D&gt;&lt;D xsi:type="xsd:double"&gt;0.72437525&lt;/D&gt;&lt;D xsi:type="xsd:double"&gt;0.72121453&lt;/D&gt;&lt;D xsi:type="xsd:double"&gt;0.71810704&lt;/D&gt;&lt;D xsi:type="xsd:double"&gt;0.7195539&lt;/D&gt;&lt;D xsi:type="xsd:double"&gt;0.71030295&lt;/D&gt;&lt;D xsi:type="xsd:double"&gt;0.7153843&lt;/D&gt;&lt;D xsi:type="xsd:double"&gt;0.7142092&lt;/D&gt;&lt;D xsi:type="xsd:double"&gt;0.7072886&lt;/D&gt;&lt;D xsi:type="xsd:double"&gt;0.7023212&lt;/D&gt;&lt;D xsi:type="xsd:double"&gt;0.6959669&lt;/D&gt;&lt;D xsi:type="xsd:double"&gt;0.69393843&lt;/D&gt;&lt;D xsi:type="xsd:double"&gt;0.6926647&lt;/D&gt;&lt;D xsi:type="xsd:double"&gt;0.6932649&lt;/D&gt;&lt;D xsi:type="xsd:double"&gt;0.6943721&lt;/D&gt;&lt;D xsi:type="xsd:double"&gt;0.6979098&lt;/D&gt;&lt;D xsi:type="xsd:double"&gt;0.6904885&lt;/D&gt;&lt;D xsi:type="xsd:double"&gt;0.6987876&lt;/D&gt;&lt;D xsi:type="xsd:double"&gt;0.7058408&lt;/D&gt;&lt;D xsi:type="xsd:double"&gt;0.70405185&lt;/D&gt;&lt;D xsi:type="xsd:double"&gt;0.6941793&lt;/D&gt;&lt;D xsi:type="xsd:double"&gt;0.69623333&lt;/D&gt;&lt;D xsi:type="xsd:double"&gt;0.6953861&lt;/D&gt;&lt;D xsi:type="xsd:double"&gt;0.6965486&lt;/D&gt;&lt;D xsi:type="xsd:double"&gt;0.700133&lt;/D&gt;&lt;D xsi:type="xsd:double"&gt;0.703136&lt;/D&gt;&lt;D xsi:type="xsd:double"&gt;0.71999425&lt;/D&gt;&lt;D xsi:type="xsd:double"&gt;0.7206415&lt;/D&gt;&lt;D xsi:type="xsd:double"&gt;0.72131854&lt;/D&gt;&lt;D xsi:type="xsd:double"&gt;0.7263483&lt;/D&gt;&lt;D xsi:type="xsd:double"&gt;0.7180039&lt;/D&gt;&lt;D xsi:type="xsd:double"&gt;0.7152309&lt;/D&gt;&lt;D xsi:type="xsd:double"&gt;0.72698194&lt;/D&gt;&lt;D xsi:type="xsd:double"&gt;0.72729915&lt;/D&gt;&lt;D xsi:type="xsd:double"&gt;0.73048687&lt;/D&gt;&lt;D xsi:type="xsd:double"&gt;0.7355916&lt;/D&gt;&lt;D xsi:type="xsd:double"&gt;0.7283587&lt;/D&gt;&lt;D xsi:type="xsd:double"&gt;0.73214483&lt;/D&gt;&lt;D xsi:type="xsd:double"&gt;0.7347539&lt;/D&gt;&lt;D xsi:type="xsd:double"&gt;0.7301135&lt;/D&gt;&lt;D xsi:type="xsd:double"&gt;0.72894263&lt;/D&gt;&lt;D xsi:type="xsd:double"&gt;0.72974056&lt;/D&gt;&lt;D xsi:type="xsd:double"&gt;0.72518945&lt;/D&gt;&lt;D xsi:type="xsd:double"&gt;0.72698194&lt;/D&gt;&lt;D xsi:type="xsd:double"&gt;0.72434896&lt;/D&gt;&lt;D xsi:type="xsd:double"&gt;0.7228306&lt;/D&gt;&lt;D xsi:type="xsd:double"&gt;0.7283587&lt;/D&gt;&lt;D xsi:type="xsd:double"&gt;0.7230658&lt;/D&gt;&lt;D xsi:type="xsd:double"&gt;0.7220477&lt;/D&gt;&lt;D xsi:type="xsd:double"&gt;0.72597915&lt;/D&gt;&lt;/FQL&gt;&lt;FQL&gt;&lt;Q&gt;CSX^FE_VALUATION(PE,MEAN,ANN_ROLL,+1,44099,43481,W,'')&lt;/Q&gt;&lt;R&gt;89&lt;/R&gt;&lt;C&gt;1&lt;/C&gt;&lt;D xsi:type="xsd:double"&gt;22.347765&lt;/D&gt;&lt;D xsi:type="xsd:double"&gt;22.906921&lt;/D&gt;&lt;D xsi:type="xsd:double"&gt;22.155418&lt;/D&gt;&lt;D xsi:type="xsd:double"&gt;21.731043&lt;/D&gt;&lt;D xsi:type="xsd:double"&gt;22.179993&lt;/D&gt;&lt;D xsi:type="xsd:double"&gt;21.34754&lt;/D&gt;&lt;D xsi:type="xsd:double"&gt;21.3821&lt;/D&gt;&lt;D xsi:type="xsd:double"&gt;21.026644&lt;/D&gt;&lt;D xsi:type="xsd:double"&gt;20.568224&lt;/D&gt;&lt;D xsi:type="xsd:double"&gt;20.567781&lt;/D&gt;&lt;D xsi:type="xsd:double"&gt;20.998554&lt;/D&gt;&lt;D xsi:type="xsd:double"&gt;19.697708&lt;/D&gt;&lt;D xsi:type="xsd:double"&gt;19.862303&lt;/D&gt;&lt;D xsi:type="xsd:double"&gt;18.997158&lt;/D&gt;&lt;D xsi:type="xsd:double"&gt;19.456636&lt;/D&gt;&lt;D xsi:type="xsd:double"&gt;19.754972&lt;/D&gt;&lt;D xsi:type="xsd:double"&gt;21.288239&lt;/D&gt;&lt;D xsi:type="xsd:double"&gt;20.415762&lt;/D&gt;&lt;D xsi:type="xsd:double"&gt;19.500532&lt;/D&gt;&lt;D xsi:type="xsd:double"&gt;17.610952&lt;/D&gt;&lt;D xsi:type="xsd:double"&gt;18.802122&lt;/D&gt;&lt;D xsi:type="xsd:double"&gt;18.48643&lt;/D&gt;&lt;D xsi:type="xsd:double"&gt;18.150831&lt;/D&gt;&lt;D xsi:type="xsd:double"&gt;17.297838&lt;/D&gt;&lt;D xsi:type="xsd:double"&gt;17.010052&lt;/D&gt;&lt;D xsi:type="xsd:double"&gt;14.3680315&lt;/D&gt;&lt;D xsi:type="xsd:double"&gt;13.859203&lt;/D&gt;&lt;D xsi:type="xsd:double"&gt;12.117665&lt;/D&gt;&lt;D xsi:type="xsd:double"&gt;13.973975&lt;/D&gt;&lt;D xsi:type="xsd:double"&gt;16.315008&lt;/D&gt;&lt;D xsi:type="xsd:double"&gt;16.84091&lt;/D&gt;&lt;D xsi:type="xsd:double"&gt;19.006004&lt;/D&gt;&lt;D xsi:type="xsd:double"&gt;19.01317&lt;/D&gt;&lt;D xsi:type="xsd:double"&gt;18.602285&lt;/D&gt;&lt;D xsi:type="xsd:double"&gt;18.204565&lt;/D&gt;&lt;D xsi:type="xsd:double"&gt;18.290415&lt;/D&gt;&lt;D xsi:type="xsd:double"&gt;18.136276&lt;/D&gt;&lt;D xsi:type="xsd:double"&gt;17.699854&lt;/D&gt;&lt;D xsi:type="xsd:double"&gt;17.535072&lt;/D&gt;&lt;D xsi:type="xsd:double"&gt;17.482855&lt;/D&gt;&lt;D xsi:type="xsd:double"&gt;17.562052&lt;/D&gt;&lt;D xsi:type="xsd:double"&gt;17.442614&lt;/D&gt;&lt;D xsi:type="xsd:double"&gt;17.023136&lt;/D&gt;&lt;D xsi:type="xsd:double"&gt;17.07132&lt;/D&gt;&lt;D xsi:type="xsd:double"&gt;16.817507&lt;/D&gt;&lt;D xsi:type="xsd:double"&gt;17.07987&lt;/D&gt;&lt;D xsi:type="xsd:double"&gt;17.656805&lt;/D&gt;&lt;D xsi:type="xsd:double"&gt;17.233273&lt;/D&gt;&lt;D xsi:type="xsd:double"&gt;17.264956&lt;/D&gt;&lt;D xsi:type="xsd:double"&gt;16.38726&lt;/D&gt;&lt;D xsi:type="xsd:double"&gt;16.686245&lt;/D&gt;&lt;D xsi:type="xsd:double"&gt;16.108873&lt;/D&gt;&lt;D xsi:type="xsd:double"&gt;16.615723&lt;/D&gt;&lt;D xsi:type="xsd:double"&gt;16.545797&lt;/D&gt;&lt;D xsi:type="xsd:double"&gt;17.448837&lt;/D&gt;&lt;D xsi:type="xsd:double"&gt;16.253319&lt;/D&gt;&lt;D xsi:type="xsd:double"&gt;16.114342&lt;/D&gt;&lt;D xsi:type="xsd:double"&gt;15.511922&lt;/D&gt;&lt;D xsi:type="xsd:double"&gt;15.617244&lt;/D&gt;&lt;D xsi:type="xsd:double"&gt;15.972347&lt;/D&gt;&lt;D xsi:type="xsd:double"&gt;16.10431&lt;/D&gt;&lt;D xsi:type="xsd:double"&gt;16.545788&lt;/D&gt;&lt;D xsi:type="xsd:double"&gt;16.83899&lt;/D&gt;&lt;D xsi:type="xsd:double"&gt;18.133661&lt;/D&gt;&lt;D xsi:type="xsd:double"&gt;18.007383&lt;/D&gt;&lt;D xsi:type="xsd:double"&gt;17.76591&lt;/D&gt;&lt;D xsi:type="xsd:double"&gt;18.018179&lt;/D&gt;&lt;D xsi:type="xsd:double"&gt;17.644497&lt;/D&gt;&lt;D xsi:type="xsd:double"&gt;17.827543&lt;/D&gt;&lt;D xsi:type="xsd:double"&gt;17.00547&lt;/D&gt;&lt;D xsi:type="xsd:double"&gt;17.121708&lt;/D&gt;&lt;D xsi:type="xsd:double"&gt;17.917063&lt;/D&gt;&lt;D xsi:type="xsd:double"&gt;17.981756&lt;/D&gt;&lt;D xsi:type="xsd:double"&gt;18.395086&lt;/D&gt;&lt;D xsi:type="xsd:double"&gt;18.086674&lt;/D&gt;&lt;D xsi:type="xsd:double"&gt;18.07911&lt;/D&gt;&lt;D xsi:type="xsd:double"&gt;18.076477&lt;/D&gt;&lt;D xsi:type="xsd:double"&gt;17.525156&lt;/D&gt;&lt;D xsi:type="xsd:double"&gt;17.584805&lt;/D&gt;&lt;D xsi:type="xsd:double"&gt;17.028055&lt;/D&gt;&lt;D xsi:type="xsd:double"&gt;17.098505&lt;/D&gt;&lt;D xsi:type="xsd:do</t>
        </r>
      </text>
    </comment>
    <comment ref="A4" authorId="0" shapeId="0" xr:uid="{B779287B-A641-4CE8-9880-FA8BC458A08E}">
      <text>
        <r>
          <rPr>
            <b/>
            <sz val="9"/>
            <color indexed="81"/>
            <rFont val="Tahoma"/>
            <family val="2"/>
          </rPr>
          <t>uble"&gt;16.860613&lt;/D&gt;&lt;D xsi:type="xsd:double"&gt;17.020908&lt;/D&gt;&lt;D xsi:type="xsd:double"&gt;17.220781&lt;/D&gt;&lt;D xsi:type="xsd:double"&gt;17.039907&lt;/D&gt;&lt;D xsi:type="xsd:double"&gt;16.161772&lt;/D&gt;&lt;D xsi:type="xsd:double"&gt;15.562317&lt;/D&gt;&lt;D xsi:type="xsd:double"&gt;15.562818&lt;/D&gt;&lt;D xsi:type="xsd:double"&gt;15.829659&lt;/D&gt;&lt;/FQL&gt;&lt;FQL&gt;&lt;Q&gt;CSX^FE_VALUATION(PE,MEAN,ANN_ROLL,+2,44099,43481,W,'')&lt;/Q&gt;&lt;R&gt;89&lt;/R&gt;&lt;C&gt;1&lt;/C&gt;&lt;D xsi:type="xsd:double"&gt;18.640501&lt;/D&gt;&lt;D xsi:type="xsd:double"&gt;19.095432&lt;/D&gt;&lt;D xsi:type="xsd:double"&gt;18.491924&lt;/D&gt;&lt;D xsi:type="xsd:double"&gt;18.194038&lt;/D&gt;&lt;D xsi:type="xsd:double"&gt;18.564945&lt;/D&gt;&lt;D xsi:type="xsd:double"&gt;17.883867&lt;/D&gt;&lt;D xsi:type="xsd:double"&gt;17.912819&lt;/D&gt;&lt;D xsi:type="xsd:double"&gt;17.5928&lt;/D&gt;&lt;D xsi:type="xsd:double"&gt;17.209244&lt;/D&gt;&lt;D xsi:type="xsd:double"&gt;17.208797&lt;/D&gt;&lt;D xsi:type="xsd:double"&gt;17.594769&lt;/D&gt;&lt;D xsi:type="xsd:double"&gt;16.49855&lt;/D&gt;&lt;D xsi:type="xsd:double"&gt;16.751286&lt;/D&gt;&lt;D xsi:type="xsd:double"&gt;16.02458&lt;/D&gt;&lt;D xsi:type="xsd:double"&gt;16.469639&lt;/D&gt;&lt;D xsi:type="xsd:double"&gt;16.838152&lt;/D&gt;&lt;D xsi:type="xsd:double"&gt;18.17012&lt;/D&gt;&lt;D xsi:type="xsd:double"&gt;17.325626&lt;/D&gt;&lt;D xsi:type="xsd:double"&gt;16.5755&lt;/D&gt;&lt;D xsi:type="xsd:double"&gt;15.022771&lt;/D&gt;&lt;D xsi:type="xsd:double"&gt;15.98564&lt;/D&gt;&lt;D xsi:type="xsd:double"&gt;15.7172365&lt;/D&gt;&lt;D xsi:type="xsd:double"&gt;15.43191&lt;/D&gt;&lt;D xsi:type="xsd:double"&gt;14.849128&lt;/D&gt;&lt;D xsi:type="xsd:double"&gt;14.815607&lt;/D&gt;&lt;D xsi:type="xsd:double"&gt;12.7131&lt;/D&gt;&lt;D xsi:type="xsd:double"&gt;12.486436&lt;/D&gt;&lt;D xsi:type="xsd:double"&gt;10.931391&lt;/D&gt;&lt;D xsi:type="xsd:double"&gt;12.6311&lt;/D&gt;&lt;D xsi:type="xsd:double"&gt;14.729265&lt;/D&gt;&lt;D xsi:type="xsd:double"&gt;15.204053&lt;/D&gt;&lt;D xsi:type="xsd:double"&gt;17.162159&lt;/D&gt;&lt;D xsi:type="xsd:double"&gt;17.168629&lt;/D&gt;&lt;D xsi:type="xsd:double"&gt;16.797606&lt;/D&gt;&lt;D xsi:type="xsd:double"&gt;16.43971&lt;/D&gt;&lt;D xsi:type="xsd:double"&gt;16.517237&lt;/D&gt;&lt;D xsi:type="xsd:double"&gt;16.445915&lt;/D&gt;&lt;D xsi:type="xsd:double"&gt;16.95178&lt;/D&gt;&lt;D xsi:type="xsd:double"&gt;16.724174&lt;/D&gt;&lt;D xsi:type="xsd:double"&gt;16.67498&lt;/D&gt;&lt;D xsi:type="xsd:double"&gt;16.750515&lt;/D&gt;&lt;D xsi:type="xsd:double"&gt;16.591764&lt;/D&gt;&lt;D xsi:type="xsd:double"&gt;16.09497&lt;/D&gt;&lt;D xsi:type="xsd:double"&gt;16.123735&lt;/D&gt;&lt;D xsi:type="xsd:double"&gt;15.873703&lt;/D&gt;&lt;D xsi:type="xsd:double"&gt;16.121344&lt;/D&gt;&lt;D xsi:type="xsd:double"&gt;16.666552&lt;/D&gt;&lt;D xsi:type="xsd:double"&gt;16.238377&lt;/D&gt;&lt;D xsi:type="xsd:double"&gt;16.253824&lt;/D&gt;&lt;D xsi:type="xsd:double"&gt;15.42664&lt;/D&gt;&lt;D xsi:type="xsd:double"&gt;15.496445&lt;/D&gt;&lt;D xsi:type="xsd:double"&gt;14.925718&lt;/D&gt;&lt;D xsi:type="xsd:double"&gt;15.328945&lt;/D&gt;&lt;D xsi:type="xsd:double"&gt;15.264435&lt;/D&gt;&lt;D xsi:type="xsd:double"&gt;16.056927&lt;/D&gt;&lt;D xsi:type="xsd:double"&gt;14.941652&lt;/D&gt;&lt;D xsi:type="xsd:double"&gt;14.791729&lt;/D&gt;&lt;D xsi:type="xsd:double"&gt;14.233134&lt;/D&gt;&lt;D xsi:type="xsd:double"&gt;14.324034&lt;/D&gt;&lt;D xsi:type="xsd:double"&gt;14.649732&lt;/D&gt;&lt;D xsi:type="xsd:double"&gt;14.770767&lt;/D&gt;&lt;D xsi:type="xsd:double"&gt;15.175688&lt;/D&gt;&lt;D xsi:type="xsd:double"&gt;15.437443&lt;/D&gt;&lt;D xsi:type="xsd:double"&gt;16.532284&lt;/D&gt;&lt;D xsi:type="xsd:double"&gt;16.413576&lt;/D&gt;&lt;D xsi:type="xsd:double"&gt;16.17356&lt;/D&gt;&lt;D xsi:type="xsd:double"&gt;16.398245&lt;/D&gt;&lt;D xsi:type="xsd:double"&gt;16.074944&lt;/D&gt;&lt;D xsi:type="xsd:double"&gt;16.213844&lt;/D&gt;&lt;D xsi:type="xsd:double"&gt;15.466183&lt;/D&gt;&lt;D xsi:type="xsd:double"&gt;15.553002&lt;/D&gt;&lt;D xsi:type="xsd:double"&gt;16.27458&lt;/D&gt;&lt;D xsi:type="xsd:double"&gt;16.334778&lt;/D&gt;&lt;D xsi:type="xsd:double"&gt;16.711988&lt;/D&gt;&lt;D xsi:type="xsd:double"&gt;16.431795&lt;/D&gt;&lt;D xsi:type="xsd:double"&gt;16.40338&lt;/D&gt;&lt;D xsi:type="xsd:double"&gt;16.129576&lt;/D&gt;&lt;D xsi:type="xsd:double"&gt;15.670259&lt;/D&gt;&lt;D xsi:type="xsd:double"&gt;15.738106&lt;/D&gt;&lt;D xsi:type="xsd:double"&gt;15.248107&lt;/D&gt;&lt;D xsi:type="xsd:double"&gt;15.311192&lt;/D&gt;&lt;D xsi:type="xsd:double"&gt;15.092486&lt;/D&gt;&lt;D xsi:type="xsd:double"&gt;15.235482&lt;/D&gt;&lt;D xsi:type="xsd:double"&gt;15.416332&lt;/D&gt;&lt;D xsi:type="xsd:double"&gt;15.25441&lt;/D&gt;&lt;D xsi:type="xsd:double"&gt;14.46755&lt;/D&gt;&lt;D xsi:type="xsd:double"&gt;13.930935&lt;/D&gt;&lt;D xsi:type="xsd:double"&gt;13.930935&lt;/D&gt;&lt;D xsi:type="xsd:double"&gt;14.151459&lt;/D&gt;&lt;/FQL&gt;&lt;FQL&gt;&lt;Q&gt;CSX^FF_ENTRPR_VAL_DAILY(44099,0,W,,,"DIL")&lt;/Q&gt;&lt;R&gt;261&lt;/R&gt;&lt;C&gt;1&lt;/C&gt;&lt;D xsi:type="xsd:double"&gt;74293.3603239176&lt;/D&gt;&lt;D xsi:type="xsd:double"&gt;73256.0495892083&lt;/D&gt;&lt;D xsi:type="xsd:double"&gt;74276.1598729208&lt;/D&gt;&lt;D xsi:type="xsd:double"&gt;75526.3703936363&lt;/D&gt;&lt;D xsi:type="xsd:double"&gt;76431.4374618544&lt;/D&gt;&lt;D xsi:type="xsd:double"&gt;74628.981770327&lt;/D&gt;&lt;D xsi:type="xsd:double"&gt;80182.0598199915&lt;/D&gt;&lt;D xsi:type="xsd:double"&gt;83572.2025448349&lt;/D&gt;&lt;D xsi:type="xsd:double"&gt;84293.1802194411&lt;/D&gt;&lt;D xsi:type="xsd:double"&gt;84101.4284879371&lt;/D&gt;&lt;D xsi:type="xsd:double"&gt;84530.9473963411&lt;/D&gt;&lt;D xsi:type="xsd:double"&gt;83441.8116435324&lt;/D&gt;&lt;D xsi:type="xsd:double"&gt;83618.2202912331&lt;/D&gt;&lt;D xsi:type="xsd:double"&gt;83150.3505763278&lt;/D&gt;&lt;D xsi:type="xsd:double"&gt;83778.998058804&lt;/D&gt;&lt;D xsi:type="xsd:double"&gt;87688.1159411913&lt;/D&gt;&lt;D xsi:type="xsd:double"&gt;85829.5578668785&lt;/D&gt;&lt;D xsi:type="xsd:double"&gt;81390.5194386736&lt;/D&gt;&lt;D xsi:type="xsd:double"&gt;79942.8364115616&lt;/D&gt;&lt;D xsi:type="xsd:double"&gt;82089.403998524&lt;/D&gt;&lt;D xsi:type="xsd:double"&gt;83310.5183442704&lt;/D&gt;&lt;D xsi:type="xsd:double"&gt;84808.1175827961&lt;/D&gt;&lt;D xsi:type="xsd:double"&gt;84393.4017636392&lt;/D&gt;&lt;D xsi:type="xsd:double"&gt;84454.8356829161&lt;/D&gt;&lt;D xsi:type="xsd:double"&gt;86159.7974390249&lt;/D&gt;&lt;D xsi:type="xsd:double"&gt;83794.3565386233&lt;/D&gt;&lt;D xsi:type="xsd:double"&gt;89085.8873648944&lt;/D&gt;&lt;D xsi:type="xsd:double"&gt;87964.1231834082&lt;/D&gt;&lt;D xsi:type="xsd:double"&gt;88748.9809438109&lt;/D&gt;&lt;D xsi:type="xsd:double"&gt;89015.6819805127&lt;/D&gt;&lt;D xsi:type="xsd:double"&gt;92421.832346844&lt;/D&gt;&lt;D xsi:type="xsd:double"&gt;90623.5028745665&lt;/D&gt;&lt;D xsi:type="xsd:double"&gt;92437.0639805325&lt;/D&gt;&lt;D xsi:type="xsd:double"&gt;91355.0236280321&lt;/D&gt;&lt;D xsi:type="xsd:double"&gt;88748.9809438109&lt;/D&gt;&lt;D xsi:type="xsd:double"&gt;90143.4469521094&lt;/D&gt;&lt;D xsi:type="xsd:double"&gt;89762.4457976786&lt;/D&gt;&lt;D xsi:type="xsd:double"&gt;87941.2677318672&lt;/D&gt;&lt;D xsi:type="xsd:double"&gt;86051.4981654065&lt;/D&gt;&lt;D xsi:type="xsd:double"&gt;86935.4244098496&lt;/D&gt;&lt;D xsi:type="xsd:double"&gt;87938.5&lt;/D&gt;&lt;D xsi:type="xsd:double"&gt;86232.25&lt;/D&gt;&lt;D xsi:type="xsd:double"&gt;85504.25&lt;/D&gt;&lt;D xsi:type="xsd:double"&gt;88461.75&lt;/D&gt;&lt;D xsi:type="xsd:double"&gt;87347&lt;/D&gt;&lt;D xsi:type="xsd:double"&gt;87301.5&lt;/D&gt;&lt;D xsi:type="xsd:double"&gt;90873.25&lt;/D&gt;&lt;D xsi:type="xsd:double"&gt;90554.75&lt;/D&gt;&lt;D xsi:type="xsd:double"&gt;89917.75&lt;/D&gt;&lt;D xsi:type="xsd:double"&gt;86619&lt;/D&gt;&lt;D xsi:type="xsd:double"&gt;84230.25&lt;/D&gt;&lt;D xsi:type="xsd:double"&gt;82774.25&lt;/D&gt;&lt;D xsi:type="xsd:double"&gt;83024.5&lt;/D&gt;&lt;D xsi:type="xsd:double"&gt;82727.28&lt;/D&gt;&lt;D xsi:type="xsd:double"&gt;88040.82&lt;/D&gt;&lt;D xsi:type="xsd:double"&gt;91291.72&lt;/D&gt;&lt;D xsi:type="xsd:double"&gt;94116.64&lt;/D&gt;&lt;D xsi:type="xsd:double"&gt;95798.14&lt;/D&gt;&lt;D xsi:type="xsd:double"&gt;94094.22&lt;/D&gt;&lt;D xsi:type="xsd:double"&gt;93690.66&lt;/D&gt;&lt;D xsi:type="xsd:double"&gt;95596.36&lt;/D&gt;&lt;D xsi:type="xsd:double"&gt;94452.94&lt;/D&gt;&lt;D xsi:type="xsd:double"&gt;95058.28&lt;/D&gt;&lt;D xsi:type="xsd:double"&gt;97076.08&lt;/D&gt;&lt;D xsi:type="xsd:double"&gt;94789.24&lt;/D&gt;&lt;D xsi:type="xsd:double"&gt;97188.18&lt;/D&gt;&lt;D xsi:type="xsd:double"&gt;99390&lt;/D&gt;&lt;D xsi:type="xsd:double"&gt;99187.05&lt;/D&gt;&lt;D xsi:type="xsd:double"&gt;96774.2&lt;/D&gt;&lt;D xsi:type="xsd:double"&gt;91497.5&lt;/D&gt;&lt;D xsi:type="xsd:double"&gt;92241.65&lt;/D&gt;&lt;D xsi:type="xsd:double"&gt;91948.5&lt;/D&gt;&lt;D xsi:type="xsd:double"&gt;89851.35&lt;/D&gt;&lt;D xsi:type="xsd:double"&gt;92760.3&lt;/D&gt;&lt;D xsi:type="xsd:double"&gt;91971.05&lt;/D&gt;&lt;D xsi:type="xsd:double"&gt;99006.65&lt;/D&gt;&lt;D xsi:type="xsd:double"&gt;92827.95&lt;/D&gt;&lt;D xsi:type="xsd:double"&gt;96481.05&lt;/D&gt;&lt;D xsi:type="xsd:double"&gt;97856.6&lt;/D&gt;&lt;D xsi:type="xsd:double"&gt;92664.43&lt;/D&gt;&lt;D xsi:type="xsd:double"&gt;90076.69&lt;/D&gt;&lt;D xsi:type="xsd:double"&gt;91677.58&lt;/D&gt;&lt;D xsi:type="xsd:double"&gt;90493.36&lt;/D&gt;&lt;D xsi:type="xsd:double"&gt;90098.62&lt;/D&gt;&lt;D xsi:type="xsd:double"&gt;91063.54&lt;/D&gt;&lt;D xsi:type="xsd:double"&gt;88102.99&lt;/D&gt;&lt;D xsi:type="xsd:double"&gt;82642.42&lt;/D&gt;&lt;D xsi:type="xsd:double"&gt;85076.65&lt;/D&gt;&lt;D xsi:type="xsd:double"&gt;85208.23&lt;/D&gt;&lt;D xsi:type="xsd:double"&gt;81238.9&lt;/D&gt;&lt;D xsi:type="xsd:double"&gt;78234.49&lt;/D&gt;&lt;D xsi:type="xsd:double"&gt;79638.01&lt;/D&gt;&lt;D xsi:type="xsd:double"&gt;79343.42&lt;/D&gt;&lt;D xsi:type="xsd:double"&gt;78586.37&lt;/D&gt;&lt;D xsi:type="xsd:double"&gt;78305.18&lt;/D&gt;&lt;D xsi:type="xsd:double"&gt;82696.07&lt;/D&gt;&lt;D xsi:type="xsd:double"&gt;85810.79&lt;/D&gt;&lt;D xsi:type="xsd:double"&gt;87497.93&lt;/D&gt;&lt;D xsi:type="xsd:double"&gt;90180.05&lt;/D&gt;&lt;D xsi:type="xsd:double"&gt;89055.29&lt;/D&gt;&lt;D xsi:type="xsd:double"&gt;86459.69&lt;/D&gt;&lt;D xsi:type="xsd:double"&gt;83453.12&lt;/D&gt;&lt;D xsi:type="xsd:double"&gt;86459.69&lt;/D&gt;&lt;D xsi:type="xsd:double"&gt;79667.87&lt;/D&gt;&lt;D xsi:type="xsd:double"&gt;75752.84&lt;/D&gt;&lt;D xsi:type="xsd:double"&gt;72783.64&lt;/D&gt;&lt;D xsi:type="xsd:double"&gt;73060.02&lt;/D&gt;&lt;D xsi:type="xsd:double"&gt;74208.06&lt;/D&gt;&lt;D xsi:type="xsd:double"&gt;74697.04&lt;/D&gt;&lt;D xsi:type="xsd:double"&gt;78268.72&lt;/D&gt;&lt;D xsi:type="xsd:double"&gt;79140.38&lt;/D&gt;&lt;D xsi:type="xsd:double"&gt;84051.44&lt;/D&gt;&lt;D xsi:type="xsd:double"&gt;81797.88&lt;/D&gt;&lt;D xsi:type="xsd:double"&gt;84221.52&lt;/D&gt;&lt;D xsi:type="xsd:double"&gt;84285.3&lt;/D&gt;&lt;D xsi:type="xsd:double"&gt;82945.92&lt;/D&gt;&lt;D xsi:type="xsd:double"&gt;83434.9&lt;/D&gt;&lt;D xsi:type="xsd:double"&gt;82584.5&lt;/D&gt;&lt;D xsi:type="xsd:double"&gt;82855.18&lt;/D&gt;&lt;D xsi:type="xsd:double"&gt;85467.2&lt;/D&gt;&lt;D xsi:type="xsd:double"&gt;85938.22&lt;/D&gt;&lt;D xsi:type="xsd:double"&gt;85060.41&lt;/D&gt;&lt;D xsi:type="xsd:double"&gt;80928.28&lt;/D&gt;&lt;D xsi:type="xsd:double"&gt;85617.07&lt;/D&gt;&lt;D xsi:type="xsd:double"&gt;84118.37&lt;/D&gt;&lt;D xsi:type="xsd:double"&gt;83347.61&lt;/D&gt;&lt;D xsi:type="xsd:double"&gt;82362.75&lt;/D&gt;&lt;D xsi:type="xsd:double"&gt;83219.15&lt;/D&gt;&lt;D xsi:type="xsd:double"&gt;79665.09&lt;/D&gt;&lt;D xsi:type="xsd:double"&gt;78423.31&lt;/D&gt;&lt;D xsi:type="xsd:double"&gt;77010.25&lt;/D&gt;&lt;D xsi:type="xsd:double"&gt;78555.52&lt;/D&gt;&lt;D xsi:type="xsd:double"&gt;78720.16&lt;/D&gt;&lt;D xsi:type="xsd:double"&gt;79625.68&lt;/D&gt;&lt;D xsi:type="xsd:double"&gt;82424.56&lt;/D&gt;&lt;D xsi:type="xsd:double"&gt;79996.12&lt;/D&gt;&lt;D xsi:type="xsd:double"&gt;82506.88&lt;/D&gt;&lt;D xsi:type="xsd:double"&gt;82424.56&lt;/D&gt;&lt;D xsi:type="xsd:double"&gt;83432.98&lt;/D&gt;&lt;D xsi:type="xsd:double"&gt;80345.98&lt;/D&gt;&lt;D xsi:type="xsd:double"&gt;82630.36&lt;/D&gt;&lt;D xsi:type="xsd:double"&gt;83432.98&lt;/D&gt;&lt;D xsi:type="xsd:double"&gt;85285.18&lt;/D&gt;&lt;D xsi:type="xsd:double"&gt;84317.92&lt;/D&gt;&lt;D xsi:type="xsd:double"&gt;86415.5&lt;/D&gt;&lt;D xsi:type="xsd:double"&gt;84795.5&lt;/D&gt;&lt;D xsi:type="xsd:double"&gt;85463.75&lt;/D&gt;&lt;D xsi:type="xsd:double"&gt;83094.5&lt;/D&gt;&lt;D xsi:type="xsd:double"&gt;85808&lt;/D&gt;&lt;D xsi:type="xsd:double"&gt;81191&lt;/D&gt;&lt;D xsi:type="xsd:double"&gt;79631.75&lt;/D&gt;&lt;D xsi:type="xsd:double"&gt;79874.75&lt;/D&gt;&lt;D xsi:type="xsd:double"&gt;79955.75&lt;/D&gt;&lt;D xsi:type="xsd:double"&gt;79388.75&lt;/D&gt;&lt;D xsi:type="xsd:double"&gt;78011.75&lt;/D&gt;&lt;D xsi:type="xsd:double"&gt;79834.25&lt;/D&gt;&lt;D xsi:type="xsd:double"&gt;80543&lt;/D&gt;&lt;D xsi:type="xsd:double"&gt;78983.25&lt;/D&gt;&lt;D xsi:type="xsd:double"&gt;79303.09&lt;/D&gt;&lt;D xsi:type="xsd:double"&gt;79762.86&lt;/D&gt;&lt;D xsi:type="xsd:double"&gt;79003.24&lt;/D&gt;&lt;D xsi:type="xsd:double"&gt;75964.76&lt;/D&gt;&lt;D xsi:type="xsd:double"&gt;78283.6&lt;/D&gt;&lt;D xsi:type="xsd:double"&gt;78883.3&lt;/D&gt;&lt;D xsi:type="xsd:double"&gt;80722.38&lt;/D&gt;&lt;D xsi:type="xsd:double"&gt;82761.36&lt;/D&gt;&lt;D xsi:type="xsd:double"&gt;84280.6&lt;/D&gt;&lt;D xsi:type="xsd:double"&gt;83401.04&lt;/D&gt;&lt;D xsi:type="xsd:double"&gt;85480&lt;/D&gt;&lt;D xsi:type="xsd:double"&gt;86739.37&lt;/D&gt;&lt;D xsi:type="xsd:double"&gt;87451.71&lt;/D&gt;&lt;D xsi:type="xsd:double"&gt;87351.06&lt;/D&gt;&lt;D xsi:type="xsd:double"&gt;87834.18&lt;/D&gt;&lt;D xsi:type="xsd:double"&gt;87210.15&lt;/D&gt;&lt;D xsi:type="xsd:double"&gt;88901.07&lt;/D&gt;&lt;D xsi:type="xsd:double"&gt;91195.89&lt;/D&gt;&lt;D xsi:type="xsd:double"&gt;91920.57&lt;/D&gt;&lt;D xsi:type="xsd:double"&gt;91578.36&lt;/D&gt;&lt;D xsi:type="xsd:double"&gt;94819.29&lt;/D&gt;&lt;D xsi:type="xsd:double"&gt;94617.99&lt;/D&gt;&lt;D xsi:type="xsd:double"&gt;94537.47&lt;/D&gt;&lt;D xsi:type="xsd:double"&gt;92081.61&lt;/D&gt;&lt;D xsi:type="xsd:double"&gt;92846.55&lt;/D&gt;&lt;D xsi:type="xsd:double"&gt;90253.34&lt;/D&gt;&lt;D xsi:type="xsd:double"&gt;88742.6&lt;/D&gt;&lt;D xsi:type="xsd:double"&gt;86859.08&lt;/D&gt;&lt;D xsi:type="xsd:double"&gt;84897.08&lt;/D&gt;&lt;D xsi:type="xsd:double"&gt;84210.38&lt;/D&gt;&lt;D xsi:type="xsd:double"&gt;83935.7&lt;/D&gt;&lt;D xsi:type="xsd:double"&gt;84975.56&lt;/D&gt;&lt;D xsi:type="xsd:double"&gt;83288.24&lt;/D&gt;&lt;D xsi:type="xsd:double"&gt;83798.36&lt;/D&gt;&lt;D xsi:type="xsd:double"&gt;83739.5&lt;/D&gt;&lt;D xsi:type="xsd:double"&gt;81777.5&lt;/D&gt;&lt;D xsi:type="xsd:double"&gt;80659.16&lt;/D&gt;&lt;D xsi:type="xsd:double"&gt;83072.42&lt;/D&gt;&lt;D xsi:type="xsd:double"&gt;82930.6&lt;/D&gt;&lt;D xsi:type="xsd:double"&gt;82638.4&lt;/D&gt;&lt;D xsi:type="xsd:double"&gt;83592.92&lt;/D&gt;&lt;D xsi:type="xsd:double"&gt;85346.12&lt;/D&gt;&lt;D xsi:type="xsd:double"&gt;84625.36&lt;/D&gt;&lt;D xsi:type="xsd:double"&gt;84157.84&lt;/D&gt;&lt;D xsi:type="xsd:double"&gt;84002&lt;/D&gt;&lt;D xsi:type="xsd:double"&gt;82872.16&lt;/D&gt;&lt;D xsi:type="xsd:double"&gt;83398.12&lt;/D&gt;&lt;D xsi:type="xsd:double"&gt;84527.96&lt;/D&gt;&lt;D xsi:type="xsd:double"&gt;82774.76&lt;/D&gt;&lt;D xsi:type="xsd:double"&gt;83066.96&lt;/D&gt;&lt;D xsi:type="xsd:double"&gt;85813.64&lt;/D&gt;&lt;D xsi:type="xsd:double"&gt;85034.44&lt;/D&gt;&lt;D xsi:type="xsd:double"&gt;84294.6&lt;/D&gt;&lt;D xsi:type="xsd:double"&gt;85206.4&lt;/D&gt;&lt;D xsi:type="xsd:double"&gt;83576.8&lt;/D&gt;&lt;D xsi:type="xsd:double"&gt;81927.8&lt;/D&gt;&lt;D xsi:type="xsd:double"&gt;82160.6&lt;/D&gt;&lt;D xsi:type="xsd:double"&gt;87224&lt;/D&gt;&lt;D xsi:type="xsd:double"&gt;85536.2&lt;/D&gt;&lt;D xsi:type="xsd:double"&gt;86797.2&lt;/D&gt;&lt;D xsi:type="xsd:double"&gt;88291&lt;/D&gt;&lt;D xsi:type="xsd:double"&gt;84217&lt;/D&gt;&lt;D xsi:type="xsd:double"&gt;81869.6&lt;/D&gt;&lt;D xsi:type="xsd:double"&gt;79173&lt;/D&gt;&lt;D xsi:type="xsd:double"&gt;80356.4&lt;/D&gt;&lt;D xsi:type="xsd:double"&gt;80898.62&lt;/D&gt;&lt;D xsi:type="xsd:double"&gt;79810.54&lt;/D&gt;&lt;D xsi:type="xsd:double"&gt;81656.39&lt;/D&gt;&lt;D xsi:type="xsd:double"&gt;81578.67&lt;/D&gt;&lt;D xsi:type="xsd:double"&gt;81928.41&lt;/D&gt;&lt;D xsi:type="xsd:double"&gt;81384.37&lt;/D&gt;&lt;D xsi:type="xsd:double"&gt;82899.91&lt;/D&gt;&lt;D xsi:type="xsd:double"&gt;80820.9&lt;/D&gt;&lt;D xsi:type="xsd:double"&gt;80257.43&lt;/D&gt;&lt;D xsi:type="xsd:double"&gt;78800.18&lt;/D&gt;&lt;D xsi:type="xsd:double"&gt;76371.43&lt;/D&gt;&lt;D xsi:type="xsd:double"&gt;75516.51&lt;/D&gt;&lt;D xsi:type="xsd:double"&gt;74622.73&lt;/D&gt;&lt;D xsi:type="xsd:double"&gt;69954.32&lt;/D&gt;&lt;D xsi:type="xsd:double"&gt;71467.92&lt;/D&gt;&lt;D xsi:type="xsd:double"&gt;70843.56&lt;/D&gt;&lt;D xsi:type="xsd:double"&gt;71146.28&lt;/D&gt;&lt;D xsi:type="xsd:double"&gt;72773.4&lt;/D&gt;&lt;D xsi:type="xsd:double"&gt;72849.08&lt;/D&gt;&lt;D xsi:type="xsd:double"&gt;77730.44&lt;/D&gt;&lt;D xsi:type="xsd:double"&gt;76784.44&lt;/D&gt;&lt;D xsi:type="xsd:double"&gt;78241.28&lt;/D&gt;&lt;D xsi:type="xsd:double"&gt;79452.16&lt;/D&gt;&lt;D xsi:type="xsd:double"&gt;79244.04&lt;/D&gt;&lt;D xsi:type="xsd:double"&gt;79130.52&lt;/D&gt;&lt;D xsi:type="xsd:double"&gt;80738.72&lt;/D&gt;&lt;D xsi:type="xsd:double"&gt;82060.4&lt;/D&gt;&lt;D xsi:type="xsd:double"&gt;82994.9&lt;/D&gt;&lt;D xsi:type="xsd:double"&gt;83536.91&lt;/D&gt;&lt;D xsi:type="xsd:double"&gt;86097.44&lt;/D&gt;&lt;D xsi:type="xsd:double"&gt;84695.69&lt;/D&gt;&lt;D xsi:type="xsd:double"&gt;85480.67&lt;/D&gt;&lt;D xsi:type="xsd:double"&gt;87144.08&lt;/D&gt;&lt;D xsi:type="xsd:double"&gt;83892.02&lt;/D&gt;&lt;D xsi:type="xsd:double"&gt;80023.19&lt;/D&gt;&lt;D xsi:type="xsd:double"&gt;80060.57&lt;/D&gt;&lt;D xsi:type="xsd:double"&gt;79948.43&lt;/D&gt;&lt;D xsi:type="xsd:double"&gt;80901.62&lt;/D&gt;&lt;/FQL&gt;&lt;FQL&gt;&lt;Q&gt;CSX^FE_VALUATION(FFEV_EBITDA,MEAN,ANN_ROLL,+1,44099,43481,W,'')&lt;/Q&gt;&lt;R&gt;89&lt;/R&gt;&lt;C&gt;1&lt;/C&gt;&lt;D xsi:type="xsd:double"&gt;13.218799&lt;/D&gt;&lt;D xsi:type="xsd:double"&gt;13.487018&lt;/D&gt;&lt;D xsi:type="xsd:double"&gt;13.123215&lt;/D&gt;&lt;D xsi:type="xsd:double"&gt;12.919242&lt;/D&gt;&lt;D xsi:type="xsd:double"&gt;13.132979&lt;/D&gt;&lt;D xsi:type="xsd:double"&gt;12.736561&lt;/D&gt;&lt;D xsi:type="xsd:double"&gt;12.753013&lt;/D&gt;&lt;D xsi:type="xsd:double"&gt;12.584098&lt;/D&gt;&lt;D xsi:type="xsd:double"&gt;12.365928&lt;/D&gt;&lt;D xsi:type="xsd:double"&gt;12.365929&lt;/D&gt;&lt;D xsi:type="xsd:double"&gt;12.495052&lt;/D&gt;&lt;D xsi:type="xsd:double"&gt;11.875671&lt;/D&gt;&lt;D xsi:type="xsd:double"&gt;11.958445&lt;/D&gt;&lt;D xsi:type="xsd:double"&gt;11.69277&lt;/D&gt;&lt;D xsi:type="xsd:double"&gt;11.929966&lt;/D&gt;&lt;D xsi:type="xsd:double"&gt;12.117252&lt;/D&gt;&lt;D xsi:type="xsd:double"&gt;12.8703165&lt;/D&gt;&lt;D xsi:type="xsd:double"&gt;12.391967&lt;/D&gt;&lt;D xsi:type="xsd:double"&gt;11.953136&lt;/D&gt;&lt;D xsi:type="xsd:double"&gt;11.051035&lt;/D&gt;&lt;D xsi:type="xsd:double"&gt;11.611155&lt;/D&gt;&lt;D xsi:type="xsd:double"&gt;11.459881&lt;/D&gt;&lt;D xsi:type="xsd:double"&gt;11.299068&lt;/D&gt;&lt;D xsi:type="xsd:double"&gt;10.906876&lt;/D&gt;&lt;D xsi:type="xsd:double"&gt;10.850545&lt;/D&gt;&lt;D xsi:type="xsd:double"&gt;9.512557&lt;/D&gt;&lt;D xsi:type="xsd:double"&gt;9.662048&lt;/D&gt;&lt;D xsi:type="xsd:double"&gt;8.787954&lt;/D&gt;&lt;D xsi:type="xsd:double"&gt;9.796992&lt;/D&gt;&lt;D xsi:type="xsd:double"&gt;11.031315&lt;/D&gt;&lt;D xsi:type="xsd:double"&gt;11.310723&lt;/D&gt;&lt;D xsi:type="xsd:double"&gt;12.46575&lt;/D&gt;&lt;D xsi:type="xsd:double"&gt;12.4677725&lt;/D&gt;&lt;D xsi:type="xsd:double"&gt;12.249393&lt;/D&gt;&lt;D xsi:type="xsd:double"&gt;12.03694&lt;/D&gt;&lt;D xsi:type="xsd:double"&gt;12.082579&lt;/D&gt;&lt;D xsi:type="xsd:double"&gt;12.044546&lt;/D&gt;&lt;D xsi:type="xsd:double"&gt;11.517637&lt;/D&gt;&lt;D xsi:type="xsd:double"&gt;11.437873&lt;/D&gt;&lt;D xsi:type="xsd:double"&gt;11.334971&lt;/D&gt;&lt;D xsi:type="xsd:double"&gt;11.375865&lt;/D&gt;&lt;D xsi:type="xsd:double"&gt;11.3216715&lt;/D&gt;&lt;D xsi:type="xsd:double"&gt;11.114069&lt;/D&gt;&lt;D xsi:type="xsd:double"&gt;11.141023&lt;/D&gt;&lt;D xsi:type="xsd:double"&gt;11.008211&lt;/D&gt;&lt;D xsi:type="xsd:double"&gt;11.14407&lt;/D&gt;&lt;D xsi:type="xsd:double"&gt;11.438303&lt;/D&gt;&lt;D xsi:type="xsd:double"&gt;11.223351&lt;/D&gt;&lt;D xsi:type="xsd:double"&gt;11.241891&lt;/D&gt;&lt;D xsi:type="xsd:double"&gt;10.790682&lt;/D&gt;&lt;D xsi:type="xsd:double"&gt;10.945702&lt;/D&gt;&lt;D xsi:type="xsd:double"&gt;10.643558&lt;/D&gt;&lt;D xsi:type="xsd:double"&gt;11.048745&lt;/D&gt;&lt;D xsi:type="xsd:double"&gt;11.011924&lt;/D&gt;&lt;D xsi:type="xsd:double"&gt;11.490282&lt;/D&gt;&lt;D xsi:type="xsd:double"&gt;10.859856&lt;/D&gt;&lt;D xsi:type="xsd:double"&gt;10.785979&lt;/D&gt;&lt;D xsi:type="xsd:double"&gt;10.481878&lt;/D&gt;&lt;D xsi:type="xsd:double"&gt;10.541476&lt;/D&gt;&lt;D xsi:type="xsd:double"&gt;10.729007&lt;/D&gt;&lt;D xsi:type="xsd:double"&gt;10.7986965&lt;/D&gt;&lt;D xsi:type="xsd:double"&gt;11.031843&lt;/D&gt;&lt;D xsi:type="xsd:double"&gt;11.189041&lt;/D&gt;&lt;D xsi:type="xsd:double"&gt;11.873438&lt;/D&gt;&lt;D xsi:type="xsd:double"&gt;11.802071&lt;/D&gt;&lt;D xsi:type="xsd:double"&gt;11.671944&lt;/D&gt;&lt;D xsi:type="xsd:double"&gt;11.884992&lt;/D&gt;&lt;D xsi:type="xsd:double"&gt;11.6857&lt;/D&gt;&lt;D xsi:type="xsd:double"&gt;11.78905&lt;/D&gt;&lt;D xsi:type="xsd:double"&gt;11.345143&lt;/D&gt;&lt;D xsi:type="xsd:double"&gt;11.398205&lt;/D&gt;&lt;D xsi:type="xsd:double"&gt;11.827203&lt;/D&gt;&lt;D xsi:type="xsd:double"&gt;11.862953&lt;/D&gt;&lt;D xsi:type="xsd:double"&gt;12.088558&lt;/D&gt;&lt;D xsi:type="xsd:double"&gt;11.938452&lt;/D&gt;&lt;D xsi:type="xsd:double"&gt;11.912531&lt;/D&gt;&lt;D xsi:type="xsd:double"&gt;11.781596&lt;/D&gt;&lt;D xsi:type="xsd:double"&gt;11.49668&lt;/D&gt;&lt;D xsi:type="xsd:double"&gt;11.544251&lt;/D&gt;&lt;D xsi:type="xsd:double"&gt;11.637117&lt;/D&gt;&lt;D xsi:type="xsd:double"&gt;11.676618&lt;/D&gt;&lt;D xsi:type="xsd:double"&gt;11.543013&lt;/D&gt;&lt;D xsi:type="xsd:double"&gt;11.632483&lt;/D&gt;&lt;D xsi:type="xsd:double"&gt;11.745753&lt;/D&gt;&lt;D xsi:type="xsd:double"&gt;11.644338&lt;/D&gt;&lt;D xsi:type="xsd:double"&gt;11.145155&lt;/D&gt;&lt;D xsi:type="xsd:double"&gt;10.809294&lt;/D&gt;&lt;D xsi:type="xsd:double"&gt;10.809207&lt;/D&gt;&lt;D xsi:type="xsd:double"&gt;10.964464&lt;/D&gt;&lt;/FQL&gt;&lt;FQL&gt;&lt;Q&gt;CSX^FE_VALUATION(FFEV_EBITDA,MEAN,ANN_ROLL,+2,44099,43481,W,'')&lt;/Q&gt;&lt;R&gt;89&lt;/R&gt;&lt;C&gt;1&lt;/C&gt;&lt;D xsi:type="xsd:double"&gt;12.003442&lt;/D&gt;&lt;D xsi:type="xsd:double"&gt;12.244939&lt;/D&gt;&lt;D xsi:type="xsd:double"&gt;11.914639&lt;/D&gt;&lt;D xsi:type="xsd:double"&gt;11.7473345&lt;/D&gt;&lt;D xsi:type="xsd:double"&gt;11.941684&lt;/D&gt;&lt;D xsi:type="xsd:double"&gt;11.594429&lt;/D&gt;&lt;D xsi:type="xsd:double"&gt;11.609405&lt;/D&gt;&lt;D xsi:type="xsd:double"&gt;11.443288&lt;/D&gt;&lt;D xsi:type="xsd:double"&gt;11.244896&lt;/D&gt;&lt;D xsi:type="xsd:double"&gt;11.244869&lt;/D&gt;&lt;D xsi:type="xsd:double"&gt;11.376227&lt;/D&gt;&lt;D xsi:type="xsd:double"&gt;10.810562&lt;/D&gt;&lt;D xsi:type="xsd:double"&gt;10.950838&lt;/D&gt;&lt;D xsi:type="xsd:double"&gt;10.709429&lt;/D&gt;&lt;D xsi:type="xsd:double"&gt;10.938691&lt;/D&gt;&lt;D xsi:type="xsd:double"&gt;11.123053&lt;/D&gt;&lt;D xsi:type="xsd:double"&gt;11.814329&lt;/D&gt;&lt;D xsi:type="xsd:double"&gt;11.375227&lt;/D&gt;&lt;D xsi:type="xsd:double"&gt;10.987851&lt;/D&gt;&lt;D xsi:type="xsd:double"&gt;10.187976&lt;/D&gt;&lt;D xsi:type="xsd:double"&gt;10.704351&lt;/D&gt;&lt;D xsi:type="xsd:double"&gt;10.564892&lt;/D&gt;&lt;D xsi:type="xsd:double"&gt;10.416638&lt;/D&gt;&lt;D xsi:type="xsd:double"&gt;10.148305&lt;/D&gt;&lt;D xsi:type="xsd:double"&gt;10.179973&lt;/D&gt;&lt;D xsi:type="xsd:double"&gt;9.035452&lt;/D&gt;&lt;D xsi:type="xsd:double"&gt;9.19268&lt;/D&gt;&lt;D xsi:type="xsd:double"&gt;8.374302&lt;/D&gt;&lt;D xsi:type="xsd:double"&gt;9.340684&lt;/D&gt;&lt;D xsi:type="xsd:double"&gt;10.505883&lt;/D&gt;&lt;D xsi:type="xsd:double"&gt;10.771984&lt;/D&gt;&lt;D xsi:type="xsd:double"&gt;11.872185&lt;/D&gt;&lt;D xsi:type="xsd:double"&gt;11.875813&lt;/D&gt;&lt;D xsi:type="xsd:double"&gt;11.667802&lt;/D&gt;&lt;D xsi:type="xsd:double"&gt;11.464136&lt;/D&gt;&lt;D xsi:type="xsd:double"&gt;11.507604&lt;/D&gt;&lt;D xsi:type="xsd:double"&gt;11.471381&lt;/D&gt;&lt;D xsi:type="xsd:double"&gt;11.3965845&lt;/D&gt;&lt;D xsi:type="xsd:double"&gt;11.276997&lt;/D&gt;&lt;D xsi:type="xsd:double"&gt;11.173149&lt;/D&gt;&lt;D xsi:type="xsd:double"&gt;11.213459&lt;/D&gt;&lt;D xsi:type="xsd:double"&gt;11.1371155&lt;/D&gt;&lt;D xsi:type="xsd:double"&gt;10.903166&lt;/D&gt;&lt;D xsi:type="xsd:double"&gt;10.91175&lt;/D&gt;&lt;D xsi:type="xsd:double"&gt;10.774378&lt;/D&gt;&lt;D xsi:type="xsd:double"&gt;10.907351&lt;/D&gt;&lt;D xsi:type="xsd:double"&gt;11.182443&lt;/D&gt;&lt;D xsi:type="xsd:double"&gt;10.96213&lt;/D&gt;&lt;D xsi:type="xsd:double"&gt;10.978098&lt;/D&gt;&lt;D xsi:type="xsd:double"&gt;10.537476&lt;/D&gt;&lt;D xsi:type="xsd:double"&gt;10.591613&lt;/D&gt;&lt;D xsi:type="xsd:double"&gt;10.278802&lt;/D&gt;&lt;D xsi:type="xsd:double"&gt;10.6425085&lt;/D&gt;&lt;D xsi:type="xsd:double"&gt;10.60704&lt;/D&gt;&lt;D xsi:type="xsd:double"&gt;11.042214&lt;/D&gt;&lt;D xsi:type="xsd:double"&gt;10.431912&lt;/D&gt;&lt;D xsi:type="xsd:double"&gt;10.357554&lt;/D&gt;&lt;D xsi:type="xsd:double"&gt;10.065533&lt;/D&gt;&lt;D xsi:type="xsd:double"&gt;10.122694&lt;/D&gt;&lt;D xsi:type="xsd:double"&gt;10.302774&lt;/D&gt;&lt;D xsi:type="xsd:double"&gt;10.369696&lt;/D&gt;&lt;D xsi:type="xsd:double"&gt;10.59358&lt;/D&gt;&lt;D xsi:type="xsd:double"&gt;10.736977&lt;/D&gt;&lt;D xsi:type="xsd:double"&gt;11.349985&lt;/D&gt;&lt;D xsi:type="xsd:double"&gt;11.280181&lt;/D&gt;&lt;D xsi:type="xsd:double"&gt;11.1370125&lt;/D&gt;&lt;D xsi:type="xsd:double"&gt;11.343771&lt;/D&gt;&lt;D xsi:type="xsd:double"&gt;11.162525&lt;/D&gt;&lt;D xsi:type="xsd:double"&gt;11.262649&lt;/D&gt;&lt;D xsi:type="xsd:double"&gt;10.838563&lt;/D&gt;&lt;D xsi:type="xsd:double"&gt;10.889252&lt;/D&gt;&lt;D xsi:type="xsd:double"&gt;11.29839&lt;/D&gt;&lt;D xsi:type="xsd:double"&gt;11.332542&lt;/D&gt;&lt;D xsi:type="xsd:double"&gt;11.548059&lt;/D&gt;&lt;D xsi:type="xsd:double"&gt;11.400085&lt;/D&gt;&lt;D xsi:type="xsd:double"&gt;11.373314&lt;/D&gt;&lt;D xsi:type="xsd:double"&gt;11.189941&lt;/D&gt;&lt;D xsi:type="xsd:double"&gt;10.92408&lt;/D&gt;&lt;D xsi:type="xsd:double"&gt;10.97798&lt;/D&gt;&lt;D xsi:type="xsd:double"&gt;11.069366&lt;/D&gt;&lt;D xsi:type="xsd:double"&gt;11.106939&lt;/D&gt;&lt;D xsi:type="xsd:double"&gt;10.981499&lt;/D&gt;&lt;D xsi:type="xsd:double"&gt;11.064247&lt;/D&gt;&lt;D xsi:type="xsd:double"&gt;11.171985&lt;/D&gt;&lt;D xsi:type="xsd:double"&gt;11.075523&lt;/D&gt;&lt;D xsi:type="xsd:double"&gt;10.600725&lt;/D&gt;&lt;D xsi:type="xsd:double"&gt;10.28127&lt;/D&gt;&lt;D xsi:type="xsd:double"&gt;10.281192&lt;/D&gt;&lt;D xsi:type="xsd:double"&gt;10.428372&lt;/D&gt;&lt;/FQL&gt;&lt;FQL&gt;&lt;Q&gt;CSX^P_DATE(42272,0,W,"DATEJ")&lt;/Q&gt;&lt;R&gt;522&lt;/R&gt;&lt;C&gt;1&lt;/C&gt;&lt;D xsi:type="xsd:long"&gt;42272&lt;/D&gt;&lt;D xsi:type="xsd:long"&gt;42279&lt;/D&gt;&lt;D xsi:type="xsd:long"&gt;42286&lt;/D&gt;&lt;D xsi:type="xsd:long"&gt;42293&lt;/D&gt;&lt;D xsi:type="xsd:long"&gt;42300&lt;/D&gt;&lt;D xsi:type="xsd:long"&gt;42307&lt;/D&gt;&lt;D xsi:type="xsd:long"&gt;42314&lt;/D&gt;&lt;D xsi:type="xsd:long"&gt;42321&lt;/D&gt;&lt;D xsi:type="xsd:long"&gt;42328&lt;/D&gt;&lt;D xsi:type="xsd:long"&gt;42335&lt;/D&gt;&lt;D xsi:type="xsd:long"&gt;42342&lt;/D&gt;&lt;D xsi:type="xsd:long"&gt;42349&lt;/D&gt;&lt;D xsi:type="xsd:long"&gt;42356&lt;/D&gt;&lt;D xsi:type="xsd:long"&gt;42362&lt;/D&gt;&lt;D xsi:type="xsd:long"&gt;42369&lt;/D&gt;&lt;D xsi:type="xsd:long"&gt;42377&lt;/D&gt;&lt;D xsi:type="xsd:long"&gt;42384&lt;/D&gt;&lt;D xsi:type="xsd:long"&gt;42391&lt;/D&gt;&lt;D xsi:type="xsd:long"&gt;42398&lt;/D&gt;&lt;D xsi:type="xsd:long"&gt;42405&lt;/D&gt;&lt;D xsi:type="xsd:long"&gt;42412&lt;/D&gt;&lt;D xsi:type="xsd:long"&gt;42419&lt;/D&gt;&lt;D xsi:type="xsd:long"&gt;42426&lt;/D&gt;&lt;D xsi:type="xsd:long"&gt;42433&lt;/D&gt;&lt;D xsi:type="xsd:long"&gt;42440&lt;/D&gt;&lt;D xsi:type="xsd:long"&gt;42447&lt;/D&gt;&lt;D xsi:type="xsd:long"&gt;42453&lt;/D&gt;&lt;D xsi:type="xsd:long"&gt;42461&lt;/D&gt;&lt;D xsi:type="xsd:long"&gt;42468&lt;/D&gt;&lt;D xsi:type="xsd:long"&gt;42475&lt;/D&gt;&lt;D xsi:type="xsd:long"&gt;42482&lt;/D&gt;&lt;D xsi:type="xsd:long"&gt;42489&lt;/D&gt;&lt;D xsi:type="xsd:long"&gt;42496&lt;/D&gt;&lt;D xsi:type="xsd:long"&gt;42503&lt;/D&gt;&lt;D xsi:type="xsd:long"&gt;42510&lt;/D&gt;&lt;D xsi:type="xsd:long"&gt;42517&lt;/D&gt;&lt;D xsi:type="xsd:long"&gt;42524&lt;/D&gt;&lt;D xsi:type="xsd:long"&gt;42531&lt;/D&gt;&lt;D xsi:type="xsd:long"&gt;42538&lt;/D&gt;&lt;D xsi:type="xsd:long"&gt;42545&lt;/D&gt;&lt;D xsi:type="xsd:long"&gt;42552&lt;/D&gt;&lt;D xsi:type="xsd:long"&gt;42559&lt;/D&gt;&lt;D xsi:type="xsd:long"&gt;42566&lt;/D&gt;&lt;D xsi:type="xsd:long"&gt;42573&lt;/D&gt;&lt;D xsi:type="xsd:long"&gt;42580&lt;/D&gt;&lt;D xsi:type="xsd:long"&gt;42587&lt;/D&gt;&lt;D xsi:type="xsd:long"&gt;42594&lt;/D&gt;&lt;D xsi:type="xsd:long"&gt;42601&lt;/D&gt;&lt;D xsi:type="xsd:long"&gt;42608&lt;/D&gt;&lt;D xsi:type="xsd:long"&gt;42615&lt;/D&gt;&lt;D xsi:type="xsd:long"&gt;42622&lt;/D&gt;&lt;D xsi:type="xsd:long"&gt;42629&lt;/D&gt;&lt;D xsi:type="xsd:long"&gt;42636&lt;/D&gt;&lt;D xsi:type="xsd:long"&gt;42643&lt;/D&gt;&lt;D xsi:type="xsd:long"&gt;42650&lt;/D&gt;&lt;D xsi:type="xsd:long"&gt;42657&lt;/D&gt;&lt;D xsi:type="xsd:long"&gt;42664&lt;/D&gt;&lt;D xsi:type="xsd:long"&gt;42671&lt;/D&gt;&lt;D xsi:type="xsd:long"&gt;42678&lt;/D&gt;&lt;D xsi:type="xsd:long"&gt;42685&lt;/D&gt;&lt;D xsi:type="xsd:long"&gt;42692&lt;/D&gt;&lt;D xsi:type="xsd:long"&gt;42699&lt;/D&gt;&lt;D xsi:type="xsd:long"&gt;42706&lt;/D&gt;&lt;D xsi:type="xsd:long"&gt;42713&lt;/D&gt;&lt;D xsi:type="xsd:long"&gt;42720&lt;/D&gt;&lt;D xsi:type="xsd:long"&gt;42727&lt;/D&gt;&lt;D xsi:type="xsd:long"&gt;42734&lt;/D&gt;&lt;D xsi:type="xsd:long"&gt;42741&lt;/D&gt;&lt;D xsi:type="xsd:long"&gt;42748&lt;/D&gt;&lt;D xsi:type="xsd:long"&gt;42755&lt;/D&gt;&lt;D xsi:type="xsd:long"&gt;42762&lt;/D&gt;&lt;D xsi:type="xsd:long"&gt;42769&lt;/D&gt;&lt;D xsi:type="xsd:long"&gt;42776&lt;/D&gt;&lt;D xsi:type="xsd:long"&gt;42783&lt;/D&gt;&lt;D xsi:type="xsd:long"&gt;42790&lt;/D&gt;&lt;D xsi:type="xsd:long"&gt;42797&lt;/D&gt;&lt;D xsi:type="xsd:long"&gt;42804&lt;/D&gt;&lt;D xsi:type="xsd:long"&gt;42811&lt;/D&gt;&lt;D xsi:type="xsd:long"&gt;42818&lt;/D&gt;&lt;D xsi:type="xsd:long"&gt;42825&lt;/D&gt;&lt;D xsi:type="xsd:long"&gt;42832&lt;/D&gt;&lt;D xsi:type="xsd:long"&gt;42838&lt;/D&gt;&lt;D xsi:type="xsd:long"&gt;42846&lt;/D&gt;&lt;D xsi:type="xsd:long"&gt;42853&lt;/D&gt;&lt;D xsi:type="xsd:long"&gt;42860&lt;/D&gt;&lt;D xsi:type="xsd:long"&gt;42867&lt;/D&gt;&lt;D xsi:type="xsd:long"&gt;42874&lt;/D&gt;&lt;D xsi:type="xsd:long"&gt;42881&lt;/D&gt;&lt;D xsi:type="xsd:long"&gt;42888&lt;/D&gt;&lt;D xsi:type="xsd:long"&gt;42895&lt;/D&gt;&lt;D xsi:type="xsd:long"&gt;42902&lt;/D&gt;&lt;D xsi:type="xsd:long"&gt;42909&lt;/D&gt;&lt;D xsi:type="xsd:long"&gt;42916&lt;/D&gt;&lt;D xsi:type="xsd:long"&gt;42923&lt;/D&gt;&lt;D xsi:type="xsd:long"&gt;42930&lt;/D&gt;&lt;D xsi:type="xsd:long"&gt;42937&lt;/D&gt;&lt;D xsi:type="xsd:long"&gt;42944&lt;/D&gt;&lt;D xsi:type="xsd:long"&gt;42951&lt;/D&gt;&lt;D xsi:type="xsd:long"&gt;42958&lt;/D&gt;&lt;D xsi:type="xsd:long"&gt;42965&lt;/D&gt;&lt;D xsi:type="xsd:long"&gt;42972&lt;/D&gt;&lt;D xsi:type="xsd:long"&gt;42979&lt;/D&gt;&lt;D xsi:type="xsd:long"&gt;42986&lt;/D&gt;&lt;D xsi:type="xsd:long"&gt;42993&lt;/D&gt;&lt;D xsi:type="xsd:long"&gt;43000&lt;/D&gt;&lt;D xsi:type="xsd:long"&gt;43007&lt;/D&gt;&lt;D xsi:type="xsd:long"&gt;43014&lt;/D&gt;&lt;D xsi:type="xsd:long"&gt;43021&lt;/D&gt;&lt;D xsi:type="xsd:long"&gt;43028&lt;/D&gt;&lt;D xsi:type="xsd:long"&gt;43035&lt;/D&gt;&lt;D xsi:type="xsd:long"&gt;43042&lt;/D&gt;&lt;D xsi:type="xsd:long"&gt;43049&lt;/D&gt;&lt;D xsi:type="xsd:long"&gt;43056&lt;/D&gt;&lt;D xsi:type="xsd:long"&gt;43063&lt;/D&gt;&lt;D xsi:type="xsd:long"&gt;43070&lt;/D&gt;&lt;D xsi:type="xsd:long"&gt;43077&lt;/D&gt;&lt;D xsi:type="xsd:long"&gt;43084&lt;/D&gt;&lt;D xsi:type="xsd:long"&gt;43091&lt;/D&gt;&lt;D xsi:type="xsd:long"&gt;43098&lt;/D&gt;&lt;D xsi:type="xsd:long"&gt;43105&lt;/D&gt;&lt;D xsi:type="xsd:long"&gt;43112&lt;/D&gt;&lt;D xsi:type="xsd:long"&gt;43119&lt;/D&gt;&lt;D xsi:type="xsd:long"&gt;43126&lt;/D&gt;&lt;D xsi:type="xsd:long"&gt;43133&lt;/D&gt;&lt;D xsi:type="xsd:long"&gt;43140&lt;/D&gt;&lt;D xsi:type="xsd:long"&gt;43147&lt;/D&gt;&lt;D xsi:type="xsd:long"&gt;43154&lt;/D&gt;&lt;D xsi:type="xsd:long"&gt;43161&lt;/D&gt;&lt;D xsi:type="xsd:long"&gt;43168&lt;/D&gt;&lt;D xsi:type="xsd:long"&gt;43175&lt;/D&gt;&lt;D xsi:type="xsd:long"&gt;43182&lt;/D&gt;&lt;D xsi:type="xsd:long"&gt;43188&lt;/D&gt;&lt;D xsi:type="xsd:long"&gt;43196&lt;/D&gt;&lt;D xsi:type="xsd:long"&gt;43203&lt;/D&gt;&lt;D xsi:type="xsd:long"&gt;43210&lt;/D&gt;&lt;D xsi:type="xsd:long"&gt;43217&lt;/D&gt;&lt;D xsi:type="xsd:long"&gt;43224&lt;/D&gt;&lt;D xsi:type="xsd:long"&gt;43231&lt;/D&gt;&lt;D xsi:type="xsd:long"&gt;43238&lt;/D&gt;&lt;D xsi:type="xsd:long"&gt;43245&lt;/D&gt;&lt;D xsi:type="xsd:long"&gt;43252&lt;/D&gt;&lt;D xsi:type="xsd:long"&gt;43259&lt;/D&gt;&lt;D xsi:type="xsd:long"&gt;43266&lt;/D&gt;&lt;D xsi:type="xsd:long"&gt;43273&lt;/D&gt;&lt;D xsi:type="xsd:long"&gt;43280&lt;/D&gt;&lt;D xsi:type="xsd:long"&gt;43287&lt;/D&gt;&lt;D xsi:type="xsd:long"&gt;43294&lt;/D&gt;&lt;D xsi:type="xsd:long"&gt;43301&lt;/D&gt;&lt;D xsi:type="xsd:long"&gt;43308&lt;/D&gt;&lt;D xsi:type="xsd:long"&gt;43315&lt;/D&gt;&lt;D xsi:type="xsd:long"&gt;43322&lt;/D&gt;&lt;D xsi:type="xsd:long"&gt;43329&lt;/D&gt;&lt;D xsi:type="xsd:long"&gt;43336&lt;/D&gt;&lt;D xsi:type="xsd:long"&gt;43343&lt;/D&gt;&lt;D xsi:type="xsd:long"&gt;43350&lt;/D&gt;&lt;D xsi:type="xsd:long"&gt;43357&lt;/D&gt;&lt;D xsi:type="xsd:long"&gt;43364&lt;/D&gt;&lt;D xsi:type="xsd:long"&gt;43371&lt;/D&gt;&lt;D xsi:type="xsd:long"&gt;43378&lt;/D&gt;&lt;D xsi:type="xsd:long"&gt;43385&lt;/D&gt;&lt;D xsi:type="xsd:long"&gt;43392&lt;/D&gt;&lt;D xsi:type="xsd:long"&gt;43399&lt;/D&gt;&lt;D xsi:type="xsd:long"&gt;43406&lt;/D&gt;&lt;D xsi:type="xsd:long"&gt;43413&lt;/D&gt;&lt;D xsi:type="xsd:long"&gt;43420&lt;/D&gt;&lt;D xsi:type="xsd:long"&gt;43427&lt;/D&gt;&lt;D xsi:type="xsd:long"&gt;43434&lt;/D&gt;&lt;D xsi:type="xsd:long"&gt;43441&lt;/D&gt;&lt;D xsi:type="xsd:long"&gt;43448&lt;/D&gt;&lt;D xsi:type="xsd:long"&gt;43455&lt;/D&gt;&lt;D xsi:type="xsd:long"&gt;43462&lt;/D&gt;&lt;D xsi:type="xsd:long"&gt;43469&lt;/D&gt;&lt;D xsi:type="xsd:long"&gt;43476&lt;/D&gt;&lt;D xsi:type="xsd:long"&gt;43483&lt;/D&gt;&lt;D xsi:type="xsd:long"&gt;43490&lt;/D&gt;&lt;D xsi:type="xsd:long"&gt;43497&lt;/D&gt;&lt;D xsi:type="xsd:long"&gt;43504&lt;/D&gt;&lt;D xsi:type="xsd:long"&gt;43511&lt;/D&gt;&lt;D xsi:type="xsd:long"&gt;43518&lt;/D&gt;&lt;D xsi:type="xsd:long"&gt;43525&lt;/D&gt;&lt;D xsi:type="xsd:long"&gt;43532&lt;/D&gt;&lt;D xsi:type="xsd:long"&gt;43539&lt;/D&gt;&lt;D xsi:type="xsd:long"&gt;43546&lt;/D&gt;&lt;D xsi:type="xsd:long"&gt;43553&lt;/D&gt;&lt;D xsi:type="xsd:long"&gt;43560&lt;/D&gt;&lt;D xsi:type="xsd:long"&gt;43567&lt;/D&gt;&lt;D xsi:type="xsd:long"&gt;43573&lt;/D&gt;&lt;D xsi:type="xsd:long"&gt;43581&lt;/D&gt;&lt;D xsi:type="xsd:long"&gt;43588&lt;/D&gt;&lt;D xsi:type="xsd:long"&gt;43595&lt;/D&gt;&lt;D xsi:type="xsd:long"&gt;43602&lt;/D&gt;&lt;D xsi:type="xsd:long"&gt;43609&lt;/D&gt;&lt;D xsi:type="xsd:long"&gt;43616&lt;/D&gt;&lt;D xsi:type="xsd:long"&gt;43623&lt;/D&gt;&lt;D xsi:type="xsd:long"&gt;43630&lt;/D&gt;&lt;D xsi:type="xsd:long"&gt;43637&lt;/D&gt;&lt;D xsi:type="xsd:long"&gt;43644&lt;/D&gt;&lt;D xsi:type="xsd:long"&gt;43651&lt;/D&gt;&lt;D xsi:type="xsd:long"&gt;43658&lt;/D&gt;&lt;D xsi:type="xsd:long"&gt;43665&lt;/D&gt;&lt;D xsi:type="xsd:long"&gt;43672&lt;/D&gt;&lt;D xsi:type="xsd:long"&gt;43679&lt;/D&gt;&lt;D xsi:type="xsd:long"&gt;43686&lt;/D&gt;&lt;D xsi:type="xsd:long"&gt;43693&lt;/D&gt;&lt;D xsi:type="xsd:long"&gt;43700&lt;/D&gt;&lt;D xsi:type="xsd:long"&gt;43707&lt;/D&gt;&lt;D xsi:type="xsd:long"&gt;43714&lt;/D&gt;&lt;D xsi:type="xsd:long"&gt;43721&lt;/D&gt;&lt;D xsi:type="xsd:long"&gt;43728&lt;/D&gt;&lt;D xsi:type="xsd:long"&gt;43735&lt;/D&gt;&lt;D xsi:type="xsd:long"&gt;43742&lt;/D&gt;&lt;D xsi:type="xsd:long"&gt;43749&lt;/D&gt;&lt;D xsi:type="xsd:long"&gt;43756&lt;/D&gt;&lt;D xsi:type="xsd:long"&gt;43763&lt;/D&gt;&lt;D xsi:type="xsd:long"&gt;43770&lt;/D&gt;&lt;D xsi:type="xsd:long"&gt;43777&lt;/D&gt;&lt;D xsi:type="xsd:long"&gt;43784&lt;/D&gt;&lt;D xsi:type="xsd:long"&gt;43791&lt;/D&gt;&lt;D xsi:type="xsd:long"&gt;43798&lt;/D&gt;&lt;D xsi:type="xsd:long"&gt;43805&lt;/D&gt;&lt;D xsi:type="xsd:long"&gt;43812&lt;/D&gt;&lt;D xsi:type="xsd:long"&gt;43819&lt;/D&gt;&lt;D xsi:type="xsd:long"&gt;43826&lt;/D&gt;&lt;D xsi:type="xsd:long"&gt;43833&lt;/D&gt;&lt;D xsi:type="xsd:long"&gt;43840&lt;/D&gt;&lt;D xsi:type="xsd:long"&gt;43847&lt;/D&gt;&lt;D xsi:type="xsd:long"&gt;43854&lt;/D&gt;&lt;D xsi:type="xsd:long"&gt;43861&lt;/D&gt;&lt;D xsi:type="xsd:long"&gt;43868&lt;/D&gt;&lt;D xsi:type="xsd:long"&gt;43875&lt;/D&gt;&lt;D xsi:type="xsd:long"&gt;43882&lt;/D&gt;&lt;D xsi:type="xsd:long"&gt;43889&lt;/D&gt;&lt;D xsi:type="xsd:long"&gt;43896&lt;/D&gt;&lt;D xsi:type="xsd:long"&gt;43903&lt;/D&gt;&lt;D xsi:type="xsd:long"&gt;43910&lt;/D&gt;&lt;D xsi:type="xsd:long"&gt;43917&lt;/D&gt;&lt;D xsi:type="xsd:long"&gt;43924&lt;/D&gt;&lt;D xsi:type="xsd:long"&gt;43930&lt;/D&gt;&lt;D xsi:type="xsd:long"&gt;43938&lt;/D&gt;&lt;D xsi:type="xsd:long"&gt;43945&lt;/D&gt;&lt;D xsi:type="xsd:long"&gt;43952&lt;/D&gt;&lt;D xsi:type="xsd:long"&gt;43959&lt;/D&gt;&lt;D xsi:type="xsd:long"&gt;43966&lt;/D&gt;&lt;D xsi:type="xsd:long"&gt;43973&lt;/D&gt;&lt;D xsi:type="xsd:long"&gt;43980&lt;/D&gt;&lt;D xsi:type="xsd:long"&gt;43987&lt;/D&gt;&lt;D xsi:type="xsd:long"&gt;43994&lt;/D&gt;&lt;D xsi:type="xsd:long"&gt;44001&lt;/D&gt;&lt;D xsi:type="xsd:long"&gt;44008&lt;/D&gt;&lt;D xsi:type="xsd:long"&gt;44014&lt;/D&gt;&lt;D xsi:type="xsd:long"&gt;44022&lt;/D&gt;&lt;D xsi:type="xsd:long"&gt;44029&lt;/D&gt;&lt;D xsi:type="xsd:long"&gt;44036&lt;/D&gt;&lt;D xsi:type="xsd:long"&gt;44043&lt;/D&gt;&lt;D xsi:type="xsd:long"&gt;44050&lt;/D&gt;&lt;D xsi:type="xsd:long"&gt;44057&lt;/D&gt;&lt;D xsi:type="xsd:long"&gt;44064&lt;/D&gt;&lt;D xsi:type="xsd:long"&gt;44071&lt;/D&gt;&lt;D xsi:type="xsd:long"&gt;44078&lt;/D&gt;&lt;D xsi:type="xsd:long"&gt;44085&lt;/D&gt;&lt;D xsi:type="xsd:long"&gt;44092&lt;/D&gt;&lt;D xsi:type="xsd:long"&gt;44099&lt;/D&gt;&lt;D xsi:type="xsd:long"&gt;44106&lt;/D&gt;&lt;D xsi:type="xsd:long"&gt;44113&lt;/D&gt;&lt;D xsi:type="xsd:long"&gt;44120&lt;/D&gt;&lt;D xsi:type="xsd:long"&gt;44127&lt;/D&gt;&lt;D xsi:type="xsd:long"&gt;44134&lt;/D&gt;&lt;D xsi:type="xsd:long"&gt;44141&lt;/D&gt;&lt;D xsi:type="xsd:long"&gt;44148&lt;/D&gt;&lt;D xsi:type="xsd:long"&gt;44155&lt;/D&gt;&lt;D xsi:type="xsd:long"&gt;44162&lt;/D&gt;&lt;D xsi:type="xsd:long"&gt;44169&lt;/D&gt;&lt;D xsi:type="xsd:long"&gt;44176&lt;/D&gt;&lt;D xsi:type="xsd:long"&gt;44183&lt;/D&gt;&lt;D xsi:type="xsd:long"&gt;44189&lt;/D&gt;&lt;D xsi:type="xsd:long"&gt;44196&lt;/D&gt;&lt;D xsi:type="xsd:long"&gt;44204&lt;/D&gt;&lt;D xsi:type="xsd:long"&gt;44211&lt;/D&gt;&lt;D xsi:type="xsd:long"&gt;44218&lt;/D&gt;&lt;D xsi:type="xsd:long"&gt;44225&lt;/D&gt;&lt;D xsi:type="xsd:long"&gt;44232&lt;/D&gt;&lt;D xsi:type="xsd:long"&gt;44239&lt;/D&gt;&lt;D xsi:type="xsd:long"&gt;44246&lt;/D&gt;&lt;D xsi:type="xsd:long"&gt;44253&lt;/D&gt;&lt;D xsi:type="xsd:long"&gt;44260&lt;/D&gt;&lt;D xsi:type="xsd:long"&gt;44267&lt;/D&gt;&lt;D xsi:type="xsd:long"&gt;44274&lt;/D&gt;&lt;D xsi:type="xsd:long"&gt;44281&lt;/D&gt;&lt;D xsi:type="xsd:long"&gt;44287&lt;/D&gt;&lt;D xsi:type="xsd:long"&gt;44295&lt;/D&gt;&lt;D xsi:type="xsd:long"&gt;44302&lt;/D&gt;&lt;D xsi:type="xsd:long"&gt;44309&lt;/D&gt;&lt;D xsi:type="xsd:long"&gt;44316&lt;/D&gt;&lt;D xsi:type="xsd:long"&gt;44323&lt;/D&gt;&lt;D xsi:type="xsd:long"&gt;44330&lt;/D&gt;&lt;D xsi:type="xsd:long"&gt;44337&lt;/D&gt;&lt;D xsi:type="xsd:long"&gt;44344&lt;/D&gt;&lt;D xsi:type="xsd:long"&gt;44351&lt;/D&gt;&lt;D xsi:type="xsd:long"&gt;44358&lt;/D&gt;&lt;D xsi:type="xsd:long"&gt;44365&lt;/D&gt;&lt;D xsi:type="xsd:long"&gt;44372&lt;/D&gt;&lt;D xsi:type="xsd:long"&gt;44379&lt;/D&gt;&lt;D xsi:type="xsd:long"&gt;44386&lt;/D&gt;&lt;D xsi:type="xsd:long"&gt;44393&lt;/D&gt;&lt;D xsi:type="xsd:long"&gt;44400&lt;/D&gt;&lt;D xsi:type="xsd:long"&gt;44407&lt;/D&gt;&lt;D xsi:type="xsd:long"&gt;44414&lt;/D&gt;&lt;D xsi:type="xsd:long"&gt;44421&lt;/D&gt;&lt;D xsi:type="xsd:long"&gt;44428&lt;/D&gt;&lt;D xsi:type="xsd:long"&gt;44435&lt;/D&gt;&lt;D xsi:type="xsd:long"&gt;44442&lt;/D&gt;&lt;D xsi:type="xsd:long"&gt;44449&lt;/D&gt;&lt;D xsi:type="xsd:long"&gt;44456&lt;/D&gt;&lt;D xsi:type="xsd:long"&gt;44463&lt;/D&gt;&lt;D xsi:type="xsd:long"&gt;44470&lt;/D&gt;&lt;D xsi:type="xsd:long"&gt;44477&lt;/D&gt;&lt;D xsi:type="xsd:long"&gt;44484&lt;/D&gt;&lt;D xsi:type="xsd:long"&gt;44491&lt;/D&gt;&lt;D xsi:type="xsd:long"&gt;44498&lt;/D&gt;&lt;D xsi:type="xsd:long"&gt;44505&lt;/D&gt;&lt;D xsi:type="xsd:long"&gt;44512&lt;/D&gt;&lt;D xsi:type="xsd:long"&gt;44519&lt;/D&gt;&lt;D xsi:type="xsd:long"&gt;44526&lt;/D&gt;&lt;D xsi:type="xsd:long"&gt;44533&lt;/D&gt;&lt;D xsi:type="xsd:long"&gt;44540&lt;/D&gt;&lt;D xsi:type="xsd:long"&gt;44547&lt;/D&gt;&lt;D xsi:type="xsd:long"&gt;44553&lt;/D&gt;&lt;D xsi:type="xsd:long"&gt;44561&lt;/D&gt;&lt;D xsi:type="xsd:long"&gt;44568&lt;/D&gt;&lt;D xsi:type="xsd:long"&gt;44575&lt;/D&gt;&lt;D xsi:type="xsd:long"&gt;44582&lt;/D&gt;&lt;D xsi:type="xsd:long"&gt;44589&lt;/D&gt;&lt;D xsi:type="xsd:long"&gt;44596&lt;/D&gt;&lt;D xsi:type="xsd:long"&gt;44603&lt;/D&gt;&lt;D xsi:type="xsd:long"&gt;44610&lt;/D&gt;&lt;D xsi:type="xsd:long"&gt;44617&lt;/D&gt;&lt;D xsi:type="xsd:long"&gt;44624&lt;/D&gt;&lt;D xsi:type="xsd:long"&gt;44631&lt;/D&gt;&lt;D xsi:type="xsd:long"&gt;44638&lt;/D&gt;&lt;D xsi:type="xsd:long"&gt;44645&lt;/D&gt;&lt;D xsi:type="xsd:long"&gt;44652&lt;/D&gt;&lt;D xsi:type="xsd:long"&gt;44659&lt;/D&gt;&lt;D xsi:type="xsd:long"&gt;44665&lt;/D&gt;&lt;D xsi:type="xsd:long"&gt;44673&lt;/D&gt;&lt;D xsi:type="xsd:long"&gt;44680&lt;/D&gt;&lt;D xsi:type="xsd:long"&gt;44687&lt;/D&gt;&lt;D xsi:type="xsd:long"&gt;44694&lt;/D&gt;&lt;D xsi:type="xsd:long"&gt;44701&lt;/D&gt;&lt;D xsi:type="xsd:long"&gt;44708&lt;/D&gt;&lt;D xsi:type="xsd:long"&gt;44715&lt;/D&gt;&lt;D xsi:type="xsd:long"&gt;44722&lt;/D&gt;&lt;D xsi:type="xsd:long"&gt;44729&lt;/D&gt;&lt;D xsi:type="xsd:long"&gt;44736&lt;/D&gt;&lt;D xsi:type="xsd:long"&gt;44743&lt;/D&gt;&lt;D xsi:type="xsd:long"&gt;44750&lt;/D&gt;&lt;D xsi:type="xsd:long"&gt;44757&lt;/D&gt;&lt;D xsi:type="xsd:long"&gt;44764&lt;/D&gt;&lt;D xsi:type="xsd:long"&gt;44771&lt;/D&gt;&lt;D xsi:type="xsd:long"&gt;44778&lt;/D&gt;&lt;D xsi:type="xsd:long"&gt;44785&lt;/D&gt;&lt;D xsi:type="xsd:long"&gt;44792&lt;/D&gt;&lt;D xsi:type="xsd:long"&gt;44799&lt;/D&gt;&lt;D xsi:type="xsd:long"&gt;44806&lt;/D&gt;&lt;D xsi:type="xsd:long"&gt;44813&lt;/D&gt;&lt;D xsi:type="xsd:long"&gt;44820&lt;/D&gt;&lt;D xsi:type="xsd:long"&gt;44827&lt;/D&gt;&lt;D xsi:type="xsd:long"&gt;44834&lt;/D&gt;&lt;D xsi:type="xsd:long"&gt;44841&lt;/D&gt;&lt;D xsi:type="xsd:long"&gt;44848&lt;/D&gt;&lt;D xsi:type="xsd:long"&gt;44855&lt;/D&gt;&lt;D xsi:type="xsd:long"&gt;44862&lt;/D&gt;&lt;D xsi:type="xsd:long"&gt;44869&lt;/D&gt;&lt;D xsi:type="xsd:long"&gt;44876&lt;/D&gt;&lt;D xsi:type="xsd:long"&gt;44883&lt;/D&gt;&lt;D xsi:type="xsd:long"&gt;44890&lt;/D&gt;&lt;D xsi:type="xsd:long"&gt;44897&lt;/D&gt;&lt;D xsi:type="x</t>
        </r>
      </text>
    </comment>
    <comment ref="A5" authorId="0" shapeId="0" xr:uid="{4538E682-12AA-4963-89A8-691B2A343D30}">
      <text>
        <r>
          <rPr>
            <b/>
            <sz val="9"/>
            <color indexed="81"/>
            <rFont val="Tahoma"/>
            <family val="2"/>
          </rPr>
          <t>sd:long"&gt;44904&lt;/D&gt;&lt;D xsi:type="xsd:long"&gt;44911&lt;/D&gt;&lt;D xsi:type="xsd:long"&gt;44918&lt;/D&gt;&lt;D xsi:type="xsd:long"&gt;44925&lt;/D&gt;&lt;D xsi:type="xsd:long"&gt;44932&lt;/D&gt;&lt;D xsi:type="xsd:long"&gt;44939&lt;/D&gt;&lt;D xsi:type="xsd:long"&gt;44946&lt;/D&gt;&lt;D xsi:type="xsd:long"&gt;44953&lt;/D&gt;&lt;D xsi:type="xsd:long"&gt;44960&lt;/D&gt;&lt;D xsi:type="xsd:long"&gt;44967&lt;/D&gt;&lt;D xsi:type="xsd:long"&gt;44974&lt;/D&gt;&lt;D xsi:type="xsd:long"&gt;44981&lt;/D&gt;&lt;D xsi:type="xsd:long"&gt;44988&lt;/D&gt;&lt;D xsi:type="xsd:long"&gt;44995&lt;/D&gt;&lt;D xsi:type="xsd:long"&gt;45002&lt;/D&gt;&lt;D xsi:type="xsd:long"&gt;45009&lt;/D&gt;&lt;D xsi:type="xsd:long"&gt;45016&lt;/D&gt;&lt;D xsi:type="xsd:long"&gt;45022&lt;/D&gt;&lt;D xsi:type="xsd:long"&gt;45030&lt;/D&gt;&lt;D xsi:type="xsd:long"&gt;45037&lt;/D&gt;&lt;D xsi:type="xsd:long"&gt;45044&lt;/D&gt;&lt;D xsi:type="xsd:long"&gt;45051&lt;/D&gt;&lt;D xsi:type="xsd:long"&gt;45058&lt;/D&gt;&lt;D xsi:type="xsd:long"&gt;45065&lt;/D&gt;&lt;D xsi:type="xsd:long"&gt;45072&lt;/D&gt;&lt;D xsi:type="xsd:long"&gt;45079&lt;/D&gt;&lt;D xsi:type="xsd:long"&gt;45086&lt;/D&gt;&lt;D xsi:type="xsd:long"&gt;45093&lt;/D&gt;&lt;D xsi:type="xsd:long"&gt;45100&lt;/D&gt;&lt;D xsi:type="xsd:long"&gt;45107&lt;/D&gt;&lt;D xsi:type="xsd:long"&gt;45114&lt;/D&gt;&lt;D xsi:type="xsd:long"&gt;45121&lt;/D&gt;&lt;D xsi:type="xsd:long"&gt;45128&lt;/D&gt;&lt;D xsi:type="xsd:long"&gt;45135&lt;/D&gt;&lt;D xsi:type="xsd:long"&gt;45142&lt;/D&gt;&lt;D xsi:type="xsd:long"&gt;45149&lt;/D&gt;&lt;D xsi:type="xsd:long"&gt;45156&lt;/D&gt;&lt;D xsi:type="xsd:long"&gt;45163&lt;/D&gt;&lt;D xsi:type="xsd:long"&gt;45170&lt;/D&gt;&lt;D xsi:type="xsd:long"&gt;45177&lt;/D&gt;&lt;D xsi:type="xsd:long"&gt;45184&lt;/D&gt;&lt;D xsi:type="xsd:long"&gt;45191&lt;/D&gt;&lt;D xsi:type="xsd:long"&gt;45198&lt;/D&gt;&lt;D xsi:type="xsd:long"&gt;45205&lt;/D&gt;&lt;D xsi:type="xsd:long"&gt;45212&lt;/D&gt;&lt;D xsi:type="xsd:long"&gt;45219&lt;/D&gt;&lt;D xsi:type="xsd:long"&gt;45226&lt;/D&gt;&lt;D xsi:type="xsd:long"&gt;45233&lt;/D&gt;&lt;D xsi:type="xsd:long"&gt;45240&lt;/D&gt;&lt;D xsi:type="xsd:long"&gt;45247&lt;/D&gt;&lt;D xsi:type="xsd:long"&gt;45254&lt;/D&gt;&lt;D xsi:type="xsd:long"&gt;45261&lt;/D&gt;&lt;D xsi:type="xsd:long"&gt;45268&lt;/D&gt;&lt;D xsi:type="xsd:long"&gt;45275&lt;/D&gt;&lt;D xsi:type="xsd:long"&gt;45282&lt;/D&gt;&lt;D xsi:type="xsd:long"&gt;45289&lt;/D&gt;&lt;D xsi:type="xsd:long"&gt;45296&lt;/D&gt;&lt;D xsi:type="xsd:long"&gt;45303&lt;/D&gt;&lt;D xsi:type="xsd:long"&gt;45310&lt;/D&gt;&lt;D xsi:type="xsd:long"&gt;45317&lt;/D&gt;&lt;D xsi:type="xsd:long"&gt;45324&lt;/D&gt;&lt;D xsi:type="xsd:long"&gt;45331&lt;/D&gt;&lt;D xsi:type="xsd:long"&gt;45338&lt;/D&gt;&lt;D xsi:type="xsd:long"&gt;45345&lt;/D&gt;&lt;D xsi:type="xsd:long"&gt;45352&lt;/D&gt;&lt;D xsi:type="xsd:long"&gt;45359&lt;/D&gt;&lt;D xsi:type="xsd:long"&gt;45366&lt;/D&gt;&lt;D xsi:type="xsd:long"&gt;45373&lt;/D&gt;&lt;D xsi:type="xsd:long"&gt;45379&lt;/D&gt;&lt;D xsi:type="xsd:long"&gt;45387&lt;/D&gt;&lt;D xsi:type="xsd:long"&gt;45394&lt;/D&gt;&lt;D xsi:type="xsd:long"&gt;45401&lt;/D&gt;&lt;D xsi:type="xsd:long"&gt;45408&lt;/D&gt;&lt;D xsi:type="xsd:long"&gt;45415&lt;/D&gt;&lt;D xsi:type="xsd:long"&gt;45422&lt;/D&gt;&lt;D xsi:type="xsd:long"&gt;45429&lt;/D&gt;&lt;D xsi:type="xsd:long"&gt;45436&lt;/D&gt;&lt;D xsi:type="xsd:long"&gt;45443&lt;/D&gt;&lt;D xsi:type="xsd:long"&gt;45450&lt;/D&gt;&lt;D xsi:type="xsd:long"&gt;45457&lt;/D&gt;&lt;D xsi:type="xsd:long"&gt;45464&lt;/D&gt;&lt;D xsi:type="xsd:long"&gt;45471&lt;/D&gt;&lt;D xsi:type="xsd:long"&gt;45478&lt;/D&gt;&lt;D xsi:type="xsd:long"&gt;45485&lt;/D&gt;&lt;D xsi:type="xsd:long"&gt;45492&lt;/D&gt;&lt;D xsi:type="xsd:long"&gt;45499&lt;/D&gt;&lt;D xsi:type="xsd:long"&gt;45506&lt;/D&gt;&lt;D xsi:type="xsd:long"&gt;45513&lt;/D&gt;&lt;D xsi:type="xsd:long"&gt;45520&lt;/D&gt;&lt;D xsi:type="xsd:long"&gt;45527&lt;/D&gt;&lt;D xsi:type="xsd:long"&gt;45534&lt;/D&gt;&lt;D xsi:type="xsd:long"&gt;45541&lt;/D&gt;&lt;D xsi:type="xsd:long"&gt;45548&lt;/D&gt;&lt;D xsi:type="xsd:long"&gt;45555&lt;/D&gt;&lt;D xsi:type="xsd:long"&gt;45562&lt;/D&gt;&lt;D xsi:type="xsd:long"&gt;45569&lt;/D&gt;&lt;D xsi:type="xsd:long"&gt;45576&lt;/D&gt;&lt;D xsi:type="xsd:long"&gt;45583&lt;/D&gt;&lt;D xsi:type="xsd:long"&gt;45590&lt;/D&gt;&lt;D xsi:type="xsd:long"&gt;45597&lt;/D&gt;&lt;D xsi:type="xsd:long"&gt;45604&lt;/D&gt;&lt;D xsi:type="xsd:long"&gt;45611&lt;/D&gt;&lt;D xsi:type="xsd:long"&gt;45618&lt;/D&gt;&lt;D xsi:type="xsd:long"&gt;45625&lt;/D&gt;&lt;D xsi:type="xsd:long"&gt;45632&lt;/D&gt;&lt;D xsi:type="xsd:long"&gt;45639&lt;/D&gt;&lt;D xsi:type="xsd:long"&gt;45646&lt;/D&gt;&lt;D xsi:type="xsd:long"&gt;45653&lt;/D&gt;&lt;D xsi:type="xsd:long"&gt;45660&lt;/D&gt;&lt;D xsi:type="xsd:long"&gt;45667&lt;/D&gt;&lt;D xsi:type="xsd:long"&gt;45674&lt;/D&gt;&lt;D xsi:type="xsd:long"&gt;45681&lt;/D&gt;&lt;D xsi:type="xsd:long"&gt;45688&lt;/D&gt;&lt;D xsi:type="xsd:long"&gt;45695&lt;/D&gt;&lt;D xsi:type="xsd:long"&gt;45702&lt;/D&gt;&lt;D xsi:type="xsd:long"&gt;45709&lt;/D&gt;&lt;D xsi:type="xsd:long"&gt;45716&lt;/D&gt;&lt;D xsi:type="xsd:long"&gt;45723&lt;/D&gt;&lt;D xsi:type="xsd:long"&gt;45730&lt;/D&gt;&lt;D xsi:type="xsd:long"&gt;45737&lt;/D&gt;&lt;D xsi:type="xsd:long"&gt;45744&lt;/D&gt;&lt;D xsi:type="xsd:long"&gt;45751&lt;/D&gt;&lt;D xsi:type="xsd:long"&gt;45758&lt;/D&gt;&lt;D xsi:type="xsd:long"&gt;45764&lt;/D&gt;&lt;D xsi:type="xsd:long"&gt;45772&lt;/D&gt;&lt;D xsi:type="xsd:long"&gt;45779&lt;/D&gt;&lt;D xsi:type="xsd:long"&gt;45786&lt;/D&gt;&lt;D xsi:type="xsd:long"&gt;45793&lt;/D&gt;&lt;D xsi:type="xsd:long"&gt;45800&lt;/D&gt;&lt;D xsi:type="xsd:long"&gt;45807&lt;/D&gt;&lt;D xsi:type="xsd:long"&gt;45814&lt;/D&gt;&lt;D xsi:type="xsd:long"&gt;45821&lt;/D&gt;&lt;D xsi:type="xsd:long"&gt;45828&lt;/D&gt;&lt;D xsi:type="xsd:long"&gt;45835&lt;/D&gt;&lt;D xsi:type="xsd:long"&gt;45841&lt;/D&gt;&lt;D xsi:type="xsd:long"&gt;45849&lt;/D&gt;&lt;D xsi:type="xsd:long"&gt;45856&lt;/D&gt;&lt;D xsi:type="xsd:long"&gt;45863&lt;/D&gt;&lt;D xsi:type="xsd:long"&gt;45870&lt;/D&gt;&lt;D xsi:type="xsd:long"&gt;45877&lt;/D&gt;&lt;D xsi:type="xsd:long"&gt;45884&lt;/D&gt;&lt;D xsi:type="xsd:long"&gt;45891&lt;/D&gt;&lt;D xsi:type="xsd:long"&gt;45898&lt;/D&gt;&lt;D xsi:type="xsd:long"&gt;45905&lt;/D&gt;&lt;D xsi:type="xsd:long"&gt;45912&lt;/D&gt;&lt;D xsi:type="xsd:long"&gt;45919&lt;/D&gt;&lt;/FQL&gt;&lt;FQL&gt;&lt;Q&gt;CSX^FG_PRICE(42272,0,W)&lt;/Q&gt;&lt;R&gt;522&lt;/R&gt;&lt;C&gt;1&lt;/C&gt;&lt;D xsi:type="xsd:double"&gt;8.839991&lt;/D&gt;&lt;D xsi:type="xsd:double"&gt;9.103324&lt;/D&gt;&lt;D xsi:type="xsd:double"&gt;9.693324&lt;/D&gt;&lt;D xsi:type="xsd:double"&gt;9.143324&lt;/D&gt;&lt;D xsi:type="xsd:double"&gt;9.456657&lt;/D&gt;&lt;D xsi:type="xsd:double"&gt;8.996657&lt;/D&gt;&lt;D xsi:type="xsd:double"&gt;9.023324&lt;/D&gt;&lt;D xsi:type="xsd:double"&gt;8.976658&lt;/D&gt;&lt;D xsi:type="xsd:double"&gt;9.963323&lt;/D&gt;&lt;D xsi:type="xsd:double"&gt;9.663323&lt;/D&gt;&lt;D xsi:type="xsd:double"&gt;8.953324&lt;/D&gt;&lt;D xsi:type="xsd:double"&gt;8.573325&lt;/D&gt;&lt;D xsi:type="xsd:double"&gt;8.399991&lt;/D&gt;&lt;D xsi:type="xsd:double"&gt;8.709991&lt;/D&gt;&lt;D xsi:type="xsd:double"&gt;8.649991&lt;/D&gt;&lt;D xsi:type="xsd:double"&gt;7.8266582&lt;/D&gt;&lt;D xsi:type="xsd:double"&gt;7.5866594&lt;/D&gt;&lt;D xsi:type="xsd:double"&gt;7.4733257&lt;/D&gt;&lt;D xsi:type="xsd:double"&gt;7.6733255&lt;/D&gt;&lt;D xsi:type="xsd:double"&gt;7.609992&lt;/D&gt;&lt;D xsi:type="xsd:double"&gt;8.063325&lt;/D&gt;&lt;D xsi:type="xsd:double"&gt;8.1699915&lt;/D&gt;&lt;D xsi:type="xsd:double"&gt;8.103325&lt;/D&gt;&lt;D xsi:type="xsd:double"&gt;8.409991&lt;/D&gt;&lt;D xsi:type="xsd:double"&gt;8.699991&lt;/D&gt;&lt;D xsi:type="xsd:double"&gt;9.006658&lt;/D&gt;&lt;D xsi:type="xsd:double"&gt;8.723324&lt;/D&gt;&lt;D xsi:type="xsd:double"&gt;8.539992&lt;/D&gt;&lt;D xsi:type="xsd:double"&gt;8.266658&lt;/D&gt;&lt;D xsi:type="xsd:double"&gt;8.643325&lt;/D&gt;&lt;D xsi:type="xsd:double"&gt;9.176658&lt;/D&gt;&lt;D xsi:type="xsd:double"&gt;9.089991&lt;/D&gt;&lt;D xsi:type="xsd:double"&gt;8.719991&lt;/D&gt;&lt;D xsi:type="xsd:double"&gt;8.373325&lt;/D&gt;&lt;D xsi:type="xsd:double"&gt;8.606658&lt;/D&gt;&lt;D xsi:type="xsd:double"&gt;8.629991&lt;/D&gt;&lt;D xsi:type="xsd:double"&gt;8.879991&lt;/D&gt;&lt;D xsi:type="xsd:double"&gt;8.926659&lt;/D&gt;&lt;D xsi:type="xsd:double"&gt;8.916657&lt;/D&gt;&lt;D xsi:type="xsd:double"&gt;8.566659&lt;/D&gt;&lt;D xsi:type="xsd:double"&gt;8.736657&lt;/D&gt;&lt;D xsi:type="xsd:double"&gt;8.843325&lt;/D&gt;&lt;D xsi:type="xsd:double"&gt;9.506657&lt;/D&gt;&lt;D xsi:type="xsd:double"&gt;9.493324&lt;/D&gt;&lt;D xsi:type="xsd:double"&gt;9.443324&lt;/D&gt;&lt;D xsi:type="xsd:double"&gt;9.5433235&lt;/D&gt;&lt;D xsi:type="xsd:double"&gt;9.353324&lt;/D&gt;&lt;D xsi:type="xsd:double"&gt;9.556658&lt;/D&gt;&lt;D xsi:type="xsd:double"&gt;9.396658&lt;/D&gt;&lt;D xsi:type="xsd:double"&gt;9.37999&lt;/D&gt;&lt;D xsi:type="xsd:double"&gt;9.296658&lt;/D&gt;&lt;D xsi:type="xsd:double"&gt;9.776656&lt;/D&gt;&lt;D xsi:type="xsd:double"&gt;9.87999&lt;/D&gt;&lt;D xsi:type="xsd:double"&gt;10.1666565&lt;/D&gt;&lt;D xsi:type="xsd:double"&gt;10.34999&lt;/D&gt;&lt;D xsi:type="xsd:double"&gt;10.341657&lt;/D&gt;&lt;D xsi:type="xsd:double"&gt;10.096657&lt;/D&gt;&lt;D xsi:type="xsd:double"&gt;10.093324&lt;/D&gt;&lt;D xsi:type="xsd:double"&gt;10.306657&lt;/D&gt;&lt;D xsi:type="xsd:double"&gt;11.526655&lt;/D&gt;&lt;D xsi:type="xsd:double"&gt;11.333322&lt;/D&gt;&lt;D xsi:type="xsd:double"&gt;11.729987&lt;/D&gt;&lt;D xsi:type="xsd:double"&gt;12.159987&lt;/D&gt;&lt;D xsi:type="xsd:double"&gt;12.423322&lt;/D&gt;&lt;D xsi:type="xsd:double"&gt;12.013321&lt;/D&gt;&lt;D xsi:type="xsd:double"&gt;12.216655&lt;/D&gt;&lt;D xsi:type="xsd:double"&gt;11.976654&lt;/D&gt;&lt;D xsi:type="xsd:double"&gt;12.506654&lt;/D&gt;&lt;D xsi:type="xsd:double"&gt;12.93332&lt;/D&gt;&lt;D xsi:type="xsd:double"&gt;14.776652&lt;/D&gt;&lt;D xsi:type="xsd:double"&gt;16.019983&lt;/D&gt;&lt;D xsi:type="xsd:double"&gt;15.596651&lt;/D&gt;&lt;D xsi:type="xsd:double"&gt;15.923318&lt;/D&gt;&lt;D xsi:type="xsd:double"&gt;16.179983&lt;/D&gt;&lt;D xsi:type="xsd:double"&gt;16.159983&lt;/D&gt;&lt;D xsi:type="xsd:double"&gt;16.493317&lt;/D&gt;&lt;D xsi:type="xsd:double"&gt;15.933316&lt;/D&gt;&lt;D xsi:type="xsd:double"&gt;15.626651&lt;/D&gt;&lt;D xsi:type="xsd:double"&gt;15.439983&lt;/D&gt;&lt;D xsi:type="xsd:double"&gt;15.51665&lt;/D&gt;&lt;D xsi:type="xsd:double"&gt;15.809983&lt;/D&gt;&lt;D xsi:type="xsd:double"&gt;15.473316&lt;/D&gt;&lt;D xsi:type="xsd:double"&gt;16.923317&lt;/D&gt;&lt;D xsi:type="xsd:double"&gt;16.94665&lt;/D&gt;&lt;D xsi:type="xsd:double"&gt;17.49998&lt;/D&gt;&lt;D xsi:type="xsd:double"&gt;17.379982&lt;/D&gt;&lt;D xsi:type="xsd:double"&gt;16.793318&lt;/D&gt;&lt;D xsi:type="xsd:double"&gt;17.986649&lt;/D&gt;&lt;D xsi:type="xsd:double"&gt;18.179981&lt;/D&gt;&lt;D xsi:type="xsd:double"&gt;17.683315&lt;/D&gt;&lt;D xsi:type="xsd:double"&gt;17.579983&lt;/D&gt;&lt;D xsi:type="xsd:double"&gt;17.549982&lt;/D&gt;&lt;D xsi:type="xsd:double"&gt;18.18665&lt;/D&gt;&lt;D xsi:type="xsd:double"&gt;18.283314&lt;/D&gt;&lt;D xsi:type="xsd:double"&gt;18.359982&lt;/D&gt;&lt;D xsi:type="xsd:double"&gt;17.226648&lt;/D&gt;&lt;D xsi:type="xsd:double"&gt;16.663317&lt;/D&gt;&lt;D xsi:type="xsd:double"&gt;16.24665&lt;/D&gt;&lt;D xsi:type="xsd:double"&gt;16.75665&lt;/D&gt;&lt;D xsi:type="xsd:double"&gt;16.259983&lt;/D&gt;&lt;D xsi:type="xsd:double"&gt;16.283316&lt;/D&gt;&lt;D xsi:type="xsd:double"&gt;16.593317&lt;/D&gt;&lt;D xsi:type="xsd:double"&gt;17.046648&lt;/D&gt;&lt;D xsi:type="xsd:double"&gt;17.493317&lt;/D&gt;&lt;D xsi:type="xsd:double"&gt;17.699982&lt;/D&gt;&lt;D xsi:type="xsd:double"&gt;18.086647&lt;/D&gt;&lt;D xsi:type="xsd:double"&gt;17.449982&lt;/D&gt;&lt;D xsi:type="xsd:double"&gt;17.609982&lt;/D&gt;&lt;D xsi:type="xsd:double"&gt;18.173315&lt;/D&gt;&lt;D xsi:type="xsd:double"&gt;17.513315&lt;/D&gt;&lt;D xsi:type="xsd:double"&gt;17.103317&lt;/D&gt;&lt;D xsi:type="xsd:double"&gt;16.693317&lt;/D&gt;&lt;D xsi:type="xsd:double"&gt;16.639982&lt;/D&gt;&lt;D xsi:type="xsd:double"&gt;16.96665&lt;/D&gt;&lt;D xsi:type="xsd:double"&gt;18.713314&lt;/D&gt;&lt;D xsi:type="xsd:double"&gt;18.81998&lt;/D&gt;&lt;D xsi:type="xsd:double"&gt;17.643314&lt;/D&gt;&lt;D xsi:type="xsd:double"&gt;18.333315&lt;/D&gt;&lt;D xsi:type="xsd:double"&gt;18.336647&lt;/D&gt;&lt;D xsi:type="xsd:double"&gt;19.23998&lt;/D&gt;&lt;D xsi:type="xsd:double"&gt;19.749979&lt;/D&gt;&lt;D xsi:type="xsd:double"&gt;19.163315&lt;/D&gt;&lt;D xsi:type="xsd:double"&gt;19.303312&lt;/D&gt;&lt;D xsi:type="xsd:double"&gt;18.416649&lt;/D&gt;&lt;D xsi:type="xsd:double"&gt;16.963316&lt;/D&gt;&lt;D xsi:type="xsd:double"&gt;18.699982&lt;/D&gt;&lt;D xsi:type="xsd:double"&gt;18.613316&lt;/D&gt;&lt;D xsi:type="xsd:double"&gt;18.34665&lt;/D&gt;&lt;D xsi:type="xsd:double"&gt;19.333313&lt;/D&gt;&lt;D xsi:type="xsd:double"&gt;18.973312&lt;/D&gt;&lt;D xsi:type="xsd:double"&gt;18.089981&lt;/D&gt;&lt;D xsi:type="xsd:double"&gt;18.56998&lt;/D&gt;&lt;D xsi:type="xsd:double"&gt;18.116648&lt;/D&gt;&lt;D xsi:type="xsd:double"&gt;18.529982&lt;/D&gt;&lt;D xsi:type="xsd:double"&gt;20.013313&lt;/D&gt;&lt;D xsi:type="xsd:double"&gt;20.093313&lt;/D&gt;&lt;D xsi:type="xsd:double"&gt;19.98998&lt;/D&gt;&lt;D xsi:type="xsd:double"&gt;21.02998&lt;/D&gt;&lt;D xsi:type="xsd:double"&gt;21.253311&lt;/D&gt;&lt;D xsi:type="xsd:double"&gt;21.55998&lt;/D&gt;&lt;D xsi:type="xsd:double"&gt;21.81331&lt;/D&gt;&lt;D xsi:type="xsd:double"&gt;22.356644&lt;/D&gt;&lt;D xsi:type="xsd:double"&gt;22.216644&lt;/D&gt;&lt;D xsi:type="xsd:double"&gt;21.593311&lt;/D&gt;&lt;D xsi:type="xsd:double"&gt;21.259977&lt;/D&gt;&lt;D xsi:type="xsd:double"&gt;21.666643&lt;/D&gt;&lt;D xsi:type="xsd:double"&gt;21.569977&lt;/D&gt;&lt;D xsi:type="xsd:double"&gt;23.153309&lt;/D&gt;&lt;D xsi:type="xsd:double"&gt;23.423307&lt;/D&gt;&lt;D xsi:type="xsd:double"&gt;23.75331&lt;/D&gt;&lt;D xsi:type="xsd:double"&gt;24.129974&lt;/D&gt;&lt;D xsi:type="xsd:double"&gt;24.563309&lt;/D&gt;&lt;D xsi:type="xsd:double"&gt;24.88331&lt;/D&gt;&lt;D xsi:type="xsd:double"&gt;24.719975&lt;/D&gt;&lt;D xsi:type="xsd:double"&gt;24.543306&lt;/D&gt;&lt;D xsi:type="xsd:double"&gt;24.49331&lt;/D&gt;&lt;D xsi:type="xsd:double"&gt;24.66331&lt;/D&gt;&lt;D xsi:type="xsd:double"&gt;24.68331&lt;/D&gt;&lt;D xsi:type="xsd:double"&gt;24.849976&lt;/D&gt;&lt;D xsi:type="xsd:double"&gt;23.399975&lt;/D&gt;&lt;D xsi:type="xsd:double"&gt;22.646645&lt;/D&gt;&lt;D xsi:type="xsd:double"&gt;21.97331&lt;/D&gt;&lt;D xsi:type="xsd:double"&gt;23.059978&lt;/D&gt;&lt;D xsi:type="xsd:double"&gt;23.55331&lt;/D&gt;&lt;D xsi:type="xsd:double"&gt;24.203308&lt;/D&gt;&lt;D xsi:type="xsd:double"&gt;23.259975&lt;/D&gt;&lt;D xsi:type="xsd:double"&gt;24.209974&lt;/D&gt;&lt;D xsi:type="xsd:double"&gt;22.676643&lt;/D&gt;&lt;D xsi:type="xsd:double"&gt;21.943312&lt;/D&gt;&lt;D xsi:type="xsd:double"&gt;20.233313&lt;/D&gt;&lt;D xsi:type="xsd:double"&gt;20.693312&lt;/D&gt;&lt;D xsi:type="xsd:double"&gt;20.92998&lt;/D&gt;&lt;D xsi:type="xsd:double"&gt;21.739977&lt;/D&gt;&lt;D xsi:type="xsd:double"&gt;22.45331&lt;/D&gt;&lt;D xsi:type="xsd:double"&gt;22.066643&lt;/D&gt;&lt;D xsi:type="xsd:double"&gt;22.066643&lt;/D&gt;&lt;D xsi:type="xsd:double"&gt;22.916643&lt;/D&gt;&lt;D xsi:type="xsd:double"&gt;24.179976&lt;/D&gt;&lt;D xsi:type="xsd:double"&gt;24.43664&lt;/D&gt;&lt;D xsi:type="xsd:double"&gt;24.149973&lt;/D&gt;&lt;D xsi:type="xsd:double"&gt;23.923307&lt;/D&gt;&lt;D xsi:type="xsd:double"&gt;24.269974&lt;/D&gt;&lt;D xsi:type="xsd:double"&gt;24.169977&lt;/D&gt;&lt;D xsi:type="xsd:double"&gt;24.939974&lt;/D&gt;&lt;D xsi:type="xsd:double"&gt;24.80664&lt;/D&gt;&lt;D xsi:type="xsd:double"&gt;25.553308&lt;/D&gt;&lt;D xsi:type="xsd:double"&gt;26.323307&lt;/D&gt;&lt;D xsi:type="xsd:double"&gt;26.389973&lt;/D&gt;&lt;D xsi:type="xsd:double"&gt;26.839973&lt;/D&gt;&lt;D xsi:type="xsd:double"&gt;26.229973&lt;/D&gt;&lt;D xsi:type="xsd:double"&gt;26.133308&lt;/D&gt;&lt;D xsi:type="xsd:double"&gt;24.96664&lt;/D&gt;&lt;D xsi:type="xsd:double"&gt;24.823307&lt;/D&gt;&lt;D xsi:type="xsd:double"&gt;26.023308&lt;/D&gt;&lt;D xsi:type="xsd:double"&gt;25.723307&lt;/D&gt;&lt;D xsi:type="xsd:double"&gt;26.223305&lt;/D&gt;&lt;D xsi:type="xsd:double"&gt;25.789974&lt;/D&gt;&lt;D xsi:type="xsd:double"&gt;26.133308&lt;/D&gt;&lt;D xsi:type="xsd:double"&gt;26.193306&lt;/D&gt;&lt;D xsi:type="xsd:double"&gt;23.436642&lt;/D&gt;&lt;D xsi:type="xsd:double"&gt;22.986645&lt;/D&gt;&lt;D xsi:type="xsd:double"&gt;22.37331&lt;/D&gt;&lt;D xsi:type="xsd:double"&gt;22.189978&lt;/D&gt;&lt;D xsi:type="xsd:double"&gt;21.696642&lt;/D&gt;&lt;D xsi:type="xsd:double"&gt;21.539978&lt;/D&gt;&lt;D xsi:type="xsd:double"&gt;22.339977&lt;/D&gt;&lt;D xsi:type="xsd:double"&gt;22.506641&lt;/D&gt;&lt;D xsi:type="xsd:double"&gt;24.156641&lt;/D&gt;&lt;D xsi:type="xsd:double"&gt;22.87331&lt;/D&gt;&lt;D xsi:type="xsd:double"&gt;22.969976&lt;/D&gt;&lt;D xsi:type="xsd:double"&gt;22.236647&lt;/D&gt;&lt;D xsi:type="xsd:double"&gt;23.016644&lt;/D&gt;&lt;D xsi:type="xsd:double"&gt;22.889975&lt;/D&gt;&lt;D xsi:type="xsd:double"&gt;24.106642&lt;/D&gt;&lt;D xsi:type="xsd:double"&gt;24.089975&lt;/D&gt;&lt;D xsi:type="xsd:double"&gt;24.676641&lt;/D&gt;&lt;D xsi:type="xsd:double"&gt;23.869976&lt;/D&gt;&lt;D xsi:type="xsd:double"&gt;23.50331&lt;/D&gt;&lt;D xsi:type="xsd:double"&gt;23.846645&lt;/D&gt;&lt;D xsi:type="xsd:double"&gt;23.756641&lt;/D&gt;&lt;D xsi:type="xsd:double"&gt;24.259974&lt;/D&gt;&lt;D xsi:type="xsd:double"&gt;24.393309&lt;/D&gt;&lt;D xsi:type="xsd:double"&gt;24.283308&lt;/D&gt;&lt;D xsi:type="xsd:double"&gt;24.29664&lt;/D&gt;&lt;D xsi:type="xsd:double"&gt;24.453308&lt;/D&gt;&lt;D xsi:type="xsd:double"&gt;25.46664&lt;/D&gt;&lt;D xsi:type="xsd:double"&gt;25.566639&lt;/D&gt;&lt;D xsi:type="xsd:double"&gt;25.446638&lt;/D&gt;&lt;D xsi:type="xsd:double"&gt;25.956642&lt;/D&gt;&lt;D xsi:type="xsd:double"&gt;26.52997&lt;/D&gt;&lt;D xsi:type="xsd:double"&gt;26.519972&lt;/D&gt;&lt;D xsi:type="xsd:double"&gt;23.483307&lt;/D&gt;&lt;D xsi:type="xsd:double"&gt;22.749977&lt;/D&gt;&lt;D xsi:type="xsd:double"&gt;19.313314&lt;/D&gt;&lt;D xsi:type="xsd:double"&gt;16.623316&lt;/D&gt;&lt;D xsi:type="xsd:double"&gt;18.763313&lt;/D&gt;&lt;D xsi:type="xsd:double"&gt;18.923315&lt;/D&gt;&lt;D xsi:type="xsd:double"&gt;21.333311&lt;/D&gt;&lt;D xsi:type="xsd:double"&gt;20.923313&lt;/D&gt;&lt;D xsi:type="xsd:double"&gt;21.273312&lt;/D&gt;&lt;D xsi:type="xsd:double"&gt;21.666643&lt;/D&gt;&lt;D xsi:type="xsd:double"&gt;22.036644&lt;/D&gt;&lt;D xsi:type="xsd:double"&gt;20.666647&lt;/D&gt;&lt;D xsi:type="xsd:double"&gt;22.84331&lt;/D&gt;&lt;D xsi:type="xsd:double"&gt;23.859976&lt;/D&gt;&lt;D xsi:type="xsd:double"&gt;25.026642&lt;/D&gt;&lt;D xsi:type="xsd:double"&gt;23.189976&lt;/D&gt;&lt;D xsi:type="xsd:double"&gt;22.663311&lt;/D&gt;&lt;D xsi:type="xsd:double"&gt;21.969978&lt;/D&gt;&lt;D xsi:type="xsd:double"&gt;22.95331&lt;/D&gt;&lt;D xsi:type="xsd:double"&gt;22.51331&lt;/D&gt;&lt;D xsi:type="xsd:double"&gt;24.05331&lt;/D&gt;&lt;D xsi:type="xsd:double"&gt;23.779974&lt;/D&gt;&lt;D xsi:type="xsd:double"&gt;23.779974&lt;/D&gt;&lt;D xsi:type="xsd:double"&gt;24.309977&lt;/D&gt;&lt;D xsi:type="xsd:double"&gt;24.749973&lt;/D&gt;&lt;D xsi:type="xsd:double"&gt;24.709972&lt;/D&gt;&lt;D xsi:type="xsd:double"&gt;25.689974&lt;/D&gt;&lt;D xsi:type="xsd:double"&gt;25.169977&lt;/D&gt;&lt;D xsi:type="xsd:double"&gt;25.723307&lt;/D&gt;&lt;D xsi:type="xsd:double"&gt;26.609972&lt;/D&gt;&lt;D xsi:type="xsd:double"&gt;26.02664&lt;/D&gt;&lt;D xsi:type="xsd:double"&gt;25.71664&lt;/D&gt;&lt;D xsi:type="xsd:double"&gt;26.159973&lt;/D&gt;&lt;D xsi:type="xsd:double"&gt;26.703306&lt;/D&gt;&lt;D xsi:type="xsd:double"&gt;27.096642&lt;/D&gt;&lt;D xsi:type="xsd:double"&gt;26.313307&lt;/D&gt;&lt;D xsi:type="xsd:double"&gt;28.726637&lt;/D&gt;&lt;D xsi:type="xsd:double"&gt;30.19997&lt;/D&gt;&lt;D xsi:type="xsd:double"&gt;30.513302&lt;/D&gt;&lt;D xsi:type="xsd:double"&gt;30.429968&lt;/D&gt;&lt;D xsi:type="xsd:double"&gt;30.616634&lt;/D&gt;&lt;D xsi:type="xsd:double"&gt;30.143303&lt;/D&gt;&lt;D xsi:type="xsd:double"&gt;30.219969&lt;/D&gt;&lt;D xsi:type="xsd:double"&gt;30.016636&lt;/D&gt;&lt;D xsi:type="xsd:double"&gt;30.249968&lt;/D&gt;&lt;D xsi:type="xsd:double"&gt;31.946632&lt;/D&gt;&lt;D xsi:type="xsd:double"&gt;31.139967&lt;/D&gt;&lt;D xsi:type="xsd:double"&gt;29.213303&lt;/D&gt;&lt;D xsi:type="xsd:double"&gt;28.584969&lt;/D&gt;&lt;D xsi:type="xsd:double"&gt;29.516638&lt;/D&gt;&lt;D xsi:type="xsd:double"&gt;30.046635&lt;/D&gt;&lt;D xsi:type="xsd:double"&gt;30.696634&lt;/D&gt;&lt;D xsi:type="xsd:double"&gt;30.516636&lt;/D&gt;&lt;D xsi:type="xsd:double"&gt;30.5433&lt;/D&gt;&lt;D xsi:type="xsd:double"&gt;31.2833&lt;/D&gt;&lt;D xsi:type="xsd:double"&gt;30.256634&lt;/D&gt;&lt;D xsi:type="xsd:double"&gt;32.553303&lt;/D&gt;&lt;D xsi:type="xsd:double"&gt;32.419968&lt;/D&gt;&lt;D xsi:type="xsd:double"&gt;32.7633&lt;/D&gt;&lt;D xsi:type="xsd:double"&gt;32.879967&lt;/D&gt;&lt;D xsi:type="xsd:double"&gt;34.36997&lt;/D&gt;&lt;D xsi:type="xsd:double"&gt;33.5833&lt;/D&gt;&lt;D xsi:type="xsd:double"&gt;34.376633&lt;/D&gt;&lt;D xsi:type="xsd:double"&gt;33.9033&lt;/D&gt;&lt;D xsi:type="xsd:double"&gt;32.7633&lt;/D&gt;&lt;D xsi:type="xsd:double"&gt;33.373302&lt;/D&gt;&lt;D xsi:type="xsd:double"&gt;33.206635&lt;/D&gt;&lt;D xsi:type="xsd:double"&gt;32.40997&lt;/D&gt;&lt;D xsi:type="xsd:double"&gt;31.5833&lt;/D&gt;&lt;D xsi:type="xsd:double"&gt;31.969969&lt;/D&gt;&lt;D xsi:type="xsd:double"&gt;32.58&lt;/D&gt;&lt;D xsi:type="xsd:double"&gt;31.83&lt;/D&gt;&lt;D xsi:type="xsd:double"&gt;31.51&lt;/D&gt;&lt;D xsi:type="xsd:double"&gt;32.81&lt;/D&gt;&lt;D xsi:type="xsd:double"&gt;32.32&lt;/D&gt;&lt;D xsi:type="xsd:double"&gt;32.3&lt;/D&gt;&lt;D xsi:type="xsd:double"&gt;33.87&lt;/D&gt;&lt;D xsi:type="xsd:double"&gt;33.73&lt;/D&gt;&lt;D xsi:type="xsd:double"&gt;33.45&lt;/D&gt;&lt;D xsi:type="xsd:double"&gt;32&lt;/D&gt;&lt;D xsi:type="xsd:double"&gt;30.95&lt;/D&gt;&lt;D xsi:type="xsd:double"&gt;30.31&lt;/D&gt;&lt;D xsi:type="xsd:double"&gt;30.42&lt;/D&gt;&lt;D xsi:type="xsd:double"&gt;30.34&lt;/D&gt;&lt;D xsi:type="xsd:double"&gt;32.71&lt;/D&gt;&lt;D xsi:type="xsd:double"&gt;34.16&lt;/D&gt;&lt;D xsi:type="xsd:double"&gt;35.42&lt;/D&gt;&lt;D xsi:type="xsd:double"&gt;36.17&lt;/D&gt;&lt;D xsi:type="xsd:double"&gt;35.41&lt;/D&gt;&lt;D xsi:type="xsd:double"&gt;35.23&lt;/D&gt;&lt;D xsi:type="xsd:double"&gt;36.08&lt;/D&gt;&lt;D xsi:type="xsd:double"&gt;35.57&lt;/D&gt;&lt;D xsi:type="xsd:double"&gt;35.84&lt;/D&gt;&lt;D xsi:type="xsd:double"&gt;36.74&lt;/D&gt;&lt;D xsi:type="xsd:double"&gt;35.72&lt;/D&gt;&lt;D xsi:type="xsd:double"&gt;36.79&lt;/D&gt;&lt;D xsi:type="xsd:double"&gt;37.6&lt;/D&gt;&lt;D xsi:type="xsd:double"&gt;37.51&lt;/D&gt;&lt;D xsi:type="xsd:double"&gt;36.44&lt;/D&gt;&lt;D xsi:type="xsd:double"&gt;34.1&lt;/D&gt;&lt;D xsi:type="xsd:double"&gt;34.43&lt;/D&gt;&lt;D xsi:type="xsd:double"&gt;34.3&lt;/D&gt;&lt;D xsi:type="xsd:double"&gt;33.37&lt;/D&gt;&lt;D xsi:type="xsd:double"&gt;34.66&lt;/D&gt;&lt;D xsi:type="xsd:double"&gt;34.31&lt;/D&gt;&lt;D xsi:type="xsd:double"&gt;37.43&lt;/D&gt;&lt;D xsi:type="xsd:double"&gt;34.69&lt;/D&gt;&lt;D xsi:type="xsd:double"&gt;36.31&lt;/D&gt;&lt;D xsi:type="xsd:double"&gt;36.92&lt;/D&gt;&lt;D xsi:type="xsd:double"&gt;35.51&lt;/D&gt;&lt;D xsi:type="xsd:double"&gt;34.33&lt;/D&gt;&lt;D xsi:type="xsd:double"&gt;35.06&lt;/D&gt;&lt;D xsi:type="xsd:double"&gt;34.52&lt;/D&gt;&lt;D xsi:type="xsd:double"&gt;34.34&lt;/D&gt;&lt;D xsi:type="xsd:double"&gt;34.78&lt;/D&gt;&lt;D xsi:type="xsd:double"&gt;33.43&lt;/D&gt;&lt;D xsi:type="xsd:double"&gt;30.94&lt;/D&gt;&lt;D xsi:type="xsd:double"&gt;32.05&lt;/D&gt;&lt;D xsi:type="xsd:double"&gt;32.11&lt;/D&gt;&lt;D xsi:type="xsd:double"&gt;30.3&lt;/D&gt;&lt;D xsi:type="xsd:double"&gt;28.93&lt;/D&gt;&lt;D xsi:type="xsd:double"&gt;29.57&lt;/D&gt;&lt;D xsi:type="xsd:double"&gt;29.34&lt;/D&gt;&lt;D xsi:type="xsd:double"&gt;28.99&lt;/D&gt;&lt;D xsi:type="xsd:double"&gt;28.86&lt;/D&gt;&lt;D xsi:type="xsd:double"&gt;30.89&lt;/D&gt;&lt;D xsi:type="xsd:double"&gt;32.33&lt;/D&gt;&lt;D xsi:type="xsd:double"&gt;33.11&lt;/D&gt;&lt;D xsi:type="xsd:double"&gt;34.35&lt;/D&gt;&lt;D xsi:type="xsd:double"&gt;33.83&lt;/D&gt;&lt;D xsi:type="xsd:double"&gt;32.63&lt;/D&gt;&lt;D xsi:type="xsd:double"&gt;31.24&lt;/D&gt;&lt;D xsi:type="xsd:double"&gt;32.63&lt;/D&gt;&lt;D xsi:type="xsd:double"&gt;29.49&lt;/D&gt;&lt;D xsi:type="xsd:double"&gt;27.68&lt;/D&gt;&lt;D xsi:type="xsd:double"&gt;26.64&lt;/D&gt;&lt;D xsi:type="xsd:double"&gt;26.77&lt;/D&gt;&lt;D xsi:type="xsd:double"&gt;27.31&lt;/D&gt;&lt;D xsi:type="xsd:double"&gt;27.54&lt;/D&gt;&lt;D xsi:type="xsd:double"&gt;29.22&lt;/D&gt;&lt;D xsi:type="xsd:double"&gt;29.63&lt;/D&gt;&lt;D xsi:type="xsd:double"&gt;31.94&lt;/D&gt;&lt;D xsi:type="xsd:double"&gt;30.88&lt;/D&gt;&lt;D xsi:type="xsd:double"&gt;32.02&lt;/D&gt;&lt;D xsi:type="xsd:double"&gt;32.05&lt;/D&gt;&lt;D xsi:type="xsd:double"&gt;31.42&lt;/D&gt;&lt;D xsi:type="xsd:double"&gt;31.65&lt;/D&gt;&lt;D xsi:type="xsd:double"&gt;31.25&lt;/D&gt;&lt;D xsi:type="xsd:double"&gt;30.98&lt;/D&gt;&lt;D xsi:type="xsd:double"&gt;32.2&lt;/D&gt;&lt;D xsi:type="xsd:double"&gt;32.42&lt;/D&gt;&lt;D xsi:type="xsd:double"&gt;32.01&lt;/D&gt;&lt;D xsi:type="xsd:double"&gt;30.08&lt;/D&gt;&lt;D xsi:type="xsd:double"&gt;32.27&lt;/D&gt;&lt;D xsi:type="xsd:double"&gt;31.57&lt;/D&gt;&lt;D xsi:type="xsd:double"&gt;31.21&lt;/D&gt;&lt;D xsi:type="xsd:double"&gt;30.75&lt;/D&gt;&lt;D xsi:type="xsd:double"&gt;31.15&lt;/D&gt;&lt;D xsi:type="xsd:double"&gt;29.49&lt;/D&gt;&lt;D xsi:type="xsd:double"&gt;28.91&lt;/D&gt;&lt;D xsi:type="xsd:double"&gt;28.25&lt;/D&gt;&lt;D xsi:type="xsd:double"&gt;29.94&lt;/D&gt;&lt;D xsi:type="xsd:double"&gt;30.02&lt;/D&gt;&lt;D xsi:type="xsd:double"&gt;30.46&lt;/D&gt;&lt;D xsi:type="xsd:double"&gt;31.82&lt;/D&gt;&lt;D xsi:type="xsd:double"&gt;30.64&lt;/D&gt;&lt;D xsi:type="xsd:double"&gt;31.86&lt;/D&gt;&lt;D xsi:type="xsd:double"&gt;31.82&lt;/D&gt;&lt;D xsi:type="xsd:double"&gt;32.31&lt;/D&gt;&lt;D xsi:type="xsd:double"&gt;30.81&lt;/D&gt;&lt;D xsi:type="xsd:double"&gt;31.92&lt;/D&gt;&lt;D xsi:type="xsd:double"&gt;32.31&lt;/D&gt;&lt;D xsi:type="xsd:double"&gt;33.21&lt;/D&gt;&lt;D xsi:type="xsd:double"&gt;32.74&lt;/D&gt;&lt;D xsi:type="xsd:double"&gt;34.1&lt;/D&gt;&lt;D xsi:type="xsd:double"&gt;33.3&lt;/D&gt;&lt;D xsi:type="xsd:double"&gt;33.63&lt;/D&gt;&lt;D xsi:type="xsd:double"&gt;32.46&lt;/D&gt;&lt;D xsi:type="xsd:double"&gt;33.8&lt;/D&gt;&lt;D xsi:type="xsd:double"&gt;31.52&lt;/D&gt;&lt;D xsi:type="xsd:double"&gt;30.75&lt;/D&gt;&lt;D xsi:type="xsd:double"&gt;30.87&lt;/D&gt;&lt;D xsi:type="xsd:double"&gt;30.91&lt;/D&gt;&lt;D xsi:type="xsd:double"&gt;30.63&lt;/D&gt;&lt;D xsi:type="xsd:double"&gt;29.95&lt;/D&gt;&lt;D xsi:type="xsd:double"&gt;30.85&lt;/D&gt;&lt;D xsi:type="xsd:double"&gt;31.2&lt;/D&gt;&lt;D xsi:type="xsd:double"&gt;30.75&lt;/D&gt;&lt;D xsi:type="xsd:double"&gt;30.91&lt;/D&gt;&lt;D xsi:type="xsd:double"&gt;31.14&lt;/D&gt;&lt;D xsi:type="xsd:double"&gt;30.76&lt;/D&gt;&lt;D xsi:type="xsd:double"&gt;29.24&lt;/D&gt;&lt;D xsi:type="xsd:double"&gt;30.4&lt;/D&gt;&lt;D xsi:type="xsd:double"&gt;30.7&lt;/D&gt;&lt;D xsi:type="xsd:double"&gt;31.62&lt;/D&gt;&lt;D xsi:type="xsd:double"&gt;32.64&lt;/D&gt;&lt;D xsi:type="xsd:double"&gt;33.4&lt;/D&gt;&lt;D xsi:type="xsd:double"&gt;32.96&lt;/D&gt;&lt;D xsi:type="xsd:double"&gt;34&lt;/D&gt;&lt;D xsi:type="xsd:double"&gt;34.63&lt;/D&gt;&lt;D xsi:type="xsd:double"&gt;34.67&lt;/D&gt;&lt;D xsi:type="xsd:double"&gt;34.62&lt;/D&gt;&lt;D xsi:type="xsd:double"&gt;34.86&lt;/D&gt;&lt;D xsi:type="xsd:double"&gt;34.55&lt;/D&gt;&lt;D xsi:type="xsd:double"&gt;35.39&lt;/D&gt;&lt;D xsi:type="xsd:double"&gt;36.53&lt;/D&gt;&lt;D xsi:type="xsd:double"&gt;36.89&lt;/D&gt;&lt;D xsi:type="xsd:double"&gt;36.72&lt;/D&gt;&lt;D xsi:type="xsd:double"&gt;38.33&lt;/D&gt;&lt;D xsi:type="xsd:double"&gt;38.23&lt;/D&gt;&lt;D xsi:type="xsd:double"&gt;38.19&lt;/D&gt;&lt;D xsi:type="xsd:double"&gt;36.97&lt;/D&gt;&lt;D xsi:type="xsd:double"&gt;37.35&lt;/D&gt;&lt;D xsi:type="xsd:double"&gt;37.07&lt;/D&gt;&lt;D xsi:type="xsd:double"&gt;36.3&lt;/D&gt;&lt;D xsi:type="xsd:double"&gt;35.34&lt;/D&gt;&lt;D xsi:type="xsd:double"&gt;34.34&lt;/D&gt;&lt;D xsi:type="xsd:double"&gt;33.99&lt;/D&gt;&lt;D xsi:type="xsd:double"&gt;33.85&lt;/D&gt;&lt;D xsi:type="xsd:double"&gt;34.38&lt;/D&gt;&lt;D xsi:type="xsd:double"&gt;33.52&lt;/D&gt;&lt;D xsi:type="xsd:double"&gt;33.78&lt;/D&gt;&lt;D xsi:type="xsd:double"&gt;33.75&lt;/D&gt;&lt;D xsi:type="xsd:double"&gt;32.75&lt;/D&gt;&lt;D xsi:type="xsd:double"&gt;32.18&lt;/D&gt;&lt;D xsi:type="xsd:double"&gt;33.41&lt;/D&gt;&lt;D xsi:type="xsd:double"&gt;33.45&lt;/D&gt;&lt;D xsi:type="xsd:double"&gt;33.3&lt;/D&gt;&lt;D xsi:type="xsd:double"&gt;33.79&lt;/D&gt;&lt;D xsi:type="xsd:double"&gt;34.69&lt;/D&gt;&lt;D xsi:type="xsd:double"&gt;34.32&lt;/D&gt;&lt;D xsi:type="xsd:double"&gt;34.08&lt;/D&gt;&lt;D xsi:type="xsd:double"&gt;34&lt;/D&gt;&lt;D xsi:type="xsd:double"&gt;33.42&lt;/D&gt;&lt;D xsi:type="xsd:double"&gt;33.69&lt;/D&gt;&lt;D xsi:type="xsd:double"&gt;34.27&lt;/D&gt;&lt;D xsi:type="xsd:double"&gt;33.37&lt;/D&gt;&lt;D xsi:type="xsd:double"&gt;33.52&lt;/D&gt;&lt;D xsi:type="xsd:double"&gt;34.93&lt;/D&gt;&lt;D xsi:type="xsd:double"&gt;34.53&lt;/D&gt;&lt;D xsi:type="xsd:double"&gt;34.49&lt;/D&gt;&lt;D xsi:type="xsd:double"&gt;34.96&lt;/D&gt;&lt;D xsi:type="xsd:double"&gt;34.12&lt;/D&gt;&lt;D xsi:type="xsd:double"&gt;33.27&lt;/D&gt;&lt;D xsi:type="xsd:double"&gt;33.39&lt;/D&gt;&lt;D xsi:type="xsd:double"&gt;36&lt;/D&gt;&lt;D xsi:type="xsd:double"&gt;35.13&lt;/D&gt;&lt;D xsi:type="xsd:double"&gt;35.78&lt;/D&gt;&lt;D xsi:type="xsd:double"&gt;36.55&lt;/D&gt;&lt;D xsi:type="xsd:double"&gt;34.45&lt;/D&gt;&lt;D xsi:type="xsd:double"&gt;33.24&lt;/D&gt;&lt;D xsi:type="xsd:double"&gt;31.85&lt;/D&gt;&lt;D xsi:type="xsd:double"&gt;32.46&lt;/D&gt;&lt;D xsi:type="xsd:double"&gt;32.34&lt;/D&gt;&lt;D xsi:type="xsd:double"&gt;31.78&lt;/D&gt;&lt;D xsi:type="xsd:double"&gt;32.73&lt;/D&gt;&lt;D xsi:type="xsd:double"&gt;32.69&lt;/D&gt;&lt;D xsi:type="xsd:double"&gt;32.87&lt;/D&gt;&lt;D xsi:type="xsd:double"&gt;32.59&lt;/D&gt;&lt;D xsi:type="xsd:double"&gt;33.37&lt;/D&gt;&lt;D xsi:type="xsd:double"&gt;32.3&lt;/D&gt;&lt;D xsi:type="xsd:double"&gt;32.01&lt;/D&gt;&lt;D xsi:type="xsd:double"&gt;31.26&lt;/D&gt;&lt;D xsi:type="xsd:double"&gt;30.01&lt;/D&gt;&lt;D xsi:type="xsd:double"&gt;29.57&lt;/D&gt;&lt;D xsi:type="xsd:double"&gt;29.11&lt;/D&gt;&lt;D xsi:type="xsd:double"&gt;27.21&lt;/D&gt;&lt;D xsi:type="xsd:double"&gt;28.01&lt;/D&gt;&lt;D xsi:type="xsd:double"&gt;27.68&lt;/D&gt;&lt;D xsi:type="xsd:double"&gt;27.84&lt;/D&gt;&lt;D xsi:type="xsd:double"&gt;28.7&lt;/D&gt;&lt;D xsi:type="xsd:double"&gt;28.74&lt;/D&gt;&lt;D xsi:type="xsd:double"&gt;31.32&lt;/D&gt;&lt;D xsi:type="xsd:double"&gt;30.82&lt;/D&gt;&lt;D xsi:type="xsd:double"&gt;31.59&lt;/D&gt;&lt;D xsi:type="xsd:double"&gt;32.23&lt;/D&gt;&lt;D xsi:type="xsd:double"&gt;32.12&lt;/D&gt;&lt;D xsi:type="xsd:double"&gt;32.06&lt;/D&gt;&lt;D xsi:type="xsd:double"&gt;32.91&lt;/D&gt;&lt;D xsi:type="xsd:double"&gt;33.6&lt;/D&gt;&lt;D xsi:type="xsd:double"&gt;34.1&lt;/D&gt;&lt;D xsi:type="xsd:double"&gt;34.39&lt;/D&gt;&lt;D xsi:type="xsd:double"&gt;35.76&lt;/D&gt;&lt;D xsi:type="xsd:double"&gt;35.01&lt;/D&gt;&lt;D xsi:type="xsd:double"&gt;35.43&lt;/D&gt;&lt;D xsi:type="xsd:double"&gt;36.32&lt;/D&gt;&lt;D xsi:type="xsd:double"&gt;34.58&lt;/D&gt;&lt;D xsi:type="xsd:double"&gt;32.51&lt;/D&gt;&lt;D xsi:type="xsd:double"&gt;32.53&lt;/D&gt;&lt;D xsi:type="xsd:double"&gt;32.47&lt;/D&gt;&lt;D xsi:type="xsd:double"&gt;32.98&lt;/D&gt;&lt;/FQL&gt;&lt;FQL&gt;&lt;Q&gt;SP50^FG_PRICE(42272,0,W)&lt;/Q&gt;&lt;R&gt;522&lt;/R&gt;&lt;C&gt;1&lt;/C&gt;&lt;D xsi:type="xsd:double"&gt;1931.34&lt;/D&gt;&lt;D xsi:type="xsd:double"&gt;1951.36&lt;/D&gt;&lt;D xsi:type="xsd:double"&gt;2014.89&lt;/D&gt;&lt;D xsi:type="xsd:double"&gt;2033.11&lt;/D&gt;&lt;D xsi:type="xsd:double"&gt;2075.15&lt;/D&gt;&lt;D xsi:type="xsd:double"&gt;2079.36&lt;/D&gt;&lt;D xsi:type="xsd:double"&gt;2099.2&lt;/D&gt;&lt;D xsi:type="xsd:double"&gt;2023.04&lt;/D&gt;&lt;D xsi:type="xsd:double"&gt;2089.17&lt;/D&gt;&lt;D xsi:type="xsd:double"&gt;2090.11&lt;/D&gt;&lt;D xsi:type="xsd:double"&gt;2091.69&lt;/D&gt;&lt;D xsi:type="xsd:double"&gt;2012.37&lt;/D&gt;&lt;D xsi:type="xsd:double"&gt;2005.55&lt;/D&gt;&lt;D xsi:type="xsd:double"&gt;2060.99&lt;/D&gt;&lt;D xsi:type="xsd:double"&gt;2043.94&lt;/D&gt;&lt;D xsi:type="xsd:double"&gt;1922.03&lt;/D&gt;&lt;D xsi:type="xsd:double"&gt;1880.33&lt;/D&gt;&lt;D xsi:type="xsd:double"&gt;1906.9&lt;/D&gt;&lt;D xsi:type="xsd:double"&gt;1940.24&lt;/D&gt;&lt;D xsi:type="xsd:double"&gt;1880.05&lt;/D&gt;&lt;D xsi:type="xsd:double"&gt;1864.78&lt;/D&gt;&lt;D xsi:type="xsd:double"&gt;1917.78&lt;/D&gt;&lt;D xsi:type="xsd:double"&gt;1948.05&lt;/D&gt;&lt;D xsi:type="xsd:double"&gt;1999.99&lt;/D&gt;&lt;D xsi:type="xsd:double"&gt;2022.19&lt;/D&gt;&lt;D xsi:type="xsd:double"&gt;2049.58&lt;/D&gt;&lt;D xsi:type="xsd:double"&gt;2035.94&lt;/D&gt;&lt;D xsi:type="xsd:double"&gt;2072.78&lt;/D&gt;&lt;D xsi:type="xsd:double"&gt;2047.6&lt;/D&gt;&lt;D xsi:type="xsd:double"&gt;2080.73&lt;/D&gt;&lt;D xsi:type="xsd:double"&gt;2091.58&lt;/D&gt;&lt;D xsi:type="xsd:double"&gt;2065.3&lt;/D&gt;&lt;D xsi:type="xsd:double"&gt;2057.14&lt;/D&gt;&lt;D xsi:type="xsd:double"&gt;2046.61&lt;/D&gt;&lt;D xsi:type="xsd:double"&gt;2052.32&lt;/D&gt;&lt;D xsi:type="xsd:double"&gt;2099.06&lt;/D&gt;&lt;D xsi:type="xsd:double"&gt;2099.13&lt;/D&gt;&lt;D xsi:type="xsd:double"&gt;2096.07&lt;/D&gt;&lt;D xsi:type="xsd:double"&gt;2071.22&lt;/D&gt;&lt;D xsi:type="xsd:double"&gt;2037.41&lt;/D&gt;&lt;D xsi:type="xsd:double"&gt;2102.95&lt;/D&gt;&lt;D xsi:type="xsd:double"&gt;2129.9&lt;/D&gt;&lt;D xsi:type="xsd:double"&gt;2161.74&lt;/D&gt;&lt;D xsi:type="xsd:double"&gt;2175.03&lt;/D&gt;&lt;D xsi:type="xsd:double"&gt;2173.6&lt;/D&gt;&lt;D xsi:type="xsd:double"&gt;2182.87&lt;/D&gt;&lt;D xsi:type="xsd:double"&gt;2184.05&lt;/D&gt;&lt;D xsi:type="xsd:double"&gt;2183.87&lt;/D&gt;&lt;D xsi:type="xsd:double"&gt;2169.04&lt;/D&gt;&lt;D xsi:type="xsd:double"&gt;2179.98&lt;/D&gt;&lt;D xsi:type="xsd:double"&gt;2127.81&lt;/D&gt;&lt;D xsi:type="xsd:double"&gt;2139.16&lt;/D&gt;&lt;D xsi:type="xsd:double"&gt;2164.69&lt;/D&gt;&lt;D xsi:type="xsd:double"&gt;2168.27&lt;/D&gt;&lt;D xsi:type="xsd:double"&gt;2153.74&lt;/D&gt;&lt;D xsi:type="xsd:double"&gt;2132.98&lt;/D&gt;&lt;D xsi:type="xsd:double"&gt;2141.16&lt;/D&gt;&lt;D xsi:type="xsd:double"&gt;2126.41&lt;/D&gt;&lt;D xsi:type="xsd:double"&gt;2085.18&lt;/D&gt;&lt;D xsi:type="xsd:double"&gt;2164.45&lt;/D&gt;&lt;D xsi:type="xsd:double"&gt;2181.9&lt;/D&gt;&lt;D xsi:type="xsd:double"&gt;2213.35&lt;/D&gt;&lt;D xsi:type="xsd:double"&gt;2191.95&lt;/D&gt;&lt;D xsi:type="xsd:double"&gt;2259.53&lt;/D&gt;&lt;D xsi:type="xsd:double"&gt;2258.07&lt;/D&gt;&lt;D xsi:type="xsd:double"&gt;2263.79&lt;/D&gt;&lt;D xsi:type="xsd:double"&gt;2238.83&lt;/D&gt;&lt;D xsi:type="xsd:double"&gt;2276.98&lt;/D&gt;&lt;D xsi:type="xsd:double"&gt;2274.64&lt;/D&gt;&lt;D xsi:type="xsd:double"&gt;2271.31&lt;/D&gt;&lt;D xsi:type="xsd:double"&gt;2294.69&lt;/D&gt;&lt;D xsi:type="xsd:double"&gt;2297.42&lt;/D&gt;&lt;D xsi:type="xsd:double"&gt;2316.1&lt;/D&gt;&lt;D xsi:type="xsd:double"&gt;2351.16&lt;/D&gt;&lt;D xsi:type="xsd:double"&gt;2367.34&lt;/D&gt;&lt;D xsi:type="xsd:double"&gt;2383.12&lt;/D&gt;&lt;D xsi:type="xsd:double"&gt;2372.6&lt;/D&gt;&lt;D xsi:type="xsd:double"&gt;2378.25&lt;/D&gt;&lt;D xsi:type="xsd:double"&gt;2343.98&lt;/D&gt;&lt;D xsi:type="xsd:double"&gt;2362.72&lt;/D&gt;&lt;D xsi:type="xsd:double"&gt;2355.54&lt;/D&gt;&lt;D xsi:type="xsd:double"&gt;2328.95&lt;/D&gt;&lt;D xsi:type="xsd:double"&gt;2348.69&lt;/D&gt;&lt;D xsi:type="xsd:double"&gt;2384.2&lt;/D&gt;&lt;D xsi:type="xsd:double"&gt;2399.29&lt;/D&gt;&lt;D xsi:type="xsd:double"&gt;2390.9&lt;/D&gt;&lt;D xsi:type="xsd:double"&gt;2381.73&lt;/D&gt;&lt;D xsi:type="xsd:double"&gt;2415.82&lt;/D&gt;&lt;D xsi:type="xsd:double"&gt;2439.07&lt;/D&gt;&lt;D xsi:type="xsd:double"&gt;2431.77&lt;/D&gt;&lt;D xsi:type="xsd:double"&gt;2433.15&lt;/D&gt;&lt;D xsi:type="xsd:double"&gt;2438.3&lt;/D&gt;&lt;D xsi:type="xsd:double"&gt;2423.41&lt;/D&gt;&lt;D xsi:type="xsd:double"&gt;2425.18&lt;/D&gt;&lt;D xsi:type="xsd:double"&gt;2459.27&lt;/D&gt;&lt;D xsi:type="xsd:double"&gt;2472.54&lt;/D&gt;&lt;D xsi:type="xsd:double"&gt;2472.1&lt;/D&gt;&lt;D xsi:type="xsd:double"&gt;2476.83&lt;/D&gt;&lt;D xsi:type="xsd:double"&gt;2441.32&lt;/D&gt;&lt;D xsi:type="xsd:double"&gt;2425.55&lt;/D&gt;&lt;D xsi:type="xsd:double"&gt;2443.05&lt;/D&gt;&lt;D xsi:type="xsd:double"&gt;2476.55&lt;/D&gt;&lt;D xsi:type="xsd:double"&gt;2461.43&lt;/D&gt;&lt;D xsi:type="xsd:double"&gt;2500.23&lt;/D&gt;&lt;D xsi:type="xsd:double"&gt;2502.22&lt;/D&gt;&lt;D xsi:type="xsd:double"&gt;2519.36&lt;/D&gt;&lt;D xsi:type="xsd:double"&gt;2549.33&lt;/D&gt;&lt;D xsi:type="xsd:double"&gt;2553.17&lt;/D&gt;&lt;D xsi:type="xsd:double"&gt;2575.21&lt;/D&gt;&lt;D xsi:type="xsd:double"&gt;2581.07&lt;/D&gt;&lt;D xsi:type="xsd:double"&gt;2587.84&lt;/D&gt;&lt;D xsi:type="xsd:double"&gt;2582.3&lt;/D&gt;&lt;D xsi:type="xsd:double"&gt;2578.85&lt;/D&gt;&lt;D xsi:type="xsd:double"&gt;2602.42&lt;/D&gt;&lt;D xsi:type="xsd:double"&gt;2642.22&lt;/D&gt;&lt;D xsi:type="xsd:double"&gt;2651.5&lt;/D&gt;&lt;D xsi:type="xsd:double"&gt;2675.81&lt;/D&gt;&lt;D xsi:type="xsd:double"&gt;2683.34&lt;/D&gt;&lt;D xsi:type="xsd:double"&gt;2673.61&lt;/D&gt;&lt;D xsi:type="xsd:double"&gt;2743.15&lt;/D&gt;&lt;D xsi:type="xsd:double"&gt;2786.24&lt;/D&gt;&lt;D xsi:type="xsd:double"&gt;2810.3&lt;/D&gt;&lt;D xsi:type="xsd:double"&gt;2872.87&lt;/D&gt;&lt;D xsi:type="xsd:double"&gt;2762.13&lt;/D&gt;&lt;D xsi:type="xsd:double"&gt;2619.55&lt;/D&gt;&lt;D xsi:type="xsd:double"&gt;2732.22&lt;/D&gt;&lt;D xsi:type="xsd:double"&gt;2747.3&lt;/D&gt;&lt;D xsi:type="xsd:double"&gt;2691.25&lt;/D&gt;&lt;D xsi:type="xsd:double"&gt;2786.57&lt;/D&gt;&lt;D xsi:type="xsd:double"&gt;2752.01&lt;/D&gt;&lt;D xsi:type="xsd:double"&gt;2588.26&lt;/D&gt;&lt;D xsi:type="xsd:double"&gt;2640.87&lt;/D&gt;&lt;D xsi:type="xsd:double"&gt;2604.47&lt;/D&gt;&lt;D xsi:type="xsd:double"&gt;2656.3&lt;/D&gt;&lt;D xsi:type="xsd:double"&gt;2670.14&lt;/D&gt;&lt;D xsi:type="xsd:double"&gt;2669.91&lt;/D&gt;&lt;D xsi:type="xsd:double"&gt;2663.42&lt;/D&gt;&lt;D xsi:type="xsd:double"&gt;2727.72&lt;/D&gt;&lt;D xsi:type="xsd:double"&gt;2712.97&lt;/D&gt;&lt;D xsi:type="xsd:double"&gt;2721.33&lt;/D&gt;&lt;D xsi:type="xsd:double"&gt;2734.62&lt;/D&gt;&lt;D xsi:type="xsd:double"&gt;2779.03&lt;/D&gt;&lt;D xsi:type="xsd:double"&gt;2779.66&lt;/D&gt;&lt;D xsi:type="xsd:double"&gt;2754.88&lt;/D&gt;&lt;D xsi:type="xsd:double"&gt;2718.37&lt;/D&gt;&lt;D xsi:type="xsd:double"&gt;2759.82&lt;/D&gt;&lt;D xsi:type="xsd:double"&gt;2801.31&lt;/D&gt;&lt;D xsi:type="xsd:double"&gt;2801.83&lt;/D&gt;&lt;D xsi:type="xsd:double"&gt;2818.82&lt;/D&gt;&lt;D xsi:type="xsd:double"&gt;2840.35&lt;/D&gt;&lt;D xsi:type="xsd:double"&gt;2833.28&lt;/D&gt;&lt;D xsi:type="xsd:double"&gt;2850.13&lt;/D&gt;&lt;D xsi:type="xsd:double"&gt;2874.69&lt;/D&gt;&lt;D xsi:type="xsd:double"&gt;2901.52&lt;/D&gt;&lt;D xsi:type="xsd:double"&gt;2871.68&lt;/D&gt;&lt;D xsi:type="xsd:double"&gt;2904.98&lt;/D&gt;&lt;D xsi:type="xsd:double"&gt;2929.67&lt;/D&gt;&lt;D xsi:type="xsd:double"&gt;2913.98&lt;/D&gt;&lt;D xsi:type="xsd:double"&gt;2885.57&lt;/D&gt;&lt;D xsi:type="xsd:double"&gt;2767.13&lt;/D&gt;&lt;D xsi:type="xsd:double"&gt;2767.78&lt;/D&gt;&lt;D xsi:type="xsd:double"&gt;2658.69&lt;/D&gt;&lt;D xsi:type="xsd:double"&gt;2723.06&lt;/D&gt;&lt;D xsi:type="xsd:double"&gt;2781.01&lt;/D&gt;&lt;D xsi:type="xsd:double"&gt;2736.27&lt;/D&gt;&lt;D xsi:type="xsd:double"&gt;2632.56&lt;/D&gt;&lt;D xsi:type="xsd:double"&gt;2760.17&lt;/D&gt;&lt;D xsi:type="xsd:double"&gt;2633.08&lt;/D&gt;&lt;D xsi:type="xsd:double"&gt;2599.95&lt;/D&gt;&lt;D xsi:type="xsd:double"&gt;2416.62&lt;/D&gt;&lt;D xsi:type="xsd:double"&gt;2485.74&lt;/D&gt;&lt;D xsi:type="xsd:double"&gt;2531.94&lt;/D&gt;&lt;D xsi:type="xsd:double"&gt;2596.26&lt;/D&gt;&lt;D xsi:type="xsd:double"&gt;2670.71&lt;/D&gt;&lt;D xsi:type="xsd:double"&gt;2664.76&lt;/D&gt;&lt;D xsi:type="xsd:double"&gt;2706.53&lt;/D&gt;&lt;D xsi:type="xsd:double"&gt;2707.88&lt;/D&gt;&lt;D xsi:type="xsd:double"&gt;2775.6&lt;/D&gt;&lt;D xsi:type="xsd:double"&gt;2792.67&lt;/D&gt;&lt;D xsi:type="xsd:double"&gt;2803.69&lt;/D&gt;&lt;D xsi:type="xsd:double"&gt;2743.07&lt;/D&gt;&lt;D xsi:type="xsd:double"&gt;2822.48&lt;/D&gt;&lt;D xsi:type="xsd:double"&gt;2800.71&lt;/D&gt;&lt;D xsi:type="xsd:double"&gt;2834.4&lt;/D&gt;&lt;D xsi:type="xsd:double"&gt;2892.74&lt;/D&gt;&lt;D xsi:type="xsd:double"&gt;2907.41&lt;/D&gt;&lt;D xsi:type="xsd:double"&gt;2905.03&lt;/D&gt;&lt;D xsi:type="xsd:double"&gt;2939.88&lt;/D&gt;&lt;D xsi:type="xsd:double"&gt;2945.64&lt;/D&gt;&lt;D xsi:type="xsd:double"&gt;2881.4&lt;/D&gt;&lt;D xsi:type="xsd:double"&gt;2859.53&lt;/D&gt;&lt;D xsi:type="xsd:double"&gt;2826.06&lt;/D&gt;&lt;D xsi:type="xsd:double"&gt;2752.06&lt;/D&gt;&lt;D xsi:type="xsd:double"&gt;2873.34&lt;/D&gt;&lt;D xsi:type="xsd:double"&gt;2886.98&lt;/D&gt;&lt;D xsi:type="xsd:double"&gt;2950.46&lt;/D&gt;&lt;D xsi:type="xsd:double"&gt;2941.76&lt;/D&gt;&lt;D xsi:type="xsd:double"&gt;2990.41&lt;/D&gt;&lt;D xsi:type="xsd:double"&gt;3013.77&lt;/D&gt;&lt;D xsi:type="xsd:double"&gt;2976.61&lt;/D&gt;&lt;D xsi:type="xsd:double"&gt;3025.86&lt;/D&gt;&lt;D xsi:type="xsd:double"&gt;2932.05&lt;/D&gt;&lt;D xsi:type="xsd:double"&gt;2918.65&lt;/D&gt;&lt;D xsi:type="xsd:double"&gt;2888.68&lt;/D&gt;&lt;D xsi:type="xsd:double"&gt;2847.11&lt;/D&gt;&lt;D xsi:type="xsd:double"&gt;2926.46&lt;/D&gt;&lt;D xsi:type="xsd:double"&gt;2978.71&lt;/D&gt;&lt;D xsi:type="xsd:double"&gt;3007.39&lt;/D&gt;&lt;D xsi:type="xsd:double"&gt;2992.07&lt;/D&gt;&lt;D xsi:type="xsd:double"&gt;2961.79&lt;/D&gt;&lt;D xsi:type="xsd:double"&gt;2952.01&lt;/D&gt;&lt;D xsi:type="xsd:double"&gt;2970.27&lt;/D&gt;&lt;D xsi:type="xsd:double"&gt;2986.2&lt;/D&gt;&lt;D xsi:type="xsd:double"&gt;3022.55&lt;/D&gt;&lt;D xsi:type="xsd:double"&gt;3066.91&lt;/D&gt;&lt;D xsi:type="xsd:double"&gt;3093.08&lt;/D&gt;&lt;D xsi:type="xsd:double"&gt;3120.46&lt;/D&gt;&lt;D xsi:type="xsd:double"&gt;3110.29&lt;/D&gt;&lt;D xsi:type="xsd:double"&gt;3140.98&lt;/D&gt;&lt;D xsi:type="xsd:double"&gt;3145.91&lt;/D&gt;&lt;D xsi:type="xsd:double"&gt;3168.8&lt;/D&gt;&lt;D xsi:type="xsd:double"&gt;3221.22&lt;/D&gt;&lt;D xsi:type="xsd:double"&gt;3240.02&lt;/D&gt;&lt;D xsi:type="xsd:double"&gt;3234.85&lt;/D&gt;&lt;D xsi:type="xsd:double"&gt;3265.35&lt;/D&gt;&lt;D xsi:type="xsd:double"&gt;3329.62&lt;/D&gt;&lt;D xsi:type="xsd:double"&gt;3295.47&lt;/D&gt;&lt;D xsi:type="xsd:double"&gt;3225.52&lt;/D&gt;&lt;D xsi:type="xsd:double"&gt;3327.71&lt;/D&gt;&lt;D xsi:type="xsd:double"&gt;3380.16&lt;/D&gt;&lt;D xsi:type="xsd:double"&gt;3337.75&lt;/D&gt;&lt;D xsi:type="xsd:double"&gt;2954.22&lt;/D&gt;&lt;D xsi:type="xsd:double"&gt;2972.37&lt;/D&gt;&lt;D xsi:type="xsd:double"&gt;2711.02&lt;/D&gt;&lt;D xsi:type="xsd:double"&gt;2304.92&lt;/D&gt;&lt;D xsi:type="xsd:double"&gt;2541.47&lt;/D&gt;&lt;D xsi:type="xsd:double"&gt;2488.65&lt;/D&gt;&lt;D xsi:type="xsd:double"&gt;2789.82&lt;/D&gt;&lt;D xsi:type="xsd:double"&gt;2874.56&lt;/D&gt;&lt;D xsi:type="xsd:double"&gt;2836.74&lt;/D&gt;&lt;D xsi:type="xsd:double"&gt;2830.71&lt;/D&gt;&lt;D xsi:type="xsd:double"&gt;2929.8&lt;/D&gt;&lt;D xsi:type="xsd:double"&gt;2863.7&lt;/D&gt;&lt;D xsi:type="xsd:double"&gt;2955.45&lt;/D&gt;&lt;D xsi:type="xsd:double"&gt;3044.31&lt;/D&gt;&lt;D xsi:type="xsd:double"&gt;3193.93&lt;/D&gt;&lt;D xsi:type="xsd:double"&gt;3041.31&lt;/D&gt;&lt;D xsi:type="xsd:double"&gt;3097.74&lt;/D&gt;&lt;D xsi:type="xsd:double"&gt;3009.05&lt;/D&gt;&lt;D xsi:type="xsd:double"&gt;3130.01&lt;/D&gt;&lt;D xsi:type="xsd:double"&gt;3185.04&lt;/D&gt;&lt;D xsi:type="xsd:double"&gt;3224.73&lt;/D&gt;&lt;D xsi:type="xsd:double"&gt;3215.63&lt;/D&gt;&lt;D xsi:type="xsd:double"&gt;3271.12&lt;/D&gt;&lt;D xsi:type="xsd:double"&gt;3351.28&lt;/D&gt;&lt;D xsi:type="xsd:do</t>
        </r>
      </text>
    </comment>
    <comment ref="A6" authorId="0" shapeId="0" xr:uid="{9531D8AA-A04D-4412-81E6-D97609EA789D}">
      <text>
        <r>
          <rPr>
            <b/>
            <sz val="9"/>
            <color indexed="81"/>
            <rFont val="Tahoma"/>
            <family val="2"/>
          </rPr>
          <t>uble"&gt;3372.85&lt;/D&gt;&lt;D xsi:type="xsd:double"&gt;3397.16&lt;/D&gt;&lt;D xsi:type="xsd:double"&gt;3508.01&lt;/D&gt;&lt;D xsi:type="xsd:double"&gt;3426.96&lt;/D&gt;&lt;D xsi:type="xsd:double"&gt;3340.97&lt;/D&gt;&lt;D xsi:type="xsd:double"&gt;3319.47&lt;/D&gt;&lt;D xsi:type="xsd:double"&gt;3298.46&lt;/D&gt;&lt;D xsi:type="xsd:double"&gt;3348.44&lt;/D&gt;&lt;D xsi:type="xsd:double"&gt;3477.13&lt;/D&gt;&lt;D xsi:type="xsd:double"&gt;3483.81&lt;/D&gt;&lt;D xsi:type="xsd:double"&gt;3465.39&lt;/D&gt;&lt;D xsi:type="xsd:double"&gt;3269.96&lt;/D&gt;&lt;D xsi:type="xsd:double"&gt;3509.44&lt;/D&gt;&lt;D xsi:type="xsd:double"&gt;3585.15&lt;/D&gt;&lt;D xsi:type="xsd:double"&gt;3557.54&lt;/D&gt;&lt;D xsi:type="xsd:double"&gt;3638.35&lt;/D&gt;&lt;D xsi:type="xsd:double"&gt;3699.12&lt;/D&gt;&lt;D xsi:type="xsd:double"&gt;3663.46&lt;/D&gt;&lt;D xsi:type="xsd:double"&gt;3709.41&lt;/D&gt;&lt;D xsi:type="xsd:double"&gt;3703.06&lt;/D&gt;&lt;D xsi:type="xsd:double"&gt;3756.07&lt;/D&gt;&lt;D xsi:type="xsd:double"&gt;3824.68&lt;/D&gt;&lt;D xsi:type="xsd:double"&gt;3768.25&lt;/D&gt;&lt;D xsi:type="xsd:double"&gt;3841.47&lt;/D&gt;&lt;D xsi:type="xsd:double"&gt;3714.24&lt;/D&gt;&lt;D xsi:type="xsd:double"&gt;3886.83&lt;/D&gt;&lt;D xsi:type="xsd:double"&gt;3934.83&lt;/D&gt;&lt;D xsi:type="xsd:double"&gt;3906.71&lt;/D&gt;&lt;D xsi:type="xsd:double"&gt;3811.15&lt;/D&gt;&lt;D xsi:type="xsd:double"&gt;3841.94&lt;/D&gt;&lt;D xsi:type="xsd:double"&gt;3943.34&lt;/D&gt;&lt;D xsi:type="xsd:double"&gt;3913.1&lt;/D&gt;&lt;D xsi:type="xsd:double"&gt;3974.54&lt;/D&gt;&lt;D xsi:type="xsd:double"&gt;4019.87&lt;/D&gt;&lt;D xsi:type="xsd:double"&gt;4128.8&lt;/D&gt;&lt;D xsi:type="xsd:double"&gt;4185.47&lt;/D&gt;&lt;D xsi:type="xsd:double"&gt;4180.17&lt;/D&gt;&lt;D xsi:type="xsd:double"&gt;4181.17&lt;/D&gt;&lt;D xsi:type="xsd:double"&gt;4232.6&lt;/D&gt;&lt;D xsi:type="xsd:double"&gt;4173.85&lt;/D&gt;&lt;D xsi:type="xsd:double"&gt;4155.86&lt;/D&gt;&lt;D xsi:type="xsd:double"&gt;4204.11&lt;/D&gt;&lt;D xsi:type="xsd:double"&gt;4229.89&lt;/D&gt;&lt;D xsi:type="xsd:double"&gt;4247.44&lt;/D&gt;&lt;D xsi:type="xsd:double"&gt;4166.45&lt;/D&gt;&lt;D xsi:type="xsd:double"&gt;4280.7&lt;/D&gt;&lt;D xsi:type="xsd:double"&gt;4352.34&lt;/D&gt;&lt;D xsi:type="xsd:double"&gt;4369.55&lt;/D&gt;&lt;D xsi:type="xsd:double"&gt;4327.16&lt;/D&gt;&lt;D xsi:type="xsd:double"&gt;4411.79&lt;/D&gt;&lt;D xsi:type="xsd:double"&gt;4395.26&lt;/D&gt;&lt;D xsi:type="xsd:double"&gt;4436.52&lt;/D&gt;&lt;D xsi:type="xsd:double"&gt;4468&lt;/D&gt;&lt;D xsi:type="xsd:double"&gt;4441.67&lt;/D&gt;&lt;D xsi:type="xsd:double"&gt;4509.37&lt;/D&gt;&lt;D xsi:type="xsd:double"&gt;4535.43&lt;/D&gt;&lt;D xsi:type="xsd:double"&gt;4458.58&lt;/D&gt;&lt;D xsi:type="xsd:double"&gt;4432.99&lt;/D&gt;&lt;D xsi:type="xsd:double"&gt;4455.48&lt;/D&gt;&lt;D xsi:type="xsd:double"&gt;4357.04&lt;/D&gt;&lt;D xsi:type="xsd:double"&gt;4391.34&lt;/D&gt;&lt;D xsi:type="xsd:double"&gt;4471.37&lt;/D&gt;&lt;D xsi:type="xsd:double"&gt;4544.9&lt;/D&gt;&lt;D xsi:type="xsd:double"&gt;4605.38&lt;/D&gt;&lt;D xsi:type="xsd:double"&gt;4697.53&lt;/D&gt;&lt;D xsi:type="xsd:double"&gt;4682.85&lt;/D&gt;&lt;D xsi:type="xsd:double"&gt;4697.96&lt;/D&gt;&lt;D xsi:type="xsd:double"&gt;4594.62&lt;/D&gt;&lt;D xsi:type="xsd:double"&gt;4538.43&lt;/D&gt;&lt;D xsi:type="xsd:double"&gt;4712.02&lt;/D&gt;&lt;D xsi:type="xsd:double"&gt;4620.64&lt;/D&gt;&lt;D xsi:type="xsd:double"&gt;4725.79&lt;/D&gt;&lt;D xsi:type="xsd:double"&gt;4766.18&lt;/D&gt;&lt;D xsi:type="xsd:double"&gt;4677.03&lt;/D&gt;&lt;D xsi:type="xsd:double"&gt;4662.85&lt;/D&gt;&lt;D xsi:type="xsd:double"&gt;4397.94&lt;/D&gt;&lt;D xsi:type="xsd:double"&gt;4431.85&lt;/D&gt;&lt;D xsi:type="xsd:double"&gt;4500.53&lt;/D&gt;&lt;D xsi:type="xsd:double"&gt;4418.64&lt;/D&gt;&lt;D xsi:type="xsd:double"&gt;4348.87&lt;/D&gt;&lt;D xsi:type="xsd:double"&gt;4384.65&lt;/D&gt;&lt;D xsi:type="xsd:double"&gt;4328.87&lt;/D&gt;&lt;D xsi:type="xsd:double"&gt;4204.31&lt;/D&gt;&lt;D xsi:type="xsd:double"&gt;4463.12&lt;/D&gt;&lt;D xsi:type="xsd:double"&gt;4543.06&lt;/D&gt;&lt;D xsi:type="xsd:double"&gt;4545.86&lt;/D&gt;&lt;D xsi:type="xsd:double"&gt;4488.28&lt;/D&gt;&lt;D xsi:type="xsd:double"&gt;4392.59&lt;/D&gt;&lt;D xsi:type="xsd:double"&gt;4271.78&lt;/D&gt;&lt;D xsi:type="xsd:double"&gt;4131.93&lt;/D&gt;&lt;D xsi:type="xsd:double"&gt;4123.34&lt;/D&gt;&lt;D xsi:type="xsd:double"&gt;4023.89&lt;/D&gt;&lt;D xsi:type="xsd:double"&gt;3901.36&lt;/D&gt;&lt;D xsi:type="xsd:double"&gt;4158.24&lt;/D&gt;&lt;D xsi:type="xsd:double"&gt;4108.54&lt;/D&gt;&lt;D xsi:type="xsd:double"&gt;3900.86&lt;/D&gt;&lt;D xsi:type="xsd:double"&gt;3674.84&lt;/D&gt;&lt;D xsi:type="xsd:double"&gt;3911.74&lt;/D&gt;&lt;D xsi:type="xsd:double"&gt;3825.33&lt;/D&gt;&lt;D xsi:type="xsd:double"&gt;3899.38&lt;/D&gt;&lt;D xsi:type="xsd:double"&gt;3863.16&lt;/D&gt;&lt;D xsi:type="xsd:double"&gt;3961.63&lt;/D&gt;&lt;D xsi:type="xsd:double"&gt;4130.29&lt;/D&gt;&lt;D xsi:type="xsd:double"&gt;4145.19&lt;/D&gt;&lt;D xsi:type="xsd:double"&gt;4280.15&lt;/D&gt;&lt;D xsi:type="xsd:double"&gt;4228.48&lt;/D&gt;&lt;D xsi:type="xsd:double"&gt;4057.66&lt;/D&gt;&lt;D xsi:type="xsd:double"&gt;3924.26&lt;/D&gt;&lt;D xsi:type="xsd:double"&gt;4067.36&lt;/D&gt;&lt;D xsi:type="xsd:double"&gt;3873.33&lt;/D&gt;&lt;D xsi:type="xsd:double"&gt;3693.23&lt;/D&gt;&lt;D xsi:type="xsd:double"&gt;3585.62&lt;/D&gt;&lt;D xsi:type="xsd:double"&gt;3639.66&lt;/D&gt;&lt;D xsi:type="xsd:double"&gt;3583.07&lt;/D&gt;&lt;D xsi:type="xsd:double"&gt;3752.75&lt;/D&gt;&lt;D xsi:type="xsd:double"&gt;3901.06&lt;/D&gt;&lt;D xsi:type="xsd:double"&gt;3770.55&lt;/D&gt;&lt;D xsi:type="xsd:double"&gt;3992.93&lt;/D&gt;&lt;D xsi:type="xsd:double"&gt;3965.34&lt;/D&gt;&lt;D xsi:type="xsd:double"&gt;4026.12&lt;/D&gt;&lt;D xsi:type="xsd:double"&gt;4071.7&lt;/D&gt;&lt;D xsi:type="xsd:double"&gt;3934.38&lt;/D&gt;&lt;D xsi:type="xsd:double"&gt;3852.36&lt;/D&gt;&lt;D xsi:type="xsd:double"&gt;3844.82&lt;/D&gt;&lt;D xsi:type="xsd:double"&gt;3839.5&lt;/D&gt;&lt;D xsi:type="xsd:double"&gt;3895.08&lt;/D&gt;&lt;D xsi:type="xsd:double"&gt;3999.09&lt;/D&gt;&lt;D xsi:type="xsd:double"&gt;3972.61&lt;/D&gt;&lt;D xsi:type="xsd:double"&gt;4070.56&lt;/D&gt;&lt;D xsi:type="xsd:double"&gt;4136.48&lt;/D&gt;&lt;D xsi:type="xsd:double"&gt;4090.46&lt;/D&gt;&lt;D xsi:type="xsd:double"&gt;4079.09&lt;/D&gt;&lt;D xsi:type="xsd:double"&gt;3970.04&lt;/D&gt;&lt;D xsi:type="xsd:double"&gt;4045.64&lt;/D&gt;&lt;D xsi:type="xsd:double"&gt;3861.59&lt;/D&gt;&lt;D xsi:type="xsd:double"&gt;3916.64&lt;/D&gt;&lt;D xsi:type="xsd:double"&gt;3970.99&lt;/D&gt;&lt;D xsi:type="xsd:double"&gt;4109.31&lt;/D&gt;&lt;D xsi:type="xsd:double"&gt;4105.02&lt;/D&gt;&lt;D xsi:type="xsd:double"&gt;4137.64&lt;/D&gt;&lt;D xsi:type="xsd:double"&gt;4133.52&lt;/D&gt;&lt;D xsi:type="xsd:double"&gt;4169.48&lt;/D&gt;&lt;D xsi:type="xsd:double"&gt;4136.25&lt;/D&gt;&lt;D xsi:type="xsd:double"&gt;4124.08&lt;/D&gt;&lt;D xsi:type="xsd:double"&gt;4191.98&lt;/D&gt;&lt;D xsi:type="xsd:double"&gt;4205.45&lt;/D&gt;&lt;D xsi:type="xsd:double"&gt;4282.37&lt;/D&gt;&lt;D xsi:type="xsd:double"&gt;4298.86&lt;/D&gt;&lt;D xsi:type="xsd:double"&gt;4409.59&lt;/D&gt;&lt;D xsi:type="xsd:double"&gt;4348.33&lt;/D&gt;&lt;D xsi:type="xsd:double"&gt;4450.38&lt;/D&gt;&lt;D xsi:type="xsd:double"&gt;4398.95&lt;/D&gt;&lt;D xsi:type="xsd:double"&gt;4505.42&lt;/D&gt;&lt;D xsi:type="xsd:double"&gt;4536.34&lt;/D&gt;&lt;D xsi:type="xsd:double"&gt;4582.23&lt;/D&gt;&lt;D xsi:type="xsd:double"&gt;4478.03&lt;/D&gt;&lt;D xsi:type="xsd:double"&gt;4464.05&lt;/D&gt;&lt;D xsi:type="xsd:double"&gt;4369.71&lt;/D&gt;&lt;D xsi:type="xsd:double"&gt;4405.71&lt;/D&gt;&lt;D xsi:type="xsd:double"&gt;4515.77&lt;/D&gt;&lt;D xsi:type="xsd:double"&gt;4457.49&lt;/D&gt;&lt;D xsi:type="xsd:double"&gt;4450.32&lt;/D&gt;&lt;D xsi:type="xsd:double"&gt;4320.06&lt;/D&gt;&lt;D xsi:type="xsd:double"&gt;4288.05&lt;/D&gt;&lt;D xsi:type="xsd:double"&gt;4308.5&lt;/D&gt;&lt;D xsi:type="xsd:double"&gt;4327.78&lt;/D&gt;&lt;D xsi:type="xsd:double"&gt;4224.16&lt;/D&gt;&lt;D xsi:type="xsd:double"&gt;4117.37&lt;/D&gt;&lt;D xsi:type="xsd:double"&gt;4358.34&lt;/D&gt;&lt;D xsi:type="xsd:double"&gt;4415.24&lt;/D&gt;&lt;D xsi:type="xsd:double"&gt;4514.02&lt;/D&gt;&lt;D xsi:type="xsd:double"&gt;4559.34&lt;/D&gt;&lt;D xsi:type="xsd:double"&gt;4594.63&lt;/D&gt;&lt;D xsi:type="xsd:double"&gt;4604.37&lt;/D&gt;&lt;D xsi:type="xsd:double"&gt;4719.19&lt;/D&gt;&lt;D xsi:type="xsd:double"&gt;4754.63&lt;/D&gt;&lt;D xsi:type="xsd:double"&gt;4769.83&lt;/D&gt;&lt;D xsi:type="xsd:double"&gt;4697.24&lt;/D&gt;&lt;D xsi:type="xsd:double"&gt;4783.83&lt;/D&gt;&lt;D xsi:type="xsd:double"&gt;4839.81&lt;/D&gt;&lt;D xsi:type="xsd:double"&gt;4890.97&lt;/D&gt;&lt;D xsi:type="xsd:double"&gt;4958.61&lt;/D&gt;&lt;D xsi:type="xsd:double"&gt;5026.61&lt;/D&gt;&lt;D xsi:type="xsd:double"&gt;5005.57&lt;/D&gt;&lt;D xsi:type="xsd:double"&gt;5088.8&lt;/D&gt;&lt;D xsi:type="xsd:double"&gt;5137.08&lt;/D&gt;&lt;D xsi:type="xsd:double"&gt;5123.69&lt;/D&gt;&lt;D xsi:type="xsd:double"&gt;5117.09&lt;/D&gt;&lt;D xsi:type="xsd:double"&gt;5234.18&lt;/D&gt;&lt;D xsi:type="xsd:double"&gt;5254.35&lt;/D&gt;&lt;D xsi:type="xsd:double"&gt;5204.34&lt;/D&gt;&lt;D xsi:type="xsd:double"&gt;5123.41&lt;/D&gt;&lt;D xsi:type="xsd:double"&gt;4967.23&lt;/D&gt;&lt;D xsi:type="xsd:double"&gt;5099.96&lt;/D&gt;&lt;D xsi:type="xsd:double"&gt;5127.79&lt;/D&gt;&lt;D xsi:type="xsd:double"&gt;5222.68&lt;/D&gt;&lt;D xsi:type="xsd:double"&gt;5303.27&lt;/D&gt;&lt;D xsi:type="xsd:double"&gt;5304.72&lt;/D&gt;&lt;D xsi:type="xsd:double"&gt;5277.51&lt;/D&gt;&lt;D xsi:type="xsd:double"&gt;5346.99&lt;/D&gt;&lt;D xsi:type="xsd:double"&gt;5431.6&lt;/D&gt;&lt;D xsi:type="xsd:double"&gt;5464.62&lt;/D&gt;&lt;D xsi:type="xsd:double"&gt;5460.48&lt;/D&gt;&lt;D xsi:type="xsd:double"&gt;5567.19&lt;/D&gt;&lt;D xsi:type="xsd:double"&gt;5615.35&lt;/D&gt;&lt;D xsi:type="xsd:double"&gt;5505&lt;/D&gt;&lt;D xsi:type="xsd:double"&gt;5459.1&lt;/D&gt;&lt;D xsi:type="xsd:double"&gt;5346.56&lt;/D&gt;&lt;D xsi:type="xsd:double"&gt;5344.16&lt;/D&gt;&lt;D xsi:type="xsd:double"&gt;5554.25&lt;/D&gt;&lt;D xsi:type="xsd:double"&gt;5634.61&lt;/D&gt;&lt;D xsi:type="xsd:double"&gt;5648.4&lt;/D&gt;&lt;D xsi:type="xsd:double"&gt;5408.42&lt;/D&gt;&lt;D xsi:type="xsd:double"&gt;5626.02&lt;/D&gt;&lt;D xsi:type="xsd:double"&gt;5702.55&lt;/D&gt;&lt;D xsi:type="xsd:double"&gt;5738.17&lt;/D&gt;&lt;D xsi:type="xsd:double"&gt;5751.07&lt;/D&gt;&lt;D xsi:type="xsd:double"&gt;5815.03&lt;/D&gt;&lt;D xsi:type="xsd:double"&gt;5864.67&lt;/D&gt;&lt;D xsi:type="xsd:double"&gt;5808.12&lt;/D&gt;&lt;D xsi:type="xsd:double"&gt;5728.8&lt;/D&gt;&lt;D xsi:type="xsd:double"&gt;5995.54&lt;/D&gt;&lt;D xsi:type="xsd:double"&gt;5870.62&lt;/D&gt;&lt;D xsi:type="xsd:double"&gt;5969.34&lt;/D&gt;&lt;D xsi:type="xsd:double"&gt;6032.38&lt;/D&gt;&lt;D xsi:type="xsd:double"&gt;6090.27&lt;/D&gt;&lt;D xsi:type="xsd:double"&gt;6051.09&lt;/D&gt;&lt;D xsi:type="xsd:double"&gt;5930.85&lt;/D&gt;&lt;D xsi:type="xsd:double"&gt;5970.84&lt;/D&gt;&lt;D xsi:type="xsd:double"&gt;5942.47&lt;/D&gt;&lt;D xsi:type="xsd:double"&gt;5827.04&lt;/D&gt;&lt;D xsi:type="xsd:double"&gt;5996.66&lt;/D&gt;&lt;D xsi:type="xsd:double"&gt;6101.24&lt;/D&gt;&lt;D xsi:type="xsd:double"&gt;6040.53&lt;/D&gt;&lt;D xsi:type="xsd:double"&gt;6025.99&lt;/D&gt;&lt;D xsi:type="xsd:double"&gt;6114.63&lt;/D&gt;&lt;D xsi:type="xsd:double"&gt;6013.13&lt;/D&gt;&lt;D xsi:type="xsd:double"&gt;5954.5&lt;/D&gt;&lt;D xsi:type="xsd:double"&gt;5770.2&lt;/D&gt;&lt;D xsi:type="xsd:double"&gt;5638.94&lt;/D&gt;&lt;D xsi:type="xsd:double"&gt;5667.56&lt;/D&gt;&lt;D xsi:type="xsd:double"&gt;5580.94&lt;/D&gt;&lt;D xsi:type="xsd:double"&gt;5074.08&lt;/D&gt;&lt;D xsi:type="xsd:double"&gt;5363.36&lt;/D&gt;&lt;D xsi:type="xsd:double"&gt;5282.7&lt;/D&gt;&lt;D xsi:type="xsd:double"&gt;5525.21&lt;/D&gt;&lt;D xsi:type="xsd:double"&gt;5686.67&lt;/D&gt;&lt;D xsi:type="xsd:double"&gt;5659.91&lt;/D&gt;&lt;D xsi:type="xsd:double"&gt;5958.38&lt;/D&gt;&lt;D xsi:type="xsd:double"&gt;5802.82&lt;/D&gt;&lt;D xsi:type="xsd:double"&gt;5911.69&lt;/D&gt;&lt;D xsi:type="xsd:double"&gt;6000.36&lt;/D&gt;&lt;D xsi:type="xsd:double"&gt;5976.97&lt;/D&gt;&lt;D xsi:type="xsd:double"&gt;5967.84&lt;/D&gt;&lt;D xsi:type="xsd:double"&gt;6173.07&lt;/D&gt;&lt;D xsi:type="xsd:double"&gt;6279.35&lt;/D&gt;&lt;D xsi:type="xsd:double"&gt;6259.75&lt;/D&gt;&lt;D xsi:type="xsd:double"&gt;6296.79&lt;/D&gt;&lt;D xsi:type="xsd:double"&gt;6388.64&lt;/D&gt;&lt;D xsi:type="xsd:double"&gt;6238.01&lt;/D&gt;&lt;D xsi:type="xsd:double"&gt;6389.45&lt;/D&gt;&lt;D xsi:type="xsd:double"&gt;6449.8&lt;/D&gt;&lt;D xsi:type="xsd:double"&gt;6466.91&lt;/D&gt;&lt;D xsi:type="xsd:double"&gt;6460.26&lt;/D&gt;&lt;D xsi:type="xsd:double"&gt;6481.5&lt;/D&gt;&lt;D xsi:type="xsd:double"&gt;6584.29&lt;/D&gt;&lt;D xsi:type="xsd:double"&gt;6664.36&lt;/D&gt;&lt;/FQL&gt;&lt;FQL&gt;&lt;Q&gt;CSX^FE_VALUATION(PE,MEAN,ANN_ROLL,+1,42272,43481,W,'')&lt;/Q&gt;&lt;R&gt;173&lt;/R&gt;&lt;C&gt;1&lt;/C&gt;&lt;D xsi:type="xsd:double"&gt;13.177908&lt;/D&gt;&lt;D xsi:type="xsd:double"&gt;13.605618&lt;/D&gt;&lt;D xsi:type="xsd:double"&gt;14.529853&lt;/D&gt;&lt;D xsi:type="xsd:double"&gt;13.778902&lt;/D&gt;&lt;D xsi:type="xsd:double"&gt;14.253561&lt;/D&gt;&lt;D xsi:type="xsd:double"&gt;13.535845&lt;/D&gt;&lt;D xsi:type="xsd:double"&gt;13.578399&lt;/D&gt;&lt;D xsi:type="xsd:double"&gt;13.508175&lt;/D&gt;&lt;D xsi:type="xsd:double"&gt;14.998293&lt;/D&gt;&lt;D xsi:type="xsd:double"&gt;14.546689&lt;/D&gt;&lt;D xsi:type="xsd:double"&gt;13.481511&lt;/D&gt;&lt;D xsi:type="xsd:double"&gt;12.913078&lt;/D&gt;&lt;D xsi:type="xsd:double"&gt;12.663963&lt;/D&gt;&lt;D xsi:type="xsd:double"&gt;13.131326&lt;/D&gt;&lt;D xsi:type="xsd:double"&gt;13.050584&lt;/D&gt;&lt;D xsi:type="xsd:double"&gt;11.861802&lt;/D&gt;&lt;D xsi:type="xsd:double"&gt;12.255794&lt;/D&gt;&lt;D xsi:type="xsd:double"&gt;12.094953&lt;/D&gt;&lt;D xsi:type="xsd:double"&gt;12.405703&lt;/D&gt;&lt;D xsi:type="xsd:double"&gt;12.303309&lt;/D&gt;&lt;D xsi:type="xsd:double"&gt;13.067525&lt;/D&gt;&lt;D xsi:type="xsd:double"&gt;13.253649&lt;/D&gt;&lt;D xsi:type="xsd:double"&gt;13.182461&lt;/D&gt;&lt;D xsi:type="xsd:double"&gt;13.732972&lt;/D&gt;&lt;D xsi:type="xsd:double"&gt;14.209287&lt;/D&gt;&lt;D xsi:type="xsd:double"&gt;14.753179&lt;/D&gt;&lt;D xsi:type="xsd:double"&gt;14.289069&lt;/D&gt;&lt;D xsi:type="xsd:double"&gt;13.956109&lt;/D&gt;&lt;D xsi:type="xsd:double"&gt;13.593421&lt;/D&gt;&lt;D xsi:type="xsd:double"&gt;14.58542&lt;/D&gt;&lt;D xsi:type="xsd:double"&gt;15.504095&lt;/D&gt;&lt;D xsi:type="xsd:double"&gt;15.35767&lt;/D&gt;&lt;D xsi:type="xsd:double"&gt;14.73255&lt;/D&gt;&lt;D xsi:type="xsd:double"&gt;14.181081&lt;/D&gt;&lt;D xsi:type="xsd:double"&gt;14.628262&lt;/D&gt;&lt;D xsi:type="xsd:double"&gt;14.705267&lt;/D&gt;&lt;D xsi:type="xsd:double"&gt;15.158752&lt;/D&gt;&lt;D xsi:type="xsd:double"&gt;15.244615&lt;/D&gt;&lt;D xsi:type="xsd:double"&gt;15.274513&lt;/D&gt;&lt;D xsi:type="xsd:double"&gt;14.677846&lt;/D&gt;&lt;D xsi:type="xsd:double"&gt;15.00231&lt;/D&gt;&lt;D xsi:type="xsd:double"&gt;15.325592&lt;/D&gt;&lt;D xsi:type="xsd:double"&gt;16.327599&lt;/D&gt;&lt;D xsi:type="xsd:double"&gt;16.33532&lt;/D&gt;&lt;D xsi:type="xsd:double"&gt;16.248043&lt;/D&gt;&lt;D xsi:type="xsd:double"&gt;16.410896&lt;/D&gt;&lt;D xsi:type="xsd:double"&gt;16.085674&lt;/D&gt;&lt;D xsi:type="xsd:double"&gt;16.428637&lt;/D&gt;&lt;D xsi:type="xsd:double"&gt;16.153584&lt;/D&gt;&lt;D xsi:type="xsd:double"&gt;16.121632&lt;/D&gt;&lt;D xsi:type="xsd:double"&gt;15.971869&lt;/D&gt;&lt;D xsi:type="xsd:double"&gt;16.805162&lt;/D&gt;&lt;D xsi:type="xsd:double"&gt;16.991274&lt;/D&gt;&lt;D xsi:type="xsd:double"&gt;17.460115&lt;/D&gt;&lt;D xsi:type="xsd:double"&gt;17.77237&lt;/D&gt;&lt;D xsi:type="xsd:double"&gt;17.384981&lt;/D&gt;&lt;D xsi:type="xsd:double"&gt;16.972864&lt;/D&gt;&lt;D xsi:type="xsd:double"&gt;16.967262&lt;/D&gt;&lt;D xsi:type="xsd:double"&gt;17.325884&lt;/D&gt;&lt;D xsi:type="xsd:double"&gt;19.404423&lt;/D&gt;&lt;D xsi:type="xsd:double"&gt;19.061829&lt;/D&gt;&lt;D xsi:type="xsd:double"&gt;19.72899&lt;/D&gt;&lt;D xsi:type="xsd:double"&gt;20.403116&lt;/D&gt;&lt;D xsi:type="xsd:double"&gt;20.841202&lt;/D&gt;&lt;D xsi:type="xsd:double"&gt;20.11196&lt;/D&gt;&lt;D xsi:type="xsd:double"&gt;20.448565&lt;/D&gt;&lt;D xsi:type="xsd:double"&gt;20.046844&lt;/D&gt;&lt;D xsi:type="xsd:double"&gt;20.881195&lt;/D&gt;&lt;D xsi:type="xsd:double"&gt;21.407267&lt;/D&gt;&lt;D xsi:type="xsd:double"&gt;22.122782&lt;/D&gt;&lt;D xsi:type="xsd:double"&gt;23.98069&lt;/D&gt;&lt;D xsi:type="xsd:double"&gt;23.34109&lt;/D&gt;&lt;D xsi:type="xsd:double"&gt;23.812227&lt;/D&gt;&lt;D xsi:type="xsd:double"&gt;24.187351&lt;/D&gt;&lt;D xsi:type="xsd:double"&gt;24.140833&lt;/D&gt;&lt;D xsi:type="xsd:double"&gt;24.581758&lt;/D&gt;&lt;D xsi:type="xsd:double"&gt;23.63713&lt;/D&gt;&lt;D xsi:type="xsd:double"&gt;23.122066&lt;/D&gt;&lt;D xsi:type="xsd:double"&gt;22.767258&lt;/D&gt;&lt;D xsi:type="xsd:double"&gt;22.701584&lt;/D&gt;&lt;D xsi:type="xsd:double"&gt;23.036514&lt;/D&gt;&lt;D xsi:type="xsd:double"&gt;22.43754&lt;/D&gt;&lt;D xsi:type="xsd:double"&gt;22.446043&lt;/D&gt;&lt;D xsi:type="xsd:double"&gt;22.320461&lt;/D&gt;&lt;D xsi:type="xsd:double"&gt;23.049253&lt;/D&gt;&lt;D xsi:type="xsd:double"&gt;22.870552&lt;/D&gt;&lt;D xsi:type="xsd:double"&gt;22.098753&lt;/D&gt;&lt;D xsi:type="xsd:double"&gt;23.626205&lt;/D&gt;&lt;D xsi:type="xsd:double"&gt;23.902414&lt;/D&gt;&lt;D xsi:type="xsd:double"&gt;23.249414&lt;/D&gt;&lt;D xsi:type="xsd:double"&gt;23.113556&lt;/D&gt;&lt;D xsi:type="xsd:double"&gt;23.070625&lt;/D&gt;&lt;D xsi:type="xsd:double"&gt;23.902784&lt;/D&gt;&lt;D xsi:type="xsd:double"&gt;23.97164&lt;/D&gt;&lt;D xsi:type="xsd:double"&gt;24.028708&lt;/D&gt;&lt;D xsi:type="xsd:double"&gt;22.420801&lt;/D&gt;&lt;D xsi:type="xsd:double"&gt;21.694586&lt;/D&gt;&lt;D xsi:type="xsd:double"&gt;21.14355&lt;/D&gt;&lt;D xsi:type="xsd:double"&gt;21.887613&lt;/D&gt;&lt;D xsi:type="xsd:double"&gt;21.249538&lt;/D&gt;&lt;D xsi:type="xsd:double"&gt;21.280031&lt;/D&gt;&lt;D xsi:type="xsd:double"&gt;21.692429&lt;/D&gt;&lt;D xsi:type="xsd:double"&gt;22.64436&lt;/D&gt;&lt;D xsi:type="xsd:double"&gt;23.237703&lt;/D&gt;&lt;D xsi:type="xsd:double"&gt;23.564405&lt;/D&gt;&lt;D xsi:type="xsd:double"&gt;24.16166&lt;/D&gt;&lt;D xsi:type="xsd:double"&gt;23.437798&lt;/D&gt;&lt;D xsi:type="xsd:double"&gt;23.750854&lt;/D&gt;&lt;D xsi:type="xsd:double"&gt;24.549181&lt;/D&gt;&lt;D xsi:type="xsd:double"&gt;23.6897&lt;/D&gt;&lt;D xsi:type="xsd:double"&gt;23.139645&lt;/D&gt;&lt;D xsi:type="xsd:double"&gt;22.5796&lt;/D&gt;&lt;D xsi:type="xsd:double"&gt;22.511686&lt;/D&gt;&lt;D xsi:type="xsd:double"&gt;22.953625&lt;/D&gt;&lt;D xsi:type="xsd:double"&gt;25.31663&lt;/D&gt;&lt;D xsi:type="xsd:double"&gt;25.460987&lt;/D&gt;&lt;D xsi:type="xsd:double"&gt;23.878036&lt;/D&gt;&lt;D xsi:type="xsd:double"&gt;24.811867&lt;/D&gt;&lt;D xsi:type="xsd:double"&gt;24.816376&lt;/D&gt;&lt;D xsi:type="xsd:double"&gt;26.048801&lt;/D&gt;&lt;D xsi:type="xsd:double"&gt;26.778568&lt;/D&gt;&lt;D xsi:type="xsd:double"&gt;18.649084&lt;/D&gt;&lt;D xsi:type="xsd:double"&gt;18.785324&lt;/D&gt;&lt;D xsi:type="xsd:double"&gt;17.922455&lt;/D&gt;&lt;D xsi:type="xsd:double"&gt;16.50812&lt;/D&gt;&lt;D xsi:type="xsd:double"&gt;18.200367&lt;/D&gt;&lt;D xsi:type="xsd:double"&gt;18.01644&lt;/D&gt;&lt;D xsi:type="xsd:double"&gt;17.857792&lt;/D&gt;&lt;D xsi:type="xsd:double"&gt;18.818167&lt;/D&gt;&lt;D xsi:type="xsd:double"&gt;18.467758&lt;/D&gt;&lt;D xsi:type="xsd:double"&gt;17.607964&lt;/D&gt;&lt;D xsi:type="xsd:double"&gt;18.09112&lt;/D&gt;&lt;D xsi:type="xsd:double"&gt;17.639082&lt;/D&gt;&lt;D xsi:type="xsd:double"&gt;17.98065&lt;/D&gt;&lt;D xsi:type="xsd:double"&gt;18.459389&lt;/D&gt;&lt;D xsi:type="xsd:double"&gt;18.53487&lt;/D&gt;&lt;D xsi:type="xsd:double"&gt;18.401083&lt;/D&gt;&lt;D xsi:type="xsd:double"&gt;19.34655&lt;/D&gt;&lt;D xsi:type="xsd:double"&gt;19.547216&lt;/D&gt;&lt;D xsi:type="xsd:double"&gt;19.801676&lt;/D&gt;&lt;D xsi:type="xsd:double"&gt;20.034346&lt;/D&gt;&lt;D xsi:type="xsd:double"&gt;20.527145&lt;/D&gt;&lt;D xsi:type="xsd:double"&gt;20.398603&lt;/D&gt;&lt;D xsi:type="xsd:double"&gt;19.744205&lt;/D&gt;&lt;D xsi:type="xsd:double"&gt;19.400812&lt;/D&gt;&lt;D xsi:type="xsd:double"&gt;19.747866&lt;/D&gt;&lt;D xsi:type="xsd:double"&gt;19.548388&lt;/D&gt;&lt;D xsi:type="xsd:double"&gt;19.372305&lt;/D&gt;&lt;D xsi:type="xsd:double"&gt;19.593262&lt;/D&gt;&lt;D xsi:type="xsd:double"&gt;19.865196&lt;/D&gt;&lt;D xsi:type="xsd:double"&gt;20.180206&lt;/D&gt;&lt;D xsi:type="xsd:double"&gt;20.54473&lt;/D&gt;&lt;D xsi:type="xsd:double"&gt;20.797346&lt;/D&gt;&lt;D xsi:type="xsd:double"&gt;20.561115&lt;/D&gt;&lt;D xsi:type="xsd:double"&gt;20.384863&lt;/D&gt;&lt;D xsi:type="xsd:double"&gt;20.322502&lt;/D&gt;&lt;D xsi:type="xsd:double"&gt;20.453081&lt;/D&gt;&lt;D xsi:type="xsd:double"&gt;20.39531&lt;/D&gt;&lt;D xsi:type="xsd:double"&gt;20.503744&lt;/D&gt;&lt;D xsi:type="xsd:double"&gt;19.151098&lt;/D&gt;&lt;D xsi:type="xsd:double"&gt;17.80027&lt;/D&gt;&lt;D xsi:type="xsd:double"&gt;17.271029&lt;/D&gt;&lt;D xsi:type="xsd:double"&gt;18.12515&lt;/D&gt;&lt;D xsi:type="xsd:double"&gt;18.512909&lt;/D&gt;&lt;D xsi:type="xsd:double"&gt;19.023808&lt;/D&gt;&lt;D xsi:type="xsd:double"&gt;18.282349&lt;/D&gt;&lt;D xsi:type="xsd:double"&gt;19.017977&lt;/D&gt;&lt;D xsi:type="xsd:double"&gt;17.81002&lt;/D&gt;&lt;D xsi:type="xsd:double"&gt;17.23407&lt;/D&gt;&lt;D xsi:type="xsd:double"&gt;15.894137&lt;/D&gt;&lt;D xsi:type="xsd:double"&gt;16.26495&lt;/D&gt;&lt;D xsi:type="xsd:double"&gt;16.454943&lt;/D&gt;&lt;D xsi:type="xsd:double"&gt;17.097609&lt;/D&gt;&lt;/FQL&gt;&lt;FQL&gt;&lt;Q&gt;CSX^FE_VALUATION(PE,MEAN,ANN_ROLL,+2,42272,43481,W,'')&lt;/Q&gt;&lt;R&gt;173&lt;/R&gt;&lt;C&gt;1&lt;/C&gt;&lt;D xsi:type="xsd:double"&gt;12.099548&lt;/D&gt;&lt;D xsi:type="xsd:double"&gt;12.559482&lt;/D&gt;&lt;D xsi:type="xsd:double"&gt;13.46315&lt;/D&gt;&lt;D xsi:type="xsd:double"&gt;13.07432&lt;/D&gt;&lt;D xsi:type="xsd:double"&gt;13.555785&lt;/D&gt;&lt;D xsi:type="xsd:double"&gt;12.896392&lt;/D&gt;&lt;D xsi:type="xsd:double"&gt;12.941013&lt;/D&gt;&lt;D xsi:type="xsd:double"&gt;12.874086&lt;/D&gt;&lt;D xsi:type="xsd:double"&gt;14.315093&lt;/D&gt;&lt;D xsi:type="xsd:double"&gt;13.893238&lt;/D&gt;&lt;D xsi:type="xsd:double"&gt;12.920589&lt;/D&gt;&lt;D xsi:type="xsd:double"&gt;12.397609&lt;/D&gt;&lt;D xsi:type="xsd:double"&gt;12.308691&lt;/D&gt;&lt;D xsi:type="xsd:double"&gt;12.760792&lt;/D&gt;&lt;D xsi:type="xsd:double"&gt;12.711417&lt;/D&gt;&lt;D xsi:type="xsd:double"&gt;11.706301&lt;/D&gt;&lt;D xsi:type="xsd:double"&gt;11.209238&lt;/D&gt;&lt;D xsi:type="xsd:double"&gt;11.011552&lt;/D&gt;&lt;D xsi:type="xsd:double"&gt;11.2755&lt;/D&gt;&lt;D xsi:type="xsd:double"&gt;11.182435&lt;/D&gt;&lt;D xsi:type="xsd:double"&gt;11.853419&lt;/D&gt;&lt;D xsi:type="xsd:double"&gt;12.022497&lt;/D&gt;&lt;D xsi:type="xsd:double"&gt;11.983174&lt;/D&gt;&lt;D xsi:type="xsd:double"&gt;12.468305&lt;/D&gt;&lt;D xsi:type="xsd:double"&gt;12.905901&lt;/D&gt;&lt;D xsi:type="xsd:double"&gt;13.360822&lt;/D&gt;&lt;D xsi:type="xsd:double"&gt;12.953323&lt;/D&gt;&lt;D xsi:type="xsd:double"&gt;12.74913&lt;/D&gt;&lt;D xsi:type="xsd:double"&gt;12.439287&lt;/D&gt;&lt;D xsi:type="xsd:double"&gt;13.283687&lt;/D&gt;&lt;D xsi:type="xsd:double"&gt;14.124791&lt;/D&gt;&lt;D xsi:type="xsd:double"&gt;13.991392&lt;/D&gt;&lt;D xsi:type="xsd:double"&gt;13.4218855&lt;/D&gt;&lt;D xsi:type="xsd:double"&gt;12.888295&lt;/D&gt;&lt;D xsi:type="xsd:double"&gt;13.279356&lt;/D&gt;&lt;D xsi:type="xsd:double"&gt;13.349686&lt;/D&gt;&lt;D xsi:type="xsd:double"&gt;13.713004&lt;/D&gt;&lt;D xsi:type="xsd:double"&gt;13.785071&lt;/D&gt;&lt;D xsi:type="xsd:double"&gt;13.800754&lt;/D&gt;&lt;D xsi:type="xsd:double"&gt;13.271269&lt;/D&gt;&lt;D xsi:type="xsd:double"&gt;13.579541&lt;/D&gt;&lt;D xsi:type="xsd:double"&gt;13.8843975&lt;/D&gt;&lt;D xsi:type="xsd:double"&gt;14.798419&lt;/D&gt;&lt;D xsi:type="xsd:double"&gt;14.800774&lt;/D&gt;&lt;D xsi:type="xsd:double"&gt;14.715694&lt;/D&gt;&lt;D xsi:type="xsd:double"&gt;14.884457&lt;/D&gt;&lt;D xsi:type="xsd:double"&gt;14.597791&lt;/D&gt;&lt;D xsi:type="xsd:double"&gt;14.906826&lt;/D&gt;&lt;D xsi:type="xsd:double"&gt;14.657252&lt;/D&gt;&lt;D xsi:type="xsd:double"&gt;14.628535&lt;/D&gt;&lt;D xsi:type="xsd:double"&gt;14.493195&lt;/D&gt;&lt;D xsi:type="xsd:double"&gt;15.223775&lt;/D&gt;&lt;D xsi:type="xsd:double"&gt;15.383741&lt;/D&gt;&lt;D xsi:type="xsd:double"&gt;15.821605&lt;/D&gt;&lt;D xsi:type="xsd:double"&gt;16.122194&lt;/D&gt;&lt;D xsi:type="xsd:double"&gt;15.763901&lt;/D&gt;&lt;D xsi:type="xsd:double"&gt;15.389487&lt;/D&gt;&lt;D xsi:type="xsd:double"&gt;15.397024&lt;/D&gt;&lt;D xsi:type="xsd:double"&gt;15.722457&lt;/D&gt;&lt;D xsi:type="xsd:double"&gt;17.587563&lt;/D&gt;&lt;D xsi:type="xsd:double"&gt;17.271744&lt;/D&gt;&lt;D xsi:type="xsd:double"&gt;17.876253&lt;/D&gt;&lt;D xsi:type="xsd:double"&gt;18.380043&lt;/D&gt;&lt;D xsi:type="xsd:double"&gt;18.765875&lt;/D&gt;&lt;D xsi:type="xsd:double"&gt;18.097263&lt;/D&gt;&lt;D xsi:type="xsd:double"&gt;18.378963&lt;/D&gt;&lt;D xsi:type="xsd:double"&gt;18.0179&lt;/D&gt;&lt;D xsi:type="xsd:double"&gt;18.67835&lt;/D&gt;&lt;D xsi:type="xsd:double"&gt;19.209908&lt;/D&gt;&lt;D xsi:type="xsd:double"&gt;19.78403&lt;/D&gt;&lt;D xsi:type="xsd:double"&gt;21.148592&lt;/D&gt;&lt;D xsi:type="xsd:double"&gt;20.589897&lt;/D&gt;&lt;D xsi:type="xsd:double"&gt;21.02098&lt;/D&gt;&lt;D xsi:type="xsd:double"&gt;21.342886&lt;/D&gt;&lt;D xsi:type="xsd:double"&gt;21.33237&lt;/D&gt;&lt;D xsi:type="xsd:double"&gt;21.540123&lt;/D&gt;&lt;D xsi:type="xsd:double"&gt;20.457226&lt;/D&gt;&lt;D xsi:type="xsd:double"&gt;19.938896&lt;/D&gt;&lt;D xsi:type="xsd:double"&gt;19.520355&lt;/D&gt;&lt;D xsi:type="xsd:double"&gt;19.406136&lt;/D&gt;&lt;D xsi:type="xsd:double"&gt;19.6065&lt;/D&gt;&lt;D xsi:type="xsd:double"&gt;18.951006&lt;/D&gt;&lt;D xsi:type="xsd:double"&gt;18.786865&lt;/D&gt;&lt;D xsi:type="xsd:double"&gt;18.7416&lt;/D&gt;&lt;D xsi:type="xsd:double"&gt;19.35354&lt;/D&gt;&lt;D xsi:type="xsd:double"&gt;19.047176&lt;/D&gt;&lt;D xsi:type="xsd:double"&gt;18.404236&lt;/D&gt;&lt;D xsi:type="xsd:double"&gt;19.709555&lt;/D&gt;&lt;D xsi:type="xsd:double"&gt;19.870943&lt;/D&gt;&lt;D xsi:type="xsd:double"&gt;19.328081&lt;/D&gt;&lt;D xsi:type="xsd:double"&gt;19.215137&lt;/D&gt;&lt;D xsi:type="xsd:double"&gt;19.165493&lt;/D&gt;&lt;D xsi:type="xsd:double"&gt;19.860516&lt;/D&gt;&lt;D xsi:type="xsd:double"&gt;19.903475&lt;/D&gt;&lt;D xsi:type="xsd:double"&gt;19.94451&lt;/D&gt;&lt;D xsi:type="xsd:double"&gt;18.84654&lt;/D&gt;&lt;D xsi:type="xsd:double"&gt;18.230236&lt;/D&gt;&lt;D xsi:type="xsd:double"&gt;17.742674&lt;/D&gt;&lt;D xsi:type="xsd:double"&gt;18.345694&lt;/D&gt;&lt;D xsi:type="xsd:double"&gt;17.795208&lt;/D&gt;&lt;D xsi:type="xsd:double"&gt;17.84319&lt;/D&gt;&lt;D xsi:type="xsd:double"&gt;18.18976&lt;/D&gt;&lt;D xsi:type="xsd:double"&gt;18.851168&lt;/D&gt;&lt;D xsi:type="xsd:double"&gt;19.345144&lt;/D&gt;&lt;D xsi:type="xsd:double"&gt;19.588625&lt;/D&gt;&lt;D xsi:type="xsd:double"&gt;20.02419&lt;/D&gt;&lt;D xsi:type="xsd:double"&gt;19.374487&lt;/D&gt;&lt;D xsi:type="xsd:double"&gt;19.56939&lt;/D&gt;&lt;D xsi:type="xsd:double"&gt;20.296497&lt;/D&gt;&lt;D xsi:type="xsd:double"&gt;19.571217&lt;/D&gt;&lt;D xsi:type="xsd:double"&gt;19.113043&lt;/D&gt;&lt;D xsi:type="xsd:double"&gt;18.695791&lt;/D&gt;&lt;D xsi:type="xsd:double"&gt;18.64103&lt;/D&gt;&lt;D xsi:type="xsd:double"&gt;19.00698&lt;/D&gt;&lt;D xsi:type="xsd:double"&gt;20.967094&lt;/D&gt;&lt;D xsi:type="xsd:double"&gt;21.086767&lt;/D&gt;&lt;D xsi:type="xsd:double"&gt;19.882263&lt;/D&gt;&lt;D xsi:type="xsd:double"&gt;20.519438&lt;/D&gt;&lt;D xsi:type="xsd:double"&gt;20.344261&lt;/D&gt;&lt;D xsi:type="xsd:double"&gt;19.973429&lt;/D&gt;&lt;D xsi:type="xsd:double"&gt;19.672573&lt;/D&gt;&lt;D xsi:type="xsd:double"&gt;15.934406&lt;/D&gt;&lt;D xsi:type="xsd:double"&gt;16.050814&lt;/D&gt;&lt;D xsi:type="xsd:double"&gt;15.313549&lt;/D&gt;&lt;D xsi:type="xsd:double"&gt;14.097278&lt;/D&gt;&lt;D xsi:type="xsd:double"&gt;15.545693&lt;/D&gt;&lt;D xsi:type="xsd:double"&gt;15.481687&lt;/D&gt;&lt;D xsi:type="xsd:double"&gt;15.131411&lt;/D&gt;&lt;D xsi:type="xsd:double"&gt;15.945162&lt;/D&gt;&lt;D xsi:type="xsd:double"&gt;15.648252&lt;/D&gt;&lt;D xsi:type="xsd:double"&gt;14.918148&lt;/D&gt;&lt;D xsi:type="xsd:double"&gt;15.333877&lt;/D&gt;&lt;D xsi:type="xsd:double"&gt;14.9457855&lt;/D&gt;&lt;D xsi:type="xsd:double"&gt;15.281723&lt;/D&gt;&lt;D xsi:type="xsd:double"&gt;16.00839&lt;/D&gt;&lt;D xsi:type="xsd:double"&gt;16.072382&lt;/D&gt;&lt;D xsi:type="xsd:double"&gt;15.982911&lt;/D&gt;&lt;D xsi:type="xsd:double"&gt;16.794746&lt;/D&gt;&lt;D xsi:type="xsd:double"&gt;16.96407&lt;/D&gt;&lt;D xsi:type="xsd:double"&gt;17.178709&lt;/D&gt;&lt;D xsi:type="xsd:double"&gt;17.38056&lt;/D&gt;&lt;D xsi:type="xsd:double"&gt;17.793795&lt;/D&gt;&lt;D xsi:type="xsd:double"&gt;17.68237&lt;/D&gt;&lt;D xsi:type="xsd:double"&gt;17.152021&lt;/D&gt;&lt;D xsi:type="xsd:double"&gt;16.86167&lt;/D&gt;&lt;D xsi:type="xsd:double"&gt;17.167189&lt;/D&gt;&lt;D xsi:type="xsd:double"&gt;17.024784&lt;/D&gt;&lt;D xsi:type="xsd:double"&gt;17.305754&lt;/D&gt;&lt;D xsi:type="xsd:double"&gt;17.52757&lt;/D&gt;&lt;D xsi:type="xsd:double"&gt;17.767942&lt;/D&gt;&lt;D xsi:type="xsd:double"&gt;18.049694&lt;/D&gt;&lt;D xsi:type="xsd:double"&gt;18.370447&lt;/D&gt;&lt;D xsi:type="xsd:double"&gt;18.592606&lt;/D&gt;&lt;D xsi:type="xsd:double"&gt;18.40096&lt;/D&gt;&lt;D xsi:type="xsd:double"&gt;18.24933&lt;/D&gt;&lt;D xsi:type="xsd:double"&gt;18.185337&lt;/D&gt;&lt;D xsi:type="xsd:double"&gt;18.304844&lt;/D&gt;&lt;D xsi:type="xsd:double"&gt;18.246563&lt;/D&gt;&lt;D xsi:type="xsd:double"&gt;18.336298&lt;/D&gt;&lt;D xsi:type="xsd:double"&gt;17.106138&lt;/D&gt;&lt;D xsi:type="xsd:double"&gt;16.065878&lt;/D&gt;&lt;D xsi:type="xsd:double"&gt;15.5923&lt;/D&gt;&lt;D xsi:type="xsd:double"&gt;16.370474&lt;/D&gt;&lt;D xsi:type="xsd:double"&gt;16.720695&lt;/D&gt;&lt;D xsi:type="xsd:double"&gt;17.182133&lt;/D&gt;&lt;D xsi:type="xsd:double"&gt;16.512453&lt;/D&gt;&lt;D xsi:type="xsd:double"&gt;17.158297&lt;/D&gt;&lt;D xsi:type="xsd:double"&gt;16.03967&lt;/D&gt;&lt;D xsi:type="xsd:double"&gt;15.520969&lt;/D&gt;&lt;D xsi:type="xsd:double"&gt;14.313952&lt;/D&gt;&lt;D xsi:type="xsd:double"&gt;14.639377&lt;/D&gt;&lt;D xsi:type="xsd:double"&gt;14.817751&lt;/D&gt;&lt;D xsi:type="xsd:double"&gt;15.392348&lt;/D&gt;&lt;/FQL&gt;&lt;FQL&gt;&lt;Q&gt;CSX^FF_ENTRPR_VAL_DAILY(42272,0,W,,,"DIL")&lt;/Q&gt;&lt;R&gt;522&lt;/R&gt;&lt;C&gt;1&lt;/C&gt;&lt;D xsi:type="xsd:double"&gt;35197.6403098919&lt;/D&gt;&lt;D xsi:type="xsd:double"&gt;35973.4201269443&lt;/D&gt;&lt;D xsi:type="xsd:double"&gt;37711.5619172285&lt;/D&gt;&lt;D xsi:type="xsd:double"&gt;36091.2602483195&lt;/D&gt;&lt;D xsi:type="xsd:double"&gt;37014.3402170909&lt;/D&gt;&lt;D xsi:type="xsd:double"&gt;35659.1788212761&lt;/D&gt;&lt;D xsi:type="xsd:double"&gt;35737.7398841939&lt;/D&gt;&lt;D xsi:type="xsd:double"&gt;35600.2617065915&lt;/D&gt;&lt;D xsi:type="xsd:double"&gt;38506.979790508&lt;/D&gt;&lt;D xsi:type="xsd:double"&gt;37623.178880194&lt;/D&gt;&lt;D xsi:type="xsd:double"&gt;35531.5196717873&lt;/D&gt;&lt;D xsi:type="xsd:double"&gt;34412.0414647259&lt;/D&gt;&lt;D xsi:type="xsd:double"&gt;33901.3989747647&lt;/D&gt;&lt;D xsi:type="xsd:double"&gt;34824.9199152502&lt;/D&gt;&lt;D xsi:type="xsd:double"&gt;34647.7997328166&lt;/D&gt;&lt;D xsi:type="xsd:double"&gt;32217.3188038239&lt;/D&gt;&lt;D xsi:type="xsd:double"&gt;31508.8416164931&lt;/D&gt;&lt;D xsi:type="xsd:double"&gt;31174.2801894952&lt;/D&gt;&lt;D xsi:type="xsd:double"&gt;31764.6802072066&lt;/D&gt;&lt;D xsi:type="xsd:double"&gt;31577.7195226373&lt;/D&gt;&lt;D xsi:type="xsd:double"&gt;32915.9599170235&lt;/D&gt;&lt;D xsi:type="xsd:double"&gt;33230.8397493494&lt;/D&gt;&lt;D xsi:type="xsd:double"&gt;33034.0400386459&lt;/D&gt;&lt;D xsi:type="xsd:double"&gt;33939.3190030822&lt;/D&gt;&lt;D xsi:type="xsd:double"&gt;34795.3998848446&lt;/D&gt;&lt;D xsi:type="xsd:double"&gt;35700.6818012841&lt;/D&gt;&lt;D xsi:type="xsd:double"&gt;34644.7089937335&lt;/D&gt;&lt;D xsi:type="xsd:double"&gt;34115.062300198&lt;/D&gt;&lt;D xsi:type="xsd:double"&gt;33325.3995608462&lt;/D&gt;&lt;D xsi:type="xsd:double"&gt;34413.5916446829&lt;/D&gt;&lt;D xsi:type="xsd:double"&gt;35954.3922687059&lt;/D&gt;&lt;D xsi:type="xsd:double"&gt;35704.0110478135&lt;/D&gt;&lt;D xsi:type="xsd:double"&gt;34635.0799468156&lt;/D&gt;&lt;D xsi:type="xsd:double"&gt;33633.560841252&lt;/D&gt;&lt;D xsi:type="xsd:double"&gt;34307.660572574&lt;/D&gt;&lt;D xsi:type="xsd:double"&gt;34375.0696790053&lt;/D&gt;&lt;D xsi:type="xsd:double"&gt;35097.3204229228&lt;/D&gt;&lt;D xsi:type="xsd:double"&gt;35232.1444137914&lt;/D&gt;&lt;D xsi:type="xsd:double"&gt;35203.2486060287&lt;/D&gt;&lt;D xsi:type="xsd:double"&gt;34188.4033043694&lt;/D&gt;&lt;D xsi:type="xsd:double"&gt;34673.9180924492&lt;/D&gt;&lt;D xsi:type="xsd:double"&gt;34978.5622142323&lt;/D&gt;&lt;D xsi:type="xsd:double"&gt;36873.0403575428&lt;/D&gt;&lt;D xsi:type="xsd:double"&gt;36834.9612703213&lt;/D&gt;&lt;D xsi:type="xsd:double"&gt;36692.1611232373&lt;/D&gt;&lt;D xsi:type="xsd:double"&gt;36977.7599894039&lt;/D&gt;&lt;D xsi:type="xsd:double"&gt;36435.1208584861&lt;/D&gt;&lt;D xsi:type="xsd:double"&gt;37015.8433606297&lt;/D&gt;&lt;D xsi:type="xsd:double"&gt;36558.8828899609&lt;/D&gt;&lt;D xsi:type="xsd:double"&gt;36511.279032929&lt;/D&gt;&lt;D xsi:type="xsd:double"&gt;36273.2825957929&lt;/D&gt;&lt;D xsi:type="xsd:double"&gt;37644.1582957934&lt;/D&gt;&lt;D xsi:type="xsd:double"&gt;37728.5204990065&lt;/D&gt;&lt;D xsi:type="xsd:double"&gt;38539.5008628154&lt;/D&gt;&lt;D xsi:type="xsd:double"&gt;39058.1518685254&lt;/D&gt;&lt;D xsi:type="xsd:double"&gt;39034.5777872441&lt;/D&gt;&lt;D xsi:type="xsd:double"&gt;38341.4720733459&lt;/D&gt;&lt;D xsi:type="xsd:double"&gt;38332.043006634&lt;/D&gt;&lt;D xsi:type="xsd:double"&gt;38935.5626852586&lt;/D&gt;&lt;D xsi:type="xsd:double"&gt;42386.9405821742&lt;/D&gt;&lt;D xsi:type="xsd:double"&gt;41840.000961827&lt;/D&gt;&lt;D xsi:type="xsd:double"&gt;42962.1674026572&lt;/D&gt;&lt;D xsi:type="xsd:double"&gt;44178.6386556213&lt;/D&gt;&lt;D xsi:type="xsd:double"&gt;44923.6141379453&lt;/D&gt;&lt;D xsi:type="xsd:double"&gt;43763.7201142557&lt;/D&gt;&lt;D xsi:type="xsd:double"&gt;44338.9525927445&lt;/D&gt;&lt;D xsi:type="xsd:double"&gt;44349.6390594521&lt;/D&gt;&lt;D xsi:type="xsd:double"&gt;45856.9606119917&lt;/D&gt;&lt;D xsi:type="xsd:double"&gt;47070.3999658329&lt;/D&gt;&lt;D xsi:type="xsd:double"&gt;52312.8415735422&lt;/D&gt;&lt;D xsi:type="xsd:double"&gt;55848.8785796566&lt;/D&gt;&lt;D xsi:type="xsd:double"&gt;54644.9211315817&lt;/D&gt;&lt;D xsi:type="xsd:double"&gt;55573.9630364939&lt;/D&gt;&lt;D xsi:type="xsd:double"&gt;56303.9190483478&lt;/D&gt;&lt;D xsi:type="xsd:double"&gt;56247.0389897614&lt;/D&gt;&lt;D xsi:type="xsd:double"&gt;57195.0418622034&lt;/D&gt;&lt;D xsi:type="xsd:double"&gt;55602.3973777812&lt;/D&gt;&lt;D xsi:type="xsd:double"&gt;54730.2412194613&lt;/D&gt;&lt;D xsi:type="xsd:double"&gt;54199.356880651&lt;/D&gt;&lt;D xsi:type="xsd:double"&gt;53334.9480922507&lt;/D&gt;&lt;D xsi:type="xsd:double"&gt;54152.4680052953&lt;/D&gt;&lt;D xsi:type="xsd:double"&gt;53214.1761098556&lt;/D&gt;&lt;D xsi:type="xsd:double"&gt;57255.333059243&lt;/D&gt;&lt;D xsi:type="xsd:double"&gt;57320.362197223&lt;/D&gt;&lt;D xsi:type="xsd:double"&gt;58862.4944956176&lt;/D&gt;&lt;D xsi:type="xsd:double"&gt;58528.0597251501&lt;/D&gt;&lt;D xsi:type="xsd:double"&gt;56893.0254730666&lt;/D&gt;&lt;D xsi:type="xsd:double"&gt;60218.8423956545&lt;/D&gt;&lt;D xsi:type="xsd:double"&gt;60757.6592346353&lt;/D&gt;&lt;D xsi:type="xsd:double"&gt;59373.4496669009&lt;/D&gt;&lt;D xsi:type="xsd:double"&gt;59085.463086275&lt;/D&gt;&lt;D xsi:type="xsd:double"&gt;59001.8502131538&lt;/D&gt;&lt;D xsi:type="xsd:double"&gt;61155.4457257956&lt;/D&gt;&lt;D xsi:type="xsd:double"&gt;61423.3986097868&lt;/D&gt;&lt;D xsi:type="xsd:double"&gt;61635.9225246862&lt;/D&gt;&lt;D xsi:type="xsd:double"&gt;58494.3174408363&lt;/D&gt;&lt;D xsi:type="xsd:double"&gt;56932.7623004362&lt;/D&gt;&lt;D xsi:type="xsd:double"&gt;55777.7601867852&lt;/D&gt;&lt;D xsi:type="xsd:double"&gt;57191.4816429168&lt;/D&gt;&lt;D xsi:type="xsd:double"&gt;55814.7193008531&lt;/D&gt;&lt;D xsi:type="xsd:double"&gt;55879.3984434725&lt;/D&gt;&lt;D xsi:type="xsd:double"&gt;56738.722100575&lt;/D&gt;&lt;D xsi:type="xsd:double"&gt;57995.3569269075&lt;/D&gt;&lt;D xsi:type="xsd:double"&gt;59233.524670219&lt;/D&gt;&lt;D xsi:type="xsd:double"&gt;59806.4006402806&lt;/D&gt;&lt;D xsi:type="xsd:double"&gt;60277.5571802917&lt;/D&gt;&lt;D xsi:type="xsd:double"&gt;58547.0999279226&lt;/D&gt;&lt;D xsi:type="xsd:double"&gt;58981.980375849&lt;/D&gt;&lt;D xsi:type="xsd:double"&gt;60513.1210469223&lt;/D&gt;&lt;D xsi:type="xsd:double"&gt;58719.2391992259&lt;/D&gt;&lt;D xsi:type="xsd:double"&gt;57604.8634874201&lt;/D&gt;&lt;D xsi:type="xsd:double"&gt;56490.4823396087&lt;/D&gt;&lt;D xsi:type="xsd:double"&gt;56345.5176602952&lt;/D&gt;&lt;D xsi:type="xsd:double"&gt;57233.4021988153&lt;/D&gt;&lt;D xsi:type="xsd:double"&gt;61980.8398406711&lt;/D&gt;&lt;D xsi:type="xsd:double"&gt;62270.7583272868&lt;/D&gt;&lt;D xsi:type="xsd:double"&gt;59072.5768451633&lt;/D&gt;&lt;D xsi:type="xsd:double"&gt;60948.0014948487&lt;/D&gt;&lt;D xsi:type="xsd:double"&gt;61685.1378614587&lt;/D&gt;&lt;D xsi:type="xsd:double"&gt;64162.0794987059&lt;/D&gt;&lt;D xsi:type="xsd:double"&gt;65560.4981970757&lt;/D&gt;&lt;D xsi:type="xsd:double"&gt;63951.863852184&lt;/D&gt;&lt;D xsi:type="xsd:double"&gt;64335.7360215719&lt;/D&gt;&lt;D xsi:type="xsd:double"&gt;61904.5035714051&lt;/D&gt;&lt;D xsi:type="xsd:double"&gt;57919.4603808148&lt;/D&gt;&lt;D xsi:type="xsd:double"&gt;62681.4034576112&lt;/D&gt;&lt;D xsi:type="xsd:double"&gt;62443.7650408438&lt;/D&gt;&lt;D xsi:type="xsd:double"&gt;61712.5661157097&lt;/D&gt;&lt;D xsi:type="xsd:double"&gt;64417.9988483026&lt;/D&gt;&lt;D xsi:type="xsd:double"&gt;63430.8750895662&lt;/D&gt;&lt;D xsi:type="xsd:double"&gt;61008.7789928097&lt;/D&gt;&lt;D xsi:type="xsd:double"&gt;61280.4776745395&lt;/D&gt;&lt;D xsi:type="xsd:double"&gt;60072.7999826328&lt;/D&gt;&lt;D xsi:type="xsd:double"&gt;61173.9228927882&lt;/D&gt;&lt;D xsi:type="xsd:double"&gt;65125.5207469298&lt;/D&gt;&lt;D xsi:type="xsd:double"&gt;65338.6409664434&lt;/D&gt;&lt;D xsi:type="xsd:double"&gt;65063.3615709059&lt;/D&gt;&lt;D xsi:type="xsd:double"&gt;67833.9244245827&lt;/D&gt;&lt;D xsi:type="xsd:double"&gt;68428.8788213851&lt;/D&gt;&lt;D xsi:type="xsd:double"&gt;69245.8458788603&lt;/D&gt;&lt;D xsi:type="xsd:double"&gt;69920.7176939776&lt;/D&gt;&lt;D xsi:type="xsd:double"&gt;71368.1609608426&lt;/D&gt;&lt;D xsi:type="xsd:double"&gt;70995.2005766938&lt;/D&gt;&lt;D xsi:type="xsd:double"&gt;69334.6397543179&lt;/D&gt;&lt;D xsi:type="xsd:double"&gt;67760.0371298095&lt;/D&gt;&lt;D xsi:type="xsd:double"&gt;68818.9964845365&lt;/D&gt;&lt;D xsi:type="xsd:double"&gt;68567.2779612667&lt;/D&gt;&lt;D xsi:type="xsd:double"&gt;72690.2787359531&lt;/D&gt;&lt;D xsi:type="xsd:double"&gt;73393.3542521202&lt;/D&gt;&lt;D xsi:type="xsd:double"&gt;74252.6829492278&lt;/D&gt;&lt;D xsi:type="xsd:double"&gt;75233.5170154859&lt;/D&gt;&lt;D xsi:type="xsd:double"&gt;76361.9225177423&lt;/D&gt;&lt;D xsi:type="xsd:double"&gt;77195.2059800234&lt;/D&gt;&lt;D xsi:type="xsd:double"&gt;76769.8812019394&lt;/D&gt;&lt;D xsi:type="xsd:double"&gt;76309.8346520919&lt;/D&gt;&lt;D xsi:type="xsd:double"&gt;76179.6449339966&lt;/D&gt;&lt;D xsi:type="xsd:double"&gt;76622.325389957&lt;/D&gt;&lt;D xsi:type="xsd:double"&gt;75748.7053557994&lt;/D&gt;&lt;D xsi:type="xsd:double"&gt;76175.7040876077&lt;/D&gt;&lt;D xsi:type="xsd:double"&gt;72460.797699258&lt;/D&gt;&lt;D xsi:type="xsd:double"&gt;70530.7642513256&lt;/D&gt;&lt;D xsi:type="xsd:double"&gt;68805.6782044888&lt;/D&gt;&lt;D xsi:type="xsd:double"&gt;71589.7244880535&lt;/D&gt;&lt;D xsi:type="xsd:double"&gt;72853.6423738876&lt;/D&gt;&lt;D xsi:type="xsd:double"&gt;74518.9389651413&lt;/D&gt;&lt;D xsi:type="xsd:double"&gt;72102.1173298176&lt;/D&gt;&lt;D xsi:type="xsd:double"&gt;74536.017274732&lt;/D&gt;&lt;D xsi:type="xsd:double"&gt;70607.6192064861&lt;/D&gt;&lt;D xsi:type="xsd:double"&gt;68728.8232493283&lt;/D&gt;&lt;D xsi:type="xsd:double"&gt;64347.8012988803&lt;/D&gt;&lt;D xsi:type="xsd:double"&gt;65526.3199507533&lt;/D&gt;&lt;D xsi:type="xsd:double"&gt;67725.1940240025&lt;/D&gt;&lt;D xsi:type="xsd:double"&gt;69817.4184299914&lt;/D&gt;&lt;D xsi:type="xsd:double"&gt;71659.9594668067&lt;/D&gt;&lt;D xsi:type="xsd:double"&gt;70661.197577083&lt;/D&gt;&lt;D xsi:type="xsd:double"&gt;70661.197577083&lt;/D&gt;&lt;D xsi:type="xsd:double"&gt;72856.7498384995&lt;/D&gt;&lt;D xsi:type="xsd:double"&gt;76119.9423385843&lt;/D&gt;&lt;D xsi:type="xsd:double"&gt;76782.9061334364&lt;/D&gt;&lt;D xsi:type="xsd:double"&gt;76042.4445097617&lt;/D&gt;&lt;D xsi:type="xsd:double"&gt;75456.965628719&lt;/D&gt;&lt;D xsi:type="xsd:double"&gt;76352.4074120231&lt;/D&gt;&lt;D xsi:type="xsd:double"&gt;76094.1148949821&lt;/D&gt;&lt;D xsi:type="xsd:double"&gt;75455.9392357125&lt;/D&gt;&lt;D xsi:type="xsd:double"&gt;75129.1372651069&lt;/D&gt;&lt;D xsi:type="xsd:double"&gt;76959.2224180926&lt;/D&gt;&lt;D xsi:type="xsd:double"&gt;78846.4919109782&lt;/D&gt;&lt;D xsi:type="xsd:double"&gt;79009.8904452785&lt;/D&gt;&lt;D xsi:type="xsd:double"&gt;80112.841581317&lt;/D&gt;&lt;D xsi:type="xsd:double"&gt;78617.7300413537&lt;/D&gt;&lt;D xsi:type="xsd:double"&gt;78380.80388232&lt;/D&gt;&lt;D xsi:type="xsd:double"&gt;75521.2976690317&lt;/D&gt;&lt;D xsi:type="xsd:double"&gt;75169.9881241832&lt;/D&gt;&lt;D xsi:type="xsd:double"&gt;78111.1936046217&lt;/D&gt;&lt;D xsi:type="xsd:double"&gt;77375.8903962602&lt;/D&gt;&lt;D xsi:type="xsd:double"&gt;78601.3867565202&lt;/D&gt;&lt;D xsi:type="xsd:double"&gt;77047.5913646529&lt;/D&gt;&lt;D xsi:type="xsd:double"&gt;77878.8038348008&lt;/D&gt;&lt;D xsi:type="xsd:double"&gt;78024.0591424136&lt;/D&gt;&lt;D xsi:type="xsd:double"&gt;71350.1687243136&lt;/D&gt;&lt;D xsi:type="xsd:double"&gt;70260.7248651876&lt;/D&gt;&lt;D xsi:type="xsd:double"&gt;68775.839300757&lt;/D&gt;&lt;D xsi:type="xsd:double"&gt;68331.9920715948&lt;/D&gt;&lt;D xsi:type="xsd:double"&gt;67137.6243853974&lt;/D&gt;&lt;D xsi:type="xsd:double"&gt;66758.3404507354&lt;/D&gt;&lt;D xsi:type="xsd:double"&gt;68695.1400246368&lt;/D&gt;&lt;D xsi:type="xsd:double"&gt;69098.6339842352&lt;/D&gt;&lt;D xsi:type="xsd:double"&gt;73093.2880987247&lt;/D&gt;&lt;D xsi:type="xsd:double"&gt;69986.340547572&lt;/D&gt;&lt;D xsi:type="xsd:double"&gt;70220.3691746212&lt;/D&gt;&lt;D xsi:type="xsd:double"&gt;67581.3276913015&lt;/D&gt;&lt;D xsi:type="xsd:double"&gt;69434.6024721725&lt;/D&gt;&lt;D xsi:type="xsd:double"&gt;69133.636618178&lt;/D&gt;&lt;D xsi:type="xsd:double"&gt;72024.4403877028&lt;/D&gt;&lt;D xsi:type="xsd:double"&gt;71984.839554914&lt;/D&gt;&lt;D xsi:type="xsd:double"&gt;73378.75940665&lt;/D&gt;&lt;D xsi:type="xsd:double"&gt;71462.1213925149&lt;/D&gt;&lt;D xsi:type="xsd:double"&gt;70590.9220791805&lt;/D&gt;&lt;D xsi:type="xsd:double"&gt;71406.6868794174&lt;/D&gt;&lt;D xsi:type="xsd:double"&gt;71192.83</t>
        </r>
      </text>
    </comment>
    <comment ref="A7" authorId="0" shapeId="0" xr:uid="{97169D49-EAF8-40E9-BE1F-91A4E9DA02ED}">
      <text>
        <r>
          <rPr>
            <b/>
            <sz val="9"/>
            <color indexed="81"/>
            <rFont val="Tahoma"/>
            <family val="2"/>
          </rPr>
          <t>71551524&lt;/D&gt;&lt;D xsi:type="xsd:double"&gt;72388.7575949492&lt;/D&gt;&lt;D xsi:type="xsd:double"&gt;72705.5618812573&lt;/D&gt;&lt;D xsi:type="xsd:double"&gt;72444.199236054&lt;/D&gt;&lt;D xsi:type="xsd:double"&gt;73015.2160711408&lt;/D&gt;&lt;D xsi:type="xsd:double"&gt;73390.2796494559&lt;/D&gt;&lt;D xsi:type="xsd:double"&gt;75816.1989561502&lt;/D&gt;&lt;D xsi:type="xsd:double"&gt;76055.5968087298&lt;/D&gt;&lt;D xsi:type="xsd:double"&gt;75768.3141188289&lt;/D&gt;&lt;D xsi:type="xsd:double"&gt;76989.264952407&lt;/D&gt;&lt;D xsi:type="xsd:double"&gt;78361.8135981306&lt;/D&gt;&lt;D xsi:type="xsd:double"&gt;78337.8783614774&lt;/D&gt;&lt;D xsi:type="xsd:double"&gt;71068.0948636081&lt;/D&gt;&lt;D xsi:type="xsd:double"&gt;69312.5010353483&lt;/D&gt;&lt;D xsi:type="xsd:double"&gt;61085.1213391559&lt;/D&gt;&lt;D xsi:type="xsd:double"&gt;54645.2594941051&lt;/D&gt;&lt;D xsi:type="xsd:double"&gt;59768.4175889525&lt;/D&gt;&lt;D xsi:type="xsd:double"&gt;58639.2126846625&lt;/D&gt;&lt;D xsi:type="xsd:double"&gt;64227.9991651067&lt;/D&gt;&lt;D xsi:type="xsd:double"&gt;63277.2128237977&lt;/D&gt;&lt;D xsi:type="xsd:double"&gt;64088.8613407949&lt;/D&gt;&lt;D xsi:type="xsd:double"&gt;65000.9968692935&lt;/D&gt;&lt;D xsi:type="xsd:double"&gt;65859.0300720668&lt;/D&gt;&lt;D xsi:type="xsd:double"&gt;62682.003756733&lt;/D&gt;&lt;D xsi:type="xsd:double"&gt;67729.690452845&lt;/D&gt;&lt;D xsi:type="xsd:double"&gt;70087.3413352229&lt;/D&gt;&lt;D xsi:type="xsd:double"&gt;72792.8425758863&lt;/D&gt;&lt;D xsi:type="xsd:double"&gt;68533.609734881&lt;/D&gt;&lt;D xsi:type="xsd:double"&gt;67312.2723419048&lt;/D&gt;&lt;D xsi:type="xsd:double"&gt;65704.4314588304&lt;/D&gt;&lt;D xsi:type="xsd:double"&gt;67221.6207100333&lt;/D&gt;&lt;D xsi:type="xsd:double"&gt;66209.1796672201&lt;/D&gt;&lt;D xsi:type="xsd:double"&gt;69752.7233170663&lt;/D&gt;&lt;D xsi:type="xsd:double"&gt;69123.7765332518&lt;/D&gt;&lt;D xsi:type="xsd:double"&gt;69123.7765332518&lt;/D&gt;&lt;D xsi:type="xsd:double"&gt;70343.3146923748&lt;/D&gt;&lt;D xsi:type="xsd:double"&gt;71355.7465311785&lt;/D&gt;&lt;D xsi:type="xsd:double"&gt;71263.7041353749&lt;/D&gt;&lt;D xsi:type="xsd:double"&gt;73518.6910600091&lt;/D&gt;&lt;D xsi:type="xsd:double"&gt;72322.1767306006&lt;/D&gt;&lt;D xsi:type="xsd:double"&gt;73595.3903720093&lt;/D&gt;&lt;D xsi:type="xsd:double"&gt;75635.6086384319&lt;/D&gt;&lt;D xsi:type="xsd:double"&gt;74293.3603239176&lt;/D&gt;&lt;D xsi:type="xsd:double"&gt;73256.0495892083&lt;/D&gt;&lt;D xsi:type="xsd:double"&gt;74276.1598729208&lt;/D&gt;&lt;D xsi:type="xsd:double"&gt;75526.3703936363&lt;/D&gt;&lt;D xsi:type="xsd:double"&gt;76431.4374618544&lt;/D&gt;&lt;D xsi:type="xsd:double"&gt;74628.981770327&lt;/D&gt;&lt;D xsi:type="xsd:double"&gt;80182.0598199915&lt;/D&gt;&lt;D xsi:type="xsd:double"&gt;83572.2025448349&lt;/D&gt;&lt;D xsi:type="xsd:double"&gt;84293.1802194411&lt;/D&gt;&lt;D xsi:type="xsd:double"&gt;84101.4284879371&lt;/D&gt;&lt;D xsi:type="xsd:double"&gt;84530.9473963411&lt;/D&gt;&lt;D xsi:type="xsd:double"&gt;83441.8116435324&lt;/D&gt;&lt;D xsi:type="xsd:double"&gt;83618.2202912331&lt;/D&gt;&lt;D xsi:type="xsd:double"&gt;83150.3505763278&lt;/D&gt;&lt;D xsi:type="xsd:double"&gt;83778.998058804&lt;/D&gt;&lt;D xsi:type="xsd:double"&gt;87688.1159411913&lt;/D&gt;&lt;D xsi:type="xsd:double"&gt;85829.5578668785&lt;/D&gt;&lt;D xsi:type="xsd:double"&gt;81390.5194386736&lt;/D&gt;&lt;D xsi:type="xsd:double"&gt;79942.8364115616&lt;/D&gt;&lt;D xsi:type="xsd:double"&gt;82089.403998524&lt;/D&gt;&lt;D xsi:type="xsd:double"&gt;83310.5183442704&lt;/D&gt;&lt;D xsi:type="xsd:double"&gt;84808.1175827961&lt;/D&gt;&lt;D xsi:type="xsd:double"&gt;84393.4017636392&lt;/D&gt;&lt;D xsi:type="xsd:double"&gt;84454.8356829161&lt;/D&gt;&lt;D xsi:type="xsd:double"&gt;86159.7974390249&lt;/D&gt;&lt;D xsi:type="xsd:double"&gt;83794.3565386233&lt;/D&gt;&lt;D xsi:type="xsd:double"&gt;89085.8873648944&lt;/D&gt;&lt;D xsi:type="xsd:double"&gt;87964.1231834082&lt;/D&gt;&lt;D xsi:type="xsd:double"&gt;88748.9809438109&lt;/D&gt;&lt;D xsi:type="xsd:double"&gt;89015.6819805127&lt;/D&gt;&lt;D xsi:type="xsd:double"&gt;92421.832346844&lt;/D&gt;&lt;D xsi:type="xsd:double"&gt;90623.5028745665&lt;/D&gt;&lt;D xsi:type="xsd:double"&gt;92437.0639805325&lt;/D&gt;&lt;D xsi:type="xsd:double"&gt;91355.0236280321&lt;/D&gt;&lt;D xsi:type="xsd:double"&gt;88748.9809438109&lt;/D&gt;&lt;D xsi:type="xsd:double"&gt;90143.4469521094&lt;/D&gt;&lt;D xsi:type="xsd:double"&gt;89762.4457976786&lt;/D&gt;&lt;D xsi:type="xsd:double"&gt;87941.2677318672&lt;/D&gt;&lt;D xsi:type="xsd:double"&gt;86051.4981654065&lt;/D&gt;&lt;D xsi:type="xsd:double"&gt;86935.4244098496&lt;/D&gt;&lt;D xsi:type="xsd:double"&gt;87938.5&lt;/D&gt;&lt;D xsi:type="xsd:double"&gt;86232.25&lt;/D&gt;&lt;D xsi:type="xsd:double"&gt;85504.25&lt;/D&gt;&lt;D xsi:type="xsd:double"&gt;88461.75&lt;/D&gt;&lt;D xsi:type="xsd:double"&gt;87347&lt;/D&gt;&lt;D xsi:type="xsd:double"&gt;87301.5&lt;/D&gt;&lt;D xsi:type="xsd:double"&gt;90873.25&lt;/D&gt;&lt;D xsi:type="xsd:double"&gt;90554.75&lt;/D&gt;&lt;D xsi:type="xsd:double"&gt;89917.75&lt;/D&gt;&lt;D xsi:type="xsd:double"&gt;86619&lt;/D&gt;&lt;D xsi:type="xsd:double"&gt;84230.25&lt;/D&gt;&lt;D xsi:type="xsd:double"&gt;82774.25&lt;/D&gt;&lt;D xsi:type="xsd:double"&gt;83024.5&lt;/D&gt;&lt;D xsi:type="xsd:double"&gt;82727.28&lt;/D&gt;&lt;D xsi:type="xsd:double"&gt;88040.82&lt;/D&gt;&lt;D xsi:type="xsd:double"&gt;91291.72&lt;/D&gt;&lt;D xsi:type="xsd:double"&gt;94116.64&lt;/D&gt;&lt;D xsi:type="xsd:double"&gt;95798.14&lt;/D&gt;&lt;D xsi:type="xsd:double"&gt;94094.22&lt;/D&gt;&lt;D xsi:type="xsd:double"&gt;93690.66&lt;/D&gt;&lt;D xsi:type="xsd:double"&gt;95596.36&lt;/D&gt;&lt;D xsi:type="xsd:double"&gt;94452.94&lt;/D&gt;&lt;D xsi:type="xsd:double"&gt;95058.28&lt;/D&gt;&lt;D xsi:type="xsd:double"&gt;97076.08&lt;/D&gt;&lt;D xsi:type="xsd:double"&gt;94789.24&lt;/D&gt;&lt;D xsi:type="xsd:double"&gt;97188.18&lt;/D&gt;&lt;D xsi:type="xsd:double"&gt;99390&lt;/D&gt;&lt;D xsi:type="xsd:double"&gt;99187.05&lt;/D&gt;&lt;D xsi:type="xsd:double"&gt;96774.2&lt;/D&gt;&lt;D xsi:type="xsd:double"&gt;91497.5&lt;/D&gt;&lt;D xsi:type="xsd:double"&gt;92241.65&lt;/D&gt;&lt;D xsi:type="xsd:double"&gt;91948.5&lt;/D&gt;&lt;D xsi:type="xsd:double"&gt;89851.35&lt;/D&gt;&lt;D xsi:type="xsd:double"&gt;92760.3&lt;/D&gt;&lt;D xsi:type="xsd:double"&gt;91971.05&lt;/D&gt;&lt;D xsi:type="xsd:double"&gt;99006.65&lt;/D&gt;&lt;D xsi:type="xsd:double"&gt;92827.95&lt;/D&gt;&lt;D xsi:type="xsd:double"&gt;96481.05&lt;/D&gt;&lt;D xsi:type="xsd:double"&gt;97856.6&lt;/D&gt;&lt;D xsi:type="xsd:double"&gt;92664.43&lt;/D&gt;&lt;D xsi:type="xsd:double"&gt;90076.69&lt;/D&gt;&lt;D xsi:type="xsd:double"&gt;91677.58&lt;/D&gt;&lt;D xsi:type="xsd:double"&gt;90493.36&lt;/D&gt;&lt;D xsi:type="xsd:double"&gt;90098.62&lt;/D&gt;&lt;D xsi:type="xsd:double"&gt;91063.54&lt;/D&gt;&lt;D xsi:type="xsd:double"&gt;88102.99&lt;/D&gt;&lt;D xsi:type="xsd:double"&gt;82642.42&lt;/D&gt;&lt;D xsi:type="xsd:double"&gt;85076.65&lt;/D&gt;&lt;D xsi:type="xsd:double"&gt;85208.23&lt;/D&gt;&lt;D xsi:type="xsd:double"&gt;81238.9&lt;/D&gt;&lt;D xsi:type="xsd:double"&gt;78234.49&lt;/D&gt;&lt;D xsi:type="xsd:double"&gt;79638.01&lt;/D&gt;&lt;D xsi:type="xsd:double"&gt;79343.42&lt;/D&gt;&lt;D xsi:type="xsd:double"&gt;78586.37&lt;/D&gt;&lt;D xsi:type="xsd:double"&gt;78305.18&lt;/D&gt;&lt;D xsi:type="xsd:double"&gt;82696.07&lt;/D&gt;&lt;D xsi:type="xsd:double"&gt;85810.79&lt;/D&gt;&lt;D xsi:type="xsd:double"&gt;87497.93&lt;/D&gt;&lt;D xsi:type="xsd:double"&gt;90180.05&lt;/D&gt;&lt;D xsi:type="xsd:double"&gt;89055.29&lt;/D&gt;&lt;D xsi:type="xsd:double"&gt;86459.69&lt;/D&gt;&lt;D xsi:type="xsd:double"&gt;83453.12&lt;/D&gt;&lt;D xsi:type="xsd:double"&gt;86459.69&lt;/D&gt;&lt;D xsi:type="xsd:double"&gt;79667.87&lt;/D&gt;&lt;D xsi:type="xsd:double"&gt;75752.84&lt;/D&gt;&lt;D xsi:type="xsd:double"&gt;72783.64&lt;/D&gt;&lt;D xsi:type="xsd:double"&gt;73060.02&lt;/D&gt;&lt;D xsi:type="xsd:double"&gt;74208.06&lt;/D&gt;&lt;D xsi:type="xsd:double"&gt;74697.04&lt;/D&gt;&lt;D xsi:type="xsd:double"&gt;78268.72&lt;/D&gt;&lt;D xsi:type="xsd:double"&gt;79140.38&lt;/D&gt;&lt;D xsi:type="xsd:double"&gt;84051.44&lt;/D&gt;&lt;D xsi:type="xsd:double"&gt;81797.88&lt;/D&gt;&lt;D xsi:type="xsd:double"&gt;84221.52&lt;/D&gt;&lt;D xsi:type="xsd:double"&gt;84285.3&lt;/D&gt;&lt;D xsi:type="xsd:double"&gt;82945.92&lt;/D&gt;&lt;D xsi:type="xsd:double"&gt;83434.9&lt;/D&gt;&lt;D xsi:type="xsd:double"&gt;82584.5&lt;/D&gt;&lt;D xsi:type="xsd:double"&gt;82855.18&lt;/D&gt;&lt;D xsi:type="xsd:double"&gt;85467.2&lt;/D&gt;&lt;D xsi:type="xsd:double"&gt;85938.22&lt;/D&gt;&lt;D xsi:type="xsd:double"&gt;85060.41&lt;/D&gt;&lt;D xsi:type="xsd:double"&gt;80928.28&lt;/D&gt;&lt;D xsi:type="xsd:double"&gt;85617.07&lt;/D&gt;&lt;D xsi:type="xsd:double"&gt;84118.37&lt;/D&gt;&lt;D xsi:type="xsd:double"&gt;83347.61&lt;/D&gt;&lt;D xsi:type="xsd:double"&gt;82362.75&lt;/D&gt;&lt;D xsi:type="xsd:double"&gt;83219.15&lt;/D&gt;&lt;D xsi:type="xsd:double"&gt;79665.09&lt;/D&gt;&lt;D xsi:type="xsd:double"&gt;78423.31&lt;/D&gt;&lt;D xsi:type="xsd:double"&gt;77010.25&lt;/D&gt;&lt;D xsi:type="xsd:double"&gt;78555.52&lt;/D&gt;&lt;D xsi:type="xsd:double"&gt;78720.16&lt;/D&gt;&lt;D xsi:type="xsd:double"&gt;79625.68&lt;/D&gt;&lt;D xsi:type="xsd:double"&gt;82424.56&lt;/D&gt;&lt;D xsi:type="xsd:double"&gt;79996.12&lt;/D&gt;&lt;D xsi:type="xsd:double"&gt;82506.88&lt;/D&gt;&lt;D xsi:type="xsd:double"&gt;82424.56&lt;/D&gt;&lt;D xsi:type="xsd:double"&gt;83432.98&lt;/D&gt;&lt;D xsi:type="xsd:double"&gt;80345.98&lt;/D&gt;&lt;D xsi:type="xsd:double"&gt;82630.36&lt;/D&gt;&lt;D xsi:type="xsd:double"&gt;83432.98&lt;/D&gt;&lt;D xsi:type="xsd:double"&gt;85285.18&lt;/D&gt;&lt;D xsi:type="xsd:double"&gt;84317.92&lt;/D&gt;&lt;D xsi:type="xsd:double"&gt;86415.5&lt;/D&gt;&lt;D xsi:type="xsd:double"&gt;84795.5&lt;/D&gt;&lt;D xsi:type="xsd:double"&gt;85463.75&lt;/D&gt;&lt;D xsi:type="xsd:double"&gt;83094.5&lt;/D&gt;&lt;D xsi:type="xsd:double"&gt;85808&lt;/D&gt;&lt;D xsi:type="xsd:double"&gt;81191&lt;/D&gt;&lt;D xsi:type="xsd:double"&gt;79631.75&lt;/D&gt;&lt;D xsi:type="xsd:double"&gt;79874.75&lt;/D&gt;&lt;D xsi:type="xsd:double"&gt;79955.75&lt;/D&gt;&lt;D xsi:type="xsd:double"&gt;79388.75&lt;/D&gt;&lt;D xsi:type="xsd:double"&gt;78011.75&lt;/D&gt;&lt;D xsi:type="xsd:double"&gt;79834.25&lt;/D&gt;&lt;D xsi:type="xsd:double"&gt;80543&lt;/D&gt;&lt;D xsi:type="xsd:double"&gt;78983.25&lt;/D&gt;&lt;D xsi:type="xsd:double"&gt;79303.09&lt;/D&gt;&lt;D xsi:type="xsd:double"&gt;79762.86&lt;/D&gt;&lt;D xsi:type="xsd:double"&gt;79003.24&lt;/D&gt;&lt;D xsi:type="xsd:double"&gt;75964.76&lt;/D&gt;&lt;D xsi:type="xsd:double"&gt;78283.6&lt;/D&gt;&lt;D xsi:type="xsd:double"&gt;78883.3&lt;/D&gt;&lt;D xsi:type="xsd:double"&gt;80722.38&lt;/D&gt;&lt;D xsi:type="xsd:double"&gt;82761.36&lt;/D&gt;&lt;D xsi:type="xsd:double"&gt;84280.6&lt;/D&gt;&lt;D xsi:type="xsd:double"&gt;83401.04&lt;/D&gt;&lt;D xsi:type="xsd:double"&gt;85480&lt;/D&gt;&lt;D xsi:type="xsd:double"&gt;86739.37&lt;/D&gt;&lt;D xsi:type="xsd:double"&gt;87451.71&lt;/D&gt;&lt;D xsi:type="xsd:double"&gt;87351.06&lt;/D&gt;&lt;D xsi:type="xsd:double"&gt;87834.18&lt;/D&gt;&lt;D xsi:type="xsd:double"&gt;87210.15&lt;/D&gt;&lt;D xsi:type="xsd:double"&gt;88901.07&lt;/D&gt;&lt;D xsi:type="xsd:double"&gt;91195.89&lt;/D&gt;&lt;D xsi:type="xsd:double"&gt;91920.57&lt;/D&gt;&lt;D xsi:type="xsd:double"&gt;91578.36&lt;/D&gt;&lt;D xsi:type="xsd:double"&gt;94819.29&lt;/D&gt;&lt;D xsi:type="xsd:double"&gt;94617.99&lt;/D&gt;&lt;D xsi:type="xsd:double"&gt;94537.47&lt;/D&gt;&lt;D xsi:type="xsd:double"&gt;92081.61&lt;/D&gt;&lt;D xsi:type="xsd:double"&gt;92846.55&lt;/D&gt;&lt;D xsi:type="xsd:double"&gt;90253.34&lt;/D&gt;&lt;D xsi:type="xsd:double"&gt;88742.6&lt;/D&gt;&lt;D xsi:type="xsd:double"&gt;86859.08&lt;/D&gt;&lt;D xsi:type="xsd:double"&gt;84897.08&lt;/D&gt;&lt;D xsi:type="xsd:double"&gt;84210.38&lt;/D&gt;&lt;D xsi:type="xsd:double"&gt;83935.7&lt;/D&gt;&lt;D xsi:type="xsd:double"&gt;84975.56&lt;/D&gt;&lt;D xsi:type="xsd:double"&gt;83288.24&lt;/D&gt;&lt;D xsi:type="xsd:double"&gt;83798.36&lt;/D&gt;&lt;D xsi:type="xsd:double"&gt;83739.5&lt;/D&gt;&lt;D xsi:type="xsd:double"&gt;81777.5&lt;/D&gt;&lt;D xsi:type="xsd:double"&gt;80659.16&lt;/D&gt;&lt;D xsi:type="xsd:double"&gt;83072.42&lt;/D&gt;&lt;D xsi:type="xsd:double"&gt;82930.6&lt;/D&gt;&lt;D xsi:type="xsd:double"&gt;82638.4&lt;/D&gt;&lt;D xsi:type="xsd:double"&gt;83592.92&lt;/D&gt;&lt;D xsi:type="xsd:double"&gt;85346.12&lt;/D&gt;&lt;D xsi:type="xsd:double"&gt;84625.36&lt;/D&gt;&lt;D xsi:type="xsd:double"&gt;84157.84&lt;/D&gt;&lt;D xsi:type="xsd:double"&gt;84002&lt;/D&gt;&lt;D xsi:type="xsd:double"&gt;82872.16&lt;/D&gt;&lt;D xsi:type="xsd:double"&gt;83398.12&lt;/D&gt;&lt;D xsi:type="xsd:double"&gt;84527.96&lt;/D&gt;&lt;D xsi:type="xsd:double"&gt;82774.76&lt;/D&gt;&lt;D xsi:type="xsd:double"&gt;83066.96&lt;/D&gt;&lt;D xsi:type="xsd:double"&gt;85813.64&lt;/D&gt;&lt;D xsi:type="xsd:double"&gt;85034.44&lt;/D&gt;&lt;D xsi:type="xsd:double"&gt;84294.6&lt;/D&gt;&lt;D xsi:type="xsd:double"&gt;85206.4&lt;/D&gt;&lt;D xsi:type="xsd:double"&gt;83576.8&lt;/D&gt;&lt;D xsi:type="xsd:double"&gt;81927.8&lt;/D&gt;&lt;D xsi:type="xsd:double"&gt;82160.6&lt;/D&gt;&lt;D xsi:type="xsd:double"&gt;87224&lt;/D&gt;&lt;D xsi:type="xsd:double"&gt;85536.2&lt;/D&gt;&lt;D xsi:type="xsd:double"&gt;86797.2&lt;/D&gt;&lt;D xsi:type="xsd:double"&gt;88291&lt;/D&gt;&lt;D xsi:type="xsd:double"&gt;84217&lt;/D&gt;&lt;D xsi:type="xsd:double"&gt;81869.6&lt;/D&gt;&lt;D xsi:type="xsd:double"&gt;79173&lt;/D&gt;&lt;D xsi:type="xsd:double"&gt;80356.4&lt;/D&gt;&lt;D xsi:type="xsd:double"&gt;80898.62&lt;/D&gt;&lt;D xsi:type="xsd:double"&gt;79810.54&lt;/D&gt;&lt;D xsi:type="xsd:double"&gt;81656.39&lt;/D&gt;&lt;D xsi:type="xsd:double"&gt;81578.67&lt;/D&gt;&lt;D xsi:type="xsd:double"&gt;81928.41&lt;/D&gt;&lt;D xsi:type="xsd:double"&gt;81384.37&lt;/D&gt;&lt;D xsi:type="xsd:double"&gt;82899.91&lt;/D&gt;&lt;D xsi:type="xsd:double"&gt;80820.9&lt;/D&gt;&lt;D xsi:type="xsd:double"&gt;80257.43&lt;/D&gt;&lt;D xsi:type="xsd:double"&gt;78800.18&lt;/D&gt;&lt;D xsi:type="xsd:double"&gt;76371.43&lt;/D&gt;&lt;D xsi:type="xsd:double"&gt;75516.51&lt;/D&gt;&lt;D xsi:type="xsd:double"&gt;74622.73&lt;/D&gt;&lt;D xsi:type="xsd:double"&gt;69954.32&lt;/D&gt;&lt;D xsi:type="xsd:double"&gt;71467.92&lt;/D&gt;&lt;D xsi:type="xsd:double"&gt;70843.56&lt;/D&gt;&lt;D xsi:type="xsd:double"&gt;71146.28&lt;/D&gt;&lt;D xsi:type="xsd:double"&gt;72773.4&lt;/D&gt;&lt;D xsi:type="xsd:double"&gt;72849.08&lt;/D&gt;&lt;D xsi:type="xsd:double"&gt;77730.44&lt;/D&gt;&lt;D xsi:type="xsd:double"&gt;76784.44&lt;/D&gt;&lt;D xsi:type="xsd:double"&gt;78241.28&lt;/D&gt;&lt;D xsi:type="xsd:double"&gt;79452.16&lt;/D&gt;&lt;D xsi:type="xsd:double"&gt;79244.04&lt;/D&gt;&lt;D xsi:type="xsd:double"&gt;79130.52&lt;/D&gt;&lt;D xsi:type="xsd:double"&gt;80738.72&lt;/D&gt;&lt;D xsi:type="xsd:double"&gt;82060.4&lt;/D&gt;&lt;D xsi:type="xsd:double"&gt;82994.9&lt;/D&gt;&lt;D xsi:type="xsd:double"&gt;83536.91&lt;/D&gt;&lt;D xsi:type="xsd:double"&gt;86097.44&lt;/D&gt;&lt;D xsi:type="xsd:double"&gt;84695.69&lt;/D&gt;&lt;D xsi:type="xsd:double"&gt;85480.67&lt;/D&gt;&lt;D xsi:type="xsd:double"&gt;87144.08&lt;/D&gt;&lt;D xsi:type="xsd:double"&gt;83892.02&lt;/D&gt;&lt;D xsi:type="xsd:double"&gt;80023.19&lt;/D&gt;&lt;D xsi:type="xsd:double"&gt;80060.57&lt;/D&gt;&lt;D xsi:type="xsd:double"&gt;79948.43&lt;/D&gt;&lt;D xsi:type="xsd:double"&gt;80901.62&lt;/D&gt;&lt;/FQL&gt;&lt;FQL&gt;&lt;Q&gt;CSX^FE_VALUATION(FFEV_EBITDA,MEAN,ANN_ROLL,+1,42272,43481,W,'')&lt;/Q&gt;&lt;R&gt;173&lt;/R&gt;&lt;C&gt;1&lt;/C&gt;&lt;D xsi:type="xsd:double"&gt;7.172998&lt;/D&gt;&lt;D xsi:type="xsd:double"&gt;7.337971&lt;/D&gt;&lt;D xsi:type="xsd:double"&gt;7.710508&lt;/D&gt;&lt;D xsi:type="xsd:double"&gt;7.4584856&lt;/D&gt;&lt;D xsi:type="xsd:double"&gt;7.657701&lt;/D&gt;&lt;D xsi:type="xsd:double"&gt;7.3773394&lt;/D&gt;&lt;D xsi:type="xsd:double"&gt;7.3963456&lt;/D&gt;&lt;D xsi:type="xsd:double"&gt;7.3678937&lt;/D&gt;&lt;D xsi:type="xsd:double"&gt;7.969696&lt;/D&gt;&lt;D xsi:type="xsd:double"&gt;7.787316&lt;/D&gt;&lt;D xsi:type="xsd:double"&gt;7.3631716&lt;/D&gt;&lt;D xsi:type="xsd:double"&gt;7.13265&lt;/D&gt;&lt;D xsi:type="xsd:double"&gt;7.045065&lt;/D&gt;&lt;D xsi:type="xsd:double"&gt;7.236982&lt;/D&gt;&lt;D xsi:type="xsd:double"&gt;7.199676&lt;/D&gt;&lt;D xsi:type="xsd:double"&gt;6.7182417&lt;/D&gt;&lt;D xsi:type="xsd:double"&gt;6.79378&lt;/D&gt;&lt;D xsi:type="xsd:double"&gt;6.71462&lt;/D&gt;&lt;D xsi:type="xsd:double"&gt;6.8381085&lt;/D&gt;&lt;D xsi:type="xsd:double"&gt;6.7978606&lt;/D&gt;&lt;D xsi:type="xsd:double"&gt;7.1005917&lt;/D&gt;&lt;D xsi:type="xsd:double"&gt;7.1757927&lt;/D&gt;&lt;D xsi:type="xsd:double"&gt;7.1499944&lt;/D&gt;&lt;D xsi:type="xsd:double"&gt;7.361898&lt;/D&gt;&lt;D xsi:type="xsd:double"&gt;7.547593&lt;/D&gt;&lt;D xsi:type="xsd:double"&gt;7.743959&lt;/D&gt;&lt;D xsi:type="xsd:double"&gt;7.513763&lt;/D&gt;&lt;D xsi:type="xsd:double"&gt;7.3843994&lt;/D&gt;&lt;D xsi:type="xsd:double"&gt;7.238759&lt;/D&gt;&lt;D xsi:type="xsd:double"&gt;7.6158686&lt;/D&gt;&lt;D xsi:type="xsd:double"&gt;7.9568543&lt;/D&gt;&lt;D xsi:type="xsd:double"&gt;7.9014444&lt;/D&gt;&lt;D xsi:type="xsd:double"&gt;7.664885&lt;/D&gt;&lt;D xsi:type="xsd:double"&gt;7.4432454&lt;/D&gt;&lt;D xsi:type="xsd:double"&gt;7.6146336&lt;/D&gt;&lt;D xsi:type="xsd:double"&gt;7.645252&lt;/D&gt;&lt;D xsi:type="xsd:double"&gt;7.8073034&lt;/D&gt;&lt;D xsi:type="xsd:double"&gt;7.8397026&lt;/D&gt;&lt;D xsi:type="xsd:double"&gt;7.8474865&lt;/D&gt;&lt;D xsi:type="xsd:double"&gt;7.622493&lt;/D&gt;&lt;D xsi:type="xsd:double"&gt;7.7376103&lt;/D&gt;&lt;D xsi:type="xsd:double"&gt;7.8380947&lt;/D&gt;&lt;D xsi:type="xsd:double"&gt;8.246991&lt;/D&gt;&lt;D xsi:type="xsd:double"&gt;8.246284&lt;/D&gt;&lt;D xsi:type="xsd:double"&gt;8.213132&lt;/D&gt;&lt;D xsi:type="xsd:double"&gt;8.275077&lt;/D&gt;&lt;D xsi:type="xsd:double"&gt;8.15485&lt;/D&gt;&lt;D xsi:type="xsd:double"&gt;8.283815&lt;/D&gt;&lt;D xsi:type="xsd:double"&gt;8.181551&lt;/D&gt;&lt;D xsi:type="xsd:double"&gt;8.170233&lt;/D&gt;&lt;D xsi:type="xsd:double"&gt;8.116976&lt;/D&gt;&lt;D xsi:type="xsd:double"&gt;8.428255&lt;/D&gt;&lt;D xsi:type="xsd:double"&gt;8.447507&lt;/D&gt;&lt;D xsi:type="xsd:double"&gt;8.626736&lt;/D&gt;&lt;D xsi:type="xsd:double"&gt;8.739709&lt;/D&gt;&lt;D xsi:type="xsd:double"&gt;8.665836&lt;/D&gt;&lt;D xsi:type="xsd:double"&gt;8.510894&lt;/D&gt;&lt;D xsi:type="xsd:double"&gt;8.509749&lt;/D&gt;&lt;D xsi:type="xsd:double"&gt;8.643732&lt;/D&gt;&lt;D xsi:type="xsd:double"&gt;9.4156475&lt;/D&gt;&lt;D xsi:type="xsd:double"&gt;9.294122&lt;/D&gt;&lt;D xsi:type="xsd:double"&gt;9.543395&lt;/D&gt;&lt;D xsi:type="xsd:double"&gt;9.81106&lt;/D&gt;&lt;D xsi:type="xsd:double"&gt;9.974907&lt;/D&gt;&lt;D xsi:type="xsd:double"&gt;9.695824&lt;/D&gt;&lt;D xsi:type="xsd:double"&gt;9.822903&lt;/D&gt;&lt;D xsi:type="xsd:double"&gt;9.825271&lt;/D&gt;&lt;D xsi:type="xsd:double"&gt;10.142741&lt;/D&gt;&lt;D xsi:type="xsd:double"&gt;10.330986&lt;/D&gt;&lt;D xsi:type="xsd:double"&gt;10.811727&lt;/D&gt;&lt;D xsi:type="xsd:double"&gt;11.543574&lt;/D&gt;&lt;D xsi:type="xsd:double"&gt;11.285588&lt;/D&gt;&lt;D xsi:type="xsd:double"&gt;11.477459&lt;/D&gt;&lt;D xsi:type="xsd:double"&gt;11.621214&lt;/D&gt;&lt;D xsi:type="xsd:double"&gt;11.609474&lt;/D&gt;&lt;D xsi:type="xsd:double"&gt;11.778532&lt;/D&gt;&lt;D xsi:type="xsd:double"&gt;11.433025&lt;/D&gt;&lt;D xsi:type="xsd:double"&gt;11.253692&lt;/D&gt;&lt;D xsi:type="xsd:double"&gt;11.140996&lt;/D&gt;&lt;D xsi:type="xsd:double"&gt;10.906275&lt;/D&gt;&lt;D xsi:type="xsd:double"&gt;11.050483&lt;/D&gt;&lt;D xsi:type="xsd:double"&gt;10.844227&lt;/D&gt;&lt;D xsi:type="xsd:double"&gt;11.100059&lt;/D&gt;&lt;D xsi:type="xsd:double"&gt;11.082676&lt;/D&gt;&lt;D xsi:type="xsd:double"&gt;11.380841&lt;/D&gt;&lt;D xsi:type="xsd:double"&gt;11.282268&lt;/D&gt;&lt;D xsi:type="xsd:double"&gt;10.967087&lt;/D&gt;&lt;D xsi:type="xsd:double"&gt;11.610065&lt;/D&gt;&lt;D xsi:type="xsd:double"&gt;11.705162&lt;/D&gt;&lt;D xsi:type="xsd:double"&gt;11.438489&lt;/D&gt;&lt;D xsi:type="xsd:double"&gt;11.384704&lt;/D&gt;&lt;D xsi:type="xsd:double"&gt;11.368094&lt;/D&gt;&lt;D xsi:type="xsd:double"&gt;11.782365&lt;/D&gt;&lt;D xsi:type="xsd:double"&gt;11.828624&lt;/D&gt;&lt;D xsi:type="xsd:double"&gt;11.8560095&lt;/D&gt;&lt;D xsi:type="xsd:double"&gt;11.222946&lt;/D&gt;&lt;D xsi:type="xsd:double"&gt;10.922715&lt;/D&gt;&lt;D xsi:type="xsd:double"&gt;10.699236&lt;/D&gt;&lt;D xsi:type="xsd:double"&gt;10.998947&lt;/D&gt;&lt;D xsi:type="xsd:double"&gt;10.734171&lt;/D&gt;&lt;D xsi:type="xsd:double"&gt;10.744426&lt;/D&gt;&lt;D xsi:type="xsd:double"&gt;10.909656&lt;/D&gt;&lt;D xsi:type="xsd:double"&gt;11.272279&lt;/D&gt;&lt;D xsi:type="xsd:double"&gt;11.512961&lt;/D&gt;&lt;D xsi:type="xsd:double"&gt;11.62431&lt;/D&gt;&lt;D xsi:type="xsd:double"&gt;11.725654&lt;/D&gt;&lt;D xsi:type="xsd:double"&gt;11.440287&lt;/D&gt;&lt;D xsi:type="xsd:double"&gt;11.5491295&lt;/D&gt;&lt;D xsi:type="xsd:double"&gt;11.975821&lt;/D&gt;&lt;D xsi:type="xsd:double"&gt;11.656506&lt;/D&gt;&lt;D xsi:type="xsd:double"&gt;11.435288&lt;/D&gt;&lt;D xsi:type="xsd:double"&gt;11.233656&lt;/D&gt;&lt;D xsi:type="xsd:double"&gt;11.204829&lt;/D&gt;&lt;D xsi:type="xsd:double"&gt;11.381393&lt;/D&gt;&lt;D xsi:type="xsd:double"&gt;12.32571&lt;/D&gt;&lt;D xsi:type="xsd:double"&gt;12.383324&lt;/D&gt;&lt;D xsi:type="xsd:double"&gt;11.756656&lt;/D&gt;&lt;D xsi:type="xsd:double"&gt;12.129903&lt;/D&gt;&lt;D xsi:type="xsd:double"&gt;12.288225&lt;/D&gt;&lt;D xsi:type="xsd:double"&gt;12.781628&lt;/D&gt;&lt;D xsi:type="xsd:double"&gt;13.088036&lt;/D&gt;&lt;D xsi:type="xsd:double"&gt;11.579609&lt;/D&gt;&lt;D xsi:type="xsd:double"&gt;11.649116&lt;/D&gt;&lt;D xsi:type="xsd:double"&gt;11.208885&lt;/D&gt;&lt;D xsi:type="xsd:double"&gt;10.487324&lt;/D&gt;&lt;D xsi:type="xsd:double"&gt;11.355589&lt;/D&gt;&lt;D xsi:type="xsd:double"&gt;11.312537&lt;/D&gt;&lt;D xsi:type="xsd:double"&gt;11.308913&lt;/D&gt;&lt;D xsi:type="xsd:double"&gt;11.8046875&lt;/D&gt;&lt;D xsi:type="xsd:double"&gt;11.6237955&lt;/D&gt;&lt;D xsi:type="xsd:double"&gt;11.179532&lt;/D&gt;&lt;D xsi:type="xsd:double"&gt;11.246112&lt;/D&gt;&lt;D xsi:type="xsd:double"&gt;11.041501&lt;/D&gt;&lt;D xsi:type="xsd:double"&gt;11.200565&lt;/D&gt;&lt;D xsi:type="xsd:double"&gt;11.543976&lt;/D&gt;&lt;D xsi:type="xsd:double"&gt;11.581753&lt;/D&gt;&lt;D xsi:type="xsd:double"&gt;11.532958&lt;/D&gt;&lt;D xsi:type="xsd:double"&gt;12.0185175&lt;/D&gt;&lt;D xsi:type="xsd:double"&gt;12.123929&lt;/D&gt;&lt;D xsi:type="xsd:double"&gt;12.268231&lt;/D&gt;&lt;D xsi:type="xsd:double"&gt;12.387798&lt;/D&gt;&lt;D xsi:type="xsd:double"&gt;12.640302&lt;/D&gt;&lt;D xsi:type="xsd:double"&gt;12.574245&lt;/D&gt;&lt;D xsi:type="xsd:double"&gt;12.274988&lt;/D&gt;&lt;D xsi:type="xsd:double"&gt;11.973573&lt;/D&gt;&lt;D xsi:type="xsd:double"&gt;12.146683&lt;/D&gt;&lt;D xsi:type="xsd:double"&gt;12.041462&lt;/D&gt;&lt;D xsi:type="xsd:double"&gt;12.178398&lt;/D&gt;&lt;D xsi:type="xsd:double"&gt;12.294519&lt;/D&gt;&lt;D xsi:type="xsd:double"&gt;12.436673&lt;/D&gt;&lt;D xsi:type="xsd:double"&gt;12.600955&lt;/D&gt;&lt;D xsi:type="xsd:double"&gt;12.789953&lt;/D&gt;&lt;D xsi:type="xsd:double"&gt;12.929521&lt;/D&gt;&lt;D xsi:type="xsd:double"&gt;12.851826&lt;/D&gt;&lt;D xsi:type="xsd:double"&gt;12.759431&lt;/D&gt;&lt;D xsi:type="xsd:double"&gt;12.737662&lt;/D&gt;&lt;D xsi:type="xsd:double"&gt;12.803761&lt;/D&gt;&lt;D xsi:type="xsd:double"&gt;12.63251&lt;/D&gt;&lt;D xsi:type="xsd:double"&gt;12.681435&lt;/D&gt;&lt;D xsi:type="xsd:double"&gt;11.973861&lt;/D&gt;&lt;D xsi:type="xsd:double"&gt;11.369523&lt;/D&gt;&lt;D xsi:type="xsd:double"&gt;11.09144&lt;/D&gt;&lt;D xsi:type="xsd:double"&gt;11.540227&lt;/D&gt;&lt;D xsi:type="xsd:double"&gt;11.74397&lt;/D&gt;&lt;D xsi:type="xsd:double"&gt;12.01193&lt;/D&gt;&lt;D xsi:type="xsd:double"&gt;11.622356&lt;/D&gt;&lt;D xsi:type="xsd:double"&gt;12.014684&lt;/D&gt;&lt;D xsi:type="xsd:double"&gt;11.3814535&lt;/D&gt;&lt;D xsi:type="xsd:double"&gt;11.078604&lt;/D&gt;&lt;D xsi:type="xsd:double"&gt;10.374923&lt;/D&gt;&lt;D xsi:type="xsd:double"&gt;10.570188&lt;/D&gt;&lt;D xsi:type="xsd:double"&gt;10.922182&lt;/D&gt;&lt;D xsi:type="xsd:double"&gt;11.263812&lt;/D&gt;&lt;/FQL&gt;&lt;FQL&gt;&lt;Q&gt;CSX^FE_VALUATION(FFEV_EBITDA,MEAN,ANN_ROLL,+2,42272,43481,W,'')&lt;/Q&gt;&lt;R&gt;173&lt;/R&gt;&lt;C&gt;1&lt;/C&gt;&lt;D xsi:type="xsd:double"&gt;6.7858458&lt;/D&gt;&lt;D xsi:type="xsd:double"&gt;6.9602065&lt;/D&gt;&lt;D xsi:type="xsd:double"&gt;7.333302&lt;/D&gt;&lt;D xsi:type="xsd:double"&gt;7.2114105&lt;/D&gt;&lt;D xsi:type="xsd:double"&gt;7.4123387&lt;/D&gt;&lt;D xsi:type="xsd:double"&gt;7.14096&lt;/D&gt;&lt;D xsi:type="xsd:double"&gt;7.1585593&lt;/D&gt;&lt;D xsi:type="xsd:double"&gt;7.131022&lt;/D&gt;&lt;D xsi:type="xsd:double"&gt;7.7141714&lt;/D&gt;&lt;D xsi:type="xsd:double"&gt;7.5407867&lt;/D&gt;&lt;D xsi:type="xsd:double"&gt;7.140331&lt;/D&gt;&lt;D xsi:type="xsd:double"&gt;6.926581&lt;/D&gt;&lt;D xsi:type="xsd:double"&gt;6.87267&lt;/D&gt;&lt;D xsi:type="xsd:double"&gt;7.0598907&lt;/D&gt;&lt;D xsi:type="xsd:double"&gt;7.0328784&lt;/D&gt;&lt;D xsi:type="xsd:double"&gt;6.605534&lt;/D&gt;&lt;D xsi:type="xsd:double"&gt;6.4159126&lt;/D&gt;&lt;D xsi:type="xsd:double"&gt;6.3393126&lt;/D&gt;&lt;D xsi:type="xsd:double"&gt;6.4479756&lt;/D&gt;&lt;D xsi:type="xsd:double"&gt;6.410024&lt;/D&gt;&lt;D xsi:type="xsd:double"&gt;6.683671&lt;/D&gt;&lt;D xsi:type="xsd:double"&gt;6.754426&lt;/D&gt;&lt;D xsi:type="xsd:double"&gt;6.7423906&lt;/D&gt;&lt;D xsi:type="xsd:double"&gt;6.937961&lt;/D&gt;&lt;D xsi:type="xsd:double"&gt;7.1165195&lt;/D&gt;&lt;D xsi:type="xsd:double"&gt;7.301643&lt;/D&gt;&lt;D xsi:type="xsd:double"&gt;7.082532&lt;/D&gt;&lt;D xsi:type="xsd:double"&gt;7.008761&lt;/D&gt;&lt;D xsi:type="xsd:double"&gt;6.86712&lt;/D&gt;&lt;D xsi:type="xsd:double"&gt;7.242758&lt;/D&gt;&lt;D xsi:type="xsd:double"&gt;7.567038&lt;/D&gt;&lt;D xsi:type="xsd:double"&gt;7.514343&lt;/D&gt;&lt;D xsi:type="xsd:double"&gt;7.289373&lt;/D&gt;&lt;D xsi:type="xsd:double"&gt;7.078592&lt;/D&gt;&lt;D xsi:type="xsd:double"&gt;7.23773&lt;/D&gt;&lt;D xsi:type="xsd:double"&gt;7.268121&lt;/D&gt;&lt;D xsi:type="xsd:double"&gt;7.405112&lt;/D&gt;&lt;D xsi:type="xsd:double"&gt;7.4348273&lt;/D&gt;&lt;D xsi:type="xsd:double"&gt;7.439348&lt;/D&gt;&lt;D xsi:type="xsd:double"&gt;7.2300243&lt;/D&gt;&lt;D xsi:type="xsd:double"&gt;7.33785&lt;/D&gt;&lt;D xsi:type="xsd:double"&gt;7.4317384&lt;/D&gt;&lt;D xsi:type="xsd:double"&gt;7.786438&lt;/D&gt;&lt;D xsi:type="xsd:double"&gt;7.7833633&lt;/D&gt;&lt;D xsi:type="xsd:double"&gt;7.7479887&lt;/D&gt;&lt;D xsi:type="xsd:double"&gt;7.8124375&lt;/D&gt;&lt;D xsi:type="xsd:double"&gt;7.702688&lt;/D&gt;&lt;D xsi:type="xsd:double"&gt;7.8253827&lt;/D&gt;&lt;D xsi:type="xsd:double"&gt;7.728778&lt;/D&gt;&lt;D xsi:type="xsd:double"&gt;7.7181206&lt;/D&gt;&lt;D xsi:type="xsd:double"&gt;7.6678104&lt;/D&gt;&lt;D xsi:type="xsd:double"&gt;7.9629316&lt;/D&gt;&lt;D xsi:type="xsd:double"&gt;7.975745&lt;/D&gt;&lt;D xsi:type="xsd:double"&gt;8.146512&lt;/D&gt;&lt;D xsi:type="xsd:double"&gt;8.262521&lt;/D&gt;&lt;D xsi:type="xsd:double"&gt;8.180151&lt;/D&gt;&lt;D xsi:type="xsd:double"&gt;8.02876&lt;/D&gt;&lt;D xsi:type="xsd:double"&gt;8.03103&lt;/D&gt;&lt;D xsi:type="xsd:double"&gt;8.1574745&lt;/D&gt;&lt;D xsi:type="xsd:double"&gt;8.88061&lt;/D&gt;&lt;D xsi:type="xsd:double"&gt;8.766009&lt;/D&gt;&lt;D xsi:type="xsd:double"&gt;9.001118&lt;/D&gt;&lt;D xsi:type="xsd:double"&gt;9.242553&lt;/D&gt;&lt;D xsi:type="xsd:double"&gt;9.392592&lt;/D&gt;&lt;D xsi:type="xsd:double"&gt;9.149302&lt;/D&gt;&lt;D xsi:type="xsd:double"&gt;9.260043&lt;/D&gt;&lt;D xsi:type="xsd:double"&gt;9.262275&lt;/D&gt;&lt;D xsi:type="xsd:double"&gt;9.54984&lt;/D&gt;&lt;D xsi:type="xsd:double"&gt;9.758364&lt;/D&gt;&lt;D xsi:type="xsd:double"&gt;10.209863&lt;/D&gt;&lt;D xsi:type="xsd:double"&gt;10.77388&lt;/D&gt;&lt;D xsi:type="xsd:double"&gt;10.529726&lt;/D&gt;&lt;D xsi:type="xsd:double"&gt;10.708746&lt;/D&gt;&lt;D xsi:type="xsd:double"&gt;10.838055&lt;/D&gt;&lt;D xsi:type="xsd:double"&gt;10.827106&lt;/D&gt;&lt;D xsi:type="xsd:double"&gt;10.918627&lt;/D&gt;&lt;D xsi:type="xsd:double"&gt;10.517416&lt;/D&gt;&lt;D xsi:type="xsd:double"&gt;10.35253&lt;/D&gt;&lt;D xsi:type="xsd:double"&gt;10.245711&lt;/D&gt;&lt;D xsi:type="xsd:double"&gt;10.003933&lt;/D&gt;&lt;D xsi:type="xsd:double"&gt;10.122503&lt;/D&gt;&lt;D xsi:type="xsd:double"&gt;9.92889&lt;/D&gt;&lt;D xsi:type="xsd:double"&gt;10.000726&lt;/D&gt;&lt;D xsi:type="xsd:double"&gt;9.954009&lt;/D&gt;&lt;D xsi:type="xsd:double"&gt;10.221808&lt;/D&gt;&lt;D xsi:type="xsd:double"&gt;10.112247&lt;/D&gt;&lt;D xsi:type="xsd:double"&gt;9.829792&lt;/D&gt;&lt;D xsi:type="xsd:double"&gt;10.404759&lt;/D&gt;&lt;D xsi:type="xsd:double"&gt;10.4765415&lt;/D&gt;&lt;D xsi:type="xsd:double"&gt;10.23786&lt;/D&gt;&lt;D xsi:type="xsd:double"&gt;10.187883&lt;/D&gt;&lt;D xsi:type="xsd:double"&gt;10.1758585&lt;/D&gt;&lt;D xsi:type="xsd:double"&gt;10.547274&lt;/D&gt;&lt;D xsi:type="xsd:double"&gt;10.576135&lt;/D&gt;&lt;D xsi:type="xsd:double"&gt;10.603065&lt;/D&gt;&lt;D xsi:type="xsd:double"&gt;10.080736&lt;/D&gt;&lt;D xsi:type="xsd:double"&gt;9.809545&lt;/D&gt;&lt;D xsi:type="xsd:double"&gt;9.596065&lt;/D&gt;&lt;D xsi:type="xsd:double"&gt;9.842588&lt;/D&gt;&lt;D xsi:type="xsd:double"&gt;9.605649&lt;/D&gt;&lt;D xsi:type="xsd:double"&gt;9.645381&lt;/D&gt;&lt;D xsi:type="xsd:double"&gt;9.79371&lt;/D&gt;&lt;D xsi:type="xsd:double"&gt;10.093899&lt;/D&gt;&lt;D xsi:type="xsd:double"&gt;10.309433&lt;/D&gt;&lt;D xsi:type="xsd:double"&gt;10.409142&lt;/D&gt;&lt;D xsi:type="xsd:double"&gt;10.493427&lt;/D&gt;&lt;D xsi:type="xsd:double"&gt;10.22091&lt;/D&gt;&lt;D xsi:type="xsd:double"&gt;10.288363&lt;/D&gt;&lt;D xsi:type="xsd:double"&gt;10.644354&lt;/D&gt;&lt;D xsi:type="xsd:double"&gt;10.33723&lt;/D&gt;&lt;D xsi:type="xsd:double"&gt;10.141049&lt;/D&gt;&lt;D xsi:type="xsd:double"&gt;9.961835&lt;/D&gt;&lt;D xsi:type="xsd:double"&gt;9.936272&lt;/D&gt;&lt;D xsi:type="xsd:double"&gt;10.092846&lt;/D&gt;&lt;D xsi:type="xsd:double"&gt;10.93687&lt;/D&gt;&lt;D xsi:type="xsd:double"&gt;10.988751&lt;/D&gt;&lt;D xsi:type="xsd:double"&gt;10.507552&lt;/D&gt;&lt;D xsi:type="xsd:double"&gt;10.854853&lt;/D&gt;&lt;D xsi:type="xsd:double"&gt;11.010256&lt;/D&gt;&lt;D xsi:type="xsd:double"&gt;11.519414&lt;/D&gt;&lt;D xsi:type="xsd:double"&gt;11.841471&lt;/D&gt;&lt;D xsi:type="xsd:double"&gt;10.62203&lt;/D&gt;&lt;D xsi:type="xsd:double"&gt;10.714821&lt;/D&gt;&lt;D xsi:type="xsd:double"&gt;10.309869&lt;/D&gt;&lt;D xsi:type="xsd:double"&gt;9.646181&lt;/D&gt;&lt;D xsi:type="xsd:double"&gt;10.439843&lt;/D&gt;&lt;D xsi:type="xsd:double"&gt;10.400265&lt;/D&gt;&lt;D xsi:type="xsd:double"&gt;10.344439&lt;/D&gt;&lt;D xsi:type="xsd:double"&gt;10.797931&lt;/D&gt;&lt;D xsi:type="xsd:double"&gt;10.632466&lt;/D&gt;&lt;D xsi:type="xsd:double"&gt;10.225925&lt;/D&gt;&lt;D xsi:type="xsd:double"&gt;10.272127&lt;/D&gt;&lt;D xsi:type="xsd:double"&gt;10.0906725&lt;/D&gt;&lt;D xsi:type="xsd:double"&gt;10.288319&lt;/D&gt;&lt;D xsi:type="xsd:double"&gt;10.779682&lt;/D&gt;&lt;D xsi:type="xsd:double"&gt;10.814959&lt;/D&gt;&lt;D xsi:type="xsd:double"&gt;10.769394&lt;/D&gt;&lt;D xsi:type="xsd:double"&gt;11.215971&lt;/D&gt;&lt;D xsi:type="xsd:double"&gt;11.3143425&lt;/D&gt;&lt;D xsi:type="xsd:double"&gt;11.443745&lt;/D&gt;&lt;D xsi:type="xsd:double"&gt;11.555277&lt;/D&gt;&lt;D xsi:type="xsd:double"&gt;11.78106&lt;/D&gt;&lt;D xsi:type="xsd:double"&gt;11.719494&lt;/D&gt;&lt;D xsi:type="xsd:double"&gt;11.442395&lt;/D&gt;&lt;D xsi:type="xsd:double"&gt;11.166858&lt;/D&gt;&lt;D xsi:type="xsd:double"&gt;11.330814&lt;/D&gt;&lt;D xsi:type="xsd:double"&gt;11.247763&lt;/D&gt;&lt;D xsi:type="xsd:double"&gt;11.506696&lt;/D&gt;&lt;D xsi:type="xsd:double"&gt;11.62795&lt;/D&gt;&lt;D xsi:type="xsd:double"&gt;11.762464&lt;/D&gt;&lt;D xsi:type="xsd:double"&gt;11.917839&lt;/D&gt;&lt;D xsi:type="xsd:double"&gt;12.096591&lt;/D&gt;&lt;D xsi:type="xsd:double"&gt;12.228592&lt;/D&gt;&lt;D xsi:type="xsd:double"&gt;12.150727&lt;/D&gt;&lt;D xsi:type="xsd:double"&gt;12.065214&lt;/D&gt;&lt;D xsi:type="xsd:double"&gt;12.034509&lt;/D&gt;&lt;D xsi:type="xsd:double"&gt;12.09909&lt;/D&gt;&lt;D xsi:type="xsd:double"&gt;11.935122&lt;/D&gt;&lt;D xsi:type="xsd:double"&gt;11.979669&lt;/D&gt;&lt;D xsi:type="xsd:double"&gt;11.312038&lt;/D&gt;&lt;D xsi:type="xsd:double"&gt;10.744193&lt;/D&gt;&lt;D xsi:type="xsd:double"&gt;10.483985&lt;/D&gt;&lt;D xsi:type="xsd:double"&gt;10.908193&lt;/D&gt;&lt;D xsi:type="xsd:double"&gt;11.100776&lt;/D&gt;&lt;D xsi:type="xsd:double"&gt;11.354519&lt;/D&gt;&lt;D xsi:type="xsd:double"&gt;10.986266&lt;/D&gt;&lt;D xsi:type="xsd:double"&gt;11.357121&lt;/D&gt;&lt;D xsi:type="xsd:double"&gt;10.740141&lt;/D&gt;&lt;D xsi:type="xsd:double"&gt;10.454278&lt;/D&gt;&lt;D xsi:type="xsd:double"&gt;9.789001&lt;/D&gt;&lt;D xsi:type="xsd:double"&gt;9.966573&lt;/D&gt;&lt;D xsi:type="xsd:double"&gt;10.294181&lt;/D&gt;&lt;D xsi:type="xsd:double"&gt;10.620826&lt;/D&gt;&lt;/FQL&gt;&lt;FQL&gt;&lt;Q&gt;CSX^FE_ESTIMATE(PRODLINE_SALES_1,MEAN,QTR,2025/3F,45942,,,'')&lt;/Q&gt;&lt;R&gt;1&lt;/R&gt;&lt;C&gt;1&lt;/C&gt;&lt;D xsi:type="xsd:double"&gt;2264.5&lt;/D&gt;&lt;/FQL&gt;&lt;FQL&gt;&lt;Q&gt;CSX^FE_ESTIMATE(PRODLINE_SALES_9,MEAN,QTR,2025/3F,45942,,,'')&lt;/Q&gt;&lt;R&gt;1&lt;/R&gt;&lt;C&gt;1&lt;/C&gt;&lt;D xsi:type="xsd:double"&gt;491.2&lt;/D&gt;&lt;/FQL&gt;&lt;FQL&gt;&lt;Q&gt;CSX^FE_ESTIMATE(PRODLINE_SALES_10,MEAN,QTR,2025/3F,45942,,,'')&lt;/Q&gt;&lt;R&gt;1&lt;/R&gt;&lt;C&gt;1&lt;/C&gt;&lt;D xsi:type="xsd:double"&gt;517&lt;/D&gt;&lt;/FQL&gt;&lt;FQL&gt;&lt;Q&gt;CSX^FE_ESTIMATE(PRODLINE_SALES_2,MEAN,QTR,2025/3F,45942,,,'')&lt;/Q&gt;&lt;R&gt;1&lt;/R&gt;&lt;C&gt;1&lt;/C&gt;&lt;D xsi:type="xsd:double"&gt;212.66667&lt;/D&gt;&lt;/FQL&gt;&lt;FQL&gt;&lt;Q&gt;CSX^FE_ESTIMATE(SALES,MEAN,QTR_ROLL,2025/3F,45942,,,'')&lt;/Q&gt;&lt;R&gt;1&lt;/R&gt;&lt;C&gt;1&lt;/C&gt;&lt;D xsi:type="xsd:double"&gt;3580.1218&lt;/D&gt;&lt;/FQL&gt;&lt;FQL&gt;&lt;Q&gt;CSX^FE_ESTIMATE(EBIT,MEAN,QTR_ROLL,2025/3F,45942,,,'')&lt;/Q&gt;&lt;R&gt;1&lt;/R&gt;&lt;C&gt;1&lt;/C&gt;&lt;D xsi:type="xsd:double"&gt;1245.122&lt;/D&gt;&lt;/FQL&gt;&lt;FQL&gt;&lt;Q&gt;CSX^FE_ESTIMATE(OP_RATIO,MEAN,QTR_ROLL,2025/3F,45942,,,'')&lt;/Q&gt;&lt;R&gt;1&lt;/R&gt;&lt;C&gt;1&lt;/C&gt;&lt;D xsi:type="xsd:double"&gt;65.171425&lt;/D&gt;&lt;/FQL&gt;&lt;FQL&gt;&lt;Q&gt;CSX^FE_ESTIMATE(EPS,MEAN,QTR_ROLL,2025/3F,45942,,,'')&lt;/Q&gt;&lt;R&gt;1&lt;/R&gt;&lt;C&gt;1&lt;/C&gt;&lt;D xsi:type="xsd:double"&gt;0.4270298&lt;/D&gt;&lt;/FQL&gt;&lt;FQL&gt;&lt;Q&gt;CSX^FE_ESTIMATE(INT_EXP,MEAN,QTR_ROLL,2025/3F,45942,,,'')&lt;/Q&gt;&lt;R&gt;1&lt;/R&gt;&lt;C&gt;1&lt;/C&gt;&lt;D xsi:type="xsd:double"&gt;213.375&lt;/D&gt;&lt;/FQL&gt;&lt;FQL&gt;&lt;Q&gt;CSX^FE_ESTIMATE(PTX_INC,MEAN,QTR_ROLL,2025/3F,45942,,,'')&lt;/Q&gt;&lt;R&gt;1&lt;/R&gt;&lt;C&gt;1&lt;/C&gt;&lt;D xsi:type="xsd:double"&gt;1063.9779&lt;/D&gt;&lt;/FQL&gt;&lt;FQL&gt;&lt;Q&gt;CSX^FE_ESTIMATE(INC_TAX,MEAN,QTR,2025/3F,45942,,,'')&lt;/Q&gt;&lt;R&gt;1&lt;/R&gt;&lt;C&gt;1&lt;/C&gt;&lt;D xsi:type="xsd:double"&gt;260.86667&lt;/D&gt;&lt;/FQL&gt;&lt;FQL&gt;&lt;Q&gt;CSX^FE_ESTIMATE(NET_INC,MEAN,QTR,2025/3F,45942,,,'')&lt;/Q&gt;&lt;R&gt;1&lt;/R&gt;&lt;C&gt;1&lt;/C&gt;&lt;D xsi:type="xsd:double"&gt;807.8&lt;/D&gt;&lt;/FQL&gt;&lt;FQL&gt;&lt;Q&gt;CSX^FE_ESTIMATE(PRODLINE_SALES_1,MEAN,QTR,2025/3F,45945,,,'')&lt;/Q&gt;&lt;R&gt;1&lt;/R&gt;&lt;C&gt;1&lt;/C&gt;&lt;D xsi:type="xsd:double"&gt;2244.5&lt;/D&gt;&lt;/FQL&gt;&lt;FQL&gt;&lt;Q&gt;CSX^FE_ESTIMATE(PRODLINE_SALES_9,MEAN,QTR,2025/3F,45945,,,'')&lt;/Q&gt;&lt;R&gt;1&lt;/R&gt;&lt;C&gt;1&lt;/C&gt;&lt;D xsi:type="xsd:double"&gt;488.6&lt;/D&gt;&lt;/FQL&gt;&lt;FQL&gt;&lt;Q&gt;CSX^FE_ESTIMATE(PRODLINE_SALES_10,MEAN,QTR,2025/3F,45945,,,'')&lt;/Q&gt;&lt;R&gt;1&lt;/R&gt;&lt;C&gt;1&lt;/C&gt;&lt;D xsi:type="xsd:double"&gt;517.4&lt;/D&gt;&lt;/FQL&gt;&lt;FQL&gt;&lt;Q&gt;CSX^FE_ESTIMATE(PRODLINE_SALES_2,MEAN,QTR,2025/3F,45945,,,'')&lt;/Q&gt;&lt;R&gt;1&lt;/R&gt;&lt;C&gt;1&lt;/C&gt;&lt;D xsi:type="xsd:double"&gt;212.66667&lt;/D&gt;&lt;/FQL&gt;&lt;FQL&gt;&lt;Q&gt;CSX^FE_ESTIMATE(SALES,MEAN,QTR_ROLL,2025/3F,45945,,,'')&lt;/Q&gt;&lt;R&gt;1&lt;/R&gt;&lt;C&gt;1&lt;/C&gt;&lt;D xsi:type="xsd:double"&gt;3572.206&lt;/D&gt;&lt;/FQL&gt;&lt;FQL&gt;&lt;Q&gt;CSX^FE_ESTIMATE(EBIT,MEAN,QTR_ROLL,2025/3F,45945,,,'')&lt;/Q&gt;&lt;R&gt;1&lt;/R&gt;&lt;C&gt;1&lt;/C&gt;&lt;D xsi:type="xsd:double"&gt;1238.8821&lt;/D&gt;&lt;/FQL&gt;&lt;FQL&gt;&lt;Q&gt;CSX^FE_ESTIMATE(OP_RATIO,MEAN,QTR_ROLL,2025/3F,45945,,,'')&lt;/Q&gt;&lt;R&gt;1&lt;/R&gt;&lt;C&gt;1&lt;/C&gt;&lt;D xsi:type="xsd:double"&gt;65.2&lt;/D&gt;&lt;/FQL&gt;&lt;FQL&gt;&lt;Q&gt;CSX^FE_ESTIMATE(EPS,MEAN,QTR_ROLL,2025/3F,45945,,,'')&lt;/Q&gt;&lt;R&gt;1&lt;/R&gt;&lt;C&gt;1&lt;/C&gt;&lt;D xsi:type="xsd:double"&gt;0.42515576&lt;/D&gt;&lt;/FQL&gt;&lt;FQL&gt;&lt;Q&gt;CSX^FE_ESTIMATE(INT_EXP,MEAN,QTR_ROLL,2025/3F,45945,,,'')&lt;/Q&gt;&lt;R&gt;1&lt;/R&gt;&lt;C&gt;1&lt;/C&gt;&lt;D xsi:type="xsd:double"&gt;213.375&lt;/D&gt;&lt;/FQL&gt;&lt;FQL&gt;&lt;Q&gt;CSX^FE_ESTIMATE(PTX_INC,MEAN,QTR_ROLL,2025/3F,45945,,,'')&lt;/Q&gt;&lt;R&gt;1&lt;/R&gt;&lt;C&gt;1&lt;/C&gt;&lt;D xsi:type="xsd:double"&gt;1053.5503&lt;/D&gt;&lt;/FQL&gt;&lt;FQL&gt;&lt;Q&gt;CSX^FE_ESTIMATE(INC_TAX,MEAN,QTR,2025/3F,45945,,,'')&lt;/Q&gt;&lt;R&gt;1&lt;/R&gt;&lt;C&gt;1&lt;/C&gt;&lt;D xsi:type="xsd:double"&gt;258.2&lt;/D&gt;&lt;/FQL&gt;&lt;FQL&gt;&lt;Q&gt;CSX^FE_ESTIMATE(NET_INC,MEAN,QTR,2025/3F,45945,,,'')&lt;/Q&gt;&lt;R&gt;1&lt;/R&gt;&lt;C&gt;1&lt;/C&gt;&lt;D xsi:type="xsd:double"&gt;793&lt;/D&gt;&lt;/FQL&gt;&lt;FQL&gt;&lt;Q&gt;CSX-USA^FE_ESTIMATE(EPS,MEAN,ANN_ROLL,2025,0,,,'USEPRERPT=1')&lt;/Q&gt;&lt;R&gt;1&lt;/R&gt;&lt;C&gt;1&lt;/C&gt;&lt;D xsi:type="xsd:double"&gt;1.6379825&lt;/D&gt;&lt;/FQL&gt;&lt;FQL&gt;&lt;Q&gt;CSX^FE_ESTIMATE(PRODLINE_SALES_1,MEAN,QTR,2025/4F,46040,,,'')&lt;/Q&gt;&lt;R&gt;1&lt;/R&gt;&lt;C&gt;1&lt;/C&gt;&lt;D xsi:type="xsd:double"&gt;2172&lt;/D&gt;&lt;/FQL&gt;&lt;FQL&gt;&lt;Q&gt;CSX^FE_ESTIMATE(PRODLINE_SALES_9,MEAN,QTR,2025/4F,46040,,,'')&lt;/Q&gt;&lt;R&gt;1&lt;/R&gt;&lt;C&gt;1&lt;/C&gt;&lt;D xsi:type="xsd:double"&gt;479.5&lt;/D&gt;&lt;/FQL&gt;&lt;FQL&gt;&lt;Q&gt;CSX^FE_ESTIMATE(PRODLINE_SALES_10,MEAN,QTR,2025/4F,46040,,,'')&lt;/Q&gt;&lt;R&gt;1&lt;/R&gt;&lt;C&gt;1&lt;/C&gt;&lt;D xsi:type="xsd:double"&gt;551.5&lt;/D&gt;&lt;/FQL&gt;&lt;FQL&gt;&lt;Q&gt;CSX^FE_ESTIMATE(PRODLINE_SALES_2,MEAN,QTR,2025/4F,46040,,,'')&lt;/Q&gt;&lt;R&gt;1&lt;/R&gt;&lt;C&gt;1&lt;/C&gt;&lt;D xsi:type="xsd:double"&gt;205&lt;/D&gt;&lt;/FQL&gt;&lt;FQL&gt;&lt;Q&gt;CSX^FE_ESTIMATE(SALES,MEAN,QTR_ROLL,2025/4F,46040,,,'')&lt;/Q&gt;&lt;R&gt;1&lt;/R&gt;&lt;C&gt;1&lt;/C&gt;&lt;D xsi:type="xsd:double"&gt;3540.51&lt;/D&gt;&lt;/FQL&gt;&lt;FQL&gt;&lt;Q&gt;CSX^FE_ESTIMATE(EBIT,MEAN,QTR_ROLL,2025/4F,46040,,,'')&lt;/Q&gt;&lt;R&gt;1&lt;/R&gt;&lt;C&gt;1&lt;/C&gt;&lt;D xsi:type="xsd:double"&gt;1197.115&lt;/D&gt;&lt;/FQL&gt;&lt;FQL&gt;&lt;Q&gt;CSX^FE_ESTIMATE(OP_RATIO,MEAN,QTR_ROLL,2025/4F,46040,,,'')&lt;/Q&gt;&lt;R&gt;1&lt;/R&gt;&lt;C&gt;1&lt;/C&gt;&lt;D xsi:type="xsd:double"&gt;66.1625&lt;/D&gt;&lt;/FQL&gt;&lt;FQL&gt;&lt;Q&gt;CSX^FE_ESTIMATE(EPS,MEAN,QTR_ROLL,2025/4F,46040,,,'')&lt;/Q&gt;&lt;R&gt;1&lt;/R&gt;&lt;C&gt;1&lt;/C&gt;&lt;D xsi:type="xsd:double"&gt;0.41209576&lt;/D&gt;&lt;/FQL&gt;&lt;FQL&gt;&lt;Q&gt;CSX^FE_ESTIMATE(INT_EXP,MEAN,QTR_ROLL,2025/4F,46040,,,'')&lt;/Q&gt;&lt;R&gt;1&lt;/R&gt;&lt;C&gt;1&lt;/C&gt;&lt;D xsi:type="xsd:double"&gt;211&lt;/D&gt;&lt;/FQL&gt;&lt;FQL&gt;&lt;Q&gt;CSX^FE_ESTIMATE(PTX_INC,MEAN,QTR_ROLL,2025/4F,46040,,,'')&lt;/Q&gt;&lt;R&gt;1&lt;/R&gt;&lt;C&gt;1&lt;/C&gt;&lt;D xsi:type="xsd:double"&gt;995.99255&lt;/D&gt;&lt;/FQL&gt;&lt;FQL&gt;&lt;Q&gt;CSX^FE_ESTIMATE(INC_TAX,MEAN,QTR,2025/4F,46040,,,'')&lt;/Q&gt;&lt;R&gt;1&lt;/R&gt;&lt;C&gt;1&lt;/C&gt;&lt;D xsi:type="xsd:double"&gt;243.125&lt;/D&gt;&lt;/FQL&gt;&lt;FQL&gt;&lt;Q&gt;CSX^FE_ESTIMATE(NET_INC,MEAN,QTR,2025/4F,46040,,,'')&lt;/Q&gt;&lt;R&gt;1&lt;/R&gt;&lt;C&gt;1&lt;/C&gt;&lt;D xsi:type="xsd:double"&gt;773.16113&lt;/D&gt;&lt;/FQL&gt;&lt;FQL&gt;&lt;Q&gt;CSX^FE_ESTIMATE(PRODLINE_SALES_1,MEAN,QTR,2025/4F,46043,,,'')&lt;/Q&gt;&lt;R&gt;1&lt;/R&gt;&lt;C&gt;1&lt;/C&gt;&lt;D xsi:type="xsd:double"&gt;2172&lt;/D&gt;&lt;/FQL&gt;&lt;FQL&gt;&lt;Q&gt;CSX^FE_ESTIMATE(PRODLINE_SALES_9,MEAN,QTR,2025/4F,46043,,,'')&lt;/Q&gt;&lt;R&gt;1&lt;/R&gt;&lt;C&gt;1&lt;/C&gt;&lt;D xsi:type="xsd:double"&gt;479.5&lt;/D&gt;&lt;/FQL&gt;&lt;FQL&gt;&lt;Q&gt;CSX^FE_ESTIMATE(PRODLINE_SALES_10,MEAN,QTR,2025/4F,46043,,,'')&lt;/Q&gt;&lt;R&gt;1&lt;/R&gt;&lt;C&gt;1&lt;/C&gt;&lt;D xsi:type="xsd:double"&gt;551.5&lt;/D&gt;&lt;/FQL&gt;&lt;FQL&gt;&lt;Q&gt;CSX^FE_ESTIMATE(PRODLINE_SALES_2,MEAN,QTR,2025/4F,46043,,,'')&lt;/Q&gt;&lt;R&gt;1&lt;/R&gt;&lt;C&gt;1&lt;/C&gt;&lt;D xsi:type="xsd:double"&gt;205&lt;/D&gt;&lt;/FQL&gt;&lt;FQL&gt;&lt;Q&gt;CSX^FE_ESTIMATE(SALES,MEAN,QTR_ROLL,2025/4F,46043,,,'')&lt;/Q&gt;&lt;R&gt;1&lt;/R&gt;&lt;C&gt;1&lt;/C&gt;&lt;D xsi:type="xsd:double"&gt;3540.51&lt;/D&gt;&lt;/FQL&gt;&lt;FQL&gt;&lt;Q&gt;CSX^FE_ESTIMATE(EBIT,MEAN,QTR_ROLL,2025/4F,46043,,,'')&lt;/Q&gt;&lt;R&gt;1&lt;/R&gt;&lt;C&gt;1&lt;/C&gt;&lt;D xsi:type="xsd:double"&gt;1197.115&lt;/D&gt;&lt;/FQL&gt;&lt;FQL&gt;&lt;Q&gt;CSX^FE_ESTIMATE(OP_RATIO,MEAN,QTR_ROLL,2025/4F,46043,,,'')&lt;/Q&gt;&lt;R&gt;1&lt;/R&gt;&lt;C&gt;1&lt;/C&gt;&lt;D xsi:type="xsd:double"&gt;66.1625&lt;/D&gt;&lt;/FQL&gt;&lt;FQL&gt;&lt;Q&gt;CSX^FE_ESTIMATE(EPS,MEAN,QTR_ROLL,2025/4F,46043,,,'')&lt;/Q&gt;&lt;R&gt;1&lt;/R&gt;&lt;C&gt;1&lt;/C&gt;&lt;D xsi:type="xsd:double"&gt;0.41100332&lt;/D&gt;&lt;/FQL&gt;&lt;FQL&gt;&lt;Q&gt;CSX^FE_ESTIMATE(INT_EXP,MEAN,QTR_ROLL,2025/4F,46043,,,'')&lt;/Q&gt;&lt;R&gt;1&lt;/R&gt;&lt;C&gt;1&lt;/C&gt;&lt;D xsi:type="xsd:double"&gt;211&lt;/D&gt;&lt;/FQL&gt;&lt;FQL&gt;&lt;Q&gt;CSX^FE_ESTIMATE(PTX_INC,MEAN,QTR_ROLL,2025/4F,46043,,,'')&lt;/Q&gt;&lt;R&gt;1&lt;/R&gt;&lt;C&gt;1&lt;/C&gt;&lt;D xsi:type="xsd:double"&gt;995.99255&lt;/D&gt;&lt;/FQL&gt;&lt;FQL&gt;&lt;Q&gt;CSX^FE_ESTIMATE(INC_TAX,MEAN,QTR,2025/4F,46043,,,'')&lt;/Q&gt;&lt;R&gt;1&lt;/R&gt;&lt;C&gt;1&lt;/C&gt;&lt;D xsi:type="xsd:double"&gt;243.125&lt;/D&gt;&lt;/FQL&gt;&lt;FQL&gt;&lt;Q&gt;CSX^FE_ESTIMATE(NET_INC,MEAN,QTR,2025/4F,46043,,,'')&lt;/Q&gt;&lt;R&gt;1&lt;/R&gt;&lt;C&gt;1&lt;/C&gt;&lt;D xsi:type="xsd:double"&gt;773.16113&lt;/D&gt;&lt;/FQL&gt;&lt;/Schema&gt;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Deveikis, Ryan</author>
    <author>Makam, Abhishek [WELLS FARGO SEC RES CONS]</author>
    <author>Celis barros, Sebastian A.</author>
    <author>Deveikis, Ryan [WELLS FARGO SEC RES CONS]</author>
    <author>Bascome Majors</author>
    <author>A satisfied Microsoft Office user</author>
    <author>hjkhjkhj</author>
    <author>Matthew Troy</author>
    <author>Glen Petraglia</author>
    <author>Christopher Stathoulopoulos</author>
    <author>cs34265</author>
    <author>Christopher N. Stathoulopoulos</author>
    <author>Stathoulopoulos, Christopher (212-510-4408)</author>
    <author>Salmon, Robert H.</author>
    <author>Matthew L. Troy</author>
    <author>Matthew Tingler</author>
    <author>SIG</author>
  </authors>
  <commentList>
    <comment ref="LG8" authorId="0" shapeId="0" xr:uid="{6366BA8A-89C9-4FAB-B826-4C824B45ABF7}">
      <text>
        <r>
          <rPr>
            <sz val="9"/>
            <color indexed="81"/>
            <rFont val="Tahoma"/>
            <family val="2"/>
          </rPr>
          <t>low-to-mid single digit</t>
        </r>
      </text>
    </comment>
    <comment ref="KX24" authorId="0" shapeId="0" xr:uid="{B3C0FC06-43AF-4936-97DC-C4579042CD2E}">
      <text>
        <r>
          <rPr>
            <sz val="9"/>
            <color indexed="81"/>
            <rFont val="Tahoma"/>
            <family val="2"/>
          </rPr>
          <t>added to match PR of 63.8% - OpEx Rev all same - likely rounding error</t>
        </r>
      </text>
    </comment>
    <comment ref="KJ27" authorId="0" shapeId="0" xr:uid="{A7C1F81E-7956-4BED-9D68-6FC9E44A98E2}">
      <text>
        <r>
          <rPr>
            <sz val="9"/>
            <color indexed="81"/>
            <rFont val="Tahoma"/>
            <family val="2"/>
          </rPr>
          <t>Impact From Quality:
$30MM</t>
        </r>
      </text>
    </comment>
    <comment ref="KK27" authorId="0" shapeId="0" xr:uid="{B4207230-61DC-4F28-9CD7-CA9116CE172B}">
      <text>
        <r>
          <rPr>
            <sz val="9"/>
            <color indexed="81"/>
            <rFont val="Tahoma"/>
            <family val="2"/>
          </rPr>
          <t>Impact From Quality:
$31MM</t>
        </r>
      </text>
    </comment>
    <comment ref="KO27" authorId="0" shapeId="0" xr:uid="{D815E88E-BE27-4DFA-9E80-2D93E76E09D0}">
      <text>
        <r>
          <rPr>
            <sz val="9"/>
            <color indexed="81"/>
            <rFont val="Tahoma"/>
            <family val="2"/>
          </rPr>
          <t>Impact From Quality:
$34MM</t>
        </r>
      </text>
    </comment>
    <comment ref="KP27" authorId="0" shapeId="0" xr:uid="{C8E92385-4573-4801-9F8B-105B109EF5FF}">
      <text>
        <r>
          <rPr>
            <sz val="9"/>
            <color indexed="81"/>
            <rFont val="Tahoma"/>
            <family val="2"/>
          </rPr>
          <t>Impact From Quality:
$40MM</t>
        </r>
      </text>
    </comment>
    <comment ref="B28" authorId="1" shapeId="0" xr:uid="{00000000-0006-0000-0400-000001000000}">
      <text>
        <r>
          <rPr>
            <sz val="9"/>
            <color indexed="81"/>
            <rFont val="Tahoma"/>
            <family val="2"/>
          </rPr>
          <t>Prior to 4Q21, it was called as "Materials, supplies and other".</t>
        </r>
      </text>
    </comment>
    <comment ref="BQ28" authorId="1" shapeId="0" xr:uid="{A323D982-1967-4221-BAE6-7564DD7388D9}">
      <text>
        <r>
          <rPr>
            <sz val="9"/>
            <color indexed="81"/>
            <rFont val="Tahoma"/>
            <family val="2"/>
          </rPr>
          <t>Prior to 4Q21, it was called as "Materials, supplies and other".</t>
        </r>
      </text>
    </comment>
    <comment ref="BX28" authorId="1" shapeId="0" xr:uid="{E7102FE1-8D04-4A95-BEF8-75F4EDEE1C00}">
      <text>
        <r>
          <rPr>
            <sz val="9"/>
            <color indexed="81"/>
            <rFont val="Tahoma"/>
            <family val="2"/>
          </rPr>
          <t>Prior to 4Q21, it was called as "Materials, supplies and other".</t>
        </r>
      </text>
    </comment>
    <comment ref="CE28" authorId="1" shapeId="0" xr:uid="{47402FE7-D08F-43D7-AD62-58BDC8C7F526}">
      <text>
        <r>
          <rPr>
            <sz val="9"/>
            <color indexed="81"/>
            <rFont val="Tahoma"/>
            <family val="2"/>
          </rPr>
          <t>Prior to 4Q21, it was called as "Materials, supplies and other".</t>
        </r>
      </text>
    </comment>
    <comment ref="CL28" authorId="1" shapeId="0" xr:uid="{53758420-3AF7-48D1-A771-0E749766CB3E}">
      <text>
        <r>
          <rPr>
            <sz val="9"/>
            <color indexed="81"/>
            <rFont val="Tahoma"/>
            <family val="2"/>
          </rPr>
          <t>Prior to 4Q21, it was called as "Materials, supplies and other".</t>
        </r>
      </text>
    </comment>
    <comment ref="CS28" authorId="1" shapeId="0" xr:uid="{D00535FF-8BD0-45E8-B348-7385702490D7}">
      <text>
        <r>
          <rPr>
            <sz val="9"/>
            <color indexed="81"/>
            <rFont val="Tahoma"/>
            <family val="2"/>
          </rPr>
          <t>Prior to 4Q21, it was called as "Materials, supplies and other".</t>
        </r>
      </text>
    </comment>
    <comment ref="CZ28" authorId="1" shapeId="0" xr:uid="{4E2A0236-EC34-460A-B498-0E23B1A26F44}">
      <text>
        <r>
          <rPr>
            <sz val="9"/>
            <color indexed="81"/>
            <rFont val="Tahoma"/>
            <family val="2"/>
          </rPr>
          <t>Prior to 4Q21, it was called as "Materials, supplies and other".</t>
        </r>
      </text>
    </comment>
    <comment ref="DG28" authorId="1" shapeId="0" xr:uid="{42A779F9-AC09-4B30-8DC1-5C500BB09AB9}">
      <text>
        <r>
          <rPr>
            <sz val="9"/>
            <color indexed="81"/>
            <rFont val="Tahoma"/>
            <family val="2"/>
          </rPr>
          <t>Prior to 4Q21, it was called as "Materials, supplies and other".</t>
        </r>
      </text>
    </comment>
    <comment ref="DN28" authorId="1" shapeId="0" xr:uid="{2B5FEB29-42B7-4B49-9914-0F07A0EC1C48}">
      <text>
        <r>
          <rPr>
            <sz val="9"/>
            <color indexed="81"/>
            <rFont val="Tahoma"/>
            <family val="2"/>
          </rPr>
          <t>Prior to 4Q21, it was called as "Materials, supplies and other".</t>
        </r>
      </text>
    </comment>
    <comment ref="DU28" authorId="1" shapeId="0" xr:uid="{CAD7F43D-D750-4EAC-8363-6AE8A99AD066}">
      <text>
        <r>
          <rPr>
            <sz val="9"/>
            <color indexed="81"/>
            <rFont val="Tahoma"/>
            <family val="2"/>
          </rPr>
          <t>Prior to 4Q21, it was called as "Materials, supplies and other".</t>
        </r>
      </text>
    </comment>
    <comment ref="EB28" authorId="1" shapeId="0" xr:uid="{3CC15476-252A-4492-83AC-D01BF762B517}">
      <text>
        <r>
          <rPr>
            <sz val="9"/>
            <color indexed="81"/>
            <rFont val="Tahoma"/>
            <family val="2"/>
          </rPr>
          <t>Prior to 4Q21, it was called as "Materials, supplies and other".</t>
        </r>
      </text>
    </comment>
    <comment ref="EI28" authorId="1" shapeId="0" xr:uid="{D4309580-887B-4C3B-A3E0-0BBB0277D67D}">
      <text>
        <r>
          <rPr>
            <sz val="9"/>
            <color indexed="81"/>
            <rFont val="Tahoma"/>
            <family val="2"/>
          </rPr>
          <t>Prior to 4Q21, it was called as "Materials, supplies and other".</t>
        </r>
      </text>
    </comment>
    <comment ref="EP28" authorId="1" shapeId="0" xr:uid="{4C5CCF06-7261-4341-958B-FAD517673D80}">
      <text>
        <r>
          <rPr>
            <sz val="9"/>
            <color indexed="81"/>
            <rFont val="Tahoma"/>
            <family val="2"/>
          </rPr>
          <t>Prior to 4Q21, it was called as "Materials, supplies and other".</t>
        </r>
      </text>
    </comment>
    <comment ref="EW28" authorId="1" shapeId="0" xr:uid="{41A13F37-38F4-4DDF-B9B5-514D244C675E}">
      <text>
        <r>
          <rPr>
            <sz val="9"/>
            <color indexed="81"/>
            <rFont val="Tahoma"/>
            <family val="2"/>
          </rPr>
          <t>Prior to 4Q21, it was called as "Materials, supplies and other".</t>
        </r>
      </text>
    </comment>
    <comment ref="FD28" authorId="1" shapeId="0" xr:uid="{541C37DA-F726-4420-B94C-1D7C56793826}">
      <text>
        <r>
          <rPr>
            <sz val="9"/>
            <color indexed="81"/>
            <rFont val="Tahoma"/>
            <family val="2"/>
          </rPr>
          <t>Prior to 4Q21, it was called as "Materials, supplies and other".</t>
        </r>
      </text>
    </comment>
    <comment ref="FK28" authorId="1" shapeId="0" xr:uid="{BF304BE7-F543-459D-B124-31FE665B7EDC}">
      <text>
        <r>
          <rPr>
            <sz val="9"/>
            <color indexed="81"/>
            <rFont val="Tahoma"/>
            <family val="2"/>
          </rPr>
          <t>Prior to 4Q21, it was called as "Materials, supplies and other".</t>
        </r>
      </text>
    </comment>
    <comment ref="FR28" authorId="1" shapeId="0" xr:uid="{983C1FFD-B696-46D2-849C-618A973F239D}">
      <text>
        <r>
          <rPr>
            <sz val="9"/>
            <color indexed="81"/>
            <rFont val="Tahoma"/>
            <family val="2"/>
          </rPr>
          <t>Prior to 4Q21, it was called as "Materials, supplies and other".</t>
        </r>
      </text>
    </comment>
    <comment ref="FY28" authorId="1" shapeId="0" xr:uid="{8E741520-3781-46C0-AFA9-56F6A610CBCC}">
      <text>
        <r>
          <rPr>
            <sz val="9"/>
            <color indexed="81"/>
            <rFont val="Tahoma"/>
            <family val="2"/>
          </rPr>
          <t>Prior to 4Q21, it was called as "Materials, supplies and other".</t>
        </r>
      </text>
    </comment>
    <comment ref="GF28" authorId="1" shapeId="0" xr:uid="{A00BC107-0379-4687-8781-FE8C4E503969}">
      <text>
        <r>
          <rPr>
            <sz val="9"/>
            <color indexed="81"/>
            <rFont val="Tahoma"/>
            <family val="2"/>
          </rPr>
          <t>Prior to 4Q21, it was called as "Materials, supplies and other".</t>
        </r>
      </text>
    </comment>
    <comment ref="GM28" authorId="1" shapeId="0" xr:uid="{A9907E29-F2A1-480F-A25F-327A06576E3A}">
      <text>
        <r>
          <rPr>
            <sz val="9"/>
            <color indexed="81"/>
            <rFont val="Tahoma"/>
            <family val="2"/>
          </rPr>
          <t>Prior to 4Q21, it was called as "Materials, supplies and other".</t>
        </r>
      </text>
    </comment>
    <comment ref="GT28" authorId="1" shapeId="0" xr:uid="{848D81B8-C957-40E6-BC54-FF49D1B399AD}">
      <text>
        <r>
          <rPr>
            <sz val="9"/>
            <color indexed="81"/>
            <rFont val="Tahoma"/>
            <family val="2"/>
          </rPr>
          <t>Prior to 4Q21, it was called as "Materials, supplies and other".</t>
        </r>
      </text>
    </comment>
    <comment ref="HA28" authorId="1" shapeId="0" xr:uid="{ABB61B39-811B-4171-94C6-34F3F5125115}">
      <text>
        <r>
          <rPr>
            <sz val="9"/>
            <color indexed="81"/>
            <rFont val="Tahoma"/>
            <family val="2"/>
          </rPr>
          <t>Prior to 4Q21, it was called as "Materials, supplies and other".</t>
        </r>
      </text>
    </comment>
    <comment ref="HH28" authorId="1" shapeId="0" xr:uid="{C7D7EB52-8AA0-4B07-866F-1BFBAAB302CE}">
      <text>
        <r>
          <rPr>
            <sz val="9"/>
            <color indexed="81"/>
            <rFont val="Tahoma"/>
            <family val="2"/>
          </rPr>
          <t>Prior to 4Q21, it was called as "Materials, supplies and other".</t>
        </r>
      </text>
    </comment>
    <comment ref="HO28" authorId="1" shapeId="0" xr:uid="{2B285FEB-ECD8-4ACC-A9FF-299CFF0F36E2}">
      <text>
        <r>
          <rPr>
            <sz val="9"/>
            <color indexed="81"/>
            <rFont val="Tahoma"/>
            <family val="2"/>
          </rPr>
          <t>Prior to 4Q21, it was called as "Materials, supplies and other".</t>
        </r>
      </text>
    </comment>
    <comment ref="HV28" authorId="1" shapeId="0" xr:uid="{E930FDBA-7057-48A6-885D-15B088C4DFC9}">
      <text>
        <r>
          <rPr>
            <sz val="9"/>
            <color indexed="81"/>
            <rFont val="Tahoma"/>
            <family val="2"/>
          </rPr>
          <t>Prior to 4Q21, it was called as "Materials, supplies and other".</t>
        </r>
      </text>
    </comment>
    <comment ref="IC28" authorId="1" shapeId="0" xr:uid="{169BD1C0-9A90-485B-9941-31D3E194B944}">
      <text>
        <r>
          <rPr>
            <sz val="9"/>
            <color indexed="81"/>
            <rFont val="Tahoma"/>
            <family val="2"/>
          </rPr>
          <t>Prior to 4Q21, it was called as "Materials, supplies and other".</t>
        </r>
      </text>
    </comment>
    <comment ref="IJ28" authorId="1" shapeId="0" xr:uid="{BAB76D63-B7D3-40A5-971C-9F1CB033207F}">
      <text>
        <r>
          <rPr>
            <sz val="9"/>
            <color indexed="81"/>
            <rFont val="Tahoma"/>
            <family val="2"/>
          </rPr>
          <t>Prior to 4Q21, it was called as "Materials, supplies and other".</t>
        </r>
      </text>
    </comment>
    <comment ref="IQ28" authorId="1" shapeId="0" xr:uid="{EBA7BD22-3FA6-4389-B214-2B86FA2C61AC}">
      <text>
        <r>
          <rPr>
            <sz val="9"/>
            <color indexed="81"/>
            <rFont val="Tahoma"/>
            <family val="2"/>
          </rPr>
          <t>Prior to 4Q21, it was called as "Materials, supplies and other".</t>
        </r>
      </text>
    </comment>
    <comment ref="IX28" authorId="1" shapeId="0" xr:uid="{42CCA166-457B-4BB8-8F97-0AE4B14A743F}">
      <text>
        <r>
          <rPr>
            <sz val="9"/>
            <color indexed="81"/>
            <rFont val="Tahoma"/>
            <family val="2"/>
          </rPr>
          <t>Prior to 4Q21, it was called as "Materials, supplies and other".</t>
        </r>
      </text>
    </comment>
    <comment ref="JE28" authorId="1" shapeId="0" xr:uid="{5F8A7D34-719B-4310-9EBC-3BCB8F9BC4A2}">
      <text>
        <r>
          <rPr>
            <sz val="9"/>
            <color indexed="81"/>
            <rFont val="Tahoma"/>
            <family val="2"/>
          </rPr>
          <t>Prior to 4Q21, it was called as "Materials, supplies and other".</t>
        </r>
      </text>
    </comment>
    <comment ref="JL28" authorId="1" shapeId="0" xr:uid="{CCD4E776-5F72-4E08-AF12-927E81A764D2}">
      <text>
        <r>
          <rPr>
            <sz val="9"/>
            <color indexed="81"/>
            <rFont val="Tahoma"/>
            <family val="2"/>
          </rPr>
          <t>Prior to 4Q21, it was called as "Materials, supplies and other".</t>
        </r>
      </text>
    </comment>
    <comment ref="JS28" authorId="1" shapeId="0" xr:uid="{F763F791-9020-44B8-9437-83898EE73B02}">
      <text>
        <r>
          <rPr>
            <sz val="9"/>
            <color indexed="81"/>
            <rFont val="Tahoma"/>
            <family val="2"/>
          </rPr>
          <t>Prior to 4Q21, it was called as "Materials, supplies and other".</t>
        </r>
      </text>
    </comment>
    <comment ref="JZ28" authorId="1" shapeId="0" xr:uid="{76CD6C5F-2A75-4147-B2C0-896CE8B1AC70}">
      <text>
        <r>
          <rPr>
            <sz val="9"/>
            <color indexed="81"/>
            <rFont val="Tahoma"/>
            <family val="2"/>
          </rPr>
          <t>Prior to 4Q21, it was called as "Materials, supplies and other".</t>
        </r>
      </text>
    </comment>
    <comment ref="KG28" authorId="1" shapeId="0" xr:uid="{1E417BCB-AD4B-4240-A8D2-04FAA5E994E9}">
      <text>
        <r>
          <rPr>
            <sz val="9"/>
            <color indexed="81"/>
            <rFont val="Tahoma"/>
            <family val="2"/>
          </rPr>
          <t>Prior to 4Q21, it was called as "Materials, supplies and other".</t>
        </r>
      </text>
    </comment>
    <comment ref="KJ28" authorId="0" shapeId="0" xr:uid="{7E011DAE-A97A-46CF-9B1B-E38D922FB8A5}">
      <text>
        <r>
          <rPr>
            <sz val="9"/>
            <color indexed="81"/>
            <rFont val="Tahoma"/>
            <family val="2"/>
          </rPr>
          <t>Impact From Quality:
$126MM</t>
        </r>
      </text>
    </comment>
    <comment ref="KK28" authorId="0" shapeId="0" xr:uid="{275BA8BA-061A-40E9-AF60-366284FA5D51}">
      <text>
        <r>
          <rPr>
            <sz val="9"/>
            <color indexed="81"/>
            <rFont val="Tahoma"/>
            <family val="2"/>
          </rPr>
          <t>Impact From Quality:
$131MM</t>
        </r>
      </text>
    </comment>
    <comment ref="KN28" authorId="1" shapeId="0" xr:uid="{3DC49B2E-F547-4305-B56D-CFFB68AE5A31}">
      <text>
        <r>
          <rPr>
            <sz val="9"/>
            <color indexed="81"/>
            <rFont val="Tahoma"/>
            <family val="2"/>
          </rPr>
          <t>Prior to 4Q21, it was called as "Materials, supplies and other".</t>
        </r>
      </text>
    </comment>
    <comment ref="KO28" authorId="0" shapeId="0" xr:uid="{5BDC5AED-89E8-46A4-B5F7-11534D14D76C}">
      <text>
        <r>
          <rPr>
            <sz val="9"/>
            <color indexed="81"/>
            <rFont val="Tahoma"/>
            <family val="2"/>
          </rPr>
          <t>Impact From Quality:
$139MM</t>
        </r>
      </text>
    </comment>
    <comment ref="KP28" authorId="0" shapeId="0" xr:uid="{1E63655D-C4DC-4709-A524-8FB7D7D5B79D}">
      <text>
        <r>
          <rPr>
            <sz val="9"/>
            <color indexed="81"/>
            <rFont val="Tahoma"/>
            <family val="2"/>
          </rPr>
          <t>Impact From Quality:
$141MM</t>
        </r>
      </text>
    </comment>
    <comment ref="KU28" authorId="1" shapeId="0" xr:uid="{5601DF73-9E53-44F2-9816-8F3FD9BD1C55}">
      <text>
        <r>
          <rPr>
            <sz val="9"/>
            <color indexed="81"/>
            <rFont val="Tahoma"/>
            <family val="2"/>
          </rPr>
          <t>Prior to 4Q21, it was called as "Materials, supplies and other".</t>
        </r>
      </text>
    </comment>
    <comment ref="LB28" authorId="1" shapeId="0" xr:uid="{64E45383-EE5C-4766-B6CB-361B4D1F633F}">
      <text>
        <r>
          <rPr>
            <sz val="9"/>
            <color indexed="81"/>
            <rFont val="Tahoma"/>
            <family val="2"/>
          </rPr>
          <t>Prior to 4Q21, it was called as "Materials, supplies and other".</t>
        </r>
      </text>
    </comment>
    <comment ref="LI28" authorId="1" shapeId="0" xr:uid="{A1E11157-05D1-4B22-A707-21AEED14124E}">
      <text>
        <r>
          <rPr>
            <sz val="9"/>
            <color indexed="81"/>
            <rFont val="Tahoma"/>
            <family val="2"/>
          </rPr>
          <t>Prior to 4Q21, it was called as "Materials, supplies and other".</t>
        </r>
      </text>
    </comment>
    <comment ref="LP28" authorId="1" shapeId="0" xr:uid="{C4D383A0-5072-4A52-BE5E-3316B0F1793E}">
      <text>
        <r>
          <rPr>
            <sz val="9"/>
            <color indexed="81"/>
            <rFont val="Tahoma"/>
            <family val="2"/>
          </rPr>
          <t>Prior to 4Q21, it was called as "Materials, supplies and other".</t>
        </r>
      </text>
    </comment>
    <comment ref="LW28" authorId="1" shapeId="0" xr:uid="{DE1176F3-1CF5-4F7E-9DCF-3CBCE3807F64}">
      <text>
        <r>
          <rPr>
            <sz val="9"/>
            <color indexed="81"/>
            <rFont val="Tahoma"/>
            <family val="2"/>
          </rPr>
          <t>Prior to 4Q21, it was called as "Materials, supplies and other".</t>
        </r>
      </text>
    </comment>
    <comment ref="MD28" authorId="1" shapeId="0" xr:uid="{B03BD1F6-B85E-4E04-B37D-C3879AD63F2B}">
      <text>
        <r>
          <rPr>
            <sz val="9"/>
            <color indexed="81"/>
            <rFont val="Tahoma"/>
            <family val="2"/>
          </rPr>
          <t>Prior to 4Q21, it was called as "Materials, supplies and other".</t>
        </r>
      </text>
    </comment>
    <comment ref="KJ30" authorId="0" shapeId="0" xr:uid="{A3770EE5-5919-4CE5-B45F-470F2A3EEF99}">
      <text>
        <r>
          <rPr>
            <sz val="9"/>
            <color indexed="81"/>
            <rFont val="Tahoma"/>
            <family val="2"/>
          </rPr>
          <t xml:space="preserve">Impact From Quality:
$21MM
</t>
        </r>
      </text>
    </comment>
    <comment ref="KK30" authorId="0" shapeId="0" xr:uid="{A379E381-F242-425E-AF66-EFE03F1C93D5}">
      <text>
        <r>
          <rPr>
            <sz val="9"/>
            <color indexed="81"/>
            <rFont val="Tahoma"/>
            <family val="2"/>
          </rPr>
          <t>Impact From Quality:
$23MM</t>
        </r>
      </text>
    </comment>
    <comment ref="KO30" authorId="0" shapeId="0" xr:uid="{BF5EED01-D6E0-4F2A-BCF8-D18E1F19734A}">
      <text>
        <r>
          <rPr>
            <sz val="9"/>
            <color indexed="81"/>
            <rFont val="Tahoma"/>
            <family val="2"/>
          </rPr>
          <t xml:space="preserve">Impact From Quality:
$28MM
</t>
        </r>
      </text>
    </comment>
    <comment ref="KP30" authorId="0" shapeId="0" xr:uid="{7EED554C-156B-461E-A426-6BD8022644FA}">
      <text>
        <r>
          <rPr>
            <sz val="9"/>
            <color indexed="81"/>
            <rFont val="Tahoma"/>
            <family val="2"/>
          </rPr>
          <t>Impact From Quality:
$42MM</t>
        </r>
      </text>
    </comment>
    <comment ref="GH33" authorId="0" shapeId="0" xr:uid="{F2151E0C-D037-4418-AD8C-81FC68A1F3CA}">
      <text>
        <r>
          <rPr>
            <b/>
            <sz val="9"/>
            <color indexed="81"/>
            <rFont val="Tahoma"/>
            <family val="2"/>
          </rPr>
          <t>Deveikis, Ryan:
+Gain in insurance recoveries</t>
        </r>
      </text>
    </comment>
    <comment ref="GI33" authorId="0" shapeId="0" xr:uid="{E0CA1713-153B-4295-9060-B53CE4F975EC}">
      <text>
        <r>
          <rPr>
            <b/>
            <sz val="9"/>
            <color indexed="81"/>
            <rFont val="Tahoma"/>
            <family val="2"/>
          </rPr>
          <t>Deveikis, Ryan:
+Gain in insurance recoveries</t>
        </r>
      </text>
    </comment>
    <comment ref="GJ33" authorId="0" shapeId="0" xr:uid="{5B8EC35E-E724-4FE3-B7CA-B2A6D066F6B0}">
      <text>
        <r>
          <rPr>
            <b/>
            <sz val="9"/>
            <color indexed="81"/>
            <rFont val="Tahoma"/>
            <family val="2"/>
          </rPr>
          <t>Deveikis, Ryan:
+Gain in insurance recoveries</t>
        </r>
      </text>
    </comment>
    <comment ref="GN33" authorId="0" shapeId="0" xr:uid="{54B92276-F33A-4D5E-A1B1-886BE831E6F9}">
      <text>
        <r>
          <rPr>
            <b/>
            <sz val="9"/>
            <color indexed="81"/>
            <rFont val="Tahoma"/>
            <family val="2"/>
          </rPr>
          <t>Deveikis, Ryan:</t>
        </r>
        <r>
          <rPr>
            <sz val="9"/>
            <color indexed="81"/>
            <rFont val="Tahoma"/>
            <family val="2"/>
          </rPr>
          <t xml:space="preserve">
+Gain in insurance recoveries</t>
        </r>
      </text>
    </comment>
    <comment ref="GQ33" authorId="0" shapeId="0" xr:uid="{9F3C82DF-DE36-48E7-A737-5BD54AF51C67}">
      <text>
        <r>
          <rPr>
            <b/>
            <sz val="9"/>
            <color indexed="81"/>
            <rFont val="Tahoma"/>
            <family val="2"/>
          </rPr>
          <t>+Gain in insurance recoveries</t>
        </r>
      </text>
    </comment>
    <comment ref="HJ33" authorId="0" shapeId="0" xr:uid="{09B9E513-E9B1-4481-98A4-C02AE4606E51}">
      <text>
        <r>
          <rPr>
            <sz val="9"/>
            <color indexed="81"/>
            <rFont val="Tahoma"/>
            <family val="2"/>
          </rPr>
          <t>2Q 2010 - CSX closed an operating property transaction with MA. The company received $50M of cash and recorded a net book loss of $30M PT / $0.05 p/share</t>
        </r>
      </text>
    </comment>
    <comment ref="JI33" authorId="2" shapeId="0" xr:uid="{00000000-0006-0000-0400-00000F000000}">
      <text>
        <r>
          <rPr>
            <b/>
            <sz val="9"/>
            <color indexed="81"/>
            <rFont val="Tahoma"/>
            <family val="2"/>
          </rPr>
          <t>Celis barros, Sebastian A.:</t>
        </r>
        <r>
          <rPr>
            <sz val="9"/>
            <color indexed="81"/>
            <rFont val="Tahoma"/>
            <family val="2"/>
          </rPr>
          <t xml:space="preserve">
Adjusted for Tax Reform benefit</t>
        </r>
      </text>
    </comment>
    <comment ref="KI33" authorId="0" shapeId="0" xr:uid="{00000000-0006-0000-0400-000010000000}">
      <text>
        <r>
          <rPr>
            <b/>
            <sz val="9"/>
            <color indexed="81"/>
            <rFont val="Tahoma"/>
            <family val="2"/>
          </rPr>
          <t>Deveikis, Ryan:</t>
        </r>
        <r>
          <rPr>
            <sz val="9"/>
            <color indexed="81"/>
            <rFont val="Tahoma"/>
            <family val="2"/>
          </rPr>
          <t xml:space="preserve">
$-367M related to gain on sale of certain propertie rights for passenger rail 
$349M opperating income</t>
        </r>
      </text>
    </comment>
    <comment ref="KP33" authorId="3" shapeId="0" xr:uid="{00000000-0006-0000-0400-000011000000}">
      <text>
        <r>
          <rPr>
            <sz val="9"/>
            <color indexed="81"/>
            <rFont val="Tahoma"/>
            <family val="2"/>
          </rPr>
          <t>adj from $122M gain from property sales recognized from the 2021
agreement with the Commonwealth of Virginia</t>
        </r>
      </text>
    </comment>
    <comment ref="GU37" authorId="4" shapeId="0" xr:uid="{93CD709A-8A26-4621-863E-C36684190ED1}">
      <text>
        <r>
          <rPr>
            <b/>
            <sz val="8"/>
            <color indexed="81"/>
            <rFont val="Tahoma"/>
            <family val="2"/>
          </rPr>
          <t>Bascome Majors:</t>
        </r>
        <r>
          <rPr>
            <sz val="8"/>
            <color indexed="81"/>
            <rFont val="Tahoma"/>
            <family val="2"/>
          </rPr>
          <t xml:space="preserve">
equity earnings one-timer</t>
        </r>
      </text>
    </comment>
    <comment ref="GU38" authorId="4" shapeId="0" xr:uid="{2439573D-764D-48E7-BBC1-CF25143D95DF}">
      <text>
        <r>
          <rPr>
            <b/>
            <sz val="8"/>
            <color indexed="81"/>
            <rFont val="Tahoma"/>
            <family val="2"/>
          </rPr>
          <t>Bascome Majors:</t>
        </r>
        <r>
          <rPr>
            <sz val="8"/>
            <color indexed="81"/>
            <rFont val="Tahoma"/>
            <family val="2"/>
          </rPr>
          <t xml:space="preserve">
equity earnings one-timer</t>
        </r>
      </text>
    </comment>
    <comment ref="GX38" authorId="0" shapeId="0" xr:uid="{316B78F6-2BAC-4B24-9271-1458BD5ACA24}">
      <text>
        <r>
          <rPr>
            <sz val="9"/>
            <color indexed="81"/>
            <rFont val="Tahoma"/>
            <family val="2"/>
          </rPr>
          <t>pre-tax impairment &amp; loss at Greenbriar</t>
        </r>
      </text>
    </comment>
    <comment ref="HB38" authorId="0" shapeId="0" xr:uid="{E221B0FC-678F-4F69-BE1B-F5EA57FE980A}">
      <text>
        <r>
          <rPr>
            <sz val="9"/>
            <color indexed="81"/>
            <rFont val="Tahoma"/>
            <family val="2"/>
          </rPr>
          <t>$14M is Greenbriar resort losses</t>
        </r>
      </text>
    </comment>
    <comment ref="HZ38" authorId="0" shapeId="0" xr:uid="{20C3F2D9-16B0-4FB2-809A-0786E73A034C}">
      <text>
        <r>
          <rPr>
            <sz val="9"/>
            <color indexed="81"/>
            <rFont val="Tahoma"/>
            <family val="2"/>
          </rPr>
          <t>back out data center gain</t>
        </r>
      </text>
    </comment>
    <comment ref="JB38" authorId="0" shapeId="0" xr:uid="{5D155A84-AF8C-4B04-A368-ACA1214206E2}">
      <text>
        <r>
          <rPr>
            <b/>
            <sz val="9"/>
            <color indexed="81"/>
            <rFont val="Tahoma"/>
            <family val="2"/>
          </rPr>
          <t>debt repurchase expense of 115</t>
        </r>
      </text>
    </comment>
    <comment ref="JF38" authorId="2" shapeId="0" xr:uid="{00000000-0006-0000-0400-000012000000}">
      <text>
        <r>
          <rPr>
            <b/>
            <sz val="9"/>
            <color indexed="81"/>
            <rFont val="Tahoma"/>
            <family val="2"/>
          </rPr>
          <t>Celis barros, Sebastian A.:</t>
        </r>
        <r>
          <rPr>
            <sz val="9"/>
            <color indexed="81"/>
            <rFont val="Tahoma"/>
            <family val="2"/>
          </rPr>
          <t xml:space="preserve">
Adjusted</t>
        </r>
      </text>
    </comment>
    <comment ref="JG38" authorId="2" shapeId="0" xr:uid="{00000000-0006-0000-0400-000013000000}">
      <text>
        <r>
          <rPr>
            <b/>
            <sz val="9"/>
            <color indexed="81"/>
            <rFont val="Tahoma"/>
            <family val="2"/>
          </rPr>
          <t>Celis barros, Sebastian A.:</t>
        </r>
        <r>
          <rPr>
            <sz val="9"/>
            <color indexed="81"/>
            <rFont val="Tahoma"/>
            <family val="2"/>
          </rPr>
          <t xml:space="preserve">
Adjusted</t>
        </r>
      </text>
    </comment>
    <comment ref="JI38" authorId="2" shapeId="0" xr:uid="{00000000-0006-0000-0400-000015000000}">
      <text>
        <r>
          <rPr>
            <b/>
            <sz val="9"/>
            <color indexed="81"/>
            <rFont val="Tahoma"/>
            <family val="2"/>
          </rPr>
          <t>Celis barros, Sebastian A.:</t>
        </r>
        <r>
          <rPr>
            <sz val="9"/>
            <color indexed="81"/>
            <rFont val="Tahoma"/>
            <family val="2"/>
          </rPr>
          <t xml:space="preserve">
Adjusted</t>
        </r>
      </text>
    </comment>
    <comment ref="KR38" authorId="1" shapeId="0" xr:uid="{7F97E40C-DE4A-4203-85C3-1B164C9B8A56}">
      <text>
        <r>
          <rPr>
            <sz val="9"/>
            <color indexed="81"/>
            <rFont val="Tahoma"/>
            <family val="2"/>
          </rPr>
          <t>net increased $25 million, or 132%, in fourth quarter 2022 when  compared to fourth quarter 2021 primarily due to higher interest income driven by increased rates.</t>
        </r>
      </text>
    </comment>
    <comment ref="DY46" authorId="5" shapeId="0" xr:uid="{C5040F5B-D801-42E4-BEA1-9D0F9DB9ABF5}">
      <text>
        <r>
          <rPr>
            <sz val="10"/>
            <color indexed="81"/>
            <rFont val="Tahoma"/>
            <family val="2"/>
          </rPr>
          <t>Add'l taxes from the exclusion of acquisiton costs and transition costs.</t>
        </r>
      </text>
    </comment>
    <comment ref="EC46" authorId="5" shapeId="0" xr:uid="{A3603AB7-8228-452B-86B4-400F1CAF66A1}">
      <text>
        <r>
          <rPr>
            <sz val="10"/>
            <color indexed="81"/>
            <rFont val="Tahoma"/>
            <family val="2"/>
          </rPr>
          <t>Includes tax-effects from $20 m recovery and (transition+acquisition+stay bonus) costs.</t>
        </r>
      </text>
    </comment>
    <comment ref="ED46" authorId="5" shapeId="0" xr:uid="{9D02E11F-7119-4A45-B91E-FF86EEB37C3F}">
      <text>
        <r>
          <rPr>
            <sz val="10"/>
            <color indexed="81"/>
            <rFont val="Tahoma"/>
            <family val="2"/>
          </rPr>
          <t>Includes tax-effects from (transition+acquisition+stay bonus) costs.</t>
        </r>
      </text>
    </comment>
    <comment ref="EM46" authorId="6" shapeId="0" xr:uid="{884CD136-B463-4043-B904-D0FBC1942B0C}">
      <text>
        <r>
          <rPr>
            <b/>
            <sz val="10"/>
            <color indexed="81"/>
            <rFont val="Tahoma"/>
            <family val="2"/>
          </rPr>
          <t>Troy:
Reflects gross up of tax expense for diferential between after tax one time items and pretax one time items (86+55=gross expense) -(35+34=after tax expense).</t>
        </r>
        <r>
          <rPr>
            <sz val="8"/>
            <color indexed="81"/>
            <rFont val="Tahoma"/>
            <family val="2"/>
          </rPr>
          <t xml:space="preserve">
</t>
        </r>
      </text>
    </comment>
    <comment ref="ER46" authorId="7" shapeId="0" xr:uid="{844933C1-7299-4DC9-98FE-2FD569F21234}">
      <text>
        <r>
          <rPr>
            <b/>
            <sz val="8"/>
            <color indexed="81"/>
            <rFont val="Tahoma"/>
            <family val="2"/>
          </rPr>
          <t>Matthew Tro</t>
        </r>
        <r>
          <rPr>
            <b/>
            <sz val="10"/>
            <color indexed="81"/>
            <rFont val="Tahoma"/>
            <family val="2"/>
          </rPr>
          <t>y:</t>
        </r>
        <r>
          <rPr>
            <sz val="10"/>
            <color indexed="81"/>
            <rFont val="Tahoma"/>
            <family val="2"/>
          </rPr>
          <t xml:space="preserve">
Addback of tax associated with CTI, which we include in last year's results, but CSX presents on an after tax contribution of discontinued operation basis.</t>
        </r>
      </text>
    </comment>
    <comment ref="FA46" authorId="8" shapeId="0" xr:uid="{F64D91D8-D197-483F-A78E-22EC31DCF568}">
      <text>
        <r>
          <rPr>
            <b/>
            <sz val="10"/>
            <color indexed="81"/>
            <rFont val="Tahoma"/>
            <family val="2"/>
          </rPr>
          <t>Glen Petraglia:</t>
        </r>
        <r>
          <rPr>
            <sz val="10"/>
            <color indexed="81"/>
            <rFont val="Tahoma"/>
            <family val="2"/>
          </rPr>
          <t xml:space="preserve">
Adjusted for settlement of New Orleans Take car fire settlement</t>
        </r>
      </text>
    </comment>
    <comment ref="FS46" authorId="8" shapeId="0" xr:uid="{24A21AE4-7F68-49DA-8CEE-F1104F32A350}">
      <text>
        <r>
          <rPr>
            <b/>
            <sz val="10"/>
            <color indexed="81"/>
            <rFont val="Tahoma"/>
            <family val="2"/>
          </rPr>
          <t>Glen Petraglia:</t>
        </r>
        <r>
          <rPr>
            <sz val="10"/>
            <color indexed="81"/>
            <rFont val="Tahoma"/>
            <family val="2"/>
          </rPr>
          <t xml:space="preserve">
Adjusted for restructuring charge</t>
        </r>
      </text>
    </comment>
    <comment ref="FU46" authorId="8" shapeId="0" xr:uid="{B54128C4-6F71-490D-857E-ABBD40200852}">
      <text>
        <r>
          <rPr>
            <b/>
            <sz val="8"/>
            <color indexed="81"/>
            <rFont val="Tahoma"/>
            <family val="2"/>
          </rPr>
          <t>Glen Petraglia:</t>
        </r>
        <r>
          <rPr>
            <sz val="8"/>
            <color indexed="81"/>
            <rFont val="Tahoma"/>
            <family val="2"/>
          </rPr>
          <t xml:space="preserve">
Estimated</t>
        </r>
      </text>
    </comment>
    <comment ref="GA46" authorId="8" shapeId="0" xr:uid="{A5DE21C3-2FB4-4B46-A8C3-69B34020EFDD}">
      <text>
        <r>
          <rPr>
            <sz val="10"/>
            <color indexed="81"/>
            <rFont val="Tahoma"/>
            <family val="2"/>
          </rPr>
          <t xml:space="preserve">
$71 million tax benefit from Ohio tax law change.  Also, tax impact of early retirement of debt.  Pre-tax expense of $192 million.  $0.54 EPS impact, hence, backed into after-tax number.
Also adjusted for $17 million coal rate case settlement</t>
        </r>
      </text>
    </comment>
    <comment ref="GH46" authorId="4" shapeId="0" xr:uid="{CD3D92BF-9807-4907-898E-28B4596C6CA1}">
      <text>
        <r>
          <rPr>
            <b/>
            <sz val="8"/>
            <color indexed="81"/>
            <rFont val="Tahoma"/>
            <family val="2"/>
          </rPr>
          <t>Bascome Majors:</t>
        </r>
        <r>
          <rPr>
            <sz val="8"/>
            <color indexed="81"/>
            <rFont val="Tahoma"/>
            <family val="2"/>
          </rPr>
          <t xml:space="preserve">
tax effect of insurance rec overies (126M pretax, 78M after tax) + tax benefit one-time</t>
        </r>
      </text>
    </comment>
    <comment ref="GI46" authorId="4" shapeId="0" xr:uid="{23ACCAB4-DBE8-402A-A76E-A733769153EB}">
      <text>
        <r>
          <rPr>
            <b/>
            <sz val="8"/>
            <color indexed="81"/>
            <rFont val="Tahoma"/>
            <family val="2"/>
          </rPr>
          <t>Bascome Majors:</t>
        </r>
        <r>
          <rPr>
            <sz val="8"/>
            <color indexed="81"/>
            <rFont val="Tahoma"/>
            <family val="2"/>
          </rPr>
          <t xml:space="preserve">
income tax benefit recognized in quarter</t>
        </r>
      </text>
    </comment>
    <comment ref="GX46" authorId="4" shapeId="0" xr:uid="{5939E0B4-2413-4368-8E50-7BDBAB21B0A7}">
      <text>
        <r>
          <rPr>
            <b/>
            <sz val="8"/>
            <color indexed="81"/>
            <rFont val="Tahoma"/>
            <family val="2"/>
          </rPr>
          <t>Bascome Majors:</t>
        </r>
        <r>
          <rPr>
            <sz val="8"/>
            <color indexed="81"/>
            <rFont val="Tahoma"/>
            <family val="2"/>
          </rPr>
          <t xml:space="preserve">
Adj for tax effect of greenbriar loss - backs into $0.27/share reported by mgmt</t>
        </r>
      </text>
    </comment>
    <comment ref="HE46" authorId="9" shapeId="0" xr:uid="{D3CA00F3-E93F-42E8-A05C-B6D4E8988D61}">
      <text>
        <r>
          <rPr>
            <b/>
            <sz val="8"/>
            <color indexed="81"/>
            <rFont val="Tahoma"/>
            <family val="2"/>
          </rPr>
          <t>Christopher Stathoulopoulos:</t>
        </r>
        <r>
          <rPr>
            <sz val="8"/>
            <color indexed="81"/>
            <rFont val="Tahoma"/>
            <family val="2"/>
          </rPr>
          <t xml:space="preserve">
Add back $15m for tax benefit</t>
        </r>
      </text>
    </comment>
    <comment ref="HI46" authorId="10" shapeId="0" xr:uid="{D87D29B3-E160-428E-B5F5-DD23EB7C6507}">
      <text>
        <r>
          <rPr>
            <b/>
            <sz val="8"/>
            <color indexed="81"/>
            <rFont val="Tahoma"/>
            <family val="2"/>
          </rPr>
          <t>cs34265:</t>
        </r>
        <r>
          <rPr>
            <sz val="8"/>
            <color indexed="81"/>
            <rFont val="Tahoma"/>
            <family val="2"/>
          </rPr>
          <t xml:space="preserve">
Includes $7M in tax expense due to health care legislation</t>
        </r>
      </text>
    </comment>
    <comment ref="HQ46" authorId="4" shapeId="0" xr:uid="{B0807809-EE0C-4EE9-B06A-975BC2A53F3D}">
      <text>
        <r>
          <rPr>
            <b/>
            <sz val="8"/>
            <color indexed="81"/>
            <rFont val="Tahoma"/>
            <family val="2"/>
          </rPr>
          <t>Bascome Majors:</t>
        </r>
        <r>
          <rPr>
            <sz val="8"/>
            <color indexed="81"/>
            <rFont val="Tahoma"/>
            <family val="2"/>
          </rPr>
          <t xml:space="preserve">
tax benefit</t>
        </r>
      </text>
    </comment>
    <comment ref="HS46" authorId="11" shapeId="0" xr:uid="{3E4115FE-17F1-446F-A70D-B8A0D01E8C56}">
      <text>
        <r>
          <rPr>
            <b/>
            <sz val="8"/>
            <color indexed="81"/>
            <rFont val="Tahoma"/>
            <family val="2"/>
          </rPr>
          <t xml:space="preserve">Christopher N. Stathoulopoulos:
</t>
        </r>
        <r>
          <rPr>
            <sz val="8"/>
            <color indexed="81"/>
            <rFont val="Tahoma"/>
            <family val="2"/>
          </rPr>
          <t>Add back $15M in net benefits for state taxes</t>
        </r>
      </text>
    </comment>
    <comment ref="HX46" authorId="12" shapeId="0" xr:uid="{6EFDDB96-1758-4BB2-ADBF-BFEDF93D1C6B}">
      <text>
        <r>
          <rPr>
            <b/>
            <sz val="9"/>
            <color indexed="81"/>
            <rFont val="Tahoma"/>
            <family val="2"/>
          </rPr>
          <t>Stathoulopoulos, Christopher (212-510-4408):</t>
        </r>
        <r>
          <rPr>
            <sz val="9"/>
            <color indexed="81"/>
            <rFont val="Tahoma"/>
            <family val="2"/>
          </rPr>
          <t xml:space="preserve">
Back out tax benefit $9M </t>
        </r>
      </text>
    </comment>
    <comment ref="IE46" authorId="12" shapeId="0" xr:uid="{36334DE2-D345-41B4-8DC8-479417E67881}">
      <text>
        <r>
          <rPr>
            <b/>
            <sz val="9"/>
            <color indexed="81"/>
            <rFont val="Tahoma"/>
            <family val="2"/>
          </rPr>
          <t>Stathoulopoulos, Christopher (212-510-4408):</t>
        </r>
        <r>
          <rPr>
            <sz val="9"/>
            <color indexed="81"/>
            <rFont val="Tahoma"/>
            <family val="2"/>
          </rPr>
          <t xml:space="preserve">
Add back tax benefit of $17M</t>
        </r>
      </text>
    </comment>
    <comment ref="IF46" authorId="9" shapeId="0" xr:uid="{89A2444D-B8E0-47D3-9CEF-4DE17A8DBE75}">
      <text>
        <r>
          <rPr>
            <b/>
            <sz val="9"/>
            <color indexed="81"/>
            <rFont val="Tahoma"/>
            <family val="2"/>
          </rPr>
          <t>Christopher Stathoulopoulos:</t>
        </r>
        <r>
          <rPr>
            <sz val="9"/>
            <color indexed="81"/>
            <rFont val="Tahoma"/>
            <family val="2"/>
          </rPr>
          <t xml:space="preserve">
Add back tax benefit of $11M</t>
        </r>
      </text>
    </comment>
    <comment ref="JB46" authorId="0" shapeId="0" xr:uid="{C93F98ED-4421-47B8-9D99-F7E1D7E19F98}">
      <text>
        <r>
          <rPr>
            <b/>
            <sz val="9"/>
            <color indexed="81"/>
            <rFont val="Tahoma"/>
            <family val="2"/>
          </rPr>
          <t>155M @ 39%</t>
        </r>
      </text>
    </comment>
    <comment ref="KP46" authorId="3" shapeId="0" xr:uid="{00000000-0006-0000-0400-000016000000}">
      <text>
        <r>
          <rPr>
            <sz val="9"/>
            <color indexed="81"/>
            <rFont val="Tahoma"/>
            <family val="2"/>
          </rPr>
          <t>adj from $122M gain from property sales recognized from the 2021
agreement with the Commonwealth of Virginia</t>
        </r>
      </text>
    </comment>
    <comment ref="LM46" authorId="13" shapeId="0" xr:uid="{6CA1D47A-AC18-491B-BFEF-1CC84087CBD1}">
      <text>
        <r>
          <rPr>
            <b/>
            <sz val="9"/>
            <color indexed="81"/>
            <rFont val="Tahoma"/>
            <family val="2"/>
          </rPr>
          <t>Salmon, Robert H.:</t>
        </r>
        <r>
          <rPr>
            <sz val="9"/>
            <color indexed="81"/>
            <rFont val="Tahoma"/>
            <family val="2"/>
          </rPr>
          <t xml:space="preserve">
includes $25m tax benefit from favorable adjustments to deferred tax liabilities</t>
        </r>
      </text>
    </comment>
    <comment ref="LG47" authorId="0" shapeId="0" xr:uid="{37DDCAE0-E95B-4DBD-9FD2-52C5B34047C0}">
      <text>
        <r>
          <rPr>
            <b/>
            <sz val="9"/>
            <color indexed="81"/>
            <rFont val="Tahoma"/>
            <family val="2"/>
          </rPr>
          <t>~24.5%</t>
        </r>
      </text>
    </comment>
    <comment ref="FO53" authorId="8" shapeId="0" xr:uid="{681F8D41-495B-4296-838B-629138D9FB1A}">
      <text>
        <r>
          <rPr>
            <b/>
            <sz val="10"/>
            <color indexed="81"/>
            <rFont val="Tahoma"/>
            <family val="2"/>
          </rPr>
          <t>Glen Petraglia:</t>
        </r>
        <r>
          <rPr>
            <sz val="10"/>
            <color indexed="81"/>
            <rFont val="Tahoma"/>
            <family val="2"/>
          </rPr>
          <t xml:space="preserve">
Income from discontinued operations (World Terminals Sale)</t>
        </r>
      </text>
    </comment>
    <comment ref="FV53" authorId="8" shapeId="0" xr:uid="{257541FE-5EDD-457C-9029-D65B1B66FBD7}">
      <text>
        <r>
          <rPr>
            <b/>
            <sz val="10"/>
            <color indexed="81"/>
            <rFont val="Tahoma"/>
            <family val="2"/>
          </rPr>
          <t>Glen Petraglia:</t>
        </r>
        <r>
          <rPr>
            <sz val="10"/>
            <color indexed="81"/>
            <rFont val="Tahoma"/>
            <family val="2"/>
          </rPr>
          <t xml:space="preserve">
Income from discontinued operations (World Terminals Sale)</t>
        </r>
      </text>
    </comment>
    <comment ref="EC56" authorId="5" shapeId="0" xr:uid="{E057E159-DA0D-4084-8A5A-CCD602FC7E7A}">
      <text>
        <r>
          <rPr>
            <sz val="10"/>
            <color indexed="81"/>
            <rFont val="Tahoma"/>
            <family val="2"/>
          </rPr>
          <t>After-tax impact of $19 m transition costs, $10 m acquisition costs, $21 m in stay bonuses.</t>
        </r>
      </text>
    </comment>
    <comment ref="EE56" authorId="5" shapeId="0" xr:uid="{853D046F-5DBF-465C-9884-198676033399}">
      <text>
        <r>
          <rPr>
            <sz val="10"/>
            <color indexed="81"/>
            <rFont val="Tahoma"/>
            <family val="2"/>
          </rPr>
          <t>LaPort-C:
$30m restructuring credit ($19m After-tax) portion of restructuring credit and gain from ACL.</t>
        </r>
      </text>
    </comment>
    <comment ref="GA57" authorId="8" shapeId="0" xr:uid="{9F81B85A-DC95-4735-8AE3-53C997F33206}">
      <text>
        <r>
          <rPr>
            <b/>
            <sz val="10"/>
            <color indexed="81"/>
            <rFont val="Tahoma"/>
            <family val="2"/>
          </rPr>
          <t>Glen Petraglia:</t>
        </r>
        <r>
          <rPr>
            <sz val="10"/>
            <color indexed="81"/>
            <rFont val="Tahoma"/>
            <family val="2"/>
          </rPr>
          <t xml:space="preserve">
$71 million tax benefit in state of Ohio and $123 million after-tax expense tied to early repurchase of debt</t>
        </r>
      </text>
    </comment>
    <comment ref="DD58" authorId="5" shapeId="0" xr:uid="{BFBAB3D3-2991-4D45-80F3-1745CA3204D5}">
      <text>
        <r>
          <rPr>
            <sz val="8"/>
            <color indexed="81"/>
            <rFont val="Tahoma"/>
            <family val="2"/>
          </rPr>
          <t>$7mm pretax charge for premium paid on early redemption of debt--$250 mm 9.5% notes in other income, net. (4.7MM)
Pretax installment gain of $69 mm on South Fla track sale out of other income.(42MM)</t>
        </r>
      </text>
    </comment>
    <comment ref="DJ58" authorId="5" shapeId="0" xr:uid="{21E1409D-BD6C-4874-93A1-A131A978FAD9}">
      <text>
        <r>
          <rPr>
            <sz val="8"/>
            <color indexed="81"/>
            <rFont val="Tahoma"/>
            <family val="2"/>
          </rPr>
          <t>After-tax net of $13 mm of one-time relocation and training offset by reduction in interest income of $6 mm.</t>
        </r>
      </text>
    </comment>
    <comment ref="DP58" authorId="5" shapeId="0" xr:uid="{D2CF38B3-64C8-40D9-BD2A-16513E074AE1}">
      <text>
        <r>
          <rPr>
            <sz val="8"/>
            <color indexed="81"/>
            <rFont val="Tahoma"/>
            <family val="2"/>
          </rPr>
          <t>Reversal of favorable amounts of 9 and 9.5 m with a reversal of partially offsetting 9 m at the interest expense line.</t>
        </r>
      </text>
    </comment>
    <comment ref="DX58" authorId="5" shapeId="0" xr:uid="{7EA9C030-C437-4A97-8A81-15D69927BC4A}">
      <text>
        <r>
          <rPr>
            <sz val="10"/>
            <color indexed="81"/>
            <rFont val="Tahoma"/>
            <family val="2"/>
          </rPr>
          <t>Proportional CRR one-time expenses for deferred state tax charges (total $22m) and stay bonuses (total $16m).</t>
        </r>
      </text>
    </comment>
    <comment ref="DY58" authorId="5" shapeId="0" xr:uid="{3043595A-67CC-4890-90FB-46EB2C95DCAE}">
      <text>
        <r>
          <rPr>
            <sz val="10"/>
            <color indexed="81"/>
            <rFont val="Tahoma"/>
            <family val="2"/>
          </rPr>
          <t>After tax affect of acquisition costs and transitional costs ($42m pre-tax) and stay bonuses ($16m pre-tax).</t>
        </r>
      </text>
    </comment>
    <comment ref="EC58" authorId="5" shapeId="0" xr:uid="{800741B3-CC76-4385-909F-328E66248E0C}">
      <text>
        <r>
          <rPr>
            <sz val="8"/>
            <color indexed="81"/>
            <rFont val="Tahoma"/>
            <family val="2"/>
          </rPr>
          <t>A</t>
        </r>
        <r>
          <rPr>
            <sz val="10"/>
            <color indexed="81"/>
            <rFont val="Tahoma"/>
            <family val="2"/>
          </rPr>
          <t>fter-tax impact of $20m recovery from coal contract.</t>
        </r>
      </text>
    </comment>
    <comment ref="ED58" authorId="5" shapeId="0" xr:uid="{61B823FC-D5F9-472F-B1A8-B04BDA2A6124}">
      <text>
        <r>
          <rPr>
            <sz val="10"/>
            <color indexed="81"/>
            <rFont val="Tahoma"/>
            <family val="2"/>
          </rPr>
          <t>After-tax impact of $32 m transition costs, $9 m acquisition costs, $11.3 m in stay bonuses.</t>
        </r>
      </text>
    </comment>
    <comment ref="EF58" authorId="5" shapeId="0" xr:uid="{8598C79C-E0EA-4597-947E-A61352528D8A}">
      <text>
        <r>
          <rPr>
            <sz val="10"/>
            <color indexed="81"/>
            <rFont val="Tahoma"/>
            <family val="2"/>
          </rPr>
          <t>After-tax impact of $55 m transition costs, $5 m acquisition costs, $6 m in stay bonuses.</t>
        </r>
      </text>
    </comment>
    <comment ref="EL58" authorId="6" shapeId="0" xr:uid="{68CDC48E-F690-4234-9D3D-9705FDB838C0}">
      <text>
        <r>
          <rPr>
            <b/>
            <sz val="8"/>
            <color indexed="81"/>
            <rFont val="Tahoma"/>
            <family val="2"/>
          </rPr>
          <t>Troy:</t>
        </r>
        <r>
          <rPr>
            <sz val="8"/>
            <color indexed="81"/>
            <rFont val="Tahoma"/>
            <family val="2"/>
          </rPr>
          <t xml:space="preserve">
Impairment charge, net of $17 million benefit from lower depreciation expense, of $236m after tax ($298 pretax).</t>
        </r>
      </text>
    </comment>
    <comment ref="EM58" authorId="14" shapeId="0" xr:uid="{8BC123E8-7A5D-4697-A914-A99639E5AA10}">
      <text>
        <r>
          <rPr>
            <b/>
            <sz val="8"/>
            <color indexed="81"/>
            <rFont val="Tahoma"/>
            <family val="2"/>
          </rPr>
          <t>Matthew L. Troy:</t>
        </r>
        <r>
          <rPr>
            <sz val="8"/>
            <color indexed="81"/>
            <rFont val="Tahoma"/>
            <family val="2"/>
          </rPr>
          <t xml:space="preserve">
After tax effect of separation/early retirement charge.</t>
        </r>
      </text>
    </comment>
    <comment ref="FA58" authorId="8" shapeId="0" xr:uid="{1A48C601-4A03-482F-8B64-7AA2A0958030}">
      <text>
        <r>
          <rPr>
            <b/>
            <sz val="10"/>
            <color indexed="81"/>
            <rFont val="Tahoma"/>
            <family val="2"/>
          </rPr>
          <t>Glen Petraglia:</t>
        </r>
        <r>
          <rPr>
            <sz val="10"/>
            <color indexed="81"/>
            <rFont val="Tahoma"/>
            <family val="2"/>
          </rPr>
          <t xml:space="preserve">
$37 million after-tax settlement of 1987 New Orleans Tank car fire</t>
        </r>
      </text>
    </comment>
    <comment ref="FS58" authorId="8" shapeId="0" xr:uid="{F184CA2F-7ECB-4DA1-854D-3B19F4D05756}">
      <text>
        <r>
          <rPr>
            <b/>
            <sz val="10"/>
            <color indexed="81"/>
            <rFont val="Tahoma"/>
            <family val="2"/>
          </rPr>
          <t>Glen Petraglia:</t>
        </r>
        <r>
          <rPr>
            <sz val="10"/>
            <color indexed="81"/>
            <rFont val="Tahoma"/>
            <family val="2"/>
          </rPr>
          <t xml:space="preserve">
restructuring charge</t>
        </r>
      </text>
    </comment>
    <comment ref="FT58" authorId="15" shapeId="0" xr:uid="{6BF029FD-BDDB-4F35-834E-7DA1DD4167E3}">
      <text>
        <r>
          <rPr>
            <b/>
            <sz val="8"/>
            <color indexed="81"/>
            <rFont val="Tahoma"/>
            <family val="2"/>
          </rPr>
          <t>Matthew Tingler:</t>
        </r>
        <r>
          <rPr>
            <sz val="8"/>
            <color indexed="81"/>
            <rFont val="Tahoma"/>
            <family val="2"/>
          </rPr>
          <t xml:space="preserve">
Restructuring Charge.</t>
        </r>
      </text>
    </comment>
    <comment ref="FU58" authorId="8" shapeId="0" xr:uid="{3872084A-227B-4EF3-B37F-79187DAAABAF}">
      <text>
        <r>
          <rPr>
            <b/>
            <sz val="10"/>
            <color indexed="81"/>
            <rFont val="Tahoma"/>
            <family val="2"/>
          </rPr>
          <t>Glen Petraglia:</t>
        </r>
        <r>
          <rPr>
            <sz val="10"/>
            <color indexed="81"/>
            <rFont val="Tahoma"/>
            <family val="2"/>
          </rPr>
          <t xml:space="preserve">
Net impact of $16M gain from CRR spinoff and a $3 million pre-tax restructuring charge.</t>
        </r>
      </text>
    </comment>
    <comment ref="GA58" authorId="8" shapeId="0" xr:uid="{FE73F95F-EB59-4C04-9C1A-A4B7513E77A3}">
      <text>
        <r>
          <rPr>
            <b/>
            <sz val="8"/>
            <color indexed="81"/>
            <rFont val="Tahoma"/>
            <family val="2"/>
          </rPr>
          <t>Glen Petraglia:</t>
        </r>
        <r>
          <rPr>
            <sz val="8"/>
            <color indexed="81"/>
            <rFont val="Tahoma"/>
            <family val="2"/>
          </rPr>
          <t xml:space="preserve">
Coal Rate case settlement</t>
        </r>
      </text>
    </comment>
    <comment ref="GH58" authorId="4" shapeId="0" xr:uid="{0522096A-8302-49C1-A656-793EBA14B4BD}">
      <text>
        <r>
          <rPr>
            <b/>
            <sz val="8"/>
            <color indexed="81"/>
            <rFont val="Tahoma"/>
            <family val="2"/>
          </rPr>
          <t>Bascome Majors:</t>
        </r>
        <r>
          <rPr>
            <sz val="8"/>
            <color indexed="81"/>
            <rFont val="Tahoma"/>
            <family val="2"/>
          </rPr>
          <t xml:space="preserve">
after-tax insurance recoveries + tax benefit from one-time resolution</t>
        </r>
      </text>
    </comment>
    <comment ref="GI58" authorId="4" shapeId="0" xr:uid="{E8EC3D83-1F20-46CB-ACE3-031BB7744435}">
      <text>
        <r>
          <rPr>
            <b/>
            <sz val="8"/>
            <color indexed="81"/>
            <rFont val="Tahoma"/>
            <family val="2"/>
          </rPr>
          <t>Bascome Majors:</t>
        </r>
        <r>
          <rPr>
            <sz val="8"/>
            <color indexed="81"/>
            <rFont val="Tahoma"/>
            <family val="2"/>
          </rPr>
          <t xml:space="preserve">
gain on insurance recoveries + income tax settlement</t>
        </r>
      </text>
    </comment>
    <comment ref="GN58" authorId="4" shapeId="0" xr:uid="{04D40C5B-C25E-4A46-8422-2CD3778ECB9F}">
      <text>
        <r>
          <rPr>
            <b/>
            <sz val="8"/>
            <color indexed="81"/>
            <rFont val="Tahoma"/>
            <family val="2"/>
          </rPr>
          <t>Bascome Majors:</t>
        </r>
        <r>
          <rPr>
            <sz val="8"/>
            <color indexed="81"/>
            <rFont val="Tahoma"/>
            <family val="2"/>
          </rPr>
          <t xml:space="preserve">
gain on insurance recoveries</t>
        </r>
      </text>
    </comment>
    <comment ref="GP58" authorId="4" shapeId="0" xr:uid="{44B8918B-36C5-4FB4-A625-863D5BA892A9}">
      <text>
        <r>
          <rPr>
            <b/>
            <sz val="8"/>
            <color indexed="81"/>
            <rFont val="Tahoma"/>
            <family val="2"/>
          </rPr>
          <t>Bascome Majors:</t>
        </r>
        <r>
          <rPr>
            <sz val="8"/>
            <color indexed="81"/>
            <rFont val="Tahoma"/>
            <family val="2"/>
          </rPr>
          <t xml:space="preserve">
tax benefit from sale of containershipping &amp; marine services businesses</t>
        </r>
      </text>
    </comment>
    <comment ref="GU58" authorId="4" shapeId="0" xr:uid="{B2274144-52C9-4BEC-B393-E120F4A428B3}">
      <text>
        <r>
          <rPr>
            <b/>
            <sz val="8"/>
            <color indexed="81"/>
            <rFont val="Tahoma"/>
            <family val="2"/>
          </rPr>
          <t>Bascome Majors:</t>
        </r>
        <r>
          <rPr>
            <sz val="8"/>
            <color indexed="81"/>
            <rFont val="Tahoma"/>
            <family val="2"/>
          </rPr>
          <t xml:space="preserve">
gain on insurance recoveries + equity earnings accounting adjustment</t>
        </r>
      </text>
    </comment>
    <comment ref="GV58" authorId="4" shapeId="0" xr:uid="{22054329-D990-4EFD-8584-9E57EC82D9D4}">
      <text>
        <r>
          <rPr>
            <b/>
            <sz val="8"/>
            <color indexed="81"/>
            <rFont val="Tahoma"/>
            <family val="2"/>
          </rPr>
          <t>Bascome Majors:</t>
        </r>
        <r>
          <rPr>
            <sz val="8"/>
            <color indexed="81"/>
            <rFont val="Tahoma"/>
            <family val="2"/>
          </rPr>
          <t xml:space="preserve">
tax benefit</t>
        </r>
      </text>
    </comment>
    <comment ref="GX58" authorId="4" shapeId="0" xr:uid="{424368F4-D969-4E0E-AFB8-AFFE225DDE27}">
      <text>
        <r>
          <rPr>
            <b/>
            <sz val="8"/>
            <color indexed="81"/>
            <rFont val="Tahoma"/>
            <family val="2"/>
          </rPr>
          <t>Bascome Majors:</t>
        </r>
        <r>
          <rPr>
            <sz val="8"/>
            <color indexed="81"/>
            <rFont val="Tahoma"/>
            <family val="2"/>
          </rPr>
          <t xml:space="preserve">
Greenbriar write down &amp; loss</t>
        </r>
      </text>
    </comment>
    <comment ref="HE58" authorId="9" shapeId="0" xr:uid="{09357200-D871-4707-95C2-40CBACB0138A}">
      <text>
        <r>
          <rPr>
            <b/>
            <sz val="8"/>
            <color indexed="81"/>
            <rFont val="Tahoma"/>
            <family val="2"/>
          </rPr>
          <t>Christopher Stathoulopoulos:</t>
        </r>
        <r>
          <rPr>
            <sz val="8"/>
            <color indexed="81"/>
            <rFont val="Tahoma"/>
            <family val="2"/>
          </rPr>
          <t xml:space="preserve">
$15 for tax benefit</t>
        </r>
      </text>
    </comment>
    <comment ref="HJ58" authorId="16" shapeId="0" xr:uid="{87D39BAA-2218-490C-BF01-0A4DAC8E3351}">
      <text>
        <r>
          <rPr>
            <b/>
            <sz val="8"/>
            <color indexed="81"/>
            <rFont val="Tahoma"/>
            <family val="2"/>
          </rPr>
          <t>SIG:</t>
        </r>
        <r>
          <rPr>
            <sz val="8"/>
            <color indexed="81"/>
            <rFont val="Tahoma"/>
            <family val="2"/>
          </rPr>
          <t xml:space="preserve">
Net taz and interest benefit of $15M / $0.04 p/share</t>
        </r>
      </text>
    </comment>
    <comment ref="HK58" authorId="9" shapeId="0" xr:uid="{1C367E2F-86C2-4340-9FC0-9C144460F461}">
      <text>
        <r>
          <rPr>
            <b/>
            <sz val="8"/>
            <color indexed="81"/>
            <rFont val="Tahoma"/>
            <family val="2"/>
          </rPr>
          <t>Christopher Stathoulopoulos:</t>
        </r>
        <r>
          <rPr>
            <sz val="8"/>
            <color indexed="81"/>
            <rFont val="Tahoma"/>
            <family val="2"/>
          </rPr>
          <t xml:space="preserve">
Income tax charge of $22M / $0.06 p/share, related to the merger of the company's former intermodal subsidiary with CSXT</t>
        </r>
      </text>
    </comment>
    <comment ref="HQ58" authorId="11" shapeId="0" xr:uid="{9CAA2466-D974-499A-AA53-798A367B4341}">
      <text>
        <r>
          <rPr>
            <b/>
            <sz val="8"/>
            <color indexed="81"/>
            <rFont val="Tahoma"/>
            <family val="2"/>
          </rPr>
          <t>Christopher N. Stathoulopoulos:</t>
        </r>
        <r>
          <rPr>
            <sz val="8"/>
            <color indexed="81"/>
            <rFont val="Tahoma"/>
            <family val="2"/>
          </rPr>
          <t xml:space="preserve">
Net favorable income tax benefit of approx $14M ($0.01 p/share)</t>
        </r>
      </text>
    </comment>
    <comment ref="HS58" authorId="11" shapeId="0" xr:uid="{0EC5DF7B-5F5E-4B89-9EDA-F496F728F964}">
      <text>
        <r>
          <rPr>
            <b/>
            <sz val="8"/>
            <color indexed="81"/>
            <rFont val="Tahoma"/>
            <family val="2"/>
          </rPr>
          <t>Christopher N. Stathoulopoulos:</t>
        </r>
        <r>
          <rPr>
            <sz val="8"/>
            <color indexed="81"/>
            <rFont val="Tahoma"/>
            <family val="2"/>
          </rPr>
          <t xml:space="preserve">
Net tax benefit of $15M related to a change in the apportionment of state txes</t>
        </r>
      </text>
    </comment>
    <comment ref="HZ58" authorId="4" shapeId="0" xr:uid="{9CCC611A-ED21-4D25-8D61-89089E6945EE}">
      <text>
        <r>
          <rPr>
            <b/>
            <sz val="9"/>
            <color indexed="81"/>
            <rFont val="Tahoma"/>
            <family val="2"/>
          </rPr>
          <t>Bascome Majors:</t>
        </r>
        <r>
          <rPr>
            <sz val="9"/>
            <color indexed="81"/>
            <rFont val="Tahoma"/>
            <family val="2"/>
          </rPr>
          <t xml:space="preserve">
back out data center gain</t>
        </r>
      </text>
    </comment>
    <comment ref="JB58" authorId="0" shapeId="0" xr:uid="{7D446A45-6C54-4F37-9CD2-0429B7B0D4CC}">
      <text>
        <r>
          <rPr>
            <sz val="9"/>
            <color indexed="81"/>
            <rFont val="Tahoma"/>
            <family val="2"/>
          </rPr>
          <t>tax</t>
        </r>
      </text>
    </comment>
    <comment ref="JI58" authorId="2" shapeId="0" xr:uid="{00000000-0006-0000-0400-000017000000}">
      <text>
        <r>
          <rPr>
            <b/>
            <sz val="9"/>
            <color indexed="81"/>
            <rFont val="Tahoma"/>
            <family val="2"/>
          </rPr>
          <t>Celis barros, Sebastian A.:</t>
        </r>
        <r>
          <rPr>
            <sz val="9"/>
            <color indexed="81"/>
            <rFont val="Tahoma"/>
            <family val="2"/>
          </rPr>
          <t xml:space="preserve">
Tax reform</t>
        </r>
      </text>
    </comment>
    <comment ref="KI58" authorId="0" shapeId="0" xr:uid="{00000000-0006-0000-0400-000018000000}">
      <text>
        <r>
          <rPr>
            <b/>
            <sz val="9"/>
            <color indexed="81"/>
            <rFont val="Tahoma"/>
            <family val="2"/>
          </rPr>
          <t>Deveikis, Ryan:</t>
        </r>
        <r>
          <rPr>
            <sz val="9"/>
            <color indexed="81"/>
            <rFont val="Tahoma"/>
            <family val="2"/>
          </rPr>
          <t xml:space="preserve">
Gain on sale from certain property rights of $349 at excluding 23.3% tax rate already excluded</t>
        </r>
      </text>
    </comment>
    <comment ref="KP58" authorId="3" shapeId="0" xr:uid="{00000000-0006-0000-0400-000019000000}">
      <text>
        <r>
          <rPr>
            <sz val="9"/>
            <color indexed="81"/>
            <rFont val="Tahoma"/>
            <family val="2"/>
          </rPr>
          <t>adj from $122M gain from property sales recognized from the 2021
agreement with the Commonwealth of Virginia</t>
        </r>
      </text>
    </comment>
    <comment ref="GI62" authorId="2" shapeId="0" xr:uid="{00000000-0006-0000-0400-00001A000000}">
      <text>
        <r>
          <rPr>
            <b/>
            <sz val="9"/>
            <color indexed="81"/>
            <rFont val="Tahoma"/>
            <family val="2"/>
          </rPr>
          <t>Celis barros, Sebastian A.:</t>
        </r>
        <r>
          <rPr>
            <sz val="9"/>
            <color indexed="81"/>
            <rFont val="Tahoma"/>
            <family val="2"/>
          </rPr>
          <t xml:space="preserve">
Added $0.01 due to rounding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Deveikis, Ryan</author>
    <author>Glen Petraglia</author>
    <author>A satisfied Microsoft Office user</author>
    <author>Celis barros, Sebastian A.</author>
    <author>Salmon, Robert H.</author>
    <author>hjkhjkhj</author>
    <author>Troy</author>
  </authors>
  <commentList>
    <comment ref="B9" authorId="0" shapeId="0" xr:uid="{6F48CD68-E91B-43A0-A156-D3380C2BFC0F}">
      <text>
        <r>
          <rPr>
            <sz val="9"/>
            <color indexed="81"/>
            <rFont val="Tahoma"/>
            <family val="2"/>
          </rPr>
          <t>As of 1Q13, inludes the Waste portion from the former Waste &amp; Equipment segment</t>
        </r>
      </text>
    </comment>
    <comment ref="BO9" authorId="0" shapeId="0" xr:uid="{9A17365A-CCD2-4AB6-874A-03FEFB16B7FE}">
      <text>
        <r>
          <rPr>
            <sz val="9"/>
            <color indexed="81"/>
            <rFont val="Tahoma"/>
            <family val="2"/>
          </rPr>
          <t>As of 1Q13, inludes the Waste portion from the former Waste &amp; Equipment segment</t>
        </r>
      </text>
    </comment>
    <comment ref="BV9" authorId="0" shapeId="0" xr:uid="{95DB61DE-5476-4205-8A23-CDD7FE31FC91}">
      <text>
        <r>
          <rPr>
            <sz val="9"/>
            <color indexed="81"/>
            <rFont val="Tahoma"/>
            <family val="2"/>
          </rPr>
          <t>As of 1Q13, inludes the Waste portion from the former Waste &amp; Equipment segment</t>
        </r>
      </text>
    </comment>
    <comment ref="CC9" authorId="0" shapeId="0" xr:uid="{F8F681CF-497E-43AB-BB9E-8E3CCD4D6E90}">
      <text>
        <r>
          <rPr>
            <sz val="9"/>
            <color indexed="81"/>
            <rFont val="Tahoma"/>
            <family val="2"/>
          </rPr>
          <t>As of 1Q13, inludes the Waste portion from the former Waste &amp; Equipment segment</t>
        </r>
      </text>
    </comment>
    <comment ref="CJ9" authorId="0" shapeId="0" xr:uid="{29D802BE-6137-47F5-9E5D-17B48ADDF343}">
      <text>
        <r>
          <rPr>
            <sz val="9"/>
            <color indexed="81"/>
            <rFont val="Tahoma"/>
            <family val="2"/>
          </rPr>
          <t>As of 1Q13, inludes the Waste portion from the former Waste &amp; Equipment segment</t>
        </r>
      </text>
    </comment>
    <comment ref="CQ9" authorId="0" shapeId="0" xr:uid="{088573F5-1821-4008-B912-450B14F57B45}">
      <text>
        <r>
          <rPr>
            <sz val="9"/>
            <color indexed="81"/>
            <rFont val="Tahoma"/>
            <family val="2"/>
          </rPr>
          <t>As of 1Q13, inludes the Waste portion from the former Waste &amp; Equipment segment</t>
        </r>
      </text>
    </comment>
    <comment ref="CX9" authorId="0" shapeId="0" xr:uid="{6FE6BB0B-34CD-4F00-B73D-ECA7327C360F}">
      <text>
        <r>
          <rPr>
            <sz val="9"/>
            <color indexed="81"/>
            <rFont val="Tahoma"/>
            <family val="2"/>
          </rPr>
          <t>As of 1Q13, inludes the Waste portion from the former Waste &amp; Equipment segment</t>
        </r>
      </text>
    </comment>
    <comment ref="DE9" authorId="0" shapeId="0" xr:uid="{7538673D-CD14-40DA-99D4-7D7B92A1DA88}">
      <text>
        <r>
          <rPr>
            <sz val="9"/>
            <color indexed="81"/>
            <rFont val="Tahoma"/>
            <family val="2"/>
          </rPr>
          <t>As of 1Q13, inludes the Waste portion from the former Waste &amp; Equipment segment</t>
        </r>
      </text>
    </comment>
    <comment ref="DL9" authorId="0" shapeId="0" xr:uid="{87A662A3-70C8-493F-BC52-64A28A45C749}">
      <text>
        <r>
          <rPr>
            <sz val="9"/>
            <color indexed="81"/>
            <rFont val="Tahoma"/>
            <family val="2"/>
          </rPr>
          <t>As of 1Q13, inludes the Waste portion from the former Waste &amp; Equipment segment</t>
        </r>
      </text>
    </comment>
    <comment ref="DS9" authorId="0" shapeId="0" xr:uid="{D1A46431-ACAD-4F47-96D9-29A389CF05EF}">
      <text>
        <r>
          <rPr>
            <sz val="9"/>
            <color indexed="81"/>
            <rFont val="Tahoma"/>
            <family val="2"/>
          </rPr>
          <t>As of 1Q13, inludes the Waste portion from the former Waste &amp; Equipment segment</t>
        </r>
      </text>
    </comment>
    <comment ref="DZ9" authorId="0" shapeId="0" xr:uid="{1A873417-7DA1-4126-BDDC-732234E2FA4A}">
      <text>
        <r>
          <rPr>
            <sz val="9"/>
            <color indexed="81"/>
            <rFont val="Tahoma"/>
            <family val="2"/>
          </rPr>
          <t>As of 1Q13, inludes the Waste portion from the former Waste &amp; Equipment segment</t>
        </r>
      </text>
    </comment>
    <comment ref="EG9" authorId="0" shapeId="0" xr:uid="{0BB81EDD-1EDF-42A5-B52A-9D2508789370}">
      <text>
        <r>
          <rPr>
            <sz val="9"/>
            <color indexed="81"/>
            <rFont val="Tahoma"/>
            <family val="2"/>
          </rPr>
          <t>As of 1Q13, inludes the Waste portion from the former Waste &amp; Equipment segment</t>
        </r>
      </text>
    </comment>
    <comment ref="EN9" authorId="0" shapeId="0" xr:uid="{E3405E40-4B03-4C97-A1FE-F3F75DC381A0}">
      <text>
        <r>
          <rPr>
            <sz val="9"/>
            <color indexed="81"/>
            <rFont val="Tahoma"/>
            <family val="2"/>
          </rPr>
          <t>As of 1Q13, inludes the Waste portion from the former Waste &amp; Equipment segment</t>
        </r>
      </text>
    </comment>
    <comment ref="EU9" authorId="0" shapeId="0" xr:uid="{FB9B5971-BB08-45E8-9177-CC1A2B293F6A}">
      <text>
        <r>
          <rPr>
            <sz val="9"/>
            <color indexed="81"/>
            <rFont val="Tahoma"/>
            <family val="2"/>
          </rPr>
          <t>As of 1Q13, inludes the Waste portion from the former Waste &amp; Equipment segment</t>
        </r>
      </text>
    </comment>
    <comment ref="FB9" authorId="0" shapeId="0" xr:uid="{CBA3C9B2-877E-468D-8E6D-9D8D76D63A56}">
      <text>
        <r>
          <rPr>
            <sz val="9"/>
            <color indexed="81"/>
            <rFont val="Tahoma"/>
            <family val="2"/>
          </rPr>
          <t>As of 1Q13, inludes the Waste portion from the former Waste &amp; Equipment segment</t>
        </r>
      </text>
    </comment>
    <comment ref="FI9" authorId="0" shapeId="0" xr:uid="{3E012607-6097-460B-914D-65DA31FF0795}">
      <text>
        <r>
          <rPr>
            <sz val="9"/>
            <color indexed="81"/>
            <rFont val="Tahoma"/>
            <family val="2"/>
          </rPr>
          <t>As of 1Q13, inludes the Waste portion from the former Waste &amp; Equipment segment</t>
        </r>
      </text>
    </comment>
    <comment ref="FP9" authorId="0" shapeId="0" xr:uid="{35EB797F-2A26-4537-81D0-98CF89488C73}">
      <text>
        <r>
          <rPr>
            <sz val="9"/>
            <color indexed="81"/>
            <rFont val="Tahoma"/>
            <family val="2"/>
          </rPr>
          <t>As of 1Q13, inludes the Waste portion from the former Waste &amp; Equipment segment</t>
        </r>
      </text>
    </comment>
    <comment ref="FW9" authorId="0" shapeId="0" xr:uid="{B4574D0E-9EAB-40AF-B3EE-80EE8062B591}">
      <text>
        <r>
          <rPr>
            <sz val="9"/>
            <color indexed="81"/>
            <rFont val="Tahoma"/>
            <family val="2"/>
          </rPr>
          <t>As of 1Q13, inludes the Waste portion from the former Waste &amp; Equipment segment</t>
        </r>
      </text>
    </comment>
    <comment ref="GD9" authorId="0" shapeId="0" xr:uid="{73E3EBA1-BC15-4269-9CCB-E84E6B71EFF6}">
      <text>
        <r>
          <rPr>
            <sz val="9"/>
            <color indexed="81"/>
            <rFont val="Tahoma"/>
            <family val="2"/>
          </rPr>
          <t>As of 1Q13, inludes the Waste portion from the former Waste &amp; Equipment segment</t>
        </r>
      </text>
    </comment>
    <comment ref="GK9" authorId="0" shapeId="0" xr:uid="{D3108315-9BA0-4E2E-B501-FA0C3AA55594}">
      <text>
        <r>
          <rPr>
            <sz val="9"/>
            <color indexed="81"/>
            <rFont val="Tahoma"/>
            <family val="2"/>
          </rPr>
          <t>As of 1Q13, inludes the Waste portion from the former Waste &amp; Equipment segment</t>
        </r>
      </text>
    </comment>
    <comment ref="GR9" authorId="0" shapeId="0" xr:uid="{4E2F91F9-2AC7-4984-A7E5-D2EA3E81AFB7}">
      <text>
        <r>
          <rPr>
            <sz val="9"/>
            <color indexed="81"/>
            <rFont val="Tahoma"/>
            <family val="2"/>
          </rPr>
          <t>As of 1Q13, inludes the Waste portion from the former Waste &amp; Equipment segment</t>
        </r>
      </text>
    </comment>
    <comment ref="GY9" authorId="0" shapeId="0" xr:uid="{E709D068-4C0D-4580-B3F9-02B5341903EF}">
      <text>
        <r>
          <rPr>
            <sz val="9"/>
            <color indexed="81"/>
            <rFont val="Tahoma"/>
            <family val="2"/>
          </rPr>
          <t>As of 1Q13, inludes the Waste portion from the former Waste &amp; Equipment segment</t>
        </r>
      </text>
    </comment>
    <comment ref="HF9" authorId="0" shapeId="0" xr:uid="{04EE3B88-6F63-4D17-A73D-BF7840A25549}">
      <text>
        <r>
          <rPr>
            <sz val="9"/>
            <color indexed="81"/>
            <rFont val="Tahoma"/>
            <family val="2"/>
          </rPr>
          <t>As of 1Q13, inludes the Waste portion from the former Waste &amp; Equipment segment</t>
        </r>
      </text>
    </comment>
    <comment ref="HM9" authorId="0" shapeId="0" xr:uid="{D904D679-3ED4-408C-B8BB-D3F296857E70}">
      <text>
        <r>
          <rPr>
            <sz val="9"/>
            <color indexed="81"/>
            <rFont val="Tahoma"/>
            <family val="2"/>
          </rPr>
          <t>As of 1Q13, inludes the Waste portion from the former Waste &amp; Equipment segment</t>
        </r>
      </text>
    </comment>
    <comment ref="HT9" authorId="0" shapeId="0" xr:uid="{1912151B-46E5-44CF-BD49-207052FE7784}">
      <text>
        <r>
          <rPr>
            <sz val="9"/>
            <color indexed="81"/>
            <rFont val="Tahoma"/>
            <family val="2"/>
          </rPr>
          <t>As of 1Q13, inludes the Waste portion from the former Waste &amp; Equipment segment</t>
        </r>
      </text>
    </comment>
    <comment ref="IA9" authorId="0" shapeId="0" xr:uid="{195905E6-2927-41F5-948D-C377E2DB25D4}">
      <text>
        <r>
          <rPr>
            <sz val="9"/>
            <color indexed="81"/>
            <rFont val="Tahoma"/>
            <family val="2"/>
          </rPr>
          <t>As of 1Q13, inludes the Waste portion from the former Waste &amp; Equipment segment</t>
        </r>
      </text>
    </comment>
    <comment ref="IH9" authorId="0" shapeId="0" xr:uid="{208F0BBB-E9F8-4F0F-AD49-E3C0ECACE21C}">
      <text>
        <r>
          <rPr>
            <sz val="9"/>
            <color indexed="81"/>
            <rFont val="Tahoma"/>
            <family val="2"/>
          </rPr>
          <t>As of 1Q13, inludes the Waste portion from the former Waste &amp; Equipment segment</t>
        </r>
      </text>
    </comment>
    <comment ref="IO9" authorId="0" shapeId="0" xr:uid="{2B5A405D-9762-4702-845E-C7B08C88C5C9}">
      <text>
        <r>
          <rPr>
            <sz val="9"/>
            <color indexed="81"/>
            <rFont val="Tahoma"/>
            <family val="2"/>
          </rPr>
          <t>As of 1Q13, inludes the Waste portion from the former Waste &amp; Equipment segment</t>
        </r>
      </text>
    </comment>
    <comment ref="IV9" authorId="0" shapeId="0" xr:uid="{68A0A2B9-1B4C-4698-A526-7952C7F0D573}">
      <text>
        <r>
          <rPr>
            <sz val="9"/>
            <color indexed="81"/>
            <rFont val="Tahoma"/>
            <family val="2"/>
          </rPr>
          <t>As of 1Q13, inludes the Waste portion from the former Waste &amp; Equipment segment</t>
        </r>
      </text>
    </comment>
    <comment ref="JC9" authorId="0" shapeId="0" xr:uid="{28CA850F-079D-4332-AF5B-FDF06204E0DE}">
      <text>
        <r>
          <rPr>
            <sz val="9"/>
            <color indexed="81"/>
            <rFont val="Tahoma"/>
            <family val="2"/>
          </rPr>
          <t>As of 1Q13, inludes the Waste portion from the former Waste &amp; Equipment segment</t>
        </r>
      </text>
    </comment>
    <comment ref="JJ9" authorId="0" shapeId="0" xr:uid="{61C02419-88BF-4036-B69A-E77F501721DE}">
      <text>
        <r>
          <rPr>
            <sz val="9"/>
            <color indexed="81"/>
            <rFont val="Tahoma"/>
            <family val="2"/>
          </rPr>
          <t>As of 1Q13, inludes the Waste portion from the former Waste &amp; Equipment segment</t>
        </r>
      </text>
    </comment>
    <comment ref="JQ9" authorId="0" shapeId="0" xr:uid="{CAED3B2F-0BC2-492D-8B2A-365092A09AA8}">
      <text>
        <r>
          <rPr>
            <sz val="9"/>
            <color indexed="81"/>
            <rFont val="Tahoma"/>
            <family val="2"/>
          </rPr>
          <t>As of 1Q13, inludes the Waste portion from the former Waste &amp; Equipment segment</t>
        </r>
      </text>
    </comment>
    <comment ref="JX9" authorId="0" shapeId="0" xr:uid="{9C11467C-7C68-42DD-BE04-FB664C0507C7}">
      <text>
        <r>
          <rPr>
            <sz val="9"/>
            <color indexed="81"/>
            <rFont val="Tahoma"/>
            <family val="2"/>
          </rPr>
          <t>As of 1Q13, inludes the Waste portion from the former Waste &amp; Equipment segment</t>
        </r>
      </text>
    </comment>
    <comment ref="KE9" authorId="0" shapeId="0" xr:uid="{A534C49E-5962-41B3-B2B7-11E93CDE59E2}">
      <text>
        <r>
          <rPr>
            <sz val="9"/>
            <color indexed="81"/>
            <rFont val="Tahoma"/>
            <family val="2"/>
          </rPr>
          <t>As of 1Q13, inludes the Waste portion from the former Waste &amp; Equipment segment</t>
        </r>
      </text>
    </comment>
    <comment ref="KL9" authorId="0" shapeId="0" xr:uid="{C90B555A-9904-4369-BAAC-FB292E163F46}">
      <text>
        <r>
          <rPr>
            <sz val="9"/>
            <color indexed="81"/>
            <rFont val="Tahoma"/>
            <family val="2"/>
          </rPr>
          <t>As of 1Q13, inludes the Waste portion from the former Waste &amp; Equipment segment</t>
        </r>
      </text>
    </comment>
    <comment ref="KS9" authorId="0" shapeId="0" xr:uid="{40E690DC-A40A-4435-9B65-907C1FD9FDEC}">
      <text>
        <r>
          <rPr>
            <sz val="9"/>
            <color indexed="81"/>
            <rFont val="Tahoma"/>
            <family val="2"/>
          </rPr>
          <t>As of 1Q13, inludes the Waste portion from the former Waste &amp; Equipment segment</t>
        </r>
      </text>
    </comment>
    <comment ref="KZ9" authorId="0" shapeId="0" xr:uid="{D9CFAD36-484D-44D9-950E-B6CB1268E244}">
      <text>
        <r>
          <rPr>
            <sz val="9"/>
            <color indexed="81"/>
            <rFont val="Tahoma"/>
            <family val="2"/>
          </rPr>
          <t>As of 1Q13, inludes the Waste portion from the former Waste &amp; Equipment segment</t>
        </r>
      </text>
    </comment>
    <comment ref="LG9" authorId="0" shapeId="0" xr:uid="{6A853334-DA20-436C-87DF-64BDD29689AF}">
      <text>
        <r>
          <rPr>
            <sz val="9"/>
            <color indexed="81"/>
            <rFont val="Tahoma"/>
            <family val="2"/>
          </rPr>
          <t>As of 1Q13, inludes the Waste portion from the former Waste &amp; Equipment segment</t>
        </r>
      </text>
    </comment>
    <comment ref="LN9" authorId="0" shapeId="0" xr:uid="{30883DC7-F991-4D37-9092-0FFCA23B6312}">
      <text>
        <r>
          <rPr>
            <sz val="9"/>
            <color indexed="81"/>
            <rFont val="Tahoma"/>
            <family val="2"/>
          </rPr>
          <t>As of 1Q13, inludes the Waste portion from the former Waste &amp; Equipment segment</t>
        </r>
      </text>
    </comment>
    <comment ref="LU9" authorId="0" shapeId="0" xr:uid="{DBB846CE-2AB9-400C-BAC2-F3490753F6B7}">
      <text>
        <r>
          <rPr>
            <sz val="9"/>
            <color indexed="81"/>
            <rFont val="Tahoma"/>
            <family val="2"/>
          </rPr>
          <t>As of 1Q13, inludes the Waste portion from the former Waste &amp; Equipment segment</t>
        </r>
      </text>
    </comment>
    <comment ref="MB9" authorId="0" shapeId="0" xr:uid="{02BD4334-7619-4B15-AA4A-4598F566341E}">
      <text>
        <r>
          <rPr>
            <sz val="9"/>
            <color indexed="81"/>
            <rFont val="Tahoma"/>
            <family val="2"/>
          </rPr>
          <t>As of 1Q13, inludes the Waste portion from the former Waste &amp; Equipment segment</t>
        </r>
      </text>
    </comment>
    <comment ref="B10" authorId="0" shapeId="0" xr:uid="{EE1415C1-4E34-4CFF-A759-5FDA306B8BCD}">
      <text>
        <r>
          <rPr>
            <sz val="9"/>
            <color indexed="81"/>
            <rFont val="Tahoma"/>
            <family val="2"/>
          </rPr>
          <t>Just Agriculture pior to 2000 - see food product</t>
        </r>
      </text>
    </comment>
    <comment ref="BO10" authorId="0" shapeId="0" xr:uid="{08C47BAD-C497-4DCF-9A6F-032B18822963}">
      <text>
        <r>
          <rPr>
            <sz val="9"/>
            <color indexed="81"/>
            <rFont val="Tahoma"/>
            <family val="2"/>
          </rPr>
          <t>Just Agriculture pior to 2000 - see food product</t>
        </r>
      </text>
    </comment>
    <comment ref="BV10" authorId="0" shapeId="0" xr:uid="{71EBE92E-C0B7-42D9-95D8-8239F556FC02}">
      <text>
        <r>
          <rPr>
            <sz val="9"/>
            <color indexed="81"/>
            <rFont val="Tahoma"/>
            <family val="2"/>
          </rPr>
          <t>Just Agriculture pior to 2000 - see food product</t>
        </r>
      </text>
    </comment>
    <comment ref="CC10" authorId="0" shapeId="0" xr:uid="{579F94B6-3E4F-47DE-8722-EBFCBC3F45DB}">
      <text>
        <r>
          <rPr>
            <sz val="9"/>
            <color indexed="81"/>
            <rFont val="Tahoma"/>
            <family val="2"/>
          </rPr>
          <t>Just Agriculture pior to 2000 - see food product</t>
        </r>
      </text>
    </comment>
    <comment ref="CJ10" authorId="0" shapeId="0" xr:uid="{F5C2E06A-C5B5-4962-AD0F-7231FC2B02DA}">
      <text>
        <r>
          <rPr>
            <sz val="9"/>
            <color indexed="81"/>
            <rFont val="Tahoma"/>
            <family val="2"/>
          </rPr>
          <t>Just Agriculture pior to 2000 - see food product</t>
        </r>
      </text>
    </comment>
    <comment ref="CQ10" authorId="0" shapeId="0" xr:uid="{A7B8F603-188B-4203-8807-913261E3F2FE}">
      <text>
        <r>
          <rPr>
            <sz val="9"/>
            <color indexed="81"/>
            <rFont val="Tahoma"/>
            <family val="2"/>
          </rPr>
          <t>Just Agriculture pior to 2000 - see food product</t>
        </r>
      </text>
    </comment>
    <comment ref="CX10" authorId="0" shapeId="0" xr:uid="{424176A1-CE33-4B4E-953D-8A9B104AE8B6}">
      <text>
        <r>
          <rPr>
            <sz val="9"/>
            <color indexed="81"/>
            <rFont val="Tahoma"/>
            <family val="2"/>
          </rPr>
          <t>Just Agriculture pior to 2000 - see food product</t>
        </r>
      </text>
    </comment>
    <comment ref="DE10" authorId="0" shapeId="0" xr:uid="{E0E88E9A-A8EC-425F-88F1-B71FDC831788}">
      <text>
        <r>
          <rPr>
            <sz val="9"/>
            <color indexed="81"/>
            <rFont val="Tahoma"/>
            <family val="2"/>
          </rPr>
          <t>Just Agriculture pior to 2000 - see food product</t>
        </r>
      </text>
    </comment>
    <comment ref="DL10" authorId="0" shapeId="0" xr:uid="{2ABFBE95-1EDF-4869-BEAB-19891D2F0EF1}">
      <text>
        <r>
          <rPr>
            <sz val="9"/>
            <color indexed="81"/>
            <rFont val="Tahoma"/>
            <family val="2"/>
          </rPr>
          <t>Just Agriculture pior to 2000 - see food product</t>
        </r>
      </text>
    </comment>
    <comment ref="DS10" authorId="0" shapeId="0" xr:uid="{C72E7010-BED0-4F70-9436-74788D144DC6}">
      <text>
        <r>
          <rPr>
            <sz val="9"/>
            <color indexed="81"/>
            <rFont val="Tahoma"/>
            <family val="2"/>
          </rPr>
          <t>Just Agriculture pior to 2000 - see food product</t>
        </r>
      </text>
    </comment>
    <comment ref="DZ10" authorId="0" shapeId="0" xr:uid="{089A53A4-0195-403C-B5C9-5F626F5778BB}">
      <text>
        <r>
          <rPr>
            <sz val="9"/>
            <color indexed="81"/>
            <rFont val="Tahoma"/>
            <family val="2"/>
          </rPr>
          <t>Just Agriculture pior to 2000 - see food product</t>
        </r>
      </text>
    </comment>
    <comment ref="EG10" authorId="0" shapeId="0" xr:uid="{87E2C7A0-7F3D-44B5-A296-1C7930580812}">
      <text>
        <r>
          <rPr>
            <sz val="9"/>
            <color indexed="81"/>
            <rFont val="Tahoma"/>
            <family val="2"/>
          </rPr>
          <t>Just Agriculture pior to 2000 - see food product</t>
        </r>
      </text>
    </comment>
    <comment ref="EN10" authorId="0" shapeId="0" xr:uid="{FA71F1FB-193D-49C0-8225-E15DD06217E2}">
      <text>
        <r>
          <rPr>
            <sz val="9"/>
            <color indexed="81"/>
            <rFont val="Tahoma"/>
            <family val="2"/>
          </rPr>
          <t>Just Agriculture pior to 2000 - see food product</t>
        </r>
      </text>
    </comment>
    <comment ref="EU10" authorId="0" shapeId="0" xr:uid="{C86D9753-1A33-4440-B35C-0D2D1244B329}">
      <text>
        <r>
          <rPr>
            <sz val="9"/>
            <color indexed="81"/>
            <rFont val="Tahoma"/>
            <family val="2"/>
          </rPr>
          <t>Just Agriculture pior to 2000 - see food product</t>
        </r>
      </text>
    </comment>
    <comment ref="FB10" authorId="0" shapeId="0" xr:uid="{68A8FE36-3D82-43DE-9BE9-C94D17C24704}">
      <text>
        <r>
          <rPr>
            <sz val="9"/>
            <color indexed="81"/>
            <rFont val="Tahoma"/>
            <family val="2"/>
          </rPr>
          <t>Just Agriculture pior to 2000 - see food product</t>
        </r>
      </text>
    </comment>
    <comment ref="FI10" authorId="0" shapeId="0" xr:uid="{43F93763-5F87-47AD-8C6D-93D4B366D702}">
      <text>
        <r>
          <rPr>
            <sz val="9"/>
            <color indexed="81"/>
            <rFont val="Tahoma"/>
            <family val="2"/>
          </rPr>
          <t>Just Agriculture pior to 2000 - see food product</t>
        </r>
      </text>
    </comment>
    <comment ref="FP10" authorId="0" shapeId="0" xr:uid="{4B3BFAEA-3EA3-4BAC-9171-79E02097CD83}">
      <text>
        <r>
          <rPr>
            <sz val="9"/>
            <color indexed="81"/>
            <rFont val="Tahoma"/>
            <family val="2"/>
          </rPr>
          <t>Just Agriculture pior to 2000 - see food product</t>
        </r>
      </text>
    </comment>
    <comment ref="FW10" authorId="0" shapeId="0" xr:uid="{8A4716DB-55AA-4E9C-8889-22A1A1188222}">
      <text>
        <r>
          <rPr>
            <sz val="9"/>
            <color indexed="81"/>
            <rFont val="Tahoma"/>
            <family val="2"/>
          </rPr>
          <t>Just Agriculture pior to 2000 - see food product</t>
        </r>
      </text>
    </comment>
    <comment ref="GD10" authorId="0" shapeId="0" xr:uid="{22DE2E1A-EB47-486B-A4FA-91525A7EA2B8}">
      <text>
        <r>
          <rPr>
            <sz val="9"/>
            <color indexed="81"/>
            <rFont val="Tahoma"/>
            <family val="2"/>
          </rPr>
          <t>Just Agriculture pior to 2000 - see food product</t>
        </r>
      </text>
    </comment>
    <comment ref="GK10" authorId="0" shapeId="0" xr:uid="{477DE750-DF94-4956-B9F9-7EDC039A1F4A}">
      <text>
        <r>
          <rPr>
            <sz val="9"/>
            <color indexed="81"/>
            <rFont val="Tahoma"/>
            <family val="2"/>
          </rPr>
          <t>Just Agriculture pior to 2000 - see food product</t>
        </r>
      </text>
    </comment>
    <comment ref="GR10" authorId="0" shapeId="0" xr:uid="{64E728C0-0A41-4E34-8F81-C0FDD3DADEC6}">
      <text>
        <r>
          <rPr>
            <sz val="9"/>
            <color indexed="81"/>
            <rFont val="Tahoma"/>
            <family val="2"/>
          </rPr>
          <t>Just Agriculture pior to 2000 - see food product</t>
        </r>
      </text>
    </comment>
    <comment ref="GY10" authorId="0" shapeId="0" xr:uid="{65E7DC98-DEC8-43ED-8B06-F30C74799F0D}">
      <text>
        <r>
          <rPr>
            <sz val="9"/>
            <color indexed="81"/>
            <rFont val="Tahoma"/>
            <family val="2"/>
          </rPr>
          <t>Just Agriculture pior to 2000 - see food product</t>
        </r>
      </text>
    </comment>
    <comment ref="HF10" authorId="0" shapeId="0" xr:uid="{65EDC7ED-86B5-4CE9-96DA-345A87CB1AAE}">
      <text>
        <r>
          <rPr>
            <sz val="9"/>
            <color indexed="81"/>
            <rFont val="Tahoma"/>
            <family val="2"/>
          </rPr>
          <t>Just Agriculture pior to 2000 - see food product</t>
        </r>
      </text>
    </comment>
    <comment ref="HM10" authorId="0" shapeId="0" xr:uid="{6BA2D635-BBFB-4523-817E-C8C9C0F389D9}">
      <text>
        <r>
          <rPr>
            <sz val="9"/>
            <color indexed="81"/>
            <rFont val="Tahoma"/>
            <family val="2"/>
          </rPr>
          <t>Just Agriculture pior to 2000 - see food product</t>
        </r>
      </text>
    </comment>
    <comment ref="HT10" authorId="0" shapeId="0" xr:uid="{70EB7723-CCE6-4179-858C-F9A7424EFC7A}">
      <text>
        <r>
          <rPr>
            <sz val="9"/>
            <color indexed="81"/>
            <rFont val="Tahoma"/>
            <family val="2"/>
          </rPr>
          <t>Just Agriculture pior to 2000 - see food product</t>
        </r>
      </text>
    </comment>
    <comment ref="IA10" authorId="0" shapeId="0" xr:uid="{3CFD62D2-F77F-47C5-A848-C864BA8BD378}">
      <text>
        <r>
          <rPr>
            <sz val="9"/>
            <color indexed="81"/>
            <rFont val="Tahoma"/>
            <family val="2"/>
          </rPr>
          <t>Just Agriculture pior to 2000 - see food product</t>
        </r>
      </text>
    </comment>
    <comment ref="IH10" authorId="0" shapeId="0" xr:uid="{6BF908B6-D83E-4C38-9876-A91BF523A8CF}">
      <text>
        <r>
          <rPr>
            <sz val="9"/>
            <color indexed="81"/>
            <rFont val="Tahoma"/>
            <family val="2"/>
          </rPr>
          <t>Just Agriculture pior to 2000 - see food product</t>
        </r>
      </text>
    </comment>
    <comment ref="IO10" authorId="0" shapeId="0" xr:uid="{7913A9B8-9B31-4DEA-8135-40FB72E7B10C}">
      <text>
        <r>
          <rPr>
            <sz val="9"/>
            <color indexed="81"/>
            <rFont val="Tahoma"/>
            <family val="2"/>
          </rPr>
          <t>Just Agriculture pior to 2000 - see food product</t>
        </r>
      </text>
    </comment>
    <comment ref="IV10" authorId="0" shapeId="0" xr:uid="{7E0BD6F2-1D0A-4C8C-A127-0BB7C182CF90}">
      <text>
        <r>
          <rPr>
            <sz val="9"/>
            <color indexed="81"/>
            <rFont val="Tahoma"/>
            <family val="2"/>
          </rPr>
          <t>Just Agriculture pior to 2000 - see food product</t>
        </r>
      </text>
    </comment>
    <comment ref="JC10" authorId="0" shapeId="0" xr:uid="{2C9EF2D0-A73E-4D6F-91D2-DCEC02BD6B41}">
      <text>
        <r>
          <rPr>
            <sz val="9"/>
            <color indexed="81"/>
            <rFont val="Tahoma"/>
            <family val="2"/>
          </rPr>
          <t>Just Agriculture pior to 2000 - see food product</t>
        </r>
      </text>
    </comment>
    <comment ref="JJ10" authorId="0" shapeId="0" xr:uid="{E86FA78D-1E09-4F79-AFBA-45353328DAE8}">
      <text>
        <r>
          <rPr>
            <sz val="9"/>
            <color indexed="81"/>
            <rFont val="Tahoma"/>
            <family val="2"/>
          </rPr>
          <t>Just Agriculture pior to 2000 - see food product</t>
        </r>
      </text>
    </comment>
    <comment ref="JQ10" authorId="0" shapeId="0" xr:uid="{B1596244-9EBA-4BAF-A803-73E74CCFEA88}">
      <text>
        <r>
          <rPr>
            <sz val="9"/>
            <color indexed="81"/>
            <rFont val="Tahoma"/>
            <family val="2"/>
          </rPr>
          <t>Just Agriculture pior to 2000 - see food product</t>
        </r>
      </text>
    </comment>
    <comment ref="JX10" authorId="0" shapeId="0" xr:uid="{03653601-5FE5-4B1C-9713-99F16466E523}">
      <text>
        <r>
          <rPr>
            <sz val="9"/>
            <color indexed="81"/>
            <rFont val="Tahoma"/>
            <family val="2"/>
          </rPr>
          <t>Just Agriculture pior to 2000 - see food product</t>
        </r>
      </text>
    </comment>
    <comment ref="KE10" authorId="0" shapeId="0" xr:uid="{6C7C3D26-4F93-4AE1-970E-68FD74CFA978}">
      <text>
        <r>
          <rPr>
            <sz val="9"/>
            <color indexed="81"/>
            <rFont val="Tahoma"/>
            <family val="2"/>
          </rPr>
          <t>Just Agriculture pior to 2000 - see food product</t>
        </r>
      </text>
    </comment>
    <comment ref="KL10" authorId="0" shapeId="0" xr:uid="{4241A03B-6F40-4B8B-A8A4-38C873E23B26}">
      <text>
        <r>
          <rPr>
            <sz val="9"/>
            <color indexed="81"/>
            <rFont val="Tahoma"/>
            <family val="2"/>
          </rPr>
          <t>Just Agriculture pior to 2000 - see food product</t>
        </r>
      </text>
    </comment>
    <comment ref="KS10" authorId="0" shapeId="0" xr:uid="{EBB5392A-9F89-409F-BC9E-CEF5E33398C0}">
      <text>
        <r>
          <rPr>
            <sz val="9"/>
            <color indexed="81"/>
            <rFont val="Tahoma"/>
            <family val="2"/>
          </rPr>
          <t>Just Agriculture pior to 2000 - see food product</t>
        </r>
      </text>
    </comment>
    <comment ref="KZ10" authorId="0" shapeId="0" xr:uid="{F344BCAB-A80B-4A74-9DD2-B154553DBCAD}">
      <text>
        <r>
          <rPr>
            <sz val="9"/>
            <color indexed="81"/>
            <rFont val="Tahoma"/>
            <family val="2"/>
          </rPr>
          <t>Just Agriculture pior to 2000 - see food product</t>
        </r>
      </text>
    </comment>
    <comment ref="LG10" authorId="0" shapeId="0" xr:uid="{ECBF125A-83D9-4164-A803-13DAA7D2F9DF}">
      <text>
        <r>
          <rPr>
            <sz val="9"/>
            <color indexed="81"/>
            <rFont val="Tahoma"/>
            <family val="2"/>
          </rPr>
          <t>Just Agriculture pior to 2000 - see food product</t>
        </r>
      </text>
    </comment>
    <comment ref="LN10" authorId="0" shapeId="0" xr:uid="{9BB74612-469A-44A8-B6FE-645C3A0B2278}">
      <text>
        <r>
          <rPr>
            <sz val="9"/>
            <color indexed="81"/>
            <rFont val="Tahoma"/>
            <family val="2"/>
          </rPr>
          <t>Just Agriculture pior to 2000 - see food product</t>
        </r>
      </text>
    </comment>
    <comment ref="LU10" authorId="0" shapeId="0" xr:uid="{87DC0C61-E8A5-4B11-9AAB-04DB091077E5}">
      <text>
        <r>
          <rPr>
            <sz val="9"/>
            <color indexed="81"/>
            <rFont val="Tahoma"/>
            <family val="2"/>
          </rPr>
          <t>Just Agriculture pior to 2000 - see food product</t>
        </r>
      </text>
    </comment>
    <comment ref="MB10" authorId="0" shapeId="0" xr:uid="{350109A0-3792-4233-B11B-D87BEA78345F}">
      <text>
        <r>
          <rPr>
            <sz val="9"/>
            <color indexed="81"/>
            <rFont val="Tahoma"/>
            <family val="2"/>
          </rPr>
          <t>Just Agriculture pior to 2000 - see food product</t>
        </r>
      </text>
    </comment>
    <comment ref="EO11" authorId="1" shapeId="0" xr:uid="{77B9193D-5A6A-493E-B6A2-0570E9F90E42}">
      <text>
        <r>
          <rPr>
            <b/>
            <sz val="10"/>
            <color indexed="81"/>
            <rFont val="Tahoma"/>
            <family val="2"/>
          </rPr>
          <t>Glen Petraglia:</t>
        </r>
        <r>
          <rPr>
            <sz val="10"/>
            <color indexed="81"/>
            <rFont val="Tahoma"/>
            <family val="2"/>
          </rPr>
          <t xml:space="preserve">
Categorical breakout changed due to reclassification of merchandise by CSX.</t>
        </r>
      </text>
    </comment>
    <comment ref="EA27" authorId="2" shapeId="0" xr:uid="{40E13E13-BC51-4390-A55C-B815EAA8E0A9}">
      <text>
        <r>
          <rPr>
            <sz val="10"/>
            <color indexed="81"/>
            <rFont val="Tahoma"/>
            <family val="2"/>
          </rPr>
          <t>$20 m in coal revs. removed as non-recurring recovery from utility customer's contract.</t>
        </r>
      </text>
    </comment>
    <comment ref="B35" authorId="3" shapeId="0" xr:uid="{00000000-0006-0000-0400-00001B000000}">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BO35" authorId="3" shapeId="0" xr:uid="{B20C1E54-F362-4C88-909E-E198CD1AEF97}">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BV35" authorId="3" shapeId="0" xr:uid="{81CCB751-A8E7-43AF-AA65-562C5DD1C0CF}">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CC35" authorId="3" shapeId="0" xr:uid="{A43E9384-E9C3-4F65-9185-1B365C7F974C}">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CJ35" authorId="3" shapeId="0" xr:uid="{222748C7-ED61-4DF4-922D-D16D90ABA519}">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CQ35" authorId="3" shapeId="0" xr:uid="{0712EF3C-CEF9-43B8-8338-AC837C92CBE1}">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CX35" authorId="3" shapeId="0" xr:uid="{9644E973-1A1A-41D4-937E-88FA29682D00}">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DE35" authorId="3" shapeId="0" xr:uid="{3AA1CBE8-D5FB-4184-BA31-BE6F64E8FB7E}">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DL35" authorId="3" shapeId="0" xr:uid="{8000F236-3E7B-4717-8B9F-C0C376DB734A}">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DS35" authorId="3" shapeId="0" xr:uid="{14215514-58B5-4E0C-AC33-9C3A96D432E7}">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DZ35" authorId="3" shapeId="0" xr:uid="{1CDA2B5E-F1E9-4DC7-B535-CB23F71FC19B}">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EG35" authorId="3" shapeId="0" xr:uid="{AE1BE3D9-5AED-4B62-88A0-A17A263029F7}">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EN35" authorId="3" shapeId="0" xr:uid="{283B4CEB-14DA-49D4-AAD6-21C737256239}">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EU35" authorId="3" shapeId="0" xr:uid="{D55304C6-F44F-43E6-9CCC-48A3893A0D6D}">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FB35" authorId="3" shapeId="0" xr:uid="{88C5CCE7-8983-40C2-B866-61369B44C258}">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FI35" authorId="3" shapeId="0" xr:uid="{0DD1322C-A1E7-4614-B795-231D624AEEA0}">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FP35" authorId="3" shapeId="0" xr:uid="{5C99CF23-EA42-4949-968D-367BB28CAB6B}">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FW35" authorId="3" shapeId="0" xr:uid="{FFB083D0-018F-4C49-96B4-A0C49BC6EB9C}">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GD35" authorId="3" shapeId="0" xr:uid="{C7978CE6-2DD6-4815-A822-298DF592090C}">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GK35" authorId="3" shapeId="0" xr:uid="{BD4923FF-16A1-4871-9F8C-A5DB5A49CD34}">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GR35" authorId="3" shapeId="0" xr:uid="{AD7F2C15-9E92-4BB4-8947-BEA98745E258}">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GY35" authorId="3" shapeId="0" xr:uid="{474D2727-584B-4824-A869-723FA7F4C04B}">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HF35" authorId="3" shapeId="0" xr:uid="{324EA1F5-60BF-43EF-AA27-D7EF4202F96F}">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HM35" authorId="3" shapeId="0" xr:uid="{8AF3032E-6349-4F40-828D-7FDBFF945B86}">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HT35" authorId="3" shapeId="0" xr:uid="{D4DBBD0A-F414-4F43-9428-421DF5A44880}">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IA35" authorId="3" shapeId="0" xr:uid="{05185CDE-20E4-45B6-9E96-13059AC0571E}">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IH35" authorId="3" shapeId="0" xr:uid="{44C59522-3CF5-48B5-9059-E59670786139}">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IO35" authorId="3" shapeId="0" xr:uid="{3308022D-2A96-4DAA-9FC7-62764DFC9854}">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IV35" authorId="3" shapeId="0" xr:uid="{2299DF5E-E068-4EED-91D0-2A7238AF3A15}">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JC35" authorId="3" shapeId="0" xr:uid="{BB0CF03A-445B-4E41-AC34-BDDC97B0FE53}">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JJ35" authorId="3" shapeId="0" xr:uid="{E3E87C6E-3D8B-4FD1-B88F-B431491A766A}">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JQ35" authorId="3" shapeId="0" xr:uid="{F2A49F44-EEA1-49E5-97A0-56E9517237D1}">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JX35" authorId="3" shapeId="0" xr:uid="{6E7F2703-3FCB-4F3B-9BF9-DAB5B048953C}">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KE35" authorId="3" shapeId="0" xr:uid="{45AA5C4E-CC7E-47F0-B07D-E640ED3A6D7F}">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KL35" authorId="3" shapeId="0" xr:uid="{5D4086D2-650D-49BA-9C13-31C12880F4DE}">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KS35" authorId="3" shapeId="0" xr:uid="{042D2CD6-7F44-4E7B-929E-F56A56EEFE1D}">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KX35" authorId="0" shapeId="0" xr:uid="{34694DF0-1A65-4879-BC43-CF5931A6DFA0}">
      <text>
        <r>
          <rPr>
            <sz val="9"/>
            <color indexed="81"/>
            <rFont val="Tahoma"/>
            <family val="2"/>
          </rPr>
          <t>down ~$300MM YoY</t>
        </r>
      </text>
    </comment>
    <comment ref="KZ35" authorId="3" shapeId="0" xr:uid="{A1D4775E-1625-46C2-8CB7-0FD8481EB8CE}">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LG35" authorId="3" shapeId="0" xr:uid="{D493A6C5-D73C-4556-B549-2A3E1E1B652C}">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LN35" authorId="3" shapeId="0" xr:uid="{883606FB-DD70-4C8D-BB05-09BC50DC10D8}">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LU35" authorId="3" shapeId="0" xr:uid="{E3740621-7FBD-4E92-9680-5368B09DB28C}">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MB35" authorId="3" shapeId="0" xr:uid="{D1AA6B41-6CC4-4A4F-BD20-CCCB876C7239}">
      <text>
        <r>
          <rPr>
            <sz val="9"/>
            <color indexed="81"/>
            <rFont val="Tahoma"/>
            <family val="2"/>
          </rPr>
          <t>includes revenue from regional subsidiary railroads, demurrage, revenue for customer volume commitments not met, switching, other incidental charges and adjustments to revenue reserves. Revenue from regional railroads includes shipments by railroads that the Company does not directly operate. Demurrage represents charges assessed when freight cars or other equipment are held beyond a specified period of time. Switching revenue is primarily generated when CSXT switches cars for a customer or another railroad</t>
        </r>
      </text>
    </comment>
    <comment ref="B69" authorId="0" shapeId="0" xr:uid="{D1A3DC91-0BD7-47D6-93A8-C9A6584C0BE3}">
      <text>
        <r>
          <rPr>
            <sz val="9"/>
            <color indexed="81"/>
            <rFont val="Tahoma"/>
            <family val="2"/>
          </rPr>
          <t>As of 1Q13, inludes the Waste portion from the former Waste &amp; Equipment segment</t>
        </r>
      </text>
    </comment>
    <comment ref="BO69" authorId="0" shapeId="0" xr:uid="{5558734A-CB6C-48F6-B0D5-6112D3C4124B}">
      <text>
        <r>
          <rPr>
            <sz val="9"/>
            <color indexed="81"/>
            <rFont val="Tahoma"/>
            <family val="2"/>
          </rPr>
          <t>As of 1Q13, inludes the Waste portion from the former Waste &amp; Equipment segment</t>
        </r>
      </text>
    </comment>
    <comment ref="BV69" authorId="0" shapeId="0" xr:uid="{9F0B91AA-0B85-4E7F-9205-4EF5CBF151A7}">
      <text>
        <r>
          <rPr>
            <sz val="9"/>
            <color indexed="81"/>
            <rFont val="Tahoma"/>
            <family val="2"/>
          </rPr>
          <t>As of 1Q13, inludes the Waste portion from the former Waste &amp; Equipment segment</t>
        </r>
      </text>
    </comment>
    <comment ref="CC69" authorId="0" shapeId="0" xr:uid="{477B370C-BBD6-47F0-9407-4D6596ADB605}">
      <text>
        <r>
          <rPr>
            <sz val="9"/>
            <color indexed="81"/>
            <rFont val="Tahoma"/>
            <family val="2"/>
          </rPr>
          <t>As of 1Q13, inludes the Waste portion from the former Waste &amp; Equipment segment</t>
        </r>
      </text>
    </comment>
    <comment ref="CJ69" authorId="0" shapeId="0" xr:uid="{87121BC2-5F0F-4F50-9D56-60455F200BD1}">
      <text>
        <r>
          <rPr>
            <sz val="9"/>
            <color indexed="81"/>
            <rFont val="Tahoma"/>
            <family val="2"/>
          </rPr>
          <t>As of 1Q13, inludes the Waste portion from the former Waste &amp; Equipment segment</t>
        </r>
      </text>
    </comment>
    <comment ref="CQ69" authorId="0" shapeId="0" xr:uid="{B393A996-DC2D-4DB7-A378-8A565062D559}">
      <text>
        <r>
          <rPr>
            <sz val="9"/>
            <color indexed="81"/>
            <rFont val="Tahoma"/>
            <family val="2"/>
          </rPr>
          <t>As of 1Q13, inludes the Waste portion from the former Waste &amp; Equipment segment</t>
        </r>
      </text>
    </comment>
    <comment ref="CX69" authorId="0" shapeId="0" xr:uid="{D1828992-782D-44E5-A120-5EA12F3FD265}">
      <text>
        <r>
          <rPr>
            <sz val="9"/>
            <color indexed="81"/>
            <rFont val="Tahoma"/>
            <family val="2"/>
          </rPr>
          <t>As of 1Q13, inludes the Waste portion from the former Waste &amp; Equipment segment</t>
        </r>
      </text>
    </comment>
    <comment ref="DE69" authorId="0" shapeId="0" xr:uid="{7864B603-AD10-407D-9790-9483907AB77A}">
      <text>
        <r>
          <rPr>
            <sz val="9"/>
            <color indexed="81"/>
            <rFont val="Tahoma"/>
            <family val="2"/>
          </rPr>
          <t>As of 1Q13, inludes the Waste portion from the former Waste &amp; Equipment segment</t>
        </r>
      </text>
    </comment>
    <comment ref="DL69" authorId="0" shapeId="0" xr:uid="{BE5071C7-AE2F-4CAE-9141-72475F372EB1}">
      <text>
        <r>
          <rPr>
            <sz val="9"/>
            <color indexed="81"/>
            <rFont val="Tahoma"/>
            <family val="2"/>
          </rPr>
          <t>As of 1Q13, inludes the Waste portion from the former Waste &amp; Equipment segment</t>
        </r>
      </text>
    </comment>
    <comment ref="DS69" authorId="0" shapeId="0" xr:uid="{9D386B56-B0BE-4BA6-BEBA-9DF847D41EA9}">
      <text>
        <r>
          <rPr>
            <sz val="9"/>
            <color indexed="81"/>
            <rFont val="Tahoma"/>
            <family val="2"/>
          </rPr>
          <t>As of 1Q13, inludes the Waste portion from the former Waste &amp; Equipment segment</t>
        </r>
      </text>
    </comment>
    <comment ref="DZ69" authorId="0" shapeId="0" xr:uid="{CAF42F87-044D-4AC3-9727-BA1E0CD5821C}">
      <text>
        <r>
          <rPr>
            <sz val="9"/>
            <color indexed="81"/>
            <rFont val="Tahoma"/>
            <family val="2"/>
          </rPr>
          <t>As of 1Q13, inludes the Waste portion from the former Waste &amp; Equipment segment</t>
        </r>
      </text>
    </comment>
    <comment ref="EG69" authorId="0" shapeId="0" xr:uid="{111B93B8-4839-4D8D-849A-C6CD0C846211}">
      <text>
        <r>
          <rPr>
            <sz val="9"/>
            <color indexed="81"/>
            <rFont val="Tahoma"/>
            <family val="2"/>
          </rPr>
          <t>As of 1Q13, inludes the Waste portion from the former Waste &amp; Equipment segment</t>
        </r>
      </text>
    </comment>
    <comment ref="EN69" authorId="0" shapeId="0" xr:uid="{A96DA8A3-A2DE-4984-ABF8-68E7F1DFC0CB}">
      <text>
        <r>
          <rPr>
            <sz val="9"/>
            <color indexed="81"/>
            <rFont val="Tahoma"/>
            <family val="2"/>
          </rPr>
          <t>As of 1Q13, inludes the Waste portion from the former Waste &amp; Equipment segment</t>
        </r>
      </text>
    </comment>
    <comment ref="EU69" authorId="0" shapeId="0" xr:uid="{20BCFE1A-31E6-4884-80F1-440027DE9BCB}">
      <text>
        <r>
          <rPr>
            <sz val="9"/>
            <color indexed="81"/>
            <rFont val="Tahoma"/>
            <family val="2"/>
          </rPr>
          <t>As of 1Q13, inludes the Waste portion from the former Waste &amp; Equipment segment</t>
        </r>
      </text>
    </comment>
    <comment ref="FB69" authorId="0" shapeId="0" xr:uid="{F3317898-811E-47E7-A5FA-54E023DC59E4}">
      <text>
        <r>
          <rPr>
            <sz val="9"/>
            <color indexed="81"/>
            <rFont val="Tahoma"/>
            <family val="2"/>
          </rPr>
          <t>As of 1Q13, inludes the Waste portion from the former Waste &amp; Equipment segment</t>
        </r>
      </text>
    </comment>
    <comment ref="FI69" authorId="0" shapeId="0" xr:uid="{CF78A983-A34D-44B4-9DB3-032CDAD74B8F}">
      <text>
        <r>
          <rPr>
            <sz val="9"/>
            <color indexed="81"/>
            <rFont val="Tahoma"/>
            <family val="2"/>
          </rPr>
          <t>As of 1Q13, inludes the Waste portion from the former Waste &amp; Equipment segment</t>
        </r>
      </text>
    </comment>
    <comment ref="FP69" authorId="0" shapeId="0" xr:uid="{E6F5D65C-476C-4AFA-BFB2-5F06937ABF64}">
      <text>
        <r>
          <rPr>
            <sz val="9"/>
            <color indexed="81"/>
            <rFont val="Tahoma"/>
            <family val="2"/>
          </rPr>
          <t>As of 1Q13, inludes the Waste portion from the former Waste &amp; Equipment segment</t>
        </r>
      </text>
    </comment>
    <comment ref="FW69" authorId="0" shapeId="0" xr:uid="{EA4C6FC0-15BC-447A-BCDE-FC7F3BAC1186}">
      <text>
        <r>
          <rPr>
            <sz val="9"/>
            <color indexed="81"/>
            <rFont val="Tahoma"/>
            <family val="2"/>
          </rPr>
          <t>As of 1Q13, inludes the Waste portion from the former Waste &amp; Equipment segment</t>
        </r>
      </text>
    </comment>
    <comment ref="GD69" authorId="0" shapeId="0" xr:uid="{DA88084D-C063-45B8-90C0-F34A733AE595}">
      <text>
        <r>
          <rPr>
            <sz val="9"/>
            <color indexed="81"/>
            <rFont val="Tahoma"/>
            <family val="2"/>
          </rPr>
          <t>As of 1Q13, inludes the Waste portion from the former Waste &amp; Equipment segment</t>
        </r>
      </text>
    </comment>
    <comment ref="GK69" authorId="0" shapeId="0" xr:uid="{3F82EEB6-094F-468E-9DF4-5C38D275B46E}">
      <text>
        <r>
          <rPr>
            <sz val="9"/>
            <color indexed="81"/>
            <rFont val="Tahoma"/>
            <family val="2"/>
          </rPr>
          <t>As of 1Q13, inludes the Waste portion from the former Waste &amp; Equipment segment</t>
        </r>
      </text>
    </comment>
    <comment ref="GR69" authorId="0" shapeId="0" xr:uid="{453A9C7A-1D00-41CA-9A1B-0C1D4222F8C2}">
      <text>
        <r>
          <rPr>
            <sz val="9"/>
            <color indexed="81"/>
            <rFont val="Tahoma"/>
            <family val="2"/>
          </rPr>
          <t>As of 1Q13, inludes the Waste portion from the former Waste &amp; Equipment segment</t>
        </r>
      </text>
    </comment>
    <comment ref="GY69" authorId="0" shapeId="0" xr:uid="{D8B6E5D7-A454-4ED1-AC4C-12F18C17EC5F}">
      <text>
        <r>
          <rPr>
            <sz val="9"/>
            <color indexed="81"/>
            <rFont val="Tahoma"/>
            <family val="2"/>
          </rPr>
          <t>As of 1Q13, inludes the Waste portion from the former Waste &amp; Equipment segment</t>
        </r>
      </text>
    </comment>
    <comment ref="HF69" authorId="0" shapeId="0" xr:uid="{55473987-262F-47F4-8671-8E05647194FC}">
      <text>
        <r>
          <rPr>
            <sz val="9"/>
            <color indexed="81"/>
            <rFont val="Tahoma"/>
            <family val="2"/>
          </rPr>
          <t>As of 1Q13, inludes the Waste portion from the former Waste &amp; Equipment segment</t>
        </r>
      </text>
    </comment>
    <comment ref="HM69" authorId="0" shapeId="0" xr:uid="{33762353-BD90-43AD-AF7A-3BD55FA68AA0}">
      <text>
        <r>
          <rPr>
            <sz val="9"/>
            <color indexed="81"/>
            <rFont val="Tahoma"/>
            <family val="2"/>
          </rPr>
          <t>As of 1Q13, inludes the Waste portion from the former Waste &amp; Equipment segment</t>
        </r>
      </text>
    </comment>
    <comment ref="HT69" authorId="0" shapeId="0" xr:uid="{2BADF73D-6F2D-4A09-933B-3291F7106E4B}">
      <text>
        <r>
          <rPr>
            <sz val="9"/>
            <color indexed="81"/>
            <rFont val="Tahoma"/>
            <family val="2"/>
          </rPr>
          <t>As of 1Q13, inludes the Waste portion from the former Waste &amp; Equipment segment</t>
        </r>
      </text>
    </comment>
    <comment ref="IA69" authorId="0" shapeId="0" xr:uid="{6C18647E-8BA6-4EC3-8C3D-56C58BB42143}">
      <text>
        <r>
          <rPr>
            <sz val="9"/>
            <color indexed="81"/>
            <rFont val="Tahoma"/>
            <family val="2"/>
          </rPr>
          <t>As of 1Q13, inludes the Waste portion from the former Waste &amp; Equipment segment</t>
        </r>
      </text>
    </comment>
    <comment ref="IH69" authorId="0" shapeId="0" xr:uid="{ACCD57AF-06A1-4B1B-8B28-FC3588D9B049}">
      <text>
        <r>
          <rPr>
            <sz val="9"/>
            <color indexed="81"/>
            <rFont val="Tahoma"/>
            <family val="2"/>
          </rPr>
          <t>As of 1Q13, inludes the Waste portion from the former Waste &amp; Equipment segment</t>
        </r>
      </text>
    </comment>
    <comment ref="IO69" authorId="0" shapeId="0" xr:uid="{77B671C7-C8F2-45AE-9A2A-3466232FAFC0}">
      <text>
        <r>
          <rPr>
            <sz val="9"/>
            <color indexed="81"/>
            <rFont val="Tahoma"/>
            <family val="2"/>
          </rPr>
          <t>As of 1Q13, inludes the Waste portion from the former Waste &amp; Equipment segment</t>
        </r>
      </text>
    </comment>
    <comment ref="IV69" authorId="0" shapeId="0" xr:uid="{49FDECC4-75C8-4510-BC98-814E71A0A18B}">
      <text>
        <r>
          <rPr>
            <sz val="9"/>
            <color indexed="81"/>
            <rFont val="Tahoma"/>
            <family val="2"/>
          </rPr>
          <t>As of 1Q13, inludes the Waste portion from the former Waste &amp; Equipment segment</t>
        </r>
      </text>
    </comment>
    <comment ref="JC69" authorId="0" shapeId="0" xr:uid="{33B6B2DC-5E2F-44BE-9236-F9C9D9F2E4AA}">
      <text>
        <r>
          <rPr>
            <sz val="9"/>
            <color indexed="81"/>
            <rFont val="Tahoma"/>
            <family val="2"/>
          </rPr>
          <t>As of 1Q13, inludes the Waste portion from the former Waste &amp; Equipment segment</t>
        </r>
      </text>
    </comment>
    <comment ref="JJ69" authorId="0" shapeId="0" xr:uid="{8EB30AE8-2554-4A72-92AD-1FAD85176331}">
      <text>
        <r>
          <rPr>
            <sz val="9"/>
            <color indexed="81"/>
            <rFont val="Tahoma"/>
            <family val="2"/>
          </rPr>
          <t>As of 1Q13, inludes the Waste portion from the former Waste &amp; Equipment segment</t>
        </r>
      </text>
    </comment>
    <comment ref="JQ69" authorId="0" shapeId="0" xr:uid="{33529136-8649-49AE-9080-1E3B8C98A173}">
      <text>
        <r>
          <rPr>
            <sz val="9"/>
            <color indexed="81"/>
            <rFont val="Tahoma"/>
            <family val="2"/>
          </rPr>
          <t>As of 1Q13, inludes the Waste portion from the former Waste &amp; Equipment segment</t>
        </r>
      </text>
    </comment>
    <comment ref="JX69" authorId="0" shapeId="0" xr:uid="{0327BA6E-3C02-4FE8-B04A-F4F64273F7B5}">
      <text>
        <r>
          <rPr>
            <sz val="9"/>
            <color indexed="81"/>
            <rFont val="Tahoma"/>
            <family val="2"/>
          </rPr>
          <t>As of 1Q13, inludes the Waste portion from the former Waste &amp; Equipment segment</t>
        </r>
      </text>
    </comment>
    <comment ref="KE69" authorId="0" shapeId="0" xr:uid="{FF9BBC7E-79E6-4D9D-882D-4F1C5B0829C1}">
      <text>
        <r>
          <rPr>
            <sz val="9"/>
            <color indexed="81"/>
            <rFont val="Tahoma"/>
            <family val="2"/>
          </rPr>
          <t>As of 1Q13, inludes the Waste portion from the former Waste &amp; Equipment segment</t>
        </r>
      </text>
    </comment>
    <comment ref="KL69" authorId="0" shapeId="0" xr:uid="{B9605318-A0DD-4DEA-B2F1-F8DAEA7018C3}">
      <text>
        <r>
          <rPr>
            <sz val="9"/>
            <color indexed="81"/>
            <rFont val="Tahoma"/>
            <family val="2"/>
          </rPr>
          <t>As of 1Q13, inludes the Waste portion from the former Waste &amp; Equipment segment</t>
        </r>
      </text>
    </comment>
    <comment ref="KS69" authorId="0" shapeId="0" xr:uid="{E6FD491A-10F4-48A9-9F07-5B58CF6598D1}">
      <text>
        <r>
          <rPr>
            <sz val="9"/>
            <color indexed="81"/>
            <rFont val="Tahoma"/>
            <family val="2"/>
          </rPr>
          <t>As of 1Q13, inludes the Waste portion from the former Waste &amp; Equipment segment</t>
        </r>
      </text>
    </comment>
    <comment ref="KZ69" authorId="0" shapeId="0" xr:uid="{656B597D-9613-43F5-B60C-CE34E704CD63}">
      <text>
        <r>
          <rPr>
            <sz val="9"/>
            <color indexed="81"/>
            <rFont val="Tahoma"/>
            <family val="2"/>
          </rPr>
          <t>As of 1Q13, inludes the Waste portion from the former Waste &amp; Equipment segment</t>
        </r>
      </text>
    </comment>
    <comment ref="LG69" authorId="0" shapeId="0" xr:uid="{832B9C33-5925-4C73-B001-7535A1EBF123}">
      <text>
        <r>
          <rPr>
            <sz val="9"/>
            <color indexed="81"/>
            <rFont val="Tahoma"/>
            <family val="2"/>
          </rPr>
          <t>As of 1Q13, inludes the Waste portion from the former Waste &amp; Equipment segment</t>
        </r>
      </text>
    </comment>
    <comment ref="LN69" authorId="0" shapeId="0" xr:uid="{23FAD2AA-940C-4BCF-ADF0-B39A65F66C78}">
      <text>
        <r>
          <rPr>
            <sz val="9"/>
            <color indexed="81"/>
            <rFont val="Tahoma"/>
            <family val="2"/>
          </rPr>
          <t>As of 1Q13, inludes the Waste portion from the former Waste &amp; Equipment segment</t>
        </r>
      </text>
    </comment>
    <comment ref="LU69" authorId="0" shapeId="0" xr:uid="{7F502647-C600-429D-A169-6521E6D44C5B}">
      <text>
        <r>
          <rPr>
            <sz val="9"/>
            <color indexed="81"/>
            <rFont val="Tahoma"/>
            <family val="2"/>
          </rPr>
          <t>As of 1Q13, inludes the Waste portion from the former Waste &amp; Equipment segment</t>
        </r>
      </text>
    </comment>
    <comment ref="MB69" authorId="0" shapeId="0" xr:uid="{E51E16B0-DD2E-4064-8325-F411ED9860E8}">
      <text>
        <r>
          <rPr>
            <sz val="9"/>
            <color indexed="81"/>
            <rFont val="Tahoma"/>
            <family val="2"/>
          </rPr>
          <t>As of 1Q13, inludes the Waste portion from the former Waste &amp; Equipment segment</t>
        </r>
      </text>
    </comment>
    <comment ref="B70" authorId="0" shapeId="0" xr:uid="{E88C3977-A790-437D-A779-AFAE0EEBC999}">
      <text>
        <r>
          <rPr>
            <sz val="9"/>
            <color indexed="81"/>
            <rFont val="Tahoma"/>
            <family val="2"/>
          </rPr>
          <t>Just Agriculture pior to 2000 - see food product</t>
        </r>
      </text>
    </comment>
    <comment ref="BO70" authorId="0" shapeId="0" xr:uid="{07C79C45-7176-41D0-A3C9-740B38C3E22B}">
      <text>
        <r>
          <rPr>
            <sz val="9"/>
            <color indexed="81"/>
            <rFont val="Tahoma"/>
            <family val="2"/>
          </rPr>
          <t>Just Agriculture pior to 2000 - see food product</t>
        </r>
      </text>
    </comment>
    <comment ref="BV70" authorId="0" shapeId="0" xr:uid="{4FC6BB53-7497-465F-A98D-7158AE61170B}">
      <text>
        <r>
          <rPr>
            <sz val="9"/>
            <color indexed="81"/>
            <rFont val="Tahoma"/>
            <family val="2"/>
          </rPr>
          <t>Just Agriculture pior to 2000 - see food product</t>
        </r>
      </text>
    </comment>
    <comment ref="CC70" authorId="0" shapeId="0" xr:uid="{D7999F0D-8AE1-40AD-8CDF-69610A7317B0}">
      <text>
        <r>
          <rPr>
            <sz val="9"/>
            <color indexed="81"/>
            <rFont val="Tahoma"/>
            <family val="2"/>
          </rPr>
          <t>Just Agriculture pior to 2000 - see food product</t>
        </r>
      </text>
    </comment>
    <comment ref="CJ70" authorId="0" shapeId="0" xr:uid="{C67C852E-5158-4DAF-9BAD-117117F119BD}">
      <text>
        <r>
          <rPr>
            <sz val="9"/>
            <color indexed="81"/>
            <rFont val="Tahoma"/>
            <family val="2"/>
          </rPr>
          <t>Just Agriculture pior to 2000 - see food product</t>
        </r>
      </text>
    </comment>
    <comment ref="CQ70" authorId="0" shapeId="0" xr:uid="{3E0A4786-BAF5-498A-BBA4-5B14055FF0D8}">
      <text>
        <r>
          <rPr>
            <sz val="9"/>
            <color indexed="81"/>
            <rFont val="Tahoma"/>
            <family val="2"/>
          </rPr>
          <t>Just Agriculture pior to 2000 - see food product</t>
        </r>
      </text>
    </comment>
    <comment ref="CX70" authorId="0" shapeId="0" xr:uid="{59CB0DFC-9774-4722-A3B8-3E737B498BDD}">
      <text>
        <r>
          <rPr>
            <sz val="9"/>
            <color indexed="81"/>
            <rFont val="Tahoma"/>
            <family val="2"/>
          </rPr>
          <t>Just Agriculture pior to 2000 - see food product</t>
        </r>
      </text>
    </comment>
    <comment ref="DE70" authorId="0" shapeId="0" xr:uid="{D4555856-389E-4959-94E2-8F3D3EBC1786}">
      <text>
        <r>
          <rPr>
            <sz val="9"/>
            <color indexed="81"/>
            <rFont val="Tahoma"/>
            <family val="2"/>
          </rPr>
          <t>Just Agriculture pior to 2000 - see food product</t>
        </r>
      </text>
    </comment>
    <comment ref="DL70" authorId="0" shapeId="0" xr:uid="{2A9D8949-F245-4E85-9246-DF2D11232E9E}">
      <text>
        <r>
          <rPr>
            <sz val="9"/>
            <color indexed="81"/>
            <rFont val="Tahoma"/>
            <family val="2"/>
          </rPr>
          <t>Just Agriculture pior to 2000 - see food product</t>
        </r>
      </text>
    </comment>
    <comment ref="DS70" authorId="0" shapeId="0" xr:uid="{5E534EB1-E708-4521-847D-56DDB0901230}">
      <text>
        <r>
          <rPr>
            <sz val="9"/>
            <color indexed="81"/>
            <rFont val="Tahoma"/>
            <family val="2"/>
          </rPr>
          <t>Just Agriculture pior to 2000 - see food product</t>
        </r>
      </text>
    </comment>
    <comment ref="DZ70" authorId="0" shapeId="0" xr:uid="{A71A6FEC-2B94-46CF-9888-6E6FC1B45370}">
      <text>
        <r>
          <rPr>
            <sz val="9"/>
            <color indexed="81"/>
            <rFont val="Tahoma"/>
            <family val="2"/>
          </rPr>
          <t>Just Agriculture pior to 2000 - see food product</t>
        </r>
      </text>
    </comment>
    <comment ref="EG70" authorId="0" shapeId="0" xr:uid="{F0466717-40E9-4BE7-842D-E80E1629259D}">
      <text>
        <r>
          <rPr>
            <sz val="9"/>
            <color indexed="81"/>
            <rFont val="Tahoma"/>
            <family val="2"/>
          </rPr>
          <t>Just Agriculture pior to 2000 - see food product</t>
        </r>
      </text>
    </comment>
    <comment ref="EN70" authorId="0" shapeId="0" xr:uid="{CFF4BB9E-90C1-448F-A54D-C889B9529B31}">
      <text>
        <r>
          <rPr>
            <sz val="9"/>
            <color indexed="81"/>
            <rFont val="Tahoma"/>
            <family val="2"/>
          </rPr>
          <t>Just Agriculture pior to 2000 - see food product</t>
        </r>
      </text>
    </comment>
    <comment ref="EU70" authorId="0" shapeId="0" xr:uid="{5F3B9614-FDAB-48F0-8B01-006B0F1E9ADC}">
      <text>
        <r>
          <rPr>
            <sz val="9"/>
            <color indexed="81"/>
            <rFont val="Tahoma"/>
            <family val="2"/>
          </rPr>
          <t>Just Agriculture pior to 2000 - see food product</t>
        </r>
      </text>
    </comment>
    <comment ref="FB70" authorId="0" shapeId="0" xr:uid="{D97B7DA3-5854-4329-BB65-28353CED98B3}">
      <text>
        <r>
          <rPr>
            <sz val="9"/>
            <color indexed="81"/>
            <rFont val="Tahoma"/>
            <family val="2"/>
          </rPr>
          <t>Just Agriculture pior to 2000 - see food product</t>
        </r>
      </text>
    </comment>
    <comment ref="FI70" authorId="0" shapeId="0" xr:uid="{97D5F38F-62AA-4EC3-9E76-97F2D3B510DB}">
      <text>
        <r>
          <rPr>
            <sz val="9"/>
            <color indexed="81"/>
            <rFont val="Tahoma"/>
            <family val="2"/>
          </rPr>
          <t>Just Agriculture pior to 2000 - see food product</t>
        </r>
      </text>
    </comment>
    <comment ref="FP70" authorId="0" shapeId="0" xr:uid="{64E4013B-8493-4101-A079-7B15848451FF}">
      <text>
        <r>
          <rPr>
            <sz val="9"/>
            <color indexed="81"/>
            <rFont val="Tahoma"/>
            <family val="2"/>
          </rPr>
          <t>Just Agriculture pior to 2000 - see food product</t>
        </r>
      </text>
    </comment>
    <comment ref="FW70" authorId="0" shapeId="0" xr:uid="{7FA1C609-A1B3-4467-B782-52F5B5639C34}">
      <text>
        <r>
          <rPr>
            <sz val="9"/>
            <color indexed="81"/>
            <rFont val="Tahoma"/>
            <family val="2"/>
          </rPr>
          <t>Just Agriculture pior to 2000 - see food product</t>
        </r>
      </text>
    </comment>
    <comment ref="GD70" authorId="0" shapeId="0" xr:uid="{59AE2BAE-13B6-4F99-9ADD-B9C6092BB091}">
      <text>
        <r>
          <rPr>
            <sz val="9"/>
            <color indexed="81"/>
            <rFont val="Tahoma"/>
            <family val="2"/>
          </rPr>
          <t>Just Agriculture pior to 2000 - see food product</t>
        </r>
      </text>
    </comment>
    <comment ref="GK70" authorId="0" shapeId="0" xr:uid="{5BB15692-95B4-4500-80BA-9F67FB4EFADE}">
      <text>
        <r>
          <rPr>
            <sz val="9"/>
            <color indexed="81"/>
            <rFont val="Tahoma"/>
            <family val="2"/>
          </rPr>
          <t>Just Agriculture pior to 2000 - see food product</t>
        </r>
      </text>
    </comment>
    <comment ref="GR70" authorId="0" shapeId="0" xr:uid="{4CE4B99C-01CB-40C4-95AB-E3B77E0095CB}">
      <text>
        <r>
          <rPr>
            <sz val="9"/>
            <color indexed="81"/>
            <rFont val="Tahoma"/>
            <family val="2"/>
          </rPr>
          <t>Just Agriculture pior to 2000 - see food product</t>
        </r>
      </text>
    </comment>
    <comment ref="GY70" authorId="0" shapeId="0" xr:uid="{F2656C3E-344C-4A82-B79C-F7844DAE0853}">
      <text>
        <r>
          <rPr>
            <sz val="9"/>
            <color indexed="81"/>
            <rFont val="Tahoma"/>
            <family val="2"/>
          </rPr>
          <t>Just Agriculture pior to 2000 - see food product</t>
        </r>
      </text>
    </comment>
    <comment ref="HF70" authorId="0" shapeId="0" xr:uid="{147E28C6-961A-46D0-8E82-4466ECC45A06}">
      <text>
        <r>
          <rPr>
            <sz val="9"/>
            <color indexed="81"/>
            <rFont val="Tahoma"/>
            <family val="2"/>
          </rPr>
          <t>Just Agriculture pior to 2000 - see food product</t>
        </r>
      </text>
    </comment>
    <comment ref="HM70" authorId="0" shapeId="0" xr:uid="{27241783-35EB-427E-9465-4F8EB7438191}">
      <text>
        <r>
          <rPr>
            <sz val="9"/>
            <color indexed="81"/>
            <rFont val="Tahoma"/>
            <family val="2"/>
          </rPr>
          <t>Just Agriculture pior to 2000 - see food product</t>
        </r>
      </text>
    </comment>
    <comment ref="HT70" authorId="0" shapeId="0" xr:uid="{08B6EB99-1942-4611-80AB-9B3AA569E932}">
      <text>
        <r>
          <rPr>
            <sz val="9"/>
            <color indexed="81"/>
            <rFont val="Tahoma"/>
            <family val="2"/>
          </rPr>
          <t>Just Agriculture pior to 2000 - see food product</t>
        </r>
      </text>
    </comment>
    <comment ref="IA70" authorId="0" shapeId="0" xr:uid="{DF935896-F8A2-438E-A24C-37A53A5B29EB}">
      <text>
        <r>
          <rPr>
            <sz val="9"/>
            <color indexed="81"/>
            <rFont val="Tahoma"/>
            <family val="2"/>
          </rPr>
          <t>Just Agriculture pior to 2000 - see food product</t>
        </r>
      </text>
    </comment>
    <comment ref="IH70" authorId="0" shapeId="0" xr:uid="{CDBBA63B-5483-40AE-8DBE-1CD9952F0DE6}">
      <text>
        <r>
          <rPr>
            <sz val="9"/>
            <color indexed="81"/>
            <rFont val="Tahoma"/>
            <family val="2"/>
          </rPr>
          <t>Just Agriculture pior to 2000 - see food product</t>
        </r>
      </text>
    </comment>
    <comment ref="IO70" authorId="0" shapeId="0" xr:uid="{1D5926CC-833E-420C-B09C-645D18C9C13D}">
      <text>
        <r>
          <rPr>
            <sz val="9"/>
            <color indexed="81"/>
            <rFont val="Tahoma"/>
            <family val="2"/>
          </rPr>
          <t>Just Agriculture pior to 2000 - see food product</t>
        </r>
      </text>
    </comment>
    <comment ref="IV70" authorId="0" shapeId="0" xr:uid="{FD3A7075-A977-4513-ACF2-53974DE5EDC3}">
      <text>
        <r>
          <rPr>
            <sz val="9"/>
            <color indexed="81"/>
            <rFont val="Tahoma"/>
            <family val="2"/>
          </rPr>
          <t>Just Agriculture pior to 2000 - see food product</t>
        </r>
      </text>
    </comment>
    <comment ref="JC70" authorId="0" shapeId="0" xr:uid="{942A9802-95DA-4F52-92C3-958AB5E0A37D}">
      <text>
        <r>
          <rPr>
            <sz val="9"/>
            <color indexed="81"/>
            <rFont val="Tahoma"/>
            <family val="2"/>
          </rPr>
          <t>Just Agriculture pior to 2000 - see food product</t>
        </r>
      </text>
    </comment>
    <comment ref="JJ70" authorId="0" shapeId="0" xr:uid="{29945960-BB4E-4F3B-A59A-1E9978544469}">
      <text>
        <r>
          <rPr>
            <sz val="9"/>
            <color indexed="81"/>
            <rFont val="Tahoma"/>
            <family val="2"/>
          </rPr>
          <t>Just Agriculture pior to 2000 - see food product</t>
        </r>
      </text>
    </comment>
    <comment ref="JQ70" authorId="0" shapeId="0" xr:uid="{611D0B3C-1A31-4C0E-9D6B-CBD3202EBDCE}">
      <text>
        <r>
          <rPr>
            <sz val="9"/>
            <color indexed="81"/>
            <rFont val="Tahoma"/>
            <family val="2"/>
          </rPr>
          <t>Just Agriculture pior to 2000 - see food product</t>
        </r>
      </text>
    </comment>
    <comment ref="JX70" authorId="0" shapeId="0" xr:uid="{C4C3BD7A-3B49-444F-99C5-6BC7D03444D2}">
      <text>
        <r>
          <rPr>
            <sz val="9"/>
            <color indexed="81"/>
            <rFont val="Tahoma"/>
            <family val="2"/>
          </rPr>
          <t>Just Agriculture pior to 2000 - see food product</t>
        </r>
      </text>
    </comment>
    <comment ref="KE70" authorId="0" shapeId="0" xr:uid="{0B536AE4-2472-4BA2-8EEC-3CC599C3777C}">
      <text>
        <r>
          <rPr>
            <sz val="9"/>
            <color indexed="81"/>
            <rFont val="Tahoma"/>
            <family val="2"/>
          </rPr>
          <t>Just Agriculture pior to 2000 - see food product</t>
        </r>
      </text>
    </comment>
    <comment ref="KL70" authorId="0" shapeId="0" xr:uid="{A2CB1DA8-36A8-4D12-9619-CD5A193BBA80}">
      <text>
        <r>
          <rPr>
            <sz val="9"/>
            <color indexed="81"/>
            <rFont val="Tahoma"/>
            <family val="2"/>
          </rPr>
          <t>Just Agriculture pior to 2000 - see food product</t>
        </r>
      </text>
    </comment>
    <comment ref="KS70" authorId="0" shapeId="0" xr:uid="{270FE617-8CE4-4714-9781-B5EFDF0E2B49}">
      <text>
        <r>
          <rPr>
            <sz val="9"/>
            <color indexed="81"/>
            <rFont val="Tahoma"/>
            <family val="2"/>
          </rPr>
          <t>Just Agriculture pior to 2000 - see food product</t>
        </r>
      </text>
    </comment>
    <comment ref="KZ70" authorId="0" shapeId="0" xr:uid="{C2E364F9-A82C-43BA-89A5-99300B84659A}">
      <text>
        <r>
          <rPr>
            <sz val="9"/>
            <color indexed="81"/>
            <rFont val="Tahoma"/>
            <family val="2"/>
          </rPr>
          <t>Just Agriculture pior to 2000 - see food product</t>
        </r>
      </text>
    </comment>
    <comment ref="LG70" authorId="0" shapeId="0" xr:uid="{3BD616A4-0E6A-4760-AA1D-B7351DB36EED}">
      <text>
        <r>
          <rPr>
            <sz val="9"/>
            <color indexed="81"/>
            <rFont val="Tahoma"/>
            <family val="2"/>
          </rPr>
          <t>Just Agriculture pior to 2000 - see food product</t>
        </r>
      </text>
    </comment>
    <comment ref="LN70" authorId="0" shapeId="0" xr:uid="{DB078E47-9A4D-48B6-AD50-ABFE5CF0A62B}">
      <text>
        <r>
          <rPr>
            <sz val="9"/>
            <color indexed="81"/>
            <rFont val="Tahoma"/>
            <family val="2"/>
          </rPr>
          <t>Just Agriculture pior to 2000 - see food product</t>
        </r>
      </text>
    </comment>
    <comment ref="LU70" authorId="0" shapeId="0" xr:uid="{C59F92D6-C057-4000-98DE-5F478FFDB624}">
      <text>
        <r>
          <rPr>
            <sz val="9"/>
            <color indexed="81"/>
            <rFont val="Tahoma"/>
            <family val="2"/>
          </rPr>
          <t>Just Agriculture pior to 2000 - see food product</t>
        </r>
      </text>
    </comment>
    <comment ref="MB70" authorId="0" shapeId="0" xr:uid="{58201C69-C5BF-4225-B23A-9463B3BBA48A}">
      <text>
        <r>
          <rPr>
            <sz val="9"/>
            <color indexed="81"/>
            <rFont val="Tahoma"/>
            <family val="2"/>
          </rPr>
          <t>Just Agriculture pior to 2000 - see food product</t>
        </r>
      </text>
    </comment>
    <comment ref="EO71" authorId="1" shapeId="0" xr:uid="{7F5ABD99-58C4-40AF-A925-2650040554DE}">
      <text>
        <r>
          <rPr>
            <b/>
            <sz val="10"/>
            <color indexed="81"/>
            <rFont val="Tahoma"/>
            <family val="2"/>
          </rPr>
          <t>Glen Petraglia:</t>
        </r>
        <r>
          <rPr>
            <sz val="10"/>
            <color indexed="81"/>
            <rFont val="Tahoma"/>
            <family val="2"/>
          </rPr>
          <t xml:space="preserve">
Categorical breakout changed due to reclassification of merchandise by CSX.</t>
        </r>
      </text>
    </comment>
    <comment ref="B73" authorId="0" shapeId="0" xr:uid="{6D986916-9726-43FC-BCB0-9F179A5708CE}">
      <text>
        <r>
          <rPr>
            <sz val="9"/>
            <color indexed="81"/>
            <rFont val="Tahoma"/>
            <family val="2"/>
          </rPr>
          <t>As of 1Q13 - inlcudes the Equipment portion from the former Waste &amp; Equipment segment</t>
        </r>
      </text>
    </comment>
    <comment ref="BO73" authorId="0" shapeId="0" xr:uid="{1D58CC3A-B10A-4F32-9A0C-CCB7DF86E287}">
      <text>
        <r>
          <rPr>
            <sz val="9"/>
            <color indexed="81"/>
            <rFont val="Tahoma"/>
            <family val="2"/>
          </rPr>
          <t>As of 1Q13 - inlcudes the Equipment portion from the former Waste &amp; Equipment segment</t>
        </r>
      </text>
    </comment>
    <comment ref="BV73" authorId="0" shapeId="0" xr:uid="{9359E943-651D-4C21-B53E-3B495FD0F61E}">
      <text>
        <r>
          <rPr>
            <sz val="9"/>
            <color indexed="81"/>
            <rFont val="Tahoma"/>
            <family val="2"/>
          </rPr>
          <t>As of 1Q13 - inlcudes the Equipment portion from the former Waste &amp; Equipment segment</t>
        </r>
      </text>
    </comment>
    <comment ref="CC73" authorId="0" shapeId="0" xr:uid="{08CA731C-7EB6-4166-B245-AEDCAE301059}">
      <text>
        <r>
          <rPr>
            <sz val="9"/>
            <color indexed="81"/>
            <rFont val="Tahoma"/>
            <family val="2"/>
          </rPr>
          <t>As of 1Q13 - inlcudes the Equipment portion from the former Waste &amp; Equipment segment</t>
        </r>
      </text>
    </comment>
    <comment ref="CJ73" authorId="0" shapeId="0" xr:uid="{4BE1D7D6-EE1A-41C9-9940-3C520A0E500E}">
      <text>
        <r>
          <rPr>
            <sz val="9"/>
            <color indexed="81"/>
            <rFont val="Tahoma"/>
            <family val="2"/>
          </rPr>
          <t>As of 1Q13 - inlcudes the Equipment portion from the former Waste &amp; Equipment segment</t>
        </r>
      </text>
    </comment>
    <comment ref="CQ73" authorId="0" shapeId="0" xr:uid="{B76D7C94-D1FF-4753-8D2C-80D59A67BBA3}">
      <text>
        <r>
          <rPr>
            <sz val="9"/>
            <color indexed="81"/>
            <rFont val="Tahoma"/>
            <family val="2"/>
          </rPr>
          <t>As of 1Q13 - inlcudes the Equipment portion from the former Waste &amp; Equipment segment</t>
        </r>
      </text>
    </comment>
    <comment ref="CX73" authorId="0" shapeId="0" xr:uid="{ADD43735-6CDC-4E09-B6E3-D3C5990CAA1B}">
      <text>
        <r>
          <rPr>
            <sz val="9"/>
            <color indexed="81"/>
            <rFont val="Tahoma"/>
            <family val="2"/>
          </rPr>
          <t>As of 1Q13 - inlcudes the Equipment portion from the former Waste &amp; Equipment segment</t>
        </r>
      </text>
    </comment>
    <comment ref="DE73" authorId="0" shapeId="0" xr:uid="{466F11E3-1175-46E3-A65C-D9596ED3A45F}">
      <text>
        <r>
          <rPr>
            <sz val="9"/>
            <color indexed="81"/>
            <rFont val="Tahoma"/>
            <family val="2"/>
          </rPr>
          <t>As of 1Q13 - inlcudes the Equipment portion from the former Waste &amp; Equipment segment</t>
        </r>
      </text>
    </comment>
    <comment ref="DL73" authorId="0" shapeId="0" xr:uid="{8C294DC3-785B-4522-9D8C-76E8563CE3E3}">
      <text>
        <r>
          <rPr>
            <sz val="9"/>
            <color indexed="81"/>
            <rFont val="Tahoma"/>
            <family val="2"/>
          </rPr>
          <t>As of 1Q13 - inlcudes the Equipment portion from the former Waste &amp; Equipment segment</t>
        </r>
      </text>
    </comment>
    <comment ref="DS73" authorId="0" shapeId="0" xr:uid="{46DBE126-7F48-47C5-B8AC-EB0570D27F52}">
      <text>
        <r>
          <rPr>
            <sz val="9"/>
            <color indexed="81"/>
            <rFont val="Tahoma"/>
            <family val="2"/>
          </rPr>
          <t>As of 1Q13 - inlcudes the Equipment portion from the former Waste &amp; Equipment segment</t>
        </r>
      </text>
    </comment>
    <comment ref="DZ73" authorId="0" shapeId="0" xr:uid="{0A21F651-B5A3-4A5F-A37A-35E3E674C4C7}">
      <text>
        <r>
          <rPr>
            <sz val="9"/>
            <color indexed="81"/>
            <rFont val="Tahoma"/>
            <family val="2"/>
          </rPr>
          <t>As of 1Q13 - inlcudes the Equipment portion from the former Waste &amp; Equipment segment</t>
        </r>
      </text>
    </comment>
    <comment ref="EG73" authorId="0" shapeId="0" xr:uid="{5DE84E2B-6E32-4125-9BDE-193760A2A13F}">
      <text>
        <r>
          <rPr>
            <sz val="9"/>
            <color indexed="81"/>
            <rFont val="Tahoma"/>
            <family val="2"/>
          </rPr>
          <t>As of 1Q13 - inlcudes the Equipment portion from the former Waste &amp; Equipment segment</t>
        </r>
      </text>
    </comment>
    <comment ref="EN73" authorId="0" shapeId="0" xr:uid="{5BBA7955-3D15-4DA2-81F5-CB53E8B421C0}">
      <text>
        <r>
          <rPr>
            <sz val="9"/>
            <color indexed="81"/>
            <rFont val="Tahoma"/>
            <family val="2"/>
          </rPr>
          <t>As of 1Q13 - inlcudes the Equipment portion from the former Waste &amp; Equipment segment</t>
        </r>
      </text>
    </comment>
    <comment ref="EU73" authorId="0" shapeId="0" xr:uid="{D8E4B5DA-40A4-4CF3-8575-7049A0D8E5BA}">
      <text>
        <r>
          <rPr>
            <sz val="9"/>
            <color indexed="81"/>
            <rFont val="Tahoma"/>
            <family val="2"/>
          </rPr>
          <t>As of 1Q13 - inlcudes the Equipment portion from the former Waste &amp; Equipment segment</t>
        </r>
      </text>
    </comment>
    <comment ref="FB73" authorId="0" shapeId="0" xr:uid="{BD5CFE15-7AC9-4EF5-9D4B-DF20BB3085DA}">
      <text>
        <r>
          <rPr>
            <sz val="9"/>
            <color indexed="81"/>
            <rFont val="Tahoma"/>
            <family val="2"/>
          </rPr>
          <t>As of 1Q13 - inlcudes the Equipment portion from the former Waste &amp; Equipment segment</t>
        </r>
      </text>
    </comment>
    <comment ref="FI73" authorId="0" shapeId="0" xr:uid="{0BA0F15B-093E-441C-825F-E16A16BCE271}">
      <text>
        <r>
          <rPr>
            <sz val="9"/>
            <color indexed="81"/>
            <rFont val="Tahoma"/>
            <family val="2"/>
          </rPr>
          <t>As of 1Q13 - inlcudes the Equipment portion from the former Waste &amp; Equipment segment</t>
        </r>
      </text>
    </comment>
    <comment ref="FP73" authorId="0" shapeId="0" xr:uid="{CC1BB018-85BB-4D5F-B439-2A2EE48119B1}">
      <text>
        <r>
          <rPr>
            <sz val="9"/>
            <color indexed="81"/>
            <rFont val="Tahoma"/>
            <family val="2"/>
          </rPr>
          <t>As of 1Q13 - inlcudes the Equipment portion from the former Waste &amp; Equipment segment</t>
        </r>
      </text>
    </comment>
    <comment ref="FW73" authorId="0" shapeId="0" xr:uid="{BFFF1B0C-E6D1-460B-93DC-12D06BE68E85}">
      <text>
        <r>
          <rPr>
            <sz val="9"/>
            <color indexed="81"/>
            <rFont val="Tahoma"/>
            <family val="2"/>
          </rPr>
          <t>As of 1Q13 - inlcudes the Equipment portion from the former Waste &amp; Equipment segment</t>
        </r>
      </text>
    </comment>
    <comment ref="GD73" authorId="0" shapeId="0" xr:uid="{CBD7E698-C4E2-43DC-B2E8-4834AFD95DA0}">
      <text>
        <r>
          <rPr>
            <sz val="9"/>
            <color indexed="81"/>
            <rFont val="Tahoma"/>
            <family val="2"/>
          </rPr>
          <t>As of 1Q13 - inlcudes the Equipment portion from the former Waste &amp; Equipment segment</t>
        </r>
      </text>
    </comment>
    <comment ref="GK73" authorId="0" shapeId="0" xr:uid="{8B48FA99-96F4-45E0-83CE-A6476A8D0C40}">
      <text>
        <r>
          <rPr>
            <sz val="9"/>
            <color indexed="81"/>
            <rFont val="Tahoma"/>
            <family val="2"/>
          </rPr>
          <t>As of 1Q13 - inlcudes the Equipment portion from the former Waste &amp; Equipment segment</t>
        </r>
      </text>
    </comment>
    <comment ref="GR73" authorId="0" shapeId="0" xr:uid="{1773A03E-C1DF-4755-B3EB-5719DE8F731C}">
      <text>
        <r>
          <rPr>
            <sz val="9"/>
            <color indexed="81"/>
            <rFont val="Tahoma"/>
            <family val="2"/>
          </rPr>
          <t>As of 1Q13 - inlcudes the Equipment portion from the former Waste &amp; Equipment segment</t>
        </r>
      </text>
    </comment>
    <comment ref="GY73" authorId="0" shapeId="0" xr:uid="{CEDE4B3A-E00D-44CD-A9D0-E2FA84956CD6}">
      <text>
        <r>
          <rPr>
            <sz val="9"/>
            <color indexed="81"/>
            <rFont val="Tahoma"/>
            <family val="2"/>
          </rPr>
          <t>As of 1Q13 - inlcudes the Equipment portion from the former Waste &amp; Equipment segment</t>
        </r>
      </text>
    </comment>
    <comment ref="HF73" authorId="0" shapeId="0" xr:uid="{863040F6-5F92-4BA7-8A65-F74FEB508E26}">
      <text>
        <r>
          <rPr>
            <sz val="9"/>
            <color indexed="81"/>
            <rFont val="Tahoma"/>
            <family val="2"/>
          </rPr>
          <t>As of 1Q13 - inlcudes the Equipment portion from the former Waste &amp; Equipment segment</t>
        </r>
      </text>
    </comment>
    <comment ref="HM73" authorId="0" shapeId="0" xr:uid="{CA38FF94-FC09-45B7-BDD6-34B03A81F46E}">
      <text>
        <r>
          <rPr>
            <sz val="9"/>
            <color indexed="81"/>
            <rFont val="Tahoma"/>
            <family val="2"/>
          </rPr>
          <t>As of 1Q13 - inlcudes the Equipment portion from the former Waste &amp; Equipment segment</t>
        </r>
      </text>
    </comment>
    <comment ref="HT73" authorId="0" shapeId="0" xr:uid="{F2445BF9-E42A-4FB4-82A8-46FB09EE2A32}">
      <text>
        <r>
          <rPr>
            <sz val="9"/>
            <color indexed="81"/>
            <rFont val="Tahoma"/>
            <family val="2"/>
          </rPr>
          <t>As of 1Q13 - inlcudes the Equipment portion from the former Waste &amp; Equipment segment</t>
        </r>
      </text>
    </comment>
    <comment ref="IA73" authorId="0" shapeId="0" xr:uid="{DB09E768-E68B-4F20-9ADC-BE75C09EB77B}">
      <text>
        <r>
          <rPr>
            <sz val="9"/>
            <color indexed="81"/>
            <rFont val="Tahoma"/>
            <family val="2"/>
          </rPr>
          <t>As of 1Q13 - inlcudes the Equipment portion from the former Waste &amp; Equipment segment</t>
        </r>
      </text>
    </comment>
    <comment ref="IH73" authorId="0" shapeId="0" xr:uid="{A78CD6DF-32E5-4B1B-AB43-1BA5A833A4BE}">
      <text>
        <r>
          <rPr>
            <sz val="9"/>
            <color indexed="81"/>
            <rFont val="Tahoma"/>
            <family val="2"/>
          </rPr>
          <t>As of 1Q13 - inlcudes the Equipment portion from the former Waste &amp; Equipment segment</t>
        </r>
      </text>
    </comment>
    <comment ref="IO73" authorId="0" shapeId="0" xr:uid="{976B47C7-7DD7-409C-BEC5-597B89821A69}">
      <text>
        <r>
          <rPr>
            <sz val="9"/>
            <color indexed="81"/>
            <rFont val="Tahoma"/>
            <family val="2"/>
          </rPr>
          <t>As of 1Q13 - inlcudes the Equipment portion from the former Waste &amp; Equipment segment</t>
        </r>
      </text>
    </comment>
    <comment ref="IV73" authorId="0" shapeId="0" xr:uid="{14CC5B7D-3739-43A4-8077-218D169CF94C}">
      <text>
        <r>
          <rPr>
            <sz val="9"/>
            <color indexed="81"/>
            <rFont val="Tahoma"/>
            <family val="2"/>
          </rPr>
          <t>As of 1Q13 - inlcudes the Equipment portion from the former Waste &amp; Equipment segment</t>
        </r>
      </text>
    </comment>
    <comment ref="JC73" authorId="0" shapeId="0" xr:uid="{8C384D48-F704-48B2-8219-AC987162F87F}">
      <text>
        <r>
          <rPr>
            <sz val="9"/>
            <color indexed="81"/>
            <rFont val="Tahoma"/>
            <family val="2"/>
          </rPr>
          <t>As of 1Q13 - inlcudes the Equipment portion from the former Waste &amp; Equipment segment</t>
        </r>
      </text>
    </comment>
    <comment ref="JJ73" authorId="0" shapeId="0" xr:uid="{C3C1EBAF-6AD7-479D-BD59-FE4E48B9830D}">
      <text>
        <r>
          <rPr>
            <sz val="9"/>
            <color indexed="81"/>
            <rFont val="Tahoma"/>
            <family val="2"/>
          </rPr>
          <t>As of 1Q13 - inlcudes the Equipment portion from the former Waste &amp; Equipment segment</t>
        </r>
      </text>
    </comment>
    <comment ref="JQ73" authorId="0" shapeId="0" xr:uid="{6A5A2DC5-DB92-443E-91F1-96A5932CDFB8}">
      <text>
        <r>
          <rPr>
            <sz val="9"/>
            <color indexed="81"/>
            <rFont val="Tahoma"/>
            <family val="2"/>
          </rPr>
          <t>As of 1Q13 - inlcudes the Equipment portion from the former Waste &amp; Equipment segment</t>
        </r>
      </text>
    </comment>
    <comment ref="JX73" authorId="0" shapeId="0" xr:uid="{B7545FAE-9825-4D1F-84F3-0C2598C51B35}">
      <text>
        <r>
          <rPr>
            <sz val="9"/>
            <color indexed="81"/>
            <rFont val="Tahoma"/>
            <family val="2"/>
          </rPr>
          <t>As of 1Q13 - inlcudes the Equipment portion from the former Waste &amp; Equipment segment</t>
        </r>
      </text>
    </comment>
    <comment ref="KE73" authorId="0" shapeId="0" xr:uid="{DA45CE86-E2FE-4ACB-9E7E-4B02AF913A38}">
      <text>
        <r>
          <rPr>
            <sz val="9"/>
            <color indexed="81"/>
            <rFont val="Tahoma"/>
            <family val="2"/>
          </rPr>
          <t>As of 1Q13 - inlcudes the Equipment portion from the former Waste &amp; Equipment segment</t>
        </r>
      </text>
    </comment>
    <comment ref="KL73" authorId="0" shapeId="0" xr:uid="{BFA1367B-C811-4A77-BA29-3B7F334BB4B5}">
      <text>
        <r>
          <rPr>
            <sz val="9"/>
            <color indexed="81"/>
            <rFont val="Tahoma"/>
            <family val="2"/>
          </rPr>
          <t>As of 1Q13 - inlcudes the Equipment portion from the former Waste &amp; Equipment segment</t>
        </r>
      </text>
    </comment>
    <comment ref="KS73" authorId="0" shapeId="0" xr:uid="{3424F477-13F1-43C8-B992-BC5A577C674A}">
      <text>
        <r>
          <rPr>
            <sz val="9"/>
            <color indexed="81"/>
            <rFont val="Tahoma"/>
            <family val="2"/>
          </rPr>
          <t>As of 1Q13 - inlcudes the Equipment portion from the former Waste &amp; Equipment segment</t>
        </r>
      </text>
    </comment>
    <comment ref="KZ73" authorId="0" shapeId="0" xr:uid="{2D63A582-85C2-448E-B75F-5A31160E56F8}">
      <text>
        <r>
          <rPr>
            <sz val="9"/>
            <color indexed="81"/>
            <rFont val="Tahoma"/>
            <family val="2"/>
          </rPr>
          <t>As of 1Q13 - inlcudes the Equipment portion from the former Waste &amp; Equipment segment</t>
        </r>
      </text>
    </comment>
    <comment ref="LG73" authorId="0" shapeId="0" xr:uid="{48EFEF24-7E60-4252-B35B-586984887270}">
      <text>
        <r>
          <rPr>
            <sz val="9"/>
            <color indexed="81"/>
            <rFont val="Tahoma"/>
            <family val="2"/>
          </rPr>
          <t>As of 1Q13 - inlcudes the Equipment portion from the former Waste &amp; Equipment segment</t>
        </r>
      </text>
    </comment>
    <comment ref="LN73" authorId="0" shapeId="0" xr:uid="{5317C28E-F73C-4B2D-8052-C2F29EFBCEE3}">
      <text>
        <r>
          <rPr>
            <sz val="9"/>
            <color indexed="81"/>
            <rFont val="Tahoma"/>
            <family val="2"/>
          </rPr>
          <t>As of 1Q13 - inlcudes the Equipment portion from the former Waste &amp; Equipment segment</t>
        </r>
      </text>
    </comment>
    <comment ref="LU73" authorId="0" shapeId="0" xr:uid="{9EA636C4-2B7B-4C90-9B08-934AE2F68D62}">
      <text>
        <r>
          <rPr>
            <sz val="9"/>
            <color indexed="81"/>
            <rFont val="Tahoma"/>
            <family val="2"/>
          </rPr>
          <t>As of 1Q13 - inlcudes the Equipment portion from the former Waste &amp; Equipment segment</t>
        </r>
      </text>
    </comment>
    <comment ref="MB73" authorId="0" shapeId="0" xr:uid="{CF2D8F26-94C1-4B05-8771-72033442FB3B}">
      <text>
        <r>
          <rPr>
            <sz val="9"/>
            <color indexed="81"/>
            <rFont val="Tahoma"/>
            <family val="2"/>
          </rPr>
          <t>As of 1Q13 - inlcudes the Equipment portion from the former Waste &amp; Equipment segment</t>
        </r>
      </text>
    </comment>
    <comment ref="LE108" authorId="0" shapeId="0" xr:uid="{EEB13679-60F3-4D53-A799-78E48ABBE4E9}">
      <text>
        <r>
          <rPr>
            <sz val="9"/>
            <color indexed="81"/>
            <rFont val="Tahoma"/>
            <family val="2"/>
          </rPr>
          <t>Low-to-mid single digit</t>
        </r>
      </text>
    </comment>
    <comment ref="LL108" authorId="4" shapeId="0" xr:uid="{466C8285-84F0-48D7-803F-CCC462B292E3}">
      <text>
        <r>
          <rPr>
            <b/>
            <sz val="9"/>
            <color indexed="81"/>
            <rFont val="Tahoma"/>
            <family val="2"/>
          </rPr>
          <t>Salmon, Robert H.:</t>
        </r>
        <r>
          <rPr>
            <sz val="9"/>
            <color indexed="81"/>
            <rFont val="Tahoma"/>
            <family val="2"/>
          </rPr>
          <t xml:space="preserve">
LSD to MSD YoY growth</t>
        </r>
      </text>
    </comment>
    <comment ref="LS250" authorId="0" shapeId="0" xr:uid="{30BC781B-3074-433D-AD72-D0D58F0F0087}">
      <text>
        <r>
          <rPr>
            <sz val="9"/>
            <color indexed="81"/>
            <rFont val="Tahoma"/>
            <family val="2"/>
          </rPr>
          <t>BN ramp up offset by UP/CSX interchange loads</t>
        </r>
      </text>
    </comment>
    <comment ref="B356" authorId="0" shapeId="0" xr:uid="{14E76C92-4678-4EA3-85A5-4483A6ABD981}">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BO356" authorId="0" shapeId="0" xr:uid="{EF9CEBA5-9CA4-4DC9-884D-701F1D7A8A0F}">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BV356" authorId="0" shapeId="0" xr:uid="{2A5DBC90-D4A7-4BE0-B2DC-54B8BED2FF53}">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CC356" authorId="0" shapeId="0" xr:uid="{EE167D2E-52B9-4B9E-9FB5-70941F7CCD2A}">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CJ356" authorId="0" shapeId="0" xr:uid="{18702679-C179-4B53-8DA4-9866FE68AD0C}">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CQ356" authorId="0" shapeId="0" xr:uid="{CEEF5718-DD00-43C8-B48E-6263EB05F67B}">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CX356" authorId="0" shapeId="0" xr:uid="{BA7695C1-438D-4887-9170-63C3F8D538F4}">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DE356" authorId="0" shapeId="0" xr:uid="{9B7FFC09-3AA1-4C84-81B3-6331FA1F89FD}">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DL356" authorId="0" shapeId="0" xr:uid="{5169BB82-6E23-4C8D-AE9F-6B52B1FA69C2}">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DS356" authorId="0" shapeId="0" xr:uid="{A40CE715-F15D-44CF-A047-D2CC92E67BB4}">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DZ356" authorId="0" shapeId="0" xr:uid="{50F5B003-919D-4A7D-B81A-FEF1C19281F2}">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EG356" authorId="0" shapeId="0" xr:uid="{2AEBEFD6-B6BD-4727-A4E9-C7127A7C64B9}">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EN356" authorId="0" shapeId="0" xr:uid="{85B1131C-A44F-4117-8D6A-04A36173D443}">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EU356" authorId="0" shapeId="0" xr:uid="{54795F86-342B-4435-98B2-B07FF4BA1F6F}">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FB356" authorId="0" shapeId="0" xr:uid="{CA9326BE-EB64-4C8C-9679-CC369A024C33}">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FI356" authorId="0" shapeId="0" xr:uid="{D3735A8D-7387-46EE-A59E-C3E82F49913F}">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FP356" authorId="0" shapeId="0" xr:uid="{CC566EBA-B0FF-41EE-B20B-6EA645D8E9E2}">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FW356" authorId="0" shapeId="0" xr:uid="{DD991FD6-DFC6-4BF8-BCB7-2912EAAAAED4}">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GD356" authorId="0" shapeId="0" xr:uid="{B1B8655B-EEAE-40B7-B205-74A6DC8E2586}">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GK356" authorId="0" shapeId="0" xr:uid="{0108EDEE-0C48-4054-91DB-F03849B9271C}">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GR356" authorId="0" shapeId="0" xr:uid="{976D1A47-8FC4-4402-8C32-384F015D6EBC}">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GY356" authorId="0" shapeId="0" xr:uid="{585F53CF-9B66-4FB8-B91A-60330608D6C1}">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HF356" authorId="0" shapeId="0" xr:uid="{F6C8D8F3-1C59-4F6D-9E07-C495BC6188A2}">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HM356" authorId="0" shapeId="0" xr:uid="{3EA9F88E-9E3E-4346-A7A5-D859EF20AF0F}">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HT356" authorId="0" shapeId="0" xr:uid="{F2EDE323-3180-482F-B4A8-C1D75F127AEE}">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IA356" authorId="0" shapeId="0" xr:uid="{DBF1CF2F-7C71-45D7-9A39-F2E12A0A7D01}">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IH356" authorId="0" shapeId="0" xr:uid="{6785837A-9ABC-4B45-B5BC-F4208267D137}">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IO356" authorId="0" shapeId="0" xr:uid="{5A8075D1-87AA-46A6-A75F-B6C4A4E81BB0}">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IV356" authorId="0" shapeId="0" xr:uid="{9A50DF24-28C9-4594-879C-A5576582DC06}">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JC356" authorId="0" shapeId="0" xr:uid="{B1708BAF-2709-4AB6-9CF4-65539C4F50DA}">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JJ356" authorId="0" shapeId="0" xr:uid="{1099C766-4D6E-4A82-AEFA-6E6DB3BF4A48}">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JQ356" authorId="0" shapeId="0" xr:uid="{C29B0EC1-1DC8-46BA-AABA-CA72C95E9241}">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JX356" authorId="0" shapeId="0" xr:uid="{314251D6-CB9D-42E5-B442-C7B79819B90E}">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KE356" authorId="0" shapeId="0" xr:uid="{DF99F3AE-67FD-4A7E-A1DB-FF3D3DE400C9}">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KL356" authorId="0" shapeId="0" xr:uid="{5272A597-00B6-40C1-9336-A6D61C02DE62}">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KS356" authorId="0" shapeId="0" xr:uid="{D721B379-0603-4803-86F1-9F363F086DE6}">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KZ356" authorId="0" shapeId="0" xr:uid="{9DD792D2-8E8E-441E-B337-806B23C612A6}">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LG356" authorId="0" shapeId="0" xr:uid="{12465399-2253-4B2A-AF11-51DB55FE9087}">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LN356" authorId="0" shapeId="0" xr:uid="{93C90661-763D-4BB4-9C11-C25F1B81186C}">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LU356" authorId="0" shapeId="0" xr:uid="{8751BC14-9B41-41A8-B096-607DDD5D45C6}">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MB356" authorId="0" shapeId="0" xr:uid="{F1790397-9492-4065-9665-219CB81AD58D}">
      <text>
        <r>
          <rPr>
            <sz val="9"/>
            <color indexed="81"/>
            <rFont val="Tahoma"/>
            <family val="2"/>
          </rPr>
          <t xml:space="preserve">Includes fuel for freight, yard and work train locomotives. 
Include fuel charged to train and yard service (function  67-Locomotive Fuels). 
Include all other fuel used for railroad operations and maintenance, including motor vehicles and  power equipment not charged to function 67 - Locomotive Fuels.
</t>
        </r>
      </text>
    </comment>
    <comment ref="EK384" authorId="5" shapeId="0" xr:uid="{AF6956A8-B39F-4449-AC5C-BB6A98D9F3DC}">
      <text>
        <r>
          <rPr>
            <b/>
            <sz val="10"/>
            <color indexed="81"/>
            <rFont val="Tahoma"/>
            <family val="2"/>
          </rPr>
          <t>TROY:
No revenue/shipment statistics provided in February 9 release.</t>
        </r>
      </text>
    </comment>
    <comment ref="EV384" authorId="1" shapeId="0" xr:uid="{1A654102-6B57-4AFB-8A47-ED8C0630F510}">
      <text>
        <r>
          <rPr>
            <b/>
            <sz val="8"/>
            <color indexed="81"/>
            <rFont val="Tahoma"/>
            <family val="2"/>
          </rPr>
          <t>Glen Petraglia:</t>
        </r>
        <r>
          <rPr>
            <sz val="8"/>
            <color indexed="81"/>
            <rFont val="Tahoma"/>
            <family val="2"/>
          </rPr>
          <t xml:space="preserve">
adjusted for elimination</t>
        </r>
      </text>
    </comment>
    <comment ref="EK397" authorId="6" shapeId="0" xr:uid="{DC71AEB9-198D-4CC9-A5C3-2574D2BE6335}">
      <text>
        <r>
          <rPr>
            <b/>
            <sz val="8"/>
            <color indexed="81"/>
            <rFont val="Tahoma"/>
            <family val="2"/>
          </rPr>
          <t>Troy:</t>
        </r>
        <r>
          <rPr>
            <sz val="8"/>
            <color indexed="81"/>
            <rFont val="Tahoma"/>
            <family val="2"/>
          </rPr>
          <t xml:space="preserve">
Plug</t>
        </r>
      </text>
    </comment>
    <comment ref="DU441" authorId="2" shapeId="0" xr:uid="{29A2C313-2179-4403-AA6B-D99F32AA275F}">
      <text>
        <r>
          <rPr>
            <sz val="8"/>
            <color indexed="81"/>
            <rFont val="Tahoma"/>
            <family val="2"/>
          </rPr>
          <t xml:space="preserve">Actually $39 M in flash yet total revenues need to be $152 M; incrementally added $1M for other to sum to correct total revenues.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Deveikis, Ryan</author>
    <author>Salmon, Robert H.</author>
    <author>Makam, Abhishek [WELLS FARGO SEC RES CONS]</author>
    <author>Deveikis, Ryan [WELLS FARGO SEC RES CONS]</author>
    <author>Celis barros, Sebastian A.</author>
    <author>LaPort-C</author>
    <author>Peacock, Benjamin</author>
    <author>A satisfied Microsoft Office user</author>
    <author>SIG</author>
    <author>Deak, Casey S.</author>
    <author>hjkhjkhj</author>
    <author>Glen P.</author>
  </authors>
  <commentList>
    <comment ref="KM7" authorId="0" shapeId="0" xr:uid="{58936319-8059-4182-81C8-6A4B5E06B4A3}">
      <text>
        <r>
          <rPr>
            <sz val="9"/>
            <color indexed="81"/>
            <rFont val="Tahoma"/>
            <family val="2"/>
          </rPr>
          <t>Impact From Quality:
$34MM</t>
        </r>
      </text>
    </comment>
    <comment ref="KN7" authorId="0" shapeId="0" xr:uid="{FE3ED7E7-1302-49F9-9791-F9B306D8733C}">
      <text>
        <r>
          <rPr>
            <sz val="9"/>
            <color indexed="81"/>
            <rFont val="Tahoma"/>
            <family val="2"/>
          </rPr>
          <t>Impact From Quality:
$40MM</t>
        </r>
      </text>
    </comment>
    <comment ref="LJ7" authorId="1" shapeId="0" xr:uid="{70E8FCF4-B116-435F-99C1-7FB8E884C1B7}">
      <text>
        <r>
          <rPr>
            <b/>
            <sz val="9"/>
            <color indexed="81"/>
            <rFont val="Tahoma"/>
            <family val="2"/>
          </rPr>
          <t>Salmon, Robert H.:</t>
        </r>
        <r>
          <rPr>
            <sz val="9"/>
            <color indexed="81"/>
            <rFont val="Tahoma"/>
            <family val="2"/>
          </rPr>
          <t xml:space="preserve">
excludes $22m severence </t>
        </r>
      </text>
    </comment>
    <comment ref="LK7" authorId="1" shapeId="0" xr:uid="{972B1DBD-F7D6-487E-835E-11889083E44F}">
      <text>
        <r>
          <rPr>
            <b/>
            <sz val="9"/>
            <color indexed="81"/>
            <rFont val="Tahoma"/>
            <family val="2"/>
          </rPr>
          <t>Salmon, Robert H.:</t>
        </r>
        <r>
          <rPr>
            <sz val="9"/>
            <color indexed="81"/>
            <rFont val="Tahoma"/>
            <family val="2"/>
          </rPr>
          <t xml:space="preserve">
excludes $31m employee separation costs</t>
        </r>
      </text>
    </comment>
    <comment ref="B8" authorId="2" shapeId="0" xr:uid="{D476D45A-1F4A-4154-9B84-6F70F76E437A}">
      <text>
        <r>
          <rPr>
            <sz val="9"/>
            <color indexed="81"/>
            <rFont val="Tahoma"/>
            <family val="2"/>
          </rPr>
          <t>Prior to 4Q21, it was called as "Materials, supplies and other".</t>
        </r>
      </text>
    </comment>
    <comment ref="BO8" authorId="2" shapeId="0" xr:uid="{A1072F07-6E44-4917-92EB-AC2B298FA188}">
      <text>
        <r>
          <rPr>
            <sz val="9"/>
            <color indexed="81"/>
            <rFont val="Tahoma"/>
            <family val="2"/>
          </rPr>
          <t>Prior to 4Q21, it was called as "Materials, supplies and other".</t>
        </r>
      </text>
    </comment>
    <comment ref="BV8" authorId="2" shapeId="0" xr:uid="{159723E7-CEA2-428B-88A4-710BE6BD239E}">
      <text>
        <r>
          <rPr>
            <sz val="9"/>
            <color indexed="81"/>
            <rFont val="Tahoma"/>
            <family val="2"/>
          </rPr>
          <t>Prior to 4Q21, it was called as "Materials, supplies and other".</t>
        </r>
      </text>
    </comment>
    <comment ref="CC8" authorId="2" shapeId="0" xr:uid="{89A43AC4-7E3B-46AC-9CCB-B4D91700BA64}">
      <text>
        <r>
          <rPr>
            <sz val="9"/>
            <color indexed="81"/>
            <rFont val="Tahoma"/>
            <family val="2"/>
          </rPr>
          <t>Prior to 4Q21, it was called as "Materials, supplies and other".</t>
        </r>
      </text>
    </comment>
    <comment ref="CJ8" authorId="2" shapeId="0" xr:uid="{56FD8BE3-9495-412E-9CB0-90CE7EF75C5A}">
      <text>
        <r>
          <rPr>
            <sz val="9"/>
            <color indexed="81"/>
            <rFont val="Tahoma"/>
            <family val="2"/>
          </rPr>
          <t>Prior to 4Q21, it was called as "Materials, supplies and other".</t>
        </r>
      </text>
    </comment>
    <comment ref="CQ8" authorId="2" shapeId="0" xr:uid="{D59472CB-B48A-42D0-A16E-501A39243FF0}">
      <text>
        <r>
          <rPr>
            <sz val="9"/>
            <color indexed="81"/>
            <rFont val="Tahoma"/>
            <family val="2"/>
          </rPr>
          <t>Prior to 4Q21, it was called as "Materials, supplies and other".</t>
        </r>
      </text>
    </comment>
    <comment ref="CX8" authorId="2" shapeId="0" xr:uid="{6B6EDEE6-1E62-40BA-8141-114CB71CDFC1}">
      <text>
        <r>
          <rPr>
            <sz val="9"/>
            <color indexed="81"/>
            <rFont val="Tahoma"/>
            <family val="2"/>
          </rPr>
          <t>Prior to 4Q21, it was called as "Materials, supplies and other".</t>
        </r>
      </text>
    </comment>
    <comment ref="DE8" authorId="2" shapeId="0" xr:uid="{ABEDEC51-43DF-4EEE-9714-0F604A067CC6}">
      <text>
        <r>
          <rPr>
            <sz val="9"/>
            <color indexed="81"/>
            <rFont val="Tahoma"/>
            <family val="2"/>
          </rPr>
          <t>Prior to 4Q21, it was called as "Materials, supplies and other".</t>
        </r>
      </text>
    </comment>
    <comment ref="DL8" authorId="2" shapeId="0" xr:uid="{7FBF7549-6BC8-45DA-AF20-E9FB903CD2D9}">
      <text>
        <r>
          <rPr>
            <sz val="9"/>
            <color indexed="81"/>
            <rFont val="Tahoma"/>
            <family val="2"/>
          </rPr>
          <t>Prior to 4Q21, it was called as "Materials, supplies and other".</t>
        </r>
      </text>
    </comment>
    <comment ref="DS8" authorId="2" shapeId="0" xr:uid="{3271F647-67E8-4855-8431-5EBFADA1F6FD}">
      <text>
        <r>
          <rPr>
            <sz val="9"/>
            <color indexed="81"/>
            <rFont val="Tahoma"/>
            <family val="2"/>
          </rPr>
          <t>Prior to 4Q21, it was called as "Materials, supplies and other".</t>
        </r>
      </text>
    </comment>
    <comment ref="DZ8" authorId="2" shapeId="0" xr:uid="{BF456C59-7D77-4E7E-995B-64E60FE7873F}">
      <text>
        <r>
          <rPr>
            <sz val="9"/>
            <color indexed="81"/>
            <rFont val="Tahoma"/>
            <family val="2"/>
          </rPr>
          <t>Prior to 4Q21, it was called as "Materials, supplies and other".</t>
        </r>
      </text>
    </comment>
    <comment ref="EG8" authorId="2" shapeId="0" xr:uid="{E234021F-0FE2-4F13-BC24-A6E6B3468F6C}">
      <text>
        <r>
          <rPr>
            <sz val="9"/>
            <color indexed="81"/>
            <rFont val="Tahoma"/>
            <family val="2"/>
          </rPr>
          <t>Prior to 4Q21, it was called as "Materials, supplies and other".</t>
        </r>
      </text>
    </comment>
    <comment ref="EN8" authorId="2" shapeId="0" xr:uid="{05E1424C-D413-4184-B937-CC3BA1B7F978}">
      <text>
        <r>
          <rPr>
            <sz val="9"/>
            <color indexed="81"/>
            <rFont val="Tahoma"/>
            <family val="2"/>
          </rPr>
          <t>Prior to 4Q21, it was called as "Materials, supplies and other".</t>
        </r>
      </text>
    </comment>
    <comment ref="EU8" authorId="2" shapeId="0" xr:uid="{80F79A1B-CAEA-4445-A65A-D1D5D292AD39}">
      <text>
        <r>
          <rPr>
            <sz val="9"/>
            <color indexed="81"/>
            <rFont val="Tahoma"/>
            <family val="2"/>
          </rPr>
          <t>Prior to 4Q21, it was called as "Materials, supplies and other".</t>
        </r>
      </text>
    </comment>
    <comment ref="FB8" authorId="2" shapeId="0" xr:uid="{C939F267-A8E7-4B92-95DE-BB2F3367574F}">
      <text>
        <r>
          <rPr>
            <sz val="9"/>
            <color indexed="81"/>
            <rFont val="Tahoma"/>
            <family val="2"/>
          </rPr>
          <t>Prior to 4Q21, it was called as "Materials, supplies and other".</t>
        </r>
      </text>
    </comment>
    <comment ref="FI8" authorId="2" shapeId="0" xr:uid="{363A7917-2247-4807-93ED-41415322F348}">
      <text>
        <r>
          <rPr>
            <sz val="9"/>
            <color indexed="81"/>
            <rFont val="Tahoma"/>
            <family val="2"/>
          </rPr>
          <t>Prior to 4Q21, it was called as "Materials, supplies and other".</t>
        </r>
      </text>
    </comment>
    <comment ref="FP8" authorId="2" shapeId="0" xr:uid="{E9838FF8-E432-4586-A333-EE85538CE24F}">
      <text>
        <r>
          <rPr>
            <sz val="9"/>
            <color indexed="81"/>
            <rFont val="Tahoma"/>
            <family val="2"/>
          </rPr>
          <t>Prior to 4Q21, it was called as "Materials, supplies and other".</t>
        </r>
      </text>
    </comment>
    <comment ref="FW8" authorId="2" shapeId="0" xr:uid="{A2025F46-0336-4A97-90EE-523389028DC4}">
      <text>
        <r>
          <rPr>
            <sz val="9"/>
            <color indexed="81"/>
            <rFont val="Tahoma"/>
            <family val="2"/>
          </rPr>
          <t>Prior to 4Q21, it was called as "Materials, supplies and other".</t>
        </r>
      </text>
    </comment>
    <comment ref="GD8" authorId="2" shapeId="0" xr:uid="{13105FB4-B571-46B7-BC7B-6D8DDB71B615}">
      <text>
        <r>
          <rPr>
            <sz val="9"/>
            <color indexed="81"/>
            <rFont val="Tahoma"/>
            <family val="2"/>
          </rPr>
          <t>Prior to 4Q21, it was called as "Materials, supplies and other".</t>
        </r>
      </text>
    </comment>
    <comment ref="GK8" authorId="2" shapeId="0" xr:uid="{2F56DF8D-5580-4B50-B963-3DACEBDFB03D}">
      <text>
        <r>
          <rPr>
            <sz val="9"/>
            <color indexed="81"/>
            <rFont val="Tahoma"/>
            <family val="2"/>
          </rPr>
          <t>Prior to 4Q21, it was called as "Materials, supplies and other".</t>
        </r>
      </text>
    </comment>
    <comment ref="GR8" authorId="2" shapeId="0" xr:uid="{F7569D97-E2CF-454A-9712-642F9BCFF0BD}">
      <text>
        <r>
          <rPr>
            <sz val="9"/>
            <color indexed="81"/>
            <rFont val="Tahoma"/>
            <family val="2"/>
          </rPr>
          <t>Prior to 4Q21, it was called as "Materials, supplies and other".</t>
        </r>
      </text>
    </comment>
    <comment ref="GY8" authorId="2" shapeId="0" xr:uid="{9864A45D-8AFB-43F0-B741-C59C70CA5C7D}">
      <text>
        <r>
          <rPr>
            <sz val="9"/>
            <color indexed="81"/>
            <rFont val="Tahoma"/>
            <family val="2"/>
          </rPr>
          <t>Prior to 4Q21, it was called as "Materials, supplies and other".</t>
        </r>
      </text>
    </comment>
    <comment ref="HF8" authorId="2" shapeId="0" xr:uid="{46B66E3E-9961-440F-B143-0068486A13EB}">
      <text>
        <r>
          <rPr>
            <sz val="9"/>
            <color indexed="81"/>
            <rFont val="Tahoma"/>
            <family val="2"/>
          </rPr>
          <t>Prior to 4Q21, it was called as "Materials, supplies and other".</t>
        </r>
      </text>
    </comment>
    <comment ref="HM8" authorId="2" shapeId="0" xr:uid="{FC916323-C1DC-4C0E-B819-29CB1D6F7E82}">
      <text>
        <r>
          <rPr>
            <sz val="9"/>
            <color indexed="81"/>
            <rFont val="Tahoma"/>
            <family val="2"/>
          </rPr>
          <t>Prior to 4Q21, it was called as "Materials, supplies and other".</t>
        </r>
      </text>
    </comment>
    <comment ref="HT8" authorId="2" shapeId="0" xr:uid="{2ED5527B-9842-480C-B64A-53CA75E85541}">
      <text>
        <r>
          <rPr>
            <sz val="9"/>
            <color indexed="81"/>
            <rFont val="Tahoma"/>
            <family val="2"/>
          </rPr>
          <t>Prior to 4Q21, it was called as "Materials, supplies and other".</t>
        </r>
      </text>
    </comment>
    <comment ref="IA8" authorId="2" shapeId="0" xr:uid="{017C0833-D57C-4AE0-853F-BEA3D1A74C38}">
      <text>
        <r>
          <rPr>
            <sz val="9"/>
            <color indexed="81"/>
            <rFont val="Tahoma"/>
            <family val="2"/>
          </rPr>
          <t>Prior to 4Q21, it was called as "Materials, supplies and other".</t>
        </r>
      </text>
    </comment>
    <comment ref="IH8" authorId="2" shapeId="0" xr:uid="{508D9043-6445-4413-80E2-9866F4A44535}">
      <text>
        <r>
          <rPr>
            <sz val="9"/>
            <color indexed="81"/>
            <rFont val="Tahoma"/>
            <family val="2"/>
          </rPr>
          <t>Prior to 4Q21, it was called as "Materials, supplies and other".</t>
        </r>
      </text>
    </comment>
    <comment ref="IO8" authorId="2" shapeId="0" xr:uid="{DF3B5476-80AE-4333-B10A-83F8302462D4}">
      <text>
        <r>
          <rPr>
            <sz val="9"/>
            <color indexed="81"/>
            <rFont val="Tahoma"/>
            <family val="2"/>
          </rPr>
          <t>Prior to 4Q21, it was called as "Materials, supplies and other".</t>
        </r>
      </text>
    </comment>
    <comment ref="IV8" authorId="2" shapeId="0" xr:uid="{658025E7-D23D-4078-B934-1F14B63CD16C}">
      <text>
        <r>
          <rPr>
            <sz val="9"/>
            <color indexed="81"/>
            <rFont val="Tahoma"/>
            <family val="2"/>
          </rPr>
          <t>Prior to 4Q21, it was called as "Materials, supplies and other".</t>
        </r>
      </text>
    </comment>
    <comment ref="JC8" authorId="2" shapeId="0" xr:uid="{4340554A-72B9-4957-AF40-EA4BA312AEF7}">
      <text>
        <r>
          <rPr>
            <sz val="9"/>
            <color indexed="81"/>
            <rFont val="Tahoma"/>
            <family val="2"/>
          </rPr>
          <t>Prior to 4Q21, it was called as "Materials, supplies and other".</t>
        </r>
      </text>
    </comment>
    <comment ref="JJ8" authorId="2" shapeId="0" xr:uid="{F090037D-27F8-486E-A435-E4DB3BCA5D93}">
      <text>
        <r>
          <rPr>
            <sz val="9"/>
            <color indexed="81"/>
            <rFont val="Tahoma"/>
            <family val="2"/>
          </rPr>
          <t>Prior to 4Q21, it was called as "Materials, supplies and other".</t>
        </r>
      </text>
    </comment>
    <comment ref="JQ8" authorId="2" shapeId="0" xr:uid="{27A3B1BA-EAFA-468F-87F2-BB03D3515889}">
      <text>
        <r>
          <rPr>
            <sz val="9"/>
            <color indexed="81"/>
            <rFont val="Tahoma"/>
            <family val="2"/>
          </rPr>
          <t>Prior to 4Q21, it was called as "Materials, supplies and other".</t>
        </r>
      </text>
    </comment>
    <comment ref="JX8" authorId="2" shapeId="0" xr:uid="{52C0B9BD-8CC3-47A5-9BD3-692EC9B86760}">
      <text>
        <r>
          <rPr>
            <sz val="9"/>
            <color indexed="81"/>
            <rFont val="Tahoma"/>
            <family val="2"/>
          </rPr>
          <t>Prior to 4Q21, it was called as "Materials, supplies and other".</t>
        </r>
      </text>
    </comment>
    <comment ref="KE8" authorId="2" shapeId="0" xr:uid="{ED392BDC-DF23-41DC-948F-DD5676F72A53}">
      <text>
        <r>
          <rPr>
            <sz val="9"/>
            <color indexed="81"/>
            <rFont val="Tahoma"/>
            <family val="2"/>
          </rPr>
          <t>Prior to 4Q21, it was called as "Materials, supplies and other".</t>
        </r>
      </text>
    </comment>
    <comment ref="KL8" authorId="2" shapeId="0" xr:uid="{6C266C0E-6801-4084-9095-DB721EF0E5CE}">
      <text>
        <r>
          <rPr>
            <sz val="9"/>
            <color indexed="81"/>
            <rFont val="Tahoma"/>
            <family val="2"/>
          </rPr>
          <t>Prior to 4Q21, it was called as "Materials, supplies and other".</t>
        </r>
      </text>
    </comment>
    <comment ref="KM8" authorId="0" shapeId="0" xr:uid="{9269B283-0C9E-4CFF-9DFD-C30CAAFEC7EB}">
      <text>
        <r>
          <rPr>
            <sz val="9"/>
            <color indexed="81"/>
            <rFont val="Tahoma"/>
            <family val="2"/>
          </rPr>
          <t>Impact From Quality:
$139MM</t>
        </r>
      </text>
    </comment>
    <comment ref="KN8" authorId="0" shapeId="0" xr:uid="{2DF7C3B4-F7E9-4D5E-B67B-F0DDB911BBAF}">
      <text>
        <r>
          <rPr>
            <sz val="9"/>
            <color indexed="81"/>
            <rFont val="Tahoma"/>
            <family val="2"/>
          </rPr>
          <t>Impact From Quality:
$141MM</t>
        </r>
      </text>
    </comment>
    <comment ref="KS8" authorId="2" shapeId="0" xr:uid="{0BDC5FB6-08CD-434A-9E40-13ACF75D72A2}">
      <text>
        <r>
          <rPr>
            <sz val="9"/>
            <color indexed="81"/>
            <rFont val="Tahoma"/>
            <family val="2"/>
          </rPr>
          <t>Prior to 4Q21, it was called as "Materials, supplies and other".</t>
        </r>
      </text>
    </comment>
    <comment ref="KT8" authorId="1" shapeId="0" xr:uid="{8A4ACE29-C195-4DB2-918B-4EFF30397438}">
      <text>
        <r>
          <rPr>
            <b/>
            <sz val="9"/>
            <color indexed="81"/>
            <rFont val="Tahoma"/>
            <family val="2"/>
          </rPr>
          <t>Salmon, Robert H.:</t>
        </r>
        <r>
          <rPr>
            <sz val="9"/>
            <color indexed="81"/>
            <rFont val="Tahoma"/>
            <family val="2"/>
          </rPr>
          <t xml:space="preserve">
includes $46m insurance recovery</t>
        </r>
      </text>
    </comment>
    <comment ref="KZ8" authorId="2" shapeId="0" xr:uid="{25FB0BAA-E803-4074-9FB3-C883ECB43AF7}">
      <text>
        <r>
          <rPr>
            <sz val="9"/>
            <color indexed="81"/>
            <rFont val="Tahoma"/>
            <family val="2"/>
          </rPr>
          <t>Prior to 4Q21, it was called as "Materials, supplies and other".</t>
        </r>
      </text>
    </comment>
    <comment ref="LC8" authorId="1" shapeId="0" xr:uid="{D3109F15-26DC-41CD-A7E5-0AB027BF59A8}">
      <text>
        <r>
          <rPr>
            <b/>
            <sz val="9"/>
            <color indexed="81"/>
            <rFont val="Tahoma"/>
            <family val="2"/>
          </rPr>
          <t>Salmon, Robert H.:</t>
        </r>
        <r>
          <rPr>
            <sz val="9"/>
            <color indexed="81"/>
            <rFont val="Tahoma"/>
            <family val="2"/>
          </rPr>
          <t xml:space="preserve">
A decrease of $26 million was due to lower casualty-related costs and favorable inventory adjustments</t>
        </r>
      </text>
    </comment>
    <comment ref="LG8" authorId="2" shapeId="0" xr:uid="{137E19E5-36F4-4EB8-AAC6-3901620FD2F4}">
      <text>
        <r>
          <rPr>
            <sz val="9"/>
            <color indexed="81"/>
            <rFont val="Tahoma"/>
            <family val="2"/>
          </rPr>
          <t>Prior to 4Q21, it was called as "Materials, supplies and other".</t>
        </r>
      </text>
    </comment>
    <comment ref="LH8" authorId="0" shapeId="0" xr:uid="{0008C28C-D5E7-472E-941A-F00A37FD4109}">
      <text>
        <r>
          <rPr>
            <sz val="9"/>
            <color indexed="81"/>
            <rFont val="Tahoma"/>
            <family val="2"/>
          </rPr>
          <t>not a lot of cost going away in 1Q, an opportunity but not in 1Q</t>
        </r>
      </text>
    </comment>
    <comment ref="LI8" authorId="0" shapeId="0" xr:uid="{1E790A75-BC7A-43F9-A6CF-1A3FFFDDBDB8}">
      <text>
        <r>
          <rPr>
            <sz val="9"/>
            <color indexed="81"/>
            <rFont val="Tahoma"/>
            <family val="2"/>
          </rPr>
          <t xml:space="preserve">~$20m tailwind in quarter non-recurring
</t>
        </r>
      </text>
    </comment>
    <comment ref="LJ8" authorId="1" shapeId="0" xr:uid="{8DF37916-3199-4ED2-96AE-D16034CBBD4C}">
      <text>
        <r>
          <rPr>
            <b/>
            <sz val="9"/>
            <color indexed="81"/>
            <rFont val="Tahoma"/>
            <family val="2"/>
          </rPr>
          <t>Salmon, Robert H.:</t>
        </r>
        <r>
          <rPr>
            <sz val="9"/>
            <color indexed="81"/>
            <rFont val="Tahoma"/>
            <family val="2"/>
          </rPr>
          <t xml:space="preserve">
excludes $13m tech contract restructuring</t>
        </r>
      </text>
    </comment>
    <comment ref="LK8" authorId="0" shapeId="0" xr:uid="{AE56917F-C567-4993-93D2-79CBA5B2A9B2}">
      <text>
        <r>
          <rPr>
            <sz val="9"/>
            <color indexed="81"/>
            <rFont val="Tahoma"/>
            <family val="2"/>
          </rPr>
          <t xml:space="preserve">$21m tech impairment costs 
$10m for coal derailment - guide was seq flat, G&amp;A
30m/month ramps down, offset by seasonality
$5-10m advisory fee shuld linger (we're excl)
</t>
        </r>
      </text>
    </comment>
    <comment ref="LN8" authorId="2" shapeId="0" xr:uid="{18E4CC9A-4151-4E49-9EF3-5A4F8F4A2477}">
      <text>
        <r>
          <rPr>
            <sz val="9"/>
            <color indexed="81"/>
            <rFont val="Tahoma"/>
            <family val="2"/>
          </rPr>
          <t>Prior to 4Q21, it was called as "Materials, supplies and other".</t>
        </r>
      </text>
    </comment>
    <comment ref="LU8" authorId="2" shapeId="0" xr:uid="{1EC44261-5EAA-4F57-A696-7DCB838F48D3}">
      <text>
        <r>
          <rPr>
            <sz val="9"/>
            <color indexed="81"/>
            <rFont val="Tahoma"/>
            <family val="2"/>
          </rPr>
          <t>Prior to 4Q21, it was called as "Materials, supplies and other".</t>
        </r>
      </text>
    </comment>
    <comment ref="MB8" authorId="2" shapeId="0" xr:uid="{473CE522-1434-4CE3-82DE-1F3714460B89}">
      <text>
        <r>
          <rPr>
            <sz val="9"/>
            <color indexed="81"/>
            <rFont val="Tahoma"/>
            <family val="2"/>
          </rPr>
          <t>Prior to 4Q21, it was called as "Materials, supplies and other".</t>
        </r>
      </text>
    </comment>
    <comment ref="LE9" authorId="0" shapeId="0" xr:uid="{2299C4D9-F648-4F7E-9FE0-2FA9A78BE5E0}">
      <text>
        <r>
          <rPr>
            <b/>
            <sz val="9"/>
            <color indexed="81"/>
            <rFont val="Tahoma"/>
            <family val="2"/>
          </rPr>
          <t>40-50MM higher than FY23</t>
        </r>
      </text>
    </comment>
    <comment ref="LK9" authorId="1" shapeId="0" xr:uid="{4B8AAFBB-2A16-41E1-B513-F7CE8F817218}">
      <text>
        <r>
          <rPr>
            <b/>
            <sz val="9"/>
            <color indexed="81"/>
            <rFont val="Tahoma"/>
            <family val="2"/>
          </rPr>
          <t>Salmon, Robert H.:</t>
        </r>
        <r>
          <rPr>
            <sz val="9"/>
            <color indexed="81"/>
            <rFont val="Tahoma"/>
            <family val="2"/>
          </rPr>
          <t xml:space="preserve">
decreased $18m YoY primairly due to asset retirements and impairments</t>
        </r>
      </text>
    </comment>
    <comment ref="KM10" authorId="0" shapeId="0" xr:uid="{F8FABB57-1835-47C0-9B20-FD16508DE7C2}">
      <text>
        <r>
          <rPr>
            <sz val="9"/>
            <color indexed="81"/>
            <rFont val="Tahoma"/>
            <family val="2"/>
          </rPr>
          <t xml:space="preserve">Impact From Quality:
$28MM
</t>
        </r>
      </text>
    </comment>
    <comment ref="KN10" authorId="0" shapeId="0" xr:uid="{FB02E464-379B-48B6-AB26-ABD677870AD1}">
      <text>
        <r>
          <rPr>
            <sz val="9"/>
            <color indexed="81"/>
            <rFont val="Tahoma"/>
            <family val="2"/>
          </rPr>
          <t>Impact From Quality:
$42MM</t>
        </r>
      </text>
    </comment>
    <comment ref="KN13" authorId="3" shapeId="0" xr:uid="{6A1F130F-F012-47B8-B4FF-EB47E3B32215}">
      <text>
        <r>
          <rPr>
            <sz val="9"/>
            <color indexed="81"/>
            <rFont val="Tahoma"/>
            <family val="2"/>
          </rPr>
          <t>adj from $122M gain from property sales recognized from the 2021
agreement with the Commonwealth of Virginia</t>
        </r>
      </text>
    </comment>
    <comment ref="LJ13" authorId="1" shapeId="0" xr:uid="{B5ACB938-0A58-4A96-8BB8-B21E1DBE612B}">
      <text>
        <r>
          <rPr>
            <b/>
            <sz val="9"/>
            <color indexed="81"/>
            <rFont val="Tahoma"/>
            <family val="2"/>
          </rPr>
          <t>Salmon, Robert H.:</t>
        </r>
        <r>
          <rPr>
            <sz val="9"/>
            <color indexed="81"/>
            <rFont val="Tahoma"/>
            <family val="2"/>
          </rPr>
          <t xml:space="preserve">
excludes $164m goodwill impairment</t>
        </r>
      </text>
    </comment>
    <comment ref="B20" authorId="2" shapeId="0" xr:uid="{B050A141-A95E-4D59-8B4E-9E98A9416884}">
      <text>
        <r>
          <rPr>
            <sz val="9"/>
            <color indexed="81"/>
            <rFont val="Tahoma"/>
            <family val="2"/>
          </rPr>
          <t>Prior to 4Q21, it was called as "Materials, supplies and other".</t>
        </r>
      </text>
    </comment>
    <comment ref="BO20" authorId="2" shapeId="0" xr:uid="{0EE16372-2DE4-4357-AECE-71923FEEC184}">
      <text>
        <r>
          <rPr>
            <sz val="9"/>
            <color indexed="81"/>
            <rFont val="Tahoma"/>
            <family val="2"/>
          </rPr>
          <t>Prior to 4Q21, it was called as "Materials, supplies and other".</t>
        </r>
      </text>
    </comment>
    <comment ref="BV20" authorId="2" shapeId="0" xr:uid="{E32C3D3E-FA1F-42F7-A317-647D9ED71D8B}">
      <text>
        <r>
          <rPr>
            <sz val="9"/>
            <color indexed="81"/>
            <rFont val="Tahoma"/>
            <family val="2"/>
          </rPr>
          <t>Prior to 4Q21, it was called as "Materials, supplies and other".</t>
        </r>
      </text>
    </comment>
    <comment ref="CC20" authorId="2" shapeId="0" xr:uid="{9CF4C4A0-BCDF-45DA-9DD6-29EBB9EFFAFB}">
      <text>
        <r>
          <rPr>
            <sz val="9"/>
            <color indexed="81"/>
            <rFont val="Tahoma"/>
            <family val="2"/>
          </rPr>
          <t>Prior to 4Q21, it was called as "Materials, supplies and other".</t>
        </r>
      </text>
    </comment>
    <comment ref="CJ20" authorId="2" shapeId="0" xr:uid="{DB3BDC8D-E093-4CF1-93F1-59929E4D762A}">
      <text>
        <r>
          <rPr>
            <sz val="9"/>
            <color indexed="81"/>
            <rFont val="Tahoma"/>
            <family val="2"/>
          </rPr>
          <t>Prior to 4Q21, it was called as "Materials, supplies and other".</t>
        </r>
      </text>
    </comment>
    <comment ref="CQ20" authorId="2" shapeId="0" xr:uid="{B955D4F7-B1BA-4820-98A9-C9C107529297}">
      <text>
        <r>
          <rPr>
            <sz val="9"/>
            <color indexed="81"/>
            <rFont val="Tahoma"/>
            <family val="2"/>
          </rPr>
          <t>Prior to 4Q21, it was called as "Materials, supplies and other".</t>
        </r>
      </text>
    </comment>
    <comment ref="CX20" authorId="2" shapeId="0" xr:uid="{AE616E0E-354A-4658-BBF1-252EA0B8E259}">
      <text>
        <r>
          <rPr>
            <sz val="9"/>
            <color indexed="81"/>
            <rFont val="Tahoma"/>
            <family val="2"/>
          </rPr>
          <t>Prior to 4Q21, it was called as "Materials, supplies and other".</t>
        </r>
      </text>
    </comment>
    <comment ref="DE20" authorId="2" shapeId="0" xr:uid="{AB0BD903-A977-484D-BC06-B0A0DCAC914F}">
      <text>
        <r>
          <rPr>
            <sz val="9"/>
            <color indexed="81"/>
            <rFont val="Tahoma"/>
            <family val="2"/>
          </rPr>
          <t>Prior to 4Q21, it was called as "Materials, supplies and other".</t>
        </r>
      </text>
    </comment>
    <comment ref="DL20" authorId="2" shapeId="0" xr:uid="{4F4DA334-572A-49EC-9AAB-2F72A98B9F99}">
      <text>
        <r>
          <rPr>
            <sz val="9"/>
            <color indexed="81"/>
            <rFont val="Tahoma"/>
            <family val="2"/>
          </rPr>
          <t>Prior to 4Q21, it was called as "Materials, supplies and other".</t>
        </r>
      </text>
    </comment>
    <comment ref="DS20" authorId="2" shapeId="0" xr:uid="{AD8D611B-8919-4B56-9B36-59D87CC25AB1}">
      <text>
        <r>
          <rPr>
            <sz val="9"/>
            <color indexed="81"/>
            <rFont val="Tahoma"/>
            <family val="2"/>
          </rPr>
          <t>Prior to 4Q21, it was called as "Materials, supplies and other".</t>
        </r>
      </text>
    </comment>
    <comment ref="DZ20" authorId="2" shapeId="0" xr:uid="{DEE57170-BF83-4260-84E0-985AD56842E5}">
      <text>
        <r>
          <rPr>
            <sz val="9"/>
            <color indexed="81"/>
            <rFont val="Tahoma"/>
            <family val="2"/>
          </rPr>
          <t>Prior to 4Q21, it was called as "Materials, supplies and other".</t>
        </r>
      </text>
    </comment>
    <comment ref="EG20" authorId="2" shapeId="0" xr:uid="{FBC20CCA-9787-4CE0-ADFF-9B5CDDCFB748}">
      <text>
        <r>
          <rPr>
            <sz val="9"/>
            <color indexed="81"/>
            <rFont val="Tahoma"/>
            <family val="2"/>
          </rPr>
          <t>Prior to 4Q21, it was called as "Materials, supplies and other".</t>
        </r>
      </text>
    </comment>
    <comment ref="EN20" authorId="2" shapeId="0" xr:uid="{E9385AEB-7BCA-412E-A1A4-1EB55E71820B}">
      <text>
        <r>
          <rPr>
            <sz val="9"/>
            <color indexed="81"/>
            <rFont val="Tahoma"/>
            <family val="2"/>
          </rPr>
          <t>Prior to 4Q21, it was called as "Materials, supplies and other".</t>
        </r>
      </text>
    </comment>
    <comment ref="EU20" authorId="2" shapeId="0" xr:uid="{9A458591-8708-4DE4-8B38-2C4514DE2A5B}">
      <text>
        <r>
          <rPr>
            <sz val="9"/>
            <color indexed="81"/>
            <rFont val="Tahoma"/>
            <family val="2"/>
          </rPr>
          <t>Prior to 4Q21, it was called as "Materials, supplies and other".</t>
        </r>
      </text>
    </comment>
    <comment ref="FB20" authorId="2" shapeId="0" xr:uid="{A406A63D-9CDE-4146-8F8C-CD6F3A596222}">
      <text>
        <r>
          <rPr>
            <sz val="9"/>
            <color indexed="81"/>
            <rFont val="Tahoma"/>
            <family val="2"/>
          </rPr>
          <t>Prior to 4Q21, it was called as "Materials, supplies and other".</t>
        </r>
      </text>
    </comment>
    <comment ref="FI20" authorId="2" shapeId="0" xr:uid="{D9F8FBB2-E0F5-4EFE-BD30-C35C724ED6E9}">
      <text>
        <r>
          <rPr>
            <sz val="9"/>
            <color indexed="81"/>
            <rFont val="Tahoma"/>
            <family val="2"/>
          </rPr>
          <t>Prior to 4Q21, it was called as "Materials, supplies and other".</t>
        </r>
      </text>
    </comment>
    <comment ref="FP20" authorId="2" shapeId="0" xr:uid="{A79E8213-4AAD-4278-AFB2-5AAE3C5F646E}">
      <text>
        <r>
          <rPr>
            <sz val="9"/>
            <color indexed="81"/>
            <rFont val="Tahoma"/>
            <family val="2"/>
          </rPr>
          <t>Prior to 4Q21, it was called as "Materials, supplies and other".</t>
        </r>
      </text>
    </comment>
    <comment ref="FW20" authorId="2" shapeId="0" xr:uid="{0AC8E59C-5B7E-46B7-9D35-0D51AE91AB94}">
      <text>
        <r>
          <rPr>
            <sz val="9"/>
            <color indexed="81"/>
            <rFont val="Tahoma"/>
            <family val="2"/>
          </rPr>
          <t>Prior to 4Q21, it was called as "Materials, supplies and other".</t>
        </r>
      </text>
    </comment>
    <comment ref="GD20" authorId="2" shapeId="0" xr:uid="{5424ABB6-BA33-4391-AFA6-2AE8D45F8EF8}">
      <text>
        <r>
          <rPr>
            <sz val="9"/>
            <color indexed="81"/>
            <rFont val="Tahoma"/>
            <family val="2"/>
          </rPr>
          <t>Prior to 4Q21, it was called as "Materials, supplies and other".</t>
        </r>
      </text>
    </comment>
    <comment ref="GK20" authorId="2" shapeId="0" xr:uid="{A1F3401D-7337-4D38-93A0-9579AC27A9DE}">
      <text>
        <r>
          <rPr>
            <sz val="9"/>
            <color indexed="81"/>
            <rFont val="Tahoma"/>
            <family val="2"/>
          </rPr>
          <t>Prior to 4Q21, it was called as "Materials, supplies and other".</t>
        </r>
      </text>
    </comment>
    <comment ref="GR20" authorId="2" shapeId="0" xr:uid="{64E75707-93E5-47A4-B55B-B2D987B867C9}">
      <text>
        <r>
          <rPr>
            <sz val="9"/>
            <color indexed="81"/>
            <rFont val="Tahoma"/>
            <family val="2"/>
          </rPr>
          <t>Prior to 4Q21, it was called as "Materials, supplies and other".</t>
        </r>
      </text>
    </comment>
    <comment ref="GY20" authorId="2" shapeId="0" xr:uid="{7D56E2DA-179E-47B6-9573-FF988C2A7663}">
      <text>
        <r>
          <rPr>
            <sz val="9"/>
            <color indexed="81"/>
            <rFont val="Tahoma"/>
            <family val="2"/>
          </rPr>
          <t>Prior to 4Q21, it was called as "Materials, supplies and other".</t>
        </r>
      </text>
    </comment>
    <comment ref="HF20" authorId="2" shapeId="0" xr:uid="{AC18A508-15A8-4358-892B-E5EF3199FC2C}">
      <text>
        <r>
          <rPr>
            <sz val="9"/>
            <color indexed="81"/>
            <rFont val="Tahoma"/>
            <family val="2"/>
          </rPr>
          <t>Prior to 4Q21, it was called as "Materials, supplies and other".</t>
        </r>
      </text>
    </comment>
    <comment ref="HM20" authorId="2" shapeId="0" xr:uid="{ACC1BC4B-7ECF-4710-BF68-3F93EFDAD4A2}">
      <text>
        <r>
          <rPr>
            <sz val="9"/>
            <color indexed="81"/>
            <rFont val="Tahoma"/>
            <family val="2"/>
          </rPr>
          <t>Prior to 4Q21, it was called as "Materials, supplies and other".</t>
        </r>
      </text>
    </comment>
    <comment ref="HT20" authorId="2" shapeId="0" xr:uid="{A957880D-FC0B-43CA-AF5A-586F0EE64627}">
      <text>
        <r>
          <rPr>
            <sz val="9"/>
            <color indexed="81"/>
            <rFont val="Tahoma"/>
            <family val="2"/>
          </rPr>
          <t>Prior to 4Q21, it was called as "Materials, supplies and other".</t>
        </r>
      </text>
    </comment>
    <comment ref="IA20" authorId="2" shapeId="0" xr:uid="{D278AD63-D728-4B0A-96D9-BC8732190418}">
      <text>
        <r>
          <rPr>
            <sz val="9"/>
            <color indexed="81"/>
            <rFont val="Tahoma"/>
            <family val="2"/>
          </rPr>
          <t>Prior to 4Q21, it was called as "Materials, supplies and other".</t>
        </r>
      </text>
    </comment>
    <comment ref="IH20" authorId="2" shapeId="0" xr:uid="{1C3612B8-FDE3-4B8A-986A-780F3C3CA45A}">
      <text>
        <r>
          <rPr>
            <sz val="9"/>
            <color indexed="81"/>
            <rFont val="Tahoma"/>
            <family val="2"/>
          </rPr>
          <t>Prior to 4Q21, it was called as "Materials, supplies and other".</t>
        </r>
      </text>
    </comment>
    <comment ref="IO20" authorId="2" shapeId="0" xr:uid="{B765A528-C361-4678-9D1B-E78829F1EF9D}">
      <text>
        <r>
          <rPr>
            <sz val="9"/>
            <color indexed="81"/>
            <rFont val="Tahoma"/>
            <family val="2"/>
          </rPr>
          <t>Prior to 4Q21, it was called as "Materials, supplies and other".</t>
        </r>
      </text>
    </comment>
    <comment ref="IV20" authorId="2" shapeId="0" xr:uid="{38AA56DB-3779-474D-A48B-7D63974E52C5}">
      <text>
        <r>
          <rPr>
            <sz val="9"/>
            <color indexed="81"/>
            <rFont val="Tahoma"/>
            <family val="2"/>
          </rPr>
          <t>Prior to 4Q21, it was called as "Materials, supplies and other".</t>
        </r>
      </text>
    </comment>
    <comment ref="JC20" authorId="2" shapeId="0" xr:uid="{C64A6258-2F80-4D2E-8BAF-FC22ED5D79F4}">
      <text>
        <r>
          <rPr>
            <sz val="9"/>
            <color indexed="81"/>
            <rFont val="Tahoma"/>
            <family val="2"/>
          </rPr>
          <t>Prior to 4Q21, it was called as "Materials, supplies and other".</t>
        </r>
      </text>
    </comment>
    <comment ref="JJ20" authorId="2" shapeId="0" xr:uid="{CDD7E35B-06C8-4524-8DFA-38D6D0320547}">
      <text>
        <r>
          <rPr>
            <sz val="9"/>
            <color indexed="81"/>
            <rFont val="Tahoma"/>
            <family val="2"/>
          </rPr>
          <t>Prior to 4Q21, it was called as "Materials, supplies and other".</t>
        </r>
      </text>
    </comment>
    <comment ref="JQ20" authorId="2" shapeId="0" xr:uid="{0F009B7E-7E68-4F87-805A-1C856323E6FC}">
      <text>
        <r>
          <rPr>
            <sz val="9"/>
            <color indexed="81"/>
            <rFont val="Tahoma"/>
            <family val="2"/>
          </rPr>
          <t>Prior to 4Q21, it was called as "Materials, supplies and other".</t>
        </r>
      </text>
    </comment>
    <comment ref="JX20" authorId="2" shapeId="0" xr:uid="{C5161C75-420B-4E3D-A2D5-4496EB400C52}">
      <text>
        <r>
          <rPr>
            <sz val="9"/>
            <color indexed="81"/>
            <rFont val="Tahoma"/>
            <family val="2"/>
          </rPr>
          <t>Prior to 4Q21, it was called as "Materials, supplies and other".</t>
        </r>
      </text>
    </comment>
    <comment ref="KE20" authorId="2" shapeId="0" xr:uid="{F2163D9D-2703-408A-B5FA-1B688A01C88D}">
      <text>
        <r>
          <rPr>
            <sz val="9"/>
            <color indexed="81"/>
            <rFont val="Tahoma"/>
            <family val="2"/>
          </rPr>
          <t>Prior to 4Q21, it was called as "Materials, supplies and other".</t>
        </r>
      </text>
    </comment>
    <comment ref="KL20" authorId="2" shapeId="0" xr:uid="{6A126C76-DC85-4EA3-AE99-043D3E1EE123}">
      <text>
        <r>
          <rPr>
            <sz val="9"/>
            <color indexed="81"/>
            <rFont val="Tahoma"/>
            <family val="2"/>
          </rPr>
          <t>Prior to 4Q21, it was called as "Materials, supplies and other".</t>
        </r>
      </text>
    </comment>
    <comment ref="KS20" authorId="2" shapeId="0" xr:uid="{4E5D7F0C-614D-4712-A76B-7EE90129D893}">
      <text>
        <r>
          <rPr>
            <sz val="9"/>
            <color indexed="81"/>
            <rFont val="Tahoma"/>
            <family val="2"/>
          </rPr>
          <t>Prior to 4Q21, it was called as "Materials, supplies and other".</t>
        </r>
      </text>
    </comment>
    <comment ref="KZ20" authorId="2" shapeId="0" xr:uid="{DF858706-DA34-4FAE-9516-C75683CF60BF}">
      <text>
        <r>
          <rPr>
            <sz val="9"/>
            <color indexed="81"/>
            <rFont val="Tahoma"/>
            <family val="2"/>
          </rPr>
          <t>Prior to 4Q21, it was called as "Materials, supplies and other".</t>
        </r>
      </text>
    </comment>
    <comment ref="LG20" authorId="2" shapeId="0" xr:uid="{01E09B7A-F8B0-47DC-B9FF-8B4CB42E1B6D}">
      <text>
        <r>
          <rPr>
            <sz val="9"/>
            <color indexed="81"/>
            <rFont val="Tahoma"/>
            <family val="2"/>
          </rPr>
          <t>Prior to 4Q21, it was called as "Materials, supplies and other".</t>
        </r>
      </text>
    </comment>
    <comment ref="LN20" authorId="2" shapeId="0" xr:uid="{1724EF42-C1E7-400A-A1C0-97C52D69C691}">
      <text>
        <r>
          <rPr>
            <sz val="9"/>
            <color indexed="81"/>
            <rFont val="Tahoma"/>
            <family val="2"/>
          </rPr>
          <t>Prior to 4Q21, it was called as "Materials, supplies and other".</t>
        </r>
      </text>
    </comment>
    <comment ref="LU20" authorId="2" shapeId="0" xr:uid="{132B8679-63A7-4F92-B9EA-2A05EA9E6751}">
      <text>
        <r>
          <rPr>
            <sz val="9"/>
            <color indexed="81"/>
            <rFont val="Tahoma"/>
            <family val="2"/>
          </rPr>
          <t>Prior to 4Q21, it was called as "Materials, supplies and other".</t>
        </r>
      </text>
    </comment>
    <comment ref="MB20" authorId="2" shapeId="0" xr:uid="{A8B9903E-06C2-42BA-B1DA-5178DF6401AA}">
      <text>
        <r>
          <rPr>
            <sz val="9"/>
            <color indexed="81"/>
            <rFont val="Tahoma"/>
            <family val="2"/>
          </rPr>
          <t>Prior to 4Q21, it was called as "Materials, supplies and other".</t>
        </r>
      </text>
    </comment>
    <comment ref="GG27" authorId="4" shapeId="0" xr:uid="{81253F66-D17A-4431-99E2-9FE4347B5C5D}">
      <text>
        <r>
          <rPr>
            <b/>
            <sz val="9"/>
            <color indexed="81"/>
            <rFont val="Tahoma"/>
            <family val="2"/>
          </rPr>
          <t>Celis barros, Sebastian A.:</t>
        </r>
        <r>
          <rPr>
            <sz val="9"/>
            <color indexed="81"/>
            <rFont val="Tahoma"/>
            <family val="2"/>
          </rPr>
          <t xml:space="preserve">
Added $0.01 due to rounding</t>
        </r>
      </text>
    </comment>
    <comment ref="EH32" authorId="5" shapeId="0" xr:uid="{5AC2A462-C464-4085-AFFE-BFB052474061}">
      <text>
        <r>
          <rPr>
            <b/>
            <sz val="10"/>
            <color indexed="81"/>
            <rFont val="Tahoma"/>
            <family val="2"/>
          </rPr>
          <t>LaPort-C:</t>
        </r>
        <r>
          <rPr>
            <sz val="10"/>
            <color indexed="81"/>
            <rFont val="Tahoma"/>
            <family val="2"/>
          </rPr>
          <t xml:space="preserve">
Added back one-time $15 million rebate for health and welfare.</t>
        </r>
      </text>
    </comment>
    <comment ref="IZ32" authorId="6" shapeId="0" xr:uid="{C853CB32-68E2-48E4-AFFC-60F432F7C417}">
      <text>
        <r>
          <rPr>
            <b/>
            <sz val="9"/>
            <color indexed="81"/>
            <rFont val="Tahoma"/>
            <family val="2"/>
          </rPr>
          <t>Peacock, Benjamin:</t>
        </r>
        <r>
          <rPr>
            <sz val="9"/>
            <color indexed="81"/>
            <rFont val="Tahoma"/>
            <family val="2"/>
          </rPr>
          <t xml:space="preserve">
</t>
        </r>
        <r>
          <rPr>
            <b/>
            <sz val="9"/>
            <color indexed="81"/>
            <rFont val="Tahoma"/>
            <family val="2"/>
          </rPr>
          <t>3Q call</t>
        </r>
        <r>
          <rPr>
            <sz val="9"/>
            <color indexed="81"/>
            <rFont val="Tahoma"/>
            <family val="2"/>
          </rPr>
          <t xml:space="preserve">
- heacount down slightly vs. 2Q
- inflation of ~$30m
- cycling prior yr restructuring cost of $37m
- incentive comp to be up $40m y/y</t>
        </r>
      </text>
    </comment>
    <comment ref="JD32" authorId="6" shapeId="0" xr:uid="{55CC12F4-3081-48DF-A597-002B692FA51A}">
      <text>
        <r>
          <rPr>
            <b/>
            <sz val="9"/>
            <color indexed="81"/>
            <rFont val="Tahoma"/>
            <family val="2"/>
          </rPr>
          <t>Peacock, Benjamin:</t>
        </r>
        <r>
          <rPr>
            <sz val="9"/>
            <color indexed="81"/>
            <rFont val="Tahoma"/>
            <family val="2"/>
          </rPr>
          <t xml:space="preserve">
4Q16 - expect headcount down slightly sequentially
- $35mm of inflation
- pension expense to decrease $15mm per quarter </t>
        </r>
      </text>
    </comment>
    <comment ref="DN33" authorId="7" shapeId="0" xr:uid="{33F18110-EAE7-49FA-AC3D-DE5C11F08789}">
      <text>
        <r>
          <rPr>
            <sz val="8"/>
            <color indexed="81"/>
            <rFont val="Tahoma"/>
            <family val="2"/>
          </rPr>
          <t>Removed $9.5 m for 1 time benefit of switching decision resulting in $9.5 m payment from WCLX.</t>
        </r>
      </text>
    </comment>
    <comment ref="HH33" authorId="8" shapeId="0" xr:uid="{1C3FD45E-7FE9-4F2C-9E2E-37C6916D708A}">
      <text>
        <r>
          <rPr>
            <sz val="11"/>
            <color indexed="81"/>
            <rFont val="Tahoma"/>
            <family val="2"/>
          </rPr>
          <t>2Q 2010 - CSX closed an operating property transaction with MA. The company received $50M of cash and recorded a net book loss of $30M PT / $0.05 p/share</t>
        </r>
      </text>
    </comment>
    <comment ref="IY33" authorId="6" shapeId="0" xr:uid="{8781A7CD-8307-4C65-B8B7-65B0FF12789C}">
      <text>
        <r>
          <rPr>
            <b/>
            <sz val="9"/>
            <color indexed="81"/>
            <rFont val="Tahoma"/>
            <family val="2"/>
          </rPr>
          <t>Peacock, Benjamin:</t>
        </r>
        <r>
          <rPr>
            <sz val="9"/>
            <color indexed="81"/>
            <rFont val="Tahoma"/>
            <family val="2"/>
          </rPr>
          <t xml:space="preserve">
2Q16 call - expected to be down moderately y/y</t>
        </r>
      </text>
    </comment>
    <comment ref="IZ33" authorId="6" shapeId="0" xr:uid="{C3A9C74E-7FCF-4334-9720-58FFF7C88578}">
      <text>
        <r>
          <rPr>
            <b/>
            <sz val="9"/>
            <color indexed="81"/>
            <rFont val="Tahoma"/>
            <family val="2"/>
          </rPr>
          <t>Peacock, Benjamin:</t>
        </r>
        <r>
          <rPr>
            <sz val="9"/>
            <color indexed="81"/>
            <rFont val="Tahoma"/>
            <family val="2"/>
          </rPr>
          <t xml:space="preserve">
</t>
        </r>
        <r>
          <rPr>
            <b/>
            <sz val="9"/>
            <color indexed="81"/>
            <rFont val="Tahoma"/>
            <family val="2"/>
          </rPr>
          <t xml:space="preserve">3Q call
- </t>
        </r>
        <r>
          <rPr>
            <sz val="9"/>
            <color indexed="81"/>
            <rFont val="Tahoma"/>
            <family val="2"/>
          </rPr>
          <t>expected flat y/y
- prior yr restructuring of $11m</t>
        </r>
      </text>
    </comment>
    <comment ref="JD33" authorId="6" shapeId="0" xr:uid="{6AB7185A-27D2-48D3-B29C-918289C9C457}">
      <text>
        <r>
          <rPr>
            <b/>
            <sz val="9"/>
            <color indexed="81"/>
            <rFont val="Tahoma"/>
            <family val="2"/>
          </rPr>
          <t>Peacock, Benjamin:</t>
        </r>
        <r>
          <rPr>
            <sz val="9"/>
            <color indexed="81"/>
            <rFont val="Tahoma"/>
            <family val="2"/>
          </rPr>
          <t xml:space="preserve">
4Q16 call - expect up sligthly y/y</t>
        </r>
      </text>
    </comment>
    <comment ref="JG33" authorId="9" shapeId="0" xr:uid="{2E23C21B-AFAA-47B0-8866-46A2F6AB26F8}">
      <text>
        <r>
          <rPr>
            <b/>
            <sz val="9"/>
            <color indexed="81"/>
            <rFont val="Tahoma"/>
            <family val="2"/>
          </rPr>
          <t>Deak, Casey S.:</t>
        </r>
        <r>
          <rPr>
            <sz val="9"/>
            <color indexed="81"/>
            <rFont val="Tahoma"/>
            <family val="2"/>
          </rPr>
          <t xml:space="preserve">
$29MM restructuring charge</t>
        </r>
      </text>
    </comment>
    <comment ref="IY34" authorId="6" shapeId="0" xr:uid="{3FC3FD6B-5FA2-4CEC-B486-117AEEC4D496}">
      <text>
        <r>
          <rPr>
            <b/>
            <sz val="9"/>
            <color indexed="81"/>
            <rFont val="Tahoma"/>
            <family val="2"/>
          </rPr>
          <t>Peacock, Benjamin:</t>
        </r>
        <r>
          <rPr>
            <sz val="9"/>
            <color indexed="81"/>
            <rFont val="Tahoma"/>
            <family val="2"/>
          </rPr>
          <t xml:space="preserve">
2Q16 call - expected to be relatively flat</t>
        </r>
      </text>
    </comment>
    <comment ref="IZ34" authorId="6" shapeId="0" xr:uid="{3B0F0050-575C-41A0-9841-7BE2009727F4}">
      <text>
        <r>
          <rPr>
            <b/>
            <sz val="9"/>
            <color indexed="81"/>
            <rFont val="Tahoma"/>
            <family val="2"/>
          </rPr>
          <t>Peacock, Benjamin:</t>
        </r>
        <r>
          <rPr>
            <sz val="9"/>
            <color indexed="81"/>
            <rFont val="Tahoma"/>
            <family val="2"/>
          </rPr>
          <t xml:space="preserve">
</t>
        </r>
        <r>
          <rPr>
            <b/>
            <sz val="9"/>
            <color indexed="81"/>
            <rFont val="Tahoma"/>
            <family val="2"/>
          </rPr>
          <t xml:space="preserve">3Q call
- </t>
        </r>
        <r>
          <rPr>
            <sz val="9"/>
            <color indexed="81"/>
            <rFont val="Tahoma"/>
            <family val="2"/>
          </rPr>
          <t>expected flat y/y</t>
        </r>
      </text>
    </comment>
    <comment ref="IY36" authorId="6" shapeId="0" xr:uid="{7CA43800-5D47-4CBF-BCE7-56C94345EEA8}">
      <text>
        <r>
          <rPr>
            <b/>
            <sz val="9"/>
            <color indexed="81"/>
            <rFont val="Tahoma"/>
            <family val="2"/>
          </rPr>
          <t>Peacock, Benjamin:</t>
        </r>
        <r>
          <rPr>
            <sz val="9"/>
            <color indexed="81"/>
            <rFont val="Tahoma"/>
            <family val="2"/>
          </rPr>
          <t xml:space="preserve">
2Q16 call - expected to be up 20mm y/y</t>
        </r>
      </text>
    </comment>
    <comment ref="IZ36" authorId="6" shapeId="0" xr:uid="{3AFB8D78-A072-4638-903E-99500A652517}">
      <text>
        <r>
          <rPr>
            <b/>
            <sz val="9"/>
            <color indexed="81"/>
            <rFont val="Tahoma"/>
            <family val="2"/>
          </rPr>
          <t>Peacock, Benjamin:</t>
        </r>
        <r>
          <rPr>
            <sz val="9"/>
            <color indexed="81"/>
            <rFont val="Tahoma"/>
            <family val="2"/>
          </rPr>
          <t xml:space="preserve">
</t>
        </r>
        <r>
          <rPr>
            <b/>
            <sz val="9"/>
            <color indexed="81"/>
            <rFont val="Tahoma"/>
            <family val="2"/>
          </rPr>
          <t>3Q call</t>
        </r>
        <r>
          <rPr>
            <sz val="9"/>
            <color indexed="81"/>
            <rFont val="Tahoma"/>
            <family val="2"/>
          </rPr>
          <t xml:space="preserve"> 
- expected up $15m y/y</t>
        </r>
      </text>
    </comment>
    <comment ref="JD36" authorId="6" shapeId="0" xr:uid="{953855EB-41C7-4428-B7E3-0D209BB34A68}">
      <text>
        <r>
          <rPr>
            <b/>
            <sz val="9"/>
            <color indexed="81"/>
            <rFont val="Tahoma"/>
            <family val="2"/>
          </rPr>
          <t>Peacock, Benjamin:</t>
        </r>
        <r>
          <rPr>
            <sz val="9"/>
            <color indexed="81"/>
            <rFont val="Tahoma"/>
            <family val="2"/>
          </rPr>
          <t xml:space="preserve">
4Q16 call - expected up $10mm y/y</t>
        </r>
      </text>
    </comment>
    <comment ref="JK38" authorId="9" shapeId="0" xr:uid="{E8F23D16-3D7E-4444-8848-D7F520DF9353}">
      <text>
        <r>
          <rPr>
            <b/>
            <sz val="9"/>
            <color indexed="81"/>
            <rFont val="Tahoma"/>
            <family val="2"/>
          </rPr>
          <t>Deak, Casey S.:</t>
        </r>
        <r>
          <rPr>
            <sz val="9"/>
            <color indexed="81"/>
            <rFont val="Tahoma"/>
            <family val="2"/>
          </rPr>
          <t xml:space="preserve">
Equity Earnings of Affiliates
</t>
        </r>
      </text>
    </comment>
    <comment ref="JL38" authorId="9" shapeId="0" xr:uid="{333950E7-187E-4424-B4BA-FE1B05FB3744}">
      <text>
        <r>
          <rPr>
            <b/>
            <sz val="9"/>
            <color indexed="81"/>
            <rFont val="Tahoma"/>
            <family val="2"/>
          </rPr>
          <t>Deak, Casey S.:</t>
        </r>
        <r>
          <rPr>
            <sz val="9"/>
            <color indexed="81"/>
            <rFont val="Tahoma"/>
            <family val="2"/>
          </rPr>
          <t xml:space="preserve">
Equity Earnings of Affiliates
</t>
        </r>
      </text>
    </comment>
    <comment ref="DG50" authorId="7" shapeId="0" xr:uid="{190FDF4F-36E5-45E5-8EC2-BB8D539FBA78}">
      <text>
        <r>
          <rPr>
            <sz val="8"/>
            <color indexed="81"/>
            <rFont val="Tahoma"/>
            <family val="2"/>
          </rPr>
          <t>Equally divided is the reversal on an $8 mm charge for relocation and training expense.</t>
        </r>
      </text>
    </comment>
    <comment ref="DH50" authorId="7" shapeId="0" xr:uid="{5278ED84-8800-49F6-A5C2-79104B7B454A}">
      <text>
        <r>
          <rPr>
            <sz val="8"/>
            <color indexed="81"/>
            <rFont val="Tahoma"/>
            <family val="2"/>
          </rPr>
          <t>One-time relocation and training expense of $13 mm split between labor and other.</t>
        </r>
      </text>
    </comment>
    <comment ref="EJ54" authorId="10" shapeId="0" xr:uid="{218B9CE2-9A2F-4A08-B0C0-8D9A1D31D1C8}">
      <text>
        <r>
          <rPr>
            <b/>
            <sz val="8"/>
            <color indexed="81"/>
            <rFont val="Tahoma"/>
            <family val="2"/>
          </rPr>
          <t>Troy:</t>
        </r>
        <r>
          <rPr>
            <sz val="8"/>
            <color indexed="81"/>
            <rFont val="Tahoma"/>
            <family val="2"/>
          </rPr>
          <t xml:space="preserve">
Reflects add back of $17 million of depreciation associated with international container-shipping asset impairment charge.  Total charge of $315 backed out to normalize 3Q EPS.</t>
        </r>
      </text>
    </comment>
    <comment ref="EK56" authorId="10" shapeId="0" xr:uid="{DAD26F78-0008-4FFF-9DF8-46C137B74B43}">
      <text>
        <r>
          <rPr>
            <b/>
            <sz val="8"/>
            <color indexed="81"/>
            <rFont val="Tahoma"/>
            <family val="2"/>
          </rPr>
          <t>Troy:</t>
        </r>
        <r>
          <rPr>
            <sz val="8"/>
            <color indexed="81"/>
            <rFont val="Tahoma"/>
            <family val="2"/>
          </rPr>
          <t xml:space="preserve">
Includes loss on sale of international container shipping unit during the 4Q.</t>
        </r>
      </text>
    </comment>
    <comment ref="EQ66" authorId="11" shapeId="0" xr:uid="{A1934B2D-4285-4CEA-AC2D-59E87F674B9D}">
      <text>
        <r>
          <rPr>
            <b/>
            <sz val="8"/>
            <color indexed="81"/>
            <rFont val="Tahoma"/>
            <family val="2"/>
          </rPr>
          <t>Glen P.:</t>
        </r>
        <r>
          <rPr>
            <sz val="8"/>
            <color indexed="81"/>
            <rFont val="Tahoma"/>
            <family val="2"/>
          </rPr>
          <t xml:space="preserve">
CTI was sold for cash proceeds of $650 million.  Recorded as discontinued operation</t>
        </r>
      </text>
    </comment>
    <comment ref="B80" authorId="0" shapeId="0" xr:uid="{0287F7D2-ADA1-4960-BB99-AFDADD6FC174}">
      <text/>
    </comment>
    <comment ref="BO80" authorId="0" shapeId="0" xr:uid="{BED0EA41-B796-42A5-AF59-5FE4ED2E41F8}">
      <text/>
    </comment>
    <comment ref="BV80" authorId="0" shapeId="0" xr:uid="{5D967B5D-449D-44C8-AE6C-C877676872CB}">
      <text/>
    </comment>
    <comment ref="CC80" authorId="0" shapeId="0" xr:uid="{7063153C-A114-4CC5-AD08-DFB2D778FDBA}">
      <text/>
    </comment>
    <comment ref="CJ80" authorId="0" shapeId="0" xr:uid="{199564C0-48FA-42EB-ACEA-EC5EE7AB2695}">
      <text/>
    </comment>
    <comment ref="CQ80" authorId="0" shapeId="0" xr:uid="{404D6C82-7748-4582-8EE4-EA45162EDC75}">
      <text/>
    </comment>
    <comment ref="CX80" authorId="0" shapeId="0" xr:uid="{3032C5FC-C2E1-4785-8AE2-4D7A702F8F6E}">
      <text/>
    </comment>
    <comment ref="DE80" authorId="0" shapeId="0" xr:uid="{94A766CB-93F4-44B4-9544-2A0D2621A9F6}">
      <text/>
    </comment>
    <comment ref="DL80" authorId="0" shapeId="0" xr:uid="{50668439-941B-4003-AF02-01C05E988452}">
      <text/>
    </comment>
    <comment ref="DS80" authorId="0" shapeId="0" xr:uid="{9F66EF79-CCAA-4EBA-A23C-5246B1589049}">
      <text/>
    </comment>
    <comment ref="DZ80" authorId="0" shapeId="0" xr:uid="{73891BFC-D014-4990-A7EA-4881B968F727}">
      <text/>
    </comment>
    <comment ref="EG80" authorId="0" shapeId="0" xr:uid="{9FFD71E7-AF01-4546-A68A-CBC1D10C95AE}">
      <text/>
    </comment>
    <comment ref="EN80" authorId="0" shapeId="0" xr:uid="{070D5027-11F5-4C26-B45D-E476F272E0AF}">
      <text/>
    </comment>
    <comment ref="EU80" authorId="0" shapeId="0" xr:uid="{00CBBD7D-4953-4B47-8E45-56F5BDEAB7A8}">
      <text/>
    </comment>
    <comment ref="FB80" authorId="0" shapeId="0" xr:uid="{4F4A87F7-EA0C-401C-A249-493B34F96B35}">
      <text/>
    </comment>
    <comment ref="FI80" authorId="0" shapeId="0" xr:uid="{D4940B37-5D49-490E-AF67-8900A559D7CD}">
      <text/>
    </comment>
    <comment ref="FP80" authorId="0" shapeId="0" xr:uid="{A0D24D43-4ADF-448C-8F75-EEF64211BDCE}">
      <text/>
    </comment>
    <comment ref="FW80" authorId="0" shapeId="0" xr:uid="{A59DE596-A9DA-4EBB-8B71-60AC1439F6D2}">
      <text/>
    </comment>
    <comment ref="GD80" authorId="0" shapeId="0" xr:uid="{2C678C1C-A268-4C42-8ECA-BE7F56D6C7D6}">
      <text/>
    </comment>
    <comment ref="GK80" authorId="0" shapeId="0" xr:uid="{C646A5E8-1BB1-4C2F-BFAE-596C46B96D76}">
      <text/>
    </comment>
    <comment ref="GR80" authorId="0" shapeId="0" xr:uid="{24B4101F-2002-487D-9A31-7259680CDBE6}">
      <text/>
    </comment>
    <comment ref="GY80" authorId="0" shapeId="0" xr:uid="{D451A8E1-7EB7-4934-A2C6-E9543AAAEC1F}">
      <text/>
    </comment>
    <comment ref="HF80" authorId="0" shapeId="0" xr:uid="{A67AA4E9-0652-46FE-A42F-3DF8DC50BBF0}">
      <text/>
    </comment>
    <comment ref="HM80" authorId="0" shapeId="0" xr:uid="{0A7F5B2F-BB84-4086-AE99-7BA137B56D38}">
      <text/>
    </comment>
    <comment ref="HT80" authorId="0" shapeId="0" xr:uid="{74705986-9076-4DFB-928C-9EC39FDB6340}">
      <text/>
    </comment>
    <comment ref="IA80" authorId="0" shapeId="0" xr:uid="{FE7168B5-55F1-4A76-A446-9CDE0D1E0AFF}">
      <text/>
    </comment>
    <comment ref="IH80" authorId="0" shapeId="0" xr:uid="{D9299051-B0A4-4083-9272-5240FEB1A044}">
      <text/>
    </comment>
    <comment ref="IO80" authorId="0" shapeId="0" xr:uid="{F3932942-58CC-4F6F-AC7B-F268AA4DC995}">
      <text/>
    </comment>
    <comment ref="IV80" authorId="0" shapeId="0" xr:uid="{40847FBC-D660-4952-923E-9772478416A5}">
      <text/>
    </comment>
    <comment ref="JC80" authorId="0" shapeId="0" xr:uid="{0CEA62F4-785F-4A68-8915-CA1D81E74BA3}">
      <text/>
    </comment>
    <comment ref="JJ80" authorId="0" shapeId="0" xr:uid="{62EB921A-7FDD-42FD-B22F-F45EF7241624}">
      <text/>
    </comment>
    <comment ref="JQ80" authorId="0" shapeId="0" xr:uid="{B6D09C84-1152-425C-A18B-9A4C9D49A2F0}">
      <text/>
    </comment>
    <comment ref="JX80" authorId="0" shapeId="0" xr:uid="{1804E9BD-6A59-4E11-B646-A22235AB0ED8}">
      <text/>
    </comment>
    <comment ref="KE80" authorId="0" shapeId="0" xr:uid="{C960CEAD-2C46-4F4D-A514-EFC266E3BE54}">
      <text/>
    </comment>
    <comment ref="KH80" authorId="0" shapeId="0" xr:uid="{70A76EDC-BAE2-4AB8-9CCC-42ADA618A44C}">
      <text>
        <r>
          <rPr>
            <sz val="9"/>
            <color indexed="81"/>
            <rFont val="Tahoma"/>
            <family val="2"/>
          </rPr>
          <t>Quality Carriers:~1,377</t>
        </r>
      </text>
    </comment>
    <comment ref="KI80" authorId="0" shapeId="0" xr:uid="{A63A19DE-7BE7-4938-B897-3152F3C998D3}">
      <text>
        <r>
          <rPr>
            <sz val="9"/>
            <color indexed="81"/>
            <rFont val="Tahoma"/>
            <family val="2"/>
          </rPr>
          <t>Quality Carriers:~1,374</t>
        </r>
      </text>
    </comment>
    <comment ref="KL80" authorId="0" shapeId="0" xr:uid="{90DEE343-D136-4E42-9C23-3A0578C96044}">
      <text/>
    </comment>
    <comment ref="KM80" authorId="0" shapeId="0" xr:uid="{1B0B747F-8FEE-4D40-A277-C10E6FC22311}">
      <text>
        <r>
          <rPr>
            <sz val="9"/>
            <color indexed="81"/>
            <rFont val="Tahoma"/>
            <family val="2"/>
          </rPr>
          <t>Quality Carriers:~1,394</t>
        </r>
      </text>
    </comment>
    <comment ref="KN80" authorId="0" shapeId="0" xr:uid="{659C74B6-C326-4F7B-A884-58E76FF5CD82}">
      <text>
        <r>
          <rPr>
            <sz val="9"/>
            <color indexed="81"/>
            <rFont val="Tahoma"/>
            <family val="2"/>
          </rPr>
          <t>Quality Carriers:~1,523
PanAM: 220</t>
        </r>
      </text>
    </comment>
    <comment ref="KO80" authorId="0" shapeId="0" xr:uid="{A73EB048-6AAF-4AE2-AD0E-B946445402BD}">
      <text>
        <r>
          <rPr>
            <sz val="9"/>
            <color indexed="81"/>
            <rFont val="Tahoma"/>
            <family val="2"/>
          </rPr>
          <t xml:space="preserve">PanAM: 638
</t>
        </r>
      </text>
    </comment>
    <comment ref="KP80" authorId="0" shapeId="0" xr:uid="{8A7F2842-A3B5-4C24-BEC9-676598359EC0}">
      <text>
        <r>
          <rPr>
            <sz val="9"/>
            <color indexed="81"/>
            <rFont val="Tahoma"/>
            <family val="2"/>
          </rPr>
          <t>PanAM: 620</t>
        </r>
      </text>
    </comment>
    <comment ref="KS80" authorId="0" shapeId="0" xr:uid="{15B08ABF-E0E0-4C41-A7E1-A8E28A0B8637}">
      <text/>
    </comment>
    <comment ref="KT80" authorId="0" shapeId="0" xr:uid="{128079AC-8FAA-4F43-B2DB-6DD4EE8FE910}">
      <text>
        <r>
          <rPr>
            <sz val="9"/>
            <color indexed="81"/>
            <rFont val="Tahoma"/>
            <family val="2"/>
          </rPr>
          <t>PanAM: 573</t>
        </r>
      </text>
    </comment>
    <comment ref="KZ80" authorId="0" shapeId="0" xr:uid="{E44B9FDA-3A12-4CB9-BBEA-1EE1BDA5E296}">
      <text/>
    </comment>
    <comment ref="LG80" authorId="0" shapeId="0" xr:uid="{ABD77965-8FD2-4A44-84EE-00E57AC0EE99}">
      <text/>
    </comment>
    <comment ref="LN80" authorId="0" shapeId="0" xr:uid="{AD1949A9-100A-4C9B-B765-B2C75F893B65}">
      <text/>
    </comment>
    <comment ref="LU80" authorId="0" shapeId="0" xr:uid="{C97BE0DB-379C-48D6-A629-266538FBA711}">
      <text/>
    </comment>
    <comment ref="MB80" authorId="0" shapeId="0" xr:uid="{44F0CB85-C4DD-479F-8182-7DA265DAC97C}">
      <text/>
    </comment>
    <comment ref="KH84" authorId="0" shapeId="0" xr:uid="{FE588C32-F4D5-4A69-AA50-A6CA5ACFC0B4}">
      <text>
        <r>
          <rPr>
            <sz val="9"/>
            <color indexed="81"/>
            <rFont val="Tahoma"/>
            <family val="2"/>
          </rPr>
          <t xml:space="preserve">Quality Carriers:~1,377 </t>
        </r>
      </text>
    </comment>
    <comment ref="KI84" authorId="0" shapeId="0" xr:uid="{488EB836-04DD-4114-AB4A-5BE5A5A5C8D7}">
      <text>
        <r>
          <rPr>
            <sz val="9"/>
            <color indexed="81"/>
            <rFont val="Tahoma"/>
            <family val="2"/>
          </rPr>
          <t xml:space="preserve">Quality Carriers:~1,364 </t>
        </r>
      </text>
    </comment>
    <comment ref="KM84" authorId="0" shapeId="0" xr:uid="{5C6F1505-3F39-466A-83F7-6652D439F288}">
      <text>
        <r>
          <rPr>
            <sz val="9"/>
            <color indexed="81"/>
            <rFont val="Tahoma"/>
            <family val="2"/>
          </rPr>
          <t xml:space="preserve">Quality Carriers:~1,424 </t>
        </r>
      </text>
    </comment>
    <comment ref="KN84" authorId="0" shapeId="0" xr:uid="{4670847A-5B57-45D6-A2C6-75B479ACC733}">
      <text>
        <r>
          <rPr>
            <sz val="9"/>
            <color indexed="81"/>
            <rFont val="Tahoma"/>
            <family val="2"/>
          </rPr>
          <t>Quality Carriers:~1,621 
PanAm: 220</t>
        </r>
      </text>
    </comment>
    <comment ref="KO84" authorId="0" shapeId="0" xr:uid="{095C1C14-D40D-498A-B86E-97AAEF5CDD5E}">
      <text>
        <r>
          <rPr>
            <sz val="9"/>
            <color indexed="81"/>
            <rFont val="Tahoma"/>
            <family val="2"/>
          </rPr>
          <t xml:space="preserve">PanAm:~1,377 </t>
        </r>
      </text>
    </comment>
    <comment ref="LH84" authorId="0" shapeId="0" xr:uid="{0C51BF47-00ED-4DE6-B58E-08F98EF9EC9F}">
      <text>
        <r>
          <rPr>
            <sz val="9"/>
            <color indexed="81"/>
            <rFont val="Tahoma"/>
            <family val="2"/>
          </rPr>
          <t>~flat</t>
        </r>
      </text>
    </comment>
    <comment ref="LL85" authorId="0" shapeId="0" xr:uid="{81B36D15-BD5B-4D00-8390-4415FF167732}">
      <text>
        <r>
          <rPr>
            <b/>
            <sz val="9"/>
            <color indexed="81"/>
            <rFont val="Tahoma"/>
            <family val="2"/>
          </rPr>
          <t>~flat - UBS conferecne</t>
        </r>
      </text>
    </comment>
    <comment ref="KW91" authorId="0" shapeId="0" xr:uid="{8AA99586-9BE6-4CF0-901D-58AA16409BAC}">
      <text>
        <r>
          <rPr>
            <sz val="9"/>
            <color indexed="81"/>
            <rFont val="Tahoma"/>
            <family val="2"/>
          </rPr>
          <t>~15MM sick leave</t>
        </r>
      </text>
    </comment>
    <comment ref="CK100" authorId="7" shapeId="0" xr:uid="{005A26BB-C7F3-4784-AE8A-51758C888731}">
      <text>
        <r>
          <rPr>
            <sz val="8"/>
            <color indexed="81"/>
            <rFont val="Tahoma"/>
            <family val="2"/>
          </rPr>
          <t>1Q HC was 32,577.</t>
        </r>
      </text>
    </comment>
    <comment ref="CL100" authorId="7" shapeId="0" xr:uid="{125B565C-46CF-4D06-B6E9-96276E848088}">
      <text>
        <r>
          <rPr>
            <sz val="8"/>
            <color indexed="81"/>
            <rFont val="Tahoma"/>
            <family val="2"/>
          </rPr>
          <t>2QHC was 32,845.</t>
        </r>
      </text>
    </comment>
    <comment ref="CM100" authorId="7" shapeId="0" xr:uid="{485E2857-9F6A-43DB-BB8B-E81F312F7451}">
      <text>
        <r>
          <rPr>
            <sz val="8"/>
            <color indexed="81"/>
            <rFont val="Tahoma"/>
            <family val="2"/>
          </rPr>
          <t>3Q HC was 32,103.</t>
        </r>
      </text>
    </comment>
    <comment ref="CN100" authorId="7" shapeId="0" xr:uid="{EAB9D62D-4457-47C0-90C4-E667615F2D0E}">
      <text>
        <r>
          <rPr>
            <sz val="8"/>
            <color indexed="81"/>
            <rFont val="Tahoma"/>
            <family val="2"/>
          </rPr>
          <t>4Q HC was 32,089.</t>
        </r>
      </text>
    </comment>
    <comment ref="B107" authorId="0" shapeId="0" xr:uid="{4FB17319-1D56-407A-9199-948B017E5DE9}">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BO107" authorId="0" shapeId="0" xr:uid="{7E24A8A3-A555-44D2-84BB-2BD90D6A1937}">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BV107" authorId="0" shapeId="0" xr:uid="{052104CF-C45B-4976-B983-789E3F1A1A40}">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CC107" authorId="0" shapeId="0" xr:uid="{90F1B7BC-5A5E-41FD-8E57-4718A76510F2}">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CJ107" authorId="0" shapeId="0" xr:uid="{975DBCDE-F564-4D29-989C-42281951338D}">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CQ107" authorId="0" shapeId="0" xr:uid="{074A0BDC-B16F-4671-8CE5-746751909C69}">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CX107" authorId="0" shapeId="0" xr:uid="{A8DA347E-A3BC-4291-95B7-889E722121F0}">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DE107" authorId="0" shapeId="0" xr:uid="{9EF88B40-232F-4943-AC35-DFBB126DFAEE}">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DL107" authorId="0" shapeId="0" xr:uid="{A75831BD-11A3-4878-9308-27CA2BDA8312}">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DS107" authorId="0" shapeId="0" xr:uid="{31346473-1D21-4127-AC5A-F3817BD51E6A}">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DZ107" authorId="0" shapeId="0" xr:uid="{929D604C-52A8-4386-8FC9-8DAB13F0C37F}">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EG107" authorId="0" shapeId="0" xr:uid="{FA109ECB-34CF-432B-A81C-92C877DD51AE}">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EN107" authorId="0" shapeId="0" xr:uid="{5ADCE395-078C-47EC-BF50-0D9D4D0030AB}">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EU107" authorId="0" shapeId="0" xr:uid="{BE3762F4-7E19-4863-8068-FDFCEF1FF7AF}">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FB107" authorId="0" shapeId="0" xr:uid="{56C15E65-C9F4-4AA4-8617-37B8AF6985E9}">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FI107" authorId="0" shapeId="0" xr:uid="{C6AAC241-09E1-4525-B3F5-C77589919043}">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FP107" authorId="0" shapeId="0" xr:uid="{BC518A18-C9D0-4259-A710-8FCF4C474639}">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FW107" authorId="0" shapeId="0" xr:uid="{FE35E53D-7ACD-4F3B-A587-98AC91438A6F}">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GD107" authorId="0" shapeId="0" xr:uid="{C6DB9797-F5E5-4770-A2A0-214106122F16}">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GK107" authorId="0" shapeId="0" xr:uid="{D039CF14-C546-43A5-B9E4-0A80C9082C49}">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GR107" authorId="0" shapeId="0" xr:uid="{0DD89E97-732E-45F7-9F55-76F32EEDF0A7}">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GY107" authorId="0" shapeId="0" xr:uid="{0B8C2DF8-7486-41DE-9437-38B86342AD50}">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HF107" authorId="0" shapeId="0" xr:uid="{1E4D9E23-13AD-49E1-B1EB-BA5A61E9E381}">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HM107" authorId="0" shapeId="0" xr:uid="{255F4EB7-C8C9-45E5-AEE3-8B7CBD81206A}">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HT107" authorId="0" shapeId="0" xr:uid="{BEC62DB6-6638-4F6C-8602-7177EEB7F25B}">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IA107" authorId="0" shapeId="0" xr:uid="{73D96B6A-0C84-454F-9DD4-963CDB6795A1}">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IH107" authorId="0" shapeId="0" xr:uid="{0C5EF57C-AF69-4FBD-952A-2DE873A58BB5}">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IO107" authorId="0" shapeId="0" xr:uid="{2F240F1B-3D72-4049-BA3D-4D361B2524D6}">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IV107" authorId="0" shapeId="0" xr:uid="{2B9D8661-BF01-41BB-B4B7-6389938D29B5}">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JC107" authorId="0" shapeId="0" xr:uid="{943FECFC-F050-4283-AF16-D2FC55D0841D}">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JJ107" authorId="0" shapeId="0" xr:uid="{B2E1AB12-9DC6-4B03-A9B1-2F7140889B45}">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JQ107" authorId="0" shapeId="0" xr:uid="{8F68DD57-AF97-4DB0-8385-69E9BB26E441}">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JX107" authorId="0" shapeId="0" xr:uid="{799BB21E-AABA-4A4B-87D6-EA80E6697204}">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KE107" authorId="0" shapeId="0" xr:uid="{31020BB3-A3B0-41F2-97ED-EB8D8F898AB8}">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KL107" authorId="0" shapeId="0" xr:uid="{3BC58F22-11ED-4FDF-87A7-D4FE7427F41D}">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KS107" authorId="0" shapeId="0" xr:uid="{A12867AC-3FDC-4693-B969-E1F41702610D}">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KZ107" authorId="0" shapeId="0" xr:uid="{EB5E48A2-AD08-4CD2-A723-14D93D55B0C7}">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LG107" authorId="0" shapeId="0" xr:uid="{F3C41E60-AFD6-4638-A2A3-36976F2F9E61}">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LN107" authorId="0" shapeId="0" xr:uid="{FA6B25FC-F568-47C3-8FC6-968BD988FE34}">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LU107" authorId="0" shapeId="0" xr:uid="{F47C3C75-0F76-48D9-8492-6997A443FDA9}">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MB107" authorId="0" shapeId="0" xr:uid="{6C95450D-B276-466E-8B86-80EB27775D09}">
      <text>
        <r>
          <rPr>
            <sz val="9"/>
            <color indexed="81"/>
            <rFont val="Tahoma"/>
            <family val="2"/>
          </rPr>
          <t xml:space="preserve">
began reporting in 1Q09; differs from STB disclosure b/c includes intermodal business as well as core transportation
began reporting in 1Q09; differs from STB disclosure b/c includes intermodal business as well as core transportation</t>
        </r>
      </text>
    </comment>
    <comment ref="B108" authorId="2" shapeId="0" xr:uid="{44FFFF26-1170-446F-BFFF-BF61321A8DC4}">
      <text>
        <r>
          <rPr>
            <sz val="9"/>
            <color indexed="81"/>
            <rFont val="Tahoma"/>
            <family val="2"/>
          </rPr>
          <t>Fuel surcharge revenue is included in the individual markets</t>
        </r>
      </text>
    </comment>
    <comment ref="BO108" authorId="2" shapeId="0" xr:uid="{FC3F7A15-E613-4A1D-855B-52DAF47C8B21}">
      <text>
        <r>
          <rPr>
            <sz val="9"/>
            <color indexed="81"/>
            <rFont val="Tahoma"/>
            <family val="2"/>
          </rPr>
          <t>Fuel surcharge revenue is included in the individual markets</t>
        </r>
      </text>
    </comment>
    <comment ref="BV108" authorId="2" shapeId="0" xr:uid="{EAD67B48-525F-421A-929B-E6AD880E0884}">
      <text>
        <r>
          <rPr>
            <sz val="9"/>
            <color indexed="81"/>
            <rFont val="Tahoma"/>
            <family val="2"/>
          </rPr>
          <t>Fuel surcharge revenue is included in the individual markets</t>
        </r>
      </text>
    </comment>
    <comment ref="CC108" authorId="2" shapeId="0" xr:uid="{C843FB2A-DF86-49BA-A966-BE183CFD4CDD}">
      <text>
        <r>
          <rPr>
            <sz val="9"/>
            <color indexed="81"/>
            <rFont val="Tahoma"/>
            <family val="2"/>
          </rPr>
          <t>Fuel surcharge revenue is included in the individual markets</t>
        </r>
      </text>
    </comment>
    <comment ref="CJ108" authorId="2" shapeId="0" xr:uid="{FEF3DB3F-B3EF-4D80-BC40-99AF082FFD4E}">
      <text>
        <r>
          <rPr>
            <sz val="9"/>
            <color indexed="81"/>
            <rFont val="Tahoma"/>
            <family val="2"/>
          </rPr>
          <t>Fuel surcharge revenue is included in the individual markets</t>
        </r>
      </text>
    </comment>
    <comment ref="CQ108" authorId="2" shapeId="0" xr:uid="{A9F4719C-AD07-44CC-A492-E78766DFECA8}">
      <text>
        <r>
          <rPr>
            <sz val="9"/>
            <color indexed="81"/>
            <rFont val="Tahoma"/>
            <family val="2"/>
          </rPr>
          <t>Fuel surcharge revenue is included in the individual markets</t>
        </r>
      </text>
    </comment>
    <comment ref="CX108" authorId="2" shapeId="0" xr:uid="{EC1E69A0-6576-434C-A176-D5E0636E0D85}">
      <text>
        <r>
          <rPr>
            <sz val="9"/>
            <color indexed="81"/>
            <rFont val="Tahoma"/>
            <family val="2"/>
          </rPr>
          <t>Fuel surcharge revenue is included in the individual markets</t>
        </r>
      </text>
    </comment>
    <comment ref="DE108" authorId="2" shapeId="0" xr:uid="{1C520602-84CC-4C19-9FA5-55C0B251903C}">
      <text>
        <r>
          <rPr>
            <sz val="9"/>
            <color indexed="81"/>
            <rFont val="Tahoma"/>
            <family val="2"/>
          </rPr>
          <t>Fuel surcharge revenue is included in the individual markets</t>
        </r>
      </text>
    </comment>
    <comment ref="DL108" authorId="2" shapeId="0" xr:uid="{77629650-43EF-4E90-9B9F-2B50F05D3850}">
      <text>
        <r>
          <rPr>
            <sz val="9"/>
            <color indexed="81"/>
            <rFont val="Tahoma"/>
            <family val="2"/>
          </rPr>
          <t>Fuel surcharge revenue is included in the individual markets</t>
        </r>
      </text>
    </comment>
    <comment ref="DS108" authorId="2" shapeId="0" xr:uid="{93CB52BE-5084-4203-A77F-1D615ACD2215}">
      <text>
        <r>
          <rPr>
            <sz val="9"/>
            <color indexed="81"/>
            <rFont val="Tahoma"/>
            <family val="2"/>
          </rPr>
          <t>Fuel surcharge revenue is included in the individual markets</t>
        </r>
      </text>
    </comment>
    <comment ref="DZ108" authorId="2" shapeId="0" xr:uid="{0BD728E9-A182-4F4B-A38C-F9975AEDE551}">
      <text>
        <r>
          <rPr>
            <sz val="9"/>
            <color indexed="81"/>
            <rFont val="Tahoma"/>
            <family val="2"/>
          </rPr>
          <t>Fuel surcharge revenue is included in the individual markets</t>
        </r>
      </text>
    </comment>
    <comment ref="EG108" authorId="2" shapeId="0" xr:uid="{A9DFD8DF-A7AD-4DBC-BB28-B30C65625C5C}">
      <text>
        <r>
          <rPr>
            <sz val="9"/>
            <color indexed="81"/>
            <rFont val="Tahoma"/>
            <family val="2"/>
          </rPr>
          <t>Fuel surcharge revenue is included in the individual markets</t>
        </r>
      </text>
    </comment>
    <comment ref="EN108" authorId="2" shapeId="0" xr:uid="{252D5A86-CF33-49D8-B2BC-A18165B5C461}">
      <text>
        <r>
          <rPr>
            <sz val="9"/>
            <color indexed="81"/>
            <rFont val="Tahoma"/>
            <family val="2"/>
          </rPr>
          <t>Fuel surcharge revenue is included in the individual markets</t>
        </r>
      </text>
    </comment>
    <comment ref="EU108" authorId="2" shapeId="0" xr:uid="{774AC395-10DF-473F-B9DD-3530E935FCC4}">
      <text>
        <r>
          <rPr>
            <sz val="9"/>
            <color indexed="81"/>
            <rFont val="Tahoma"/>
            <family val="2"/>
          </rPr>
          <t>Fuel surcharge revenue is included in the individual markets</t>
        </r>
      </text>
    </comment>
    <comment ref="FB108" authorId="2" shapeId="0" xr:uid="{4939CD22-8FC4-4244-A2F2-05F04BBFF958}">
      <text>
        <r>
          <rPr>
            <sz val="9"/>
            <color indexed="81"/>
            <rFont val="Tahoma"/>
            <family val="2"/>
          </rPr>
          <t>Fuel surcharge revenue is included in the individual markets</t>
        </r>
      </text>
    </comment>
    <comment ref="FI108" authorId="2" shapeId="0" xr:uid="{9E91A2CF-B985-499C-8BDE-DD84870E464F}">
      <text>
        <r>
          <rPr>
            <sz val="9"/>
            <color indexed="81"/>
            <rFont val="Tahoma"/>
            <family val="2"/>
          </rPr>
          <t>Fuel surcharge revenue is included in the individual markets</t>
        </r>
      </text>
    </comment>
    <comment ref="FP108" authorId="2" shapeId="0" xr:uid="{EA197E09-CCF6-4C91-BE43-7CB7EA3ACAA2}">
      <text>
        <r>
          <rPr>
            <sz val="9"/>
            <color indexed="81"/>
            <rFont val="Tahoma"/>
            <family val="2"/>
          </rPr>
          <t>Fuel surcharge revenue is included in the individual markets</t>
        </r>
      </text>
    </comment>
    <comment ref="FW108" authorId="2" shapeId="0" xr:uid="{E886CF3A-36D9-4F80-AA16-AF66B09856F1}">
      <text>
        <r>
          <rPr>
            <sz val="9"/>
            <color indexed="81"/>
            <rFont val="Tahoma"/>
            <family val="2"/>
          </rPr>
          <t>Fuel surcharge revenue is included in the individual markets</t>
        </r>
      </text>
    </comment>
    <comment ref="GD108" authorId="2" shapeId="0" xr:uid="{619B1975-33BA-4F42-BCD5-1E7E9AC07310}">
      <text>
        <r>
          <rPr>
            <sz val="9"/>
            <color indexed="81"/>
            <rFont val="Tahoma"/>
            <family val="2"/>
          </rPr>
          <t>Fuel surcharge revenue is included in the individual markets</t>
        </r>
      </text>
    </comment>
    <comment ref="GK108" authorId="2" shapeId="0" xr:uid="{2E2E05D4-6C85-4BAF-87F2-B94730E68AFA}">
      <text>
        <r>
          <rPr>
            <sz val="9"/>
            <color indexed="81"/>
            <rFont val="Tahoma"/>
            <family val="2"/>
          </rPr>
          <t>Fuel surcharge revenue is included in the individual markets</t>
        </r>
      </text>
    </comment>
    <comment ref="GR108" authorId="2" shapeId="0" xr:uid="{2D644A05-8946-466E-9E20-3A592F24F098}">
      <text>
        <r>
          <rPr>
            <sz val="9"/>
            <color indexed="81"/>
            <rFont val="Tahoma"/>
            <family val="2"/>
          </rPr>
          <t>Fuel surcharge revenue is included in the individual markets</t>
        </r>
      </text>
    </comment>
    <comment ref="GY108" authorId="2" shapeId="0" xr:uid="{CCF6FEDC-0202-49F8-A9C5-B18AE1575624}">
      <text>
        <r>
          <rPr>
            <sz val="9"/>
            <color indexed="81"/>
            <rFont val="Tahoma"/>
            <family val="2"/>
          </rPr>
          <t>Fuel surcharge revenue is included in the individual markets</t>
        </r>
      </text>
    </comment>
    <comment ref="HF108" authorId="2" shapeId="0" xr:uid="{02DB8066-B6F1-4B5D-97E2-32498EC6982A}">
      <text>
        <r>
          <rPr>
            <sz val="9"/>
            <color indexed="81"/>
            <rFont val="Tahoma"/>
            <family val="2"/>
          </rPr>
          <t>Fuel surcharge revenue is included in the individual markets</t>
        </r>
      </text>
    </comment>
    <comment ref="HM108" authorId="2" shapeId="0" xr:uid="{C3D65903-7DC5-4923-9ED2-4AFBE42458E4}">
      <text>
        <r>
          <rPr>
            <sz val="9"/>
            <color indexed="81"/>
            <rFont val="Tahoma"/>
            <family val="2"/>
          </rPr>
          <t>Fuel surcharge revenue is included in the individual markets</t>
        </r>
      </text>
    </comment>
    <comment ref="HT108" authorId="2" shapeId="0" xr:uid="{B88DF421-6107-4757-BB89-6441876D44AE}">
      <text>
        <r>
          <rPr>
            <sz val="9"/>
            <color indexed="81"/>
            <rFont val="Tahoma"/>
            <family val="2"/>
          </rPr>
          <t>Fuel surcharge revenue is included in the individual markets</t>
        </r>
      </text>
    </comment>
    <comment ref="IA108" authorId="2" shapeId="0" xr:uid="{8600B01F-786A-41E5-98D4-D854B48B4385}">
      <text>
        <r>
          <rPr>
            <sz val="9"/>
            <color indexed="81"/>
            <rFont val="Tahoma"/>
            <family val="2"/>
          </rPr>
          <t>Fuel surcharge revenue is included in the individual markets</t>
        </r>
      </text>
    </comment>
    <comment ref="IH108" authorId="2" shapeId="0" xr:uid="{C6A8DF38-19FD-45F2-8CFC-AB6DFFCFDCA0}">
      <text>
        <r>
          <rPr>
            <sz val="9"/>
            <color indexed="81"/>
            <rFont val="Tahoma"/>
            <family val="2"/>
          </rPr>
          <t>Fuel surcharge revenue is included in the individual markets</t>
        </r>
      </text>
    </comment>
    <comment ref="IO108" authorId="2" shapeId="0" xr:uid="{EB96EDFD-120E-4D62-B3BC-D48E0BC91052}">
      <text>
        <r>
          <rPr>
            <sz val="9"/>
            <color indexed="81"/>
            <rFont val="Tahoma"/>
            <family val="2"/>
          </rPr>
          <t>Fuel surcharge revenue is included in the individual markets</t>
        </r>
      </text>
    </comment>
    <comment ref="IV108" authorId="2" shapeId="0" xr:uid="{1B68F1A8-90F0-4773-A757-09F7E42D3D9E}">
      <text>
        <r>
          <rPr>
            <sz val="9"/>
            <color indexed="81"/>
            <rFont val="Tahoma"/>
            <family val="2"/>
          </rPr>
          <t>Fuel surcharge revenue is included in the individual markets</t>
        </r>
      </text>
    </comment>
    <comment ref="JC108" authorId="2" shapeId="0" xr:uid="{1BC9B130-FADA-4A18-857B-D764A8E78D48}">
      <text>
        <r>
          <rPr>
            <sz val="9"/>
            <color indexed="81"/>
            <rFont val="Tahoma"/>
            <family val="2"/>
          </rPr>
          <t>Fuel surcharge revenue is included in the individual markets</t>
        </r>
      </text>
    </comment>
    <comment ref="JJ108" authorId="2" shapeId="0" xr:uid="{7D301501-4E0B-4B13-B5F2-E32496B0DFEF}">
      <text>
        <r>
          <rPr>
            <sz val="9"/>
            <color indexed="81"/>
            <rFont val="Tahoma"/>
            <family val="2"/>
          </rPr>
          <t>Fuel surcharge revenue is included in the individual markets</t>
        </r>
      </text>
    </comment>
    <comment ref="JQ108" authorId="2" shapeId="0" xr:uid="{56472C5D-E161-47E8-83D1-4E663628DE01}">
      <text>
        <r>
          <rPr>
            <sz val="9"/>
            <color indexed="81"/>
            <rFont val="Tahoma"/>
            <family val="2"/>
          </rPr>
          <t>Fuel surcharge revenue is included in the individual markets</t>
        </r>
      </text>
    </comment>
    <comment ref="JX108" authorId="2" shapeId="0" xr:uid="{0EFE4A85-7AD3-4680-8A3D-9116F9864B93}">
      <text>
        <r>
          <rPr>
            <sz val="9"/>
            <color indexed="81"/>
            <rFont val="Tahoma"/>
            <family val="2"/>
          </rPr>
          <t>Fuel surcharge revenue is included in the individual markets</t>
        </r>
      </text>
    </comment>
    <comment ref="KE108" authorId="2" shapeId="0" xr:uid="{3B8AB5CB-5378-4167-9084-C4050C0B6A52}">
      <text>
        <r>
          <rPr>
            <sz val="9"/>
            <color indexed="81"/>
            <rFont val="Tahoma"/>
            <family val="2"/>
          </rPr>
          <t>Fuel surcharge revenue is included in the individual markets</t>
        </r>
      </text>
    </comment>
    <comment ref="KL108" authorId="2" shapeId="0" xr:uid="{D1429EC7-DB77-47CD-AD71-505BD764212B}">
      <text>
        <r>
          <rPr>
            <sz val="9"/>
            <color indexed="81"/>
            <rFont val="Tahoma"/>
            <family val="2"/>
          </rPr>
          <t>Fuel surcharge revenue is included in the individual markets</t>
        </r>
      </text>
    </comment>
    <comment ref="KS108" authorId="2" shapeId="0" xr:uid="{7AFCC47B-0BC2-4F6C-A9E9-0A1C442F9EA0}">
      <text>
        <r>
          <rPr>
            <sz val="9"/>
            <color indexed="81"/>
            <rFont val="Tahoma"/>
            <family val="2"/>
          </rPr>
          <t>Fuel surcharge revenue is included in the individual markets</t>
        </r>
      </text>
    </comment>
    <comment ref="KZ108" authorId="2" shapeId="0" xr:uid="{79E950C2-A7A1-48BE-9E84-235C7CEBA8EA}">
      <text>
        <r>
          <rPr>
            <sz val="9"/>
            <color indexed="81"/>
            <rFont val="Tahoma"/>
            <family val="2"/>
          </rPr>
          <t>Fuel surcharge revenue is included in the individual markets</t>
        </r>
      </text>
    </comment>
    <comment ref="LG108" authorId="2" shapeId="0" xr:uid="{CBB48E9C-2D48-44AF-9A95-C92BCB466FD8}">
      <text>
        <r>
          <rPr>
            <sz val="9"/>
            <color indexed="81"/>
            <rFont val="Tahoma"/>
            <family val="2"/>
          </rPr>
          <t>Fuel surcharge revenue is included in the individual markets</t>
        </r>
      </text>
    </comment>
    <comment ref="LN108" authorId="2" shapeId="0" xr:uid="{7D6C2F60-9072-42AD-85A8-DF9808649E46}">
      <text>
        <r>
          <rPr>
            <sz val="9"/>
            <color indexed="81"/>
            <rFont val="Tahoma"/>
            <family val="2"/>
          </rPr>
          <t>Fuel surcharge revenue is included in the individual markets</t>
        </r>
      </text>
    </comment>
    <comment ref="LU108" authorId="2" shapeId="0" xr:uid="{50C5A01C-5179-4C02-B64F-938EBD78DE53}">
      <text>
        <r>
          <rPr>
            <sz val="9"/>
            <color indexed="81"/>
            <rFont val="Tahoma"/>
            <family val="2"/>
          </rPr>
          <t>Fuel surcharge revenue is included in the individual markets</t>
        </r>
      </text>
    </comment>
    <comment ref="MB108" authorId="2" shapeId="0" xr:uid="{8966B55B-67D0-41A3-A98B-441EB30779F5}">
      <text>
        <r>
          <rPr>
            <sz val="9"/>
            <color indexed="81"/>
            <rFont val="Tahoma"/>
            <family val="2"/>
          </rPr>
          <t>Fuel surcharge revenue is included in the individual markets</t>
        </r>
      </text>
    </comment>
    <comment ref="B111" authorId="2" shapeId="0" xr:uid="{5A00F8F1-B8B1-47C9-81A5-9A05E0EAEFB6}">
      <text>
        <r>
          <rPr>
            <sz val="9"/>
            <color indexed="81"/>
            <rFont val="Tahoma"/>
            <family val="2"/>
          </rPr>
          <t>Fuel lag is the estimated difference between highway  diesel prices in the quarter and the prices used for fuel surcharge, which are generally on a two-month lag.</t>
        </r>
      </text>
    </comment>
    <comment ref="BO111" authorId="2" shapeId="0" xr:uid="{FA52FE12-7A0A-47F2-A998-601475888B8A}">
      <text>
        <r>
          <rPr>
            <sz val="9"/>
            <color indexed="81"/>
            <rFont val="Tahoma"/>
            <family val="2"/>
          </rPr>
          <t>Fuel lag is the estimated difference between highway  diesel prices in the quarter and the prices used for fuel surcharge, which are generally on a two-month lag.</t>
        </r>
      </text>
    </comment>
    <comment ref="BV111" authorId="2" shapeId="0" xr:uid="{4C2E545D-B6AC-472B-BB39-E9D4FD7B6349}">
      <text>
        <r>
          <rPr>
            <sz val="9"/>
            <color indexed="81"/>
            <rFont val="Tahoma"/>
            <family val="2"/>
          </rPr>
          <t>Fuel lag is the estimated difference between highway  diesel prices in the quarter and the prices used for fuel surcharge, which are generally on a two-month lag.</t>
        </r>
      </text>
    </comment>
    <comment ref="CC111" authorId="2" shapeId="0" xr:uid="{5FFD2B8B-BDC5-4A4B-B594-22EA6944BD8A}">
      <text>
        <r>
          <rPr>
            <sz val="9"/>
            <color indexed="81"/>
            <rFont val="Tahoma"/>
            <family val="2"/>
          </rPr>
          <t>Fuel lag is the estimated difference between highway  diesel prices in the quarter and the prices used for fuel surcharge, which are generally on a two-month lag.</t>
        </r>
      </text>
    </comment>
    <comment ref="CJ111" authorId="2" shapeId="0" xr:uid="{795EDF68-800E-425B-BB89-91369AA57E4A}">
      <text>
        <r>
          <rPr>
            <sz val="9"/>
            <color indexed="81"/>
            <rFont val="Tahoma"/>
            <family val="2"/>
          </rPr>
          <t>Fuel lag is the estimated difference between highway  diesel prices in the quarter and the prices used for fuel surcharge, which are generally on a two-month lag.</t>
        </r>
      </text>
    </comment>
    <comment ref="CQ111" authorId="2" shapeId="0" xr:uid="{74151275-9B1C-4584-A0BA-BBAC3CE097F1}">
      <text>
        <r>
          <rPr>
            <sz val="9"/>
            <color indexed="81"/>
            <rFont val="Tahoma"/>
            <family val="2"/>
          </rPr>
          <t>Fuel lag is the estimated difference between highway  diesel prices in the quarter and the prices used for fuel surcharge, which are generally on a two-month lag.</t>
        </r>
      </text>
    </comment>
    <comment ref="CX111" authorId="2" shapeId="0" xr:uid="{0D732C63-DC4B-4EC0-9C3E-613DAE91829C}">
      <text>
        <r>
          <rPr>
            <sz val="9"/>
            <color indexed="81"/>
            <rFont val="Tahoma"/>
            <family val="2"/>
          </rPr>
          <t>Fuel lag is the estimated difference between highway  diesel prices in the quarter and the prices used for fuel surcharge, which are generally on a two-month lag.</t>
        </r>
      </text>
    </comment>
    <comment ref="DE111" authorId="2" shapeId="0" xr:uid="{67B1827C-D849-4DDD-9B7A-54AC4FDCA5AE}">
      <text>
        <r>
          <rPr>
            <sz val="9"/>
            <color indexed="81"/>
            <rFont val="Tahoma"/>
            <family val="2"/>
          </rPr>
          <t>Fuel lag is the estimated difference between highway  diesel prices in the quarter and the prices used for fuel surcharge, which are generally on a two-month lag.</t>
        </r>
      </text>
    </comment>
    <comment ref="DL111" authorId="2" shapeId="0" xr:uid="{296BAF6D-D192-49F6-BFD5-5E80D860D6D2}">
      <text>
        <r>
          <rPr>
            <sz val="9"/>
            <color indexed="81"/>
            <rFont val="Tahoma"/>
            <family val="2"/>
          </rPr>
          <t>Fuel lag is the estimated difference between highway  diesel prices in the quarter and the prices used for fuel surcharge, which are generally on a two-month lag.</t>
        </r>
      </text>
    </comment>
    <comment ref="DS111" authorId="2" shapeId="0" xr:uid="{45F6FC3C-D132-4AF2-A4C3-1731770F1BD7}">
      <text>
        <r>
          <rPr>
            <sz val="9"/>
            <color indexed="81"/>
            <rFont val="Tahoma"/>
            <family val="2"/>
          </rPr>
          <t>Fuel lag is the estimated difference between highway  diesel prices in the quarter and the prices used for fuel surcharge, which are generally on a two-month lag.</t>
        </r>
      </text>
    </comment>
    <comment ref="DZ111" authorId="2" shapeId="0" xr:uid="{C2E00BC5-AACD-4868-BF6B-013EE0340C9E}">
      <text>
        <r>
          <rPr>
            <sz val="9"/>
            <color indexed="81"/>
            <rFont val="Tahoma"/>
            <family val="2"/>
          </rPr>
          <t>Fuel lag is the estimated difference between highway  diesel prices in the quarter and the prices used for fuel surcharge, which are generally on a two-month lag.</t>
        </r>
      </text>
    </comment>
    <comment ref="EG111" authorId="2" shapeId="0" xr:uid="{63B40466-1BAF-4D26-959B-D14D0536900D}">
      <text>
        <r>
          <rPr>
            <sz val="9"/>
            <color indexed="81"/>
            <rFont val="Tahoma"/>
            <family val="2"/>
          </rPr>
          <t>Fuel lag is the estimated difference between highway  diesel prices in the quarter and the prices used for fuel surcharge, which are generally on a two-month lag.</t>
        </r>
      </text>
    </comment>
    <comment ref="EN111" authorId="2" shapeId="0" xr:uid="{E1DA90C8-00F3-4F2F-92A2-C8D8B569B514}">
      <text>
        <r>
          <rPr>
            <sz val="9"/>
            <color indexed="81"/>
            <rFont val="Tahoma"/>
            <family val="2"/>
          </rPr>
          <t>Fuel lag is the estimated difference between highway  diesel prices in the quarter and the prices used for fuel surcharge, which are generally on a two-month lag.</t>
        </r>
      </text>
    </comment>
    <comment ref="EU111" authorId="2" shapeId="0" xr:uid="{0F88FCF0-9766-4059-B54A-2083C606EF4A}">
      <text>
        <r>
          <rPr>
            <sz val="9"/>
            <color indexed="81"/>
            <rFont val="Tahoma"/>
            <family val="2"/>
          </rPr>
          <t>Fuel lag is the estimated difference between highway  diesel prices in the quarter and the prices used for fuel surcharge, which are generally on a two-month lag.</t>
        </r>
      </text>
    </comment>
    <comment ref="FB111" authorId="2" shapeId="0" xr:uid="{F0491784-EE4D-46F6-B6E9-002237B9F990}">
      <text>
        <r>
          <rPr>
            <sz val="9"/>
            <color indexed="81"/>
            <rFont val="Tahoma"/>
            <family val="2"/>
          </rPr>
          <t>Fuel lag is the estimated difference between highway  diesel prices in the quarter and the prices used for fuel surcharge, which are generally on a two-month lag.</t>
        </r>
      </text>
    </comment>
    <comment ref="FI111" authorId="2" shapeId="0" xr:uid="{C05997DF-D7AE-4F9D-82E3-7F8DDF80EE90}">
      <text>
        <r>
          <rPr>
            <sz val="9"/>
            <color indexed="81"/>
            <rFont val="Tahoma"/>
            <family val="2"/>
          </rPr>
          <t>Fuel lag is the estimated difference between highway  diesel prices in the quarter and the prices used for fuel surcharge, which are generally on a two-month lag.</t>
        </r>
      </text>
    </comment>
    <comment ref="FP111" authorId="2" shapeId="0" xr:uid="{C3F76AC1-4D41-47CA-BA0A-F0EFAE5296FF}">
      <text>
        <r>
          <rPr>
            <sz val="9"/>
            <color indexed="81"/>
            <rFont val="Tahoma"/>
            <family val="2"/>
          </rPr>
          <t>Fuel lag is the estimated difference between highway  diesel prices in the quarter and the prices used for fuel surcharge, which are generally on a two-month lag.</t>
        </r>
      </text>
    </comment>
    <comment ref="FW111" authorId="2" shapeId="0" xr:uid="{23D3C1F9-72B9-4649-88A7-F49C4815A09C}">
      <text>
        <r>
          <rPr>
            <sz val="9"/>
            <color indexed="81"/>
            <rFont val="Tahoma"/>
            <family val="2"/>
          </rPr>
          <t>Fuel lag is the estimated difference between highway  diesel prices in the quarter and the prices used for fuel surcharge, which are generally on a two-month lag.</t>
        </r>
      </text>
    </comment>
    <comment ref="GD111" authorId="2" shapeId="0" xr:uid="{BAD726AB-389A-4D03-9480-60CB4D7D04AC}">
      <text>
        <r>
          <rPr>
            <sz val="9"/>
            <color indexed="81"/>
            <rFont val="Tahoma"/>
            <family val="2"/>
          </rPr>
          <t>Fuel lag is the estimated difference between highway  diesel prices in the quarter and the prices used for fuel surcharge, which are generally on a two-month lag.</t>
        </r>
      </text>
    </comment>
    <comment ref="GK111" authorId="2" shapeId="0" xr:uid="{EAD24251-DF34-4BE0-9479-2965E8F2DA54}">
      <text>
        <r>
          <rPr>
            <sz val="9"/>
            <color indexed="81"/>
            <rFont val="Tahoma"/>
            <family val="2"/>
          </rPr>
          <t>Fuel lag is the estimated difference between highway  diesel prices in the quarter and the prices used for fuel surcharge, which are generally on a two-month lag.</t>
        </r>
      </text>
    </comment>
    <comment ref="GR111" authorId="2" shapeId="0" xr:uid="{850798FE-C05D-435E-9D32-B947AEE77E50}">
      <text>
        <r>
          <rPr>
            <sz val="9"/>
            <color indexed="81"/>
            <rFont val="Tahoma"/>
            <family val="2"/>
          </rPr>
          <t>Fuel lag is the estimated difference between highway  diesel prices in the quarter and the prices used for fuel surcharge, which are generally on a two-month lag.</t>
        </r>
      </text>
    </comment>
    <comment ref="GY111" authorId="2" shapeId="0" xr:uid="{92EB3A1F-F919-4649-9453-CD9C3364033B}">
      <text>
        <r>
          <rPr>
            <sz val="9"/>
            <color indexed="81"/>
            <rFont val="Tahoma"/>
            <family val="2"/>
          </rPr>
          <t>Fuel lag is the estimated difference between highway  diesel prices in the quarter and the prices used for fuel surcharge, which are generally on a two-month lag.</t>
        </r>
      </text>
    </comment>
    <comment ref="HF111" authorId="2" shapeId="0" xr:uid="{7A32DA14-E9D9-4A62-8431-C09099B5F2E4}">
      <text>
        <r>
          <rPr>
            <sz val="9"/>
            <color indexed="81"/>
            <rFont val="Tahoma"/>
            <family val="2"/>
          </rPr>
          <t>Fuel lag is the estimated difference between highway  diesel prices in the quarter and the prices used for fuel surcharge, which are generally on a two-month lag.</t>
        </r>
      </text>
    </comment>
    <comment ref="HM111" authorId="2" shapeId="0" xr:uid="{B06BAF49-D1CC-4B3B-87A6-0689CCF2A3B4}">
      <text>
        <r>
          <rPr>
            <sz val="9"/>
            <color indexed="81"/>
            <rFont val="Tahoma"/>
            <family val="2"/>
          </rPr>
          <t>Fuel lag is the estimated difference between highway  diesel prices in the quarter and the prices used for fuel surcharge, which are generally on a two-month lag.</t>
        </r>
      </text>
    </comment>
    <comment ref="HT111" authorId="2" shapeId="0" xr:uid="{4B474BFD-8EB9-4E6C-AC05-5A01E8987424}">
      <text>
        <r>
          <rPr>
            <sz val="9"/>
            <color indexed="81"/>
            <rFont val="Tahoma"/>
            <family val="2"/>
          </rPr>
          <t>Fuel lag is the estimated difference between highway  diesel prices in the quarter and the prices used for fuel surcharge, which are generally on a two-month lag.</t>
        </r>
      </text>
    </comment>
    <comment ref="IA111" authorId="2" shapeId="0" xr:uid="{D40D8CEF-4E70-4BC8-83BE-9574A249900F}">
      <text>
        <r>
          <rPr>
            <sz val="9"/>
            <color indexed="81"/>
            <rFont val="Tahoma"/>
            <family val="2"/>
          </rPr>
          <t>Fuel lag is the estimated difference between highway  diesel prices in the quarter and the prices used for fuel surcharge, which are generally on a two-month lag.</t>
        </r>
      </text>
    </comment>
    <comment ref="IH111" authorId="2" shapeId="0" xr:uid="{36599F48-B20C-436D-ACB8-83251FA36B1A}">
      <text>
        <r>
          <rPr>
            <sz val="9"/>
            <color indexed="81"/>
            <rFont val="Tahoma"/>
            <family val="2"/>
          </rPr>
          <t>Fuel lag is the estimated difference between highway  diesel prices in the quarter and the prices used for fuel surcharge, which are generally on a two-month lag.</t>
        </r>
      </text>
    </comment>
    <comment ref="IO111" authorId="2" shapeId="0" xr:uid="{1A832594-F242-4273-9311-90620CC6AF5F}">
      <text>
        <r>
          <rPr>
            <sz val="9"/>
            <color indexed="81"/>
            <rFont val="Tahoma"/>
            <family val="2"/>
          </rPr>
          <t>Fuel lag is the estimated difference between highway  diesel prices in the quarter and the prices used for fuel surcharge, which are generally on a two-month lag.</t>
        </r>
      </text>
    </comment>
    <comment ref="IV111" authorId="2" shapeId="0" xr:uid="{4337F6A0-3887-4686-9FCF-B63D81958C71}">
      <text>
        <r>
          <rPr>
            <sz val="9"/>
            <color indexed="81"/>
            <rFont val="Tahoma"/>
            <family val="2"/>
          </rPr>
          <t>Fuel lag is the estimated difference between highway  diesel prices in the quarter and the prices used for fuel surcharge, which are generally on a two-month lag.</t>
        </r>
      </text>
    </comment>
    <comment ref="JC111" authorId="2" shapeId="0" xr:uid="{BEEE5A83-3A9D-4BB3-9D26-29854B1D5623}">
      <text>
        <r>
          <rPr>
            <sz val="9"/>
            <color indexed="81"/>
            <rFont val="Tahoma"/>
            <family val="2"/>
          </rPr>
          <t>Fuel lag is the estimated difference between highway  diesel prices in the quarter and the prices used for fuel surcharge, which are generally on a two-month lag.</t>
        </r>
      </text>
    </comment>
    <comment ref="JJ111" authorId="2" shapeId="0" xr:uid="{35553A8B-125D-4B5A-9BB6-A82290BC60D1}">
      <text>
        <r>
          <rPr>
            <sz val="9"/>
            <color indexed="81"/>
            <rFont val="Tahoma"/>
            <family val="2"/>
          </rPr>
          <t>Fuel lag is the estimated difference between highway  diesel prices in the quarter and the prices used for fuel surcharge, which are generally on a two-month lag.</t>
        </r>
      </text>
    </comment>
    <comment ref="JQ111" authorId="2" shapeId="0" xr:uid="{21AF4F8E-2F25-4AA9-ABDB-605A2DE7595C}">
      <text>
        <r>
          <rPr>
            <sz val="9"/>
            <color indexed="81"/>
            <rFont val="Tahoma"/>
            <family val="2"/>
          </rPr>
          <t>Fuel lag is the estimated difference between highway  diesel prices in the quarter and the prices used for fuel surcharge, which are generally on a two-month lag.</t>
        </r>
      </text>
    </comment>
    <comment ref="JX111" authorId="2" shapeId="0" xr:uid="{9F656294-35B3-40DF-A193-9979B8B77B41}">
      <text>
        <r>
          <rPr>
            <sz val="9"/>
            <color indexed="81"/>
            <rFont val="Tahoma"/>
            <family val="2"/>
          </rPr>
          <t>Fuel lag is the estimated difference between highway  diesel prices in the quarter and the prices used for fuel surcharge, which are generally on a two-month lag.</t>
        </r>
      </text>
    </comment>
    <comment ref="KE111" authorId="2" shapeId="0" xr:uid="{8CA0ED5D-D47F-4B61-AE8A-29C01BA2E028}">
      <text>
        <r>
          <rPr>
            <sz val="9"/>
            <color indexed="81"/>
            <rFont val="Tahoma"/>
            <family val="2"/>
          </rPr>
          <t>Fuel lag is the estimated difference between highway  diesel prices in the quarter and the prices used for fuel surcharge, which are generally on a two-month lag.</t>
        </r>
      </text>
    </comment>
    <comment ref="KL111" authorId="2" shapeId="0" xr:uid="{F01B688B-65B4-4F31-8CAC-14288046CBB0}">
      <text>
        <r>
          <rPr>
            <sz val="9"/>
            <color indexed="81"/>
            <rFont val="Tahoma"/>
            <family val="2"/>
          </rPr>
          <t>Fuel lag is the estimated difference between highway  diesel prices in the quarter and the prices used for fuel surcharge, which are generally on a two-month lag.</t>
        </r>
      </text>
    </comment>
    <comment ref="KS111" authorId="2" shapeId="0" xr:uid="{00501622-03D9-4008-B96C-7DA4AE5630AA}">
      <text>
        <r>
          <rPr>
            <sz val="9"/>
            <color indexed="81"/>
            <rFont val="Tahoma"/>
            <family val="2"/>
          </rPr>
          <t>Fuel lag is the estimated difference between highway  diesel prices in the quarter and the prices used for fuel surcharge, which are generally on a two-month lag.</t>
        </r>
      </text>
    </comment>
    <comment ref="KZ111" authorId="2" shapeId="0" xr:uid="{7E4C74F3-4467-4872-8017-C49CEBCB8E64}">
      <text>
        <r>
          <rPr>
            <sz val="9"/>
            <color indexed="81"/>
            <rFont val="Tahoma"/>
            <family val="2"/>
          </rPr>
          <t>Fuel lag is the estimated difference between highway  diesel prices in the quarter and the prices used for fuel surcharge, which are generally on a two-month lag.</t>
        </r>
      </text>
    </comment>
    <comment ref="LG111" authorId="2" shapeId="0" xr:uid="{064B412B-81F8-46AD-8D4C-444BA49E227A}">
      <text>
        <r>
          <rPr>
            <sz val="9"/>
            <color indexed="81"/>
            <rFont val="Tahoma"/>
            <family val="2"/>
          </rPr>
          <t>Fuel lag is the estimated difference between highway  diesel prices in the quarter and the prices used for fuel surcharge, which are generally on a two-month lag.</t>
        </r>
      </text>
    </comment>
    <comment ref="LN111" authorId="2" shapeId="0" xr:uid="{088BB14A-E887-49FE-B1F9-D1CC97F9BE3E}">
      <text>
        <r>
          <rPr>
            <sz val="9"/>
            <color indexed="81"/>
            <rFont val="Tahoma"/>
            <family val="2"/>
          </rPr>
          <t>Fuel lag is the estimated difference between highway  diesel prices in the quarter and the prices used for fuel surcharge, which are generally on a two-month lag.</t>
        </r>
      </text>
    </comment>
    <comment ref="LU111" authorId="2" shapeId="0" xr:uid="{433B3C4A-05D4-4268-8102-E201C7A4A4AC}">
      <text>
        <r>
          <rPr>
            <sz val="9"/>
            <color indexed="81"/>
            <rFont val="Tahoma"/>
            <family val="2"/>
          </rPr>
          <t>Fuel lag is the estimated difference between highway  diesel prices in the quarter and the prices used for fuel surcharge, which are generally on a two-month lag.</t>
        </r>
      </text>
    </comment>
    <comment ref="MB111" authorId="2" shapeId="0" xr:uid="{B13C3BEA-F408-4F7B-AB3C-A9070DFE9878}">
      <text>
        <r>
          <rPr>
            <sz val="9"/>
            <color indexed="81"/>
            <rFont val="Tahoma"/>
            <family val="2"/>
          </rPr>
          <t>Fuel lag is the estimated difference between highway  diesel prices in the quarter and the prices used for fuel surcharge, which are generally on a two-month lag.</t>
        </r>
      </text>
    </comment>
    <comment ref="LH113" authorId="0" shapeId="0" xr:uid="{50B6CB04-55FB-4EE1-A938-9B95AB9D069A}">
      <text>
        <r>
          <rPr>
            <sz val="9"/>
            <color indexed="81"/>
            <rFont val="Tahoma"/>
            <family val="2"/>
          </rPr>
          <t>QTD - as of 3/20</t>
        </r>
      </text>
    </comment>
    <comment ref="IY141" authorId="4" shapeId="0" xr:uid="{00000000-0006-0000-0400-00001C000000}">
      <text>
        <r>
          <rPr>
            <b/>
            <sz val="9"/>
            <color indexed="81"/>
            <rFont val="Tahoma"/>
            <family val="2"/>
          </rPr>
          <t>Celis barros, Sebastian A.:</t>
        </r>
        <r>
          <rPr>
            <sz val="9"/>
            <color indexed="81"/>
            <rFont val="Tahoma"/>
            <family val="2"/>
          </rPr>
          <t xml:space="preserve">
Changed methodology of calculation vs STB definitions</t>
        </r>
      </text>
    </comment>
    <comment ref="IY142" authorId="4" shapeId="0" xr:uid="{00000000-0006-0000-0400-00001D000000}">
      <text>
        <r>
          <rPr>
            <b/>
            <sz val="9"/>
            <color indexed="81"/>
            <rFont val="Tahoma"/>
            <family val="2"/>
          </rPr>
          <t>Celis barros, Sebastian A.:</t>
        </r>
        <r>
          <rPr>
            <sz val="9"/>
            <color indexed="81"/>
            <rFont val="Tahoma"/>
            <family val="2"/>
          </rPr>
          <t xml:space="preserve">
Changed methodology of calculation vs STB definitions</t>
        </r>
      </text>
    </comment>
    <comment ref="KN190" authorId="0" shapeId="0" xr:uid="{7735218A-AF2D-4EFC-BBA4-5279515C7296}">
      <text>
        <r>
          <rPr>
            <sz val="9"/>
            <color indexed="81"/>
            <rFont val="Tahoma"/>
            <family val="2"/>
          </rPr>
          <t>PanAm 
Average employee count for second quarter
2022 and ending employee count as of June 30, 2022 includes 220 and 659 employees, respectively, added due to the acquisition of Pan</t>
        </r>
        <r>
          <rPr>
            <b/>
            <sz val="9"/>
            <color indexed="81"/>
            <rFont val="Tahoma"/>
            <family val="2"/>
          </rPr>
          <t xml:space="preserve">
Am.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Makam, Abhishek [WELLS FARGO SEC RES CONS]</author>
  </authors>
  <commentList>
    <comment ref="GU26" authorId="0" shapeId="0" xr:uid="{00000000-0006-0000-0600-000001000000}">
      <text>
        <r>
          <rPr>
            <sz val="9"/>
            <color indexed="81"/>
            <rFont val="Tahoma"/>
            <family val="2"/>
          </rPr>
          <t>Also includes $451mn of Goodwill and Other Intangible Assets - Net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Makam, Abhishek [WELLS FARGO SEC RES CONS]</author>
    <author>Deveikis, Ryan</author>
  </authors>
  <commentList>
    <comment ref="FX20" authorId="0" shapeId="0" xr:uid="{7898BF51-E313-483F-9141-320736FE65C2}">
      <text>
        <r>
          <rPr>
            <sz val="9"/>
            <color indexed="81"/>
            <rFont val="Tahoma"/>
            <family val="2"/>
          </rPr>
          <t>Goodwill impairment</t>
        </r>
      </text>
    </comment>
    <comment ref="FA42" authorId="0" shapeId="0" xr:uid="{00000000-0006-0000-0700-000001000000}">
      <text>
        <r>
          <rPr>
            <sz val="9"/>
            <color indexed="81"/>
            <rFont val="Tahoma"/>
            <family val="2"/>
          </rPr>
          <t>Acquisition of Quality Carriers, Inc.</t>
        </r>
      </text>
    </comment>
    <comment ref="FX122" authorId="1" shapeId="0" xr:uid="{6CCF33BB-8E47-4926-8940-A48B34ACBA4D}">
      <text>
        <r>
          <rPr>
            <b/>
            <sz val="9"/>
            <color indexed="81"/>
            <rFont val="Tahoma"/>
            <family val="2"/>
          </rPr>
          <t>~$2.5B</t>
        </r>
      </text>
    </comment>
    <comment ref="GE122" authorId="1" shapeId="0" xr:uid="{899EBAD3-3C00-4478-92F4-75ED4EDA073F}">
      <text>
        <r>
          <rPr>
            <b/>
            <sz val="9"/>
            <color indexed="81"/>
            <rFont val="Tahoma"/>
            <family val="2"/>
          </rPr>
          <t>flat YoY</t>
        </r>
        <r>
          <rPr>
            <sz val="9"/>
            <color indexed="81"/>
            <rFont val="Tahoma"/>
            <family val="2"/>
          </rPr>
          <t xml:space="preserve">
</t>
        </r>
      </text>
    </comment>
  </commentList>
</comments>
</file>

<file path=xl/sharedStrings.xml><?xml version="1.0" encoding="utf-8"?>
<sst xmlns="http://schemas.openxmlformats.org/spreadsheetml/2006/main" count="30434" uniqueCount="569">
  <si>
    <t>Wells Fargo Securities, LLC</t>
  </si>
  <si>
    <t>($ in millions except per share amounts)</t>
  </si>
  <si>
    <t>Revenue</t>
  </si>
  <si>
    <t>Yr/ Yr %</t>
  </si>
  <si>
    <t>Margin %</t>
  </si>
  <si>
    <t>Incremental %</t>
  </si>
  <si>
    <t>% of Sales</t>
  </si>
  <si>
    <t>Basic Shares</t>
  </si>
  <si>
    <t>Diluted Shares</t>
  </si>
  <si>
    <t>Dividend</t>
  </si>
  <si>
    <t>Payout Ratio</t>
  </si>
  <si>
    <t>Source: Company data and Wells Fargo Securities, LLC estimates</t>
  </si>
  <si>
    <t>Other</t>
  </si>
  <si>
    <t>Total</t>
  </si>
  <si>
    <t>Net Income</t>
  </si>
  <si>
    <t>EBITDA</t>
  </si>
  <si>
    <t>Q1</t>
  </si>
  <si>
    <t>Q2</t>
  </si>
  <si>
    <t>Q3</t>
  </si>
  <si>
    <t>Q4</t>
  </si>
  <si>
    <t>2018</t>
  </si>
  <si>
    <t>FY</t>
  </si>
  <si>
    <t>Operating expenses</t>
  </si>
  <si>
    <t>Fuel</t>
  </si>
  <si>
    <t>Depreciation and amortization</t>
  </si>
  <si>
    <t>Materials and other</t>
  </si>
  <si>
    <t>Operating income</t>
  </si>
  <si>
    <t>Interest expense</t>
  </si>
  <si>
    <t>Pre-tax income</t>
  </si>
  <si>
    <t>Income tax expense</t>
  </si>
  <si>
    <t>Source: Company data and Wells Fargo Securities, LLC estimates.</t>
  </si>
  <si>
    <t>Chemicals</t>
  </si>
  <si>
    <t>Intermodal</t>
  </si>
  <si>
    <t>Automotive</t>
  </si>
  <si>
    <t>2017</t>
  </si>
  <si>
    <t>2016</t>
  </si>
  <si>
    <t>2015</t>
  </si>
  <si>
    <t>2014</t>
  </si>
  <si>
    <t>2013</t>
  </si>
  <si>
    <t>2012</t>
  </si>
  <si>
    <t>2011</t>
  </si>
  <si>
    <t>2010</t>
  </si>
  <si>
    <t>2009</t>
  </si>
  <si>
    <t>Assets</t>
  </si>
  <si>
    <t>Current Assets</t>
  </si>
  <si>
    <t>Total Assets</t>
  </si>
  <si>
    <t>Liabilities &amp; Equity</t>
  </si>
  <si>
    <t>Current Liabilities</t>
  </si>
  <si>
    <t>Total Liabilities</t>
  </si>
  <si>
    <t>Minority Interest</t>
  </si>
  <si>
    <t>Total Liabilities + Equity</t>
  </si>
  <si>
    <t>Check (s/b - 0)</t>
  </si>
  <si>
    <t>Balance Sheet Ratios</t>
  </si>
  <si>
    <t>Days Receivables</t>
  </si>
  <si>
    <t>Days Payables</t>
  </si>
  <si>
    <t>ROA</t>
  </si>
  <si>
    <t>ROE</t>
  </si>
  <si>
    <t>ROIC</t>
  </si>
  <si>
    <t>Working Capital</t>
  </si>
  <si>
    <t>Working Capital/ Sales</t>
  </si>
  <si>
    <t>Leverage Analysis</t>
  </si>
  <si>
    <t>Leverage: Total Debt/ Capital</t>
  </si>
  <si>
    <t>Leverage: Net Debt/ Capital</t>
  </si>
  <si>
    <t>Leverage: Net Debt/ Equity</t>
  </si>
  <si>
    <t>Leverage: Total Debt/ EBITDA</t>
  </si>
  <si>
    <t>Leverage: Net Debt/ EBITDA</t>
  </si>
  <si>
    <t>Coverage: EBITDA/ Interest Expense</t>
  </si>
  <si>
    <t>Coverage: EBITDA-CE/ Interest Expense</t>
  </si>
  <si>
    <t>Net Debt</t>
  </si>
  <si>
    <t>Mar</t>
  </si>
  <si>
    <t>Jun</t>
  </si>
  <si>
    <t>Sep</t>
  </si>
  <si>
    <t>Dec</t>
  </si>
  <si>
    <t>Cash and cash equivalents</t>
  </si>
  <si>
    <t>Materials and supplies</t>
  </si>
  <si>
    <t>Deferred income taxes</t>
  </si>
  <si>
    <t>Long-term debt</t>
  </si>
  <si>
    <t>Common stock</t>
  </si>
  <si>
    <t>Retained earnings</t>
  </si>
  <si>
    <t>Noncontrolling interest</t>
  </si>
  <si>
    <t>-</t>
  </si>
  <si>
    <t>Operating Sources</t>
  </si>
  <si>
    <t>Investing Sources</t>
  </si>
  <si>
    <t>Financing Sources</t>
  </si>
  <si>
    <t>Beginning Cash</t>
  </si>
  <si>
    <t>Net Change in Cash</t>
  </si>
  <si>
    <t>Ending Cash</t>
  </si>
  <si>
    <t>Cash</t>
  </si>
  <si>
    <t>Check (s/b 0)</t>
  </si>
  <si>
    <t xml:space="preserve">Free Cash Flow </t>
  </si>
  <si>
    <t>FCF Qtly - $MM</t>
  </si>
  <si>
    <t>FCF YTD - $MM</t>
  </si>
  <si>
    <t>FCF LTM - $MM</t>
  </si>
  <si>
    <t>NI %</t>
  </si>
  <si>
    <t>/ Share</t>
  </si>
  <si>
    <t>Free Cash Flow (- Dividends)</t>
  </si>
  <si>
    <t xml:space="preserve">FCF LTM </t>
  </si>
  <si>
    <t>- Dividends</t>
  </si>
  <si>
    <t>= FCF Less Dividends</t>
  </si>
  <si>
    <t>% of EBITDA</t>
  </si>
  <si>
    <t>% of Net Income</t>
  </si>
  <si>
    <t>Accounts receivable</t>
  </si>
  <si>
    <t>Other current assets</t>
  </si>
  <si>
    <t>Dividends paid</t>
  </si>
  <si>
    <t>Shares repurchased</t>
  </si>
  <si>
    <t>Other financing activities</t>
  </si>
  <si>
    <t>Other Sources(Used)</t>
  </si>
  <si>
    <t>Liabilities</t>
  </si>
  <si>
    <t>Other LT Liability</t>
  </si>
  <si>
    <t>Deferred Income Tax</t>
  </si>
  <si>
    <t>% of EBT</t>
  </si>
  <si>
    <t>ST Debt</t>
  </si>
  <si>
    <t xml:space="preserve">Issuance/ (Payback) </t>
  </si>
  <si>
    <t>LT Debt</t>
  </si>
  <si>
    <t>Average Debt</t>
  </si>
  <si>
    <t>Beginning Debt</t>
  </si>
  <si>
    <t>Debt Sweep</t>
  </si>
  <si>
    <t>Ending Debt</t>
  </si>
  <si>
    <t>FCF</t>
  </si>
  <si>
    <t>% of Net PP&amp;E</t>
  </si>
  <si>
    <t>CapEx (LTM)</t>
  </si>
  <si>
    <t>Fixed Asset Sales (qtly)</t>
  </si>
  <si>
    <t>Fixed Asset Sales (ytd)</t>
  </si>
  <si>
    <t>Purchase/ Sale of Investments (qtly)</t>
  </si>
  <si>
    <t>Purchase/ Sale of Investments (ytd)</t>
  </si>
  <si>
    <t>Other Investing (qtly)</t>
  </si>
  <si>
    <t>Other Investing (ytd)</t>
  </si>
  <si>
    <t>Share Repurchase (qtly)</t>
  </si>
  <si>
    <t>Share Repurchase (ytd)</t>
  </si>
  <si>
    <t>Other Financing (qtly)</t>
  </si>
  <si>
    <t>Other Financing (ytd)</t>
  </si>
  <si>
    <t xml:space="preserve">Short- Term Investment </t>
  </si>
  <si>
    <t>Properties</t>
  </si>
  <si>
    <t>Accumulated depreciation</t>
  </si>
  <si>
    <t>Other long-term assets</t>
  </si>
  <si>
    <t xml:space="preserve">Account payable </t>
  </si>
  <si>
    <t xml:space="preserve">Labor and fringe benefits payable </t>
  </si>
  <si>
    <t>Casualty, environmental and other reserves</t>
  </si>
  <si>
    <t>Income and other taxes payable</t>
  </si>
  <si>
    <t xml:space="preserve">Other current liabilities </t>
  </si>
  <si>
    <t>Current maturities of long-term debt</t>
  </si>
  <si>
    <t>Agricultural and Food Product</t>
  </si>
  <si>
    <t>Forest Product</t>
  </si>
  <si>
    <t>Minerals</t>
  </si>
  <si>
    <t>Metals and Equipment</t>
  </si>
  <si>
    <t>Fertilizers</t>
  </si>
  <si>
    <t>Total Merchandise</t>
  </si>
  <si>
    <t>Coal</t>
  </si>
  <si>
    <t>Volume</t>
  </si>
  <si>
    <t>Revenue Per unit</t>
  </si>
  <si>
    <t>Other capital</t>
  </si>
  <si>
    <t>Accumulated other comprehensive loss</t>
  </si>
  <si>
    <t>Other long term liablilties</t>
  </si>
  <si>
    <t>2008</t>
  </si>
  <si>
    <t>2007</t>
  </si>
  <si>
    <t>2006</t>
  </si>
  <si>
    <t>2005</t>
  </si>
  <si>
    <t>2002</t>
  </si>
  <si>
    <t>Gain on insurance recoveries</t>
  </si>
  <si>
    <t>Insurance proceeds</t>
  </si>
  <si>
    <t>Equity earning of affiliates</t>
  </si>
  <si>
    <t>Other Operating activities</t>
  </si>
  <si>
    <t>Gains / loss on property disposition</t>
  </si>
  <si>
    <t>Contribution to qualified pension plans</t>
  </si>
  <si>
    <t>Restructuring  charge</t>
  </si>
  <si>
    <t>Gain on sale of international terminals</t>
  </si>
  <si>
    <t>Non - cash impairments loss</t>
  </si>
  <si>
    <t>Non - cash discountinued operations</t>
  </si>
  <si>
    <t>Net gain on Conrail spin-off after tax</t>
  </si>
  <si>
    <t>Other current assts</t>
  </si>
  <si>
    <t>Account payable</t>
  </si>
  <si>
    <t>Income and other taxes patable</t>
  </si>
  <si>
    <t>Other current liabilities</t>
  </si>
  <si>
    <t>Property additions</t>
  </si>
  <si>
    <t>Net proceeds from sale of international terminals</t>
  </si>
  <si>
    <t>Purchase of minority interest in an international terminals' subsidiary</t>
  </si>
  <si>
    <t>Proceeds from divestitures</t>
  </si>
  <si>
    <t>Other investing activities</t>
  </si>
  <si>
    <t>Purchase of short-term investments</t>
  </si>
  <si>
    <t>Proceeds from sales of short-term investments</t>
  </si>
  <si>
    <t>Long-term debt issued</t>
  </si>
  <si>
    <t>Long-term debt repaid</t>
  </si>
  <si>
    <t>Accelerated share repurchase pending final settlement</t>
  </si>
  <si>
    <t>Proceeds from Property dispostions</t>
  </si>
  <si>
    <t xml:space="preserve">Short-term Debt </t>
  </si>
  <si>
    <t>Labor and fringe</t>
  </si>
  <si>
    <t>Equipment and other rents</t>
  </si>
  <si>
    <t>CSX  - Supplemental</t>
  </si>
  <si>
    <t>Depreciation</t>
  </si>
  <si>
    <t>Inland transportation</t>
  </si>
  <si>
    <t>Other income / expense - net</t>
  </si>
  <si>
    <t>Debt repurchase expense</t>
  </si>
  <si>
    <t>Restructuring charge - non-operating</t>
  </si>
  <si>
    <t>Net income from discontinued operations</t>
  </si>
  <si>
    <t>EPS (Recurring)</t>
  </si>
  <si>
    <t>(Thousands of units)</t>
  </si>
  <si>
    <t>NMF</t>
  </si>
  <si>
    <t>OR</t>
  </si>
  <si>
    <t>Tax rate %</t>
  </si>
  <si>
    <t>% of MS&amp;O expense</t>
  </si>
  <si>
    <t>Depreciation  and amortization (qtly)</t>
  </si>
  <si>
    <t>Depreciation and amortization (ytd)</t>
  </si>
  <si>
    <t>Depreciation and amortization LTM</t>
  </si>
  <si>
    <t>% of Tax Expense</t>
  </si>
  <si>
    <t>CapEx (qtly)</t>
  </si>
  <si>
    <t xml:space="preserve">CSX - Cash Flow </t>
  </si>
  <si>
    <t>Other Current Assets</t>
  </si>
  <si>
    <t>LTM Financials</t>
  </si>
  <si>
    <t xml:space="preserve">Revenue </t>
  </si>
  <si>
    <t>% of sales</t>
  </si>
  <si>
    <t>% of Sales (OR)</t>
  </si>
  <si>
    <t>EBT</t>
  </si>
  <si>
    <t xml:space="preserve">Interest </t>
  </si>
  <si>
    <t xml:space="preserve">Taxes </t>
  </si>
  <si>
    <t xml:space="preserve">Net Income </t>
  </si>
  <si>
    <t xml:space="preserve">Capex </t>
  </si>
  <si>
    <t>D&amp;A (Cash Flow)</t>
  </si>
  <si>
    <t>Operating expenses (Ex-Depreciation)</t>
  </si>
  <si>
    <t>Operating Expenses (Inc. Depreciation)</t>
  </si>
  <si>
    <t>Operating Income (EBIT)</t>
  </si>
  <si>
    <t>Total Equity</t>
  </si>
  <si>
    <t>This sheet contains FactSet XML data for use with this workbook's =FDS codes.  Modifying the worksheet's contents may damage the workbook's =FDS functionality.</t>
  </si>
  <si>
    <t>Deferred Income Taxes (qtly)</t>
  </si>
  <si>
    <t>Deferred Income Taxes (LTM)</t>
  </si>
  <si>
    <t>CSX Corporation (NYSE: CSX)</t>
  </si>
  <si>
    <t>2020</t>
  </si>
  <si>
    <t>Current lease liabilities</t>
  </si>
  <si>
    <t>CSX - Ratio Analysis</t>
  </si>
  <si>
    <t>Long-term lease liabilities</t>
  </si>
  <si>
    <t>Net income (Recurring)</t>
  </si>
  <si>
    <t>EPS (GAAP)</t>
  </si>
  <si>
    <t>Adjustments</t>
  </si>
  <si>
    <t>Net income (GAAP)</t>
  </si>
  <si>
    <t>CSX - Operating Performance</t>
  </si>
  <si>
    <t>Train Velocity (Miles per hour)</t>
  </si>
  <si>
    <t>Dwell (Hours)</t>
  </si>
  <si>
    <t>Revenue Ton-Miles (Billions)</t>
  </si>
  <si>
    <t>Merchandise</t>
  </si>
  <si>
    <t>Total Gross Ton-Miles (Billions)</t>
  </si>
  <si>
    <t>On-Time Originations</t>
  </si>
  <si>
    <t>On-Time Arrivals</t>
  </si>
  <si>
    <t>Employees (average)</t>
  </si>
  <si>
    <t>Employees (at period end)</t>
  </si>
  <si>
    <t>Total Revenue Ton-Miles</t>
  </si>
  <si>
    <t>Price per Gallon (Dollars)</t>
  </si>
  <si>
    <t>Equity earnings of affiliates &amp; other</t>
  </si>
  <si>
    <t>Investment in Conrail and affiliates</t>
  </si>
  <si>
    <t>Right-of-Use Lease Asset</t>
  </si>
  <si>
    <t>Freight Revenue</t>
  </si>
  <si>
    <t>Total Revenue</t>
  </si>
  <si>
    <t>Operating Ratio</t>
  </si>
  <si>
    <t>Q3E</t>
  </si>
  <si>
    <t>Q4E</t>
  </si>
  <si>
    <t>Q1E</t>
  </si>
  <si>
    <t>Q2E</t>
  </si>
  <si>
    <t>2019/4f</t>
  </si>
  <si>
    <t>2020/1f</t>
  </si>
  <si>
    <t>2020/2f</t>
  </si>
  <si>
    <t>2020/3f</t>
  </si>
  <si>
    <t>2020/4f</t>
  </si>
  <si>
    <t>2021</t>
  </si>
  <si>
    <t>Sequential Change</t>
  </si>
  <si>
    <t>Headcount Analysis</t>
  </si>
  <si>
    <t>2021/1f</t>
  </si>
  <si>
    <t>2021/2f</t>
  </si>
  <si>
    <t>2021/3f</t>
  </si>
  <si>
    <t>2021/4f</t>
  </si>
  <si>
    <t>Other Current assets</t>
  </si>
  <si>
    <t>Properties, Net</t>
  </si>
  <si>
    <t>Other Operating Activities - Net</t>
  </si>
  <si>
    <t>2022</t>
  </si>
  <si>
    <t>Ryan Deveikis</t>
  </si>
  <si>
    <t>Equity Research</t>
  </si>
  <si>
    <t>Financial Model</t>
  </si>
  <si>
    <t>Airfreight &amp; Surface Transportation - Railroads</t>
  </si>
  <si>
    <t>Wells Fargo Airfreight &amp; Surface Transportation Team</t>
  </si>
  <si>
    <t>212-214-8040</t>
  </si>
  <si>
    <t>Ryan.Deveikis@wellsfargo.com</t>
  </si>
  <si>
    <t>Important Disclaimers:</t>
  </si>
  <si>
    <t>Trucking</t>
  </si>
  <si>
    <t>2023</t>
  </si>
  <si>
    <t>Purchased Services and Other</t>
  </si>
  <si>
    <t>Goodwill and Other Intangible Assets - Net</t>
  </si>
  <si>
    <t>Business Acquisition, Net of Cash Acquired</t>
  </si>
  <si>
    <t>RTMs/Carload</t>
  </si>
  <si>
    <t xml:space="preserve"> Merchandise:</t>
  </si>
  <si>
    <t xml:space="preserve"> Intermodal</t>
  </si>
  <si>
    <t xml:space="preserve"> Coal</t>
  </si>
  <si>
    <t xml:space="preserve">   Cents/RTM</t>
  </si>
  <si>
    <t xml:space="preserve"> RTM/GTM %</t>
  </si>
  <si>
    <t>2022/3f</t>
  </si>
  <si>
    <t>2022/4f</t>
  </si>
  <si>
    <t>2024</t>
  </si>
  <si>
    <t>Fuel Surcharge Revenue</t>
  </si>
  <si>
    <t>Fuel Lag (Expense)/ Benefit</t>
  </si>
  <si>
    <t>Fuel surcharge</t>
  </si>
  <si>
    <t>Coal Tonnage</t>
  </si>
  <si>
    <t>Domestic</t>
  </si>
  <si>
    <t>Export</t>
  </si>
  <si>
    <t>% of export</t>
  </si>
  <si>
    <t>Fuel Analysis</t>
  </si>
  <si>
    <t>Locomoitve Fuel Expense</t>
  </si>
  <si>
    <t>Non Locomotive Fuel Expense</t>
  </si>
  <si>
    <t>Cars Online</t>
  </si>
  <si>
    <t>Carload Trip Plan Performance</t>
  </si>
  <si>
    <t>Intermodal Trip Plan Performance</t>
  </si>
  <si>
    <t>FRA Personal Injury Frequency Index</t>
  </si>
  <si>
    <t>FRA Train Accident Rate</t>
  </si>
  <si>
    <t>Equipment</t>
  </si>
  <si>
    <t>RPU (excl FSC.)</t>
  </si>
  <si>
    <t>Labor</t>
  </si>
  <si>
    <t>Material, Supplies &amp; Other</t>
  </si>
  <si>
    <t>Building &amp; Equipment Rents</t>
  </si>
  <si>
    <t>Inland Transportation</t>
  </si>
  <si>
    <t>Equity Earnings and Other</t>
  </si>
  <si>
    <t>Conrail Operating Fees</t>
  </si>
  <si>
    <t>1Q89</t>
  </si>
  <si>
    <t>Contribution From CRR, Net</t>
  </si>
  <si>
    <t>Revenues</t>
  </si>
  <si>
    <t>Variance Related to Volume</t>
  </si>
  <si>
    <t>Variance Related to Price</t>
  </si>
  <si>
    <t>Food &amp; Consumer</t>
  </si>
  <si>
    <t>Forest Products</t>
  </si>
  <si>
    <t>Emerging Markets (prior to 1Q '02, Government)</t>
  </si>
  <si>
    <t>Waste and Equipment</t>
  </si>
  <si>
    <t>CSXI:</t>
  </si>
  <si>
    <t xml:space="preserve">Domestic </t>
  </si>
  <si>
    <t>International</t>
  </si>
  <si>
    <t>Coke</t>
  </si>
  <si>
    <t>Iron Ore</t>
  </si>
  <si>
    <t>Utility</t>
  </si>
  <si>
    <t>Metallurgical/Other</t>
  </si>
  <si>
    <t>Metallurgical</t>
  </si>
  <si>
    <t>Thermal</t>
  </si>
  <si>
    <t xml:space="preserve"> </t>
  </si>
  <si>
    <t>2Q89</t>
  </si>
  <si>
    <t>3Q89</t>
  </si>
  <si>
    <t>4Q89</t>
  </si>
  <si>
    <t>1998</t>
  </si>
  <si>
    <t>1999</t>
  </si>
  <si>
    <t>2000</t>
  </si>
  <si>
    <t>2001</t>
  </si>
  <si>
    <t>Carloads (000s)</t>
  </si>
  <si>
    <t>SeaLand expenses</t>
  </si>
  <si>
    <t>Miscellaneous</t>
  </si>
  <si>
    <t>ACL  expenses</t>
  </si>
  <si>
    <t>% Change</t>
  </si>
  <si>
    <t xml:space="preserve">  Gal. used (mm)</t>
  </si>
  <si>
    <t xml:space="preserve">  Average price/gal.</t>
  </si>
  <si>
    <t>Other Income</t>
  </si>
  <si>
    <t>SeaLand Revenues: (Millions)</t>
  </si>
  <si>
    <t>Pacific</t>
  </si>
  <si>
    <t>Atlantic</t>
  </si>
  <si>
    <t>Americas</t>
  </si>
  <si>
    <t>Alaska</t>
  </si>
  <si>
    <t>Asia/Middle East/Europe</t>
  </si>
  <si>
    <t xml:space="preserve">  Shipping Revenues</t>
  </si>
  <si>
    <t>Terminal Services and Other</t>
  </si>
  <si>
    <t>Loads by Region:</t>
  </si>
  <si>
    <t>Eastbound</t>
  </si>
  <si>
    <t>Northbound</t>
  </si>
  <si>
    <t>Westbound</t>
  </si>
  <si>
    <t>Southbound</t>
  </si>
  <si>
    <t>Interport</t>
  </si>
  <si>
    <t xml:space="preserve">   Total  Pacific</t>
  </si>
  <si>
    <t xml:space="preserve">  Total Atlantic</t>
  </si>
  <si>
    <t xml:space="preserve">  Total Americas</t>
  </si>
  <si>
    <t xml:space="preserve">  Total Alaska</t>
  </si>
  <si>
    <t xml:space="preserve">  Total Asia/Middle East/Europe</t>
  </si>
  <si>
    <t xml:space="preserve">  Total Loads</t>
  </si>
  <si>
    <t>Average Rates:</t>
  </si>
  <si>
    <t>Asia/MiddleEast/Europe</t>
  </si>
  <si>
    <t xml:space="preserve">  Total SeaLand Avg. Rate</t>
  </si>
  <si>
    <t>CSX Acquisition</t>
  </si>
  <si>
    <t>Yearly Totals</t>
  </si>
  <si>
    <t>American Commerical Lines</t>
  </si>
  <si>
    <t>Revenues:</t>
  </si>
  <si>
    <t>Grain &amp; Other Bulk</t>
  </si>
  <si>
    <t>Liquids &amp; Non-Bulk</t>
  </si>
  <si>
    <t>Other Bulk</t>
  </si>
  <si>
    <t>Non-Bulk</t>
  </si>
  <si>
    <t xml:space="preserve">  Barge Revenues</t>
  </si>
  <si>
    <t>Marine Construction</t>
  </si>
  <si>
    <t xml:space="preserve">  Total Revenue</t>
  </si>
  <si>
    <t>Tonnage (Thousands)</t>
  </si>
  <si>
    <t xml:space="preserve">  Total Tonnage</t>
  </si>
  <si>
    <t>RTMs (Millions)</t>
  </si>
  <si>
    <t xml:space="preserve">  Total</t>
  </si>
  <si>
    <t>Yield -  Cents per RTM</t>
  </si>
  <si>
    <t xml:space="preserve">  Average Rate</t>
  </si>
  <si>
    <t>Other Segments:</t>
  </si>
  <si>
    <t>Transportation:</t>
  </si>
  <si>
    <t>Other and Eliminations</t>
  </si>
  <si>
    <t>Revenue Effect</t>
  </si>
  <si>
    <t>expense Effect</t>
  </si>
  <si>
    <t xml:space="preserve">Operating Income </t>
  </si>
  <si>
    <t>Real Estate</t>
  </si>
  <si>
    <t>expense</t>
  </si>
  <si>
    <t>Resorts</t>
  </si>
  <si>
    <t>Technology/Other</t>
  </si>
  <si>
    <t>Total Non-Transportation</t>
  </si>
  <si>
    <t>Interest Income</t>
  </si>
  <si>
    <t>Income R.E./ affiliates</t>
  </si>
  <si>
    <t>Sale of Lightnet</t>
  </si>
  <si>
    <t>Sale of 1/3 HK Terminal</t>
  </si>
  <si>
    <t>Rockresorts Sale</t>
  </si>
  <si>
    <t>Shortline Sales</t>
  </si>
  <si>
    <t>Sale of RF&amp;P Stock</t>
  </si>
  <si>
    <t>Net Investment Transactions</t>
  </si>
  <si>
    <t>Discount on Sale of A/R</t>
  </si>
  <si>
    <t>Equity income from ACL</t>
  </si>
  <si>
    <t>CRR Dividend Income-1Q and 4Q 96 entries</t>
  </si>
  <si>
    <t>SFla. for next 3 years at $20-Sold in total 4Q94.</t>
  </si>
  <si>
    <t>Misc includes -7 on early redem debt</t>
  </si>
  <si>
    <t xml:space="preserve">Contract Logistics </t>
  </si>
  <si>
    <t>CTI Revenues</t>
  </si>
  <si>
    <t>CTI Operating expenses</t>
  </si>
  <si>
    <t>CTI Operating Income</t>
  </si>
  <si>
    <t>Operating Income growth</t>
  </si>
  <si>
    <t>Mix Adj. Yield Growth</t>
  </si>
  <si>
    <t>2023/1f</t>
  </si>
  <si>
    <t>2023/2f</t>
  </si>
  <si>
    <t>2023/3f</t>
  </si>
  <si>
    <t>2023/4f</t>
  </si>
  <si>
    <t>Total Freight Revenue</t>
  </si>
  <si>
    <t xml:space="preserve"> Revenue Y/Y%</t>
  </si>
  <si>
    <t xml:space="preserve"> Volume Y/Y%</t>
  </si>
  <si>
    <t>Operating Ratio %</t>
  </si>
  <si>
    <t>Total Volume</t>
  </si>
  <si>
    <t>CSX - Segment Volume</t>
  </si>
  <si>
    <t>($USD/unit)</t>
  </si>
  <si>
    <t xml:space="preserve"> RPU |  Y/Y%</t>
  </si>
  <si>
    <t>Yield Analysis</t>
  </si>
  <si>
    <t>Performance &amp; Safety Metrics</t>
  </si>
  <si>
    <t>CSX - Segment RPU</t>
  </si>
  <si>
    <t>RTMs/Carload |  Yr/ Yr %</t>
  </si>
  <si>
    <t>Carload/Employee (000s)</t>
  </si>
  <si>
    <t>Cost/Employee ($MM)</t>
  </si>
  <si>
    <t>Rev/Employee ($MM)</t>
  </si>
  <si>
    <t xml:space="preserve">  Cents/RTM |  Yr/ Yr %</t>
  </si>
  <si>
    <t>Tons per Carload</t>
  </si>
  <si>
    <t>Total RPU (reported) | includes Trucking &amp; Other</t>
  </si>
  <si>
    <t>Fuel Expense</t>
  </si>
  <si>
    <t>Estimated Locomotive Fuel Consumption (MM Gallons)</t>
  </si>
  <si>
    <t>CSX - Operating Expense Assumptions</t>
  </si>
  <si>
    <t>% of Avg. Debt</t>
  </si>
  <si>
    <t>Professional and administrative</t>
  </si>
  <si>
    <t>Maintenance of way and structures</t>
  </si>
  <si>
    <t>Maintenance of equipment and stores</t>
  </si>
  <si>
    <t>Transportation (other than train and engine)</t>
  </si>
  <si>
    <t>Transportation (train and engine)</t>
  </si>
  <si>
    <t>Adjusted OR %</t>
  </si>
  <si>
    <t>Yr/ Yr change in bps</t>
  </si>
  <si>
    <t>On Highway Diseal</t>
  </si>
  <si>
    <t xml:space="preserve">   Spread</t>
  </si>
  <si>
    <t>CSX's Price Per Gal.</t>
  </si>
  <si>
    <t>Fuel Efficency (Gal./GTMs)</t>
  </si>
  <si>
    <t>2025</t>
  </si>
  <si>
    <t>2024/1f</t>
  </si>
  <si>
    <t>2024/2f</t>
  </si>
  <si>
    <t>2024/3f</t>
  </si>
  <si>
    <t>2024/4f</t>
  </si>
  <si>
    <t>2025/1f</t>
  </si>
  <si>
    <t>2025/2f</t>
  </si>
  <si>
    <t>2025/3f</t>
  </si>
  <si>
    <t>2025/4f</t>
  </si>
  <si>
    <t>2026</t>
  </si>
  <si>
    <t>Labor &amp; fringe / Employee (adj.)</t>
  </si>
  <si>
    <t>Labor and fringe (adj.)</t>
  </si>
  <si>
    <t>Source: Company data, STB and Wells Fargo Securities, LLC estimates.</t>
  </si>
  <si>
    <t>Quarterly Rev, Exp &amp; Income Report (30 days after Quarter Close)</t>
  </si>
  <si>
    <t>Surface Transportation Board (stb.gov)</t>
  </si>
  <si>
    <t>Quarterly Condensed Balance Sheet (30 days after Quarter Close)</t>
  </si>
  <si>
    <t>Gross Capex for Additions &amp; Betterments</t>
  </si>
  <si>
    <t>Road</t>
  </si>
  <si>
    <t>Revenue Tons Carried</t>
  </si>
  <si>
    <t>Revenue Ton Miles (000s)</t>
  </si>
  <si>
    <t>Rail Fuel Surcharge (30 days after Quarter End)</t>
  </si>
  <si>
    <t>Monthly Employment (15th day of Month)</t>
  </si>
  <si>
    <t>Executives, officials, and staff assistants (avg. qtr| calc )</t>
  </si>
  <si>
    <t>Month 1</t>
  </si>
  <si>
    <t>Month 2</t>
  </si>
  <si>
    <t>Month 3</t>
  </si>
  <si>
    <t>All Employees</t>
  </si>
  <si>
    <t>Railroad Reported</t>
  </si>
  <si>
    <t>Fuel Cost ($)</t>
  </si>
  <si>
    <t>Gallons of
Fuel Consumed</t>
  </si>
  <si>
    <t>Revenue from Fuel Surcharges ($)</t>
  </si>
  <si>
    <t>Revenue from FSC on Regulated Traffic ($)</t>
  </si>
  <si>
    <t>Revenue from FSC on Unregulated Traffic ($)</t>
  </si>
  <si>
    <t>($ in millions unless otherwise stated)</t>
  </si>
  <si>
    <t xml:space="preserve">CSX - STB Supplemental </t>
  </si>
  <si>
    <t>Christian Wetherbee</t>
  </si>
  <si>
    <t>Christian.Wetherbee@wellsfargo.com</t>
  </si>
  <si>
    <t>CSX - Summary</t>
  </si>
  <si>
    <t>Employees, CSXT</t>
  </si>
  <si>
    <t>Employees, CSXI</t>
  </si>
  <si>
    <t>Employees, SeaLand</t>
  </si>
  <si>
    <t>Employees, ACL</t>
  </si>
  <si>
    <t>Sea Land</t>
  </si>
  <si>
    <t>ACL</t>
  </si>
  <si>
    <t>X</t>
  </si>
  <si>
    <t>Average Rate per Ton (Yearly data)</t>
  </si>
  <si>
    <t>CSX - Disc. Ops</t>
  </si>
  <si>
    <t>Historical Expenses</t>
  </si>
  <si>
    <t>CSXT:</t>
  </si>
  <si>
    <t>Contract Logisitics</t>
  </si>
  <si>
    <t>Rev</t>
  </si>
  <si>
    <t>OpEx</t>
  </si>
  <si>
    <t>Other/Elimination - Transportation</t>
  </si>
  <si>
    <t>Sea Land Fuel Exp</t>
  </si>
  <si>
    <t>ACL Fuel Exp</t>
  </si>
  <si>
    <t>Employees (historical)</t>
  </si>
  <si>
    <t>Headcount Metrics</t>
  </si>
  <si>
    <t>Revenue Drivers</t>
  </si>
  <si>
    <t>Chemicals Revenue</t>
  </si>
  <si>
    <t>YoY Change (%)</t>
  </si>
  <si>
    <t>Revenue per carload ($)</t>
  </si>
  <si>
    <t>Fertilizer Revenue</t>
  </si>
  <si>
    <t>Automotive Revenue</t>
  </si>
  <si>
    <t>Intermodal Revenue</t>
  </si>
  <si>
    <t>Agricultural and Food Product Revenue</t>
  </si>
  <si>
    <t>Mineral Revenue</t>
  </si>
  <si>
    <t>Metals and Equipment Revenue</t>
  </si>
  <si>
    <t>Forest Product Revenue</t>
  </si>
  <si>
    <t>Merchandise Revenue</t>
  </si>
  <si>
    <t>Coal Revenue</t>
  </si>
  <si>
    <t>Freight Revenue (Ex-Truck &amp; Other)</t>
  </si>
  <si>
    <t>Matthew Hortopan</t>
  </si>
  <si>
    <t>212-214-5009</t>
  </si>
  <si>
    <t>Matthew.F.Hortopan@wellsfargo.com</t>
  </si>
  <si>
    <t>Robert Salmon, CFA</t>
  </si>
  <si>
    <t>212-214-5016</t>
  </si>
  <si>
    <t>Robert.H.Salmon@wellsfargo.com</t>
  </si>
  <si>
    <t>Senior Analyst</t>
  </si>
  <si>
    <t>212-214-8053</t>
  </si>
  <si>
    <t>Research Analyst</t>
  </si>
  <si>
    <t>red font = assumption input</t>
  </si>
  <si>
    <t>CSX Income Statement</t>
  </si>
  <si>
    <t>CSX Revenues</t>
  </si>
  <si>
    <t>CSX Expenses</t>
  </si>
  <si>
    <t>CSX Balance Sheet</t>
  </si>
  <si>
    <t>CSX Cash Flow</t>
  </si>
  <si>
    <t>RPU (incl. other rev &amp; trucking)</t>
  </si>
  <si>
    <t>CSX Share Repurchases</t>
  </si>
  <si>
    <t>Beginning Share count</t>
  </si>
  <si>
    <t>(Repurchases of common stock)</t>
  </si>
  <si>
    <t>Share issuances</t>
  </si>
  <si>
    <t>Ending Share count (BS)</t>
  </si>
  <si>
    <t>Share Repurchases:</t>
  </si>
  <si>
    <t>Repurchase Price:</t>
  </si>
  <si>
    <t>Dilutive effects</t>
  </si>
  <si>
    <t>Average diluted shares</t>
  </si>
  <si>
    <t>Dilutive effect (%)</t>
  </si>
  <si>
    <t>Repurchases ($MM)</t>
  </si>
  <si>
    <t>$—</t>
  </si>
  <si>
    <t>z</t>
  </si>
  <si>
    <t>CSX - Revenue Drivers</t>
  </si>
  <si>
    <t>CSX STB Supplemental</t>
  </si>
  <si>
    <t>Average OHW</t>
  </si>
  <si>
    <r>
      <t xml:space="preserve">Average </t>
    </r>
    <r>
      <rPr>
        <u/>
        <sz val="10"/>
        <rFont val="Times New Roman"/>
        <family val="1"/>
      </rPr>
      <t>basic</t>
    </r>
    <r>
      <rPr>
        <sz val="10"/>
        <rFont val="Times New Roman"/>
        <family val="1"/>
      </rPr>
      <t xml:space="preserve"> shares</t>
    </r>
  </si>
  <si>
    <t>1Q25</t>
  </si>
  <si>
    <t>2Q25</t>
  </si>
  <si>
    <t>3Q25</t>
  </si>
  <si>
    <t>4Q25</t>
  </si>
  <si>
    <t>1Q26E</t>
  </si>
  <si>
    <t>2Q26E</t>
  </si>
  <si>
    <t>3Q26E</t>
  </si>
  <si>
    <t>4Q26E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</si>
</sst>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5" formatCode="&quot;$&quot;#,##0_);\(&quot;$&quot;#,##0\)"/>
    <numFmt numFmtId="7" formatCode="&quot;$&quot;#,##0.00_);\(&quot;$&quot;#,##0.00\)"/>
    <numFmt numFmtId="8" formatCode="&quot;$&quot;#,##0.00_);[Red]\(&quot;$&quot;#,##0.00\)"/>
    <numFmt numFmtId="44" formatCode="_(&quot;$&quot;* #,##0.00_);_(&quot;$&quot;* \(#,##0.00\);_(&quot;$&quot;* &quot;-&quot;??_);_(@_)"/>
    <numFmt numFmtId="43" formatCode="_(* #,##0.00_);_(* \(#,##0.00\);_(* &quot;-&quot;??_);_(@_)"/>
    <numFmt numFmtId="164" formatCode="mmmm\ d\,\ yyyy"/>
    <numFmt numFmtId="165" formatCode="0.0%\ ;[Red]\(0.0\)%"/>
    <numFmt numFmtId="166" formatCode="#,##0.0_);\(#,##0.0\)"/>
    <numFmt numFmtId="167" formatCode="[$$-409]#,##0.0_);\([$$-409]#,##0.0\)"/>
    <numFmt numFmtId="168" formatCode="0.0%;\(0.0%\)"/>
    <numFmt numFmtId="169" formatCode="0.0%\ ;\(0.0\)%"/>
    <numFmt numFmtId="170" formatCode="&quot;$&quot;#,##0.0_);\(&quot;$&quot;#,##0.0\);&quot;$&quot;#,##0.0_);@_)"/>
    <numFmt numFmtId="171" formatCode="[$$-409]#,##0_);\([$$-409]#,##0\)"/>
    <numFmt numFmtId="172" formatCode="[$$-409]#,##0.00_);\([$$-409]#,##0.00\)"/>
    <numFmt numFmtId="173" formatCode="#,##0.0_);\(#,##0.0\);#,##0.0_);@_)"/>
    <numFmt numFmtId="174" formatCode="0.0%_);\(0.0%\);0.0%_);@_)"/>
    <numFmt numFmtId="175" formatCode="&quot;$&quot;#,##0.0_);\(&quot;$&quot;#,##0.0\)"/>
    <numFmt numFmtId="176" formatCode="0.0%;\ \(0.0%\)"/>
    <numFmt numFmtId="177" formatCode="&quot;$&quot;#,##0.00_);\(&quot;$&quot;#,##0.00\);&quot;$&quot;#,##0.00_);@_)"/>
    <numFmt numFmtId="178" formatCode="#,##0.00_);\(#,##0.00\);#,##0.00_);@_)"/>
    <numFmt numFmtId="179" formatCode="[$-409]mmmm\ d\,\ yyyy;@"/>
    <numFmt numFmtId="180" formatCode="mmm\-d\-yy"/>
    <numFmt numFmtId="181" formatCode="General_)"/>
    <numFmt numFmtId="182" formatCode="&quot;$&quot;#,##0_);\(&quot;$&quot;#,##0\);&quot;$&quot;#,##0_);@_)"/>
    <numFmt numFmtId="183" formatCode="0.0%"/>
    <numFmt numFmtId="184" formatCode="#,##0.0"/>
    <numFmt numFmtId="185" formatCode="0.0"/>
    <numFmt numFmtId="186" formatCode="#,##0.0_)&quot;x&quot;;\(#,##0.0\)&quot;x&quot;"/>
    <numFmt numFmtId="187" formatCode="_(&quot;$&quot;* #,##0_);_(&quot;$&quot;* \(#,##0\);_(&quot;$&quot;* &quot;-&quot;??_);_(@_)"/>
    <numFmt numFmtId="188" formatCode="0.0%_);\(0.0%\)"/>
    <numFmt numFmtId="189" formatCode="&quot;$&quot;#,##0.000_);\(&quot;$&quot;#,##0.000\)"/>
    <numFmt numFmtId="190" formatCode="0_);\(0\)"/>
    <numFmt numFmtId="191" formatCode="&quot;$&quot;#,##0.00"/>
    <numFmt numFmtId="192" formatCode="_(&quot;$&quot;* #,##0.0_);_(&quot;$&quot;* \(#,##0.0\);_(&quot;$&quot;* &quot;-&quot;??_);_(@_)"/>
    <numFmt numFmtId="193" formatCode="#,##0_)&quot;bps&quot;;\(#,##0\)\ &quot;bps&quot;"/>
    <numFmt numFmtId="194" formatCode="[$-409]mmm\-yy;@"/>
    <numFmt numFmtId="195" formatCode="@&quot;&quot;"/>
    <numFmt numFmtId="196" formatCode="_(* #,##0.0_);_(* \(#,##0.0\);_(* &quot;-&quot;??_);_(@_)"/>
    <numFmt numFmtId="197" formatCode="_(* #,##0_);_(* \(#,##0\);_(* &quot;-&quot;??_);_(@_)"/>
    <numFmt numFmtId="198" formatCode="\$#,##0.00"/>
    <numFmt numFmtId="199" formatCode="\$#,###"/>
  </numFmts>
  <fonts count="85" x14ac:knownFonts="1">
    <font>
      <sz val="11"/>
      <color theme="1"/>
      <name val="Calibri"/>
      <family val="2"/>
      <scheme val="minor"/>
    </font>
    <font>
      <sz val="8"/>
      <name val="Helv"/>
    </font>
    <font>
      <sz val="10"/>
      <name val="Arial"/>
      <family val="2"/>
    </font>
    <font>
      <b/>
      <sz val="9"/>
      <color indexed="81"/>
      <name val="Tahoma"/>
      <family val="2"/>
    </font>
    <font>
      <sz val="9"/>
      <color indexed="81"/>
      <name val="Tahoma"/>
      <family val="2"/>
    </font>
    <font>
      <sz val="11"/>
      <color theme="1"/>
      <name val="Calibri"/>
      <family val="2"/>
      <scheme val="minor"/>
    </font>
    <font>
      <sz val="10"/>
      <name val="Courier"/>
      <family val="3"/>
    </font>
    <font>
      <b/>
      <sz val="10"/>
      <color theme="1"/>
      <name val="Calibri"/>
      <family val="2"/>
      <scheme val="minor"/>
    </font>
    <font>
      <sz val="10"/>
      <color theme="1"/>
      <name val="Calibri"/>
      <family val="2"/>
      <scheme val="minor"/>
    </font>
    <font>
      <sz val="10"/>
      <color theme="1"/>
      <name val="Arial"/>
      <family val="2"/>
    </font>
    <font>
      <sz val="10"/>
      <name val="Verdana"/>
      <family val="2"/>
    </font>
    <font>
      <u/>
      <sz val="8"/>
      <color indexed="12"/>
      <name val="Helv"/>
    </font>
    <font>
      <i/>
      <sz val="8"/>
      <name val="Verdana"/>
      <family val="2"/>
    </font>
    <font>
      <sz val="10"/>
      <color theme="1"/>
      <name val="Verdana"/>
      <family val="2"/>
    </font>
    <font>
      <sz val="10"/>
      <name val="Times New Roman"/>
      <family val="1"/>
    </font>
    <font>
      <sz val="10"/>
      <name val="MS Sans Serif"/>
      <family val="2"/>
    </font>
    <font>
      <sz val="24"/>
      <color theme="1"/>
      <name val="Georgia"/>
      <family val="1"/>
    </font>
    <font>
      <b/>
      <sz val="12"/>
      <color theme="1"/>
      <name val="Verdana"/>
      <family val="2"/>
    </font>
    <font>
      <b/>
      <sz val="9"/>
      <color theme="1"/>
      <name val="Arial"/>
      <family val="2"/>
    </font>
    <font>
      <b/>
      <sz val="9"/>
      <color theme="1"/>
      <name val="Verdana"/>
      <family val="2"/>
    </font>
    <font>
      <sz val="13"/>
      <name val="Arial"/>
      <family val="2"/>
    </font>
    <font>
      <b/>
      <sz val="9"/>
      <name val="Verdana"/>
      <family val="2"/>
    </font>
    <font>
      <sz val="13"/>
      <color theme="1"/>
      <name val="Arial"/>
      <family val="2"/>
    </font>
    <font>
      <sz val="26"/>
      <color rgb="FFD71E28"/>
      <name val="Georgia"/>
      <family val="1"/>
    </font>
    <font>
      <b/>
      <sz val="18"/>
      <color theme="3"/>
      <name val="Georgia"/>
      <family val="1"/>
    </font>
    <font>
      <sz val="13"/>
      <color rgb="FFD71E28"/>
      <name val="Georgia"/>
      <family val="1"/>
    </font>
    <font>
      <b/>
      <sz val="11"/>
      <name val="Verdana"/>
      <family val="2"/>
    </font>
    <font>
      <sz val="9"/>
      <name val="Arial"/>
      <family val="2"/>
    </font>
    <font>
      <sz val="11"/>
      <name val="Arial"/>
      <family val="2"/>
    </font>
    <font>
      <sz val="9.5"/>
      <name val="Arial"/>
      <family val="2"/>
    </font>
    <font>
      <u/>
      <sz val="10"/>
      <color theme="10"/>
      <name val="Arial"/>
      <family val="2"/>
    </font>
    <font>
      <u/>
      <sz val="9.5"/>
      <color rgb="FF0000FF"/>
      <name val="Arial"/>
      <family val="2"/>
    </font>
    <font>
      <u/>
      <sz val="9.5"/>
      <color theme="10"/>
      <name val="Arial"/>
      <family val="2"/>
    </font>
    <font>
      <u/>
      <sz val="9.5"/>
      <color theme="10"/>
      <name val="Verdana"/>
      <family val="2"/>
    </font>
    <font>
      <u/>
      <sz val="9.5"/>
      <color rgb="FF0000FF"/>
      <name val="Verdana"/>
      <family val="2"/>
    </font>
    <font>
      <b/>
      <sz val="10.5"/>
      <name val="Arial"/>
      <family val="2"/>
    </font>
    <font>
      <u/>
      <sz val="10"/>
      <color rgb="FF5A469B"/>
      <name val="Arial"/>
      <family val="2"/>
    </font>
    <font>
      <b/>
      <sz val="8"/>
      <color indexed="81"/>
      <name val="Tahoma"/>
      <family val="2"/>
    </font>
    <font>
      <sz val="8"/>
      <color indexed="81"/>
      <name val="Tahoma"/>
      <family val="2"/>
    </font>
    <font>
      <b/>
      <sz val="10"/>
      <color indexed="81"/>
      <name val="Tahoma"/>
      <family val="2"/>
    </font>
    <font>
      <sz val="10"/>
      <color indexed="81"/>
      <name val="Tahoma"/>
      <family val="2"/>
    </font>
    <font>
      <sz val="11"/>
      <color indexed="81"/>
      <name val="Tahoma"/>
      <family val="2"/>
    </font>
    <font>
      <u/>
      <sz val="9.5"/>
      <color theme="7"/>
      <name val="Arial"/>
      <family val="2"/>
    </font>
    <font>
      <i/>
      <sz val="8"/>
      <color rgb="FFFF0000"/>
      <name val="Verdana"/>
      <family val="2"/>
    </font>
    <font>
      <sz val="10"/>
      <color theme="1"/>
      <name val="Times New Roman"/>
      <family val="1"/>
    </font>
    <font>
      <sz val="10"/>
      <color indexed="9"/>
      <name val="Times New Roman"/>
      <family val="1"/>
    </font>
    <font>
      <sz val="10"/>
      <color theme="0"/>
      <name val="Times New Roman"/>
      <family val="1"/>
    </font>
    <font>
      <b/>
      <sz val="10"/>
      <name val="Times New Roman"/>
      <family val="1"/>
    </font>
    <font>
      <b/>
      <sz val="10"/>
      <color theme="1"/>
      <name val="Times New Roman"/>
      <family val="1"/>
    </font>
    <font>
      <b/>
      <sz val="10"/>
      <color rgb="FF0000FF"/>
      <name val="Times New Roman"/>
      <family val="1"/>
    </font>
    <font>
      <i/>
      <sz val="10"/>
      <name val="Times New Roman"/>
      <family val="1"/>
    </font>
    <font>
      <i/>
      <sz val="10"/>
      <color theme="1"/>
      <name val="Times New Roman"/>
      <family val="1"/>
    </font>
    <font>
      <i/>
      <sz val="10"/>
      <color rgb="FF0000FF"/>
      <name val="Times New Roman"/>
      <family val="1"/>
    </font>
    <font>
      <sz val="10"/>
      <color rgb="FF0000FF"/>
      <name val="Times New Roman"/>
      <family val="1"/>
    </font>
    <font>
      <sz val="10"/>
      <color indexed="12"/>
      <name val="Times New Roman"/>
      <family val="1"/>
    </font>
    <font>
      <b/>
      <sz val="10"/>
      <color indexed="12"/>
      <name val="Times New Roman"/>
      <family val="1"/>
    </font>
    <font>
      <sz val="11"/>
      <name val="Times New Roman"/>
      <family val="1"/>
    </font>
    <font>
      <sz val="11"/>
      <color theme="1"/>
      <name val="Times New Roman"/>
      <family val="1"/>
    </font>
    <font>
      <b/>
      <sz val="11"/>
      <name val="Times New Roman"/>
      <family val="1"/>
    </font>
    <font>
      <b/>
      <sz val="11"/>
      <color theme="1"/>
      <name val="Times New Roman"/>
      <family val="1"/>
    </font>
    <font>
      <b/>
      <sz val="11"/>
      <color rgb="FF0000FF"/>
      <name val="Times New Roman"/>
      <family val="1"/>
    </font>
    <font>
      <i/>
      <sz val="11"/>
      <name val="Times New Roman"/>
      <family val="1"/>
    </font>
    <font>
      <b/>
      <sz val="11"/>
      <color rgb="FFFF0000"/>
      <name val="Times New Roman"/>
      <family val="1"/>
    </font>
    <font>
      <sz val="11"/>
      <color rgb="FF0000FF"/>
      <name val="Times New Roman"/>
      <family val="1"/>
    </font>
    <font>
      <b/>
      <sz val="20"/>
      <color indexed="9"/>
      <name val="Times New Roman"/>
      <family val="1"/>
    </font>
    <font>
      <b/>
      <sz val="10"/>
      <color theme="0"/>
      <name val="Times New Roman"/>
      <family val="1"/>
    </font>
    <font>
      <b/>
      <sz val="11"/>
      <color theme="0"/>
      <name val="Times New Roman"/>
      <family val="1"/>
    </font>
    <font>
      <b/>
      <sz val="10"/>
      <color indexed="9"/>
      <name val="Times New Roman"/>
      <family val="1"/>
    </font>
    <font>
      <sz val="10"/>
      <color rgb="FFFF0000"/>
      <name val="Times New Roman"/>
      <family val="1"/>
    </font>
    <font>
      <i/>
      <sz val="10"/>
      <color rgb="FFFF0000"/>
      <name val="Times New Roman"/>
      <family val="1"/>
    </font>
    <font>
      <u val="singleAccounting"/>
      <sz val="10"/>
      <color theme="1"/>
      <name val="Times New Roman"/>
      <family val="1"/>
    </font>
    <font>
      <u val="singleAccounting"/>
      <sz val="10"/>
      <color rgb="FFFF0000"/>
      <name val="Times New Roman"/>
      <family val="1"/>
    </font>
    <font>
      <sz val="10"/>
      <color rgb="FF000000"/>
      <name val="Times New Roman"/>
      <family val="1"/>
    </font>
    <font>
      <b/>
      <sz val="10"/>
      <color rgb="FF000000"/>
      <name val="Times New Roman"/>
      <family val="1"/>
    </font>
    <font>
      <i/>
      <sz val="10"/>
      <color rgb="FF000000"/>
      <name val="Times New Roman"/>
      <family val="1"/>
    </font>
    <font>
      <u/>
      <sz val="10"/>
      <name val="Times New Roman"/>
      <family val="1"/>
    </font>
    <font>
      <u/>
      <sz val="10"/>
      <color theme="1"/>
      <name val="Times New Roman"/>
      <family val="1"/>
    </font>
    <font>
      <u/>
      <sz val="10"/>
      <color rgb="FF0000FF"/>
      <name val="Times New Roman"/>
      <family val="1"/>
    </font>
    <font>
      <u/>
      <sz val="11"/>
      <color theme="1"/>
      <name val="Times New Roman"/>
      <family val="1"/>
    </font>
    <font>
      <b/>
      <i/>
      <sz val="10"/>
      <name val="Times New Roman"/>
      <family val="1"/>
    </font>
    <font>
      <b/>
      <sz val="10"/>
      <color rgb="FFFF0000"/>
      <name val="Times New Roman"/>
      <family val="1"/>
    </font>
    <font>
      <b/>
      <i/>
      <sz val="10"/>
      <color rgb="FFFF0000"/>
      <name val="Times New Roman"/>
      <family val="1"/>
    </font>
    <font>
      <b/>
      <u val="singleAccounting"/>
      <sz val="10"/>
      <color rgb="FFFF0000"/>
      <name val="Times New Roman"/>
      <family val="1"/>
    </font>
    <font>
      <b/>
      <i/>
      <sz val="10"/>
      <color rgb="FF0000FF"/>
      <name val="Times New Roman"/>
      <family val="1"/>
    </font>
    <font>
      <sz val="10"/>
      <name val="Arial"/>
      <family val="2"/>
    </font>
  </fonts>
  <fills count="11">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tint="-0.14999847407452621"/>
        <bgColor indexed="64"/>
      </patternFill>
    </fill>
    <fill>
      <patternFill patternType="solid">
        <fgColor rgb="FFC00000"/>
        <bgColor indexed="64"/>
      </patternFill>
    </fill>
    <fill>
      <patternFill patternType="solid">
        <fgColor theme="0"/>
        <bgColor indexed="64"/>
      </patternFill>
    </fill>
    <fill>
      <patternFill patternType="solid">
        <fgColor theme="1"/>
        <bgColor indexed="64"/>
      </patternFill>
    </fill>
    <fill>
      <patternFill patternType="solid">
        <fgColor indexed="22"/>
        <bgColor indexed="64"/>
      </patternFill>
    </fill>
    <fill>
      <patternFill patternType="solid">
        <fgColor rgb="FFFFCD41"/>
        <bgColor indexed="64"/>
      </patternFill>
    </fill>
    <fill>
      <patternFill patternType="solid">
        <fgColor theme="3" tint="0.59999389629810485"/>
        <bgColor indexed="64"/>
      </patternFill>
    </fill>
  </fills>
  <borders count="12">
    <border>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top style="thin">
        <color indexed="64"/>
      </top>
      <bottom style="double">
        <color indexed="64"/>
      </bottom>
      <diagonal/>
    </border>
    <border>
      <left/>
      <right/>
      <top/>
      <bottom style="medium">
        <color indexed="64"/>
      </bottom>
      <diagonal/>
    </border>
    <border>
      <left/>
      <right/>
      <top style="medium">
        <color indexed="64"/>
      </top>
      <bottom/>
      <diagonal/>
    </border>
  </borders>
  <cellStyleXfs count="23">
    <xf numFmtId="0" fontId="0" fillId="0" borderId="0"/>
    <xf numFmtId="0" fontId="1" fillId="0" borderId="0"/>
    <xf numFmtId="0" fontId="2" fillId="0" borderId="0"/>
    <xf numFmtId="181" fontId="6" fillId="0" borderId="0"/>
    <xf numFmtId="166" fontId="2" fillId="0" borderId="0" applyFont="0" applyFill="0" applyBorder="0" applyAlignment="0"/>
    <xf numFmtId="44" fontId="5" fillId="0" borderId="0" applyFont="0" applyFill="0" applyBorder="0" applyAlignment="0" applyProtection="0"/>
    <xf numFmtId="9" fontId="5" fillId="0" borderId="0" applyFont="0" applyFill="0" applyBorder="0" applyAlignment="0" applyProtection="0"/>
    <xf numFmtId="0" fontId="11" fillId="0" borderId="0" applyNumberFormat="0" applyFill="0" applyBorder="0" applyAlignment="0" applyProtection="0">
      <alignment vertical="top"/>
      <protection locked="0"/>
    </xf>
    <xf numFmtId="0" fontId="14" fillId="0" borderId="0" applyNumberFormat="0" applyFont="0" applyFill="0" applyBorder="0" applyAlignment="0" applyProtection="0"/>
    <xf numFmtId="0" fontId="2" fillId="0" borderId="0" applyNumberFormat="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0" fontId="1" fillId="0" borderId="0"/>
    <xf numFmtId="0" fontId="2" fillId="0" borderId="0"/>
    <xf numFmtId="3" fontId="27" fillId="0" borderId="0"/>
    <xf numFmtId="0" fontId="9" fillId="0" borderId="0"/>
    <xf numFmtId="0" fontId="30" fillId="0" borderId="0" applyNumberFormat="0" applyFill="0" applyBorder="0" applyAlignment="0" applyProtection="0"/>
    <xf numFmtId="0" fontId="14" fillId="0" borderId="0" applyNumberFormat="0" applyFont="0" applyFill="0" applyBorder="0" applyAlignment="0" applyProtection="0"/>
    <xf numFmtId="40" fontId="15" fillId="0" borderId="0" applyFont="0" applyFill="0" applyBorder="0" applyAlignment="0" applyProtection="0"/>
    <xf numFmtId="8" fontId="15" fillId="0" borderId="0" applyFont="0" applyFill="0" applyBorder="0" applyAlignment="0" applyProtection="0"/>
    <xf numFmtId="0" fontId="15" fillId="0" borderId="0" applyNumberFormat="0" applyFont="0" applyFill="0" applyBorder="0" applyAlignment="0" applyProtection="0"/>
    <xf numFmtId="0" fontId="15" fillId="0" borderId="0" applyNumberFormat="0" applyFont="0" applyFill="0" applyBorder="0" applyAlignment="0" applyProtection="0"/>
    <xf numFmtId="43" fontId="5" fillId="0" borderId="0" applyFont="0" applyFill="0" applyBorder="0" applyAlignment="0" applyProtection="0"/>
  </cellStyleXfs>
  <cellXfs count="759">
    <xf numFmtId="0" fontId="0" fillId="0" borderId="0" xfId="0"/>
    <xf numFmtId="0" fontId="12" fillId="0" borderId="0" xfId="2" applyFont="1"/>
    <xf numFmtId="3" fontId="0" fillId="0" borderId="0" xfId="0" applyNumberFormat="1"/>
    <xf numFmtId="0" fontId="10" fillId="0" borderId="0" xfId="13" applyFont="1"/>
    <xf numFmtId="0" fontId="10" fillId="6" borderId="0" xfId="13" applyFont="1" applyFill="1"/>
    <xf numFmtId="0" fontId="10" fillId="9" borderId="0" xfId="13" applyFont="1" applyFill="1"/>
    <xf numFmtId="0" fontId="16" fillId="0" borderId="0" xfId="13" applyFont="1"/>
    <xf numFmtId="0" fontId="17" fillId="0" borderId="0" xfId="13" applyFont="1"/>
    <xf numFmtId="0" fontId="18" fillId="0" borderId="0" xfId="13" applyFont="1"/>
    <xf numFmtId="0" fontId="19" fillId="0" borderId="0" xfId="13" applyFont="1"/>
    <xf numFmtId="0" fontId="20" fillId="0" borderId="0" xfId="13" applyFont="1"/>
    <xf numFmtId="0" fontId="21" fillId="0" borderId="0" xfId="13" applyFont="1"/>
    <xf numFmtId="0" fontId="22" fillId="0" borderId="0" xfId="13" applyFont="1"/>
    <xf numFmtId="179" fontId="22" fillId="0" borderId="0" xfId="13" applyNumberFormat="1" applyFont="1" applyAlignment="1">
      <alignment horizontal="left"/>
    </xf>
    <xf numFmtId="0" fontId="23" fillId="0" borderId="0" xfId="13" applyFont="1"/>
    <xf numFmtId="0" fontId="24" fillId="0" borderId="0" xfId="13" applyFont="1"/>
    <xf numFmtId="0" fontId="13" fillId="0" borderId="0" xfId="13" applyFont="1"/>
    <xf numFmtId="0" fontId="10" fillId="10" borderId="0" xfId="13" applyFont="1" applyFill="1"/>
    <xf numFmtId="0" fontId="25" fillId="0" borderId="0" xfId="13" applyFont="1"/>
    <xf numFmtId="0" fontId="26" fillId="0" borderId="0" xfId="13" applyFont="1"/>
    <xf numFmtId="0" fontId="29" fillId="3" borderId="0" xfId="14" applyNumberFormat="1" applyFont="1" applyFill="1" applyAlignment="1">
      <alignment horizontal="left" vertical="center"/>
    </xf>
    <xf numFmtId="49" fontId="29" fillId="3" borderId="0" xfId="14" applyNumberFormat="1" applyFont="1" applyFill="1" applyAlignment="1">
      <alignment horizontal="left" vertical="center"/>
    </xf>
    <xf numFmtId="0" fontId="31" fillId="3" borderId="0" xfId="14" applyNumberFormat="1" applyFont="1" applyFill="1" applyAlignment="1">
      <alignment horizontal="left" vertical="center"/>
    </xf>
    <xf numFmtId="0" fontId="32" fillId="3" borderId="0" xfId="16" applyNumberFormat="1" applyFont="1" applyFill="1" applyAlignment="1">
      <alignment horizontal="left" vertical="center"/>
    </xf>
    <xf numFmtId="0" fontId="33" fillId="3" borderId="0" xfId="16" applyNumberFormat="1" applyFont="1" applyFill="1" applyAlignment="1">
      <alignment horizontal="left" vertical="center"/>
    </xf>
    <xf numFmtId="0" fontId="34" fillId="3" borderId="0" xfId="14" applyNumberFormat="1" applyFont="1" applyFill="1" applyAlignment="1">
      <alignment horizontal="left" vertical="center"/>
    </xf>
    <xf numFmtId="0" fontId="35" fillId="0" borderId="0" xfId="16" applyNumberFormat="1" applyFont="1" applyFill="1" applyAlignment="1">
      <alignment horizontal="left" vertical="center"/>
    </xf>
    <xf numFmtId="0" fontId="34" fillId="0" borderId="0" xfId="14" applyNumberFormat="1" applyFont="1" applyAlignment="1">
      <alignment horizontal="left" vertical="center"/>
    </xf>
    <xf numFmtId="0" fontId="33" fillId="0" borderId="0" xfId="16" applyNumberFormat="1" applyFont="1" applyFill="1" applyAlignment="1">
      <alignment horizontal="left" vertical="center"/>
    </xf>
    <xf numFmtId="0" fontId="36" fillId="0" borderId="0" xfId="16" applyFont="1"/>
    <xf numFmtId="179" fontId="28" fillId="3" borderId="0" xfId="14" applyNumberFormat="1" applyFont="1" applyFill="1" applyAlignment="1">
      <alignment horizontal="left"/>
    </xf>
    <xf numFmtId="0" fontId="2" fillId="0" borderId="0" xfId="13"/>
    <xf numFmtId="49" fontId="29" fillId="0" borderId="0" xfId="14" applyNumberFormat="1" applyFont="1" applyAlignment="1">
      <alignment horizontal="left" vertical="center"/>
    </xf>
    <xf numFmtId="0" fontId="42" fillId="0" borderId="0" xfId="15" applyFont="1"/>
    <xf numFmtId="166" fontId="43" fillId="0" borderId="0" xfId="3" applyNumberFormat="1" applyFont="1"/>
    <xf numFmtId="0" fontId="14" fillId="0" borderId="0" xfId="1" applyFont="1"/>
    <xf numFmtId="0" fontId="44" fillId="0" borderId="0" xfId="0" applyFont="1" applyAlignment="1">
      <alignment horizontal="left"/>
    </xf>
    <xf numFmtId="0" fontId="44" fillId="0" borderId="0" xfId="0" applyFont="1"/>
    <xf numFmtId="166" fontId="45" fillId="0" borderId="0" xfId="4" applyFont="1" applyFill="1" applyBorder="1"/>
    <xf numFmtId="0" fontId="45" fillId="2" borderId="5" xfId="2" applyFont="1" applyFill="1" applyBorder="1" applyAlignment="1">
      <alignment horizontal="left"/>
    </xf>
    <xf numFmtId="0" fontId="45" fillId="2" borderId="5" xfId="2" applyFont="1" applyFill="1" applyBorder="1" applyAlignment="1">
      <alignment horizontal="center"/>
    </xf>
    <xf numFmtId="166" fontId="45" fillId="0" borderId="0" xfId="4" applyFont="1" applyFill="1" applyBorder="1" applyAlignment="1">
      <alignment horizontal="center"/>
    </xf>
    <xf numFmtId="1" fontId="46" fillId="7" borderId="1" xfId="0" quotePrefix="1" applyNumberFormat="1" applyFont="1" applyFill="1" applyBorder="1" applyAlignment="1">
      <alignment horizontal="left"/>
    </xf>
    <xf numFmtId="1" fontId="46" fillId="7" borderId="1" xfId="0" quotePrefix="1" applyNumberFormat="1" applyFont="1" applyFill="1" applyBorder="1" applyAlignment="1">
      <alignment horizontal="center"/>
    </xf>
    <xf numFmtId="194" fontId="46" fillId="7" borderId="1" xfId="0" quotePrefix="1" applyNumberFormat="1" applyFont="1" applyFill="1" applyBorder="1" applyAlignment="1">
      <alignment horizontal="center"/>
    </xf>
    <xf numFmtId="0" fontId="53" fillId="0" borderId="0" xfId="0" applyFont="1"/>
    <xf numFmtId="0" fontId="47" fillId="0" borderId="0" xfId="1" applyFont="1" applyAlignment="1">
      <alignment horizontal="center"/>
    </xf>
    <xf numFmtId="0" fontId="45" fillId="2" borderId="4" xfId="2" applyFont="1" applyFill="1" applyBorder="1" applyAlignment="1">
      <alignment horizontal="center"/>
    </xf>
    <xf numFmtId="165" fontId="50" fillId="0" borderId="0" xfId="1" applyNumberFormat="1" applyFont="1"/>
    <xf numFmtId="174" fontId="51" fillId="0" borderId="0" xfId="1" applyNumberFormat="1" applyFont="1" applyAlignment="1">
      <alignment horizontal="right"/>
    </xf>
    <xf numFmtId="0" fontId="51" fillId="0" borderId="0" xfId="0" applyFont="1"/>
    <xf numFmtId="174" fontId="50" fillId="0" borderId="0" xfId="1" applyNumberFormat="1" applyFont="1" applyAlignment="1">
      <alignment horizontal="right"/>
    </xf>
    <xf numFmtId="174" fontId="52" fillId="0" borderId="0" xfId="1" applyNumberFormat="1" applyFont="1" applyAlignment="1">
      <alignment horizontal="right"/>
    </xf>
    <xf numFmtId="0" fontId="14" fillId="0" borderId="0" xfId="0" applyFont="1"/>
    <xf numFmtId="166" fontId="44" fillId="0" borderId="4" xfId="3" applyNumberFormat="1" applyFont="1" applyBorder="1" applyAlignment="1">
      <alignment horizontal="left"/>
    </xf>
    <xf numFmtId="166" fontId="44" fillId="0" borderId="4" xfId="3" applyNumberFormat="1" applyFont="1" applyBorder="1"/>
    <xf numFmtId="166" fontId="14" fillId="0" borderId="4" xfId="3" applyNumberFormat="1" applyFont="1" applyBorder="1"/>
    <xf numFmtId="166" fontId="14" fillId="0" borderId="0" xfId="3" applyNumberFormat="1" applyFont="1" applyAlignment="1">
      <alignment horizontal="left"/>
    </xf>
    <xf numFmtId="166" fontId="14" fillId="0" borderId="0" xfId="3" applyNumberFormat="1" applyFont="1"/>
    <xf numFmtId="166" fontId="54" fillId="0" borderId="0" xfId="3" applyNumberFormat="1" applyFont="1"/>
    <xf numFmtId="166" fontId="14" fillId="4" borderId="0" xfId="3" applyNumberFormat="1" applyFont="1" applyFill="1" applyAlignment="1">
      <alignment horizontal="left"/>
    </xf>
    <xf numFmtId="166" fontId="14" fillId="4" borderId="0" xfId="3" applyNumberFormat="1" applyFont="1" applyFill="1"/>
    <xf numFmtId="183" fontId="14" fillId="0" borderId="0" xfId="6" applyNumberFormat="1" applyFont="1" applyFill="1" applyBorder="1" applyAlignment="1">
      <alignment horizontal="left"/>
    </xf>
    <xf numFmtId="183" fontId="14" fillId="0" borderId="0" xfId="6" applyNumberFormat="1" applyFont="1" applyFill="1" applyBorder="1"/>
    <xf numFmtId="183" fontId="53" fillId="0" borderId="0" xfId="6" applyNumberFormat="1" applyFont="1" applyFill="1" applyBorder="1"/>
    <xf numFmtId="174" fontId="50" fillId="3" borderId="0" xfId="1" applyNumberFormat="1" applyFont="1" applyFill="1" applyAlignment="1">
      <alignment horizontal="left"/>
    </xf>
    <xf numFmtId="174" fontId="50" fillId="3" borderId="0" xfId="1" applyNumberFormat="1" applyFont="1" applyFill="1" applyAlignment="1">
      <alignment horizontal="right"/>
    </xf>
    <xf numFmtId="174" fontId="52" fillId="3" borderId="0" xfId="1" applyNumberFormat="1" applyFont="1" applyFill="1" applyAlignment="1">
      <alignment horizontal="right"/>
    </xf>
    <xf numFmtId="0" fontId="48" fillId="0" borderId="0" xfId="0" applyFont="1"/>
    <xf numFmtId="0" fontId="14" fillId="0" borderId="0" xfId="0" applyFont="1" applyAlignment="1">
      <alignment horizontal="left"/>
    </xf>
    <xf numFmtId="166" fontId="44" fillId="0" borderId="0" xfId="0" applyNumberFormat="1" applyFont="1"/>
    <xf numFmtId="174" fontId="50" fillId="0" borderId="0" xfId="1" applyNumberFormat="1" applyFont="1" applyAlignment="1">
      <alignment horizontal="left"/>
    </xf>
    <xf numFmtId="0" fontId="44" fillId="0" borderId="4" xfId="0" applyFont="1" applyBorder="1" applyAlignment="1">
      <alignment horizontal="left"/>
    </xf>
    <xf numFmtId="0" fontId="44" fillId="0" borderId="4" xfId="0" applyFont="1" applyBorder="1"/>
    <xf numFmtId="0" fontId="14" fillId="0" borderId="4" xfId="0" applyFont="1" applyBorder="1"/>
    <xf numFmtId="0" fontId="53" fillId="0" borderId="4" xfId="0" applyFont="1" applyBorder="1"/>
    <xf numFmtId="0" fontId="57" fillId="0" borderId="0" xfId="0" applyFont="1" applyAlignment="1">
      <alignment horizontal="left"/>
    </xf>
    <xf numFmtId="0" fontId="57" fillId="0" borderId="0" xfId="0" applyFont="1"/>
    <xf numFmtId="0" fontId="63" fillId="0" borderId="0" xfId="0" applyFont="1"/>
    <xf numFmtId="183" fontId="57" fillId="0" borderId="0" xfId="6" applyNumberFormat="1" applyFont="1"/>
    <xf numFmtId="0" fontId="56" fillId="0" borderId="0" xfId="0" applyFont="1"/>
    <xf numFmtId="0" fontId="59" fillId="0" borderId="0" xfId="0" applyFont="1"/>
    <xf numFmtId="0" fontId="56" fillId="0" borderId="0" xfId="0" applyFont="1" applyAlignment="1">
      <alignment horizontal="left"/>
    </xf>
    <xf numFmtId="0" fontId="57" fillId="0" borderId="4" xfId="0" applyFont="1" applyBorder="1" applyAlignment="1">
      <alignment horizontal="left"/>
    </xf>
    <xf numFmtId="0" fontId="57" fillId="0" borderId="4" xfId="0" applyFont="1" applyBorder="1"/>
    <xf numFmtId="0" fontId="56" fillId="0" borderId="4" xfId="0" applyFont="1" applyBorder="1"/>
    <xf numFmtId="0" fontId="63" fillId="0" borderId="4" xfId="0" applyFont="1" applyBorder="1"/>
    <xf numFmtId="0" fontId="64" fillId="5" borderId="0" xfId="2" applyFont="1" applyFill="1" applyAlignment="1">
      <alignment horizontal="left"/>
    </xf>
    <xf numFmtId="194" fontId="65" fillId="5" borderId="0" xfId="0" quotePrefix="1" applyNumberFormat="1" applyFont="1" applyFill="1" applyAlignment="1">
      <alignment horizontal="left"/>
    </xf>
    <xf numFmtId="0" fontId="66" fillId="5" borderId="0" xfId="2" applyFont="1" applyFill="1" applyAlignment="1">
      <alignment horizontal="center"/>
    </xf>
    <xf numFmtId="1" fontId="66" fillId="5" borderId="0" xfId="0" quotePrefix="1" applyNumberFormat="1" applyFont="1" applyFill="1" applyAlignment="1">
      <alignment horizontal="center"/>
    </xf>
    <xf numFmtId="0" fontId="67" fillId="5" borderId="0" xfId="2" applyFont="1" applyFill="1" applyAlignment="1">
      <alignment horizontal="center"/>
    </xf>
    <xf numFmtId="194" fontId="65" fillId="5" borderId="0" xfId="0" quotePrefix="1" applyNumberFormat="1" applyFont="1" applyFill="1" applyAlignment="1">
      <alignment horizontal="center"/>
    </xf>
    <xf numFmtId="1" fontId="67" fillId="5" borderId="0" xfId="2" quotePrefix="1" applyNumberFormat="1" applyFont="1" applyFill="1" applyAlignment="1">
      <alignment horizontal="center"/>
    </xf>
    <xf numFmtId="194" fontId="59" fillId="0" borderId="0" xfId="0" applyNumberFormat="1" applyFont="1"/>
    <xf numFmtId="194" fontId="67" fillId="5" borderId="0" xfId="2" applyNumberFormat="1" applyFont="1" applyFill="1" applyAlignment="1">
      <alignment horizontal="center"/>
    </xf>
    <xf numFmtId="170" fontId="50" fillId="0" borderId="0" xfId="1" applyNumberFormat="1" applyFont="1"/>
    <xf numFmtId="0" fontId="50" fillId="0" borderId="0" xfId="1" applyFont="1"/>
    <xf numFmtId="0" fontId="46" fillId="5" borderId="8" xfId="0" applyFont="1" applyFill="1" applyBorder="1" applyAlignment="1">
      <alignment horizontal="left"/>
    </xf>
    <xf numFmtId="0" fontId="44" fillId="5" borderId="8" xfId="0" applyFont="1" applyFill="1" applyBorder="1"/>
    <xf numFmtId="168" fontId="14" fillId="0" borderId="0" xfId="1" applyNumberFormat="1" applyFont="1"/>
    <xf numFmtId="175" fontId="44" fillId="0" borderId="0" xfId="3" applyNumberFormat="1" applyFont="1" applyAlignment="1">
      <alignment horizontal="left"/>
    </xf>
    <xf numFmtId="175" fontId="44" fillId="0" borderId="0" xfId="3" applyNumberFormat="1" applyFont="1"/>
    <xf numFmtId="175" fontId="14" fillId="0" borderId="0" xfId="3" applyNumberFormat="1" applyFont="1"/>
    <xf numFmtId="175" fontId="54" fillId="0" borderId="0" xfId="3" applyNumberFormat="1" applyFont="1"/>
    <xf numFmtId="175" fontId="53" fillId="0" borderId="0" xfId="3" applyNumberFormat="1" applyFont="1"/>
    <xf numFmtId="175" fontId="44" fillId="4" borderId="0" xfId="3" applyNumberFormat="1" applyFont="1" applyFill="1" applyAlignment="1">
      <alignment horizontal="left"/>
    </xf>
    <xf numFmtId="175" fontId="44" fillId="4" borderId="0" xfId="3" applyNumberFormat="1" applyFont="1" applyFill="1"/>
    <xf numFmtId="175" fontId="14" fillId="4" borderId="0" xfId="3" applyNumberFormat="1" applyFont="1" applyFill="1"/>
    <xf numFmtId="175" fontId="54" fillId="4" borderId="0" xfId="3" applyNumberFormat="1" applyFont="1" applyFill="1"/>
    <xf numFmtId="175" fontId="53" fillId="4" borderId="0" xfId="3" applyNumberFormat="1" applyFont="1" applyFill="1"/>
    <xf numFmtId="174" fontId="51" fillId="3" borderId="0" xfId="1" applyNumberFormat="1" applyFont="1" applyFill="1" applyAlignment="1">
      <alignment horizontal="left"/>
    </xf>
    <xf numFmtId="174" fontId="51" fillId="3" borderId="0" xfId="1" applyNumberFormat="1" applyFont="1" applyFill="1" applyAlignment="1">
      <alignment horizontal="right"/>
    </xf>
    <xf numFmtId="175" fontId="54" fillId="0" borderId="0" xfId="3" applyNumberFormat="1" applyFont="1" applyAlignment="1">
      <alignment horizontal="left"/>
    </xf>
    <xf numFmtId="0" fontId="14" fillId="4" borderId="8" xfId="0" applyFont="1" applyFill="1" applyBorder="1" applyAlignment="1">
      <alignment horizontal="left"/>
    </xf>
    <xf numFmtId="0" fontId="14" fillId="4" borderId="8" xfId="0" applyFont="1" applyFill="1" applyBorder="1"/>
    <xf numFmtId="168" fontId="14" fillId="0" borderId="0" xfId="3" applyNumberFormat="1" applyFont="1" applyAlignment="1">
      <alignment horizontal="left"/>
    </xf>
    <xf numFmtId="168" fontId="14" fillId="0" borderId="0" xfId="3" applyNumberFormat="1" applyFont="1"/>
    <xf numFmtId="168" fontId="14" fillId="0" borderId="0" xfId="0" applyNumberFormat="1" applyFont="1" applyAlignment="1">
      <alignment horizontal="left"/>
    </xf>
    <xf numFmtId="168" fontId="14" fillId="0" borderId="0" xfId="0" applyNumberFormat="1" applyFont="1"/>
    <xf numFmtId="168" fontId="47" fillId="0" borderId="9" xfId="0" applyNumberFormat="1" applyFont="1" applyBorder="1" applyAlignment="1">
      <alignment horizontal="left"/>
    </xf>
    <xf numFmtId="168" fontId="47" fillId="0" borderId="9" xfId="0" applyNumberFormat="1" applyFont="1" applyBorder="1"/>
    <xf numFmtId="168" fontId="47" fillId="0" borderId="7" xfId="3" applyNumberFormat="1" applyFont="1" applyBorder="1" applyAlignment="1">
      <alignment horizontal="left"/>
    </xf>
    <xf numFmtId="168" fontId="47" fillId="0" borderId="7" xfId="3" applyNumberFormat="1" applyFont="1" applyBorder="1"/>
    <xf numFmtId="0" fontId="14" fillId="2" borderId="5" xfId="2" applyFont="1" applyFill="1" applyBorder="1" applyAlignment="1">
      <alignment horizontal="center"/>
    </xf>
    <xf numFmtId="1" fontId="14" fillId="7" borderId="1" xfId="0" quotePrefix="1" applyNumberFormat="1" applyFont="1" applyFill="1" applyBorder="1" applyAlignment="1">
      <alignment horizontal="center"/>
    </xf>
    <xf numFmtId="166" fontId="44" fillId="0" borderId="0" xfId="3" applyNumberFormat="1" applyFont="1" applyAlignment="1">
      <alignment horizontal="left"/>
    </xf>
    <xf numFmtId="166" fontId="44" fillId="0" borderId="0" xfId="3" applyNumberFormat="1" applyFont="1"/>
    <xf numFmtId="166" fontId="44" fillId="4" borderId="0" xfId="3" applyNumberFormat="1" applyFont="1" applyFill="1" applyAlignment="1">
      <alignment horizontal="left"/>
    </xf>
    <xf numFmtId="166" fontId="44" fillId="4" borderId="0" xfId="3" applyNumberFormat="1" applyFont="1" applyFill="1"/>
    <xf numFmtId="166" fontId="14" fillId="0" borderId="0" xfId="0" applyNumberFormat="1" applyFont="1"/>
    <xf numFmtId="166" fontId="47" fillId="0" borderId="9" xfId="3" applyNumberFormat="1" applyFont="1" applyBorder="1"/>
    <xf numFmtId="166" fontId="47" fillId="0" borderId="9" xfId="0" applyNumberFormat="1" applyFont="1" applyBorder="1"/>
    <xf numFmtId="168" fontId="50" fillId="0" borderId="0" xfId="1" applyNumberFormat="1" applyFont="1"/>
    <xf numFmtId="166" fontId="48" fillId="0" borderId="7" xfId="3" applyNumberFormat="1" applyFont="1" applyBorder="1"/>
    <xf numFmtId="166" fontId="47" fillId="0" borderId="7" xfId="3" applyNumberFormat="1" applyFont="1" applyBorder="1"/>
    <xf numFmtId="0" fontId="51" fillId="0" borderId="0" xfId="0" applyFont="1" applyAlignment="1">
      <alignment horizontal="left"/>
    </xf>
    <xf numFmtId="0" fontId="50" fillId="0" borderId="0" xfId="0" applyFont="1"/>
    <xf numFmtId="168" fontId="47" fillId="0" borderId="9" xfId="0" quotePrefix="1" applyNumberFormat="1" applyFont="1" applyBorder="1" applyAlignment="1">
      <alignment horizontal="left"/>
    </xf>
    <xf numFmtId="168" fontId="47" fillId="0" borderId="9" xfId="0" quotePrefix="1" applyNumberFormat="1" applyFont="1" applyBorder="1" applyAlignment="1">
      <alignment horizontal="right"/>
    </xf>
    <xf numFmtId="168" fontId="47" fillId="0" borderId="0" xfId="1" applyNumberFormat="1" applyFont="1"/>
    <xf numFmtId="168" fontId="47" fillId="0" borderId="7" xfId="0" quotePrefix="1" applyNumberFormat="1" applyFont="1" applyBorder="1" applyAlignment="1">
      <alignment horizontal="left"/>
    </xf>
    <xf numFmtId="168" fontId="47" fillId="0" borderId="7" xfId="0" quotePrefix="1" applyNumberFormat="1" applyFont="1" applyBorder="1" applyAlignment="1">
      <alignment horizontal="right"/>
    </xf>
    <xf numFmtId="175" fontId="14" fillId="0" borderId="0" xfId="3" applyNumberFormat="1" applyFont="1" applyAlignment="1">
      <alignment horizontal="left"/>
    </xf>
    <xf numFmtId="175" fontId="14" fillId="0" borderId="0" xfId="3" applyNumberFormat="1" applyFont="1" applyAlignment="1">
      <alignment horizontal="right"/>
    </xf>
    <xf numFmtId="175" fontId="53" fillId="0" borderId="0" xfId="3" applyNumberFormat="1" applyFont="1" applyAlignment="1">
      <alignment horizontal="right"/>
    </xf>
    <xf numFmtId="176" fontId="51" fillId="0" borderId="0" xfId="0" applyNumberFormat="1" applyFont="1" applyAlignment="1">
      <alignment horizontal="right"/>
    </xf>
    <xf numFmtId="175" fontId="14" fillId="4" borderId="0" xfId="3" applyNumberFormat="1" applyFont="1" applyFill="1" applyAlignment="1">
      <alignment horizontal="left"/>
    </xf>
    <xf numFmtId="166" fontId="14" fillId="0" borderId="0" xfId="1" applyNumberFormat="1" applyFont="1"/>
    <xf numFmtId="166" fontId="14" fillId="0" borderId="0" xfId="0" applyNumberFormat="1" applyFont="1" applyAlignment="1">
      <alignment horizontal="left"/>
    </xf>
    <xf numFmtId="166" fontId="47" fillId="0" borderId="0" xfId="1" applyNumberFormat="1" applyFont="1"/>
    <xf numFmtId="166" fontId="47" fillId="0" borderId="9" xfId="0" applyNumberFormat="1" applyFont="1" applyBorder="1" applyAlignment="1">
      <alignment horizontal="left"/>
    </xf>
    <xf numFmtId="166" fontId="48" fillId="0" borderId="9" xfId="0" applyNumberFormat="1" applyFont="1" applyBorder="1"/>
    <xf numFmtId="166" fontId="48" fillId="0" borderId="0" xfId="0" applyNumberFormat="1" applyFont="1"/>
    <xf numFmtId="176" fontId="50" fillId="0" borderId="0" xfId="0" quotePrefix="1" applyNumberFormat="1" applyFont="1" applyAlignment="1">
      <alignment horizontal="left"/>
    </xf>
    <xf numFmtId="176" fontId="51" fillId="0" borderId="0" xfId="0" quotePrefix="1" applyNumberFormat="1" applyFont="1" applyAlignment="1">
      <alignment horizontal="right"/>
    </xf>
    <xf numFmtId="176" fontId="50" fillId="0" borderId="0" xfId="0" quotePrefix="1" applyNumberFormat="1" applyFont="1" applyAlignment="1">
      <alignment horizontal="right"/>
    </xf>
    <xf numFmtId="37" fontId="14" fillId="0" borderId="0" xfId="0" applyNumberFormat="1" applyFont="1" applyAlignment="1">
      <alignment horizontal="left"/>
    </xf>
    <xf numFmtId="37" fontId="44" fillId="0" borderId="0" xfId="0" applyNumberFormat="1" applyFont="1"/>
    <xf numFmtId="37" fontId="44" fillId="0" borderId="0" xfId="0" applyNumberFormat="1" applyFont="1" applyAlignment="1">
      <alignment horizontal="left"/>
    </xf>
    <xf numFmtId="168" fontId="44" fillId="0" borderId="0" xfId="0" applyNumberFormat="1" applyFont="1" applyAlignment="1">
      <alignment horizontal="left"/>
    </xf>
    <xf numFmtId="168" fontId="44" fillId="0" borderId="0" xfId="0" applyNumberFormat="1" applyFont="1"/>
    <xf numFmtId="168" fontId="48" fillId="0" borderId="9" xfId="0" applyNumberFormat="1" applyFont="1" applyBorder="1" applyAlignment="1">
      <alignment horizontal="left"/>
    </xf>
    <xf numFmtId="168" fontId="48" fillId="0" borderId="9" xfId="0" applyNumberFormat="1" applyFont="1" applyBorder="1"/>
    <xf numFmtId="166" fontId="51" fillId="0" borderId="0" xfId="0" applyNumberFormat="1" applyFont="1" applyAlignment="1">
      <alignment horizontal="left"/>
    </xf>
    <xf numFmtId="166" fontId="51" fillId="0" borderId="0" xfId="0" applyNumberFormat="1" applyFont="1"/>
    <xf numFmtId="166" fontId="50" fillId="0" borderId="0" xfId="0" applyNumberFormat="1" applyFont="1"/>
    <xf numFmtId="175" fontId="55" fillId="0" borderId="0" xfId="3" applyNumberFormat="1" applyFont="1"/>
    <xf numFmtId="185" fontId="14" fillId="0" borderId="0" xfId="0" applyNumberFormat="1" applyFont="1" applyAlignment="1">
      <alignment horizontal="left"/>
    </xf>
    <xf numFmtId="185" fontId="14" fillId="0" borderId="0" xfId="0" applyNumberFormat="1" applyFont="1"/>
    <xf numFmtId="185" fontId="47" fillId="0" borderId="7" xfId="0" applyNumberFormat="1" applyFont="1" applyBorder="1" applyAlignment="1">
      <alignment horizontal="left"/>
    </xf>
    <xf numFmtId="185" fontId="47" fillId="0" borderId="7" xfId="0" applyNumberFormat="1" applyFont="1" applyBorder="1"/>
    <xf numFmtId="175" fontId="14" fillId="0" borderId="4" xfId="3" applyNumberFormat="1" applyFont="1" applyBorder="1" applyAlignment="1">
      <alignment horizontal="left"/>
    </xf>
    <xf numFmtId="175" fontId="54" fillId="0" borderId="4" xfId="3" applyNumberFormat="1" applyFont="1" applyBorder="1"/>
    <xf numFmtId="175" fontId="54" fillId="0" borderId="4" xfId="3" applyNumberFormat="1" applyFont="1" applyBorder="1" applyAlignment="1">
      <alignment horizontal="left"/>
    </xf>
    <xf numFmtId="175" fontId="14" fillId="0" borderId="4" xfId="3" applyNumberFormat="1" applyFont="1" applyBorder="1"/>
    <xf numFmtId="37" fontId="44" fillId="0" borderId="0" xfId="0" applyNumberFormat="1" applyFont="1" applyAlignment="1">
      <alignment horizontal="right"/>
    </xf>
    <xf numFmtId="176" fontId="51" fillId="0" borderId="0" xfId="0" quotePrefix="1" applyNumberFormat="1" applyFont="1" applyAlignment="1">
      <alignment horizontal="left"/>
    </xf>
    <xf numFmtId="43" fontId="50" fillId="0" borderId="0" xfId="0" quotePrefix="1" applyNumberFormat="1" applyFont="1" applyAlignment="1">
      <alignment horizontal="left"/>
    </xf>
    <xf numFmtId="43" fontId="51" fillId="0" borderId="0" xfId="0" quotePrefix="1" applyNumberFormat="1" applyFont="1" applyAlignment="1">
      <alignment horizontal="right"/>
    </xf>
    <xf numFmtId="43" fontId="51" fillId="0" borderId="0" xfId="0" quotePrefix="1" applyNumberFormat="1" applyFont="1" applyAlignment="1">
      <alignment horizontal="left"/>
    </xf>
    <xf numFmtId="166" fontId="47" fillId="0" borderId="9" xfId="3" applyNumberFormat="1" applyFont="1" applyBorder="1" applyAlignment="1">
      <alignment horizontal="left"/>
    </xf>
    <xf numFmtId="37" fontId="47" fillId="0" borderId="7" xfId="3" applyNumberFormat="1" applyFont="1" applyBorder="1" applyAlignment="1">
      <alignment horizontal="left"/>
    </xf>
    <xf numFmtId="37" fontId="47" fillId="0" borderId="7" xfId="3" applyNumberFormat="1" applyFont="1" applyBorder="1"/>
    <xf numFmtId="175" fontId="44" fillId="0" borderId="0" xfId="3" applyNumberFormat="1" applyFont="1" applyAlignment="1">
      <alignment horizontal="right"/>
    </xf>
    <xf numFmtId="5" fontId="14" fillId="0" borderId="0" xfId="6" applyNumberFormat="1" applyFont="1" applyFill="1" applyBorder="1" applyAlignment="1">
      <alignment horizontal="left"/>
    </xf>
    <xf numFmtId="5" fontId="14" fillId="0" borderId="0" xfId="6" applyNumberFormat="1" applyFont="1" applyFill="1" applyBorder="1"/>
    <xf numFmtId="3" fontId="14" fillId="0" borderId="0" xfId="6" applyNumberFormat="1" applyFont="1" applyFill="1" applyBorder="1" applyAlignment="1">
      <alignment horizontal="left"/>
    </xf>
    <xf numFmtId="3" fontId="14" fillId="0" borderId="0" xfId="6" applyNumberFormat="1" applyFont="1" applyFill="1" applyBorder="1"/>
    <xf numFmtId="5" fontId="47" fillId="0" borderId="0" xfId="6" applyNumberFormat="1" applyFont="1" applyFill="1" applyBorder="1" applyAlignment="1">
      <alignment horizontal="left"/>
    </xf>
    <xf numFmtId="5" fontId="47" fillId="0" borderId="0" xfId="6" applyNumberFormat="1" applyFont="1" applyFill="1" applyBorder="1"/>
    <xf numFmtId="175" fontId="14" fillId="0" borderId="0" xfId="6" applyNumberFormat="1" applyFont="1" applyFill="1" applyBorder="1"/>
    <xf numFmtId="175" fontId="14" fillId="0" borderId="0" xfId="3" applyNumberFormat="1" applyFont="1" applyAlignment="1">
      <alignment horizontal="center"/>
    </xf>
    <xf numFmtId="5" fontId="14" fillId="0" borderId="0" xfId="6" applyNumberFormat="1" applyFont="1" applyFill="1" applyBorder="1" applyAlignment="1">
      <alignment horizontal="center"/>
    </xf>
    <xf numFmtId="175" fontId="14" fillId="0" borderId="0" xfId="6" applyNumberFormat="1" applyFont="1" applyFill="1" applyBorder="1" applyAlignment="1">
      <alignment horizontal="center"/>
    </xf>
    <xf numFmtId="0" fontId="14" fillId="0" borderId="0" xfId="6" applyNumberFormat="1" applyFont="1" applyFill="1" applyBorder="1" applyAlignment="1">
      <alignment horizontal="center"/>
    </xf>
    <xf numFmtId="185" fontId="44" fillId="0" borderId="0" xfId="0" applyNumberFormat="1" applyFont="1" applyAlignment="1">
      <alignment horizontal="center"/>
    </xf>
    <xf numFmtId="0" fontId="51" fillId="0" borderId="0" xfId="0" applyFont="1" applyAlignment="1">
      <alignment horizontal="left" indent="1"/>
    </xf>
    <xf numFmtId="183" fontId="14" fillId="0" borderId="0" xfId="6" applyNumberFormat="1" applyFont="1" applyFill="1" applyBorder="1" applyAlignment="1">
      <alignment horizontal="center"/>
    </xf>
    <xf numFmtId="183" fontId="51" fillId="0" borderId="0" xfId="6" applyNumberFormat="1" applyFont="1" applyAlignment="1">
      <alignment horizontal="center"/>
    </xf>
    <xf numFmtId="0" fontId="44" fillId="0" borderId="0" xfId="0" applyFont="1" applyAlignment="1">
      <alignment horizontal="center"/>
    </xf>
    <xf numFmtId="182" fontId="44" fillId="0" borderId="0" xfId="0" applyNumberFormat="1" applyFont="1" applyAlignment="1">
      <alignment horizontal="center"/>
    </xf>
    <xf numFmtId="183" fontId="47" fillId="0" borderId="0" xfId="6" applyNumberFormat="1" applyFont="1" applyFill="1" applyBorder="1"/>
    <xf numFmtId="175" fontId="47" fillId="0" borderId="0" xfId="6" applyNumberFormat="1" applyFont="1" applyFill="1" applyBorder="1" applyAlignment="1">
      <alignment horizontal="center"/>
    </xf>
    <xf numFmtId="5" fontId="47" fillId="0" borderId="0" xfId="6" applyNumberFormat="1" applyFont="1" applyFill="1" applyBorder="1" applyAlignment="1">
      <alignment horizontal="center"/>
    </xf>
    <xf numFmtId="170" fontId="48" fillId="0" borderId="0" xfId="0" applyNumberFormat="1" applyFont="1" applyAlignment="1">
      <alignment horizontal="center"/>
    </xf>
    <xf numFmtId="170" fontId="47" fillId="0" borderId="0" xfId="1" applyNumberFormat="1" applyFont="1" applyAlignment="1">
      <alignment horizontal="left"/>
    </xf>
    <xf numFmtId="37" fontId="14" fillId="0" borderId="0" xfId="6" applyNumberFormat="1" applyFont="1" applyFill="1" applyBorder="1" applyAlignment="1">
      <alignment horizontal="center"/>
    </xf>
    <xf numFmtId="174" fontId="50" fillId="0" borderId="0" xfId="3" applyNumberFormat="1" applyFont="1" applyAlignment="1">
      <alignment horizontal="center"/>
    </xf>
    <xf numFmtId="0" fontId="44" fillId="0" borderId="4" xfId="0" applyFont="1" applyBorder="1" applyAlignment="1">
      <alignment horizontal="center"/>
    </xf>
    <xf numFmtId="0" fontId="45" fillId="2" borderId="6" xfId="2" applyFont="1" applyFill="1" applyBorder="1" applyAlignment="1">
      <alignment horizontal="center"/>
    </xf>
    <xf numFmtId="1" fontId="46" fillId="7" borderId="0" xfId="0" quotePrefix="1" applyNumberFormat="1" applyFont="1" applyFill="1" applyAlignment="1">
      <alignment horizontal="left"/>
    </xf>
    <xf numFmtId="1" fontId="46" fillId="7" borderId="0" xfId="0" quotePrefix="1" applyNumberFormat="1" applyFont="1" applyFill="1" applyAlignment="1">
      <alignment horizontal="center"/>
    </xf>
    <xf numFmtId="0" fontId="44" fillId="4" borderId="8" xfId="0" applyFont="1" applyFill="1" applyBorder="1"/>
    <xf numFmtId="168" fontId="44" fillId="0" borderId="0" xfId="3" applyNumberFormat="1" applyFont="1"/>
    <xf numFmtId="168" fontId="48" fillId="0" borderId="7" xfId="3" applyNumberFormat="1" applyFont="1" applyBorder="1"/>
    <xf numFmtId="174" fontId="51" fillId="0" borderId="0" xfId="3" applyNumberFormat="1" applyFont="1"/>
    <xf numFmtId="10" fontId="44" fillId="0" borderId="0" xfId="0" applyNumberFormat="1" applyFont="1"/>
    <xf numFmtId="168" fontId="48" fillId="0" borderId="9" xfId="0" quotePrefix="1" applyNumberFormat="1" applyFont="1" applyBorder="1" applyAlignment="1">
      <alignment horizontal="right"/>
    </xf>
    <xf numFmtId="168" fontId="48" fillId="0" borderId="7" xfId="0" quotePrefix="1" applyNumberFormat="1" applyFont="1" applyBorder="1" applyAlignment="1">
      <alignment horizontal="right"/>
    </xf>
    <xf numFmtId="175" fontId="44" fillId="0" borderId="4" xfId="3" applyNumberFormat="1" applyFont="1" applyBorder="1" applyAlignment="1">
      <alignment horizontal="left"/>
    </xf>
    <xf numFmtId="168" fontId="68" fillId="0" borderId="0" xfId="3" applyNumberFormat="1" applyFont="1"/>
    <xf numFmtId="174" fontId="69" fillId="0" borderId="0" xfId="3" applyNumberFormat="1" applyFont="1" applyAlignment="1">
      <alignment horizontal="center"/>
    </xf>
    <xf numFmtId="194" fontId="45" fillId="2" borderId="4" xfId="2" applyNumberFormat="1" applyFont="1" applyFill="1" applyBorder="1" applyAlignment="1">
      <alignment horizontal="center"/>
    </xf>
    <xf numFmtId="183" fontId="44" fillId="0" borderId="0" xfId="0" applyNumberFormat="1" applyFont="1" applyAlignment="1">
      <alignment horizontal="left"/>
    </xf>
    <xf numFmtId="183" fontId="44" fillId="0" borderId="0" xfId="0" applyNumberFormat="1" applyFont="1"/>
    <xf numFmtId="174" fontId="52" fillId="0" borderId="0" xfId="1" applyNumberFormat="1" applyFont="1" applyAlignment="1">
      <alignment horizontal="left"/>
    </xf>
    <xf numFmtId="183" fontId="48" fillId="3" borderId="7" xfId="6" applyNumberFormat="1" applyFont="1" applyFill="1" applyBorder="1" applyAlignment="1" applyProtection="1">
      <alignment horizontal="left"/>
    </xf>
    <xf numFmtId="183" fontId="48" fillId="3" borderId="7" xfId="6" applyNumberFormat="1" applyFont="1" applyFill="1" applyBorder="1" applyAlignment="1" applyProtection="1">
      <alignment horizontal="right"/>
    </xf>
    <xf numFmtId="183" fontId="44" fillId="3" borderId="7" xfId="6" applyNumberFormat="1" applyFont="1" applyFill="1" applyBorder="1" applyAlignment="1" applyProtection="1">
      <alignment horizontal="right"/>
    </xf>
    <xf numFmtId="183" fontId="47" fillId="3" borderId="7" xfId="6" applyNumberFormat="1" applyFont="1" applyFill="1" applyBorder="1" applyAlignment="1" applyProtection="1">
      <alignment horizontal="right"/>
    </xf>
    <xf numFmtId="183" fontId="48" fillId="3" borderId="0" xfId="6" applyNumberFormat="1" applyFont="1" applyFill="1" applyBorder="1" applyAlignment="1" applyProtection="1">
      <alignment horizontal="left"/>
    </xf>
    <xf numFmtId="183" fontId="48" fillId="3" borderId="0" xfId="6" applyNumberFormat="1" applyFont="1" applyFill="1" applyBorder="1" applyAlignment="1" applyProtection="1">
      <alignment horizontal="right"/>
    </xf>
    <xf numFmtId="183" fontId="47" fillId="3" borderId="0" xfId="6" applyNumberFormat="1" applyFont="1" applyFill="1" applyBorder="1" applyAlignment="1" applyProtection="1">
      <alignment horizontal="right"/>
    </xf>
    <xf numFmtId="183" fontId="49" fillId="3" borderId="0" xfId="6" applyNumberFormat="1" applyFont="1" applyFill="1" applyBorder="1" applyAlignment="1" applyProtection="1">
      <alignment horizontal="right"/>
    </xf>
    <xf numFmtId="166" fontId="44" fillId="3" borderId="0" xfId="6" applyNumberFormat="1" applyFont="1" applyFill="1" applyBorder="1" applyAlignment="1" applyProtection="1">
      <alignment horizontal="right"/>
    </xf>
    <xf numFmtId="166" fontId="48" fillId="3" borderId="0" xfId="6" applyNumberFormat="1" applyFont="1" applyFill="1" applyBorder="1" applyAlignment="1" applyProtection="1">
      <alignment horizontal="right"/>
    </xf>
    <xf numFmtId="183" fontId="44" fillId="3" borderId="0" xfId="6" applyNumberFormat="1" applyFont="1" applyFill="1" applyBorder="1" applyAlignment="1" applyProtection="1">
      <alignment horizontal="right"/>
    </xf>
    <xf numFmtId="3" fontId="44" fillId="0" borderId="0" xfId="0" applyNumberFormat="1" applyFont="1" applyAlignment="1">
      <alignment horizontal="left"/>
    </xf>
    <xf numFmtId="3" fontId="44" fillId="0" borderId="0" xfId="0" applyNumberFormat="1" applyFont="1"/>
    <xf numFmtId="3" fontId="14" fillId="0" borderId="0" xfId="0" applyNumberFormat="1" applyFont="1"/>
    <xf numFmtId="190" fontId="44" fillId="0" borderId="0" xfId="0" applyNumberFormat="1" applyFont="1" applyAlignment="1">
      <alignment horizontal="left"/>
    </xf>
    <xf numFmtId="190" fontId="44" fillId="0" borderId="0" xfId="0" applyNumberFormat="1" applyFont="1"/>
    <xf numFmtId="190" fontId="14" fillId="0" borderId="0" xfId="0" applyNumberFormat="1" applyFont="1"/>
    <xf numFmtId="174" fontId="53" fillId="0" borderId="0" xfId="3" applyNumberFormat="1" applyFont="1" applyAlignment="1">
      <alignment horizontal="left"/>
    </xf>
    <xf numFmtId="174" fontId="53" fillId="0" borderId="0" xfId="3" applyNumberFormat="1" applyFont="1"/>
    <xf numFmtId="5" fontId="14" fillId="0" borderId="0" xfId="3" applyNumberFormat="1" applyFont="1" applyAlignment="1">
      <alignment horizontal="left"/>
    </xf>
    <xf numFmtId="5" fontId="14" fillId="0" borderId="0" xfId="3" applyNumberFormat="1" applyFont="1"/>
    <xf numFmtId="166" fontId="47" fillId="0" borderId="7" xfId="3" applyNumberFormat="1" applyFont="1" applyBorder="1" applyAlignment="1">
      <alignment horizontal="left"/>
    </xf>
    <xf numFmtId="183" fontId="50" fillId="3" borderId="0" xfId="6" applyNumberFormat="1" applyFont="1" applyFill="1" applyBorder="1" applyAlignment="1" applyProtection="1">
      <alignment horizontal="left"/>
    </xf>
    <xf numFmtId="183" fontId="50" fillId="3" borderId="0" xfId="6" applyNumberFormat="1" applyFont="1" applyFill="1" applyBorder="1" applyAlignment="1" applyProtection="1">
      <alignment horizontal="right"/>
    </xf>
    <xf numFmtId="192" fontId="14" fillId="0" borderId="0" xfId="5" applyNumberFormat="1" applyFont="1" applyBorder="1" applyAlignment="1">
      <alignment horizontal="left"/>
    </xf>
    <xf numFmtId="192" fontId="14" fillId="0" borderId="0" xfId="5" applyNumberFormat="1" applyFont="1" applyBorder="1"/>
    <xf numFmtId="184" fontId="14" fillId="0" borderId="0" xfId="0" applyNumberFormat="1" applyFont="1" applyAlignment="1">
      <alignment horizontal="left"/>
    </xf>
    <xf numFmtId="184" fontId="14" fillId="0" borderId="0" xfId="0" applyNumberFormat="1" applyFont="1"/>
    <xf numFmtId="0" fontId="53" fillId="5" borderId="8" xfId="0" applyFont="1" applyFill="1" applyBorder="1"/>
    <xf numFmtId="175" fontId="53" fillId="0" borderId="0" xfId="3" applyNumberFormat="1" applyFont="1" applyAlignment="1">
      <alignment horizontal="left"/>
    </xf>
    <xf numFmtId="166" fontId="44" fillId="0" borderId="0" xfId="3" applyNumberFormat="1" applyFont="1" applyAlignment="1">
      <alignment horizontal="right"/>
    </xf>
    <xf numFmtId="166" fontId="14" fillId="0" borderId="0" xfId="3" applyNumberFormat="1" applyFont="1" applyAlignment="1">
      <alignment horizontal="right"/>
    </xf>
    <xf numFmtId="166" fontId="44" fillId="4" borderId="0" xfId="3" applyNumberFormat="1" applyFont="1" applyFill="1" applyAlignment="1">
      <alignment horizontal="right"/>
    </xf>
    <xf numFmtId="166" fontId="14" fillId="4" borderId="0" xfId="3" applyNumberFormat="1" applyFont="1" applyFill="1" applyAlignment="1">
      <alignment horizontal="right"/>
    </xf>
    <xf numFmtId="44" fontId="44" fillId="0" borderId="0" xfId="0" applyNumberFormat="1" applyFont="1" applyAlignment="1">
      <alignment horizontal="left"/>
    </xf>
    <xf numFmtId="44" fontId="44" fillId="0" borderId="0" xfId="0" applyNumberFormat="1" applyFont="1"/>
    <xf numFmtId="44" fontId="70" fillId="0" borderId="0" xfId="0" applyNumberFormat="1" applyFont="1" applyAlignment="1">
      <alignment horizontal="left"/>
    </xf>
    <xf numFmtId="44" fontId="70" fillId="0" borderId="0" xfId="0" applyNumberFormat="1" applyFont="1"/>
    <xf numFmtId="185" fontId="44" fillId="0" borderId="0" xfId="0" applyNumberFormat="1" applyFont="1"/>
    <xf numFmtId="187" fontId="14" fillId="3" borderId="0" xfId="5" applyNumberFormat="1" applyFont="1" applyFill="1" applyBorder="1" applyAlignment="1" applyProtection="1">
      <alignment horizontal="left"/>
    </xf>
    <xf numFmtId="187" fontId="14" fillId="3" borderId="0" xfId="5" applyNumberFormat="1" applyFont="1" applyFill="1" applyBorder="1" applyAlignment="1" applyProtection="1">
      <alignment horizontal="right"/>
    </xf>
    <xf numFmtId="192" fontId="14" fillId="3" borderId="0" xfId="5" applyNumberFormat="1" applyFont="1" applyFill="1" applyBorder="1" applyAlignment="1" applyProtection="1">
      <alignment horizontal="left"/>
    </xf>
    <xf numFmtId="192" fontId="14" fillId="3" borderId="0" xfId="5" applyNumberFormat="1" applyFont="1" applyFill="1" applyBorder="1" applyAlignment="1" applyProtection="1">
      <alignment horizontal="right"/>
    </xf>
    <xf numFmtId="187" fontId="14" fillId="4" borderId="0" xfId="5" applyNumberFormat="1" applyFont="1" applyFill="1" applyBorder="1" applyAlignment="1" applyProtection="1">
      <alignment horizontal="left"/>
    </xf>
    <xf numFmtId="187" fontId="14" fillId="4" borderId="0" xfId="5" applyNumberFormat="1" applyFont="1" applyFill="1" applyBorder="1" applyAlignment="1" applyProtection="1">
      <alignment horizontal="right"/>
    </xf>
    <xf numFmtId="192" fontId="53" fillId="0" borderId="0" xfId="5" applyNumberFormat="1" applyFont="1" applyFill="1" applyBorder="1" applyAlignment="1" applyProtection="1">
      <alignment horizontal="left"/>
    </xf>
    <xf numFmtId="192" fontId="53" fillId="0" borderId="0" xfId="5" applyNumberFormat="1" applyFont="1" applyFill="1" applyBorder="1" applyAlignment="1" applyProtection="1">
      <alignment horizontal="right"/>
    </xf>
    <xf numFmtId="183" fontId="51" fillId="0" borderId="0" xfId="6" applyNumberFormat="1" applyFont="1" applyFill="1" applyAlignment="1">
      <alignment horizontal="left" vertical="center"/>
    </xf>
    <xf numFmtId="183" fontId="51" fillId="0" borderId="0" xfId="6" applyNumberFormat="1" applyFont="1" applyFill="1" applyAlignment="1">
      <alignment horizontal="right" vertical="center"/>
    </xf>
    <xf numFmtId="192" fontId="44" fillId="0" borderId="0" xfId="5" applyNumberFormat="1" applyFont="1" applyFill="1" applyBorder="1" applyAlignment="1" applyProtection="1">
      <alignment horizontal="left"/>
    </xf>
    <xf numFmtId="192" fontId="44" fillId="0" borderId="0" xfId="5" applyNumberFormat="1" applyFont="1" applyFill="1" applyBorder="1" applyAlignment="1" applyProtection="1">
      <alignment horizontal="right"/>
    </xf>
    <xf numFmtId="4" fontId="44" fillId="0" borderId="0" xfId="1" applyNumberFormat="1" applyFont="1" applyAlignment="1">
      <alignment horizontal="left"/>
    </xf>
    <xf numFmtId="4" fontId="44" fillId="0" borderId="0" xfId="1" applyNumberFormat="1" applyFont="1" applyAlignment="1">
      <alignment horizontal="right"/>
    </xf>
    <xf numFmtId="4" fontId="14" fillId="0" borderId="0" xfId="1" applyNumberFormat="1" applyFont="1" applyAlignment="1">
      <alignment horizontal="right"/>
    </xf>
    <xf numFmtId="4" fontId="44" fillId="0" borderId="0" xfId="0" applyNumberFormat="1" applyFont="1" applyAlignment="1">
      <alignment horizontal="right"/>
    </xf>
    <xf numFmtId="183" fontId="44" fillId="0" borderId="0" xfId="6" applyNumberFormat="1" applyFont="1" applyFill="1" applyBorder="1" applyAlignment="1" applyProtection="1">
      <alignment horizontal="left"/>
    </xf>
    <xf numFmtId="183" fontId="44" fillId="0" borderId="0" xfId="6" applyNumberFormat="1" applyFont="1" applyFill="1" applyBorder="1" applyAlignment="1" applyProtection="1">
      <alignment horizontal="right"/>
    </xf>
    <xf numFmtId="183" fontId="53" fillId="0" borderId="0" xfId="6" applyNumberFormat="1" applyFont="1" applyFill="1" applyBorder="1" applyAlignment="1" applyProtection="1">
      <alignment horizontal="right"/>
    </xf>
    <xf numFmtId="185" fontId="48" fillId="0" borderId="0" xfId="0" applyNumberFormat="1" applyFont="1" applyAlignment="1">
      <alignment horizontal="left"/>
    </xf>
    <xf numFmtId="185" fontId="48" fillId="0" borderId="0" xfId="0" applyNumberFormat="1" applyFont="1"/>
    <xf numFmtId="185" fontId="47" fillId="0" borderId="0" xfId="0" applyNumberFormat="1" applyFont="1"/>
    <xf numFmtId="176" fontId="44" fillId="0" borderId="0" xfId="0" applyNumberFormat="1" applyFont="1"/>
    <xf numFmtId="3" fontId="48" fillId="0" borderId="0" xfId="0" applyNumberFormat="1" applyFont="1" applyAlignment="1">
      <alignment horizontal="left"/>
    </xf>
    <xf numFmtId="3" fontId="48" fillId="0" borderId="0" xfId="0" applyNumberFormat="1" applyFont="1"/>
    <xf numFmtId="3" fontId="48" fillId="0" borderId="0" xfId="0" applyNumberFormat="1" applyFont="1" applyAlignment="1">
      <alignment horizontal="right"/>
    </xf>
    <xf numFmtId="3" fontId="14" fillId="0" borderId="0" xfId="3" applyNumberFormat="1" applyFont="1" applyAlignment="1">
      <alignment horizontal="left"/>
    </xf>
    <xf numFmtId="3" fontId="14" fillId="0" borderId="0" xfId="3" applyNumberFormat="1" applyFont="1"/>
    <xf numFmtId="3" fontId="47" fillId="0" borderId="0" xfId="3" applyNumberFormat="1" applyFont="1" applyAlignment="1">
      <alignment horizontal="left"/>
    </xf>
    <xf numFmtId="3" fontId="47" fillId="0" borderId="0" xfId="3" applyNumberFormat="1" applyFont="1"/>
    <xf numFmtId="3" fontId="47" fillId="0" borderId="5" xfId="3" applyNumberFormat="1" applyFont="1" applyBorder="1" applyAlignment="1">
      <alignment horizontal="left"/>
    </xf>
    <xf numFmtId="3" fontId="47" fillId="0" borderId="5" xfId="3" applyNumberFormat="1" applyFont="1" applyBorder="1"/>
    <xf numFmtId="0" fontId="45" fillId="5" borderId="0" xfId="2" applyFont="1" applyFill="1" applyAlignment="1">
      <alignment horizontal="center"/>
    </xf>
    <xf numFmtId="1" fontId="46" fillId="5" borderId="0" xfId="0" quotePrefix="1" applyNumberFormat="1" applyFont="1" applyFill="1" applyAlignment="1">
      <alignment horizontal="center"/>
    </xf>
    <xf numFmtId="170" fontId="44" fillId="0" borderId="0" xfId="3" applyNumberFormat="1" applyFont="1"/>
    <xf numFmtId="5" fontId="44" fillId="0" borderId="0" xfId="3" applyNumberFormat="1" applyFont="1"/>
    <xf numFmtId="183" fontId="51" fillId="3" borderId="0" xfId="6" applyNumberFormat="1" applyFont="1" applyFill="1" applyBorder="1" applyAlignment="1" applyProtection="1">
      <alignment horizontal="right"/>
    </xf>
    <xf numFmtId="192" fontId="44" fillId="0" borderId="0" xfId="5" applyNumberFormat="1" applyFont="1" applyBorder="1"/>
    <xf numFmtId="184" fontId="44" fillId="0" borderId="0" xfId="0" applyNumberFormat="1" applyFont="1"/>
    <xf numFmtId="192" fontId="44" fillId="3" borderId="0" xfId="5" applyNumberFormat="1" applyFont="1" applyFill="1" applyBorder="1" applyAlignment="1" applyProtection="1">
      <alignment horizontal="right"/>
    </xf>
    <xf numFmtId="0" fontId="47" fillId="0" borderId="0" xfId="0" applyFont="1" applyAlignment="1">
      <alignment horizontal="left"/>
    </xf>
    <xf numFmtId="0" fontId="14" fillId="0" borderId="0" xfId="0" applyFont="1" applyAlignment="1">
      <alignment horizontal="center"/>
    </xf>
    <xf numFmtId="164" fontId="14" fillId="0" borderId="0" xfId="1" applyNumberFormat="1" applyFont="1" applyAlignment="1">
      <alignment horizontal="left"/>
    </xf>
    <xf numFmtId="0" fontId="46" fillId="0" borderId="0" xfId="0" quotePrefix="1" applyFont="1" applyAlignment="1">
      <alignment horizontal="center"/>
    </xf>
    <xf numFmtId="0" fontId="46" fillId="0" borderId="0" xfId="0" quotePrefix="1" applyFont="1" applyAlignment="1">
      <alignment horizontal="right"/>
    </xf>
    <xf numFmtId="195" fontId="67" fillId="2" borderId="2" xfId="2" quotePrefix="1" applyNumberFormat="1" applyFont="1" applyFill="1" applyBorder="1" applyAlignment="1">
      <alignment horizontal="center"/>
    </xf>
    <xf numFmtId="0" fontId="14" fillId="0" borderId="0" xfId="0" applyFont="1" applyAlignment="1">
      <alignment horizontal="right"/>
    </xf>
    <xf numFmtId="1" fontId="67" fillId="2" borderId="3" xfId="2" applyNumberFormat="1" applyFont="1" applyFill="1" applyBorder="1" applyAlignment="1">
      <alignment horizontal="center"/>
    </xf>
    <xf numFmtId="194" fontId="45" fillId="2" borderId="5" xfId="2" applyNumberFormat="1" applyFont="1" applyFill="1" applyBorder="1" applyAlignment="1">
      <alignment horizontal="center"/>
    </xf>
    <xf numFmtId="0" fontId="67" fillId="5" borderId="8" xfId="0" applyFont="1" applyFill="1" applyBorder="1" applyAlignment="1">
      <alignment horizontal="left"/>
    </xf>
    <xf numFmtId="0" fontId="67" fillId="5" borderId="8" xfId="0" applyFont="1" applyFill="1" applyBorder="1"/>
    <xf numFmtId="0" fontId="67" fillId="0" borderId="0" xfId="0" applyFont="1"/>
    <xf numFmtId="173" fontId="14" fillId="0" borderId="0" xfId="0" applyNumberFormat="1" applyFont="1" applyAlignment="1">
      <alignment horizontal="left"/>
    </xf>
    <xf numFmtId="173" fontId="14" fillId="0" borderId="0" xfId="0" applyNumberFormat="1" applyFont="1" applyAlignment="1">
      <alignment horizontal="right"/>
    </xf>
    <xf numFmtId="173" fontId="53" fillId="0" borderId="0" xfId="0" applyNumberFormat="1" applyFont="1" applyAlignment="1">
      <alignment horizontal="right"/>
    </xf>
    <xf numFmtId="173" fontId="72" fillId="0" borderId="0" xfId="0" applyNumberFormat="1" applyFont="1" applyAlignment="1">
      <alignment horizontal="left"/>
    </xf>
    <xf numFmtId="173" fontId="72" fillId="0" borderId="0" xfId="0" applyNumberFormat="1" applyFont="1" applyAlignment="1">
      <alignment horizontal="right"/>
    </xf>
    <xf numFmtId="166" fontId="63" fillId="0" borderId="0" xfId="0" applyNumberFormat="1" applyFont="1" applyAlignment="1">
      <alignment horizontal="left"/>
    </xf>
    <xf numFmtId="166" fontId="63" fillId="0" borderId="0" xfId="0" applyNumberFormat="1" applyFont="1"/>
    <xf numFmtId="171" fontId="14" fillId="0" borderId="0" xfId="0" applyNumberFormat="1" applyFont="1"/>
    <xf numFmtId="171" fontId="47" fillId="0" borderId="7" xfId="0" applyNumberFormat="1" applyFont="1" applyBorder="1" applyAlignment="1">
      <alignment horizontal="left"/>
    </xf>
    <xf numFmtId="171" fontId="47" fillId="0" borderId="7" xfId="0" applyNumberFormat="1" applyFont="1" applyBorder="1" applyAlignment="1">
      <alignment horizontal="right"/>
    </xf>
    <xf numFmtId="171" fontId="49" fillId="0" borderId="7" xfId="0" applyNumberFormat="1" applyFont="1" applyBorder="1" applyAlignment="1">
      <alignment horizontal="right"/>
    </xf>
    <xf numFmtId="171" fontId="72" fillId="0" borderId="0" xfId="0" applyNumberFormat="1" applyFont="1" applyAlignment="1">
      <alignment horizontal="right"/>
    </xf>
    <xf numFmtId="171" fontId="73" fillId="0" borderId="0" xfId="0" applyNumberFormat="1" applyFont="1" applyAlignment="1">
      <alignment horizontal="right"/>
    </xf>
    <xf numFmtId="171" fontId="49" fillId="0" borderId="0" xfId="0" applyNumberFormat="1" applyFont="1" applyAlignment="1">
      <alignment horizontal="right"/>
    </xf>
    <xf numFmtId="171" fontId="47" fillId="0" borderId="0" xfId="0" applyNumberFormat="1" applyFont="1" applyAlignment="1">
      <alignment horizontal="right"/>
    </xf>
    <xf numFmtId="171" fontId="14" fillId="0" borderId="0" xfId="0" applyNumberFormat="1" applyFont="1" applyAlignment="1">
      <alignment horizontal="left"/>
    </xf>
    <xf numFmtId="37" fontId="50" fillId="0" borderId="0" xfId="0" applyNumberFormat="1" applyFont="1" applyAlignment="1">
      <alignment horizontal="right"/>
    </xf>
    <xf numFmtId="171" fontId="14" fillId="0" borderId="0" xfId="0" applyNumberFormat="1" applyFont="1" applyAlignment="1">
      <alignment horizontal="right"/>
    </xf>
    <xf numFmtId="167" fontId="14" fillId="0" borderId="0" xfId="0" applyNumberFormat="1" applyFont="1" applyAlignment="1">
      <alignment horizontal="right"/>
    </xf>
    <xf numFmtId="166" fontId="57" fillId="0" borderId="0" xfId="0" applyNumberFormat="1" applyFont="1" applyAlignment="1">
      <alignment horizontal="left"/>
    </xf>
    <xf numFmtId="166" fontId="57" fillId="0" borderId="0" xfId="0" applyNumberFormat="1" applyFont="1"/>
    <xf numFmtId="175" fontId="58" fillId="0" borderId="0" xfId="0" applyNumberFormat="1" applyFont="1" applyAlignment="1">
      <alignment horizontal="left"/>
    </xf>
    <xf numFmtId="175" fontId="58" fillId="0" borderId="0" xfId="0" applyNumberFormat="1" applyFont="1"/>
    <xf numFmtId="175" fontId="60" fillId="0" borderId="0" xfId="0" applyNumberFormat="1" applyFont="1"/>
    <xf numFmtId="176" fontId="57" fillId="0" borderId="0" xfId="0" applyNumberFormat="1" applyFont="1" applyAlignment="1">
      <alignment horizontal="left"/>
    </xf>
    <xf numFmtId="176" fontId="57" fillId="0" borderId="0" xfId="0" applyNumberFormat="1" applyFont="1"/>
    <xf numFmtId="176" fontId="63" fillId="0" borderId="0" xfId="0" applyNumberFormat="1" applyFont="1"/>
    <xf numFmtId="0" fontId="63" fillId="0" borderId="0" xfId="0" applyFont="1" applyAlignment="1">
      <alignment horizontal="left"/>
    </xf>
    <xf numFmtId="173" fontId="44" fillId="4" borderId="0" xfId="0" applyNumberFormat="1" applyFont="1" applyFill="1" applyAlignment="1">
      <alignment horizontal="left"/>
    </xf>
    <xf numFmtId="173" fontId="44" fillId="4" borderId="0" xfId="0" applyNumberFormat="1" applyFont="1" applyFill="1" applyAlignment="1">
      <alignment horizontal="right"/>
    </xf>
    <xf numFmtId="173" fontId="53" fillId="4" borderId="0" xfId="0" applyNumberFormat="1" applyFont="1" applyFill="1" applyAlignment="1">
      <alignment horizontal="right"/>
    </xf>
    <xf numFmtId="176" fontId="56" fillId="0" borderId="0" xfId="0" applyNumberFormat="1" applyFont="1" applyAlignment="1">
      <alignment horizontal="left"/>
    </xf>
    <xf numFmtId="176" fontId="56" fillId="0" borderId="0" xfId="0" applyNumberFormat="1" applyFont="1"/>
    <xf numFmtId="184" fontId="14" fillId="0" borderId="0" xfId="0" applyNumberFormat="1" applyFont="1" applyAlignment="1">
      <alignment horizontal="right"/>
    </xf>
    <xf numFmtId="184" fontId="53" fillId="0" borderId="0" xfId="0" applyNumberFormat="1" applyFont="1" applyAlignment="1">
      <alignment horizontal="right"/>
    </xf>
    <xf numFmtId="173" fontId="14" fillId="4" borderId="0" xfId="0" applyNumberFormat="1" applyFont="1" applyFill="1" applyAlignment="1">
      <alignment horizontal="left"/>
    </xf>
    <xf numFmtId="173" fontId="14" fillId="4" borderId="0" xfId="0" applyNumberFormat="1" applyFont="1" applyFill="1" applyAlignment="1">
      <alignment horizontal="right"/>
    </xf>
    <xf numFmtId="166" fontId="56" fillId="0" borderId="0" xfId="0" applyNumberFormat="1" applyFont="1" applyAlignment="1">
      <alignment horizontal="left"/>
    </xf>
    <xf numFmtId="166" fontId="56" fillId="0" borderId="0" xfId="0" applyNumberFormat="1" applyFont="1"/>
    <xf numFmtId="171" fontId="47" fillId="0" borderId="1" xfId="0" applyNumberFormat="1" applyFont="1" applyBorder="1" applyAlignment="1">
      <alignment horizontal="right"/>
    </xf>
    <xf numFmtId="178" fontId="72" fillId="4" borderId="0" xfId="0" applyNumberFormat="1" applyFont="1" applyFill="1" applyAlignment="1">
      <alignment horizontal="left"/>
    </xf>
    <xf numFmtId="178" fontId="72" fillId="4" borderId="0" xfId="0" applyNumberFormat="1" applyFont="1" applyFill="1" applyAlignment="1">
      <alignment horizontal="right"/>
    </xf>
    <xf numFmtId="178" fontId="72" fillId="0" borderId="0" xfId="0" applyNumberFormat="1" applyFont="1" applyAlignment="1">
      <alignment horizontal="right"/>
    </xf>
    <xf numFmtId="173" fontId="74" fillId="0" borderId="0" xfId="0" applyNumberFormat="1" applyFont="1" applyAlignment="1">
      <alignment horizontal="right"/>
    </xf>
    <xf numFmtId="173" fontId="52" fillId="0" borderId="0" xfId="0" applyNumberFormat="1" applyFont="1" applyAlignment="1">
      <alignment horizontal="right"/>
    </xf>
    <xf numFmtId="0" fontId="50" fillId="0" borderId="0" xfId="0" applyFont="1" applyAlignment="1">
      <alignment horizontal="right"/>
    </xf>
    <xf numFmtId="0" fontId="50" fillId="0" borderId="0" xfId="0" applyFont="1" applyAlignment="1">
      <alignment horizontal="left"/>
    </xf>
    <xf numFmtId="166" fontId="50" fillId="0" borderId="0" xfId="0" applyNumberFormat="1" applyFont="1" applyAlignment="1">
      <alignment horizontal="right"/>
    </xf>
    <xf numFmtId="181" fontId="14" fillId="3" borderId="0" xfId="3" applyFont="1" applyFill="1"/>
    <xf numFmtId="0" fontId="65" fillId="5" borderId="8" xfId="0" applyFont="1" applyFill="1" applyBorder="1" applyAlignment="1">
      <alignment horizontal="left"/>
    </xf>
    <xf numFmtId="0" fontId="65" fillId="5" borderId="8" xfId="0" applyFont="1" applyFill="1" applyBorder="1"/>
    <xf numFmtId="0" fontId="47" fillId="0" borderId="0" xfId="0" applyFont="1"/>
    <xf numFmtId="167" fontId="47" fillId="0" borderId="4" xfId="0" applyNumberFormat="1" applyFont="1" applyBorder="1" applyAlignment="1">
      <alignment horizontal="left"/>
    </xf>
    <xf numFmtId="167" fontId="47" fillId="0" borderId="4" xfId="0" applyNumberFormat="1" applyFont="1" applyBorder="1"/>
    <xf numFmtId="167" fontId="49" fillId="0" borderId="4" xfId="0" applyNumberFormat="1" applyFont="1" applyBorder="1"/>
    <xf numFmtId="167" fontId="14" fillId="0" borderId="0" xfId="0" applyNumberFormat="1" applyFont="1" applyAlignment="1">
      <alignment horizontal="left"/>
    </xf>
    <xf numFmtId="167" fontId="14" fillId="0" borderId="0" xfId="0" applyNumberFormat="1" applyFont="1"/>
    <xf numFmtId="167" fontId="53" fillId="0" borderId="0" xfId="0" applyNumberFormat="1" applyFont="1"/>
    <xf numFmtId="166" fontId="53" fillId="0" borderId="0" xfId="0" applyNumberFormat="1" applyFont="1"/>
    <xf numFmtId="183" fontId="50" fillId="0" borderId="0" xfId="6" applyNumberFormat="1" applyFont="1" applyFill="1" applyBorder="1" applyAlignment="1">
      <alignment horizontal="left"/>
    </xf>
    <xf numFmtId="183" fontId="50" fillId="0" borderId="0" xfId="6" applyNumberFormat="1" applyFont="1" applyFill="1" applyBorder="1"/>
    <xf numFmtId="183" fontId="52" fillId="0" borderId="0" xfId="6" applyNumberFormat="1" applyFont="1" applyFill="1" applyBorder="1"/>
    <xf numFmtId="170" fontId="47" fillId="0" borderId="7" xfId="0" applyNumberFormat="1" applyFont="1" applyBorder="1" applyAlignment="1">
      <alignment horizontal="left"/>
    </xf>
    <xf numFmtId="170" fontId="47" fillId="0" borderId="7" xfId="0" applyNumberFormat="1" applyFont="1" applyBorder="1"/>
    <xf numFmtId="170" fontId="49" fillId="0" borderId="7" xfId="0" applyNumberFormat="1" applyFont="1" applyBorder="1"/>
    <xf numFmtId="0" fontId="75" fillId="0" borderId="0" xfId="0" applyFont="1"/>
    <xf numFmtId="171" fontId="75" fillId="0" borderId="0" xfId="0" applyNumberFormat="1" applyFont="1"/>
    <xf numFmtId="173" fontId="14" fillId="0" borderId="0" xfId="6" applyNumberFormat="1" applyFont="1" applyFill="1" applyBorder="1" applyAlignment="1">
      <alignment horizontal="left"/>
    </xf>
    <xf numFmtId="173" fontId="14" fillId="0" borderId="0" xfId="6" applyNumberFormat="1" applyFont="1" applyFill="1" applyBorder="1" applyAlignment="1">
      <alignment horizontal="right"/>
    </xf>
    <xf numFmtId="170" fontId="47" fillId="0" borderId="9" xfId="0" applyNumberFormat="1" applyFont="1" applyBorder="1" applyAlignment="1">
      <alignment horizontal="left"/>
    </xf>
    <xf numFmtId="170" fontId="47" fillId="0" borderId="9" xfId="0" applyNumberFormat="1" applyFont="1" applyBorder="1"/>
    <xf numFmtId="170" fontId="49" fillId="0" borderId="9" xfId="0" applyNumberFormat="1" applyFont="1" applyBorder="1"/>
    <xf numFmtId="177" fontId="14" fillId="0" borderId="0" xfId="0" applyNumberFormat="1" applyFont="1"/>
    <xf numFmtId="173" fontId="14" fillId="0" borderId="0" xfId="0" applyNumberFormat="1" applyFont="1"/>
    <xf numFmtId="183" fontId="50" fillId="0" borderId="0" xfId="6" applyNumberFormat="1" applyFont="1" applyFill="1" applyBorder="1" applyAlignment="1">
      <alignment horizontal="right"/>
    </xf>
    <xf numFmtId="0" fontId="49" fillId="5" borderId="8" xfId="0" applyFont="1" applyFill="1" applyBorder="1"/>
    <xf numFmtId="183" fontId="47" fillId="0" borderId="0" xfId="6" applyNumberFormat="1" applyFont="1" applyFill="1" applyBorder="1" applyAlignment="1">
      <alignment horizontal="left"/>
    </xf>
    <xf numFmtId="183" fontId="49" fillId="0" borderId="0" xfId="6" applyNumberFormat="1" applyFont="1" applyFill="1" applyBorder="1"/>
    <xf numFmtId="168" fontId="47" fillId="0" borderId="0" xfId="6" applyNumberFormat="1" applyFont="1" applyFill="1" applyBorder="1" applyAlignment="1">
      <alignment horizontal="left"/>
    </xf>
    <xf numFmtId="168" fontId="47" fillId="0" borderId="0" xfId="6" applyNumberFormat="1" applyFont="1" applyFill="1" applyBorder="1"/>
    <xf numFmtId="168" fontId="49" fillId="0" borderId="0" xfId="6" applyNumberFormat="1" applyFont="1" applyFill="1" applyBorder="1"/>
    <xf numFmtId="186" fontId="14" fillId="0" borderId="0" xfId="0" applyNumberFormat="1" applyFont="1" applyAlignment="1">
      <alignment horizontal="left"/>
    </xf>
    <xf numFmtId="186" fontId="14" fillId="0" borderId="0" xfId="0" applyNumberFormat="1" applyFont="1"/>
    <xf numFmtId="186" fontId="53" fillId="0" borderId="0" xfId="0" applyNumberFormat="1" applyFont="1"/>
    <xf numFmtId="1" fontId="45" fillId="5" borderId="0" xfId="2" applyNumberFormat="1" applyFont="1" applyFill="1" applyAlignment="1">
      <alignment horizontal="center"/>
    </xf>
    <xf numFmtId="195" fontId="67" fillId="5" borderId="0" xfId="2" quotePrefix="1" applyNumberFormat="1" applyFont="1" applyFill="1" applyAlignment="1">
      <alignment horizontal="center"/>
    </xf>
    <xf numFmtId="1" fontId="67" fillId="5" borderId="0" xfId="2" applyNumberFormat="1" applyFont="1" applyFill="1" applyAlignment="1">
      <alignment horizontal="center"/>
    </xf>
    <xf numFmtId="1" fontId="64" fillId="5" borderId="0" xfId="2" applyNumberFormat="1" applyFont="1" applyFill="1" applyAlignment="1">
      <alignment horizontal="left"/>
    </xf>
    <xf numFmtId="1" fontId="65" fillId="5" borderId="0" xfId="0" quotePrefix="1" applyNumberFormat="1" applyFont="1" applyFill="1" applyAlignment="1">
      <alignment horizontal="left"/>
    </xf>
    <xf numFmtId="1" fontId="65" fillId="5" borderId="0" xfId="0" quotePrefix="1" applyNumberFormat="1" applyFont="1" applyFill="1" applyAlignment="1">
      <alignment horizontal="center"/>
    </xf>
    <xf numFmtId="0" fontId="47" fillId="5" borderId="8" xfId="0" applyFont="1" applyFill="1" applyBorder="1"/>
    <xf numFmtId="0" fontId="14" fillId="0" borderId="0" xfId="2" applyFont="1"/>
    <xf numFmtId="0" fontId="47" fillId="0" borderId="0" xfId="2" applyFont="1"/>
    <xf numFmtId="179" fontId="14" fillId="0" borderId="0" xfId="2" applyNumberFormat="1" applyFont="1" applyAlignment="1">
      <alignment horizontal="left"/>
    </xf>
    <xf numFmtId="180" fontId="14" fillId="0" borderId="0" xfId="2" applyNumberFormat="1" applyFont="1" applyAlignment="1">
      <alignment horizontal="left"/>
    </xf>
    <xf numFmtId="194" fontId="45" fillId="2" borderId="6" xfId="2" applyNumberFormat="1" applyFont="1" applyFill="1" applyBorder="1" applyAlignment="1">
      <alignment horizontal="center"/>
    </xf>
    <xf numFmtId="0" fontId="50" fillId="0" borderId="0" xfId="2" applyFont="1"/>
    <xf numFmtId="0" fontId="65" fillId="5" borderId="8" xfId="2" applyFont="1" applyFill="1" applyBorder="1" applyAlignment="1">
      <alignment horizontal="left"/>
    </xf>
    <xf numFmtId="0" fontId="65" fillId="5" borderId="8" xfId="2" applyFont="1" applyFill="1" applyBorder="1"/>
    <xf numFmtId="166" fontId="14" fillId="0" borderId="0" xfId="2" applyNumberFormat="1" applyFont="1"/>
    <xf numFmtId="166" fontId="75" fillId="0" borderId="0" xfId="2" applyNumberFormat="1" applyFont="1"/>
    <xf numFmtId="167" fontId="47" fillId="0" borderId="0" xfId="2" applyNumberFormat="1" applyFont="1"/>
    <xf numFmtId="182" fontId="47" fillId="0" borderId="7" xfId="0" applyNumberFormat="1" applyFont="1" applyBorder="1" applyAlignment="1">
      <alignment horizontal="left"/>
    </xf>
    <xf numFmtId="182" fontId="47" fillId="0" borderId="7" xfId="0" applyNumberFormat="1" applyFont="1" applyBorder="1"/>
    <xf numFmtId="182" fontId="49" fillId="0" borderId="7" xfId="0" applyNumberFormat="1" applyFont="1" applyBorder="1"/>
    <xf numFmtId="182" fontId="56" fillId="0" borderId="0" xfId="0" applyNumberFormat="1" applyFont="1" applyAlignment="1">
      <alignment horizontal="left"/>
    </xf>
    <xf numFmtId="182" fontId="56" fillId="0" borderId="0" xfId="0" applyNumberFormat="1" applyFont="1"/>
    <xf numFmtId="0" fontId="47" fillId="5" borderId="8" xfId="2" applyFont="1" applyFill="1" applyBorder="1"/>
    <xf numFmtId="0" fontId="49" fillId="5" borderId="8" xfId="2" applyFont="1" applyFill="1" applyBorder="1"/>
    <xf numFmtId="166" fontId="50" fillId="4" borderId="11" xfId="0" applyNumberFormat="1" applyFont="1" applyFill="1" applyBorder="1" applyAlignment="1">
      <alignment horizontal="left"/>
    </xf>
    <xf numFmtId="166" fontId="50" fillId="4" borderId="11" xfId="0" applyNumberFormat="1" applyFont="1" applyFill="1" applyBorder="1" applyAlignment="1">
      <alignment horizontal="right"/>
    </xf>
    <xf numFmtId="166" fontId="50" fillId="4" borderId="0" xfId="0" applyNumberFormat="1" applyFont="1" applyFill="1" applyAlignment="1">
      <alignment horizontal="right"/>
    </xf>
    <xf numFmtId="166" fontId="50" fillId="4" borderId="0" xfId="0" applyNumberFormat="1" applyFont="1" applyFill="1" applyAlignment="1">
      <alignment horizontal="left"/>
    </xf>
    <xf numFmtId="181" fontId="50" fillId="3" borderId="0" xfId="3" applyFont="1" applyFill="1"/>
    <xf numFmtId="169" fontId="65" fillId="5" borderId="8" xfId="3" applyNumberFormat="1" applyFont="1" applyFill="1" applyBorder="1" applyAlignment="1">
      <alignment horizontal="left"/>
    </xf>
    <xf numFmtId="169" fontId="49" fillId="5" borderId="8" xfId="3" applyNumberFormat="1" applyFont="1" applyFill="1" applyBorder="1"/>
    <xf numFmtId="181" fontId="53" fillId="3" borderId="0" xfId="3" applyFont="1" applyFill="1" applyAlignment="1">
      <alignment horizontal="left"/>
    </xf>
    <xf numFmtId="181" fontId="53" fillId="3" borderId="0" xfId="3" applyFont="1" applyFill="1"/>
    <xf numFmtId="182" fontId="75" fillId="3" borderId="0" xfId="3" applyNumberFormat="1" applyFont="1" applyFill="1"/>
    <xf numFmtId="172" fontId="50" fillId="3" borderId="0" xfId="3" applyNumberFormat="1" applyFont="1" applyFill="1"/>
    <xf numFmtId="168" fontId="50" fillId="3" borderId="0" xfId="3" applyNumberFormat="1" applyFont="1" applyFill="1"/>
    <xf numFmtId="173" fontId="73" fillId="0" borderId="0" xfId="0" applyNumberFormat="1" applyFont="1" applyAlignment="1">
      <alignment horizontal="left"/>
    </xf>
    <xf numFmtId="173" fontId="73" fillId="0" borderId="0" xfId="0" applyNumberFormat="1" applyFont="1" applyAlignment="1">
      <alignment horizontal="right"/>
    </xf>
    <xf numFmtId="173" fontId="49" fillId="0" borderId="0" xfId="0" applyNumberFormat="1" applyFont="1" applyAlignment="1">
      <alignment horizontal="right"/>
    </xf>
    <xf numFmtId="169" fontId="65" fillId="5" borderId="8" xfId="3" applyNumberFormat="1" applyFont="1" applyFill="1" applyBorder="1"/>
    <xf numFmtId="175" fontId="44" fillId="0" borderId="0" xfId="0" quotePrefix="1" applyNumberFormat="1" applyFont="1" applyAlignment="1">
      <alignment horizontal="left"/>
    </xf>
    <xf numFmtId="175" fontId="44" fillId="0" borderId="0" xfId="0" quotePrefix="1" applyNumberFormat="1" applyFont="1" applyAlignment="1">
      <alignment horizontal="right"/>
    </xf>
    <xf numFmtId="175" fontId="53" fillId="0" borderId="0" xfId="0" quotePrefix="1" applyNumberFormat="1" applyFont="1" applyAlignment="1">
      <alignment horizontal="right"/>
    </xf>
    <xf numFmtId="181" fontId="75" fillId="3" borderId="0" xfId="3" applyFont="1" applyFill="1"/>
    <xf numFmtId="183" fontId="51" fillId="0" borderId="0" xfId="0" quotePrefix="1" applyNumberFormat="1" applyFont="1" applyAlignment="1">
      <alignment horizontal="left"/>
    </xf>
    <xf numFmtId="183" fontId="51" fillId="0" borderId="0" xfId="0" quotePrefix="1" applyNumberFormat="1" applyFont="1" applyAlignment="1">
      <alignment horizontal="right"/>
    </xf>
    <xf numFmtId="183" fontId="52" fillId="0" borderId="0" xfId="0" quotePrefix="1" applyNumberFormat="1" applyFont="1" applyAlignment="1">
      <alignment horizontal="right"/>
    </xf>
    <xf numFmtId="167" fontId="14" fillId="3" borderId="0" xfId="3" applyNumberFormat="1" applyFont="1" applyFill="1"/>
    <xf numFmtId="171" fontId="14" fillId="3" borderId="0" xfId="3" applyNumberFormat="1" applyFont="1" applyFill="1"/>
    <xf numFmtId="166" fontId="14" fillId="3" borderId="0" xfId="3" applyNumberFormat="1" applyFont="1" applyFill="1"/>
    <xf numFmtId="166" fontId="14" fillId="3" borderId="0" xfId="3" applyNumberFormat="1" applyFont="1" applyFill="1" applyAlignment="1">
      <alignment horizontal="left"/>
    </xf>
    <xf numFmtId="166" fontId="14" fillId="3" borderId="0" xfId="3" applyNumberFormat="1" applyFont="1" applyFill="1" applyAlignment="1">
      <alignment horizontal="right"/>
    </xf>
    <xf numFmtId="168" fontId="50" fillId="0" borderId="0" xfId="3" applyNumberFormat="1" applyFont="1"/>
    <xf numFmtId="166" fontId="50" fillId="3" borderId="0" xfId="3" applyNumberFormat="1" applyFont="1" applyFill="1"/>
    <xf numFmtId="166" fontId="50" fillId="8" borderId="0" xfId="4" applyFont="1" applyFill="1" applyBorder="1" applyAlignment="1">
      <alignment horizontal="left" indent="1"/>
    </xf>
    <xf numFmtId="0" fontId="57" fillId="0" borderId="10" xfId="0" applyFont="1" applyBorder="1"/>
    <xf numFmtId="181" fontId="14" fillId="0" borderId="0" xfId="3" applyFont="1" applyAlignment="1">
      <alignment horizontal="left"/>
    </xf>
    <xf numFmtId="181" fontId="14" fillId="0" borderId="0" xfId="3" applyFont="1"/>
    <xf numFmtId="181" fontId="53" fillId="0" borderId="0" xfId="3" applyFont="1"/>
    <xf numFmtId="166" fontId="75" fillId="0" borderId="0" xfId="3" applyNumberFormat="1" applyFont="1"/>
    <xf numFmtId="175" fontId="76" fillId="0" borderId="0" xfId="0" quotePrefix="1" applyNumberFormat="1" applyFont="1" applyAlignment="1">
      <alignment horizontal="left"/>
    </xf>
    <xf numFmtId="175" fontId="76" fillId="0" borderId="0" xfId="0" quotePrefix="1" applyNumberFormat="1" applyFont="1" applyAlignment="1">
      <alignment horizontal="right"/>
    </xf>
    <xf numFmtId="175" fontId="77" fillId="0" borderId="0" xfId="3" applyNumberFormat="1" applyFont="1"/>
    <xf numFmtId="0" fontId="78" fillId="0" borderId="0" xfId="0" applyFont="1"/>
    <xf numFmtId="166" fontId="50" fillId="0" borderId="0" xfId="3" applyNumberFormat="1" applyFont="1" applyAlignment="1">
      <alignment horizontal="left"/>
    </xf>
    <xf numFmtId="166" fontId="50" fillId="0" borderId="0" xfId="3" applyNumberFormat="1" applyFont="1" applyAlignment="1">
      <alignment horizontal="right"/>
    </xf>
    <xf numFmtId="166" fontId="52" fillId="0" borderId="0" xfId="3" applyNumberFormat="1" applyFont="1" applyAlignment="1">
      <alignment horizontal="right"/>
    </xf>
    <xf numFmtId="166" fontId="77" fillId="0" borderId="0" xfId="3" applyNumberFormat="1" applyFont="1"/>
    <xf numFmtId="182" fontId="75" fillId="3" borderId="0" xfId="3" applyNumberFormat="1" applyFont="1" applyFill="1" applyAlignment="1">
      <alignment horizontal="left"/>
    </xf>
    <xf numFmtId="182" fontId="77" fillId="3" borderId="0" xfId="3" applyNumberFormat="1" applyFont="1" applyFill="1"/>
    <xf numFmtId="37" fontId="50" fillId="3" borderId="0" xfId="3" applyNumberFormat="1" applyFont="1" applyFill="1" applyAlignment="1">
      <alignment horizontal="left"/>
    </xf>
    <xf numFmtId="37" fontId="50" fillId="3" borderId="0" xfId="3" applyNumberFormat="1" applyFont="1" applyFill="1"/>
    <xf numFmtId="37" fontId="52" fillId="3" borderId="0" xfId="3" applyNumberFormat="1" applyFont="1" applyFill="1"/>
    <xf numFmtId="37" fontId="52" fillId="0" borderId="0" xfId="3" applyNumberFormat="1" applyFont="1"/>
    <xf numFmtId="181" fontId="53" fillId="0" borderId="4" xfId="3" applyFont="1" applyBorder="1" applyAlignment="1">
      <alignment horizontal="left"/>
    </xf>
    <xf numFmtId="181" fontId="53" fillId="0" borderId="4" xfId="3" applyFont="1" applyBorder="1"/>
    <xf numFmtId="168" fontId="14" fillId="0" borderId="0" xfId="2" applyNumberFormat="1" applyFont="1"/>
    <xf numFmtId="168" fontId="14" fillId="0" borderId="0" xfId="6" applyNumberFormat="1" applyFont="1" applyFill="1" applyBorder="1" applyAlignment="1">
      <alignment horizontal="left"/>
    </xf>
    <xf numFmtId="168" fontId="14" fillId="0" borderId="0" xfId="6" applyNumberFormat="1" applyFont="1" applyFill="1" applyBorder="1"/>
    <xf numFmtId="168" fontId="53" fillId="0" borderId="0" xfId="6" applyNumberFormat="1" applyFont="1" applyFill="1" applyBorder="1"/>
    <xf numFmtId="177" fontId="14" fillId="0" borderId="0" xfId="2" applyNumberFormat="1" applyFont="1"/>
    <xf numFmtId="7" fontId="14" fillId="0" borderId="0" xfId="0" applyNumberFormat="1" applyFont="1" applyAlignment="1">
      <alignment horizontal="left"/>
    </xf>
    <xf numFmtId="7" fontId="14" fillId="0" borderId="0" xfId="0" applyNumberFormat="1" applyFont="1" applyAlignment="1">
      <alignment horizontal="right"/>
    </xf>
    <xf numFmtId="7" fontId="53" fillId="0" borderId="0" xfId="0" applyNumberFormat="1" applyFont="1" applyAlignment="1">
      <alignment horizontal="right"/>
    </xf>
    <xf numFmtId="7" fontId="72" fillId="0" borderId="0" xfId="0" applyNumberFormat="1" applyFont="1" applyAlignment="1">
      <alignment horizontal="right"/>
    </xf>
    <xf numFmtId="168" fontId="50" fillId="0" borderId="0" xfId="2" applyNumberFormat="1" applyFont="1"/>
    <xf numFmtId="168" fontId="47" fillId="5" borderId="8" xfId="3" applyNumberFormat="1" applyFont="1" applyFill="1" applyBorder="1"/>
    <xf numFmtId="168" fontId="49" fillId="5" borderId="8" xfId="3" applyNumberFormat="1" applyFont="1" applyFill="1" applyBorder="1"/>
    <xf numFmtId="168" fontId="65" fillId="5" borderId="8" xfId="3" applyNumberFormat="1" applyFont="1" applyFill="1" applyBorder="1"/>
    <xf numFmtId="173" fontId="47" fillId="0" borderId="0" xfId="0" applyNumberFormat="1" applyFont="1" applyAlignment="1">
      <alignment horizontal="left"/>
    </xf>
    <xf numFmtId="173" fontId="47" fillId="0" borderId="0" xfId="0" applyNumberFormat="1" applyFont="1" applyAlignment="1">
      <alignment horizontal="right"/>
    </xf>
    <xf numFmtId="195" fontId="45" fillId="5" borderId="0" xfId="2" quotePrefix="1" applyNumberFormat="1" applyFont="1" applyFill="1" applyAlignment="1">
      <alignment horizontal="center"/>
    </xf>
    <xf numFmtId="169" fontId="47" fillId="5" borderId="8" xfId="3" applyNumberFormat="1" applyFont="1" applyFill="1" applyBorder="1"/>
    <xf numFmtId="175" fontId="14" fillId="0" borderId="0" xfId="0" quotePrefix="1" applyNumberFormat="1" applyFont="1" applyAlignment="1">
      <alignment horizontal="right"/>
    </xf>
    <xf numFmtId="183" fontId="50" fillId="0" borderId="0" xfId="0" quotePrefix="1" applyNumberFormat="1" applyFont="1" applyAlignment="1">
      <alignment horizontal="right"/>
    </xf>
    <xf numFmtId="175" fontId="75" fillId="0" borderId="0" xfId="3" applyNumberFormat="1" applyFont="1"/>
    <xf numFmtId="37" fontId="50" fillId="0" borderId="0" xfId="3" applyNumberFormat="1" applyFont="1"/>
    <xf numFmtId="181" fontId="14" fillId="0" borderId="4" xfId="3" applyFont="1" applyBorder="1"/>
    <xf numFmtId="174" fontId="50" fillId="0" borderId="0" xfId="3" applyNumberFormat="1" applyFont="1"/>
    <xf numFmtId="183" fontId="69" fillId="0" borderId="0" xfId="0" quotePrefix="1" applyNumberFormat="1" applyFont="1" applyAlignment="1">
      <alignment horizontal="right"/>
    </xf>
    <xf numFmtId="166" fontId="68" fillId="0" borderId="0" xfId="3" applyNumberFormat="1" applyFont="1" applyAlignment="1">
      <alignment horizontal="right"/>
    </xf>
    <xf numFmtId="174" fontId="69" fillId="0" borderId="0" xfId="3" applyNumberFormat="1" applyFont="1"/>
    <xf numFmtId="175" fontId="68" fillId="0" borderId="0" xfId="0" quotePrefix="1" applyNumberFormat="1" applyFont="1" applyAlignment="1">
      <alignment horizontal="right"/>
    </xf>
    <xf numFmtId="166" fontId="69" fillId="0" borderId="0" xfId="3" applyNumberFormat="1" applyFont="1" applyAlignment="1">
      <alignment horizontal="right"/>
    </xf>
    <xf numFmtId="182" fontId="75" fillId="0" borderId="0" xfId="3" applyNumberFormat="1" applyFont="1"/>
    <xf numFmtId="181" fontId="68" fillId="0" borderId="0" xfId="3" applyFont="1"/>
    <xf numFmtId="166" fontId="68" fillId="0" borderId="0" xfId="3" applyNumberFormat="1" applyFont="1"/>
    <xf numFmtId="183" fontId="68" fillId="0" borderId="0" xfId="0" applyNumberFormat="1" applyFont="1"/>
    <xf numFmtId="190" fontId="68" fillId="0" borderId="0" xfId="0" applyNumberFormat="1" applyFont="1"/>
    <xf numFmtId="174" fontId="69" fillId="0" borderId="0" xfId="3" applyNumberFormat="1" applyFont="1" applyAlignment="1">
      <alignment horizontal="right" vertical="center"/>
    </xf>
    <xf numFmtId="44" fontId="68" fillId="0" borderId="0" xfId="0" applyNumberFormat="1" applyFont="1"/>
    <xf numFmtId="44" fontId="71" fillId="0" borderId="0" xfId="0" applyNumberFormat="1" applyFont="1"/>
    <xf numFmtId="187" fontId="44" fillId="0" borderId="0" xfId="5" applyNumberFormat="1" applyFont="1" applyFill="1" applyBorder="1" applyAlignment="1" applyProtection="1">
      <alignment horizontal="right"/>
    </xf>
    <xf numFmtId="187" fontId="14" fillId="0" borderId="0" xfId="5" applyNumberFormat="1" applyFont="1" applyFill="1" applyBorder="1" applyAlignment="1" applyProtection="1">
      <alignment horizontal="left"/>
    </xf>
    <xf numFmtId="192" fontId="68" fillId="0" borderId="0" xfId="5" applyNumberFormat="1" applyFont="1" applyFill="1" applyBorder="1" applyAlignment="1" applyProtection="1">
      <alignment horizontal="right"/>
    </xf>
    <xf numFmtId="192" fontId="14" fillId="0" borderId="0" xfId="5" applyNumberFormat="1" applyFont="1" applyFill="1" applyBorder="1" applyAlignment="1" applyProtection="1">
      <alignment horizontal="left"/>
    </xf>
    <xf numFmtId="174" fontId="69" fillId="0" borderId="0" xfId="1" applyNumberFormat="1" applyFont="1" applyAlignment="1">
      <alignment horizontal="right"/>
    </xf>
    <xf numFmtId="174" fontId="51" fillId="0" borderId="0" xfId="1" applyNumberFormat="1" applyFont="1" applyAlignment="1">
      <alignment horizontal="left"/>
    </xf>
    <xf numFmtId="5" fontId="44" fillId="0" borderId="0" xfId="0" applyNumberFormat="1" applyFont="1"/>
    <xf numFmtId="9" fontId="44" fillId="0" borderId="0" xfId="6" applyFont="1"/>
    <xf numFmtId="5" fontId="14" fillId="4" borderId="0" xfId="3" applyNumberFormat="1" applyFont="1" applyFill="1"/>
    <xf numFmtId="5" fontId="44" fillId="4" borderId="0" xfId="3" applyNumberFormat="1" applyFont="1" applyFill="1"/>
    <xf numFmtId="5" fontId="44" fillId="4" borderId="0" xfId="3" applyNumberFormat="1" applyFont="1" applyFill="1" applyAlignment="1">
      <alignment horizontal="left"/>
    </xf>
    <xf numFmtId="5" fontId="14" fillId="0" borderId="0" xfId="0" applyNumberFormat="1" applyFont="1"/>
    <xf numFmtId="5" fontId="14" fillId="0" borderId="0" xfId="0" applyNumberFormat="1" applyFont="1" applyAlignment="1">
      <alignment horizontal="left"/>
    </xf>
    <xf numFmtId="5" fontId="47" fillId="0" borderId="9" xfId="3" applyNumberFormat="1" applyFont="1" applyBorder="1"/>
    <xf numFmtId="5" fontId="47" fillId="0" borderId="9" xfId="3" applyNumberFormat="1" applyFont="1" applyBorder="1" applyAlignment="1">
      <alignment horizontal="left"/>
    </xf>
    <xf numFmtId="5" fontId="48" fillId="0" borderId="9" xfId="3" applyNumberFormat="1" applyFont="1" applyBorder="1"/>
    <xf numFmtId="5" fontId="50" fillId="3" borderId="0" xfId="1" applyNumberFormat="1" applyFont="1" applyFill="1" applyAlignment="1">
      <alignment horizontal="right"/>
    </xf>
    <xf numFmtId="5" fontId="51" fillId="3" borderId="0" xfId="1" applyNumberFormat="1" applyFont="1" applyFill="1" applyAlignment="1">
      <alignment horizontal="right"/>
    </xf>
    <xf numFmtId="5" fontId="48" fillId="0" borderId="7" xfId="3" applyNumberFormat="1" applyFont="1" applyBorder="1"/>
    <xf numFmtId="0" fontId="45" fillId="0" borderId="0" xfId="1" applyFont="1"/>
    <xf numFmtId="170" fontId="47" fillId="3" borderId="4" xfId="1" applyNumberFormat="1" applyFont="1" applyFill="1" applyBorder="1" applyAlignment="1">
      <alignment horizontal="right"/>
    </xf>
    <xf numFmtId="189" fontId="57" fillId="0" borderId="0" xfId="0" applyNumberFormat="1" applyFont="1"/>
    <xf numFmtId="183" fontId="48" fillId="0" borderId="4" xfId="0" applyNumberFormat="1" applyFont="1" applyBorder="1"/>
    <xf numFmtId="165" fontId="79" fillId="0" borderId="0" xfId="1" applyNumberFormat="1" applyFont="1"/>
    <xf numFmtId="166" fontId="47" fillId="0" borderId="4" xfId="3" applyNumberFormat="1" applyFont="1" applyBorder="1"/>
    <xf numFmtId="7" fontId="47" fillId="3" borderId="7" xfId="1" applyNumberFormat="1" applyFont="1" applyFill="1" applyBorder="1" applyAlignment="1">
      <alignment horizontal="right"/>
    </xf>
    <xf numFmtId="7" fontId="44" fillId="4" borderId="0" xfId="0" applyNumberFormat="1" applyFont="1" applyFill="1"/>
    <xf numFmtId="7" fontId="14" fillId="4" borderId="0" xfId="0" applyNumberFormat="1" applyFont="1" applyFill="1"/>
    <xf numFmtId="176" fontId="51" fillId="4" borderId="0" xfId="0" applyNumberFormat="1" applyFont="1" applyFill="1" applyAlignment="1">
      <alignment horizontal="right"/>
    </xf>
    <xf numFmtId="176" fontId="50" fillId="4" borderId="0" xfId="0" applyNumberFormat="1" applyFont="1" applyFill="1" applyAlignment="1">
      <alignment horizontal="right"/>
    </xf>
    <xf numFmtId="0" fontId="62" fillId="0" borderId="0" xfId="0" applyFont="1" applyAlignment="1">
      <alignment horizontal="center" vertical="center"/>
    </xf>
    <xf numFmtId="0" fontId="80" fillId="0" borderId="0" xfId="2" applyFont="1" applyAlignment="1">
      <alignment horizontal="center" vertical="center"/>
    </xf>
    <xf numFmtId="194" fontId="80" fillId="0" borderId="0" xfId="0" quotePrefix="1" applyNumberFormat="1" applyFont="1" applyAlignment="1">
      <alignment horizontal="center" vertical="center"/>
    </xf>
    <xf numFmtId="0" fontId="49" fillId="0" borderId="0" xfId="0" applyFont="1"/>
    <xf numFmtId="196" fontId="49" fillId="0" borderId="0" xfId="22" applyNumberFormat="1" applyFont="1" applyAlignment="1">
      <alignment horizontal="left"/>
    </xf>
    <xf numFmtId="196" fontId="49" fillId="0" borderId="0" xfId="22" applyNumberFormat="1" applyFont="1"/>
    <xf numFmtId="196" fontId="49" fillId="0" borderId="0" xfId="22" applyNumberFormat="1" applyFont="1" applyBorder="1"/>
    <xf numFmtId="197" fontId="49" fillId="0" borderId="0" xfId="22" applyNumberFormat="1" applyFont="1" applyAlignment="1">
      <alignment horizontal="left"/>
    </xf>
    <xf numFmtId="197" fontId="49" fillId="0" borderId="0" xfId="22" applyNumberFormat="1" applyFont="1"/>
    <xf numFmtId="197" fontId="49" fillId="0" borderId="0" xfId="22" applyNumberFormat="1" applyFont="1" applyBorder="1"/>
    <xf numFmtId="175" fontId="80" fillId="0" borderId="0" xfId="3" applyNumberFormat="1" applyFont="1" applyAlignment="1">
      <alignment horizontal="center" vertical="center"/>
    </xf>
    <xf numFmtId="168" fontId="80" fillId="0" borderId="0" xfId="0" applyNumberFormat="1" applyFont="1" applyAlignment="1">
      <alignment horizontal="center" vertical="center"/>
    </xf>
    <xf numFmtId="168" fontId="80" fillId="0" borderId="0" xfId="3" applyNumberFormat="1" applyFont="1" applyAlignment="1">
      <alignment horizontal="center" vertical="center"/>
    </xf>
    <xf numFmtId="166" fontId="80" fillId="0" borderId="0" xfId="3" applyNumberFormat="1" applyFont="1" applyAlignment="1">
      <alignment horizontal="center" vertical="center"/>
    </xf>
    <xf numFmtId="196" fontId="80" fillId="0" borderId="0" xfId="22" applyNumberFormat="1" applyFont="1" applyFill="1" applyBorder="1" applyAlignment="1">
      <alignment horizontal="center" vertical="center"/>
    </xf>
    <xf numFmtId="168" fontId="80" fillId="0" borderId="0" xfId="0" quotePrefix="1" applyNumberFormat="1" applyFont="1" applyAlignment="1">
      <alignment horizontal="center" vertical="center"/>
    </xf>
    <xf numFmtId="5" fontId="80" fillId="0" borderId="0" xfId="3" applyNumberFormat="1" applyFont="1" applyAlignment="1">
      <alignment horizontal="center" vertical="center"/>
    </xf>
    <xf numFmtId="197" fontId="80" fillId="0" borderId="0" xfId="22" applyNumberFormat="1" applyFont="1" applyFill="1" applyBorder="1" applyAlignment="1">
      <alignment horizontal="center" vertical="center"/>
    </xf>
    <xf numFmtId="170" fontId="80" fillId="0" borderId="0" xfId="0" applyNumberFormat="1" applyFont="1" applyAlignment="1">
      <alignment horizontal="center" vertical="center"/>
    </xf>
    <xf numFmtId="5" fontId="80" fillId="0" borderId="0" xfId="6" applyNumberFormat="1" applyFont="1" applyFill="1" applyBorder="1" applyAlignment="1">
      <alignment horizontal="center" vertical="center"/>
    </xf>
    <xf numFmtId="0" fontId="80" fillId="0" borderId="0" xfId="0" applyFont="1" applyAlignment="1">
      <alignment horizontal="center" vertical="center"/>
    </xf>
    <xf numFmtId="174" fontId="80" fillId="0" borderId="0" xfId="1" applyNumberFormat="1" applyFont="1" applyAlignment="1">
      <alignment horizontal="center" vertical="center"/>
    </xf>
    <xf numFmtId="174" fontId="80" fillId="0" borderId="0" xfId="3" applyNumberFormat="1" applyFont="1" applyAlignment="1">
      <alignment horizontal="center" vertical="center"/>
    </xf>
    <xf numFmtId="37" fontId="80" fillId="0" borderId="0" xfId="0" applyNumberFormat="1" applyFont="1" applyAlignment="1">
      <alignment horizontal="center" vertical="center"/>
    </xf>
    <xf numFmtId="176" fontId="80" fillId="0" borderId="0" xfId="0" quotePrefix="1" applyNumberFormat="1" applyFont="1" applyAlignment="1">
      <alignment horizontal="center" vertical="center"/>
    </xf>
    <xf numFmtId="43" fontId="80" fillId="0" borderId="0" xfId="0" quotePrefix="1" applyNumberFormat="1" applyFont="1" applyAlignment="1">
      <alignment horizontal="center" vertical="center"/>
    </xf>
    <xf numFmtId="5" fontId="80" fillId="0" borderId="0" xfId="0" applyNumberFormat="1" applyFont="1" applyAlignment="1">
      <alignment horizontal="center" vertical="center"/>
    </xf>
    <xf numFmtId="5" fontId="80" fillId="0" borderId="0" xfId="1" applyNumberFormat="1" applyFont="1" applyAlignment="1">
      <alignment horizontal="center" vertical="center"/>
    </xf>
    <xf numFmtId="185" fontId="80" fillId="0" borderId="0" xfId="0" applyNumberFormat="1" applyFont="1" applyAlignment="1">
      <alignment horizontal="center" vertical="center"/>
    </xf>
    <xf numFmtId="183" fontId="80" fillId="0" borderId="0" xfId="6" applyNumberFormat="1" applyFont="1" applyFill="1" applyBorder="1" applyAlignment="1">
      <alignment horizontal="center" vertical="center"/>
    </xf>
    <xf numFmtId="37" fontId="80" fillId="0" borderId="0" xfId="6" applyNumberFormat="1" applyFont="1" applyFill="1" applyBorder="1" applyAlignment="1">
      <alignment horizontal="center" vertical="center"/>
    </xf>
    <xf numFmtId="1" fontId="80" fillId="0" borderId="0" xfId="0" quotePrefix="1" applyNumberFormat="1" applyFont="1" applyAlignment="1">
      <alignment horizontal="center" vertical="center"/>
    </xf>
    <xf numFmtId="197" fontId="49" fillId="0" borderId="0" xfId="22" applyNumberFormat="1" applyFont="1" applyFill="1"/>
    <xf numFmtId="192" fontId="49" fillId="0" borderId="0" xfId="5" applyNumberFormat="1" applyFont="1" applyFill="1" applyBorder="1" applyAlignment="1" applyProtection="1">
      <alignment horizontal="left"/>
    </xf>
    <xf numFmtId="192" fontId="49" fillId="3" borderId="0" xfId="5" applyNumberFormat="1" applyFont="1" applyFill="1" applyBorder="1" applyAlignment="1" applyProtection="1">
      <alignment horizontal="right"/>
    </xf>
    <xf numFmtId="192" fontId="49" fillId="0" borderId="0" xfId="5" applyNumberFormat="1" applyFont="1" applyFill="1" applyBorder="1" applyAlignment="1" applyProtection="1">
      <alignment horizontal="right"/>
    </xf>
    <xf numFmtId="183" fontId="80" fillId="0" borderId="0" xfId="6" applyNumberFormat="1" applyFont="1" applyFill="1" applyBorder="1" applyAlignment="1" applyProtection="1">
      <alignment horizontal="center" vertical="center"/>
    </xf>
    <xf numFmtId="192" fontId="80" fillId="0" borderId="0" xfId="5" applyNumberFormat="1" applyFont="1" applyFill="1" applyBorder="1" applyAlignment="1" applyProtection="1">
      <alignment horizontal="center" vertical="center"/>
    </xf>
    <xf numFmtId="194" fontId="80" fillId="0" borderId="0" xfId="2" applyNumberFormat="1" applyFont="1" applyAlignment="1">
      <alignment horizontal="center" vertical="center"/>
    </xf>
    <xf numFmtId="183" fontId="80" fillId="0" borderId="0" xfId="0" applyNumberFormat="1" applyFont="1" applyAlignment="1">
      <alignment horizontal="center" vertical="center"/>
    </xf>
    <xf numFmtId="174" fontId="81" fillId="0" borderId="0" xfId="1" applyNumberFormat="1" applyFont="1" applyAlignment="1">
      <alignment horizontal="center" vertical="center"/>
    </xf>
    <xf numFmtId="3" fontId="80" fillId="0" borderId="0" xfId="0" applyNumberFormat="1" applyFont="1" applyAlignment="1">
      <alignment horizontal="center" vertical="center"/>
    </xf>
    <xf numFmtId="190" fontId="80" fillId="0" borderId="0" xfId="0" applyNumberFormat="1" applyFont="1" applyAlignment="1">
      <alignment horizontal="center" vertical="center"/>
    </xf>
    <xf numFmtId="174" fontId="81" fillId="0" borderId="0" xfId="3" applyNumberFormat="1" applyFont="1" applyAlignment="1">
      <alignment horizontal="center" vertical="center"/>
    </xf>
    <xf numFmtId="183" fontId="81" fillId="0" borderId="0" xfId="6" applyNumberFormat="1" applyFont="1" applyFill="1" applyBorder="1" applyAlignment="1">
      <alignment horizontal="center" vertical="center"/>
    </xf>
    <xf numFmtId="192" fontId="80" fillId="0" borderId="0" xfId="5" applyNumberFormat="1" applyFont="1" applyFill="1" applyBorder="1" applyAlignment="1">
      <alignment horizontal="center" vertical="center"/>
    </xf>
    <xf numFmtId="184" fontId="80" fillId="0" borderId="0" xfId="0" applyNumberFormat="1" applyFont="1" applyAlignment="1">
      <alignment horizontal="center" vertical="center"/>
    </xf>
    <xf numFmtId="44" fontId="80" fillId="0" borderId="0" xfId="0" applyNumberFormat="1" applyFont="1" applyAlignment="1">
      <alignment horizontal="center" vertical="center"/>
    </xf>
    <xf numFmtId="44" fontId="82" fillId="0" borderId="0" xfId="0" applyNumberFormat="1" applyFont="1" applyAlignment="1">
      <alignment horizontal="center" vertical="center"/>
    </xf>
    <xf numFmtId="187" fontId="80" fillId="0" borderId="0" xfId="5" applyNumberFormat="1" applyFont="1" applyFill="1" applyBorder="1" applyAlignment="1" applyProtection="1">
      <alignment horizontal="center" vertical="center"/>
    </xf>
    <xf numFmtId="4" fontId="80" fillId="0" borderId="0" xfId="1" applyNumberFormat="1" applyFont="1" applyAlignment="1">
      <alignment horizontal="center" vertical="center"/>
    </xf>
    <xf numFmtId="43" fontId="44" fillId="0" borderId="0" xfId="22" applyFont="1" applyFill="1" applyBorder="1"/>
    <xf numFmtId="5" fontId="14" fillId="0" borderId="0" xfId="1" applyNumberFormat="1" applyFont="1"/>
    <xf numFmtId="5" fontId="44" fillId="0" borderId="0" xfId="3" applyNumberFormat="1" applyFont="1" applyAlignment="1">
      <alignment horizontal="left"/>
    </xf>
    <xf numFmtId="5" fontId="48" fillId="0" borderId="9" xfId="3" applyNumberFormat="1" applyFont="1" applyBorder="1" applyAlignment="1">
      <alignment horizontal="left"/>
    </xf>
    <xf numFmtId="5" fontId="47" fillId="0" borderId="9" xfId="0" applyNumberFormat="1" applyFont="1" applyBorder="1"/>
    <xf numFmtId="5" fontId="48" fillId="0" borderId="9" xfId="0" applyNumberFormat="1" applyFont="1" applyBorder="1"/>
    <xf numFmtId="5" fontId="48" fillId="0" borderId="7" xfId="3" applyNumberFormat="1" applyFont="1" applyBorder="1" applyAlignment="1">
      <alignment horizontal="left"/>
    </xf>
    <xf numFmtId="5" fontId="47" fillId="0" borderId="7" xfId="3" applyNumberFormat="1" applyFont="1" applyBorder="1"/>
    <xf numFmtId="37" fontId="14" fillId="0" borderId="0" xfId="1" applyNumberFormat="1" applyFont="1"/>
    <xf numFmtId="37" fontId="44" fillId="0" borderId="0" xfId="3" applyNumberFormat="1" applyFont="1" applyAlignment="1">
      <alignment horizontal="left"/>
    </xf>
    <xf numFmtId="37" fontId="44" fillId="0" borderId="0" xfId="3" applyNumberFormat="1" applyFont="1"/>
    <xf numFmtId="37" fontId="14" fillId="0" borderId="0" xfId="3" applyNumberFormat="1" applyFont="1"/>
    <xf numFmtId="37" fontId="80" fillId="0" borderId="0" xfId="3" applyNumberFormat="1" applyFont="1" applyAlignment="1">
      <alignment horizontal="center" vertical="center"/>
    </xf>
    <xf numFmtId="37" fontId="44" fillId="4" borderId="0" xfId="3" applyNumberFormat="1" applyFont="1" applyFill="1" applyAlignment="1">
      <alignment horizontal="left"/>
    </xf>
    <xf numFmtId="37" fontId="44" fillId="4" borderId="0" xfId="3" applyNumberFormat="1" applyFont="1" applyFill="1"/>
    <xf numFmtId="37" fontId="14" fillId="4" borderId="0" xfId="3" applyNumberFormat="1" applyFont="1" applyFill="1"/>
    <xf numFmtId="37" fontId="54" fillId="4" borderId="0" xfId="3" applyNumberFormat="1" applyFont="1" applyFill="1"/>
    <xf numFmtId="37" fontId="53" fillId="4" borderId="0" xfId="3" applyNumberFormat="1" applyFont="1" applyFill="1"/>
    <xf numFmtId="37" fontId="14" fillId="0" borderId="0" xfId="0" applyNumberFormat="1" applyFont="1"/>
    <xf numFmtId="37" fontId="53" fillId="0" borderId="0" xfId="0" applyNumberFormat="1" applyFont="1"/>
    <xf numFmtId="37" fontId="48" fillId="0" borderId="9" xfId="3" applyNumberFormat="1" applyFont="1" applyBorder="1" applyAlignment="1">
      <alignment horizontal="left"/>
    </xf>
    <xf numFmtId="37" fontId="48" fillId="0" borderId="9" xfId="3" applyNumberFormat="1" applyFont="1" applyBorder="1"/>
    <xf numFmtId="37" fontId="47" fillId="0" borderId="9" xfId="3" applyNumberFormat="1" applyFont="1" applyBorder="1"/>
    <xf numFmtId="37" fontId="47" fillId="0" borderId="9" xfId="0" applyNumberFormat="1" applyFont="1" applyBorder="1"/>
    <xf numFmtId="37" fontId="48" fillId="0" borderId="9" xfId="0" applyNumberFormat="1" applyFont="1" applyBorder="1"/>
    <xf numFmtId="37" fontId="48" fillId="0" borderId="7" xfId="3" applyNumberFormat="1" applyFont="1" applyBorder="1" applyAlignment="1">
      <alignment horizontal="left"/>
    </xf>
    <xf numFmtId="37" fontId="48" fillId="0" borderId="7" xfId="3" applyNumberFormat="1" applyFont="1" applyBorder="1"/>
    <xf numFmtId="7" fontId="44" fillId="0" borderId="0" xfId="0" applyNumberFormat="1" applyFont="1"/>
    <xf numFmtId="168" fontId="47" fillId="0" borderId="1" xfId="0" quotePrefix="1" applyNumberFormat="1" applyFont="1" applyBorder="1" applyAlignment="1">
      <alignment horizontal="left"/>
    </xf>
    <xf numFmtId="168" fontId="47" fillId="0" borderId="1" xfId="0" quotePrefix="1" applyNumberFormat="1" applyFont="1" applyBorder="1" applyAlignment="1">
      <alignment horizontal="right"/>
    </xf>
    <xf numFmtId="168" fontId="48" fillId="0" borderId="1" xfId="0" quotePrefix="1" applyNumberFormat="1" applyFont="1" applyBorder="1" applyAlignment="1">
      <alignment horizontal="right"/>
    </xf>
    <xf numFmtId="0" fontId="45" fillId="2" borderId="4" xfId="2" applyFont="1" applyFill="1" applyBorder="1" applyAlignment="1">
      <alignment horizontal="left"/>
    </xf>
    <xf numFmtId="168" fontId="49" fillId="0" borderId="0" xfId="0" quotePrefix="1" applyNumberFormat="1" applyFont="1" applyAlignment="1">
      <alignment horizontal="left"/>
    </xf>
    <xf numFmtId="168" fontId="49" fillId="0" borderId="0" xfId="0" quotePrefix="1" applyNumberFormat="1" applyFont="1" applyAlignment="1">
      <alignment horizontal="right"/>
    </xf>
    <xf numFmtId="174" fontId="49" fillId="3" borderId="0" xfId="1" applyNumberFormat="1" applyFont="1" applyFill="1" applyAlignment="1">
      <alignment horizontal="left"/>
    </xf>
    <xf numFmtId="174" fontId="49" fillId="3" borderId="0" xfId="1" applyNumberFormat="1" applyFont="1" applyFill="1" applyAlignment="1">
      <alignment horizontal="right"/>
    </xf>
    <xf numFmtId="0" fontId="68" fillId="0" borderId="0" xfId="0" applyFont="1"/>
    <xf numFmtId="182" fontId="57" fillId="0" borderId="0" xfId="0" applyNumberFormat="1" applyFont="1"/>
    <xf numFmtId="37" fontId="14" fillId="0" borderId="0" xfId="3" applyNumberFormat="1" applyFont="1" applyAlignment="1">
      <alignment horizontal="right"/>
    </xf>
    <xf numFmtId="44" fontId="57" fillId="0" borderId="0" xfId="0" applyNumberFormat="1" applyFont="1"/>
    <xf numFmtId="168" fontId="61" fillId="0" borderId="0" xfId="3" applyNumberFormat="1" applyFont="1" applyAlignment="1">
      <alignment horizontal="left" vertical="center"/>
    </xf>
    <xf numFmtId="166" fontId="69" fillId="0" borderId="0" xfId="0" applyNumberFormat="1" applyFont="1"/>
    <xf numFmtId="176" fontId="69" fillId="0" borderId="0" xfId="0" quotePrefix="1" applyNumberFormat="1" applyFont="1" applyAlignment="1">
      <alignment horizontal="right"/>
    </xf>
    <xf numFmtId="183" fontId="49" fillId="0" borderId="0" xfId="6" applyNumberFormat="1" applyFont="1" applyAlignment="1">
      <alignment horizontal="left"/>
    </xf>
    <xf numFmtId="183" fontId="49" fillId="0" borderId="0" xfId="6" applyNumberFormat="1" applyFont="1" applyBorder="1"/>
    <xf numFmtId="183" fontId="49" fillId="0" borderId="0" xfId="6" applyNumberFormat="1" applyFont="1"/>
    <xf numFmtId="183" fontId="49" fillId="0" borderId="0" xfId="0" applyNumberFormat="1" applyFont="1" applyAlignment="1">
      <alignment horizontal="left"/>
    </xf>
    <xf numFmtId="183" fontId="49" fillId="0" borderId="0" xfId="0" applyNumberFormat="1" applyFont="1"/>
    <xf numFmtId="44" fontId="14" fillId="0" borderId="0" xfId="0" applyNumberFormat="1" applyFont="1"/>
    <xf numFmtId="183" fontId="44" fillId="0" borderId="0" xfId="6" applyNumberFormat="1" applyFont="1" applyBorder="1"/>
    <xf numFmtId="1" fontId="66" fillId="5" borderId="0" xfId="2" applyNumberFormat="1" applyFont="1" applyFill="1" applyAlignment="1">
      <alignment horizontal="center"/>
    </xf>
    <xf numFmtId="14" fontId="44" fillId="0" borderId="0" xfId="0" applyNumberFormat="1" applyFont="1" applyAlignment="1">
      <alignment horizontal="left"/>
    </xf>
    <xf numFmtId="183" fontId="44" fillId="0" borderId="0" xfId="6" applyNumberFormat="1" applyFont="1"/>
    <xf numFmtId="0" fontId="46" fillId="0" borderId="0" xfId="0" applyFont="1" applyAlignment="1">
      <alignment horizontal="left"/>
    </xf>
    <xf numFmtId="0" fontId="46" fillId="0" borderId="0" xfId="0" applyFont="1"/>
    <xf numFmtId="14" fontId="14" fillId="0" borderId="0" xfId="0" applyNumberFormat="1" applyFont="1"/>
    <xf numFmtId="0" fontId="67" fillId="5" borderId="0" xfId="2" applyFont="1" applyFill="1" applyAlignment="1">
      <alignment horizontal="left"/>
    </xf>
    <xf numFmtId="0" fontId="65" fillId="5" borderId="0" xfId="2" applyFont="1" applyFill="1" applyAlignment="1">
      <alignment horizontal="center"/>
    </xf>
    <xf numFmtId="1" fontId="65" fillId="5" borderId="0" xfId="2" applyNumberFormat="1" applyFont="1" applyFill="1" applyAlignment="1">
      <alignment horizontal="center"/>
    </xf>
    <xf numFmtId="194" fontId="48" fillId="0" borderId="0" xfId="0" applyNumberFormat="1" applyFont="1"/>
    <xf numFmtId="170" fontId="47" fillId="0" borderId="0" xfId="3" applyNumberFormat="1" applyFont="1"/>
    <xf numFmtId="170" fontId="48" fillId="3" borderId="0" xfId="1" applyNumberFormat="1" applyFont="1" applyFill="1" applyAlignment="1">
      <alignment horizontal="left"/>
    </xf>
    <xf numFmtId="170" fontId="48" fillId="3" borderId="0" xfId="1" applyNumberFormat="1" applyFont="1" applyFill="1" applyAlignment="1">
      <alignment horizontal="right"/>
    </xf>
    <xf numFmtId="170" fontId="47" fillId="6" borderId="0" xfId="3" applyNumberFormat="1" applyFont="1" applyFill="1" applyAlignment="1">
      <alignment horizontal="right"/>
    </xf>
    <xf numFmtId="170" fontId="48" fillId="6" borderId="0" xfId="3" applyNumberFormat="1" applyFont="1" applyFill="1" applyAlignment="1">
      <alignment horizontal="right"/>
    </xf>
    <xf numFmtId="170" fontId="80" fillId="0" borderId="0" xfId="1" applyNumberFormat="1" applyFont="1" applyAlignment="1">
      <alignment horizontal="center" vertical="center"/>
    </xf>
    <xf numFmtId="168" fontId="50" fillId="0" borderId="0" xfId="3" applyNumberFormat="1" applyFont="1" applyAlignment="1">
      <alignment horizontal="right"/>
    </xf>
    <xf numFmtId="168" fontId="51" fillId="0" borderId="0" xfId="3" applyNumberFormat="1" applyFont="1" applyAlignment="1">
      <alignment horizontal="right"/>
    </xf>
    <xf numFmtId="177" fontId="48" fillId="3" borderId="0" xfId="1" applyNumberFormat="1" applyFont="1" applyFill="1" applyAlignment="1">
      <alignment horizontal="left"/>
    </xf>
    <xf numFmtId="177" fontId="48" fillId="3" borderId="0" xfId="1" applyNumberFormat="1" applyFont="1" applyFill="1" applyAlignment="1">
      <alignment horizontal="right"/>
    </xf>
    <xf numFmtId="177" fontId="80" fillId="0" borderId="0" xfId="1" applyNumberFormat="1" applyFont="1" applyAlignment="1">
      <alignment horizontal="center" vertical="center"/>
    </xf>
    <xf numFmtId="177" fontId="47" fillId="0" borderId="0" xfId="3" applyNumberFormat="1" applyFont="1"/>
    <xf numFmtId="177" fontId="47" fillId="0" borderId="0" xfId="3" applyNumberFormat="1" applyFont="1" applyAlignment="1">
      <alignment horizontal="right"/>
    </xf>
    <xf numFmtId="177" fontId="48" fillId="0" borderId="0" xfId="3" applyNumberFormat="1" applyFont="1" applyAlignment="1">
      <alignment horizontal="right"/>
    </xf>
    <xf numFmtId="183" fontId="48" fillId="3" borderId="0" xfId="1" applyNumberFormat="1" applyFont="1" applyFill="1" applyAlignment="1">
      <alignment horizontal="left"/>
    </xf>
    <xf numFmtId="183" fontId="48" fillId="3" borderId="0" xfId="1" applyNumberFormat="1" applyFont="1" applyFill="1" applyAlignment="1">
      <alignment horizontal="right"/>
    </xf>
    <xf numFmtId="183" fontId="80" fillId="0" borderId="0" xfId="1" applyNumberFormat="1" applyFont="1" applyAlignment="1">
      <alignment horizontal="center" vertical="center"/>
    </xf>
    <xf numFmtId="168" fontId="47" fillId="0" borderId="0" xfId="3" applyNumberFormat="1" applyFont="1" applyAlignment="1">
      <alignment horizontal="right"/>
    </xf>
    <xf numFmtId="168" fontId="48" fillId="0" borderId="0" xfId="3" applyNumberFormat="1" applyFont="1" applyAlignment="1">
      <alignment horizontal="right"/>
    </xf>
    <xf numFmtId="193" fontId="51" fillId="0" borderId="0" xfId="3" applyNumberFormat="1" applyFont="1" applyAlignment="1">
      <alignment horizontal="left"/>
    </xf>
    <xf numFmtId="193" fontId="51" fillId="0" borderId="0" xfId="3" applyNumberFormat="1" applyFont="1" applyAlignment="1">
      <alignment horizontal="right"/>
    </xf>
    <xf numFmtId="193" fontId="50" fillId="0" borderId="0" xfId="3" applyNumberFormat="1" applyFont="1" applyAlignment="1">
      <alignment horizontal="right"/>
    </xf>
    <xf numFmtId="193" fontId="80" fillId="0" borderId="0" xfId="3" applyNumberFormat="1" applyFont="1" applyAlignment="1">
      <alignment horizontal="center" vertical="center"/>
    </xf>
    <xf numFmtId="173" fontId="47" fillId="0" borderId="0" xfId="3" applyNumberFormat="1" applyFont="1"/>
    <xf numFmtId="183" fontId="48" fillId="0" borderId="4" xfId="0" applyNumberFormat="1" applyFont="1" applyBorder="1" applyAlignment="1">
      <alignment horizontal="left"/>
    </xf>
    <xf numFmtId="183" fontId="80" fillId="0" borderId="4" xfId="0" applyNumberFormat="1" applyFont="1" applyBorder="1"/>
    <xf numFmtId="0" fontId="44" fillId="0" borderId="5" xfId="0" applyFont="1" applyBorder="1" applyAlignment="1">
      <alignment horizontal="left"/>
    </xf>
    <xf numFmtId="0" fontId="44" fillId="0" borderId="5" xfId="0" applyFont="1" applyBorder="1"/>
    <xf numFmtId="0" fontId="53" fillId="0" borderId="5" xfId="0" applyFont="1" applyBorder="1"/>
    <xf numFmtId="174" fontId="49" fillId="0" borderId="0" xfId="1" applyNumberFormat="1" applyFont="1" applyAlignment="1">
      <alignment horizontal="left"/>
    </xf>
    <xf numFmtId="170" fontId="49" fillId="3" borderId="0" xfId="1" applyNumberFormat="1" applyFont="1" applyFill="1" applyAlignment="1">
      <alignment horizontal="right"/>
    </xf>
    <xf numFmtId="174" fontId="49" fillId="0" borderId="0" xfId="1" applyNumberFormat="1" applyFont="1" applyAlignment="1">
      <alignment horizontal="right"/>
    </xf>
    <xf numFmtId="170" fontId="48" fillId="3" borderId="4" xfId="1" applyNumberFormat="1" applyFont="1" applyFill="1" applyBorder="1" applyAlignment="1">
      <alignment horizontal="left"/>
    </xf>
    <xf numFmtId="170" fontId="48" fillId="3" borderId="4" xfId="1" applyNumberFormat="1" applyFont="1" applyFill="1" applyBorder="1" applyAlignment="1">
      <alignment horizontal="right"/>
    </xf>
    <xf numFmtId="174" fontId="83" fillId="0" borderId="0" xfId="1" applyNumberFormat="1" applyFont="1" applyAlignment="1">
      <alignment horizontal="left"/>
    </xf>
    <xf numFmtId="174" fontId="83" fillId="0" borderId="0" xfId="1" applyNumberFormat="1" applyFont="1" applyAlignment="1">
      <alignment horizontal="right"/>
    </xf>
    <xf numFmtId="170" fontId="49" fillId="3" borderId="0" xfId="1" applyNumberFormat="1" applyFont="1" applyFill="1" applyAlignment="1">
      <alignment horizontal="left"/>
    </xf>
    <xf numFmtId="0" fontId="49" fillId="0" borderId="0" xfId="0" applyFont="1" applyAlignment="1">
      <alignment horizontal="left"/>
    </xf>
    <xf numFmtId="183" fontId="44" fillId="0" borderId="0" xfId="6" applyNumberFormat="1" applyFont="1" applyFill="1" applyBorder="1"/>
    <xf numFmtId="183" fontId="49" fillId="0" borderId="0" xfId="6" applyNumberFormat="1" applyFont="1" applyFill="1"/>
    <xf numFmtId="183" fontId="49" fillId="0" borderId="0" xfId="6" applyNumberFormat="1" applyFont="1" applyFill="1" applyAlignment="1">
      <alignment horizontal="left"/>
    </xf>
    <xf numFmtId="166" fontId="47" fillId="0" borderId="4" xfId="3" applyNumberFormat="1" applyFont="1" applyBorder="1" applyAlignment="1">
      <alignment horizontal="left"/>
    </xf>
    <xf numFmtId="166" fontId="48" fillId="0" borderId="4" xfId="3" applyNumberFormat="1" applyFont="1" applyBorder="1"/>
    <xf numFmtId="7" fontId="47" fillId="3" borderId="7" xfId="1" applyNumberFormat="1" applyFont="1" applyFill="1" applyBorder="1" applyAlignment="1">
      <alignment horizontal="left"/>
    </xf>
    <xf numFmtId="7" fontId="48" fillId="3" borderId="7" xfId="1" applyNumberFormat="1" applyFont="1" applyFill="1" applyBorder="1" applyAlignment="1">
      <alignment horizontal="right"/>
    </xf>
    <xf numFmtId="7" fontId="80" fillId="0" borderId="0" xfId="1" applyNumberFormat="1" applyFont="1" applyAlignment="1">
      <alignment horizontal="center" vertical="center"/>
    </xf>
    <xf numFmtId="191" fontId="49" fillId="0" borderId="0" xfId="0" applyNumberFormat="1" applyFont="1" applyAlignment="1">
      <alignment horizontal="left"/>
    </xf>
    <xf numFmtId="191" fontId="49" fillId="0" borderId="0" xfId="0" applyNumberFormat="1" applyFont="1"/>
    <xf numFmtId="191" fontId="80" fillId="0" borderId="0" xfId="0" applyNumberFormat="1" applyFont="1" applyAlignment="1">
      <alignment horizontal="center" vertical="center"/>
    </xf>
    <xf numFmtId="166" fontId="14" fillId="0" borderId="4" xfId="3" applyNumberFormat="1" applyFont="1" applyBorder="1" applyAlignment="1">
      <alignment horizontal="left"/>
    </xf>
    <xf numFmtId="7" fontId="14" fillId="4" borderId="0" xfId="0" applyNumberFormat="1" applyFont="1" applyFill="1" applyAlignment="1">
      <alignment horizontal="left"/>
    </xf>
    <xf numFmtId="7" fontId="80" fillId="0" borderId="0" xfId="0" applyNumberFormat="1" applyFont="1" applyAlignment="1">
      <alignment horizontal="center" vertical="center"/>
    </xf>
    <xf numFmtId="176" fontId="50" fillId="4" borderId="0" xfId="0" applyNumberFormat="1" applyFont="1" applyFill="1" applyAlignment="1">
      <alignment horizontal="left"/>
    </xf>
    <xf numFmtId="176" fontId="80" fillId="0" borderId="0" xfId="0" applyNumberFormat="1" applyFont="1" applyAlignment="1">
      <alignment horizontal="center" vertical="center"/>
    </xf>
    <xf numFmtId="7" fontId="68" fillId="4" borderId="0" xfId="0" applyNumberFormat="1" applyFont="1" applyFill="1"/>
    <xf numFmtId="0" fontId="14" fillId="0" borderId="0" xfId="0" applyFont="1" applyAlignment="1">
      <alignment horizontal="left" indent="1"/>
    </xf>
    <xf numFmtId="166" fontId="68" fillId="0" borderId="0" xfId="0" applyNumberFormat="1" applyFont="1"/>
    <xf numFmtId="0" fontId="47" fillId="0" borderId="0" xfId="1" applyFont="1"/>
    <xf numFmtId="166" fontId="14" fillId="0" borderId="0" xfId="0" applyNumberFormat="1" applyFont="1" applyAlignment="1">
      <alignment horizontal="left" indent="1"/>
    </xf>
    <xf numFmtId="166" fontId="44" fillId="0" borderId="0" xfId="0" applyNumberFormat="1" applyFont="1" applyAlignment="1">
      <alignment horizontal="left"/>
    </xf>
    <xf numFmtId="166" fontId="44" fillId="0" borderId="0" xfId="0" applyNumberFormat="1" applyFont="1" applyAlignment="1">
      <alignment horizontal="right"/>
    </xf>
    <xf numFmtId="166" fontId="80" fillId="0" borderId="0" xfId="0" applyNumberFormat="1" applyFont="1" applyAlignment="1">
      <alignment horizontal="center" vertical="center"/>
    </xf>
    <xf numFmtId="198" fontId="7" fillId="0" borderId="0" xfId="0" applyNumberFormat="1" applyFont="1" applyAlignment="1">
      <alignment wrapText="1"/>
    </xf>
    <xf numFmtId="198" fontId="8" fillId="0" borderId="0" xfId="0" applyNumberFormat="1" applyFont="1" applyAlignment="1">
      <alignment wrapText="1"/>
    </xf>
    <xf numFmtId="199" fontId="8" fillId="0" borderId="0" xfId="0" applyNumberFormat="1" applyFont="1" applyAlignment="1">
      <alignment wrapText="1"/>
    </xf>
    <xf numFmtId="4" fontId="8" fillId="0" borderId="0" xfId="0" applyNumberFormat="1" applyFont="1" applyAlignment="1">
      <alignment wrapText="1"/>
    </xf>
    <xf numFmtId="0" fontId="8" fillId="0" borderId="0" xfId="0" applyFont="1" applyAlignment="1">
      <alignment horizontal="right" wrapText="1"/>
    </xf>
    <xf numFmtId="188" fontId="51" fillId="0" borderId="0" xfId="0" applyNumberFormat="1" applyFont="1"/>
    <xf numFmtId="175" fontId="48" fillId="3" borderId="7" xfId="1" applyNumberFormat="1" applyFont="1" applyFill="1" applyBorder="1" applyAlignment="1">
      <alignment horizontal="right"/>
    </xf>
    <xf numFmtId="0" fontId="46" fillId="2" borderId="5" xfId="2" applyFont="1" applyFill="1" applyBorder="1" applyAlignment="1">
      <alignment horizontal="center"/>
    </xf>
    <xf numFmtId="194" fontId="46" fillId="2" borderId="4" xfId="2" applyNumberFormat="1" applyFont="1" applyFill="1" applyBorder="1" applyAlignment="1">
      <alignment horizontal="center"/>
    </xf>
    <xf numFmtId="7" fontId="53" fillId="0" borderId="5" xfId="0" applyNumberFormat="1" applyFont="1" applyBorder="1"/>
    <xf numFmtId="9" fontId="80" fillId="0" borderId="0" xfId="6" applyFont="1" applyFill="1" applyBorder="1" applyAlignment="1" applyProtection="1">
      <alignment horizontal="center" vertical="center"/>
    </xf>
    <xf numFmtId="0" fontId="84" fillId="0" borderId="0" xfId="0" applyFont="1"/>
    <xf numFmtId="183" fontId="14" fillId="0" borderId="0" xfId="0" applyNumberFormat="1" applyFont="1"/>
    <xf numFmtId="1" fontId="44" fillId="0" borderId="0" xfId="0" applyNumberFormat="1" applyFont="1"/>
    <xf numFmtId="189" fontId="44" fillId="0" borderId="0" xfId="0" applyNumberFormat="1" applyFont="1"/>
    <xf numFmtId="7" fontId="57" fillId="0" borderId="0" xfId="0" applyNumberFormat="1" applyFont="1"/>
    <xf numFmtId="175" fontId="47" fillId="0" borderId="0" xfId="3" applyNumberFormat="1" applyFont="1" applyAlignment="1">
      <alignment horizontal="left"/>
    </xf>
    <xf numFmtId="175" fontId="48" fillId="0" borderId="0" xfId="3" applyNumberFormat="1" applyFont="1"/>
    <xf numFmtId="9" fontId="44" fillId="0" borderId="0" xfId="6" applyFont="1" applyFill="1" applyBorder="1"/>
    <xf numFmtId="183" fontId="54" fillId="0" borderId="0" xfId="6" applyNumberFormat="1" applyFont="1"/>
    <xf numFmtId="9" fontId="44" fillId="0" borderId="0" xfId="6" applyFont="1" applyFill="1" applyBorder="1" applyAlignment="1" applyProtection="1">
      <alignment horizontal="right"/>
    </xf>
    <xf numFmtId="43" fontId="44" fillId="0" borderId="0" xfId="22" applyFont="1"/>
    <xf numFmtId="166" fontId="80" fillId="0" borderId="0" xfId="1" applyNumberFormat="1" applyFont="1" applyAlignment="1">
      <alignment horizontal="center" vertical="center"/>
    </xf>
    <xf numFmtId="192" fontId="44" fillId="0" borderId="0" xfId="5" applyNumberFormat="1" applyFont="1" applyFill="1" applyBorder="1"/>
    <xf numFmtId="183" fontId="54" fillId="0" borderId="0" xfId="6" applyNumberFormat="1" applyFont="1" applyFill="1"/>
    <xf numFmtId="183" fontId="53" fillId="0" borderId="0" xfId="6" applyNumberFormat="1" applyFont="1"/>
    <xf numFmtId="185" fontId="53" fillId="0" borderId="0" xfId="0" applyNumberFormat="1" applyFont="1"/>
    <xf numFmtId="3" fontId="14" fillId="0" borderId="0" xfId="0" applyNumberFormat="1" applyFont="1" applyAlignment="1">
      <alignment horizontal="left"/>
    </xf>
    <xf numFmtId="3" fontId="53" fillId="0" borderId="0" xfId="0" applyNumberFormat="1" applyFont="1"/>
    <xf numFmtId="176" fontId="14" fillId="0" borderId="0" xfId="0" applyNumberFormat="1" applyFont="1" applyAlignment="1">
      <alignment horizontal="left"/>
    </xf>
    <xf numFmtId="176" fontId="14" fillId="0" borderId="0" xfId="0" applyNumberFormat="1" applyFont="1"/>
    <xf numFmtId="176" fontId="53" fillId="0" borderId="0" xfId="0" applyNumberFormat="1" applyFont="1"/>
    <xf numFmtId="4" fontId="14" fillId="0" borderId="0" xfId="1" applyNumberFormat="1" applyFont="1" applyAlignment="1">
      <alignment horizontal="left"/>
    </xf>
    <xf numFmtId="4" fontId="53" fillId="0" borderId="0" xfId="1" applyNumberFormat="1" applyFont="1" applyAlignment="1">
      <alignment horizontal="right"/>
    </xf>
    <xf numFmtId="9" fontId="14" fillId="0" borderId="0" xfId="6" applyFont="1"/>
    <xf numFmtId="170" fontId="44" fillId="0" borderId="0" xfId="0" applyNumberFormat="1" applyFont="1"/>
    <xf numFmtId="9" fontId="80" fillId="0" borderId="0" xfId="6" applyFont="1" applyAlignment="1">
      <alignment horizontal="center" vertical="center"/>
    </xf>
    <xf numFmtId="183" fontId="80" fillId="0" borderId="0" xfId="6" applyNumberFormat="1" applyFont="1" applyAlignment="1">
      <alignment horizontal="center" vertical="center"/>
    </xf>
    <xf numFmtId="197" fontId="44" fillId="0" borderId="0" xfId="22" applyNumberFormat="1" applyFont="1"/>
    <xf numFmtId="197" fontId="44" fillId="0" borderId="0" xfId="0" applyNumberFormat="1" applyFont="1"/>
    <xf numFmtId="173" fontId="57" fillId="0" borderId="0" xfId="0" applyNumberFormat="1" applyFont="1"/>
  </cellXfs>
  <cellStyles count="23">
    <cellStyle name="******************************************" xfId="17" xr:uid="{70AF223E-D46E-4B5E-BD28-2BF3184AE048}"/>
    <cellStyle name="****************************************** 3" xfId="20" xr:uid="{6A748F21-3D0B-494A-B3BB-987BFEC3C4F5}"/>
    <cellStyle name="Comma" xfId="22" builtinId="3"/>
    <cellStyle name="Comma 2" xfId="18" xr:uid="{380ECE2E-B8FA-4147-A442-E183FB168063}"/>
    <cellStyle name="Currency" xfId="5" builtinId="4"/>
    <cellStyle name="Currency 2" xfId="19" xr:uid="{1C818ABE-1F6B-44B0-9743-993CB0B9C15E}"/>
    <cellStyle name="Hyperlink 2" xfId="7" xr:uid="{00000000-0005-0000-0000-000002000000}"/>
    <cellStyle name="Hyperlink 3" xfId="16" xr:uid="{00000000-0005-0000-0000-000003000000}"/>
    <cellStyle name="Normal" xfId="0" builtinId="0"/>
    <cellStyle name="Normal 2" xfId="2" xr:uid="{00000000-0005-0000-0000-000005000000}"/>
    <cellStyle name="Normal 3" xfId="9" xr:uid="{00000000-0005-0000-0000-000006000000}"/>
    <cellStyle name="Normal 3 2" xfId="12" xr:uid="{00000000-0005-0000-0000-000007000000}"/>
    <cellStyle name="Normal 3 2 2" xfId="13" xr:uid="{00000000-0005-0000-0000-000008000000}"/>
    <cellStyle name="Normal 4" xfId="8" xr:uid="{00000000-0005-0000-0000-000009000000}"/>
    <cellStyle name="Normal 5" xfId="15" xr:uid="{00000000-0005-0000-0000-00000A000000}"/>
    <cellStyle name="Normal 76" xfId="21" xr:uid="{23EFADFA-A7A1-4E12-AAD8-4DB80214570C}"/>
    <cellStyle name="Normal_ABCR_Q" xfId="1" xr:uid="{00000000-0005-0000-0000-00000B000000}"/>
    <cellStyle name="Normal_Copy of Luvnew" xfId="3" xr:uid="{00000000-0005-0000-0000-00000D000000}"/>
    <cellStyle name="Normal_Credit Suisse Software Short Interest Toolbox.1-12-10" xfId="14" xr:uid="{00000000-0005-0000-0000-00000E000000}"/>
    <cellStyle name="Normal_GenLite" xfId="4" xr:uid="{00000000-0005-0000-0000-000010000000}"/>
    <cellStyle name="Percent" xfId="6" builtinId="5"/>
    <cellStyle name="Percent 2" xfId="10" xr:uid="{00000000-0005-0000-0000-000014000000}"/>
    <cellStyle name="Percent 2 2" xfId="11" xr:uid="{00000000-0005-0000-0000-000015000000}"/>
  </cellStyles>
  <dxfs count="0"/>
  <tableStyles count="0" defaultTableStyle="TableStyleMedium2" defaultPivotStyle="PivotStyleLight16"/>
  <colors>
    <mruColors>
      <color rgb="FFFFFFCC"/>
      <color rgb="FF0000FF"/>
      <color rgb="FFCDFFCD"/>
      <color rgb="FF85C2FF"/>
      <color rgb="FFFFFF99"/>
      <color rgb="FFD0EBB3"/>
      <color rgb="FF80A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10</xdr:col>
      <xdr:colOff>1210308</xdr:colOff>
      <xdr:row>3</xdr:row>
      <xdr:rowOff>21167</xdr:rowOff>
    </xdr:from>
    <xdr:to>
      <xdr:col>12</xdr:col>
      <xdr:colOff>6968</xdr:colOff>
      <xdr:row>5</xdr:row>
      <xdr:rowOff>506669</xdr:rowOff>
    </xdr:to>
    <xdr:pic>
      <xdr:nvPicPr>
        <xdr:cNvPr id="2" name="Wells Fargo" descr="Wells Far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0379708" y="402167"/>
          <a:ext cx="1031860" cy="1037952"/>
        </a:xfrm>
        <a:prstGeom prst="rect">
          <a:avLst/>
        </a:prstGeom>
      </xdr:spPr>
    </xdr:pic>
    <xdr:clientData/>
  </xdr:twoCellAnchor>
  <xdr:twoCellAnchor editAs="oneCell">
    <xdr:from>
      <xdr:col>2</xdr:col>
      <xdr:colOff>17319</xdr:colOff>
      <xdr:row>32</xdr:row>
      <xdr:rowOff>69273</xdr:rowOff>
    </xdr:from>
    <xdr:to>
      <xdr:col>11</xdr:col>
      <xdr:colOff>134316</xdr:colOff>
      <xdr:row>49</xdr:row>
      <xdr:rowOff>1003</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5919" y="6222423"/>
          <a:ext cx="11102497" cy="28413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28862</xdr:colOff>
      <xdr:row>52</xdr:row>
      <xdr:rowOff>150091</xdr:rowOff>
    </xdr:from>
    <xdr:to>
      <xdr:col>12</xdr:col>
      <xdr:colOff>1679</xdr:colOff>
      <xdr:row>54</xdr:row>
      <xdr:rowOff>53297</xdr:rowOff>
    </xdr:to>
    <xdr:pic>
      <xdr:nvPicPr>
        <xdr:cNvPr id="4" name="Picture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7462" y="9465541"/>
          <a:ext cx="11147136" cy="246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WINNT/Deals%20Model-JAT.xls" TargetMode="External"/><Relationship Id="rId1" Type="http://schemas.openxmlformats.org/officeDocument/2006/relationships/externalLinkPath" Target="/WINNT/Deals%20Model-JA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nt.wfb.bank.corp\whlsdfs\Shared\Equity%20Research\Software%20-%20PW\Production\Models\Formatted%20for%20submission\ADSK\ADSK.off.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BT/grp_eqre/DON_THO/SHARED/SUSAN/EXCEL/INCOME/Air%20Freight/FDX.xls" TargetMode="External"/><Relationship Id="rId1" Type="http://schemas.openxmlformats.org/officeDocument/2006/relationships/externalLinkPath" Target="/BT/grp_eqre/DON_THO/SHARED/SUSAN/EXCEL/INCOME/Air%20Freight/FDX.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RESEARCH1\SYS\CAPLAN\Flow%20Control\Rop\xls\ROP_mode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ROP%20Q%20only.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294212/Downloads/WAB_working%20model%2011_07_17.xls" TargetMode="External"/><Relationship Id="rId1" Type="http://schemas.openxmlformats.org/officeDocument/2006/relationships/externalLinkPath" Target="/Users/U294212/Downloads/WAB_working%20model%2011_07_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Bala01\world\ResearchReports\Troy\Freight\Railroads\UNP\UNPEAR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Heckler\Company%20Folders\FE\Models\Dummy%20Link%20Fil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an\Companies\Company%20Folders\POM\Models\Dummy%20Link%20File.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Equity%20Research/Diversified%20Industrials/ALLISON/Diversified%20Industrials/BRC/DCF_LBO%20Analysis.xlsx" TargetMode="External"/><Relationship Id="rId1" Type="http://schemas.openxmlformats.org/officeDocument/2006/relationships/externalLinkPath" Target="/Equity%20Research/Diversified%20Industrials/ALLISON/Diversified%20Industrials/BRC/DCF_LBO%20Analysi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nt.wfb.bank.corp\whlsdfs\Equity%20Research\Software%20-%20PW\Companies\Symantec\Model\SYMC.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BT/grp_eqre/DON_THO/SHARED/SUSAN/EXCEL/INCOME/Regionals/Aca.XLS" TargetMode="External"/><Relationship Id="rId1" Type="http://schemas.openxmlformats.org/officeDocument/2006/relationships/externalLinkPath" Target="/BT/grp_eqre/DON_THO/SHARED/SUSAN/EXCEL/INCOME/Regionals/Aca.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Old%20Files\Sebastian\Other\Dan\Models%20II\DUK%20Model.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Yagerman%20Coverage/1excel/Reports_Excel/Initiation%20Exhibits.xls" TargetMode="External"/><Relationship Id="rId1" Type="http://schemas.openxmlformats.org/officeDocument/2006/relationships/externalLinkPath" Target="/Yagerman%20Coverage/1excel/Reports_Excel/Initiation%20Exhibit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nt.wfb.bank.corp\whlsdfs\Equity%20Research\Software%20-%20PW\Companies\Citrix%20Systems\Model\CTXS.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Equity%20Research/Diversified%20Industrials/WendyCaplan/Company%20Files/WCAPLAN/CAPLAN/Rail%20Supply/TRN/TRN_model.wachovia.xls" TargetMode="External"/><Relationship Id="rId1" Type="http://schemas.openxmlformats.org/officeDocument/2006/relationships/externalLinkPath" Target="/Equity%20Research/Diversified%20Industrials/WendyCaplan/Company%20Files/WCAPLAN/CAPLAN/Rail%20Supply/TRN/TRN_model.wachovia.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L:\Equity%20Research\Diversified%20Industrials\ALLISON\Rails\CSX\CSX_EARN_rd.xlsx" TargetMode="External"/><Relationship Id="rId1" Type="http://schemas.openxmlformats.org/officeDocument/2006/relationships/externalLinkPath" Target="file:///L:\Equity%20Research\Diversified%20Industrials\ALLISON\Rails\CSX\CSX_EARN_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del"/>
      <sheetName val="BetaSummary"/>
      <sheetName val="DEAL Statistics"/>
      <sheetName val="Summary"/>
      <sheetName val="Portrait Summary"/>
      <sheetName val="Valuation"/>
      <sheetName val="Deals Sensitivity"/>
      <sheetName val="DEALMAC.XLM"/>
      <sheetName val="Sort_and_Link_Macros"/>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heetName val="Variance"/>
      <sheetName val="BBB"/>
      <sheetName val="SubARPSToolbox"/>
      <sheetName val="Sheet1"/>
      <sheetName val="Sub Breakdown (final) (wf)"/>
      <sheetName val="Sub Breakdown (final)"/>
      <sheetName val="Variance.pre606"/>
      <sheetName val="Toolbox.pre606"/>
      <sheetName val="IS.pre606"/>
      <sheetName val="USERS.pre606"/>
      <sheetName val="Rev.pre606"/>
      <sheetName val="BBB.pre606"/>
      <sheetName val="BS.pre606"/>
      <sheetName val="CF.pre606"/>
      <sheetName val="DCF.pre606"/>
      <sheetName val="EUCT_Temp"/>
      <sheetName val="BM ADSK Estimate Upload"/>
      <sheetName val="BM ADSK Financials"/>
      <sheetName val="BM ADSK DL"/>
      <sheetName val="BM ADSK VAR"/>
      <sheetName val="BM ADSK Charts"/>
    </sheetNames>
    <sheetDataSet>
      <sheetData sheetId="0">
        <row r="3">
          <cell r="D3">
            <v>258.97000000000003</v>
          </cell>
        </row>
        <row r="4">
          <cell r="D4">
            <v>305</v>
          </cell>
        </row>
        <row r="44">
          <cell r="B44" t="str">
            <v>Scatter LTM</v>
          </cell>
        </row>
      </sheetData>
      <sheetData sheetId="1"/>
      <sheetData sheetId="2">
        <row r="5">
          <cell r="G5">
            <v>36251</v>
          </cell>
        </row>
      </sheetData>
      <sheetData sheetId="3"/>
      <sheetData sheetId="4"/>
      <sheetData sheetId="5"/>
      <sheetData sheetId="6">
        <row r="40">
          <cell r="D40">
            <v>17.71297340696222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DSheet"/>
      <sheetName val="Summary"/>
      <sheetName val="Qtly"/>
      <sheetName val="Inputs"/>
      <sheetName val="Graphs"/>
      <sheetName val="Worksheet"/>
      <sheetName val="Debt Runoff"/>
      <sheetName val="__FDSCACHE__"/>
      <sheetName val="Funding"/>
      <sheetName val="EVA"/>
      <sheetName val="CAPM"/>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
      <sheetName val="Sheet1"/>
      <sheetName val="Var"/>
      <sheetName val="Notes"/>
      <sheetName val="Seg"/>
      <sheetName val="GAZ"/>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
    </sheetNames>
    <sheetDataSet>
      <sheetData sheetId="0" refreshError="1">
        <row r="13">
          <cell r="AB13">
            <v>75.025999999999996</v>
          </cell>
          <cell r="AG13">
            <v>69.600999999999999</v>
          </cell>
        </row>
        <row r="15">
          <cell r="AB15">
            <v>43.882000000000005</v>
          </cell>
          <cell r="AG15">
            <v>39.695</v>
          </cell>
        </row>
        <row r="18">
          <cell r="AB18">
            <v>18.382999999999999</v>
          </cell>
          <cell r="AG18">
            <v>18.463999999999999</v>
          </cell>
        </row>
        <row r="28">
          <cell r="AB28">
            <v>4.992</v>
          </cell>
          <cell r="AG28">
            <v>2.2130000000000001</v>
          </cell>
        </row>
        <row r="29">
          <cell r="AB29">
            <v>8.7999999999999995E-2</v>
          </cell>
          <cell r="AG29">
            <v>0.10800000000000001</v>
          </cell>
        </row>
        <row r="32">
          <cell r="AB32">
            <v>2.9409999999999994</v>
          </cell>
          <cell r="AG32">
            <v>3.4780000000000002</v>
          </cell>
        </row>
        <row r="42">
          <cell r="AB42">
            <v>19.72</v>
          </cell>
          <cell r="AG42">
            <v>25.4</v>
          </cell>
        </row>
        <row r="43">
          <cell r="AB43">
            <v>0.2347870182555781</v>
          </cell>
          <cell r="AG43">
            <v>0.23066929133858269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Intro"/>
      <sheetName val="Assumptions"/>
      <sheetName val="IS"/>
      <sheetName val="A"/>
      <sheetName val="BS"/>
      <sheetName val="CF"/>
      <sheetName val="DCF"/>
      <sheetName val="Disclosures"/>
    </sheetNames>
    <sheetDataSet>
      <sheetData sheetId="0" refreshError="1"/>
      <sheetData sheetId="1" refreshError="1"/>
      <sheetData sheetId="2" refreshError="1"/>
      <sheetData sheetId="3"/>
      <sheetData sheetId="4" refreshError="1"/>
      <sheetData sheetId="5"/>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PEARN_IS"/>
      <sheetName val="ModelSum"/>
      <sheetName val="__FDSCACHE__"/>
      <sheetName val="BlueMatrix"/>
      <sheetName val="Debt"/>
      <sheetName val="ChrtTables"/>
      <sheetName val="Sensitivity"/>
      <sheetName val="Corp Gov"/>
      <sheetName val="Overflow"/>
      <sheetName val="dataCentral - UNP.US"/>
      <sheetName val="dataCentral - UNPUS(CheckSheet)"/>
      <sheetName val="Historical UNP BSCF"/>
      <sheetName val="CAGRs"/>
      <sheetName val="R1DATA"/>
      <sheetName val="Figures  OVNT Figs"/>
      <sheetName val="Datasheet"/>
      <sheetName val="Sheet1"/>
      <sheetName val="Mgm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NW QTR"/>
      <sheetName val="UCUqtr"/>
      <sheetName val="Forward Prices"/>
      <sheetName val="Dummy Link File"/>
      <sheetName val="LDCmultiples"/>
      <sheetName val="PEHXGAS"/>
      <sheetName val="PEcharts"/>
      <sheetName val="AEE QTR"/>
      <sheetName val="AEE Hist Fin Stmt Data"/>
      <sheetName val="Generation"/>
      <sheetName val="CIL QTR"/>
      <sheetName val="Sources &amp; Uses"/>
      <sheetName val="#REF"/>
      <sheetName val="12Months"/>
      <sheetName val="INCR_DEPR"/>
      <sheetName val="BASELOAD"/>
      <sheetName val="Assumpt"/>
      <sheetName val="97_MAINT"/>
      <sheetName val="Assump"/>
      <sheetName val="Cash"/>
      <sheetName val="Sensitivity"/>
      <sheetName val="Data"/>
      <sheetName val="FERC Amt Table"/>
      <sheetName val="Shopping Variances"/>
      <sheetName val="JUNE"/>
      <sheetName val="Ohio Edison"/>
      <sheetName val="ASSUMPTIONS"/>
      <sheetName val="FWD DATA"/>
      <sheetName val="Ratio _Calcul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s>
    <sheetDataSet>
      <sheetData sheetId="0"/>
      <sheetData sheetId="1"/>
      <sheetData sheetId="2"/>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CF Valuation Analysis"/>
      <sheetName val="LBO Analysis"/>
      <sheetName val="IDS Terminal Multiple"/>
      <sheetName val="WPS Terminal Multiple"/>
    </sheetNames>
    <sheetDataSet>
      <sheetData sheetId="0">
        <row r="108">
          <cell r="W108">
            <v>1</v>
          </cell>
        </row>
      </sheetData>
      <sheetData sheetId="1">
        <row r="93">
          <cell r="D93">
            <v>1</v>
          </cell>
        </row>
        <row r="94">
          <cell r="D94">
            <v>1.5</v>
          </cell>
        </row>
        <row r="95">
          <cell r="D95">
            <v>2</v>
          </cell>
        </row>
        <row r="96">
          <cell r="D96">
            <v>2.5</v>
          </cell>
        </row>
        <row r="97">
          <cell r="D97">
            <v>3</v>
          </cell>
        </row>
        <row r="98">
          <cell r="D98">
            <v>3.5</v>
          </cell>
        </row>
        <row r="99">
          <cell r="D99">
            <v>4</v>
          </cell>
        </row>
        <row r="100">
          <cell r="D100">
            <v>4.5</v>
          </cell>
        </row>
        <row r="101">
          <cell r="D101">
            <v>5</v>
          </cell>
        </row>
        <row r="102">
          <cell r="D102">
            <v>5.5</v>
          </cell>
        </row>
        <row r="103">
          <cell r="D103">
            <v>6</v>
          </cell>
        </row>
        <row r="104">
          <cell r="D104">
            <v>6.5</v>
          </cell>
        </row>
      </sheetData>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Valuation"/>
      <sheetName val="Variance"/>
      <sheetName val="WFS"/>
      <sheetName val="IS"/>
      <sheetName val="Rev"/>
      <sheetName val="Billings"/>
      <sheetName val="BS"/>
      <sheetName val="CF"/>
      <sheetName val="Debt"/>
      <sheetName val="Breakup"/>
      <sheetName val="AVST.Comparison"/>
      <sheetName val="LBO"/>
      <sheetName val="DCF"/>
      <sheetName val="IS.LOCK"/>
      <sheetName val="IS.BLCT"/>
      <sheetName val="Services.BLCT"/>
      <sheetName val="Rev.BLCT"/>
      <sheetName val="BS.BLCT"/>
      <sheetName val="CF.BLCT"/>
      <sheetName val="IS (2)"/>
      <sheetName val="Rev.OLD"/>
      <sheetName val="Disclosures"/>
      <sheetName val="IS (OLD)"/>
      <sheetName val="Rev (OLD)"/>
      <sheetName val="BS (OLD)"/>
      <sheetName val="CF (OLD)"/>
      <sheetName val="IS-GAAP"/>
      <sheetName val="VRSN-BOOKINGS"/>
      <sheetName val="IS.preVRSN"/>
      <sheetName val="IS-ex. DefWR (QMatched+ATRS)"/>
      <sheetName val="CF (QMatched)"/>
      <sheetName val="IS-ex. DefWR (QMatched)"/>
      <sheetName val="IS-ex. DefWR.SYMC"/>
      <sheetName val="DCF.WF"/>
      <sheetName val="IS.A"/>
      <sheetName val="BS.A"/>
      <sheetName val="CF.A"/>
      <sheetName val="IS.A(Matched)"/>
      <sheetName val="IS.SYMC"/>
      <sheetName val="BS.SYMC"/>
      <sheetName val="CF.SYMC"/>
      <sheetName val="IS.S"/>
      <sheetName val="BS.S"/>
      <sheetName val="CF.S"/>
      <sheetName val="Rev.S"/>
      <sheetName val="Rev.V"/>
      <sheetName val="IS.V"/>
      <sheetName val="CF.V"/>
      <sheetName val="BS.V"/>
      <sheetName val="Veritas Sale"/>
      <sheetName val="Break-Up"/>
      <sheetName val="LBO (CS)"/>
    </sheetNames>
    <sheetDataSet>
      <sheetData sheetId="0"/>
      <sheetData sheetId="1">
        <row r="4">
          <cell r="D4">
            <v>20</v>
          </cell>
        </row>
      </sheetData>
      <sheetData sheetId="2"/>
      <sheetData sheetId="3"/>
      <sheetData sheetId="4">
        <row r="1">
          <cell r="A1">
            <v>1</v>
          </cell>
          <cell r="B1">
            <v>0</v>
          </cell>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cell r="AJ1">
            <v>34</v>
          </cell>
          <cell r="AK1">
            <v>35</v>
          </cell>
          <cell r="AL1">
            <v>36</v>
          </cell>
          <cell r="AM1">
            <v>37</v>
          </cell>
          <cell r="AN1">
            <v>38</v>
          </cell>
          <cell r="AO1">
            <v>39</v>
          </cell>
          <cell r="AP1">
            <v>40</v>
          </cell>
          <cell r="AQ1">
            <v>41</v>
          </cell>
          <cell r="AR1">
            <v>42</v>
          </cell>
          <cell r="AS1">
            <v>43</v>
          </cell>
          <cell r="AT1">
            <v>44</v>
          </cell>
          <cell r="AU1">
            <v>45</v>
          </cell>
          <cell r="AV1">
            <v>46</v>
          </cell>
          <cell r="AW1">
            <v>47</v>
          </cell>
          <cell r="AX1">
            <v>48</v>
          </cell>
          <cell r="AY1">
            <v>49</v>
          </cell>
          <cell r="AZ1">
            <v>50</v>
          </cell>
          <cell r="BA1">
            <v>51</v>
          </cell>
          <cell r="BB1">
            <v>52</v>
          </cell>
          <cell r="BC1">
            <v>53</v>
          </cell>
          <cell r="BD1">
            <v>54</v>
          </cell>
          <cell r="BE1">
            <v>55</v>
          </cell>
          <cell r="BF1">
            <v>56</v>
          </cell>
          <cell r="BG1">
            <v>57</v>
          </cell>
          <cell r="BH1">
            <v>58</v>
          </cell>
          <cell r="BI1">
            <v>59</v>
          </cell>
          <cell r="BJ1">
            <v>60</v>
          </cell>
          <cell r="BK1">
            <v>61</v>
          </cell>
          <cell r="BL1">
            <v>62</v>
          </cell>
          <cell r="BM1">
            <v>63</v>
          </cell>
          <cell r="BN1">
            <v>64</v>
          </cell>
          <cell r="BO1">
            <v>65</v>
          </cell>
          <cell r="BP1">
            <v>66</v>
          </cell>
          <cell r="BQ1">
            <v>67</v>
          </cell>
          <cell r="BR1">
            <v>68</v>
          </cell>
          <cell r="BS1">
            <v>69</v>
          </cell>
          <cell r="BT1">
            <v>70</v>
          </cell>
          <cell r="BU1">
            <v>71</v>
          </cell>
          <cell r="BV1">
            <v>72</v>
          </cell>
          <cell r="BW1">
            <v>73</v>
          </cell>
          <cell r="BX1">
            <v>74</v>
          </cell>
          <cell r="BY1">
            <v>75</v>
          </cell>
          <cell r="BZ1">
            <v>76</v>
          </cell>
          <cell r="CA1">
            <v>77</v>
          </cell>
          <cell r="CB1">
            <v>78</v>
          </cell>
          <cell r="CC1">
            <v>79</v>
          </cell>
          <cell r="CD1">
            <v>80</v>
          </cell>
          <cell r="CE1">
            <v>81</v>
          </cell>
          <cell r="CF1">
            <v>82</v>
          </cell>
          <cell r="CG1">
            <v>83</v>
          </cell>
          <cell r="CH1">
            <v>84</v>
          </cell>
          <cell r="CI1">
            <v>85</v>
          </cell>
          <cell r="CJ1">
            <v>86</v>
          </cell>
          <cell r="CK1">
            <v>87</v>
          </cell>
          <cell r="CL1">
            <v>88</v>
          </cell>
          <cell r="CM1">
            <v>89</v>
          </cell>
          <cell r="CN1">
            <v>90</v>
          </cell>
          <cell r="CO1">
            <v>91</v>
          </cell>
          <cell r="CP1">
            <v>92</v>
          </cell>
          <cell r="CQ1">
            <v>93</v>
          </cell>
          <cell r="CR1">
            <v>94</v>
          </cell>
          <cell r="CS1">
            <v>95</v>
          </cell>
          <cell r="CT1">
            <v>96</v>
          </cell>
          <cell r="CU1">
            <v>97</v>
          </cell>
          <cell r="CV1">
            <v>98</v>
          </cell>
          <cell r="CW1">
            <v>99</v>
          </cell>
          <cell r="CX1">
            <v>100</v>
          </cell>
          <cell r="CY1">
            <v>101</v>
          </cell>
          <cell r="CZ1">
            <v>102</v>
          </cell>
          <cell r="DA1">
            <v>103</v>
          </cell>
          <cell r="DB1">
            <v>104</v>
          </cell>
          <cell r="DC1">
            <v>105</v>
          </cell>
          <cell r="DD1">
            <v>106</v>
          </cell>
          <cell r="DE1">
            <v>107</v>
          </cell>
          <cell r="DF1">
            <v>108</v>
          </cell>
          <cell r="DG1">
            <v>109</v>
          </cell>
          <cell r="DH1">
            <v>110</v>
          </cell>
          <cell r="DI1">
            <v>111</v>
          </cell>
          <cell r="DJ1">
            <v>112</v>
          </cell>
          <cell r="DK1">
            <v>113</v>
          </cell>
          <cell r="DL1">
            <v>114</v>
          </cell>
          <cell r="DM1">
            <v>115</v>
          </cell>
          <cell r="DN1">
            <v>116</v>
          </cell>
          <cell r="DO1">
            <v>117</v>
          </cell>
          <cell r="DP1">
            <v>118</v>
          </cell>
          <cell r="DQ1">
            <v>119</v>
          </cell>
          <cell r="DR1">
            <v>120</v>
          </cell>
          <cell r="DS1">
            <v>121</v>
          </cell>
          <cell r="DT1">
            <v>122</v>
          </cell>
          <cell r="DU1">
            <v>123</v>
          </cell>
          <cell r="DV1">
            <v>124</v>
          </cell>
          <cell r="DW1">
            <v>125</v>
          </cell>
          <cell r="DX1">
            <v>0</v>
          </cell>
          <cell r="DY1">
            <v>0</v>
          </cell>
          <cell r="DZ1">
            <v>1</v>
          </cell>
          <cell r="EA1">
            <v>131</v>
          </cell>
          <cell r="EB1">
            <v>132</v>
          </cell>
          <cell r="EC1">
            <v>133</v>
          </cell>
          <cell r="ED1">
            <v>134</v>
          </cell>
          <cell r="EE1">
            <v>135</v>
          </cell>
          <cell r="EF1">
            <v>136</v>
          </cell>
        </row>
        <row r="2">
          <cell r="A2" t="str">
            <v>S Y M A N T E C</v>
          </cell>
          <cell r="B2">
            <v>0</v>
          </cell>
          <cell r="AE2">
            <v>0</v>
          </cell>
          <cell r="AF2">
            <v>0</v>
          </cell>
          <cell r="AG2">
            <v>0</v>
          </cell>
          <cell r="AH2">
            <v>0</v>
          </cell>
          <cell r="AO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H2">
            <v>0</v>
          </cell>
          <cell r="CI2">
            <v>0</v>
          </cell>
          <cell r="CJ2">
            <v>0</v>
          </cell>
          <cell r="CK2">
            <v>0</v>
          </cell>
          <cell r="CL2">
            <v>0</v>
          </cell>
          <cell r="CM2">
            <v>0</v>
          </cell>
          <cell r="CN2">
            <v>0</v>
          </cell>
          <cell r="CO2">
            <v>0</v>
          </cell>
          <cell r="CP2">
            <v>0</v>
          </cell>
          <cell r="CQ2">
            <v>0</v>
          </cell>
          <cell r="CR2">
            <v>0</v>
          </cell>
          <cell r="CS2">
            <v>0</v>
          </cell>
          <cell r="CT2">
            <v>0</v>
          </cell>
          <cell r="CU2">
            <v>0</v>
          </cell>
          <cell r="CV2">
            <v>0</v>
          </cell>
          <cell r="CW2">
            <v>0</v>
          </cell>
          <cell r="CX2">
            <v>0</v>
          </cell>
          <cell r="CY2">
            <v>0</v>
          </cell>
          <cell r="CZ2">
            <v>0</v>
          </cell>
          <cell r="DA2">
            <v>0</v>
          </cell>
          <cell r="DB2">
            <v>0</v>
          </cell>
          <cell r="DC2">
            <v>0</v>
          </cell>
          <cell r="DD2">
            <v>0</v>
          </cell>
          <cell r="DE2">
            <v>0</v>
          </cell>
          <cell r="DF2">
            <v>0</v>
          </cell>
          <cell r="DG2">
            <v>0</v>
          </cell>
          <cell r="DH2">
            <v>0</v>
          </cell>
          <cell r="DI2">
            <v>0</v>
          </cell>
          <cell r="DJ2">
            <v>0</v>
          </cell>
          <cell r="DK2">
            <v>0</v>
          </cell>
          <cell r="DL2">
            <v>0</v>
          </cell>
          <cell r="DM2">
            <v>0</v>
          </cell>
          <cell r="DN2">
            <v>0</v>
          </cell>
          <cell r="DO2">
            <v>0</v>
          </cell>
          <cell r="DP2">
            <v>0</v>
          </cell>
          <cell r="DQ2">
            <v>0</v>
          </cell>
          <cell r="DR2">
            <v>0</v>
          </cell>
          <cell r="DS2">
            <v>-0.14537018119072354</v>
          </cell>
          <cell r="DT2">
            <v>0</v>
          </cell>
          <cell r="DU2">
            <v>0</v>
          </cell>
          <cell r="DV2">
            <v>0</v>
          </cell>
          <cell r="DW2">
            <v>0</v>
          </cell>
          <cell r="DX2">
            <v>0</v>
          </cell>
          <cell r="DY2">
            <v>0</v>
          </cell>
          <cell r="DZ2">
            <v>0</v>
          </cell>
          <cell r="EA2">
            <v>-0.14537018119072354</v>
          </cell>
          <cell r="EB2">
            <v>0</v>
          </cell>
          <cell r="EC2">
            <v>0</v>
          </cell>
          <cell r="ED2">
            <v>0</v>
          </cell>
          <cell r="EE2">
            <v>0</v>
          </cell>
          <cell r="EF2">
            <v>0</v>
          </cell>
        </row>
        <row r="3">
          <cell r="A3" t="str">
            <v>I n c o m e   S t a t e m e n t</v>
          </cell>
          <cell r="B3">
            <v>0</v>
          </cell>
          <cell r="AI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R3">
            <v>0</v>
          </cell>
          <cell r="DS3">
            <v>0</v>
          </cell>
          <cell r="DT3">
            <v>0</v>
          </cell>
          <cell r="DU3">
            <v>0</v>
          </cell>
          <cell r="DV3">
            <v>0</v>
          </cell>
          <cell r="DW3">
            <v>0</v>
          </cell>
          <cell r="DX3">
            <v>0</v>
          </cell>
          <cell r="DY3">
            <v>0</v>
          </cell>
          <cell r="DZ3">
            <v>0</v>
          </cell>
          <cell r="EA3">
            <v>0</v>
          </cell>
          <cell r="EB3">
            <v>0</v>
          </cell>
          <cell r="EC3">
            <v>0</v>
          </cell>
          <cell r="ED3">
            <v>0</v>
          </cell>
          <cell r="EE3">
            <v>0</v>
          </cell>
          <cell r="EF3">
            <v>0</v>
          </cell>
        </row>
        <row r="4">
          <cell r="A4" t="str">
            <v>(US$ in millions, unless otherwise stated)</v>
          </cell>
          <cell r="B4">
            <v>0</v>
          </cell>
          <cell r="C4" t="str">
            <v>Fiscal 1998 by Quarter</v>
          </cell>
          <cell r="D4">
            <v>0</v>
          </cell>
          <cell r="E4">
            <v>0</v>
          </cell>
          <cell r="F4">
            <v>0</v>
          </cell>
          <cell r="G4" t="str">
            <v>Fiscal 1999 by Quarter</v>
          </cell>
          <cell r="H4">
            <v>0</v>
          </cell>
          <cell r="I4">
            <v>0</v>
          </cell>
          <cell r="J4">
            <v>0</v>
          </cell>
          <cell r="K4" t="str">
            <v>Fiscal 2000 by Quarter</v>
          </cell>
          <cell r="L4">
            <v>0</v>
          </cell>
          <cell r="M4">
            <v>0</v>
          </cell>
          <cell r="N4">
            <v>0</v>
          </cell>
          <cell r="O4" t="str">
            <v>Fiscal 2001 by Quarter</v>
          </cell>
          <cell r="P4">
            <v>0</v>
          </cell>
          <cell r="Q4">
            <v>0</v>
          </cell>
          <cell r="R4">
            <v>0</v>
          </cell>
          <cell r="S4" t="str">
            <v>Fiscal 2002 by Quarter</v>
          </cell>
          <cell r="T4">
            <v>0</v>
          </cell>
          <cell r="U4">
            <v>0</v>
          </cell>
          <cell r="V4">
            <v>0</v>
          </cell>
          <cell r="W4" t="str">
            <v>Fiscal 2003 by Quarter</v>
          </cell>
          <cell r="X4">
            <v>0</v>
          </cell>
          <cell r="Y4">
            <v>0</v>
          </cell>
          <cell r="Z4">
            <v>0</v>
          </cell>
          <cell r="AA4" t="str">
            <v>Fiscal 2004 by Quarter</v>
          </cell>
          <cell r="AB4">
            <v>0</v>
          </cell>
          <cell r="AC4">
            <v>0</v>
          </cell>
          <cell r="AD4">
            <v>0</v>
          </cell>
          <cell r="AE4" t="str">
            <v>Fiscal 2005 by Quarter</v>
          </cell>
          <cell r="AF4">
            <v>0</v>
          </cell>
          <cell r="AG4">
            <v>0</v>
          </cell>
          <cell r="AH4">
            <v>0</v>
          </cell>
          <cell r="AI4" t="str">
            <v>Fiscal 2006 by Quarter</v>
          </cell>
          <cell r="AJ4">
            <v>0</v>
          </cell>
          <cell r="AK4">
            <v>0</v>
          </cell>
          <cell r="AL4">
            <v>0</v>
          </cell>
          <cell r="AM4" t="str">
            <v>Fiscal 2007 by Quarter</v>
          </cell>
          <cell r="AN4">
            <v>0</v>
          </cell>
          <cell r="AO4">
            <v>0</v>
          </cell>
          <cell r="AP4">
            <v>0</v>
          </cell>
          <cell r="AQ4" t="str">
            <v>Fiscal 2008 by Quarter</v>
          </cell>
          <cell r="AR4">
            <v>0</v>
          </cell>
          <cell r="AS4">
            <v>0</v>
          </cell>
          <cell r="AT4">
            <v>0</v>
          </cell>
          <cell r="AU4" t="str">
            <v>Fiscal 2009 by Quarter</v>
          </cell>
          <cell r="AV4">
            <v>0</v>
          </cell>
          <cell r="AW4">
            <v>0</v>
          </cell>
          <cell r="AX4">
            <v>0</v>
          </cell>
          <cell r="AY4" t="str">
            <v>Fiscal 2010 by Quarter</v>
          </cell>
          <cell r="AZ4">
            <v>0</v>
          </cell>
          <cell r="BA4">
            <v>0</v>
          </cell>
          <cell r="BB4">
            <v>0</v>
          </cell>
          <cell r="BC4" t="str">
            <v>Fiscal 2011 by Quarter</v>
          </cell>
          <cell r="BD4">
            <v>0</v>
          </cell>
          <cell r="BE4">
            <v>0</v>
          </cell>
          <cell r="BF4">
            <v>0</v>
          </cell>
          <cell r="BG4" t="str">
            <v>Fiscal 2012 by Quarter</v>
          </cell>
          <cell r="BH4">
            <v>0</v>
          </cell>
          <cell r="BI4">
            <v>0</v>
          </cell>
          <cell r="BJ4">
            <v>0</v>
          </cell>
          <cell r="BK4" t="str">
            <v>Fiscal 2013 by Quarter</v>
          </cell>
          <cell r="BL4">
            <v>0</v>
          </cell>
          <cell r="BM4">
            <v>0</v>
          </cell>
          <cell r="BN4">
            <v>0</v>
          </cell>
          <cell r="BO4" t="str">
            <v>Fiscal 2014 by Quarter</v>
          </cell>
          <cell r="BP4">
            <v>0</v>
          </cell>
          <cell r="BQ4">
            <v>0</v>
          </cell>
          <cell r="BR4">
            <v>0</v>
          </cell>
          <cell r="BS4" t="str">
            <v>Fiscal 2015 by Quarter</v>
          </cell>
          <cell r="BT4">
            <v>0</v>
          </cell>
          <cell r="BU4">
            <v>0</v>
          </cell>
          <cell r="BV4">
            <v>0</v>
          </cell>
          <cell r="BW4" t="str">
            <v>Fiscal 2016 by Quarter</v>
          </cell>
          <cell r="BX4">
            <v>0</v>
          </cell>
          <cell r="BY4">
            <v>0</v>
          </cell>
          <cell r="BZ4">
            <v>0</v>
          </cell>
          <cell r="CA4" t="str">
            <v>Fiscal 2017 by Quarter</v>
          </cell>
          <cell r="CB4">
            <v>0</v>
          </cell>
          <cell r="CC4">
            <v>0</v>
          </cell>
          <cell r="CD4">
            <v>0</v>
          </cell>
          <cell r="CE4" t="str">
            <v>Fiscal 2018 by Quarter</v>
          </cell>
          <cell r="CF4">
            <v>0</v>
          </cell>
          <cell r="CG4">
            <v>0</v>
          </cell>
          <cell r="CH4">
            <v>0</v>
          </cell>
          <cell r="CI4" t="str">
            <v>Fiscal 2019 by Quarter</v>
          </cell>
          <cell r="CJ4">
            <v>0</v>
          </cell>
          <cell r="CK4">
            <v>0</v>
          </cell>
          <cell r="CL4">
            <v>0</v>
          </cell>
          <cell r="CM4" t="str">
            <v>Fiscal 2020 by Quarter</v>
          </cell>
          <cell r="CN4">
            <v>0</v>
          </cell>
          <cell r="CO4">
            <v>0</v>
          </cell>
          <cell r="CP4">
            <v>0</v>
          </cell>
          <cell r="CQ4" t="str">
            <v>Fiscal 2021 by Quarter</v>
          </cell>
          <cell r="CR4">
            <v>0</v>
          </cell>
          <cell r="CS4">
            <v>0</v>
          </cell>
          <cell r="CT4">
            <v>0</v>
          </cell>
          <cell r="CU4" t="str">
            <v>Fiscal 2022 by Quarter</v>
          </cell>
          <cell r="CV4">
            <v>0</v>
          </cell>
          <cell r="CW4">
            <v>0</v>
          </cell>
          <cell r="CX4">
            <v>0</v>
          </cell>
          <cell r="CY4">
            <v>0</v>
          </cell>
          <cell r="CZ4" t="str">
            <v xml:space="preserve"> Fiscal Year Ends March</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row>
        <row r="5">
          <cell r="A5">
            <v>0</v>
          </cell>
          <cell r="B5">
            <v>0</v>
          </cell>
          <cell r="C5">
            <v>35582</v>
          </cell>
          <cell r="D5">
            <v>35674</v>
          </cell>
          <cell r="E5">
            <v>35765</v>
          </cell>
          <cell r="F5">
            <v>35855</v>
          </cell>
          <cell r="G5">
            <v>35947</v>
          </cell>
          <cell r="H5">
            <v>36039</v>
          </cell>
          <cell r="I5">
            <v>36130</v>
          </cell>
          <cell r="J5">
            <v>36220</v>
          </cell>
          <cell r="K5">
            <v>36312</v>
          </cell>
          <cell r="L5">
            <v>36404</v>
          </cell>
          <cell r="M5">
            <v>36495</v>
          </cell>
          <cell r="N5">
            <v>36586</v>
          </cell>
          <cell r="O5">
            <v>36678</v>
          </cell>
          <cell r="P5">
            <v>36770</v>
          </cell>
          <cell r="Q5">
            <v>36861</v>
          </cell>
          <cell r="R5">
            <v>36951</v>
          </cell>
          <cell r="S5">
            <v>37043</v>
          </cell>
          <cell r="T5">
            <v>37135</v>
          </cell>
          <cell r="U5">
            <v>37226</v>
          </cell>
          <cell r="V5">
            <v>37317</v>
          </cell>
          <cell r="W5">
            <v>37409</v>
          </cell>
          <cell r="X5">
            <v>37501</v>
          </cell>
          <cell r="Y5">
            <v>37592</v>
          </cell>
          <cell r="Z5">
            <v>37683</v>
          </cell>
          <cell r="AA5">
            <v>37775</v>
          </cell>
          <cell r="AB5">
            <v>37867</v>
          </cell>
          <cell r="AC5">
            <v>37958</v>
          </cell>
          <cell r="AD5">
            <v>38050</v>
          </cell>
          <cell r="AE5">
            <v>38142</v>
          </cell>
          <cell r="AF5">
            <v>38234</v>
          </cell>
          <cell r="AG5">
            <v>38325</v>
          </cell>
          <cell r="AH5">
            <v>38415</v>
          </cell>
          <cell r="AI5">
            <v>38508</v>
          </cell>
          <cell r="AJ5">
            <v>38600</v>
          </cell>
          <cell r="AK5">
            <v>38691</v>
          </cell>
          <cell r="AL5">
            <v>38782</v>
          </cell>
          <cell r="AM5">
            <v>38874</v>
          </cell>
          <cell r="AN5">
            <v>38966</v>
          </cell>
          <cell r="AO5">
            <v>39057</v>
          </cell>
          <cell r="AP5">
            <v>39148</v>
          </cell>
          <cell r="AQ5">
            <v>39240</v>
          </cell>
          <cell r="AR5">
            <v>39332</v>
          </cell>
          <cell r="AS5">
            <v>39423</v>
          </cell>
          <cell r="AT5">
            <v>39515</v>
          </cell>
          <cell r="AU5">
            <v>39606</v>
          </cell>
          <cell r="AV5">
            <v>39698</v>
          </cell>
          <cell r="AW5">
            <v>39789</v>
          </cell>
          <cell r="AX5">
            <v>39881</v>
          </cell>
          <cell r="AY5">
            <v>39971</v>
          </cell>
          <cell r="AZ5">
            <v>40065</v>
          </cell>
          <cell r="BA5">
            <v>40154</v>
          </cell>
          <cell r="BB5">
            <v>40244</v>
          </cell>
          <cell r="BC5">
            <v>40339</v>
          </cell>
          <cell r="BD5">
            <v>40431</v>
          </cell>
          <cell r="BE5">
            <v>40519</v>
          </cell>
          <cell r="BF5">
            <v>40609</v>
          </cell>
          <cell r="BG5">
            <v>40705</v>
          </cell>
          <cell r="BH5">
            <v>40797</v>
          </cell>
          <cell r="BI5">
            <v>40884</v>
          </cell>
          <cell r="BJ5">
            <v>40975</v>
          </cell>
          <cell r="BK5">
            <v>41071</v>
          </cell>
          <cell r="BL5">
            <v>41164</v>
          </cell>
          <cell r="BM5">
            <v>41250</v>
          </cell>
          <cell r="BN5">
            <v>41340</v>
          </cell>
          <cell r="BO5">
            <v>41436</v>
          </cell>
          <cell r="BP5">
            <v>41530</v>
          </cell>
          <cell r="BQ5">
            <v>41615</v>
          </cell>
          <cell r="BR5">
            <v>41712</v>
          </cell>
          <cell r="BS5">
            <v>41801</v>
          </cell>
          <cell r="BT5">
            <v>41896</v>
          </cell>
          <cell r="BU5">
            <v>41987</v>
          </cell>
          <cell r="BV5">
            <v>42078</v>
          </cell>
          <cell r="BW5">
            <v>42170</v>
          </cell>
          <cell r="BX5">
            <v>42262</v>
          </cell>
          <cell r="BY5">
            <v>42353</v>
          </cell>
          <cell r="BZ5">
            <v>42445</v>
          </cell>
          <cell r="CA5">
            <v>42537</v>
          </cell>
          <cell r="CB5">
            <v>42629</v>
          </cell>
          <cell r="CC5">
            <v>42720</v>
          </cell>
          <cell r="CD5">
            <v>42811</v>
          </cell>
          <cell r="CE5">
            <v>42903</v>
          </cell>
          <cell r="CF5">
            <v>42995</v>
          </cell>
          <cell r="CG5">
            <v>43086</v>
          </cell>
          <cell r="CH5" t="str">
            <v>Mar-18E</v>
          </cell>
          <cell r="CI5" t="str">
            <v>Jun-18E</v>
          </cell>
          <cell r="CJ5" t="str">
            <v>Sep-18E</v>
          </cell>
          <cell r="CK5" t="str">
            <v>Dec-18E</v>
          </cell>
          <cell r="CL5" t="str">
            <v>Mar-19E</v>
          </cell>
          <cell r="CM5" t="str">
            <v>Jun-19E</v>
          </cell>
          <cell r="CN5" t="str">
            <v>Sep-19E</v>
          </cell>
          <cell r="CO5" t="str">
            <v>Dec-19E</v>
          </cell>
          <cell r="CP5" t="str">
            <v>Mar-20E</v>
          </cell>
          <cell r="CQ5" t="str">
            <v>Jun-20E</v>
          </cell>
          <cell r="CR5" t="str">
            <v>Sep-20E</v>
          </cell>
          <cell r="CS5" t="str">
            <v>Dec-20E</v>
          </cell>
          <cell r="CT5" t="str">
            <v>Mar-21E</v>
          </cell>
          <cell r="CU5" t="str">
            <v>Jun-21E</v>
          </cell>
          <cell r="CV5" t="str">
            <v>Sep-21E</v>
          </cell>
          <cell r="CW5" t="str">
            <v>Dec-21E</v>
          </cell>
          <cell r="CX5" t="str">
            <v>Mar-22E</v>
          </cell>
          <cell r="CY5">
            <v>0</v>
          </cell>
          <cell r="CZ5">
            <v>1998</v>
          </cell>
          <cell r="DA5">
            <v>1999</v>
          </cell>
          <cell r="DB5">
            <v>2000</v>
          </cell>
          <cell r="DC5">
            <v>2001</v>
          </cell>
          <cell r="DD5">
            <v>2002</v>
          </cell>
          <cell r="DE5">
            <v>2003</v>
          </cell>
          <cell r="DF5">
            <v>2004</v>
          </cell>
          <cell r="DG5">
            <v>2005</v>
          </cell>
          <cell r="DH5">
            <v>2006</v>
          </cell>
          <cell r="DI5">
            <v>2007</v>
          </cell>
          <cell r="DJ5">
            <v>2008</v>
          </cell>
          <cell r="DK5">
            <v>2009</v>
          </cell>
          <cell r="DL5">
            <v>2010</v>
          </cell>
          <cell r="DM5">
            <v>2011</v>
          </cell>
          <cell r="DN5">
            <v>2012</v>
          </cell>
          <cell r="DO5">
            <v>2013</v>
          </cell>
          <cell r="DP5">
            <v>2014</v>
          </cell>
          <cell r="DQ5">
            <v>2015</v>
          </cell>
          <cell r="DR5">
            <v>2016</v>
          </cell>
          <cell r="DS5">
            <v>2017</v>
          </cell>
          <cell r="DT5" t="str">
            <v>2018E</v>
          </cell>
          <cell r="DU5" t="str">
            <v>2019E</v>
          </cell>
          <cell r="DV5" t="str">
            <v>2020E</v>
          </cell>
          <cell r="DW5" t="str">
            <v>2021E</v>
          </cell>
          <cell r="DX5" t="str">
            <v>2022E</v>
          </cell>
          <cell r="DY5">
            <v>0</v>
          </cell>
          <cell r="DZ5">
            <v>0</v>
          </cell>
          <cell r="EA5">
            <v>2017</v>
          </cell>
          <cell r="EB5">
            <v>2018</v>
          </cell>
          <cell r="EC5" t="str">
            <v>2019E</v>
          </cell>
          <cell r="ED5" t="str">
            <v>2020E</v>
          </cell>
          <cell r="EE5" t="str">
            <v>2021E</v>
          </cell>
          <cell r="EF5" t="str">
            <v>2022E</v>
          </cell>
        </row>
        <row r="6">
          <cell r="A6">
            <v>0</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row>
        <row r="7">
          <cell r="A7" t="str">
            <v>Revenue</v>
          </cell>
          <cell r="B7">
            <v>0</v>
          </cell>
          <cell r="C7">
            <v>0</v>
          </cell>
          <cell r="D7">
            <v>0</v>
          </cell>
          <cell r="E7">
            <v>0</v>
          </cell>
          <cell r="F7">
            <v>0</v>
          </cell>
          <cell r="G7">
            <v>0</v>
          </cell>
          <cell r="H7">
            <v>0</v>
          </cell>
          <cell r="I7">
            <v>0</v>
          </cell>
          <cell r="J7">
            <v>0</v>
          </cell>
          <cell r="K7">
            <v>215.601</v>
          </cell>
          <cell r="L7">
            <v>226.16400000000002</v>
          </cell>
          <cell r="M7">
            <v>442.04400000000004</v>
          </cell>
          <cell r="N7">
            <v>474.04999999999995</v>
          </cell>
          <cell r="O7">
            <v>470.05099999999999</v>
          </cell>
          <cell r="P7">
            <v>501.81700000000001</v>
          </cell>
          <cell r="Q7">
            <v>558.94100000000003</v>
          </cell>
          <cell r="R7">
            <v>620.68700000000001</v>
          </cell>
          <cell r="S7">
            <v>620.92000000000007</v>
          </cell>
          <cell r="T7">
            <v>627.05400000000009</v>
          </cell>
          <cell r="U7">
            <v>633.05200000000002</v>
          </cell>
          <cell r="V7">
            <v>679.63700000000006</v>
          </cell>
          <cell r="W7">
            <v>688.08100000000002</v>
          </cell>
          <cell r="X7">
            <v>690.19100000000003</v>
          </cell>
          <cell r="Y7">
            <v>740.52599999999995</v>
          </cell>
          <cell r="Z7">
            <v>794.14599999999996</v>
          </cell>
          <cell r="AA7">
            <v>781.26</v>
          </cell>
          <cell r="AB7">
            <v>837.03300000000002</v>
          </cell>
          <cell r="AC7">
            <v>940.53</v>
          </cell>
          <cell r="AD7">
            <v>1058.393</v>
          </cell>
          <cell r="AE7">
            <v>1042.3809999999999</v>
          </cell>
          <cell r="AF7">
            <v>1103.347</v>
          </cell>
          <cell r="AG7">
            <v>1191.8820000000001</v>
          </cell>
          <cell r="AH7">
            <v>1287.1129999999998</v>
          </cell>
          <cell r="AI7">
            <v>1259.2</v>
          </cell>
          <cell r="AJ7">
            <v>1192.144</v>
          </cell>
          <cell r="AK7">
            <v>1253.2270000000001</v>
          </cell>
          <cell r="AL7">
            <v>1299.867</v>
          </cell>
          <cell r="AM7">
            <v>1288.1500000000001</v>
          </cell>
          <cell r="AN7">
            <v>1273.3920000000001</v>
          </cell>
          <cell r="AO7">
            <v>1326.3420000000001</v>
          </cell>
          <cell r="AP7">
            <v>1364.7819999999999</v>
          </cell>
          <cell r="AQ7">
            <v>1422.8440000000001</v>
          </cell>
          <cell r="AR7">
            <v>1437.3320000000001</v>
          </cell>
          <cell r="AS7">
            <v>1529.0260000000001</v>
          </cell>
          <cell r="AT7">
            <v>1547.9870000000001</v>
          </cell>
          <cell r="AU7">
            <v>1655.0930000000001</v>
          </cell>
          <cell r="AV7">
            <v>1522.979</v>
          </cell>
          <cell r="AW7">
            <v>1538.6369999999999</v>
          </cell>
          <cell r="AX7">
            <v>1487.674</v>
          </cell>
          <cell r="AY7">
            <v>1444</v>
          </cell>
          <cell r="AZ7">
            <v>1479</v>
          </cell>
          <cell r="BA7">
            <v>1551</v>
          </cell>
          <cell r="BB7">
            <v>1535</v>
          </cell>
          <cell r="BC7">
            <v>1433</v>
          </cell>
          <cell r="BD7">
            <v>1480</v>
          </cell>
          <cell r="BE7">
            <v>1604</v>
          </cell>
          <cell r="BF7">
            <v>1673</v>
          </cell>
          <cell r="BG7">
            <v>1653</v>
          </cell>
          <cell r="BH7">
            <v>1681</v>
          </cell>
          <cell r="BI7">
            <v>1715</v>
          </cell>
          <cell r="BJ7">
            <v>1681</v>
          </cell>
          <cell r="BK7">
            <v>1668</v>
          </cell>
          <cell r="BL7">
            <v>1699</v>
          </cell>
          <cell r="BM7">
            <v>1791</v>
          </cell>
          <cell r="BN7">
            <v>1748</v>
          </cell>
          <cell r="BO7">
            <v>1709</v>
          </cell>
          <cell r="BP7">
            <v>1637</v>
          </cell>
          <cell r="BQ7">
            <v>1705</v>
          </cell>
          <cell r="BR7">
            <v>1650</v>
          </cell>
          <cell r="BS7">
            <v>1086</v>
          </cell>
          <cell r="BT7">
            <v>1001</v>
          </cell>
          <cell r="BU7">
            <v>970</v>
          </cell>
          <cell r="BV7">
            <v>929</v>
          </cell>
          <cell r="BW7">
            <v>912</v>
          </cell>
          <cell r="BX7">
            <v>906</v>
          </cell>
          <cell r="BY7">
            <v>909</v>
          </cell>
          <cell r="BZ7">
            <v>873</v>
          </cell>
          <cell r="CA7">
            <v>884</v>
          </cell>
          <cell r="CB7">
            <v>1015</v>
          </cell>
          <cell r="CC7">
            <v>1088</v>
          </cell>
          <cell r="CD7">
            <v>1176</v>
          </cell>
          <cell r="CE7">
            <v>1228</v>
          </cell>
          <cell r="CF7">
            <v>1276</v>
          </cell>
          <cell r="CG7">
            <v>1234</v>
          </cell>
          <cell r="CH7">
            <v>1202.3952566464391</v>
          </cell>
          <cell r="CI7">
            <v>1218.9170416058942</v>
          </cell>
          <cell r="CJ7">
            <v>1231.1013093778224</v>
          </cell>
          <cell r="CK7">
            <v>1241.2618867529711</v>
          </cell>
          <cell r="CL7">
            <v>1242.7670387136723</v>
          </cell>
          <cell r="CM7">
            <v>1273.1421381492969</v>
          </cell>
          <cell r="CN7">
            <v>1293.9782888566042</v>
          </cell>
          <cell r="CO7">
            <v>1304.5466520479372</v>
          </cell>
          <cell r="CP7">
            <v>1305.7454906368994</v>
          </cell>
          <cell r="CQ7">
            <v>1332.0667565242215</v>
          </cell>
          <cell r="CR7">
            <v>1351.5671177269228</v>
          </cell>
          <cell r="CS7">
            <v>1360.3724613594518</v>
          </cell>
          <cell r="CT7">
            <v>1359.2317351117435</v>
          </cell>
          <cell r="CU7">
            <v>1385.7654266749014</v>
          </cell>
          <cell r="CV7">
            <v>1406.2364903959635</v>
          </cell>
          <cell r="CW7">
            <v>1415.3029103908277</v>
          </cell>
          <cell r="CX7">
            <v>1413.7434630755517</v>
          </cell>
          <cell r="CY7">
            <v>0</v>
          </cell>
          <cell r="CZ7">
            <v>0</v>
          </cell>
          <cell r="DA7">
            <v>0</v>
          </cell>
          <cell r="DB7">
            <v>1357.8589999999999</v>
          </cell>
          <cell r="DC7">
            <v>2151.4960000000001</v>
          </cell>
          <cell r="DD7">
            <v>2560.6630000000005</v>
          </cell>
          <cell r="DE7">
            <v>2912.9439999999995</v>
          </cell>
          <cell r="DF7">
            <v>3617.2160000000003</v>
          </cell>
          <cell r="DG7">
            <v>4624.723</v>
          </cell>
          <cell r="DH7">
            <v>5004.4380000000001</v>
          </cell>
          <cell r="DI7">
            <v>5252.6660000000002</v>
          </cell>
          <cell r="DJ7">
            <v>5937.1890000000003</v>
          </cell>
          <cell r="DK7">
            <v>6204.3829999999998</v>
          </cell>
          <cell r="DL7">
            <v>6009</v>
          </cell>
          <cell r="DM7">
            <v>6190</v>
          </cell>
          <cell r="DN7">
            <v>6730</v>
          </cell>
          <cell r="DO7">
            <v>6906</v>
          </cell>
          <cell r="DP7">
            <v>6701</v>
          </cell>
          <cell r="DQ7">
            <v>3986</v>
          </cell>
          <cell r="DR7">
            <v>3600</v>
          </cell>
          <cell r="DS7">
            <v>4163</v>
          </cell>
          <cell r="DT7">
            <v>4940.3952566464395</v>
          </cell>
          <cell r="DU7">
            <v>4934.0472764503602</v>
          </cell>
          <cell r="DV7">
            <v>5177.4125696907377</v>
          </cell>
          <cell r="DW7">
            <v>5403.2380707223401</v>
          </cell>
          <cell r="DX7">
            <v>5621.0482905372437</v>
          </cell>
          <cell r="DY7">
            <v>0</v>
          </cell>
          <cell r="DZ7">
            <v>3600</v>
          </cell>
          <cell r="EA7">
            <v>4163</v>
          </cell>
          <cell r="EB7">
            <v>4972</v>
          </cell>
          <cell r="EC7">
            <v>4819.0693989541369</v>
          </cell>
          <cell r="ED7">
            <v>5189.2926775216956</v>
          </cell>
          <cell r="EE7">
            <v>5396.8548437094896</v>
          </cell>
          <cell r="EF7">
            <v>5578.5544104083001</v>
          </cell>
        </row>
        <row r="8">
          <cell r="A8">
            <v>0</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161.57142857142858</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0</v>
          </cell>
          <cell r="DU8">
            <v>0</v>
          </cell>
          <cell r="DV8">
            <v>0</v>
          </cell>
          <cell r="DW8">
            <v>0</v>
          </cell>
          <cell r="DX8">
            <v>0</v>
          </cell>
          <cell r="DY8">
            <v>0</v>
          </cell>
          <cell r="DZ8">
            <v>0</v>
          </cell>
          <cell r="EA8">
            <v>0</v>
          </cell>
          <cell r="EB8">
            <v>0</v>
          </cell>
          <cell r="EC8">
            <v>0</v>
          </cell>
          <cell r="ED8">
            <v>0</v>
          </cell>
          <cell r="EE8">
            <v>0</v>
          </cell>
          <cell r="EF8">
            <v>0</v>
          </cell>
        </row>
        <row r="9">
          <cell r="A9" t="str">
            <v>Revenue -- SYMC</v>
          </cell>
          <cell r="B9">
            <v>0</v>
          </cell>
          <cell r="C9">
            <v>0</v>
          </cell>
          <cell r="D9">
            <v>0</v>
          </cell>
          <cell r="E9">
            <v>0</v>
          </cell>
          <cell r="F9">
            <v>0</v>
          </cell>
          <cell r="G9">
            <v>0</v>
          </cell>
          <cell r="H9">
            <v>0</v>
          </cell>
          <cell r="I9">
            <v>0</v>
          </cell>
          <cell r="J9">
            <v>0</v>
          </cell>
          <cell r="K9">
            <v>215.601</v>
          </cell>
          <cell r="L9">
            <v>226.16400000000002</v>
          </cell>
          <cell r="M9">
            <v>442.04400000000004</v>
          </cell>
          <cell r="N9">
            <v>474.04999999999995</v>
          </cell>
          <cell r="O9">
            <v>470.05099999999999</v>
          </cell>
          <cell r="P9">
            <v>501.81700000000001</v>
          </cell>
          <cell r="Q9">
            <v>558.94100000000003</v>
          </cell>
          <cell r="R9">
            <v>620.68700000000001</v>
          </cell>
          <cell r="S9">
            <v>620.92000000000007</v>
          </cell>
          <cell r="T9">
            <v>627.05400000000009</v>
          </cell>
          <cell r="U9">
            <v>633.05200000000002</v>
          </cell>
          <cell r="V9">
            <v>679.63700000000006</v>
          </cell>
          <cell r="W9">
            <v>688.08100000000002</v>
          </cell>
          <cell r="X9">
            <v>690.19100000000003</v>
          </cell>
          <cell r="Y9">
            <v>740.52599999999995</v>
          </cell>
          <cell r="Z9">
            <v>794.14599999999996</v>
          </cell>
          <cell r="AA9">
            <v>781.26</v>
          </cell>
          <cell r="AB9">
            <v>837.03300000000002</v>
          </cell>
          <cell r="AC9">
            <v>940.53</v>
          </cell>
          <cell r="AD9">
            <v>1058.393</v>
          </cell>
          <cell r="AE9">
            <v>1042.3809999999999</v>
          </cell>
          <cell r="AF9">
            <v>1103.347</v>
          </cell>
          <cell r="AG9">
            <v>1191.8820000000001</v>
          </cell>
          <cell r="AH9">
            <v>1287.1129999999998</v>
          </cell>
          <cell r="AI9">
            <v>1259.2</v>
          </cell>
          <cell r="AJ9">
            <v>1192.144</v>
          </cell>
          <cell r="AK9">
            <v>1253.2270000000001</v>
          </cell>
          <cell r="AL9">
            <v>1299.867</v>
          </cell>
          <cell r="AM9">
            <v>1288.1500000000001</v>
          </cell>
          <cell r="AN9">
            <v>1273.3920000000001</v>
          </cell>
          <cell r="AO9">
            <v>1326.3420000000001</v>
          </cell>
          <cell r="AP9">
            <v>1364.7819999999999</v>
          </cell>
          <cell r="AQ9">
            <v>1422.8440000000001</v>
          </cell>
          <cell r="AR9">
            <v>1437.3320000000001</v>
          </cell>
          <cell r="AS9">
            <v>1529.0260000000001</v>
          </cell>
          <cell r="AT9">
            <v>1547.9870000000001</v>
          </cell>
          <cell r="AU9">
            <v>1655.0930000000001</v>
          </cell>
          <cell r="AV9">
            <v>1522.979</v>
          </cell>
          <cell r="AW9">
            <v>1538.6369999999999</v>
          </cell>
          <cell r="AX9">
            <v>1487.674</v>
          </cell>
          <cell r="AY9">
            <v>1444</v>
          </cell>
          <cell r="AZ9">
            <v>1479</v>
          </cell>
          <cell r="BA9">
            <v>1551</v>
          </cell>
          <cell r="BB9">
            <v>1535</v>
          </cell>
          <cell r="BC9">
            <v>1433</v>
          </cell>
          <cell r="BD9">
            <v>1480</v>
          </cell>
          <cell r="BE9">
            <v>1604</v>
          </cell>
          <cell r="BF9">
            <v>1673</v>
          </cell>
          <cell r="BG9">
            <v>1653</v>
          </cell>
          <cell r="BH9">
            <v>1681</v>
          </cell>
          <cell r="BI9">
            <v>1715</v>
          </cell>
          <cell r="BJ9">
            <v>1681</v>
          </cell>
          <cell r="BK9">
            <v>1668</v>
          </cell>
          <cell r="BL9">
            <v>1699</v>
          </cell>
          <cell r="BM9">
            <v>1791</v>
          </cell>
          <cell r="BN9">
            <v>1748</v>
          </cell>
          <cell r="BO9">
            <v>1709</v>
          </cell>
          <cell r="BP9">
            <v>1637</v>
          </cell>
          <cell r="BQ9">
            <v>1705</v>
          </cell>
          <cell r="BR9">
            <v>1650</v>
          </cell>
          <cell r="BS9">
            <v>1086</v>
          </cell>
          <cell r="BT9">
            <v>1001</v>
          </cell>
          <cell r="BU9">
            <v>970</v>
          </cell>
          <cell r="BV9">
            <v>929</v>
          </cell>
          <cell r="BW9">
            <v>912</v>
          </cell>
          <cell r="BX9">
            <v>906</v>
          </cell>
          <cell r="BY9">
            <v>909</v>
          </cell>
          <cell r="BZ9">
            <v>873</v>
          </cell>
          <cell r="CA9">
            <v>884</v>
          </cell>
          <cell r="CB9">
            <v>891</v>
          </cell>
          <cell r="CC9">
            <v>881</v>
          </cell>
          <cell r="CD9">
            <v>861.96427452767296</v>
          </cell>
          <cell r="CE9">
            <v>843.72160399626978</v>
          </cell>
          <cell r="CF9">
            <v>855.15579546943832</v>
          </cell>
          <cell r="CG9">
            <v>768.85636358781835</v>
          </cell>
          <cell r="CH9">
            <v>715.68411608661791</v>
          </cell>
          <cell r="CI9">
            <v>779.84008152121612</v>
          </cell>
          <cell r="CJ9">
            <v>755.46062668848208</v>
          </cell>
          <cell r="CK9">
            <v>721.95761401959396</v>
          </cell>
          <cell r="CL9">
            <v>709.95373349678766</v>
          </cell>
          <cell r="CM9">
            <v>794.69646727535837</v>
          </cell>
          <cell r="CN9">
            <v>781.29827683644453</v>
          </cell>
          <cell r="CO9">
            <v>741.4198744918051</v>
          </cell>
          <cell r="CP9">
            <v>722.79701626607061</v>
          </cell>
          <cell r="CQ9">
            <v>803.73239876718083</v>
          </cell>
          <cell r="CR9">
            <v>787.47453151107766</v>
          </cell>
          <cell r="CS9">
            <v>738.45491472240815</v>
          </cell>
          <cell r="CT9">
            <v>720.64625219442621</v>
          </cell>
          <cell r="CU9">
            <v>807.97293339652083</v>
          </cell>
          <cell r="CV9">
            <v>791.87643540589966</v>
          </cell>
          <cell r="CW9">
            <v>737.19140073740914</v>
          </cell>
          <cell r="CX9">
            <v>720.71320489233869</v>
          </cell>
          <cell r="CY9">
            <v>0</v>
          </cell>
          <cell r="CZ9">
            <v>0</v>
          </cell>
          <cell r="DA9">
            <v>0</v>
          </cell>
          <cell r="DB9">
            <v>1357.8589999999999</v>
          </cell>
          <cell r="DC9">
            <v>2151.4960000000001</v>
          </cell>
          <cell r="DD9">
            <v>2560.6630000000005</v>
          </cell>
          <cell r="DE9">
            <v>2912.9439999999995</v>
          </cell>
          <cell r="DF9">
            <v>3617.2160000000003</v>
          </cell>
          <cell r="DG9">
            <v>4624.723</v>
          </cell>
          <cell r="DH9">
            <v>5004.4380000000001</v>
          </cell>
          <cell r="DI9">
            <v>5252.6660000000002</v>
          </cell>
          <cell r="DJ9">
            <v>5937.1890000000003</v>
          </cell>
          <cell r="DK9">
            <v>6204.3829999999998</v>
          </cell>
          <cell r="DL9">
            <v>6009</v>
          </cell>
          <cell r="DM9">
            <v>6190</v>
          </cell>
          <cell r="DN9">
            <v>6730</v>
          </cell>
          <cell r="DO9">
            <v>6906</v>
          </cell>
          <cell r="DP9">
            <v>6701</v>
          </cell>
          <cell r="DQ9">
            <v>3986</v>
          </cell>
          <cell r="DR9">
            <v>3600</v>
          </cell>
          <cell r="DS9">
            <v>3517.9642745276728</v>
          </cell>
          <cell r="DT9">
            <v>3183.4178791401446</v>
          </cell>
          <cell r="DU9">
            <v>2967.2120557260801</v>
          </cell>
          <cell r="DV9">
            <v>3040.2116348696782</v>
          </cell>
          <cell r="DW9">
            <v>3050.3080971950926</v>
          </cell>
          <cell r="DX9">
            <v>3057.7539744321684</v>
          </cell>
          <cell r="DY9">
            <v>0</v>
          </cell>
          <cell r="DZ9">
            <v>0</v>
          </cell>
          <cell r="EA9">
            <v>3517.9642745276728</v>
          </cell>
          <cell r="EB9">
            <v>3207.0226224937055</v>
          </cell>
          <cell r="EC9">
            <v>2815.0023237341547</v>
          </cell>
          <cell r="ED9">
            <v>2943.2079669061841</v>
          </cell>
          <cell r="EE9">
            <v>2883.0862589621902</v>
          </cell>
          <cell r="EF9">
            <v>2809.0316498464235</v>
          </cell>
        </row>
        <row r="10">
          <cell r="A10" t="str">
            <v>% of revenue</v>
          </cell>
          <cell r="B10">
            <v>0</v>
          </cell>
          <cell r="C10">
            <v>0</v>
          </cell>
          <cell r="D10">
            <v>0</v>
          </cell>
          <cell r="E10">
            <v>0</v>
          </cell>
          <cell r="F10">
            <v>0</v>
          </cell>
          <cell r="G10">
            <v>0</v>
          </cell>
          <cell r="H10">
            <v>0</v>
          </cell>
          <cell r="I10">
            <v>0</v>
          </cell>
          <cell r="J10">
            <v>0</v>
          </cell>
          <cell r="K10">
            <v>1</v>
          </cell>
          <cell r="L10">
            <v>1</v>
          </cell>
          <cell r="M10">
            <v>1</v>
          </cell>
          <cell r="N10">
            <v>1</v>
          </cell>
          <cell r="O10">
            <v>1</v>
          </cell>
          <cell r="P10">
            <v>1</v>
          </cell>
          <cell r="Q10">
            <v>1</v>
          </cell>
          <cell r="R10">
            <v>1</v>
          </cell>
          <cell r="S10">
            <v>1</v>
          </cell>
          <cell r="T10">
            <v>1</v>
          </cell>
          <cell r="U10">
            <v>1</v>
          </cell>
          <cell r="V10">
            <v>1</v>
          </cell>
          <cell r="W10">
            <v>1</v>
          </cell>
          <cell r="X10">
            <v>1</v>
          </cell>
          <cell r="Y10">
            <v>1</v>
          </cell>
          <cell r="Z10">
            <v>1</v>
          </cell>
          <cell r="AA10">
            <v>1</v>
          </cell>
          <cell r="AB10">
            <v>1</v>
          </cell>
          <cell r="AC10">
            <v>1</v>
          </cell>
          <cell r="AD10">
            <v>1</v>
          </cell>
          <cell r="AE10">
            <v>1</v>
          </cell>
          <cell r="AF10">
            <v>1</v>
          </cell>
          <cell r="AG10">
            <v>1</v>
          </cell>
          <cell r="AH10">
            <v>1</v>
          </cell>
          <cell r="AI10">
            <v>1</v>
          </cell>
          <cell r="AJ10">
            <v>1</v>
          </cell>
          <cell r="AK10">
            <v>1</v>
          </cell>
          <cell r="AL10">
            <v>1</v>
          </cell>
          <cell r="AM10">
            <v>1</v>
          </cell>
          <cell r="AN10">
            <v>1</v>
          </cell>
          <cell r="AO10">
            <v>1</v>
          </cell>
          <cell r="AP10">
            <v>1</v>
          </cell>
          <cell r="AQ10">
            <v>1</v>
          </cell>
          <cell r="AR10">
            <v>1</v>
          </cell>
          <cell r="AS10">
            <v>1</v>
          </cell>
          <cell r="AT10">
            <v>1</v>
          </cell>
          <cell r="AU10">
            <v>1</v>
          </cell>
          <cell r="AV10">
            <v>1</v>
          </cell>
          <cell r="AW10">
            <v>1</v>
          </cell>
          <cell r="AX10">
            <v>1</v>
          </cell>
          <cell r="AY10">
            <v>1</v>
          </cell>
          <cell r="AZ10">
            <v>1</v>
          </cell>
          <cell r="BA10">
            <v>1</v>
          </cell>
          <cell r="BB10">
            <v>1</v>
          </cell>
          <cell r="BC10">
            <v>1</v>
          </cell>
          <cell r="BD10">
            <v>1</v>
          </cell>
          <cell r="BE10">
            <v>1</v>
          </cell>
          <cell r="BF10">
            <v>1</v>
          </cell>
          <cell r="BG10">
            <v>1</v>
          </cell>
          <cell r="BH10">
            <v>1</v>
          </cell>
          <cell r="BI10">
            <v>1</v>
          </cell>
          <cell r="BJ10">
            <v>1</v>
          </cell>
          <cell r="BK10">
            <v>1</v>
          </cell>
          <cell r="BL10">
            <v>1</v>
          </cell>
          <cell r="BM10">
            <v>1</v>
          </cell>
          <cell r="BN10">
            <v>1</v>
          </cell>
          <cell r="BO10">
            <v>1</v>
          </cell>
          <cell r="BP10">
            <v>1</v>
          </cell>
          <cell r="BQ10">
            <v>1</v>
          </cell>
          <cell r="BR10">
            <v>1</v>
          </cell>
          <cell r="BS10">
            <v>1</v>
          </cell>
          <cell r="BT10">
            <v>1</v>
          </cell>
          <cell r="BU10">
            <v>1</v>
          </cell>
          <cell r="BV10">
            <v>1</v>
          </cell>
          <cell r="BW10">
            <v>1</v>
          </cell>
          <cell r="BX10">
            <v>1</v>
          </cell>
          <cell r="BY10">
            <v>1</v>
          </cell>
          <cell r="BZ10">
            <v>1</v>
          </cell>
          <cell r="CA10">
            <v>1</v>
          </cell>
          <cell r="CB10">
            <v>0.87783251231527093</v>
          </cell>
          <cell r="CC10">
            <v>0.80974264705882348</v>
          </cell>
          <cell r="CD10">
            <v>0.73296281847591238</v>
          </cell>
          <cell r="CE10">
            <v>0.68706971009468221</v>
          </cell>
          <cell r="CF10">
            <v>0.67018479268764763</v>
          </cell>
          <cell r="CG10">
            <v>0.62306026222675714</v>
          </cell>
          <cell r="CH10">
            <v>0.59521535213196775</v>
          </cell>
          <cell r="CI10">
            <v>0.63978109658209015</v>
          </cell>
          <cell r="CJ10">
            <v>0.61364618893166389</v>
          </cell>
          <cell r="CK10">
            <v>0.58163198413202699</v>
          </cell>
          <cell r="CL10">
            <v>0.57126855748574268</v>
          </cell>
          <cell r="CM10">
            <v>0.62420089906895149</v>
          </cell>
          <cell r="CN10">
            <v>0.60379550689897721</v>
          </cell>
          <cell r="CO10">
            <v>0.56833527059219402</v>
          </cell>
          <cell r="CP10">
            <v>0.55355122529545497</v>
          </cell>
          <cell r="CQ10">
            <v>0.60337246225134378</v>
          </cell>
          <cell r="CR10">
            <v>0.58263812516795987</v>
          </cell>
          <cell r="CS10">
            <v>0.54283289003399338</v>
          </cell>
          <cell r="CT10">
            <v>0.53018645281643695</v>
          </cell>
          <cell r="CU10">
            <v>0.58305173288615331</v>
          </cell>
          <cell r="CV10">
            <v>0.56311754161842698</v>
          </cell>
          <cell r="CW10">
            <v>0.5208718185521416</v>
          </cell>
          <cell r="CX10">
            <v>0.50979065418590952</v>
          </cell>
          <cell r="CY10">
            <v>0</v>
          </cell>
          <cell r="CZ10" t="str">
            <v xml:space="preserve">NM </v>
          </cell>
          <cell r="DA10" t="str">
            <v xml:space="preserve">NM </v>
          </cell>
          <cell r="DB10">
            <v>1</v>
          </cell>
          <cell r="DC10">
            <v>1</v>
          </cell>
          <cell r="DD10">
            <v>1</v>
          </cell>
          <cell r="DE10">
            <v>1</v>
          </cell>
          <cell r="DF10">
            <v>1</v>
          </cell>
          <cell r="DG10">
            <v>1</v>
          </cell>
          <cell r="DH10">
            <v>1</v>
          </cell>
          <cell r="DI10">
            <v>1</v>
          </cell>
          <cell r="DJ10">
            <v>1</v>
          </cell>
          <cell r="DK10">
            <v>1</v>
          </cell>
          <cell r="DL10">
            <v>1</v>
          </cell>
          <cell r="DM10">
            <v>1</v>
          </cell>
          <cell r="DN10">
            <v>1</v>
          </cell>
          <cell r="DO10">
            <v>1</v>
          </cell>
          <cell r="DP10">
            <v>1</v>
          </cell>
          <cell r="DQ10">
            <v>1</v>
          </cell>
          <cell r="DR10">
            <v>1</v>
          </cell>
          <cell r="DS10">
            <v>0.84505507435207128</v>
          </cell>
          <cell r="DT10">
            <v>0.64436501813441172</v>
          </cell>
          <cell r="DU10">
            <v>0.60137487329889228</v>
          </cell>
          <cell r="DV10">
            <v>0.58720675510147324</v>
          </cell>
          <cell r="DW10">
            <v>0.56453335153290918</v>
          </cell>
          <cell r="DX10">
            <v>0.543982868743495</v>
          </cell>
          <cell r="DY10">
            <v>0</v>
          </cell>
          <cell r="DZ10">
            <v>0</v>
          </cell>
          <cell r="EA10">
            <v>0.84505507435207128</v>
          </cell>
          <cell r="EB10">
            <v>0.64501661755706063</v>
          </cell>
          <cell r="EC10">
            <v>0.58413815836416116</v>
          </cell>
          <cell r="ED10">
            <v>0.56716939086037488</v>
          </cell>
          <cell r="EE10">
            <v>0.53421600959356574</v>
          </cell>
          <cell r="EF10">
            <v>0.50354114044409359</v>
          </cell>
        </row>
        <row r="11">
          <cell r="A11">
            <v>0</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v>0</v>
          </cell>
          <cell r="DU11">
            <v>0</v>
          </cell>
          <cell r="DV11">
            <v>0</v>
          </cell>
          <cell r="DW11">
            <v>0</v>
          </cell>
          <cell r="DX11">
            <v>0</v>
          </cell>
          <cell r="DY11">
            <v>0</v>
          </cell>
          <cell r="DZ11">
            <v>0</v>
          </cell>
          <cell r="EA11">
            <v>0</v>
          </cell>
          <cell r="EB11">
            <v>0</v>
          </cell>
          <cell r="EC11">
            <v>0</v>
          </cell>
          <cell r="ED11">
            <v>0</v>
          </cell>
          <cell r="EE11">
            <v>0</v>
          </cell>
          <cell r="EF11">
            <v>0</v>
          </cell>
        </row>
        <row r="12">
          <cell r="A12" t="str">
            <v>Revenue -- BLCT</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124</v>
          </cell>
          <cell r="CC12">
            <v>207</v>
          </cell>
          <cell r="CD12">
            <v>214.03572547232702</v>
          </cell>
          <cell r="CE12">
            <v>209.51589600373021</v>
          </cell>
          <cell r="CF12">
            <v>238.39420453056169</v>
          </cell>
          <cell r="CG12">
            <v>270.39363641218159</v>
          </cell>
          <cell r="CH12">
            <v>286.16114055982121</v>
          </cell>
          <cell r="CI12">
            <v>232.27696008467808</v>
          </cell>
          <cell r="CJ12">
            <v>263.34068268934038</v>
          </cell>
          <cell r="CK12">
            <v>302.50427273337721</v>
          </cell>
          <cell r="CL12">
            <v>318.6392923799142</v>
          </cell>
          <cell r="CM12">
            <v>257.94829012939437</v>
          </cell>
          <cell r="CN12">
            <v>286.66988105417772</v>
          </cell>
          <cell r="CO12">
            <v>332.67605931030437</v>
          </cell>
          <cell r="CP12">
            <v>355.62622178664691</v>
          </cell>
          <cell r="CQ12">
            <v>294.63895369688748</v>
          </cell>
          <cell r="CR12">
            <v>324.89266227463088</v>
          </cell>
          <cell r="CS12">
            <v>378.35410941542</v>
          </cell>
          <cell r="CT12">
            <v>398.6518897531335</v>
          </cell>
          <cell r="CU12">
            <v>331.45630288251647</v>
          </cell>
          <cell r="CV12">
            <v>362.54506374076976</v>
          </cell>
          <cell r="CW12">
            <v>422.02400939649146</v>
          </cell>
          <cell r="CX12">
            <v>441.06768442830833</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545.03572547232704</v>
          </cell>
          <cell r="DT12">
            <v>1004.4648775062947</v>
          </cell>
          <cell r="DU12">
            <v>1116.7612078873099</v>
          </cell>
          <cell r="DV12">
            <v>1232.9204522805233</v>
          </cell>
          <cell r="DW12">
            <v>1396.5376151400719</v>
          </cell>
          <cell r="DX12">
            <v>1557.0930604480859</v>
          </cell>
          <cell r="DY12">
            <v>0</v>
          </cell>
          <cell r="DZ12">
            <v>0</v>
          </cell>
          <cell r="EA12">
            <v>545.03572547232704</v>
          </cell>
          <cell r="EB12">
            <v>1004.4648775062947</v>
          </cell>
          <cell r="EC12">
            <v>1116.7612078873099</v>
          </cell>
          <cell r="ED12">
            <v>1232.9204522805233</v>
          </cell>
          <cell r="EE12">
            <v>1396.5376151400719</v>
          </cell>
          <cell r="EF12">
            <v>1557.0930604480859</v>
          </cell>
        </row>
        <row r="13">
          <cell r="A13" t="str">
            <v>% of revenue</v>
          </cell>
          <cell r="B13">
            <v>0</v>
          </cell>
          <cell r="C13">
            <v>0</v>
          </cell>
          <cell r="D13">
            <v>0</v>
          </cell>
          <cell r="E13">
            <v>0</v>
          </cell>
          <cell r="F13">
            <v>0</v>
          </cell>
          <cell r="G13">
            <v>0</v>
          </cell>
          <cell r="H13">
            <v>0</v>
          </cell>
          <cell r="I13">
            <v>0</v>
          </cell>
          <cell r="J13">
            <v>0</v>
          </cell>
          <cell r="K13" t="str">
            <v xml:space="preserve">NM </v>
          </cell>
          <cell r="L13" t="str">
            <v xml:space="preserve">NM </v>
          </cell>
          <cell r="M13" t="str">
            <v xml:space="preserve">NM </v>
          </cell>
          <cell r="N13" t="str">
            <v xml:space="preserve">NM </v>
          </cell>
          <cell r="O13" t="str">
            <v xml:space="preserve">NM </v>
          </cell>
          <cell r="P13" t="str">
            <v xml:space="preserve">NM </v>
          </cell>
          <cell r="Q13" t="str">
            <v xml:space="preserve">NM </v>
          </cell>
          <cell r="R13" t="str">
            <v xml:space="preserve">NM </v>
          </cell>
          <cell r="S13" t="str">
            <v xml:space="preserve">NM </v>
          </cell>
          <cell r="T13" t="str">
            <v xml:space="preserve">NM </v>
          </cell>
          <cell r="U13" t="str">
            <v xml:space="preserve">NM </v>
          </cell>
          <cell r="V13" t="str">
            <v xml:space="preserve">NM </v>
          </cell>
          <cell r="W13" t="str">
            <v xml:space="preserve">NM </v>
          </cell>
          <cell r="X13" t="str">
            <v xml:space="preserve">NM </v>
          </cell>
          <cell r="Y13" t="str">
            <v xml:space="preserve">NM </v>
          </cell>
          <cell r="Z13" t="str">
            <v xml:space="preserve">NM </v>
          </cell>
          <cell r="AA13" t="str">
            <v xml:space="preserve">NM </v>
          </cell>
          <cell r="AB13" t="str">
            <v xml:space="preserve">NM </v>
          </cell>
          <cell r="AC13" t="str">
            <v xml:space="preserve">NM </v>
          </cell>
          <cell r="AD13" t="str">
            <v xml:space="preserve">NM </v>
          </cell>
          <cell r="AE13" t="str">
            <v xml:space="preserve">NM </v>
          </cell>
          <cell r="AF13" t="str">
            <v xml:space="preserve">NM </v>
          </cell>
          <cell r="AG13" t="str">
            <v xml:space="preserve">NM </v>
          </cell>
          <cell r="AH13" t="str">
            <v xml:space="preserve">NM </v>
          </cell>
          <cell r="AI13" t="str">
            <v xml:space="preserve">NM </v>
          </cell>
          <cell r="AJ13" t="str">
            <v xml:space="preserve">NM </v>
          </cell>
          <cell r="AK13" t="str">
            <v xml:space="preserve">NM </v>
          </cell>
          <cell r="AL13" t="str">
            <v xml:space="preserve">NM </v>
          </cell>
          <cell r="AM13" t="str">
            <v xml:space="preserve">NM </v>
          </cell>
          <cell r="AN13" t="str">
            <v xml:space="preserve">NM </v>
          </cell>
          <cell r="AO13" t="str">
            <v xml:space="preserve">NM </v>
          </cell>
          <cell r="AP13" t="str">
            <v xml:space="preserve">NM </v>
          </cell>
          <cell r="AQ13" t="str">
            <v xml:space="preserve">NM </v>
          </cell>
          <cell r="AR13" t="str">
            <v xml:space="preserve">NM </v>
          </cell>
          <cell r="AS13" t="str">
            <v xml:space="preserve">NM </v>
          </cell>
          <cell r="AT13" t="str">
            <v xml:space="preserve">NM </v>
          </cell>
          <cell r="AU13" t="str">
            <v xml:space="preserve">NM </v>
          </cell>
          <cell r="AV13" t="str">
            <v xml:space="preserve">NM </v>
          </cell>
          <cell r="AW13" t="str">
            <v xml:space="preserve">NM </v>
          </cell>
          <cell r="AX13" t="str">
            <v xml:space="preserve">NM </v>
          </cell>
          <cell r="AY13" t="str">
            <v xml:space="preserve">NM </v>
          </cell>
          <cell r="AZ13" t="str">
            <v xml:space="preserve">NM </v>
          </cell>
          <cell r="BA13" t="str">
            <v xml:space="preserve">NM </v>
          </cell>
          <cell r="BB13" t="str">
            <v xml:space="preserve">NM </v>
          </cell>
          <cell r="BC13" t="str">
            <v xml:space="preserve">NM </v>
          </cell>
          <cell r="BD13" t="str">
            <v xml:space="preserve">NM </v>
          </cell>
          <cell r="BE13" t="str">
            <v xml:space="preserve">NM </v>
          </cell>
          <cell r="BF13" t="str">
            <v xml:space="preserve">NM </v>
          </cell>
          <cell r="BG13" t="str">
            <v xml:space="preserve">NM </v>
          </cell>
          <cell r="BH13" t="str">
            <v xml:space="preserve">NM </v>
          </cell>
          <cell r="BI13" t="str">
            <v xml:space="preserve">NM </v>
          </cell>
          <cell r="BJ13" t="str">
            <v xml:space="preserve">NM </v>
          </cell>
          <cell r="BK13" t="str">
            <v xml:space="preserve">NM </v>
          </cell>
          <cell r="BL13" t="str">
            <v xml:space="preserve">NM </v>
          </cell>
          <cell r="BM13" t="str">
            <v xml:space="preserve">NM </v>
          </cell>
          <cell r="BN13" t="str">
            <v xml:space="preserve">NM </v>
          </cell>
          <cell r="BO13" t="str">
            <v xml:space="preserve">NM </v>
          </cell>
          <cell r="BP13" t="str">
            <v xml:space="preserve">NM </v>
          </cell>
          <cell r="BQ13" t="str">
            <v xml:space="preserve">NM </v>
          </cell>
          <cell r="BR13" t="str">
            <v xml:space="preserve">NM </v>
          </cell>
          <cell r="BS13" t="str">
            <v xml:space="preserve">NM </v>
          </cell>
          <cell r="BT13" t="str">
            <v xml:space="preserve">NM </v>
          </cell>
          <cell r="BU13" t="str">
            <v xml:space="preserve">NM </v>
          </cell>
          <cell r="BV13" t="str">
            <v xml:space="preserve">NM </v>
          </cell>
          <cell r="BW13" t="str">
            <v xml:space="preserve">NM </v>
          </cell>
          <cell r="BX13" t="str">
            <v xml:space="preserve">NM </v>
          </cell>
          <cell r="BY13" t="str">
            <v xml:space="preserve">NM </v>
          </cell>
          <cell r="BZ13" t="str">
            <v xml:space="preserve">NM </v>
          </cell>
          <cell r="CA13" t="str">
            <v xml:space="preserve">NM </v>
          </cell>
          <cell r="CB13">
            <v>0.12216748768472907</v>
          </cell>
          <cell r="CC13">
            <v>0.19025735294117646</v>
          </cell>
          <cell r="CD13">
            <v>0.18200316791864543</v>
          </cell>
          <cell r="CE13">
            <v>0.17061555049163699</v>
          </cell>
          <cell r="CF13">
            <v>0.18682931389542454</v>
          </cell>
          <cell r="CG13">
            <v>0.21911964052851021</v>
          </cell>
          <cell r="CH13">
            <v>0.23799257272350174</v>
          </cell>
          <cell r="CI13">
            <v>0.19056010553323524</v>
          </cell>
          <cell r="CJ13">
            <v>0.21390658972040918</v>
          </cell>
          <cell r="CK13">
            <v>0.24370705002850046</v>
          </cell>
          <cell r="CL13">
            <v>0.25639503016568754</v>
          </cell>
          <cell r="CM13">
            <v>0.20260761339999389</v>
          </cell>
          <cell r="CN13">
            <v>0.22154149225137876</v>
          </cell>
          <cell r="CO13">
            <v>0.25501277304882447</v>
          </cell>
          <cell r="CP13">
            <v>0.27235493006618328</v>
          </cell>
          <cell r="CQ13">
            <v>0.22118933022973458</v>
          </cell>
          <cell r="CR13">
            <v>0.2403821889519169</v>
          </cell>
          <cell r="CS13">
            <v>0.27812538121899494</v>
          </cell>
          <cell r="CT13">
            <v>0.2932920704064933</v>
          </cell>
          <cell r="CU13">
            <v>0.23918644274293593</v>
          </cell>
          <cell r="CV13">
            <v>0.25781229986336474</v>
          </cell>
          <cell r="CW13">
            <v>0.29818635028451401</v>
          </cell>
          <cell r="CX13">
            <v>0.31198565789919219</v>
          </cell>
          <cell r="CY13">
            <v>0</v>
          </cell>
          <cell r="CZ13" t="str">
            <v xml:space="preserve">NM </v>
          </cell>
          <cell r="DA13" t="str">
            <v xml:space="preserve">NM </v>
          </cell>
          <cell r="DB13" t="str">
            <v xml:space="preserve">NM </v>
          </cell>
          <cell r="DC13" t="str">
            <v xml:space="preserve">NM </v>
          </cell>
          <cell r="DD13" t="str">
            <v xml:space="preserve">NM </v>
          </cell>
          <cell r="DE13" t="str">
            <v xml:space="preserve">NM </v>
          </cell>
          <cell r="DF13" t="str">
            <v xml:space="preserve">NM </v>
          </cell>
          <cell r="DG13" t="str">
            <v xml:space="preserve">NM </v>
          </cell>
          <cell r="DH13" t="str">
            <v xml:space="preserve">NM </v>
          </cell>
          <cell r="DI13" t="str">
            <v xml:space="preserve">NM </v>
          </cell>
          <cell r="DJ13" t="str">
            <v xml:space="preserve">NM </v>
          </cell>
          <cell r="DK13" t="str">
            <v xml:space="preserve">NM </v>
          </cell>
          <cell r="DL13" t="str">
            <v xml:space="preserve">NM </v>
          </cell>
          <cell r="DM13" t="str">
            <v xml:space="preserve">NM </v>
          </cell>
          <cell r="DN13" t="str">
            <v xml:space="preserve">NM </v>
          </cell>
          <cell r="DO13" t="str">
            <v xml:space="preserve">NM </v>
          </cell>
          <cell r="DP13" t="str">
            <v xml:space="preserve">NM </v>
          </cell>
          <cell r="DQ13" t="str">
            <v xml:space="preserve">NM </v>
          </cell>
          <cell r="DR13" t="str">
            <v xml:space="preserve">NM </v>
          </cell>
          <cell r="DS13">
            <v>0.13092378704595894</v>
          </cell>
          <cell r="DT13">
            <v>0.203316703487431</v>
          </cell>
          <cell r="DU13">
            <v>0.22633775991922139</v>
          </cell>
          <cell r="DV13">
            <v>0.23813448043491911</v>
          </cell>
          <cell r="DW13">
            <v>0.25846309136502171</v>
          </cell>
          <cell r="DX13">
            <v>0.27701115165108525</v>
          </cell>
          <cell r="DY13">
            <v>0</v>
          </cell>
          <cell r="DZ13">
            <v>0</v>
          </cell>
          <cell r="EA13">
            <v>0.13092378704595894</v>
          </cell>
          <cell r="EB13">
            <v>0.20202431164647922</v>
          </cell>
          <cell r="EC13">
            <v>0.23173793847618712</v>
          </cell>
          <cell r="ED13">
            <v>0.23758930723278107</v>
          </cell>
          <cell r="EE13">
            <v>0.2587687932292379</v>
          </cell>
          <cell r="EF13">
            <v>0.27912124645462061</v>
          </cell>
        </row>
        <row r="14">
          <cell r="A14">
            <v>0</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0.57439783749911844</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row>
        <row r="15">
          <cell r="A15" t="str">
            <v>Revenue -- LOCK</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100</v>
          </cell>
          <cell r="CE15">
            <v>174.76250000000002</v>
          </cell>
          <cell r="CF15">
            <v>182.45000000000002</v>
          </cell>
          <cell r="CG15">
            <v>194.75000000000003</v>
          </cell>
          <cell r="CH15">
            <v>200.54999999999998</v>
          </cell>
          <cell r="CI15">
            <v>206.79999999999995</v>
          </cell>
          <cell r="CJ15">
            <v>212.29999999999995</v>
          </cell>
          <cell r="CK15">
            <v>216.79999999999995</v>
          </cell>
          <cell r="CL15">
            <v>214.17401283697041</v>
          </cell>
          <cell r="CM15">
            <v>220.49738074454419</v>
          </cell>
          <cell r="CN15">
            <v>226.01013096598194</v>
          </cell>
          <cell r="CO15">
            <v>230.45071824582789</v>
          </cell>
          <cell r="CP15">
            <v>227.32225258418177</v>
          </cell>
          <cell r="CQ15">
            <v>233.69540406015321</v>
          </cell>
          <cell r="CR15">
            <v>239.19992394121442</v>
          </cell>
          <cell r="CS15">
            <v>243.56343722162359</v>
          </cell>
          <cell r="CT15">
            <v>239.93359316418366</v>
          </cell>
          <cell r="CU15">
            <v>246.33619039586412</v>
          </cell>
          <cell r="CV15">
            <v>251.81499124929411</v>
          </cell>
          <cell r="CW15">
            <v>256.08750025692711</v>
          </cell>
          <cell r="CX15">
            <v>251.96257375490475</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Q15">
            <v>0</v>
          </cell>
          <cell r="DR15">
            <v>0</v>
          </cell>
          <cell r="DS15">
            <v>100</v>
          </cell>
          <cell r="DT15">
            <v>752.51250000000005</v>
          </cell>
          <cell r="DU15">
            <v>850.07401283697027</v>
          </cell>
          <cell r="DV15">
            <v>904.28048254053579</v>
          </cell>
          <cell r="DW15">
            <v>956.3923583871748</v>
          </cell>
          <cell r="DX15">
            <v>1006.20125565699</v>
          </cell>
          <cell r="DY15">
            <v>0</v>
          </cell>
          <cell r="DZ15">
            <v>0</v>
          </cell>
          <cell r="EA15">
            <v>100</v>
          </cell>
          <cell r="EB15">
            <v>760.51250000000005</v>
          </cell>
          <cell r="EC15">
            <v>887.30586733267228</v>
          </cell>
          <cell r="ED15">
            <v>1013.1642583349875</v>
          </cell>
          <cell r="EE15">
            <v>1117.2309696072275</v>
          </cell>
          <cell r="EF15">
            <v>1212.4297001137902</v>
          </cell>
        </row>
        <row r="16">
          <cell r="A16" t="str">
            <v>% of revenue</v>
          </cell>
          <cell r="B16">
            <v>0</v>
          </cell>
          <cell r="C16">
            <v>0</v>
          </cell>
          <cell r="D16">
            <v>0</v>
          </cell>
          <cell r="E16">
            <v>0</v>
          </cell>
          <cell r="F16">
            <v>0</v>
          </cell>
          <cell r="G16">
            <v>0</v>
          </cell>
          <cell r="H16">
            <v>0</v>
          </cell>
          <cell r="I16">
            <v>0</v>
          </cell>
          <cell r="J16">
            <v>0</v>
          </cell>
          <cell r="K16" t="str">
            <v xml:space="preserve">NM </v>
          </cell>
          <cell r="L16" t="str">
            <v xml:space="preserve">NM </v>
          </cell>
          <cell r="M16" t="str">
            <v xml:space="preserve">NM </v>
          </cell>
          <cell r="N16" t="str">
            <v xml:space="preserve">NM </v>
          </cell>
          <cell r="O16" t="str">
            <v xml:space="preserve">NM </v>
          </cell>
          <cell r="P16" t="str">
            <v xml:space="preserve">NM </v>
          </cell>
          <cell r="Q16" t="str">
            <v xml:space="preserve">NM </v>
          </cell>
          <cell r="R16" t="str">
            <v xml:space="preserve">NM </v>
          </cell>
          <cell r="S16" t="str">
            <v xml:space="preserve">NM </v>
          </cell>
          <cell r="T16" t="str">
            <v xml:space="preserve">NM </v>
          </cell>
          <cell r="U16" t="str">
            <v xml:space="preserve">NM </v>
          </cell>
          <cell r="V16" t="str">
            <v xml:space="preserve">NM </v>
          </cell>
          <cell r="W16" t="str">
            <v xml:space="preserve">NM </v>
          </cell>
          <cell r="X16" t="str">
            <v xml:space="preserve">NM </v>
          </cell>
          <cell r="Y16" t="str">
            <v xml:space="preserve">NM </v>
          </cell>
          <cell r="Z16" t="str">
            <v xml:space="preserve">NM </v>
          </cell>
          <cell r="AA16" t="str">
            <v xml:space="preserve">NM </v>
          </cell>
          <cell r="AB16" t="str">
            <v xml:space="preserve">NM </v>
          </cell>
          <cell r="AC16" t="str">
            <v xml:space="preserve">NM </v>
          </cell>
          <cell r="AD16" t="str">
            <v xml:space="preserve">NM </v>
          </cell>
          <cell r="AE16" t="str">
            <v xml:space="preserve">NM </v>
          </cell>
          <cell r="AF16" t="str">
            <v xml:space="preserve">NM </v>
          </cell>
          <cell r="AG16" t="str">
            <v xml:space="preserve">NM </v>
          </cell>
          <cell r="AH16" t="str">
            <v xml:space="preserve">NM </v>
          </cell>
          <cell r="AI16" t="str">
            <v xml:space="preserve">NM </v>
          </cell>
          <cell r="AJ16" t="str">
            <v xml:space="preserve">NM </v>
          </cell>
          <cell r="AK16" t="str">
            <v xml:space="preserve">NM </v>
          </cell>
          <cell r="AL16" t="str">
            <v xml:space="preserve">NM </v>
          </cell>
          <cell r="AM16" t="str">
            <v xml:space="preserve">NM </v>
          </cell>
          <cell r="AN16" t="str">
            <v xml:space="preserve">NM </v>
          </cell>
          <cell r="AO16" t="str">
            <v xml:space="preserve">NM </v>
          </cell>
          <cell r="AP16" t="str">
            <v xml:space="preserve">NM </v>
          </cell>
          <cell r="AQ16" t="str">
            <v xml:space="preserve">NM </v>
          </cell>
          <cell r="AR16" t="str">
            <v xml:space="preserve">NM </v>
          </cell>
          <cell r="AS16" t="str">
            <v xml:space="preserve">NM </v>
          </cell>
          <cell r="AT16" t="str">
            <v xml:space="preserve">NM </v>
          </cell>
          <cell r="AU16" t="str">
            <v xml:space="preserve">NM </v>
          </cell>
          <cell r="AV16" t="str">
            <v xml:space="preserve">NM </v>
          </cell>
          <cell r="AW16" t="str">
            <v xml:space="preserve">NM </v>
          </cell>
          <cell r="AX16" t="str">
            <v xml:space="preserve">NM </v>
          </cell>
          <cell r="AY16" t="str">
            <v xml:space="preserve">NM </v>
          </cell>
          <cell r="AZ16" t="str">
            <v xml:space="preserve">NM </v>
          </cell>
          <cell r="BA16" t="str">
            <v xml:space="preserve">NM </v>
          </cell>
          <cell r="BB16" t="str">
            <v xml:space="preserve">NM </v>
          </cell>
          <cell r="BC16" t="str">
            <v xml:space="preserve">NM </v>
          </cell>
          <cell r="BD16" t="str">
            <v xml:space="preserve">NM </v>
          </cell>
          <cell r="BE16" t="str">
            <v xml:space="preserve">NM </v>
          </cell>
          <cell r="BF16" t="str">
            <v xml:space="preserve">NM </v>
          </cell>
          <cell r="BG16" t="str">
            <v xml:space="preserve">NM </v>
          </cell>
          <cell r="BH16" t="str">
            <v xml:space="preserve">NM </v>
          </cell>
          <cell r="BI16" t="str">
            <v xml:space="preserve">NM </v>
          </cell>
          <cell r="BJ16" t="str">
            <v xml:space="preserve">NM </v>
          </cell>
          <cell r="BK16" t="str">
            <v xml:space="preserve">NM </v>
          </cell>
          <cell r="BL16" t="str">
            <v xml:space="preserve">NM </v>
          </cell>
          <cell r="BM16" t="str">
            <v xml:space="preserve">NM </v>
          </cell>
          <cell r="BN16" t="str">
            <v xml:space="preserve">NM </v>
          </cell>
          <cell r="BO16" t="str">
            <v xml:space="preserve">NM </v>
          </cell>
          <cell r="BP16" t="str">
            <v xml:space="preserve">NM </v>
          </cell>
          <cell r="BQ16" t="str">
            <v xml:space="preserve">NM </v>
          </cell>
          <cell r="BR16" t="str">
            <v xml:space="preserve">NM </v>
          </cell>
          <cell r="BS16" t="str">
            <v xml:space="preserve">NM </v>
          </cell>
          <cell r="BT16" t="str">
            <v xml:space="preserve">NM </v>
          </cell>
          <cell r="BU16" t="str">
            <v xml:space="preserve">NM </v>
          </cell>
          <cell r="BV16" t="str">
            <v xml:space="preserve">NM </v>
          </cell>
          <cell r="BW16" t="str">
            <v xml:space="preserve">NM </v>
          </cell>
          <cell r="BX16" t="str">
            <v xml:space="preserve">NM </v>
          </cell>
          <cell r="BY16" t="str">
            <v xml:space="preserve">NM </v>
          </cell>
          <cell r="BZ16" t="str">
            <v xml:space="preserve">NM </v>
          </cell>
          <cell r="CA16" t="str">
            <v xml:space="preserve">NM </v>
          </cell>
          <cell r="CB16" t="str">
            <v xml:space="preserve">NM </v>
          </cell>
          <cell r="CC16" t="str">
            <v xml:space="preserve">NM </v>
          </cell>
          <cell r="CD16">
            <v>8.5034013605442174E-2</v>
          </cell>
          <cell r="CE16">
            <v>0.14231473941368081</v>
          </cell>
          <cell r="CF16">
            <v>0.14298589341692791</v>
          </cell>
          <cell r="CG16">
            <v>0.15782009724473259</v>
          </cell>
          <cell r="CH16">
            <v>0.16679207514453057</v>
          </cell>
          <cell r="CI16">
            <v>0.16965879788467464</v>
          </cell>
          <cell r="CJ16">
            <v>0.17244722134792689</v>
          </cell>
          <cell r="CK16">
            <v>0.17466096583947258</v>
          </cell>
          <cell r="CL16">
            <v>0.17233641234856978</v>
          </cell>
          <cell r="CM16">
            <v>0.17319148753105462</v>
          </cell>
          <cell r="CN16">
            <v>0.17466300084964401</v>
          </cell>
          <cell r="CO16">
            <v>0.1766519563589817</v>
          </cell>
          <cell r="CP16">
            <v>0.17409384463836172</v>
          </cell>
          <cell r="CQ16">
            <v>0.17543820751892161</v>
          </cell>
          <cell r="CR16">
            <v>0.17697968588012331</v>
          </cell>
          <cell r="CS16">
            <v>0.17904172874701169</v>
          </cell>
          <cell r="CT16">
            <v>0.17652147677706961</v>
          </cell>
          <cell r="CU16">
            <v>0.17776182437091081</v>
          </cell>
          <cell r="CV16">
            <v>0.17907015851820832</v>
          </cell>
          <cell r="CW16">
            <v>0.18094183116334442</v>
          </cell>
          <cell r="CX16">
            <v>0.17822368791489834</v>
          </cell>
          <cell r="CY16">
            <v>0</v>
          </cell>
          <cell r="CZ16" t="str">
            <v xml:space="preserve">NM </v>
          </cell>
          <cell r="DA16" t="str">
            <v xml:space="preserve">NM </v>
          </cell>
          <cell r="DB16" t="str">
            <v xml:space="preserve">NM </v>
          </cell>
          <cell r="DC16" t="str">
            <v xml:space="preserve">NM </v>
          </cell>
          <cell r="DD16" t="str">
            <v xml:space="preserve">NM </v>
          </cell>
          <cell r="DE16" t="str">
            <v xml:space="preserve">NM </v>
          </cell>
          <cell r="DF16" t="str">
            <v xml:space="preserve">NM </v>
          </cell>
          <cell r="DG16" t="str">
            <v xml:space="preserve">NM </v>
          </cell>
          <cell r="DH16" t="str">
            <v xml:space="preserve">NM </v>
          </cell>
          <cell r="DI16" t="str">
            <v xml:space="preserve">NM </v>
          </cell>
          <cell r="DJ16" t="str">
            <v xml:space="preserve">NM </v>
          </cell>
          <cell r="DK16" t="str">
            <v xml:space="preserve">NM </v>
          </cell>
          <cell r="DL16" t="str">
            <v xml:space="preserve">NM </v>
          </cell>
          <cell r="DM16" t="str">
            <v xml:space="preserve">NM </v>
          </cell>
          <cell r="DN16" t="str">
            <v xml:space="preserve">NM </v>
          </cell>
          <cell r="DO16" t="str">
            <v xml:space="preserve">NM </v>
          </cell>
          <cell r="DP16" t="str">
            <v xml:space="preserve">NM </v>
          </cell>
          <cell r="DQ16" t="str">
            <v xml:space="preserve">NM </v>
          </cell>
          <cell r="DR16" t="str">
            <v xml:space="preserve">NM </v>
          </cell>
          <cell r="DS16">
            <v>2.4021138601969732E-2</v>
          </cell>
          <cell r="DT16">
            <v>0.15231827837815726</v>
          </cell>
          <cell r="DU16">
            <v>0.17228736678188628</v>
          </cell>
          <cell r="DV16">
            <v>0.17465876446360756</v>
          </cell>
          <cell r="DW16">
            <v>0.177003557102069</v>
          </cell>
          <cell r="DX16">
            <v>0.17900597960541986</v>
          </cell>
          <cell r="DY16">
            <v>0</v>
          </cell>
          <cell r="DZ16">
            <v>0</v>
          </cell>
          <cell r="EA16">
            <v>2.4021138601969732E-2</v>
          </cell>
          <cell r="EB16">
            <v>0.15295907079646018</v>
          </cell>
          <cell r="EC16">
            <v>0.18412390315965166</v>
          </cell>
          <cell r="ED16">
            <v>0.19524130190684386</v>
          </cell>
          <cell r="EE16">
            <v>0.20701519717719641</v>
          </cell>
          <cell r="EF16">
            <v>0.21733761310128571</v>
          </cell>
        </row>
        <row r="17">
          <cell r="A17">
            <v>0</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161.57142857142858</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row>
        <row r="18">
          <cell r="A18" t="str">
            <v>COGS -- SYMC</v>
          </cell>
          <cell r="B18">
            <v>0</v>
          </cell>
          <cell r="C18">
            <v>0</v>
          </cell>
          <cell r="D18">
            <v>0</v>
          </cell>
          <cell r="E18">
            <v>0</v>
          </cell>
          <cell r="F18">
            <v>0</v>
          </cell>
          <cell r="G18">
            <v>0</v>
          </cell>
          <cell r="H18">
            <v>0</v>
          </cell>
          <cell r="I18">
            <v>0</v>
          </cell>
          <cell r="J18">
            <v>0</v>
          </cell>
          <cell r="K18">
            <v>30.847000000000001</v>
          </cell>
          <cell r="L18">
            <v>30.937999999999999</v>
          </cell>
          <cell r="M18">
            <v>48.134</v>
          </cell>
          <cell r="N18">
            <v>54.004000000000005</v>
          </cell>
          <cell r="O18">
            <v>60.802</v>
          </cell>
          <cell r="P18">
            <v>58.188000000000002</v>
          </cell>
          <cell r="Q18">
            <v>65.510000000000005</v>
          </cell>
          <cell r="R18">
            <v>67.948999999999998</v>
          </cell>
          <cell r="S18">
            <v>84.652999999999992</v>
          </cell>
          <cell r="T18">
            <v>86.671999999999997</v>
          </cell>
          <cell r="U18">
            <v>93.846999999999994</v>
          </cell>
          <cell r="V18">
            <v>107.61500000000001</v>
          </cell>
          <cell r="W18">
            <v>104.661</v>
          </cell>
          <cell r="X18">
            <v>113.008</v>
          </cell>
          <cell r="Y18">
            <v>118.759</v>
          </cell>
          <cell r="Z18">
            <v>122.798</v>
          </cell>
          <cell r="AA18">
            <v>123.032</v>
          </cell>
          <cell r="AB18">
            <v>131.09299999999999</v>
          </cell>
          <cell r="AC18">
            <v>147.39100000000002</v>
          </cell>
          <cell r="AD18">
            <v>163.21100000000001</v>
          </cell>
          <cell r="AE18">
            <v>164.136</v>
          </cell>
          <cell r="AF18">
            <v>171.63900000000001</v>
          </cell>
          <cell r="AG18">
            <v>181.99799999999999</v>
          </cell>
          <cell r="AH18">
            <v>192.25299999999999</v>
          </cell>
          <cell r="AI18">
            <v>193.03800000000001</v>
          </cell>
          <cell r="AJ18">
            <v>183.97</v>
          </cell>
          <cell r="AK18">
            <v>183.44200000000001</v>
          </cell>
          <cell r="AL18">
            <v>194.38499999999999</v>
          </cell>
          <cell r="AM18">
            <v>207.06700000000001</v>
          </cell>
          <cell r="AN18">
            <v>209.88</v>
          </cell>
          <cell r="AO18">
            <v>222.173</v>
          </cell>
          <cell r="AP18">
            <v>217.93599999999998</v>
          </cell>
          <cell r="AQ18">
            <v>216.50800000000001</v>
          </cell>
          <cell r="AR18">
            <v>210.965</v>
          </cell>
          <cell r="AS18">
            <v>210.78</v>
          </cell>
          <cell r="AT18">
            <v>216.01599999999999</v>
          </cell>
          <cell r="AU18">
            <v>223.38499999999999</v>
          </cell>
          <cell r="AV18">
            <v>218.22800000000001</v>
          </cell>
          <cell r="AW18">
            <v>205.58799999999999</v>
          </cell>
          <cell r="AX18">
            <v>213.066</v>
          </cell>
          <cell r="AY18">
            <v>209</v>
          </cell>
          <cell r="AZ18">
            <v>208</v>
          </cell>
          <cell r="BA18">
            <v>210</v>
          </cell>
          <cell r="BB18">
            <v>229</v>
          </cell>
          <cell r="BC18">
            <v>216</v>
          </cell>
          <cell r="BD18">
            <v>219</v>
          </cell>
          <cell r="BE18">
            <v>235</v>
          </cell>
          <cell r="BF18">
            <v>238</v>
          </cell>
          <cell r="BG18">
            <v>232</v>
          </cell>
          <cell r="BH18">
            <v>239</v>
          </cell>
          <cell r="BI18">
            <v>245</v>
          </cell>
          <cell r="BJ18">
            <v>259</v>
          </cell>
          <cell r="BK18">
            <v>262</v>
          </cell>
          <cell r="BL18">
            <v>261</v>
          </cell>
          <cell r="BM18">
            <v>279</v>
          </cell>
          <cell r="BN18">
            <v>289</v>
          </cell>
          <cell r="BO18">
            <v>281</v>
          </cell>
          <cell r="BP18">
            <v>267</v>
          </cell>
          <cell r="BQ18">
            <v>265</v>
          </cell>
          <cell r="BR18">
            <v>263</v>
          </cell>
          <cell r="BS18">
            <v>174</v>
          </cell>
          <cell r="BT18">
            <v>152</v>
          </cell>
          <cell r="BU18">
            <v>156</v>
          </cell>
          <cell r="BV18">
            <v>154</v>
          </cell>
          <cell r="BW18">
            <v>136</v>
          </cell>
          <cell r="BX18">
            <v>141</v>
          </cell>
          <cell r="BY18">
            <v>140</v>
          </cell>
          <cell r="BZ18">
            <v>138</v>
          </cell>
          <cell r="CA18">
            <v>140</v>
          </cell>
          <cell r="CB18">
            <v>140.17079497165471</v>
          </cell>
          <cell r="CC18">
            <v>126.75717700521662</v>
          </cell>
          <cell r="CD18">
            <v>133.89373346373071</v>
          </cell>
          <cell r="CE18">
            <v>111.17818090838756</v>
          </cell>
          <cell r="CF18">
            <v>109.76001176556841</v>
          </cell>
          <cell r="CG18">
            <v>93.058621873997112</v>
          </cell>
          <cell r="CH18">
            <v>93.058621873997112</v>
          </cell>
          <cell r="CI18">
            <v>93.058621873997112</v>
          </cell>
          <cell r="CJ18">
            <v>93.058621873997112</v>
          </cell>
          <cell r="CK18">
            <v>95.850380530217024</v>
          </cell>
          <cell r="CL18">
            <v>95.850380530217024</v>
          </cell>
          <cell r="CM18">
            <v>95.850380530217024</v>
          </cell>
          <cell r="CN18">
            <v>95.850380530217024</v>
          </cell>
          <cell r="CO18">
            <v>98.725891946123539</v>
          </cell>
          <cell r="CP18">
            <v>98.725891946123539</v>
          </cell>
          <cell r="CQ18">
            <v>98.725891946123539</v>
          </cell>
          <cell r="CR18">
            <v>98.725891946123539</v>
          </cell>
          <cell r="CS18">
            <v>101.68766870450725</v>
          </cell>
          <cell r="CT18">
            <v>101.68766870450725</v>
          </cell>
          <cell r="CU18">
            <v>101.68766870450725</v>
          </cell>
          <cell r="CV18">
            <v>101.68766870450725</v>
          </cell>
          <cell r="CW18">
            <v>104.73829876564247</v>
          </cell>
          <cell r="CX18">
            <v>104.73829876564247</v>
          </cell>
          <cell r="CY18">
            <v>0</v>
          </cell>
          <cell r="CZ18">
            <v>0</v>
          </cell>
          <cell r="DA18">
            <v>0</v>
          </cell>
          <cell r="DB18">
            <v>163.923</v>
          </cell>
          <cell r="DC18">
            <v>252.44900000000001</v>
          </cell>
          <cell r="DD18">
            <v>372.78699999999998</v>
          </cell>
          <cell r="DE18">
            <v>459.226</v>
          </cell>
          <cell r="DF18">
            <v>564.72700000000009</v>
          </cell>
          <cell r="DG18">
            <v>710.02599999999984</v>
          </cell>
          <cell r="DH18">
            <v>754.83500000000004</v>
          </cell>
          <cell r="DI18">
            <v>857.05600000000004</v>
          </cell>
          <cell r="DJ18">
            <v>854.26900000000001</v>
          </cell>
          <cell r="DK18">
            <v>860.26700000000005</v>
          </cell>
          <cell r="DL18">
            <v>856</v>
          </cell>
          <cell r="DM18">
            <v>908</v>
          </cell>
          <cell r="DN18">
            <v>975</v>
          </cell>
          <cell r="DO18">
            <v>1091</v>
          </cell>
          <cell r="DP18">
            <v>1076</v>
          </cell>
          <cell r="DQ18">
            <v>636</v>
          </cell>
          <cell r="DR18">
            <v>555</v>
          </cell>
          <cell r="DS18">
            <v>540.82170544060205</v>
          </cell>
          <cell r="DT18">
            <v>407.05543642195016</v>
          </cell>
          <cell r="DU18">
            <v>377.81800480842827</v>
          </cell>
          <cell r="DV18">
            <v>389.15254495268107</v>
          </cell>
          <cell r="DW18">
            <v>400.82712130126157</v>
          </cell>
          <cell r="DX18">
            <v>412.85193494029943</v>
          </cell>
          <cell r="DY18">
            <v>0</v>
          </cell>
          <cell r="DZ18">
            <v>0</v>
          </cell>
          <cell r="EA18">
            <v>540.82170544060205</v>
          </cell>
          <cell r="EB18">
            <v>411.59556130239241</v>
          </cell>
          <cell r="EC18">
            <v>391.57458319616831</v>
          </cell>
          <cell r="ED18">
            <v>403.32182069205334</v>
          </cell>
          <cell r="EE18">
            <v>415.42147531281489</v>
          </cell>
          <cell r="EF18">
            <v>427.88411957219944</v>
          </cell>
        </row>
        <row r="19">
          <cell r="A19" t="str">
            <v>% of revenue</v>
          </cell>
          <cell r="B19">
            <v>0</v>
          </cell>
          <cell r="C19">
            <v>0</v>
          </cell>
          <cell r="D19">
            <v>0</v>
          </cell>
          <cell r="E19">
            <v>0</v>
          </cell>
          <cell r="F19">
            <v>0</v>
          </cell>
          <cell r="G19">
            <v>0</v>
          </cell>
          <cell r="H19">
            <v>0</v>
          </cell>
          <cell r="I19">
            <v>0</v>
          </cell>
          <cell r="J19">
            <v>0</v>
          </cell>
          <cell r="K19">
            <v>0.14307447553582775</v>
          </cell>
          <cell r="L19">
            <v>0.13679453847650377</v>
          </cell>
          <cell r="M19">
            <v>0.10888961279872592</v>
          </cell>
          <cell r="N19">
            <v>0.11392047252399538</v>
          </cell>
          <cell r="O19">
            <v>0.12935192138725374</v>
          </cell>
          <cell r="P19">
            <v>0.11595462090762171</v>
          </cell>
          <cell r="Q19">
            <v>0.11720378358359827</v>
          </cell>
          <cell r="R19">
            <v>0.10947385719372243</v>
          </cell>
          <cell r="S19">
            <v>0.13633479353217803</v>
          </cell>
          <cell r="T19">
            <v>0.13822095066772555</v>
          </cell>
          <cell r="U19">
            <v>0.14824532581841618</v>
          </cell>
          <cell r="V19">
            <v>0.15834187956217805</v>
          </cell>
          <cell r="W19">
            <v>0.15210563872567329</v>
          </cell>
          <cell r="X19">
            <v>0.16373438656835571</v>
          </cell>
          <cell r="Y19">
            <v>0.16037114159394811</v>
          </cell>
          <cell r="Z19">
            <v>0.15462899769060098</v>
          </cell>
          <cell r="AA19">
            <v>0.15747894426951334</v>
          </cell>
          <cell r="AB19">
            <v>0.15661628633518629</v>
          </cell>
          <cell r="AC19">
            <v>0.15671057807831756</v>
          </cell>
          <cell r="AD19">
            <v>0.1542064242677342</v>
          </cell>
          <cell r="AE19">
            <v>0.15746257846219378</v>
          </cell>
          <cell r="AF19">
            <v>0.15556212143595805</v>
          </cell>
          <cell r="AG19">
            <v>0.15269800198341782</v>
          </cell>
          <cell r="AH19">
            <v>0.14936761574158602</v>
          </cell>
          <cell r="AI19">
            <v>0.15330209656925031</v>
          </cell>
          <cell r="AJ19">
            <v>0.15431860580601001</v>
          </cell>
          <cell r="AK19">
            <v>0.14637571645041161</v>
          </cell>
          <cell r="AL19">
            <v>0.14954222239659903</v>
          </cell>
          <cell r="AM19">
            <v>0.16074758374412917</v>
          </cell>
          <cell r="AN19">
            <v>0.16481963134682798</v>
          </cell>
          <cell r="AO19">
            <v>0.16750807861019254</v>
          </cell>
          <cell r="AP19">
            <v>0.15968557615795048</v>
          </cell>
          <cell r="AQ19">
            <v>0.15216566257439326</v>
          </cell>
          <cell r="AR19">
            <v>0.14677541444843639</v>
          </cell>
          <cell r="AS19">
            <v>0.13785246294046014</v>
          </cell>
          <cell r="AT19">
            <v>0.13954639153946383</v>
          </cell>
          <cell r="AU19">
            <v>0.13496824649732672</v>
          </cell>
          <cell r="AV19">
            <v>0.14329022264916325</v>
          </cell>
          <cell r="AW19">
            <v>0.13361696098559958</v>
          </cell>
          <cell r="AX19">
            <v>0.14322089382485678</v>
          </cell>
          <cell r="AY19">
            <v>0.14473684210526316</v>
          </cell>
          <cell r="AZ19">
            <v>0.14063556457065585</v>
          </cell>
          <cell r="BA19">
            <v>0.13539651837524178</v>
          </cell>
          <cell r="BB19">
            <v>0.14918566775244299</v>
          </cell>
          <cell r="BC19">
            <v>0.15073272854152128</v>
          </cell>
          <cell r="BD19">
            <v>0.14797297297297296</v>
          </cell>
          <cell r="BE19">
            <v>0.14650872817955113</v>
          </cell>
          <cell r="BF19">
            <v>0.14225941422594143</v>
          </cell>
          <cell r="BG19">
            <v>0.14035087719298245</v>
          </cell>
          <cell r="BH19">
            <v>0.14217727543129091</v>
          </cell>
          <cell r="BI19">
            <v>0.14285714285714285</v>
          </cell>
          <cell r="BJ19">
            <v>0.15407495538370017</v>
          </cell>
          <cell r="BK19">
            <v>0.15707434052757793</v>
          </cell>
          <cell r="BL19">
            <v>0.15361977633902296</v>
          </cell>
          <cell r="BM19">
            <v>0.15577889447236182</v>
          </cell>
          <cell r="BN19">
            <v>0.16533180778032036</v>
          </cell>
          <cell r="BO19">
            <v>0.16442363955529549</v>
          </cell>
          <cell r="BP19">
            <v>0.16310323762981063</v>
          </cell>
          <cell r="BQ19">
            <v>0.15542521994134897</v>
          </cell>
          <cell r="BR19">
            <v>0.15939393939393939</v>
          </cell>
          <cell r="BS19">
            <v>0.16022099447513813</v>
          </cell>
          <cell r="BT19">
            <v>0.15184815184815184</v>
          </cell>
          <cell r="BU19">
            <v>0.16082474226804125</v>
          </cell>
          <cell r="BV19">
            <v>0.16576964477933262</v>
          </cell>
          <cell r="BW19">
            <v>0.14912280701754385</v>
          </cell>
          <cell r="BX19">
            <v>0.15562913907284767</v>
          </cell>
          <cell r="BY19">
            <v>0.15401540154015403</v>
          </cell>
          <cell r="BZ19">
            <v>0.15807560137457044</v>
          </cell>
          <cell r="CA19">
            <v>0.15837104072398189</v>
          </cell>
          <cell r="CB19">
            <v>0.13809930539079282</v>
          </cell>
          <cell r="CC19">
            <v>0.11650475827685351</v>
          </cell>
          <cell r="CD19">
            <v>0.11385521553038326</v>
          </cell>
          <cell r="CE19">
            <v>9.0535977938426354E-2</v>
          </cell>
          <cell r="CF19">
            <v>8.6018817998094368E-2</v>
          </cell>
          <cell r="CG19">
            <v>7.5412173317663783E-2</v>
          </cell>
          <cell r="CH19">
            <v>7.739436874821333E-2</v>
          </cell>
          <cell r="CI19">
            <v>7.6345328433011811E-2</v>
          </cell>
          <cell r="CJ19">
            <v>7.5589735113698597E-2</v>
          </cell>
          <cell r="CK19">
            <v>7.7220110883250398E-2</v>
          </cell>
          <cell r="CL19">
            <v>7.7126587320361414E-2</v>
          </cell>
          <cell r="CM19">
            <v>7.5286472466891977E-2</v>
          </cell>
          <cell r="CN19">
            <v>7.4074179880493307E-2</v>
          </cell>
          <cell r="CO19">
            <v>7.5678314601581406E-2</v>
          </cell>
          <cell r="CP19">
            <v>7.5608832390428801E-2</v>
          </cell>
          <cell r="CQ19">
            <v>7.4114823046654385E-2</v>
          </cell>
          <cell r="CR19">
            <v>7.3045497076136029E-2</v>
          </cell>
          <cell r="CS19">
            <v>7.4749872989113883E-2</v>
          </cell>
          <cell r="CT19">
            <v>7.4812606325842898E-2</v>
          </cell>
          <cell r="CU19">
            <v>7.3380145547795539E-2</v>
          </cell>
          <cell r="CV19">
            <v>7.2311925767105045E-2</v>
          </cell>
          <cell r="CW19">
            <v>7.4004156987651212E-2</v>
          </cell>
          <cell r="CX19">
            <v>7.4085788193699431E-2</v>
          </cell>
          <cell r="CY19">
            <v>0</v>
          </cell>
          <cell r="CZ19" t="str">
            <v xml:space="preserve">NM </v>
          </cell>
          <cell r="DA19" t="str">
            <v xml:space="preserve">NM </v>
          </cell>
          <cell r="DB19">
            <v>0.12072166550429758</v>
          </cell>
          <cell r="DC19">
            <v>0.11733649516429498</v>
          </cell>
          <cell r="DD19">
            <v>0.14558221835516813</v>
          </cell>
          <cell r="DE19">
            <v>0.15765012990294358</v>
          </cell>
          <cell r="DF19">
            <v>0.15612200100851042</v>
          </cell>
          <cell r="DG19">
            <v>0.15352833023729201</v>
          </cell>
          <cell r="DH19">
            <v>0.15083312052222447</v>
          </cell>
          <cell r="DI19">
            <v>0.16316590470439202</v>
          </cell>
          <cell r="DJ19">
            <v>0.14388442072502661</v>
          </cell>
          <cell r="DK19">
            <v>0.13865472199250112</v>
          </cell>
          <cell r="DL19">
            <v>0.14245298718588784</v>
          </cell>
          <cell r="DM19">
            <v>0.14668820678513733</v>
          </cell>
          <cell r="DN19">
            <v>0.1448736998514116</v>
          </cell>
          <cell r="DO19">
            <v>0.15797856935997684</v>
          </cell>
          <cell r="DP19">
            <v>0.16057304879868675</v>
          </cell>
          <cell r="DQ19">
            <v>0.15955845459106874</v>
          </cell>
          <cell r="DR19">
            <v>0.15416666666666667</v>
          </cell>
          <cell r="DS19">
            <v>0.12991153145342349</v>
          </cell>
          <cell r="DT19">
            <v>8.2393293507099077E-2</v>
          </cell>
          <cell r="DU19">
            <v>7.6573649103791552E-2</v>
          </cell>
          <cell r="DV19">
            <v>7.5163518401224552E-2</v>
          </cell>
          <cell r="DW19">
            <v>7.418276153204488E-2</v>
          </cell>
          <cell r="DX19">
            <v>7.3447498331461622E-2</v>
          </cell>
          <cell r="DY19">
            <v>0</v>
          </cell>
          <cell r="DZ19">
            <v>0</v>
          </cell>
          <cell r="EA19">
            <v>0.12991153145342349</v>
          </cell>
          <cell r="EB19">
            <v>8.2782695354463476E-2</v>
          </cell>
          <cell r="EC19">
            <v>8.125522809054174E-2</v>
          </cell>
          <cell r="ED19">
            <v>7.7721925849183734E-2</v>
          </cell>
          <cell r="EE19">
            <v>7.6974735719828602E-2</v>
          </cell>
          <cell r="EF19">
            <v>7.6701612656832036E-2</v>
          </cell>
        </row>
        <row r="20">
          <cell r="A20">
            <v>0</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row>
        <row r="21">
          <cell r="A21" t="str">
            <v>COGS -- BLCT</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18.829205028345278</v>
          </cell>
          <cell r="CC21">
            <v>38.242822994783388</v>
          </cell>
          <cell r="CD21">
            <v>45.727488758491532</v>
          </cell>
          <cell r="CE21">
            <v>40.41206909161243</v>
          </cell>
          <cell r="CF21">
            <v>43.703738234431597</v>
          </cell>
          <cell r="CG21">
            <v>50.656628126002872</v>
          </cell>
          <cell r="CH21">
            <v>54.280253245560644</v>
          </cell>
          <cell r="CI21">
            <v>46.728769575779914</v>
          </cell>
          <cell r="CJ21">
            <v>50.165322977301145</v>
          </cell>
          <cell r="CK21">
            <v>57.530278976405768</v>
          </cell>
          <cell r="CL21">
            <v>61.696061245528753</v>
          </cell>
          <cell r="CM21">
            <v>50.694473144934548</v>
          </cell>
          <cell r="CN21">
            <v>53.414230591828151</v>
          </cell>
          <cell r="CO21">
            <v>62.169549077912997</v>
          </cell>
          <cell r="CP21">
            <v>66.955884727076793</v>
          </cell>
          <cell r="CQ21">
            <v>55.483984712875909</v>
          </cell>
          <cell r="CR21">
            <v>58.272054331128331</v>
          </cell>
          <cell r="CS21">
            <v>68.470726513709423</v>
          </cell>
          <cell r="CT21">
            <v>72.821869106547979</v>
          </cell>
          <cell r="CU21">
            <v>60.162616805262978</v>
          </cell>
          <cell r="CV21">
            <v>63.065907287980252</v>
          </cell>
          <cell r="CW21">
            <v>74.544204258109119</v>
          </cell>
          <cell r="CX21">
            <v>78.573904134082483</v>
          </cell>
          <cell r="CY21">
            <v>0</v>
          </cell>
          <cell r="CZ21">
            <v>0</v>
          </cell>
          <cell r="DA21">
            <v>0</v>
          </cell>
          <cell r="DB21">
            <v>0</v>
          </cell>
          <cell r="DC21">
            <v>0</v>
          </cell>
          <cell r="DD21">
            <v>0</v>
          </cell>
          <cell r="DE21">
            <v>0</v>
          </cell>
          <cell r="DF21">
            <v>0</v>
          </cell>
          <cell r="DG21">
            <v>0</v>
          </cell>
          <cell r="DH21">
            <v>0</v>
          </cell>
          <cell r="DI21">
            <v>0</v>
          </cell>
          <cell r="DJ21">
            <v>0</v>
          </cell>
          <cell r="DK21">
            <v>0</v>
          </cell>
          <cell r="DL21">
            <v>0</v>
          </cell>
          <cell r="DM21">
            <v>0</v>
          </cell>
          <cell r="DN21">
            <v>0</v>
          </cell>
          <cell r="DO21">
            <v>0</v>
          </cell>
          <cell r="DP21">
            <v>0</v>
          </cell>
          <cell r="DQ21">
            <v>0</v>
          </cell>
          <cell r="DR21">
            <v>0</v>
          </cell>
          <cell r="DS21">
            <v>102.7995167816202</v>
          </cell>
          <cell r="DT21">
            <v>189.05268869760755</v>
          </cell>
          <cell r="DU21">
            <v>216.12043277501562</v>
          </cell>
          <cell r="DV21">
            <v>233.23413754175249</v>
          </cell>
          <cell r="DW21">
            <v>255.04863466426164</v>
          </cell>
          <cell r="DX21">
            <v>276.34663248543484</v>
          </cell>
          <cell r="DY21">
            <v>0</v>
          </cell>
          <cell r="DZ21">
            <v>0</v>
          </cell>
          <cell r="EA21">
            <v>102.7995167816202</v>
          </cell>
          <cell r="EB21">
            <v>189.05268869760755</v>
          </cell>
          <cell r="EC21">
            <v>210.78571339601041</v>
          </cell>
          <cell r="ED21">
            <v>233.23413754175249</v>
          </cell>
          <cell r="EE21">
            <v>255.04863466426164</v>
          </cell>
          <cell r="EF21">
            <v>276.34663248543484</v>
          </cell>
        </row>
        <row r="22">
          <cell r="A22" t="str">
            <v>% of revenue</v>
          </cell>
          <cell r="B22">
            <v>0</v>
          </cell>
          <cell r="C22">
            <v>0</v>
          </cell>
          <cell r="D22">
            <v>0</v>
          </cell>
          <cell r="E22">
            <v>0</v>
          </cell>
          <cell r="F22">
            <v>0</v>
          </cell>
          <cell r="G22">
            <v>0</v>
          </cell>
          <cell r="H22">
            <v>0</v>
          </cell>
          <cell r="I22">
            <v>0</v>
          </cell>
          <cell r="J22">
            <v>0</v>
          </cell>
          <cell r="K22" t="str">
            <v xml:space="preserve">NM </v>
          </cell>
          <cell r="L22" t="str">
            <v xml:space="preserve">NM </v>
          </cell>
          <cell r="M22" t="str">
            <v xml:space="preserve">NM </v>
          </cell>
          <cell r="N22" t="str">
            <v xml:space="preserve">NM </v>
          </cell>
          <cell r="O22" t="str">
            <v xml:space="preserve">NM </v>
          </cell>
          <cell r="P22" t="str">
            <v xml:space="preserve">NM </v>
          </cell>
          <cell r="Q22" t="str">
            <v xml:space="preserve">NM </v>
          </cell>
          <cell r="R22" t="str">
            <v xml:space="preserve">NM </v>
          </cell>
          <cell r="S22" t="str">
            <v xml:space="preserve">NM </v>
          </cell>
          <cell r="T22" t="str">
            <v xml:space="preserve">NM </v>
          </cell>
          <cell r="U22" t="str">
            <v xml:space="preserve">NM </v>
          </cell>
          <cell r="V22" t="str">
            <v xml:space="preserve">NM </v>
          </cell>
          <cell r="W22" t="str">
            <v xml:space="preserve">NM </v>
          </cell>
          <cell r="X22" t="str">
            <v xml:space="preserve">NM </v>
          </cell>
          <cell r="Y22" t="str">
            <v xml:space="preserve">NM </v>
          </cell>
          <cell r="Z22" t="str">
            <v xml:space="preserve">NM </v>
          </cell>
          <cell r="AA22" t="str">
            <v xml:space="preserve">NM </v>
          </cell>
          <cell r="AB22" t="str">
            <v xml:space="preserve">NM </v>
          </cell>
          <cell r="AC22" t="str">
            <v xml:space="preserve">NM </v>
          </cell>
          <cell r="AD22" t="str">
            <v xml:space="preserve">NM </v>
          </cell>
          <cell r="AE22" t="str">
            <v xml:space="preserve">NM </v>
          </cell>
          <cell r="AF22" t="str">
            <v xml:space="preserve">NM </v>
          </cell>
          <cell r="AG22" t="str">
            <v xml:space="preserve">NM </v>
          </cell>
          <cell r="AH22" t="str">
            <v xml:space="preserve">NM </v>
          </cell>
          <cell r="AI22" t="str">
            <v xml:space="preserve">NM </v>
          </cell>
          <cell r="AJ22" t="str">
            <v xml:space="preserve">NM </v>
          </cell>
          <cell r="AK22" t="str">
            <v xml:space="preserve">NM </v>
          </cell>
          <cell r="AL22" t="str">
            <v xml:space="preserve">NM </v>
          </cell>
          <cell r="AM22" t="str">
            <v xml:space="preserve">NM </v>
          </cell>
          <cell r="AN22" t="str">
            <v xml:space="preserve">NM </v>
          </cell>
          <cell r="AO22" t="str">
            <v xml:space="preserve">NM </v>
          </cell>
          <cell r="AP22" t="str">
            <v xml:space="preserve">NM </v>
          </cell>
          <cell r="AQ22" t="str">
            <v xml:space="preserve">NM </v>
          </cell>
          <cell r="AR22" t="str">
            <v xml:space="preserve">NM </v>
          </cell>
          <cell r="AS22" t="str">
            <v xml:space="preserve">NM </v>
          </cell>
          <cell r="AT22" t="str">
            <v xml:space="preserve">NM </v>
          </cell>
          <cell r="AU22" t="str">
            <v xml:space="preserve">NM </v>
          </cell>
          <cell r="AV22" t="str">
            <v xml:space="preserve">NM </v>
          </cell>
          <cell r="AW22" t="str">
            <v xml:space="preserve">NM </v>
          </cell>
          <cell r="AX22" t="str">
            <v xml:space="preserve">NM </v>
          </cell>
          <cell r="AY22" t="str">
            <v xml:space="preserve">NM </v>
          </cell>
          <cell r="AZ22" t="str">
            <v xml:space="preserve">NM </v>
          </cell>
          <cell r="BA22" t="str">
            <v xml:space="preserve">NM </v>
          </cell>
          <cell r="BB22" t="str">
            <v xml:space="preserve">NM </v>
          </cell>
          <cell r="BC22" t="str">
            <v xml:space="preserve">NM </v>
          </cell>
          <cell r="BD22" t="str">
            <v xml:space="preserve">NM </v>
          </cell>
          <cell r="BE22" t="str">
            <v xml:space="preserve">NM </v>
          </cell>
          <cell r="BF22" t="str">
            <v xml:space="preserve">NM </v>
          </cell>
          <cell r="BG22" t="str">
            <v xml:space="preserve">NM </v>
          </cell>
          <cell r="BH22" t="str">
            <v xml:space="preserve">NM </v>
          </cell>
          <cell r="BI22" t="str">
            <v xml:space="preserve">NM </v>
          </cell>
          <cell r="BJ22" t="str">
            <v xml:space="preserve">NM </v>
          </cell>
          <cell r="BK22" t="str">
            <v xml:space="preserve">NM </v>
          </cell>
          <cell r="BL22" t="str">
            <v xml:space="preserve">NM </v>
          </cell>
          <cell r="BM22" t="str">
            <v xml:space="preserve">NM </v>
          </cell>
          <cell r="BN22" t="str">
            <v xml:space="preserve">NM </v>
          </cell>
          <cell r="BO22" t="str">
            <v xml:space="preserve">NM </v>
          </cell>
          <cell r="BP22" t="str">
            <v xml:space="preserve">NM </v>
          </cell>
          <cell r="BQ22" t="str">
            <v xml:space="preserve">NM </v>
          </cell>
          <cell r="BR22" t="str">
            <v xml:space="preserve">NM </v>
          </cell>
          <cell r="BS22" t="str">
            <v xml:space="preserve">NM </v>
          </cell>
          <cell r="BT22" t="str">
            <v xml:space="preserve">NM </v>
          </cell>
          <cell r="BU22" t="str">
            <v xml:space="preserve">NM </v>
          </cell>
          <cell r="BV22" t="str">
            <v xml:space="preserve">NM </v>
          </cell>
          <cell r="BW22" t="str">
            <v xml:space="preserve">NM </v>
          </cell>
          <cell r="BX22" t="str">
            <v xml:space="preserve">NM </v>
          </cell>
          <cell r="BY22" t="str">
            <v xml:space="preserve">NM </v>
          </cell>
          <cell r="BZ22" t="str">
            <v xml:space="preserve">NM </v>
          </cell>
          <cell r="CA22" t="str">
            <v xml:space="preserve">NM </v>
          </cell>
          <cell r="CB22">
            <v>0.15184842764794579</v>
          </cell>
          <cell r="CC22">
            <v>0.18474793717286661</v>
          </cell>
          <cell r="CD22">
            <v>0.21364418793910039</v>
          </cell>
          <cell r="CE22">
            <v>0.19288306931562338</v>
          </cell>
          <cell r="CF22">
            <v>0.1833255062575519</v>
          </cell>
          <cell r="CG22">
            <v>0.18734401000762874</v>
          </cell>
          <cell r="CH22">
            <v>0.18968422176180663</v>
          </cell>
          <cell r="CI22">
            <v>0.20117694651567955</v>
          </cell>
          <cell r="CJ22">
            <v>0.19049590995585186</v>
          </cell>
          <cell r="CK22">
            <v>0.19018005417434916</v>
          </cell>
          <cell r="CL22">
            <v>0.19362351951236581</v>
          </cell>
          <cell r="CM22">
            <v>0.19652959560036132</v>
          </cell>
          <cell r="CN22">
            <v>0.18632662209021322</v>
          </cell>
          <cell r="CO22">
            <v>0.18687713569410838</v>
          </cell>
          <cell r="CP22">
            <v>0.18827600616932588</v>
          </cell>
          <cell r="CQ22">
            <v>0.18831177621529149</v>
          </cell>
          <cell r="CR22">
            <v>0.17935786521971717</v>
          </cell>
          <cell r="CS22">
            <v>0.18096995594814827</v>
          </cell>
          <cell r="CT22">
            <v>0.18267032209891984</v>
          </cell>
          <cell r="CU22">
            <v>0.18150994952293126</v>
          </cell>
          <cell r="CV22">
            <v>0.1739532918673917</v>
          </cell>
          <cell r="CW22">
            <v>0.17663498426241162</v>
          </cell>
          <cell r="CX22">
            <v>0.17814477665922493</v>
          </cell>
          <cell r="CY22">
            <v>0</v>
          </cell>
          <cell r="CZ22" t="str">
            <v xml:space="preserve">NM </v>
          </cell>
          <cell r="DA22" t="str">
            <v xml:space="preserve">NM </v>
          </cell>
          <cell r="DB22" t="str">
            <v xml:space="preserve">NM </v>
          </cell>
          <cell r="DC22" t="str">
            <v xml:space="preserve">NM </v>
          </cell>
          <cell r="DD22" t="str">
            <v xml:space="preserve">NM </v>
          </cell>
          <cell r="DE22" t="str">
            <v xml:space="preserve">NM </v>
          </cell>
          <cell r="DF22" t="str">
            <v xml:space="preserve">NM </v>
          </cell>
          <cell r="DG22" t="str">
            <v xml:space="preserve">NM </v>
          </cell>
          <cell r="DH22" t="str">
            <v xml:space="preserve">NM </v>
          </cell>
          <cell r="DI22" t="str">
            <v xml:space="preserve">NM </v>
          </cell>
          <cell r="DJ22" t="str">
            <v xml:space="preserve">NM </v>
          </cell>
          <cell r="DK22" t="str">
            <v xml:space="preserve">NM </v>
          </cell>
          <cell r="DL22" t="str">
            <v xml:space="preserve">NM </v>
          </cell>
          <cell r="DM22" t="str">
            <v xml:space="preserve">NM </v>
          </cell>
          <cell r="DN22" t="str">
            <v xml:space="preserve">NM </v>
          </cell>
          <cell r="DO22" t="str">
            <v xml:space="preserve">NM </v>
          </cell>
          <cell r="DP22" t="str">
            <v xml:space="preserve">NM </v>
          </cell>
          <cell r="DQ22" t="str">
            <v xml:space="preserve">NM </v>
          </cell>
          <cell r="DR22" t="str">
            <v xml:space="preserve">NM </v>
          </cell>
          <cell r="DS22">
            <v>0.18861060289678133</v>
          </cell>
          <cell r="DT22">
            <v>0.18821234363809083</v>
          </cell>
          <cell r="DU22">
            <v>0.19352430156834735</v>
          </cell>
          <cell r="DV22">
            <v>0.18917208901056118</v>
          </cell>
          <cell r="DW22">
            <v>0.18262926246972619</v>
          </cell>
          <cell r="DX22">
            <v>0.17747599003871378</v>
          </cell>
          <cell r="DY22">
            <v>0</v>
          </cell>
          <cell r="DZ22">
            <v>0</v>
          </cell>
          <cell r="EA22">
            <v>0.18861060289678133</v>
          </cell>
          <cell r="EB22">
            <v>0.18821234363809083</v>
          </cell>
          <cell r="EC22">
            <v>0.18874734536559976</v>
          </cell>
          <cell r="ED22">
            <v>0.18917208901056118</v>
          </cell>
          <cell r="EE22">
            <v>0.18262926246972619</v>
          </cell>
          <cell r="EF22">
            <v>0.17747599003871378</v>
          </cell>
        </row>
        <row r="23">
          <cell r="A23">
            <v>0</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v>0</v>
          </cell>
          <cell r="DU23">
            <v>0</v>
          </cell>
          <cell r="DV23">
            <v>0</v>
          </cell>
          <cell r="DW23">
            <v>0</v>
          </cell>
          <cell r="DX23">
            <v>0</v>
          </cell>
          <cell r="DY23">
            <v>0</v>
          </cell>
          <cell r="DZ23">
            <v>0</v>
          </cell>
          <cell r="EA23">
            <v>0</v>
          </cell>
          <cell r="EB23">
            <v>0</v>
          </cell>
          <cell r="EC23">
            <v>0</v>
          </cell>
          <cell r="ED23">
            <v>0</v>
          </cell>
          <cell r="EE23">
            <v>0</v>
          </cell>
          <cell r="EF23">
            <v>0</v>
          </cell>
        </row>
        <row r="24">
          <cell r="A24" t="str">
            <v>COGS -- LOCK</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18.378777777777778</v>
          </cell>
          <cell r="CE24">
            <v>44.409750000000003</v>
          </cell>
          <cell r="CF24">
            <v>38.536250000000003</v>
          </cell>
          <cell r="CG24">
            <v>39.284750000000003</v>
          </cell>
          <cell r="CH24">
            <v>48.121000000000002</v>
          </cell>
          <cell r="CI24">
            <v>50.7575</v>
          </cell>
          <cell r="CJ24">
            <v>41.014500000000005</v>
          </cell>
          <cell r="CK24">
            <v>42.361000000000004</v>
          </cell>
          <cell r="CL24">
            <v>49.778195595976108</v>
          </cell>
          <cell r="CM24">
            <v>52.42199230150549</v>
          </cell>
          <cell r="CN24">
            <v>42.29370510616257</v>
          </cell>
          <cell r="CO24">
            <v>43.615955441230966</v>
          </cell>
          <cell r="CP24">
            <v>51.176988398126682</v>
          </cell>
          <cell r="CQ24">
            <v>53.817145334461365</v>
          </cell>
          <cell r="CR24">
            <v>43.358002056466347</v>
          </cell>
          <cell r="CS24">
            <v>44.651887026052528</v>
          </cell>
          <cell r="CT24">
            <v>52.321987292298608</v>
          </cell>
          <cell r="CU24">
            <v>54.948912947304962</v>
          </cell>
          <cell r="CV24">
            <v>44.213022397399001</v>
          </cell>
          <cell r="CW24">
            <v>45.475397339693224</v>
          </cell>
          <cell r="CX24">
            <v>53.221805997328154</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18.378777777777778</v>
          </cell>
          <cell r="DT24">
            <v>170.35175000000001</v>
          </cell>
          <cell r="DU24">
            <v>183.91119559597612</v>
          </cell>
          <cell r="DV24">
            <v>189.50864124702571</v>
          </cell>
          <cell r="DW24">
            <v>194.14902170927886</v>
          </cell>
          <cell r="DX24">
            <v>197.85913868172534</v>
          </cell>
          <cell r="DY24">
            <v>0</v>
          </cell>
          <cell r="DZ24">
            <v>0</v>
          </cell>
          <cell r="EA24">
            <v>18.378777777777778</v>
          </cell>
          <cell r="EB24">
            <v>170.35175000000001</v>
          </cell>
          <cell r="EC24">
            <v>184.42922309187091</v>
          </cell>
          <cell r="ED24">
            <v>210.70041151763635</v>
          </cell>
          <cell r="EE24">
            <v>232.37588076043673</v>
          </cell>
          <cell r="EF24">
            <v>252.1711402467194</v>
          </cell>
        </row>
        <row r="25">
          <cell r="A25" t="str">
            <v>% of revenue</v>
          </cell>
          <cell r="B25">
            <v>0</v>
          </cell>
          <cell r="C25">
            <v>0</v>
          </cell>
          <cell r="D25">
            <v>0</v>
          </cell>
          <cell r="E25">
            <v>0</v>
          </cell>
          <cell r="F25">
            <v>0</v>
          </cell>
          <cell r="G25">
            <v>0</v>
          </cell>
          <cell r="H25">
            <v>0</v>
          </cell>
          <cell r="I25">
            <v>0</v>
          </cell>
          <cell r="J25">
            <v>0</v>
          </cell>
          <cell r="K25" t="str">
            <v xml:space="preserve">NM </v>
          </cell>
          <cell r="L25" t="str">
            <v xml:space="preserve">NM </v>
          </cell>
          <cell r="M25" t="str">
            <v xml:space="preserve">NM </v>
          </cell>
          <cell r="N25" t="str">
            <v xml:space="preserve">NM </v>
          </cell>
          <cell r="O25" t="str">
            <v xml:space="preserve">NM </v>
          </cell>
          <cell r="P25" t="str">
            <v xml:space="preserve">NM </v>
          </cell>
          <cell r="Q25" t="str">
            <v xml:space="preserve">NM </v>
          </cell>
          <cell r="R25" t="str">
            <v xml:space="preserve">NM </v>
          </cell>
          <cell r="S25" t="str">
            <v xml:space="preserve">NM </v>
          </cell>
          <cell r="T25" t="str">
            <v xml:space="preserve">NM </v>
          </cell>
          <cell r="U25" t="str">
            <v xml:space="preserve">NM </v>
          </cell>
          <cell r="V25" t="str">
            <v xml:space="preserve">NM </v>
          </cell>
          <cell r="W25" t="str">
            <v xml:space="preserve">NM </v>
          </cell>
          <cell r="X25" t="str">
            <v xml:space="preserve">NM </v>
          </cell>
          <cell r="Y25" t="str">
            <v xml:space="preserve">NM </v>
          </cell>
          <cell r="Z25" t="str">
            <v xml:space="preserve">NM </v>
          </cell>
          <cell r="AA25" t="str">
            <v xml:space="preserve">NM </v>
          </cell>
          <cell r="AB25" t="str">
            <v xml:space="preserve">NM </v>
          </cell>
          <cell r="AC25" t="str">
            <v xml:space="preserve">NM </v>
          </cell>
          <cell r="AD25" t="str">
            <v xml:space="preserve">NM </v>
          </cell>
          <cell r="AE25" t="str">
            <v xml:space="preserve">NM </v>
          </cell>
          <cell r="AF25" t="str">
            <v xml:space="preserve">NM </v>
          </cell>
          <cell r="AG25" t="str">
            <v xml:space="preserve">NM </v>
          </cell>
          <cell r="AH25" t="str">
            <v xml:space="preserve">NM </v>
          </cell>
          <cell r="AI25" t="str">
            <v xml:space="preserve">NM </v>
          </cell>
          <cell r="AJ25" t="str">
            <v xml:space="preserve">NM </v>
          </cell>
          <cell r="AK25" t="str">
            <v xml:space="preserve">NM </v>
          </cell>
          <cell r="AL25" t="str">
            <v xml:space="preserve">NM </v>
          </cell>
          <cell r="AM25" t="str">
            <v xml:space="preserve">NM </v>
          </cell>
          <cell r="AN25" t="str">
            <v xml:space="preserve">NM </v>
          </cell>
          <cell r="AO25" t="str">
            <v xml:space="preserve">NM </v>
          </cell>
          <cell r="AP25" t="str">
            <v xml:space="preserve">NM </v>
          </cell>
          <cell r="AQ25" t="str">
            <v xml:space="preserve">NM </v>
          </cell>
          <cell r="AR25" t="str">
            <v xml:space="preserve">NM </v>
          </cell>
          <cell r="AS25" t="str">
            <v xml:space="preserve">NM </v>
          </cell>
          <cell r="AT25" t="str">
            <v xml:space="preserve">NM </v>
          </cell>
          <cell r="AU25" t="str">
            <v xml:space="preserve">NM </v>
          </cell>
          <cell r="AV25" t="str">
            <v xml:space="preserve">NM </v>
          </cell>
          <cell r="AW25" t="str">
            <v xml:space="preserve">NM </v>
          </cell>
          <cell r="AX25" t="str">
            <v xml:space="preserve">NM </v>
          </cell>
          <cell r="AY25" t="str">
            <v xml:space="preserve">NM </v>
          </cell>
          <cell r="AZ25" t="str">
            <v xml:space="preserve">NM </v>
          </cell>
          <cell r="BA25" t="str">
            <v xml:space="preserve">NM </v>
          </cell>
          <cell r="BB25" t="str">
            <v xml:space="preserve">NM </v>
          </cell>
          <cell r="BC25" t="str">
            <v xml:space="preserve">NM </v>
          </cell>
          <cell r="BD25" t="str">
            <v xml:space="preserve">NM </v>
          </cell>
          <cell r="BE25" t="str">
            <v xml:space="preserve">NM </v>
          </cell>
          <cell r="BF25" t="str">
            <v xml:space="preserve">NM </v>
          </cell>
          <cell r="BG25" t="str">
            <v xml:space="preserve">NM </v>
          </cell>
          <cell r="BH25" t="str">
            <v xml:space="preserve">NM </v>
          </cell>
          <cell r="BI25" t="str">
            <v xml:space="preserve">NM </v>
          </cell>
          <cell r="BJ25" t="str">
            <v xml:space="preserve">NM </v>
          </cell>
          <cell r="BK25" t="str">
            <v xml:space="preserve">NM </v>
          </cell>
          <cell r="BL25" t="str">
            <v xml:space="preserve">NM </v>
          </cell>
          <cell r="BM25" t="str">
            <v xml:space="preserve">NM </v>
          </cell>
          <cell r="BN25" t="str">
            <v xml:space="preserve">NM </v>
          </cell>
          <cell r="BO25" t="str">
            <v xml:space="preserve">NM </v>
          </cell>
          <cell r="BP25" t="str">
            <v xml:space="preserve">NM </v>
          </cell>
          <cell r="BQ25" t="str">
            <v xml:space="preserve">NM </v>
          </cell>
          <cell r="BR25" t="str">
            <v xml:space="preserve">NM </v>
          </cell>
          <cell r="BS25" t="str">
            <v xml:space="preserve">NM </v>
          </cell>
          <cell r="BT25" t="str">
            <v xml:space="preserve">NM </v>
          </cell>
          <cell r="BU25" t="str">
            <v xml:space="preserve">NM </v>
          </cell>
          <cell r="BV25" t="str">
            <v xml:space="preserve">NM </v>
          </cell>
          <cell r="BW25" t="str">
            <v xml:space="preserve">NM </v>
          </cell>
          <cell r="BX25" t="str">
            <v xml:space="preserve">NM </v>
          </cell>
          <cell r="BY25" t="str">
            <v xml:space="preserve">NM </v>
          </cell>
          <cell r="BZ25" t="str">
            <v xml:space="preserve">NM </v>
          </cell>
          <cell r="CA25" t="str">
            <v xml:space="preserve">NM </v>
          </cell>
          <cell r="CB25" t="str">
            <v xml:space="preserve">NM </v>
          </cell>
          <cell r="CC25" t="str">
            <v xml:space="preserve">NM </v>
          </cell>
          <cell r="CD25">
            <v>0.18378777777777777</v>
          </cell>
          <cell r="CE25">
            <v>0.25411487018095985</v>
          </cell>
          <cell r="CF25">
            <v>0.21121540147985748</v>
          </cell>
          <cell r="CG25">
            <v>0.20171887034659819</v>
          </cell>
          <cell r="CH25">
            <v>0.23994515083520324</v>
          </cell>
          <cell r="CI25">
            <v>0.24544245647969057</v>
          </cell>
          <cell r="CJ25">
            <v>0.19319123881300054</v>
          </cell>
          <cell r="CK25">
            <v>0.19539206642066426</v>
          </cell>
          <cell r="CL25">
            <v>0.23241940017189364</v>
          </cell>
          <cell r="CM25">
            <v>0.23774428578015014</v>
          </cell>
          <cell r="CN25">
            <v>0.18713189946572986</v>
          </cell>
          <cell r="CO25">
            <v>0.18926369929862691</v>
          </cell>
          <cell r="CP25">
            <v>0.22512969063235402</v>
          </cell>
          <cell r="CQ25">
            <v>0.23028756406612441</v>
          </cell>
          <cell r="CR25">
            <v>0.18126260803963287</v>
          </cell>
          <cell r="CS25">
            <v>0.18332754511681004</v>
          </cell>
          <cell r="CT25">
            <v>0.21806861891363125</v>
          </cell>
          <cell r="CU25">
            <v>0.22306471841998385</v>
          </cell>
          <cell r="CV25">
            <v>0.17557740378383027</v>
          </cell>
          <cell r="CW25">
            <v>0.17757757521967582</v>
          </cell>
          <cell r="CX25">
            <v>0.2112290139133893</v>
          </cell>
          <cell r="CY25">
            <v>0</v>
          </cell>
          <cell r="CZ25" t="str">
            <v xml:space="preserve">NM </v>
          </cell>
          <cell r="DA25" t="str">
            <v xml:space="preserve">NM </v>
          </cell>
          <cell r="DB25" t="str">
            <v xml:space="preserve">NM </v>
          </cell>
          <cell r="DC25" t="str">
            <v xml:space="preserve">NM </v>
          </cell>
          <cell r="DD25" t="str">
            <v xml:space="preserve">NM </v>
          </cell>
          <cell r="DE25" t="str">
            <v xml:space="preserve">NM </v>
          </cell>
          <cell r="DF25" t="str">
            <v xml:space="preserve">NM </v>
          </cell>
          <cell r="DG25" t="str">
            <v xml:space="preserve">NM </v>
          </cell>
          <cell r="DH25" t="str">
            <v xml:space="preserve">NM </v>
          </cell>
          <cell r="DI25" t="str">
            <v xml:space="preserve">NM </v>
          </cell>
          <cell r="DJ25" t="str">
            <v xml:space="preserve">NM </v>
          </cell>
          <cell r="DK25" t="str">
            <v xml:space="preserve">NM </v>
          </cell>
          <cell r="DL25" t="str">
            <v xml:space="preserve">NM </v>
          </cell>
          <cell r="DM25" t="str">
            <v xml:space="preserve">NM </v>
          </cell>
          <cell r="DN25" t="str">
            <v xml:space="preserve">NM </v>
          </cell>
          <cell r="DO25" t="str">
            <v xml:space="preserve">NM </v>
          </cell>
          <cell r="DP25" t="str">
            <v xml:space="preserve">NM </v>
          </cell>
          <cell r="DQ25" t="str">
            <v xml:space="preserve">NM </v>
          </cell>
          <cell r="DR25" t="str">
            <v xml:space="preserve">NM </v>
          </cell>
          <cell r="DS25">
            <v>0.18378777777777777</v>
          </cell>
          <cell r="DT25">
            <v>0.22637730270261291</v>
          </cell>
          <cell r="DU25">
            <v>0.21634727425933811</v>
          </cell>
          <cell r="DV25">
            <v>0.20956843026691188</v>
          </cell>
          <cell r="DW25">
            <v>0.20300143555798028</v>
          </cell>
          <cell r="DX25">
            <v>0.19663972547175465</v>
          </cell>
          <cell r="DY25">
            <v>0</v>
          </cell>
          <cell r="DZ25">
            <v>0</v>
          </cell>
          <cell r="EA25">
            <v>0.18378777777777777</v>
          </cell>
          <cell r="EB25">
            <v>0.22399598954652292</v>
          </cell>
          <cell r="EC25">
            <v>0.20785304130387763</v>
          </cell>
          <cell r="ED25">
            <v>0.20796273633250437</v>
          </cell>
          <cell r="EE25">
            <v>0.20799269540668974</v>
          </cell>
          <cell r="EF25">
            <v>0.20798825715260222</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cell r="BM26">
            <v>0</v>
          </cell>
          <cell r="BN26">
            <v>0</v>
          </cell>
          <cell r="BO26">
            <v>0</v>
          </cell>
          <cell r="BP26">
            <v>0</v>
          </cell>
          <cell r="BQ26">
            <v>0</v>
          </cell>
          <cell r="BR26">
            <v>0</v>
          </cell>
          <cell r="BS26">
            <v>0</v>
          </cell>
          <cell r="BT26">
            <v>0</v>
          </cell>
          <cell r="BU26">
            <v>0</v>
          </cell>
          <cell r="BV26">
            <v>0</v>
          </cell>
          <cell r="BW26">
            <v>0</v>
          </cell>
          <cell r="BX26">
            <v>0</v>
          </cell>
          <cell r="BY26">
            <v>0</v>
          </cell>
          <cell r="BZ26">
            <v>0</v>
          </cell>
          <cell r="CA26">
            <v>0</v>
          </cell>
          <cell r="CB26">
            <v>0</v>
          </cell>
          <cell r="CC26">
            <v>0</v>
          </cell>
          <cell r="CD26">
            <v>0</v>
          </cell>
          <cell r="CE26">
            <v>0</v>
          </cell>
          <cell r="CF26">
            <v>0</v>
          </cell>
          <cell r="CG26">
            <v>0</v>
          </cell>
          <cell r="CH26">
            <v>0</v>
          </cell>
          <cell r="CI26">
            <v>0</v>
          </cell>
          <cell r="CJ26">
            <v>0</v>
          </cell>
          <cell r="CK26">
            <v>0</v>
          </cell>
          <cell r="CL26">
            <v>0</v>
          </cell>
          <cell r="CM26">
            <v>0</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0</v>
          </cell>
          <cell r="DF26">
            <v>0</v>
          </cell>
          <cell r="DG26">
            <v>0</v>
          </cell>
          <cell r="DH26">
            <v>0</v>
          </cell>
          <cell r="DI26">
            <v>0</v>
          </cell>
          <cell r="DJ26">
            <v>0</v>
          </cell>
          <cell r="DK26">
            <v>0</v>
          </cell>
          <cell r="DL26">
            <v>0</v>
          </cell>
          <cell r="DM26">
            <v>0</v>
          </cell>
          <cell r="DN26">
            <v>0</v>
          </cell>
          <cell r="DO26">
            <v>0</v>
          </cell>
          <cell r="DP26">
            <v>0</v>
          </cell>
          <cell r="DQ26">
            <v>0</v>
          </cell>
          <cell r="DR26">
            <v>0</v>
          </cell>
          <cell r="DS26">
            <v>0</v>
          </cell>
          <cell r="DT26">
            <v>0</v>
          </cell>
          <cell r="DU26">
            <v>0</v>
          </cell>
          <cell r="DV26">
            <v>0</v>
          </cell>
          <cell r="DW26">
            <v>0</v>
          </cell>
          <cell r="DX26">
            <v>0</v>
          </cell>
          <cell r="DY26">
            <v>0</v>
          </cell>
          <cell r="DZ26">
            <v>0</v>
          </cell>
          <cell r="EA26">
            <v>0</v>
          </cell>
          <cell r="EB26">
            <v>0</v>
          </cell>
          <cell r="EC26">
            <v>0</v>
          </cell>
          <cell r="ED26">
            <v>0</v>
          </cell>
          <cell r="EE26">
            <v>0</v>
          </cell>
          <cell r="EF26">
            <v>0</v>
          </cell>
        </row>
        <row r="27">
          <cell r="A27" t="str">
            <v>COGS</v>
          </cell>
          <cell r="B27">
            <v>0</v>
          </cell>
          <cell r="C27">
            <v>0</v>
          </cell>
          <cell r="D27">
            <v>0</v>
          </cell>
          <cell r="E27">
            <v>0</v>
          </cell>
          <cell r="F27">
            <v>0</v>
          </cell>
          <cell r="G27">
            <v>0</v>
          </cell>
          <cell r="H27">
            <v>0</v>
          </cell>
          <cell r="I27">
            <v>0</v>
          </cell>
          <cell r="J27">
            <v>0</v>
          </cell>
          <cell r="K27">
            <v>30.847000000000001</v>
          </cell>
          <cell r="L27">
            <v>30.937999999999999</v>
          </cell>
          <cell r="M27">
            <v>48.134</v>
          </cell>
          <cell r="N27">
            <v>54.004000000000005</v>
          </cell>
          <cell r="O27">
            <v>60.802</v>
          </cell>
          <cell r="P27">
            <v>58.188000000000002</v>
          </cell>
          <cell r="Q27">
            <v>65.510000000000005</v>
          </cell>
          <cell r="R27">
            <v>67.948999999999998</v>
          </cell>
          <cell r="S27">
            <v>84.652999999999992</v>
          </cell>
          <cell r="T27">
            <v>86.671999999999997</v>
          </cell>
          <cell r="U27">
            <v>93.846999999999994</v>
          </cell>
          <cell r="V27">
            <v>107.61500000000001</v>
          </cell>
          <cell r="W27">
            <v>104.661</v>
          </cell>
          <cell r="X27">
            <v>113.008</v>
          </cell>
          <cell r="Y27">
            <v>118.759</v>
          </cell>
          <cell r="Z27">
            <v>122.798</v>
          </cell>
          <cell r="AA27">
            <v>123.032</v>
          </cell>
          <cell r="AB27">
            <v>131.09299999999999</v>
          </cell>
          <cell r="AC27">
            <v>147.39100000000002</v>
          </cell>
          <cell r="AD27">
            <v>163.21100000000001</v>
          </cell>
          <cell r="AE27">
            <v>164.136</v>
          </cell>
          <cell r="AF27">
            <v>171.63900000000001</v>
          </cell>
          <cell r="AG27">
            <v>181.99799999999999</v>
          </cell>
          <cell r="AH27">
            <v>192.25299999999999</v>
          </cell>
          <cell r="AI27">
            <v>193.03800000000001</v>
          </cell>
          <cell r="AJ27">
            <v>183.97</v>
          </cell>
          <cell r="AK27">
            <v>183.44200000000001</v>
          </cell>
          <cell r="AL27">
            <v>194.38499999999999</v>
          </cell>
          <cell r="AM27">
            <v>207.06700000000001</v>
          </cell>
          <cell r="AN27">
            <v>209.88</v>
          </cell>
          <cell r="AO27">
            <v>222.173</v>
          </cell>
          <cell r="AP27">
            <v>217.93599999999998</v>
          </cell>
          <cell r="AQ27">
            <v>216.50800000000001</v>
          </cell>
          <cell r="AR27">
            <v>210.965</v>
          </cell>
          <cell r="AS27">
            <v>210.78</v>
          </cell>
          <cell r="AT27">
            <v>216.01599999999999</v>
          </cell>
          <cell r="AU27">
            <v>223.38499999999999</v>
          </cell>
          <cell r="AV27">
            <v>218.22800000000001</v>
          </cell>
          <cell r="AW27">
            <v>205.58799999999999</v>
          </cell>
          <cell r="AX27">
            <v>213.066</v>
          </cell>
          <cell r="AY27">
            <v>209</v>
          </cell>
          <cell r="AZ27">
            <v>208</v>
          </cell>
          <cell r="BA27">
            <v>210</v>
          </cell>
          <cell r="BB27">
            <v>229</v>
          </cell>
          <cell r="BC27">
            <v>216</v>
          </cell>
          <cell r="BD27">
            <v>219</v>
          </cell>
          <cell r="BE27">
            <v>235</v>
          </cell>
          <cell r="BF27">
            <v>238</v>
          </cell>
          <cell r="BG27">
            <v>232</v>
          </cell>
          <cell r="BH27">
            <v>239</v>
          </cell>
          <cell r="BI27">
            <v>245</v>
          </cell>
          <cell r="BJ27">
            <v>259</v>
          </cell>
          <cell r="BK27">
            <v>262</v>
          </cell>
          <cell r="BL27">
            <v>261</v>
          </cell>
          <cell r="BM27">
            <v>279</v>
          </cell>
          <cell r="BN27">
            <v>289</v>
          </cell>
          <cell r="BO27">
            <v>281</v>
          </cell>
          <cell r="BP27">
            <v>267</v>
          </cell>
          <cell r="BQ27">
            <v>265</v>
          </cell>
          <cell r="BR27">
            <v>263</v>
          </cell>
          <cell r="BS27">
            <v>174</v>
          </cell>
          <cell r="BT27">
            <v>152</v>
          </cell>
          <cell r="BU27">
            <v>156</v>
          </cell>
          <cell r="BV27">
            <v>154</v>
          </cell>
          <cell r="BW27">
            <v>136</v>
          </cell>
          <cell r="BX27">
            <v>141</v>
          </cell>
          <cell r="BY27">
            <v>140</v>
          </cell>
          <cell r="BZ27">
            <v>138</v>
          </cell>
          <cell r="CA27">
            <v>140</v>
          </cell>
          <cell r="CB27">
            <v>159</v>
          </cell>
          <cell r="CC27">
            <v>165</v>
          </cell>
          <cell r="CD27">
            <v>198</v>
          </cell>
          <cell r="CE27">
            <v>196</v>
          </cell>
          <cell r="CF27">
            <v>192</v>
          </cell>
          <cell r="CG27">
            <v>183</v>
          </cell>
          <cell r="CH27">
            <v>195.45987511955778</v>
          </cell>
          <cell r="CI27">
            <v>190.54489144977703</v>
          </cell>
          <cell r="CJ27">
            <v>184.23844485129825</v>
          </cell>
          <cell r="CK27">
            <v>195.7416595066228</v>
          </cell>
          <cell r="CL27">
            <v>207.32463737172191</v>
          </cell>
          <cell r="CM27">
            <v>198.96684597665705</v>
          </cell>
          <cell r="CN27">
            <v>191.55831622820776</v>
          </cell>
          <cell r="CO27">
            <v>204.5113964652675</v>
          </cell>
          <cell r="CP27">
            <v>216.85876507132701</v>
          </cell>
          <cell r="CQ27">
            <v>208.02702199346083</v>
          </cell>
          <cell r="CR27">
            <v>200.3559483337182</v>
          </cell>
          <cell r="CS27">
            <v>214.81028224426919</v>
          </cell>
          <cell r="CT27">
            <v>226.83152510335384</v>
          </cell>
          <cell r="CU27">
            <v>216.79919845707519</v>
          </cell>
          <cell r="CV27">
            <v>208.96659838988649</v>
          </cell>
          <cell r="CW27">
            <v>224.7579003634448</v>
          </cell>
          <cell r="CX27">
            <v>236.5340088970531</v>
          </cell>
          <cell r="CY27">
            <v>0</v>
          </cell>
          <cell r="CZ27">
            <v>0</v>
          </cell>
          <cell r="DA27">
            <v>0</v>
          </cell>
          <cell r="DB27">
            <v>163.923</v>
          </cell>
          <cell r="DC27">
            <v>252.44900000000001</v>
          </cell>
          <cell r="DD27">
            <v>372.78699999999998</v>
          </cell>
          <cell r="DE27">
            <v>459.226</v>
          </cell>
          <cell r="DF27">
            <v>564.72700000000009</v>
          </cell>
          <cell r="DG27">
            <v>710.02599999999984</v>
          </cell>
          <cell r="DH27">
            <v>754.83500000000004</v>
          </cell>
          <cell r="DI27">
            <v>857.05600000000004</v>
          </cell>
          <cell r="DJ27">
            <v>854.26900000000001</v>
          </cell>
          <cell r="DK27">
            <v>860.26700000000005</v>
          </cell>
          <cell r="DL27">
            <v>856</v>
          </cell>
          <cell r="DM27">
            <v>908</v>
          </cell>
          <cell r="DN27">
            <v>975</v>
          </cell>
          <cell r="DO27">
            <v>1091</v>
          </cell>
          <cell r="DP27">
            <v>1076</v>
          </cell>
          <cell r="DQ27">
            <v>636</v>
          </cell>
          <cell r="DR27">
            <v>555</v>
          </cell>
          <cell r="DS27">
            <v>662</v>
          </cell>
          <cell r="DT27">
            <v>766.45987511955775</v>
          </cell>
          <cell r="DU27">
            <v>777.84963317942004</v>
          </cell>
          <cell r="DV27">
            <v>811.89532374145938</v>
          </cell>
          <cell r="DW27">
            <v>850.02477767480195</v>
          </cell>
          <cell r="DX27">
            <v>887.05770610745958</v>
          </cell>
          <cell r="DY27">
            <v>0</v>
          </cell>
          <cell r="DZ27">
            <v>0</v>
          </cell>
          <cell r="EA27">
            <v>662</v>
          </cell>
          <cell r="EB27">
            <v>771</v>
          </cell>
          <cell r="EC27">
            <v>786.78951968404954</v>
          </cell>
          <cell r="ED27">
            <v>847.25636975144221</v>
          </cell>
          <cell r="EE27">
            <v>902.84599073751338</v>
          </cell>
          <cell r="EF27">
            <v>956.40189230435362</v>
          </cell>
        </row>
        <row r="28">
          <cell r="A28" t="str">
            <v>Gross profit</v>
          </cell>
          <cell r="B28">
            <v>0</v>
          </cell>
          <cell r="C28">
            <v>0</v>
          </cell>
          <cell r="D28">
            <v>0</v>
          </cell>
          <cell r="E28">
            <v>0</v>
          </cell>
          <cell r="F28">
            <v>0</v>
          </cell>
          <cell r="G28">
            <v>0</v>
          </cell>
          <cell r="H28">
            <v>0</v>
          </cell>
          <cell r="I28">
            <v>0</v>
          </cell>
          <cell r="J28">
            <v>0</v>
          </cell>
          <cell r="K28">
            <v>184.75399999999999</v>
          </cell>
          <cell r="L28">
            <v>195.22600000000003</v>
          </cell>
          <cell r="M28">
            <v>393.91</v>
          </cell>
          <cell r="N28">
            <v>420.04599999999994</v>
          </cell>
          <cell r="O28">
            <v>409.24899999999997</v>
          </cell>
          <cell r="P28">
            <v>443.62900000000002</v>
          </cell>
          <cell r="Q28">
            <v>493.43100000000004</v>
          </cell>
          <cell r="R28">
            <v>552.73800000000006</v>
          </cell>
          <cell r="S28">
            <v>536.26700000000005</v>
          </cell>
          <cell r="T28">
            <v>540.38200000000006</v>
          </cell>
          <cell r="U28">
            <v>539.20500000000004</v>
          </cell>
          <cell r="V28">
            <v>572.02200000000005</v>
          </cell>
          <cell r="W28">
            <v>583.42000000000007</v>
          </cell>
          <cell r="X28">
            <v>577.18299999999999</v>
          </cell>
          <cell r="Y28">
            <v>621.76699999999994</v>
          </cell>
          <cell r="Z28">
            <v>671.34799999999996</v>
          </cell>
          <cell r="AA28">
            <v>658.22799999999995</v>
          </cell>
          <cell r="AB28">
            <v>705.94</v>
          </cell>
          <cell r="AC28">
            <v>793.1389999999999</v>
          </cell>
          <cell r="AD28">
            <v>895.18200000000002</v>
          </cell>
          <cell r="AE28">
            <v>878.24499999999989</v>
          </cell>
          <cell r="AF28">
            <v>931.70799999999997</v>
          </cell>
          <cell r="AG28">
            <v>1009.884</v>
          </cell>
          <cell r="AH28">
            <v>1094.8599999999999</v>
          </cell>
          <cell r="AI28">
            <v>1066.162</v>
          </cell>
          <cell r="AJ28">
            <v>1008.174</v>
          </cell>
          <cell r="AK28">
            <v>1069.7850000000001</v>
          </cell>
          <cell r="AL28">
            <v>1105.482</v>
          </cell>
          <cell r="AM28">
            <v>1081.0830000000001</v>
          </cell>
          <cell r="AN28">
            <v>1063.5120000000002</v>
          </cell>
          <cell r="AO28">
            <v>1104.1690000000001</v>
          </cell>
          <cell r="AP28">
            <v>1146.846</v>
          </cell>
          <cell r="AQ28">
            <v>1206.336</v>
          </cell>
          <cell r="AR28">
            <v>1226.3670000000002</v>
          </cell>
          <cell r="AS28">
            <v>1318.2460000000001</v>
          </cell>
          <cell r="AT28">
            <v>1331.971</v>
          </cell>
          <cell r="AU28">
            <v>1431.7080000000001</v>
          </cell>
          <cell r="AV28">
            <v>1304.751</v>
          </cell>
          <cell r="AW28">
            <v>1333.049</v>
          </cell>
          <cell r="AX28">
            <v>1274.6079999999999</v>
          </cell>
          <cell r="AY28">
            <v>1235</v>
          </cell>
          <cell r="AZ28">
            <v>1271</v>
          </cell>
          <cell r="BA28">
            <v>1341</v>
          </cell>
          <cell r="BB28">
            <v>1306</v>
          </cell>
          <cell r="BC28">
            <v>1217</v>
          </cell>
          <cell r="BD28">
            <v>1261</v>
          </cell>
          <cell r="BE28">
            <v>1369</v>
          </cell>
          <cell r="BF28">
            <v>1435</v>
          </cell>
          <cell r="BG28">
            <v>1421</v>
          </cell>
          <cell r="BH28">
            <v>1442</v>
          </cell>
          <cell r="BI28">
            <v>1470</v>
          </cell>
          <cell r="BJ28">
            <v>1422</v>
          </cell>
          <cell r="BK28">
            <v>1406</v>
          </cell>
          <cell r="BL28">
            <v>1438</v>
          </cell>
          <cell r="BM28">
            <v>1512</v>
          </cell>
          <cell r="BN28">
            <v>1459</v>
          </cell>
          <cell r="BO28">
            <v>1428</v>
          </cell>
          <cell r="BP28">
            <v>1370</v>
          </cell>
          <cell r="BQ28">
            <v>1440</v>
          </cell>
          <cell r="BR28">
            <v>1387</v>
          </cell>
          <cell r="BS28">
            <v>912</v>
          </cell>
          <cell r="BT28">
            <v>849</v>
          </cell>
          <cell r="BU28">
            <v>814</v>
          </cell>
          <cell r="BV28">
            <v>775</v>
          </cell>
          <cell r="BW28">
            <v>776</v>
          </cell>
          <cell r="BX28">
            <v>765</v>
          </cell>
          <cell r="BY28">
            <v>769</v>
          </cell>
          <cell r="BZ28">
            <v>735</v>
          </cell>
          <cell r="CA28">
            <v>744</v>
          </cell>
          <cell r="CB28">
            <v>856</v>
          </cell>
          <cell r="CC28">
            <v>923</v>
          </cell>
          <cell r="CD28">
            <v>978</v>
          </cell>
          <cell r="CE28">
            <v>1032</v>
          </cell>
          <cell r="CF28">
            <v>1084</v>
          </cell>
          <cell r="CG28">
            <v>1051</v>
          </cell>
          <cell r="CH28">
            <v>1006.9353815268813</v>
          </cell>
          <cell r="CI28">
            <v>1028.3721501561172</v>
          </cell>
          <cell r="CJ28">
            <v>1046.8628645265242</v>
          </cell>
          <cell r="CK28">
            <v>1045.5202272463484</v>
          </cell>
          <cell r="CL28">
            <v>1035.4424013419502</v>
          </cell>
          <cell r="CM28">
            <v>1074.1752921726397</v>
          </cell>
          <cell r="CN28">
            <v>1102.4199726283964</v>
          </cell>
          <cell r="CO28">
            <v>1100.0352555826696</v>
          </cell>
          <cell r="CP28">
            <v>1088.8867255655723</v>
          </cell>
          <cell r="CQ28">
            <v>1124.0397345307606</v>
          </cell>
          <cell r="CR28">
            <v>1151.2111693932045</v>
          </cell>
          <cell r="CS28">
            <v>1145.5621791151825</v>
          </cell>
          <cell r="CT28">
            <v>1132.4002100083896</v>
          </cell>
          <cell r="CU28">
            <v>1168.9662282178263</v>
          </cell>
          <cell r="CV28">
            <v>1197.269892006077</v>
          </cell>
          <cell r="CW28">
            <v>1190.5450100273829</v>
          </cell>
          <cell r="CX28">
            <v>1177.2094541784986</v>
          </cell>
          <cell r="CY28">
            <v>0</v>
          </cell>
          <cell r="CZ28">
            <v>0</v>
          </cell>
          <cell r="DA28">
            <v>0</v>
          </cell>
          <cell r="DB28">
            <v>1193.9359999999999</v>
          </cell>
          <cell r="DC28">
            <v>1899.047</v>
          </cell>
          <cell r="DD28">
            <v>2187.8760000000007</v>
          </cell>
          <cell r="DE28">
            <v>2453.7179999999994</v>
          </cell>
          <cell r="DF28">
            <v>3052.4890000000005</v>
          </cell>
          <cell r="DG28">
            <v>3914.6970000000001</v>
          </cell>
          <cell r="DH28">
            <v>4249.6030000000001</v>
          </cell>
          <cell r="DI28">
            <v>4395.6100000000006</v>
          </cell>
          <cell r="DJ28">
            <v>5082.92</v>
          </cell>
          <cell r="DK28">
            <v>5344.116</v>
          </cell>
          <cell r="DL28">
            <v>5153</v>
          </cell>
          <cell r="DM28">
            <v>5282</v>
          </cell>
          <cell r="DN28">
            <v>5755</v>
          </cell>
          <cell r="DO28">
            <v>5815</v>
          </cell>
          <cell r="DP28">
            <v>5625</v>
          </cell>
          <cell r="DQ28">
            <v>3350</v>
          </cell>
          <cell r="DR28">
            <v>3045</v>
          </cell>
          <cell r="DS28">
            <v>3501</v>
          </cell>
          <cell r="DT28">
            <v>4173.9353815268814</v>
          </cell>
          <cell r="DU28">
            <v>4156.1976432709398</v>
          </cell>
          <cell r="DV28">
            <v>4365.5172459492787</v>
          </cell>
          <cell r="DW28">
            <v>4553.2132930475382</v>
          </cell>
          <cell r="DX28">
            <v>4733.9905844297846</v>
          </cell>
          <cell r="DY28">
            <v>0</v>
          </cell>
          <cell r="DZ28">
            <v>0</v>
          </cell>
          <cell r="EA28">
            <v>3501</v>
          </cell>
          <cell r="EB28">
            <v>4201</v>
          </cell>
          <cell r="EC28">
            <v>4032.2798792700873</v>
          </cell>
          <cell r="ED28">
            <v>4342.0363077702532</v>
          </cell>
          <cell r="EE28">
            <v>4494.008852971976</v>
          </cell>
          <cell r="EF28">
            <v>4622.1525181039469</v>
          </cell>
        </row>
        <row r="29">
          <cell r="A29" t="str">
            <v>Gross margin</v>
          </cell>
          <cell r="B29">
            <v>0</v>
          </cell>
          <cell r="C29">
            <v>0</v>
          </cell>
          <cell r="D29">
            <v>0</v>
          </cell>
          <cell r="E29">
            <v>0</v>
          </cell>
          <cell r="F29">
            <v>0</v>
          </cell>
          <cell r="G29">
            <v>0</v>
          </cell>
          <cell r="H29">
            <v>0</v>
          </cell>
          <cell r="I29">
            <v>0</v>
          </cell>
          <cell r="J29">
            <v>0</v>
          </cell>
          <cell r="K29">
            <v>0.85692552446417225</v>
          </cell>
          <cell r="L29">
            <v>0.86320546152349631</v>
          </cell>
          <cell r="M29">
            <v>0.89111038720127411</v>
          </cell>
          <cell r="N29">
            <v>0.8860795274760046</v>
          </cell>
          <cell r="O29">
            <v>0.87064807861274618</v>
          </cell>
          <cell r="P29">
            <v>0.88404537909237835</v>
          </cell>
          <cell r="Q29">
            <v>0.88279621641640171</v>
          </cell>
          <cell r="R29">
            <v>0.89052614280627762</v>
          </cell>
          <cell r="S29">
            <v>0.86366520646782197</v>
          </cell>
          <cell r="T29">
            <v>0.86177904933227434</v>
          </cell>
          <cell r="U29">
            <v>0.8517546741815839</v>
          </cell>
          <cell r="V29">
            <v>0.84165812043782195</v>
          </cell>
          <cell r="W29">
            <v>0.84789436127432682</v>
          </cell>
          <cell r="X29">
            <v>0.83626561343164418</v>
          </cell>
          <cell r="Y29">
            <v>0.83962885840605184</v>
          </cell>
          <cell r="Z29">
            <v>0.84537100230939899</v>
          </cell>
          <cell r="AA29">
            <v>0.84252105573048663</v>
          </cell>
          <cell r="AB29">
            <v>0.84338371366481379</v>
          </cell>
          <cell r="AC29">
            <v>0.84328942192168233</v>
          </cell>
          <cell r="AD29">
            <v>0.84579357573226577</v>
          </cell>
          <cell r="AE29">
            <v>0.8425374215378062</v>
          </cell>
          <cell r="AF29">
            <v>0.84443787856404195</v>
          </cell>
          <cell r="AG29">
            <v>0.84730199801658213</v>
          </cell>
          <cell r="AH29">
            <v>0.85063238425841403</v>
          </cell>
          <cell r="AI29">
            <v>0.84669790343074969</v>
          </cell>
          <cell r="AJ29">
            <v>0.84568139419398991</v>
          </cell>
          <cell r="AK29">
            <v>0.85362428354958841</v>
          </cell>
          <cell r="AL29">
            <v>0.85045777760340091</v>
          </cell>
          <cell r="AM29">
            <v>0.83925241625587088</v>
          </cell>
          <cell r="AN29">
            <v>0.83518036865317213</v>
          </cell>
          <cell r="AO29">
            <v>0.83249192138980743</v>
          </cell>
          <cell r="AP29">
            <v>0.84031442384204957</v>
          </cell>
          <cell r="AQ29">
            <v>0.84783433742560677</v>
          </cell>
          <cell r="AR29">
            <v>0.85322458555156366</v>
          </cell>
          <cell r="AS29">
            <v>0.86214753705953984</v>
          </cell>
          <cell r="AT29">
            <v>0.86045360846053609</v>
          </cell>
          <cell r="AU29">
            <v>0.86503175350267325</v>
          </cell>
          <cell r="AV29">
            <v>0.85670977735083675</v>
          </cell>
          <cell r="AW29">
            <v>0.86638303901440039</v>
          </cell>
          <cell r="AX29">
            <v>0.85677910617514319</v>
          </cell>
          <cell r="AY29">
            <v>0.85526315789473684</v>
          </cell>
          <cell r="AZ29">
            <v>0.85936443542934415</v>
          </cell>
          <cell r="BA29">
            <v>0.8646034816247582</v>
          </cell>
          <cell r="BB29">
            <v>0.85081433224755698</v>
          </cell>
          <cell r="BC29">
            <v>0.84926727145847869</v>
          </cell>
          <cell r="BD29">
            <v>0.85202702702702704</v>
          </cell>
          <cell r="BE29">
            <v>0.85349127182044893</v>
          </cell>
          <cell r="BF29">
            <v>0.85774058577405854</v>
          </cell>
          <cell r="BG29">
            <v>0.85964912280701755</v>
          </cell>
          <cell r="BH29">
            <v>0.85782272456870912</v>
          </cell>
          <cell r="BI29">
            <v>0.8571428571428571</v>
          </cell>
          <cell r="BJ29">
            <v>0.8459250446162998</v>
          </cell>
          <cell r="BK29">
            <v>0.84292565947242204</v>
          </cell>
          <cell r="BL29">
            <v>0.84638022366097709</v>
          </cell>
          <cell r="BM29">
            <v>0.84422110552763818</v>
          </cell>
          <cell r="BN29">
            <v>0.83466819221967958</v>
          </cell>
          <cell r="BO29">
            <v>0.83557636044470451</v>
          </cell>
          <cell r="BP29">
            <v>0.8368967623701894</v>
          </cell>
          <cell r="BQ29">
            <v>0.84457478005865105</v>
          </cell>
          <cell r="BR29">
            <v>0.84060606060606058</v>
          </cell>
          <cell r="BS29">
            <v>0.83977900552486184</v>
          </cell>
          <cell r="BT29">
            <v>0.84815184815184819</v>
          </cell>
          <cell r="BU29">
            <v>0.83917525773195878</v>
          </cell>
          <cell r="BV29">
            <v>0.83423035522066735</v>
          </cell>
          <cell r="BW29">
            <v>0.85087719298245612</v>
          </cell>
          <cell r="BX29">
            <v>0.8443708609271523</v>
          </cell>
          <cell r="BY29">
            <v>0.84598459845984597</v>
          </cell>
          <cell r="BZ29">
            <v>0.84192439862542956</v>
          </cell>
          <cell r="CA29">
            <v>0.84162895927601811</v>
          </cell>
          <cell r="CB29">
            <v>0.84334975369458132</v>
          </cell>
          <cell r="CC29">
            <v>0.84834558823529416</v>
          </cell>
          <cell r="CD29">
            <v>0.83163265306122447</v>
          </cell>
          <cell r="CE29">
            <v>0.8403908794788274</v>
          </cell>
          <cell r="CF29">
            <v>0.84952978056426331</v>
          </cell>
          <cell r="CG29">
            <v>0.85170178282009723</v>
          </cell>
          <cell r="CH29">
            <v>0.83744124568096812</v>
          </cell>
          <cell r="CI29">
            <v>0.84367689929190048</v>
          </cell>
          <cell r="CJ29">
            <v>0.8503466421098933</v>
          </cell>
          <cell r="CK29">
            <v>0.84230430210125506</v>
          </cell>
          <cell r="CL29">
            <v>0.83317497896764814</v>
          </cell>
          <cell r="CM29">
            <v>0.84371984869978045</v>
          </cell>
          <cell r="CN29">
            <v>0.85196172310010387</v>
          </cell>
          <cell r="CO29">
            <v>0.84323182605680203</v>
          </cell>
          <cell r="CP29">
            <v>0.83391957573175268</v>
          </cell>
          <cell r="CQ29">
            <v>0.84383138384425382</v>
          </cell>
          <cell r="CR29">
            <v>0.85176026724393927</v>
          </cell>
          <cell r="CS29">
            <v>0.84209450841896316</v>
          </cell>
          <cell r="CT29">
            <v>0.83311784205457362</v>
          </cell>
          <cell r="CU29">
            <v>0.84355274400424485</v>
          </cell>
          <cell r="CV29">
            <v>0.85140010245997366</v>
          </cell>
          <cell r="CW29">
            <v>0.841194490088783</v>
          </cell>
          <cell r="CX29">
            <v>0.83268958260469594</v>
          </cell>
          <cell r="CY29">
            <v>0</v>
          </cell>
          <cell r="CZ29" t="str">
            <v xml:space="preserve">NM </v>
          </cell>
          <cell r="DA29" t="str">
            <v xml:space="preserve">NM </v>
          </cell>
          <cell r="DB29">
            <v>0.87927833449570236</v>
          </cell>
          <cell r="DC29">
            <v>0.88266350483570499</v>
          </cell>
          <cell r="DD29">
            <v>0.85441778164483195</v>
          </cell>
          <cell r="DE29">
            <v>0.84234987009705642</v>
          </cell>
          <cell r="DF29">
            <v>0.84387799899148963</v>
          </cell>
          <cell r="DG29">
            <v>0.84647166976270793</v>
          </cell>
          <cell r="DH29">
            <v>0.84916687947777547</v>
          </cell>
          <cell r="DI29">
            <v>0.83683409529560804</v>
          </cell>
          <cell r="DJ29">
            <v>0.85611557927497339</v>
          </cell>
          <cell r="DK29">
            <v>0.86134527800749894</v>
          </cell>
          <cell r="DL29">
            <v>0.85754701281411216</v>
          </cell>
          <cell r="DM29">
            <v>0.85331179321486272</v>
          </cell>
          <cell r="DN29">
            <v>0.85512630014858837</v>
          </cell>
          <cell r="DO29">
            <v>0.84202143064002322</v>
          </cell>
          <cell r="DP29">
            <v>0.83942695120131328</v>
          </cell>
          <cell r="DQ29">
            <v>0.84044154540893123</v>
          </cell>
          <cell r="DR29">
            <v>0.84583333333333333</v>
          </cell>
          <cell r="DS29">
            <v>0.84098006245496038</v>
          </cell>
          <cell r="DT29">
            <v>0.84485859221720772</v>
          </cell>
          <cell r="DU29">
            <v>0.84235059179671679</v>
          </cell>
          <cell r="DV29">
            <v>0.84318512136846069</v>
          </cell>
          <cell r="DW29">
            <v>0.84268233852572683</v>
          </cell>
          <cell r="DX29">
            <v>0.84218998659008559</v>
          </cell>
          <cell r="DY29">
            <v>0</v>
          </cell>
          <cell r="DZ29">
            <v>0</v>
          </cell>
          <cell r="EA29">
            <v>0.84098006245496038</v>
          </cell>
          <cell r="EB29">
            <v>0.8449316170555109</v>
          </cell>
          <cell r="EC29">
            <v>0.83673413795310703</v>
          </cell>
          <cell r="ED29">
            <v>0.83672989318535118</v>
          </cell>
          <cell r="EE29">
            <v>0.83270886157150215</v>
          </cell>
          <cell r="EF29">
            <v>0.82855739642515147</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row>
        <row r="31">
          <cell r="A31" t="str">
            <v>Operating expenses:</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312</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row>
        <row r="32">
          <cell r="A32" t="str">
            <v>Sales and marketing</v>
          </cell>
          <cell r="B32">
            <v>0</v>
          </cell>
          <cell r="C32">
            <v>0</v>
          </cell>
          <cell r="D32">
            <v>0</v>
          </cell>
          <cell r="E32">
            <v>0</v>
          </cell>
          <cell r="F32">
            <v>0</v>
          </cell>
          <cell r="G32">
            <v>0</v>
          </cell>
          <cell r="H32">
            <v>0</v>
          </cell>
          <cell r="I32">
            <v>0</v>
          </cell>
          <cell r="J32">
            <v>0</v>
          </cell>
          <cell r="K32">
            <v>84.59</v>
          </cell>
          <cell r="L32">
            <v>86.067999999999998</v>
          </cell>
          <cell r="M32">
            <v>161.35300000000001</v>
          </cell>
          <cell r="N32">
            <v>174.68700000000001</v>
          </cell>
          <cell r="O32">
            <v>181.083</v>
          </cell>
          <cell r="P32">
            <v>198.89099999999999</v>
          </cell>
          <cell r="Q32">
            <v>219.33</v>
          </cell>
          <cell r="R32">
            <v>243.63799999999998</v>
          </cell>
          <cell r="S32">
            <v>227.50200000000001</v>
          </cell>
          <cell r="T32">
            <v>239.68900000000002</v>
          </cell>
          <cell r="U32">
            <v>234.71100000000001</v>
          </cell>
          <cell r="V32">
            <v>235.04500000000002</v>
          </cell>
          <cell r="W32">
            <v>234.55500000000001</v>
          </cell>
          <cell r="X32">
            <v>243.13900000000001</v>
          </cell>
          <cell r="Y32">
            <v>256.99900000000002</v>
          </cell>
          <cell r="Z32">
            <v>268.87199999999996</v>
          </cell>
          <cell r="AA32">
            <v>257.13499999999999</v>
          </cell>
          <cell r="AB32">
            <v>277.548</v>
          </cell>
          <cell r="AC32">
            <v>302.952</v>
          </cell>
          <cell r="AD32">
            <v>356.43299999999999</v>
          </cell>
          <cell r="AE32">
            <v>328.089</v>
          </cell>
          <cell r="AF32">
            <v>352.48500000000001</v>
          </cell>
          <cell r="AG32">
            <v>379.036</v>
          </cell>
          <cell r="AH32">
            <v>389.13400000000001</v>
          </cell>
          <cell r="AI32">
            <v>375.36500000000001</v>
          </cell>
          <cell r="AJ32">
            <v>400.904</v>
          </cell>
          <cell r="AK32">
            <v>432.29599999999999</v>
          </cell>
          <cell r="AL32">
            <v>440.41500000000002</v>
          </cell>
          <cell r="AM32">
            <v>452.58800000000002</v>
          </cell>
          <cell r="AN32">
            <v>446.94900000000001</v>
          </cell>
          <cell r="AO32">
            <v>487.209</v>
          </cell>
          <cell r="AP32">
            <v>563.46</v>
          </cell>
          <cell r="AQ32">
            <v>553.19400000000007</v>
          </cell>
          <cell r="AR32">
            <v>580.73800000000006</v>
          </cell>
          <cell r="AS32">
            <v>613.85699999999997</v>
          </cell>
          <cell r="AT32">
            <v>607.84399999999994</v>
          </cell>
          <cell r="AU32">
            <v>643.58900000000006</v>
          </cell>
          <cell r="AV32">
            <v>578.80999999999995</v>
          </cell>
          <cell r="AW32">
            <v>565.97699999999998</v>
          </cell>
          <cell r="AX32">
            <v>531.995</v>
          </cell>
          <cell r="AY32">
            <v>541</v>
          </cell>
          <cell r="AZ32">
            <v>563</v>
          </cell>
          <cell r="BA32">
            <v>619</v>
          </cell>
          <cell r="BB32">
            <v>586</v>
          </cell>
          <cell r="BC32">
            <v>559</v>
          </cell>
          <cell r="BD32">
            <v>597</v>
          </cell>
          <cell r="BE32">
            <v>689</v>
          </cell>
          <cell r="BF32">
            <v>720</v>
          </cell>
          <cell r="BG32">
            <v>658</v>
          </cell>
          <cell r="BH32">
            <v>689</v>
          </cell>
          <cell r="BI32">
            <v>677</v>
          </cell>
          <cell r="BJ32">
            <v>695</v>
          </cell>
          <cell r="BK32">
            <v>670</v>
          </cell>
          <cell r="BL32">
            <v>662</v>
          </cell>
          <cell r="BM32">
            <v>714</v>
          </cell>
          <cell r="BN32">
            <v>676</v>
          </cell>
          <cell r="BO32">
            <v>639</v>
          </cell>
          <cell r="BP32">
            <v>577</v>
          </cell>
          <cell r="BQ32">
            <v>595</v>
          </cell>
          <cell r="BR32">
            <v>570</v>
          </cell>
          <cell r="BS32">
            <v>336</v>
          </cell>
          <cell r="BT32">
            <v>295</v>
          </cell>
          <cell r="BU32">
            <v>282</v>
          </cell>
          <cell r="BV32">
            <v>274</v>
          </cell>
          <cell r="BW32">
            <v>287</v>
          </cell>
          <cell r="BX32">
            <v>275</v>
          </cell>
          <cell r="BY32">
            <v>296</v>
          </cell>
          <cell r="BZ32">
            <v>294</v>
          </cell>
          <cell r="CA32">
            <v>276</v>
          </cell>
          <cell r="CB32">
            <v>314</v>
          </cell>
          <cell r="CC32">
            <v>341</v>
          </cell>
          <cell r="CD32">
            <v>381</v>
          </cell>
          <cell r="CE32">
            <v>382</v>
          </cell>
          <cell r="CF32">
            <v>379</v>
          </cell>
          <cell r="CG32">
            <v>340</v>
          </cell>
          <cell r="CH32">
            <v>339.36042608768093</v>
          </cell>
          <cell r="CI32">
            <v>334.36042608768093</v>
          </cell>
          <cell r="CJ32">
            <v>341.04763460943457</v>
          </cell>
          <cell r="CK32">
            <v>361.04763460943457</v>
          </cell>
          <cell r="CL32">
            <v>352.02144374419868</v>
          </cell>
          <cell r="CM32">
            <v>332.857530752711</v>
          </cell>
          <cell r="CN32">
            <v>350.85560905809319</v>
          </cell>
          <cell r="CO32">
            <v>381.73136506942933</v>
          </cell>
          <cell r="CP32">
            <v>371.64350303949971</v>
          </cell>
          <cell r="CQ32">
            <v>346.35164764441771</v>
          </cell>
          <cell r="CR32">
            <v>362.82989232613767</v>
          </cell>
          <cell r="CS32">
            <v>395.20465204949465</v>
          </cell>
          <cell r="CT32">
            <v>388.33111312782125</v>
          </cell>
          <cell r="CU32">
            <v>359.01784292874788</v>
          </cell>
          <cell r="CV32">
            <v>374.99038299464081</v>
          </cell>
          <cell r="CW32">
            <v>409.79952997113378</v>
          </cell>
          <cell r="CX32">
            <v>400.95928032850247</v>
          </cell>
          <cell r="CY32">
            <v>0</v>
          </cell>
          <cell r="CZ32">
            <v>0</v>
          </cell>
          <cell r="DA32">
            <v>0</v>
          </cell>
          <cell r="DB32">
            <v>506.69800000000004</v>
          </cell>
          <cell r="DC32">
            <v>842.94200000000001</v>
          </cell>
          <cell r="DD32">
            <v>936.94700000000012</v>
          </cell>
          <cell r="DE32">
            <v>1003.5649999999999</v>
          </cell>
          <cell r="DF32">
            <v>1194.068</v>
          </cell>
          <cell r="DG32">
            <v>1448.7440000000001</v>
          </cell>
          <cell r="DH32">
            <v>1648.98</v>
          </cell>
          <cell r="DI32">
            <v>1950.2060000000001</v>
          </cell>
          <cell r="DJ32">
            <v>2355.6330000000003</v>
          </cell>
          <cell r="DK32">
            <v>2320.3709999999996</v>
          </cell>
          <cell r="DL32">
            <v>2309</v>
          </cell>
          <cell r="DM32">
            <v>2565</v>
          </cell>
          <cell r="DN32">
            <v>2719</v>
          </cell>
          <cell r="DO32">
            <v>2722</v>
          </cell>
          <cell r="DP32">
            <v>2381</v>
          </cell>
          <cell r="DQ32">
            <v>1187</v>
          </cell>
          <cell r="DR32">
            <v>1152</v>
          </cell>
          <cell r="DS32">
            <v>1312</v>
          </cell>
          <cell r="DT32">
            <v>1440.3604260876809</v>
          </cell>
          <cell r="DU32">
            <v>1388.4771390507487</v>
          </cell>
          <cell r="DV32">
            <v>1437.0880079197332</v>
          </cell>
          <cell r="DW32">
            <v>1492.7173051478712</v>
          </cell>
          <cell r="DX32">
            <v>1544.7670362230249</v>
          </cell>
          <cell r="DY32">
            <v>0</v>
          </cell>
          <cell r="DZ32">
            <v>0</v>
          </cell>
          <cell r="EA32">
            <v>1312</v>
          </cell>
          <cell r="EB32">
            <v>1410</v>
          </cell>
          <cell r="EC32">
            <v>1405.0554875</v>
          </cell>
          <cell r="ED32">
            <v>1474.0147810957728</v>
          </cell>
          <cell r="EE32">
            <v>1521.0139129991499</v>
          </cell>
          <cell r="EF32">
            <v>1534.4794403440214</v>
          </cell>
        </row>
        <row r="33">
          <cell r="A33" t="str">
            <v>% of revenue</v>
          </cell>
          <cell r="B33">
            <v>0</v>
          </cell>
          <cell r="C33">
            <v>0</v>
          </cell>
          <cell r="D33">
            <v>0</v>
          </cell>
          <cell r="E33">
            <v>0</v>
          </cell>
          <cell r="F33">
            <v>0</v>
          </cell>
          <cell r="G33">
            <v>0</v>
          </cell>
          <cell r="H33">
            <v>0</v>
          </cell>
          <cell r="I33">
            <v>0</v>
          </cell>
          <cell r="J33">
            <v>0</v>
          </cell>
          <cell r="K33">
            <v>0.3923451189929546</v>
          </cell>
          <cell r="L33">
            <v>0.38055570294122848</v>
          </cell>
          <cell r="M33">
            <v>0.36501569979459059</v>
          </cell>
          <cell r="N33">
            <v>0.36849910347009818</v>
          </cell>
          <cell r="O33">
            <v>0.38524117595750251</v>
          </cell>
          <cell r="P33">
            <v>0.39634169428297567</v>
          </cell>
          <cell r="Q33">
            <v>0.39240277596383161</v>
          </cell>
          <cell r="R33">
            <v>0.39252956804315214</v>
          </cell>
          <cell r="S33">
            <v>0.36639502673452296</v>
          </cell>
          <cell r="T33">
            <v>0.38224618613388955</v>
          </cell>
          <cell r="U33">
            <v>0.37076101173363324</v>
          </cell>
          <cell r="V33">
            <v>0.34583902877565526</v>
          </cell>
          <cell r="W33">
            <v>0.34088283210842912</v>
          </cell>
          <cell r="X33">
            <v>0.35227784772620913</v>
          </cell>
          <cell r="Y33">
            <v>0.34704925958035238</v>
          </cell>
          <cell r="Z33">
            <v>0.33856746744301425</v>
          </cell>
          <cell r="AA33">
            <v>0.32912858715408444</v>
          </cell>
          <cell r="AB33">
            <v>0.33158549304507706</v>
          </cell>
          <cell r="AC33">
            <v>0.32210774775924211</v>
          </cell>
          <cell r="AD33">
            <v>0.33676810031812376</v>
          </cell>
          <cell r="AE33">
            <v>0.31474959731614455</v>
          </cell>
          <cell r="AF33">
            <v>0.31946885250061857</v>
          </cell>
          <cell r="AG33">
            <v>0.31801470279776017</v>
          </cell>
          <cell r="AH33">
            <v>0.30233087537768638</v>
          </cell>
          <cell r="AI33">
            <v>0.29809799872935194</v>
          </cell>
          <cell r="AJ33">
            <v>0.33628823363620503</v>
          </cell>
          <cell r="AK33">
            <v>0.34494628666634214</v>
          </cell>
          <cell r="AL33">
            <v>0.3388154326558025</v>
          </cell>
          <cell r="AM33">
            <v>0.35134728098435741</v>
          </cell>
          <cell r="AN33">
            <v>0.35099089675449507</v>
          </cell>
          <cell r="AO33">
            <v>0.36733285985062675</v>
          </cell>
          <cell r="AP33">
            <v>0.4128571449506222</v>
          </cell>
          <cell r="AQ33">
            <v>0.38879455513042893</v>
          </cell>
          <cell r="AR33">
            <v>0.40403887202121708</v>
          </cell>
          <cell r="AS33">
            <v>0.40146930137224607</v>
          </cell>
          <cell r="AT33">
            <v>0.3926673802816173</v>
          </cell>
          <cell r="AU33">
            <v>0.38885367770874507</v>
          </cell>
          <cell r="AV33">
            <v>0.38005120228184364</v>
          </cell>
          <cell r="AW33">
            <v>0.36784309749473071</v>
          </cell>
          <cell r="AX33">
            <v>0.35760186707571684</v>
          </cell>
          <cell r="AY33">
            <v>0.37465373961218834</v>
          </cell>
          <cell r="AZ33">
            <v>0.38066260987153483</v>
          </cell>
          <cell r="BA33">
            <v>0.39909735654416506</v>
          </cell>
          <cell r="BB33">
            <v>0.38175895765472312</v>
          </cell>
          <cell r="BC33">
            <v>0.3900907187718074</v>
          </cell>
          <cell r="BD33">
            <v>0.40337837837837837</v>
          </cell>
          <cell r="BE33">
            <v>0.42955112219451369</v>
          </cell>
          <cell r="BF33">
            <v>0.43036461446503288</v>
          </cell>
          <cell r="BG33">
            <v>0.39806412583182094</v>
          </cell>
          <cell r="BH33">
            <v>0.40987507436049969</v>
          </cell>
          <cell r="BI33">
            <v>0.39475218658892131</v>
          </cell>
          <cell r="BJ33">
            <v>0.4134443783462225</v>
          </cell>
          <cell r="BK33">
            <v>0.40167865707434053</v>
          </cell>
          <cell r="BL33">
            <v>0.38964096527369041</v>
          </cell>
          <cell r="BM33">
            <v>0.39865996649916247</v>
          </cell>
          <cell r="BN33">
            <v>0.38672768878718533</v>
          </cell>
          <cell r="BO33">
            <v>0.37390286717378585</v>
          </cell>
          <cell r="BP33">
            <v>0.35247403787416004</v>
          </cell>
          <cell r="BQ33">
            <v>0.34897360703812319</v>
          </cell>
          <cell r="BR33">
            <v>0.34545454545454546</v>
          </cell>
          <cell r="BS33">
            <v>0.30939226519337015</v>
          </cell>
          <cell r="BT33">
            <v>0.29470529470529472</v>
          </cell>
          <cell r="BU33">
            <v>0.2907216494845361</v>
          </cell>
          <cell r="BV33">
            <v>0.29494079655543598</v>
          </cell>
          <cell r="BW33">
            <v>0.31469298245614036</v>
          </cell>
          <cell r="BX33">
            <v>0.30353200883002207</v>
          </cell>
          <cell r="BY33">
            <v>0.32563256325632561</v>
          </cell>
          <cell r="BZ33">
            <v>0.33676975945017185</v>
          </cell>
          <cell r="CA33">
            <v>0.31221719457013575</v>
          </cell>
          <cell r="CB33">
            <v>0.30935960591133005</v>
          </cell>
          <cell r="CC33">
            <v>0.31341911764705882</v>
          </cell>
          <cell r="CD33">
            <v>0.32397959183673469</v>
          </cell>
          <cell r="CE33">
            <v>0.31107491856677527</v>
          </cell>
          <cell r="CF33">
            <v>0.29702194357366773</v>
          </cell>
          <cell r="CG33">
            <v>0.27552674230145868</v>
          </cell>
          <cell r="CH33">
            <v>0.2822369967045445</v>
          </cell>
          <cell r="CI33">
            <v>0.27430941948860527</v>
          </cell>
          <cell r="CJ33">
            <v>0.27702645753970828</v>
          </cell>
          <cell r="CK33">
            <v>0.29087144176633228</v>
          </cell>
          <cell r="CL33">
            <v>0.28325617978133616</v>
          </cell>
          <cell r="CM33">
            <v>0.26144569469404993</v>
          </cell>
          <cell r="CN33">
            <v>0.27114489638625944</v>
          </cell>
          <cell r="CO33">
            <v>0.29261610879930583</v>
          </cell>
          <cell r="CP33">
            <v>0.28462170132268605</v>
          </cell>
          <cell r="CQ33">
            <v>0.26001072840234929</v>
          </cell>
          <cell r="CR33">
            <v>0.26845125748275683</v>
          </cell>
          <cell r="CS33">
            <v>0.29051209376478959</v>
          </cell>
          <cell r="CT33">
            <v>0.28569897471963912</v>
          </cell>
          <cell r="CU33">
            <v>0.25907547988854029</v>
          </cell>
          <cell r="CV33">
            <v>0.26666238968742179</v>
          </cell>
          <cell r="CW33">
            <v>0.28954899121769628</v>
          </cell>
          <cell r="CX33">
            <v>0.2836153027765228</v>
          </cell>
          <cell r="CY33">
            <v>0</v>
          </cell>
          <cell r="CZ33" t="str">
            <v xml:space="preserve">NM </v>
          </cell>
          <cell r="DA33" t="str">
            <v xml:space="preserve">NM </v>
          </cell>
          <cell r="DB33">
            <v>0.37315951067084291</v>
          </cell>
          <cell r="DC33">
            <v>0.391793431175331</v>
          </cell>
          <cell r="DD33">
            <v>0.36590015945089222</v>
          </cell>
          <cell r="DE33">
            <v>0.34451915313167714</v>
          </cell>
          <cell r="DF33">
            <v>0.33010691095029987</v>
          </cell>
          <cell r="DG33">
            <v>0.31326070772238684</v>
          </cell>
          <cell r="DH33">
            <v>0.32950353266440707</v>
          </cell>
          <cell r="DI33">
            <v>0.3712792703743204</v>
          </cell>
          <cell r="DJ33">
            <v>0.39675897129095944</v>
          </cell>
          <cell r="DK33">
            <v>0.37398900100138882</v>
          </cell>
          <cell r="DL33">
            <v>0.38425694791146614</v>
          </cell>
          <cell r="DM33">
            <v>0.41437802907915994</v>
          </cell>
          <cell r="DN33">
            <v>0.40401188707280833</v>
          </cell>
          <cell r="DO33">
            <v>0.39415001448016218</v>
          </cell>
          <cell r="DP33">
            <v>0.35532010147739146</v>
          </cell>
          <cell r="DQ33">
            <v>0.29779227295534372</v>
          </cell>
          <cell r="DR33">
            <v>0.32</v>
          </cell>
          <cell r="DS33">
            <v>0.31515733845784288</v>
          </cell>
          <cell r="DT33">
            <v>0.29154760930310736</v>
          </cell>
          <cell r="DU33">
            <v>0.2814073439623877</v>
          </cell>
          <cell r="DV33">
            <v>0.27756876404492808</v>
          </cell>
          <cell r="DW33">
            <v>0.27626347120187417</v>
          </cell>
          <cell r="DX33">
            <v>0.27481831793254002</v>
          </cell>
          <cell r="DY33">
            <v>0</v>
          </cell>
          <cell r="DZ33">
            <v>0</v>
          </cell>
          <cell r="EA33">
            <v>0.31515733845784288</v>
          </cell>
          <cell r="EB33">
            <v>0.28358809332260659</v>
          </cell>
          <cell r="EC33">
            <v>0.29156157987783565</v>
          </cell>
          <cell r="ED33">
            <v>0.28404926696093258</v>
          </cell>
          <cell r="EE33">
            <v>0.28183339316083805</v>
          </cell>
          <cell r="EF33">
            <v>0.27506757619519412</v>
          </cell>
        </row>
        <row r="34">
          <cell r="A34" t="str">
            <v>% of consumer and license revenue</v>
          </cell>
          <cell r="B34">
            <v>0</v>
          </cell>
          <cell r="C34" t="str">
            <v>NM</v>
          </cell>
          <cell r="D34" t="str">
            <v>NM</v>
          </cell>
          <cell r="E34" t="str">
            <v>NM</v>
          </cell>
          <cell r="F34" t="str">
            <v>NM</v>
          </cell>
          <cell r="G34" t="str">
            <v>NM</v>
          </cell>
          <cell r="H34" t="str">
            <v>NM</v>
          </cell>
          <cell r="I34" t="str">
            <v>NM</v>
          </cell>
          <cell r="J34" t="str">
            <v>NM</v>
          </cell>
          <cell r="K34" t="str">
            <v>NM</v>
          </cell>
          <cell r="L34" t="str">
            <v>NM</v>
          </cell>
          <cell r="M34" t="str">
            <v>NM</v>
          </cell>
          <cell r="N34" t="str">
            <v>NM</v>
          </cell>
          <cell r="O34" t="str">
            <v>NM</v>
          </cell>
          <cell r="P34" t="str">
            <v>NM</v>
          </cell>
          <cell r="Q34" t="str">
            <v>NM</v>
          </cell>
          <cell r="R34" t="str">
            <v>NM</v>
          </cell>
          <cell r="S34">
            <v>3.4923476045008672</v>
          </cell>
          <cell r="T34">
            <v>3.252401758575771</v>
          </cell>
          <cell r="U34">
            <v>2.3471100000000003</v>
          </cell>
          <cell r="V34">
            <v>1.8970234540201127</v>
          </cell>
          <cell r="W34">
            <v>1.8930687155978112</v>
          </cell>
          <cell r="X34">
            <v>1.9616684819879788</v>
          </cell>
          <cell r="Y34">
            <v>1.6478520133367531</v>
          </cell>
          <cell r="Z34">
            <v>1.6152445947650771</v>
          </cell>
          <cell r="AA34">
            <v>1.5400440808308278</v>
          </cell>
          <cell r="AB34">
            <v>1.4337415992106746</v>
          </cell>
          <cell r="AC34">
            <v>1.2495545436547217</v>
          </cell>
          <cell r="AD34">
            <v>1.3251528952504879</v>
          </cell>
          <cell r="AE34">
            <v>0.4304195189529999</v>
          </cell>
          <cell r="AF34">
            <v>0.46346370037275902</v>
          </cell>
          <cell r="AG34">
            <v>0.42747585385548853</v>
          </cell>
          <cell r="AH34">
            <v>0.49696749878993685</v>
          </cell>
          <cell r="AI34">
            <v>0.48269020075817975</v>
          </cell>
          <cell r="AJ34">
            <v>0.58132190324835198</v>
          </cell>
          <cell r="AK34">
            <v>0.59162628251887595</v>
          </cell>
          <cell r="AL34">
            <v>0.57472321834040629</v>
          </cell>
          <cell r="AM34">
            <v>0.61989864402136696</v>
          </cell>
          <cell r="AN34">
            <v>0.63871299650596991</v>
          </cell>
          <cell r="AO34">
            <v>0.66912456446591206</v>
          </cell>
          <cell r="AP34">
            <v>0.78882270178705172</v>
          </cell>
          <cell r="AQ34">
            <v>0.74976823615515997</v>
          </cell>
          <cell r="AR34">
            <v>0.79020143579472168</v>
          </cell>
          <cell r="AS34">
            <v>0.77919620008936186</v>
          </cell>
          <cell r="AT34">
            <v>0.76142207012142038</v>
          </cell>
          <cell r="AU34">
            <v>0.77310866831077196</v>
          </cell>
          <cell r="AV34">
            <v>0.7444626083780177</v>
          </cell>
          <cell r="AW34">
            <v>0.73952310580967351</v>
          </cell>
          <cell r="AX34">
            <v>0.74250267624485511</v>
          </cell>
          <cell r="AY34">
            <v>0.80029585798816572</v>
          </cell>
          <cell r="AZ34">
            <v>0.82069970845481055</v>
          </cell>
          <cell r="BA34">
            <v>0.83989145183175029</v>
          </cell>
          <cell r="BB34">
            <v>0.79189189189189191</v>
          </cell>
          <cell r="BC34">
            <v>0.84313725490196079</v>
          </cell>
          <cell r="BD34">
            <v>0.8728070175438597</v>
          </cell>
          <cell r="BE34">
            <v>0.91500664010624166</v>
          </cell>
          <cell r="BF34">
            <v>0.898876404494382</v>
          </cell>
          <cell r="BG34">
            <v>0.89039242219215153</v>
          </cell>
          <cell r="BH34">
            <v>0.90657894736842104</v>
          </cell>
          <cell r="BI34">
            <v>0.87017994858611825</v>
          </cell>
          <cell r="BJ34">
            <v>0.94686648501362403</v>
          </cell>
          <cell r="BK34">
            <v>0.93837535014005602</v>
          </cell>
          <cell r="BL34">
            <v>0.90809327846364885</v>
          </cell>
          <cell r="BM34">
            <v>0.89249999999999996</v>
          </cell>
          <cell r="BN34">
            <v>0.90013315579227693</v>
          </cell>
          <cell r="BO34">
            <v>0.92191398454276774</v>
          </cell>
          <cell r="BP34">
            <v>0.87559701956397906</v>
          </cell>
          <cell r="BQ34">
            <v>0.80888361587696189</v>
          </cell>
          <cell r="BR34">
            <v>0.76886412939190607</v>
          </cell>
          <cell r="BS34">
            <v>0.61858228653751213</v>
          </cell>
          <cell r="BT34">
            <v>0.52865803158121971</v>
          </cell>
          <cell r="BU34">
            <v>0.47328528031829187</v>
          </cell>
          <cell r="BV34">
            <v>0.44656265597928851</v>
          </cell>
          <cell r="BW34">
            <v>0.50574399562818095</v>
          </cell>
          <cell r="BX34">
            <v>0.46064724437790971</v>
          </cell>
          <cell r="BY34">
            <v>0.47550493811380667</v>
          </cell>
          <cell r="BZ34">
            <v>0.46975561017581563</v>
          </cell>
          <cell r="CA34">
            <v>0.46953680606848613</v>
          </cell>
          <cell r="CB34">
            <v>0.50918156725294339</v>
          </cell>
          <cell r="CC34">
            <v>0.52779142755227482</v>
          </cell>
          <cell r="CD34">
            <v>0.58384179693359128</v>
          </cell>
          <cell r="CE34">
            <v>0.62361488336528703</v>
          </cell>
          <cell r="CF34">
            <v>0.59016758075704756</v>
          </cell>
          <cell r="CG34">
            <v>0.50566178912192239</v>
          </cell>
          <cell r="CH34">
            <v>0.49968646868215688</v>
          </cell>
          <cell r="CI34">
            <v>0.52478217572357544</v>
          </cell>
          <cell r="CJ34">
            <v>0.51091955519235344</v>
          </cell>
          <cell r="CK34">
            <v>0.51691463229090373</v>
          </cell>
          <cell r="CL34">
            <v>0.49899339181758401</v>
          </cell>
          <cell r="CM34">
            <v>0.50321638755487619</v>
          </cell>
          <cell r="CN34">
            <v>0.50661549619534907</v>
          </cell>
          <cell r="CO34">
            <v>0.52709442604363643</v>
          </cell>
          <cell r="CP34">
            <v>0.50812062223642995</v>
          </cell>
          <cell r="CQ34">
            <v>0.50532314778865095</v>
          </cell>
          <cell r="CR34">
            <v>0.50591732634935982</v>
          </cell>
          <cell r="CS34">
            <v>0.52727234320102989</v>
          </cell>
          <cell r="CT34">
            <v>0.51307916234642836</v>
          </cell>
          <cell r="CU34">
            <v>0.50646438645483605</v>
          </cell>
          <cell r="CV34">
            <v>0.50587046585737361</v>
          </cell>
          <cell r="CW34">
            <v>0.52926781755828112</v>
          </cell>
          <cell r="CX34">
            <v>0.51292451686477225</v>
          </cell>
          <cell r="CY34">
            <v>0</v>
          </cell>
          <cell r="CZ34" t="e">
            <v>#VALUE!</v>
          </cell>
          <cell r="DA34" t="e">
            <v>#VALUE!</v>
          </cell>
          <cell r="DB34" t="e">
            <v>#VALUE!</v>
          </cell>
          <cell r="DC34" t="e">
            <v>#VALUE!</v>
          </cell>
          <cell r="DD34" t="e">
            <v>#VALUE!</v>
          </cell>
          <cell r="DE34" t="e">
            <v>#VALUE!</v>
          </cell>
          <cell r="DF34" t="e">
            <v>#VALUE!</v>
          </cell>
          <cell r="DG34">
            <v>0.45379608457321852</v>
          </cell>
          <cell r="DH34">
            <v>0.55628104239358267</v>
          </cell>
          <cell r="DI34">
            <v>0.67897039966939376</v>
          </cell>
          <cell r="DJ34">
            <v>0.77010336881177366</v>
          </cell>
          <cell r="DK34">
            <v>0.75049874311559839</v>
          </cell>
          <cell r="DL34">
            <v>0.81331454737583653</v>
          </cell>
          <cell r="DM34">
            <v>0.88417786970010337</v>
          </cell>
          <cell r="DN34">
            <v>0.90302225174360673</v>
          </cell>
          <cell r="DO34">
            <v>0.90915163660654641</v>
          </cell>
          <cell r="DP34">
            <v>0.84162907455269254</v>
          </cell>
          <cell r="DQ34">
            <v>0.5137182545069473</v>
          </cell>
          <cell r="DR34">
            <v>0.47744954552112573</v>
          </cell>
          <cell r="DS34">
            <v>0.52413919997067326</v>
          </cell>
          <cell r="DT34">
            <v>0.55264972193661543</v>
          </cell>
          <cell r="DU34">
            <v>0.51262019807433912</v>
          </cell>
          <cell r="DV34">
            <v>0.5114857740446197</v>
          </cell>
          <cell r="DW34">
            <v>0.5131430597010338</v>
          </cell>
          <cell r="DX34">
            <v>0.51387118810590282</v>
          </cell>
          <cell r="DY34">
            <v>0</v>
          </cell>
          <cell r="DZ34">
            <v>0</v>
          </cell>
          <cell r="EA34">
            <v>0.52413919997067326</v>
          </cell>
          <cell r="EB34">
            <v>0.5410007757899844</v>
          </cell>
          <cell r="EC34">
            <v>0.51874085791581892</v>
          </cell>
          <cell r="ED34">
            <v>0.52462868460878032</v>
          </cell>
          <cell r="EE34">
            <v>0.52287042594907696</v>
          </cell>
          <cell r="EF34">
            <v>0.51044898981118614</v>
          </cell>
        </row>
        <row r="35">
          <cell r="A35">
            <v>0</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167.14285714285714</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row>
        <row r="36">
          <cell r="A36" t="str">
            <v>Sales and marketing -- SYMC</v>
          </cell>
          <cell r="B36">
            <v>0</v>
          </cell>
          <cell r="C36">
            <v>0</v>
          </cell>
          <cell r="D36">
            <v>0</v>
          </cell>
          <cell r="E36">
            <v>0</v>
          </cell>
          <cell r="F36">
            <v>0</v>
          </cell>
          <cell r="G36">
            <v>0</v>
          </cell>
          <cell r="H36">
            <v>0</v>
          </cell>
          <cell r="I36">
            <v>0</v>
          </cell>
          <cell r="J36">
            <v>0</v>
          </cell>
          <cell r="K36">
            <v>84.59</v>
          </cell>
          <cell r="L36">
            <v>86.067999999999998</v>
          </cell>
          <cell r="M36">
            <v>161.35300000000001</v>
          </cell>
          <cell r="N36">
            <v>174.68700000000001</v>
          </cell>
          <cell r="O36">
            <v>181.083</v>
          </cell>
          <cell r="P36">
            <v>198.89099999999999</v>
          </cell>
          <cell r="Q36">
            <v>219.33</v>
          </cell>
          <cell r="R36">
            <v>243.63799999999998</v>
          </cell>
          <cell r="S36">
            <v>227.50200000000001</v>
          </cell>
          <cell r="T36">
            <v>239.68900000000002</v>
          </cell>
          <cell r="U36">
            <v>234.71100000000001</v>
          </cell>
          <cell r="V36">
            <v>235.04500000000002</v>
          </cell>
          <cell r="W36">
            <v>234.55500000000001</v>
          </cell>
          <cell r="X36">
            <v>243.13900000000001</v>
          </cell>
          <cell r="Y36">
            <v>256.99900000000002</v>
          </cell>
          <cell r="Z36">
            <v>268.87199999999996</v>
          </cell>
          <cell r="AA36">
            <v>257.13499999999999</v>
          </cell>
          <cell r="AB36">
            <v>277.548</v>
          </cell>
          <cell r="AC36">
            <v>302.952</v>
          </cell>
          <cell r="AD36">
            <v>356.43299999999999</v>
          </cell>
          <cell r="AE36">
            <v>328.089</v>
          </cell>
          <cell r="AF36">
            <v>352.48500000000001</v>
          </cell>
          <cell r="AG36">
            <v>379.036</v>
          </cell>
          <cell r="AH36">
            <v>389.13400000000001</v>
          </cell>
          <cell r="AI36">
            <v>375.36500000000001</v>
          </cell>
          <cell r="AJ36">
            <v>400.904</v>
          </cell>
          <cell r="AK36">
            <v>432.29599999999999</v>
          </cell>
          <cell r="AL36">
            <v>440.41500000000002</v>
          </cell>
          <cell r="AM36">
            <v>452.58800000000002</v>
          </cell>
          <cell r="AN36">
            <v>446.94900000000001</v>
          </cell>
          <cell r="AO36">
            <v>487.209</v>
          </cell>
          <cell r="AP36">
            <v>563.46</v>
          </cell>
          <cell r="AQ36">
            <v>553.19400000000007</v>
          </cell>
          <cell r="AR36">
            <v>580.73800000000006</v>
          </cell>
          <cell r="AS36">
            <v>613.85699999999997</v>
          </cell>
          <cell r="AT36">
            <v>607.84399999999994</v>
          </cell>
          <cell r="AU36">
            <v>643.58900000000006</v>
          </cell>
          <cell r="AV36">
            <v>578.80999999999995</v>
          </cell>
          <cell r="AW36">
            <v>565.97699999999998</v>
          </cell>
          <cell r="AX36">
            <v>531.995</v>
          </cell>
          <cell r="AY36">
            <v>541</v>
          </cell>
          <cell r="AZ36">
            <v>563</v>
          </cell>
          <cell r="BA36">
            <v>619</v>
          </cell>
          <cell r="BB36">
            <v>586</v>
          </cell>
          <cell r="BC36">
            <v>559</v>
          </cell>
          <cell r="BD36">
            <v>597</v>
          </cell>
          <cell r="BE36">
            <v>689</v>
          </cell>
          <cell r="BF36">
            <v>720</v>
          </cell>
          <cell r="BG36">
            <v>658</v>
          </cell>
          <cell r="BH36">
            <v>689</v>
          </cell>
          <cell r="BI36">
            <v>677</v>
          </cell>
          <cell r="BJ36">
            <v>695</v>
          </cell>
          <cell r="BK36">
            <v>670</v>
          </cell>
          <cell r="BL36">
            <v>662</v>
          </cell>
          <cell r="BM36">
            <v>714</v>
          </cell>
          <cell r="BN36">
            <v>676</v>
          </cell>
          <cell r="BO36">
            <v>639</v>
          </cell>
          <cell r="BP36">
            <v>577</v>
          </cell>
          <cell r="BQ36">
            <v>595</v>
          </cell>
          <cell r="BR36">
            <v>570</v>
          </cell>
          <cell r="BS36">
            <v>336</v>
          </cell>
          <cell r="BT36">
            <v>295</v>
          </cell>
          <cell r="BU36">
            <v>282</v>
          </cell>
          <cell r="BV36">
            <v>274</v>
          </cell>
          <cell r="BW36">
            <v>287</v>
          </cell>
          <cell r="BX36">
            <v>275</v>
          </cell>
          <cell r="BY36">
            <v>296</v>
          </cell>
          <cell r="BZ36">
            <v>294</v>
          </cell>
          <cell r="CA36">
            <v>276</v>
          </cell>
          <cell r="CB36">
            <v>283.30467257157545</v>
          </cell>
          <cell r="CC36">
            <v>273.48133853805689</v>
          </cell>
          <cell r="CD36">
            <v>255.30131664243544</v>
          </cell>
          <cell r="CE36">
            <v>236.92290397837115</v>
          </cell>
          <cell r="CF36">
            <v>251.03465767467469</v>
          </cell>
          <cell r="CG36">
            <v>196.76545169125569</v>
          </cell>
          <cell r="CH36">
            <v>196.81313192381995</v>
          </cell>
          <cell r="CI36">
            <v>197.6415603797345</v>
          </cell>
          <cell r="CJ36">
            <v>219.26767276225129</v>
          </cell>
          <cell r="CK36">
            <v>221.73272567208375</v>
          </cell>
          <cell r="CL36">
            <v>190.66391245274139</v>
          </cell>
          <cell r="CM36">
            <v>205.38022397779292</v>
          </cell>
          <cell r="CN36">
            <v>230.67337882082728</v>
          </cell>
          <cell r="CO36">
            <v>231.41721205237104</v>
          </cell>
          <cell r="CP36">
            <v>197.72706672072758</v>
          </cell>
          <cell r="CQ36">
            <v>211.73411924629173</v>
          </cell>
          <cell r="CR36">
            <v>236.43425164022136</v>
          </cell>
          <cell r="CS36">
            <v>234.18404242454247</v>
          </cell>
          <cell r="CT36">
            <v>200.741938786069</v>
          </cell>
          <cell r="CU36">
            <v>216.89110432083029</v>
          </cell>
          <cell r="CV36">
            <v>241.71527764383572</v>
          </cell>
          <cell r="CW36">
            <v>237.46930494198827</v>
          </cell>
          <cell r="CX36">
            <v>204.3641550350271</v>
          </cell>
          <cell r="CY36">
            <v>0</v>
          </cell>
          <cell r="CZ36">
            <v>0</v>
          </cell>
          <cell r="DA36">
            <v>0</v>
          </cell>
          <cell r="DB36">
            <v>506.69800000000004</v>
          </cell>
          <cell r="DC36">
            <v>842.94200000000001</v>
          </cell>
          <cell r="DD36">
            <v>936.94700000000012</v>
          </cell>
          <cell r="DE36">
            <v>1003.5649999999999</v>
          </cell>
          <cell r="DF36">
            <v>1194.068</v>
          </cell>
          <cell r="DG36">
            <v>1448.7440000000001</v>
          </cell>
          <cell r="DH36">
            <v>1648.98</v>
          </cell>
          <cell r="DI36">
            <v>1950.2060000000001</v>
          </cell>
          <cell r="DJ36">
            <v>2355.6330000000003</v>
          </cell>
          <cell r="DK36">
            <v>2320.3709999999996</v>
          </cell>
          <cell r="DL36">
            <v>2309</v>
          </cell>
          <cell r="DM36">
            <v>2565</v>
          </cell>
          <cell r="DN36">
            <v>2719</v>
          </cell>
          <cell r="DO36">
            <v>2722</v>
          </cell>
          <cell r="DP36">
            <v>2381</v>
          </cell>
          <cell r="DQ36">
            <v>1187</v>
          </cell>
          <cell r="DR36">
            <v>1152</v>
          </cell>
          <cell r="DS36">
            <v>1088.0873277520677</v>
          </cell>
          <cell r="DT36">
            <v>881.53614526812146</v>
          </cell>
          <cell r="DU36">
            <v>829.30587126681098</v>
          </cell>
          <cell r="DV36">
            <v>865.19788157171888</v>
          </cell>
          <cell r="DW36">
            <v>883.09435209712456</v>
          </cell>
          <cell r="DX36">
            <v>900.43984194168138</v>
          </cell>
          <cell r="DY36">
            <v>0</v>
          </cell>
          <cell r="DZ36">
            <v>0</v>
          </cell>
          <cell r="EA36">
            <v>1088.0873277520677</v>
          </cell>
          <cell r="EB36">
            <v>803.69934541128339</v>
          </cell>
          <cell r="EC36">
            <v>825.18327820828017</v>
          </cell>
          <cell r="ED36">
            <v>866.95080818411543</v>
          </cell>
          <cell r="EE36">
            <v>864.608273569321</v>
          </cell>
          <cell r="EF36">
            <v>856.97265467718148</v>
          </cell>
        </row>
        <row r="37">
          <cell r="A37" t="str">
            <v>% of SYMC revenue</v>
          </cell>
          <cell r="B37">
            <v>0</v>
          </cell>
          <cell r="C37">
            <v>0</v>
          </cell>
          <cell r="D37">
            <v>0</v>
          </cell>
          <cell r="E37">
            <v>0</v>
          </cell>
          <cell r="F37">
            <v>0</v>
          </cell>
          <cell r="G37">
            <v>0</v>
          </cell>
          <cell r="H37">
            <v>0</v>
          </cell>
          <cell r="I37">
            <v>0</v>
          </cell>
          <cell r="J37">
            <v>0</v>
          </cell>
          <cell r="K37">
            <v>0.3923451189929546</v>
          </cell>
          <cell r="L37">
            <v>0.38055570294122848</v>
          </cell>
          <cell r="M37">
            <v>0.36501569979459059</v>
          </cell>
          <cell r="N37">
            <v>0.36849910347009818</v>
          </cell>
          <cell r="O37">
            <v>0.38524117595750251</v>
          </cell>
          <cell r="P37">
            <v>0.39634169428297567</v>
          </cell>
          <cell r="Q37">
            <v>0.39240277596383161</v>
          </cell>
          <cell r="R37">
            <v>0.39252956804315214</v>
          </cell>
          <cell r="S37">
            <v>0.36639502673452296</v>
          </cell>
          <cell r="T37">
            <v>0.38224618613388955</v>
          </cell>
          <cell r="U37">
            <v>0.37076101173363324</v>
          </cell>
          <cell r="V37">
            <v>0.34583902877565526</v>
          </cell>
          <cell r="W37">
            <v>0.34088283210842912</v>
          </cell>
          <cell r="X37">
            <v>0.35227784772620913</v>
          </cell>
          <cell r="Y37">
            <v>0.34704925958035238</v>
          </cell>
          <cell r="Z37">
            <v>0.33856746744301425</v>
          </cell>
          <cell r="AA37">
            <v>0.32912858715408444</v>
          </cell>
          <cell r="AB37">
            <v>0.33158549304507706</v>
          </cell>
          <cell r="AC37">
            <v>0.32210774775924211</v>
          </cell>
          <cell r="AD37">
            <v>0.33676810031812376</v>
          </cell>
          <cell r="AE37">
            <v>0.31474959731614455</v>
          </cell>
          <cell r="AF37">
            <v>0.31946885250061857</v>
          </cell>
          <cell r="AG37">
            <v>0.31801470279776017</v>
          </cell>
          <cell r="AH37">
            <v>0.30233087537768638</v>
          </cell>
          <cell r="AI37">
            <v>0.29809799872935194</v>
          </cell>
          <cell r="AJ37">
            <v>0.33628823363620503</v>
          </cell>
          <cell r="AK37">
            <v>0.34494628666634214</v>
          </cell>
          <cell r="AL37">
            <v>0.3388154326558025</v>
          </cell>
          <cell r="AM37">
            <v>0.35134728098435741</v>
          </cell>
          <cell r="AN37">
            <v>0.35099089675449507</v>
          </cell>
          <cell r="AO37">
            <v>0.36733285985062675</v>
          </cell>
          <cell r="AP37">
            <v>0.4128571449506222</v>
          </cell>
          <cell r="AQ37">
            <v>0.38879455513042893</v>
          </cell>
          <cell r="AR37">
            <v>0.40403887202121708</v>
          </cell>
          <cell r="AS37">
            <v>0.40146930137224607</v>
          </cell>
          <cell r="AT37">
            <v>0.3926673802816173</v>
          </cell>
          <cell r="AU37">
            <v>0.38885367770874507</v>
          </cell>
          <cell r="AV37">
            <v>0.38005120228184364</v>
          </cell>
          <cell r="AW37">
            <v>0.36784309749473071</v>
          </cell>
          <cell r="AX37">
            <v>0.35760186707571684</v>
          </cell>
          <cell r="AY37">
            <v>0.37465373961218834</v>
          </cell>
          <cell r="AZ37">
            <v>0.38066260987153483</v>
          </cell>
          <cell r="BA37">
            <v>0.39909735654416506</v>
          </cell>
          <cell r="BB37">
            <v>0.38175895765472312</v>
          </cell>
          <cell r="BC37">
            <v>0.3900907187718074</v>
          </cell>
          <cell r="BD37">
            <v>0.40337837837837837</v>
          </cell>
          <cell r="BE37">
            <v>0.42955112219451369</v>
          </cell>
          <cell r="BF37">
            <v>0.43036461446503288</v>
          </cell>
          <cell r="BG37">
            <v>0.39806412583182094</v>
          </cell>
          <cell r="BH37">
            <v>0.40987507436049969</v>
          </cell>
          <cell r="BI37">
            <v>0.39475218658892131</v>
          </cell>
          <cell r="BJ37">
            <v>0.4134443783462225</v>
          </cell>
          <cell r="BK37">
            <v>0.40167865707434053</v>
          </cell>
          <cell r="BL37">
            <v>0.38964096527369041</v>
          </cell>
          <cell r="BM37">
            <v>0.39865996649916247</v>
          </cell>
          <cell r="BN37">
            <v>0.38672768878718533</v>
          </cell>
          <cell r="BO37">
            <v>0.37390286717378585</v>
          </cell>
          <cell r="BP37">
            <v>0.35247403787416004</v>
          </cell>
          <cell r="BQ37">
            <v>0.34897360703812319</v>
          </cell>
          <cell r="BR37">
            <v>0.34545454545454546</v>
          </cell>
          <cell r="BS37">
            <v>0.30939226519337015</v>
          </cell>
          <cell r="BT37">
            <v>0.29470529470529472</v>
          </cell>
          <cell r="BU37">
            <v>0.2907216494845361</v>
          </cell>
          <cell r="BV37">
            <v>0.29494079655543598</v>
          </cell>
          <cell r="BW37">
            <v>0.31469298245614036</v>
          </cell>
          <cell r="BX37">
            <v>0.30353200883002207</v>
          </cell>
          <cell r="BY37">
            <v>0.32563256325632561</v>
          </cell>
          <cell r="BZ37">
            <v>0.33676975945017185</v>
          </cell>
          <cell r="CA37">
            <v>0.31221719457013575</v>
          </cell>
          <cell r="CB37">
            <v>0.31796259547876032</v>
          </cell>
          <cell r="CC37">
            <v>0.31042149663797602</v>
          </cell>
          <cell r="CD37">
            <v>0.29618549653038911</v>
          </cell>
          <cell r="CE37">
            <v>0.28080696625070495</v>
          </cell>
          <cell r="CF37">
            <v>0.29355429619332585</v>
          </cell>
          <cell r="CG37">
            <v>0.25591965028820529</v>
          </cell>
          <cell r="CH37">
            <v>0.27500000000000002</v>
          </cell>
          <cell r="CI37">
            <v>0.25343857678384479</v>
          </cell>
          <cell r="CJ37">
            <v>0.29024368049913923</v>
          </cell>
          <cell r="CK37">
            <v>0.30712706863434491</v>
          </cell>
          <cell r="CL37">
            <v>0.26855822211632063</v>
          </cell>
          <cell r="CM37">
            <v>0.2584385767838448</v>
          </cell>
          <cell r="CN37">
            <v>0.29524368049913924</v>
          </cell>
          <cell r="CO37">
            <v>0.31212706863434492</v>
          </cell>
          <cell r="CP37">
            <v>0.27355822211632064</v>
          </cell>
          <cell r="CQ37">
            <v>0.2634385767838448</v>
          </cell>
          <cell r="CR37">
            <v>0.30024368049913924</v>
          </cell>
          <cell r="CS37">
            <v>0.31712706863434492</v>
          </cell>
          <cell r="CT37">
            <v>0.27855822211632064</v>
          </cell>
          <cell r="CU37">
            <v>0.26843857678384481</v>
          </cell>
          <cell r="CV37">
            <v>0.30524368049913925</v>
          </cell>
          <cell r="CW37">
            <v>0.32212706863434493</v>
          </cell>
          <cell r="CX37">
            <v>0.28355822211632065</v>
          </cell>
          <cell r="CY37">
            <v>0</v>
          </cell>
          <cell r="CZ37" t="str">
            <v xml:space="preserve">NM </v>
          </cell>
          <cell r="DA37" t="str">
            <v xml:space="preserve">NM </v>
          </cell>
          <cell r="DB37">
            <v>0.37315951067084291</v>
          </cell>
          <cell r="DC37">
            <v>0.391793431175331</v>
          </cell>
          <cell r="DD37">
            <v>0.36590015945089222</v>
          </cell>
          <cell r="DE37">
            <v>0.34451915313167714</v>
          </cell>
          <cell r="DF37">
            <v>0.33010691095029987</v>
          </cell>
          <cell r="DG37">
            <v>0.31326070772238684</v>
          </cell>
          <cell r="DH37">
            <v>0.32950353266440707</v>
          </cell>
          <cell r="DI37">
            <v>0.3712792703743204</v>
          </cell>
          <cell r="DJ37">
            <v>0.39675897129095944</v>
          </cell>
          <cell r="DK37">
            <v>0.37398900100138882</v>
          </cell>
          <cell r="DL37">
            <v>0.38425694791146614</v>
          </cell>
          <cell r="DM37">
            <v>0.41437802907915994</v>
          </cell>
          <cell r="DN37">
            <v>0.40401188707280833</v>
          </cell>
          <cell r="DO37">
            <v>0.39415001448016218</v>
          </cell>
          <cell r="DP37">
            <v>0.35532010147739146</v>
          </cell>
          <cell r="DQ37">
            <v>0.29779227295534372</v>
          </cell>
          <cell r="DR37">
            <v>0.32</v>
          </cell>
          <cell r="DS37">
            <v>0.30929459279348592</v>
          </cell>
          <cell r="DT37">
            <v>0.27691499474339459</v>
          </cell>
          <cell r="DU37">
            <v>0.27948992377084386</v>
          </cell>
          <cell r="DV37">
            <v>0.28458475444549325</v>
          </cell>
          <cell r="DW37">
            <v>0.28950988685673196</v>
          </cell>
          <cell r="DX37">
            <v>0.29447753137460808</v>
          </cell>
          <cell r="DY37">
            <v>0</v>
          </cell>
          <cell r="DZ37">
            <v>0</v>
          </cell>
          <cell r="EA37">
            <v>0.30929459279348592</v>
          </cell>
          <cell r="EB37">
            <v>0.2506060729893903</v>
          </cell>
          <cell r="EC37">
            <v>0.29313768988782174</v>
          </cell>
          <cell r="ED37">
            <v>0.2945598197382665</v>
          </cell>
          <cell r="EE37">
            <v>0.29988983884254283</v>
          </cell>
          <cell r="EF37">
            <v>0.30507760733989386</v>
          </cell>
        </row>
        <row r="38">
          <cell r="A38" t="str">
            <v>% of consumer and license revenue</v>
          </cell>
          <cell r="B38">
            <v>0</v>
          </cell>
          <cell r="C38" t="str">
            <v>NM</v>
          </cell>
          <cell r="D38" t="str">
            <v>NM</v>
          </cell>
          <cell r="E38" t="str">
            <v>NM</v>
          </cell>
          <cell r="F38" t="str">
            <v>NM</v>
          </cell>
          <cell r="G38" t="str">
            <v>NM</v>
          </cell>
          <cell r="H38" t="str">
            <v>NM</v>
          </cell>
          <cell r="I38" t="str">
            <v>NM</v>
          </cell>
          <cell r="J38" t="str">
            <v>NM</v>
          </cell>
          <cell r="K38" t="str">
            <v>NM</v>
          </cell>
          <cell r="L38" t="str">
            <v>NM</v>
          </cell>
          <cell r="M38" t="str">
            <v>NM</v>
          </cell>
          <cell r="N38" t="str">
            <v>NM</v>
          </cell>
          <cell r="O38" t="str">
            <v>NM</v>
          </cell>
          <cell r="P38" t="str">
            <v>NM</v>
          </cell>
          <cell r="Q38" t="str">
            <v>NM</v>
          </cell>
          <cell r="R38" t="str">
            <v>NM</v>
          </cell>
          <cell r="S38">
            <v>3.4923476045008672</v>
          </cell>
          <cell r="T38">
            <v>3.252401758575771</v>
          </cell>
          <cell r="U38">
            <v>2.3471100000000003</v>
          </cell>
          <cell r="V38">
            <v>1.8970234540201127</v>
          </cell>
          <cell r="W38">
            <v>1.8930687155978112</v>
          </cell>
          <cell r="X38">
            <v>1.9616684819879788</v>
          </cell>
          <cell r="Y38">
            <v>1.6478520133367531</v>
          </cell>
          <cell r="Z38">
            <v>1.6152445947650771</v>
          </cell>
          <cell r="AA38">
            <v>1.5400440808308278</v>
          </cell>
          <cell r="AB38">
            <v>1.4337415992106746</v>
          </cell>
          <cell r="AC38">
            <v>1.2495545436547217</v>
          </cell>
          <cell r="AD38">
            <v>1.3251528952504879</v>
          </cell>
          <cell r="AE38">
            <v>0.4304195189529999</v>
          </cell>
          <cell r="AF38">
            <v>0.46346370037275902</v>
          </cell>
          <cell r="AG38">
            <v>0.42747585385548853</v>
          </cell>
          <cell r="AH38">
            <v>0.49696749878993685</v>
          </cell>
          <cell r="AI38">
            <v>0.48269020075817975</v>
          </cell>
          <cell r="AJ38">
            <v>0.58132190324835198</v>
          </cell>
          <cell r="AK38">
            <v>0.59162628251887595</v>
          </cell>
          <cell r="AL38">
            <v>0.57472321834040629</v>
          </cell>
          <cell r="AM38">
            <v>0.61989864402136696</v>
          </cell>
          <cell r="AN38">
            <v>0.63871299650596991</v>
          </cell>
          <cell r="AO38">
            <v>0.66912456446591206</v>
          </cell>
          <cell r="AP38">
            <v>0.78882270178705172</v>
          </cell>
          <cell r="AQ38">
            <v>0.74976823615515997</v>
          </cell>
          <cell r="AR38">
            <v>0.79020143579472168</v>
          </cell>
          <cell r="AS38">
            <v>0.77919620008936186</v>
          </cell>
          <cell r="AT38">
            <v>0.76142207012142038</v>
          </cell>
          <cell r="AU38">
            <v>0.77310866831077196</v>
          </cell>
          <cell r="AV38">
            <v>0.7444626083780177</v>
          </cell>
          <cell r="AW38">
            <v>0.73952310580967351</v>
          </cell>
          <cell r="AX38">
            <v>0.74250267624485511</v>
          </cell>
          <cell r="AY38">
            <v>0.80029585798816572</v>
          </cell>
          <cell r="AZ38">
            <v>0.82069970845481055</v>
          </cell>
          <cell r="BA38">
            <v>0.83989145183175029</v>
          </cell>
          <cell r="BB38">
            <v>0.79189189189189191</v>
          </cell>
          <cell r="BC38">
            <v>0.84313725490196079</v>
          </cell>
          <cell r="BD38">
            <v>0.8728070175438597</v>
          </cell>
          <cell r="BE38">
            <v>0.91500664010624166</v>
          </cell>
          <cell r="BF38">
            <v>0.898876404494382</v>
          </cell>
          <cell r="BG38">
            <v>0.89039242219215153</v>
          </cell>
          <cell r="BH38">
            <v>0.90657894736842104</v>
          </cell>
          <cell r="BI38">
            <v>0.87017994858611825</v>
          </cell>
          <cell r="BJ38">
            <v>0.94686648501362403</v>
          </cell>
          <cell r="BK38">
            <v>0.93837535014005602</v>
          </cell>
          <cell r="BL38">
            <v>0.90809327846364885</v>
          </cell>
          <cell r="BM38">
            <v>0.89249999999999996</v>
          </cell>
          <cell r="BN38">
            <v>0.90013315579227693</v>
          </cell>
          <cell r="BO38">
            <v>0.92191398454276774</v>
          </cell>
          <cell r="BP38">
            <v>0.87559701956397906</v>
          </cell>
          <cell r="BQ38">
            <v>0.80888361587696189</v>
          </cell>
          <cell r="BR38">
            <v>0.76886412939190607</v>
          </cell>
          <cell r="BS38">
            <v>0.61858228653751213</v>
          </cell>
          <cell r="BT38">
            <v>0.52865803158121971</v>
          </cell>
          <cell r="BU38">
            <v>0.47328528031829187</v>
          </cell>
          <cell r="BV38">
            <v>0.44656265597928851</v>
          </cell>
          <cell r="BW38">
            <v>0.50574399562818095</v>
          </cell>
          <cell r="BX38">
            <v>0.46064724437790971</v>
          </cell>
          <cell r="BY38">
            <v>0.47550493811380667</v>
          </cell>
          <cell r="BZ38">
            <v>0.46975561017581563</v>
          </cell>
          <cell r="CA38">
            <v>0.46953680606848613</v>
          </cell>
          <cell r="CB38">
            <v>0.45940610570088142</v>
          </cell>
          <cell r="CC38">
            <v>0.42328770110236946</v>
          </cell>
          <cell r="CD38">
            <v>0.39122199335441282</v>
          </cell>
          <cell r="CE38">
            <v>0.38677656840585611</v>
          </cell>
          <cell r="CF38">
            <v>0.39090373774679782</v>
          </cell>
          <cell r="CG38">
            <v>0.29263755982230455</v>
          </cell>
          <cell r="CH38">
            <v>0.28979471771372539</v>
          </cell>
          <cell r="CI38">
            <v>0.31020049018085893</v>
          </cell>
          <cell r="CJ38">
            <v>0.32848238916550704</v>
          </cell>
          <cell r="CK38">
            <v>0.31745642228519932</v>
          </cell>
          <cell r="CL38">
            <v>0.27026771823917395</v>
          </cell>
          <cell r="CM38">
            <v>0.31049528653175762</v>
          </cell>
          <cell r="CN38">
            <v>0.33307920766636939</v>
          </cell>
          <cell r="CO38">
            <v>0.31954073918232401</v>
          </cell>
          <cell r="CP38">
            <v>0.2703375663866831</v>
          </cell>
          <cell r="CQ38">
            <v>0.30891769206087155</v>
          </cell>
          <cell r="CR38">
            <v>0.32967566062531822</v>
          </cell>
          <cell r="CS38">
            <v>0.31244259942065072</v>
          </cell>
          <cell r="CT38">
            <v>0.26522856994528898</v>
          </cell>
          <cell r="CU38">
            <v>0.30596702153091021</v>
          </cell>
          <cell r="CV38">
            <v>0.32607934936901861</v>
          </cell>
          <cell r="CW38">
            <v>0.30669840146615424</v>
          </cell>
          <cell r="CX38">
            <v>0.26143149848018926</v>
          </cell>
          <cell r="CY38">
            <v>0</v>
          </cell>
          <cell r="CZ38" t="e">
            <v>#VALUE!</v>
          </cell>
          <cell r="DA38" t="e">
            <v>#VALUE!</v>
          </cell>
          <cell r="DB38" t="e">
            <v>#VALUE!</v>
          </cell>
          <cell r="DC38" t="e">
            <v>#VALUE!</v>
          </cell>
          <cell r="DD38" t="e">
            <v>#VALUE!</v>
          </cell>
          <cell r="DE38" t="e">
            <v>#VALUE!</v>
          </cell>
          <cell r="DF38" t="e">
            <v>#VALUE!</v>
          </cell>
          <cell r="DG38">
            <v>0.45379608457321852</v>
          </cell>
          <cell r="DH38">
            <v>0.55628104239358267</v>
          </cell>
          <cell r="DI38">
            <v>0.67897039966939376</v>
          </cell>
          <cell r="DJ38">
            <v>0.77010336881177366</v>
          </cell>
          <cell r="DK38">
            <v>0.75049874311559839</v>
          </cell>
          <cell r="DL38">
            <v>0.81331454737583653</v>
          </cell>
          <cell r="DM38">
            <v>0.88417786970010337</v>
          </cell>
          <cell r="DN38">
            <v>0.90302225174360673</v>
          </cell>
          <cell r="DO38">
            <v>0.90915163660654641</v>
          </cell>
          <cell r="DP38">
            <v>0.84162907455269254</v>
          </cell>
          <cell r="DQ38">
            <v>0.5137182545069473</v>
          </cell>
          <cell r="DR38">
            <v>0.47744954552112573</v>
          </cell>
          <cell r="DS38">
            <v>0.43468690660533266</v>
          </cell>
          <cell r="DT38">
            <v>0.33823527551557875</v>
          </cell>
          <cell r="DU38">
            <v>0.30617640581655048</v>
          </cell>
          <cell r="DV38">
            <v>0.30793967086126656</v>
          </cell>
          <cell r="DW38">
            <v>0.30357639472460612</v>
          </cell>
          <cell r="DX38">
            <v>0.29953389769877226</v>
          </cell>
          <cell r="DY38">
            <v>0</v>
          </cell>
          <cell r="DZ38">
            <v>0</v>
          </cell>
          <cell r="EA38">
            <v>0.43468690660533266</v>
          </cell>
          <cell r="EB38">
            <v>0.30837019104213259</v>
          </cell>
          <cell r="EC38">
            <v>0.30465436097273785</v>
          </cell>
          <cell r="ED38">
            <v>0.30856356934225304</v>
          </cell>
          <cell r="EE38">
            <v>0.2972215391435013</v>
          </cell>
          <cell r="EF38">
            <v>0.28507441310370768</v>
          </cell>
        </row>
        <row r="39">
          <cell r="A39">
            <v>0</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cell r="DR39">
            <v>0</v>
          </cell>
          <cell r="DS39">
            <v>0</v>
          </cell>
          <cell r="DT39">
            <v>0</v>
          </cell>
          <cell r="DU39">
            <v>0</v>
          </cell>
          <cell r="DV39">
            <v>0</v>
          </cell>
          <cell r="DW39">
            <v>0</v>
          </cell>
          <cell r="DX39">
            <v>0</v>
          </cell>
          <cell r="DY39">
            <v>0</v>
          </cell>
          <cell r="DZ39">
            <v>0</v>
          </cell>
          <cell r="EA39">
            <v>0</v>
          </cell>
          <cell r="EB39">
            <v>0</v>
          </cell>
          <cell r="EC39">
            <v>0</v>
          </cell>
          <cell r="ED39">
            <v>0</v>
          </cell>
          <cell r="EE39">
            <v>0</v>
          </cell>
          <cell r="EF39">
            <v>0</v>
          </cell>
        </row>
        <row r="40">
          <cell r="A40" t="str">
            <v>Sales and marketing -- BLCT</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30.695327428424537</v>
          </cell>
          <cell r="CC40">
            <v>67.518661461943125</v>
          </cell>
          <cell r="CD40">
            <v>82.176716753726069</v>
          </cell>
          <cell r="CE40">
            <v>63.220368991698329</v>
          </cell>
          <cell r="CF40">
            <v>62.61292787148475</v>
          </cell>
          <cell r="CG40">
            <v>77.040999609100879</v>
          </cell>
          <cell r="CH40">
            <v>68.235596081435546</v>
          </cell>
          <cell r="CI40">
            <v>58.855402044622267</v>
          </cell>
          <cell r="CJ40">
            <v>58.278082976663896</v>
          </cell>
          <cell r="CK40">
            <v>75.04938161772408</v>
          </cell>
          <cell r="CL40">
            <v>92.145452714568478</v>
          </cell>
          <cell r="CM40">
            <v>60.740768285097872</v>
          </cell>
          <cell r="CN40">
            <v>63.729714629423931</v>
          </cell>
          <cell r="CO40">
            <v>90.737313203995626</v>
          </cell>
          <cell r="CP40">
            <v>109.84895241216918</v>
          </cell>
          <cell r="CQ40">
            <v>65.654705717830353</v>
          </cell>
          <cell r="CR40">
            <v>68.142271921329666</v>
          </cell>
          <cell r="CS40">
            <v>99.627998248979821</v>
          </cell>
          <cell r="CT40">
            <v>121.65791196926608</v>
          </cell>
          <cell r="CU40">
            <v>71.250984293571435</v>
          </cell>
          <cell r="CV40">
            <v>73.482675146818821</v>
          </cell>
          <cell r="CW40">
            <v>109.39453342108298</v>
          </cell>
          <cell r="CX40">
            <v>129.08934137750185</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180.39070564409371</v>
          </cell>
          <cell r="DT40">
            <v>271.10989255371953</v>
          </cell>
          <cell r="DU40">
            <v>284.32831935357871</v>
          </cell>
          <cell r="DV40">
            <v>325.0567485306866</v>
          </cell>
          <cell r="DW40">
            <v>355.08288785740592</v>
          </cell>
          <cell r="DX40">
            <v>383.21753423897508</v>
          </cell>
          <cell r="DY40">
            <v>0</v>
          </cell>
          <cell r="DZ40">
            <v>0</v>
          </cell>
          <cell r="EA40">
            <v>180.39070564409371</v>
          </cell>
          <cell r="EB40">
            <v>297.35435258504089</v>
          </cell>
          <cell r="EC40">
            <v>284.32831935357871</v>
          </cell>
          <cell r="ED40">
            <v>303.38629862864082</v>
          </cell>
          <cell r="EE40">
            <v>355.08288785740592</v>
          </cell>
          <cell r="EF40">
            <v>383.21753423897508</v>
          </cell>
        </row>
        <row r="41">
          <cell r="A41" t="str">
            <v>% of BLCT revenue</v>
          </cell>
          <cell r="B41">
            <v>0</v>
          </cell>
          <cell r="C41">
            <v>0</v>
          </cell>
          <cell r="D41">
            <v>0</v>
          </cell>
          <cell r="E41">
            <v>0</v>
          </cell>
          <cell r="F41">
            <v>0</v>
          </cell>
          <cell r="G41">
            <v>0</v>
          </cell>
          <cell r="H41">
            <v>0</v>
          </cell>
          <cell r="I41">
            <v>0</v>
          </cell>
          <cell r="J41">
            <v>0</v>
          </cell>
          <cell r="K41" t="str">
            <v xml:space="preserve">NM </v>
          </cell>
          <cell r="L41" t="str">
            <v xml:space="preserve">NM </v>
          </cell>
          <cell r="M41" t="str">
            <v xml:space="preserve">NM </v>
          </cell>
          <cell r="N41" t="str">
            <v xml:space="preserve">NM </v>
          </cell>
          <cell r="O41" t="str">
            <v xml:space="preserve">NM </v>
          </cell>
          <cell r="P41" t="str">
            <v xml:space="preserve">NM </v>
          </cell>
          <cell r="Q41" t="str">
            <v xml:space="preserve">NM </v>
          </cell>
          <cell r="R41" t="str">
            <v xml:space="preserve">NM </v>
          </cell>
          <cell r="S41" t="str">
            <v xml:space="preserve">NM </v>
          </cell>
          <cell r="T41" t="str">
            <v xml:space="preserve">NM </v>
          </cell>
          <cell r="U41" t="str">
            <v xml:space="preserve">NM </v>
          </cell>
          <cell r="V41" t="str">
            <v xml:space="preserve">NM </v>
          </cell>
          <cell r="W41" t="str">
            <v xml:space="preserve">NM </v>
          </cell>
          <cell r="X41" t="str">
            <v xml:space="preserve">NM </v>
          </cell>
          <cell r="Y41" t="str">
            <v xml:space="preserve">NM </v>
          </cell>
          <cell r="Z41" t="str">
            <v xml:space="preserve">NM </v>
          </cell>
          <cell r="AA41" t="str">
            <v xml:space="preserve">NM </v>
          </cell>
          <cell r="AB41" t="str">
            <v xml:space="preserve">NM </v>
          </cell>
          <cell r="AC41" t="str">
            <v xml:space="preserve">NM </v>
          </cell>
          <cell r="AD41" t="str">
            <v xml:space="preserve">NM </v>
          </cell>
          <cell r="AE41" t="str">
            <v xml:space="preserve">NM </v>
          </cell>
          <cell r="AF41" t="str">
            <v xml:space="preserve">NM </v>
          </cell>
          <cell r="AG41" t="str">
            <v xml:space="preserve">NM </v>
          </cell>
          <cell r="AH41" t="str">
            <v xml:space="preserve">NM </v>
          </cell>
          <cell r="AI41" t="str">
            <v xml:space="preserve">NM </v>
          </cell>
          <cell r="AJ41" t="str">
            <v xml:space="preserve">NM </v>
          </cell>
          <cell r="AK41" t="str">
            <v xml:space="preserve">NM </v>
          </cell>
          <cell r="AL41" t="str">
            <v xml:space="preserve">NM </v>
          </cell>
          <cell r="AM41" t="str">
            <v xml:space="preserve">NM </v>
          </cell>
          <cell r="AN41" t="str">
            <v xml:space="preserve">NM </v>
          </cell>
          <cell r="AO41" t="str">
            <v xml:space="preserve">NM </v>
          </cell>
          <cell r="AP41" t="str">
            <v xml:space="preserve">NM </v>
          </cell>
          <cell r="AQ41" t="str">
            <v xml:space="preserve">NM </v>
          </cell>
          <cell r="AR41" t="str">
            <v xml:space="preserve">NM </v>
          </cell>
          <cell r="AS41" t="str">
            <v xml:space="preserve">NM </v>
          </cell>
          <cell r="AT41" t="str">
            <v xml:space="preserve">NM </v>
          </cell>
          <cell r="AU41" t="str">
            <v xml:space="preserve">NM </v>
          </cell>
          <cell r="AV41" t="str">
            <v xml:space="preserve">NM </v>
          </cell>
          <cell r="AW41" t="str">
            <v xml:space="preserve">NM </v>
          </cell>
          <cell r="AX41" t="str">
            <v xml:space="preserve">NM </v>
          </cell>
          <cell r="AY41" t="str">
            <v xml:space="preserve">NM </v>
          </cell>
          <cell r="AZ41" t="str">
            <v xml:space="preserve">NM </v>
          </cell>
          <cell r="BA41" t="str">
            <v xml:space="preserve">NM </v>
          </cell>
          <cell r="BB41" t="str">
            <v xml:space="preserve">NM </v>
          </cell>
          <cell r="BC41" t="str">
            <v xml:space="preserve">NM </v>
          </cell>
          <cell r="BD41" t="str">
            <v xml:space="preserve">NM </v>
          </cell>
          <cell r="BE41" t="str">
            <v xml:space="preserve">NM </v>
          </cell>
          <cell r="BF41" t="str">
            <v xml:space="preserve">NM </v>
          </cell>
          <cell r="BG41" t="str">
            <v xml:space="preserve">NM </v>
          </cell>
          <cell r="BH41" t="str">
            <v xml:space="preserve">NM </v>
          </cell>
          <cell r="BI41" t="str">
            <v xml:space="preserve">NM </v>
          </cell>
          <cell r="BJ41" t="str">
            <v xml:space="preserve">NM </v>
          </cell>
          <cell r="BK41" t="str">
            <v xml:space="preserve">NM </v>
          </cell>
          <cell r="BL41" t="str">
            <v xml:space="preserve">NM </v>
          </cell>
          <cell r="BM41" t="str">
            <v xml:space="preserve">NM </v>
          </cell>
          <cell r="BN41" t="str">
            <v xml:space="preserve">NM </v>
          </cell>
          <cell r="BO41" t="str">
            <v xml:space="preserve">NM </v>
          </cell>
          <cell r="BP41" t="str">
            <v xml:space="preserve">NM </v>
          </cell>
          <cell r="BQ41" t="str">
            <v xml:space="preserve">NM </v>
          </cell>
          <cell r="BR41" t="str">
            <v xml:space="preserve">NM </v>
          </cell>
          <cell r="BS41" t="str">
            <v xml:space="preserve">NM </v>
          </cell>
          <cell r="BT41" t="str">
            <v xml:space="preserve">NM </v>
          </cell>
          <cell r="BU41" t="str">
            <v xml:space="preserve">NM </v>
          </cell>
          <cell r="BV41" t="str">
            <v xml:space="preserve">NM </v>
          </cell>
          <cell r="BW41" t="str">
            <v xml:space="preserve">NM </v>
          </cell>
          <cell r="BX41" t="str">
            <v xml:space="preserve">NM </v>
          </cell>
          <cell r="BY41" t="str">
            <v xml:space="preserve">NM </v>
          </cell>
          <cell r="BZ41" t="str">
            <v xml:space="preserve">NM </v>
          </cell>
          <cell r="CA41" t="str">
            <v xml:space="preserve">NM </v>
          </cell>
          <cell r="CB41">
            <v>0.24754296313245594</v>
          </cell>
          <cell r="CC41">
            <v>0.32617710851180254</v>
          </cell>
          <cell r="CD41">
            <v>0.38393925393707612</v>
          </cell>
          <cell r="CE41">
            <v>0.30174497590661453</v>
          </cell>
          <cell r="CF41">
            <v>0.26264450511613796</v>
          </cell>
          <cell r="CG41">
            <v>0.28492164472266435</v>
          </cell>
          <cell r="CH41">
            <v>0.23845164982200329</v>
          </cell>
          <cell r="CI41">
            <v>0.25338458891129861</v>
          </cell>
          <cell r="CJ41">
            <v>0.22130299952709473</v>
          </cell>
          <cell r="CK41">
            <v>0.24809362505722851</v>
          </cell>
          <cell r="CL41">
            <v>0.28918421211123985</v>
          </cell>
          <cell r="CM41">
            <v>0.23547653002324045</v>
          </cell>
          <cell r="CN41">
            <v>0.22231046524688675</v>
          </cell>
          <cell r="CO41">
            <v>0.27274975359546444</v>
          </cell>
          <cell r="CP41">
            <v>0.30888878739113779</v>
          </cell>
          <cell r="CQ41">
            <v>0.22283104421207398</v>
          </cell>
          <cell r="CR41">
            <v>0.20973779907571194</v>
          </cell>
          <cell r="CS41">
            <v>0.2633194559533425</v>
          </cell>
          <cell r="CT41">
            <v>0.30517329804858856</v>
          </cell>
          <cell r="CU41">
            <v>0.21496343160149861</v>
          </cell>
          <cell r="CV41">
            <v>0.20268563137674125</v>
          </cell>
          <cell r="CW41">
            <v>0.25921400438216974</v>
          </cell>
          <cell r="CX41">
            <v>0.29267467541817654</v>
          </cell>
          <cell r="CY41">
            <v>0</v>
          </cell>
          <cell r="CZ41" t="str">
            <v xml:space="preserve">NM </v>
          </cell>
          <cell r="DA41" t="str">
            <v xml:space="preserve">NM </v>
          </cell>
          <cell r="DB41" t="str">
            <v xml:space="preserve">NM </v>
          </cell>
          <cell r="DC41" t="str">
            <v xml:space="preserve">NM </v>
          </cell>
          <cell r="DD41" t="str">
            <v xml:space="preserve">NM </v>
          </cell>
          <cell r="DE41" t="str">
            <v xml:space="preserve">NM </v>
          </cell>
          <cell r="DF41" t="str">
            <v xml:space="preserve">NM </v>
          </cell>
          <cell r="DG41" t="str">
            <v xml:space="preserve">NM </v>
          </cell>
          <cell r="DH41" t="str">
            <v xml:space="preserve">NM </v>
          </cell>
          <cell r="DI41" t="str">
            <v xml:space="preserve">NM </v>
          </cell>
          <cell r="DJ41" t="str">
            <v xml:space="preserve">NM </v>
          </cell>
          <cell r="DK41" t="str">
            <v xml:space="preserve">NM </v>
          </cell>
          <cell r="DL41" t="str">
            <v xml:space="preserve">NM </v>
          </cell>
          <cell r="DM41" t="str">
            <v xml:space="preserve">NM </v>
          </cell>
          <cell r="DN41" t="str">
            <v xml:space="preserve">NM </v>
          </cell>
          <cell r="DO41" t="str">
            <v xml:space="preserve">NM </v>
          </cell>
          <cell r="DP41" t="str">
            <v xml:space="preserve">NM </v>
          </cell>
          <cell r="DQ41" t="str">
            <v xml:space="preserve">NM </v>
          </cell>
          <cell r="DR41" t="str">
            <v xml:space="preserve">NM </v>
          </cell>
          <cell r="DS41">
            <v>0.33097042489786782</v>
          </cell>
          <cell r="DT41">
            <v>0.26990480068032102</v>
          </cell>
          <cell r="DU41">
            <v>0.25460082007278112</v>
          </cell>
          <cell r="DV41">
            <v>0.26364778678902739</v>
          </cell>
          <cell r="DW41">
            <v>0.25425945138025607</v>
          </cell>
          <cell r="DX41">
            <v>0.24611087414948485</v>
          </cell>
          <cell r="DY41">
            <v>0</v>
          </cell>
          <cell r="DZ41">
            <v>0</v>
          </cell>
          <cell r="EA41">
            <v>0.33097042489786782</v>
          </cell>
          <cell r="EB41">
            <v>0.29603260327355496</v>
          </cell>
          <cell r="EC41">
            <v>0.25460082007278112</v>
          </cell>
          <cell r="ED41">
            <v>0.24607126766975887</v>
          </cell>
          <cell r="EE41">
            <v>0.25425945138025607</v>
          </cell>
          <cell r="EF41">
            <v>0.24611087414948485</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row>
        <row r="43">
          <cell r="A43" t="str">
            <v>Sales and marketing -- LOCK</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43.521966603838521</v>
          </cell>
          <cell r="CE43">
            <v>81.856727029930525</v>
          </cell>
          <cell r="CF43">
            <v>65.352414453840524</v>
          </cell>
          <cell r="CG43">
            <v>66.193548699643443</v>
          </cell>
          <cell r="CH43">
            <v>74.311698082425423</v>
          </cell>
          <cell r="CI43">
            <v>77.863463663324154</v>
          </cell>
          <cell r="CJ43">
            <v>63.501878870519391</v>
          </cell>
          <cell r="CK43">
            <v>64.265527319626756</v>
          </cell>
          <cell r="CL43">
            <v>69.212078576888814</v>
          </cell>
          <cell r="CM43">
            <v>66.736538489820177</v>
          </cell>
          <cell r="CN43">
            <v>56.452515607841981</v>
          </cell>
          <cell r="CO43">
            <v>59.576839813062655</v>
          </cell>
          <cell r="CP43">
            <v>64.067483906602945</v>
          </cell>
          <cell r="CQ43">
            <v>68.962822680295631</v>
          </cell>
          <cell r="CR43">
            <v>58.253368764586646</v>
          </cell>
          <cell r="CS43">
            <v>61.392611375972386</v>
          </cell>
          <cell r="CT43">
            <v>65.931262372486174</v>
          </cell>
          <cell r="CU43">
            <v>70.87575431434621</v>
          </cell>
          <cell r="CV43">
            <v>59.79243020398625</v>
          </cell>
          <cell r="CW43">
            <v>62.935691608062569</v>
          </cell>
          <cell r="CX43">
            <v>67.505783915973524</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43.521966603838521</v>
          </cell>
          <cell r="DT43">
            <v>287.71438826583994</v>
          </cell>
          <cell r="DU43">
            <v>274.84294843035912</v>
          </cell>
          <cell r="DV43">
            <v>246.83337781732777</v>
          </cell>
          <cell r="DW43">
            <v>254.54006519334084</v>
          </cell>
          <cell r="DX43">
            <v>261.10966004236855</v>
          </cell>
          <cell r="DY43">
            <v>0</v>
          </cell>
          <cell r="DZ43">
            <v>0</v>
          </cell>
          <cell r="EA43">
            <v>43.521966603838521</v>
          </cell>
          <cell r="EB43">
            <v>308.94630200367578</v>
          </cell>
          <cell r="EC43">
            <v>295.54388993814109</v>
          </cell>
          <cell r="ED43">
            <v>303.6776742830167</v>
          </cell>
          <cell r="EE43">
            <v>301.32275157242299</v>
          </cell>
          <cell r="EF43">
            <v>294.289251427865</v>
          </cell>
        </row>
        <row r="44">
          <cell r="A44" t="str">
            <v>% of LOCK revenue</v>
          </cell>
          <cell r="B44">
            <v>0</v>
          </cell>
          <cell r="C44">
            <v>0</v>
          </cell>
          <cell r="D44">
            <v>0</v>
          </cell>
          <cell r="E44">
            <v>0</v>
          </cell>
          <cell r="F44">
            <v>0</v>
          </cell>
          <cell r="G44">
            <v>0</v>
          </cell>
          <cell r="H44">
            <v>0</v>
          </cell>
          <cell r="I44">
            <v>0</v>
          </cell>
          <cell r="J44">
            <v>0</v>
          </cell>
          <cell r="K44" t="str">
            <v xml:space="preserve">NM </v>
          </cell>
          <cell r="L44" t="str">
            <v xml:space="preserve">NM </v>
          </cell>
          <cell r="M44" t="str">
            <v xml:space="preserve">NM </v>
          </cell>
          <cell r="N44" t="str">
            <v xml:space="preserve">NM </v>
          </cell>
          <cell r="O44" t="str">
            <v xml:space="preserve">NM </v>
          </cell>
          <cell r="P44" t="str">
            <v xml:space="preserve">NM </v>
          </cell>
          <cell r="Q44" t="str">
            <v xml:space="preserve">NM </v>
          </cell>
          <cell r="R44" t="str">
            <v xml:space="preserve">NM </v>
          </cell>
          <cell r="S44" t="str">
            <v xml:space="preserve">NM </v>
          </cell>
          <cell r="T44" t="str">
            <v xml:space="preserve">NM </v>
          </cell>
          <cell r="U44" t="str">
            <v xml:space="preserve">NM </v>
          </cell>
          <cell r="V44" t="str">
            <v xml:space="preserve">NM </v>
          </cell>
          <cell r="W44" t="str">
            <v xml:space="preserve">NM </v>
          </cell>
          <cell r="X44" t="str">
            <v xml:space="preserve">NM </v>
          </cell>
          <cell r="Y44" t="str">
            <v xml:space="preserve">NM </v>
          </cell>
          <cell r="Z44" t="str">
            <v xml:space="preserve">NM </v>
          </cell>
          <cell r="AA44" t="str">
            <v xml:space="preserve">NM </v>
          </cell>
          <cell r="AB44" t="str">
            <v xml:space="preserve">NM </v>
          </cell>
          <cell r="AC44" t="str">
            <v xml:space="preserve">NM </v>
          </cell>
          <cell r="AD44" t="str">
            <v xml:space="preserve">NM </v>
          </cell>
          <cell r="AE44" t="str">
            <v xml:space="preserve">NM </v>
          </cell>
          <cell r="AF44" t="str">
            <v xml:space="preserve">NM </v>
          </cell>
          <cell r="AG44" t="str">
            <v xml:space="preserve">NM </v>
          </cell>
          <cell r="AH44" t="str">
            <v xml:space="preserve">NM </v>
          </cell>
          <cell r="AI44" t="str">
            <v xml:space="preserve">NM </v>
          </cell>
          <cell r="AJ44" t="str">
            <v xml:space="preserve">NM </v>
          </cell>
          <cell r="AK44" t="str">
            <v xml:space="preserve">NM </v>
          </cell>
          <cell r="AL44" t="str">
            <v xml:space="preserve">NM </v>
          </cell>
          <cell r="AM44" t="str">
            <v xml:space="preserve">NM </v>
          </cell>
          <cell r="AN44" t="str">
            <v xml:space="preserve">NM </v>
          </cell>
          <cell r="AO44" t="str">
            <v xml:space="preserve">NM </v>
          </cell>
          <cell r="AP44" t="str">
            <v xml:space="preserve">NM </v>
          </cell>
          <cell r="AQ44" t="str">
            <v xml:space="preserve">NM </v>
          </cell>
          <cell r="AR44" t="str">
            <v xml:space="preserve">NM </v>
          </cell>
          <cell r="AS44" t="str">
            <v xml:space="preserve">NM </v>
          </cell>
          <cell r="AT44" t="str">
            <v xml:space="preserve">NM </v>
          </cell>
          <cell r="AU44" t="str">
            <v xml:space="preserve">NM </v>
          </cell>
          <cell r="AV44" t="str">
            <v xml:space="preserve">NM </v>
          </cell>
          <cell r="AW44" t="str">
            <v xml:space="preserve">NM </v>
          </cell>
          <cell r="AX44" t="str">
            <v xml:space="preserve">NM </v>
          </cell>
          <cell r="AY44" t="str">
            <v xml:space="preserve">NM </v>
          </cell>
          <cell r="AZ44" t="str">
            <v xml:space="preserve">NM </v>
          </cell>
          <cell r="BA44" t="str">
            <v xml:space="preserve">NM </v>
          </cell>
          <cell r="BB44" t="str">
            <v xml:space="preserve">NM </v>
          </cell>
          <cell r="BC44" t="str">
            <v xml:space="preserve">NM </v>
          </cell>
          <cell r="BD44" t="str">
            <v xml:space="preserve">NM </v>
          </cell>
          <cell r="BE44" t="str">
            <v xml:space="preserve">NM </v>
          </cell>
          <cell r="BF44" t="str">
            <v xml:space="preserve">NM </v>
          </cell>
          <cell r="BG44" t="str">
            <v xml:space="preserve">NM </v>
          </cell>
          <cell r="BH44" t="str">
            <v xml:space="preserve">NM </v>
          </cell>
          <cell r="BI44" t="str">
            <v xml:space="preserve">NM </v>
          </cell>
          <cell r="BJ44" t="str">
            <v xml:space="preserve">NM </v>
          </cell>
          <cell r="BK44" t="str">
            <v xml:space="preserve">NM </v>
          </cell>
          <cell r="BL44" t="str">
            <v xml:space="preserve">NM </v>
          </cell>
          <cell r="BM44" t="str">
            <v xml:space="preserve">NM </v>
          </cell>
          <cell r="BN44" t="str">
            <v xml:space="preserve">NM </v>
          </cell>
          <cell r="BO44" t="str">
            <v xml:space="preserve">NM </v>
          </cell>
          <cell r="BP44" t="str">
            <v xml:space="preserve">NM </v>
          </cell>
          <cell r="BQ44" t="str">
            <v xml:space="preserve">NM </v>
          </cell>
          <cell r="BR44" t="str">
            <v xml:space="preserve">NM </v>
          </cell>
          <cell r="BS44" t="str">
            <v xml:space="preserve">NM </v>
          </cell>
          <cell r="BT44" t="str">
            <v xml:space="preserve">NM </v>
          </cell>
          <cell r="BU44" t="str">
            <v xml:space="preserve">NM </v>
          </cell>
          <cell r="BV44" t="str">
            <v xml:space="preserve">NM </v>
          </cell>
          <cell r="BW44" t="str">
            <v xml:space="preserve">NM </v>
          </cell>
          <cell r="BX44" t="str">
            <v xml:space="preserve">NM </v>
          </cell>
          <cell r="BY44" t="str">
            <v xml:space="preserve">NM </v>
          </cell>
          <cell r="BZ44" t="str">
            <v xml:space="preserve">NM </v>
          </cell>
          <cell r="CA44" t="str">
            <v xml:space="preserve">NM </v>
          </cell>
          <cell r="CB44" t="str">
            <v xml:space="preserve">NM </v>
          </cell>
          <cell r="CC44" t="str">
            <v xml:space="preserve">NM </v>
          </cell>
          <cell r="CD44">
            <v>0.43521966603838519</v>
          </cell>
          <cell r="CE44">
            <v>0.46838839585111519</v>
          </cell>
          <cell r="CF44">
            <v>0.35819355688594418</v>
          </cell>
          <cell r="CG44">
            <v>0.33988985211626921</v>
          </cell>
          <cell r="CH44">
            <v>0.37053950676851372</v>
          </cell>
          <cell r="CI44">
            <v>0.37651578173754435</v>
          </cell>
          <cell r="CJ44">
            <v>0.29911389011078382</v>
          </cell>
          <cell r="CK44">
            <v>0.29642770903886884</v>
          </cell>
          <cell r="CL44">
            <v>0.32315815378391943</v>
          </cell>
          <cell r="CM44">
            <v>0.30266363375598265</v>
          </cell>
          <cell r="CN44">
            <v>0.24977869516981505</v>
          </cell>
          <cell r="CO44">
            <v>0.25852312488568796</v>
          </cell>
          <cell r="CP44">
            <v>0.28183551402596424</v>
          </cell>
          <cell r="CQ44">
            <v>0.29509704291208311</v>
          </cell>
          <cell r="CR44">
            <v>0.24353422779056966</v>
          </cell>
          <cell r="CS44">
            <v>0.25206004676354576</v>
          </cell>
          <cell r="CT44">
            <v>0.2747896261753151</v>
          </cell>
          <cell r="CU44">
            <v>0.28771961683928104</v>
          </cell>
          <cell r="CV44">
            <v>0.23744587209580542</v>
          </cell>
          <cell r="CW44">
            <v>0.24575854559445712</v>
          </cell>
          <cell r="CX44">
            <v>0.26791988552093221</v>
          </cell>
          <cell r="CY44">
            <v>0</v>
          </cell>
          <cell r="CZ44" t="str">
            <v xml:space="preserve">NM </v>
          </cell>
          <cell r="DA44" t="str">
            <v xml:space="preserve">NM </v>
          </cell>
          <cell r="DB44" t="str">
            <v xml:space="preserve">NM </v>
          </cell>
          <cell r="DC44" t="str">
            <v xml:space="preserve">NM </v>
          </cell>
          <cell r="DD44" t="str">
            <v xml:space="preserve">NM </v>
          </cell>
          <cell r="DE44" t="str">
            <v xml:space="preserve">NM </v>
          </cell>
          <cell r="DF44" t="str">
            <v xml:space="preserve">NM </v>
          </cell>
          <cell r="DG44" t="str">
            <v xml:space="preserve">NM </v>
          </cell>
          <cell r="DH44" t="str">
            <v xml:space="preserve">NM </v>
          </cell>
          <cell r="DI44" t="str">
            <v xml:space="preserve">NM </v>
          </cell>
          <cell r="DJ44" t="str">
            <v xml:space="preserve">NM </v>
          </cell>
          <cell r="DK44" t="str">
            <v xml:space="preserve">NM </v>
          </cell>
          <cell r="DL44" t="str">
            <v xml:space="preserve">NM </v>
          </cell>
          <cell r="DM44" t="str">
            <v xml:space="preserve">NM </v>
          </cell>
          <cell r="DN44" t="str">
            <v xml:space="preserve">NM </v>
          </cell>
          <cell r="DO44" t="str">
            <v xml:space="preserve">NM </v>
          </cell>
          <cell r="DP44" t="str">
            <v xml:space="preserve">NM </v>
          </cell>
          <cell r="DQ44" t="str">
            <v xml:space="preserve">NM </v>
          </cell>
          <cell r="DR44" t="str">
            <v xml:space="preserve">NM </v>
          </cell>
          <cell r="DS44">
            <v>0.43521966603838519</v>
          </cell>
          <cell r="DT44">
            <v>0.38233835087900858</v>
          </cell>
          <cell r="DU44">
            <v>0.32331649277586999</v>
          </cell>
          <cell r="DV44">
            <v>0.2729610807521361</v>
          </cell>
          <cell r="DW44">
            <v>0.2661460675225259</v>
          </cell>
          <cell r="DX44">
            <v>0.25950043152339275</v>
          </cell>
          <cell r="DY44">
            <v>0</v>
          </cell>
          <cell r="DZ44">
            <v>0</v>
          </cell>
          <cell r="EA44">
            <v>0.43521966603838519</v>
          </cell>
          <cell r="EB44">
            <v>0.40623435118249307</v>
          </cell>
          <cell r="EC44">
            <v>0.33308005820650638</v>
          </cell>
          <cell r="ED44">
            <v>0.29973192578079499</v>
          </cell>
          <cell r="EE44">
            <v>0.26970497575658475</v>
          </cell>
          <cell r="EF44">
            <v>0.2427268578130716</v>
          </cell>
        </row>
        <row r="45">
          <cell r="A45">
            <v>0</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0</v>
          </cell>
          <cell r="DE45">
            <v>0</v>
          </cell>
          <cell r="DF45">
            <v>0</v>
          </cell>
          <cell r="DG45">
            <v>0</v>
          </cell>
          <cell r="DH45">
            <v>0</v>
          </cell>
          <cell r="DI45">
            <v>0</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cell r="ED45">
            <v>0</v>
          </cell>
          <cell r="EE45">
            <v>0</v>
          </cell>
          <cell r="EF45">
            <v>0</v>
          </cell>
        </row>
        <row r="46">
          <cell r="A46" t="str">
            <v>Research and development</v>
          </cell>
          <cell r="B46">
            <v>0</v>
          </cell>
          <cell r="C46">
            <v>0</v>
          </cell>
          <cell r="D46">
            <v>0</v>
          </cell>
          <cell r="E46">
            <v>0</v>
          </cell>
          <cell r="F46">
            <v>0</v>
          </cell>
          <cell r="G46">
            <v>0</v>
          </cell>
          <cell r="H46">
            <v>0</v>
          </cell>
          <cell r="I46">
            <v>0</v>
          </cell>
          <cell r="J46">
            <v>0</v>
          </cell>
          <cell r="K46">
            <v>29.838000000000001</v>
          </cell>
          <cell r="L46">
            <v>29.405000000000001</v>
          </cell>
          <cell r="M46">
            <v>60.89</v>
          </cell>
          <cell r="N46">
            <v>62.825000000000003</v>
          </cell>
          <cell r="O46">
            <v>67.91</v>
          </cell>
          <cell r="P46">
            <v>74.787999999999997</v>
          </cell>
          <cell r="Q46">
            <v>84.049000000000007</v>
          </cell>
          <cell r="R46">
            <v>95.924000000000007</v>
          </cell>
          <cell r="S46">
            <v>95.010999999999996</v>
          </cell>
          <cell r="T46">
            <v>98.656000000000006</v>
          </cell>
          <cell r="U46">
            <v>101.71899999999999</v>
          </cell>
          <cell r="V46">
            <v>109.11499999999999</v>
          </cell>
          <cell r="W46">
            <v>110.059</v>
          </cell>
          <cell r="X46">
            <v>114.239</v>
          </cell>
          <cell r="Y46">
            <v>121.81899999999999</v>
          </cell>
          <cell r="Z46">
            <v>125.651</v>
          </cell>
          <cell r="AA46">
            <v>130.87899999999999</v>
          </cell>
          <cell r="AB46">
            <v>130.648</v>
          </cell>
          <cell r="AC46">
            <v>138.62100000000001</v>
          </cell>
          <cell r="AD46">
            <v>152.02199999999999</v>
          </cell>
          <cell r="AE46">
            <v>151.58600000000001</v>
          </cell>
          <cell r="AF46">
            <v>166.78199999999998</v>
          </cell>
          <cell r="AG46">
            <v>171.87700000000001</v>
          </cell>
          <cell r="AH46">
            <v>184.70499999999998</v>
          </cell>
          <cell r="AI46">
            <v>187.41200000000001</v>
          </cell>
          <cell r="AJ46">
            <v>186.55600000000001</v>
          </cell>
          <cell r="AK46">
            <v>186.92400000000001</v>
          </cell>
          <cell r="AL46">
            <v>197.083</v>
          </cell>
          <cell r="AM46">
            <v>198.232</v>
          </cell>
          <cell r="AN46">
            <v>200.96299999999999</v>
          </cell>
          <cell r="AO46">
            <v>202.607</v>
          </cell>
          <cell r="AP46">
            <v>206.14400000000001</v>
          </cell>
          <cell r="AQ46">
            <v>211.26300000000001</v>
          </cell>
          <cell r="AR46">
            <v>206.05599999999998</v>
          </cell>
          <cell r="AS46">
            <v>209.57900000000001</v>
          </cell>
          <cell r="AT46">
            <v>209.15600000000001</v>
          </cell>
          <cell r="AU46">
            <v>218.84299999999999</v>
          </cell>
          <cell r="AV46">
            <v>204.946</v>
          </cell>
          <cell r="AW46">
            <v>193.751</v>
          </cell>
          <cell r="AX46">
            <v>213.33600000000001</v>
          </cell>
          <cell r="AY46">
            <v>204</v>
          </cell>
          <cell r="AZ46">
            <v>198</v>
          </cell>
          <cell r="BA46">
            <v>197</v>
          </cell>
          <cell r="BB46">
            <v>205</v>
          </cell>
          <cell r="BC46">
            <v>198</v>
          </cell>
          <cell r="BD46">
            <v>207</v>
          </cell>
          <cell r="BE46">
            <v>209</v>
          </cell>
          <cell r="BF46">
            <v>218</v>
          </cell>
          <cell r="BG46">
            <v>228</v>
          </cell>
          <cell r="BH46">
            <v>235</v>
          </cell>
          <cell r="BI46">
            <v>229</v>
          </cell>
          <cell r="BJ46">
            <v>228</v>
          </cell>
          <cell r="BK46">
            <v>245</v>
          </cell>
          <cell r="BL46">
            <v>238</v>
          </cell>
          <cell r="BM46">
            <v>239</v>
          </cell>
          <cell r="BN46">
            <v>254</v>
          </cell>
          <cell r="BO46">
            <v>248</v>
          </cell>
          <cell r="BP46">
            <v>236</v>
          </cell>
          <cell r="BQ46">
            <v>243</v>
          </cell>
          <cell r="BR46">
            <v>263</v>
          </cell>
          <cell r="BS46">
            <v>180</v>
          </cell>
          <cell r="BT46">
            <v>156</v>
          </cell>
          <cell r="BU46">
            <v>152</v>
          </cell>
          <cell r="BV46">
            <v>163</v>
          </cell>
          <cell r="BW46">
            <v>164</v>
          </cell>
          <cell r="BX46">
            <v>161</v>
          </cell>
          <cell r="BY46">
            <v>160</v>
          </cell>
          <cell r="BZ46">
            <v>162</v>
          </cell>
          <cell r="CA46">
            <v>155</v>
          </cell>
          <cell r="CB46">
            <v>177</v>
          </cell>
          <cell r="CC46">
            <v>178</v>
          </cell>
          <cell r="CD46">
            <v>203</v>
          </cell>
          <cell r="CE46">
            <v>191</v>
          </cell>
          <cell r="CF46">
            <v>188</v>
          </cell>
          <cell r="CG46">
            <v>175</v>
          </cell>
          <cell r="CH46">
            <v>185.68983227448572</v>
          </cell>
          <cell r="CI46">
            <v>185.68983227448572</v>
          </cell>
          <cell r="CJ46">
            <v>185.68983227448572</v>
          </cell>
          <cell r="CK46">
            <v>185.68983227448572</v>
          </cell>
          <cell r="CL46">
            <v>185.68983227448572</v>
          </cell>
          <cell r="CM46">
            <v>188.76374332774844</v>
          </cell>
          <cell r="CN46">
            <v>193.18010850760913</v>
          </cell>
          <cell r="CO46">
            <v>192.85554980769774</v>
          </cell>
          <cell r="CP46">
            <v>193.86946724002689</v>
          </cell>
          <cell r="CQ46">
            <v>194.09510699974263</v>
          </cell>
          <cell r="CR46">
            <v>199.77465672867874</v>
          </cell>
          <cell r="CS46">
            <v>198.6359996483589</v>
          </cell>
          <cell r="CT46">
            <v>200.49320561590883</v>
          </cell>
          <cell r="CU46">
            <v>199.3872668063768</v>
          </cell>
          <cell r="CV46">
            <v>205.89274295315602</v>
          </cell>
          <cell r="CW46">
            <v>204.33930071277237</v>
          </cell>
          <cell r="CX46">
            <v>207.34454826379931</v>
          </cell>
          <cell r="CY46">
            <v>0</v>
          </cell>
          <cell r="CZ46">
            <v>0</v>
          </cell>
          <cell r="DA46">
            <v>0</v>
          </cell>
          <cell r="DB46">
            <v>182.95800000000003</v>
          </cell>
          <cell r="DC46">
            <v>322.67099999999999</v>
          </cell>
          <cell r="DD46">
            <v>404.50099999999998</v>
          </cell>
          <cell r="DE46">
            <v>471.76799999999997</v>
          </cell>
          <cell r="DF46">
            <v>552.17000000000007</v>
          </cell>
          <cell r="DG46">
            <v>674.95</v>
          </cell>
          <cell r="DH46">
            <v>757.97500000000002</v>
          </cell>
          <cell r="DI46">
            <v>807.94600000000003</v>
          </cell>
          <cell r="DJ46">
            <v>836.05399999999986</v>
          </cell>
          <cell r="DK46">
            <v>830.87599999999998</v>
          </cell>
          <cell r="DL46">
            <v>804</v>
          </cell>
          <cell r="DM46">
            <v>832</v>
          </cell>
          <cell r="DN46">
            <v>920</v>
          </cell>
          <cell r="DO46">
            <v>976</v>
          </cell>
          <cell r="DP46">
            <v>990</v>
          </cell>
          <cell r="DQ46">
            <v>651</v>
          </cell>
          <cell r="DR46">
            <v>647</v>
          </cell>
          <cell r="DS46">
            <v>713</v>
          </cell>
          <cell r="DT46">
            <v>739.68983227448575</v>
          </cell>
          <cell r="DU46">
            <v>742.7593290979429</v>
          </cell>
          <cell r="DV46">
            <v>768.66886888308215</v>
          </cell>
          <cell r="DW46">
            <v>792.99896899268924</v>
          </cell>
          <cell r="DX46">
            <v>816.9638587361045</v>
          </cell>
          <cell r="DY46">
            <v>0</v>
          </cell>
          <cell r="DZ46">
            <v>0</v>
          </cell>
          <cell r="EA46">
            <v>713</v>
          </cell>
          <cell r="EB46">
            <v>749</v>
          </cell>
          <cell r="EC46">
            <v>780</v>
          </cell>
          <cell r="ED46">
            <v>809.64824948312958</v>
          </cell>
          <cell r="EE46">
            <v>825.30879754873899</v>
          </cell>
          <cell r="EF46">
            <v>838.10775614463807</v>
          </cell>
        </row>
        <row r="47">
          <cell r="A47" t="str">
            <v>% of revenue</v>
          </cell>
          <cell r="B47">
            <v>0</v>
          </cell>
          <cell r="C47">
            <v>0</v>
          </cell>
          <cell r="D47">
            <v>0</v>
          </cell>
          <cell r="E47">
            <v>0</v>
          </cell>
          <cell r="F47">
            <v>0</v>
          </cell>
          <cell r="G47">
            <v>0</v>
          </cell>
          <cell r="H47">
            <v>0</v>
          </cell>
          <cell r="I47">
            <v>0</v>
          </cell>
          <cell r="J47">
            <v>0</v>
          </cell>
          <cell r="K47">
            <v>0.13839453434817092</v>
          </cell>
          <cell r="L47">
            <v>0.13001627137829186</v>
          </cell>
          <cell r="M47">
            <v>0.13774646867732623</v>
          </cell>
          <cell r="N47">
            <v>0.13252821432338363</v>
          </cell>
          <cell r="O47">
            <v>0.14447368477037598</v>
          </cell>
          <cell r="P47">
            <v>0.14903440895784717</v>
          </cell>
          <cell r="Q47">
            <v>0.15037186393554955</v>
          </cell>
          <cell r="R47">
            <v>0.15454488333088981</v>
          </cell>
          <cell r="S47">
            <v>0.15301649165754039</v>
          </cell>
          <cell r="T47">
            <v>0.15733254233287722</v>
          </cell>
          <cell r="U47">
            <v>0.16068032325938469</v>
          </cell>
          <cell r="V47">
            <v>0.16054894009596296</v>
          </cell>
          <cell r="W47">
            <v>0.15995064534553344</v>
          </cell>
          <cell r="X47">
            <v>0.16551795082810411</v>
          </cell>
          <cell r="Y47">
            <v>0.16450333951812629</v>
          </cell>
          <cell r="Z47">
            <v>0.15822153609034106</v>
          </cell>
          <cell r="AA47">
            <v>0.16752297570591096</v>
          </cell>
          <cell r="AB47">
            <v>0.15608464660294158</v>
          </cell>
          <cell r="AC47">
            <v>0.14738604829192054</v>
          </cell>
          <cell r="AD47">
            <v>0.14363473681326311</v>
          </cell>
          <cell r="AE47">
            <v>0.14542283483678237</v>
          </cell>
          <cell r="AF47">
            <v>0.15116006115936326</v>
          </cell>
          <cell r="AG47">
            <v>0.14420638955869791</v>
          </cell>
          <cell r="AH47">
            <v>0.14350332876755964</v>
          </cell>
          <cell r="AI47">
            <v>0.14883418043202032</v>
          </cell>
          <cell r="AJ47">
            <v>0.15648780684212646</v>
          </cell>
          <cell r="AK47">
            <v>0.14915414366272031</v>
          </cell>
          <cell r="AL47">
            <v>0.1516178193615193</v>
          </cell>
          <cell r="AM47">
            <v>0.15388891045297518</v>
          </cell>
          <cell r="AN47">
            <v>0.1578170743965723</v>
          </cell>
          <cell r="AO47">
            <v>0.15275622727773078</v>
          </cell>
          <cell r="AP47">
            <v>0.15104536841781327</v>
          </cell>
          <cell r="AQ47">
            <v>0.14847938354450663</v>
          </cell>
          <cell r="AR47">
            <v>0.14336005877556471</v>
          </cell>
          <cell r="AS47">
            <v>0.13706699559065705</v>
          </cell>
          <cell r="AT47">
            <v>0.13511482977570224</v>
          </cell>
          <cell r="AU47">
            <v>0.13222398983017872</v>
          </cell>
          <cell r="AV47">
            <v>0.13456915689579435</v>
          </cell>
          <cell r="AW47">
            <v>0.12592378839193391</v>
          </cell>
          <cell r="AX47">
            <v>0.14340238519998333</v>
          </cell>
          <cell r="AY47">
            <v>0.14127423822714683</v>
          </cell>
          <cell r="AZ47">
            <v>0.13387423935091278</v>
          </cell>
          <cell r="BA47">
            <v>0.12701482914248871</v>
          </cell>
          <cell r="BB47">
            <v>0.13355048859934854</v>
          </cell>
          <cell r="BC47">
            <v>0.13817166782972784</v>
          </cell>
          <cell r="BD47">
            <v>0.13986486486486485</v>
          </cell>
          <cell r="BE47">
            <v>0.13029925187032418</v>
          </cell>
          <cell r="BF47">
            <v>0.13030484160191272</v>
          </cell>
          <cell r="BG47">
            <v>0.13793103448275862</v>
          </cell>
          <cell r="BH47">
            <v>0.13979773944080903</v>
          </cell>
          <cell r="BI47">
            <v>0.13352769679300291</v>
          </cell>
          <cell r="BJ47">
            <v>0.13563355145746581</v>
          </cell>
          <cell r="BK47">
            <v>0.14688249400479617</v>
          </cell>
          <cell r="BL47">
            <v>0.14008240141259565</v>
          </cell>
          <cell r="BM47">
            <v>0.13344500279173646</v>
          </cell>
          <cell r="BN47">
            <v>0.14530892448512586</v>
          </cell>
          <cell r="BO47">
            <v>0.14511410181392628</v>
          </cell>
          <cell r="BP47">
            <v>0.14416615760537568</v>
          </cell>
          <cell r="BQ47">
            <v>0.14252199413489736</v>
          </cell>
          <cell r="BR47">
            <v>0.15939393939393939</v>
          </cell>
          <cell r="BS47">
            <v>0.16574585635359115</v>
          </cell>
          <cell r="BT47">
            <v>0.15584415584415584</v>
          </cell>
          <cell r="BU47">
            <v>0.15670103092783505</v>
          </cell>
          <cell r="BV47">
            <v>0.17545748116254037</v>
          </cell>
          <cell r="BW47">
            <v>0.17982456140350878</v>
          </cell>
          <cell r="BX47">
            <v>0.17770419426048564</v>
          </cell>
          <cell r="BY47">
            <v>0.17601760176017603</v>
          </cell>
          <cell r="BZ47">
            <v>0.18556701030927836</v>
          </cell>
          <cell r="CA47">
            <v>0.17533936651583709</v>
          </cell>
          <cell r="CB47">
            <v>0.17438423645320197</v>
          </cell>
          <cell r="CC47">
            <v>0.16360294117647059</v>
          </cell>
          <cell r="CD47">
            <v>0.17261904761904762</v>
          </cell>
          <cell r="CE47">
            <v>0.15553745928338764</v>
          </cell>
          <cell r="CF47">
            <v>0.14733542319749215</v>
          </cell>
          <cell r="CG47">
            <v>0.14181523500810372</v>
          </cell>
          <cell r="CH47">
            <v>0.15443327079681526</v>
          </cell>
          <cell r="CI47">
            <v>0.15234000833218625</v>
          </cell>
          <cell r="CJ47">
            <v>0.15083229207865126</v>
          </cell>
          <cell r="CK47">
            <v>0.14959762662191581</v>
          </cell>
          <cell r="CL47">
            <v>0.14941644450651365</v>
          </cell>
          <cell r="CM47">
            <v>0.14826604011563457</v>
          </cell>
          <cell r="CN47">
            <v>0.1492916149917079</v>
          </cell>
          <cell r="CO47">
            <v>0.1478333867975854</v>
          </cell>
          <cell r="CP47">
            <v>0.14847416179508596</v>
          </cell>
          <cell r="CQ47">
            <v>0.14570974468741898</v>
          </cell>
          <cell r="CR47">
            <v>0.14780964563910187</v>
          </cell>
          <cell r="CS47">
            <v>0.14601589291939748</v>
          </cell>
          <cell r="CT47">
            <v>0.14750480027559548</v>
          </cell>
          <cell r="CU47">
            <v>0.14388240821161197</v>
          </cell>
          <cell r="CV47">
            <v>0.14641402378570151</v>
          </cell>
          <cell r="CW47">
            <v>0.14437849255630036</v>
          </cell>
          <cell r="CX47">
            <v>0.14666348858846581</v>
          </cell>
          <cell r="CY47">
            <v>0</v>
          </cell>
          <cell r="CZ47" t="str">
            <v xml:space="preserve">NM </v>
          </cell>
          <cell r="DA47" t="str">
            <v xml:space="preserve">NM </v>
          </cell>
          <cell r="DB47">
            <v>0.13474005769376646</v>
          </cell>
          <cell r="DC47">
            <v>0.14997518006075772</v>
          </cell>
          <cell r="DD47">
            <v>0.15796729206459417</v>
          </cell>
          <cell r="DE47">
            <v>0.16195573962286952</v>
          </cell>
          <cell r="DF47">
            <v>0.15265054671880254</v>
          </cell>
          <cell r="DG47">
            <v>0.14594387598997821</v>
          </cell>
          <cell r="DH47">
            <v>0.15146056360374532</v>
          </cell>
          <cell r="DI47">
            <v>0.15381636677451033</v>
          </cell>
          <cell r="DJ47">
            <v>0.14081647055534191</v>
          </cell>
          <cell r="DK47">
            <v>0.1339175869703724</v>
          </cell>
          <cell r="DL47">
            <v>0.13379930104842735</v>
          </cell>
          <cell r="DM47">
            <v>0.13441033925686591</v>
          </cell>
          <cell r="DN47">
            <v>0.13670133729569092</v>
          </cell>
          <cell r="DO47">
            <v>0.14132638285548799</v>
          </cell>
          <cell r="DP47">
            <v>0.14773914341143113</v>
          </cell>
          <cell r="DQ47">
            <v>0.16332162568991471</v>
          </cell>
          <cell r="DR47">
            <v>0.17972222222222223</v>
          </cell>
          <cell r="DS47">
            <v>0.17127071823204421</v>
          </cell>
          <cell r="DT47">
            <v>0.14972280432003132</v>
          </cell>
          <cell r="DU47">
            <v>0.15053753794436622</v>
          </cell>
          <cell r="DV47">
            <v>0.14846583279512474</v>
          </cell>
          <cell r="DW47">
            <v>0.14676365516625772</v>
          </cell>
          <cell r="DX47">
            <v>0.14534012456562997</v>
          </cell>
          <cell r="DY47">
            <v>0</v>
          </cell>
          <cell r="DZ47">
            <v>0</v>
          </cell>
          <cell r="EA47">
            <v>0.17127071823204421</v>
          </cell>
          <cell r="EB47">
            <v>0.1506436041834272</v>
          </cell>
          <cell r="EC47">
            <v>0.16185697598986232</v>
          </cell>
          <cell r="ED47">
            <v>0.15602285317038656</v>
          </cell>
          <cell r="EE47">
            <v>0.1529240310234968</v>
          </cell>
          <cell r="EF47">
            <v>0.15023744405556422</v>
          </cell>
        </row>
        <row r="48">
          <cell r="A48">
            <v>0</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row>
        <row r="49">
          <cell r="A49" t="str">
            <v>Research and development -- SYMC</v>
          </cell>
          <cell r="B49">
            <v>0</v>
          </cell>
          <cell r="C49">
            <v>0</v>
          </cell>
          <cell r="D49">
            <v>0</v>
          </cell>
          <cell r="E49">
            <v>0</v>
          </cell>
          <cell r="F49">
            <v>0</v>
          </cell>
          <cell r="G49">
            <v>0</v>
          </cell>
          <cell r="H49">
            <v>0</v>
          </cell>
          <cell r="I49">
            <v>0</v>
          </cell>
          <cell r="J49">
            <v>0</v>
          </cell>
          <cell r="K49">
            <v>29.838000000000001</v>
          </cell>
          <cell r="L49">
            <v>29.405000000000001</v>
          </cell>
          <cell r="M49">
            <v>60.89</v>
          </cell>
          <cell r="N49">
            <v>62.825000000000003</v>
          </cell>
          <cell r="O49">
            <v>67.91</v>
          </cell>
          <cell r="P49">
            <v>74.787999999999997</v>
          </cell>
          <cell r="Q49">
            <v>84.049000000000007</v>
          </cell>
          <cell r="R49">
            <v>95.924000000000007</v>
          </cell>
          <cell r="S49">
            <v>95.010999999999996</v>
          </cell>
          <cell r="T49">
            <v>98.656000000000006</v>
          </cell>
          <cell r="U49">
            <v>101.71899999999999</v>
          </cell>
          <cell r="V49">
            <v>109.11499999999999</v>
          </cell>
          <cell r="W49">
            <v>110.059</v>
          </cell>
          <cell r="X49">
            <v>114.239</v>
          </cell>
          <cell r="Y49">
            <v>121.81899999999999</v>
          </cell>
          <cell r="Z49">
            <v>125.651</v>
          </cell>
          <cell r="AA49">
            <v>130.87899999999999</v>
          </cell>
          <cell r="AB49">
            <v>130.648</v>
          </cell>
          <cell r="AC49">
            <v>138.62100000000001</v>
          </cell>
          <cell r="AD49">
            <v>152.02199999999999</v>
          </cell>
          <cell r="AE49">
            <v>151.58600000000001</v>
          </cell>
          <cell r="AF49">
            <v>166.78199999999998</v>
          </cell>
          <cell r="AG49">
            <v>171.87700000000001</v>
          </cell>
          <cell r="AH49">
            <v>184.70499999999998</v>
          </cell>
          <cell r="AI49">
            <v>187.41200000000001</v>
          </cell>
          <cell r="AJ49">
            <v>186.55600000000001</v>
          </cell>
          <cell r="AK49">
            <v>186.92400000000001</v>
          </cell>
          <cell r="AL49">
            <v>197.083</v>
          </cell>
          <cell r="AM49">
            <v>198.232</v>
          </cell>
          <cell r="AN49">
            <v>200.96299999999999</v>
          </cell>
          <cell r="AO49">
            <v>202.607</v>
          </cell>
          <cell r="AP49">
            <v>206.14400000000001</v>
          </cell>
          <cell r="AQ49">
            <v>211.26300000000001</v>
          </cell>
          <cell r="AR49">
            <v>206.05599999999998</v>
          </cell>
          <cell r="AS49">
            <v>209.57900000000001</v>
          </cell>
          <cell r="AT49">
            <v>209.15600000000001</v>
          </cell>
          <cell r="AU49">
            <v>218.84299999999999</v>
          </cell>
          <cell r="AV49">
            <v>204.946</v>
          </cell>
          <cell r="AW49">
            <v>193.751</v>
          </cell>
          <cell r="AX49">
            <v>213.33600000000001</v>
          </cell>
          <cell r="AY49">
            <v>204</v>
          </cell>
          <cell r="AZ49">
            <v>198</v>
          </cell>
          <cell r="BA49">
            <v>197</v>
          </cell>
          <cell r="BB49">
            <v>205</v>
          </cell>
          <cell r="BC49">
            <v>198</v>
          </cell>
          <cell r="BD49">
            <v>207</v>
          </cell>
          <cell r="BE49">
            <v>209</v>
          </cell>
          <cell r="BF49">
            <v>218</v>
          </cell>
          <cell r="BG49">
            <v>228</v>
          </cell>
          <cell r="BH49">
            <v>235</v>
          </cell>
          <cell r="BI49">
            <v>229</v>
          </cell>
          <cell r="BJ49">
            <v>228</v>
          </cell>
          <cell r="BK49">
            <v>245</v>
          </cell>
          <cell r="BL49">
            <v>238</v>
          </cell>
          <cell r="BM49">
            <v>239</v>
          </cell>
          <cell r="BN49">
            <v>254</v>
          </cell>
          <cell r="BO49">
            <v>248</v>
          </cell>
          <cell r="BP49">
            <v>236</v>
          </cell>
          <cell r="BQ49">
            <v>243</v>
          </cell>
          <cell r="BR49">
            <v>263</v>
          </cell>
          <cell r="BS49">
            <v>180</v>
          </cell>
          <cell r="BT49">
            <v>156</v>
          </cell>
          <cell r="BU49">
            <v>152</v>
          </cell>
          <cell r="BV49">
            <v>163</v>
          </cell>
          <cell r="BW49">
            <v>164</v>
          </cell>
          <cell r="BX49">
            <v>161</v>
          </cell>
          <cell r="BY49">
            <v>160</v>
          </cell>
          <cell r="BZ49">
            <v>162</v>
          </cell>
          <cell r="CA49">
            <v>155</v>
          </cell>
          <cell r="CB49">
            <v>158.7507047045099</v>
          </cell>
          <cell r="CC49">
            <v>138.76931664308384</v>
          </cell>
          <cell r="CD49">
            <v>151.90998702924577</v>
          </cell>
          <cell r="CE49">
            <v>137.77844152778988</v>
          </cell>
          <cell r="CF49">
            <v>138.806731570012</v>
          </cell>
          <cell r="CG49">
            <v>122.60882313358448</v>
          </cell>
          <cell r="CH49">
            <v>128.82314089559122</v>
          </cell>
          <cell r="CI49">
            <v>131.81591585494184</v>
          </cell>
          <cell r="CJ49">
            <v>130.55804275305826</v>
          </cell>
          <cell r="CK49">
            <v>126.49223539718331</v>
          </cell>
          <cell r="CL49">
            <v>120.82052124495875</v>
          </cell>
          <cell r="CM49">
            <v>133.33371152259573</v>
          </cell>
          <cell r="CN49">
            <v>134.04665993870429</v>
          </cell>
          <cell r="CO49">
            <v>128.9753904241972</v>
          </cell>
          <cell r="CP49">
            <v>122.10270559783848</v>
          </cell>
          <cell r="CQ49">
            <v>133.84508935952402</v>
          </cell>
          <cell r="CR49">
            <v>134.12197137053147</v>
          </cell>
          <cell r="CS49">
            <v>127.53654542112737</v>
          </cell>
          <cell r="CT49">
            <v>120.83856740582237</v>
          </cell>
          <cell r="CU49">
            <v>133.5412969606478</v>
          </cell>
          <cell r="CV49">
            <v>133.88185423593356</v>
          </cell>
          <cell r="CW49">
            <v>126.39683809686713</v>
          </cell>
          <cell r="CX49">
            <v>119.94890258419335</v>
          </cell>
          <cell r="CY49">
            <v>0</v>
          </cell>
          <cell r="CZ49">
            <v>0</v>
          </cell>
          <cell r="DA49">
            <v>0</v>
          </cell>
          <cell r="DB49">
            <v>182.95800000000003</v>
          </cell>
          <cell r="DC49">
            <v>322.67099999999999</v>
          </cell>
          <cell r="DD49">
            <v>404.50099999999998</v>
          </cell>
          <cell r="DE49">
            <v>471.76799999999997</v>
          </cell>
          <cell r="DF49">
            <v>552.17000000000007</v>
          </cell>
          <cell r="DG49">
            <v>674.95</v>
          </cell>
          <cell r="DH49">
            <v>757.97500000000002</v>
          </cell>
          <cell r="DI49">
            <v>807.94600000000003</v>
          </cell>
          <cell r="DJ49">
            <v>836.05399999999986</v>
          </cell>
          <cell r="DK49">
            <v>830.87599999999998</v>
          </cell>
          <cell r="DL49">
            <v>804</v>
          </cell>
          <cell r="DM49">
            <v>832</v>
          </cell>
          <cell r="DN49">
            <v>920</v>
          </cell>
          <cell r="DO49">
            <v>976</v>
          </cell>
          <cell r="DP49">
            <v>990</v>
          </cell>
          <cell r="DQ49">
            <v>651</v>
          </cell>
          <cell r="DR49">
            <v>647</v>
          </cell>
          <cell r="DS49">
            <v>604.4300083768394</v>
          </cell>
          <cell r="DT49">
            <v>528.01713712697756</v>
          </cell>
          <cell r="DU49">
            <v>509.68671525014213</v>
          </cell>
          <cell r="DV49">
            <v>518.45846748333565</v>
          </cell>
          <cell r="DW49">
            <v>516.34217355700525</v>
          </cell>
          <cell r="DX49">
            <v>513.76889187764175</v>
          </cell>
          <cell r="DY49">
            <v>0</v>
          </cell>
          <cell r="DZ49">
            <v>0</v>
          </cell>
          <cell r="EA49">
            <v>604.4300083768394</v>
          </cell>
          <cell r="EB49">
            <v>538.50703345161514</v>
          </cell>
          <cell r="EC49">
            <v>547.90376522822794</v>
          </cell>
          <cell r="ED49">
            <v>558.90325625750722</v>
          </cell>
          <cell r="EE49">
            <v>547.65836340820113</v>
          </cell>
          <cell r="EF49">
            <v>533.68508757128848</v>
          </cell>
        </row>
        <row r="50">
          <cell r="A50" t="str">
            <v>% of SYMC revenue</v>
          </cell>
          <cell r="B50">
            <v>0</v>
          </cell>
          <cell r="C50">
            <v>0</v>
          </cell>
          <cell r="D50">
            <v>0</v>
          </cell>
          <cell r="E50">
            <v>0</v>
          </cell>
          <cell r="F50">
            <v>0</v>
          </cell>
          <cell r="G50">
            <v>0</v>
          </cell>
          <cell r="H50">
            <v>0</v>
          </cell>
          <cell r="I50">
            <v>0</v>
          </cell>
          <cell r="J50">
            <v>0</v>
          </cell>
          <cell r="K50">
            <v>0.13839453434817092</v>
          </cell>
          <cell r="L50">
            <v>0.13001627137829186</v>
          </cell>
          <cell r="M50">
            <v>0.13774646867732623</v>
          </cell>
          <cell r="N50">
            <v>0.13252821432338363</v>
          </cell>
          <cell r="O50">
            <v>0.14447368477037598</v>
          </cell>
          <cell r="P50">
            <v>0.14903440895784717</v>
          </cell>
          <cell r="Q50">
            <v>0.15037186393554955</v>
          </cell>
          <cell r="R50">
            <v>0.15454488333088981</v>
          </cell>
          <cell r="S50">
            <v>0.15301649165754039</v>
          </cell>
          <cell r="T50">
            <v>0.15733254233287722</v>
          </cell>
          <cell r="U50">
            <v>0.16068032325938469</v>
          </cell>
          <cell r="V50">
            <v>0.16054894009596296</v>
          </cell>
          <cell r="W50">
            <v>0.15995064534553344</v>
          </cell>
          <cell r="X50">
            <v>0.16551795082810411</v>
          </cell>
          <cell r="Y50">
            <v>0.16450333951812629</v>
          </cell>
          <cell r="Z50">
            <v>0.15822153609034106</v>
          </cell>
          <cell r="AA50">
            <v>0.16752297570591096</v>
          </cell>
          <cell r="AB50">
            <v>0.15608464660294158</v>
          </cell>
          <cell r="AC50">
            <v>0.14738604829192054</v>
          </cell>
          <cell r="AD50">
            <v>0.14363473681326311</v>
          </cell>
          <cell r="AE50">
            <v>0.14542283483678237</v>
          </cell>
          <cell r="AF50">
            <v>0.15116006115936326</v>
          </cell>
          <cell r="AG50">
            <v>0.14420638955869791</v>
          </cell>
          <cell r="AH50">
            <v>0.14350332876755964</v>
          </cell>
          <cell r="AI50">
            <v>0.14883418043202032</v>
          </cell>
          <cell r="AJ50">
            <v>0.15648780684212646</v>
          </cell>
          <cell r="AK50">
            <v>0.14915414366272031</v>
          </cell>
          <cell r="AL50">
            <v>0.1516178193615193</v>
          </cell>
          <cell r="AM50">
            <v>0.15388891045297518</v>
          </cell>
          <cell r="AN50">
            <v>0.1578170743965723</v>
          </cell>
          <cell r="AO50">
            <v>0.15275622727773078</v>
          </cell>
          <cell r="AP50">
            <v>0.15104536841781327</v>
          </cell>
          <cell r="AQ50">
            <v>0.14847938354450663</v>
          </cell>
          <cell r="AR50">
            <v>0.14336005877556471</v>
          </cell>
          <cell r="AS50">
            <v>0.13706699559065705</v>
          </cell>
          <cell r="AT50">
            <v>0.13511482977570224</v>
          </cell>
          <cell r="AU50">
            <v>0.13222398983017872</v>
          </cell>
          <cell r="AV50">
            <v>0.13456915689579435</v>
          </cell>
          <cell r="AW50">
            <v>0.12592378839193391</v>
          </cell>
          <cell r="AX50">
            <v>0.14340238519998333</v>
          </cell>
          <cell r="AY50">
            <v>0.14127423822714683</v>
          </cell>
          <cell r="AZ50">
            <v>0.13387423935091278</v>
          </cell>
          <cell r="BA50">
            <v>0.12701482914248871</v>
          </cell>
          <cell r="BB50">
            <v>0.13355048859934854</v>
          </cell>
          <cell r="BC50">
            <v>0.13817166782972784</v>
          </cell>
          <cell r="BD50">
            <v>0.13986486486486485</v>
          </cell>
          <cell r="BE50">
            <v>0.13029925187032418</v>
          </cell>
          <cell r="BF50">
            <v>0.13030484160191272</v>
          </cell>
          <cell r="BG50">
            <v>0.13793103448275862</v>
          </cell>
          <cell r="BH50">
            <v>0.13979773944080903</v>
          </cell>
          <cell r="BI50">
            <v>0.13352769679300291</v>
          </cell>
          <cell r="BJ50">
            <v>0.13563355145746581</v>
          </cell>
          <cell r="BK50">
            <v>0.14688249400479617</v>
          </cell>
          <cell r="BL50">
            <v>0.14008240141259565</v>
          </cell>
          <cell r="BM50">
            <v>0.13344500279173646</v>
          </cell>
          <cell r="BN50">
            <v>0.14530892448512586</v>
          </cell>
          <cell r="BO50">
            <v>0.14511410181392628</v>
          </cell>
          <cell r="BP50">
            <v>0.14416615760537568</v>
          </cell>
          <cell r="BQ50">
            <v>0.14252199413489736</v>
          </cell>
          <cell r="BR50">
            <v>0.15939393939393939</v>
          </cell>
          <cell r="BS50">
            <v>0.16574585635359115</v>
          </cell>
          <cell r="BT50">
            <v>0.15584415584415584</v>
          </cell>
          <cell r="BU50">
            <v>0.15670103092783505</v>
          </cell>
          <cell r="BV50">
            <v>0.17545748116254037</v>
          </cell>
          <cell r="BW50">
            <v>0.17982456140350878</v>
          </cell>
          <cell r="BX50">
            <v>0.17770419426048564</v>
          </cell>
          <cell r="BY50">
            <v>0.17601760176017603</v>
          </cell>
          <cell r="BZ50">
            <v>0.18556701030927836</v>
          </cell>
          <cell r="CA50">
            <v>0.17533936651583709</v>
          </cell>
          <cell r="CB50">
            <v>0.17817138575141403</v>
          </cell>
          <cell r="CC50">
            <v>0.15751341276172967</v>
          </cell>
          <cell r="CD50">
            <v>0.17623698744647773</v>
          </cell>
          <cell r="CE50">
            <v>0.16329846346852464</v>
          </cell>
          <cell r="CF50">
            <v>0.16231747747650352</v>
          </cell>
          <cell r="CG50">
            <v>0.15946908803802878</v>
          </cell>
          <cell r="CH50">
            <v>0.18</v>
          </cell>
          <cell r="CI50">
            <v>0.1690294189519107</v>
          </cell>
          <cell r="CJ50">
            <v>0.17281912271901168</v>
          </cell>
          <cell r="CK50">
            <v>0.17520728771447003</v>
          </cell>
          <cell r="CL50">
            <v>0.1701808379116094</v>
          </cell>
          <cell r="CM50">
            <v>0.1677794189519107</v>
          </cell>
          <cell r="CN50">
            <v>0.17156912271901167</v>
          </cell>
          <cell r="CO50">
            <v>0.17395728771447003</v>
          </cell>
          <cell r="CP50">
            <v>0.1689308379116094</v>
          </cell>
          <cell r="CQ50">
            <v>0.1665294189519107</v>
          </cell>
          <cell r="CR50">
            <v>0.17031912271901167</v>
          </cell>
          <cell r="CS50">
            <v>0.17270728771447003</v>
          </cell>
          <cell r="CT50">
            <v>0.1676808379116094</v>
          </cell>
          <cell r="CU50">
            <v>0.1652794189519107</v>
          </cell>
          <cell r="CV50">
            <v>0.16906912271901167</v>
          </cell>
          <cell r="CW50">
            <v>0.17145728771447002</v>
          </cell>
          <cell r="CX50">
            <v>0.1664308379116094</v>
          </cell>
          <cell r="CY50">
            <v>0</v>
          </cell>
          <cell r="CZ50" t="str">
            <v xml:space="preserve">NM </v>
          </cell>
          <cell r="DA50" t="str">
            <v xml:space="preserve">NM </v>
          </cell>
          <cell r="DB50">
            <v>0.13474005769376646</v>
          </cell>
          <cell r="DC50">
            <v>0.14997518006075772</v>
          </cell>
          <cell r="DD50">
            <v>0.15796729206459417</v>
          </cell>
          <cell r="DE50">
            <v>0.16195573962286952</v>
          </cell>
          <cell r="DF50">
            <v>0.15265054671880254</v>
          </cell>
          <cell r="DG50">
            <v>0.14594387598997821</v>
          </cell>
          <cell r="DH50">
            <v>0.15146056360374532</v>
          </cell>
          <cell r="DI50">
            <v>0.15381636677451033</v>
          </cell>
          <cell r="DJ50">
            <v>0.14081647055534191</v>
          </cell>
          <cell r="DK50">
            <v>0.1339175869703724</v>
          </cell>
          <cell r="DL50">
            <v>0.13379930104842735</v>
          </cell>
          <cell r="DM50">
            <v>0.13441033925686591</v>
          </cell>
          <cell r="DN50">
            <v>0.13670133729569092</v>
          </cell>
          <cell r="DO50">
            <v>0.14132638285548799</v>
          </cell>
          <cell r="DP50">
            <v>0.14773914341143113</v>
          </cell>
          <cell r="DQ50">
            <v>0.16332162568991471</v>
          </cell>
          <cell r="DR50">
            <v>0.17972222222222223</v>
          </cell>
          <cell r="DS50">
            <v>0.17181243503616622</v>
          </cell>
          <cell r="DT50">
            <v>0.16586485254948602</v>
          </cell>
          <cell r="DU50">
            <v>0.17177293219288339</v>
          </cell>
          <cell r="DV50">
            <v>0.17053367651675339</v>
          </cell>
          <cell r="DW50">
            <v>0.16927541648393063</v>
          </cell>
          <cell r="DX50">
            <v>0.16802165778332437</v>
          </cell>
          <cell r="DY50">
            <v>0</v>
          </cell>
          <cell r="DZ50">
            <v>0</v>
          </cell>
          <cell r="EA50">
            <v>0.17181243503616622</v>
          </cell>
          <cell r="EB50">
            <v>0.16791494692759126</v>
          </cell>
          <cell r="EC50">
            <v>0.19463705610779855</v>
          </cell>
          <cell r="ED50">
            <v>0.18989594433756929</v>
          </cell>
          <cell r="EE50">
            <v>0.18995559418514898</v>
          </cell>
          <cell r="EF50">
            <v>0.1899889905478517</v>
          </cell>
        </row>
        <row r="51">
          <cell r="A51">
            <v>0</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0</v>
          </cell>
          <cell r="DM51">
            <v>0</v>
          </cell>
          <cell r="DN51">
            <v>0</v>
          </cell>
          <cell r="DO51">
            <v>0</v>
          </cell>
          <cell r="DP51">
            <v>0</v>
          </cell>
          <cell r="DQ51">
            <v>0</v>
          </cell>
          <cell r="DR51">
            <v>0</v>
          </cell>
          <cell r="DS51">
            <v>0</v>
          </cell>
          <cell r="DT51">
            <v>0</v>
          </cell>
          <cell r="DU51">
            <v>0</v>
          </cell>
          <cell r="DV51">
            <v>0</v>
          </cell>
          <cell r="DW51">
            <v>0</v>
          </cell>
          <cell r="DX51">
            <v>0</v>
          </cell>
          <cell r="DY51">
            <v>0</v>
          </cell>
          <cell r="DZ51">
            <v>0</v>
          </cell>
          <cell r="EA51">
            <v>0</v>
          </cell>
          <cell r="EB51">
            <v>0</v>
          </cell>
          <cell r="EC51">
            <v>0</v>
          </cell>
          <cell r="ED51">
            <v>0</v>
          </cell>
          <cell r="EE51">
            <v>0</v>
          </cell>
          <cell r="EF51">
            <v>0</v>
          </cell>
        </row>
        <row r="52">
          <cell r="A52" t="str">
            <v>Research and development -- BLCT</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18.249295295490104</v>
          </cell>
          <cell r="CC52">
            <v>39.23068335691616</v>
          </cell>
          <cell r="CD52">
            <v>42.060378375679129</v>
          </cell>
          <cell r="CE52">
            <v>40.188741985425125</v>
          </cell>
          <cell r="CF52">
            <v>40.583997855331418</v>
          </cell>
          <cell r="CG52">
            <v>43.781906291758929</v>
          </cell>
          <cell r="CH52">
            <v>47.077692205114623</v>
          </cell>
          <cell r="CI52">
            <v>44.576144540222607</v>
          </cell>
          <cell r="CJ52">
            <v>45.720615206219811</v>
          </cell>
          <cell r="CK52">
            <v>50.48955870306655</v>
          </cell>
          <cell r="CL52">
            <v>54.41531334961563</v>
          </cell>
          <cell r="CM52">
            <v>49.453212751961473</v>
          </cell>
          <cell r="CN52">
            <v>49.721207015379171</v>
          </cell>
          <cell r="CO52">
            <v>55.469863637319058</v>
          </cell>
          <cell r="CP52">
            <v>60.670988305223403</v>
          </cell>
          <cell r="CQ52">
            <v>56.430969214889792</v>
          </cell>
          <cell r="CR52">
            <v>56.294373179601514</v>
          </cell>
          <cell r="CS52">
            <v>63.023061077804876</v>
          </cell>
          <cell r="CT52">
            <v>67.943295675824544</v>
          </cell>
          <cell r="CU52">
            <v>63.418960015869146</v>
          </cell>
          <cell r="CV52">
            <v>62.755612031330017</v>
          </cell>
          <cell r="CW52">
            <v>70.226930313054993</v>
          </cell>
          <cell r="CX52">
            <v>75.09715938536408</v>
          </cell>
          <cell r="CY52">
            <v>0</v>
          </cell>
          <cell r="CZ52">
            <v>0</v>
          </cell>
          <cell r="DA52">
            <v>0</v>
          </cell>
          <cell r="DB52">
            <v>0</v>
          </cell>
          <cell r="DC52">
            <v>0</v>
          </cell>
          <cell r="DD52">
            <v>0</v>
          </cell>
          <cell r="DE52">
            <v>0</v>
          </cell>
          <cell r="DF52">
            <v>0</v>
          </cell>
          <cell r="DG52">
            <v>0</v>
          </cell>
          <cell r="DH52">
            <v>0</v>
          </cell>
          <cell r="DI52">
            <v>0</v>
          </cell>
          <cell r="DJ52">
            <v>0</v>
          </cell>
          <cell r="DK52">
            <v>0</v>
          </cell>
          <cell r="DL52">
            <v>0</v>
          </cell>
          <cell r="DM52">
            <v>0</v>
          </cell>
          <cell r="DN52">
            <v>0</v>
          </cell>
          <cell r="DO52">
            <v>0</v>
          </cell>
          <cell r="DP52">
            <v>0</v>
          </cell>
          <cell r="DQ52">
            <v>0</v>
          </cell>
          <cell r="DR52">
            <v>0</v>
          </cell>
          <cell r="DS52">
            <v>99.540357028085396</v>
          </cell>
          <cell r="DT52">
            <v>171.6323383376301</v>
          </cell>
          <cell r="DU52">
            <v>195.20163179912458</v>
          </cell>
          <cell r="DV52">
            <v>215.31527170988312</v>
          </cell>
          <cell r="DW52">
            <v>243.69169914812073</v>
          </cell>
          <cell r="DX52">
            <v>271.49866174561822</v>
          </cell>
          <cell r="DY52">
            <v>0</v>
          </cell>
          <cell r="DZ52">
            <v>0</v>
          </cell>
          <cell r="EA52">
            <v>99.540357028085396</v>
          </cell>
          <cell r="EB52">
            <v>171.6323383376301</v>
          </cell>
          <cell r="EC52">
            <v>195.20163179912458</v>
          </cell>
          <cell r="ED52">
            <v>215.31527170988312</v>
          </cell>
          <cell r="EE52">
            <v>243.69169914812073</v>
          </cell>
          <cell r="EF52">
            <v>271.49866174561822</v>
          </cell>
        </row>
        <row r="53">
          <cell r="A53" t="str">
            <v>% of BLCT revenue</v>
          </cell>
          <cell r="B53">
            <v>0</v>
          </cell>
          <cell r="C53">
            <v>0</v>
          </cell>
          <cell r="D53">
            <v>0</v>
          </cell>
          <cell r="E53">
            <v>0</v>
          </cell>
          <cell r="F53">
            <v>0</v>
          </cell>
          <cell r="G53">
            <v>0</v>
          </cell>
          <cell r="H53">
            <v>0</v>
          </cell>
          <cell r="I53">
            <v>0</v>
          </cell>
          <cell r="J53">
            <v>0</v>
          </cell>
          <cell r="K53" t="str">
            <v xml:space="preserve">NM </v>
          </cell>
          <cell r="L53" t="str">
            <v xml:space="preserve">NM </v>
          </cell>
          <cell r="M53" t="str">
            <v xml:space="preserve">NM </v>
          </cell>
          <cell r="N53" t="str">
            <v xml:space="preserve">NM </v>
          </cell>
          <cell r="O53" t="str">
            <v xml:space="preserve">NM </v>
          </cell>
          <cell r="P53" t="str">
            <v xml:space="preserve">NM </v>
          </cell>
          <cell r="Q53" t="str">
            <v xml:space="preserve">NM </v>
          </cell>
          <cell r="R53" t="str">
            <v xml:space="preserve">NM </v>
          </cell>
          <cell r="S53" t="str">
            <v xml:space="preserve">NM </v>
          </cell>
          <cell r="T53" t="str">
            <v xml:space="preserve">NM </v>
          </cell>
          <cell r="U53" t="str">
            <v xml:space="preserve">NM </v>
          </cell>
          <cell r="V53" t="str">
            <v xml:space="preserve">NM </v>
          </cell>
          <cell r="W53" t="str">
            <v xml:space="preserve">NM </v>
          </cell>
          <cell r="X53" t="str">
            <v xml:space="preserve">NM </v>
          </cell>
          <cell r="Y53" t="str">
            <v xml:space="preserve">NM </v>
          </cell>
          <cell r="Z53" t="str">
            <v xml:space="preserve">NM </v>
          </cell>
          <cell r="AA53" t="str">
            <v xml:space="preserve">NM </v>
          </cell>
          <cell r="AB53" t="str">
            <v xml:space="preserve">NM </v>
          </cell>
          <cell r="AC53" t="str">
            <v xml:space="preserve">NM </v>
          </cell>
          <cell r="AD53" t="str">
            <v xml:space="preserve">NM </v>
          </cell>
          <cell r="AE53" t="str">
            <v xml:space="preserve">NM </v>
          </cell>
          <cell r="AF53" t="str">
            <v xml:space="preserve">NM </v>
          </cell>
          <cell r="AG53" t="str">
            <v xml:space="preserve">NM </v>
          </cell>
          <cell r="AH53" t="str">
            <v xml:space="preserve">NM </v>
          </cell>
          <cell r="AI53" t="str">
            <v xml:space="preserve">NM </v>
          </cell>
          <cell r="AJ53" t="str">
            <v xml:space="preserve">NM </v>
          </cell>
          <cell r="AK53" t="str">
            <v xml:space="preserve">NM </v>
          </cell>
          <cell r="AL53" t="str">
            <v xml:space="preserve">NM </v>
          </cell>
          <cell r="AM53" t="str">
            <v xml:space="preserve">NM </v>
          </cell>
          <cell r="AN53" t="str">
            <v xml:space="preserve">NM </v>
          </cell>
          <cell r="AO53" t="str">
            <v xml:space="preserve">NM </v>
          </cell>
          <cell r="AP53" t="str">
            <v xml:space="preserve">NM </v>
          </cell>
          <cell r="AQ53" t="str">
            <v xml:space="preserve">NM </v>
          </cell>
          <cell r="AR53" t="str">
            <v xml:space="preserve">NM </v>
          </cell>
          <cell r="AS53" t="str">
            <v xml:space="preserve">NM </v>
          </cell>
          <cell r="AT53" t="str">
            <v xml:space="preserve">NM </v>
          </cell>
          <cell r="AU53" t="str">
            <v xml:space="preserve">NM </v>
          </cell>
          <cell r="AV53" t="str">
            <v xml:space="preserve">NM </v>
          </cell>
          <cell r="AW53" t="str">
            <v xml:space="preserve">NM </v>
          </cell>
          <cell r="AX53" t="str">
            <v xml:space="preserve">NM </v>
          </cell>
          <cell r="AY53" t="str">
            <v xml:space="preserve">NM </v>
          </cell>
          <cell r="AZ53" t="str">
            <v xml:space="preserve">NM </v>
          </cell>
          <cell r="BA53" t="str">
            <v xml:space="preserve">NM </v>
          </cell>
          <cell r="BB53" t="str">
            <v xml:space="preserve">NM </v>
          </cell>
          <cell r="BC53" t="str">
            <v xml:space="preserve">NM </v>
          </cell>
          <cell r="BD53" t="str">
            <v xml:space="preserve">NM </v>
          </cell>
          <cell r="BE53" t="str">
            <v xml:space="preserve">NM </v>
          </cell>
          <cell r="BF53" t="str">
            <v xml:space="preserve">NM </v>
          </cell>
          <cell r="BG53" t="str">
            <v xml:space="preserve">NM </v>
          </cell>
          <cell r="BH53" t="str">
            <v xml:space="preserve">NM </v>
          </cell>
          <cell r="BI53" t="str">
            <v xml:space="preserve">NM </v>
          </cell>
          <cell r="BJ53" t="str">
            <v xml:space="preserve">NM </v>
          </cell>
          <cell r="BK53" t="str">
            <v xml:space="preserve">NM </v>
          </cell>
          <cell r="BL53" t="str">
            <v xml:space="preserve">NM </v>
          </cell>
          <cell r="BM53" t="str">
            <v xml:space="preserve">NM </v>
          </cell>
          <cell r="BN53" t="str">
            <v xml:space="preserve">NM </v>
          </cell>
          <cell r="BO53" t="str">
            <v xml:space="preserve">NM </v>
          </cell>
          <cell r="BP53" t="str">
            <v xml:space="preserve">NM </v>
          </cell>
          <cell r="BQ53" t="str">
            <v xml:space="preserve">NM </v>
          </cell>
          <cell r="BR53" t="str">
            <v xml:space="preserve">NM </v>
          </cell>
          <cell r="BS53" t="str">
            <v xml:space="preserve">NM </v>
          </cell>
          <cell r="BT53" t="str">
            <v xml:space="preserve">NM </v>
          </cell>
          <cell r="BU53" t="str">
            <v xml:space="preserve">NM </v>
          </cell>
          <cell r="BV53" t="str">
            <v xml:space="preserve">NM </v>
          </cell>
          <cell r="BW53" t="str">
            <v xml:space="preserve">NM </v>
          </cell>
          <cell r="BX53" t="str">
            <v xml:space="preserve">NM </v>
          </cell>
          <cell r="BY53" t="str">
            <v xml:space="preserve">NM </v>
          </cell>
          <cell r="BZ53" t="str">
            <v xml:space="preserve">NM </v>
          </cell>
          <cell r="CA53" t="str">
            <v xml:space="preserve">NM </v>
          </cell>
          <cell r="CB53">
            <v>0.14717173625395244</v>
          </cell>
          <cell r="CC53">
            <v>0.18952020945370127</v>
          </cell>
          <cell r="CD53">
            <v>0.19651101834921095</v>
          </cell>
          <cell r="CE53">
            <v>0.19181714968638755</v>
          </cell>
          <cell r="CF53">
            <v>0.17023902881887645</v>
          </cell>
          <cell r="CG53">
            <v>0.16191914452091186</v>
          </cell>
          <cell r="CH53">
            <v>0.16451462317006371</v>
          </cell>
          <cell r="CI53">
            <v>0.19190945380020508</v>
          </cell>
          <cell r="CJ53">
            <v>0.17361774390231924</v>
          </cell>
          <cell r="CK53">
            <v>0.1669052745829058</v>
          </cell>
          <cell r="CL53">
            <v>0.17077402144345763</v>
          </cell>
          <cell r="CM53">
            <v>0.19171754434640487</v>
          </cell>
          <cell r="CN53">
            <v>0.17344412615841692</v>
          </cell>
          <cell r="CO53">
            <v>0.16673836930832289</v>
          </cell>
          <cell r="CP53">
            <v>0.17060324742201416</v>
          </cell>
          <cell r="CQ53">
            <v>0.19152582680205846</v>
          </cell>
          <cell r="CR53">
            <v>0.17327068203225851</v>
          </cell>
          <cell r="CS53">
            <v>0.16657163093901456</v>
          </cell>
          <cell r="CT53">
            <v>0.17043264417459217</v>
          </cell>
          <cell r="CU53">
            <v>0.19133430097525639</v>
          </cell>
          <cell r="CV53">
            <v>0.17309741135022624</v>
          </cell>
          <cell r="CW53">
            <v>0.16640505930807553</v>
          </cell>
          <cell r="CX53">
            <v>0.17026221153041754</v>
          </cell>
          <cell r="CY53">
            <v>0</v>
          </cell>
          <cell r="CZ53" t="str">
            <v xml:space="preserve">NM </v>
          </cell>
          <cell r="DA53" t="str">
            <v xml:space="preserve">NM </v>
          </cell>
          <cell r="DB53" t="str">
            <v xml:space="preserve">NM </v>
          </cell>
          <cell r="DC53" t="str">
            <v xml:space="preserve">NM </v>
          </cell>
          <cell r="DD53" t="str">
            <v xml:space="preserve">NM </v>
          </cell>
          <cell r="DE53" t="str">
            <v xml:space="preserve">NM </v>
          </cell>
          <cell r="DF53" t="str">
            <v xml:space="preserve">NM </v>
          </cell>
          <cell r="DG53" t="str">
            <v xml:space="preserve">NM </v>
          </cell>
          <cell r="DH53" t="str">
            <v xml:space="preserve">NM </v>
          </cell>
          <cell r="DI53" t="str">
            <v xml:space="preserve">NM </v>
          </cell>
          <cell r="DJ53" t="str">
            <v xml:space="preserve">NM </v>
          </cell>
          <cell r="DK53" t="str">
            <v xml:space="preserve">NM </v>
          </cell>
          <cell r="DL53" t="str">
            <v xml:space="preserve">NM </v>
          </cell>
          <cell r="DM53" t="str">
            <v xml:space="preserve">NM </v>
          </cell>
          <cell r="DN53" t="str">
            <v xml:space="preserve">NM </v>
          </cell>
          <cell r="DO53" t="str">
            <v xml:space="preserve">NM </v>
          </cell>
          <cell r="DP53" t="str">
            <v xml:space="preserve">NM </v>
          </cell>
          <cell r="DQ53" t="str">
            <v xml:space="preserve">NM </v>
          </cell>
          <cell r="DR53" t="str">
            <v xml:space="preserve">NM </v>
          </cell>
          <cell r="DS53">
            <v>0.18263088523568596</v>
          </cell>
          <cell r="DT53">
            <v>0.17086942727527527</v>
          </cell>
          <cell r="DU53">
            <v>0.17479263285694463</v>
          </cell>
          <cell r="DV53">
            <v>0.17463841346099512</v>
          </cell>
          <cell r="DW53">
            <v>0.17449705364626258</v>
          </cell>
          <cell r="DX53">
            <v>0.17436251476677242</v>
          </cell>
          <cell r="DY53">
            <v>0</v>
          </cell>
          <cell r="DZ53">
            <v>0</v>
          </cell>
          <cell r="EA53">
            <v>0.18263088523568596</v>
          </cell>
          <cell r="EB53">
            <v>0.17086942727527527</v>
          </cell>
          <cell r="EC53">
            <v>0.17479263285694463</v>
          </cell>
          <cell r="ED53">
            <v>0.17463841346099512</v>
          </cell>
          <cell r="EE53">
            <v>0.17449705364626258</v>
          </cell>
          <cell r="EF53">
            <v>0.17436251476677242</v>
          </cell>
        </row>
        <row r="54">
          <cell r="A54">
            <v>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row>
        <row r="55">
          <cell r="A55" t="str">
            <v>Research and development -- LOCK</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cell r="CD55">
            <v>9.0296345950750929</v>
          </cell>
          <cell r="CE55">
            <v>13.032816486785004</v>
          </cell>
          <cell r="CF55">
            <v>8.6092705746565859</v>
          </cell>
          <cell r="CG55">
            <v>8.6092705746565859</v>
          </cell>
          <cell r="CH55">
            <v>9.7889991737798638</v>
          </cell>
          <cell r="CI55">
            <v>9.2977718793212922</v>
          </cell>
          <cell r="CJ55">
            <v>9.4111743152076706</v>
          </cell>
          <cell r="CK55">
            <v>8.7080381742358828</v>
          </cell>
          <cell r="CL55">
            <v>10.453997679911351</v>
          </cell>
          <cell r="CM55">
            <v>5.9768190531912433</v>
          </cell>
          <cell r="CN55">
            <v>9.4122415535256518</v>
          </cell>
          <cell r="CO55">
            <v>8.4102957461814665</v>
          </cell>
          <cell r="CP55">
            <v>11.095773336965012</v>
          </cell>
          <cell r="CQ55">
            <v>3.8190484253288055</v>
          </cell>
          <cell r="CR55">
            <v>9.3583121785457539</v>
          </cell>
          <cell r="CS55">
            <v>8.0763931494266377</v>
          </cell>
          <cell r="CT55">
            <v>11.71134253426192</v>
          </cell>
          <cell r="CU55">
            <v>2.4270098298598421</v>
          </cell>
          <cell r="CV55">
            <v>9.255276685892456</v>
          </cell>
          <cell r="CW55">
            <v>7.7155323028502512</v>
          </cell>
          <cell r="CX55">
            <v>12.298486294241888</v>
          </cell>
          <cell r="CY55">
            <v>0</v>
          </cell>
          <cell r="CZ55">
            <v>0</v>
          </cell>
          <cell r="DA55">
            <v>0</v>
          </cell>
          <cell r="DB55">
            <v>0</v>
          </cell>
          <cell r="DC55">
            <v>0</v>
          </cell>
          <cell r="DD55">
            <v>0</v>
          </cell>
          <cell r="DE55">
            <v>0</v>
          </cell>
          <cell r="DF55">
            <v>0</v>
          </cell>
          <cell r="DG55">
            <v>0</v>
          </cell>
          <cell r="DH55">
            <v>0</v>
          </cell>
          <cell r="DI55">
            <v>0</v>
          </cell>
          <cell r="DJ55">
            <v>0</v>
          </cell>
          <cell r="DK55">
            <v>0</v>
          </cell>
          <cell r="DL55">
            <v>0</v>
          </cell>
          <cell r="DM55">
            <v>0</v>
          </cell>
          <cell r="DN55">
            <v>0</v>
          </cell>
          <cell r="DO55">
            <v>0</v>
          </cell>
          <cell r="DP55">
            <v>0</v>
          </cell>
          <cell r="DQ55">
            <v>0</v>
          </cell>
          <cell r="DR55">
            <v>0</v>
          </cell>
          <cell r="DS55">
            <v>9.0296345950750929</v>
          </cell>
          <cell r="DT55">
            <v>40.040356809878041</v>
          </cell>
          <cell r="DU55">
            <v>37.870982048676197</v>
          </cell>
          <cell r="DV55">
            <v>34.895129689863374</v>
          </cell>
          <cell r="DW55">
            <v>32.965096287563114</v>
          </cell>
          <cell r="DX55">
            <v>31.696305112844442</v>
          </cell>
          <cell r="DY55">
            <v>0</v>
          </cell>
          <cell r="DZ55">
            <v>0</v>
          </cell>
          <cell r="EA55">
            <v>9.0296345950750929</v>
          </cell>
          <cell r="EB55">
            <v>38.860628210754761</v>
          </cell>
          <cell r="EC55">
            <v>36.894602972647505</v>
          </cell>
          <cell r="ED55">
            <v>35.429721515739267</v>
          </cell>
          <cell r="EE55">
            <v>33.958734992417149</v>
          </cell>
          <cell r="EF55">
            <v>32.924006827731262</v>
          </cell>
        </row>
        <row r="56">
          <cell r="A56" t="str">
            <v>% of LOCK revenue</v>
          </cell>
          <cell r="B56">
            <v>0</v>
          </cell>
          <cell r="C56">
            <v>0</v>
          </cell>
          <cell r="D56">
            <v>0</v>
          </cell>
          <cell r="E56">
            <v>0</v>
          </cell>
          <cell r="F56">
            <v>0</v>
          </cell>
          <cell r="G56">
            <v>0</v>
          </cell>
          <cell r="H56">
            <v>0</v>
          </cell>
          <cell r="I56">
            <v>0</v>
          </cell>
          <cell r="J56">
            <v>0</v>
          </cell>
          <cell r="K56" t="str">
            <v xml:space="preserve">NM </v>
          </cell>
          <cell r="L56" t="str">
            <v xml:space="preserve">NM </v>
          </cell>
          <cell r="M56" t="str">
            <v xml:space="preserve">NM </v>
          </cell>
          <cell r="N56" t="str">
            <v xml:space="preserve">NM </v>
          </cell>
          <cell r="O56" t="str">
            <v xml:space="preserve">NM </v>
          </cell>
          <cell r="P56" t="str">
            <v xml:space="preserve">NM </v>
          </cell>
          <cell r="Q56" t="str">
            <v xml:space="preserve">NM </v>
          </cell>
          <cell r="R56" t="str">
            <v xml:space="preserve">NM </v>
          </cell>
          <cell r="S56" t="str">
            <v xml:space="preserve">NM </v>
          </cell>
          <cell r="T56" t="str">
            <v xml:space="preserve">NM </v>
          </cell>
          <cell r="U56" t="str">
            <v xml:space="preserve">NM </v>
          </cell>
          <cell r="V56" t="str">
            <v xml:space="preserve">NM </v>
          </cell>
          <cell r="W56" t="str">
            <v xml:space="preserve">NM </v>
          </cell>
          <cell r="X56" t="str">
            <v xml:space="preserve">NM </v>
          </cell>
          <cell r="Y56" t="str">
            <v xml:space="preserve">NM </v>
          </cell>
          <cell r="Z56" t="str">
            <v xml:space="preserve">NM </v>
          </cell>
          <cell r="AA56" t="str">
            <v xml:space="preserve">NM </v>
          </cell>
          <cell r="AB56" t="str">
            <v xml:space="preserve">NM </v>
          </cell>
          <cell r="AC56" t="str">
            <v xml:space="preserve">NM </v>
          </cell>
          <cell r="AD56" t="str">
            <v xml:space="preserve">NM </v>
          </cell>
          <cell r="AE56" t="str">
            <v xml:space="preserve">NM </v>
          </cell>
          <cell r="AF56" t="str">
            <v xml:space="preserve">NM </v>
          </cell>
          <cell r="AG56" t="str">
            <v xml:space="preserve">NM </v>
          </cell>
          <cell r="AH56" t="str">
            <v xml:space="preserve">NM </v>
          </cell>
          <cell r="AI56" t="str">
            <v xml:space="preserve">NM </v>
          </cell>
          <cell r="AJ56" t="str">
            <v xml:space="preserve">NM </v>
          </cell>
          <cell r="AK56" t="str">
            <v xml:space="preserve">NM </v>
          </cell>
          <cell r="AL56" t="str">
            <v xml:space="preserve">NM </v>
          </cell>
          <cell r="AM56" t="str">
            <v xml:space="preserve">NM </v>
          </cell>
          <cell r="AN56" t="str">
            <v xml:space="preserve">NM </v>
          </cell>
          <cell r="AO56" t="str">
            <v xml:space="preserve">NM </v>
          </cell>
          <cell r="AP56" t="str">
            <v xml:space="preserve">NM </v>
          </cell>
          <cell r="AQ56" t="str">
            <v xml:space="preserve">NM </v>
          </cell>
          <cell r="AR56" t="str">
            <v xml:space="preserve">NM </v>
          </cell>
          <cell r="AS56" t="str">
            <v xml:space="preserve">NM </v>
          </cell>
          <cell r="AT56" t="str">
            <v xml:space="preserve">NM </v>
          </cell>
          <cell r="AU56" t="str">
            <v xml:space="preserve">NM </v>
          </cell>
          <cell r="AV56" t="str">
            <v xml:space="preserve">NM </v>
          </cell>
          <cell r="AW56" t="str">
            <v xml:space="preserve">NM </v>
          </cell>
          <cell r="AX56" t="str">
            <v xml:space="preserve">NM </v>
          </cell>
          <cell r="AY56" t="str">
            <v xml:space="preserve">NM </v>
          </cell>
          <cell r="AZ56" t="str">
            <v xml:space="preserve">NM </v>
          </cell>
          <cell r="BA56" t="str">
            <v xml:space="preserve">NM </v>
          </cell>
          <cell r="BB56" t="str">
            <v xml:space="preserve">NM </v>
          </cell>
          <cell r="BC56" t="str">
            <v xml:space="preserve">NM </v>
          </cell>
          <cell r="BD56" t="str">
            <v xml:space="preserve">NM </v>
          </cell>
          <cell r="BE56" t="str">
            <v xml:space="preserve">NM </v>
          </cell>
          <cell r="BF56" t="str">
            <v xml:space="preserve">NM </v>
          </cell>
          <cell r="BG56" t="str">
            <v xml:space="preserve">NM </v>
          </cell>
          <cell r="BH56" t="str">
            <v xml:space="preserve">NM </v>
          </cell>
          <cell r="BI56" t="str">
            <v xml:space="preserve">NM </v>
          </cell>
          <cell r="BJ56" t="str">
            <v xml:space="preserve">NM </v>
          </cell>
          <cell r="BK56" t="str">
            <v xml:space="preserve">NM </v>
          </cell>
          <cell r="BL56" t="str">
            <v xml:space="preserve">NM </v>
          </cell>
          <cell r="BM56" t="str">
            <v xml:space="preserve">NM </v>
          </cell>
          <cell r="BN56" t="str">
            <v xml:space="preserve">NM </v>
          </cell>
          <cell r="BO56" t="str">
            <v xml:space="preserve">NM </v>
          </cell>
          <cell r="BP56" t="str">
            <v xml:space="preserve">NM </v>
          </cell>
          <cell r="BQ56" t="str">
            <v xml:space="preserve">NM </v>
          </cell>
          <cell r="BR56" t="str">
            <v xml:space="preserve">NM </v>
          </cell>
          <cell r="BS56" t="str">
            <v xml:space="preserve">NM </v>
          </cell>
          <cell r="BT56" t="str">
            <v xml:space="preserve">NM </v>
          </cell>
          <cell r="BU56" t="str">
            <v xml:space="preserve">NM </v>
          </cell>
          <cell r="BV56" t="str">
            <v xml:space="preserve">NM </v>
          </cell>
          <cell r="BW56" t="str">
            <v xml:space="preserve">NM </v>
          </cell>
          <cell r="BX56" t="str">
            <v xml:space="preserve">NM </v>
          </cell>
          <cell r="BY56" t="str">
            <v xml:space="preserve">NM </v>
          </cell>
          <cell r="BZ56" t="str">
            <v xml:space="preserve">NM </v>
          </cell>
          <cell r="CA56" t="str">
            <v xml:space="preserve">NM </v>
          </cell>
          <cell r="CB56" t="str">
            <v xml:space="preserve">NM </v>
          </cell>
          <cell r="CC56" t="str">
            <v xml:space="preserve">NM </v>
          </cell>
          <cell r="CD56">
            <v>9.0296345950750923E-2</v>
          </cell>
          <cell r="CE56">
            <v>7.4574445243029835E-2</v>
          </cell>
          <cell r="CF56">
            <v>4.7187013289430445E-2</v>
          </cell>
          <cell r="CG56">
            <v>4.4206780871150625E-2</v>
          </cell>
          <cell r="CH56">
            <v>4.8810766261679704E-2</v>
          </cell>
          <cell r="CI56">
            <v>4.4960212182404709E-2</v>
          </cell>
          <cell r="CJ56">
            <v>4.4329601107902364E-2</v>
          </cell>
          <cell r="CK56">
            <v>4.0166227740940426E-2</v>
          </cell>
          <cell r="CL56">
            <v>4.8810766261679704E-2</v>
          </cell>
          <cell r="CM56">
            <v>2.7106077328490574E-2</v>
          </cell>
          <cell r="CN56">
            <v>4.1645219677972495E-2</v>
          </cell>
          <cell r="CO56">
            <v>3.6494986043870699E-2</v>
          </cell>
          <cell r="CP56">
            <v>4.8810766261679704E-2</v>
          </cell>
          <cell r="CQ56">
            <v>1.6341992007449929E-2</v>
          </cell>
          <cell r="CR56">
            <v>3.912339111297395E-2</v>
          </cell>
          <cell r="CS56">
            <v>3.3159300269185128E-2</v>
          </cell>
          <cell r="CT56">
            <v>4.8810766261679704E-2</v>
          </cell>
          <cell r="CU56">
            <v>9.8524290156457271E-3</v>
          </cell>
          <cell r="CV56">
            <v>3.6754272015242465E-2</v>
          </cell>
          <cell r="CW56">
            <v>3.0128500200554194E-2</v>
          </cell>
          <cell r="CX56">
            <v>4.8810766261679704E-2</v>
          </cell>
          <cell r="CY56">
            <v>0</v>
          </cell>
          <cell r="CZ56" t="str">
            <v xml:space="preserve">NM </v>
          </cell>
          <cell r="DA56" t="str">
            <v xml:space="preserve">NM </v>
          </cell>
          <cell r="DB56" t="str">
            <v xml:space="preserve">NM </v>
          </cell>
          <cell r="DC56" t="str">
            <v xml:space="preserve">NM </v>
          </cell>
          <cell r="DD56" t="str">
            <v xml:space="preserve">NM </v>
          </cell>
          <cell r="DE56" t="str">
            <v xml:space="preserve">NM </v>
          </cell>
          <cell r="DF56" t="str">
            <v xml:space="preserve">NM </v>
          </cell>
          <cell r="DG56" t="str">
            <v xml:space="preserve">NM </v>
          </cell>
          <cell r="DH56" t="str">
            <v xml:space="preserve">NM </v>
          </cell>
          <cell r="DI56" t="str">
            <v xml:space="preserve">NM </v>
          </cell>
          <cell r="DJ56" t="str">
            <v xml:space="preserve">NM </v>
          </cell>
          <cell r="DK56" t="str">
            <v xml:space="preserve">NM </v>
          </cell>
          <cell r="DL56" t="str">
            <v xml:space="preserve">NM </v>
          </cell>
          <cell r="DM56" t="str">
            <v xml:space="preserve">NM </v>
          </cell>
          <cell r="DN56" t="str">
            <v xml:space="preserve">NM </v>
          </cell>
          <cell r="DO56" t="str">
            <v xml:space="preserve">NM </v>
          </cell>
          <cell r="DP56" t="str">
            <v xml:space="preserve">NM </v>
          </cell>
          <cell r="DQ56" t="str">
            <v xml:space="preserve">NM </v>
          </cell>
          <cell r="DR56" t="str">
            <v xml:space="preserve">NM </v>
          </cell>
          <cell r="DS56">
            <v>9.0296345950750923E-2</v>
          </cell>
          <cell r="DT56">
            <v>5.3208892622884058E-2</v>
          </cell>
          <cell r="DU56">
            <v>4.4550217365530977E-2</v>
          </cell>
          <cell r="DV56">
            <v>3.8588834287152873E-2</v>
          </cell>
          <cell r="DW56">
            <v>3.4468171978239405E-2</v>
          </cell>
          <cell r="DX56">
            <v>3.1500959608869325E-2</v>
          </cell>
          <cell r="DY56">
            <v>0</v>
          </cell>
          <cell r="DZ56">
            <v>0</v>
          </cell>
          <cell r="EA56">
            <v>9.0296345950750923E-2</v>
          </cell>
          <cell r="EB56">
            <v>5.1097948042609108E-2</v>
          </cell>
          <cell r="EC56">
            <v>4.1580478988103922E-2</v>
          </cell>
          <cell r="ED56">
            <v>3.4969375621247946E-2</v>
          </cell>
          <cell r="EE56">
            <v>3.0395447240739885E-2</v>
          </cell>
          <cell r="EF56">
            <v>2.715539451453659E-2</v>
          </cell>
        </row>
        <row r="57">
          <cell r="A57">
            <v>0</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row>
        <row r="58">
          <cell r="A58" t="str">
            <v>General and administrative</v>
          </cell>
          <cell r="B58">
            <v>0</v>
          </cell>
          <cell r="C58">
            <v>0</v>
          </cell>
          <cell r="D58">
            <v>0</v>
          </cell>
          <cell r="E58">
            <v>0</v>
          </cell>
          <cell r="F58">
            <v>0</v>
          </cell>
          <cell r="G58">
            <v>0</v>
          </cell>
          <cell r="H58">
            <v>0</v>
          </cell>
          <cell r="I58">
            <v>0</v>
          </cell>
          <cell r="J58">
            <v>0</v>
          </cell>
          <cell r="K58">
            <v>11.452999999999999</v>
          </cell>
          <cell r="L58">
            <v>12.73</v>
          </cell>
          <cell r="M58">
            <v>27.134</v>
          </cell>
          <cell r="N58">
            <v>26.887999999999998</v>
          </cell>
          <cell r="O58">
            <v>28.362000000000002</v>
          </cell>
          <cell r="P58">
            <v>30.872999999999998</v>
          </cell>
          <cell r="Q58">
            <v>37.224000000000004</v>
          </cell>
          <cell r="R58">
            <v>38.763999999999996</v>
          </cell>
          <cell r="S58">
            <v>38.418999999999997</v>
          </cell>
          <cell r="T58">
            <v>40.114000000000004</v>
          </cell>
          <cell r="U58">
            <v>41.228999999999999</v>
          </cell>
          <cell r="V58">
            <v>55.823</v>
          </cell>
          <cell r="W58">
            <v>47.615000000000002</v>
          </cell>
          <cell r="X58">
            <v>53.332999999999998</v>
          </cell>
          <cell r="Y58">
            <v>55.617999999999995</v>
          </cell>
          <cell r="Z58">
            <v>60.941000000000003</v>
          </cell>
          <cell r="AA58">
            <v>64.551000000000002</v>
          </cell>
          <cell r="AB58">
            <v>60.811999999999998</v>
          </cell>
          <cell r="AC58">
            <v>60.876000000000005</v>
          </cell>
          <cell r="AD58">
            <v>64.367999999999995</v>
          </cell>
          <cell r="AE58">
            <v>71.290000000000006</v>
          </cell>
          <cell r="AF58">
            <v>73.942999999999998</v>
          </cell>
          <cell r="AG58">
            <v>79.427000000000007</v>
          </cell>
          <cell r="AH58">
            <v>84.361999999999995</v>
          </cell>
          <cell r="AI58">
            <v>88.234999999999999</v>
          </cell>
          <cell r="AJ58">
            <v>57.853999999999999</v>
          </cell>
          <cell r="AK58">
            <v>60.981000000000002</v>
          </cell>
          <cell r="AL58">
            <v>66.415000000000006</v>
          </cell>
          <cell r="AM58">
            <v>73.593000000000004</v>
          </cell>
          <cell r="AN58">
            <v>73.293000000000006</v>
          </cell>
          <cell r="AO58">
            <v>72.843999999999994</v>
          </cell>
          <cell r="AP58">
            <v>72.036000000000001</v>
          </cell>
          <cell r="AQ58">
            <v>76.905000000000001</v>
          </cell>
          <cell r="AR58">
            <v>78.025999999999996</v>
          </cell>
          <cell r="AS58">
            <v>75.272000000000006</v>
          </cell>
          <cell r="AT58">
            <v>84.116</v>
          </cell>
          <cell r="AU58">
            <v>84.183999999999997</v>
          </cell>
          <cell r="AV58">
            <v>77.97</v>
          </cell>
          <cell r="AW58">
            <v>78.593000000000004</v>
          </cell>
          <cell r="AX58">
            <v>75.34</v>
          </cell>
          <cell r="AY58">
            <v>79</v>
          </cell>
          <cell r="AZ58">
            <v>78</v>
          </cell>
          <cell r="BA58">
            <v>86</v>
          </cell>
          <cell r="BB58">
            <v>81</v>
          </cell>
          <cell r="BC58">
            <v>80</v>
          </cell>
          <cell r="BD58">
            <v>85</v>
          </cell>
          <cell r="BE58">
            <v>92</v>
          </cell>
          <cell r="BF58">
            <v>93</v>
          </cell>
          <cell r="BG58">
            <v>97</v>
          </cell>
          <cell r="BH58">
            <v>98</v>
          </cell>
          <cell r="BI58">
            <v>101</v>
          </cell>
          <cell r="BJ58">
            <v>98</v>
          </cell>
          <cell r="BK58">
            <v>103</v>
          </cell>
          <cell r="BL58">
            <v>100</v>
          </cell>
          <cell r="BM58">
            <v>106</v>
          </cell>
          <cell r="BN58">
            <v>106</v>
          </cell>
          <cell r="BO58">
            <v>111</v>
          </cell>
          <cell r="BP58">
            <v>107</v>
          </cell>
          <cell r="BQ58">
            <v>93</v>
          </cell>
          <cell r="BR58">
            <v>105</v>
          </cell>
          <cell r="BS58">
            <v>57</v>
          </cell>
          <cell r="BT58">
            <v>51</v>
          </cell>
          <cell r="BU58">
            <v>50</v>
          </cell>
          <cell r="BV58">
            <v>49</v>
          </cell>
          <cell r="BW58">
            <v>50</v>
          </cell>
          <cell r="BX58">
            <v>46</v>
          </cell>
          <cell r="BY58">
            <v>59</v>
          </cell>
          <cell r="BZ58">
            <v>65</v>
          </cell>
          <cell r="CA58">
            <v>60</v>
          </cell>
          <cell r="CB58">
            <v>69</v>
          </cell>
          <cell r="CC58">
            <v>73</v>
          </cell>
          <cell r="CD58">
            <v>80</v>
          </cell>
          <cell r="CE58">
            <v>82</v>
          </cell>
          <cell r="CF58">
            <v>82</v>
          </cell>
          <cell r="CG58">
            <v>73</v>
          </cell>
          <cell r="CH58">
            <v>76</v>
          </cell>
          <cell r="CI58">
            <v>74</v>
          </cell>
          <cell r="CJ58">
            <v>75.48</v>
          </cell>
          <cell r="CK58">
            <v>76.98960000000001</v>
          </cell>
          <cell r="CL58">
            <v>78.529392000000016</v>
          </cell>
          <cell r="CM58">
            <v>80.492626800000011</v>
          </cell>
          <cell r="CN58">
            <v>82.504942470000003</v>
          </cell>
          <cell r="CO58">
            <v>84.56756603174999</v>
          </cell>
          <cell r="CP58">
            <v>86.681755182543739</v>
          </cell>
          <cell r="CQ58">
            <v>78.760277281732613</v>
          </cell>
          <cell r="CR58">
            <v>80.541923066716734</v>
          </cell>
          <cell r="CS58">
            <v>81.671865426682231</v>
          </cell>
          <cell r="CT58">
            <v>83.847422759272263</v>
          </cell>
          <cell r="CU58">
            <v>78.545029392472628</v>
          </cell>
          <cell r="CV58">
            <v>80.381800565963786</v>
          </cell>
          <cell r="CW58">
            <v>80.958353686293094</v>
          </cell>
          <cell r="CX58">
            <v>83.265023817715161</v>
          </cell>
          <cell r="CY58">
            <v>0</v>
          </cell>
          <cell r="CZ58">
            <v>0</v>
          </cell>
          <cell r="DA58">
            <v>0</v>
          </cell>
          <cell r="DB58">
            <v>78.204999999999998</v>
          </cell>
          <cell r="DC58">
            <v>135.22300000000001</v>
          </cell>
          <cell r="DD58">
            <v>175.58500000000001</v>
          </cell>
          <cell r="DE58">
            <v>217.50700000000001</v>
          </cell>
          <cell r="DF58">
            <v>250.607</v>
          </cell>
          <cell r="DG58">
            <v>309.02200000000005</v>
          </cell>
          <cell r="DH58">
            <v>273.48500000000001</v>
          </cell>
          <cell r="DI58">
            <v>291.76600000000002</v>
          </cell>
          <cell r="DJ58">
            <v>314.31899999999996</v>
          </cell>
          <cell r="DK58">
            <v>316.08699999999999</v>
          </cell>
          <cell r="DL58">
            <v>324</v>
          </cell>
          <cell r="DM58">
            <v>350</v>
          </cell>
          <cell r="DN58">
            <v>394</v>
          </cell>
          <cell r="DO58">
            <v>415</v>
          </cell>
          <cell r="DP58">
            <v>416</v>
          </cell>
          <cell r="DQ58">
            <v>207</v>
          </cell>
          <cell r="DR58">
            <v>220</v>
          </cell>
          <cell r="DS58">
            <v>282</v>
          </cell>
          <cell r="DT58">
            <v>313</v>
          </cell>
          <cell r="DU58">
            <v>304.99899200000004</v>
          </cell>
          <cell r="DV58">
            <v>334.24689048429371</v>
          </cell>
          <cell r="DW58">
            <v>324.82148853440384</v>
          </cell>
          <cell r="DX58">
            <v>323.15020746244465</v>
          </cell>
          <cell r="DY58">
            <v>0</v>
          </cell>
          <cell r="DZ58">
            <v>0</v>
          </cell>
          <cell r="EA58">
            <v>282</v>
          </cell>
          <cell r="EB58">
            <v>316</v>
          </cell>
          <cell r="EC58">
            <v>342.87110937499995</v>
          </cell>
          <cell r="ED58">
            <v>308.58399843749999</v>
          </cell>
          <cell r="EE58">
            <v>311.669838421875</v>
          </cell>
          <cell r="EF58">
            <v>314.78653680609375</v>
          </cell>
        </row>
        <row r="59">
          <cell r="A59" t="str">
            <v>% of revenue</v>
          </cell>
          <cell r="B59">
            <v>0</v>
          </cell>
          <cell r="C59">
            <v>0</v>
          </cell>
          <cell r="D59">
            <v>0</v>
          </cell>
          <cell r="E59">
            <v>0</v>
          </cell>
          <cell r="F59">
            <v>0</v>
          </cell>
          <cell r="G59">
            <v>0</v>
          </cell>
          <cell r="H59">
            <v>0</v>
          </cell>
          <cell r="I59">
            <v>0</v>
          </cell>
          <cell r="J59">
            <v>0</v>
          </cell>
          <cell r="K59">
            <v>5.3121274947704321E-2</v>
          </cell>
          <cell r="L59">
            <v>5.6286588493305742E-2</v>
          </cell>
          <cell r="M59">
            <v>6.1383029743645422E-2</v>
          </cell>
          <cell r="N59">
            <v>5.6719755300073831E-2</v>
          </cell>
          <cell r="O59">
            <v>6.0338133521681693E-2</v>
          </cell>
          <cell r="P59">
            <v>6.1522427498470554E-2</v>
          </cell>
          <cell r="Q59">
            <v>6.6597368953073763E-2</v>
          </cell>
          <cell r="R59">
            <v>6.2453378272784826E-2</v>
          </cell>
          <cell r="S59">
            <v>6.187431553179152E-2</v>
          </cell>
          <cell r="T59">
            <v>6.3972161887173987E-2</v>
          </cell>
          <cell r="U59">
            <v>6.5127351307633488E-2</v>
          </cell>
          <cell r="V59">
            <v>8.2136493451651388E-2</v>
          </cell>
          <cell r="W59">
            <v>6.9199701779296338E-2</v>
          </cell>
          <cell r="X59">
            <v>7.7272812888026648E-2</v>
          </cell>
          <cell r="Y59">
            <v>7.5106073250635355E-2</v>
          </cell>
          <cell r="Z59">
            <v>7.6737778695605094E-2</v>
          </cell>
          <cell r="AA59">
            <v>8.2624222409953152E-2</v>
          </cell>
          <cell r="AB59">
            <v>7.2651854825317511E-2</v>
          </cell>
          <cell r="AC59">
            <v>6.472520812733247E-2</v>
          </cell>
          <cell r="AD59">
            <v>6.0816728757654287E-2</v>
          </cell>
          <cell r="AE59">
            <v>6.8391499845066261E-2</v>
          </cell>
          <cell r="AF59">
            <v>6.7016994653540551E-2</v>
          </cell>
          <cell r="AG59">
            <v>6.6639986173127885E-2</v>
          </cell>
          <cell r="AH59">
            <v>6.554358475130001E-2</v>
          </cell>
          <cell r="AI59">
            <v>7.0072268106734434E-2</v>
          </cell>
          <cell r="AJ59">
            <v>4.8529372290595764E-2</v>
          </cell>
          <cell r="AK59">
            <v>4.8659181457150216E-2</v>
          </cell>
          <cell r="AL59">
            <v>5.1093688815855784E-2</v>
          </cell>
          <cell r="AM59">
            <v>5.7130768932189574E-2</v>
          </cell>
          <cell r="AN59">
            <v>5.7557295789513366E-2</v>
          </cell>
          <cell r="AO59">
            <v>5.4920978148923875E-2</v>
          </cell>
          <cell r="AP59">
            <v>5.2782056035322863E-2</v>
          </cell>
          <cell r="AQ59">
            <v>5.4050198054038247E-2</v>
          </cell>
          <cell r="AR59">
            <v>5.4285300821243797E-2</v>
          </cell>
          <cell r="AS59">
            <v>4.9228724691404858E-2</v>
          </cell>
          <cell r="AT59">
            <v>5.4338957626905132E-2</v>
          </cell>
          <cell r="AU59">
            <v>5.0863607060147066E-2</v>
          </cell>
          <cell r="AV59">
            <v>5.1195715764958016E-2</v>
          </cell>
          <cell r="AW59">
            <v>5.107962436884074E-2</v>
          </cell>
          <cell r="AX59">
            <v>5.0642815563087078E-2</v>
          </cell>
          <cell r="AY59">
            <v>5.4709141274238225E-2</v>
          </cell>
          <cell r="AZ59">
            <v>5.2738336713995942E-2</v>
          </cell>
          <cell r="BA59">
            <v>5.5448098001289491E-2</v>
          </cell>
          <cell r="BB59">
            <v>5.276872964169381E-2</v>
          </cell>
          <cell r="BC59">
            <v>5.5826936496859735E-2</v>
          </cell>
          <cell r="BD59">
            <v>5.7432432432432436E-2</v>
          </cell>
          <cell r="BE59">
            <v>5.7356608478802994E-2</v>
          </cell>
          <cell r="BF59">
            <v>5.5588762701733414E-2</v>
          </cell>
          <cell r="BG59">
            <v>5.8681185722928013E-2</v>
          </cell>
          <cell r="BH59">
            <v>5.829863176680547E-2</v>
          </cell>
          <cell r="BI59">
            <v>5.8892128279883382E-2</v>
          </cell>
          <cell r="BJ59">
            <v>5.829863176680547E-2</v>
          </cell>
          <cell r="BK59">
            <v>6.1750599520383691E-2</v>
          </cell>
          <cell r="BL59">
            <v>5.885815185403178E-2</v>
          </cell>
          <cell r="BM59">
            <v>5.9184812953657177E-2</v>
          </cell>
          <cell r="BN59">
            <v>6.0640732265446223E-2</v>
          </cell>
          <cell r="BO59">
            <v>6.4950263311878295E-2</v>
          </cell>
          <cell r="BP59">
            <v>6.5363469761759316E-2</v>
          </cell>
          <cell r="BQ59">
            <v>5.4545454545454543E-2</v>
          </cell>
          <cell r="BR59">
            <v>6.363636363636363E-2</v>
          </cell>
          <cell r="BS59">
            <v>5.2486187845303865E-2</v>
          </cell>
          <cell r="BT59">
            <v>5.0949050949050952E-2</v>
          </cell>
          <cell r="BU59">
            <v>5.1546391752577317E-2</v>
          </cell>
          <cell r="BV59">
            <v>5.2744886975242197E-2</v>
          </cell>
          <cell r="BW59">
            <v>5.4824561403508769E-2</v>
          </cell>
          <cell r="BX59">
            <v>5.0772626931567331E-2</v>
          </cell>
          <cell r="BY59">
            <v>6.490649064906491E-2</v>
          </cell>
          <cell r="BZ59">
            <v>7.4455899198167239E-2</v>
          </cell>
          <cell r="CA59">
            <v>6.7873303167420809E-2</v>
          </cell>
          <cell r="CB59">
            <v>6.7980295566502466E-2</v>
          </cell>
          <cell r="CC59">
            <v>6.7095588235294115E-2</v>
          </cell>
          <cell r="CD59">
            <v>6.8027210884353748E-2</v>
          </cell>
          <cell r="CE59">
            <v>6.6775244299674269E-2</v>
          </cell>
          <cell r="CF59">
            <v>6.4263322884012541E-2</v>
          </cell>
          <cell r="CG59">
            <v>5.9157212317666123E-2</v>
          </cell>
          <cell r="CH59">
            <v>6.3207168840609951E-2</v>
          </cell>
          <cell r="CI59">
            <v>6.0709627869757865E-2</v>
          </cell>
          <cell r="CJ59">
            <v>6.1310957453327951E-2</v>
          </cell>
          <cell r="CK59">
            <v>6.202526704610084E-2</v>
          </cell>
          <cell r="CL59">
            <v>6.3189149336694644E-2</v>
          </cell>
          <cell r="CM59">
            <v>6.3223598047746757E-2</v>
          </cell>
          <cell r="CN59">
            <v>6.376068530709561E-2</v>
          </cell>
          <cell r="CO59">
            <v>6.4825252434623129E-2</v>
          </cell>
          <cell r="CP59">
            <v>6.6384878067059797E-2</v>
          </cell>
          <cell r="CQ59">
            <v>5.9126374031916229E-2</v>
          </cell>
          <cell r="CR59">
            <v>5.9591508264993036E-2</v>
          </cell>
          <cell r="CS59">
            <v>6.0036400137845808E-2</v>
          </cell>
          <cell r="CT59">
            <v>6.1687363966953804E-2</v>
          </cell>
          <cell r="CU59">
            <v>5.6679888154619967E-2</v>
          </cell>
          <cell r="CV59">
            <v>5.7160940648987239E-2</v>
          </cell>
          <cell r="CW59">
            <v>5.7202138914514714E-2</v>
          </cell>
          <cell r="CX59">
            <v>5.8896840899674174E-2</v>
          </cell>
          <cell r="CY59">
            <v>0</v>
          </cell>
          <cell r="CZ59" t="str">
            <v xml:space="preserve">NM </v>
          </cell>
          <cell r="DA59" t="str">
            <v xml:space="preserve">NM </v>
          </cell>
          <cell r="DB59">
            <v>5.7594345215519434E-2</v>
          </cell>
          <cell r="DC59">
            <v>6.2850686220192839E-2</v>
          </cell>
          <cell r="DD59">
            <v>6.8570132032211961E-2</v>
          </cell>
          <cell r="DE59">
            <v>7.4669131984686291E-2</v>
          </cell>
          <cell r="DF59">
            <v>6.9281734903306844E-2</v>
          </cell>
          <cell r="DG59">
            <v>6.6819569518001415E-2</v>
          </cell>
          <cell r="DH59">
            <v>5.4648493996728505E-2</v>
          </cell>
          <cell r="DI59">
            <v>5.5546269265930863E-2</v>
          </cell>
          <cell r="DJ59">
            <v>5.2940709820758602E-2</v>
          </cell>
          <cell r="DK59">
            <v>5.0945758828879521E-2</v>
          </cell>
          <cell r="DL59">
            <v>5.3919121318022963E-2</v>
          </cell>
          <cell r="DM59">
            <v>5.6542810985460421E-2</v>
          </cell>
          <cell r="DN59">
            <v>5.8543833580980684E-2</v>
          </cell>
          <cell r="DO59">
            <v>6.0092673037938027E-2</v>
          </cell>
          <cell r="DP59">
            <v>6.2080286524399342E-2</v>
          </cell>
          <cell r="DQ59">
            <v>5.1931761164074261E-2</v>
          </cell>
          <cell r="DR59">
            <v>6.1111111111111109E-2</v>
          </cell>
          <cell r="DS59">
            <v>6.7739610857554644E-2</v>
          </cell>
          <cell r="DT59">
            <v>6.3355254739772715E-2</v>
          </cell>
          <cell r="DU59">
            <v>6.1815174219291558E-2</v>
          </cell>
          <cell r="DV59">
            <v>6.4558674045220865E-2</v>
          </cell>
          <cell r="DW59">
            <v>6.0116079336659613E-2</v>
          </cell>
          <cell r="DX59">
            <v>5.7489313515852909E-2</v>
          </cell>
          <cell r="DY59">
            <v>0</v>
          </cell>
          <cell r="DZ59">
            <v>0</v>
          </cell>
          <cell r="EA59">
            <v>6.7739610857554644E-2</v>
          </cell>
          <cell r="EB59">
            <v>6.3555913113435239E-2</v>
          </cell>
          <cell r="EC59">
            <v>7.1148821689393363E-2</v>
          </cell>
          <cell r="ED59">
            <v>5.9465522107508814E-2</v>
          </cell>
          <cell r="EE59">
            <v>5.7750272602783398E-2</v>
          </cell>
          <cell r="EF59">
            <v>5.6427976433961892E-2</v>
          </cell>
        </row>
        <row r="60">
          <cell r="A60">
            <v>0</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row>
        <row r="61">
          <cell r="A61" t="str">
            <v>General and administrative -- SYMC</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59</v>
          </cell>
          <cell r="BZ61">
            <v>65</v>
          </cell>
          <cell r="CA61">
            <v>60</v>
          </cell>
          <cell r="CB61">
            <v>63.582469528026621</v>
          </cell>
          <cell r="CC61">
            <v>62.226128836458187</v>
          </cell>
          <cell r="CD61">
            <v>69.349201095802997</v>
          </cell>
          <cell r="CE61">
            <v>63.181818652322519</v>
          </cell>
          <cell r="CF61">
            <v>80.044310263057795</v>
          </cell>
          <cell r="CG61">
            <v>71.293906113995249</v>
          </cell>
          <cell r="CH61">
            <v>73.822931683018382</v>
          </cell>
          <cell r="CI61">
            <v>70.979347446144217</v>
          </cell>
          <cell r="CJ61">
            <v>72.273223619604977</v>
          </cell>
          <cell r="CK61">
            <v>74.194424256234626</v>
          </cell>
          <cell r="CL61">
            <v>76.204428361664526</v>
          </cell>
          <cell r="CM61">
            <v>77.271901576283767</v>
          </cell>
          <cell r="CN61">
            <v>79.091075537773449</v>
          </cell>
          <cell r="CO61">
            <v>81.596393256039434</v>
          </cell>
          <cell r="CP61">
            <v>84.21406097239209</v>
          </cell>
          <cell r="CQ61">
            <v>75.34677332090736</v>
          </cell>
          <cell r="CR61">
            <v>76.928825250951434</v>
          </cell>
          <cell r="CS61">
            <v>78.531631977466347</v>
          </cell>
          <cell r="CT61">
            <v>81.242826280302921</v>
          </cell>
          <cell r="CU61">
            <v>74.946886052886683</v>
          </cell>
          <cell r="CV61">
            <v>76.578153056931214</v>
          </cell>
          <cell r="CW61">
            <v>77.656649032235563</v>
          </cell>
          <cell r="CX61">
            <v>80.529846872380105</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124</v>
          </cell>
          <cell r="DS61">
            <v>255.15779946028778</v>
          </cell>
          <cell r="DT61">
            <v>288.34296671239395</v>
          </cell>
          <cell r="DU61">
            <v>293.65142368364832</v>
          </cell>
          <cell r="DV61">
            <v>322.17343134248875</v>
          </cell>
          <cell r="DW61">
            <v>312.05005682962803</v>
          </cell>
          <cell r="DX61">
            <v>309.71153501443359</v>
          </cell>
          <cell r="DY61">
            <v>0</v>
          </cell>
          <cell r="DZ61">
            <v>0</v>
          </cell>
          <cell r="EA61">
            <v>255.15779946028778</v>
          </cell>
          <cell r="EB61">
            <v>291.34296671239395</v>
          </cell>
          <cell r="EC61">
            <v>331.4518529709145</v>
          </cell>
          <cell r="ED61">
            <v>295.52795233223026</v>
          </cell>
          <cell r="EE61">
            <v>297.26355525406211</v>
          </cell>
          <cell r="EF61">
            <v>299.15319552926803</v>
          </cell>
        </row>
        <row r="62">
          <cell r="A62" t="str">
            <v>% of SYMC revenue</v>
          </cell>
          <cell r="B62">
            <v>0</v>
          </cell>
          <cell r="C62">
            <v>0</v>
          </cell>
          <cell r="D62">
            <v>0</v>
          </cell>
          <cell r="E62">
            <v>0</v>
          </cell>
          <cell r="F62">
            <v>0</v>
          </cell>
          <cell r="G62">
            <v>0</v>
          </cell>
          <cell r="H62">
            <v>0</v>
          </cell>
          <cell r="I62">
            <v>0</v>
          </cell>
          <cell r="J62">
            <v>0</v>
          </cell>
          <cell r="K62" t="str">
            <v xml:space="preserve">NM </v>
          </cell>
          <cell r="L62" t="str">
            <v xml:space="preserve">NM </v>
          </cell>
          <cell r="M62" t="str">
            <v xml:space="preserve">NM </v>
          </cell>
          <cell r="N62" t="str">
            <v xml:space="preserve">NM </v>
          </cell>
          <cell r="O62" t="str">
            <v xml:space="preserve">NM </v>
          </cell>
          <cell r="P62" t="str">
            <v xml:space="preserve">NM </v>
          </cell>
          <cell r="Q62" t="str">
            <v xml:space="preserve">NM </v>
          </cell>
          <cell r="R62" t="str">
            <v xml:space="preserve">NM </v>
          </cell>
          <cell r="S62" t="str">
            <v xml:space="preserve">NM </v>
          </cell>
          <cell r="T62" t="str">
            <v xml:space="preserve">NM </v>
          </cell>
          <cell r="U62" t="str">
            <v xml:space="preserve">NM </v>
          </cell>
          <cell r="V62" t="str">
            <v xml:space="preserve">NM </v>
          </cell>
          <cell r="W62" t="str">
            <v xml:space="preserve">NM </v>
          </cell>
          <cell r="X62" t="str">
            <v xml:space="preserve">NM </v>
          </cell>
          <cell r="Y62" t="str">
            <v xml:space="preserve">NM </v>
          </cell>
          <cell r="Z62" t="str">
            <v xml:space="preserve">NM </v>
          </cell>
          <cell r="AA62" t="str">
            <v xml:space="preserve">NM </v>
          </cell>
          <cell r="AB62" t="str">
            <v xml:space="preserve">NM </v>
          </cell>
          <cell r="AC62" t="str">
            <v xml:space="preserve">NM </v>
          </cell>
          <cell r="AD62" t="str">
            <v xml:space="preserve">NM </v>
          </cell>
          <cell r="AE62" t="str">
            <v xml:space="preserve">NM </v>
          </cell>
          <cell r="AF62" t="str">
            <v xml:space="preserve">NM </v>
          </cell>
          <cell r="AG62" t="str">
            <v xml:space="preserve">NM </v>
          </cell>
          <cell r="AH62" t="str">
            <v xml:space="preserve">NM </v>
          </cell>
          <cell r="AI62" t="str">
            <v xml:space="preserve">NM </v>
          </cell>
          <cell r="AJ62" t="str">
            <v xml:space="preserve">NM </v>
          </cell>
          <cell r="AK62" t="str">
            <v xml:space="preserve">NM </v>
          </cell>
          <cell r="AL62" t="str">
            <v xml:space="preserve">NM </v>
          </cell>
          <cell r="AM62" t="str">
            <v xml:space="preserve">NM </v>
          </cell>
          <cell r="AN62" t="str">
            <v xml:space="preserve">NM </v>
          </cell>
          <cell r="AO62" t="str">
            <v xml:space="preserve">NM </v>
          </cell>
          <cell r="AP62" t="str">
            <v xml:space="preserve">NM </v>
          </cell>
          <cell r="AQ62" t="str">
            <v xml:space="preserve">NM </v>
          </cell>
          <cell r="AR62" t="str">
            <v xml:space="preserve">NM </v>
          </cell>
          <cell r="AS62" t="str">
            <v xml:space="preserve">NM </v>
          </cell>
          <cell r="AT62" t="str">
            <v xml:space="preserve">NM </v>
          </cell>
          <cell r="AU62" t="str">
            <v xml:space="preserve">NM </v>
          </cell>
          <cell r="AV62" t="str">
            <v xml:space="preserve">NM </v>
          </cell>
          <cell r="AW62" t="str">
            <v xml:space="preserve">NM </v>
          </cell>
          <cell r="AX62" t="str">
            <v xml:space="preserve">NM </v>
          </cell>
          <cell r="AY62" t="str">
            <v xml:space="preserve">NM </v>
          </cell>
          <cell r="AZ62" t="str">
            <v xml:space="preserve">NM </v>
          </cell>
          <cell r="BA62" t="str">
            <v xml:space="preserve">NM </v>
          </cell>
          <cell r="BB62" t="str">
            <v xml:space="preserve">NM </v>
          </cell>
          <cell r="BC62" t="str">
            <v xml:space="preserve">NM </v>
          </cell>
          <cell r="BD62" t="str">
            <v xml:space="preserve">NM </v>
          </cell>
          <cell r="BE62" t="str">
            <v xml:space="preserve">NM </v>
          </cell>
          <cell r="BF62" t="str">
            <v xml:space="preserve">NM </v>
          </cell>
          <cell r="BG62" t="str">
            <v xml:space="preserve">NM </v>
          </cell>
          <cell r="BH62" t="str">
            <v xml:space="preserve">NM </v>
          </cell>
          <cell r="BI62" t="str">
            <v xml:space="preserve">NM </v>
          </cell>
          <cell r="BJ62" t="str">
            <v xml:space="preserve">NM </v>
          </cell>
          <cell r="BK62" t="str">
            <v xml:space="preserve">NM </v>
          </cell>
          <cell r="BL62" t="str">
            <v xml:space="preserve">NM </v>
          </cell>
          <cell r="BM62" t="str">
            <v xml:space="preserve">NM </v>
          </cell>
          <cell r="BN62" t="str">
            <v xml:space="preserve">NM </v>
          </cell>
          <cell r="BO62" t="str">
            <v xml:space="preserve">NM </v>
          </cell>
          <cell r="BP62" t="str">
            <v xml:space="preserve">NM </v>
          </cell>
          <cell r="BQ62" t="str">
            <v xml:space="preserve">NM </v>
          </cell>
          <cell r="BR62" t="str">
            <v xml:space="preserve">NM </v>
          </cell>
          <cell r="BS62" t="str">
            <v xml:space="preserve">NM </v>
          </cell>
          <cell r="BT62" t="str">
            <v xml:space="preserve">NM </v>
          </cell>
          <cell r="BU62" t="str">
            <v xml:space="preserve">NM </v>
          </cell>
          <cell r="BV62" t="str">
            <v xml:space="preserve">NM </v>
          </cell>
          <cell r="BW62" t="str">
            <v xml:space="preserve">NM </v>
          </cell>
          <cell r="BX62" t="str">
            <v xml:space="preserve">NM </v>
          </cell>
          <cell r="BY62">
            <v>6.490649064906491E-2</v>
          </cell>
          <cell r="BZ62">
            <v>7.4455899198167239E-2</v>
          </cell>
          <cell r="CA62">
            <v>6.7873303167420809E-2</v>
          </cell>
          <cell r="CB62">
            <v>7.1360796327751538E-2</v>
          </cell>
          <cell r="CC62">
            <v>7.0631247260451974E-2</v>
          </cell>
          <cell r="CD62">
            <v>8.045484383190242E-2</v>
          </cell>
          <cell r="CE62">
            <v>7.4884675647824056E-2</v>
          </cell>
          <cell r="CF62">
            <v>9.3602020458877222E-2</v>
          </cell>
          <cell r="CG62">
            <v>9.2727210816474046E-2</v>
          </cell>
          <cell r="CH62">
            <v>0.10315016083727606</v>
          </cell>
          <cell r="CI62">
            <v>9.1017824202734535E-2</v>
          </cell>
          <cell r="CJ62">
            <v>9.5667756950366126E-2</v>
          </cell>
          <cell r="CK62">
            <v>0.10276839362237267</v>
          </cell>
          <cell r="CL62">
            <v>0.10733717532032576</v>
          </cell>
          <cell r="CM62">
            <v>9.7234484810550234E-2</v>
          </cell>
          <cell r="CN62">
            <v>0.10123032122638384</v>
          </cell>
          <cell r="CO62">
            <v>0.11005422981406916</v>
          </cell>
          <cell r="CP62">
            <v>0.11651135668411758</v>
          </cell>
          <cell r="CQ62">
            <v>9.3746094392212306E-2</v>
          </cell>
          <cell r="CR62">
            <v>9.7690556548328505E-2</v>
          </cell>
          <cell r="CS62">
            <v>0.10634587218772468</v>
          </cell>
          <cell r="CT62">
            <v>0.11273606992739077</v>
          </cell>
          <cell r="CU62">
            <v>9.2759154366506169E-2</v>
          </cell>
          <cell r="CV62">
            <v>9.6704674660105044E-2</v>
          </cell>
          <cell r="CW62">
            <v>0.10534123018059621</v>
          </cell>
          <cell r="CX62">
            <v>0.11173632774552783</v>
          </cell>
          <cell r="CY62">
            <v>0</v>
          </cell>
          <cell r="CZ62" t="str">
            <v xml:space="preserve">NM </v>
          </cell>
          <cell r="DA62" t="str">
            <v xml:space="preserve">NM </v>
          </cell>
          <cell r="DB62" t="str">
            <v xml:space="preserve">NM </v>
          </cell>
          <cell r="DC62" t="str">
            <v xml:space="preserve">NM </v>
          </cell>
          <cell r="DD62" t="str">
            <v xml:space="preserve">NM </v>
          </cell>
          <cell r="DE62" t="str">
            <v xml:space="preserve">NM </v>
          </cell>
          <cell r="DF62" t="str">
            <v xml:space="preserve">NM </v>
          </cell>
          <cell r="DG62" t="str">
            <v xml:space="preserve">NM </v>
          </cell>
          <cell r="DH62" t="str">
            <v xml:space="preserve">NM </v>
          </cell>
          <cell r="DI62" t="str">
            <v xml:space="preserve">NM </v>
          </cell>
          <cell r="DJ62" t="str">
            <v xml:space="preserve">NM </v>
          </cell>
          <cell r="DK62" t="str">
            <v xml:space="preserve">NM </v>
          </cell>
          <cell r="DL62" t="str">
            <v xml:space="preserve">NM </v>
          </cell>
          <cell r="DM62" t="str">
            <v xml:space="preserve">NM </v>
          </cell>
          <cell r="DN62" t="str">
            <v xml:space="preserve">NM </v>
          </cell>
          <cell r="DO62" t="str">
            <v xml:space="preserve">NM </v>
          </cell>
          <cell r="DP62" t="str">
            <v xml:space="preserve">NM </v>
          </cell>
          <cell r="DQ62" t="str">
            <v xml:space="preserve">NM </v>
          </cell>
          <cell r="DR62">
            <v>3.4444444444444444E-2</v>
          </cell>
          <cell r="DS62">
            <v>7.2529957540443085E-2</v>
          </cell>
          <cell r="DT62">
            <v>9.0576536810265285E-2</v>
          </cell>
          <cell r="DU62">
            <v>9.8965432253810215E-2</v>
          </cell>
          <cell r="DV62">
            <v>0.10597072507957132</v>
          </cell>
          <cell r="DW62">
            <v>0.10230116004234895</v>
          </cell>
          <cell r="DX62">
            <v>0.10128726431365287</v>
          </cell>
          <cell r="DY62">
            <v>0</v>
          </cell>
          <cell r="DZ62">
            <v>0</v>
          </cell>
          <cell r="EA62">
            <v>7.2529957540443085E-2</v>
          </cell>
          <cell r="EB62">
            <v>9.0845310746779984E-2</v>
          </cell>
          <cell r="EC62">
            <v>0.11774478840615564</v>
          </cell>
          <cell r="ED62">
            <v>0.10041014962421456</v>
          </cell>
          <cell r="EE62">
            <v>0.10310602200333283</v>
          </cell>
          <cell r="EF62">
            <v>0.10649691168329252</v>
          </cell>
        </row>
        <row r="63">
          <cell r="A63">
            <v>0</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row>
        <row r="64">
          <cell r="A64" t="str">
            <v>Ongoing G&amp;A</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0</v>
          </cell>
          <cell r="BT64">
            <v>0</v>
          </cell>
          <cell r="BU64">
            <v>0</v>
          </cell>
          <cell r="BV64">
            <v>0</v>
          </cell>
          <cell r="BW64">
            <v>0</v>
          </cell>
          <cell r="BX64">
            <v>0</v>
          </cell>
          <cell r="BY64">
            <v>40.300000000000011</v>
          </cell>
          <cell r="BZ64">
            <v>44.398305084745779</v>
          </cell>
          <cell r="CA64">
            <v>51</v>
          </cell>
          <cell r="CB64">
            <v>55.582469528026621</v>
          </cell>
          <cell r="CC64">
            <v>54.626128836458186</v>
          </cell>
          <cell r="CD64">
            <v>62.129201095802998</v>
          </cell>
          <cell r="CE64">
            <v>63.181818652322519</v>
          </cell>
          <cell r="CF64">
            <v>80.044310263057795</v>
          </cell>
          <cell r="CG64">
            <v>71.293906113995249</v>
          </cell>
          <cell r="CH64">
            <v>73.822931683018382</v>
          </cell>
          <cell r="CI64">
            <v>70.979347446144217</v>
          </cell>
          <cell r="CJ64">
            <v>72.273223619604977</v>
          </cell>
          <cell r="CK64">
            <v>74.194424256234626</v>
          </cell>
          <cell r="CL64">
            <v>76.204428361664526</v>
          </cell>
          <cell r="CM64">
            <v>77.271901576283767</v>
          </cell>
          <cell r="CN64">
            <v>79.091075537773449</v>
          </cell>
          <cell r="CO64">
            <v>81.596393256039434</v>
          </cell>
          <cell r="CP64">
            <v>84.21406097239209</v>
          </cell>
          <cell r="CQ64">
            <v>75.34677332090736</v>
          </cell>
          <cell r="CR64">
            <v>76.928825250951434</v>
          </cell>
          <cell r="CS64">
            <v>78.531631977466347</v>
          </cell>
          <cell r="CT64">
            <v>81.242826280302921</v>
          </cell>
          <cell r="CU64">
            <v>74.946886052886683</v>
          </cell>
          <cell r="CV64">
            <v>76.578153056931214</v>
          </cell>
          <cell r="CW64">
            <v>77.656649032235563</v>
          </cell>
          <cell r="CX64">
            <v>80.529846872380105</v>
          </cell>
          <cell r="CY64">
            <v>0</v>
          </cell>
          <cell r="CZ64">
            <v>0</v>
          </cell>
          <cell r="DA64">
            <v>0</v>
          </cell>
          <cell r="DB64">
            <v>0</v>
          </cell>
          <cell r="DC64">
            <v>0</v>
          </cell>
          <cell r="DD64">
            <v>0</v>
          </cell>
          <cell r="DE64">
            <v>0</v>
          </cell>
          <cell r="DF64">
            <v>0</v>
          </cell>
          <cell r="DG64">
            <v>0</v>
          </cell>
          <cell r="DH64">
            <v>0</v>
          </cell>
          <cell r="DI64">
            <v>0</v>
          </cell>
          <cell r="DJ64">
            <v>0</v>
          </cell>
          <cell r="DK64">
            <v>0</v>
          </cell>
          <cell r="DL64">
            <v>0</v>
          </cell>
          <cell r="DM64">
            <v>0</v>
          </cell>
          <cell r="DN64">
            <v>0</v>
          </cell>
          <cell r="DO64">
            <v>0</v>
          </cell>
          <cell r="DP64">
            <v>0</v>
          </cell>
          <cell r="DQ64">
            <v>0</v>
          </cell>
          <cell r="DR64">
            <v>84.698305084745783</v>
          </cell>
          <cell r="DS64">
            <v>223.33779946028778</v>
          </cell>
          <cell r="DT64">
            <v>288.34296671239395</v>
          </cell>
          <cell r="DU64">
            <v>293.65142368364832</v>
          </cell>
          <cell r="DV64">
            <v>322.17343134248875</v>
          </cell>
          <cell r="DW64">
            <v>312.05005682962803</v>
          </cell>
          <cell r="DX64">
            <v>309.71153501443359</v>
          </cell>
          <cell r="DY64">
            <v>0</v>
          </cell>
          <cell r="DZ64">
            <v>0</v>
          </cell>
          <cell r="EA64">
            <v>223.33779946028778</v>
          </cell>
          <cell r="EB64">
            <v>291.34296671239395</v>
          </cell>
          <cell r="EC64">
            <v>331.4518529709145</v>
          </cell>
          <cell r="ED64">
            <v>295.52795233223026</v>
          </cell>
          <cell r="EE64">
            <v>297.26355525406211</v>
          </cell>
          <cell r="EF64">
            <v>299.15319552926803</v>
          </cell>
        </row>
        <row r="65">
          <cell r="A65" t="str">
            <v>% of SYMC revenue</v>
          </cell>
          <cell r="B65">
            <v>0</v>
          </cell>
          <cell r="C65">
            <v>0</v>
          </cell>
          <cell r="D65">
            <v>0</v>
          </cell>
          <cell r="E65">
            <v>0</v>
          </cell>
          <cell r="F65">
            <v>0</v>
          </cell>
          <cell r="G65">
            <v>0</v>
          </cell>
          <cell r="H65">
            <v>0</v>
          </cell>
          <cell r="I65">
            <v>0</v>
          </cell>
          <cell r="J65">
            <v>0</v>
          </cell>
          <cell r="K65" t="str">
            <v xml:space="preserve">NM </v>
          </cell>
          <cell r="L65" t="str">
            <v xml:space="preserve">NM </v>
          </cell>
          <cell r="M65" t="str">
            <v xml:space="preserve">NM </v>
          </cell>
          <cell r="N65" t="str">
            <v xml:space="preserve">NM </v>
          </cell>
          <cell r="O65" t="str">
            <v xml:space="preserve">NM </v>
          </cell>
          <cell r="P65" t="str">
            <v xml:space="preserve">NM </v>
          </cell>
          <cell r="Q65" t="str">
            <v xml:space="preserve">NM </v>
          </cell>
          <cell r="R65" t="str">
            <v xml:space="preserve">NM </v>
          </cell>
          <cell r="S65" t="str">
            <v xml:space="preserve">NM </v>
          </cell>
          <cell r="T65" t="str">
            <v xml:space="preserve">NM </v>
          </cell>
          <cell r="U65" t="str">
            <v xml:space="preserve">NM </v>
          </cell>
          <cell r="V65" t="str">
            <v xml:space="preserve">NM </v>
          </cell>
          <cell r="W65" t="str">
            <v xml:space="preserve">NM </v>
          </cell>
          <cell r="X65" t="str">
            <v xml:space="preserve">NM </v>
          </cell>
          <cell r="Y65" t="str">
            <v xml:space="preserve">NM </v>
          </cell>
          <cell r="Z65" t="str">
            <v xml:space="preserve">NM </v>
          </cell>
          <cell r="AA65" t="str">
            <v xml:space="preserve">NM </v>
          </cell>
          <cell r="AB65" t="str">
            <v xml:space="preserve">NM </v>
          </cell>
          <cell r="AC65" t="str">
            <v xml:space="preserve">NM </v>
          </cell>
          <cell r="AD65" t="str">
            <v xml:space="preserve">NM </v>
          </cell>
          <cell r="AE65" t="str">
            <v xml:space="preserve">NM </v>
          </cell>
          <cell r="AF65" t="str">
            <v xml:space="preserve">NM </v>
          </cell>
          <cell r="AG65" t="str">
            <v xml:space="preserve">NM </v>
          </cell>
          <cell r="AH65" t="str">
            <v xml:space="preserve">NM </v>
          </cell>
          <cell r="AI65" t="str">
            <v xml:space="preserve">NM </v>
          </cell>
          <cell r="AJ65" t="str">
            <v xml:space="preserve">NM </v>
          </cell>
          <cell r="AK65" t="str">
            <v xml:space="preserve">NM </v>
          </cell>
          <cell r="AL65" t="str">
            <v xml:space="preserve">NM </v>
          </cell>
          <cell r="AM65" t="str">
            <v xml:space="preserve">NM </v>
          </cell>
          <cell r="AN65" t="str">
            <v xml:space="preserve">NM </v>
          </cell>
          <cell r="AO65" t="str">
            <v xml:space="preserve">NM </v>
          </cell>
          <cell r="AP65" t="str">
            <v xml:space="preserve">NM </v>
          </cell>
          <cell r="AQ65" t="str">
            <v xml:space="preserve">NM </v>
          </cell>
          <cell r="AR65" t="str">
            <v xml:space="preserve">NM </v>
          </cell>
          <cell r="AS65" t="str">
            <v xml:space="preserve">NM </v>
          </cell>
          <cell r="AT65" t="str">
            <v xml:space="preserve">NM </v>
          </cell>
          <cell r="AU65" t="str">
            <v xml:space="preserve">NM </v>
          </cell>
          <cell r="AV65" t="str">
            <v xml:space="preserve">NM </v>
          </cell>
          <cell r="AW65" t="str">
            <v xml:space="preserve">NM </v>
          </cell>
          <cell r="AX65" t="str">
            <v xml:space="preserve">NM </v>
          </cell>
          <cell r="AY65" t="str">
            <v xml:space="preserve">NM </v>
          </cell>
          <cell r="AZ65" t="str">
            <v xml:space="preserve">NM </v>
          </cell>
          <cell r="BA65" t="str">
            <v xml:space="preserve">NM </v>
          </cell>
          <cell r="BB65" t="str">
            <v xml:space="preserve">NM </v>
          </cell>
          <cell r="BC65" t="str">
            <v xml:space="preserve">NM </v>
          </cell>
          <cell r="BD65" t="str">
            <v xml:space="preserve">NM </v>
          </cell>
          <cell r="BE65" t="str">
            <v xml:space="preserve">NM </v>
          </cell>
          <cell r="BF65" t="str">
            <v xml:space="preserve">NM </v>
          </cell>
          <cell r="BG65" t="str">
            <v xml:space="preserve">NM </v>
          </cell>
          <cell r="BH65" t="str">
            <v xml:space="preserve">NM </v>
          </cell>
          <cell r="BI65" t="str">
            <v xml:space="preserve">NM </v>
          </cell>
          <cell r="BJ65" t="str">
            <v xml:space="preserve">NM </v>
          </cell>
          <cell r="BK65" t="str">
            <v xml:space="preserve">NM </v>
          </cell>
          <cell r="BL65" t="str">
            <v xml:space="preserve">NM </v>
          </cell>
          <cell r="BM65" t="str">
            <v xml:space="preserve">NM </v>
          </cell>
          <cell r="BN65" t="str">
            <v xml:space="preserve">NM </v>
          </cell>
          <cell r="BO65" t="str">
            <v xml:space="preserve">NM </v>
          </cell>
          <cell r="BP65" t="str">
            <v xml:space="preserve">NM </v>
          </cell>
          <cell r="BQ65" t="str">
            <v xml:space="preserve">NM </v>
          </cell>
          <cell r="BR65" t="str">
            <v xml:space="preserve">NM </v>
          </cell>
          <cell r="BS65" t="str">
            <v xml:space="preserve">NM </v>
          </cell>
          <cell r="BT65" t="str">
            <v xml:space="preserve">NM </v>
          </cell>
          <cell r="BU65" t="str">
            <v xml:space="preserve">NM </v>
          </cell>
          <cell r="BV65" t="str">
            <v xml:space="preserve">NM </v>
          </cell>
          <cell r="BW65" t="str">
            <v xml:space="preserve">NM </v>
          </cell>
          <cell r="BX65" t="str">
            <v xml:space="preserve">NM </v>
          </cell>
          <cell r="BY65">
            <v>4.4334433443344347E-2</v>
          </cell>
          <cell r="BZ65">
            <v>5.0857165045527813E-2</v>
          </cell>
          <cell r="CA65">
            <v>5.7692307692307696E-2</v>
          </cell>
          <cell r="CB65">
            <v>6.2382120682409226E-2</v>
          </cell>
          <cell r="CC65">
            <v>6.2004686534004753E-2</v>
          </cell>
          <cell r="CD65">
            <v>7.2078626611117594E-2</v>
          </cell>
          <cell r="CE65">
            <v>7.4884675647824056E-2</v>
          </cell>
          <cell r="CF65">
            <v>9.3602020458877222E-2</v>
          </cell>
          <cell r="CG65">
            <v>9.2727210816474046E-2</v>
          </cell>
          <cell r="CH65">
            <v>0.10315016083727606</v>
          </cell>
          <cell r="CI65">
            <v>9.1017824202734535E-2</v>
          </cell>
          <cell r="CJ65">
            <v>9.5667756950366126E-2</v>
          </cell>
          <cell r="CK65">
            <v>0.10276839362237267</v>
          </cell>
          <cell r="CL65">
            <v>0.10733717532032576</v>
          </cell>
          <cell r="CM65">
            <v>9.7234484810550234E-2</v>
          </cell>
          <cell r="CN65">
            <v>0.10123032122638384</v>
          </cell>
          <cell r="CO65">
            <v>0.11005422981406916</v>
          </cell>
          <cell r="CP65">
            <v>0.11651135668411758</v>
          </cell>
          <cell r="CQ65">
            <v>9.6234484810550233E-2</v>
          </cell>
          <cell r="CR65">
            <v>0.10023032122638384</v>
          </cell>
          <cell r="CS65">
            <v>0.10905422981406916</v>
          </cell>
          <cell r="CT65">
            <v>0.11551135668411758</v>
          </cell>
          <cell r="CU65">
            <v>9.5234484810550232E-2</v>
          </cell>
          <cell r="CV65">
            <v>9.9230321226383839E-2</v>
          </cell>
          <cell r="CW65">
            <v>0.10805422981406916</v>
          </cell>
          <cell r="CX65">
            <v>0.11451135668411758</v>
          </cell>
          <cell r="CY65">
            <v>0</v>
          </cell>
          <cell r="CZ65" t="str">
            <v xml:space="preserve">NM </v>
          </cell>
          <cell r="DA65" t="str">
            <v xml:space="preserve">NM </v>
          </cell>
          <cell r="DB65" t="str">
            <v xml:space="preserve">NM </v>
          </cell>
          <cell r="DC65" t="str">
            <v xml:space="preserve">NM </v>
          </cell>
          <cell r="DD65" t="str">
            <v xml:space="preserve">NM </v>
          </cell>
          <cell r="DE65" t="str">
            <v xml:space="preserve">NM </v>
          </cell>
          <cell r="DF65" t="str">
            <v xml:space="preserve">NM </v>
          </cell>
          <cell r="DG65" t="str">
            <v xml:space="preserve">NM </v>
          </cell>
          <cell r="DH65" t="str">
            <v xml:space="preserve">NM </v>
          </cell>
          <cell r="DI65" t="str">
            <v xml:space="preserve">NM </v>
          </cell>
          <cell r="DJ65" t="str">
            <v xml:space="preserve">NM </v>
          </cell>
          <cell r="DK65" t="str">
            <v xml:space="preserve">NM </v>
          </cell>
          <cell r="DL65" t="str">
            <v xml:space="preserve">NM </v>
          </cell>
          <cell r="DM65" t="str">
            <v xml:space="preserve">NM </v>
          </cell>
          <cell r="DN65" t="str">
            <v xml:space="preserve">NM </v>
          </cell>
          <cell r="DO65" t="str">
            <v xml:space="preserve">NM </v>
          </cell>
          <cell r="DP65" t="str">
            <v xml:space="preserve">NM </v>
          </cell>
          <cell r="DQ65" t="str">
            <v xml:space="preserve">NM </v>
          </cell>
          <cell r="DR65">
            <v>2.352730696798494E-2</v>
          </cell>
          <cell r="DS65">
            <v>6.3484953806210401E-2</v>
          </cell>
          <cell r="DT65">
            <v>9.0576536810265285E-2</v>
          </cell>
          <cell r="DU65">
            <v>9.8965432253810215E-2</v>
          </cell>
          <cell r="DV65">
            <v>0.10597072507957132</v>
          </cell>
          <cell r="DW65">
            <v>0.10230116004234895</v>
          </cell>
          <cell r="DX65">
            <v>0.10128726431365287</v>
          </cell>
          <cell r="DY65">
            <v>0</v>
          </cell>
          <cell r="DZ65">
            <v>0</v>
          </cell>
          <cell r="EA65">
            <v>6.3484953806210401E-2</v>
          </cell>
          <cell r="EB65">
            <v>9.0845310746779984E-2</v>
          </cell>
          <cell r="EC65">
            <v>0.11774478840615564</v>
          </cell>
          <cell r="ED65">
            <v>0.10041014962421456</v>
          </cell>
          <cell r="EE65">
            <v>0.10310602200333283</v>
          </cell>
          <cell r="EF65">
            <v>0.10649691168329252</v>
          </cell>
        </row>
        <row r="66">
          <cell r="A66">
            <v>0</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cell r="CG66">
            <v>0</v>
          </cell>
          <cell r="CH66">
            <v>0</v>
          </cell>
          <cell r="CI66">
            <v>0</v>
          </cell>
          <cell r="CJ66">
            <v>0</v>
          </cell>
          <cell r="CK66">
            <v>0</v>
          </cell>
          <cell r="CL66">
            <v>0</v>
          </cell>
          <cell r="CM66">
            <v>0</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R66">
            <v>0</v>
          </cell>
          <cell r="DS66">
            <v>0</v>
          </cell>
          <cell r="DT66">
            <v>0</v>
          </cell>
          <cell r="DU66">
            <v>0</v>
          </cell>
          <cell r="DV66">
            <v>0</v>
          </cell>
          <cell r="DW66">
            <v>0</v>
          </cell>
          <cell r="DX66">
            <v>0</v>
          </cell>
          <cell r="DY66">
            <v>0</v>
          </cell>
          <cell r="DZ66">
            <v>0</v>
          </cell>
          <cell r="EA66">
            <v>0</v>
          </cell>
          <cell r="EB66">
            <v>0</v>
          </cell>
          <cell r="EC66">
            <v>0</v>
          </cell>
          <cell r="ED66">
            <v>0</v>
          </cell>
          <cell r="EE66">
            <v>0</v>
          </cell>
          <cell r="EF66">
            <v>0</v>
          </cell>
        </row>
        <row r="67">
          <cell r="A67" t="str">
            <v>TSAs and stranded costs</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18.699999999999985</v>
          </cell>
          <cell r="BZ67">
            <v>20.601694915254221</v>
          </cell>
          <cell r="CA67">
            <v>9</v>
          </cell>
          <cell r="CB67">
            <v>8</v>
          </cell>
          <cell r="CC67">
            <v>7.6</v>
          </cell>
          <cell r="CD67">
            <v>7.22</v>
          </cell>
          <cell r="CE67">
            <v>0</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0</v>
          </cell>
          <cell r="DM67">
            <v>0</v>
          </cell>
          <cell r="DN67">
            <v>0</v>
          </cell>
          <cell r="DO67">
            <v>0</v>
          </cell>
          <cell r="DP67">
            <v>0</v>
          </cell>
          <cell r="DQ67">
            <v>0</v>
          </cell>
          <cell r="DR67">
            <v>39.301694915254203</v>
          </cell>
          <cell r="DS67">
            <v>31.82</v>
          </cell>
          <cell r="DT67">
            <v>0</v>
          </cell>
          <cell r="DU67">
            <v>0</v>
          </cell>
          <cell r="DV67">
            <v>0</v>
          </cell>
          <cell r="DW67">
            <v>0</v>
          </cell>
          <cell r="DX67">
            <v>0</v>
          </cell>
          <cell r="DY67">
            <v>0</v>
          </cell>
          <cell r="DZ67">
            <v>0</v>
          </cell>
          <cell r="EA67">
            <v>31.82</v>
          </cell>
          <cell r="EB67">
            <v>0</v>
          </cell>
          <cell r="EC67">
            <v>0</v>
          </cell>
          <cell r="ED67">
            <v>0</v>
          </cell>
          <cell r="EE67">
            <v>0</v>
          </cell>
          <cell r="EF67">
            <v>0</v>
          </cell>
        </row>
        <row r="68">
          <cell r="A68" t="str">
            <v>% of SYMC revenue</v>
          </cell>
          <cell r="B68">
            <v>0</v>
          </cell>
          <cell r="C68">
            <v>0</v>
          </cell>
          <cell r="D68">
            <v>0</v>
          </cell>
          <cell r="E68">
            <v>0</v>
          </cell>
          <cell r="F68">
            <v>0</v>
          </cell>
          <cell r="G68">
            <v>0</v>
          </cell>
          <cell r="H68">
            <v>0</v>
          </cell>
          <cell r="I68">
            <v>0</v>
          </cell>
          <cell r="J68">
            <v>0</v>
          </cell>
          <cell r="K68" t="str">
            <v xml:space="preserve">NM </v>
          </cell>
          <cell r="L68" t="str">
            <v xml:space="preserve">NM </v>
          </cell>
          <cell r="M68" t="str">
            <v xml:space="preserve">NM </v>
          </cell>
          <cell r="N68" t="str">
            <v xml:space="preserve">NM </v>
          </cell>
          <cell r="O68" t="str">
            <v xml:space="preserve">NM </v>
          </cell>
          <cell r="P68" t="str">
            <v xml:space="preserve">NM </v>
          </cell>
          <cell r="Q68" t="str">
            <v xml:space="preserve">NM </v>
          </cell>
          <cell r="R68" t="str">
            <v xml:space="preserve">NM </v>
          </cell>
          <cell r="S68" t="str">
            <v xml:space="preserve">NM </v>
          </cell>
          <cell r="T68" t="str">
            <v xml:space="preserve">NM </v>
          </cell>
          <cell r="U68" t="str">
            <v xml:space="preserve">NM </v>
          </cell>
          <cell r="V68" t="str">
            <v xml:space="preserve">NM </v>
          </cell>
          <cell r="W68" t="str">
            <v xml:space="preserve">NM </v>
          </cell>
          <cell r="X68" t="str">
            <v xml:space="preserve">NM </v>
          </cell>
          <cell r="Y68" t="str">
            <v xml:space="preserve">NM </v>
          </cell>
          <cell r="Z68" t="str">
            <v xml:space="preserve">NM </v>
          </cell>
          <cell r="AA68" t="str">
            <v xml:space="preserve">NM </v>
          </cell>
          <cell r="AB68" t="str">
            <v xml:space="preserve">NM </v>
          </cell>
          <cell r="AC68" t="str">
            <v xml:space="preserve">NM </v>
          </cell>
          <cell r="AD68" t="str">
            <v xml:space="preserve">NM </v>
          </cell>
          <cell r="AE68" t="str">
            <v xml:space="preserve">NM </v>
          </cell>
          <cell r="AF68" t="str">
            <v xml:space="preserve">NM </v>
          </cell>
          <cell r="AG68" t="str">
            <v xml:space="preserve">NM </v>
          </cell>
          <cell r="AH68" t="str">
            <v xml:space="preserve">NM </v>
          </cell>
          <cell r="AI68" t="str">
            <v xml:space="preserve">NM </v>
          </cell>
          <cell r="AJ68" t="str">
            <v xml:space="preserve">NM </v>
          </cell>
          <cell r="AK68" t="str">
            <v xml:space="preserve">NM </v>
          </cell>
          <cell r="AL68" t="str">
            <v xml:space="preserve">NM </v>
          </cell>
          <cell r="AM68" t="str">
            <v xml:space="preserve">NM </v>
          </cell>
          <cell r="AN68" t="str">
            <v xml:space="preserve">NM </v>
          </cell>
          <cell r="AO68" t="str">
            <v xml:space="preserve">NM </v>
          </cell>
          <cell r="AP68" t="str">
            <v xml:space="preserve">NM </v>
          </cell>
          <cell r="AQ68" t="str">
            <v xml:space="preserve">NM </v>
          </cell>
          <cell r="AR68" t="str">
            <v xml:space="preserve">NM </v>
          </cell>
          <cell r="AS68" t="str">
            <v xml:space="preserve">NM </v>
          </cell>
          <cell r="AT68" t="str">
            <v xml:space="preserve">NM </v>
          </cell>
          <cell r="AU68" t="str">
            <v xml:space="preserve">NM </v>
          </cell>
          <cell r="AV68" t="str">
            <v xml:space="preserve">NM </v>
          </cell>
          <cell r="AW68" t="str">
            <v xml:space="preserve">NM </v>
          </cell>
          <cell r="AX68" t="str">
            <v xml:space="preserve">NM </v>
          </cell>
          <cell r="AY68" t="str">
            <v xml:space="preserve">NM </v>
          </cell>
          <cell r="AZ68" t="str">
            <v xml:space="preserve">NM </v>
          </cell>
          <cell r="BA68" t="str">
            <v xml:space="preserve">NM </v>
          </cell>
          <cell r="BB68" t="str">
            <v xml:space="preserve">NM </v>
          </cell>
          <cell r="BC68" t="str">
            <v xml:space="preserve">NM </v>
          </cell>
          <cell r="BD68" t="str">
            <v xml:space="preserve">NM </v>
          </cell>
          <cell r="BE68" t="str">
            <v xml:space="preserve">NM </v>
          </cell>
          <cell r="BF68" t="str">
            <v xml:space="preserve">NM </v>
          </cell>
          <cell r="BG68" t="str">
            <v xml:space="preserve">NM </v>
          </cell>
          <cell r="BH68" t="str">
            <v xml:space="preserve">NM </v>
          </cell>
          <cell r="BI68" t="str">
            <v xml:space="preserve">NM </v>
          </cell>
          <cell r="BJ68" t="str">
            <v xml:space="preserve">NM </v>
          </cell>
          <cell r="BK68" t="str">
            <v xml:space="preserve">NM </v>
          </cell>
          <cell r="BL68" t="str">
            <v xml:space="preserve">NM </v>
          </cell>
          <cell r="BM68" t="str">
            <v xml:space="preserve">NM </v>
          </cell>
          <cell r="BN68" t="str">
            <v xml:space="preserve">NM </v>
          </cell>
          <cell r="BO68" t="str">
            <v xml:space="preserve">NM </v>
          </cell>
          <cell r="BP68" t="str">
            <v xml:space="preserve">NM </v>
          </cell>
          <cell r="BQ68" t="str">
            <v xml:space="preserve">NM </v>
          </cell>
          <cell r="BR68" t="str">
            <v xml:space="preserve">NM </v>
          </cell>
          <cell r="BS68" t="str">
            <v xml:space="preserve">NM </v>
          </cell>
          <cell r="BT68" t="str">
            <v xml:space="preserve">NM </v>
          </cell>
          <cell r="BU68" t="str">
            <v xml:space="preserve">NM </v>
          </cell>
          <cell r="BV68" t="str">
            <v xml:space="preserve">NM </v>
          </cell>
          <cell r="BW68" t="str">
            <v xml:space="preserve">NM </v>
          </cell>
          <cell r="BX68" t="str">
            <v xml:space="preserve">NM </v>
          </cell>
          <cell r="BY68">
            <v>2.0572057205720556E-2</v>
          </cell>
          <cell r="BZ68">
            <v>2.3598734152639429E-2</v>
          </cell>
          <cell r="CA68">
            <v>1.0180995475113122E-2</v>
          </cell>
          <cell r="CB68">
            <v>8.9786756453423128E-3</v>
          </cell>
          <cell r="CC68">
            <v>8.6265607264472185E-3</v>
          </cell>
          <cell r="CD68">
            <v>8.3762172207848332E-3</v>
          </cell>
          <cell r="CE68" t="str">
            <v xml:space="preserve">NM </v>
          </cell>
          <cell r="CF68" t="str">
            <v xml:space="preserve">NM </v>
          </cell>
          <cell r="CG68" t="str">
            <v xml:space="preserve">NM </v>
          </cell>
          <cell r="CH68" t="str">
            <v xml:space="preserve">NM </v>
          </cell>
          <cell r="CI68" t="str">
            <v xml:space="preserve">NM </v>
          </cell>
          <cell r="CJ68" t="str">
            <v xml:space="preserve">NM </v>
          </cell>
          <cell r="CK68" t="str">
            <v xml:space="preserve">NM </v>
          </cell>
          <cell r="CL68" t="str">
            <v xml:space="preserve">NM </v>
          </cell>
          <cell r="CM68" t="str">
            <v xml:space="preserve">NM </v>
          </cell>
          <cell r="CN68" t="str">
            <v xml:space="preserve">NM </v>
          </cell>
          <cell r="CO68" t="str">
            <v xml:space="preserve">NM </v>
          </cell>
          <cell r="CP68" t="str">
            <v xml:space="preserve">NM </v>
          </cell>
          <cell r="CQ68" t="str">
            <v xml:space="preserve">NM </v>
          </cell>
          <cell r="CR68" t="str">
            <v xml:space="preserve">NM </v>
          </cell>
          <cell r="CS68" t="str">
            <v xml:space="preserve">NM </v>
          </cell>
          <cell r="CT68" t="str">
            <v xml:space="preserve">NM </v>
          </cell>
          <cell r="CU68" t="str">
            <v xml:space="preserve">NM </v>
          </cell>
          <cell r="CV68" t="str">
            <v xml:space="preserve">NM </v>
          </cell>
          <cell r="CW68" t="str">
            <v xml:space="preserve">NM </v>
          </cell>
          <cell r="CX68" t="str">
            <v xml:space="preserve">NM </v>
          </cell>
          <cell r="CY68">
            <v>0</v>
          </cell>
          <cell r="CZ68" t="str">
            <v xml:space="preserve">NM </v>
          </cell>
          <cell r="DA68" t="str">
            <v xml:space="preserve">NM </v>
          </cell>
          <cell r="DB68" t="str">
            <v xml:space="preserve">NM </v>
          </cell>
          <cell r="DC68" t="str">
            <v xml:space="preserve">NM </v>
          </cell>
          <cell r="DD68" t="str">
            <v xml:space="preserve">NM </v>
          </cell>
          <cell r="DE68" t="str">
            <v xml:space="preserve">NM </v>
          </cell>
          <cell r="DF68" t="str">
            <v xml:space="preserve">NM </v>
          </cell>
          <cell r="DG68" t="str">
            <v xml:space="preserve">NM </v>
          </cell>
          <cell r="DH68" t="str">
            <v xml:space="preserve">NM </v>
          </cell>
          <cell r="DI68" t="str">
            <v xml:space="preserve">NM </v>
          </cell>
          <cell r="DJ68" t="str">
            <v xml:space="preserve">NM </v>
          </cell>
          <cell r="DK68" t="str">
            <v xml:space="preserve">NM </v>
          </cell>
          <cell r="DL68" t="str">
            <v xml:space="preserve">NM </v>
          </cell>
          <cell r="DM68" t="str">
            <v xml:space="preserve">NM </v>
          </cell>
          <cell r="DN68" t="str">
            <v xml:space="preserve">NM </v>
          </cell>
          <cell r="DO68" t="str">
            <v xml:space="preserve">NM </v>
          </cell>
          <cell r="DP68" t="str">
            <v xml:space="preserve">NM </v>
          </cell>
          <cell r="DQ68" t="str">
            <v xml:space="preserve">NM </v>
          </cell>
          <cell r="DR68">
            <v>1.0917137476459501E-2</v>
          </cell>
          <cell r="DS68">
            <v>9.0450037342326914E-3</v>
          </cell>
          <cell r="DT68" t="str">
            <v xml:space="preserve">NM </v>
          </cell>
          <cell r="DU68" t="str">
            <v xml:space="preserve">NM </v>
          </cell>
          <cell r="DV68" t="str">
            <v xml:space="preserve">NM </v>
          </cell>
          <cell r="DW68" t="str">
            <v xml:space="preserve">NM </v>
          </cell>
          <cell r="DX68" t="str">
            <v xml:space="preserve">NM </v>
          </cell>
          <cell r="DY68">
            <v>0</v>
          </cell>
          <cell r="DZ68">
            <v>0</v>
          </cell>
          <cell r="EA68">
            <v>9.0450037342326914E-3</v>
          </cell>
          <cell r="EB68" t="str">
            <v xml:space="preserve">NM </v>
          </cell>
          <cell r="EC68" t="str">
            <v xml:space="preserve">NM </v>
          </cell>
          <cell r="ED68" t="str">
            <v xml:space="preserve">NM </v>
          </cell>
          <cell r="EE68" t="str">
            <v xml:space="preserve">NM </v>
          </cell>
          <cell r="EF68" t="str">
            <v xml:space="preserve">NM </v>
          </cell>
        </row>
        <row r="69">
          <cell r="A69">
            <v>0</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row>
        <row r="70">
          <cell r="A70" t="str">
            <v>General and administrative -- BLCT</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5.417530471973377</v>
          </cell>
          <cell r="CC70">
            <v>10.773871163541816</v>
          </cell>
          <cell r="CD70">
            <v>1.7255276586661719</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17.916929294181365</v>
          </cell>
          <cell r="DT70">
            <v>0</v>
          </cell>
          <cell r="DU70">
            <v>0</v>
          </cell>
          <cell r="DV70">
            <v>0</v>
          </cell>
          <cell r="DW70">
            <v>0</v>
          </cell>
          <cell r="DX70">
            <v>0</v>
          </cell>
          <cell r="DY70">
            <v>0</v>
          </cell>
          <cell r="DZ70">
            <v>0</v>
          </cell>
          <cell r="EA70">
            <v>17.916929294181365</v>
          </cell>
          <cell r="EB70">
            <v>0</v>
          </cell>
          <cell r="EC70">
            <v>0</v>
          </cell>
          <cell r="ED70">
            <v>0</v>
          </cell>
          <cell r="EE70">
            <v>0</v>
          </cell>
          <cell r="EF70">
            <v>0</v>
          </cell>
        </row>
        <row r="71">
          <cell r="A71" t="str">
            <v>% of BLCT revenue</v>
          </cell>
          <cell r="B71">
            <v>0</v>
          </cell>
          <cell r="C71">
            <v>0</v>
          </cell>
          <cell r="D71">
            <v>0</v>
          </cell>
          <cell r="E71">
            <v>0</v>
          </cell>
          <cell r="F71">
            <v>0</v>
          </cell>
          <cell r="G71">
            <v>0</v>
          </cell>
          <cell r="H71">
            <v>0</v>
          </cell>
          <cell r="I71">
            <v>0</v>
          </cell>
          <cell r="J71">
            <v>0</v>
          </cell>
          <cell r="K71" t="str">
            <v xml:space="preserve">NM </v>
          </cell>
          <cell r="L71" t="str">
            <v xml:space="preserve">NM </v>
          </cell>
          <cell r="M71" t="str">
            <v xml:space="preserve">NM </v>
          </cell>
          <cell r="N71" t="str">
            <v xml:space="preserve">NM </v>
          </cell>
          <cell r="O71" t="str">
            <v xml:space="preserve">NM </v>
          </cell>
          <cell r="P71" t="str">
            <v xml:space="preserve">NM </v>
          </cell>
          <cell r="Q71" t="str">
            <v xml:space="preserve">NM </v>
          </cell>
          <cell r="R71" t="str">
            <v xml:space="preserve">NM </v>
          </cell>
          <cell r="S71" t="str">
            <v xml:space="preserve">NM </v>
          </cell>
          <cell r="T71" t="str">
            <v xml:space="preserve">NM </v>
          </cell>
          <cell r="U71" t="str">
            <v xml:space="preserve">NM </v>
          </cell>
          <cell r="V71" t="str">
            <v xml:space="preserve">NM </v>
          </cell>
          <cell r="W71" t="str">
            <v xml:space="preserve">NM </v>
          </cell>
          <cell r="X71" t="str">
            <v xml:space="preserve">NM </v>
          </cell>
          <cell r="Y71" t="str">
            <v xml:space="preserve">NM </v>
          </cell>
          <cell r="Z71" t="str">
            <v xml:space="preserve">NM </v>
          </cell>
          <cell r="AA71" t="str">
            <v xml:space="preserve">NM </v>
          </cell>
          <cell r="AB71" t="str">
            <v xml:space="preserve">NM </v>
          </cell>
          <cell r="AC71" t="str">
            <v xml:space="preserve">NM </v>
          </cell>
          <cell r="AD71" t="str">
            <v xml:space="preserve">NM </v>
          </cell>
          <cell r="AE71" t="str">
            <v xml:space="preserve">NM </v>
          </cell>
          <cell r="AF71" t="str">
            <v xml:space="preserve">NM </v>
          </cell>
          <cell r="AG71" t="str">
            <v xml:space="preserve">NM </v>
          </cell>
          <cell r="AH71" t="str">
            <v xml:space="preserve">NM </v>
          </cell>
          <cell r="AI71" t="str">
            <v xml:space="preserve">NM </v>
          </cell>
          <cell r="AJ71" t="str">
            <v xml:space="preserve">NM </v>
          </cell>
          <cell r="AK71" t="str">
            <v xml:space="preserve">NM </v>
          </cell>
          <cell r="AL71" t="str">
            <v xml:space="preserve">NM </v>
          </cell>
          <cell r="AM71" t="str">
            <v xml:space="preserve">NM </v>
          </cell>
          <cell r="AN71" t="str">
            <v xml:space="preserve">NM </v>
          </cell>
          <cell r="AO71" t="str">
            <v xml:space="preserve">NM </v>
          </cell>
          <cell r="AP71" t="str">
            <v xml:space="preserve">NM </v>
          </cell>
          <cell r="AQ71" t="str">
            <v xml:space="preserve">NM </v>
          </cell>
          <cell r="AR71" t="str">
            <v xml:space="preserve">NM </v>
          </cell>
          <cell r="AS71" t="str">
            <v xml:space="preserve">NM </v>
          </cell>
          <cell r="AT71" t="str">
            <v xml:space="preserve">NM </v>
          </cell>
          <cell r="AU71" t="str">
            <v xml:space="preserve">NM </v>
          </cell>
          <cell r="AV71" t="str">
            <v xml:space="preserve">NM </v>
          </cell>
          <cell r="AW71" t="str">
            <v xml:space="preserve">NM </v>
          </cell>
          <cell r="AX71" t="str">
            <v xml:space="preserve">NM </v>
          </cell>
          <cell r="AY71" t="str">
            <v xml:space="preserve">NM </v>
          </cell>
          <cell r="AZ71" t="str">
            <v xml:space="preserve">NM </v>
          </cell>
          <cell r="BA71" t="str">
            <v xml:space="preserve">NM </v>
          </cell>
          <cell r="BB71" t="str">
            <v xml:space="preserve">NM </v>
          </cell>
          <cell r="BC71" t="str">
            <v xml:space="preserve">NM </v>
          </cell>
          <cell r="BD71" t="str">
            <v xml:space="preserve">NM </v>
          </cell>
          <cell r="BE71" t="str">
            <v xml:space="preserve">NM </v>
          </cell>
          <cell r="BF71" t="str">
            <v xml:space="preserve">NM </v>
          </cell>
          <cell r="BG71" t="str">
            <v xml:space="preserve">NM </v>
          </cell>
          <cell r="BH71" t="str">
            <v xml:space="preserve">NM </v>
          </cell>
          <cell r="BI71" t="str">
            <v xml:space="preserve">NM </v>
          </cell>
          <cell r="BJ71" t="str">
            <v xml:space="preserve">NM </v>
          </cell>
          <cell r="BK71" t="str">
            <v xml:space="preserve">NM </v>
          </cell>
          <cell r="BL71" t="str">
            <v xml:space="preserve">NM </v>
          </cell>
          <cell r="BM71" t="str">
            <v xml:space="preserve">NM </v>
          </cell>
          <cell r="BN71" t="str">
            <v xml:space="preserve">NM </v>
          </cell>
          <cell r="BO71" t="str">
            <v xml:space="preserve">NM </v>
          </cell>
          <cell r="BP71" t="str">
            <v xml:space="preserve">NM </v>
          </cell>
          <cell r="BQ71" t="str">
            <v xml:space="preserve">NM </v>
          </cell>
          <cell r="BR71" t="str">
            <v xml:space="preserve">NM </v>
          </cell>
          <cell r="BS71" t="str">
            <v xml:space="preserve">NM </v>
          </cell>
          <cell r="BT71" t="str">
            <v xml:space="preserve">NM </v>
          </cell>
          <cell r="BU71" t="str">
            <v xml:space="preserve">NM </v>
          </cell>
          <cell r="BV71" t="str">
            <v xml:space="preserve">NM </v>
          </cell>
          <cell r="BW71" t="str">
            <v xml:space="preserve">NM </v>
          </cell>
          <cell r="BX71" t="str">
            <v xml:space="preserve">NM </v>
          </cell>
          <cell r="BY71" t="str">
            <v xml:space="preserve">NM </v>
          </cell>
          <cell r="BZ71" t="str">
            <v xml:space="preserve">NM </v>
          </cell>
          <cell r="CA71" t="str">
            <v xml:space="preserve">NM </v>
          </cell>
          <cell r="CB71">
            <v>4.368976187075304E-2</v>
          </cell>
          <cell r="CC71">
            <v>5.2047686780395251E-2</v>
          </cell>
          <cell r="CD71">
            <v>8.0618674983268992E-3</v>
          </cell>
          <cell r="CE71" t="str">
            <v xml:space="preserve">NM </v>
          </cell>
          <cell r="CF71" t="str">
            <v xml:space="preserve">NM </v>
          </cell>
          <cell r="CG71" t="str">
            <v xml:space="preserve">NM </v>
          </cell>
          <cell r="CH71" t="str">
            <v xml:space="preserve">NM </v>
          </cell>
          <cell r="CI71" t="str">
            <v xml:space="preserve">NM </v>
          </cell>
          <cell r="CJ71" t="str">
            <v xml:space="preserve">NM </v>
          </cell>
          <cell r="CK71" t="str">
            <v xml:space="preserve">NM </v>
          </cell>
          <cell r="CL71" t="str">
            <v xml:space="preserve">NM </v>
          </cell>
          <cell r="CM71" t="str">
            <v xml:space="preserve">NM </v>
          </cell>
          <cell r="CN71" t="str">
            <v xml:space="preserve">NM </v>
          </cell>
          <cell r="CO71" t="str">
            <v xml:space="preserve">NM </v>
          </cell>
          <cell r="CP71" t="str">
            <v xml:space="preserve">NM </v>
          </cell>
          <cell r="CQ71" t="str">
            <v xml:space="preserve">NM </v>
          </cell>
          <cell r="CR71" t="str">
            <v xml:space="preserve">NM </v>
          </cell>
          <cell r="CS71" t="str">
            <v xml:space="preserve">NM </v>
          </cell>
          <cell r="CT71" t="str">
            <v xml:space="preserve">NM </v>
          </cell>
          <cell r="CU71" t="str">
            <v xml:space="preserve">NM </v>
          </cell>
          <cell r="CV71" t="str">
            <v xml:space="preserve">NM </v>
          </cell>
          <cell r="CW71" t="str">
            <v xml:space="preserve">NM </v>
          </cell>
          <cell r="CX71" t="str">
            <v xml:space="preserve">NM </v>
          </cell>
          <cell r="CY71">
            <v>0</v>
          </cell>
          <cell r="CZ71" t="str">
            <v xml:space="preserve">NM </v>
          </cell>
          <cell r="DA71" t="str">
            <v xml:space="preserve">NM </v>
          </cell>
          <cell r="DB71" t="str">
            <v xml:space="preserve">NM </v>
          </cell>
          <cell r="DC71" t="str">
            <v xml:space="preserve">NM </v>
          </cell>
          <cell r="DD71" t="str">
            <v xml:space="preserve">NM </v>
          </cell>
          <cell r="DE71" t="str">
            <v xml:space="preserve">NM </v>
          </cell>
          <cell r="DF71" t="str">
            <v xml:space="preserve">NM </v>
          </cell>
          <cell r="DG71" t="str">
            <v xml:space="preserve">NM </v>
          </cell>
          <cell r="DH71" t="str">
            <v xml:space="preserve">NM </v>
          </cell>
          <cell r="DI71" t="str">
            <v xml:space="preserve">NM </v>
          </cell>
          <cell r="DJ71" t="str">
            <v xml:space="preserve">NM </v>
          </cell>
          <cell r="DK71" t="str">
            <v xml:space="preserve">NM </v>
          </cell>
          <cell r="DL71" t="str">
            <v xml:space="preserve">NM </v>
          </cell>
          <cell r="DM71" t="str">
            <v xml:space="preserve">NM </v>
          </cell>
          <cell r="DN71" t="str">
            <v xml:space="preserve">NM </v>
          </cell>
          <cell r="DO71" t="str">
            <v xml:space="preserve">NM </v>
          </cell>
          <cell r="DP71" t="str">
            <v xml:space="preserve">NM </v>
          </cell>
          <cell r="DQ71" t="str">
            <v xml:space="preserve">NM </v>
          </cell>
          <cell r="DR71" t="str">
            <v xml:space="preserve">NM </v>
          </cell>
          <cell r="DS71">
            <v>3.2872944757253456E-2</v>
          </cell>
          <cell r="DT71" t="str">
            <v xml:space="preserve">NM </v>
          </cell>
          <cell r="DU71" t="str">
            <v xml:space="preserve">NM </v>
          </cell>
          <cell r="DV71" t="str">
            <v xml:space="preserve">NM </v>
          </cell>
          <cell r="DW71" t="str">
            <v xml:space="preserve">NM </v>
          </cell>
          <cell r="DX71" t="str">
            <v xml:space="preserve">NM </v>
          </cell>
          <cell r="DY71">
            <v>0</v>
          </cell>
          <cell r="DZ71">
            <v>0</v>
          </cell>
          <cell r="EA71">
            <v>3.2872944757253456E-2</v>
          </cell>
          <cell r="EB71" t="str">
            <v xml:space="preserve">NM </v>
          </cell>
          <cell r="EC71" t="str">
            <v xml:space="preserve">NM </v>
          </cell>
          <cell r="ED71" t="str">
            <v xml:space="preserve">NM </v>
          </cell>
          <cell r="EE71" t="str">
            <v xml:space="preserve">NM </v>
          </cell>
          <cell r="EF71" t="str">
            <v xml:space="preserve">NM </v>
          </cell>
        </row>
        <row r="72">
          <cell r="A72">
            <v>0</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row>
        <row r="73">
          <cell r="A73" t="str">
            <v>General and administrative -- LOCK</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0</v>
          </cell>
          <cell r="BU73">
            <v>0</v>
          </cell>
          <cell r="BV73">
            <v>0</v>
          </cell>
          <cell r="BW73">
            <v>0</v>
          </cell>
          <cell r="BX73">
            <v>0</v>
          </cell>
          <cell r="BY73">
            <v>0</v>
          </cell>
          <cell r="BZ73">
            <v>0</v>
          </cell>
          <cell r="CA73">
            <v>0</v>
          </cell>
          <cell r="CB73">
            <v>0</v>
          </cell>
          <cell r="CC73">
            <v>0</v>
          </cell>
          <cell r="CD73">
            <v>8.9252712455308423</v>
          </cell>
          <cell r="CE73">
            <v>18.818181347677484</v>
          </cell>
          <cell r="CF73">
            <v>1.9556897369422093</v>
          </cell>
          <cell r="CG73">
            <v>1.7060938860047479</v>
          </cell>
          <cell r="CH73">
            <v>2.1770683169816136</v>
          </cell>
          <cell r="CI73">
            <v>3.0206525538557867</v>
          </cell>
          <cell r="CJ73">
            <v>3.2067763803950253</v>
          </cell>
          <cell r="CK73">
            <v>2.7951757437653773</v>
          </cell>
          <cell r="CL73">
            <v>2.3249636383354861</v>
          </cell>
          <cell r="CM73">
            <v>3.220725223716244</v>
          </cell>
          <cell r="CN73">
            <v>3.4138669322265538</v>
          </cell>
          <cell r="CO73">
            <v>2.9711727757105515</v>
          </cell>
          <cell r="CP73">
            <v>2.4676942101516528</v>
          </cell>
          <cell r="CQ73">
            <v>3.4135039608252509</v>
          </cell>
          <cell r="CR73">
            <v>3.6130978157653</v>
          </cell>
          <cell r="CS73">
            <v>3.1402334492158839</v>
          </cell>
          <cell r="CT73">
            <v>2.6045964789693374</v>
          </cell>
          <cell r="CU73">
            <v>3.5981433395859401</v>
          </cell>
          <cell r="CV73">
            <v>3.803647509032579</v>
          </cell>
          <cell r="CW73">
            <v>3.3017046540575308</v>
          </cell>
          <cell r="CX73">
            <v>2.7351769453350601</v>
          </cell>
          <cell r="CY73">
            <v>0</v>
          </cell>
          <cell r="CZ73">
            <v>0</v>
          </cell>
          <cell r="DA73">
            <v>0</v>
          </cell>
          <cell r="DB73">
            <v>0</v>
          </cell>
          <cell r="DC73">
            <v>0</v>
          </cell>
          <cell r="DD73">
            <v>0</v>
          </cell>
          <cell r="DE73">
            <v>0</v>
          </cell>
          <cell r="DF73">
            <v>0</v>
          </cell>
          <cell r="DG73">
            <v>0</v>
          </cell>
          <cell r="DH73">
            <v>0</v>
          </cell>
          <cell r="DI73">
            <v>0</v>
          </cell>
          <cell r="DJ73">
            <v>0</v>
          </cell>
          <cell r="DK73">
            <v>0</v>
          </cell>
          <cell r="DL73">
            <v>0</v>
          </cell>
          <cell r="DM73">
            <v>0</v>
          </cell>
          <cell r="DN73">
            <v>0</v>
          </cell>
          <cell r="DO73">
            <v>0</v>
          </cell>
          <cell r="DP73">
            <v>0</v>
          </cell>
          <cell r="DQ73">
            <v>0</v>
          </cell>
          <cell r="DR73">
            <v>0</v>
          </cell>
          <cell r="DS73">
            <v>8.9252712455308423</v>
          </cell>
          <cell r="DT73">
            <v>24.657033287606055</v>
          </cell>
          <cell r="DU73">
            <v>11.347568316351675</v>
          </cell>
          <cell r="DV73">
            <v>12.073459141805001</v>
          </cell>
          <cell r="DW73">
            <v>12.771431704775773</v>
          </cell>
          <cell r="DX73">
            <v>13.438672448011111</v>
          </cell>
          <cell r="DY73">
            <v>0</v>
          </cell>
          <cell r="DZ73">
            <v>0</v>
          </cell>
          <cell r="EA73">
            <v>8.9252712455308423</v>
          </cell>
          <cell r="EB73">
            <v>24.657033287606055</v>
          </cell>
          <cell r="EC73">
            <v>11.419256404085502</v>
          </cell>
          <cell r="ED73">
            <v>13.056046105269704</v>
          </cell>
          <cell r="EE73">
            <v>14.406283167812907</v>
          </cell>
          <cell r="EF73">
            <v>15.633341276825721</v>
          </cell>
        </row>
        <row r="74">
          <cell r="A74" t="str">
            <v>% of LOCK revenue</v>
          </cell>
          <cell r="B74">
            <v>0</v>
          </cell>
          <cell r="C74">
            <v>0</v>
          </cell>
          <cell r="D74">
            <v>0</v>
          </cell>
          <cell r="E74">
            <v>0</v>
          </cell>
          <cell r="F74">
            <v>0</v>
          </cell>
          <cell r="G74">
            <v>0</v>
          </cell>
          <cell r="H74">
            <v>0</v>
          </cell>
          <cell r="I74">
            <v>0</v>
          </cell>
          <cell r="J74">
            <v>0</v>
          </cell>
          <cell r="K74" t="str">
            <v xml:space="preserve">NM </v>
          </cell>
          <cell r="L74" t="str">
            <v xml:space="preserve">NM </v>
          </cell>
          <cell r="M74" t="str">
            <v xml:space="preserve">NM </v>
          </cell>
          <cell r="N74" t="str">
            <v xml:space="preserve">NM </v>
          </cell>
          <cell r="O74" t="str">
            <v xml:space="preserve">NM </v>
          </cell>
          <cell r="P74" t="str">
            <v xml:space="preserve">NM </v>
          </cell>
          <cell r="Q74" t="str">
            <v xml:space="preserve">NM </v>
          </cell>
          <cell r="R74" t="str">
            <v xml:space="preserve">NM </v>
          </cell>
          <cell r="S74" t="str">
            <v xml:space="preserve">NM </v>
          </cell>
          <cell r="T74" t="str">
            <v xml:space="preserve">NM </v>
          </cell>
          <cell r="U74" t="str">
            <v xml:space="preserve">NM </v>
          </cell>
          <cell r="V74" t="str">
            <v xml:space="preserve">NM </v>
          </cell>
          <cell r="W74" t="str">
            <v xml:space="preserve">NM </v>
          </cell>
          <cell r="X74" t="str">
            <v xml:space="preserve">NM </v>
          </cell>
          <cell r="Y74" t="str">
            <v xml:space="preserve">NM </v>
          </cell>
          <cell r="Z74" t="str">
            <v xml:space="preserve">NM </v>
          </cell>
          <cell r="AA74" t="str">
            <v xml:space="preserve">NM </v>
          </cell>
          <cell r="AB74" t="str">
            <v xml:space="preserve">NM </v>
          </cell>
          <cell r="AC74" t="str">
            <v xml:space="preserve">NM </v>
          </cell>
          <cell r="AD74" t="str">
            <v xml:space="preserve">NM </v>
          </cell>
          <cell r="AE74" t="str">
            <v xml:space="preserve">NM </v>
          </cell>
          <cell r="AF74" t="str">
            <v xml:space="preserve">NM </v>
          </cell>
          <cell r="AG74" t="str">
            <v xml:space="preserve">NM </v>
          </cell>
          <cell r="AH74" t="str">
            <v xml:space="preserve">NM </v>
          </cell>
          <cell r="AI74" t="str">
            <v xml:space="preserve">NM </v>
          </cell>
          <cell r="AJ74" t="str">
            <v xml:space="preserve">NM </v>
          </cell>
          <cell r="AK74" t="str">
            <v xml:space="preserve">NM </v>
          </cell>
          <cell r="AL74" t="str">
            <v xml:space="preserve">NM </v>
          </cell>
          <cell r="AM74" t="str">
            <v xml:space="preserve">NM </v>
          </cell>
          <cell r="AN74" t="str">
            <v xml:space="preserve">NM </v>
          </cell>
          <cell r="AO74" t="str">
            <v xml:space="preserve">NM </v>
          </cell>
          <cell r="AP74" t="str">
            <v xml:space="preserve">NM </v>
          </cell>
          <cell r="AQ74" t="str">
            <v xml:space="preserve">NM </v>
          </cell>
          <cell r="AR74" t="str">
            <v xml:space="preserve">NM </v>
          </cell>
          <cell r="AS74" t="str">
            <v xml:space="preserve">NM </v>
          </cell>
          <cell r="AT74" t="str">
            <v xml:space="preserve">NM </v>
          </cell>
          <cell r="AU74" t="str">
            <v xml:space="preserve">NM </v>
          </cell>
          <cell r="AV74" t="str">
            <v xml:space="preserve">NM </v>
          </cell>
          <cell r="AW74" t="str">
            <v xml:space="preserve">NM </v>
          </cell>
          <cell r="AX74" t="str">
            <v xml:space="preserve">NM </v>
          </cell>
          <cell r="AY74" t="str">
            <v xml:space="preserve">NM </v>
          </cell>
          <cell r="AZ74" t="str">
            <v xml:space="preserve">NM </v>
          </cell>
          <cell r="BA74" t="str">
            <v xml:space="preserve">NM </v>
          </cell>
          <cell r="BB74" t="str">
            <v xml:space="preserve">NM </v>
          </cell>
          <cell r="BC74" t="str">
            <v xml:space="preserve">NM </v>
          </cell>
          <cell r="BD74" t="str">
            <v xml:space="preserve">NM </v>
          </cell>
          <cell r="BE74" t="str">
            <v xml:space="preserve">NM </v>
          </cell>
          <cell r="BF74" t="str">
            <v xml:space="preserve">NM </v>
          </cell>
          <cell r="BG74" t="str">
            <v xml:space="preserve">NM </v>
          </cell>
          <cell r="BH74" t="str">
            <v xml:space="preserve">NM </v>
          </cell>
          <cell r="BI74" t="str">
            <v xml:space="preserve">NM </v>
          </cell>
          <cell r="BJ74" t="str">
            <v xml:space="preserve">NM </v>
          </cell>
          <cell r="BK74" t="str">
            <v xml:space="preserve">NM </v>
          </cell>
          <cell r="BL74" t="str">
            <v xml:space="preserve">NM </v>
          </cell>
          <cell r="BM74" t="str">
            <v xml:space="preserve">NM </v>
          </cell>
          <cell r="BN74" t="str">
            <v xml:space="preserve">NM </v>
          </cell>
          <cell r="BO74" t="str">
            <v xml:space="preserve">NM </v>
          </cell>
          <cell r="BP74" t="str">
            <v xml:space="preserve">NM </v>
          </cell>
          <cell r="BQ74" t="str">
            <v xml:space="preserve">NM </v>
          </cell>
          <cell r="BR74" t="str">
            <v xml:space="preserve">NM </v>
          </cell>
          <cell r="BS74" t="str">
            <v xml:space="preserve">NM </v>
          </cell>
          <cell r="BT74" t="str">
            <v xml:space="preserve">NM </v>
          </cell>
          <cell r="BU74" t="str">
            <v xml:space="preserve">NM </v>
          </cell>
          <cell r="BV74" t="str">
            <v xml:space="preserve">NM </v>
          </cell>
          <cell r="BW74" t="str">
            <v xml:space="preserve">NM </v>
          </cell>
          <cell r="BX74" t="str">
            <v xml:space="preserve">NM </v>
          </cell>
          <cell r="BY74" t="str">
            <v xml:space="preserve">NM </v>
          </cell>
          <cell r="BZ74" t="str">
            <v xml:space="preserve">NM </v>
          </cell>
          <cell r="CA74" t="str">
            <v xml:space="preserve">NM </v>
          </cell>
          <cell r="CB74" t="str">
            <v xml:space="preserve">NM </v>
          </cell>
          <cell r="CC74" t="str">
            <v xml:space="preserve">NM </v>
          </cell>
          <cell r="CD74">
            <v>8.9252712455308428E-2</v>
          </cell>
          <cell r="CE74">
            <v>0.10767860008684633</v>
          </cell>
          <cell r="CF74">
            <v>1.0719044872251077E-2</v>
          </cell>
          <cell r="CG74">
            <v>8.7604307368664841E-3</v>
          </cell>
          <cell r="CH74">
            <v>1.0855488990185061E-2</v>
          </cell>
          <cell r="CI74">
            <v>1.4606637107619861E-2</v>
          </cell>
          <cell r="CJ74">
            <v>1.510492878188896E-2</v>
          </cell>
          <cell r="CK74">
            <v>1.2892877046888275E-2</v>
          </cell>
          <cell r="CL74">
            <v>1.0855488990185061E-2</v>
          </cell>
          <cell r="CM74">
            <v>1.4606637107619861E-2</v>
          </cell>
          <cell r="CN74">
            <v>1.510492878188896E-2</v>
          </cell>
          <cell r="CO74">
            <v>1.2892877046888275E-2</v>
          </cell>
          <cell r="CP74">
            <v>1.0855488990185061E-2</v>
          </cell>
          <cell r="CQ74">
            <v>1.4606637107619861E-2</v>
          </cell>
          <cell r="CR74">
            <v>1.510492878188896E-2</v>
          </cell>
          <cell r="CS74">
            <v>1.2892877046888275E-2</v>
          </cell>
          <cell r="CT74">
            <v>1.0855488990185061E-2</v>
          </cell>
          <cell r="CU74">
            <v>1.4606637107619861E-2</v>
          </cell>
          <cell r="CV74">
            <v>1.510492878188896E-2</v>
          </cell>
          <cell r="CW74">
            <v>1.2892877046888275E-2</v>
          </cell>
          <cell r="CX74">
            <v>1.0855488990185061E-2</v>
          </cell>
          <cell r="CY74">
            <v>0</v>
          </cell>
          <cell r="CZ74" t="str">
            <v xml:space="preserve">NM </v>
          </cell>
          <cell r="DA74" t="str">
            <v xml:space="preserve">NM </v>
          </cell>
          <cell r="DB74" t="str">
            <v xml:space="preserve">NM </v>
          </cell>
          <cell r="DC74" t="str">
            <v xml:space="preserve">NM </v>
          </cell>
          <cell r="DD74" t="str">
            <v xml:space="preserve">NM </v>
          </cell>
          <cell r="DE74" t="str">
            <v xml:space="preserve">NM </v>
          </cell>
          <cell r="DF74" t="str">
            <v xml:space="preserve">NM </v>
          </cell>
          <cell r="DG74" t="str">
            <v xml:space="preserve">NM </v>
          </cell>
          <cell r="DH74" t="str">
            <v xml:space="preserve">NM </v>
          </cell>
          <cell r="DI74" t="str">
            <v xml:space="preserve">NM </v>
          </cell>
          <cell r="DJ74" t="str">
            <v xml:space="preserve">NM </v>
          </cell>
          <cell r="DK74" t="str">
            <v xml:space="preserve">NM </v>
          </cell>
          <cell r="DL74" t="str">
            <v xml:space="preserve">NM </v>
          </cell>
          <cell r="DM74" t="str">
            <v xml:space="preserve">NM </v>
          </cell>
          <cell r="DN74" t="str">
            <v xml:space="preserve">NM </v>
          </cell>
          <cell r="DO74" t="str">
            <v xml:space="preserve">NM </v>
          </cell>
          <cell r="DP74" t="str">
            <v xml:space="preserve">NM </v>
          </cell>
          <cell r="DQ74" t="str">
            <v xml:space="preserve">NM </v>
          </cell>
          <cell r="DR74" t="str">
            <v xml:space="preserve">NM </v>
          </cell>
          <cell r="DS74">
            <v>8.9252712455308428E-2</v>
          </cell>
          <cell r="DT74">
            <v>3.2766277354337708E-2</v>
          </cell>
          <cell r="DU74">
            <v>1.3348918029479798E-2</v>
          </cell>
          <cell r="DV74">
            <v>1.3351453862948755E-2</v>
          </cell>
          <cell r="DW74">
            <v>1.3353757579486572E-2</v>
          </cell>
          <cell r="DX74">
            <v>1.3355849411295409E-2</v>
          </cell>
          <cell r="DY74">
            <v>0</v>
          </cell>
          <cell r="DZ74">
            <v>0</v>
          </cell>
          <cell r="EA74">
            <v>8.9252712455308428E-2</v>
          </cell>
          <cell r="EB74">
            <v>3.2421601601033585E-2</v>
          </cell>
          <cell r="EC74">
            <v>1.2869582885113673E-2</v>
          </cell>
          <cell r="ED74">
            <v>1.2886406126017248E-2</v>
          </cell>
          <cell r="EE74">
            <v>1.2894632855440414E-2</v>
          </cell>
          <cell r="EF74">
            <v>1.2894224939688037E-2</v>
          </cell>
        </row>
        <row r="75">
          <cell r="A75">
            <v>0</v>
          </cell>
          <cell r="B75">
            <v>0</v>
          </cell>
          <cell r="C75">
            <v>0</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cell r="CE75">
            <v>0</v>
          </cell>
          <cell r="CF75">
            <v>0</v>
          </cell>
          <cell r="CG75">
            <v>0</v>
          </cell>
          <cell r="CH75">
            <v>0</v>
          </cell>
          <cell r="CI75">
            <v>0</v>
          </cell>
          <cell r="CJ75">
            <v>0</v>
          </cell>
          <cell r="CK75">
            <v>0</v>
          </cell>
          <cell r="CL75">
            <v>0</v>
          </cell>
          <cell r="CM75">
            <v>0</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0</v>
          </cell>
          <cell r="DE75">
            <v>0</v>
          </cell>
          <cell r="DF75">
            <v>0</v>
          </cell>
          <cell r="DG75">
            <v>0</v>
          </cell>
          <cell r="DH75">
            <v>0</v>
          </cell>
          <cell r="DI75">
            <v>0</v>
          </cell>
          <cell r="DJ75">
            <v>0</v>
          </cell>
          <cell r="DK75">
            <v>0</v>
          </cell>
          <cell r="DL75">
            <v>0</v>
          </cell>
          <cell r="DM75">
            <v>0</v>
          </cell>
          <cell r="DN75">
            <v>0</v>
          </cell>
          <cell r="DO75">
            <v>0</v>
          </cell>
          <cell r="DP75">
            <v>0</v>
          </cell>
          <cell r="DQ75">
            <v>0</v>
          </cell>
          <cell r="DR75">
            <v>0</v>
          </cell>
          <cell r="DS75">
            <v>0</v>
          </cell>
          <cell r="DT75">
            <v>0</v>
          </cell>
          <cell r="DU75">
            <v>0</v>
          </cell>
          <cell r="DV75">
            <v>0</v>
          </cell>
          <cell r="DW75">
            <v>0</v>
          </cell>
          <cell r="DX75">
            <v>0</v>
          </cell>
          <cell r="DY75">
            <v>0</v>
          </cell>
          <cell r="DZ75">
            <v>0</v>
          </cell>
          <cell r="EA75">
            <v>0</v>
          </cell>
          <cell r="EB75">
            <v>0</v>
          </cell>
          <cell r="EC75">
            <v>0</v>
          </cell>
          <cell r="ED75">
            <v>0</v>
          </cell>
          <cell r="EE75">
            <v>0</v>
          </cell>
          <cell r="EF75">
            <v>0</v>
          </cell>
        </row>
        <row r="76">
          <cell r="A76" t="str">
            <v>Total operating expenses</v>
          </cell>
          <cell r="B76">
            <v>0</v>
          </cell>
          <cell r="C76">
            <v>0</v>
          </cell>
          <cell r="D76">
            <v>0</v>
          </cell>
          <cell r="E76">
            <v>0</v>
          </cell>
          <cell r="F76">
            <v>0</v>
          </cell>
          <cell r="G76">
            <v>0</v>
          </cell>
          <cell r="H76">
            <v>0</v>
          </cell>
          <cell r="I76">
            <v>0</v>
          </cell>
          <cell r="J76">
            <v>0</v>
          </cell>
          <cell r="K76">
            <v>125.881</v>
          </cell>
          <cell r="L76">
            <v>128.203</v>
          </cell>
          <cell r="M76">
            <v>249.37700000000001</v>
          </cell>
          <cell r="N76">
            <v>264.39999999999998</v>
          </cell>
          <cell r="O76">
            <v>277.35500000000002</v>
          </cell>
          <cell r="P76">
            <v>304.55199999999996</v>
          </cell>
          <cell r="Q76">
            <v>340.60300000000001</v>
          </cell>
          <cell r="R76">
            <v>378.32600000000002</v>
          </cell>
          <cell r="S76">
            <v>360.93200000000002</v>
          </cell>
          <cell r="T76">
            <v>378.45900000000006</v>
          </cell>
          <cell r="U76">
            <v>377.65899999999999</v>
          </cell>
          <cell r="V76">
            <v>399.983</v>
          </cell>
          <cell r="W76">
            <v>392.22900000000004</v>
          </cell>
          <cell r="X76">
            <v>410.71100000000001</v>
          </cell>
          <cell r="Y76">
            <v>434.43599999999998</v>
          </cell>
          <cell r="Z76">
            <v>455.46399999999994</v>
          </cell>
          <cell r="AA76">
            <v>452.565</v>
          </cell>
          <cell r="AB76">
            <v>469.00800000000004</v>
          </cell>
          <cell r="AC76">
            <v>502.44899999999996</v>
          </cell>
          <cell r="AD76">
            <v>572.82299999999998</v>
          </cell>
          <cell r="AE76">
            <v>550.96500000000003</v>
          </cell>
          <cell r="AF76">
            <v>593.21</v>
          </cell>
          <cell r="AG76">
            <v>630.34</v>
          </cell>
          <cell r="AH76">
            <v>658.20099999999991</v>
          </cell>
          <cell r="AI76">
            <v>651.01200000000006</v>
          </cell>
          <cell r="AJ76">
            <v>645.31400000000008</v>
          </cell>
          <cell r="AK76">
            <v>680.20100000000002</v>
          </cell>
          <cell r="AL76">
            <v>703.91300000000001</v>
          </cell>
          <cell r="AM76">
            <v>724.41300000000001</v>
          </cell>
          <cell r="AN76">
            <v>721.20500000000004</v>
          </cell>
          <cell r="AO76">
            <v>762.66000000000008</v>
          </cell>
          <cell r="AP76">
            <v>841.6400000000001</v>
          </cell>
          <cell r="AQ76">
            <v>841.36200000000008</v>
          </cell>
          <cell r="AR76">
            <v>864.82</v>
          </cell>
          <cell r="AS76">
            <v>898.70799999999997</v>
          </cell>
          <cell r="AT76">
            <v>901.11599999999999</v>
          </cell>
          <cell r="AU76">
            <v>946.61599999999999</v>
          </cell>
          <cell r="AV76">
            <v>861.726</v>
          </cell>
          <cell r="AW76">
            <v>838.32099999999991</v>
          </cell>
          <cell r="AX76">
            <v>820.67100000000005</v>
          </cell>
          <cell r="AY76">
            <v>824</v>
          </cell>
          <cell r="AZ76">
            <v>839</v>
          </cell>
          <cell r="BA76">
            <v>902</v>
          </cell>
          <cell r="BB76">
            <v>872</v>
          </cell>
          <cell r="BC76">
            <v>837</v>
          </cell>
          <cell r="BD76">
            <v>889</v>
          </cell>
          <cell r="BE76">
            <v>990</v>
          </cell>
          <cell r="BF76">
            <v>1031</v>
          </cell>
          <cell r="BG76">
            <v>983</v>
          </cell>
          <cell r="BH76">
            <v>1022</v>
          </cell>
          <cell r="BI76">
            <v>1007</v>
          </cell>
          <cell r="BJ76">
            <v>1021</v>
          </cell>
          <cell r="BK76">
            <v>1018</v>
          </cell>
          <cell r="BL76">
            <v>1000</v>
          </cell>
          <cell r="BM76">
            <v>1059</v>
          </cell>
          <cell r="BN76">
            <v>1036</v>
          </cell>
          <cell r="BO76">
            <v>998</v>
          </cell>
          <cell r="BP76">
            <v>920</v>
          </cell>
          <cell r="BQ76">
            <v>931</v>
          </cell>
          <cell r="BR76">
            <v>938</v>
          </cell>
          <cell r="BS76">
            <v>573</v>
          </cell>
          <cell r="BT76">
            <v>502</v>
          </cell>
          <cell r="BU76">
            <v>484</v>
          </cell>
          <cell r="BV76">
            <v>486</v>
          </cell>
          <cell r="BW76">
            <v>501</v>
          </cell>
          <cell r="BX76">
            <v>482</v>
          </cell>
          <cell r="BY76">
            <v>515</v>
          </cell>
          <cell r="BZ76">
            <v>521</v>
          </cell>
          <cell r="CA76">
            <v>491</v>
          </cell>
          <cell r="CB76">
            <v>560</v>
          </cell>
          <cell r="CC76">
            <v>592</v>
          </cell>
          <cell r="CD76">
            <v>664</v>
          </cell>
          <cell r="CE76">
            <v>655</v>
          </cell>
          <cell r="CF76">
            <v>649</v>
          </cell>
          <cell r="CG76">
            <v>588</v>
          </cell>
          <cell r="CH76">
            <v>601.05025836216669</v>
          </cell>
          <cell r="CI76">
            <v>594.05025836216669</v>
          </cell>
          <cell r="CJ76">
            <v>602.21746688392034</v>
          </cell>
          <cell r="CK76">
            <v>623.72706688392032</v>
          </cell>
          <cell r="CL76">
            <v>616.24066801868446</v>
          </cell>
          <cell r="CM76">
            <v>602.11390088045948</v>
          </cell>
          <cell r="CN76">
            <v>626.54066003570233</v>
          </cell>
          <cell r="CO76">
            <v>659.15448090887708</v>
          </cell>
          <cell r="CP76">
            <v>652.19472546207032</v>
          </cell>
          <cell r="CQ76">
            <v>619.20703192589303</v>
          </cell>
          <cell r="CR76">
            <v>643.14647212153318</v>
          </cell>
          <cell r="CS76">
            <v>675.51251712453575</v>
          </cell>
          <cell r="CT76">
            <v>672.67174150300241</v>
          </cell>
          <cell r="CU76">
            <v>636.95013912759737</v>
          </cell>
          <cell r="CV76">
            <v>661.26492651376054</v>
          </cell>
          <cell r="CW76">
            <v>695.09718437019922</v>
          </cell>
          <cell r="CX76">
            <v>691.56885241001692</v>
          </cell>
          <cell r="CY76">
            <v>0</v>
          </cell>
          <cell r="CZ76" t="e">
            <v>#VALUE!</v>
          </cell>
          <cell r="DA76" t="e">
            <v>#VALUE!</v>
          </cell>
          <cell r="DB76">
            <v>767.8610000000001</v>
          </cell>
          <cell r="DC76">
            <v>1300.836</v>
          </cell>
          <cell r="DD76">
            <v>1517.0330000000001</v>
          </cell>
          <cell r="DE76">
            <v>1692.84</v>
          </cell>
          <cell r="DF76">
            <v>1996.845</v>
          </cell>
          <cell r="DG76">
            <v>2432.7160000000003</v>
          </cell>
          <cell r="DH76">
            <v>2680.44</v>
          </cell>
          <cell r="DI76">
            <v>3049.9180000000001</v>
          </cell>
          <cell r="DJ76">
            <v>3506.0059999999999</v>
          </cell>
          <cell r="DK76">
            <v>3467.3339999999994</v>
          </cell>
          <cell r="DL76">
            <v>3437</v>
          </cell>
          <cell r="DM76">
            <v>3747</v>
          </cell>
          <cell r="DN76">
            <v>4033</v>
          </cell>
          <cell r="DO76">
            <v>4113</v>
          </cell>
          <cell r="DP76">
            <v>3787</v>
          </cell>
          <cell r="DQ76">
            <v>2045</v>
          </cell>
          <cell r="DR76">
            <v>2019</v>
          </cell>
          <cell r="DS76">
            <v>2307</v>
          </cell>
          <cell r="DT76">
            <v>2493.0502583621665</v>
          </cell>
          <cell r="DU76">
            <v>2436.2354601486913</v>
          </cell>
          <cell r="DV76">
            <v>2540.003767287109</v>
          </cell>
          <cell r="DW76">
            <v>2610.5377626749641</v>
          </cell>
          <cell r="DX76">
            <v>2684.8811024215738</v>
          </cell>
          <cell r="DY76">
            <v>0</v>
          </cell>
          <cell r="DZ76">
            <v>0</v>
          </cell>
          <cell r="EA76">
            <v>2307</v>
          </cell>
          <cell r="EB76">
            <v>2475</v>
          </cell>
          <cell r="EC76">
            <v>2527.9265968749996</v>
          </cell>
          <cell r="ED76">
            <v>2592.2470290164019</v>
          </cell>
          <cell r="EE76">
            <v>2657.9925489697639</v>
          </cell>
          <cell r="EF76">
            <v>2687.3737332947535</v>
          </cell>
        </row>
        <row r="77">
          <cell r="A77" t="str">
            <v>Operating income</v>
          </cell>
          <cell r="B77">
            <v>0</v>
          </cell>
          <cell r="C77">
            <v>0</v>
          </cell>
          <cell r="D77">
            <v>0</v>
          </cell>
          <cell r="E77">
            <v>0</v>
          </cell>
          <cell r="F77">
            <v>0</v>
          </cell>
          <cell r="G77">
            <v>0</v>
          </cell>
          <cell r="H77">
            <v>0</v>
          </cell>
          <cell r="I77">
            <v>0</v>
          </cell>
          <cell r="J77">
            <v>0</v>
          </cell>
          <cell r="K77">
            <v>58.87299999999999</v>
          </cell>
          <cell r="L77">
            <v>67.023000000000025</v>
          </cell>
          <cell r="M77">
            <v>144.53300000000002</v>
          </cell>
          <cell r="N77">
            <v>155.64599999999996</v>
          </cell>
          <cell r="O77">
            <v>131.89399999999995</v>
          </cell>
          <cell r="P77">
            <v>139.07700000000006</v>
          </cell>
          <cell r="Q77">
            <v>152.82800000000003</v>
          </cell>
          <cell r="R77">
            <v>174.41200000000003</v>
          </cell>
          <cell r="S77">
            <v>175.33500000000004</v>
          </cell>
          <cell r="T77">
            <v>161.923</v>
          </cell>
          <cell r="U77">
            <v>161.54600000000005</v>
          </cell>
          <cell r="V77">
            <v>172.03900000000004</v>
          </cell>
          <cell r="W77">
            <v>191.19100000000003</v>
          </cell>
          <cell r="X77">
            <v>166.47199999999998</v>
          </cell>
          <cell r="Y77">
            <v>187.33099999999996</v>
          </cell>
          <cell r="Z77">
            <v>215.88400000000001</v>
          </cell>
          <cell r="AA77">
            <v>205.66299999999995</v>
          </cell>
          <cell r="AB77">
            <v>236.93200000000002</v>
          </cell>
          <cell r="AC77">
            <v>290.68999999999994</v>
          </cell>
          <cell r="AD77">
            <v>322.35900000000004</v>
          </cell>
          <cell r="AE77">
            <v>327.27999999999986</v>
          </cell>
          <cell r="AF77">
            <v>338.49799999999993</v>
          </cell>
          <cell r="AG77">
            <v>379.54399999999998</v>
          </cell>
          <cell r="AH77">
            <v>436.65899999999999</v>
          </cell>
          <cell r="AI77">
            <v>415.15</v>
          </cell>
          <cell r="AJ77">
            <v>362.8599999999999</v>
          </cell>
          <cell r="AK77">
            <v>389.58400000000006</v>
          </cell>
          <cell r="AL77">
            <v>401.56899999999996</v>
          </cell>
          <cell r="AM77">
            <v>356.67000000000007</v>
          </cell>
          <cell r="AN77">
            <v>342.30700000000013</v>
          </cell>
          <cell r="AO77">
            <v>341.50900000000001</v>
          </cell>
          <cell r="AP77">
            <v>305.2059999999999</v>
          </cell>
          <cell r="AQ77">
            <v>364.97399999999993</v>
          </cell>
          <cell r="AR77">
            <v>361.54700000000014</v>
          </cell>
          <cell r="AS77">
            <v>419.53800000000012</v>
          </cell>
          <cell r="AT77">
            <v>430.85500000000002</v>
          </cell>
          <cell r="AU77">
            <v>485.0920000000001</v>
          </cell>
          <cell r="AV77">
            <v>443.02499999999998</v>
          </cell>
          <cell r="AW77">
            <v>494.72800000000007</v>
          </cell>
          <cell r="AX77">
            <v>453.9369999999999</v>
          </cell>
          <cell r="AY77">
            <v>411</v>
          </cell>
          <cell r="AZ77">
            <v>432</v>
          </cell>
          <cell r="BA77">
            <v>439</v>
          </cell>
          <cell r="BB77">
            <v>434</v>
          </cell>
          <cell r="BC77">
            <v>380</v>
          </cell>
          <cell r="BD77">
            <v>372</v>
          </cell>
          <cell r="BE77">
            <v>379</v>
          </cell>
          <cell r="BF77">
            <v>404</v>
          </cell>
          <cell r="BG77">
            <v>438</v>
          </cell>
          <cell r="BH77">
            <v>420</v>
          </cell>
          <cell r="BI77">
            <v>463</v>
          </cell>
          <cell r="BJ77">
            <v>401</v>
          </cell>
          <cell r="BK77">
            <v>388</v>
          </cell>
          <cell r="BL77">
            <v>438</v>
          </cell>
          <cell r="BM77">
            <v>453</v>
          </cell>
          <cell r="BN77">
            <v>423</v>
          </cell>
          <cell r="BO77">
            <v>430</v>
          </cell>
          <cell r="BP77">
            <v>450</v>
          </cell>
          <cell r="BQ77">
            <v>509</v>
          </cell>
          <cell r="BR77">
            <v>449</v>
          </cell>
          <cell r="BS77">
            <v>339</v>
          </cell>
          <cell r="BT77">
            <v>347</v>
          </cell>
          <cell r="BU77">
            <v>330</v>
          </cell>
          <cell r="BV77">
            <v>289</v>
          </cell>
          <cell r="BW77">
            <v>275</v>
          </cell>
          <cell r="BX77">
            <v>283</v>
          </cell>
          <cell r="BY77">
            <v>254</v>
          </cell>
          <cell r="BZ77">
            <v>214</v>
          </cell>
          <cell r="CA77">
            <v>253</v>
          </cell>
          <cell r="CB77">
            <v>296</v>
          </cell>
          <cell r="CC77">
            <v>331</v>
          </cell>
          <cell r="CD77">
            <v>314</v>
          </cell>
          <cell r="CE77">
            <v>377</v>
          </cell>
          <cell r="CF77">
            <v>435</v>
          </cell>
          <cell r="CG77">
            <v>463</v>
          </cell>
          <cell r="CH77">
            <v>405.88512316471463</v>
          </cell>
          <cell r="CI77">
            <v>434.3218917939505</v>
          </cell>
          <cell r="CJ77">
            <v>444.64539764260383</v>
          </cell>
          <cell r="CK77">
            <v>421.79316036242813</v>
          </cell>
          <cell r="CL77">
            <v>419.20173332326578</v>
          </cell>
          <cell r="CM77">
            <v>472.06139129218025</v>
          </cell>
          <cell r="CN77">
            <v>475.87931259269408</v>
          </cell>
          <cell r="CO77">
            <v>440.88077467379253</v>
          </cell>
          <cell r="CP77">
            <v>436.69200010350198</v>
          </cell>
          <cell r="CQ77">
            <v>504.83270260486756</v>
          </cell>
          <cell r="CR77">
            <v>508.06469727167132</v>
          </cell>
          <cell r="CS77">
            <v>470.04966199064677</v>
          </cell>
          <cell r="CT77">
            <v>459.72846850538724</v>
          </cell>
          <cell r="CU77">
            <v>532.01608909022889</v>
          </cell>
          <cell r="CV77">
            <v>536.0049654923165</v>
          </cell>
          <cell r="CW77">
            <v>495.44782565718367</v>
          </cell>
          <cell r="CX77">
            <v>485.6406017684817</v>
          </cell>
          <cell r="CY77">
            <v>0</v>
          </cell>
          <cell r="CZ77" t="e">
            <v>#VALUE!</v>
          </cell>
          <cell r="DA77" t="e">
            <v>#VALUE!</v>
          </cell>
          <cell r="DB77">
            <v>426.07499999999982</v>
          </cell>
          <cell r="DC77">
            <v>598.21100000000001</v>
          </cell>
          <cell r="DD77">
            <v>670.84300000000053</v>
          </cell>
          <cell r="DE77">
            <v>760.87799999999947</v>
          </cell>
          <cell r="DF77">
            <v>1055.6440000000005</v>
          </cell>
          <cell r="DG77">
            <v>1481.9809999999998</v>
          </cell>
          <cell r="DH77">
            <v>1569.163</v>
          </cell>
          <cell r="DI77">
            <v>1345.6920000000005</v>
          </cell>
          <cell r="DJ77">
            <v>1576.9140000000002</v>
          </cell>
          <cell r="DK77">
            <v>1876.7820000000006</v>
          </cell>
          <cell r="DL77">
            <v>1716</v>
          </cell>
          <cell r="DM77">
            <v>1535</v>
          </cell>
          <cell r="DN77">
            <v>1722</v>
          </cell>
          <cell r="DO77">
            <v>1702</v>
          </cell>
          <cell r="DP77">
            <v>1838</v>
          </cell>
          <cell r="DQ77">
            <v>1305</v>
          </cell>
          <cell r="DR77">
            <v>1026</v>
          </cell>
          <cell r="DS77">
            <v>1194</v>
          </cell>
          <cell r="DT77">
            <v>1680.885123164715</v>
          </cell>
          <cell r="DU77">
            <v>1719.9621831222485</v>
          </cell>
          <cell r="DV77">
            <v>1825.5134786621697</v>
          </cell>
          <cell r="DW77">
            <v>1942.675530372574</v>
          </cell>
          <cell r="DX77">
            <v>2049.1094820082108</v>
          </cell>
          <cell r="DY77">
            <v>0</v>
          </cell>
          <cell r="DZ77">
            <v>0</v>
          </cell>
          <cell r="EA77">
            <v>1194</v>
          </cell>
          <cell r="EB77">
            <v>1726</v>
          </cell>
          <cell r="EC77">
            <v>1504.3532823950877</v>
          </cell>
          <cell r="ED77">
            <v>1749.7892787538512</v>
          </cell>
          <cell r="EE77">
            <v>1836.0163040022121</v>
          </cell>
          <cell r="EF77">
            <v>1934.7787848091934</v>
          </cell>
        </row>
        <row r="78">
          <cell r="A78" t="str">
            <v>Operating margin</v>
          </cell>
          <cell r="B78">
            <v>0</v>
          </cell>
          <cell r="C78">
            <v>0</v>
          </cell>
          <cell r="D78">
            <v>0</v>
          </cell>
          <cell r="E78">
            <v>0</v>
          </cell>
          <cell r="F78">
            <v>0</v>
          </cell>
          <cell r="G78">
            <v>0</v>
          </cell>
          <cell r="H78">
            <v>0</v>
          </cell>
          <cell r="I78">
            <v>0</v>
          </cell>
          <cell r="J78">
            <v>0</v>
          </cell>
          <cell r="K78">
            <v>0.27306459617534234</v>
          </cell>
          <cell r="L78">
            <v>0.29634689871067021</v>
          </cell>
          <cell r="M78">
            <v>0.32696518898571181</v>
          </cell>
          <cell r="N78">
            <v>0.32833245438244907</v>
          </cell>
          <cell r="O78">
            <v>0.28059508436318603</v>
          </cell>
          <cell r="P78">
            <v>0.27714684835308501</v>
          </cell>
          <cell r="Q78">
            <v>0.27342420756394686</v>
          </cell>
          <cell r="R78">
            <v>0.28099831315945079</v>
          </cell>
          <cell r="S78">
            <v>0.28237937254396706</v>
          </cell>
          <cell r="T78">
            <v>0.25822815897833357</v>
          </cell>
          <cell r="U78">
            <v>0.25518598788093244</v>
          </cell>
          <cell r="V78">
            <v>0.25313365811455235</v>
          </cell>
          <cell r="W78">
            <v>0.27786118204106786</v>
          </cell>
          <cell r="X78">
            <v>0.24119700198930438</v>
          </cell>
          <cell r="Y78">
            <v>0.25297018605693788</v>
          </cell>
          <cell r="Z78">
            <v>0.27184422008043863</v>
          </cell>
          <cell r="AA78">
            <v>0.26324527046053803</v>
          </cell>
          <cell r="AB78">
            <v>0.28306171919147755</v>
          </cell>
          <cell r="AC78">
            <v>0.30907041774318728</v>
          </cell>
          <cell r="AD78">
            <v>0.30457400984322464</v>
          </cell>
          <cell r="AE78">
            <v>0.31397348953981308</v>
          </cell>
          <cell r="AF78">
            <v>0.30679197025051952</v>
          </cell>
          <cell r="AG78">
            <v>0.31844091948699615</v>
          </cell>
          <cell r="AH78">
            <v>0.33925459536186803</v>
          </cell>
          <cell r="AI78">
            <v>0.3296934561626429</v>
          </cell>
          <cell r="AJ78">
            <v>0.30437598142506267</v>
          </cell>
          <cell r="AK78">
            <v>0.31086467176337568</v>
          </cell>
          <cell r="AL78">
            <v>0.30893083677022337</v>
          </cell>
          <cell r="AM78">
            <v>0.27688545588634866</v>
          </cell>
          <cell r="AN78">
            <v>0.26881510171259132</v>
          </cell>
          <cell r="AO78">
            <v>0.257481856112526</v>
          </cell>
          <cell r="AP78">
            <v>0.2236298544382912</v>
          </cell>
          <cell r="AQ78">
            <v>0.25651020069663288</v>
          </cell>
          <cell r="AR78">
            <v>0.25154035393353807</v>
          </cell>
          <cell r="AS78">
            <v>0.2743825154052319</v>
          </cell>
          <cell r="AT78">
            <v>0.27833244077631142</v>
          </cell>
          <cell r="AU78">
            <v>0.29309047890360246</v>
          </cell>
          <cell r="AV78">
            <v>0.2908937024082407</v>
          </cell>
          <cell r="AW78">
            <v>0.3215365287588951</v>
          </cell>
          <cell r="AX78">
            <v>0.30513203833635588</v>
          </cell>
          <cell r="AY78">
            <v>0.28462603878116344</v>
          </cell>
          <cell r="AZ78">
            <v>0.2920892494929006</v>
          </cell>
          <cell r="BA78">
            <v>0.28304319793681498</v>
          </cell>
          <cell r="BB78">
            <v>0.28273615635179156</v>
          </cell>
          <cell r="BC78">
            <v>0.26517794836008374</v>
          </cell>
          <cell r="BD78">
            <v>0.25135135135135134</v>
          </cell>
          <cell r="BE78">
            <v>0.23628428927680797</v>
          </cell>
          <cell r="BF78">
            <v>0.24148236700537956</v>
          </cell>
          <cell r="BG78">
            <v>0.26497277676950998</v>
          </cell>
          <cell r="BH78">
            <v>0.24985127900059489</v>
          </cell>
          <cell r="BI78">
            <v>0.26997084548104955</v>
          </cell>
          <cell r="BJ78">
            <v>0.23854848304580606</v>
          </cell>
          <cell r="BK78">
            <v>0.23261390887290168</v>
          </cell>
          <cell r="BL78">
            <v>0.25779870512065922</v>
          </cell>
          <cell r="BM78">
            <v>0.2529313232830821</v>
          </cell>
          <cell r="BN78">
            <v>0.24199084668192219</v>
          </cell>
          <cell r="BO78">
            <v>0.2516091281451141</v>
          </cell>
          <cell r="BP78">
            <v>0.27489309712889431</v>
          </cell>
          <cell r="BQ78">
            <v>0.29853372434017594</v>
          </cell>
          <cell r="BR78">
            <v>0.2721212121212121</v>
          </cell>
          <cell r="BS78">
            <v>0.31215469613259667</v>
          </cell>
          <cell r="BT78">
            <v>0.34665334665334663</v>
          </cell>
          <cell r="BU78">
            <v>0.34020618556701032</v>
          </cell>
          <cell r="BV78">
            <v>0.31108719052744888</v>
          </cell>
          <cell r="BW78">
            <v>0.30153508771929827</v>
          </cell>
          <cell r="BX78">
            <v>0.31236203090507725</v>
          </cell>
          <cell r="BY78">
            <v>0.2794279427942794</v>
          </cell>
          <cell r="BZ78">
            <v>0.24513172966781213</v>
          </cell>
          <cell r="CA78">
            <v>0.28619909502262442</v>
          </cell>
          <cell r="CB78">
            <v>0.29162561576354679</v>
          </cell>
          <cell r="CC78">
            <v>0.30422794117647056</v>
          </cell>
          <cell r="CD78">
            <v>0.26700680272108845</v>
          </cell>
          <cell r="CE78">
            <v>0.30700325732899025</v>
          </cell>
          <cell r="CF78">
            <v>0.34090909090909088</v>
          </cell>
          <cell r="CG78">
            <v>0.37520259319286869</v>
          </cell>
          <cell r="CH78">
            <v>0.33756380933899843</v>
          </cell>
          <cell r="CI78">
            <v>0.35631784360135105</v>
          </cell>
          <cell r="CJ78">
            <v>0.36117693503820575</v>
          </cell>
          <cell r="CK78">
            <v>0.3398099666669061</v>
          </cell>
          <cell r="CL78">
            <v>0.33731320534310366</v>
          </cell>
          <cell r="CM78">
            <v>0.37078451584234917</v>
          </cell>
          <cell r="CN78">
            <v>0.36776452641504093</v>
          </cell>
          <cell r="CO78">
            <v>0.33795707802528768</v>
          </cell>
          <cell r="CP78">
            <v>0.33443883454692086</v>
          </cell>
          <cell r="CQ78">
            <v>0.37898453672256927</v>
          </cell>
          <cell r="CR78">
            <v>0.37590785585708753</v>
          </cell>
          <cell r="CS78">
            <v>0.34553012159693031</v>
          </cell>
          <cell r="CT78">
            <v>0.33822670309238517</v>
          </cell>
          <cell r="CU78">
            <v>0.38391496774947259</v>
          </cell>
          <cell r="CV78">
            <v>0.38116274833786312</v>
          </cell>
          <cell r="CW78">
            <v>0.35006486740027165</v>
          </cell>
          <cell r="CX78">
            <v>0.34351395034003324</v>
          </cell>
          <cell r="CY78">
            <v>0</v>
          </cell>
          <cell r="CZ78" t="e">
            <v>#VALUE!</v>
          </cell>
          <cell r="DA78" t="e">
            <v>#VALUE!</v>
          </cell>
          <cell r="DB78">
            <v>0.31378442091557357</v>
          </cell>
          <cell r="DC78">
            <v>0.27804420737942342</v>
          </cell>
          <cell r="DD78">
            <v>0.26198019809713358</v>
          </cell>
          <cell r="DE78">
            <v>0.26120584535782343</v>
          </cell>
          <cell r="DF78">
            <v>0.29183880641908039</v>
          </cell>
          <cell r="DG78">
            <v>0.32044751653234144</v>
          </cell>
          <cell r="DH78">
            <v>0.31355428921289463</v>
          </cell>
          <cell r="DI78">
            <v>0.25619218888084649</v>
          </cell>
          <cell r="DJ78">
            <v>0.26559942760791344</v>
          </cell>
          <cell r="DK78">
            <v>0.30249293120685822</v>
          </cell>
          <cell r="DL78">
            <v>0.28557164253619571</v>
          </cell>
          <cell r="DM78">
            <v>0.24798061389337642</v>
          </cell>
          <cell r="DN78">
            <v>0.25586924219910845</v>
          </cell>
          <cell r="DO78">
            <v>0.24645236026643499</v>
          </cell>
          <cell r="DP78">
            <v>0.27428741978809135</v>
          </cell>
          <cell r="DQ78">
            <v>0.32739588559959859</v>
          </cell>
          <cell r="DR78">
            <v>0.28499999999999998</v>
          </cell>
          <cell r="DS78">
            <v>0.28681239490751864</v>
          </cell>
          <cell r="DT78">
            <v>0.34023292385429638</v>
          </cell>
          <cell r="DU78">
            <v>0.34859053567067144</v>
          </cell>
          <cell r="DV78">
            <v>0.35259185048318703</v>
          </cell>
          <cell r="DW78">
            <v>0.35953913282093536</v>
          </cell>
          <cell r="DX78">
            <v>0.36454223057606266</v>
          </cell>
          <cell r="DY78">
            <v>0</v>
          </cell>
          <cell r="DZ78">
            <v>0</v>
          </cell>
          <cell r="EA78">
            <v>0.28681239490751864</v>
          </cell>
          <cell r="EB78">
            <v>0.34714400643604182</v>
          </cell>
          <cell r="EC78">
            <v>0.31216676039601576</v>
          </cell>
          <cell r="ED78">
            <v>0.33719225094652328</v>
          </cell>
          <cell r="EE78">
            <v>0.34020116478438384</v>
          </cell>
          <cell r="EF78">
            <v>0.34682439974043117</v>
          </cell>
        </row>
        <row r="79">
          <cell r="A79">
            <v>0</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0.19323133018650401</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row>
        <row r="80">
          <cell r="A80" t="str">
            <v>Stock options compensation expense</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36.819000000000003</v>
          </cell>
          <cell r="AN80">
            <v>45.811</v>
          </cell>
          <cell r="AO80">
            <v>36.117000000000004</v>
          </cell>
          <cell r="AP80">
            <v>35.093000000000004</v>
          </cell>
          <cell r="AQ80">
            <v>40.744</v>
          </cell>
          <cell r="AR80">
            <v>40.988999999999997</v>
          </cell>
          <cell r="AS80">
            <v>39.42</v>
          </cell>
          <cell r="AT80">
            <v>42.542000000000002</v>
          </cell>
          <cell r="AU80">
            <v>44.847000000000001</v>
          </cell>
          <cell r="AV80">
            <v>44.648000000000003</v>
          </cell>
          <cell r="AW80">
            <v>33.634999999999998</v>
          </cell>
          <cell r="AX80">
            <v>34.334000000000003</v>
          </cell>
          <cell r="AY80">
            <v>49</v>
          </cell>
          <cell r="AZ80">
            <v>36</v>
          </cell>
          <cell r="BA80">
            <v>39</v>
          </cell>
          <cell r="BB80">
            <v>31</v>
          </cell>
          <cell r="BC80">
            <v>35</v>
          </cell>
          <cell r="BD80">
            <v>36</v>
          </cell>
          <cell r="BE80">
            <v>37</v>
          </cell>
          <cell r="BF80">
            <v>37</v>
          </cell>
          <cell r="BG80">
            <v>39</v>
          </cell>
          <cell r="BH80">
            <v>38</v>
          </cell>
          <cell r="BI80">
            <v>46</v>
          </cell>
          <cell r="BJ80">
            <v>41</v>
          </cell>
          <cell r="BK80">
            <v>38</v>
          </cell>
          <cell r="BL80">
            <v>45</v>
          </cell>
          <cell r="BM80">
            <v>42</v>
          </cell>
          <cell r="BN80">
            <v>39</v>
          </cell>
          <cell r="BO80">
            <v>39</v>
          </cell>
          <cell r="BP80">
            <v>38</v>
          </cell>
          <cell r="BQ80">
            <v>34</v>
          </cell>
          <cell r="BR80">
            <v>45</v>
          </cell>
          <cell r="BS80">
            <v>25</v>
          </cell>
          <cell r="BT80">
            <v>27</v>
          </cell>
          <cell r="BU80">
            <v>30</v>
          </cell>
          <cell r="BV80">
            <v>34</v>
          </cell>
          <cell r="BW80">
            <v>33</v>
          </cell>
          <cell r="BX80">
            <v>43</v>
          </cell>
          <cell r="BY80">
            <v>35</v>
          </cell>
          <cell r="BZ80">
            <v>40</v>
          </cell>
          <cell r="CA80">
            <v>49</v>
          </cell>
          <cell r="CB80">
            <v>85</v>
          </cell>
          <cell r="CC80">
            <v>97</v>
          </cell>
          <cell r="CD80">
            <v>209</v>
          </cell>
          <cell r="CE80">
            <v>147</v>
          </cell>
          <cell r="CF80">
            <v>176</v>
          </cell>
          <cell r="CG80">
            <v>125</v>
          </cell>
          <cell r="CH80">
            <v>150</v>
          </cell>
          <cell r="CI80">
            <v>60.945852080294713</v>
          </cell>
          <cell r="CJ80">
            <v>60.939514814202212</v>
          </cell>
          <cell r="CK80">
            <v>60.828038760329349</v>
          </cell>
          <cell r="CL80">
            <v>60.292780744841878</v>
          </cell>
          <cell r="CM80">
            <v>61.148762903454163</v>
          </cell>
          <cell r="CN80">
            <v>61.528023874462932</v>
          </cell>
          <cell r="CO80">
            <v>61.410238843533314</v>
          </cell>
          <cell r="CP80">
            <v>60.852006250423251</v>
          </cell>
          <cell r="CQ80">
            <v>61.457876610326672</v>
          </cell>
          <cell r="CR80">
            <v>61.733993658764824</v>
          </cell>
          <cell r="CS80">
            <v>61.514823469454782</v>
          </cell>
          <cell r="CT80">
            <v>60.848608442399723</v>
          </cell>
          <cell r="CU80">
            <v>61.416075497593972</v>
          </cell>
          <cell r="CV80">
            <v>61.700104181537206</v>
          </cell>
          <cell r="CW80">
            <v>61.476923860088995</v>
          </cell>
          <cell r="CX80">
            <v>60.795093836881804</v>
          </cell>
          <cell r="CY80">
            <v>0</v>
          </cell>
          <cell r="CZ80">
            <v>0</v>
          </cell>
          <cell r="DA80">
            <v>0</v>
          </cell>
          <cell r="DB80">
            <v>0</v>
          </cell>
          <cell r="DC80">
            <v>0</v>
          </cell>
          <cell r="DD80">
            <v>0</v>
          </cell>
          <cell r="DE80">
            <v>0</v>
          </cell>
          <cell r="DF80">
            <v>0</v>
          </cell>
          <cell r="DG80">
            <v>0</v>
          </cell>
          <cell r="DH80">
            <v>0</v>
          </cell>
          <cell r="DI80">
            <v>153.84</v>
          </cell>
          <cell r="DJ80">
            <v>163.69499999999999</v>
          </cell>
          <cell r="DK80">
            <v>157.464</v>
          </cell>
          <cell r="DL80">
            <v>155</v>
          </cell>
          <cell r="DM80">
            <v>145</v>
          </cell>
          <cell r="DN80">
            <v>164</v>
          </cell>
          <cell r="DO80">
            <v>164</v>
          </cell>
          <cell r="DP80">
            <v>156</v>
          </cell>
          <cell r="DQ80">
            <v>116</v>
          </cell>
          <cell r="DR80">
            <v>151</v>
          </cell>
          <cell r="DS80">
            <v>440</v>
          </cell>
          <cell r="DT80">
            <v>598</v>
          </cell>
          <cell r="DU80">
            <v>243.00618639966814</v>
          </cell>
          <cell r="DV80">
            <v>244.93903187187365</v>
          </cell>
          <cell r="DW80">
            <v>245.555302180946</v>
          </cell>
          <cell r="DX80">
            <v>245.38819737610197</v>
          </cell>
          <cell r="DY80">
            <v>0</v>
          </cell>
          <cell r="DZ80">
            <v>0</v>
          </cell>
          <cell r="EA80">
            <v>440</v>
          </cell>
          <cell r="EB80">
            <v>619</v>
          </cell>
          <cell r="EC80">
            <v>237.266897261792</v>
          </cell>
          <cell r="ED80">
            <v>245.48360874440129</v>
          </cell>
          <cell r="EE80">
            <v>245.25418196468846</v>
          </cell>
          <cell r="EF80">
            <v>243.52390591133633</v>
          </cell>
        </row>
        <row r="81">
          <cell r="A81" t="str">
            <v>% of revenue</v>
          </cell>
          <cell r="B81">
            <v>0</v>
          </cell>
          <cell r="C81" t="str">
            <v xml:space="preserve">NM </v>
          </cell>
          <cell r="D81" t="str">
            <v xml:space="preserve">NM </v>
          </cell>
          <cell r="E81" t="str">
            <v xml:space="preserve">NM </v>
          </cell>
          <cell r="F81" t="str">
            <v xml:space="preserve">NM </v>
          </cell>
          <cell r="G81" t="str">
            <v xml:space="preserve">NM </v>
          </cell>
          <cell r="H81" t="str">
            <v xml:space="preserve">NM </v>
          </cell>
          <cell r="I81" t="str">
            <v xml:space="preserve">NM </v>
          </cell>
          <cell r="J81" t="str">
            <v xml:space="preserve">NM </v>
          </cell>
          <cell r="K81" t="str">
            <v xml:space="preserve">NM </v>
          </cell>
          <cell r="L81" t="str">
            <v xml:space="preserve">NM </v>
          </cell>
          <cell r="M81" t="str">
            <v xml:space="preserve">NM </v>
          </cell>
          <cell r="N81" t="str">
            <v xml:space="preserve">NM </v>
          </cell>
          <cell r="O81" t="str">
            <v xml:space="preserve">NM </v>
          </cell>
          <cell r="P81" t="str">
            <v xml:space="preserve">NM </v>
          </cell>
          <cell r="Q81" t="str">
            <v xml:space="preserve">NM </v>
          </cell>
          <cell r="R81" t="str">
            <v xml:space="preserve">NM </v>
          </cell>
          <cell r="S81" t="str">
            <v xml:space="preserve">NM </v>
          </cell>
          <cell r="T81" t="str">
            <v xml:space="preserve">NM </v>
          </cell>
          <cell r="U81" t="str">
            <v xml:space="preserve">NM </v>
          </cell>
          <cell r="V81" t="str">
            <v xml:space="preserve">NM </v>
          </cell>
          <cell r="W81" t="str">
            <v xml:space="preserve">NM </v>
          </cell>
          <cell r="X81" t="str">
            <v xml:space="preserve">NM </v>
          </cell>
          <cell r="Y81" t="str">
            <v xml:space="preserve">NM </v>
          </cell>
          <cell r="Z81" t="str">
            <v xml:space="preserve">NM </v>
          </cell>
          <cell r="AA81" t="str">
            <v xml:space="preserve">NM </v>
          </cell>
          <cell r="AB81" t="str">
            <v xml:space="preserve">NM </v>
          </cell>
          <cell r="AC81" t="str">
            <v xml:space="preserve">NM </v>
          </cell>
          <cell r="AD81" t="str">
            <v xml:space="preserve">NM </v>
          </cell>
          <cell r="AE81" t="str">
            <v xml:space="preserve">NM </v>
          </cell>
          <cell r="AF81" t="str">
            <v xml:space="preserve">NM </v>
          </cell>
          <cell r="AG81" t="str">
            <v xml:space="preserve">NM </v>
          </cell>
          <cell r="AH81" t="str">
            <v xml:space="preserve">NM </v>
          </cell>
          <cell r="AI81" t="str">
            <v xml:space="preserve">NM </v>
          </cell>
          <cell r="AJ81" t="str">
            <v xml:space="preserve">NM </v>
          </cell>
          <cell r="AK81" t="str">
            <v xml:space="preserve">NM </v>
          </cell>
          <cell r="AL81" t="str">
            <v xml:space="preserve">NM </v>
          </cell>
          <cell r="AM81">
            <v>2.8582851376004349E-2</v>
          </cell>
          <cell r="AN81">
            <v>3.5975567617827033E-2</v>
          </cell>
          <cell r="AO81">
            <v>2.7230533301365711E-2</v>
          </cell>
          <cell r="AP81">
            <v>2.5713264096390489E-2</v>
          </cell>
          <cell r="AQ81">
            <v>2.8635605871058244E-2</v>
          </cell>
          <cell r="AR81">
            <v>2.8517419774971957E-2</v>
          </cell>
          <cell r="AS81">
            <v>2.5781118175884517E-2</v>
          </cell>
          <cell r="AT81">
            <v>2.7482142937892889E-2</v>
          </cell>
          <cell r="AU81">
            <v>2.7096362560895371E-2</v>
          </cell>
          <cell r="AV81">
            <v>2.9316228260534125E-2</v>
          </cell>
          <cell r="AW81">
            <v>2.1860256837707658E-2</v>
          </cell>
          <cell r="AX81">
            <v>2.3078981013313404E-2</v>
          </cell>
          <cell r="AY81">
            <v>3.3933518005540168E-2</v>
          </cell>
          <cell r="AZ81">
            <v>2.434077079107505E-2</v>
          </cell>
          <cell r="BA81">
            <v>2.5145067698259187E-2</v>
          </cell>
          <cell r="BB81">
            <v>2.0195439739413682E-2</v>
          </cell>
          <cell r="BC81">
            <v>2.4424284717376135E-2</v>
          </cell>
          <cell r="BD81">
            <v>2.4324324324324326E-2</v>
          </cell>
          <cell r="BE81">
            <v>2.3067331670822942E-2</v>
          </cell>
          <cell r="BF81">
            <v>2.2115959354453079E-2</v>
          </cell>
          <cell r="BG81">
            <v>2.3593466424682397E-2</v>
          </cell>
          <cell r="BH81">
            <v>2.2605591909577633E-2</v>
          </cell>
          <cell r="BI81">
            <v>2.6822157434402333E-2</v>
          </cell>
          <cell r="BJ81">
            <v>2.4390243902439025E-2</v>
          </cell>
          <cell r="BK81">
            <v>2.2781774580335732E-2</v>
          </cell>
          <cell r="BL81">
            <v>2.6486168334314303E-2</v>
          </cell>
          <cell r="BM81">
            <v>2.3450586264656615E-2</v>
          </cell>
          <cell r="BN81">
            <v>2.231121281464531E-2</v>
          </cell>
          <cell r="BO81">
            <v>2.2820362785254535E-2</v>
          </cell>
          <cell r="BP81">
            <v>2.3213194868662187E-2</v>
          </cell>
          <cell r="BQ81">
            <v>1.994134897360704E-2</v>
          </cell>
          <cell r="BR81">
            <v>2.7272727272727271E-2</v>
          </cell>
          <cell r="BS81">
            <v>2.3020257826887661E-2</v>
          </cell>
          <cell r="BT81">
            <v>2.6973026973026972E-2</v>
          </cell>
          <cell r="BU81">
            <v>3.0927835051546393E-2</v>
          </cell>
          <cell r="BV81">
            <v>3.6598493003229281E-2</v>
          </cell>
          <cell r="BW81">
            <v>3.6184210526315791E-2</v>
          </cell>
          <cell r="BX81">
            <v>4.7461368653421633E-2</v>
          </cell>
          <cell r="BY81">
            <v>3.8503850385038507E-2</v>
          </cell>
          <cell r="BZ81">
            <v>4.5819014891179836E-2</v>
          </cell>
          <cell r="CA81">
            <v>5.5429864253393663E-2</v>
          </cell>
          <cell r="CB81">
            <v>8.3743842364532015E-2</v>
          </cell>
          <cell r="CC81">
            <v>8.9154411764705885E-2</v>
          </cell>
          <cell r="CD81">
            <v>0.17772108843537415</v>
          </cell>
          <cell r="CE81">
            <v>0.11970684039087948</v>
          </cell>
          <cell r="CF81">
            <v>0.13793103448275862</v>
          </cell>
          <cell r="CG81">
            <v>0.1012965964343598</v>
          </cell>
          <cell r="CH81">
            <v>0.12475099113278279</v>
          </cell>
          <cell r="CI81">
            <v>0.05</v>
          </cell>
          <cell r="CJ81">
            <v>4.9500000000000002E-2</v>
          </cell>
          <cell r="CK81">
            <v>4.9005E-2</v>
          </cell>
          <cell r="CL81">
            <v>4.8514950000000001E-2</v>
          </cell>
          <cell r="CM81">
            <v>4.8029800499999997E-2</v>
          </cell>
          <cell r="CN81">
            <v>4.7549502495E-2</v>
          </cell>
          <cell r="CO81">
            <v>4.707400747005E-2</v>
          </cell>
          <cell r="CP81">
            <v>4.66032673953495E-2</v>
          </cell>
          <cell r="CQ81">
            <v>4.6137234721396005E-2</v>
          </cell>
          <cell r="CR81">
            <v>4.5675862374182044E-2</v>
          </cell>
          <cell r="CS81">
            <v>4.521910375044022E-2</v>
          </cell>
          <cell r="CT81">
            <v>4.476691271293582E-2</v>
          </cell>
          <cell r="CU81">
            <v>4.431924358580646E-2</v>
          </cell>
          <cell r="CV81">
            <v>4.3876051149948393E-2</v>
          </cell>
          <cell r="CW81">
            <v>4.3437290638448908E-2</v>
          </cell>
          <cell r="CX81">
            <v>4.3002917732064418E-2</v>
          </cell>
          <cell r="CY81">
            <v>0</v>
          </cell>
          <cell r="CZ81" t="str">
            <v xml:space="preserve">NM </v>
          </cell>
          <cell r="DA81" t="str">
            <v xml:space="preserve">NM </v>
          </cell>
          <cell r="DB81" t="str">
            <v xml:space="preserve">NM </v>
          </cell>
          <cell r="DC81" t="str">
            <v xml:space="preserve">NM </v>
          </cell>
          <cell r="DD81" t="str">
            <v xml:space="preserve">NM </v>
          </cell>
          <cell r="DE81" t="str">
            <v xml:space="preserve">NM </v>
          </cell>
          <cell r="DF81" t="str">
            <v xml:space="preserve">NM </v>
          </cell>
          <cell r="DG81" t="str">
            <v xml:space="preserve">NM </v>
          </cell>
          <cell r="DH81" t="str">
            <v xml:space="preserve">NM </v>
          </cell>
          <cell r="DI81">
            <v>2.9287984425432723E-2</v>
          </cell>
          <cell r="DJ81">
            <v>2.7571128357207424E-2</v>
          </cell>
          <cell r="DK81">
            <v>2.5379477701489416E-2</v>
          </cell>
          <cell r="DL81">
            <v>2.5794641371276419E-2</v>
          </cell>
          <cell r="DM81">
            <v>2.3424878836833602E-2</v>
          </cell>
          <cell r="DN81">
            <v>2.436849925705795E-2</v>
          </cell>
          <cell r="DO81">
            <v>2.3747465971618881E-2</v>
          </cell>
          <cell r="DP81">
            <v>2.3280107446649753E-2</v>
          </cell>
          <cell r="DQ81">
            <v>2.9101856497742096E-2</v>
          </cell>
          <cell r="DR81">
            <v>4.1944444444444444E-2</v>
          </cell>
          <cell r="DS81">
            <v>0.10569300984866682</v>
          </cell>
          <cell r="DT81">
            <v>0.12104294675522072</v>
          </cell>
          <cell r="DU81">
            <v>4.925088325754573E-2</v>
          </cell>
          <cell r="DV81">
            <v>4.7309158498547971E-2</v>
          </cell>
          <cell r="DW81">
            <v>4.5445952772560062E-2</v>
          </cell>
          <cell r="DX81">
            <v>4.3655237367236435E-2</v>
          </cell>
          <cell r="DY81">
            <v>0</v>
          </cell>
          <cell r="DZ81">
            <v>0</v>
          </cell>
          <cell r="EA81">
            <v>0.10569300984866682</v>
          </cell>
          <cell r="EB81">
            <v>0.12449718423169751</v>
          </cell>
          <cell r="EC81">
            <v>4.9235003196526919E-2</v>
          </cell>
          <cell r="ED81">
            <v>4.730579367931112E-2</v>
          </cell>
          <cell r="EE81">
            <v>4.5443909289232386E-2</v>
          </cell>
          <cell r="EF81">
            <v>4.3653586215270518E-2</v>
          </cell>
        </row>
        <row r="82">
          <cell r="A82">
            <v>0</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3.6039999999999996</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0</v>
          </cell>
          <cell r="CR82">
            <v>0</v>
          </cell>
          <cell r="CS82">
            <v>0</v>
          </cell>
          <cell r="CT82">
            <v>0</v>
          </cell>
          <cell r="CU82">
            <v>0</v>
          </cell>
          <cell r="CV82">
            <v>0</v>
          </cell>
          <cell r="CW82">
            <v>0</v>
          </cell>
          <cell r="CX82">
            <v>0</v>
          </cell>
          <cell r="CY82">
            <v>0</v>
          </cell>
          <cell r="CZ82">
            <v>0</v>
          </cell>
          <cell r="DA82">
            <v>0</v>
          </cell>
          <cell r="DB82">
            <v>0</v>
          </cell>
          <cell r="DC82">
            <v>0</v>
          </cell>
          <cell r="DD82">
            <v>0</v>
          </cell>
          <cell r="DE82">
            <v>0</v>
          </cell>
          <cell r="DF82">
            <v>0</v>
          </cell>
          <cell r="DG82">
            <v>0</v>
          </cell>
          <cell r="DH82">
            <v>0</v>
          </cell>
          <cell r="DI82">
            <v>0</v>
          </cell>
          <cell r="DJ82">
            <v>0</v>
          </cell>
          <cell r="DK82">
            <v>0</v>
          </cell>
          <cell r="DL82">
            <v>0</v>
          </cell>
          <cell r="DM82">
            <v>0</v>
          </cell>
          <cell r="DN82">
            <v>0</v>
          </cell>
          <cell r="DO82">
            <v>0</v>
          </cell>
          <cell r="DP82">
            <v>0</v>
          </cell>
          <cell r="DQ82">
            <v>0</v>
          </cell>
          <cell r="DR82">
            <v>0</v>
          </cell>
          <cell r="DS82">
            <v>0</v>
          </cell>
          <cell r="DT82">
            <v>0</v>
          </cell>
          <cell r="DU82">
            <v>0</v>
          </cell>
          <cell r="DV82">
            <v>0</v>
          </cell>
          <cell r="DW82">
            <v>0</v>
          </cell>
          <cell r="DX82">
            <v>0</v>
          </cell>
          <cell r="DY82">
            <v>0</v>
          </cell>
          <cell r="DZ82">
            <v>0</v>
          </cell>
          <cell r="EA82">
            <v>0</v>
          </cell>
          <cell r="EB82">
            <v>0</v>
          </cell>
          <cell r="EC82">
            <v>0</v>
          </cell>
          <cell r="ED82">
            <v>0</v>
          </cell>
          <cell r="EE82">
            <v>0</v>
          </cell>
          <cell r="EF82">
            <v>0</v>
          </cell>
        </row>
        <row r="83">
          <cell r="A83" t="str">
            <v xml:space="preserve">  Income from Sale of Tech &amp; Prod. Lines</v>
          </cell>
          <cell r="B83">
            <v>0</v>
          </cell>
          <cell r="C83">
            <v>0</v>
          </cell>
          <cell r="D83">
            <v>0</v>
          </cell>
          <cell r="E83">
            <v>0</v>
          </cell>
          <cell r="F83">
            <v>0</v>
          </cell>
          <cell r="G83">
            <v>0</v>
          </cell>
          <cell r="H83">
            <v>0</v>
          </cell>
          <cell r="I83">
            <v>0</v>
          </cell>
          <cell r="J83">
            <v>0</v>
          </cell>
          <cell r="K83">
            <v>4.8899999999999997</v>
          </cell>
          <cell r="L83">
            <v>5.01</v>
          </cell>
          <cell r="M83">
            <v>3.1589999999999998</v>
          </cell>
          <cell r="N83">
            <v>7.4909999999999997</v>
          </cell>
          <cell r="O83">
            <v>5.9139999999999997</v>
          </cell>
          <cell r="P83">
            <v>5.2839999999999998</v>
          </cell>
          <cell r="Q83">
            <v>5</v>
          </cell>
          <cell r="R83">
            <v>4.25</v>
          </cell>
          <cell r="S83">
            <v>4.25</v>
          </cell>
          <cell r="T83">
            <v>4.6420000000000003</v>
          </cell>
          <cell r="U83">
            <v>4.3869999999999996</v>
          </cell>
          <cell r="V83">
            <v>2.2570000000000001</v>
          </cell>
          <cell r="W83">
            <v>2.2360000000000002</v>
          </cell>
          <cell r="X83">
            <v>2.444</v>
          </cell>
          <cell r="Y83">
            <v>-0.25600000000000001</v>
          </cell>
          <cell r="Z83">
            <v>2.4540000000000002</v>
          </cell>
          <cell r="AA83">
            <v>2.1680000000000001</v>
          </cell>
          <cell r="AB83">
            <v>2.1579999999999999</v>
          </cell>
          <cell r="AC83">
            <v>5.2149999999999999</v>
          </cell>
          <cell r="AD83">
            <v>6.0000000000000001E-3</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cell r="BM83">
            <v>0</v>
          </cell>
          <cell r="BN83">
            <v>0</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cell r="CE83">
            <v>0</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20.549999999999997</v>
          </cell>
          <cell r="DC83">
            <v>20.448</v>
          </cell>
          <cell r="DD83">
            <v>15.536</v>
          </cell>
          <cell r="DE83">
            <v>6.8780000000000001</v>
          </cell>
          <cell r="DF83">
            <v>9.5470000000000006</v>
          </cell>
          <cell r="DG83">
            <v>0</v>
          </cell>
          <cell r="DH83">
            <v>0</v>
          </cell>
          <cell r="DI83">
            <v>0</v>
          </cell>
          <cell r="DJ83">
            <v>0</v>
          </cell>
          <cell r="DK83">
            <v>0</v>
          </cell>
          <cell r="DL83">
            <v>0</v>
          </cell>
          <cell r="DM83">
            <v>0</v>
          </cell>
          <cell r="DN83">
            <v>0</v>
          </cell>
          <cell r="DO83">
            <v>0</v>
          </cell>
          <cell r="DP83">
            <v>0</v>
          </cell>
          <cell r="DQ83">
            <v>0</v>
          </cell>
          <cell r="DR83">
            <v>0</v>
          </cell>
          <cell r="DS83">
            <v>0</v>
          </cell>
          <cell r="DT83">
            <v>0</v>
          </cell>
          <cell r="DU83">
            <v>0</v>
          </cell>
          <cell r="DV83">
            <v>0</v>
          </cell>
          <cell r="DW83">
            <v>0</v>
          </cell>
          <cell r="DX83">
            <v>0</v>
          </cell>
          <cell r="DY83">
            <v>0</v>
          </cell>
          <cell r="DZ83">
            <v>0</v>
          </cell>
          <cell r="EA83">
            <v>0</v>
          </cell>
          <cell r="EB83">
            <v>0</v>
          </cell>
          <cell r="EC83">
            <v>0</v>
          </cell>
          <cell r="ED83">
            <v>0</v>
          </cell>
          <cell r="EE83">
            <v>0</v>
          </cell>
          <cell r="EF83">
            <v>0</v>
          </cell>
        </row>
        <row r="84">
          <cell r="A84" t="str">
            <v xml:space="preserve">  Interest income</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50.716000000000001</v>
          </cell>
          <cell r="AJ84">
            <v>39.963000000000001</v>
          </cell>
          <cell r="AK84">
            <v>22.524999999999999</v>
          </cell>
          <cell r="AL84">
            <v>21.507999999999999</v>
          </cell>
          <cell r="AM84">
            <v>27.634</v>
          </cell>
          <cell r="AN84">
            <v>33.795000000000002</v>
          </cell>
          <cell r="AO84">
            <v>24.844000000000001</v>
          </cell>
          <cell r="AP84">
            <v>32.844999999999999</v>
          </cell>
          <cell r="AQ84">
            <v>22.087</v>
          </cell>
          <cell r="AR84">
            <v>21.143999999999998</v>
          </cell>
          <cell r="AS84">
            <v>14.370999999999999</v>
          </cell>
          <cell r="AT84">
            <v>16.899000000000001</v>
          </cell>
          <cell r="AU84">
            <v>17.893000000000001</v>
          </cell>
          <cell r="AV84">
            <v>12.302</v>
          </cell>
          <cell r="AW84">
            <v>4.6760000000000002</v>
          </cell>
          <cell r="AX84">
            <v>2.0880000000000001</v>
          </cell>
          <cell r="AY84">
            <v>2</v>
          </cell>
          <cell r="AZ84">
            <v>1</v>
          </cell>
          <cell r="BA84">
            <v>1</v>
          </cell>
          <cell r="BB84">
            <v>2</v>
          </cell>
          <cell r="BC84">
            <v>2</v>
          </cell>
          <cell r="BD84">
            <v>2</v>
          </cell>
          <cell r="BE84">
            <v>3</v>
          </cell>
          <cell r="BF84">
            <v>3</v>
          </cell>
          <cell r="BG84">
            <v>4</v>
          </cell>
          <cell r="BH84">
            <v>4</v>
          </cell>
          <cell r="BI84">
            <v>2</v>
          </cell>
          <cell r="BJ84">
            <v>3</v>
          </cell>
          <cell r="BK84">
            <v>3</v>
          </cell>
          <cell r="BL84">
            <v>2</v>
          </cell>
          <cell r="BM84">
            <v>4</v>
          </cell>
          <cell r="BN84">
            <v>3</v>
          </cell>
          <cell r="BO84">
            <v>3</v>
          </cell>
          <cell r="BP84">
            <v>3</v>
          </cell>
          <cell r="BQ84">
            <v>3</v>
          </cell>
          <cell r="BR84">
            <v>3</v>
          </cell>
          <cell r="BS84">
            <v>3</v>
          </cell>
          <cell r="BT84">
            <v>3</v>
          </cell>
          <cell r="BU84">
            <v>3</v>
          </cell>
          <cell r="BV84">
            <v>2</v>
          </cell>
          <cell r="BW84">
            <v>3</v>
          </cell>
          <cell r="BX84">
            <v>2</v>
          </cell>
          <cell r="BY84">
            <v>1</v>
          </cell>
          <cell r="BZ84">
            <v>4</v>
          </cell>
          <cell r="CA84">
            <v>5</v>
          </cell>
          <cell r="CB84">
            <v>4</v>
          </cell>
          <cell r="CC84">
            <v>5</v>
          </cell>
          <cell r="CD84">
            <v>7</v>
          </cell>
          <cell r="CE84">
            <v>6</v>
          </cell>
          <cell r="CF84">
            <v>5</v>
          </cell>
          <cell r="CG84">
            <v>5</v>
          </cell>
          <cell r="CH84">
            <v>5.3550000000000004</v>
          </cell>
          <cell r="CI84">
            <v>4.6182693559847348</v>
          </cell>
          <cell r="CJ84">
            <v>4.8933521118738392</v>
          </cell>
          <cell r="CK84">
            <v>5.325317161190088</v>
          </cell>
          <cell r="CL84">
            <v>5.3657638849488825</v>
          </cell>
          <cell r="CM84">
            <v>6.3216415259631358</v>
          </cell>
          <cell r="CN84">
            <v>6.1838281197134597</v>
          </cell>
          <cell r="CO84">
            <v>4.0690798075639432</v>
          </cell>
          <cell r="CP84">
            <v>4.0230709666103843</v>
          </cell>
          <cell r="CQ84">
            <v>4.870884764938423</v>
          </cell>
          <cell r="CR84">
            <v>5.2631971522750272</v>
          </cell>
          <cell r="CS84">
            <v>3.9145347879991634</v>
          </cell>
          <cell r="CT84">
            <v>4.0322164070209645</v>
          </cell>
          <cell r="CU84">
            <v>5.0835024103763429</v>
          </cell>
          <cell r="CV84">
            <v>4.2637300440396881</v>
          </cell>
          <cell r="CW84">
            <v>1.4043717500891131</v>
          </cell>
          <cell r="CX84">
            <v>1.5503019604729138</v>
          </cell>
          <cell r="CY84">
            <v>0</v>
          </cell>
          <cell r="CZ84">
            <v>0</v>
          </cell>
          <cell r="DA84">
            <v>0</v>
          </cell>
          <cell r="DB84">
            <v>0</v>
          </cell>
          <cell r="DC84">
            <v>0</v>
          </cell>
          <cell r="DD84">
            <v>0</v>
          </cell>
          <cell r="DE84">
            <v>0</v>
          </cell>
          <cell r="DF84">
            <v>0</v>
          </cell>
          <cell r="DG84">
            <v>0</v>
          </cell>
          <cell r="DH84">
            <v>134.71200000000002</v>
          </cell>
          <cell r="DI84">
            <v>119.11799999999999</v>
          </cell>
          <cell r="DJ84">
            <v>74.500999999999991</v>
          </cell>
          <cell r="DK84">
            <v>36.959000000000003</v>
          </cell>
          <cell r="DL84">
            <v>6</v>
          </cell>
          <cell r="DM84">
            <v>10</v>
          </cell>
          <cell r="DN84">
            <v>13</v>
          </cell>
          <cell r="DO84">
            <v>12</v>
          </cell>
          <cell r="DP84">
            <v>12</v>
          </cell>
          <cell r="DQ84">
            <v>11</v>
          </cell>
          <cell r="DR84">
            <v>10</v>
          </cell>
          <cell r="DS84">
            <v>21</v>
          </cell>
          <cell r="DT84">
            <v>21.355</v>
          </cell>
          <cell r="DU84">
            <v>20.202702513997547</v>
          </cell>
          <cell r="DV84">
            <v>20.597620419850919</v>
          </cell>
          <cell r="DW84">
            <v>18.080833112233577</v>
          </cell>
          <cell r="DX84">
            <v>12.301906164978057</v>
          </cell>
          <cell r="DY84">
            <v>0</v>
          </cell>
          <cell r="DZ84">
            <v>0</v>
          </cell>
          <cell r="EA84">
            <v>21</v>
          </cell>
          <cell r="EB84">
            <v>16</v>
          </cell>
          <cell r="EC84">
            <v>11.381869408679581</v>
          </cell>
          <cell r="ED84">
            <v>10.412762887451285</v>
          </cell>
          <cell r="EE84">
            <v>9.7643217833393159</v>
          </cell>
          <cell r="EF84">
            <v>6.99187836457779</v>
          </cell>
        </row>
        <row r="85">
          <cell r="A85" t="str">
            <v xml:space="preserve">  Other</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-4.8109999999999999</v>
          </cell>
          <cell r="AV85">
            <v>-8.7110000000000003</v>
          </cell>
          <cell r="AW85">
            <v>-14.257</v>
          </cell>
          <cell r="AX85">
            <v>-17.550999999999998</v>
          </cell>
          <cell r="AY85">
            <v>-13</v>
          </cell>
          <cell r="AZ85">
            <v>-12</v>
          </cell>
          <cell r="BA85">
            <v>-10</v>
          </cell>
          <cell r="BB85">
            <v>-6</v>
          </cell>
          <cell r="BC85">
            <v>-5</v>
          </cell>
          <cell r="BD85">
            <v>-2</v>
          </cell>
          <cell r="BE85">
            <v>-8</v>
          </cell>
          <cell r="BF85">
            <v>-7</v>
          </cell>
          <cell r="BG85">
            <v>-15</v>
          </cell>
          <cell r="BH85">
            <v>-15</v>
          </cell>
          <cell r="BI85">
            <v>-15</v>
          </cell>
          <cell r="BJ85">
            <v>0</v>
          </cell>
          <cell r="BK85">
            <v>0</v>
          </cell>
          <cell r="BL85">
            <v>0</v>
          </cell>
          <cell r="BM85">
            <v>0</v>
          </cell>
          <cell r="BN85">
            <v>0</v>
          </cell>
          <cell r="BO85">
            <v>0</v>
          </cell>
          <cell r="BP85">
            <v>0</v>
          </cell>
          <cell r="BQ85">
            <v>0</v>
          </cell>
          <cell r="BR85">
            <v>0</v>
          </cell>
          <cell r="BS85">
            <v>0</v>
          </cell>
          <cell r="BT85">
            <v>0</v>
          </cell>
          <cell r="BU85">
            <v>0</v>
          </cell>
          <cell r="BV85">
            <v>0</v>
          </cell>
          <cell r="BW85">
            <v>-6</v>
          </cell>
          <cell r="BX85">
            <v>4</v>
          </cell>
          <cell r="BY85">
            <v>-1</v>
          </cell>
          <cell r="BZ85">
            <v>3</v>
          </cell>
          <cell r="CA85">
            <v>13</v>
          </cell>
          <cell r="CB85">
            <v>10</v>
          </cell>
          <cell r="CC85">
            <v>5</v>
          </cell>
          <cell r="CD85">
            <v>-3</v>
          </cell>
          <cell r="CE85">
            <v>-12</v>
          </cell>
          <cell r="CF85">
            <v>-8</v>
          </cell>
          <cell r="CG85">
            <v>4</v>
          </cell>
          <cell r="CH85">
            <v>15</v>
          </cell>
          <cell r="CI85">
            <v>15</v>
          </cell>
          <cell r="CJ85">
            <v>15</v>
          </cell>
          <cell r="CK85">
            <v>15</v>
          </cell>
          <cell r="CL85">
            <v>15</v>
          </cell>
          <cell r="CM85">
            <v>15</v>
          </cell>
          <cell r="CN85">
            <v>15</v>
          </cell>
          <cell r="CO85">
            <v>15</v>
          </cell>
          <cell r="CP85">
            <v>15</v>
          </cell>
          <cell r="CQ85">
            <v>15</v>
          </cell>
          <cell r="CR85">
            <v>15</v>
          </cell>
          <cell r="CS85">
            <v>15</v>
          </cell>
          <cell r="CT85">
            <v>15</v>
          </cell>
          <cell r="CU85">
            <v>15</v>
          </cell>
          <cell r="CV85">
            <v>15</v>
          </cell>
          <cell r="CW85">
            <v>15</v>
          </cell>
          <cell r="CX85">
            <v>15</v>
          </cell>
          <cell r="CY85">
            <v>0</v>
          </cell>
          <cell r="CZ85">
            <v>0</v>
          </cell>
          <cell r="DA85">
            <v>0</v>
          </cell>
          <cell r="DB85">
            <v>0</v>
          </cell>
          <cell r="DC85">
            <v>0</v>
          </cell>
          <cell r="DD85">
            <v>0</v>
          </cell>
          <cell r="DE85">
            <v>0</v>
          </cell>
          <cell r="DF85">
            <v>0</v>
          </cell>
          <cell r="DG85">
            <v>0</v>
          </cell>
          <cell r="DH85">
            <v>0</v>
          </cell>
          <cell r="DI85">
            <v>0</v>
          </cell>
          <cell r="DJ85">
            <v>0</v>
          </cell>
          <cell r="DK85">
            <v>-45.33</v>
          </cell>
          <cell r="DL85">
            <v>-41</v>
          </cell>
          <cell r="DM85">
            <v>-22</v>
          </cell>
          <cell r="DN85">
            <v>-45</v>
          </cell>
          <cell r="DO85">
            <v>0</v>
          </cell>
          <cell r="DP85">
            <v>0</v>
          </cell>
          <cell r="DQ85">
            <v>0</v>
          </cell>
          <cell r="DR85">
            <v>0</v>
          </cell>
          <cell r="DS85">
            <v>25</v>
          </cell>
          <cell r="DT85">
            <v>-1</v>
          </cell>
          <cell r="DU85">
            <v>60</v>
          </cell>
          <cell r="DV85">
            <v>60</v>
          </cell>
          <cell r="DW85">
            <v>60</v>
          </cell>
          <cell r="DX85">
            <v>60</v>
          </cell>
          <cell r="DY85">
            <v>0</v>
          </cell>
          <cell r="DZ85">
            <v>0</v>
          </cell>
          <cell r="EA85">
            <v>25</v>
          </cell>
          <cell r="EB85">
            <v>-1</v>
          </cell>
          <cell r="EC85">
            <v>7</v>
          </cell>
          <cell r="ED85">
            <v>0</v>
          </cell>
          <cell r="EE85">
            <v>0</v>
          </cell>
          <cell r="EF85">
            <v>0</v>
          </cell>
        </row>
        <row r="86">
          <cell r="A86" t="str">
            <v xml:space="preserve">  Interest (expense)</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-7.2279999999999998</v>
          </cell>
          <cell r="AJ86">
            <v>-7.5030000000000001</v>
          </cell>
          <cell r="AK86">
            <v>-6.843</v>
          </cell>
          <cell r="AL86">
            <v>-3.65</v>
          </cell>
          <cell r="AM86">
            <v>-6.6779999999999999</v>
          </cell>
          <cell r="AN86">
            <v>-8.0530000000000008</v>
          </cell>
          <cell r="AO86">
            <v>-6.2569999999999997</v>
          </cell>
          <cell r="AP86">
            <v>-6.2450000000000001</v>
          </cell>
          <cell r="AQ86">
            <v>-6.2910000000000004</v>
          </cell>
          <cell r="AR86">
            <v>-6.617</v>
          </cell>
          <cell r="AS86">
            <v>-7.4770000000000003</v>
          </cell>
          <cell r="AT86">
            <v>-5.7549999999999999</v>
          </cell>
          <cell r="AU86">
            <v>-9.5350000000000001</v>
          </cell>
          <cell r="AV86">
            <v>-13.745999999999999</v>
          </cell>
          <cell r="AW86">
            <v>11.278000000000002</v>
          </cell>
          <cell r="AX86">
            <v>-2.6040000000000001</v>
          </cell>
          <cell r="AY86">
            <v>-3</v>
          </cell>
          <cell r="AZ86">
            <v>-1</v>
          </cell>
          <cell r="BA86">
            <v>-5</v>
          </cell>
          <cell r="BB86">
            <v>-7</v>
          </cell>
          <cell r="BC86">
            <v>-5</v>
          </cell>
          <cell r="BD86">
            <v>-6</v>
          </cell>
          <cell r="BE86">
            <v>-13</v>
          </cell>
          <cell r="BF86">
            <v>-13</v>
          </cell>
          <cell r="BG86">
            <v>-14</v>
          </cell>
          <cell r="BH86">
            <v>-9</v>
          </cell>
          <cell r="BI86">
            <v>-3</v>
          </cell>
          <cell r="BJ86">
            <v>-16</v>
          </cell>
          <cell r="BK86">
            <v>-35</v>
          </cell>
          <cell r="BL86">
            <v>-34</v>
          </cell>
          <cell r="BM86">
            <v>-18</v>
          </cell>
          <cell r="BN86">
            <v>-25</v>
          </cell>
          <cell r="BO86">
            <v>-7</v>
          </cell>
          <cell r="BP86">
            <v>0</v>
          </cell>
          <cell r="BQ86">
            <v>-21</v>
          </cell>
          <cell r="BR86">
            <v>-11</v>
          </cell>
          <cell r="BS86">
            <v>-21</v>
          </cell>
          <cell r="BT86">
            <v>-14</v>
          </cell>
          <cell r="BU86">
            <v>-18</v>
          </cell>
          <cell r="BV86">
            <v>-11</v>
          </cell>
          <cell r="BW86">
            <v>-20</v>
          </cell>
          <cell r="BX86">
            <v>-19</v>
          </cell>
          <cell r="BY86">
            <v>-17</v>
          </cell>
          <cell r="BZ86">
            <v>-19</v>
          </cell>
          <cell r="CA86">
            <v>-27</v>
          </cell>
          <cell r="CB86">
            <v>-40</v>
          </cell>
          <cell r="CC86">
            <v>-47</v>
          </cell>
          <cell r="CD86">
            <v>-58</v>
          </cell>
          <cell r="CE86">
            <v>-57</v>
          </cell>
          <cell r="CF86">
            <v>-52</v>
          </cell>
          <cell r="CG86">
            <v>-49</v>
          </cell>
          <cell r="CH86">
            <v>-49.573594</v>
          </cell>
          <cell r="CI86">
            <v>-46.056965500000004</v>
          </cell>
          <cell r="CJ86">
            <v>-46.056965500000004</v>
          </cell>
          <cell r="CK86">
            <v>-46.056965500000004</v>
          </cell>
          <cell r="CL86">
            <v>-46.056965500000004</v>
          </cell>
          <cell r="CM86">
            <v>-46.056965500000004</v>
          </cell>
          <cell r="CN86">
            <v>-45.108034000000004</v>
          </cell>
          <cell r="CO86">
            <v>-39.526083999999997</v>
          </cell>
          <cell r="CP86">
            <v>-39.526083999999997</v>
          </cell>
          <cell r="CQ86">
            <v>-39.526083999999997</v>
          </cell>
          <cell r="CR86">
            <v>-39.526083999999997</v>
          </cell>
          <cell r="CS86">
            <v>-31.557334000000001</v>
          </cell>
          <cell r="CT86">
            <v>-31.557334000000001</v>
          </cell>
          <cell r="CU86">
            <v>-31.557334000000001</v>
          </cell>
          <cell r="CV86">
            <v>-26.857333999999998</v>
          </cell>
          <cell r="CW86">
            <v>-17.8</v>
          </cell>
          <cell r="CX86">
            <v>-17.8</v>
          </cell>
          <cell r="CY86">
            <v>0</v>
          </cell>
          <cell r="CZ86">
            <v>0</v>
          </cell>
          <cell r="DA86">
            <v>0</v>
          </cell>
          <cell r="DB86">
            <v>0</v>
          </cell>
          <cell r="DC86">
            <v>0</v>
          </cell>
          <cell r="DD86">
            <v>0</v>
          </cell>
          <cell r="DE86">
            <v>0</v>
          </cell>
          <cell r="DF86">
            <v>0</v>
          </cell>
          <cell r="DG86">
            <v>0</v>
          </cell>
          <cell r="DH86">
            <v>-25.223999999999997</v>
          </cell>
          <cell r="DI86">
            <v>-27.233000000000001</v>
          </cell>
          <cell r="DJ86">
            <v>-26.14</v>
          </cell>
          <cell r="DK86">
            <v>-14.606999999999996</v>
          </cell>
          <cell r="DL86">
            <v>-16</v>
          </cell>
          <cell r="DM86">
            <v>-37</v>
          </cell>
          <cell r="DN86">
            <v>-42</v>
          </cell>
          <cell r="DO86">
            <v>-112</v>
          </cell>
          <cell r="DP86">
            <v>-39</v>
          </cell>
          <cell r="DQ86">
            <v>-64</v>
          </cell>
          <cell r="DR86">
            <v>-75</v>
          </cell>
          <cell r="DS86">
            <v>-172</v>
          </cell>
          <cell r="DT86">
            <v>-207.57359400000001</v>
          </cell>
          <cell r="DU86">
            <v>-184.22786200000002</v>
          </cell>
          <cell r="DV86">
            <v>-170.21716749999999</v>
          </cell>
          <cell r="DW86">
            <v>-142.16683599999999</v>
          </cell>
          <cell r="DX86">
            <v>-94.014668</v>
          </cell>
          <cell r="DY86">
            <v>0</v>
          </cell>
          <cell r="DZ86">
            <v>0</v>
          </cell>
          <cell r="EA86">
            <v>-172</v>
          </cell>
          <cell r="EB86">
            <v>-206</v>
          </cell>
          <cell r="EC86">
            <v>-184.22786200000002</v>
          </cell>
          <cell r="ED86">
            <v>-170.21716749999999</v>
          </cell>
          <cell r="EE86">
            <v>-142.16683599999999</v>
          </cell>
          <cell r="EF86">
            <v>-94.014668</v>
          </cell>
        </row>
        <row r="87">
          <cell r="A87" t="str">
            <v xml:space="preserve">  Interest income (expense) </v>
          </cell>
          <cell r="B87">
            <v>0</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43.488</v>
          </cell>
          <cell r="AJ87">
            <v>32.46</v>
          </cell>
          <cell r="AK87">
            <v>15.681999999999999</v>
          </cell>
          <cell r="AL87">
            <v>17.858000000000001</v>
          </cell>
          <cell r="AM87">
            <v>20.956</v>
          </cell>
          <cell r="AN87">
            <v>25.742000000000001</v>
          </cell>
          <cell r="AO87">
            <v>18.587000000000003</v>
          </cell>
          <cell r="AP87">
            <v>26.599999999999998</v>
          </cell>
          <cell r="AQ87">
            <v>15.795999999999999</v>
          </cell>
          <cell r="AR87">
            <v>14.526999999999997</v>
          </cell>
          <cell r="AS87">
            <v>6.8939999999999984</v>
          </cell>
          <cell r="AT87">
            <v>11.144000000000002</v>
          </cell>
          <cell r="AU87">
            <v>3.5470000000000006</v>
          </cell>
          <cell r="AV87">
            <v>-10.154999999999999</v>
          </cell>
          <cell r="AW87">
            <v>1.6970000000000027</v>
          </cell>
          <cell r="AX87">
            <v>-18.067</v>
          </cell>
          <cell r="AY87">
            <v>-14</v>
          </cell>
          <cell r="AZ87">
            <v>-12</v>
          </cell>
          <cell r="BA87">
            <v>-14</v>
          </cell>
          <cell r="BB87">
            <v>-11</v>
          </cell>
          <cell r="BC87">
            <v>-8</v>
          </cell>
          <cell r="BD87">
            <v>-6</v>
          </cell>
          <cell r="BE87">
            <v>-18</v>
          </cell>
          <cell r="BF87">
            <v>-17</v>
          </cell>
          <cell r="BG87">
            <v>-25</v>
          </cell>
          <cell r="BH87">
            <v>-20</v>
          </cell>
          <cell r="BI87">
            <v>-16</v>
          </cell>
          <cell r="BJ87">
            <v>-13</v>
          </cell>
          <cell r="BK87">
            <v>-32</v>
          </cell>
          <cell r="BL87">
            <v>-32</v>
          </cell>
          <cell r="BM87">
            <v>-14</v>
          </cell>
          <cell r="BN87">
            <v>-22</v>
          </cell>
          <cell r="BO87">
            <v>-4</v>
          </cell>
          <cell r="BP87">
            <v>3</v>
          </cell>
          <cell r="BQ87">
            <v>-18</v>
          </cell>
          <cell r="BR87">
            <v>-8</v>
          </cell>
          <cell r="BS87">
            <v>-18</v>
          </cell>
          <cell r="BT87">
            <v>-11</v>
          </cell>
          <cell r="BU87">
            <v>-15</v>
          </cell>
          <cell r="BV87">
            <v>-9</v>
          </cell>
          <cell r="BW87">
            <v>-23</v>
          </cell>
          <cell r="BX87">
            <v>-13</v>
          </cell>
          <cell r="BY87">
            <v>-17</v>
          </cell>
          <cell r="BZ87">
            <v>-12</v>
          </cell>
          <cell r="CA87">
            <v>-9</v>
          </cell>
          <cell r="CB87">
            <v>-26</v>
          </cell>
          <cell r="CC87">
            <v>-37</v>
          </cell>
          <cell r="CD87">
            <v>-54</v>
          </cell>
          <cell r="CE87">
            <v>-63</v>
          </cell>
          <cell r="CF87">
            <v>-55</v>
          </cell>
          <cell r="CG87">
            <v>-40</v>
          </cell>
          <cell r="CH87">
            <v>-29.218593999999996</v>
          </cell>
          <cell r="CI87">
            <v>-26.438696144015267</v>
          </cell>
          <cell r="CJ87">
            <v>-26.163613388126166</v>
          </cell>
          <cell r="CK87">
            <v>-25.731648338809919</v>
          </cell>
          <cell r="CL87">
            <v>-25.691201615051121</v>
          </cell>
          <cell r="CM87">
            <v>-24.735323974036866</v>
          </cell>
          <cell r="CN87">
            <v>-23.924205880286543</v>
          </cell>
          <cell r="CO87">
            <v>-20.457004192436052</v>
          </cell>
          <cell r="CP87">
            <v>-20.503013033389614</v>
          </cell>
          <cell r="CQ87">
            <v>-19.655199235061573</v>
          </cell>
          <cell r="CR87">
            <v>-19.262886847724971</v>
          </cell>
          <cell r="CS87">
            <v>-12.642799212000838</v>
          </cell>
          <cell r="CT87">
            <v>-12.525117592979036</v>
          </cell>
          <cell r="CU87">
            <v>-11.473831589623657</v>
          </cell>
          <cell r="CV87">
            <v>-7.5936039559603117</v>
          </cell>
          <cell r="CW87">
            <v>-1.3956282499108887</v>
          </cell>
          <cell r="CX87">
            <v>-1.249698039527086</v>
          </cell>
          <cell r="CY87">
            <v>0</v>
          </cell>
          <cell r="CZ87">
            <v>0</v>
          </cell>
          <cell r="DA87">
            <v>0</v>
          </cell>
          <cell r="DB87">
            <v>0</v>
          </cell>
          <cell r="DC87">
            <v>0</v>
          </cell>
          <cell r="DD87">
            <v>0</v>
          </cell>
          <cell r="DE87">
            <v>0</v>
          </cell>
          <cell r="DF87">
            <v>0</v>
          </cell>
          <cell r="DG87">
            <v>0</v>
          </cell>
          <cell r="DH87">
            <v>109.48800000000003</v>
          </cell>
          <cell r="DI87">
            <v>91.884999999999991</v>
          </cell>
          <cell r="DJ87">
            <v>48.36099999999999</v>
          </cell>
          <cell r="DK87">
            <v>-22.977999999999991</v>
          </cell>
          <cell r="DL87">
            <v>-51</v>
          </cell>
          <cell r="DM87">
            <v>-49</v>
          </cell>
          <cell r="DN87">
            <v>-74</v>
          </cell>
          <cell r="DO87">
            <v>-100</v>
          </cell>
          <cell r="DP87">
            <v>-27</v>
          </cell>
          <cell r="DQ87">
            <v>-53</v>
          </cell>
          <cell r="DR87">
            <v>-65</v>
          </cell>
          <cell r="DS87">
            <v>-126</v>
          </cell>
          <cell r="DT87">
            <v>-187.21859400000002</v>
          </cell>
          <cell r="DU87">
            <v>-104.02515948600248</v>
          </cell>
          <cell r="DV87">
            <v>-89.619547080149061</v>
          </cell>
          <cell r="DW87">
            <v>-64.086002887766412</v>
          </cell>
          <cell r="DX87">
            <v>-21.712761835021951</v>
          </cell>
          <cell r="DY87">
            <v>0</v>
          </cell>
          <cell r="DZ87">
            <v>0</v>
          </cell>
          <cell r="EA87">
            <v>-126</v>
          </cell>
          <cell r="EB87">
            <v>-191</v>
          </cell>
          <cell r="EC87">
            <v>-165.84599259132042</v>
          </cell>
          <cell r="ED87">
            <v>-159.80440461254869</v>
          </cell>
          <cell r="EE87">
            <v>-132.40251421666068</v>
          </cell>
          <cell r="EF87">
            <v>-87.022789635422214</v>
          </cell>
        </row>
        <row r="88">
          <cell r="A88" t="str">
            <v>Pretax income</v>
          </cell>
          <cell r="B88">
            <v>0</v>
          </cell>
          <cell r="C88">
            <v>0</v>
          </cell>
          <cell r="D88">
            <v>0</v>
          </cell>
          <cell r="E88">
            <v>0</v>
          </cell>
          <cell r="F88">
            <v>0</v>
          </cell>
          <cell r="G88">
            <v>0</v>
          </cell>
          <cell r="H88">
            <v>0</v>
          </cell>
          <cell r="I88">
            <v>0</v>
          </cell>
          <cell r="J88">
            <v>0</v>
          </cell>
          <cell r="K88">
            <v>63.762999999999991</v>
          </cell>
          <cell r="L88">
            <v>72.03300000000003</v>
          </cell>
          <cell r="M88">
            <v>147.69200000000001</v>
          </cell>
          <cell r="N88">
            <v>163.13699999999994</v>
          </cell>
          <cell r="O88">
            <v>137.80799999999994</v>
          </cell>
          <cell r="P88">
            <v>144.36100000000005</v>
          </cell>
          <cell r="Q88">
            <v>157.82800000000003</v>
          </cell>
          <cell r="R88">
            <v>178.66200000000003</v>
          </cell>
          <cell r="S88">
            <v>179.58500000000004</v>
          </cell>
          <cell r="T88">
            <v>166.565</v>
          </cell>
          <cell r="U88">
            <v>165.93300000000005</v>
          </cell>
          <cell r="V88">
            <v>174.29600000000005</v>
          </cell>
          <cell r="W88">
            <v>193.42700000000002</v>
          </cell>
          <cell r="X88">
            <v>168.91599999999997</v>
          </cell>
          <cell r="Y88">
            <v>187.07499999999996</v>
          </cell>
          <cell r="Z88">
            <v>218.33800000000002</v>
          </cell>
          <cell r="AA88">
            <v>207.83099999999996</v>
          </cell>
          <cell r="AB88">
            <v>239.09</v>
          </cell>
          <cell r="AC88">
            <v>295.90499999999992</v>
          </cell>
          <cell r="AD88">
            <v>322.36500000000001</v>
          </cell>
          <cell r="AE88">
            <v>327.27999999999986</v>
          </cell>
          <cell r="AF88">
            <v>338.49799999999993</v>
          </cell>
          <cell r="AG88">
            <v>379.54399999999998</v>
          </cell>
          <cell r="AH88">
            <v>436.65899999999999</v>
          </cell>
          <cell r="AI88">
            <v>458.63799999999998</v>
          </cell>
          <cell r="AJ88">
            <v>395.31999999999988</v>
          </cell>
          <cell r="AK88">
            <v>405.26600000000008</v>
          </cell>
          <cell r="AL88">
            <v>419.42699999999996</v>
          </cell>
          <cell r="AM88">
            <v>377.62600000000009</v>
          </cell>
          <cell r="AN88">
            <v>368.04900000000015</v>
          </cell>
          <cell r="AO88">
            <v>360.096</v>
          </cell>
          <cell r="AP88">
            <v>331.80599999999993</v>
          </cell>
          <cell r="AQ88">
            <v>380.76999999999992</v>
          </cell>
          <cell r="AR88">
            <v>376.07400000000013</v>
          </cell>
          <cell r="AS88">
            <v>426.43200000000013</v>
          </cell>
          <cell r="AT88">
            <v>441.99900000000002</v>
          </cell>
          <cell r="AU88">
            <v>488.63900000000012</v>
          </cell>
          <cell r="AV88">
            <v>432.87</v>
          </cell>
          <cell r="AW88">
            <v>496.42500000000007</v>
          </cell>
          <cell r="AX88">
            <v>435.86999999999989</v>
          </cell>
          <cell r="AY88">
            <v>397</v>
          </cell>
          <cell r="AZ88">
            <v>420</v>
          </cell>
          <cell r="BA88">
            <v>425</v>
          </cell>
          <cell r="BB88">
            <v>423</v>
          </cell>
          <cell r="BC88">
            <v>372</v>
          </cell>
          <cell r="BD88">
            <v>366</v>
          </cell>
          <cell r="BE88">
            <v>361</v>
          </cell>
          <cell r="BF88">
            <v>387</v>
          </cell>
          <cell r="BG88">
            <v>413</v>
          </cell>
          <cell r="BH88">
            <v>400</v>
          </cell>
          <cell r="BI88">
            <v>447</v>
          </cell>
          <cell r="BJ88">
            <v>388</v>
          </cell>
          <cell r="BK88">
            <v>356</v>
          </cell>
          <cell r="BL88">
            <v>406</v>
          </cell>
          <cell r="BM88">
            <v>439</v>
          </cell>
          <cell r="BN88">
            <v>401</v>
          </cell>
          <cell r="BO88">
            <v>426</v>
          </cell>
          <cell r="BP88">
            <v>453</v>
          </cell>
          <cell r="BQ88">
            <v>491</v>
          </cell>
          <cell r="BR88">
            <v>441</v>
          </cell>
          <cell r="BS88">
            <v>321</v>
          </cell>
          <cell r="BT88">
            <v>336</v>
          </cell>
          <cell r="BU88">
            <v>315</v>
          </cell>
          <cell r="BV88">
            <v>280</v>
          </cell>
          <cell r="BW88">
            <v>252</v>
          </cell>
          <cell r="BX88">
            <v>270</v>
          </cell>
          <cell r="BY88">
            <v>237</v>
          </cell>
          <cell r="BZ88">
            <v>202</v>
          </cell>
          <cell r="CA88">
            <v>244</v>
          </cell>
          <cell r="CB88">
            <v>270</v>
          </cell>
          <cell r="CC88">
            <v>294</v>
          </cell>
          <cell r="CD88">
            <v>260</v>
          </cell>
          <cell r="CE88">
            <v>314</v>
          </cell>
          <cell r="CF88">
            <v>380</v>
          </cell>
          <cell r="CG88">
            <v>423</v>
          </cell>
          <cell r="CH88">
            <v>376.66652916471463</v>
          </cell>
          <cell r="CI88">
            <v>407.88319564993526</v>
          </cell>
          <cell r="CJ88">
            <v>418.48178425447765</v>
          </cell>
          <cell r="CK88">
            <v>396.06151202361821</v>
          </cell>
          <cell r="CL88">
            <v>393.51053170821467</v>
          </cell>
          <cell r="CM88">
            <v>447.32606731814337</v>
          </cell>
          <cell r="CN88">
            <v>451.95510671240754</v>
          </cell>
          <cell r="CO88">
            <v>420.42377048135648</v>
          </cell>
          <cell r="CP88">
            <v>416.18898707011238</v>
          </cell>
          <cell r="CQ88">
            <v>485.177503369806</v>
          </cell>
          <cell r="CR88">
            <v>488.80181042394634</v>
          </cell>
          <cell r="CS88">
            <v>457.40686277864592</v>
          </cell>
          <cell r="CT88">
            <v>447.20335091240821</v>
          </cell>
          <cell r="CU88">
            <v>520.54225750060527</v>
          </cell>
          <cell r="CV88">
            <v>528.41136153635614</v>
          </cell>
          <cell r="CW88">
            <v>494.05219740727279</v>
          </cell>
          <cell r="CX88">
            <v>484.39090372895464</v>
          </cell>
          <cell r="CY88">
            <v>0</v>
          </cell>
          <cell r="CZ88" t="e">
            <v>#VALUE!</v>
          </cell>
          <cell r="DA88" t="e">
            <v>#VALUE!</v>
          </cell>
          <cell r="DB88">
            <v>446.62499999999983</v>
          </cell>
          <cell r="DC88">
            <v>618.65899999999999</v>
          </cell>
          <cell r="DD88">
            <v>686.37900000000047</v>
          </cell>
          <cell r="DE88">
            <v>767.75599999999952</v>
          </cell>
          <cell r="DF88">
            <v>1065.1910000000005</v>
          </cell>
          <cell r="DG88">
            <v>1481.9809999999998</v>
          </cell>
          <cell r="DH88">
            <v>1678.6510000000001</v>
          </cell>
          <cell r="DI88">
            <v>1437.5770000000005</v>
          </cell>
          <cell r="DJ88">
            <v>1625.2750000000001</v>
          </cell>
          <cell r="DK88">
            <v>1853.8040000000005</v>
          </cell>
          <cell r="DL88">
            <v>1665</v>
          </cell>
          <cell r="DM88">
            <v>1486</v>
          </cell>
          <cell r="DN88">
            <v>1648</v>
          </cell>
          <cell r="DO88">
            <v>1602</v>
          </cell>
          <cell r="DP88">
            <v>1811</v>
          </cell>
          <cell r="DQ88">
            <v>1252</v>
          </cell>
          <cell r="DR88">
            <v>961</v>
          </cell>
          <cell r="DS88">
            <v>1068</v>
          </cell>
          <cell r="DT88">
            <v>1493.666529164715</v>
          </cell>
          <cell r="DU88">
            <v>1615.9370236362461</v>
          </cell>
          <cell r="DV88">
            <v>1735.8939315820207</v>
          </cell>
          <cell r="DW88">
            <v>1878.5895274848076</v>
          </cell>
          <cell r="DX88">
            <v>2027.3967201731889</v>
          </cell>
          <cell r="DY88">
            <v>0</v>
          </cell>
          <cell r="DZ88">
            <v>0</v>
          </cell>
          <cell r="EA88">
            <v>1068</v>
          </cell>
          <cell r="EB88">
            <v>1535</v>
          </cell>
          <cell r="EC88">
            <v>1338.5072898037672</v>
          </cell>
          <cell r="ED88">
            <v>1589.9848741413025</v>
          </cell>
          <cell r="EE88">
            <v>1703.6137897855515</v>
          </cell>
          <cell r="EF88">
            <v>1847.7559951737712</v>
          </cell>
        </row>
        <row r="89">
          <cell r="A89" t="str">
            <v>Convertible Interest (net of tax)</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3.6039878739346793</v>
          </cell>
          <cell r="V89">
            <v>3.6039778543821162</v>
          </cell>
          <cell r="W89">
            <v>3.6</v>
          </cell>
          <cell r="X89">
            <v>3.6040000000000001</v>
          </cell>
          <cell r="Y89">
            <v>3.6039999999999996</v>
          </cell>
          <cell r="Z89">
            <v>3.6039999999999996</v>
          </cell>
          <cell r="AA89">
            <v>3.6040000000000001</v>
          </cell>
          <cell r="AB89">
            <v>3.6039999999999996</v>
          </cell>
          <cell r="AC89">
            <v>3.6040000000000001</v>
          </cell>
          <cell r="AD89">
            <v>3.6039999999999996</v>
          </cell>
          <cell r="AE89">
            <v>3.6039999999999996</v>
          </cell>
          <cell r="AF89">
            <v>3.6039999999999996</v>
          </cell>
          <cell r="AG89">
            <v>1.2</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0</v>
          </cell>
          <cell r="CQ89">
            <v>0</v>
          </cell>
          <cell r="CR89">
            <v>0</v>
          </cell>
          <cell r="CS89">
            <v>0</v>
          </cell>
          <cell r="CT89">
            <v>0</v>
          </cell>
          <cell r="CU89">
            <v>0</v>
          </cell>
          <cell r="CV89">
            <v>0</v>
          </cell>
          <cell r="CW89">
            <v>0</v>
          </cell>
          <cell r="CX89">
            <v>0</v>
          </cell>
          <cell r="CY89">
            <v>0</v>
          </cell>
          <cell r="CZ89">
            <v>0</v>
          </cell>
          <cell r="DA89">
            <v>0</v>
          </cell>
          <cell r="DB89">
            <v>0</v>
          </cell>
          <cell r="DC89">
            <v>0</v>
          </cell>
          <cell r="DD89">
            <v>7.2079657283167951</v>
          </cell>
          <cell r="DE89">
            <v>14.411999999999999</v>
          </cell>
          <cell r="DF89">
            <v>14.416</v>
          </cell>
          <cell r="DG89">
            <v>8.4079999999999995</v>
          </cell>
          <cell r="DH89">
            <v>0</v>
          </cell>
          <cell r="DI89">
            <v>0</v>
          </cell>
          <cell r="DJ89">
            <v>0</v>
          </cell>
          <cell r="DK89">
            <v>0</v>
          </cell>
          <cell r="DL89">
            <v>0</v>
          </cell>
          <cell r="DM89">
            <v>0</v>
          </cell>
          <cell r="DN89">
            <v>0</v>
          </cell>
          <cell r="DO89">
            <v>0</v>
          </cell>
          <cell r="DP89">
            <v>0</v>
          </cell>
          <cell r="DQ89">
            <v>0</v>
          </cell>
          <cell r="DR89">
            <v>0</v>
          </cell>
          <cell r="DS89">
            <v>0</v>
          </cell>
          <cell r="DT89">
            <v>0</v>
          </cell>
          <cell r="DU89">
            <v>0</v>
          </cell>
          <cell r="DV89">
            <v>0</v>
          </cell>
          <cell r="DW89">
            <v>0</v>
          </cell>
          <cell r="DX89">
            <v>0</v>
          </cell>
          <cell r="DY89">
            <v>0</v>
          </cell>
          <cell r="DZ89">
            <v>0</v>
          </cell>
          <cell r="EA89">
            <v>0</v>
          </cell>
          <cell r="EB89">
            <v>0</v>
          </cell>
          <cell r="EC89">
            <v>0</v>
          </cell>
          <cell r="ED89">
            <v>0</v>
          </cell>
          <cell r="EE89">
            <v>0</v>
          </cell>
          <cell r="EF89">
            <v>0</v>
          </cell>
        </row>
        <row r="90">
          <cell r="A90" t="str">
            <v>Pro forma taxes</v>
          </cell>
          <cell r="B90">
            <v>0</v>
          </cell>
          <cell r="C90">
            <v>0</v>
          </cell>
          <cell r="D90">
            <v>0</v>
          </cell>
          <cell r="E90">
            <v>0</v>
          </cell>
          <cell r="F90">
            <v>0</v>
          </cell>
          <cell r="G90">
            <v>0</v>
          </cell>
          <cell r="H90">
            <v>0</v>
          </cell>
          <cell r="I90">
            <v>0</v>
          </cell>
          <cell r="J90">
            <v>0</v>
          </cell>
          <cell r="K90">
            <v>13.067</v>
          </cell>
          <cell r="L90">
            <v>14.675000000000001</v>
          </cell>
          <cell r="M90">
            <v>40.802999999999997</v>
          </cell>
          <cell r="N90">
            <v>48.292000000000002</v>
          </cell>
          <cell r="O90">
            <v>50.632999999999996</v>
          </cell>
          <cell r="P90">
            <v>54.131</v>
          </cell>
          <cell r="Q90">
            <v>64.733000000000004</v>
          </cell>
          <cell r="R90">
            <v>69.846000000000004</v>
          </cell>
          <cell r="S90">
            <v>66.625</v>
          </cell>
          <cell r="T90">
            <v>60.906999999999996</v>
          </cell>
          <cell r="U90">
            <v>58.754999999999995</v>
          </cell>
          <cell r="V90">
            <v>60.536000000000001</v>
          </cell>
          <cell r="W90">
            <v>66.787999999999997</v>
          </cell>
          <cell r="X90">
            <v>59.268000000000001</v>
          </cell>
          <cell r="Y90">
            <v>63.962999999999994</v>
          </cell>
          <cell r="Z90">
            <v>73.937999999999988</v>
          </cell>
          <cell r="AA90">
            <v>69.918000000000006</v>
          </cell>
          <cell r="AB90">
            <v>80.953000000000003</v>
          </cell>
          <cell r="AC90">
            <v>97.180999999999997</v>
          </cell>
          <cell r="AD90">
            <v>108.015</v>
          </cell>
          <cell r="AE90">
            <v>108.176</v>
          </cell>
          <cell r="AF90">
            <v>111.47799999999999</v>
          </cell>
          <cell r="AG90">
            <v>126.06099999999999</v>
          </cell>
          <cell r="AH90">
            <v>140.64099999999999</v>
          </cell>
          <cell r="AI90">
            <v>136.113</v>
          </cell>
          <cell r="AJ90">
            <v>122.548</v>
          </cell>
          <cell r="AK90">
            <v>122.904</v>
          </cell>
          <cell r="AL90">
            <v>140.64699999999999</v>
          </cell>
          <cell r="AM90">
            <v>124.184</v>
          </cell>
          <cell r="AN90">
            <v>106.59099999999999</v>
          </cell>
          <cell r="AO90">
            <v>109.29</v>
          </cell>
          <cell r="AP90">
            <v>105.038</v>
          </cell>
          <cell r="AQ90">
            <v>118.072</v>
          </cell>
          <cell r="AR90">
            <v>113.43900000000001</v>
          </cell>
          <cell r="AS90">
            <v>134.684</v>
          </cell>
          <cell r="AT90">
            <v>132.56900000000002</v>
          </cell>
          <cell r="AU90">
            <v>146.85900000000001</v>
          </cell>
          <cell r="AV90">
            <v>121.693</v>
          </cell>
          <cell r="AW90">
            <v>146.20599999999999</v>
          </cell>
          <cell r="AX90">
            <v>117.405</v>
          </cell>
          <cell r="AY90">
            <v>112</v>
          </cell>
          <cell r="AZ90">
            <v>126</v>
          </cell>
          <cell r="BA90">
            <v>99</v>
          </cell>
          <cell r="BB90">
            <v>96</v>
          </cell>
          <cell r="BC90">
            <v>88</v>
          </cell>
          <cell r="BD90">
            <v>100</v>
          </cell>
          <cell r="BE90">
            <v>89</v>
          </cell>
          <cell r="BF90">
            <v>90</v>
          </cell>
          <cell r="BG90">
            <v>109</v>
          </cell>
          <cell r="BH90">
            <v>111</v>
          </cell>
          <cell r="BI90">
            <v>124</v>
          </cell>
          <cell r="BJ90">
            <v>88</v>
          </cell>
          <cell r="BK90">
            <v>93</v>
          </cell>
          <cell r="BL90">
            <v>112</v>
          </cell>
          <cell r="BM90">
            <v>119</v>
          </cell>
          <cell r="BN90">
            <v>92</v>
          </cell>
          <cell r="BO90">
            <v>115</v>
          </cell>
          <cell r="BP90">
            <v>94</v>
          </cell>
          <cell r="BQ90">
            <v>124</v>
          </cell>
          <cell r="BR90">
            <v>108</v>
          </cell>
          <cell r="BS90">
            <v>88</v>
          </cell>
          <cell r="BT90">
            <v>92</v>
          </cell>
          <cell r="BU90">
            <v>87</v>
          </cell>
          <cell r="BV90">
            <v>77</v>
          </cell>
          <cell r="BW90">
            <v>69</v>
          </cell>
          <cell r="BX90">
            <v>74</v>
          </cell>
          <cell r="BY90">
            <v>65</v>
          </cell>
          <cell r="BZ90">
            <v>55</v>
          </cell>
          <cell r="CA90">
            <v>67</v>
          </cell>
          <cell r="CB90">
            <v>78</v>
          </cell>
          <cell r="CC90">
            <v>85</v>
          </cell>
          <cell r="CD90">
            <v>76</v>
          </cell>
          <cell r="CE90">
            <v>93</v>
          </cell>
          <cell r="CF90">
            <v>112</v>
          </cell>
          <cell r="CG90">
            <v>95</v>
          </cell>
          <cell r="CH90">
            <v>101.69996287447296</v>
          </cell>
          <cell r="CI90">
            <v>87.694887064736079</v>
          </cell>
          <cell r="CJ90">
            <v>89.973583614712695</v>
          </cell>
          <cell r="CK90">
            <v>85.153225085077906</v>
          </cell>
          <cell r="CL90">
            <v>84.604764317266159</v>
          </cell>
          <cell r="CM90">
            <v>96.175104473400822</v>
          </cell>
          <cell r="CN90">
            <v>97.170347943167613</v>
          </cell>
          <cell r="CO90">
            <v>90.391110653491637</v>
          </cell>
          <cell r="CP90">
            <v>89.480632220074156</v>
          </cell>
          <cell r="CQ90">
            <v>104.31316322450829</v>
          </cell>
          <cell r="CR90">
            <v>105.09238924114847</v>
          </cell>
          <cell r="CS90">
            <v>98.34247549740887</v>
          </cell>
          <cell r="CT90">
            <v>96.148720446167758</v>
          </cell>
          <cell r="CU90">
            <v>111.91658536263013</v>
          </cell>
          <cell r="CV90">
            <v>113.60844273031657</v>
          </cell>
          <cell r="CW90">
            <v>106.22122244256364</v>
          </cell>
          <cell r="CX90">
            <v>104.14404430172524</v>
          </cell>
          <cell r="CY90">
            <v>0</v>
          </cell>
          <cell r="CZ90">
            <v>0</v>
          </cell>
          <cell r="DA90">
            <v>0</v>
          </cell>
          <cell r="DB90">
            <v>116.837</v>
          </cell>
          <cell r="DC90">
            <v>239.34300000000002</v>
          </cell>
          <cell r="DD90">
            <v>246.82299999999998</v>
          </cell>
          <cell r="DE90">
            <v>263.95699999999999</v>
          </cell>
          <cell r="DF90">
            <v>356.06700000000001</v>
          </cell>
          <cell r="DG90">
            <v>486.35599999999999</v>
          </cell>
          <cell r="DH90">
            <v>522.21199999999999</v>
          </cell>
          <cell r="DI90">
            <v>445.10300000000001</v>
          </cell>
          <cell r="DJ90">
            <v>498.76400000000007</v>
          </cell>
          <cell r="DK90">
            <v>532.16300000000001</v>
          </cell>
          <cell r="DL90">
            <v>433</v>
          </cell>
          <cell r="DM90">
            <v>367</v>
          </cell>
          <cell r="DN90">
            <v>432</v>
          </cell>
          <cell r="DO90">
            <v>416</v>
          </cell>
          <cell r="DP90">
            <v>441</v>
          </cell>
          <cell r="DQ90">
            <v>344</v>
          </cell>
          <cell r="DR90">
            <v>263</v>
          </cell>
          <cell r="DS90">
            <v>306</v>
          </cell>
          <cell r="DT90">
            <v>401.69996287447293</v>
          </cell>
          <cell r="DU90">
            <v>347.42646008179281</v>
          </cell>
          <cell r="DV90">
            <v>373.21719529013421</v>
          </cell>
          <cell r="DW90">
            <v>403.8967484092334</v>
          </cell>
          <cell r="DX90">
            <v>435.89029483723561</v>
          </cell>
          <cell r="DY90">
            <v>0</v>
          </cell>
          <cell r="DZ90">
            <v>0</v>
          </cell>
          <cell r="EA90">
            <v>306</v>
          </cell>
          <cell r="EB90">
            <v>408</v>
          </cell>
          <cell r="EC90">
            <v>273.0554871199684</v>
          </cell>
          <cell r="ED90">
            <v>333.89682356967342</v>
          </cell>
          <cell r="EE90">
            <v>357.75889585496577</v>
          </cell>
          <cell r="EF90">
            <v>388.02875898649182</v>
          </cell>
        </row>
        <row r="91">
          <cell r="A91" t="str">
            <v>Effective tax rate</v>
          </cell>
          <cell r="B91">
            <v>0</v>
          </cell>
          <cell r="C91">
            <v>0</v>
          </cell>
          <cell r="D91">
            <v>0</v>
          </cell>
          <cell r="E91">
            <v>0</v>
          </cell>
          <cell r="F91">
            <v>0</v>
          </cell>
          <cell r="G91">
            <v>0</v>
          </cell>
          <cell r="H91">
            <v>0</v>
          </cell>
          <cell r="I91">
            <v>0</v>
          </cell>
          <cell r="J91">
            <v>0</v>
          </cell>
          <cell r="K91">
            <v>0.20493075921772819</v>
          </cell>
          <cell r="L91">
            <v>0.20372606999569634</v>
          </cell>
          <cell r="M91">
            <v>0.27627088806435013</v>
          </cell>
          <cell r="N91">
            <v>0.29602113560994758</v>
          </cell>
          <cell r="O91">
            <v>0.36741698595146882</v>
          </cell>
          <cell r="P91">
            <v>0.37496969403093622</v>
          </cell>
          <cell r="Q91">
            <v>0.41014902298704914</v>
          </cell>
          <cell r="R91">
            <v>0.39093931557913819</v>
          </cell>
          <cell r="S91">
            <v>0.37099423671242021</v>
          </cell>
          <cell r="T91">
            <v>0.36566505568396718</v>
          </cell>
          <cell r="U91">
            <v>0.35408869845057933</v>
          </cell>
          <cell r="V91">
            <v>0.34731720750906497</v>
          </cell>
          <cell r="W91">
            <v>0.34528788638607844</v>
          </cell>
          <cell r="X91">
            <v>0.35087262307892686</v>
          </cell>
          <cell r="Y91">
            <v>0.34191099826272892</v>
          </cell>
          <cell r="Z91">
            <v>0.33864009013547791</v>
          </cell>
          <cell r="AA91">
            <v>0.33641757004489231</v>
          </cell>
          <cell r="AB91">
            <v>0.33858797942197499</v>
          </cell>
          <cell r="AC91">
            <v>0.32841959412649341</v>
          </cell>
          <cell r="AD91">
            <v>0.33507049462565724</v>
          </cell>
          <cell r="AE91">
            <v>0.33053043265705223</v>
          </cell>
          <cell r="AF91">
            <v>0.32933134021471328</v>
          </cell>
          <cell r="AG91">
            <v>0.33213803933140823</v>
          </cell>
          <cell r="AH91">
            <v>0.32208428086905339</v>
          </cell>
          <cell r="AI91">
            <v>0.29677654271996651</v>
          </cell>
          <cell r="AJ91">
            <v>0.3099969644844684</v>
          </cell>
          <cell r="AK91">
            <v>0.30326748357868655</v>
          </cell>
          <cell r="AL91">
            <v>0.33533129722216265</v>
          </cell>
          <cell r="AM91">
            <v>0.32885447506262799</v>
          </cell>
          <cell r="AN91">
            <v>0.28961089420158714</v>
          </cell>
          <cell r="AO91">
            <v>0.30350239936017065</v>
          </cell>
          <cell r="AP91">
            <v>0.31656449853227492</v>
          </cell>
          <cell r="AQ91">
            <v>0.3100874543687791</v>
          </cell>
          <cell r="AR91">
            <v>0.30164010274573611</v>
          </cell>
          <cell r="AS91">
            <v>0.31583933663514924</v>
          </cell>
          <cell r="AT91">
            <v>0.29993054282928244</v>
          </cell>
          <cell r="AU91">
            <v>0.30054702960672391</v>
          </cell>
          <cell r="AV91">
            <v>0.28113059348072167</v>
          </cell>
          <cell r="AW91">
            <v>0.29451780228634733</v>
          </cell>
          <cell r="AX91">
            <v>0.26935783605203395</v>
          </cell>
          <cell r="AY91">
            <v>0.28211586901763225</v>
          </cell>
          <cell r="AZ91">
            <v>0.3</v>
          </cell>
          <cell r="BA91">
            <v>0.23294117647058823</v>
          </cell>
          <cell r="BB91">
            <v>0.22695035460992907</v>
          </cell>
          <cell r="BC91">
            <v>0.23655913978494625</v>
          </cell>
          <cell r="BD91">
            <v>0.27322404371584702</v>
          </cell>
          <cell r="BE91">
            <v>0.24653739612188366</v>
          </cell>
          <cell r="BF91">
            <v>0.23255813953488372</v>
          </cell>
          <cell r="BG91">
            <v>0.26392251815980627</v>
          </cell>
          <cell r="BH91">
            <v>0.27750000000000002</v>
          </cell>
          <cell r="BI91">
            <v>0.27740492170022374</v>
          </cell>
          <cell r="BJ91">
            <v>0.22680412371134021</v>
          </cell>
          <cell r="BK91">
            <v>0.2612359550561798</v>
          </cell>
          <cell r="BL91">
            <v>0.27586206896551724</v>
          </cell>
          <cell r="BM91">
            <v>0.27107061503416857</v>
          </cell>
          <cell r="BN91">
            <v>0.22942643391521197</v>
          </cell>
          <cell r="BO91">
            <v>0.2699530516431925</v>
          </cell>
          <cell r="BP91">
            <v>0.20750551876379691</v>
          </cell>
          <cell r="BQ91">
            <v>0.25254582484725052</v>
          </cell>
          <cell r="BR91">
            <v>0.24489795918367346</v>
          </cell>
          <cell r="BS91">
            <v>0.27414330218068533</v>
          </cell>
          <cell r="BT91">
            <v>0.27380952380952384</v>
          </cell>
          <cell r="BU91">
            <v>0.27619047619047621</v>
          </cell>
          <cell r="BV91">
            <v>0.27500000000000002</v>
          </cell>
          <cell r="BW91">
            <v>0.27380952380952384</v>
          </cell>
          <cell r="BX91">
            <v>0.27407407407407408</v>
          </cell>
          <cell r="BY91">
            <v>0.27426160337552741</v>
          </cell>
          <cell r="BZ91">
            <v>0.2722772277227723</v>
          </cell>
          <cell r="CA91">
            <v>0.27459016393442626</v>
          </cell>
          <cell r="CB91">
            <v>0.28888888888888886</v>
          </cell>
          <cell r="CC91">
            <v>0.28911564625850339</v>
          </cell>
          <cell r="CD91">
            <v>0.29230769230769232</v>
          </cell>
          <cell r="CE91">
            <v>0.29617834394904458</v>
          </cell>
          <cell r="CF91">
            <v>0.29473684210526313</v>
          </cell>
          <cell r="CG91">
            <v>0.22458628841607564</v>
          </cell>
          <cell r="CH91">
            <v>0.27</v>
          </cell>
          <cell r="CI91">
            <v>0.215</v>
          </cell>
          <cell r="CJ91">
            <v>0.215</v>
          </cell>
          <cell r="CK91">
            <v>0.215</v>
          </cell>
          <cell r="CL91">
            <v>0.215</v>
          </cell>
          <cell r="CM91">
            <v>0.215</v>
          </cell>
          <cell r="CN91">
            <v>0.215</v>
          </cell>
          <cell r="CO91">
            <v>0.215</v>
          </cell>
          <cell r="CP91">
            <v>0.215</v>
          </cell>
          <cell r="CQ91">
            <v>0.215</v>
          </cell>
          <cell r="CR91">
            <v>0.215</v>
          </cell>
          <cell r="CS91">
            <v>0.215</v>
          </cell>
          <cell r="CT91">
            <v>0.215</v>
          </cell>
          <cell r="CU91">
            <v>0.215</v>
          </cell>
          <cell r="CV91">
            <v>0.215</v>
          </cell>
          <cell r="CW91">
            <v>0.215</v>
          </cell>
          <cell r="CX91">
            <v>0.215</v>
          </cell>
          <cell r="CY91">
            <v>0</v>
          </cell>
          <cell r="CZ91" t="e">
            <v>#VALUE!</v>
          </cell>
          <cell r="DA91" t="e">
            <v>#VALUE!</v>
          </cell>
          <cell r="DB91">
            <v>0.26159977609851676</v>
          </cell>
          <cell r="DC91">
            <v>0.38687386751021163</v>
          </cell>
          <cell r="DD91">
            <v>0.35960161951341724</v>
          </cell>
          <cell r="DE91">
            <v>0.34380323957090553</v>
          </cell>
          <cell r="DF91">
            <v>0.33427526143198716</v>
          </cell>
          <cell r="DG91">
            <v>0.3281796460278506</v>
          </cell>
          <cell r="DH91">
            <v>0.31109027427380676</v>
          </cell>
          <cell r="DI91">
            <v>0.30962028468735925</v>
          </cell>
          <cell r="DJ91">
            <v>0.30687975881004753</v>
          </cell>
          <cell r="DK91">
            <v>0.28706540713041934</v>
          </cell>
          <cell r="DL91">
            <v>0.26006006006006005</v>
          </cell>
          <cell r="DM91">
            <v>0.24697173620457605</v>
          </cell>
          <cell r="DN91">
            <v>0.26213592233009708</v>
          </cell>
          <cell r="DO91">
            <v>0.2596754057428215</v>
          </cell>
          <cell r="DP91">
            <v>0.24351187189398121</v>
          </cell>
          <cell r="DQ91">
            <v>0.27476038338658149</v>
          </cell>
          <cell r="DR91">
            <v>0.27367325702393341</v>
          </cell>
          <cell r="DS91">
            <v>0.28651685393258425</v>
          </cell>
          <cell r="DT91">
            <v>0.2689355053695357</v>
          </cell>
          <cell r="DU91">
            <v>0.21499999999999994</v>
          </cell>
          <cell r="DV91">
            <v>0.21499999999999986</v>
          </cell>
          <cell r="DW91">
            <v>0.21499999999999989</v>
          </cell>
          <cell r="DX91">
            <v>0.215</v>
          </cell>
          <cell r="DY91">
            <v>0</v>
          </cell>
          <cell r="DZ91">
            <v>0</v>
          </cell>
          <cell r="EA91">
            <v>0.28651685393258425</v>
          </cell>
          <cell r="EB91">
            <v>0.26579804560260584</v>
          </cell>
          <cell r="EC91">
            <v>0.20399999999999993</v>
          </cell>
          <cell r="ED91">
            <v>0.20999999999999994</v>
          </cell>
          <cell r="EE91">
            <v>0.20999999999999996</v>
          </cell>
          <cell r="EF91">
            <v>0.20999999999999994</v>
          </cell>
        </row>
        <row r="92">
          <cell r="A92">
            <v>0</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0</v>
          </cell>
          <cell r="EB92">
            <v>0</v>
          </cell>
          <cell r="EC92">
            <v>0</v>
          </cell>
          <cell r="ED92">
            <v>0</v>
          </cell>
          <cell r="EE92">
            <v>0</v>
          </cell>
          <cell r="EF92">
            <v>0</v>
          </cell>
        </row>
        <row r="93">
          <cell r="A93" t="str">
            <v>Pro forma net income</v>
          </cell>
          <cell r="B93">
            <v>0</v>
          </cell>
          <cell r="C93">
            <v>0</v>
          </cell>
          <cell r="D93">
            <v>0</v>
          </cell>
          <cell r="E93">
            <v>0</v>
          </cell>
          <cell r="F93">
            <v>0</v>
          </cell>
          <cell r="G93">
            <v>0</v>
          </cell>
          <cell r="H93">
            <v>0</v>
          </cell>
          <cell r="I93">
            <v>0</v>
          </cell>
          <cell r="J93">
            <v>0</v>
          </cell>
          <cell r="K93">
            <v>50.695999999999991</v>
          </cell>
          <cell r="L93">
            <v>57.358000000000033</v>
          </cell>
          <cell r="M93">
            <v>106.88900000000001</v>
          </cell>
          <cell r="N93">
            <v>114.84499999999994</v>
          </cell>
          <cell r="O93">
            <v>87.17499999999994</v>
          </cell>
          <cell r="P93">
            <v>90.230000000000047</v>
          </cell>
          <cell r="Q93">
            <v>93.095000000000027</v>
          </cell>
          <cell r="R93">
            <v>108.81600000000003</v>
          </cell>
          <cell r="S93">
            <v>112.96000000000004</v>
          </cell>
          <cell r="T93">
            <v>105.658</v>
          </cell>
          <cell r="U93">
            <v>110.78198787393474</v>
          </cell>
          <cell r="V93">
            <v>117.36397785438217</v>
          </cell>
          <cell r="W93">
            <v>130.23900000000003</v>
          </cell>
          <cell r="X93">
            <v>113.25199999999997</v>
          </cell>
          <cell r="Y93">
            <v>126.71599999999997</v>
          </cell>
          <cell r="Z93">
            <v>148.00400000000005</v>
          </cell>
          <cell r="AA93">
            <v>141.51699999999997</v>
          </cell>
          <cell r="AB93">
            <v>161.74100000000001</v>
          </cell>
          <cell r="AC93">
            <v>202.32799999999995</v>
          </cell>
          <cell r="AD93">
            <v>217.95400000000004</v>
          </cell>
          <cell r="AE93">
            <v>222.70799999999988</v>
          </cell>
          <cell r="AF93">
            <v>230.62399999999994</v>
          </cell>
          <cell r="AG93">
            <v>254.68299999999999</v>
          </cell>
          <cell r="AH93">
            <v>296.01800000000003</v>
          </cell>
          <cell r="AI93">
            <v>322.52499999999998</v>
          </cell>
          <cell r="AJ93">
            <v>272.77199999999988</v>
          </cell>
          <cell r="AK93">
            <v>282.36200000000008</v>
          </cell>
          <cell r="AL93">
            <v>278.77999999999997</v>
          </cell>
          <cell r="AM93">
            <v>253.44200000000009</v>
          </cell>
          <cell r="AN93">
            <v>261.45800000000014</v>
          </cell>
          <cell r="AO93">
            <v>250.80599999999998</v>
          </cell>
          <cell r="AP93">
            <v>226.76799999999992</v>
          </cell>
          <cell r="AQ93">
            <v>262.69799999999992</v>
          </cell>
          <cell r="AR93">
            <v>262.6350000000001</v>
          </cell>
          <cell r="AS93">
            <v>291.74800000000016</v>
          </cell>
          <cell r="AT93">
            <v>309.43</v>
          </cell>
          <cell r="AU93">
            <v>341.78000000000009</v>
          </cell>
          <cell r="AV93">
            <v>311.17700000000002</v>
          </cell>
          <cell r="AW93">
            <v>350.21900000000005</v>
          </cell>
          <cell r="AX93">
            <v>318.46499999999992</v>
          </cell>
          <cell r="AY93">
            <v>285</v>
          </cell>
          <cell r="AZ93">
            <v>294</v>
          </cell>
          <cell r="BA93">
            <v>326</v>
          </cell>
          <cell r="BB93">
            <v>327</v>
          </cell>
          <cell r="BC93">
            <v>284</v>
          </cell>
          <cell r="BD93">
            <v>266</v>
          </cell>
          <cell r="BE93">
            <v>272</v>
          </cell>
          <cell r="BF93">
            <v>297</v>
          </cell>
          <cell r="BG93">
            <v>304</v>
          </cell>
          <cell r="BH93">
            <v>289</v>
          </cell>
          <cell r="BI93">
            <v>323</v>
          </cell>
          <cell r="BJ93">
            <v>300</v>
          </cell>
          <cell r="BK93">
            <v>263</v>
          </cell>
          <cell r="BL93">
            <v>294</v>
          </cell>
          <cell r="BM93">
            <v>320</v>
          </cell>
          <cell r="BN93">
            <v>309</v>
          </cell>
          <cell r="BO93">
            <v>311</v>
          </cell>
          <cell r="BP93">
            <v>359</v>
          </cell>
          <cell r="BQ93">
            <v>367</v>
          </cell>
          <cell r="BR93">
            <v>333</v>
          </cell>
          <cell r="BS93">
            <v>233</v>
          </cell>
          <cell r="BT93">
            <v>244</v>
          </cell>
          <cell r="BU93">
            <v>228</v>
          </cell>
          <cell r="BV93">
            <v>203</v>
          </cell>
          <cell r="BW93">
            <v>183</v>
          </cell>
          <cell r="BX93">
            <v>196</v>
          </cell>
          <cell r="BY93">
            <v>172</v>
          </cell>
          <cell r="BZ93">
            <v>147</v>
          </cell>
          <cell r="CA93">
            <v>177</v>
          </cell>
          <cell r="CB93">
            <v>192</v>
          </cell>
          <cell r="CC93">
            <v>209</v>
          </cell>
          <cell r="CD93">
            <v>184</v>
          </cell>
          <cell r="CE93">
            <v>221</v>
          </cell>
          <cell r="CF93">
            <v>268</v>
          </cell>
          <cell r="CG93">
            <v>328</v>
          </cell>
          <cell r="CH93">
            <v>274.96656629024164</v>
          </cell>
          <cell r="CI93">
            <v>320.1883085851992</v>
          </cell>
          <cell r="CJ93">
            <v>328.50820063976494</v>
          </cell>
          <cell r="CK93">
            <v>310.9082869385403</v>
          </cell>
          <cell r="CL93">
            <v>308.90576739094854</v>
          </cell>
          <cell r="CM93">
            <v>351.15096284474254</v>
          </cell>
          <cell r="CN93">
            <v>354.78475876923994</v>
          </cell>
          <cell r="CO93">
            <v>330.03265982786485</v>
          </cell>
          <cell r="CP93">
            <v>326.70835485003823</v>
          </cell>
          <cell r="CQ93">
            <v>380.86434014529772</v>
          </cell>
          <cell r="CR93">
            <v>383.70942118279788</v>
          </cell>
          <cell r="CS93">
            <v>359.06438728123703</v>
          </cell>
          <cell r="CT93">
            <v>351.05463046624044</v>
          </cell>
          <cell r="CU93">
            <v>408.62567213797513</v>
          </cell>
          <cell r="CV93">
            <v>414.80291880603954</v>
          </cell>
          <cell r="CW93">
            <v>387.83097496470913</v>
          </cell>
          <cell r="CX93">
            <v>380.24685942722942</v>
          </cell>
          <cell r="CY93">
            <v>0</v>
          </cell>
          <cell r="CZ93" t="e">
            <v>#VALUE!</v>
          </cell>
          <cell r="DA93" t="e">
            <v>#VALUE!</v>
          </cell>
          <cell r="DB93">
            <v>329.78799999999984</v>
          </cell>
          <cell r="DC93">
            <v>379.31599999999997</v>
          </cell>
          <cell r="DD93">
            <v>446.76396572831732</v>
          </cell>
          <cell r="DE93">
            <v>518.21099999999956</v>
          </cell>
          <cell r="DF93">
            <v>723.54000000000053</v>
          </cell>
          <cell r="DG93">
            <v>1004.0329999999998</v>
          </cell>
          <cell r="DH93">
            <v>1156.4390000000001</v>
          </cell>
          <cell r="DI93">
            <v>992.47400000000039</v>
          </cell>
          <cell r="DJ93">
            <v>1126.511</v>
          </cell>
          <cell r="DK93">
            <v>1321.6410000000005</v>
          </cell>
          <cell r="DL93">
            <v>1232</v>
          </cell>
          <cell r="DM93">
            <v>1119</v>
          </cell>
          <cell r="DN93">
            <v>1216</v>
          </cell>
          <cell r="DO93">
            <v>1186</v>
          </cell>
          <cell r="DP93">
            <v>1370</v>
          </cell>
          <cell r="DQ93">
            <v>908</v>
          </cell>
          <cell r="DR93">
            <v>698</v>
          </cell>
          <cell r="DS93">
            <v>762</v>
          </cell>
          <cell r="DT93">
            <v>1091.9665662902421</v>
          </cell>
          <cell r="DU93">
            <v>1268.5105635544533</v>
          </cell>
          <cell r="DV93">
            <v>1362.6767362918865</v>
          </cell>
          <cell r="DW93">
            <v>1474.6927790755742</v>
          </cell>
          <cell r="DX93">
            <v>1591.5064253359533</v>
          </cell>
          <cell r="DY93">
            <v>0</v>
          </cell>
          <cell r="DZ93">
            <v>0</v>
          </cell>
          <cell r="EA93">
            <v>762</v>
          </cell>
          <cell r="EB93">
            <v>1127</v>
          </cell>
          <cell r="EC93">
            <v>1065.4518026837989</v>
          </cell>
          <cell r="ED93">
            <v>1256.0880505716291</v>
          </cell>
          <cell r="EE93">
            <v>1345.8548939305856</v>
          </cell>
          <cell r="EF93">
            <v>1459.7272361872795</v>
          </cell>
        </row>
        <row r="94">
          <cell r="A94" t="str">
            <v>Pro forma net margin</v>
          </cell>
          <cell r="B94">
            <v>0</v>
          </cell>
          <cell r="C94">
            <v>0</v>
          </cell>
          <cell r="D94">
            <v>0</v>
          </cell>
          <cell r="E94">
            <v>0</v>
          </cell>
          <cell r="F94">
            <v>0</v>
          </cell>
          <cell r="G94">
            <v>0</v>
          </cell>
          <cell r="H94">
            <v>0</v>
          </cell>
          <cell r="I94">
            <v>0</v>
          </cell>
          <cell r="J94">
            <v>0</v>
          </cell>
          <cell r="K94">
            <v>0.23513805594593712</v>
          </cell>
          <cell r="L94">
            <v>0.25361242284360036</v>
          </cell>
          <cell r="M94">
            <v>0.24180624553211896</v>
          </cell>
          <cell r="N94">
            <v>0.24226347431705506</v>
          </cell>
          <cell r="O94">
            <v>0.18545859917328109</v>
          </cell>
          <cell r="P94">
            <v>0.17980658287782209</v>
          </cell>
          <cell r="Q94">
            <v>0.16655604079858163</v>
          </cell>
          <cell r="R94">
            <v>0.17531541662706007</v>
          </cell>
          <cell r="S94">
            <v>0.18192359724280105</v>
          </cell>
          <cell r="T94">
            <v>0.16849904473936853</v>
          </cell>
          <cell r="U94">
            <v>0.1749966635820355</v>
          </cell>
          <cell r="V94">
            <v>0.17268626907361159</v>
          </cell>
          <cell r="W94">
            <v>0.18927858784067578</v>
          </cell>
          <cell r="X94">
            <v>0.16408791189685168</v>
          </cell>
          <cell r="Y94">
            <v>0.17111620658828991</v>
          </cell>
          <cell r="Z94">
            <v>0.18636875335265815</v>
          </cell>
          <cell r="AA94">
            <v>0.18113944141514984</v>
          </cell>
          <cell r="AB94">
            <v>0.19323133018650401</v>
          </cell>
          <cell r="AC94">
            <v>0.21512126141643537</v>
          </cell>
          <cell r="AD94">
            <v>0.20592917753613263</v>
          </cell>
          <cell r="AE94">
            <v>0.21365316520542865</v>
          </cell>
          <cell r="AF94">
            <v>0.20902218431735434</v>
          </cell>
          <cell r="AG94">
            <v>0.21368138792262992</v>
          </cell>
          <cell r="AH94">
            <v>0.22998602298321907</v>
          </cell>
          <cell r="AI94">
            <v>0.25613484752223631</v>
          </cell>
          <cell r="AJ94">
            <v>0.22880792924344701</v>
          </cell>
          <cell r="AK94">
            <v>0.2253079450091644</v>
          </cell>
          <cell r="AL94">
            <v>0.21446809558208646</v>
          </cell>
          <cell r="AM94">
            <v>0.19674882583550057</v>
          </cell>
          <cell r="AN94">
            <v>0.20532404789726977</v>
          </cell>
          <cell r="AO94">
            <v>0.18909602500712483</v>
          </cell>
          <cell r="AP94">
            <v>0.16615693935002068</v>
          </cell>
          <cell r="AQ94">
            <v>0.18462881384044907</v>
          </cell>
          <cell r="AR94">
            <v>0.18272396356582896</v>
          </cell>
          <cell r="AS94">
            <v>0.19080643494616845</v>
          </cell>
          <cell r="AT94">
            <v>0.19989185955696009</v>
          </cell>
          <cell r="AU94">
            <v>0.20650199112678264</v>
          </cell>
          <cell r="AV94">
            <v>0.20432126772595027</v>
          </cell>
          <cell r="AW94">
            <v>0.22761639035068054</v>
          </cell>
          <cell r="AX94">
            <v>0.21406907696175367</v>
          </cell>
          <cell r="AY94">
            <v>0.19736842105263158</v>
          </cell>
          <cell r="AZ94">
            <v>0.19878296146044624</v>
          </cell>
          <cell r="BA94">
            <v>0.21018697614442294</v>
          </cell>
          <cell r="BB94">
            <v>0.21302931596091204</v>
          </cell>
          <cell r="BC94">
            <v>0.19818562456385205</v>
          </cell>
          <cell r="BD94">
            <v>0.17972972972972973</v>
          </cell>
          <cell r="BE94">
            <v>0.16957605985037408</v>
          </cell>
          <cell r="BF94">
            <v>0.17752540346682605</v>
          </cell>
          <cell r="BG94">
            <v>0.18390804597701149</v>
          </cell>
          <cell r="BH94">
            <v>0.17192147531231411</v>
          </cell>
          <cell r="BI94">
            <v>0.18833819241982508</v>
          </cell>
          <cell r="BJ94">
            <v>0.17846519928613921</v>
          </cell>
          <cell r="BK94">
            <v>0.15767386091127097</v>
          </cell>
          <cell r="BL94">
            <v>0.17304296645085343</v>
          </cell>
          <cell r="BM94">
            <v>0.17867113344500279</v>
          </cell>
          <cell r="BN94">
            <v>0.17677345537757438</v>
          </cell>
          <cell r="BO94">
            <v>0.18197776477472205</v>
          </cell>
          <cell r="BP94">
            <v>0.21930360415394012</v>
          </cell>
          <cell r="BQ94">
            <v>0.21524926686217008</v>
          </cell>
          <cell r="BR94">
            <v>0.20181818181818181</v>
          </cell>
          <cell r="BS94">
            <v>0.21454880294659301</v>
          </cell>
          <cell r="BT94">
            <v>0.24375624375624375</v>
          </cell>
          <cell r="BU94">
            <v>0.23505154639175257</v>
          </cell>
          <cell r="BV94">
            <v>0.2185145317545748</v>
          </cell>
          <cell r="BW94">
            <v>0.20065789473684212</v>
          </cell>
          <cell r="BX94">
            <v>0.21633554083885209</v>
          </cell>
          <cell r="BY94">
            <v>0.18921892189218922</v>
          </cell>
          <cell r="BZ94">
            <v>0.16838487972508592</v>
          </cell>
          <cell r="CA94">
            <v>0.20022624434389141</v>
          </cell>
          <cell r="CB94">
            <v>0.18916256157635469</v>
          </cell>
          <cell r="CC94">
            <v>0.19209558823529413</v>
          </cell>
          <cell r="CD94">
            <v>0.15646258503401361</v>
          </cell>
          <cell r="CE94">
            <v>0.17996742671009772</v>
          </cell>
          <cell r="CF94">
            <v>0.21003134796238246</v>
          </cell>
          <cell r="CG94">
            <v>0.26580226904376014</v>
          </cell>
          <cell r="CH94">
            <v>0.22868234448723776</v>
          </cell>
          <cell r="CI94">
            <v>0.26268260895208972</v>
          </cell>
          <cell r="CJ94">
            <v>0.26684091563982443</v>
          </cell>
          <cell r="CK94">
            <v>0.25047759079419435</v>
          </cell>
          <cell r="CL94">
            <v>0.24856289052426261</v>
          </cell>
          <cell r="CM94">
            <v>0.27581442191143962</v>
          </cell>
          <cell r="CN94">
            <v>0.2741813845135978</v>
          </cell>
          <cell r="CO94">
            <v>0.25298647565402466</v>
          </cell>
          <cell r="CP94">
            <v>0.25020829648102461</v>
          </cell>
          <cell r="CQ94">
            <v>0.28591985970665001</v>
          </cell>
          <cell r="CR94">
            <v>0.28389964223761505</v>
          </cell>
          <cell r="CS94">
            <v>0.26394564538774595</v>
          </cell>
          <cell r="CT94">
            <v>0.25827430407764868</v>
          </cell>
          <cell r="CU94">
            <v>0.29487362310550569</v>
          </cell>
          <cell r="CV94">
            <v>0.29497379824729242</v>
          </cell>
          <cell r="CW94">
            <v>0.27402683349079798</v>
          </cell>
          <cell r="CX94">
            <v>0.26896453943632392</v>
          </cell>
          <cell r="CY94">
            <v>0</v>
          </cell>
          <cell r="CZ94" t="e">
            <v>#VALUE!</v>
          </cell>
          <cell r="DA94" t="e">
            <v>#VALUE!</v>
          </cell>
          <cell r="DB94">
            <v>0.24287352368692172</v>
          </cell>
          <cell r="DC94">
            <v>0.17630337216522826</v>
          </cell>
          <cell r="DD94">
            <v>0.17447198859370297</v>
          </cell>
          <cell r="DE94">
            <v>0.17789940349007727</v>
          </cell>
          <cell r="DF94">
            <v>0.20002676091225971</v>
          </cell>
          <cell r="DG94">
            <v>0.21710121881894329</v>
          </cell>
          <cell r="DH94">
            <v>0.23108269100346535</v>
          </cell>
          <cell r="DI94">
            <v>0.18894671772391397</v>
          </cell>
          <cell r="DJ94">
            <v>0.18973810670335742</v>
          </cell>
          <cell r="DK94">
            <v>0.2130173137280533</v>
          </cell>
          <cell r="DL94">
            <v>0.20502579464137127</v>
          </cell>
          <cell r="DM94">
            <v>0.18077544426494346</v>
          </cell>
          <cell r="DN94">
            <v>0.18068350668647845</v>
          </cell>
          <cell r="DO94">
            <v>0.17173472342890239</v>
          </cell>
          <cell r="DP94">
            <v>0.20444709744814207</v>
          </cell>
          <cell r="DQ94">
            <v>0.22779729051680883</v>
          </cell>
          <cell r="DR94">
            <v>0.19388888888888889</v>
          </cell>
          <cell r="DS94">
            <v>0.18304107614700937</v>
          </cell>
          <cell r="DT94">
            <v>0.22102817883269393</v>
          </cell>
          <cell r="DU94">
            <v>0.25709331355800097</v>
          </cell>
          <cell r="DV94">
            <v>0.26319647467717322</v>
          </cell>
          <cell r="DW94">
            <v>0.27292759633639974</v>
          </cell>
          <cell r="DX94">
            <v>0.28313338421503609</v>
          </cell>
          <cell r="DY94">
            <v>0</v>
          </cell>
          <cell r="DZ94">
            <v>0</v>
          </cell>
          <cell r="EA94">
            <v>0.18304107614700937</v>
          </cell>
          <cell r="EB94">
            <v>0.22666934835076427</v>
          </cell>
          <cell r="EC94">
            <v>0.22109077800685534</v>
          </cell>
          <cell r="ED94">
            <v>0.24205380745098234</v>
          </cell>
          <cell r="EE94">
            <v>0.24937763436407748</v>
          </cell>
          <cell r="EF94">
            <v>0.26166765236953932</v>
          </cell>
        </row>
        <row r="95">
          <cell r="A95">
            <v>0</v>
          </cell>
          <cell r="B95">
            <v>0</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cell r="CE95">
            <v>0</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0</v>
          </cell>
          <cell r="DM95">
            <v>0</v>
          </cell>
          <cell r="DN95">
            <v>0</v>
          </cell>
          <cell r="DO95">
            <v>0</v>
          </cell>
          <cell r="DP95">
            <v>0</v>
          </cell>
          <cell r="DQ95">
            <v>0</v>
          </cell>
          <cell r="DR95">
            <v>0</v>
          </cell>
          <cell r="DS95">
            <v>0</v>
          </cell>
          <cell r="DT95">
            <v>0</v>
          </cell>
          <cell r="DU95">
            <v>0</v>
          </cell>
          <cell r="DV95">
            <v>0</v>
          </cell>
          <cell r="DW95">
            <v>0</v>
          </cell>
          <cell r="DX95">
            <v>0</v>
          </cell>
          <cell r="DY95">
            <v>0</v>
          </cell>
          <cell r="DZ95">
            <v>0</v>
          </cell>
          <cell r="EA95">
            <v>0</v>
          </cell>
          <cell r="EB95">
            <v>0</v>
          </cell>
          <cell r="EC95">
            <v>0</v>
          </cell>
          <cell r="ED95">
            <v>0</v>
          </cell>
          <cell r="EE95">
            <v>0</v>
          </cell>
          <cell r="EF95">
            <v>0</v>
          </cell>
        </row>
        <row r="96">
          <cell r="A96" t="str">
            <v>Pro forma pretax income</v>
          </cell>
          <cell r="B96">
            <v>0</v>
          </cell>
          <cell r="C96">
            <v>0</v>
          </cell>
          <cell r="D96">
            <v>0</v>
          </cell>
          <cell r="E96">
            <v>0</v>
          </cell>
          <cell r="F96">
            <v>0</v>
          </cell>
          <cell r="G96">
            <v>0</v>
          </cell>
          <cell r="H96">
            <v>0</v>
          </cell>
          <cell r="I96">
            <v>0</v>
          </cell>
          <cell r="J96">
            <v>0</v>
          </cell>
          <cell r="K96">
            <v>63.762999999999991</v>
          </cell>
          <cell r="L96">
            <v>72.03300000000003</v>
          </cell>
          <cell r="M96">
            <v>147.69200000000001</v>
          </cell>
          <cell r="N96">
            <v>163.13699999999994</v>
          </cell>
          <cell r="O96">
            <v>137.80799999999994</v>
          </cell>
          <cell r="P96">
            <v>144.36100000000005</v>
          </cell>
          <cell r="Q96">
            <v>157.82800000000003</v>
          </cell>
          <cell r="R96">
            <v>178.66200000000003</v>
          </cell>
          <cell r="S96">
            <v>179.58500000000004</v>
          </cell>
          <cell r="T96">
            <v>166.565</v>
          </cell>
          <cell r="U96">
            <v>165.93300000000005</v>
          </cell>
          <cell r="V96">
            <v>174.29600000000005</v>
          </cell>
          <cell r="W96">
            <v>193.42700000000002</v>
          </cell>
          <cell r="X96">
            <v>168.91599999999997</v>
          </cell>
          <cell r="Y96">
            <v>187.07499999999996</v>
          </cell>
          <cell r="Z96">
            <v>218.33800000000002</v>
          </cell>
          <cell r="AA96">
            <v>207.83099999999996</v>
          </cell>
          <cell r="AB96">
            <v>239.09</v>
          </cell>
          <cell r="AC96">
            <v>295.90499999999992</v>
          </cell>
          <cell r="AD96">
            <v>322.36500000000001</v>
          </cell>
          <cell r="AE96">
            <v>327.27999999999986</v>
          </cell>
          <cell r="AF96">
            <v>338.49799999999993</v>
          </cell>
          <cell r="AG96">
            <v>379.54399999999998</v>
          </cell>
          <cell r="AH96">
            <v>436.65899999999999</v>
          </cell>
          <cell r="AI96">
            <v>458.63799999999998</v>
          </cell>
          <cell r="AJ96">
            <v>395.31999999999988</v>
          </cell>
          <cell r="AK96">
            <v>405.26600000000008</v>
          </cell>
          <cell r="AL96">
            <v>419.42699999999996</v>
          </cell>
          <cell r="AM96">
            <v>340.80700000000007</v>
          </cell>
          <cell r="AN96">
            <v>322.23800000000017</v>
          </cell>
          <cell r="AO96">
            <v>323.97899999999998</v>
          </cell>
          <cell r="AP96">
            <v>296.71299999999991</v>
          </cell>
          <cell r="AQ96">
            <v>340.0259999999999</v>
          </cell>
          <cell r="AR96">
            <v>335.08500000000015</v>
          </cell>
          <cell r="AS96">
            <v>387.01200000000011</v>
          </cell>
          <cell r="AT96">
            <v>399.45699999999999</v>
          </cell>
          <cell r="AU96">
            <v>443.79200000000014</v>
          </cell>
          <cell r="AV96">
            <v>388.22199999999998</v>
          </cell>
          <cell r="AW96">
            <v>462.79000000000008</v>
          </cell>
          <cell r="AX96">
            <v>401.53599999999989</v>
          </cell>
          <cell r="AY96">
            <v>348</v>
          </cell>
          <cell r="AZ96">
            <v>384</v>
          </cell>
          <cell r="BA96">
            <v>386</v>
          </cell>
          <cell r="BB96">
            <v>392</v>
          </cell>
          <cell r="BC96">
            <v>337</v>
          </cell>
          <cell r="BD96">
            <v>330</v>
          </cell>
          <cell r="BE96">
            <v>324</v>
          </cell>
          <cell r="BF96">
            <v>350</v>
          </cell>
          <cell r="BG96">
            <v>374</v>
          </cell>
          <cell r="BH96">
            <v>362</v>
          </cell>
          <cell r="BI96">
            <v>401</v>
          </cell>
          <cell r="BJ96">
            <v>347</v>
          </cell>
          <cell r="BK96">
            <v>318</v>
          </cell>
          <cell r="BL96">
            <v>361</v>
          </cell>
          <cell r="BM96">
            <v>397</v>
          </cell>
          <cell r="BN96">
            <v>362</v>
          </cell>
          <cell r="BO96">
            <v>387</v>
          </cell>
          <cell r="BP96">
            <v>415</v>
          </cell>
          <cell r="BQ96">
            <v>457</v>
          </cell>
          <cell r="BR96">
            <v>396</v>
          </cell>
          <cell r="BS96">
            <v>296</v>
          </cell>
          <cell r="BT96">
            <v>309</v>
          </cell>
          <cell r="BU96">
            <v>285</v>
          </cell>
          <cell r="BV96">
            <v>246</v>
          </cell>
          <cell r="BW96">
            <v>219</v>
          </cell>
          <cell r="BX96">
            <v>227</v>
          </cell>
          <cell r="BY96">
            <v>202</v>
          </cell>
          <cell r="BZ96">
            <v>162</v>
          </cell>
          <cell r="CA96">
            <v>195</v>
          </cell>
          <cell r="CB96">
            <v>185</v>
          </cell>
          <cell r="CC96">
            <v>197</v>
          </cell>
          <cell r="CD96">
            <v>51</v>
          </cell>
          <cell r="CE96">
            <v>167</v>
          </cell>
          <cell r="CF96">
            <v>204</v>
          </cell>
          <cell r="CG96">
            <v>298</v>
          </cell>
          <cell r="CH96">
            <v>226.66652916471463</v>
          </cell>
          <cell r="CI96">
            <v>346.93734356964057</v>
          </cell>
          <cell r="CJ96">
            <v>357.54226944027545</v>
          </cell>
          <cell r="CK96">
            <v>335.23347326328883</v>
          </cell>
          <cell r="CL96">
            <v>333.21775096337279</v>
          </cell>
          <cell r="CM96">
            <v>386.17730441468922</v>
          </cell>
          <cell r="CN96">
            <v>390.42708283794462</v>
          </cell>
          <cell r="CO96">
            <v>359.01353163782318</v>
          </cell>
          <cell r="CP96">
            <v>355.33698081968913</v>
          </cell>
          <cell r="CQ96">
            <v>423.71962675947935</v>
          </cell>
          <cell r="CR96">
            <v>427.06781676518153</v>
          </cell>
          <cell r="CS96">
            <v>395.89203930919115</v>
          </cell>
          <cell r="CT96">
            <v>386.35474247000849</v>
          </cell>
          <cell r="CU96">
            <v>459.12618200301125</v>
          </cell>
          <cell r="CV96">
            <v>466.711257354819</v>
          </cell>
          <cell r="CW96">
            <v>432.57527354718377</v>
          </cell>
          <cell r="CX96">
            <v>423.59580989207285</v>
          </cell>
          <cell r="CY96">
            <v>0</v>
          </cell>
          <cell r="CZ96" t="e">
            <v>#VALUE!</v>
          </cell>
          <cell r="DA96" t="e">
            <v>#VALUE!</v>
          </cell>
          <cell r="DB96">
            <v>446.62499999999983</v>
          </cell>
          <cell r="DC96">
            <v>618.65899999999999</v>
          </cell>
          <cell r="DD96">
            <v>686.37900000000047</v>
          </cell>
          <cell r="DE96">
            <v>767.75599999999952</v>
          </cell>
          <cell r="DF96">
            <v>1065.1910000000005</v>
          </cell>
          <cell r="DG96">
            <v>1481.9809999999998</v>
          </cell>
          <cell r="DH96">
            <v>1678.6510000000001</v>
          </cell>
          <cell r="DI96">
            <v>1283.7370000000005</v>
          </cell>
          <cell r="DJ96">
            <v>1461.5800000000004</v>
          </cell>
          <cell r="DK96">
            <v>1696.3400000000006</v>
          </cell>
          <cell r="DL96">
            <v>1510</v>
          </cell>
          <cell r="DM96">
            <v>1341</v>
          </cell>
          <cell r="DN96">
            <v>1484</v>
          </cell>
          <cell r="DO96">
            <v>1438</v>
          </cell>
          <cell r="DP96">
            <v>1655</v>
          </cell>
          <cell r="DQ96">
            <v>1136</v>
          </cell>
          <cell r="DR96">
            <v>810</v>
          </cell>
          <cell r="DS96">
            <v>628</v>
          </cell>
          <cell r="DT96">
            <v>895.66652916471492</v>
          </cell>
          <cell r="DU96">
            <v>1372.9308372365779</v>
          </cell>
          <cell r="DV96">
            <v>1490.9548997101472</v>
          </cell>
          <cell r="DW96">
            <v>1633.0342253038616</v>
          </cell>
          <cell r="DX96">
            <v>1782.0085227970869</v>
          </cell>
          <cell r="DY96">
            <v>0</v>
          </cell>
          <cell r="DZ96">
            <v>0</v>
          </cell>
          <cell r="EA96">
            <v>628</v>
          </cell>
          <cell r="EB96">
            <v>916</v>
          </cell>
          <cell r="EC96">
            <v>1101.2403925419751</v>
          </cell>
          <cell r="ED96">
            <v>1344.5012653969011</v>
          </cell>
          <cell r="EE96">
            <v>1458.3596078208629</v>
          </cell>
          <cell r="EF96">
            <v>1604.2320892624348</v>
          </cell>
        </row>
        <row r="97">
          <cell r="A97" t="str">
            <v>Convertible Interest (net of tax)</v>
          </cell>
          <cell r="B97">
            <v>0</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3.6039878739346793</v>
          </cell>
          <cell r="V97">
            <v>3.6039778543821162</v>
          </cell>
          <cell r="W97">
            <v>3.6</v>
          </cell>
          <cell r="X97">
            <v>3.6040000000000001</v>
          </cell>
          <cell r="Y97">
            <v>3.6039999999999996</v>
          </cell>
          <cell r="Z97">
            <v>3.6039999999999996</v>
          </cell>
          <cell r="AA97">
            <v>3.6040000000000001</v>
          </cell>
          <cell r="AB97">
            <v>3.6039999999999996</v>
          </cell>
          <cell r="AC97">
            <v>3.6040000000000001</v>
          </cell>
          <cell r="AD97">
            <v>3.6039999999999996</v>
          </cell>
          <cell r="AE97">
            <v>3.6039999999999996</v>
          </cell>
          <cell r="AF97">
            <v>3.6039999999999996</v>
          </cell>
          <cell r="AG97">
            <v>1.2</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7.2079657283167951</v>
          </cell>
          <cell r="DE97">
            <v>14.411999999999999</v>
          </cell>
          <cell r="DF97">
            <v>14.416</v>
          </cell>
          <cell r="DG97">
            <v>8.4079999999999995</v>
          </cell>
          <cell r="DH97">
            <v>0</v>
          </cell>
          <cell r="DI97">
            <v>0</v>
          </cell>
          <cell r="DJ97">
            <v>0</v>
          </cell>
          <cell r="DK97">
            <v>0</v>
          </cell>
          <cell r="DL97">
            <v>0</v>
          </cell>
          <cell r="DM97">
            <v>0</v>
          </cell>
          <cell r="DN97">
            <v>0</v>
          </cell>
          <cell r="DO97">
            <v>0</v>
          </cell>
          <cell r="DP97">
            <v>0</v>
          </cell>
          <cell r="DQ97">
            <v>0</v>
          </cell>
          <cell r="DR97">
            <v>0</v>
          </cell>
          <cell r="DS97">
            <v>0</v>
          </cell>
          <cell r="DT97">
            <v>0</v>
          </cell>
          <cell r="DU97">
            <v>0</v>
          </cell>
          <cell r="DV97">
            <v>0</v>
          </cell>
          <cell r="DW97">
            <v>0</v>
          </cell>
          <cell r="DX97">
            <v>0</v>
          </cell>
          <cell r="DY97">
            <v>0</v>
          </cell>
          <cell r="DZ97">
            <v>0</v>
          </cell>
          <cell r="EA97">
            <v>0</v>
          </cell>
          <cell r="EB97">
            <v>0</v>
          </cell>
          <cell r="EC97">
            <v>0</v>
          </cell>
          <cell r="ED97">
            <v>0</v>
          </cell>
          <cell r="EE97">
            <v>0</v>
          </cell>
          <cell r="EF97">
            <v>0</v>
          </cell>
        </row>
        <row r="98">
          <cell r="A98" t="str">
            <v>Pro forma taxes</v>
          </cell>
          <cell r="B98">
            <v>0</v>
          </cell>
          <cell r="C98">
            <v>0</v>
          </cell>
          <cell r="D98">
            <v>0</v>
          </cell>
          <cell r="E98">
            <v>0</v>
          </cell>
          <cell r="F98">
            <v>0</v>
          </cell>
          <cell r="G98">
            <v>0</v>
          </cell>
          <cell r="H98">
            <v>0</v>
          </cell>
          <cell r="I98">
            <v>0</v>
          </cell>
          <cell r="J98">
            <v>0</v>
          </cell>
          <cell r="K98">
            <v>13.067</v>
          </cell>
          <cell r="L98">
            <v>14.675000000000001</v>
          </cell>
          <cell r="M98">
            <v>40.802999999999997</v>
          </cell>
          <cell r="N98">
            <v>48.292000000000002</v>
          </cell>
          <cell r="O98">
            <v>50.632999999999996</v>
          </cell>
          <cell r="P98">
            <v>54.131</v>
          </cell>
          <cell r="Q98">
            <v>64.733000000000004</v>
          </cell>
          <cell r="R98">
            <v>69.846000000000004</v>
          </cell>
          <cell r="S98">
            <v>66.625</v>
          </cell>
          <cell r="T98">
            <v>60.906999999999996</v>
          </cell>
          <cell r="U98">
            <v>58.754999999999995</v>
          </cell>
          <cell r="V98">
            <v>60.536000000000001</v>
          </cell>
          <cell r="W98">
            <v>66.787999999999997</v>
          </cell>
          <cell r="X98">
            <v>59.268000000000001</v>
          </cell>
          <cell r="Y98">
            <v>63.962999999999994</v>
          </cell>
          <cell r="Z98">
            <v>73.937999999999988</v>
          </cell>
          <cell r="AA98">
            <v>69.918000000000006</v>
          </cell>
          <cell r="AB98">
            <v>80.953000000000003</v>
          </cell>
          <cell r="AC98">
            <v>97.180999999999997</v>
          </cell>
          <cell r="AD98">
            <v>108.015</v>
          </cell>
          <cell r="AE98">
            <v>108.176</v>
          </cell>
          <cell r="AF98">
            <v>111.47799999999999</v>
          </cell>
          <cell r="AG98">
            <v>126.06099999999999</v>
          </cell>
          <cell r="AH98">
            <v>140.64099999999999</v>
          </cell>
          <cell r="AI98">
            <v>136.113</v>
          </cell>
          <cell r="AJ98">
            <v>122.548</v>
          </cell>
          <cell r="AK98">
            <v>122.904</v>
          </cell>
          <cell r="AL98">
            <v>140.64699999999999</v>
          </cell>
          <cell r="AM98">
            <v>124.184</v>
          </cell>
          <cell r="AN98">
            <v>106.59099999999999</v>
          </cell>
          <cell r="AO98">
            <v>109.29</v>
          </cell>
          <cell r="AP98">
            <v>105.038</v>
          </cell>
          <cell r="AQ98">
            <v>118.072</v>
          </cell>
          <cell r="AR98">
            <v>113.43900000000001</v>
          </cell>
          <cell r="AS98">
            <v>134.684</v>
          </cell>
          <cell r="AT98">
            <v>132.56900000000002</v>
          </cell>
          <cell r="AU98">
            <v>146.85900000000001</v>
          </cell>
          <cell r="AV98">
            <v>121.693</v>
          </cell>
          <cell r="AW98">
            <v>146.20599999999999</v>
          </cell>
          <cell r="AX98">
            <v>117.405</v>
          </cell>
          <cell r="AY98">
            <v>112</v>
          </cell>
          <cell r="AZ98">
            <v>126</v>
          </cell>
          <cell r="BA98">
            <v>99</v>
          </cell>
          <cell r="BB98">
            <v>96</v>
          </cell>
          <cell r="BC98">
            <v>88</v>
          </cell>
          <cell r="BD98">
            <v>100</v>
          </cell>
          <cell r="BE98">
            <v>89</v>
          </cell>
          <cell r="BF98">
            <v>90</v>
          </cell>
          <cell r="BG98">
            <v>109</v>
          </cell>
          <cell r="BH98">
            <v>111</v>
          </cell>
          <cell r="BI98">
            <v>124</v>
          </cell>
          <cell r="BJ98">
            <v>88</v>
          </cell>
          <cell r="BK98">
            <v>93</v>
          </cell>
          <cell r="BL98">
            <v>112</v>
          </cell>
          <cell r="BM98">
            <v>119</v>
          </cell>
          <cell r="BN98">
            <v>92</v>
          </cell>
          <cell r="BO98">
            <v>115</v>
          </cell>
          <cell r="BP98">
            <v>94</v>
          </cell>
          <cell r="BQ98">
            <v>124</v>
          </cell>
          <cell r="BR98">
            <v>96.979591836734699</v>
          </cell>
          <cell r="BS98">
            <v>81.146417445482854</v>
          </cell>
          <cell r="BT98">
            <v>84.607142857142861</v>
          </cell>
          <cell r="BU98">
            <v>78.714285714285722</v>
          </cell>
          <cell r="BV98">
            <v>67.650000000000006</v>
          </cell>
          <cell r="BW98">
            <v>59.964285714285722</v>
          </cell>
          <cell r="BX98">
            <v>62.214814814814815</v>
          </cell>
          <cell r="BY98">
            <v>55.400843881856538</v>
          </cell>
          <cell r="BZ98">
            <v>44.10891089108911</v>
          </cell>
          <cell r="CA98">
            <v>53.545081967213122</v>
          </cell>
          <cell r="CB98">
            <v>53.444444444444443</v>
          </cell>
          <cell r="CC98">
            <v>56.955782312925166</v>
          </cell>
          <cell r="CD98">
            <v>14.907692307692308</v>
          </cell>
          <cell r="CE98">
            <v>49.461783439490446</v>
          </cell>
          <cell r="CF98">
            <v>60.126315789473679</v>
          </cell>
          <cell r="CG98">
            <v>66.926713947990535</v>
          </cell>
          <cell r="CH98">
            <v>61.199962874472952</v>
          </cell>
          <cell r="CI98">
            <v>74.591528867472718</v>
          </cell>
          <cell r="CJ98">
            <v>76.871587929659214</v>
          </cell>
          <cell r="CK98">
            <v>72.075196751607095</v>
          </cell>
          <cell r="CL98">
            <v>71.641816457125145</v>
          </cell>
          <cell r="CM98">
            <v>83.02812044915818</v>
          </cell>
          <cell r="CN98">
            <v>83.941822810158087</v>
          </cell>
          <cell r="CO98">
            <v>77.187909302131985</v>
          </cell>
          <cell r="CP98">
            <v>76.397450876233165</v>
          </cell>
          <cell r="CQ98">
            <v>91.099719753288056</v>
          </cell>
          <cell r="CR98">
            <v>91.81958060451403</v>
          </cell>
          <cell r="CS98">
            <v>85.116788451476097</v>
          </cell>
          <cell r="CT98">
            <v>83.066269631051824</v>
          </cell>
          <cell r="CU98">
            <v>98.712129130647412</v>
          </cell>
          <cell r="CV98">
            <v>100.34292033128608</v>
          </cell>
          <cell r="CW98">
            <v>93.00368381264451</v>
          </cell>
          <cell r="CX98">
            <v>91.073099126795668</v>
          </cell>
          <cell r="CY98">
            <v>0</v>
          </cell>
          <cell r="CZ98">
            <v>0</v>
          </cell>
          <cell r="DA98">
            <v>0</v>
          </cell>
          <cell r="DB98">
            <v>116.837</v>
          </cell>
          <cell r="DC98">
            <v>239.34300000000002</v>
          </cell>
          <cell r="DD98">
            <v>246.82299999999998</v>
          </cell>
          <cell r="DE98">
            <v>263.95699999999999</v>
          </cell>
          <cell r="DF98">
            <v>356.06700000000001</v>
          </cell>
          <cell r="DG98">
            <v>486.35599999999999</v>
          </cell>
          <cell r="DH98">
            <v>522.21199999999999</v>
          </cell>
          <cell r="DI98">
            <v>445.10300000000001</v>
          </cell>
          <cell r="DJ98">
            <v>498.76400000000007</v>
          </cell>
          <cell r="DK98">
            <v>532.16300000000001</v>
          </cell>
          <cell r="DL98">
            <v>433</v>
          </cell>
          <cell r="DM98">
            <v>367</v>
          </cell>
          <cell r="DN98">
            <v>432</v>
          </cell>
          <cell r="DO98">
            <v>416</v>
          </cell>
          <cell r="DP98">
            <v>429.9795918367347</v>
          </cell>
          <cell r="DQ98">
            <v>312.11784601691147</v>
          </cell>
          <cell r="DR98">
            <v>221.68885530204619</v>
          </cell>
          <cell r="DS98">
            <v>178.85300103227505</v>
          </cell>
          <cell r="DT98">
            <v>237.71477605142761</v>
          </cell>
          <cell r="DU98">
            <v>295.18013000586416</v>
          </cell>
          <cell r="DV98">
            <v>320.5553034376814</v>
          </cell>
          <cell r="DW98">
            <v>351.10235844033002</v>
          </cell>
          <cell r="DX98">
            <v>383.13183240137369</v>
          </cell>
          <cell r="DY98">
            <v>0</v>
          </cell>
          <cell r="DZ98">
            <v>0</v>
          </cell>
          <cell r="EA98">
            <v>178.85300103227505</v>
          </cell>
          <cell r="EB98">
            <v>240.33299499513646</v>
          </cell>
          <cell r="EC98">
            <v>224.65304007856287</v>
          </cell>
          <cell r="ED98">
            <v>282.34526573334915</v>
          </cell>
          <cell r="EE98">
            <v>306.25551764238128</v>
          </cell>
          <cell r="EF98">
            <v>336.8887387451112</v>
          </cell>
        </row>
        <row r="99">
          <cell r="A99" t="str">
            <v>Effective tax rate</v>
          </cell>
          <cell r="B99">
            <v>0</v>
          </cell>
          <cell r="C99">
            <v>0</v>
          </cell>
          <cell r="D99">
            <v>0</v>
          </cell>
          <cell r="E99">
            <v>0</v>
          </cell>
          <cell r="F99">
            <v>0</v>
          </cell>
          <cell r="G99">
            <v>0</v>
          </cell>
          <cell r="H99">
            <v>0</v>
          </cell>
          <cell r="I99">
            <v>0</v>
          </cell>
          <cell r="J99">
            <v>0</v>
          </cell>
          <cell r="K99">
            <v>0.20493075921772819</v>
          </cell>
          <cell r="L99">
            <v>0.20372606999569634</v>
          </cell>
          <cell r="M99">
            <v>0.27627088806435013</v>
          </cell>
          <cell r="N99">
            <v>0.29602113560994758</v>
          </cell>
          <cell r="O99">
            <v>0.36741698595146882</v>
          </cell>
          <cell r="P99">
            <v>0.37496969403093622</v>
          </cell>
          <cell r="Q99">
            <v>0.41014902298704914</v>
          </cell>
          <cell r="R99">
            <v>0.39093931557913819</v>
          </cell>
          <cell r="S99">
            <v>0.37099423671242021</v>
          </cell>
          <cell r="T99">
            <v>0.36566505568396718</v>
          </cell>
          <cell r="U99">
            <v>0.35408869845057933</v>
          </cell>
          <cell r="V99">
            <v>0.34731720750906497</v>
          </cell>
          <cell r="W99">
            <v>0.34528788638607844</v>
          </cell>
          <cell r="X99">
            <v>0.35087262307892686</v>
          </cell>
          <cell r="Y99">
            <v>0.34191099826272892</v>
          </cell>
          <cell r="Z99">
            <v>0.33864009013547791</v>
          </cell>
          <cell r="AA99">
            <v>0.33641757004489231</v>
          </cell>
          <cell r="AB99">
            <v>0.33858797942197499</v>
          </cell>
          <cell r="AC99">
            <v>0.32841959412649341</v>
          </cell>
          <cell r="AD99">
            <v>0.33507049462565724</v>
          </cell>
          <cell r="AE99">
            <v>0.33053043265705223</v>
          </cell>
          <cell r="AF99">
            <v>0.32933134021471328</v>
          </cell>
          <cell r="AG99">
            <v>0.33213803933140823</v>
          </cell>
          <cell r="AH99">
            <v>0.32208428086905339</v>
          </cell>
          <cell r="AI99">
            <v>0.29677654271996651</v>
          </cell>
          <cell r="AJ99">
            <v>0.3099969644844684</v>
          </cell>
          <cell r="AK99">
            <v>0.30326748357868655</v>
          </cell>
          <cell r="AL99">
            <v>0.33533129722216265</v>
          </cell>
          <cell r="AM99">
            <v>0.36438218698559588</v>
          </cell>
          <cell r="AN99">
            <v>0.33078345818928845</v>
          </cell>
          <cell r="AO99">
            <v>0.33733667922920935</v>
          </cell>
          <cell r="AP99">
            <v>0.35400538567572043</v>
          </cell>
          <cell r="AQ99">
            <v>0.34724403427973166</v>
          </cell>
          <cell r="AR99">
            <v>0.33853798289986109</v>
          </cell>
          <cell r="AS99">
            <v>0.34800988083056844</v>
          </cell>
          <cell r="AT99">
            <v>0.33187301762142113</v>
          </cell>
          <cell r="AU99">
            <v>0.33091853841439223</v>
          </cell>
          <cell r="AV99">
            <v>0.31346240037916451</v>
          </cell>
          <cell r="AW99">
            <v>0.31592298882862629</v>
          </cell>
          <cell r="AX99">
            <v>0.29238972346190634</v>
          </cell>
          <cell r="AY99">
            <v>0.32183908045977011</v>
          </cell>
          <cell r="AZ99">
            <v>0.328125</v>
          </cell>
          <cell r="BA99">
            <v>0.25647668393782386</v>
          </cell>
          <cell r="BB99">
            <v>0.24489795918367346</v>
          </cell>
          <cell r="BC99">
            <v>0.26112759643916916</v>
          </cell>
          <cell r="BD99">
            <v>0.30303030303030304</v>
          </cell>
          <cell r="BE99">
            <v>0.27469135802469136</v>
          </cell>
          <cell r="BF99">
            <v>0.25714285714285712</v>
          </cell>
          <cell r="BG99">
            <v>0.29144385026737968</v>
          </cell>
          <cell r="BH99">
            <v>0.30662983425414364</v>
          </cell>
          <cell r="BI99">
            <v>0.30922693266832918</v>
          </cell>
          <cell r="BJ99">
            <v>0.25360230547550433</v>
          </cell>
          <cell r="BK99">
            <v>0.29245283018867924</v>
          </cell>
          <cell r="BL99">
            <v>0.31024930747922436</v>
          </cell>
          <cell r="BM99">
            <v>0.29974811083123426</v>
          </cell>
          <cell r="BN99">
            <v>0.2541436464088398</v>
          </cell>
          <cell r="BO99">
            <v>0.29715762273901808</v>
          </cell>
          <cell r="BP99">
            <v>0.22650602409638554</v>
          </cell>
          <cell r="BQ99">
            <v>0.2713347921225383</v>
          </cell>
          <cell r="BR99">
            <v>0.24489795918367346</v>
          </cell>
          <cell r="BS99">
            <v>0.27414330218068533</v>
          </cell>
          <cell r="BT99">
            <v>0.27380952380952384</v>
          </cell>
          <cell r="BU99">
            <v>0.27619047619047621</v>
          </cell>
          <cell r="BV99">
            <v>0.27500000000000002</v>
          </cell>
          <cell r="BW99">
            <v>0.27380952380952384</v>
          </cell>
          <cell r="BX99">
            <v>0.27407407407407408</v>
          </cell>
          <cell r="BY99">
            <v>0.27426160337552741</v>
          </cell>
          <cell r="BZ99">
            <v>0.2722772277227723</v>
          </cell>
          <cell r="CA99">
            <v>0.27459016393442626</v>
          </cell>
          <cell r="CB99">
            <v>0.28888888888888886</v>
          </cell>
          <cell r="CC99">
            <v>0.28911564625850339</v>
          </cell>
          <cell r="CD99">
            <v>0.29230769230769232</v>
          </cell>
          <cell r="CE99">
            <v>0.29617834394904458</v>
          </cell>
          <cell r="CF99">
            <v>0.29473684210526313</v>
          </cell>
          <cell r="CG99">
            <v>0.22458628841607564</v>
          </cell>
          <cell r="CH99">
            <v>0.27</v>
          </cell>
          <cell r="CI99">
            <v>0.215</v>
          </cell>
          <cell r="CJ99">
            <v>0.215</v>
          </cell>
          <cell r="CK99">
            <v>0.215</v>
          </cell>
          <cell r="CL99">
            <v>0.215</v>
          </cell>
          <cell r="CM99">
            <v>0.215</v>
          </cell>
          <cell r="CN99">
            <v>0.215</v>
          </cell>
          <cell r="CO99">
            <v>0.215</v>
          </cell>
          <cell r="CP99">
            <v>0.215</v>
          </cell>
          <cell r="CQ99">
            <v>0.215</v>
          </cell>
          <cell r="CR99">
            <v>0.215</v>
          </cell>
          <cell r="CS99">
            <v>0.215</v>
          </cell>
          <cell r="CT99">
            <v>0.215</v>
          </cell>
          <cell r="CU99">
            <v>0.215</v>
          </cell>
          <cell r="CV99">
            <v>0.215</v>
          </cell>
          <cell r="CW99">
            <v>0.215</v>
          </cell>
          <cell r="CX99">
            <v>0.215</v>
          </cell>
          <cell r="CY99">
            <v>0</v>
          </cell>
          <cell r="CZ99">
            <v>0</v>
          </cell>
          <cell r="DA99">
            <v>0</v>
          </cell>
          <cell r="DB99">
            <v>0</v>
          </cell>
          <cell r="DC99">
            <v>0.38687386751021163</v>
          </cell>
          <cell r="DD99">
            <v>0.35960161951341724</v>
          </cell>
          <cell r="DE99">
            <v>0.34380323957090553</v>
          </cell>
          <cell r="DF99">
            <v>0.33427526143198716</v>
          </cell>
          <cell r="DG99">
            <v>0.3281796460278506</v>
          </cell>
          <cell r="DH99">
            <v>0.31109027427380676</v>
          </cell>
          <cell r="DI99">
            <v>0.34672444589507029</v>
          </cell>
          <cell r="DJ99">
            <v>0.34124988026656078</v>
          </cell>
          <cell r="DK99">
            <v>0.31371246330334712</v>
          </cell>
          <cell r="DL99">
            <v>0.2867549668874172</v>
          </cell>
          <cell r="DM99">
            <v>0.27367636092468306</v>
          </cell>
          <cell r="DN99">
            <v>0.29110512129380056</v>
          </cell>
          <cell r="DO99">
            <v>0.28929068150208626</v>
          </cell>
          <cell r="DP99">
            <v>0.25980639990135029</v>
          </cell>
          <cell r="DQ99">
            <v>0.27475162501488687</v>
          </cell>
          <cell r="DR99">
            <v>0.27368994481734099</v>
          </cell>
          <cell r="DS99">
            <v>0.28479777234438702</v>
          </cell>
          <cell r="DT99">
            <v>0.26540544757558021</v>
          </cell>
          <cell r="DU99">
            <v>0.21499999999999994</v>
          </cell>
          <cell r="DV99">
            <v>0.21499999999999983</v>
          </cell>
          <cell r="DW99">
            <v>0.21499999999999986</v>
          </cell>
          <cell r="DX99">
            <v>0.215</v>
          </cell>
          <cell r="DY99">
            <v>0</v>
          </cell>
          <cell r="DZ99">
            <v>0</v>
          </cell>
          <cell r="EA99">
            <v>0.28479777234438702</v>
          </cell>
          <cell r="EB99">
            <v>0.26237226527853325</v>
          </cell>
          <cell r="EC99">
            <v>0.20399999999999996</v>
          </cell>
          <cell r="ED99">
            <v>0.20999999999999994</v>
          </cell>
          <cell r="EE99">
            <v>0.21000000000000005</v>
          </cell>
          <cell r="EF99">
            <v>0.20999999999999994</v>
          </cell>
        </row>
        <row r="100">
          <cell r="A100">
            <v>0</v>
          </cell>
          <cell r="B100">
            <v>0</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0</v>
          </cell>
          <cell r="DE100">
            <v>0</v>
          </cell>
          <cell r="DF100">
            <v>0</v>
          </cell>
          <cell r="DG100">
            <v>0</v>
          </cell>
          <cell r="DH100">
            <v>0</v>
          </cell>
          <cell r="DI100">
            <v>0</v>
          </cell>
          <cell r="DJ100">
            <v>0</v>
          </cell>
          <cell r="DK100">
            <v>0</v>
          </cell>
          <cell r="DL100">
            <v>0</v>
          </cell>
          <cell r="DM100">
            <v>0</v>
          </cell>
          <cell r="DN100">
            <v>0</v>
          </cell>
          <cell r="DO100">
            <v>0</v>
          </cell>
          <cell r="DP100">
            <v>0</v>
          </cell>
          <cell r="DQ100">
            <v>0</v>
          </cell>
          <cell r="DR100">
            <v>0</v>
          </cell>
          <cell r="DS100">
            <v>0</v>
          </cell>
          <cell r="DT100">
            <v>0</v>
          </cell>
          <cell r="DU100">
            <v>0</v>
          </cell>
          <cell r="DV100">
            <v>0</v>
          </cell>
          <cell r="DW100">
            <v>0</v>
          </cell>
          <cell r="DX100">
            <v>0</v>
          </cell>
          <cell r="DY100">
            <v>0</v>
          </cell>
          <cell r="DZ100">
            <v>0</v>
          </cell>
          <cell r="EA100">
            <v>0</v>
          </cell>
          <cell r="EB100">
            <v>0</v>
          </cell>
          <cell r="EC100">
            <v>0</v>
          </cell>
          <cell r="ED100">
            <v>0</v>
          </cell>
          <cell r="EE100">
            <v>0</v>
          </cell>
          <cell r="EF100">
            <v>0</v>
          </cell>
        </row>
        <row r="101">
          <cell r="A101" t="str">
            <v>Pro forma net income</v>
          </cell>
          <cell r="B101">
            <v>0</v>
          </cell>
          <cell r="C101">
            <v>0</v>
          </cell>
          <cell r="D101">
            <v>0</v>
          </cell>
          <cell r="E101">
            <v>0</v>
          </cell>
          <cell r="F101">
            <v>0</v>
          </cell>
          <cell r="G101">
            <v>0</v>
          </cell>
          <cell r="H101">
            <v>0</v>
          </cell>
          <cell r="I101">
            <v>0</v>
          </cell>
          <cell r="J101">
            <v>0</v>
          </cell>
          <cell r="K101">
            <v>50.695999999999991</v>
          </cell>
          <cell r="L101">
            <v>57.358000000000033</v>
          </cell>
          <cell r="M101">
            <v>106.88900000000001</v>
          </cell>
          <cell r="N101">
            <v>114.84499999999994</v>
          </cell>
          <cell r="O101">
            <v>87.17499999999994</v>
          </cell>
          <cell r="P101">
            <v>90.230000000000047</v>
          </cell>
          <cell r="Q101">
            <v>93.095000000000027</v>
          </cell>
          <cell r="R101">
            <v>108.81600000000003</v>
          </cell>
          <cell r="S101">
            <v>112.96000000000004</v>
          </cell>
          <cell r="T101">
            <v>105.658</v>
          </cell>
          <cell r="U101">
            <v>110.78198787393474</v>
          </cell>
          <cell r="V101">
            <v>117.36397785438217</v>
          </cell>
          <cell r="W101">
            <v>130.23900000000003</v>
          </cell>
          <cell r="X101">
            <v>113.25199999999997</v>
          </cell>
          <cell r="Y101">
            <v>126.71599999999997</v>
          </cell>
          <cell r="Z101">
            <v>148.00400000000005</v>
          </cell>
          <cell r="AA101">
            <v>141.51699999999997</v>
          </cell>
          <cell r="AB101">
            <v>161.74100000000001</v>
          </cell>
          <cell r="AC101">
            <v>202.32799999999995</v>
          </cell>
          <cell r="AD101">
            <v>217.95400000000004</v>
          </cell>
          <cell r="AE101">
            <v>222.70799999999988</v>
          </cell>
          <cell r="AF101">
            <v>230.62399999999994</v>
          </cell>
          <cell r="AG101">
            <v>254.68299999999999</v>
          </cell>
          <cell r="AH101">
            <v>296.01800000000003</v>
          </cell>
          <cell r="AI101">
            <v>322.52499999999998</v>
          </cell>
          <cell r="AJ101">
            <v>272.77199999999988</v>
          </cell>
          <cell r="AK101">
            <v>282.36200000000008</v>
          </cell>
          <cell r="AL101">
            <v>278.77999999999997</v>
          </cell>
          <cell r="AM101">
            <v>216.62300000000008</v>
          </cell>
          <cell r="AN101">
            <v>215.64700000000016</v>
          </cell>
          <cell r="AO101">
            <v>214.68899999999996</v>
          </cell>
          <cell r="AP101">
            <v>191.6749999999999</v>
          </cell>
          <cell r="AQ101">
            <v>221.95399999999989</v>
          </cell>
          <cell r="AR101">
            <v>221.64600000000013</v>
          </cell>
          <cell r="AS101">
            <v>252.32800000000012</v>
          </cell>
          <cell r="AT101">
            <v>266.88799999999998</v>
          </cell>
          <cell r="AU101">
            <v>296.93300000000011</v>
          </cell>
          <cell r="AV101">
            <v>266.529</v>
          </cell>
          <cell r="AW101">
            <v>316.58400000000006</v>
          </cell>
          <cell r="AX101">
            <v>284.13099999999986</v>
          </cell>
          <cell r="AY101">
            <v>236</v>
          </cell>
          <cell r="AZ101">
            <v>258</v>
          </cell>
          <cell r="BA101">
            <v>287</v>
          </cell>
          <cell r="BB101">
            <v>296</v>
          </cell>
          <cell r="BC101">
            <v>249</v>
          </cell>
          <cell r="BD101">
            <v>230</v>
          </cell>
          <cell r="BE101">
            <v>235</v>
          </cell>
          <cell r="BF101">
            <v>260</v>
          </cell>
          <cell r="BG101">
            <v>265</v>
          </cell>
          <cell r="BH101">
            <v>251</v>
          </cell>
          <cell r="BI101">
            <v>277</v>
          </cell>
          <cell r="BJ101">
            <v>259</v>
          </cell>
          <cell r="BK101">
            <v>225</v>
          </cell>
          <cell r="BL101">
            <v>249</v>
          </cell>
          <cell r="BM101">
            <v>278</v>
          </cell>
          <cell r="BN101">
            <v>270</v>
          </cell>
          <cell r="BO101">
            <v>272</v>
          </cell>
          <cell r="BP101">
            <v>321</v>
          </cell>
          <cell r="BQ101">
            <v>333</v>
          </cell>
          <cell r="BR101">
            <v>299.0204081632653</v>
          </cell>
          <cell r="BS101">
            <v>214.85358255451715</v>
          </cell>
          <cell r="BT101">
            <v>224.39285714285714</v>
          </cell>
          <cell r="BU101">
            <v>206.28571428571428</v>
          </cell>
          <cell r="BV101">
            <v>178.35</v>
          </cell>
          <cell r="BW101">
            <v>159.03571428571428</v>
          </cell>
          <cell r="BX101">
            <v>164.78518518518518</v>
          </cell>
          <cell r="BY101">
            <v>146.59915611814347</v>
          </cell>
          <cell r="BZ101">
            <v>117.89108910891089</v>
          </cell>
          <cell r="CA101">
            <v>141.45491803278688</v>
          </cell>
          <cell r="CB101">
            <v>131.55555555555554</v>
          </cell>
          <cell r="CC101">
            <v>140.04421768707482</v>
          </cell>
          <cell r="CD101">
            <v>36.092307692307692</v>
          </cell>
          <cell r="CE101">
            <v>117.53821656050955</v>
          </cell>
          <cell r="CF101">
            <v>143.87368421052633</v>
          </cell>
          <cell r="CG101">
            <v>231.07328605200945</v>
          </cell>
          <cell r="CH101">
            <v>165.46656629024167</v>
          </cell>
          <cell r="CI101">
            <v>272.34581470216784</v>
          </cell>
          <cell r="CJ101">
            <v>280.67068151061625</v>
          </cell>
          <cell r="CK101">
            <v>263.15827651168172</v>
          </cell>
          <cell r="CL101">
            <v>261.57593450624768</v>
          </cell>
          <cell r="CM101">
            <v>303.14918396553105</v>
          </cell>
          <cell r="CN101">
            <v>306.48526002778652</v>
          </cell>
          <cell r="CO101">
            <v>281.82562233569121</v>
          </cell>
          <cell r="CP101">
            <v>278.93952994345597</v>
          </cell>
          <cell r="CQ101">
            <v>332.61990700619128</v>
          </cell>
          <cell r="CR101">
            <v>335.24823616066749</v>
          </cell>
          <cell r="CS101">
            <v>310.77525085771504</v>
          </cell>
          <cell r="CT101">
            <v>303.28847283895664</v>
          </cell>
          <cell r="CU101">
            <v>360.41405287236387</v>
          </cell>
          <cell r="CV101">
            <v>366.36833702353294</v>
          </cell>
          <cell r="CW101">
            <v>339.57158973453926</v>
          </cell>
          <cell r="CX101">
            <v>332.52271076527717</v>
          </cell>
          <cell r="CY101">
            <v>0</v>
          </cell>
          <cell r="CZ101" t="e">
            <v>#VALUE!</v>
          </cell>
          <cell r="DA101" t="e">
            <v>#VALUE!</v>
          </cell>
          <cell r="DB101">
            <v>329.78799999999984</v>
          </cell>
          <cell r="DC101">
            <v>379.31599999999997</v>
          </cell>
          <cell r="DD101">
            <v>446.76396572831732</v>
          </cell>
          <cell r="DE101">
            <v>518.21099999999956</v>
          </cell>
          <cell r="DF101">
            <v>723.54000000000053</v>
          </cell>
          <cell r="DG101">
            <v>1004.0329999999998</v>
          </cell>
          <cell r="DH101">
            <v>1156.4390000000001</v>
          </cell>
          <cell r="DI101">
            <v>838.63400000000047</v>
          </cell>
          <cell r="DJ101">
            <v>962.81600000000026</v>
          </cell>
          <cell r="DK101">
            <v>1164.1770000000006</v>
          </cell>
          <cell r="DL101">
            <v>1077</v>
          </cell>
          <cell r="DM101">
            <v>974</v>
          </cell>
          <cell r="DN101">
            <v>1052</v>
          </cell>
          <cell r="DO101">
            <v>1022</v>
          </cell>
          <cell r="DP101">
            <v>1225.0204081632653</v>
          </cell>
          <cell r="DQ101">
            <v>823.88215398308853</v>
          </cell>
          <cell r="DR101">
            <v>588.31114469795375</v>
          </cell>
          <cell r="DS101">
            <v>449.14699896772493</v>
          </cell>
          <cell r="DT101">
            <v>657.95175311328728</v>
          </cell>
          <cell r="DU101">
            <v>1077.7507072307137</v>
          </cell>
          <cell r="DV101">
            <v>1170.3995962724657</v>
          </cell>
          <cell r="DW101">
            <v>1281.9318668635315</v>
          </cell>
          <cell r="DX101">
            <v>1398.8766903957132</v>
          </cell>
          <cell r="DY101">
            <v>0</v>
          </cell>
          <cell r="DZ101">
            <v>0</v>
          </cell>
          <cell r="EA101">
            <v>449.14699896772493</v>
          </cell>
          <cell r="EB101">
            <v>675.66700500486354</v>
          </cell>
          <cell r="EC101">
            <v>876.58735246341223</v>
          </cell>
          <cell r="ED101">
            <v>1062.1559996635519</v>
          </cell>
          <cell r="EE101">
            <v>1152.1040901784818</v>
          </cell>
          <cell r="EF101">
            <v>1267.3433505173236</v>
          </cell>
        </row>
        <row r="102">
          <cell r="A102" t="str">
            <v>Pro forma net margin</v>
          </cell>
          <cell r="B102">
            <v>0</v>
          </cell>
          <cell r="C102">
            <v>0</v>
          </cell>
          <cell r="D102">
            <v>0</v>
          </cell>
          <cell r="E102">
            <v>0</v>
          </cell>
          <cell r="F102">
            <v>0</v>
          </cell>
          <cell r="G102">
            <v>0</v>
          </cell>
          <cell r="H102">
            <v>0</v>
          </cell>
          <cell r="I102">
            <v>0</v>
          </cell>
          <cell r="J102">
            <v>0</v>
          </cell>
          <cell r="K102">
            <v>0.23513805594593712</v>
          </cell>
          <cell r="L102">
            <v>0.25361242284360036</v>
          </cell>
          <cell r="M102">
            <v>0.24180624553211896</v>
          </cell>
          <cell r="N102">
            <v>0.24226347431705506</v>
          </cell>
          <cell r="O102">
            <v>0.18545859917328109</v>
          </cell>
          <cell r="P102">
            <v>0.17980658287782209</v>
          </cell>
          <cell r="Q102">
            <v>0.16655604079858163</v>
          </cell>
          <cell r="R102">
            <v>0.17531541662706007</v>
          </cell>
          <cell r="S102">
            <v>0.18192359724280105</v>
          </cell>
          <cell r="T102">
            <v>0.16849904473936853</v>
          </cell>
          <cell r="U102">
            <v>0.1749966635820355</v>
          </cell>
          <cell r="V102">
            <v>0.17268626907361159</v>
          </cell>
          <cell r="W102">
            <v>0.18927858784067578</v>
          </cell>
          <cell r="X102">
            <v>0.16408791189685168</v>
          </cell>
          <cell r="Y102">
            <v>0.17111620658828991</v>
          </cell>
          <cell r="Z102">
            <v>0.18636875335265815</v>
          </cell>
          <cell r="AA102">
            <v>0.18113944141514984</v>
          </cell>
          <cell r="AB102">
            <v>0.19323133018650401</v>
          </cell>
          <cell r="AC102">
            <v>0.21512126141643537</v>
          </cell>
          <cell r="AD102">
            <v>0.20592917753613263</v>
          </cell>
          <cell r="AE102">
            <v>0.21365316520542865</v>
          </cell>
          <cell r="AF102">
            <v>0.20902218431735434</v>
          </cell>
          <cell r="AG102">
            <v>0.21368138792262992</v>
          </cell>
          <cell r="AH102">
            <v>0.22998602298321907</v>
          </cell>
          <cell r="AI102">
            <v>0.25613484752223631</v>
          </cell>
          <cell r="AJ102">
            <v>0.22880792924344701</v>
          </cell>
          <cell r="AK102">
            <v>0.2253079450091644</v>
          </cell>
          <cell r="AL102">
            <v>0.21446809558208646</v>
          </cell>
          <cell r="AM102">
            <v>0.16816597445949621</v>
          </cell>
          <cell r="AN102">
            <v>0.16934848027944274</v>
          </cell>
          <cell r="AO102">
            <v>0.16186549170575912</v>
          </cell>
          <cell r="AP102">
            <v>0.14044367525363019</v>
          </cell>
          <cell r="AQ102">
            <v>0.15599320796939081</v>
          </cell>
          <cell r="AR102">
            <v>0.15420654379085702</v>
          </cell>
          <cell r="AS102">
            <v>0.1650253167702839</v>
          </cell>
          <cell r="AT102">
            <v>0.17240971661906718</v>
          </cell>
          <cell r="AU102">
            <v>0.17940562856588729</v>
          </cell>
          <cell r="AV102">
            <v>0.17500503946541612</v>
          </cell>
          <cell r="AW102">
            <v>0.20575613351297289</v>
          </cell>
          <cell r="AX102">
            <v>0.19099009594844021</v>
          </cell>
          <cell r="AY102">
            <v>0.16343490304709141</v>
          </cell>
          <cell r="AZ102">
            <v>0.17444219066937119</v>
          </cell>
          <cell r="BA102">
            <v>0.18504190844616378</v>
          </cell>
          <cell r="BB102">
            <v>0.19283387622149836</v>
          </cell>
          <cell r="BC102">
            <v>0.17376133984647593</v>
          </cell>
          <cell r="BD102">
            <v>0.1554054054054054</v>
          </cell>
          <cell r="BE102">
            <v>0.14650872817955113</v>
          </cell>
          <cell r="BF102">
            <v>0.15540944411237298</v>
          </cell>
          <cell r="BG102">
            <v>0.16031457955232911</v>
          </cell>
          <cell r="BH102">
            <v>0.14931588340273647</v>
          </cell>
          <cell r="BI102">
            <v>0.16151603498542275</v>
          </cell>
          <cell r="BJ102">
            <v>0.15407495538370017</v>
          </cell>
          <cell r="BK102">
            <v>0.13489208633093525</v>
          </cell>
          <cell r="BL102">
            <v>0.14655679811653913</v>
          </cell>
          <cell r="BM102">
            <v>0.15522054718034617</v>
          </cell>
          <cell r="BN102">
            <v>0.15446224256292906</v>
          </cell>
          <cell r="BO102">
            <v>0.15915740198946751</v>
          </cell>
          <cell r="BP102">
            <v>0.19609040928527796</v>
          </cell>
          <cell r="BQ102">
            <v>0.19530791788856305</v>
          </cell>
          <cell r="BR102">
            <v>0.18122448979591838</v>
          </cell>
          <cell r="BS102">
            <v>0.19783939461741909</v>
          </cell>
          <cell r="BT102">
            <v>0.22416868845440274</v>
          </cell>
          <cell r="BU102">
            <v>0.21266568483063328</v>
          </cell>
          <cell r="BV102">
            <v>0.19198062432723359</v>
          </cell>
          <cell r="BW102">
            <v>0.1743812656641604</v>
          </cell>
          <cell r="BX102">
            <v>0.18188210285340528</v>
          </cell>
          <cell r="BY102">
            <v>0.16127519924988282</v>
          </cell>
          <cell r="BZ102">
            <v>0.13504133918546493</v>
          </cell>
          <cell r="CA102">
            <v>0.16001687560270009</v>
          </cell>
          <cell r="CB102">
            <v>0.12961138478379858</v>
          </cell>
          <cell r="CC102">
            <v>0.12871711184473789</v>
          </cell>
          <cell r="CD102">
            <v>3.0690737833594977E-2</v>
          </cell>
          <cell r="CE102">
            <v>9.5715160065561522E-2</v>
          </cell>
          <cell r="CF102">
            <v>0.11275367101138427</v>
          </cell>
          <cell r="CG102">
            <v>0.18725549923177426</v>
          </cell>
          <cell r="CH102">
            <v>0.13761412096030637</v>
          </cell>
          <cell r="CI102">
            <v>0.22343260895208975</v>
          </cell>
          <cell r="CJ102">
            <v>0.22798341563982449</v>
          </cell>
          <cell r="CK102">
            <v>0.21200866579419431</v>
          </cell>
          <cell r="CL102">
            <v>0.21047865477426261</v>
          </cell>
          <cell r="CM102">
            <v>0.23811102851893967</v>
          </cell>
          <cell r="CN102">
            <v>0.23685502505502282</v>
          </cell>
          <cell r="CO102">
            <v>0.21603337979003542</v>
          </cell>
          <cell r="CP102">
            <v>0.21362473157567521</v>
          </cell>
          <cell r="CQ102">
            <v>0.24970213045035414</v>
          </cell>
          <cell r="CR102">
            <v>0.24804409027388211</v>
          </cell>
          <cell r="CS102">
            <v>0.22844864894365041</v>
          </cell>
          <cell r="CT102">
            <v>0.22313227759799403</v>
          </cell>
          <cell r="CU102">
            <v>0.26008301689064761</v>
          </cell>
          <cell r="CV102">
            <v>0.26053109809458302</v>
          </cell>
          <cell r="CW102">
            <v>0.2399285603396156</v>
          </cell>
          <cell r="CX102">
            <v>0.23520724901665335</v>
          </cell>
          <cell r="CY102">
            <v>0</v>
          </cell>
          <cell r="CZ102" t="e">
            <v>#VALUE!</v>
          </cell>
          <cell r="DA102" t="e">
            <v>#VALUE!</v>
          </cell>
          <cell r="DB102">
            <v>0.24287352368692172</v>
          </cell>
          <cell r="DC102">
            <v>0.17630337216522826</v>
          </cell>
          <cell r="DD102">
            <v>0.17447198859370297</v>
          </cell>
          <cell r="DE102">
            <v>0.17789940349007727</v>
          </cell>
          <cell r="DF102">
            <v>0.20002676091225971</v>
          </cell>
          <cell r="DG102">
            <v>0.21710121881894329</v>
          </cell>
          <cell r="DH102">
            <v>0.23108269100346535</v>
          </cell>
          <cell r="DI102">
            <v>0.15965873329848126</v>
          </cell>
          <cell r="DJ102">
            <v>0.16216697834615004</v>
          </cell>
          <cell r="DK102">
            <v>0.18763783602656389</v>
          </cell>
          <cell r="DL102">
            <v>0.17923115327009487</v>
          </cell>
          <cell r="DM102">
            <v>0.15735056542810985</v>
          </cell>
          <cell r="DN102">
            <v>0.1563150074294205</v>
          </cell>
          <cell r="DO102">
            <v>0.14798725745728353</v>
          </cell>
          <cell r="DP102">
            <v>0.18281158157935612</v>
          </cell>
          <cell r="DQ102">
            <v>0.20669396738160775</v>
          </cell>
          <cell r="DR102">
            <v>0.16341976241609826</v>
          </cell>
          <cell r="DS102">
            <v>0.10789022314862477</v>
          </cell>
          <cell r="DT102">
            <v>0.13317795822674877</v>
          </cell>
          <cell r="DU102">
            <v>0.21843137020082759</v>
          </cell>
          <cell r="DV102">
            <v>0.22605878525581305</v>
          </cell>
          <cell r="DW102">
            <v>0.23725252340994007</v>
          </cell>
          <cell r="DX102">
            <v>0.24886402288175549</v>
          </cell>
          <cell r="DY102">
            <v>0</v>
          </cell>
          <cell r="DZ102">
            <v>0</v>
          </cell>
          <cell r="EA102">
            <v>0.10789022314862477</v>
          </cell>
          <cell r="EB102">
            <v>0.1358944096952662</v>
          </cell>
          <cell r="EC102">
            <v>0.18189971546241987</v>
          </cell>
          <cell r="ED102">
            <v>0.20468223044432654</v>
          </cell>
          <cell r="EE102">
            <v>0.2134769460255839</v>
          </cell>
          <cell r="EF102">
            <v>0.2271813192594756</v>
          </cell>
        </row>
        <row r="103">
          <cell r="A103">
            <v>0</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cell r="ED103">
            <v>0</v>
          </cell>
          <cell r="EE103">
            <v>0</v>
          </cell>
          <cell r="EF103">
            <v>0</v>
          </cell>
        </row>
        <row r="104">
          <cell r="A104" t="str">
            <v>Non-cash and extraordinary items:</v>
          </cell>
          <cell r="B104">
            <v>0</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v>0</v>
          </cell>
          <cell r="DU104">
            <v>0</v>
          </cell>
          <cell r="DV104">
            <v>0</v>
          </cell>
          <cell r="DW104">
            <v>0</v>
          </cell>
          <cell r="DX104">
            <v>0</v>
          </cell>
          <cell r="DY104">
            <v>0</v>
          </cell>
          <cell r="DZ104">
            <v>0</v>
          </cell>
          <cell r="EA104">
            <v>0</v>
          </cell>
          <cell r="EB104">
            <v>0</v>
          </cell>
          <cell r="EC104">
            <v>0</v>
          </cell>
          <cell r="ED104">
            <v>0</v>
          </cell>
          <cell r="EE104">
            <v>0</v>
          </cell>
          <cell r="EF104">
            <v>0</v>
          </cell>
        </row>
        <row r="105">
          <cell r="A105" t="str">
            <v>Acquisition Amortization (net of taxes)</v>
          </cell>
          <cell r="B105">
            <v>0</v>
          </cell>
          <cell r="C105">
            <v>0</v>
          </cell>
          <cell r="D105">
            <v>0</v>
          </cell>
          <cell r="E105">
            <v>0</v>
          </cell>
          <cell r="F105">
            <v>0</v>
          </cell>
          <cell r="G105">
            <v>0</v>
          </cell>
          <cell r="H105">
            <v>0</v>
          </cell>
          <cell r="I105">
            <v>0</v>
          </cell>
          <cell r="J105">
            <v>0</v>
          </cell>
          <cell r="K105">
            <v>5.4859999999999998</v>
          </cell>
          <cell r="L105">
            <v>17.202000000000002</v>
          </cell>
          <cell r="M105">
            <v>37.745999999999995</v>
          </cell>
          <cell r="N105">
            <v>38.234999999999999</v>
          </cell>
          <cell r="O105">
            <v>40.266999999999996</v>
          </cell>
          <cell r="P105">
            <v>39.146000000000001</v>
          </cell>
          <cell r="Q105">
            <v>46.802999999999997</v>
          </cell>
          <cell r="R105">
            <v>84.608000000000004</v>
          </cell>
          <cell r="S105">
            <v>85.45</v>
          </cell>
          <cell r="T105">
            <v>85.534999999999997</v>
          </cell>
          <cell r="U105">
            <v>85.298000000000002</v>
          </cell>
          <cell r="V105">
            <v>84.875</v>
          </cell>
          <cell r="W105">
            <v>40.670999999999999</v>
          </cell>
          <cell r="X105">
            <v>41.152000000000001</v>
          </cell>
          <cell r="Y105">
            <v>33.707000000000001</v>
          </cell>
          <cell r="Z105">
            <v>33.308</v>
          </cell>
          <cell r="AA105">
            <v>44.061000000000092</v>
          </cell>
          <cell r="AB105">
            <v>21.108000000000001</v>
          </cell>
          <cell r="AC105">
            <v>10.086</v>
          </cell>
          <cell r="AD105">
            <v>9.7759999999999998</v>
          </cell>
          <cell r="AE105">
            <v>18.898</v>
          </cell>
          <cell r="AF105">
            <v>23.094999999999999</v>
          </cell>
          <cell r="AG105">
            <v>22.087000000000003</v>
          </cell>
          <cell r="AH105">
            <v>27.521000000000001</v>
          </cell>
          <cell r="AI105">
            <v>30.721000000000004</v>
          </cell>
          <cell r="AJ105">
            <v>337.56199999999995</v>
          </cell>
          <cell r="AK105">
            <v>50.612000000000002</v>
          </cell>
          <cell r="AL105">
            <v>52.034000000000006</v>
          </cell>
          <cell r="AM105">
            <v>160.50800000000001</v>
          </cell>
          <cell r="AN105">
            <v>148.80099999999999</v>
          </cell>
          <cell r="AO105">
            <v>145.45599999999999</v>
          </cell>
          <cell r="AP105">
            <v>135.54900000000001</v>
          </cell>
          <cell r="AQ105">
            <v>146.726</v>
          </cell>
          <cell r="AR105">
            <v>145.989</v>
          </cell>
          <cell r="AS105">
            <v>139.49799999999999</v>
          </cell>
          <cell r="AT105">
            <v>142.68700000000001</v>
          </cell>
          <cell r="AU105">
            <v>140.34</v>
          </cell>
          <cell r="AV105">
            <v>142.25300000000001</v>
          </cell>
          <cell r="AW105">
            <v>153.07</v>
          </cell>
          <cell r="AX105">
            <v>154.553</v>
          </cell>
          <cell r="AY105">
            <v>161</v>
          </cell>
          <cell r="AZ105">
            <v>109</v>
          </cell>
          <cell r="BA105">
            <v>105</v>
          </cell>
          <cell r="BB105">
            <v>105</v>
          </cell>
          <cell r="BC105">
            <v>106</v>
          </cell>
          <cell r="BD105">
            <v>90</v>
          </cell>
          <cell r="BE105">
            <v>94</v>
          </cell>
          <cell r="BF105">
            <v>95</v>
          </cell>
          <cell r="BG105">
            <v>93</v>
          </cell>
          <cell r="BH105">
            <v>96</v>
          </cell>
          <cell r="BI105">
            <v>95</v>
          </cell>
          <cell r="BJ105">
            <v>100</v>
          </cell>
          <cell r="BK105">
            <v>93</v>
          </cell>
          <cell r="BL105">
            <v>91</v>
          </cell>
          <cell r="BM105">
            <v>87</v>
          </cell>
          <cell r="BN105">
            <v>87</v>
          </cell>
          <cell r="BO105">
            <v>86</v>
          </cell>
          <cell r="BP105">
            <v>42</v>
          </cell>
          <cell r="BQ105">
            <v>41</v>
          </cell>
          <cell r="BR105">
            <v>41</v>
          </cell>
          <cell r="BS105">
            <v>22</v>
          </cell>
          <cell r="BT105">
            <v>23</v>
          </cell>
          <cell r="BU105">
            <v>21</v>
          </cell>
          <cell r="BV105">
            <v>21</v>
          </cell>
          <cell r="BW105">
            <v>14</v>
          </cell>
          <cell r="BX105">
            <v>14</v>
          </cell>
          <cell r="BY105">
            <v>13</v>
          </cell>
          <cell r="BZ105">
            <v>16</v>
          </cell>
          <cell r="CA105">
            <v>20</v>
          </cell>
          <cell r="CB105">
            <v>69</v>
          </cell>
          <cell r="CC105">
            <v>94</v>
          </cell>
          <cell r="CD105">
            <v>110</v>
          </cell>
          <cell r="CE105">
            <v>114</v>
          </cell>
          <cell r="CF105">
            <v>116</v>
          </cell>
          <cell r="CG105">
            <v>111</v>
          </cell>
          <cell r="CH105">
            <v>107.37407797681772</v>
          </cell>
          <cell r="CI105">
            <v>107.37407797681772</v>
          </cell>
          <cell r="CJ105">
            <v>107.37407797681772</v>
          </cell>
          <cell r="CK105">
            <v>107.37407797681772</v>
          </cell>
          <cell r="CL105">
            <v>107.37407797681772</v>
          </cell>
          <cell r="CM105">
            <v>107.37407797681772</v>
          </cell>
          <cell r="CN105">
            <v>107.37407797681772</v>
          </cell>
          <cell r="CO105">
            <v>107.37407797681772</v>
          </cell>
          <cell r="CP105">
            <v>107.37407797681772</v>
          </cell>
          <cell r="CQ105">
            <v>107.37407797681772</v>
          </cell>
          <cell r="CR105">
            <v>107.37407797681772</v>
          </cell>
          <cell r="CS105">
            <v>107.37407797681772</v>
          </cell>
          <cell r="CT105">
            <v>107.37407797681772</v>
          </cell>
          <cell r="CU105">
            <v>107.37407797681772</v>
          </cell>
          <cell r="CV105">
            <v>107.37407797681772</v>
          </cell>
          <cell r="CW105">
            <v>107.37407797681772</v>
          </cell>
          <cell r="CX105">
            <v>107.37407797681772</v>
          </cell>
          <cell r="CY105">
            <v>0</v>
          </cell>
          <cell r="CZ105">
            <v>0</v>
          </cell>
          <cell r="DA105">
            <v>0</v>
          </cell>
          <cell r="DB105">
            <v>98.668999999999997</v>
          </cell>
          <cell r="DC105">
            <v>210.82400000000001</v>
          </cell>
          <cell r="DD105">
            <v>341.15800000000002</v>
          </cell>
          <cell r="DE105">
            <v>148.83799999999999</v>
          </cell>
          <cell r="DF105">
            <v>85.031000000000091</v>
          </cell>
          <cell r="DG105">
            <v>91.600999999999999</v>
          </cell>
          <cell r="DH105">
            <v>470.92899999999997</v>
          </cell>
          <cell r="DI105">
            <v>590.31399999999996</v>
          </cell>
          <cell r="DJ105">
            <v>574.90000000000009</v>
          </cell>
          <cell r="DK105">
            <v>590.21600000000001</v>
          </cell>
          <cell r="DL105">
            <v>480</v>
          </cell>
          <cell r="DM105">
            <v>385</v>
          </cell>
          <cell r="DN105">
            <v>384</v>
          </cell>
          <cell r="DO105">
            <v>358</v>
          </cell>
          <cell r="DP105">
            <v>210</v>
          </cell>
          <cell r="DQ105">
            <v>87</v>
          </cell>
          <cell r="DR105">
            <v>57</v>
          </cell>
          <cell r="DS105">
            <v>293</v>
          </cell>
          <cell r="DT105">
            <v>448.37407797681772</v>
          </cell>
          <cell r="DU105">
            <v>429.49631190727087</v>
          </cell>
          <cell r="DV105">
            <v>429.49631190727087</v>
          </cell>
          <cell r="DW105">
            <v>429.49631190727087</v>
          </cell>
          <cell r="DX105">
            <v>429.49631190727087</v>
          </cell>
          <cell r="DY105">
            <v>0</v>
          </cell>
          <cell r="DZ105">
            <v>0</v>
          </cell>
          <cell r="EA105">
            <v>293</v>
          </cell>
          <cell r="EB105">
            <v>453</v>
          </cell>
          <cell r="EC105">
            <v>429.9433551198257</v>
          </cell>
          <cell r="ED105">
            <v>429.9433551198257</v>
          </cell>
          <cell r="EE105">
            <v>429.9433551198257</v>
          </cell>
          <cell r="EF105">
            <v>429.9433551198257</v>
          </cell>
        </row>
        <row r="106">
          <cell r="A106" t="str">
            <v>Restructuring Charges (net of taxes)</v>
          </cell>
          <cell r="B106">
            <v>0</v>
          </cell>
          <cell r="C106">
            <v>0</v>
          </cell>
          <cell r="D106">
            <v>0</v>
          </cell>
          <cell r="E106">
            <v>0</v>
          </cell>
          <cell r="F106">
            <v>0</v>
          </cell>
          <cell r="G106">
            <v>0</v>
          </cell>
          <cell r="H106">
            <v>0</v>
          </cell>
          <cell r="I106">
            <v>0</v>
          </cell>
          <cell r="J106">
            <v>0</v>
          </cell>
          <cell r="K106">
            <v>2.274</v>
          </cell>
          <cell r="L106">
            <v>1.2270000000000001</v>
          </cell>
          <cell r="M106">
            <v>1.5270000000000001</v>
          </cell>
          <cell r="N106">
            <v>4.3770000000000007</v>
          </cell>
          <cell r="O106">
            <v>0</v>
          </cell>
          <cell r="P106">
            <v>0</v>
          </cell>
          <cell r="Q106">
            <v>23.582000000000001</v>
          </cell>
          <cell r="R106">
            <v>22.125</v>
          </cell>
          <cell r="S106">
            <v>1.228</v>
          </cell>
          <cell r="T106">
            <v>0</v>
          </cell>
          <cell r="U106">
            <v>5.6260000000000012</v>
          </cell>
          <cell r="V106">
            <v>7.0240000000000009</v>
          </cell>
          <cell r="W106">
            <v>6.0529999999999999</v>
          </cell>
          <cell r="X106">
            <v>-1.179</v>
          </cell>
          <cell r="Y106">
            <v>-0.442</v>
          </cell>
          <cell r="Z106">
            <v>0</v>
          </cell>
          <cell r="AA106">
            <v>0</v>
          </cell>
          <cell r="AB106">
            <v>0</v>
          </cell>
          <cell r="AC106">
            <v>0</v>
          </cell>
          <cell r="AD106">
            <v>0</v>
          </cell>
          <cell r="AE106">
            <v>0</v>
          </cell>
          <cell r="AF106">
            <v>1.9159999999999999</v>
          </cell>
          <cell r="AG106">
            <v>0</v>
          </cell>
          <cell r="AH106">
            <v>0</v>
          </cell>
          <cell r="AI106">
            <v>11.375</v>
          </cell>
          <cell r="AJ106">
            <v>1.452</v>
          </cell>
          <cell r="AK106">
            <v>15.566000000000001</v>
          </cell>
          <cell r="AL106">
            <v>4.4260000000000002</v>
          </cell>
          <cell r="AM106">
            <v>13.257999999999999</v>
          </cell>
          <cell r="AN106">
            <v>6.22</v>
          </cell>
          <cell r="AO106">
            <v>0</v>
          </cell>
          <cell r="AP106">
            <v>50.758000000000003</v>
          </cell>
          <cell r="AQ106">
            <v>19</v>
          </cell>
          <cell r="AR106">
            <v>9.5779999999999994</v>
          </cell>
          <cell r="AS106">
            <v>23.305</v>
          </cell>
          <cell r="AT106">
            <v>22.030999999999999</v>
          </cell>
          <cell r="AU106">
            <v>17.004999999999999</v>
          </cell>
          <cell r="AV106">
            <v>9.7899999999999991</v>
          </cell>
          <cell r="AW106">
            <v>45.805</v>
          </cell>
          <cell r="AX106">
            <v>23.015000000000001</v>
          </cell>
          <cell r="AY106">
            <v>34</v>
          </cell>
          <cell r="AZ106">
            <v>25</v>
          </cell>
          <cell r="BA106">
            <v>5</v>
          </cell>
          <cell r="BB106">
            <v>30</v>
          </cell>
          <cell r="BC106">
            <v>40</v>
          </cell>
          <cell r="BD106">
            <v>28</v>
          </cell>
          <cell r="BE106">
            <v>20</v>
          </cell>
          <cell r="BF106">
            <v>4</v>
          </cell>
          <cell r="BG106">
            <v>12</v>
          </cell>
          <cell r="BH106">
            <v>8</v>
          </cell>
          <cell r="BI106">
            <v>5</v>
          </cell>
          <cell r="BJ106">
            <v>31</v>
          </cell>
          <cell r="BK106">
            <v>35</v>
          </cell>
          <cell r="BL106">
            <v>23</v>
          </cell>
          <cell r="BM106">
            <v>27</v>
          </cell>
          <cell r="BN106">
            <v>40</v>
          </cell>
          <cell r="BO106">
            <v>83</v>
          </cell>
          <cell r="BP106">
            <v>122</v>
          </cell>
          <cell r="BQ106">
            <v>32</v>
          </cell>
          <cell r="BR106">
            <v>33</v>
          </cell>
          <cell r="BS106">
            <v>19</v>
          </cell>
          <cell r="BT106">
            <v>22</v>
          </cell>
          <cell r="BU106">
            <v>51</v>
          </cell>
          <cell r="BV106">
            <v>72</v>
          </cell>
          <cell r="BW106">
            <v>35</v>
          </cell>
          <cell r="BX106">
            <v>31</v>
          </cell>
          <cell r="BY106">
            <v>50</v>
          </cell>
          <cell r="BZ106">
            <v>20</v>
          </cell>
          <cell r="CA106">
            <v>70</v>
          </cell>
          <cell r="CB106">
            <v>64</v>
          </cell>
          <cell r="CC106">
            <v>67</v>
          </cell>
          <cell r="CD106">
            <v>72</v>
          </cell>
          <cell r="CE106">
            <v>88</v>
          </cell>
          <cell r="CF106">
            <v>97</v>
          </cell>
          <cell r="CG106">
            <v>93</v>
          </cell>
          <cell r="CH106">
            <v>144</v>
          </cell>
          <cell r="CI106">
            <v>95.04</v>
          </cell>
          <cell r="CJ106">
            <v>62.726400000000005</v>
          </cell>
          <cell r="CK106">
            <v>41.399424000000003</v>
          </cell>
          <cell r="CL106">
            <v>27.323619840000003</v>
          </cell>
          <cell r="CM106">
            <v>0</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9.4050000000000011</v>
          </cell>
          <cell r="DC106">
            <v>45.707000000000001</v>
          </cell>
          <cell r="DD106">
            <v>13.878000000000002</v>
          </cell>
          <cell r="DE106">
            <v>4.4319999999999995</v>
          </cell>
          <cell r="DF106">
            <v>0</v>
          </cell>
          <cell r="DG106">
            <v>1.9159999999999999</v>
          </cell>
          <cell r="DH106">
            <v>32.819000000000003</v>
          </cell>
          <cell r="DI106">
            <v>70.236000000000004</v>
          </cell>
          <cell r="DJ106">
            <v>73.913999999999987</v>
          </cell>
          <cell r="DK106">
            <v>95.614999999999995</v>
          </cell>
          <cell r="DL106">
            <v>94</v>
          </cell>
          <cell r="DM106">
            <v>92</v>
          </cell>
          <cell r="DN106">
            <v>56</v>
          </cell>
          <cell r="DO106">
            <v>125</v>
          </cell>
          <cell r="DP106">
            <v>270</v>
          </cell>
          <cell r="DQ106">
            <v>164</v>
          </cell>
          <cell r="DR106">
            <v>136</v>
          </cell>
          <cell r="DS106">
            <v>273</v>
          </cell>
          <cell r="DT106">
            <v>422</v>
          </cell>
          <cell r="DU106">
            <v>226.48944384000001</v>
          </cell>
          <cell r="DV106">
            <v>0</v>
          </cell>
          <cell r="DW106">
            <v>0</v>
          </cell>
          <cell r="DX106">
            <v>0</v>
          </cell>
          <cell r="DY106">
            <v>0</v>
          </cell>
          <cell r="DZ106">
            <v>0</v>
          </cell>
          <cell r="EA106">
            <v>273</v>
          </cell>
          <cell r="EB106">
            <v>417</v>
          </cell>
          <cell r="EC106">
            <v>218.62522704000006</v>
          </cell>
          <cell r="ED106">
            <v>0</v>
          </cell>
          <cell r="EE106">
            <v>0</v>
          </cell>
          <cell r="EF106">
            <v>0</v>
          </cell>
        </row>
        <row r="107">
          <cell r="A107" t="str">
            <v>Non-operating expense (benefit)</v>
          </cell>
          <cell r="B107">
            <v>0</v>
          </cell>
          <cell r="C107">
            <v>0</v>
          </cell>
          <cell r="D107">
            <v>0</v>
          </cell>
          <cell r="E107">
            <v>0</v>
          </cell>
          <cell r="F107">
            <v>0</v>
          </cell>
          <cell r="G107">
            <v>0</v>
          </cell>
          <cell r="H107">
            <v>0</v>
          </cell>
          <cell r="I107">
            <v>0</v>
          </cell>
          <cell r="J107">
            <v>0</v>
          </cell>
          <cell r="K107">
            <v>0</v>
          </cell>
          <cell r="L107">
            <v>0</v>
          </cell>
          <cell r="M107">
            <v>0</v>
          </cell>
          <cell r="N107">
            <v>0</v>
          </cell>
          <cell r="O107">
            <v>-0.14100000000000001</v>
          </cell>
          <cell r="P107">
            <v>0.78600000000000025</v>
          </cell>
          <cell r="Q107">
            <v>-12.77</v>
          </cell>
          <cell r="R107">
            <v>0</v>
          </cell>
          <cell r="S107">
            <v>0</v>
          </cell>
          <cell r="T107">
            <v>0</v>
          </cell>
          <cell r="U107">
            <v>0</v>
          </cell>
          <cell r="V107">
            <v>0</v>
          </cell>
          <cell r="W107">
            <v>0</v>
          </cell>
          <cell r="X107">
            <v>1.6790000000000003</v>
          </cell>
          <cell r="Y107">
            <v>4.6339999999999986</v>
          </cell>
          <cell r="Z107">
            <v>9.6859999999999999</v>
          </cell>
          <cell r="AA107">
            <v>1.359</v>
          </cell>
          <cell r="AB107">
            <v>7.6690000000000005</v>
          </cell>
          <cell r="AC107">
            <v>8.1970000000000027</v>
          </cell>
          <cell r="AD107">
            <v>13.757</v>
          </cell>
          <cell r="AE107">
            <v>4.0140000000000002</v>
          </cell>
          <cell r="AF107">
            <v>0</v>
          </cell>
          <cell r="AG107">
            <v>3.8810000000000002</v>
          </cell>
          <cell r="AH107">
            <v>2.8439999999999999</v>
          </cell>
          <cell r="AI107">
            <v>2.7850000000000001</v>
          </cell>
          <cell r="AJ107">
            <v>13.388999999999999</v>
          </cell>
          <cell r="AK107">
            <v>12.329000000000001</v>
          </cell>
          <cell r="AL107">
            <v>9.4589999999999996</v>
          </cell>
          <cell r="AM107">
            <v>2.0150000000000001</v>
          </cell>
          <cell r="AN107">
            <v>1.083</v>
          </cell>
          <cell r="AO107">
            <v>0.89700000000000002</v>
          </cell>
          <cell r="AP107">
            <v>0</v>
          </cell>
          <cell r="AQ107">
            <v>1.802</v>
          </cell>
          <cell r="AR107">
            <v>1.3140000000000001</v>
          </cell>
          <cell r="AS107">
            <v>-2.8540000000000001</v>
          </cell>
          <cell r="AT107">
            <v>1.8239999999999998</v>
          </cell>
          <cell r="AU107">
            <v>-0.39600000000000002</v>
          </cell>
          <cell r="AV107">
            <v>0</v>
          </cell>
          <cell r="AW107">
            <v>-9.9</v>
          </cell>
          <cell r="AX107">
            <v>0</v>
          </cell>
          <cell r="AY107">
            <v>3</v>
          </cell>
          <cell r="AZ107">
            <v>0</v>
          </cell>
          <cell r="BA107">
            <v>10</v>
          </cell>
          <cell r="BB107">
            <v>17</v>
          </cell>
          <cell r="BC107">
            <v>17</v>
          </cell>
          <cell r="BD107">
            <v>32</v>
          </cell>
          <cell r="BE107">
            <v>40</v>
          </cell>
          <cell r="BF107">
            <v>24</v>
          </cell>
          <cell r="BG107">
            <v>0</v>
          </cell>
          <cell r="BH107">
            <v>2</v>
          </cell>
          <cell r="BI107">
            <v>3</v>
          </cell>
          <cell r="BJ107">
            <v>0</v>
          </cell>
          <cell r="BK107">
            <v>0</v>
          </cell>
          <cell r="BL107">
            <v>0</v>
          </cell>
          <cell r="BM107">
            <v>4</v>
          </cell>
          <cell r="BN107">
            <v>0</v>
          </cell>
          <cell r="BO107">
            <v>0</v>
          </cell>
          <cell r="BP107">
            <v>0</v>
          </cell>
          <cell r="BQ107">
            <v>0</v>
          </cell>
          <cell r="BR107">
            <v>5.6</v>
          </cell>
          <cell r="BS107">
            <v>0</v>
          </cell>
          <cell r="BT107">
            <v>0</v>
          </cell>
          <cell r="BU107">
            <v>0</v>
          </cell>
          <cell r="BV107">
            <v>0</v>
          </cell>
          <cell r="BW107">
            <v>0</v>
          </cell>
          <cell r="BX107">
            <v>0</v>
          </cell>
          <cell r="BY107">
            <v>0</v>
          </cell>
          <cell r="BZ107">
            <v>0</v>
          </cell>
          <cell r="CA107">
            <v>0</v>
          </cell>
          <cell r="CB107">
            <v>0</v>
          </cell>
          <cell r="CC107">
            <v>0</v>
          </cell>
          <cell r="CD107">
            <v>0</v>
          </cell>
          <cell r="CE107">
            <v>0</v>
          </cell>
          <cell r="CF107">
            <v>0</v>
          </cell>
          <cell r="CG107">
            <v>-658</v>
          </cell>
          <cell r="CH107">
            <v>0</v>
          </cell>
          <cell r="CI107">
            <v>0</v>
          </cell>
          <cell r="CJ107">
            <v>0</v>
          </cell>
          <cell r="CK107">
            <v>0</v>
          </cell>
          <cell r="CL107">
            <v>0</v>
          </cell>
          <cell r="CM107">
            <v>0</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-12.125</v>
          </cell>
          <cell r="DD107">
            <v>0</v>
          </cell>
          <cell r="DE107">
            <v>15.998999999999999</v>
          </cell>
          <cell r="DF107">
            <v>30.981999999999999</v>
          </cell>
          <cell r="DG107">
            <v>10.739000000000001</v>
          </cell>
          <cell r="DH107">
            <v>37.962000000000003</v>
          </cell>
          <cell r="DI107">
            <v>3.9950000000000001</v>
          </cell>
          <cell r="DJ107">
            <v>2.0859999999999999</v>
          </cell>
          <cell r="DK107">
            <v>-10.296000000000001</v>
          </cell>
          <cell r="DL107">
            <v>30</v>
          </cell>
          <cell r="DM107">
            <v>113</v>
          </cell>
          <cell r="DN107">
            <v>5</v>
          </cell>
          <cell r="DO107">
            <v>4</v>
          </cell>
          <cell r="DP107">
            <v>5.6</v>
          </cell>
          <cell r="DQ107">
            <v>0</v>
          </cell>
          <cell r="DR107">
            <v>0</v>
          </cell>
          <cell r="DS107">
            <v>0</v>
          </cell>
          <cell r="DT107">
            <v>-658</v>
          </cell>
          <cell r="DU107">
            <v>0</v>
          </cell>
          <cell r="DV107">
            <v>0</v>
          </cell>
          <cell r="DW107">
            <v>0</v>
          </cell>
          <cell r="DX107">
            <v>0</v>
          </cell>
          <cell r="DY107">
            <v>0</v>
          </cell>
          <cell r="DZ107">
            <v>0</v>
          </cell>
          <cell r="EA107">
            <v>0</v>
          </cell>
          <cell r="EB107">
            <v>-658</v>
          </cell>
          <cell r="EC107">
            <v>0</v>
          </cell>
          <cell r="ED107">
            <v>0</v>
          </cell>
          <cell r="EE107">
            <v>0</v>
          </cell>
          <cell r="EF107">
            <v>0</v>
          </cell>
        </row>
        <row r="108">
          <cell r="A108" t="str">
            <v>Income tax benefit</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-4.9260000000000002</v>
          </cell>
          <cell r="AF108">
            <v>-6.6980000000000004</v>
          </cell>
          <cell r="AG108">
            <v>-6.1020000000000003</v>
          </cell>
          <cell r="AH108">
            <v>0</v>
          </cell>
          <cell r="AI108">
            <v>0</v>
          </cell>
          <cell r="AJ108">
            <v>0</v>
          </cell>
          <cell r="AK108">
            <v>0</v>
          </cell>
          <cell r="AL108">
            <v>0</v>
          </cell>
          <cell r="AM108">
            <v>0</v>
          </cell>
          <cell r="AN108">
            <v>-16.768000000000001</v>
          </cell>
          <cell r="AO108">
            <v>0</v>
          </cell>
          <cell r="AP108">
            <v>-3.2229999999999999</v>
          </cell>
          <cell r="AQ108">
            <v>0</v>
          </cell>
          <cell r="AR108">
            <v>86.546000000000006</v>
          </cell>
          <cell r="AS108">
            <v>7.3419999999999996</v>
          </cell>
          <cell r="AT108">
            <v>0</v>
          </cell>
          <cell r="AU108">
            <v>0</v>
          </cell>
          <cell r="AV108">
            <v>0</v>
          </cell>
          <cell r="AW108">
            <v>0</v>
          </cell>
          <cell r="AX108">
            <v>0</v>
          </cell>
          <cell r="AY108">
            <v>25</v>
          </cell>
          <cell r="AZ108">
            <v>26</v>
          </cell>
          <cell r="BA108">
            <v>27</v>
          </cell>
          <cell r="BB108">
            <v>29</v>
          </cell>
          <cell r="BC108">
            <v>29</v>
          </cell>
          <cell r="BD108">
            <v>0</v>
          </cell>
          <cell r="BE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0</v>
          </cell>
          <cell r="CD108">
            <v>0</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0</v>
          </cell>
          <cell r="DE108">
            <v>0</v>
          </cell>
          <cell r="DF108">
            <v>0</v>
          </cell>
          <cell r="DG108">
            <v>-17.725999999999999</v>
          </cell>
          <cell r="DH108">
            <v>0</v>
          </cell>
          <cell r="DI108">
            <v>-19.991</v>
          </cell>
          <cell r="DJ108">
            <v>93.888000000000005</v>
          </cell>
          <cell r="DK108">
            <v>0</v>
          </cell>
          <cell r="DL108">
            <v>107</v>
          </cell>
          <cell r="DM108">
            <v>29</v>
          </cell>
          <cell r="DN108">
            <v>0</v>
          </cell>
          <cell r="DO108">
            <v>0</v>
          </cell>
          <cell r="DP108">
            <v>0</v>
          </cell>
          <cell r="DQ108">
            <v>0</v>
          </cell>
          <cell r="DR108">
            <v>0</v>
          </cell>
          <cell r="DS108">
            <v>0</v>
          </cell>
          <cell r="DT108">
            <v>0</v>
          </cell>
          <cell r="DU108">
            <v>0</v>
          </cell>
          <cell r="DV108">
            <v>0</v>
          </cell>
          <cell r="DW108">
            <v>0</v>
          </cell>
          <cell r="DX108">
            <v>0</v>
          </cell>
          <cell r="DY108">
            <v>0</v>
          </cell>
          <cell r="DZ108">
            <v>0</v>
          </cell>
          <cell r="EA108">
            <v>0</v>
          </cell>
          <cell r="EB108">
            <v>0</v>
          </cell>
          <cell r="EC108">
            <v>0</v>
          </cell>
          <cell r="ED108">
            <v>0</v>
          </cell>
          <cell r="EE108">
            <v>0</v>
          </cell>
          <cell r="EF108">
            <v>0</v>
          </cell>
        </row>
        <row r="109">
          <cell r="A109" t="str">
            <v>Discontinued Operations</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11</v>
          </cell>
          <cell r="BT109">
            <v>-33</v>
          </cell>
          <cell r="BU109">
            <v>-53</v>
          </cell>
          <cell r="BV109">
            <v>60</v>
          </cell>
          <cell r="BW109">
            <v>18</v>
          </cell>
          <cell r="BX109">
            <v>-8</v>
          </cell>
          <cell r="BY109">
            <v>-46</v>
          </cell>
          <cell r="BZ109">
            <v>10</v>
          </cell>
          <cell r="CA109">
            <v>-69</v>
          </cell>
          <cell r="CB109">
            <v>75</v>
          </cell>
          <cell r="CC109">
            <v>-102</v>
          </cell>
          <cell r="CD109">
            <v>-34</v>
          </cell>
          <cell r="CE109">
            <v>23</v>
          </cell>
          <cell r="CF109">
            <v>-4</v>
          </cell>
          <cell r="CG109">
            <v>-31</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-15</v>
          </cell>
          <cell r="DR109">
            <v>-26</v>
          </cell>
          <cell r="DS109">
            <v>-130</v>
          </cell>
          <cell r="DT109">
            <v>-12</v>
          </cell>
          <cell r="DU109">
            <v>0</v>
          </cell>
          <cell r="DV109">
            <v>0</v>
          </cell>
          <cell r="DW109">
            <v>0</v>
          </cell>
          <cell r="DX109">
            <v>0</v>
          </cell>
          <cell r="DY109">
            <v>0</v>
          </cell>
          <cell r="DZ109">
            <v>0</v>
          </cell>
          <cell r="EA109">
            <v>-130</v>
          </cell>
          <cell r="EB109">
            <v>-11</v>
          </cell>
          <cell r="EC109">
            <v>0</v>
          </cell>
          <cell r="ED109">
            <v>0</v>
          </cell>
          <cell r="EE109">
            <v>0</v>
          </cell>
          <cell r="EF109">
            <v>0</v>
          </cell>
        </row>
        <row r="110">
          <cell r="A110" t="str">
            <v>Acquisition Integration</v>
          </cell>
          <cell r="B110">
            <v>0</v>
          </cell>
          <cell r="C110">
            <v>0</v>
          </cell>
          <cell r="D110">
            <v>0</v>
          </cell>
          <cell r="E110">
            <v>0</v>
          </cell>
          <cell r="F110">
            <v>0</v>
          </cell>
          <cell r="G110">
            <v>0</v>
          </cell>
          <cell r="H110">
            <v>0</v>
          </cell>
          <cell r="I110">
            <v>0</v>
          </cell>
          <cell r="J110">
            <v>0</v>
          </cell>
          <cell r="K110">
            <v>0</v>
          </cell>
          <cell r="L110">
            <v>11</v>
          </cell>
          <cell r="M110">
            <v>1.1000000000000001</v>
          </cell>
          <cell r="N110">
            <v>0</v>
          </cell>
          <cell r="O110">
            <v>0</v>
          </cell>
          <cell r="P110">
            <v>0</v>
          </cell>
          <cell r="Q110">
            <v>0</v>
          </cell>
          <cell r="R110">
            <v>-4.26</v>
          </cell>
          <cell r="S110">
            <v>0</v>
          </cell>
          <cell r="T110">
            <v>0</v>
          </cell>
          <cell r="U110">
            <v>11.074000000000002</v>
          </cell>
          <cell r="V110">
            <v>6.4599999999999991</v>
          </cell>
          <cell r="W110">
            <v>0.109</v>
          </cell>
          <cell r="X110">
            <v>14.911</v>
          </cell>
          <cell r="Y110">
            <v>0.109</v>
          </cell>
          <cell r="Z110">
            <v>105.63500000000001</v>
          </cell>
          <cell r="AA110">
            <v>7.9319999999999995</v>
          </cell>
          <cell r="AB110">
            <v>15.716000000000001</v>
          </cell>
          <cell r="AC110">
            <v>5.7160000000000002</v>
          </cell>
          <cell r="AD110">
            <v>0.94800000000000006</v>
          </cell>
          <cell r="AE110">
            <v>-2.0120000000000005</v>
          </cell>
          <cell r="AF110">
            <v>1.6850000000000001</v>
          </cell>
          <cell r="AG110">
            <v>3.1230000000000011</v>
          </cell>
          <cell r="AH110">
            <v>1.3140000000000001</v>
          </cell>
          <cell r="AI110">
            <v>32.456000000000003</v>
          </cell>
          <cell r="AJ110">
            <v>268.80399999999997</v>
          </cell>
          <cell r="AK110">
            <v>191.416</v>
          </cell>
          <cell r="AL110">
            <v>155.31700000000004</v>
          </cell>
          <cell r="AM110">
            <v>0</v>
          </cell>
          <cell r="AN110">
            <v>0</v>
          </cell>
          <cell r="AO110">
            <v>0</v>
          </cell>
          <cell r="AP110">
            <v>7.5650000000000004</v>
          </cell>
          <cell r="AQ110">
            <v>22.506</v>
          </cell>
          <cell r="AR110">
            <v>18.243000000000002</v>
          </cell>
          <cell r="AS110">
            <v>13.775</v>
          </cell>
          <cell r="AT110">
            <v>-50.253999999999998</v>
          </cell>
          <cell r="AU110">
            <v>5.73</v>
          </cell>
          <cell r="AV110">
            <v>33.284999999999997</v>
          </cell>
          <cell r="AW110">
            <v>42.75</v>
          </cell>
          <cell r="AX110">
            <v>27.299000000000003</v>
          </cell>
          <cell r="AY110">
            <v>12</v>
          </cell>
          <cell r="AZ110">
            <v>5</v>
          </cell>
          <cell r="BA110">
            <v>-43</v>
          </cell>
          <cell r="BB110">
            <v>4</v>
          </cell>
          <cell r="BC110">
            <v>5</v>
          </cell>
          <cell r="BD110">
            <v>0</v>
          </cell>
          <cell r="BE110">
            <v>0</v>
          </cell>
          <cell r="BF110">
            <v>29</v>
          </cell>
          <cell r="BG110">
            <v>19</v>
          </cell>
          <cell r="BH110">
            <v>16</v>
          </cell>
          <cell r="BI110">
            <v>12</v>
          </cell>
          <cell r="BJ110">
            <v>23</v>
          </cell>
          <cell r="BK110">
            <v>0</v>
          </cell>
          <cell r="BL110">
            <v>15</v>
          </cell>
          <cell r="BM110">
            <v>15</v>
          </cell>
          <cell r="BN110">
            <v>15</v>
          </cell>
          <cell r="BO110">
            <v>0</v>
          </cell>
          <cell r="BP110">
            <v>1</v>
          </cell>
          <cell r="BQ110">
            <v>2</v>
          </cell>
          <cell r="BR110">
            <v>1</v>
          </cell>
          <cell r="BS110">
            <v>0</v>
          </cell>
          <cell r="BT110">
            <v>0</v>
          </cell>
          <cell r="BU110">
            <v>0</v>
          </cell>
          <cell r="BV110">
            <v>0</v>
          </cell>
          <cell r="BW110">
            <v>0</v>
          </cell>
          <cell r="BX110">
            <v>0</v>
          </cell>
          <cell r="BY110">
            <v>0</v>
          </cell>
          <cell r="BZ110">
            <v>0</v>
          </cell>
          <cell r="CA110">
            <v>8</v>
          </cell>
          <cell r="CB110">
            <v>102</v>
          </cell>
          <cell r="CC110">
            <v>29</v>
          </cell>
          <cell r="CD110">
            <v>40</v>
          </cell>
          <cell r="CE110">
            <v>19</v>
          </cell>
          <cell r="CF110">
            <v>19</v>
          </cell>
          <cell r="CG110">
            <v>13</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12.1</v>
          </cell>
          <cell r="DC110">
            <v>-4.26</v>
          </cell>
          <cell r="DD110">
            <v>17.533999999999999</v>
          </cell>
          <cell r="DE110">
            <v>120.76400000000001</v>
          </cell>
          <cell r="DF110">
            <v>30.312000000000001</v>
          </cell>
          <cell r="DG110">
            <v>4.1100000000000012</v>
          </cell>
          <cell r="DH110">
            <v>647.99300000000005</v>
          </cell>
          <cell r="DI110">
            <v>7.5650000000000004</v>
          </cell>
          <cell r="DJ110">
            <v>4.2700000000000031</v>
          </cell>
          <cell r="DK110">
            <v>109.06400000000001</v>
          </cell>
          <cell r="DL110">
            <v>-22</v>
          </cell>
          <cell r="DM110">
            <v>34</v>
          </cell>
          <cell r="DN110">
            <v>70</v>
          </cell>
          <cell r="DO110">
            <v>45</v>
          </cell>
          <cell r="DP110">
            <v>4</v>
          </cell>
          <cell r="DQ110">
            <v>0</v>
          </cell>
          <cell r="DR110">
            <v>0</v>
          </cell>
          <cell r="DS110">
            <v>179</v>
          </cell>
          <cell r="DT110">
            <v>51</v>
          </cell>
          <cell r="DU110">
            <v>0</v>
          </cell>
          <cell r="DV110">
            <v>0</v>
          </cell>
          <cell r="DW110">
            <v>0</v>
          </cell>
          <cell r="DX110">
            <v>0</v>
          </cell>
          <cell r="DY110">
            <v>0</v>
          </cell>
          <cell r="DZ110">
            <v>0</v>
          </cell>
          <cell r="EA110">
            <v>179</v>
          </cell>
          <cell r="EB110">
            <v>60</v>
          </cell>
          <cell r="EC110">
            <v>0</v>
          </cell>
          <cell r="ED110">
            <v>0</v>
          </cell>
          <cell r="EE110">
            <v>0</v>
          </cell>
          <cell r="EF110">
            <v>0</v>
          </cell>
        </row>
        <row r="111">
          <cell r="A111" t="str">
            <v>Other</v>
          </cell>
          <cell r="B111">
            <v>0</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0.40700000000000003</v>
          </cell>
          <cell r="AW111">
            <v>7005.7020000000002</v>
          </cell>
          <cell r="AX111">
            <v>412.87200000000001</v>
          </cell>
          <cell r="AY111">
            <v>-2</v>
          </cell>
          <cell r="AZ111">
            <v>2</v>
          </cell>
          <cell r="BA111">
            <v>-41</v>
          </cell>
          <cell r="BB111">
            <v>0</v>
          </cell>
          <cell r="BC111">
            <v>-17</v>
          </cell>
          <cell r="BD111">
            <v>0</v>
          </cell>
          <cell r="BE111">
            <v>0</v>
          </cell>
          <cell r="BF111">
            <v>0</v>
          </cell>
          <cell r="BG111">
            <v>0</v>
          </cell>
          <cell r="BH111">
            <v>0</v>
          </cell>
          <cell r="BI111">
            <v>0</v>
          </cell>
          <cell r="BJ111">
            <v>-526</v>
          </cell>
          <cell r="BK111">
            <v>20</v>
          </cell>
          <cell r="BL111">
            <v>3</v>
          </cell>
          <cell r="BM111">
            <v>-24</v>
          </cell>
          <cell r="BN111">
            <v>-2</v>
          </cell>
          <cell r="BO111">
            <v>-11</v>
          </cell>
          <cell r="BP111">
            <v>-16</v>
          </cell>
          <cell r="BQ111">
            <v>0</v>
          </cell>
          <cell r="BR111">
            <v>11</v>
          </cell>
          <cell r="BS111">
            <v>0</v>
          </cell>
          <cell r="BT111">
            <v>0</v>
          </cell>
          <cell r="BU111">
            <v>0</v>
          </cell>
          <cell r="BV111">
            <v>30</v>
          </cell>
          <cell r="BW111">
            <v>0</v>
          </cell>
          <cell r="BX111">
            <v>0</v>
          </cell>
          <cell r="BY111">
            <v>0</v>
          </cell>
          <cell r="BZ111">
            <v>-3058</v>
          </cell>
          <cell r="CA111">
            <v>0</v>
          </cell>
          <cell r="CB111">
            <v>0</v>
          </cell>
          <cell r="CC111">
            <v>68</v>
          </cell>
          <cell r="CD111">
            <v>77</v>
          </cell>
          <cell r="CE111">
            <v>80</v>
          </cell>
          <cell r="CF111">
            <v>41</v>
          </cell>
          <cell r="CG111">
            <v>34</v>
          </cell>
          <cell r="CH111">
            <v>0</v>
          </cell>
          <cell r="CI111">
            <v>0</v>
          </cell>
          <cell r="CJ111">
            <v>0</v>
          </cell>
          <cell r="CK111">
            <v>0</v>
          </cell>
          <cell r="CL111">
            <v>0</v>
          </cell>
          <cell r="CM111">
            <v>0</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0</v>
          </cell>
          <cell r="DE111">
            <v>0</v>
          </cell>
          <cell r="DF111">
            <v>0</v>
          </cell>
          <cell r="DG111">
            <v>0</v>
          </cell>
          <cell r="DH111">
            <v>0</v>
          </cell>
          <cell r="DI111">
            <v>0</v>
          </cell>
          <cell r="DJ111">
            <v>0</v>
          </cell>
          <cell r="DK111">
            <v>7418.9810000000007</v>
          </cell>
          <cell r="DL111">
            <v>-41</v>
          </cell>
          <cell r="DM111">
            <v>-17</v>
          </cell>
          <cell r="DN111">
            <v>-526</v>
          </cell>
          <cell r="DO111">
            <v>-3</v>
          </cell>
          <cell r="DP111">
            <v>-16</v>
          </cell>
          <cell r="DQ111">
            <v>30</v>
          </cell>
          <cell r="DR111">
            <v>-3058</v>
          </cell>
          <cell r="DS111">
            <v>145</v>
          </cell>
          <cell r="DT111">
            <v>155</v>
          </cell>
          <cell r="DU111">
            <v>0</v>
          </cell>
          <cell r="DV111">
            <v>0</v>
          </cell>
          <cell r="DW111">
            <v>0</v>
          </cell>
          <cell r="DX111">
            <v>0</v>
          </cell>
          <cell r="DY111">
            <v>0</v>
          </cell>
          <cell r="DZ111">
            <v>0</v>
          </cell>
          <cell r="EA111">
            <v>145</v>
          </cell>
          <cell r="EB111">
            <v>203</v>
          </cell>
          <cell r="EC111">
            <v>0</v>
          </cell>
          <cell r="ED111">
            <v>0</v>
          </cell>
          <cell r="EE111">
            <v>0</v>
          </cell>
          <cell r="EF111">
            <v>0</v>
          </cell>
        </row>
        <row r="112">
          <cell r="A112" t="str">
            <v>Total non-cash and extraordinary items</v>
          </cell>
          <cell r="B112">
            <v>0</v>
          </cell>
          <cell r="C112">
            <v>0</v>
          </cell>
          <cell r="D112">
            <v>0</v>
          </cell>
          <cell r="E112">
            <v>0</v>
          </cell>
          <cell r="F112">
            <v>0</v>
          </cell>
          <cell r="G112">
            <v>0</v>
          </cell>
          <cell r="H112">
            <v>0</v>
          </cell>
          <cell r="I112">
            <v>0</v>
          </cell>
          <cell r="J112">
            <v>0</v>
          </cell>
          <cell r="K112">
            <v>7.76</v>
          </cell>
          <cell r="L112">
            <v>29.429000000000002</v>
          </cell>
          <cell r="M112">
            <v>40.372999999999998</v>
          </cell>
          <cell r="N112">
            <v>42.612000000000002</v>
          </cell>
          <cell r="O112">
            <v>40.125999999999998</v>
          </cell>
          <cell r="P112">
            <v>39.932000000000002</v>
          </cell>
          <cell r="Q112">
            <v>57.614999999999995</v>
          </cell>
          <cell r="R112">
            <v>102.473</v>
          </cell>
          <cell r="S112">
            <v>86.677999999999997</v>
          </cell>
          <cell r="T112">
            <v>85.534999999999997</v>
          </cell>
          <cell r="U112">
            <v>101.998</v>
          </cell>
          <cell r="V112">
            <v>98.358999999999995</v>
          </cell>
          <cell r="W112">
            <v>46.832999999999998</v>
          </cell>
          <cell r="X112">
            <v>56.563000000000002</v>
          </cell>
          <cell r="Y112">
            <v>38.008000000000003</v>
          </cell>
          <cell r="Z112">
            <v>148.62900000000002</v>
          </cell>
          <cell r="AA112">
            <v>53.352000000000096</v>
          </cell>
          <cell r="AB112">
            <v>44.493000000000002</v>
          </cell>
          <cell r="AC112">
            <v>23.999000000000002</v>
          </cell>
          <cell r="AD112">
            <v>24.481000000000002</v>
          </cell>
          <cell r="AE112">
            <v>15.973999999999997</v>
          </cell>
          <cell r="AF112">
            <v>19.997999999999998</v>
          </cell>
          <cell r="AG112">
            <v>22.989000000000004</v>
          </cell>
          <cell r="AH112">
            <v>31.679000000000002</v>
          </cell>
          <cell r="AI112">
            <v>77.337000000000003</v>
          </cell>
          <cell r="AJ112">
            <v>621.20699999999988</v>
          </cell>
          <cell r="AK112">
            <v>269.923</v>
          </cell>
          <cell r="AL112">
            <v>221.23600000000005</v>
          </cell>
          <cell r="AM112">
            <v>175.78100000000001</v>
          </cell>
          <cell r="AN112">
            <v>139.33599999999998</v>
          </cell>
          <cell r="AO112">
            <v>146.35299999999998</v>
          </cell>
          <cell r="AP112">
            <v>190.649</v>
          </cell>
          <cell r="AQ112">
            <v>190.03399999999999</v>
          </cell>
          <cell r="AR112">
            <v>261.67</v>
          </cell>
          <cell r="AS112">
            <v>181.066</v>
          </cell>
          <cell r="AT112">
            <v>116.28800000000004</v>
          </cell>
          <cell r="AU112">
            <v>162.679</v>
          </cell>
          <cell r="AV112">
            <v>185.73500000000001</v>
          </cell>
          <cell r="AW112">
            <v>7237.4270000000006</v>
          </cell>
          <cell r="AX112">
            <v>617.73900000000003</v>
          </cell>
          <cell r="AY112">
            <v>233</v>
          </cell>
          <cell r="AZ112">
            <v>167</v>
          </cell>
          <cell r="BA112">
            <v>63</v>
          </cell>
          <cell r="BB112">
            <v>185</v>
          </cell>
          <cell r="BC112">
            <v>180</v>
          </cell>
          <cell r="BD112">
            <v>150</v>
          </cell>
          <cell r="BE112">
            <v>154</v>
          </cell>
          <cell r="BF112">
            <v>152</v>
          </cell>
          <cell r="BG112">
            <v>124</v>
          </cell>
          <cell r="BH112">
            <v>122</v>
          </cell>
          <cell r="BI112">
            <v>115</v>
          </cell>
          <cell r="BJ112">
            <v>-372</v>
          </cell>
          <cell r="BK112">
            <v>148</v>
          </cell>
          <cell r="BL112">
            <v>132</v>
          </cell>
          <cell r="BM112">
            <v>109</v>
          </cell>
          <cell r="BN112">
            <v>140</v>
          </cell>
          <cell r="BO112">
            <v>158</v>
          </cell>
          <cell r="BP112">
            <v>149</v>
          </cell>
          <cell r="BQ112">
            <v>75</v>
          </cell>
          <cell r="BR112">
            <v>91.6</v>
          </cell>
          <cell r="BS112">
            <v>52</v>
          </cell>
          <cell r="BT112">
            <v>12</v>
          </cell>
          <cell r="BU112">
            <v>19</v>
          </cell>
          <cell r="BV112">
            <v>183</v>
          </cell>
          <cell r="BW112">
            <v>67</v>
          </cell>
          <cell r="BX112">
            <v>37</v>
          </cell>
          <cell r="BY112">
            <v>17</v>
          </cell>
          <cell r="BZ112">
            <v>-3012</v>
          </cell>
          <cell r="CA112">
            <v>29</v>
          </cell>
          <cell r="CB112">
            <v>310</v>
          </cell>
          <cell r="CC112">
            <v>156</v>
          </cell>
          <cell r="CD112">
            <v>265</v>
          </cell>
          <cell r="CE112">
            <v>324</v>
          </cell>
          <cell r="CF112">
            <v>269</v>
          </cell>
          <cell r="CG112">
            <v>-438</v>
          </cell>
          <cell r="CH112">
            <v>251.37407797681772</v>
          </cell>
          <cell r="CI112">
            <v>202.41407797681774</v>
          </cell>
          <cell r="CJ112">
            <v>170.10047797681773</v>
          </cell>
          <cell r="CK112">
            <v>148.77350197681773</v>
          </cell>
          <cell r="CL112">
            <v>134.69769781681771</v>
          </cell>
          <cell r="CM112">
            <v>107.37407797681772</v>
          </cell>
          <cell r="CN112">
            <v>107.37407797681772</v>
          </cell>
          <cell r="CO112">
            <v>107.37407797681772</v>
          </cell>
          <cell r="CP112">
            <v>107.37407797681772</v>
          </cell>
          <cell r="CQ112">
            <v>107.37407797681772</v>
          </cell>
          <cell r="CR112">
            <v>107.37407797681772</v>
          </cell>
          <cell r="CS112">
            <v>107.37407797681772</v>
          </cell>
          <cell r="CT112">
            <v>107.37407797681772</v>
          </cell>
          <cell r="CU112">
            <v>107.37407797681772</v>
          </cell>
          <cell r="CV112">
            <v>107.37407797681772</v>
          </cell>
          <cell r="CW112">
            <v>107.37407797681772</v>
          </cell>
          <cell r="CX112">
            <v>107.37407797681772</v>
          </cell>
          <cell r="CY112">
            <v>0</v>
          </cell>
          <cell r="CZ112">
            <v>0</v>
          </cell>
          <cell r="DA112">
            <v>0</v>
          </cell>
          <cell r="DB112">
            <v>120.17399999999999</v>
          </cell>
          <cell r="DC112">
            <v>240.14600000000002</v>
          </cell>
          <cell r="DD112">
            <v>372.57</v>
          </cell>
          <cell r="DE112">
            <v>290.03300000000002</v>
          </cell>
          <cell r="DF112">
            <v>146.3250000000001</v>
          </cell>
          <cell r="DG112">
            <v>90.64</v>
          </cell>
          <cell r="DH112">
            <v>1189.703</v>
          </cell>
          <cell r="DI112">
            <v>652.11900000000003</v>
          </cell>
          <cell r="DJ112">
            <v>749.05800000000011</v>
          </cell>
          <cell r="DK112">
            <v>8203.58</v>
          </cell>
          <cell r="DL112">
            <v>648</v>
          </cell>
          <cell r="DM112">
            <v>636</v>
          </cell>
          <cell r="DN112">
            <v>-11</v>
          </cell>
          <cell r="DO112">
            <v>529</v>
          </cell>
          <cell r="DP112">
            <v>473.6</v>
          </cell>
          <cell r="DQ112">
            <v>266</v>
          </cell>
          <cell r="DR112">
            <v>-2891</v>
          </cell>
          <cell r="DS112">
            <v>760</v>
          </cell>
          <cell r="DT112">
            <v>406.37407797681772</v>
          </cell>
          <cell r="DU112">
            <v>655.9857557472709</v>
          </cell>
          <cell r="DV112">
            <v>429.49631190727087</v>
          </cell>
          <cell r="DW112">
            <v>429.49631190727087</v>
          </cell>
          <cell r="DX112">
            <v>429.49631190727087</v>
          </cell>
          <cell r="DY112">
            <v>0</v>
          </cell>
          <cell r="DZ112">
            <v>0</v>
          </cell>
          <cell r="EA112">
            <v>760</v>
          </cell>
          <cell r="EB112">
            <v>464</v>
          </cell>
          <cell r="EC112">
            <v>648.56858215982572</v>
          </cell>
          <cell r="ED112">
            <v>429.9433551198257</v>
          </cell>
          <cell r="EE112">
            <v>429.9433551198257</v>
          </cell>
          <cell r="EF112">
            <v>429.9433551198257</v>
          </cell>
        </row>
        <row r="113">
          <cell r="A113" t="str">
            <v>Op. income, incl. non-cash items</v>
          </cell>
          <cell r="B113">
            <v>0</v>
          </cell>
          <cell r="C113">
            <v>0</v>
          </cell>
          <cell r="D113">
            <v>0</v>
          </cell>
          <cell r="E113">
            <v>0</v>
          </cell>
          <cell r="F113">
            <v>0</v>
          </cell>
          <cell r="G113">
            <v>0</v>
          </cell>
          <cell r="H113">
            <v>0</v>
          </cell>
          <cell r="I113">
            <v>0</v>
          </cell>
          <cell r="J113">
            <v>0</v>
          </cell>
          <cell r="K113">
            <v>51.112999999999992</v>
          </cell>
          <cell r="L113">
            <v>37.594000000000023</v>
          </cell>
          <cell r="M113">
            <v>104.16000000000003</v>
          </cell>
          <cell r="N113">
            <v>113.03399999999996</v>
          </cell>
          <cell r="O113">
            <v>91.767999999999944</v>
          </cell>
          <cell r="P113">
            <v>99.145000000000053</v>
          </cell>
          <cell r="Q113">
            <v>95.213000000000036</v>
          </cell>
          <cell r="R113">
            <v>71.939000000000036</v>
          </cell>
          <cell r="S113">
            <v>88.657000000000039</v>
          </cell>
          <cell r="T113">
            <v>76.388000000000005</v>
          </cell>
          <cell r="U113">
            <v>59.548000000000044</v>
          </cell>
          <cell r="V113">
            <v>73.680000000000049</v>
          </cell>
          <cell r="W113">
            <v>144.35800000000003</v>
          </cell>
          <cell r="X113">
            <v>109.90899999999998</v>
          </cell>
          <cell r="Y113">
            <v>149.32299999999995</v>
          </cell>
          <cell r="Z113">
            <v>67.254999999999995</v>
          </cell>
          <cell r="AA113">
            <v>152.31099999999986</v>
          </cell>
          <cell r="AB113">
            <v>192.43900000000002</v>
          </cell>
          <cell r="AC113">
            <v>266.69099999999992</v>
          </cell>
          <cell r="AD113">
            <v>297.87800000000004</v>
          </cell>
          <cell r="AE113">
            <v>311.30599999999987</v>
          </cell>
          <cell r="AF113">
            <v>318.49999999999994</v>
          </cell>
          <cell r="AG113">
            <v>356.55499999999995</v>
          </cell>
          <cell r="AH113">
            <v>404.98</v>
          </cell>
          <cell r="AI113">
            <v>337.81299999999999</v>
          </cell>
          <cell r="AJ113">
            <v>-258.34699999999998</v>
          </cell>
          <cell r="AK113">
            <v>119.66100000000006</v>
          </cell>
          <cell r="AL113">
            <v>180.33299999999991</v>
          </cell>
          <cell r="AM113">
            <v>144.07000000000005</v>
          </cell>
          <cell r="AN113">
            <v>157.16000000000017</v>
          </cell>
          <cell r="AO113">
            <v>159.03900000000002</v>
          </cell>
          <cell r="AP113">
            <v>79.463999999999885</v>
          </cell>
          <cell r="AQ113">
            <v>134.19599999999991</v>
          </cell>
          <cell r="AR113">
            <v>58.888000000000147</v>
          </cell>
          <cell r="AS113">
            <v>199.05200000000011</v>
          </cell>
          <cell r="AT113">
            <v>272.02499999999998</v>
          </cell>
          <cell r="AU113">
            <v>277.56600000000014</v>
          </cell>
          <cell r="AV113">
            <v>212.64199999999994</v>
          </cell>
          <cell r="AW113">
            <v>-6776.3340000000007</v>
          </cell>
          <cell r="AX113">
            <v>-198.13600000000014</v>
          </cell>
          <cell r="AY113">
            <v>129</v>
          </cell>
          <cell r="AZ113">
            <v>229</v>
          </cell>
          <cell r="BA113">
            <v>337</v>
          </cell>
          <cell r="BB113">
            <v>218</v>
          </cell>
          <cell r="BC113">
            <v>165</v>
          </cell>
          <cell r="BD113">
            <v>186</v>
          </cell>
          <cell r="BE113">
            <v>188</v>
          </cell>
          <cell r="BF113">
            <v>215</v>
          </cell>
          <cell r="BG113">
            <v>275</v>
          </cell>
          <cell r="BH113">
            <v>260</v>
          </cell>
          <cell r="BI113">
            <v>302</v>
          </cell>
          <cell r="BJ113">
            <v>732</v>
          </cell>
          <cell r="BK113">
            <v>202</v>
          </cell>
          <cell r="BL113">
            <v>261</v>
          </cell>
          <cell r="BM113">
            <v>302</v>
          </cell>
          <cell r="BN113">
            <v>244</v>
          </cell>
          <cell r="BO113">
            <v>233</v>
          </cell>
          <cell r="BP113">
            <v>263</v>
          </cell>
          <cell r="BQ113">
            <v>400</v>
          </cell>
          <cell r="BR113">
            <v>312.39999999999998</v>
          </cell>
          <cell r="BS113">
            <v>262</v>
          </cell>
          <cell r="BT113">
            <v>308</v>
          </cell>
          <cell r="BU113">
            <v>281</v>
          </cell>
          <cell r="BV113">
            <v>72</v>
          </cell>
          <cell r="BW113">
            <v>175</v>
          </cell>
          <cell r="BX113">
            <v>203</v>
          </cell>
          <cell r="BY113">
            <v>202</v>
          </cell>
          <cell r="BZ113">
            <v>3186</v>
          </cell>
          <cell r="CA113">
            <v>175</v>
          </cell>
          <cell r="CB113">
            <v>-99</v>
          </cell>
          <cell r="CC113">
            <v>78</v>
          </cell>
          <cell r="CD113">
            <v>-160</v>
          </cell>
          <cell r="CE113">
            <v>-94</v>
          </cell>
          <cell r="CF113">
            <v>-10</v>
          </cell>
          <cell r="CG113">
            <v>776</v>
          </cell>
          <cell r="CH113">
            <v>4.5110451878969116</v>
          </cell>
          <cell r="CI113">
            <v>170.96196173683808</v>
          </cell>
          <cell r="CJ113">
            <v>213.6054048515839</v>
          </cell>
          <cell r="CK113">
            <v>212.19161962528102</v>
          </cell>
          <cell r="CL113">
            <v>224.2112547616062</v>
          </cell>
          <cell r="CM113">
            <v>303.53855041190837</v>
          </cell>
          <cell r="CN113">
            <v>306.97721074141344</v>
          </cell>
          <cell r="CO113">
            <v>272.09645785344151</v>
          </cell>
          <cell r="CP113">
            <v>268.46591587626102</v>
          </cell>
          <cell r="CQ113">
            <v>336.0007480177232</v>
          </cell>
          <cell r="CR113">
            <v>338.9566256360888</v>
          </cell>
          <cell r="CS113">
            <v>301.16076054437428</v>
          </cell>
          <cell r="CT113">
            <v>291.5057820861698</v>
          </cell>
          <cell r="CU113">
            <v>363.22593561581721</v>
          </cell>
          <cell r="CV113">
            <v>366.93078333396159</v>
          </cell>
          <cell r="CW113">
            <v>326.59682382027694</v>
          </cell>
          <cell r="CX113">
            <v>317.4714299547822</v>
          </cell>
          <cell r="CY113">
            <v>0</v>
          </cell>
          <cell r="CZ113" t="e">
            <v>#VALUE!</v>
          </cell>
          <cell r="DA113" t="e">
            <v>#VALUE!</v>
          </cell>
          <cell r="DB113">
            <v>305.90099999999984</v>
          </cell>
          <cell r="DC113">
            <v>358.065</v>
          </cell>
          <cell r="DD113">
            <v>298.27300000000054</v>
          </cell>
          <cell r="DE113">
            <v>470.84499999999946</v>
          </cell>
          <cell r="DF113">
            <v>909.31900000000041</v>
          </cell>
          <cell r="DG113">
            <v>1391.3409999999997</v>
          </cell>
          <cell r="DH113">
            <v>379.46000000000004</v>
          </cell>
          <cell r="DI113">
            <v>539.73300000000052</v>
          </cell>
          <cell r="DJ113">
            <v>664.16100000000017</v>
          </cell>
          <cell r="DK113">
            <v>-6484.2619999999988</v>
          </cell>
          <cell r="DL113">
            <v>913</v>
          </cell>
          <cell r="DM113">
            <v>754</v>
          </cell>
          <cell r="DN113">
            <v>1569</v>
          </cell>
          <cell r="DO113">
            <v>1009</v>
          </cell>
          <cell r="DP113">
            <v>1208.4000000000001</v>
          </cell>
          <cell r="DQ113">
            <v>923</v>
          </cell>
          <cell r="DR113">
            <v>3766</v>
          </cell>
          <cell r="DS113">
            <v>-6</v>
          </cell>
          <cell r="DT113">
            <v>676.51104518789725</v>
          </cell>
          <cell r="DU113">
            <v>820.97024097530937</v>
          </cell>
          <cell r="DV113">
            <v>1151.0781348830253</v>
          </cell>
          <cell r="DW113">
            <v>1267.6239162843572</v>
          </cell>
          <cell r="DX113">
            <v>1374.2249727248379</v>
          </cell>
          <cell r="DY113">
            <v>0</v>
          </cell>
          <cell r="DZ113">
            <v>0</v>
          </cell>
          <cell r="EA113">
            <v>-6</v>
          </cell>
          <cell r="EB113">
            <v>643</v>
          </cell>
          <cell r="EC113">
            <v>618.51780297346988</v>
          </cell>
          <cell r="ED113">
            <v>1074.362314889624</v>
          </cell>
          <cell r="EE113">
            <v>1160.8187669176978</v>
          </cell>
          <cell r="EF113">
            <v>1261.3115237780312</v>
          </cell>
        </row>
        <row r="114">
          <cell r="A114" t="str">
            <v>Pretax income</v>
          </cell>
          <cell r="B114">
            <v>0</v>
          </cell>
          <cell r="C114">
            <v>0</v>
          </cell>
          <cell r="D114">
            <v>0</v>
          </cell>
          <cell r="E114">
            <v>0</v>
          </cell>
          <cell r="F114">
            <v>0</v>
          </cell>
          <cell r="G114">
            <v>0</v>
          </cell>
          <cell r="H114">
            <v>0</v>
          </cell>
          <cell r="I114">
            <v>0</v>
          </cell>
          <cell r="J114">
            <v>0</v>
          </cell>
          <cell r="K114">
            <v>56.002999999999993</v>
          </cell>
          <cell r="L114">
            <v>42.604000000000021</v>
          </cell>
          <cell r="M114">
            <v>107.31900000000003</v>
          </cell>
          <cell r="N114">
            <v>120.52499999999996</v>
          </cell>
          <cell r="O114">
            <v>97.681999999999945</v>
          </cell>
          <cell r="P114">
            <v>104.42900000000006</v>
          </cell>
          <cell r="Q114">
            <v>100.21300000000004</v>
          </cell>
          <cell r="R114">
            <v>76.189000000000036</v>
          </cell>
          <cell r="S114">
            <v>92.907000000000039</v>
          </cell>
          <cell r="T114">
            <v>81.03</v>
          </cell>
          <cell r="U114">
            <v>63.935000000000045</v>
          </cell>
          <cell r="V114">
            <v>75.937000000000054</v>
          </cell>
          <cell r="W114">
            <v>146.59400000000002</v>
          </cell>
          <cell r="X114">
            <v>112.35299999999998</v>
          </cell>
          <cell r="Y114">
            <v>149.06699999999995</v>
          </cell>
          <cell r="Z114">
            <v>69.708999999999989</v>
          </cell>
          <cell r="AA114">
            <v>154.47899999999987</v>
          </cell>
          <cell r="AB114">
            <v>194.59700000000001</v>
          </cell>
          <cell r="AC114">
            <v>271.90599999999989</v>
          </cell>
          <cell r="AD114">
            <v>297.88400000000001</v>
          </cell>
          <cell r="AE114">
            <v>311.30599999999987</v>
          </cell>
          <cell r="AF114">
            <v>318.49999999999994</v>
          </cell>
          <cell r="AG114">
            <v>356.55499999999995</v>
          </cell>
          <cell r="AH114">
            <v>404.98</v>
          </cell>
          <cell r="AI114">
            <v>381.30099999999999</v>
          </cell>
          <cell r="AJ114">
            <v>-225.88699999999997</v>
          </cell>
          <cell r="AK114">
            <v>135.34300000000005</v>
          </cell>
          <cell r="AL114">
            <v>198.19099999999992</v>
          </cell>
          <cell r="AM114">
            <v>165.02600000000004</v>
          </cell>
          <cell r="AN114">
            <v>182.90200000000016</v>
          </cell>
          <cell r="AO114">
            <v>177.62600000000003</v>
          </cell>
          <cell r="AP114">
            <v>106.06399999999988</v>
          </cell>
          <cell r="AQ114">
            <v>149.9919999999999</v>
          </cell>
          <cell r="AR114">
            <v>73.415000000000148</v>
          </cell>
          <cell r="AS114">
            <v>205.94600000000011</v>
          </cell>
          <cell r="AT114">
            <v>283.16899999999998</v>
          </cell>
          <cell r="AU114">
            <v>281.11300000000017</v>
          </cell>
          <cell r="AV114">
            <v>202.48699999999994</v>
          </cell>
          <cell r="AW114">
            <v>-6774.6370000000006</v>
          </cell>
          <cell r="AX114">
            <v>-216.20300000000015</v>
          </cell>
          <cell r="AY114">
            <v>115</v>
          </cell>
          <cell r="AZ114">
            <v>217</v>
          </cell>
          <cell r="BA114">
            <v>323</v>
          </cell>
          <cell r="BB114">
            <v>207</v>
          </cell>
          <cell r="BC114">
            <v>157</v>
          </cell>
          <cell r="BD114">
            <v>180</v>
          </cell>
          <cell r="BE114">
            <v>170</v>
          </cell>
          <cell r="BF114">
            <v>198</v>
          </cell>
          <cell r="BG114">
            <v>250</v>
          </cell>
          <cell r="BH114">
            <v>240</v>
          </cell>
          <cell r="BI114">
            <v>286</v>
          </cell>
          <cell r="BJ114">
            <v>719</v>
          </cell>
          <cell r="BK114">
            <v>170</v>
          </cell>
          <cell r="BL114">
            <v>229</v>
          </cell>
          <cell r="BM114">
            <v>288</v>
          </cell>
          <cell r="BN114">
            <v>222</v>
          </cell>
          <cell r="BO114">
            <v>229</v>
          </cell>
          <cell r="BP114">
            <v>266</v>
          </cell>
          <cell r="BQ114">
            <v>382</v>
          </cell>
          <cell r="BR114">
            <v>304.39999999999998</v>
          </cell>
          <cell r="BS114">
            <v>244</v>
          </cell>
          <cell r="BT114">
            <v>297</v>
          </cell>
          <cell r="BU114">
            <v>266</v>
          </cell>
          <cell r="BV114">
            <v>63</v>
          </cell>
          <cell r="BW114">
            <v>152</v>
          </cell>
          <cell r="BX114">
            <v>190</v>
          </cell>
          <cell r="BY114">
            <v>185</v>
          </cell>
          <cell r="BZ114">
            <v>3174</v>
          </cell>
          <cell r="CA114">
            <v>166</v>
          </cell>
          <cell r="CB114">
            <v>-125</v>
          </cell>
          <cell r="CC114">
            <v>41</v>
          </cell>
          <cell r="CD114">
            <v>-214</v>
          </cell>
          <cell r="CE114">
            <v>-157</v>
          </cell>
          <cell r="CF114">
            <v>-65</v>
          </cell>
          <cell r="CG114">
            <v>736</v>
          </cell>
          <cell r="CH114">
            <v>-24.707548812103084</v>
          </cell>
          <cell r="CI114">
            <v>144.52326559282281</v>
          </cell>
          <cell r="CJ114">
            <v>187.44179146345772</v>
          </cell>
          <cell r="CK114">
            <v>186.4599712864711</v>
          </cell>
          <cell r="CL114">
            <v>198.52005314655509</v>
          </cell>
          <cell r="CM114">
            <v>278.8032264378715</v>
          </cell>
          <cell r="CN114">
            <v>283.05300486112691</v>
          </cell>
          <cell r="CO114">
            <v>251.63945366100546</v>
          </cell>
          <cell r="CP114">
            <v>247.96290284287142</v>
          </cell>
          <cell r="CQ114">
            <v>316.34554878266164</v>
          </cell>
          <cell r="CR114">
            <v>319.69373878836382</v>
          </cell>
          <cell r="CS114">
            <v>288.51796133237343</v>
          </cell>
          <cell r="CT114">
            <v>278.98066449319077</v>
          </cell>
          <cell r="CU114">
            <v>351.75210402619354</v>
          </cell>
          <cell r="CV114">
            <v>359.33717937800128</v>
          </cell>
          <cell r="CW114">
            <v>325.20119557036605</v>
          </cell>
          <cell r="CX114">
            <v>316.22173191525513</v>
          </cell>
          <cell r="CY114">
            <v>0</v>
          </cell>
          <cell r="CZ114" t="e">
            <v>#VALUE!</v>
          </cell>
          <cell r="DA114" t="e">
            <v>#VALUE!</v>
          </cell>
          <cell r="DB114">
            <v>326.45099999999985</v>
          </cell>
          <cell r="DC114">
            <v>378.51299999999998</v>
          </cell>
          <cell r="DD114">
            <v>321.01696572831736</v>
          </cell>
          <cell r="DE114">
            <v>492.13499999999942</v>
          </cell>
          <cell r="DF114">
            <v>933.28200000000049</v>
          </cell>
          <cell r="DG114">
            <v>1399.7489999999996</v>
          </cell>
          <cell r="DH114">
            <v>488.94800000000009</v>
          </cell>
          <cell r="DI114">
            <v>631.61800000000051</v>
          </cell>
          <cell r="DJ114">
            <v>712.52200000000016</v>
          </cell>
          <cell r="DK114">
            <v>-6507.2399999999989</v>
          </cell>
          <cell r="DL114">
            <v>862</v>
          </cell>
          <cell r="DM114">
            <v>705</v>
          </cell>
          <cell r="DN114">
            <v>1495</v>
          </cell>
          <cell r="DO114">
            <v>909</v>
          </cell>
          <cell r="DP114">
            <v>1181.4000000000001</v>
          </cell>
          <cell r="DQ114">
            <v>870</v>
          </cell>
          <cell r="DR114">
            <v>3701</v>
          </cell>
          <cell r="DS114">
            <v>-132</v>
          </cell>
          <cell r="DT114">
            <v>489.2924511878972</v>
          </cell>
          <cell r="DU114">
            <v>716.94508148930686</v>
          </cell>
          <cell r="DV114">
            <v>1061.4585878028763</v>
          </cell>
          <cell r="DW114">
            <v>1203.5379133965907</v>
          </cell>
          <cell r="DX114">
            <v>1352.5122108898161</v>
          </cell>
          <cell r="DY114">
            <v>0</v>
          </cell>
          <cell r="DZ114">
            <v>0</v>
          </cell>
          <cell r="EA114">
            <v>-132</v>
          </cell>
          <cell r="EB114">
            <v>452</v>
          </cell>
          <cell r="EC114">
            <v>452.67181038214949</v>
          </cell>
          <cell r="ED114">
            <v>914.55791027707528</v>
          </cell>
          <cell r="EE114">
            <v>1028.4162527010371</v>
          </cell>
          <cell r="EF114">
            <v>1174.288734142609</v>
          </cell>
        </row>
        <row r="115">
          <cell r="A115" t="str">
            <v>Reported taxes</v>
          </cell>
          <cell r="B115">
            <v>0</v>
          </cell>
          <cell r="C115">
            <v>0</v>
          </cell>
          <cell r="D115">
            <v>0</v>
          </cell>
          <cell r="E115">
            <v>0</v>
          </cell>
          <cell r="F115">
            <v>0</v>
          </cell>
          <cell r="G115">
            <v>0</v>
          </cell>
          <cell r="H115">
            <v>0</v>
          </cell>
          <cell r="I115">
            <v>0</v>
          </cell>
          <cell r="J115">
            <v>0</v>
          </cell>
          <cell r="K115">
            <v>13.067</v>
          </cell>
          <cell r="L115">
            <v>14.675000000000001</v>
          </cell>
          <cell r="M115">
            <v>40.802999999999997</v>
          </cell>
          <cell r="N115">
            <v>48.292000000000002</v>
          </cell>
          <cell r="O115">
            <v>50.632999999999996</v>
          </cell>
          <cell r="P115">
            <v>54.131</v>
          </cell>
          <cell r="Q115">
            <v>64.733000000000004</v>
          </cell>
          <cell r="R115">
            <v>69.846000000000004</v>
          </cell>
          <cell r="S115">
            <v>66.625</v>
          </cell>
          <cell r="T115">
            <v>60.906999999999996</v>
          </cell>
          <cell r="U115">
            <v>58.754999999999995</v>
          </cell>
          <cell r="V115">
            <v>60.536000000000001</v>
          </cell>
          <cell r="W115">
            <v>66.787999999999997</v>
          </cell>
          <cell r="X115">
            <v>59.268000000000001</v>
          </cell>
          <cell r="Y115">
            <v>63.962999999999994</v>
          </cell>
          <cell r="Z115">
            <v>73.937999999999988</v>
          </cell>
          <cell r="AA115">
            <v>69.918000000000006</v>
          </cell>
          <cell r="AB115">
            <v>80.953000000000003</v>
          </cell>
          <cell r="AC115">
            <v>97.180999999999997</v>
          </cell>
          <cell r="AD115">
            <v>108.015</v>
          </cell>
          <cell r="AE115">
            <v>108.176</v>
          </cell>
          <cell r="AF115">
            <v>111.47799999999999</v>
          </cell>
          <cell r="AG115">
            <v>126.06099999999999</v>
          </cell>
          <cell r="AH115">
            <v>140.64099999999999</v>
          </cell>
          <cell r="AI115">
            <v>56.442999999999998</v>
          </cell>
          <cell r="AJ115">
            <v>25.440999999999999</v>
          </cell>
          <cell r="AK115">
            <v>44.609000000000002</v>
          </cell>
          <cell r="AL115">
            <v>79.378</v>
          </cell>
          <cell r="AM115">
            <v>64.492999999999995</v>
          </cell>
          <cell r="AN115">
            <v>56.722999999999999</v>
          </cell>
          <cell r="AO115">
            <v>60.856999999999999</v>
          </cell>
          <cell r="AP115">
            <v>45.168999999999997</v>
          </cell>
          <cell r="AQ115">
            <v>54.786000000000001</v>
          </cell>
          <cell r="AR115">
            <v>23.047999999999998</v>
          </cell>
          <cell r="AS115">
            <v>74.055999999999997</v>
          </cell>
          <cell r="AT115">
            <v>96.783000000000001</v>
          </cell>
          <cell r="AU115">
            <v>94.421000000000006</v>
          </cell>
          <cell r="AV115">
            <v>62.414000000000001</v>
          </cell>
          <cell r="AW115">
            <v>31.62</v>
          </cell>
          <cell r="AX115">
            <v>33.174999999999997</v>
          </cell>
          <cell r="AY115">
            <v>42</v>
          </cell>
          <cell r="AZ115">
            <v>67</v>
          </cell>
          <cell r="BA115">
            <v>23</v>
          </cell>
          <cell r="BB115">
            <v>23</v>
          </cell>
          <cell r="BC115">
            <v>-4</v>
          </cell>
          <cell r="BD115">
            <v>44</v>
          </cell>
          <cell r="BE115">
            <v>35</v>
          </cell>
          <cell r="BF115">
            <v>30</v>
          </cell>
          <cell r="BG115">
            <v>64</v>
          </cell>
          <cell r="BH115">
            <v>64</v>
          </cell>
          <cell r="BI115">
            <v>37</v>
          </cell>
          <cell r="BJ115">
            <v>143</v>
          </cell>
          <cell r="BK115">
            <v>58</v>
          </cell>
          <cell r="BL115">
            <v>76</v>
          </cell>
          <cell r="BM115">
            <v>74</v>
          </cell>
          <cell r="BN115">
            <v>43</v>
          </cell>
          <cell r="BO115">
            <v>63</v>
          </cell>
          <cell r="BP115">
            <v>10</v>
          </cell>
          <cell r="BQ115">
            <v>104</v>
          </cell>
          <cell r="BR115">
            <v>81</v>
          </cell>
          <cell r="BS115">
            <v>8</v>
          </cell>
          <cell r="BT115">
            <v>53</v>
          </cell>
          <cell r="BU115">
            <v>44</v>
          </cell>
          <cell r="BV115">
            <v>-113</v>
          </cell>
          <cell r="BW115">
            <v>35</v>
          </cell>
          <cell r="BX115">
            <v>34</v>
          </cell>
          <cell r="BY115">
            <v>15</v>
          </cell>
          <cell r="BZ115">
            <v>1129</v>
          </cell>
          <cell r="CA115">
            <v>31</v>
          </cell>
          <cell r="CB115">
            <v>19</v>
          </cell>
          <cell r="CC115">
            <v>-5</v>
          </cell>
          <cell r="CD115">
            <v>-71</v>
          </cell>
          <cell r="CE115">
            <v>-24</v>
          </cell>
          <cell r="CF115">
            <v>-53</v>
          </cell>
          <cell r="CG115">
            <v>-606</v>
          </cell>
          <cell r="CH115">
            <v>0</v>
          </cell>
          <cell r="CI115">
            <v>31.072502102456905</v>
          </cell>
          <cell r="CJ115">
            <v>40.29998516464341</v>
          </cell>
          <cell r="CK115">
            <v>40.088893826591288</v>
          </cell>
          <cell r="CL115">
            <v>42.681811426509341</v>
          </cell>
          <cell r="CM115">
            <v>59.94269368414237</v>
          </cell>
          <cell r="CN115">
            <v>60.856396045142283</v>
          </cell>
          <cell r="CO115">
            <v>54.102482537116174</v>
          </cell>
          <cell r="CP115">
            <v>53.312024111217355</v>
          </cell>
          <cell r="CQ115">
            <v>68.014292988272246</v>
          </cell>
          <cell r="CR115">
            <v>68.734153839498219</v>
          </cell>
          <cell r="CS115">
            <v>62.031361686460286</v>
          </cell>
          <cell r="CT115">
            <v>59.980842866036014</v>
          </cell>
          <cell r="CU115">
            <v>75.626702365631616</v>
          </cell>
          <cell r="CV115">
            <v>77.25749356627027</v>
          </cell>
          <cell r="CW115">
            <v>69.9182570476287</v>
          </cell>
          <cell r="CX115">
            <v>67.987672361779858</v>
          </cell>
          <cell r="CY115">
            <v>0</v>
          </cell>
          <cell r="CZ115">
            <v>0</v>
          </cell>
          <cell r="DA115">
            <v>0</v>
          </cell>
          <cell r="DB115">
            <v>116.837</v>
          </cell>
          <cell r="DC115">
            <v>239.34300000000002</v>
          </cell>
          <cell r="DD115">
            <v>246.82299999999998</v>
          </cell>
          <cell r="DE115">
            <v>263.95699999999999</v>
          </cell>
          <cell r="DF115">
            <v>356.06700000000001</v>
          </cell>
          <cell r="DG115">
            <v>486.35599999999999</v>
          </cell>
          <cell r="DH115">
            <v>205.87099999999998</v>
          </cell>
          <cell r="DI115">
            <v>227.24199999999996</v>
          </cell>
          <cell r="DJ115">
            <v>248.673</v>
          </cell>
          <cell r="DK115">
            <v>221.63</v>
          </cell>
          <cell r="DL115">
            <v>155</v>
          </cell>
          <cell r="DM115">
            <v>105</v>
          </cell>
          <cell r="DN115">
            <v>308</v>
          </cell>
          <cell r="DO115">
            <v>251</v>
          </cell>
          <cell r="DP115">
            <v>258</v>
          </cell>
          <cell r="DQ115">
            <v>-8</v>
          </cell>
          <cell r="DR115">
            <v>1213</v>
          </cell>
          <cell r="DS115">
            <v>-26</v>
          </cell>
          <cell r="DT115">
            <v>-683</v>
          </cell>
          <cell r="DU115">
            <v>154.14319252020096</v>
          </cell>
          <cell r="DV115">
            <v>228.21359637761816</v>
          </cell>
          <cell r="DW115">
            <v>258.76065138026678</v>
          </cell>
          <cell r="DX115">
            <v>290.79012534131044</v>
          </cell>
          <cell r="DY115">
            <v>0</v>
          </cell>
          <cell r="DZ115">
            <v>0</v>
          </cell>
          <cell r="EA115">
            <v>-26</v>
          </cell>
          <cell r="EB115">
            <v>-710</v>
          </cell>
          <cell r="EC115">
            <v>92.345049317958399</v>
          </cell>
          <cell r="ED115">
            <v>192.05716115818575</v>
          </cell>
          <cell r="EE115">
            <v>215.96741306721785</v>
          </cell>
          <cell r="EF115">
            <v>246.60063416994777</v>
          </cell>
        </row>
        <row r="116">
          <cell r="A116" t="str">
            <v>Effective tax rate</v>
          </cell>
          <cell r="B116">
            <v>0</v>
          </cell>
          <cell r="C116">
            <v>0</v>
          </cell>
          <cell r="D116">
            <v>0</v>
          </cell>
          <cell r="E116">
            <v>0</v>
          </cell>
          <cell r="F116">
            <v>0</v>
          </cell>
          <cell r="G116">
            <v>0</v>
          </cell>
          <cell r="H116">
            <v>0</v>
          </cell>
          <cell r="I116">
            <v>0</v>
          </cell>
          <cell r="J116">
            <v>0</v>
          </cell>
          <cell r="K116">
            <v>0.23332678606503227</v>
          </cell>
          <cell r="L116">
            <v>0.34445122523706678</v>
          </cell>
          <cell r="M116">
            <v>0.38020294635619029</v>
          </cell>
          <cell r="N116">
            <v>0.400680356772454</v>
          </cell>
          <cell r="O116">
            <v>0.51834524272639815</v>
          </cell>
          <cell r="P116">
            <v>0.51835218186519039</v>
          </cell>
          <cell r="Q116">
            <v>0.6459541177292365</v>
          </cell>
          <cell r="R116">
            <v>0.91674651196366896</v>
          </cell>
          <cell r="S116">
            <v>0.71711496442679212</v>
          </cell>
          <cell r="T116">
            <v>0.75165987905713927</v>
          </cell>
          <cell r="U116">
            <v>0.91898021428012755</v>
          </cell>
          <cell r="V116">
            <v>0.79718714197295071</v>
          </cell>
          <cell r="W116">
            <v>0.45559845559845552</v>
          </cell>
          <cell r="X116">
            <v>0.52751595418012875</v>
          </cell>
          <cell r="Y116">
            <v>0.42908893316428193</v>
          </cell>
          <cell r="Z116">
            <v>1.0606664849589005</v>
          </cell>
          <cell r="AA116">
            <v>0.45260520847493874</v>
          </cell>
          <cell r="AB116">
            <v>0.41600332995883799</v>
          </cell>
          <cell r="AC116">
            <v>0.35740660375276762</v>
          </cell>
          <cell r="AD116">
            <v>0.36260759221710465</v>
          </cell>
          <cell r="AE116">
            <v>0.3474908932047569</v>
          </cell>
          <cell r="AF116">
            <v>0.35000941915227635</v>
          </cell>
          <cell r="AG116">
            <v>0.35355274782291657</v>
          </cell>
          <cell r="AH116">
            <v>0.34727887796928242</v>
          </cell>
          <cell r="AI116">
            <v>0.14802741141512873</v>
          </cell>
          <cell r="AJ116">
            <v>-0.11262711001518459</v>
          </cell>
          <cell r="AK116">
            <v>0.32959960988008236</v>
          </cell>
          <cell r="AL116">
            <v>0.40051263679985483</v>
          </cell>
          <cell r="AM116">
            <v>0.39080508525929236</v>
          </cell>
          <cell r="AN116">
            <v>0.31012782801718924</v>
          </cell>
          <cell r="AO116">
            <v>0.34261313096055751</v>
          </cell>
          <cell r="AP116">
            <v>0.42586551516065818</v>
          </cell>
          <cell r="AQ116">
            <v>0.36525948050562723</v>
          </cell>
          <cell r="AR116">
            <v>0.31394129265136489</v>
          </cell>
          <cell r="AS116">
            <v>0.35958940693191399</v>
          </cell>
          <cell r="AT116">
            <v>0.34178529429422011</v>
          </cell>
          <cell r="AU116">
            <v>0.33588272331766922</v>
          </cell>
          <cell r="AV116">
            <v>0.30823707200956119</v>
          </cell>
          <cell r="AW116">
            <v>-4.6674087482473231E-3</v>
          </cell>
          <cell r="AX116">
            <v>-0.15344375424947837</v>
          </cell>
          <cell r="AY116">
            <v>0.36521739130434783</v>
          </cell>
          <cell r="AZ116">
            <v>0.30875576036866359</v>
          </cell>
          <cell r="BA116">
            <v>7.1207430340557279E-2</v>
          </cell>
          <cell r="BB116">
            <v>0.1111111111111111</v>
          </cell>
          <cell r="BC116">
            <v>-2.5477707006369428E-2</v>
          </cell>
          <cell r="BD116">
            <v>0.24444444444444444</v>
          </cell>
          <cell r="BE116">
            <v>0.20588235294117646</v>
          </cell>
          <cell r="BF116">
            <v>0.15151515151515152</v>
          </cell>
          <cell r="BG116">
            <v>0.25600000000000001</v>
          </cell>
          <cell r="BH116">
            <v>0.26666666666666666</v>
          </cell>
          <cell r="BI116">
            <v>0.12937062937062938</v>
          </cell>
          <cell r="BJ116">
            <v>0.19888734353268428</v>
          </cell>
          <cell r="BK116">
            <v>0.3411764705882353</v>
          </cell>
          <cell r="BL116">
            <v>0.33187772925764192</v>
          </cell>
          <cell r="BM116">
            <v>0.25694444444444442</v>
          </cell>
          <cell r="BN116">
            <v>0.19369369369369369</v>
          </cell>
          <cell r="BO116">
            <v>0.27510917030567683</v>
          </cell>
          <cell r="BP116">
            <v>3.7593984962406013E-2</v>
          </cell>
          <cell r="BQ116">
            <v>0.27225130890052357</v>
          </cell>
          <cell r="BR116">
            <v>0.26609724047306177</v>
          </cell>
          <cell r="BS116">
            <v>3.2786885245901641E-2</v>
          </cell>
          <cell r="BT116">
            <v>0.17845117845117844</v>
          </cell>
          <cell r="BU116">
            <v>0.16541353383458646</v>
          </cell>
          <cell r="BV116">
            <v>-1.7936507936507937</v>
          </cell>
          <cell r="BW116">
            <v>0.23026315789473684</v>
          </cell>
          <cell r="BX116">
            <v>0.17894736842105263</v>
          </cell>
          <cell r="BY116">
            <v>8.1081081081081086E-2</v>
          </cell>
          <cell r="BZ116">
            <v>0.35570258349086326</v>
          </cell>
          <cell r="CA116">
            <v>0.18674698795180722</v>
          </cell>
          <cell r="CB116">
            <v>-0.152</v>
          </cell>
          <cell r="CC116">
            <v>-0.12195121951219512</v>
          </cell>
          <cell r="CD116">
            <v>0.33177570093457942</v>
          </cell>
          <cell r="CE116">
            <v>0.15286624203821655</v>
          </cell>
          <cell r="CF116">
            <v>0.81538461538461537</v>
          </cell>
          <cell r="CG116">
            <v>-0.82336956521739135</v>
          </cell>
          <cell r="CH116">
            <v>0.27</v>
          </cell>
          <cell r="CI116">
            <v>0.215</v>
          </cell>
          <cell r="CJ116">
            <v>0.215</v>
          </cell>
          <cell r="CK116">
            <v>0.215</v>
          </cell>
          <cell r="CL116">
            <v>0.215</v>
          </cell>
          <cell r="CM116">
            <v>0.215</v>
          </cell>
          <cell r="CN116">
            <v>0.215</v>
          </cell>
          <cell r="CO116">
            <v>0.215</v>
          </cell>
          <cell r="CP116">
            <v>0.215</v>
          </cell>
          <cell r="CQ116">
            <v>0.215</v>
          </cell>
          <cell r="CR116">
            <v>0.215</v>
          </cell>
          <cell r="CS116">
            <v>0.215</v>
          </cell>
          <cell r="CT116">
            <v>0.215</v>
          </cell>
          <cell r="CU116">
            <v>0.215</v>
          </cell>
          <cell r="CV116">
            <v>0.215</v>
          </cell>
          <cell r="CW116">
            <v>0.215</v>
          </cell>
          <cell r="CX116">
            <v>0.215</v>
          </cell>
          <cell r="CY116">
            <v>0</v>
          </cell>
          <cell r="CZ116">
            <v>0</v>
          </cell>
          <cell r="DA116">
            <v>0</v>
          </cell>
          <cell r="DB116">
            <v>0</v>
          </cell>
          <cell r="DC116">
            <v>0.63232438515982281</v>
          </cell>
          <cell r="DD116">
            <v>0.76887836578983459</v>
          </cell>
          <cell r="DE116">
            <v>0.53635079805338026</v>
          </cell>
          <cell r="DF116">
            <v>0.38152134081660188</v>
          </cell>
          <cell r="DG116">
            <v>0.34745943737055723</v>
          </cell>
          <cell r="DH116">
            <v>0.42104886409188697</v>
          </cell>
          <cell r="DI116">
            <v>0.35977758708586483</v>
          </cell>
          <cell r="DJ116">
            <v>0.34900396057946276</v>
          </cell>
          <cell r="DK116">
            <v>-3.4058986605688436E-2</v>
          </cell>
          <cell r="DL116">
            <v>0.17981438515081208</v>
          </cell>
          <cell r="DM116">
            <v>0.14893617021276595</v>
          </cell>
          <cell r="DN116">
            <v>0.20602006688963212</v>
          </cell>
          <cell r="DO116">
            <v>0.27612761276127612</v>
          </cell>
          <cell r="DP116">
            <v>0.21838496698831894</v>
          </cell>
          <cell r="DQ116">
            <v>-9.1954022988505746E-3</v>
          </cell>
          <cell r="DR116">
            <v>0.32774925695757906</v>
          </cell>
          <cell r="DS116">
            <v>0.19696969696969696</v>
          </cell>
          <cell r="DT116">
            <v>-1.3958931889135473</v>
          </cell>
          <cell r="DU116">
            <v>0.21499999999999997</v>
          </cell>
          <cell r="DV116">
            <v>0.21499999999999977</v>
          </cell>
          <cell r="DW116">
            <v>0.2149999999999998</v>
          </cell>
          <cell r="DX116">
            <v>0.215</v>
          </cell>
          <cell r="DY116">
            <v>0</v>
          </cell>
          <cell r="DZ116">
            <v>0</v>
          </cell>
          <cell r="EA116">
            <v>0.19696969696969696</v>
          </cell>
          <cell r="EB116">
            <v>-1.5707964601769913</v>
          </cell>
          <cell r="EC116">
            <v>0.20399999999999979</v>
          </cell>
          <cell r="ED116">
            <v>0.20999999999999994</v>
          </cell>
          <cell r="EE116">
            <v>0.21000000000000005</v>
          </cell>
          <cell r="EF116">
            <v>0.20999999999999991</v>
          </cell>
        </row>
        <row r="117">
          <cell r="A117" t="str">
            <v>Net income (loss)</v>
          </cell>
          <cell r="B117">
            <v>0</v>
          </cell>
          <cell r="C117">
            <v>0</v>
          </cell>
          <cell r="D117">
            <v>0</v>
          </cell>
          <cell r="E117">
            <v>0</v>
          </cell>
          <cell r="F117">
            <v>0</v>
          </cell>
          <cell r="G117">
            <v>0</v>
          </cell>
          <cell r="H117">
            <v>0</v>
          </cell>
          <cell r="I117">
            <v>0</v>
          </cell>
          <cell r="J117">
            <v>0</v>
          </cell>
          <cell r="K117">
            <v>42.935999999999993</v>
          </cell>
          <cell r="L117">
            <v>27.92900000000002</v>
          </cell>
          <cell r="M117">
            <v>66.516000000000034</v>
          </cell>
          <cell r="N117">
            <v>72.232999999999961</v>
          </cell>
          <cell r="O117">
            <v>47.04899999999995</v>
          </cell>
          <cell r="P117">
            <v>50.298000000000059</v>
          </cell>
          <cell r="Q117">
            <v>35.480000000000032</v>
          </cell>
          <cell r="R117">
            <v>6.3430000000000319</v>
          </cell>
          <cell r="S117">
            <v>26.282000000000039</v>
          </cell>
          <cell r="T117">
            <v>20.123000000000005</v>
          </cell>
          <cell r="U117">
            <v>5.1800000000000495</v>
          </cell>
          <cell r="V117">
            <v>15.401000000000053</v>
          </cell>
          <cell r="W117">
            <v>79.806000000000026</v>
          </cell>
          <cell r="X117">
            <v>53.08499999999998</v>
          </cell>
          <cell r="Y117">
            <v>85.103999999999957</v>
          </cell>
          <cell r="Z117">
            <v>-4.2289999999999992</v>
          </cell>
          <cell r="AA117">
            <v>84.560999999999865</v>
          </cell>
          <cell r="AB117">
            <v>113.64400000000001</v>
          </cell>
          <cell r="AC117">
            <v>174.72499999999991</v>
          </cell>
          <cell r="AD117">
            <v>189.86900000000003</v>
          </cell>
          <cell r="AE117">
            <v>203.12999999999988</v>
          </cell>
          <cell r="AF117">
            <v>207.02199999999993</v>
          </cell>
          <cell r="AG117">
            <v>230.49399999999997</v>
          </cell>
          <cell r="AH117">
            <v>264.33900000000006</v>
          </cell>
          <cell r="AI117">
            <v>324.858</v>
          </cell>
          <cell r="AJ117">
            <v>-251.32799999999997</v>
          </cell>
          <cell r="AK117">
            <v>90.734000000000037</v>
          </cell>
          <cell r="AL117">
            <v>118.81299999999992</v>
          </cell>
          <cell r="AM117">
            <v>100.53300000000004</v>
          </cell>
          <cell r="AN117">
            <v>126.17900000000016</v>
          </cell>
          <cell r="AO117">
            <v>116.76900000000003</v>
          </cell>
          <cell r="AP117">
            <v>60.894999999999882</v>
          </cell>
          <cell r="AQ117">
            <v>95.205999999999904</v>
          </cell>
          <cell r="AR117">
            <v>50.367000000000147</v>
          </cell>
          <cell r="AS117">
            <v>131.8900000000001</v>
          </cell>
          <cell r="AT117">
            <v>186.38599999999997</v>
          </cell>
          <cell r="AU117">
            <v>186.69200000000018</v>
          </cell>
          <cell r="AV117">
            <v>140.07299999999992</v>
          </cell>
          <cell r="AW117">
            <v>-6806.2570000000005</v>
          </cell>
          <cell r="AX117">
            <v>-249.37800000000016</v>
          </cell>
          <cell r="AY117">
            <v>73</v>
          </cell>
          <cell r="AZ117">
            <v>150</v>
          </cell>
          <cell r="BA117">
            <v>300</v>
          </cell>
          <cell r="BB117">
            <v>184</v>
          </cell>
          <cell r="BC117">
            <v>161</v>
          </cell>
          <cell r="BD117">
            <v>136</v>
          </cell>
          <cell r="BE117">
            <v>135</v>
          </cell>
          <cell r="BF117">
            <v>168</v>
          </cell>
          <cell r="BG117">
            <v>186</v>
          </cell>
          <cell r="BH117">
            <v>176</v>
          </cell>
          <cell r="BI117">
            <v>249</v>
          </cell>
          <cell r="BJ117">
            <v>576</v>
          </cell>
          <cell r="BK117">
            <v>112</v>
          </cell>
          <cell r="BL117">
            <v>153</v>
          </cell>
          <cell r="BM117">
            <v>214</v>
          </cell>
          <cell r="BN117">
            <v>179</v>
          </cell>
          <cell r="BO117">
            <v>166</v>
          </cell>
          <cell r="BP117">
            <v>256</v>
          </cell>
          <cell r="BQ117">
            <v>278</v>
          </cell>
          <cell r="BR117">
            <v>223.39999999999998</v>
          </cell>
          <cell r="BS117">
            <v>236</v>
          </cell>
          <cell r="BT117">
            <v>244</v>
          </cell>
          <cell r="BU117">
            <v>222</v>
          </cell>
          <cell r="BV117">
            <v>176</v>
          </cell>
          <cell r="BW117">
            <v>117</v>
          </cell>
          <cell r="BX117">
            <v>156</v>
          </cell>
          <cell r="BY117">
            <v>170</v>
          </cell>
          <cell r="BZ117">
            <v>2045</v>
          </cell>
          <cell r="CA117">
            <v>135</v>
          </cell>
          <cell r="CB117">
            <v>-144</v>
          </cell>
          <cell r="CC117">
            <v>46</v>
          </cell>
          <cell r="CD117">
            <v>-143</v>
          </cell>
          <cell r="CE117">
            <v>-133</v>
          </cell>
          <cell r="CF117">
            <v>-12</v>
          </cell>
          <cell r="CG117">
            <v>1342</v>
          </cell>
          <cell r="CH117">
            <v>-24.707548812103084</v>
          </cell>
          <cell r="CI117">
            <v>113.4507634903659</v>
          </cell>
          <cell r="CJ117">
            <v>147.14180629881432</v>
          </cell>
          <cell r="CK117">
            <v>146.37107745987981</v>
          </cell>
          <cell r="CL117">
            <v>155.83824172004574</v>
          </cell>
          <cell r="CM117">
            <v>218.86053275372913</v>
          </cell>
          <cell r="CN117">
            <v>222.19660881598463</v>
          </cell>
          <cell r="CO117">
            <v>197.53697112388929</v>
          </cell>
          <cell r="CP117">
            <v>194.65087873165407</v>
          </cell>
          <cell r="CQ117">
            <v>248.33125579438939</v>
          </cell>
          <cell r="CR117">
            <v>250.9595849488656</v>
          </cell>
          <cell r="CS117">
            <v>226.48659964591315</v>
          </cell>
          <cell r="CT117">
            <v>218.99982162715474</v>
          </cell>
          <cell r="CU117">
            <v>276.12540166056192</v>
          </cell>
          <cell r="CV117">
            <v>282.079685811731</v>
          </cell>
          <cell r="CW117">
            <v>255.28293852273737</v>
          </cell>
          <cell r="CX117">
            <v>248.23405955347528</v>
          </cell>
          <cell r="CY117">
            <v>0</v>
          </cell>
          <cell r="CZ117" t="e">
            <v>#VALUE!</v>
          </cell>
          <cell r="DA117" t="e">
            <v>#VALUE!</v>
          </cell>
          <cell r="DB117">
            <v>209.61399999999986</v>
          </cell>
          <cell r="DC117">
            <v>139.16999999999996</v>
          </cell>
          <cell r="DD117">
            <v>74.19396572831738</v>
          </cell>
          <cell r="DE117">
            <v>228.17799999999943</v>
          </cell>
          <cell r="DF117">
            <v>577.21500000000049</v>
          </cell>
          <cell r="DG117">
            <v>913.39299999999957</v>
          </cell>
          <cell r="DH117">
            <v>283.07700000000011</v>
          </cell>
          <cell r="DI117">
            <v>404.37600000000054</v>
          </cell>
          <cell r="DJ117">
            <v>463.84900000000016</v>
          </cell>
          <cell r="DK117">
            <v>-6728.869999999999</v>
          </cell>
          <cell r="DL117">
            <v>707</v>
          </cell>
          <cell r="DM117">
            <v>600</v>
          </cell>
          <cell r="DN117">
            <v>1187</v>
          </cell>
          <cell r="DO117">
            <v>658</v>
          </cell>
          <cell r="DP117">
            <v>923.40000000000009</v>
          </cell>
          <cell r="DQ117">
            <v>878</v>
          </cell>
          <cell r="DR117">
            <v>2488</v>
          </cell>
          <cell r="DS117">
            <v>-106</v>
          </cell>
          <cell r="DT117">
            <v>1172.2924511878973</v>
          </cell>
          <cell r="DU117">
            <v>562.8018889691059</v>
          </cell>
          <cell r="DV117">
            <v>833.24499142525815</v>
          </cell>
          <cell r="DW117">
            <v>944.7772620163239</v>
          </cell>
          <cell r="DX117">
            <v>1061.7220855485057</v>
          </cell>
          <cell r="DY117">
            <v>0</v>
          </cell>
          <cell r="DZ117">
            <v>0</v>
          </cell>
          <cell r="EA117">
            <v>-106</v>
          </cell>
          <cell r="EB117">
            <v>1162</v>
          </cell>
          <cell r="EC117">
            <v>360.32676106419109</v>
          </cell>
          <cell r="ED117">
            <v>722.50074911888953</v>
          </cell>
          <cell r="EE117">
            <v>812.44883963381926</v>
          </cell>
          <cell r="EF117">
            <v>927.68809997266123</v>
          </cell>
        </row>
        <row r="118">
          <cell r="A118">
            <v>0</v>
          </cell>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224.73999999999998</v>
          </cell>
          <cell r="AP118">
            <v>244.31100000000004</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0</v>
          </cell>
          <cell r="DE118">
            <v>0</v>
          </cell>
          <cell r="DF118">
            <v>0</v>
          </cell>
          <cell r="DG118">
            <v>0</v>
          </cell>
          <cell r="DH118">
            <v>0</v>
          </cell>
          <cell r="DI118">
            <v>0</v>
          </cell>
          <cell r="DJ118">
            <v>0</v>
          </cell>
          <cell r="DK118">
            <v>0</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cell r="ED118">
            <v>0</v>
          </cell>
          <cell r="EE118">
            <v>0</v>
          </cell>
          <cell r="EF118">
            <v>0</v>
          </cell>
        </row>
        <row r="119">
          <cell r="A119" t="str">
            <v>Pro forma EPS (fully-diluted, inc. ESO)</v>
          </cell>
          <cell r="B119">
            <v>0</v>
          </cell>
          <cell r="C119" t="e">
            <v>#DIV/0!</v>
          </cell>
          <cell r="D119" t="e">
            <v>#DIV/0!</v>
          </cell>
          <cell r="E119" t="e">
            <v>#DIV/0!</v>
          </cell>
          <cell r="F119" t="e">
            <v>#DIV/0!</v>
          </cell>
          <cell r="G119" t="e">
            <v>#DIV/0!</v>
          </cell>
          <cell r="H119" t="e">
            <v>#DIV/0!</v>
          </cell>
          <cell r="I119" t="e">
            <v>#DIV/0!</v>
          </cell>
          <cell r="J119" t="e">
            <v>#DIV/0!</v>
          </cell>
          <cell r="K119">
            <v>4.8202336118993827E-2</v>
          </cell>
          <cell r="L119">
            <v>5.4082323098802121E-2</v>
          </cell>
          <cell r="M119">
            <v>9.7707477344469371E-2</v>
          </cell>
          <cell r="N119">
            <v>0.10270959886175497</v>
          </cell>
          <cell r="O119">
            <v>7.757745203908864E-2</v>
          </cell>
          <cell r="P119">
            <v>8.0316280217011246E-2</v>
          </cell>
          <cell r="Q119">
            <v>8.3149653520248182E-2</v>
          </cell>
          <cell r="R119">
            <v>9.785702318940856E-2</v>
          </cell>
          <cell r="S119">
            <v>0.1033310801901042</v>
          </cell>
          <cell r="T119">
            <v>9.8299209160785023E-2</v>
          </cell>
          <cell r="U119">
            <v>9.9964234772221661E-2</v>
          </cell>
          <cell r="V119">
            <v>0.10228605816347611</v>
          </cell>
          <cell r="W119">
            <v>0.1132322756343669</v>
          </cell>
          <cell r="X119">
            <v>9.8937703038017452E-2</v>
          </cell>
          <cell r="Y119">
            <v>0.11003864187759993</v>
          </cell>
          <cell r="Z119">
            <v>0.12708569417896529</v>
          </cell>
          <cell r="AA119">
            <v>0.12080818262571522</v>
          </cell>
          <cell r="AB119">
            <v>0.13537654919823172</v>
          </cell>
          <cell r="AC119">
            <v>0.1658531963639783</v>
          </cell>
          <cell r="AD119">
            <v>0.17680045526491187</v>
          </cell>
          <cell r="AE119">
            <v>0.1801797737357661</v>
          </cell>
          <cell r="AF119">
            <v>0.1869156096824004</v>
          </cell>
          <cell r="AG119">
            <v>0.20630374662354717</v>
          </cell>
          <cell r="AH119">
            <v>0.24205620777438935</v>
          </cell>
          <cell r="AI119">
            <v>0.26347425865903712</v>
          </cell>
          <cell r="AJ119">
            <v>0.22635703687475719</v>
          </cell>
          <cell r="AK119">
            <v>0.25748648789130868</v>
          </cell>
          <cell r="AL119">
            <v>0.26193914645684974</v>
          </cell>
          <cell r="AM119">
            <v>0.20653717035981903</v>
          </cell>
          <cell r="AN119">
            <v>0.21828475295470481</v>
          </cell>
          <cell r="AO119">
            <v>0.22286618312504083</v>
          </cell>
          <cell r="AP119">
            <v>0.20544274559612416</v>
          </cell>
          <cell r="AQ119">
            <v>0.2438245768986555</v>
          </cell>
          <cell r="AR119">
            <v>0.24827080992742737</v>
          </cell>
          <cell r="AS119">
            <v>0.28797301137498432</v>
          </cell>
          <cell r="AT119">
            <v>0.31151320051310361</v>
          </cell>
          <cell r="AU119">
            <v>0.34769916416274599</v>
          </cell>
          <cell r="AV119">
            <v>0.31270487860392759</v>
          </cell>
          <cell r="AW119">
            <v>0.37958119263580076</v>
          </cell>
          <cell r="AX119">
            <v>0.34327651343537463</v>
          </cell>
          <cell r="AY119">
            <v>0.28536880290205563</v>
          </cell>
          <cell r="AZ119">
            <v>0.31501831501831501</v>
          </cell>
          <cell r="BA119">
            <v>0.3504273504273504</v>
          </cell>
          <cell r="BB119">
            <v>0.36141636141636141</v>
          </cell>
          <cell r="BC119">
            <v>0.30931677018633541</v>
          </cell>
          <cell r="BD119">
            <v>0.29262086513994912</v>
          </cell>
          <cell r="BE119">
            <v>0.30205655526992287</v>
          </cell>
          <cell r="BF119">
            <v>0.33635187580853815</v>
          </cell>
          <cell r="BG119">
            <v>0.34640522875816993</v>
          </cell>
          <cell r="BH119">
            <v>0.33422103861517977</v>
          </cell>
          <cell r="BI119">
            <v>0.37432432432432433</v>
          </cell>
          <cell r="BJ119">
            <v>0.35190217391304346</v>
          </cell>
          <cell r="BK119">
            <v>0.3125</v>
          </cell>
          <cell r="BL119">
            <v>0.35169491525423729</v>
          </cell>
          <cell r="BM119">
            <v>0.39601139601139601</v>
          </cell>
          <cell r="BN119">
            <v>0.37815126050420167</v>
          </cell>
          <cell r="BO119">
            <v>0.38472418670438474</v>
          </cell>
          <cell r="BP119">
            <v>0.45403111739745405</v>
          </cell>
          <cell r="BQ119">
            <v>0.47435897435897434</v>
          </cell>
          <cell r="BR119">
            <v>0.42717201166180757</v>
          </cell>
          <cell r="BS119">
            <v>0.30825478128338185</v>
          </cell>
          <cell r="BT119">
            <v>0.32240353037766828</v>
          </cell>
          <cell r="BU119">
            <v>0.29596228735396596</v>
          </cell>
          <cell r="BV119">
            <v>0.25735930735930734</v>
          </cell>
          <cell r="BW119">
            <v>0.23015298738887738</v>
          </cell>
          <cell r="BX119">
            <v>0.23986198716911963</v>
          </cell>
          <cell r="BY119">
            <v>0.21847862312689043</v>
          </cell>
          <cell r="BZ119">
            <v>0.17971202608065684</v>
          </cell>
          <cell r="CA119">
            <v>0.22815309360126915</v>
          </cell>
          <cell r="CB119">
            <v>0.20427881297446512</v>
          </cell>
          <cell r="CC119">
            <v>0.21413488942977801</v>
          </cell>
          <cell r="CD119">
            <v>5.4437869822485205E-2</v>
          </cell>
          <cell r="CE119">
            <v>0.17701538638630956</v>
          </cell>
          <cell r="CF119">
            <v>0.21602655286865816</v>
          </cell>
          <cell r="CG119">
            <v>0.34643671072265286</v>
          </cell>
          <cell r="CH119">
            <v>0.24262493499159318</v>
          </cell>
          <cell r="CI119">
            <v>0.39878101124279375</v>
          </cell>
          <cell r="CJ119">
            <v>0.41155537570610951</v>
          </cell>
          <cell r="CK119">
            <v>0.38671371796259596</v>
          </cell>
          <cell r="CL119">
            <v>0.38527426524191782</v>
          </cell>
          <cell r="CM119">
            <v>0.44781137642959518</v>
          </cell>
          <cell r="CN119">
            <v>0.4544705749535628</v>
          </cell>
          <cell r="CO119">
            <v>0.41959757043413592</v>
          </cell>
          <cell r="CP119">
            <v>0.41700624562699984</v>
          </cell>
          <cell r="CQ119">
            <v>0.49884298590561665</v>
          </cell>
          <cell r="CR119">
            <v>0.50389693044277806</v>
          </cell>
          <cell r="CS119">
            <v>0.46809355331591879</v>
          </cell>
          <cell r="CT119">
            <v>0.45772511121821152</v>
          </cell>
          <cell r="CU119">
            <v>0.54499226828043301</v>
          </cell>
          <cell r="CV119">
            <v>0.55502516294589055</v>
          </cell>
          <cell r="CW119">
            <v>0.51534046593481087</v>
          </cell>
          <cell r="CX119">
            <v>0.50549002468279525</v>
          </cell>
          <cell r="CY119">
            <v>0</v>
          </cell>
          <cell r="CZ119" t="e">
            <v>#VALUE!</v>
          </cell>
          <cell r="DA119" t="e">
            <v>#VALUE!</v>
          </cell>
          <cell r="DB119">
            <v>0.30504689304846272</v>
          </cell>
          <cell r="DC119">
            <v>0.33876977498843325</v>
          </cell>
          <cell r="DD119">
            <v>0.40397568569470388</v>
          </cell>
          <cell r="DE119">
            <v>0.44954012025788809</v>
          </cell>
          <cell r="DF119">
            <v>0.60059036035269264</v>
          </cell>
          <cell r="DG119">
            <v>0.81507626803901689</v>
          </cell>
          <cell r="DH119">
            <v>1.0077729888295597</v>
          </cell>
          <cell r="DI119">
            <v>0.85291109199670634</v>
          </cell>
          <cell r="DJ119">
            <v>1.089149438536845</v>
          </cell>
          <cell r="DK119">
            <v>1.3826059228055516</v>
          </cell>
          <cell r="DL119">
            <v>1.3118148599269184</v>
          </cell>
          <cell r="DM119">
            <v>1.2399745385105028</v>
          </cell>
          <cell r="DN119">
            <v>1.4064171122994653</v>
          </cell>
          <cell r="DO119">
            <v>1.4374120956399437</v>
          </cell>
          <cell r="DP119">
            <v>1.7400858070500929</v>
          </cell>
          <cell r="DQ119">
            <v>1.1841640732778851</v>
          </cell>
          <cell r="DR119">
            <v>0.86996102727978375</v>
          </cell>
          <cell r="DS119">
            <v>0.69608213710612155</v>
          </cell>
          <cell r="DT119">
            <v>0.98238960369436523</v>
          </cell>
          <cell r="DU119">
            <v>1.5823941739082454</v>
          </cell>
          <cell r="DV119">
            <v>1.7391410526191076</v>
          </cell>
          <cell r="DW119">
            <v>1.928724629641918</v>
          </cell>
          <cell r="DX119">
            <v>2.1209868216707108</v>
          </cell>
          <cell r="DY119">
            <v>0</v>
          </cell>
          <cell r="DZ119">
            <v>0</v>
          </cell>
          <cell r="EA119">
            <v>0.69608213710612155</v>
          </cell>
          <cell r="EB119">
            <v>1.0114775524024904</v>
          </cell>
          <cell r="EC119">
            <v>1.2797917054435102</v>
          </cell>
          <cell r="ED119">
            <v>1.5471554092430555</v>
          </cell>
          <cell r="EE119">
            <v>1.6932713640513171</v>
          </cell>
          <cell r="EF119">
            <v>1.8782668785931618</v>
          </cell>
        </row>
      </sheetData>
      <sheetData sheetId="5"/>
      <sheetData sheetId="6"/>
      <sheetData sheetId="7">
        <row r="1">
          <cell r="A1">
            <v>1</v>
          </cell>
        </row>
      </sheetData>
      <sheetData sheetId="8">
        <row r="1">
          <cell r="A1">
            <v>-1</v>
          </cell>
          <cell r="B1">
            <v>0</v>
          </cell>
          <cell r="C1">
            <v>1</v>
          </cell>
          <cell r="D1">
            <v>2</v>
          </cell>
          <cell r="E1">
            <v>3</v>
          </cell>
          <cell r="F1">
            <v>4</v>
          </cell>
          <cell r="G1">
            <v>5</v>
          </cell>
          <cell r="H1">
            <v>6</v>
          </cell>
          <cell r="I1">
            <v>7</v>
          </cell>
          <cell r="J1">
            <v>8</v>
          </cell>
          <cell r="K1">
            <v>9</v>
          </cell>
          <cell r="L1">
            <v>10</v>
          </cell>
          <cell r="M1">
            <v>11</v>
          </cell>
          <cell r="N1">
            <v>12</v>
          </cell>
          <cell r="O1">
            <v>13</v>
          </cell>
          <cell r="P1">
            <v>14</v>
          </cell>
          <cell r="Q1">
            <v>15</v>
          </cell>
          <cell r="R1">
            <v>16</v>
          </cell>
          <cell r="S1">
            <v>17</v>
          </cell>
          <cell r="T1">
            <v>18</v>
          </cell>
          <cell r="U1">
            <v>19</v>
          </cell>
          <cell r="V1">
            <v>20</v>
          </cell>
          <cell r="W1">
            <v>21</v>
          </cell>
          <cell r="X1">
            <v>22</v>
          </cell>
          <cell r="Y1">
            <v>23</v>
          </cell>
          <cell r="Z1">
            <v>24</v>
          </cell>
          <cell r="AA1">
            <v>25</v>
          </cell>
          <cell r="AB1">
            <v>26</v>
          </cell>
          <cell r="AC1">
            <v>27</v>
          </cell>
          <cell r="AD1">
            <v>28</v>
          </cell>
          <cell r="AE1">
            <v>29</v>
          </cell>
          <cell r="AF1">
            <v>30</v>
          </cell>
          <cell r="AG1">
            <v>31</v>
          </cell>
          <cell r="AH1">
            <v>32</v>
          </cell>
          <cell r="AI1">
            <v>33</v>
          </cell>
          <cell r="AJ1">
            <v>34</v>
          </cell>
          <cell r="AK1">
            <v>35</v>
          </cell>
          <cell r="AL1">
            <v>36</v>
          </cell>
          <cell r="AM1">
            <v>37</v>
          </cell>
          <cell r="AN1">
            <v>38</v>
          </cell>
          <cell r="AO1">
            <v>39</v>
          </cell>
          <cell r="AP1">
            <v>40</v>
          </cell>
          <cell r="AQ1">
            <v>41</v>
          </cell>
          <cell r="AR1">
            <v>42</v>
          </cell>
          <cell r="AS1">
            <v>43</v>
          </cell>
          <cell r="AT1">
            <v>44</v>
          </cell>
          <cell r="AU1">
            <v>45</v>
          </cell>
          <cell r="AV1">
            <v>46</v>
          </cell>
          <cell r="AW1">
            <v>47</v>
          </cell>
          <cell r="AX1">
            <v>48</v>
          </cell>
          <cell r="AY1">
            <v>49</v>
          </cell>
          <cell r="AZ1">
            <v>50</v>
          </cell>
          <cell r="BA1">
            <v>51</v>
          </cell>
          <cell r="BB1">
            <v>52</v>
          </cell>
          <cell r="BC1">
            <v>53</v>
          </cell>
          <cell r="BD1">
            <v>54</v>
          </cell>
          <cell r="BE1">
            <v>55</v>
          </cell>
          <cell r="BF1">
            <v>56</v>
          </cell>
          <cell r="BG1">
            <v>57</v>
          </cell>
          <cell r="BH1">
            <v>58</v>
          </cell>
          <cell r="BI1">
            <v>59</v>
          </cell>
          <cell r="BJ1">
            <v>60</v>
          </cell>
          <cell r="BK1">
            <v>61</v>
          </cell>
          <cell r="BL1">
            <v>62</v>
          </cell>
          <cell r="BM1">
            <v>63</v>
          </cell>
          <cell r="BN1">
            <v>64</v>
          </cell>
          <cell r="BO1">
            <v>65</v>
          </cell>
          <cell r="BP1">
            <v>66</v>
          </cell>
          <cell r="BQ1">
            <v>67</v>
          </cell>
          <cell r="BR1">
            <v>68</v>
          </cell>
          <cell r="BS1">
            <v>69</v>
          </cell>
          <cell r="BT1">
            <v>70</v>
          </cell>
          <cell r="BU1">
            <v>71</v>
          </cell>
          <cell r="BV1">
            <v>72</v>
          </cell>
          <cell r="BW1">
            <v>73</v>
          </cell>
          <cell r="BX1">
            <v>74</v>
          </cell>
          <cell r="BY1">
            <v>75</v>
          </cell>
          <cell r="BZ1">
            <v>76</v>
          </cell>
          <cell r="CA1">
            <v>77</v>
          </cell>
          <cell r="CB1">
            <v>78</v>
          </cell>
          <cell r="CC1">
            <v>79</v>
          </cell>
          <cell r="CD1">
            <v>80</v>
          </cell>
          <cell r="CE1">
            <v>81</v>
          </cell>
          <cell r="CF1">
            <v>82</v>
          </cell>
          <cell r="CG1">
            <v>83</v>
          </cell>
          <cell r="CH1">
            <v>84</v>
          </cell>
          <cell r="CI1">
            <v>85</v>
          </cell>
          <cell r="CJ1">
            <v>86</v>
          </cell>
          <cell r="CK1">
            <v>87</v>
          </cell>
          <cell r="CL1">
            <v>88</v>
          </cell>
          <cell r="CM1">
            <v>89</v>
          </cell>
          <cell r="CN1">
            <v>90</v>
          </cell>
          <cell r="CO1">
            <v>91</v>
          </cell>
          <cell r="CP1">
            <v>92</v>
          </cell>
          <cell r="CQ1">
            <v>93</v>
          </cell>
          <cell r="CR1">
            <v>94</v>
          </cell>
          <cell r="CS1">
            <v>95</v>
          </cell>
          <cell r="CT1">
            <v>96</v>
          </cell>
          <cell r="CU1">
            <v>97</v>
          </cell>
          <cell r="CV1">
            <v>98</v>
          </cell>
          <cell r="CW1">
            <v>99</v>
          </cell>
          <cell r="CX1">
            <v>100</v>
          </cell>
          <cell r="CY1">
            <v>101</v>
          </cell>
          <cell r="CZ1">
            <v>102</v>
          </cell>
          <cell r="DA1">
            <v>103</v>
          </cell>
          <cell r="DB1">
            <v>104</v>
          </cell>
          <cell r="DC1">
            <v>105</v>
          </cell>
          <cell r="DD1">
            <v>106</v>
          </cell>
          <cell r="DE1">
            <v>107</v>
          </cell>
          <cell r="DF1">
            <v>108</v>
          </cell>
          <cell r="DG1">
            <v>109</v>
          </cell>
          <cell r="DH1">
            <v>110</v>
          </cell>
          <cell r="DI1">
            <v>111</v>
          </cell>
          <cell r="DJ1">
            <v>112</v>
          </cell>
          <cell r="DK1">
            <v>113</v>
          </cell>
          <cell r="DL1">
            <v>114</v>
          </cell>
          <cell r="DM1">
            <v>115</v>
          </cell>
          <cell r="DN1">
            <v>116</v>
          </cell>
          <cell r="DO1">
            <v>117</v>
          </cell>
          <cell r="DP1">
            <v>118</v>
          </cell>
          <cell r="DQ1">
            <v>119</v>
          </cell>
          <cell r="DR1">
            <v>120</v>
          </cell>
          <cell r="DS1">
            <v>121</v>
          </cell>
          <cell r="DT1">
            <v>122</v>
          </cell>
          <cell r="DU1">
            <v>123</v>
          </cell>
          <cell r="DV1">
            <v>124</v>
          </cell>
          <cell r="DW1">
            <v>125</v>
          </cell>
          <cell r="DX1">
            <v>0</v>
          </cell>
          <cell r="DY1">
            <v>0</v>
          </cell>
          <cell r="DZ1">
            <v>0</v>
          </cell>
          <cell r="EA1">
            <v>131</v>
          </cell>
          <cell r="EB1">
            <v>132</v>
          </cell>
          <cell r="EC1">
            <v>133</v>
          </cell>
          <cell r="ED1">
            <v>134</v>
          </cell>
          <cell r="EE1">
            <v>135</v>
          </cell>
          <cell r="EF1">
            <v>136</v>
          </cell>
        </row>
        <row r="2">
          <cell r="A2" t="str">
            <v>S Y M A N T E C</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0</v>
          </cell>
          <cell r="X2">
            <v>0</v>
          </cell>
          <cell r="Y2">
            <v>0</v>
          </cell>
          <cell r="Z2">
            <v>0</v>
          </cell>
          <cell r="AA2">
            <v>0</v>
          </cell>
          <cell r="AB2">
            <v>0</v>
          </cell>
          <cell r="AC2">
            <v>0</v>
          </cell>
          <cell r="AD2">
            <v>0</v>
          </cell>
          <cell r="AE2">
            <v>0</v>
          </cell>
          <cell r="AF2">
            <v>0</v>
          </cell>
          <cell r="AG2">
            <v>0</v>
          </cell>
          <cell r="AH2">
            <v>0</v>
          </cell>
          <cell r="AI2">
            <v>0</v>
          </cell>
          <cell r="AJ2">
            <v>0</v>
          </cell>
          <cell r="AK2">
            <v>0</v>
          </cell>
          <cell r="AL2">
            <v>0</v>
          </cell>
          <cell r="AM2">
            <v>0</v>
          </cell>
          <cell r="AN2">
            <v>0</v>
          </cell>
          <cell r="AO2">
            <v>0</v>
          </cell>
          <cell r="AP2">
            <v>25.539000000000001</v>
          </cell>
          <cell r="AQ2">
            <v>0</v>
          </cell>
          <cell r="AR2">
            <v>0</v>
          </cell>
          <cell r="AS2">
            <v>0</v>
          </cell>
          <cell r="AT2">
            <v>0</v>
          </cell>
          <cell r="AU2">
            <v>0</v>
          </cell>
          <cell r="AV2">
            <v>0</v>
          </cell>
          <cell r="AW2">
            <v>0</v>
          </cell>
          <cell r="AX2">
            <v>0</v>
          </cell>
          <cell r="AY2">
            <v>0</v>
          </cell>
          <cell r="AZ2">
            <v>0</v>
          </cell>
          <cell r="BA2">
            <v>0</v>
          </cell>
          <cell r="BB2">
            <v>0</v>
          </cell>
          <cell r="BC2">
            <v>0</v>
          </cell>
          <cell r="BD2">
            <v>0</v>
          </cell>
          <cell r="BE2">
            <v>0</v>
          </cell>
          <cell r="BF2">
            <v>0</v>
          </cell>
          <cell r="BG2">
            <v>0</v>
          </cell>
          <cell r="BH2">
            <v>0</v>
          </cell>
          <cell r="BI2">
            <v>0</v>
          </cell>
          <cell r="BJ2">
            <v>0</v>
          </cell>
          <cell r="BK2">
            <v>0</v>
          </cell>
          <cell r="BL2">
            <v>0</v>
          </cell>
          <cell r="BM2">
            <v>0</v>
          </cell>
          <cell r="BN2">
            <v>0</v>
          </cell>
          <cell r="BO2">
            <v>0</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0</v>
          </cell>
          <cell r="CG2">
            <v>0</v>
          </cell>
          <cell r="CH2">
            <v>0</v>
          </cell>
          <cell r="CI2">
            <v>0</v>
          </cell>
          <cell r="CJ2">
            <v>0</v>
          </cell>
          <cell r="CK2">
            <v>0</v>
          </cell>
          <cell r="CL2">
            <v>0</v>
          </cell>
          <cell r="CM2">
            <v>0</v>
          </cell>
          <cell r="CN2">
            <v>0</v>
          </cell>
          <cell r="CO2">
            <v>0</v>
          </cell>
          <cell r="CP2">
            <v>0</v>
          </cell>
          <cell r="CQ2">
            <v>0</v>
          </cell>
          <cell r="CR2">
            <v>0</v>
          </cell>
          <cell r="CS2">
            <v>0</v>
          </cell>
          <cell r="CT2">
            <v>0</v>
          </cell>
          <cell r="CU2">
            <v>0</v>
          </cell>
          <cell r="CV2">
            <v>0</v>
          </cell>
          <cell r="CW2">
            <v>0</v>
          </cell>
          <cell r="CX2">
            <v>0</v>
          </cell>
          <cell r="CY2">
            <v>0</v>
          </cell>
          <cell r="CZ2">
            <v>0</v>
          </cell>
          <cell r="DA2">
            <v>0</v>
          </cell>
          <cell r="DB2">
            <v>0</v>
          </cell>
          <cell r="DC2">
            <v>0</v>
          </cell>
          <cell r="DD2">
            <v>0</v>
          </cell>
          <cell r="DE2">
            <v>0</v>
          </cell>
          <cell r="DF2">
            <v>0</v>
          </cell>
          <cell r="DG2">
            <v>0</v>
          </cell>
          <cell r="DH2">
            <v>0</v>
          </cell>
          <cell r="DI2">
            <v>0</v>
          </cell>
          <cell r="DJ2">
            <v>0</v>
          </cell>
          <cell r="DK2">
            <v>0</v>
          </cell>
          <cell r="DL2">
            <v>0</v>
          </cell>
          <cell r="DM2">
            <v>0</v>
          </cell>
          <cell r="DN2">
            <v>0</v>
          </cell>
          <cell r="DO2">
            <v>0</v>
          </cell>
          <cell r="DP2">
            <v>0</v>
          </cell>
          <cell r="DQ2">
            <v>0</v>
          </cell>
          <cell r="DR2">
            <v>0</v>
          </cell>
          <cell r="DS2">
            <v>0</v>
          </cell>
          <cell r="DT2">
            <v>0</v>
          </cell>
          <cell r="DU2">
            <v>0</v>
          </cell>
          <cell r="DV2">
            <v>0</v>
          </cell>
          <cell r="DW2">
            <v>0</v>
          </cell>
          <cell r="DX2">
            <v>0</v>
          </cell>
          <cell r="DY2">
            <v>0</v>
          </cell>
          <cell r="DZ2"/>
          <cell r="EA2"/>
          <cell r="EB2"/>
          <cell r="EC2"/>
          <cell r="ED2"/>
          <cell r="EE2"/>
          <cell r="EF2"/>
        </row>
        <row r="3">
          <cell r="A3" t="str">
            <v>S t a t e m e n t   o f   C a s h   F l o w s</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cell r="X3">
            <v>0</v>
          </cell>
          <cell r="Y3">
            <v>0</v>
          </cell>
          <cell r="Z3">
            <v>0</v>
          </cell>
          <cell r="AA3">
            <v>0</v>
          </cell>
          <cell r="AB3">
            <v>0</v>
          </cell>
          <cell r="AC3">
            <v>0</v>
          </cell>
          <cell r="AD3">
            <v>0</v>
          </cell>
          <cell r="AE3">
            <v>-114.904</v>
          </cell>
          <cell r="AF3">
            <v>109.60399999999998</v>
          </cell>
          <cell r="AG3">
            <v>-18.19199999999999</v>
          </cell>
          <cell r="AH3">
            <v>27.024999999999995</v>
          </cell>
          <cell r="AI3">
            <v>-125.649</v>
          </cell>
          <cell r="AJ3">
            <v>0</v>
          </cell>
          <cell r="AK3">
            <v>54.974000000000004</v>
          </cell>
          <cell r="AL3">
            <v>-79.748999999999995</v>
          </cell>
          <cell r="AM3">
            <v>0</v>
          </cell>
          <cell r="AN3">
            <v>0</v>
          </cell>
          <cell r="AO3">
            <v>0</v>
          </cell>
          <cell r="AP3">
            <v>-25.539000000000001</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0</v>
          </cell>
          <cell r="DE3">
            <v>0</v>
          </cell>
          <cell r="DF3">
            <v>0</v>
          </cell>
          <cell r="DG3">
            <v>0</v>
          </cell>
          <cell r="DH3">
            <v>0</v>
          </cell>
          <cell r="DI3">
            <v>0</v>
          </cell>
          <cell r="DJ3">
            <v>0</v>
          </cell>
          <cell r="DK3">
            <v>0</v>
          </cell>
          <cell r="DL3">
            <v>0</v>
          </cell>
          <cell r="DM3">
            <v>0</v>
          </cell>
          <cell r="DN3">
            <v>0</v>
          </cell>
          <cell r="DO3">
            <v>0</v>
          </cell>
          <cell r="DP3">
            <v>0</v>
          </cell>
          <cell r="DQ3">
            <v>0</v>
          </cell>
          <cell r="DR3">
            <v>0</v>
          </cell>
          <cell r="DS3">
            <v>0</v>
          </cell>
          <cell r="DT3">
            <v>0</v>
          </cell>
          <cell r="DU3">
            <v>0</v>
          </cell>
          <cell r="DV3">
            <v>0</v>
          </cell>
          <cell r="DW3">
            <v>0</v>
          </cell>
          <cell r="DX3">
            <v>0</v>
          </cell>
          <cell r="DY3">
            <v>0</v>
          </cell>
          <cell r="DZ3">
            <v>0</v>
          </cell>
          <cell r="EA3">
            <v>0</v>
          </cell>
          <cell r="EB3">
            <v>0</v>
          </cell>
          <cell r="EC3">
            <v>0</v>
          </cell>
          <cell r="ED3">
            <v>0</v>
          </cell>
          <cell r="EE3">
            <v>0</v>
          </cell>
          <cell r="EF3">
            <v>0</v>
          </cell>
        </row>
        <row r="4">
          <cell r="A4" t="str">
            <v>(US$ in millions, unless otherwise stated)</v>
          </cell>
          <cell r="B4">
            <v>0</v>
          </cell>
          <cell r="C4" t="str">
            <v>Fiscal 1998 by Quarter</v>
          </cell>
          <cell r="D4">
            <v>0</v>
          </cell>
          <cell r="E4">
            <v>0</v>
          </cell>
          <cell r="F4">
            <v>0</v>
          </cell>
          <cell r="G4" t="str">
            <v>Fiscal 1999 by Quarter</v>
          </cell>
          <cell r="H4">
            <v>0</v>
          </cell>
          <cell r="I4">
            <v>0</v>
          </cell>
          <cell r="J4">
            <v>0</v>
          </cell>
          <cell r="K4" t="str">
            <v>Fiscal 2000 by Quarter</v>
          </cell>
          <cell r="L4">
            <v>0</v>
          </cell>
          <cell r="M4">
            <v>0</v>
          </cell>
          <cell r="N4">
            <v>0</v>
          </cell>
          <cell r="O4" t="str">
            <v>Fiscal 2001 by Quarter</v>
          </cell>
          <cell r="P4">
            <v>0</v>
          </cell>
          <cell r="Q4">
            <v>0</v>
          </cell>
          <cell r="R4">
            <v>0</v>
          </cell>
          <cell r="S4" t="str">
            <v>Fiscal 2002 by Quarter</v>
          </cell>
          <cell r="T4">
            <v>0</v>
          </cell>
          <cell r="U4">
            <v>0</v>
          </cell>
          <cell r="V4">
            <v>0</v>
          </cell>
          <cell r="W4" t="str">
            <v>Fiscal 2003 by Quarter</v>
          </cell>
          <cell r="X4">
            <v>0</v>
          </cell>
          <cell r="Y4">
            <v>0</v>
          </cell>
          <cell r="Z4">
            <v>0</v>
          </cell>
          <cell r="AA4" t="str">
            <v>Fiscal 2004 by Quarter</v>
          </cell>
          <cell r="AB4">
            <v>0</v>
          </cell>
          <cell r="AC4">
            <v>0</v>
          </cell>
          <cell r="AD4">
            <v>0</v>
          </cell>
          <cell r="AE4" t="str">
            <v>Fiscal 2005 by Quarter</v>
          </cell>
          <cell r="AF4">
            <v>0</v>
          </cell>
          <cell r="AG4">
            <v>0</v>
          </cell>
          <cell r="AH4">
            <v>0</v>
          </cell>
          <cell r="AI4" t="str">
            <v>Fiscal 2006 by Quarter</v>
          </cell>
          <cell r="AJ4">
            <v>0</v>
          </cell>
          <cell r="AK4">
            <v>0</v>
          </cell>
          <cell r="AL4">
            <v>0</v>
          </cell>
          <cell r="AM4" t="str">
            <v>Fiscal 2007 by Quarter</v>
          </cell>
          <cell r="AN4">
            <v>0</v>
          </cell>
          <cell r="AO4">
            <v>0</v>
          </cell>
          <cell r="AP4">
            <v>0</v>
          </cell>
          <cell r="AQ4" t="str">
            <v>Fiscal 2008 by Quarter</v>
          </cell>
          <cell r="AR4">
            <v>0</v>
          </cell>
          <cell r="AS4">
            <v>0</v>
          </cell>
          <cell r="AT4">
            <v>0</v>
          </cell>
          <cell r="AU4" t="str">
            <v>Fiscal 2009 by Quarter</v>
          </cell>
          <cell r="AV4">
            <v>0</v>
          </cell>
          <cell r="AW4">
            <v>0</v>
          </cell>
          <cell r="AX4">
            <v>0</v>
          </cell>
          <cell r="AY4" t="str">
            <v>Fiscal 2010 by Quarter</v>
          </cell>
          <cell r="AZ4">
            <v>0</v>
          </cell>
          <cell r="BA4">
            <v>0</v>
          </cell>
          <cell r="BB4">
            <v>0</v>
          </cell>
          <cell r="BC4" t="str">
            <v>Fiscal 2011 by Quarter</v>
          </cell>
          <cell r="BD4">
            <v>0</v>
          </cell>
          <cell r="BE4">
            <v>0</v>
          </cell>
          <cell r="BF4">
            <v>0</v>
          </cell>
          <cell r="BG4" t="str">
            <v>Fiscal 2012 by Quarter</v>
          </cell>
          <cell r="BH4">
            <v>0</v>
          </cell>
          <cell r="BI4">
            <v>0</v>
          </cell>
          <cell r="BJ4">
            <v>0</v>
          </cell>
          <cell r="BK4" t="str">
            <v>Fiscal 2013 by Quarter</v>
          </cell>
          <cell r="BL4">
            <v>0</v>
          </cell>
          <cell r="BM4">
            <v>0</v>
          </cell>
          <cell r="BN4">
            <v>0</v>
          </cell>
          <cell r="BO4" t="str">
            <v>Fiscal 2014 by Quarter</v>
          </cell>
          <cell r="BP4">
            <v>0</v>
          </cell>
          <cell r="BQ4">
            <v>0</v>
          </cell>
          <cell r="BR4">
            <v>0</v>
          </cell>
          <cell r="BS4" t="str">
            <v>Fiscal 2015 by Quarter</v>
          </cell>
          <cell r="BT4">
            <v>0</v>
          </cell>
          <cell r="BU4">
            <v>0</v>
          </cell>
          <cell r="BV4">
            <v>0</v>
          </cell>
          <cell r="BW4" t="str">
            <v>Fiscal 2016 by Quarter</v>
          </cell>
          <cell r="BX4">
            <v>0</v>
          </cell>
          <cell r="BY4">
            <v>0</v>
          </cell>
          <cell r="BZ4">
            <v>0</v>
          </cell>
          <cell r="CA4" t="str">
            <v>Fiscal 2017 by Quarter</v>
          </cell>
          <cell r="CB4">
            <v>0</v>
          </cell>
          <cell r="CC4">
            <v>0</v>
          </cell>
          <cell r="CD4">
            <v>0</v>
          </cell>
          <cell r="CE4" t="str">
            <v>Fiscal 2018 by Quarter</v>
          </cell>
          <cell r="CF4">
            <v>0</v>
          </cell>
          <cell r="CG4">
            <v>0</v>
          </cell>
          <cell r="CH4">
            <v>0</v>
          </cell>
          <cell r="CI4" t="str">
            <v>Fiscal 2019 by Quarter</v>
          </cell>
          <cell r="CJ4">
            <v>0</v>
          </cell>
          <cell r="CK4">
            <v>0</v>
          </cell>
          <cell r="CL4">
            <v>0</v>
          </cell>
          <cell r="CM4" t="str">
            <v>Fiscal 2020 by Quarter</v>
          </cell>
          <cell r="CN4">
            <v>0</v>
          </cell>
          <cell r="CO4">
            <v>0</v>
          </cell>
          <cell r="CP4">
            <v>0</v>
          </cell>
          <cell r="CQ4" t="str">
            <v>Fiscal 2021 by Quarter</v>
          </cell>
          <cell r="CR4">
            <v>0</v>
          </cell>
          <cell r="CS4">
            <v>0</v>
          </cell>
          <cell r="CT4">
            <v>0</v>
          </cell>
          <cell r="CU4" t="str">
            <v>Fiscal 2022 by Quarter</v>
          </cell>
          <cell r="CV4">
            <v>0</v>
          </cell>
          <cell r="CW4">
            <v>0</v>
          </cell>
          <cell r="CX4">
            <v>0</v>
          </cell>
          <cell r="CY4">
            <v>0</v>
          </cell>
          <cell r="CZ4" t="str">
            <v xml:space="preserve"> Fiscal Year Ends March</v>
          </cell>
          <cell r="DA4">
            <v>0</v>
          </cell>
          <cell r="DB4">
            <v>0</v>
          </cell>
          <cell r="DC4">
            <v>0</v>
          </cell>
          <cell r="DD4">
            <v>0</v>
          </cell>
          <cell r="DE4">
            <v>0</v>
          </cell>
          <cell r="DF4">
            <v>0</v>
          </cell>
          <cell r="DG4">
            <v>0</v>
          </cell>
          <cell r="DH4">
            <v>0</v>
          </cell>
          <cell r="DI4">
            <v>0</v>
          </cell>
          <cell r="DJ4">
            <v>0</v>
          </cell>
          <cell r="DK4">
            <v>0</v>
          </cell>
          <cell r="DL4">
            <v>0</v>
          </cell>
          <cell r="DM4">
            <v>0</v>
          </cell>
          <cell r="DN4">
            <v>0</v>
          </cell>
          <cell r="DO4">
            <v>0</v>
          </cell>
          <cell r="DP4">
            <v>0</v>
          </cell>
          <cell r="DQ4">
            <v>0</v>
          </cell>
          <cell r="DR4">
            <v>0</v>
          </cell>
          <cell r="DS4">
            <v>0</v>
          </cell>
          <cell r="DT4">
            <v>0</v>
          </cell>
          <cell r="DU4">
            <v>0</v>
          </cell>
          <cell r="DV4">
            <v>0</v>
          </cell>
          <cell r="DW4">
            <v>0</v>
          </cell>
          <cell r="DX4">
            <v>0</v>
          </cell>
          <cell r="DY4">
            <v>0</v>
          </cell>
          <cell r="DZ4">
            <v>0</v>
          </cell>
          <cell r="EA4">
            <v>0</v>
          </cell>
          <cell r="EB4">
            <v>0</v>
          </cell>
          <cell r="EC4">
            <v>0</v>
          </cell>
          <cell r="ED4">
            <v>0</v>
          </cell>
          <cell r="EE4">
            <v>0</v>
          </cell>
          <cell r="EF4">
            <v>0</v>
          </cell>
        </row>
        <row r="5">
          <cell r="A5">
            <v>0</v>
          </cell>
          <cell r="B5">
            <v>0</v>
          </cell>
          <cell r="C5">
            <v>35582</v>
          </cell>
          <cell r="D5">
            <v>35674</v>
          </cell>
          <cell r="E5">
            <v>35765</v>
          </cell>
          <cell r="F5">
            <v>35855</v>
          </cell>
          <cell r="G5">
            <v>35947</v>
          </cell>
          <cell r="H5">
            <v>36039</v>
          </cell>
          <cell r="I5">
            <v>36130</v>
          </cell>
          <cell r="J5">
            <v>36220</v>
          </cell>
          <cell r="K5">
            <v>36312</v>
          </cell>
          <cell r="L5">
            <v>36404</v>
          </cell>
          <cell r="M5">
            <v>36495</v>
          </cell>
          <cell r="N5">
            <v>36586</v>
          </cell>
          <cell r="O5">
            <v>36678</v>
          </cell>
          <cell r="P5">
            <v>36770</v>
          </cell>
          <cell r="Q5">
            <v>36861</v>
          </cell>
          <cell r="R5">
            <v>36951</v>
          </cell>
          <cell r="S5">
            <v>37043</v>
          </cell>
          <cell r="T5">
            <v>37135</v>
          </cell>
          <cell r="U5">
            <v>37226</v>
          </cell>
          <cell r="V5">
            <v>37317</v>
          </cell>
          <cell r="W5">
            <v>37409</v>
          </cell>
          <cell r="X5">
            <v>37501</v>
          </cell>
          <cell r="Y5">
            <v>37592</v>
          </cell>
          <cell r="Z5">
            <v>37683</v>
          </cell>
          <cell r="AA5">
            <v>37775</v>
          </cell>
          <cell r="AB5">
            <v>37867</v>
          </cell>
          <cell r="AC5">
            <v>37958</v>
          </cell>
          <cell r="AD5">
            <v>38050</v>
          </cell>
          <cell r="AE5">
            <v>38142</v>
          </cell>
          <cell r="AF5">
            <v>38234</v>
          </cell>
          <cell r="AG5">
            <v>38325</v>
          </cell>
          <cell r="AH5">
            <v>38415</v>
          </cell>
          <cell r="AI5">
            <v>38508</v>
          </cell>
          <cell r="AJ5">
            <v>38600</v>
          </cell>
          <cell r="AK5">
            <v>38691</v>
          </cell>
          <cell r="AL5">
            <v>38782</v>
          </cell>
          <cell r="AM5">
            <v>38874</v>
          </cell>
          <cell r="AN5">
            <v>38966</v>
          </cell>
          <cell r="AO5">
            <v>39057</v>
          </cell>
          <cell r="AP5">
            <v>39148</v>
          </cell>
          <cell r="AQ5">
            <v>39240</v>
          </cell>
          <cell r="AR5">
            <v>39332</v>
          </cell>
          <cell r="AS5">
            <v>39423</v>
          </cell>
          <cell r="AT5">
            <v>39515</v>
          </cell>
          <cell r="AU5">
            <v>39606</v>
          </cell>
          <cell r="AV5">
            <v>39698</v>
          </cell>
          <cell r="AW5">
            <v>39789</v>
          </cell>
          <cell r="AX5">
            <v>39881</v>
          </cell>
          <cell r="AY5">
            <v>39971</v>
          </cell>
          <cell r="AZ5">
            <v>40065</v>
          </cell>
          <cell r="BA5">
            <v>40154</v>
          </cell>
          <cell r="BB5">
            <v>40244</v>
          </cell>
          <cell r="BC5">
            <v>40339</v>
          </cell>
          <cell r="BD5">
            <v>40431</v>
          </cell>
          <cell r="BE5">
            <v>40519</v>
          </cell>
          <cell r="BF5">
            <v>40609</v>
          </cell>
          <cell r="BG5">
            <v>40705</v>
          </cell>
          <cell r="BH5">
            <v>40797</v>
          </cell>
          <cell r="BI5">
            <v>40884</v>
          </cell>
          <cell r="BJ5">
            <v>40975</v>
          </cell>
          <cell r="BK5">
            <v>41071</v>
          </cell>
          <cell r="BL5">
            <v>41164</v>
          </cell>
          <cell r="BM5">
            <v>41250</v>
          </cell>
          <cell r="BN5">
            <v>41340</v>
          </cell>
          <cell r="BO5">
            <v>41436</v>
          </cell>
          <cell r="BP5">
            <v>41530</v>
          </cell>
          <cell r="BQ5">
            <v>41615</v>
          </cell>
          <cell r="BR5">
            <v>41712</v>
          </cell>
          <cell r="BS5">
            <v>41801</v>
          </cell>
          <cell r="BT5">
            <v>41896</v>
          </cell>
          <cell r="BU5">
            <v>41987</v>
          </cell>
          <cell r="BV5">
            <v>42078</v>
          </cell>
          <cell r="BW5">
            <v>42170</v>
          </cell>
          <cell r="BX5">
            <v>42262</v>
          </cell>
          <cell r="BY5">
            <v>42353</v>
          </cell>
          <cell r="BZ5">
            <v>42445</v>
          </cell>
          <cell r="CA5">
            <v>42537</v>
          </cell>
          <cell r="CB5">
            <v>42629</v>
          </cell>
          <cell r="CC5">
            <v>42720</v>
          </cell>
          <cell r="CD5">
            <v>42811</v>
          </cell>
          <cell r="CE5">
            <v>42903</v>
          </cell>
          <cell r="CF5">
            <v>42995</v>
          </cell>
          <cell r="CG5">
            <v>43086</v>
          </cell>
          <cell r="CH5" t="str">
            <v>Mar-18E</v>
          </cell>
          <cell r="CI5" t="str">
            <v>Jun-18E</v>
          </cell>
          <cell r="CJ5" t="str">
            <v>Sep-18E</v>
          </cell>
          <cell r="CK5" t="str">
            <v>Dec-18E</v>
          </cell>
          <cell r="CL5" t="str">
            <v>Mar-19E</v>
          </cell>
          <cell r="CM5" t="str">
            <v>Jun-19E</v>
          </cell>
          <cell r="CN5" t="str">
            <v>Sep-19E</v>
          </cell>
          <cell r="CO5" t="str">
            <v>Dec-19E</v>
          </cell>
          <cell r="CP5" t="str">
            <v>Mar-20E</v>
          </cell>
          <cell r="CQ5" t="str">
            <v>Jun-20E</v>
          </cell>
          <cell r="CR5" t="str">
            <v>Sep-20E</v>
          </cell>
          <cell r="CS5" t="str">
            <v>Dec-20E</v>
          </cell>
          <cell r="CT5" t="str">
            <v>Mar-21E</v>
          </cell>
          <cell r="CU5" t="str">
            <v>Jun-21E</v>
          </cell>
          <cell r="CV5" t="str">
            <v>Sep-21E</v>
          </cell>
          <cell r="CW5" t="str">
            <v>Dec-21E</v>
          </cell>
          <cell r="CX5" t="str">
            <v>Mar-22E</v>
          </cell>
          <cell r="CY5">
            <v>0</v>
          </cell>
          <cell r="CZ5">
            <v>1998</v>
          </cell>
          <cell r="DA5">
            <v>1999</v>
          </cell>
          <cell r="DB5">
            <v>2000</v>
          </cell>
          <cell r="DC5">
            <v>2001</v>
          </cell>
          <cell r="DD5">
            <v>2002</v>
          </cell>
          <cell r="DE5">
            <v>2003</v>
          </cell>
          <cell r="DF5">
            <v>2004</v>
          </cell>
          <cell r="DG5">
            <v>2005</v>
          </cell>
          <cell r="DH5">
            <v>2006</v>
          </cell>
          <cell r="DI5">
            <v>2007</v>
          </cell>
          <cell r="DJ5">
            <v>2008</v>
          </cell>
          <cell r="DK5">
            <v>2009</v>
          </cell>
          <cell r="DL5">
            <v>2010</v>
          </cell>
          <cell r="DM5">
            <v>2011</v>
          </cell>
          <cell r="DN5">
            <v>2012</v>
          </cell>
          <cell r="DO5">
            <v>2013</v>
          </cell>
          <cell r="DP5">
            <v>2014</v>
          </cell>
          <cell r="DQ5">
            <v>2015</v>
          </cell>
          <cell r="DR5">
            <v>2016</v>
          </cell>
          <cell r="DS5">
            <v>2017</v>
          </cell>
          <cell r="DT5" t="str">
            <v>2018E</v>
          </cell>
          <cell r="DU5" t="str">
            <v>2019E</v>
          </cell>
          <cell r="DV5" t="str">
            <v>2020E</v>
          </cell>
          <cell r="DW5" t="str">
            <v>2021E</v>
          </cell>
          <cell r="DX5" t="str">
            <v>2022E</v>
          </cell>
          <cell r="DY5">
            <v>0</v>
          </cell>
          <cell r="DZ5">
            <v>0</v>
          </cell>
          <cell r="EA5">
            <v>2017</v>
          </cell>
          <cell r="EB5">
            <v>2018</v>
          </cell>
          <cell r="EC5" t="str">
            <v>2019E</v>
          </cell>
          <cell r="ED5" t="str">
            <v>2020E</v>
          </cell>
          <cell r="EE5" t="str">
            <v>2021E</v>
          </cell>
          <cell r="EF5" t="str">
            <v>2022E</v>
          </cell>
        </row>
        <row r="6">
          <cell r="A6">
            <v>0</v>
          </cell>
          <cell r="B6">
            <v>0</v>
          </cell>
          <cell r="C6">
            <v>0</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row>
        <row r="7">
          <cell r="A7" t="str">
            <v>CASH FLOWS FROM OPERATING ACTIVITIES:</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122.40899999999999</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row>
        <row r="8">
          <cell r="A8" t="str">
            <v>Net income (loss)</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-166.66500000000002</v>
          </cell>
          <cell r="T8">
            <v>-141.46299999999994</v>
          </cell>
          <cell r="U8">
            <v>-153.20599999999996</v>
          </cell>
          <cell r="V8">
            <v>-202.60799999999995</v>
          </cell>
          <cell r="W8">
            <v>102.97600000000003</v>
          </cell>
          <cell r="X8">
            <v>79.142000000000081</v>
          </cell>
          <cell r="Y8">
            <v>105.941</v>
          </cell>
          <cell r="Z8">
            <v>18.645000000000039</v>
          </cell>
          <cell r="AA8">
            <v>101.88500000000002</v>
          </cell>
          <cell r="AB8">
            <v>129.06300000000002</v>
          </cell>
          <cell r="AC8">
            <v>179.59400000000005</v>
          </cell>
          <cell r="AD8">
            <v>307.54799999999989</v>
          </cell>
          <cell r="AE8">
            <v>217.32499999999999</v>
          </cell>
          <cell r="AF8">
            <v>222.09299999999996</v>
          </cell>
          <cell r="AG8">
            <v>259.77600000000001</v>
          </cell>
          <cell r="AH8">
            <v>248.37600000000003</v>
          </cell>
          <cell r="AI8">
            <v>192.96399999999994</v>
          </cell>
          <cell r="AJ8">
            <v>-251.32799999999997</v>
          </cell>
          <cell r="AK8">
            <v>90.734000000000037</v>
          </cell>
          <cell r="AL8">
            <v>118.81299999999997</v>
          </cell>
          <cell r="AM8">
            <v>100.53299999999993</v>
          </cell>
          <cell r="AN8">
            <v>126.17899999999973</v>
          </cell>
          <cell r="AO8">
            <v>116.76899999999998</v>
          </cell>
          <cell r="AP8">
            <v>60.895000000000067</v>
          </cell>
          <cell r="AQ8">
            <v>95.205999999999847</v>
          </cell>
          <cell r="AR8">
            <v>50.366999999999948</v>
          </cell>
          <cell r="AS8">
            <v>131.89000000000004</v>
          </cell>
          <cell r="AT8">
            <v>186.38599999999985</v>
          </cell>
          <cell r="AU8">
            <v>186.69199999999995</v>
          </cell>
          <cell r="AV8">
            <v>140.07299999999992</v>
          </cell>
          <cell r="AW8">
            <v>-6806.2570000000005</v>
          </cell>
          <cell r="AX8">
            <v>-249.37800000000016</v>
          </cell>
          <cell r="AY8">
            <v>96</v>
          </cell>
          <cell r="AZ8">
            <v>150</v>
          </cell>
          <cell r="BA8">
            <v>300</v>
          </cell>
          <cell r="BB8">
            <v>184</v>
          </cell>
          <cell r="BC8">
            <v>161</v>
          </cell>
          <cell r="BD8">
            <v>136</v>
          </cell>
          <cell r="BE8">
            <v>132</v>
          </cell>
          <cell r="BF8">
            <v>166</v>
          </cell>
          <cell r="BG8">
            <v>185</v>
          </cell>
          <cell r="BH8">
            <v>176</v>
          </cell>
          <cell r="BI8">
            <v>250</v>
          </cell>
          <cell r="BJ8">
            <v>576</v>
          </cell>
          <cell r="BK8">
            <v>160</v>
          </cell>
          <cell r="BL8">
            <v>153</v>
          </cell>
          <cell r="BM8">
            <v>214</v>
          </cell>
          <cell r="BN8">
            <v>179</v>
          </cell>
          <cell r="BO8">
            <v>157</v>
          </cell>
          <cell r="BP8">
            <v>256</v>
          </cell>
          <cell r="BQ8">
            <v>278</v>
          </cell>
          <cell r="BR8">
            <v>223.39999999999998</v>
          </cell>
          <cell r="BS8">
            <v>236</v>
          </cell>
          <cell r="BT8">
            <v>244</v>
          </cell>
          <cell r="BU8">
            <v>222</v>
          </cell>
          <cell r="BV8">
            <v>176</v>
          </cell>
          <cell r="BW8">
            <v>117</v>
          </cell>
          <cell r="BX8">
            <v>156</v>
          </cell>
          <cell r="BY8">
            <v>170</v>
          </cell>
          <cell r="BZ8">
            <v>2045</v>
          </cell>
          <cell r="CA8">
            <v>135</v>
          </cell>
          <cell r="CB8">
            <v>-144</v>
          </cell>
          <cell r="CC8">
            <v>46</v>
          </cell>
          <cell r="CD8">
            <v>-143</v>
          </cell>
          <cell r="CE8">
            <v>-133</v>
          </cell>
          <cell r="CF8">
            <v>-12</v>
          </cell>
          <cell r="CG8">
            <v>1342</v>
          </cell>
          <cell r="CH8">
            <v>-24.707548812103084</v>
          </cell>
          <cell r="CI8">
            <v>113.4507634903659</v>
          </cell>
          <cell r="CJ8">
            <v>147.14180629881432</v>
          </cell>
          <cell r="CK8">
            <v>146.37107745987981</v>
          </cell>
          <cell r="CL8">
            <v>155.83824172004574</v>
          </cell>
          <cell r="CM8">
            <v>218.86053275372913</v>
          </cell>
          <cell r="CN8">
            <v>222.19660881598463</v>
          </cell>
          <cell r="CO8">
            <v>197.53697112388929</v>
          </cell>
          <cell r="CP8">
            <v>194.65087873165407</v>
          </cell>
          <cell r="CQ8">
            <v>248.33125579438939</v>
          </cell>
          <cell r="CR8">
            <v>250.9595849488656</v>
          </cell>
          <cell r="CS8">
            <v>226.48659964591315</v>
          </cell>
          <cell r="CT8">
            <v>218.99982162715474</v>
          </cell>
          <cell r="CU8">
            <v>276.12540166056192</v>
          </cell>
          <cell r="CV8">
            <v>282.079685811731</v>
          </cell>
          <cell r="CW8">
            <v>255.28293852273737</v>
          </cell>
          <cell r="CX8">
            <v>248.23405955347528</v>
          </cell>
          <cell r="CY8">
            <v>0</v>
          </cell>
          <cell r="CZ8">
            <v>0</v>
          </cell>
          <cell r="DA8">
            <v>0</v>
          </cell>
          <cell r="DB8">
            <v>0</v>
          </cell>
          <cell r="DC8">
            <v>0</v>
          </cell>
          <cell r="DD8">
            <v>-663.94199999999978</v>
          </cell>
          <cell r="DE8">
            <v>306.70400000000012</v>
          </cell>
          <cell r="DF8">
            <v>718.08999999999992</v>
          </cell>
          <cell r="DG8">
            <v>947.56999999999994</v>
          </cell>
          <cell r="DH8">
            <v>151.18299999999999</v>
          </cell>
          <cell r="DI8">
            <v>404.37599999999975</v>
          </cell>
          <cell r="DJ8">
            <v>463.84899999999971</v>
          </cell>
          <cell r="DK8">
            <v>-6728.8700000000008</v>
          </cell>
          <cell r="DL8">
            <v>730</v>
          </cell>
          <cell r="DM8">
            <v>595</v>
          </cell>
          <cell r="DN8">
            <v>1187</v>
          </cell>
          <cell r="DO8">
            <v>706</v>
          </cell>
          <cell r="DP8">
            <v>914.4</v>
          </cell>
          <cell r="DQ8">
            <v>878</v>
          </cell>
          <cell r="DR8">
            <v>2488</v>
          </cell>
          <cell r="DS8">
            <v>-106</v>
          </cell>
          <cell r="DT8">
            <v>1172.2924511878969</v>
          </cell>
          <cell r="DU8">
            <v>562.80188896910579</v>
          </cell>
          <cell r="DV8">
            <v>833.24499142525713</v>
          </cell>
          <cell r="DW8">
            <v>944.77726201632277</v>
          </cell>
          <cell r="DX8">
            <v>1061.7220855485057</v>
          </cell>
          <cell r="DY8">
            <v>0</v>
          </cell>
          <cell r="DZ8">
            <v>0</v>
          </cell>
          <cell r="EA8">
            <v>-106</v>
          </cell>
          <cell r="EB8">
            <v>1162</v>
          </cell>
          <cell r="EC8">
            <v>360.32676106419069</v>
          </cell>
          <cell r="ED8">
            <v>722.5007491188893</v>
          </cell>
          <cell r="EE8">
            <v>812.44883963381972</v>
          </cell>
          <cell r="EF8">
            <v>927.68809997266067</v>
          </cell>
        </row>
        <row r="9">
          <cell r="A9" t="str">
            <v>Income from discontinued operations, net of income taxes</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-92</v>
          </cell>
          <cell r="BX9">
            <v>-103</v>
          </cell>
          <cell r="BY9">
            <v>-56</v>
          </cell>
          <cell r="BZ9">
            <v>-3058</v>
          </cell>
          <cell r="CA9">
            <v>-69</v>
          </cell>
          <cell r="CB9">
            <v>75</v>
          </cell>
          <cell r="CC9">
            <v>-102</v>
          </cell>
          <cell r="CD9">
            <v>-34</v>
          </cell>
          <cell r="CE9">
            <v>23</v>
          </cell>
          <cell r="CF9">
            <v>-4</v>
          </cell>
          <cell r="CG9">
            <v>-31</v>
          </cell>
          <cell r="CH9">
            <v>0</v>
          </cell>
          <cell r="CI9">
            <v>0</v>
          </cell>
          <cell r="CJ9">
            <v>0</v>
          </cell>
          <cell r="CK9">
            <v>0</v>
          </cell>
          <cell r="CL9">
            <v>0</v>
          </cell>
          <cell r="CM9">
            <v>0</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-3309</v>
          </cell>
          <cell r="DS9">
            <v>-130</v>
          </cell>
          <cell r="DT9">
            <v>-12</v>
          </cell>
          <cell r="DU9">
            <v>0</v>
          </cell>
          <cell r="DV9">
            <v>0</v>
          </cell>
          <cell r="DW9">
            <v>0</v>
          </cell>
          <cell r="DX9">
            <v>0</v>
          </cell>
          <cell r="DY9">
            <v>0</v>
          </cell>
          <cell r="DZ9">
            <v>0</v>
          </cell>
          <cell r="EA9">
            <v>-130</v>
          </cell>
          <cell r="EB9">
            <v>-11</v>
          </cell>
          <cell r="EC9">
            <v>0</v>
          </cell>
          <cell r="ED9">
            <v>0</v>
          </cell>
          <cell r="EE9">
            <v>0</v>
          </cell>
          <cell r="EF9">
            <v>0</v>
          </cell>
        </row>
        <row r="10">
          <cell r="A10" t="str">
            <v>Depreciation and amortization</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27.908000000000001</v>
          </cell>
          <cell r="T10">
            <v>25.676000000000002</v>
          </cell>
          <cell r="U10">
            <v>43.228999999999999</v>
          </cell>
          <cell r="V10">
            <v>33.516000000000005</v>
          </cell>
          <cell r="W10">
            <v>36.624000000000002</v>
          </cell>
          <cell r="X10">
            <v>41.28</v>
          </cell>
          <cell r="Y10">
            <v>42.973000000000006</v>
          </cell>
          <cell r="Z10">
            <v>38.926000000000002</v>
          </cell>
          <cell r="AA10">
            <v>48.534999999999997</v>
          </cell>
          <cell r="AB10">
            <v>44.923000000000002</v>
          </cell>
          <cell r="AC10">
            <v>52.834000000000003</v>
          </cell>
          <cell r="AD10">
            <v>54.673999999999992</v>
          </cell>
          <cell r="AE10">
            <v>49.989999999999995</v>
          </cell>
          <cell r="AF10">
            <v>53.179000000000002</v>
          </cell>
          <cell r="AG10">
            <v>51.167999999999992</v>
          </cell>
          <cell r="AH10">
            <v>55.562999999999988</v>
          </cell>
          <cell r="AI10">
            <v>52.658000000000001</v>
          </cell>
          <cell r="AJ10">
            <v>58.247</v>
          </cell>
          <cell r="AK10">
            <v>54.326000000000008</v>
          </cell>
          <cell r="AL10">
            <v>56.047999999999988</v>
          </cell>
          <cell r="AM10">
            <v>55.29</v>
          </cell>
          <cell r="AN10">
            <v>61.709999999999994</v>
          </cell>
          <cell r="AO10">
            <v>55.876000000000019</v>
          </cell>
          <cell r="AP10">
            <v>82.253000000000014</v>
          </cell>
          <cell r="AQ10">
            <v>66.655000000000001</v>
          </cell>
          <cell r="AR10">
            <v>61.033999999999992</v>
          </cell>
          <cell r="AS10">
            <v>63.481000000000002</v>
          </cell>
          <cell r="AT10">
            <v>63.018000000000001</v>
          </cell>
          <cell r="AU10">
            <v>144.67700000000002</v>
          </cell>
          <cell r="AV10">
            <v>155.85999999999999</v>
          </cell>
          <cell r="AW10">
            <v>124.626</v>
          </cell>
          <cell r="AX10">
            <v>120.30099999999999</v>
          </cell>
          <cell r="AY10">
            <v>123</v>
          </cell>
          <cell r="AZ10">
            <v>127</v>
          </cell>
          <cell r="BA10">
            <v>121</v>
          </cell>
          <cell r="BB10">
            <v>123</v>
          </cell>
          <cell r="BC10">
            <v>120</v>
          </cell>
          <cell r="BD10">
            <v>109</v>
          </cell>
          <cell r="BE10">
            <v>163</v>
          </cell>
          <cell r="BF10">
            <v>161</v>
          </cell>
          <cell r="BG10">
            <v>160</v>
          </cell>
          <cell r="BH10">
            <v>163</v>
          </cell>
          <cell r="BI10">
            <v>162</v>
          </cell>
          <cell r="BJ10">
            <v>169</v>
          </cell>
          <cell r="BK10">
            <v>160</v>
          </cell>
          <cell r="BL10">
            <v>162</v>
          </cell>
          <cell r="BM10">
            <v>159</v>
          </cell>
          <cell r="BN10">
            <v>157</v>
          </cell>
          <cell r="BO10">
            <v>156</v>
          </cell>
          <cell r="BP10">
            <v>111</v>
          </cell>
          <cell r="BQ10">
            <v>110</v>
          </cell>
          <cell r="BR10">
            <v>114</v>
          </cell>
          <cell r="BS10">
            <v>116</v>
          </cell>
          <cell r="BT10">
            <v>111</v>
          </cell>
          <cell r="BU10">
            <v>107</v>
          </cell>
          <cell r="BV10">
            <v>105</v>
          </cell>
          <cell r="BW10">
            <v>77</v>
          </cell>
          <cell r="BX10">
            <v>76</v>
          </cell>
          <cell r="BY10">
            <v>74</v>
          </cell>
          <cell r="BZ10">
            <v>77</v>
          </cell>
          <cell r="CA10">
            <v>72</v>
          </cell>
          <cell r="CB10">
            <v>133</v>
          </cell>
          <cell r="CC10">
            <v>151</v>
          </cell>
          <cell r="CD10">
            <v>174</v>
          </cell>
          <cell r="CE10">
            <v>191</v>
          </cell>
          <cell r="CF10">
            <v>170</v>
          </cell>
          <cell r="CG10">
            <v>165</v>
          </cell>
          <cell r="CH10">
            <v>195.13364055299539</v>
          </cell>
          <cell r="CI10">
            <v>188.90864995929115</v>
          </cell>
          <cell r="CJ10">
            <v>169.81262778410908</v>
          </cell>
          <cell r="CK10">
            <v>166.58327449607708</v>
          </cell>
          <cell r="CL10">
            <v>198.59994980803691</v>
          </cell>
          <cell r="CM10">
            <v>185.99993651175348</v>
          </cell>
          <cell r="CN10">
            <v>167.94429157806843</v>
          </cell>
          <cell r="CO10">
            <v>164.86599099472895</v>
          </cell>
          <cell r="CP10">
            <v>197.08493993676365</v>
          </cell>
          <cell r="CQ10">
            <v>184.28372014672985</v>
          </cell>
          <cell r="CR10">
            <v>166.88091035790617</v>
          </cell>
          <cell r="CS10">
            <v>163.90458415813697</v>
          </cell>
          <cell r="CT10">
            <v>196.24934627421615</v>
          </cell>
          <cell r="CU10">
            <v>183.34788336401073</v>
          </cell>
          <cell r="CV10">
            <v>166.32282509513857</v>
          </cell>
          <cell r="CW10">
            <v>163.41817329016823</v>
          </cell>
          <cell r="CX10">
            <v>195.84997873291357</v>
          </cell>
          <cell r="CY10">
            <v>0</v>
          </cell>
          <cell r="CZ10">
            <v>0</v>
          </cell>
          <cell r="DA10">
            <v>0</v>
          </cell>
          <cell r="DB10">
            <v>0</v>
          </cell>
          <cell r="DC10">
            <v>0</v>
          </cell>
          <cell r="DD10">
            <v>130.32900000000001</v>
          </cell>
          <cell r="DE10">
            <v>159.803</v>
          </cell>
          <cell r="DF10">
            <v>200.96600000000001</v>
          </cell>
          <cell r="DG10">
            <v>209.89999999999998</v>
          </cell>
          <cell r="DH10">
            <v>221.279</v>
          </cell>
          <cell r="DI10">
            <v>255.12900000000005</v>
          </cell>
          <cell r="DJ10">
            <v>254.18799999999999</v>
          </cell>
          <cell r="DK10">
            <v>545.46399999999994</v>
          </cell>
          <cell r="DL10">
            <v>494</v>
          </cell>
          <cell r="DM10">
            <v>553</v>
          </cell>
          <cell r="DN10">
            <v>654</v>
          </cell>
          <cell r="DO10">
            <v>638</v>
          </cell>
          <cell r="DP10">
            <v>491</v>
          </cell>
          <cell r="DQ10">
            <v>439</v>
          </cell>
          <cell r="DR10">
            <v>304</v>
          </cell>
          <cell r="DS10">
            <v>530</v>
          </cell>
          <cell r="DT10">
            <v>721.13364055299542</v>
          </cell>
          <cell r="DU10">
            <v>723.90450204751414</v>
          </cell>
          <cell r="DV10">
            <v>715.89515902131438</v>
          </cell>
          <cell r="DW10">
            <v>711.31856093698912</v>
          </cell>
          <cell r="DX10">
            <v>708.93886048223112</v>
          </cell>
          <cell r="DY10">
            <v>0</v>
          </cell>
          <cell r="DZ10">
            <v>0</v>
          </cell>
          <cell r="EA10">
            <v>530</v>
          </cell>
          <cell r="EB10">
            <v>722</v>
          </cell>
          <cell r="EC10">
            <v>679.78084223355404</v>
          </cell>
          <cell r="ED10">
            <v>661.73662346103458</v>
          </cell>
          <cell r="EE10">
            <v>650.47966282301388</v>
          </cell>
          <cell r="EF10">
            <v>643.11037062464015</v>
          </cell>
        </row>
        <row r="11">
          <cell r="A11" t="str">
            <v>Stock options compensation expense</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36.859000000000002</v>
          </cell>
          <cell r="AN11">
            <v>45.77</v>
          </cell>
          <cell r="AO11">
            <v>36.117000000000004</v>
          </cell>
          <cell r="AP11">
            <v>35.133999999999993</v>
          </cell>
          <cell r="AQ11">
            <v>40.743000000000002</v>
          </cell>
          <cell r="AR11">
            <v>40.990999999999993</v>
          </cell>
          <cell r="AS11">
            <v>39.417000000000002</v>
          </cell>
          <cell r="AT11">
            <v>42.543999999999997</v>
          </cell>
          <cell r="AU11">
            <v>44.847000000000001</v>
          </cell>
          <cell r="AV11">
            <v>44.648000000000003</v>
          </cell>
          <cell r="AW11">
            <v>33.634999999999998</v>
          </cell>
          <cell r="AX11">
            <v>34.334000000000003</v>
          </cell>
          <cell r="AY11">
            <v>49</v>
          </cell>
          <cell r="AZ11">
            <v>36</v>
          </cell>
          <cell r="BA11">
            <v>39</v>
          </cell>
          <cell r="BB11">
            <v>31</v>
          </cell>
          <cell r="BC11">
            <v>35</v>
          </cell>
          <cell r="BD11">
            <v>35</v>
          </cell>
          <cell r="BE11">
            <v>37</v>
          </cell>
          <cell r="BF11">
            <v>37</v>
          </cell>
          <cell r="BG11">
            <v>39</v>
          </cell>
          <cell r="BH11">
            <v>38</v>
          </cell>
          <cell r="BI11">
            <v>46</v>
          </cell>
          <cell r="BJ11">
            <v>41</v>
          </cell>
          <cell r="BK11">
            <v>38</v>
          </cell>
          <cell r="BL11">
            <v>45</v>
          </cell>
          <cell r="BM11">
            <v>42</v>
          </cell>
          <cell r="BN11">
            <v>39</v>
          </cell>
          <cell r="BO11">
            <v>39</v>
          </cell>
          <cell r="BP11">
            <v>38</v>
          </cell>
          <cell r="BQ11">
            <v>34</v>
          </cell>
          <cell r="BR11">
            <v>45</v>
          </cell>
          <cell r="BS11">
            <v>43</v>
          </cell>
          <cell r="BT11">
            <v>46</v>
          </cell>
          <cell r="BU11">
            <v>51</v>
          </cell>
          <cell r="BV11">
            <v>55</v>
          </cell>
          <cell r="BW11">
            <v>35</v>
          </cell>
          <cell r="BX11">
            <v>45</v>
          </cell>
          <cell r="BY11">
            <v>38</v>
          </cell>
          <cell r="BZ11">
            <v>43</v>
          </cell>
          <cell r="CA11">
            <v>49</v>
          </cell>
          <cell r="CB11">
            <v>85</v>
          </cell>
          <cell r="CC11">
            <v>97</v>
          </cell>
          <cell r="CD11">
            <v>209</v>
          </cell>
          <cell r="CE11">
            <v>147</v>
          </cell>
          <cell r="CF11">
            <v>176</v>
          </cell>
          <cell r="CG11">
            <v>125</v>
          </cell>
          <cell r="CH11">
            <v>150</v>
          </cell>
          <cell r="CI11">
            <v>60.945852080294713</v>
          </cell>
          <cell r="CJ11">
            <v>60.939514814202212</v>
          </cell>
          <cell r="CK11">
            <v>60.828038760329349</v>
          </cell>
          <cell r="CL11">
            <v>60.292780744841878</v>
          </cell>
          <cell r="CM11">
            <v>61.148762903454163</v>
          </cell>
          <cell r="CN11">
            <v>61.528023874462932</v>
          </cell>
          <cell r="CO11">
            <v>61.410238843533314</v>
          </cell>
          <cell r="CP11">
            <v>60.852006250423251</v>
          </cell>
          <cell r="CQ11">
            <v>61.457876610326672</v>
          </cell>
          <cell r="CR11">
            <v>61.733993658764824</v>
          </cell>
          <cell r="CS11">
            <v>61.514823469454782</v>
          </cell>
          <cell r="CT11">
            <v>60.848608442399723</v>
          </cell>
          <cell r="CU11">
            <v>61.416075497593972</v>
          </cell>
          <cell r="CV11">
            <v>61.700104181537206</v>
          </cell>
          <cell r="CW11">
            <v>61.476923860088995</v>
          </cell>
          <cell r="CX11">
            <v>60.795093836881804</v>
          </cell>
          <cell r="CY11">
            <v>0</v>
          </cell>
          <cell r="CZ11">
            <v>0</v>
          </cell>
          <cell r="DA11">
            <v>0</v>
          </cell>
          <cell r="DB11">
            <v>0</v>
          </cell>
          <cell r="DC11">
            <v>0</v>
          </cell>
          <cell r="DD11">
            <v>0</v>
          </cell>
          <cell r="DE11">
            <v>0</v>
          </cell>
          <cell r="DF11">
            <v>0</v>
          </cell>
          <cell r="DG11">
            <v>0</v>
          </cell>
          <cell r="DH11">
            <v>0</v>
          </cell>
          <cell r="DI11">
            <v>153.88</v>
          </cell>
          <cell r="DJ11">
            <v>163.69499999999999</v>
          </cell>
          <cell r="DK11">
            <v>157.464</v>
          </cell>
          <cell r="DL11">
            <v>155</v>
          </cell>
          <cell r="DM11">
            <v>144</v>
          </cell>
          <cell r="DN11">
            <v>164</v>
          </cell>
          <cell r="DO11">
            <v>164</v>
          </cell>
          <cell r="DP11">
            <v>156</v>
          </cell>
          <cell r="DQ11">
            <v>195</v>
          </cell>
          <cell r="DR11">
            <v>161</v>
          </cell>
          <cell r="DS11">
            <v>440</v>
          </cell>
          <cell r="DT11">
            <v>598</v>
          </cell>
          <cell r="DU11">
            <v>243.00618639966814</v>
          </cell>
          <cell r="DV11">
            <v>244.93903187187365</v>
          </cell>
          <cell r="DW11">
            <v>245.555302180946</v>
          </cell>
          <cell r="DX11">
            <v>245.38819737610197</v>
          </cell>
          <cell r="DY11">
            <v>0</v>
          </cell>
          <cell r="DZ11">
            <v>0</v>
          </cell>
          <cell r="EA11">
            <v>440</v>
          </cell>
          <cell r="EB11">
            <v>619</v>
          </cell>
          <cell r="EC11">
            <v>237.266897261792</v>
          </cell>
          <cell r="ED11">
            <v>245.48360874440129</v>
          </cell>
          <cell r="EE11">
            <v>245.25418196468846</v>
          </cell>
          <cell r="EF11">
            <v>243.52390591133633</v>
          </cell>
        </row>
        <row r="12">
          <cell r="A12" t="str">
            <v>Amortization of debt issuance costs and other assets</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3.5379999999999998</v>
          </cell>
          <cell r="T12">
            <v>3.8270000000000004</v>
          </cell>
          <cell r="U12">
            <v>4.4979999999999993</v>
          </cell>
          <cell r="V12">
            <v>4.7510000000000003</v>
          </cell>
          <cell r="W12">
            <v>5.1899999999999995</v>
          </cell>
          <cell r="X12">
            <v>5.8659999999999997</v>
          </cell>
          <cell r="Y12">
            <v>3.0110000000000001</v>
          </cell>
          <cell r="Z12">
            <v>5.4450000000000021</v>
          </cell>
          <cell r="AA12">
            <v>1.5109999999999999</v>
          </cell>
          <cell r="AB12">
            <v>8.3140000000000001</v>
          </cell>
          <cell r="AC12">
            <v>-7.766</v>
          </cell>
          <cell r="AD12">
            <v>7.5570000000000004</v>
          </cell>
          <cell r="AE12">
            <v>0.79100000000000004</v>
          </cell>
          <cell r="AF12">
            <v>1.4300000000000002</v>
          </cell>
          <cell r="AG12">
            <v>-0.37500000000000011</v>
          </cell>
          <cell r="AH12">
            <v>0</v>
          </cell>
          <cell r="AI12">
            <v>0</v>
          </cell>
          <cell r="AJ12">
            <v>21.573999999999998</v>
          </cell>
          <cell r="AK12">
            <v>-21.573999999999998</v>
          </cell>
          <cell r="AL12">
            <v>88.769000000000034</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21</v>
          </cell>
          <cell r="BF12">
            <v>21</v>
          </cell>
          <cell r="BG12">
            <v>18</v>
          </cell>
          <cell r="BH12">
            <v>14</v>
          </cell>
          <cell r="BI12">
            <v>13</v>
          </cell>
          <cell r="BJ12">
            <v>13</v>
          </cell>
          <cell r="BK12">
            <v>15</v>
          </cell>
          <cell r="BL12">
            <v>14</v>
          </cell>
          <cell r="BM12">
            <v>15</v>
          </cell>
          <cell r="BN12">
            <v>16</v>
          </cell>
          <cell r="BO12">
            <v>5</v>
          </cell>
          <cell r="BP12">
            <v>0</v>
          </cell>
          <cell r="BQ12">
            <v>1</v>
          </cell>
          <cell r="BR12">
            <v>1</v>
          </cell>
          <cell r="BS12">
            <v>1</v>
          </cell>
          <cell r="BT12">
            <v>1</v>
          </cell>
          <cell r="BU12">
            <v>1</v>
          </cell>
          <cell r="BV12">
            <v>1</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16.614000000000001</v>
          </cell>
          <cell r="DE12">
            <v>19.512</v>
          </cell>
          <cell r="DF12">
            <v>9.6159999999999997</v>
          </cell>
          <cell r="DG12">
            <v>1.8460000000000001</v>
          </cell>
          <cell r="DH12">
            <v>88.769000000000034</v>
          </cell>
          <cell r="DI12">
            <v>0</v>
          </cell>
          <cell r="DJ12">
            <v>0</v>
          </cell>
          <cell r="DK12">
            <v>0</v>
          </cell>
          <cell r="DL12">
            <v>0</v>
          </cell>
          <cell r="DM12">
            <v>42</v>
          </cell>
          <cell r="DN12">
            <v>58</v>
          </cell>
          <cell r="DO12">
            <v>60</v>
          </cell>
          <cell r="DP12">
            <v>7</v>
          </cell>
          <cell r="DQ12">
            <v>4</v>
          </cell>
          <cell r="DR12">
            <v>0</v>
          </cell>
          <cell r="DS12">
            <v>0</v>
          </cell>
          <cell r="DT12">
            <v>0</v>
          </cell>
          <cell r="DU12">
            <v>0</v>
          </cell>
          <cell r="DV12">
            <v>0</v>
          </cell>
          <cell r="DW12">
            <v>0</v>
          </cell>
          <cell r="DX12">
            <v>0</v>
          </cell>
          <cell r="DY12">
            <v>4</v>
          </cell>
          <cell r="DZ12">
            <v>0</v>
          </cell>
          <cell r="EA12">
            <v>0</v>
          </cell>
          <cell r="EB12">
            <v>0</v>
          </cell>
          <cell r="EC12">
            <v>0</v>
          </cell>
          <cell r="ED12">
            <v>0</v>
          </cell>
          <cell r="EE12">
            <v>0</v>
          </cell>
          <cell r="EF12">
            <v>0</v>
          </cell>
        </row>
        <row r="13">
          <cell r="A13" t="str">
            <v>Amortization of acquired product rights</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8.2119999999999997</v>
          </cell>
          <cell r="T13">
            <v>7.4719999999999995</v>
          </cell>
          <cell r="U13">
            <v>7.261000000000001</v>
          </cell>
          <cell r="V13">
            <v>10.895000000000005</v>
          </cell>
          <cell r="W13">
            <v>7.0910000000000002</v>
          </cell>
          <cell r="X13">
            <v>7.4140000000000006</v>
          </cell>
          <cell r="Y13">
            <v>11.507999999999999</v>
          </cell>
          <cell r="Z13">
            <v>8.8210000000000015</v>
          </cell>
          <cell r="AA13">
            <v>9.141</v>
          </cell>
          <cell r="AB13">
            <v>10.604000000000001</v>
          </cell>
          <cell r="AC13">
            <v>10.923</v>
          </cell>
          <cell r="AD13">
            <v>11.695000000000002</v>
          </cell>
          <cell r="AE13">
            <v>11.583</v>
          </cell>
          <cell r="AF13">
            <v>15.645999999999999</v>
          </cell>
          <cell r="AG13">
            <v>13.554999999999998</v>
          </cell>
          <cell r="AH13">
            <v>11.194999999999999</v>
          </cell>
          <cell r="AI13">
            <v>11.071999999999999</v>
          </cell>
          <cell r="AJ13">
            <v>129.41300000000001</v>
          </cell>
          <cell r="AK13">
            <v>85.035999999999973</v>
          </cell>
          <cell r="AL13">
            <v>21.844000000000019</v>
          </cell>
          <cell r="AM13">
            <v>87.611000000000004</v>
          </cell>
          <cell r="AN13">
            <v>85.337999999999994</v>
          </cell>
          <cell r="AO13">
            <v>84.510999999999996</v>
          </cell>
          <cell r="AP13">
            <v>96.809000000000054</v>
          </cell>
          <cell r="AQ13">
            <v>96.313999999999993</v>
          </cell>
          <cell r="AR13">
            <v>143.01399999999998</v>
          </cell>
          <cell r="AS13">
            <v>137.43</v>
          </cell>
          <cell r="AT13">
            <v>142.68700000000001</v>
          </cell>
          <cell r="AU13">
            <v>55.378999999999998</v>
          </cell>
          <cell r="AV13">
            <v>55.651000000000003</v>
          </cell>
          <cell r="AW13">
            <v>90.209000000000003</v>
          </cell>
          <cell r="AX13">
            <v>90.655000000000001</v>
          </cell>
          <cell r="AY13">
            <v>98</v>
          </cell>
          <cell r="AZ13">
            <v>47</v>
          </cell>
          <cell r="BA13">
            <v>47</v>
          </cell>
          <cell r="BB13">
            <v>47</v>
          </cell>
          <cell r="BC13">
            <v>47</v>
          </cell>
          <cell r="BD13">
            <v>47</v>
          </cell>
          <cell r="BE13">
            <v>0</v>
          </cell>
          <cell r="BF13">
            <v>27</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33.840000000000003</v>
          </cell>
          <cell r="DE13">
            <v>34.834000000000003</v>
          </cell>
          <cell r="DF13">
            <v>42.363</v>
          </cell>
          <cell r="DG13">
            <v>51.978999999999999</v>
          </cell>
          <cell r="DH13">
            <v>247.36500000000001</v>
          </cell>
          <cell r="DI13">
            <v>354.26900000000012</v>
          </cell>
          <cell r="DJ13">
            <v>519.44499999999994</v>
          </cell>
          <cell r="DK13">
            <v>291.89400000000001</v>
          </cell>
          <cell r="DL13">
            <v>239</v>
          </cell>
          <cell r="DM13">
            <v>121</v>
          </cell>
          <cell r="DN13">
            <v>0</v>
          </cell>
          <cell r="DO13">
            <v>0</v>
          </cell>
          <cell r="DP13">
            <v>0</v>
          </cell>
          <cell r="DQ13">
            <v>0</v>
          </cell>
          <cell r="DR13">
            <v>0</v>
          </cell>
          <cell r="DS13">
            <v>0</v>
          </cell>
          <cell r="DT13">
            <v>0</v>
          </cell>
          <cell r="DU13">
            <v>0</v>
          </cell>
          <cell r="DV13">
            <v>0</v>
          </cell>
          <cell r="DW13">
            <v>0</v>
          </cell>
          <cell r="DX13">
            <v>0</v>
          </cell>
          <cell r="DY13">
            <v>0</v>
          </cell>
          <cell r="DZ13">
            <v>0</v>
          </cell>
          <cell r="EA13">
            <v>0</v>
          </cell>
          <cell r="EB13">
            <v>0</v>
          </cell>
          <cell r="EC13">
            <v>0</v>
          </cell>
          <cell r="ED13">
            <v>0</v>
          </cell>
          <cell r="EE13">
            <v>0</v>
          </cell>
          <cell r="EF13">
            <v>0</v>
          </cell>
        </row>
        <row r="14">
          <cell r="A14" t="str">
            <v>Amortization of other intangibles from acquisitions</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270.74200000000002</v>
          </cell>
          <cell r="T14">
            <v>271.69499999999999</v>
          </cell>
          <cell r="U14">
            <v>271.75</v>
          </cell>
          <cell r="V14">
            <v>271.41399999999999</v>
          </cell>
          <cell r="W14">
            <v>18.552</v>
          </cell>
          <cell r="X14">
            <v>18.680999999999997</v>
          </cell>
          <cell r="Y14">
            <v>18.809000000000005</v>
          </cell>
          <cell r="Z14">
            <v>18.80899999999999</v>
          </cell>
          <cell r="AA14">
            <v>18.981999999999999</v>
          </cell>
          <cell r="AB14">
            <v>13.006</v>
          </cell>
          <cell r="AC14">
            <v>3.0820000000000043</v>
          </cell>
          <cell r="AD14">
            <v>3.1329999999999996</v>
          </cell>
          <cell r="AE14">
            <v>3.286</v>
          </cell>
          <cell r="AF14">
            <v>3.5509999999999997</v>
          </cell>
          <cell r="AG14">
            <v>4.6910000000000007</v>
          </cell>
          <cell r="AH14">
            <v>3.089</v>
          </cell>
          <cell r="AI14">
            <v>4.1690000000000005</v>
          </cell>
          <cell r="AJ14">
            <v>48.309000000000005</v>
          </cell>
          <cell r="AK14">
            <v>76.930000000000007</v>
          </cell>
          <cell r="AL14">
            <v>-0.42399999999999993</v>
          </cell>
          <cell r="AM14">
            <v>50.613999999999997</v>
          </cell>
          <cell r="AN14">
            <v>50.478999999999999</v>
          </cell>
          <cell r="AO14">
            <v>50.475999999999999</v>
          </cell>
          <cell r="AP14">
            <v>50.475999999999999</v>
          </cell>
          <cell r="AQ14">
            <v>50.475999999999999</v>
          </cell>
          <cell r="AR14">
            <v>0</v>
          </cell>
          <cell r="AS14">
            <v>0</v>
          </cell>
          <cell r="AT14">
            <v>0</v>
          </cell>
          <cell r="AU14">
            <v>0</v>
          </cell>
          <cell r="AV14">
            <v>0</v>
          </cell>
          <cell r="AW14">
            <v>0.14799999999999999</v>
          </cell>
          <cell r="AX14">
            <v>0</v>
          </cell>
          <cell r="AY14">
            <v>0</v>
          </cell>
          <cell r="AZ14">
            <v>0</v>
          </cell>
          <cell r="BA14">
            <v>0</v>
          </cell>
          <cell r="BB14">
            <v>0</v>
          </cell>
          <cell r="BC14">
            <v>0</v>
          </cell>
          <cell r="BD14">
            <v>0</v>
          </cell>
          <cell r="BE14">
            <v>0</v>
          </cell>
          <cell r="BF14">
            <v>0</v>
          </cell>
          <cell r="BG14">
            <v>0</v>
          </cell>
          <cell r="BH14">
            <v>0</v>
          </cell>
          <cell r="BI14">
            <v>0</v>
          </cell>
          <cell r="BJ14">
            <v>4</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1085.6010000000001</v>
          </cell>
          <cell r="DE14">
            <v>74.850999999999999</v>
          </cell>
          <cell r="DF14">
            <v>38.20300000000001</v>
          </cell>
          <cell r="DG14">
            <v>14.617000000000001</v>
          </cell>
          <cell r="DH14">
            <v>128.98400000000001</v>
          </cell>
          <cell r="DI14">
            <v>202.04499999999999</v>
          </cell>
          <cell r="DJ14">
            <v>50.475999999999999</v>
          </cell>
          <cell r="DK14">
            <v>0.14799999999999999</v>
          </cell>
          <cell r="DL14">
            <v>0</v>
          </cell>
          <cell r="DM14">
            <v>0</v>
          </cell>
          <cell r="DN14">
            <v>4</v>
          </cell>
          <cell r="DO14">
            <v>0</v>
          </cell>
          <cell r="DP14">
            <v>0</v>
          </cell>
          <cell r="DQ14">
            <v>0</v>
          </cell>
          <cell r="DR14">
            <v>0</v>
          </cell>
          <cell r="DS14">
            <v>0</v>
          </cell>
          <cell r="DT14">
            <v>0</v>
          </cell>
          <cell r="DU14">
            <v>0</v>
          </cell>
          <cell r="DV14">
            <v>0</v>
          </cell>
          <cell r="DW14">
            <v>0</v>
          </cell>
          <cell r="DX14">
            <v>0</v>
          </cell>
          <cell r="DY14">
            <v>0</v>
          </cell>
          <cell r="DZ14">
            <v>0</v>
          </cell>
          <cell r="EA14">
            <v>0</v>
          </cell>
          <cell r="EB14">
            <v>0</v>
          </cell>
          <cell r="EC14">
            <v>0</v>
          </cell>
          <cell r="ED14">
            <v>0</v>
          </cell>
          <cell r="EE14">
            <v>0</v>
          </cell>
          <cell r="EF14">
            <v>0</v>
          </cell>
        </row>
        <row r="15">
          <cell r="A15" t="str">
            <v>Excess tax benefit from stock options</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-9.0440000000000005</v>
          </cell>
          <cell r="AR15">
            <v>-4.4849999999999994</v>
          </cell>
          <cell r="AS15">
            <v>-4.7779999999999987</v>
          </cell>
          <cell r="AT15">
            <v>-7.8440000000000012</v>
          </cell>
          <cell r="AU15">
            <v>-9.0329999999999995</v>
          </cell>
          <cell r="AV15">
            <v>-6.974000000000002</v>
          </cell>
          <cell r="AW15">
            <v>-0.18999999999999773</v>
          </cell>
          <cell r="AX15">
            <v>-1.6810000000000009</v>
          </cell>
          <cell r="AY15">
            <v>-3</v>
          </cell>
          <cell r="AZ15">
            <v>-3</v>
          </cell>
          <cell r="BA15">
            <v>-4</v>
          </cell>
          <cell r="BB15">
            <v>-3</v>
          </cell>
          <cell r="BC15">
            <v>-1</v>
          </cell>
          <cell r="BD15">
            <v>0</v>
          </cell>
          <cell r="BE15">
            <v>-3</v>
          </cell>
          <cell r="BF15">
            <v>-3</v>
          </cell>
          <cell r="BG15">
            <v>-4</v>
          </cell>
          <cell r="BH15">
            <v>-1</v>
          </cell>
          <cell r="BI15">
            <v>-1</v>
          </cell>
          <cell r="BJ15">
            <v>-2</v>
          </cell>
          <cell r="BK15">
            <v>0</v>
          </cell>
          <cell r="BL15">
            <v>-1</v>
          </cell>
          <cell r="BM15">
            <v>-1</v>
          </cell>
          <cell r="BN15">
            <v>-9</v>
          </cell>
          <cell r="BO15">
            <v>0</v>
          </cell>
          <cell r="BP15">
            <v>-4</v>
          </cell>
          <cell r="BQ15">
            <v>0</v>
          </cell>
          <cell r="BR15">
            <v>0</v>
          </cell>
          <cell r="BS15">
            <v>-3</v>
          </cell>
          <cell r="BT15">
            <v>-2</v>
          </cell>
          <cell r="BU15">
            <v>-1</v>
          </cell>
          <cell r="BV15">
            <v>-4</v>
          </cell>
          <cell r="BW15">
            <v>-5</v>
          </cell>
          <cell r="BX15">
            <v>-1</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-26.151</v>
          </cell>
          <cell r="DK15">
            <v>-17.878</v>
          </cell>
          <cell r="DL15">
            <v>-13</v>
          </cell>
          <cell r="DM15">
            <v>-7</v>
          </cell>
          <cell r="DN15">
            <v>-8</v>
          </cell>
          <cell r="DO15">
            <v>-11</v>
          </cell>
          <cell r="DP15">
            <v>-4</v>
          </cell>
          <cell r="DQ15">
            <v>-10</v>
          </cell>
          <cell r="DR15">
            <v>-6</v>
          </cell>
          <cell r="DS15">
            <v>0</v>
          </cell>
          <cell r="DT15">
            <v>0</v>
          </cell>
          <cell r="DU15">
            <v>0</v>
          </cell>
          <cell r="DV15">
            <v>0</v>
          </cell>
          <cell r="DW15">
            <v>0</v>
          </cell>
          <cell r="DX15">
            <v>0</v>
          </cell>
          <cell r="DY15">
            <v>-10</v>
          </cell>
          <cell r="DZ15">
            <v>0</v>
          </cell>
          <cell r="EA15">
            <v>0</v>
          </cell>
          <cell r="EB15">
            <v>0</v>
          </cell>
          <cell r="EC15">
            <v>0</v>
          </cell>
          <cell r="ED15">
            <v>0</v>
          </cell>
          <cell r="EE15">
            <v>0</v>
          </cell>
          <cell r="EF15">
            <v>0</v>
          </cell>
        </row>
        <row r="16">
          <cell r="A16" t="str">
            <v>Write-off of equipment and leasehold improvements</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3.4260000000000002</v>
          </cell>
          <cell r="T16">
            <v>1.3099999999999996</v>
          </cell>
          <cell r="U16">
            <v>2.2350000000000003</v>
          </cell>
          <cell r="V16">
            <v>0.26100000000000012</v>
          </cell>
          <cell r="W16">
            <v>1.7270000000000001</v>
          </cell>
          <cell r="X16">
            <v>1.5769999999999997</v>
          </cell>
          <cell r="Y16">
            <v>0.63400000000000056</v>
          </cell>
          <cell r="Z16">
            <v>0.63099999999999934</v>
          </cell>
          <cell r="AA16">
            <v>0.42699999999999999</v>
          </cell>
          <cell r="AB16">
            <v>0.19800000000000001</v>
          </cell>
          <cell r="AC16">
            <v>0.9890000000000001</v>
          </cell>
          <cell r="AD16">
            <v>0.43799999999999994</v>
          </cell>
          <cell r="AE16">
            <v>0.28799999999999998</v>
          </cell>
          <cell r="AF16">
            <v>2.1890000000000001</v>
          </cell>
          <cell r="AG16">
            <v>0.5279999999999998</v>
          </cell>
          <cell r="AH16">
            <v>0.74300000000000055</v>
          </cell>
          <cell r="AI16">
            <v>3.5000000000000003E-2</v>
          </cell>
          <cell r="AJ16">
            <v>1.2970000000000002</v>
          </cell>
          <cell r="AK16">
            <v>-0.90800000000000025</v>
          </cell>
          <cell r="AL16">
            <v>0</v>
          </cell>
          <cell r="AM16">
            <v>2.8410000000000002</v>
          </cell>
          <cell r="AN16">
            <v>-2.8410000000000002</v>
          </cell>
          <cell r="AO16">
            <v>0</v>
          </cell>
          <cell r="AP16">
            <v>0</v>
          </cell>
          <cell r="AQ16">
            <v>0</v>
          </cell>
          <cell r="AR16">
            <v>0</v>
          </cell>
          <cell r="AS16">
            <v>7.3419999999999996</v>
          </cell>
          <cell r="AT16">
            <v>1</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cell r="BM16">
            <v>0</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cell r="CE16">
            <v>0</v>
          </cell>
          <cell r="CF16">
            <v>0</v>
          </cell>
          <cell r="CG16">
            <v>0</v>
          </cell>
          <cell r="CH16">
            <v>0</v>
          </cell>
          <cell r="CI16">
            <v>0</v>
          </cell>
          <cell r="CJ16">
            <v>0</v>
          </cell>
          <cell r="CK16">
            <v>0</v>
          </cell>
          <cell r="CL16">
            <v>0</v>
          </cell>
          <cell r="CM16">
            <v>0</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7.2320000000000002</v>
          </cell>
          <cell r="DE16">
            <v>4.569</v>
          </cell>
          <cell r="DF16">
            <v>2.052</v>
          </cell>
          <cell r="DG16">
            <v>3.7480000000000002</v>
          </cell>
          <cell r="DH16">
            <v>0.42399999999999982</v>
          </cell>
          <cell r="DI16">
            <v>0</v>
          </cell>
          <cell r="DJ16">
            <v>8.3419999999999987</v>
          </cell>
          <cell r="DK16">
            <v>0</v>
          </cell>
          <cell r="DL16">
            <v>0</v>
          </cell>
          <cell r="DM16">
            <v>0</v>
          </cell>
          <cell r="DN16">
            <v>0</v>
          </cell>
          <cell r="DO16">
            <v>0</v>
          </cell>
          <cell r="DP16">
            <v>0</v>
          </cell>
          <cell r="DQ16">
            <v>0</v>
          </cell>
          <cell r="DR16">
            <v>0</v>
          </cell>
          <cell r="DS16">
            <v>0</v>
          </cell>
          <cell r="DT16">
            <v>0</v>
          </cell>
          <cell r="DU16">
            <v>0</v>
          </cell>
          <cell r="DV16">
            <v>0</v>
          </cell>
          <cell r="DW16">
            <v>0</v>
          </cell>
          <cell r="DX16">
            <v>0</v>
          </cell>
          <cell r="DY16">
            <v>0</v>
          </cell>
          <cell r="DZ16">
            <v>0</v>
          </cell>
          <cell r="EA16">
            <v>0</v>
          </cell>
          <cell r="EB16">
            <v>0</v>
          </cell>
          <cell r="EC16">
            <v>0</v>
          </cell>
          <cell r="ED16">
            <v>0</v>
          </cell>
          <cell r="EE16">
            <v>0</v>
          </cell>
          <cell r="EF16">
            <v>0</v>
          </cell>
        </row>
        <row r="17">
          <cell r="A17" t="str">
            <v>Acquired in-process research and development</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15.791</v>
          </cell>
          <cell r="T17">
            <v>15.713000000000001</v>
          </cell>
          <cell r="U17">
            <v>15.791</v>
          </cell>
          <cell r="V17">
            <v>15.791</v>
          </cell>
          <cell r="W17">
            <v>16.902999999999999</v>
          </cell>
          <cell r="X17">
            <v>21.602999999999998</v>
          </cell>
          <cell r="Y17">
            <v>16.458000000000006</v>
          </cell>
          <cell r="Z17">
            <v>16.652999999999999</v>
          </cell>
          <cell r="AA17">
            <v>18.881999999999998</v>
          </cell>
          <cell r="AB17">
            <v>26.853999999999999</v>
          </cell>
          <cell r="AC17">
            <v>6.6430000000000025</v>
          </cell>
          <cell r="AD17">
            <v>5.9980000000000011</v>
          </cell>
          <cell r="AE17">
            <v>6.4860000000000007</v>
          </cell>
          <cell r="AF17">
            <v>4.0549999999999997</v>
          </cell>
          <cell r="AG17">
            <v>17.094000000000001</v>
          </cell>
          <cell r="AH17">
            <v>7.3279999999999976</v>
          </cell>
          <cell r="AI17">
            <v>7.4240000000000004</v>
          </cell>
          <cell r="AJ17">
            <v>0</v>
          </cell>
          <cell r="AK17">
            <v>0</v>
          </cell>
          <cell r="AL17">
            <v>-21.91299999999999</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cell r="BM17">
            <v>0</v>
          </cell>
          <cell r="BN17">
            <v>0</v>
          </cell>
          <cell r="BO17">
            <v>0</v>
          </cell>
          <cell r="BP17">
            <v>0</v>
          </cell>
          <cell r="BQ17">
            <v>0</v>
          </cell>
          <cell r="BR17">
            <v>0</v>
          </cell>
          <cell r="BS17">
            <v>0</v>
          </cell>
          <cell r="BT17">
            <v>0</v>
          </cell>
          <cell r="BU17">
            <v>0</v>
          </cell>
          <cell r="BV17">
            <v>0</v>
          </cell>
          <cell r="BW17">
            <v>0</v>
          </cell>
          <cell r="BX17">
            <v>0</v>
          </cell>
          <cell r="BY17">
            <v>0</v>
          </cell>
          <cell r="BZ17">
            <v>0</v>
          </cell>
          <cell r="CA17">
            <v>0</v>
          </cell>
          <cell r="CB17">
            <v>0</v>
          </cell>
          <cell r="CC17">
            <v>0</v>
          </cell>
          <cell r="CD17">
            <v>0</v>
          </cell>
          <cell r="CE17">
            <v>0</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63.085999999999999</v>
          </cell>
          <cell r="DE17">
            <v>71.617000000000004</v>
          </cell>
          <cell r="DF17">
            <v>58.376999999999995</v>
          </cell>
          <cell r="DG17">
            <v>34.963000000000001</v>
          </cell>
          <cell r="DH17">
            <v>-14.48899999999999</v>
          </cell>
          <cell r="DI17">
            <v>0</v>
          </cell>
          <cell r="DJ17">
            <v>0</v>
          </cell>
          <cell r="DK17">
            <v>0</v>
          </cell>
          <cell r="DL17">
            <v>0</v>
          </cell>
          <cell r="DM17">
            <v>0</v>
          </cell>
          <cell r="DN17">
            <v>0</v>
          </cell>
          <cell r="DO17">
            <v>0</v>
          </cell>
          <cell r="DP17">
            <v>0</v>
          </cell>
          <cell r="DQ17">
            <v>0</v>
          </cell>
          <cell r="DR17">
            <v>0</v>
          </cell>
          <cell r="DS17">
            <v>0</v>
          </cell>
          <cell r="DT17">
            <v>0</v>
          </cell>
          <cell r="DU17">
            <v>0</v>
          </cell>
          <cell r="DV17">
            <v>0</v>
          </cell>
          <cell r="DW17">
            <v>0</v>
          </cell>
          <cell r="DX17">
            <v>0</v>
          </cell>
          <cell r="DY17">
            <v>0</v>
          </cell>
          <cell r="DZ17">
            <v>0</v>
          </cell>
          <cell r="EA17">
            <v>0</v>
          </cell>
          <cell r="EB17">
            <v>0</v>
          </cell>
          <cell r="EC17">
            <v>0</v>
          </cell>
          <cell r="ED17">
            <v>0</v>
          </cell>
          <cell r="EE17">
            <v>0</v>
          </cell>
          <cell r="EF17">
            <v>0</v>
          </cell>
        </row>
        <row r="18">
          <cell r="A18" t="str">
            <v>Deferred income taxes</v>
          </cell>
          <cell r="B18">
            <v>0</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-13.481999999999999</v>
          </cell>
          <cell r="T18">
            <v>-13.484999999999999</v>
          </cell>
          <cell r="U18">
            <v>-18.72</v>
          </cell>
          <cell r="V18">
            <v>-151.55400000000003</v>
          </cell>
          <cell r="W18">
            <v>-12.103999999999999</v>
          </cell>
          <cell r="X18">
            <v>-13.622</v>
          </cell>
          <cell r="Y18">
            <v>-12.977</v>
          </cell>
          <cell r="Z18">
            <v>14.482000000000003</v>
          </cell>
          <cell r="AA18">
            <v>-12.908000000000001</v>
          </cell>
          <cell r="AB18">
            <v>-9.3150000000000013</v>
          </cell>
          <cell r="AC18">
            <v>0.45099999999999918</v>
          </cell>
          <cell r="AD18">
            <v>122.40300000000001</v>
          </cell>
          <cell r="AE18">
            <v>-8.8740000000000006</v>
          </cell>
          <cell r="AF18">
            <v>-10.660999999999998</v>
          </cell>
          <cell r="AG18">
            <v>19.448999999999998</v>
          </cell>
          <cell r="AH18">
            <v>62.807000000000002</v>
          </cell>
          <cell r="AI18">
            <v>-8.6079999999999988</v>
          </cell>
          <cell r="AJ18">
            <v>189.23599999999999</v>
          </cell>
          <cell r="AK18">
            <v>-77.38</v>
          </cell>
          <cell r="AL18">
            <v>1.1989999999999996</v>
          </cell>
          <cell r="AM18">
            <v>-42.780999999999999</v>
          </cell>
          <cell r="AN18">
            <v>17.923999999999999</v>
          </cell>
          <cell r="AO18">
            <v>-64.850999999999999</v>
          </cell>
          <cell r="AP18">
            <v>143.999</v>
          </cell>
          <cell r="AQ18">
            <v>-25.119</v>
          </cell>
          <cell r="AR18">
            <v>-78.781000000000006</v>
          </cell>
          <cell r="AS18">
            <v>-74.747</v>
          </cell>
          <cell r="AT18">
            <v>-1.5680000000000001</v>
          </cell>
          <cell r="AU18">
            <v>14.717000000000001</v>
          </cell>
          <cell r="AV18">
            <v>-15.634</v>
          </cell>
          <cell r="AW18">
            <v>-52.35</v>
          </cell>
          <cell r="AX18">
            <v>-35.957000000000001</v>
          </cell>
          <cell r="AY18">
            <v>11</v>
          </cell>
          <cell r="AZ18">
            <v>-7</v>
          </cell>
          <cell r="BA18">
            <v>-7</v>
          </cell>
          <cell r="BB18">
            <v>-38</v>
          </cell>
          <cell r="BC18">
            <v>10</v>
          </cell>
          <cell r="BD18">
            <v>19</v>
          </cell>
          <cell r="BE18">
            <v>-24</v>
          </cell>
          <cell r="BF18">
            <v>0</v>
          </cell>
          <cell r="BG18">
            <v>14</v>
          </cell>
          <cell r="BH18">
            <v>-6</v>
          </cell>
          <cell r="BI18">
            <v>29</v>
          </cell>
          <cell r="BJ18">
            <v>-12</v>
          </cell>
          <cell r="BK18">
            <v>-4</v>
          </cell>
          <cell r="BL18">
            <v>8</v>
          </cell>
          <cell r="BM18">
            <v>13</v>
          </cell>
          <cell r="BN18">
            <v>14</v>
          </cell>
          <cell r="BO18">
            <v>31</v>
          </cell>
          <cell r="BP18">
            <v>20</v>
          </cell>
          <cell r="BQ18">
            <v>-42</v>
          </cell>
          <cell r="BR18">
            <v>38</v>
          </cell>
          <cell r="BS18">
            <v>20</v>
          </cell>
          <cell r="BT18">
            <v>10</v>
          </cell>
          <cell r="BU18">
            <v>-2</v>
          </cell>
          <cell r="BV18">
            <v>-51</v>
          </cell>
          <cell r="BW18">
            <v>30</v>
          </cell>
          <cell r="BX18">
            <v>-15</v>
          </cell>
          <cell r="BY18">
            <v>48</v>
          </cell>
          <cell r="BZ18">
            <v>1019</v>
          </cell>
          <cell r="CA18">
            <v>33</v>
          </cell>
          <cell r="CB18">
            <v>16</v>
          </cell>
          <cell r="CC18">
            <v>-16</v>
          </cell>
          <cell r="CD18">
            <v>-201</v>
          </cell>
          <cell r="CE18">
            <v>-62</v>
          </cell>
          <cell r="CF18">
            <v>-127</v>
          </cell>
          <cell r="CG18">
            <v>-1632</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-197.24100000000004</v>
          </cell>
          <cell r="DE18">
            <v>-24.221</v>
          </cell>
          <cell r="DF18">
            <v>100.631</v>
          </cell>
          <cell r="DG18">
            <v>62.721000000000004</v>
          </cell>
          <cell r="DH18">
            <v>104.44699999999999</v>
          </cell>
          <cell r="DI18">
            <v>54.290999999999997</v>
          </cell>
          <cell r="DJ18">
            <v>-180.215</v>
          </cell>
          <cell r="DK18">
            <v>-89.224000000000004</v>
          </cell>
          <cell r="DL18">
            <v>-41</v>
          </cell>
          <cell r="DM18">
            <v>5</v>
          </cell>
          <cell r="DN18">
            <v>25</v>
          </cell>
          <cell r="DO18">
            <v>31</v>
          </cell>
          <cell r="DP18">
            <v>47</v>
          </cell>
          <cell r="DQ18">
            <v>-23</v>
          </cell>
          <cell r="DR18">
            <v>1082</v>
          </cell>
          <cell r="DS18">
            <v>-168</v>
          </cell>
          <cell r="DT18">
            <v>-1821</v>
          </cell>
          <cell r="DU18">
            <v>0</v>
          </cell>
          <cell r="DV18">
            <v>0</v>
          </cell>
          <cell r="DW18">
            <v>0</v>
          </cell>
          <cell r="DX18">
            <v>0</v>
          </cell>
          <cell r="DY18">
            <v>-23</v>
          </cell>
          <cell r="DZ18">
            <v>0</v>
          </cell>
          <cell r="EA18">
            <v>-168</v>
          </cell>
          <cell r="EB18">
            <v>-1841</v>
          </cell>
          <cell r="EC18">
            <v>0</v>
          </cell>
          <cell r="ED18">
            <v>0</v>
          </cell>
          <cell r="EE18">
            <v>0</v>
          </cell>
          <cell r="EF18">
            <v>0</v>
          </cell>
        </row>
        <row r="19">
          <cell r="A19" t="str">
            <v>Income tax benefit from stock options</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63.341000000000001</v>
          </cell>
          <cell r="T19">
            <v>20.499999999999993</v>
          </cell>
          <cell r="U19">
            <v>-0.83599999999999852</v>
          </cell>
          <cell r="V19">
            <v>184.7</v>
          </cell>
          <cell r="W19">
            <v>19.257000000000001</v>
          </cell>
          <cell r="X19">
            <v>8.4009999999999998</v>
          </cell>
          <cell r="Y19">
            <v>16.685000000000002</v>
          </cell>
          <cell r="Z19">
            <v>14.79999999999999</v>
          </cell>
          <cell r="AA19">
            <v>16.641999999999999</v>
          </cell>
          <cell r="AB19">
            <v>29.423000000000002</v>
          </cell>
          <cell r="AC19">
            <v>28.804000000000002</v>
          </cell>
          <cell r="AD19">
            <v>30.077999999999996</v>
          </cell>
          <cell r="AE19">
            <v>27.934999999999999</v>
          </cell>
          <cell r="AF19">
            <v>40.679000000000002</v>
          </cell>
          <cell r="AG19">
            <v>25.752999999999993</v>
          </cell>
          <cell r="AH19">
            <v>60.463999999999992</v>
          </cell>
          <cell r="AI19">
            <v>12.062999999999999</v>
          </cell>
          <cell r="AJ19">
            <v>54.821000000000005</v>
          </cell>
          <cell r="AK19">
            <v>16.90199999999999</v>
          </cell>
          <cell r="AL19">
            <v>-11.257000000000001</v>
          </cell>
          <cell r="AM19">
            <v>5.1379999999999999</v>
          </cell>
          <cell r="AN19">
            <v>5.7050000000000001</v>
          </cell>
          <cell r="AO19">
            <v>14.798</v>
          </cell>
          <cell r="AP19">
            <v>-25.640999999999998</v>
          </cell>
          <cell r="AQ19">
            <v>9.8629999999999995</v>
          </cell>
          <cell r="AR19">
            <v>7.4050000000000011</v>
          </cell>
          <cell r="AS19">
            <v>10.462</v>
          </cell>
          <cell r="AT19">
            <v>1.7130000000000001</v>
          </cell>
          <cell r="AU19">
            <v>9.9450000000000003</v>
          </cell>
          <cell r="AV19">
            <v>7.984</v>
          </cell>
          <cell r="AW19">
            <v>-0.84099999999999997</v>
          </cell>
          <cell r="AX19">
            <v>-3.0619999999999998</v>
          </cell>
          <cell r="AY19">
            <v>-1</v>
          </cell>
          <cell r="AZ19">
            <v>0</v>
          </cell>
          <cell r="BA19">
            <v>3</v>
          </cell>
          <cell r="BB19">
            <v>4</v>
          </cell>
          <cell r="BC19">
            <v>-3</v>
          </cell>
          <cell r="BD19">
            <v>-3</v>
          </cell>
          <cell r="BE19">
            <v>1</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267.70499999999998</v>
          </cell>
          <cell r="DE19">
            <v>59.142999999999994</v>
          </cell>
          <cell r="DF19">
            <v>104.947</v>
          </cell>
          <cell r="DG19">
            <v>154.83099999999999</v>
          </cell>
          <cell r="DH19">
            <v>72.528999999999982</v>
          </cell>
          <cell r="DI19">
            <v>0</v>
          </cell>
          <cell r="DJ19">
            <v>29.443000000000001</v>
          </cell>
          <cell r="DK19">
            <v>14.026000000000002</v>
          </cell>
          <cell r="DL19">
            <v>6</v>
          </cell>
          <cell r="DM19">
            <v>-5</v>
          </cell>
          <cell r="DN19">
            <v>0</v>
          </cell>
          <cell r="DO19">
            <v>0</v>
          </cell>
          <cell r="DP19">
            <v>0</v>
          </cell>
          <cell r="DQ19">
            <v>0</v>
          </cell>
          <cell r="DR19">
            <v>0</v>
          </cell>
          <cell r="DS19">
            <v>0</v>
          </cell>
          <cell r="DT19">
            <v>0</v>
          </cell>
          <cell r="DU19">
            <v>0</v>
          </cell>
          <cell r="DV19">
            <v>0</v>
          </cell>
          <cell r="DW19">
            <v>0</v>
          </cell>
          <cell r="DX19">
            <v>0</v>
          </cell>
          <cell r="DY19">
            <v>0</v>
          </cell>
          <cell r="DZ19">
            <v>0</v>
          </cell>
          <cell r="EA19">
            <v>0</v>
          </cell>
          <cell r="EB19">
            <v>0</v>
          </cell>
          <cell r="EC19">
            <v>0</v>
          </cell>
          <cell r="ED19">
            <v>0</v>
          </cell>
          <cell r="EE19">
            <v>0</v>
          </cell>
          <cell r="EF19">
            <v>0</v>
          </cell>
        </row>
        <row r="20">
          <cell r="A20" t="str">
            <v>Net loss on equity investments</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0.75</v>
          </cell>
          <cell r="Y20">
            <v>0</v>
          </cell>
          <cell r="Z20">
            <v>0</v>
          </cell>
          <cell r="AA20">
            <v>2.2799999999999998</v>
          </cell>
          <cell r="AB20">
            <v>0.25</v>
          </cell>
          <cell r="AC20">
            <v>0.18000000000000016</v>
          </cell>
          <cell r="AD20">
            <v>0.33700000000000019</v>
          </cell>
          <cell r="AE20">
            <v>0</v>
          </cell>
          <cell r="AF20">
            <v>0.28399999999999997</v>
          </cell>
          <cell r="AG20">
            <v>0</v>
          </cell>
          <cell r="AH20">
            <v>0.41199999999999998</v>
          </cell>
          <cell r="AI20">
            <v>0</v>
          </cell>
          <cell r="AJ20">
            <v>0.23599999999999999</v>
          </cell>
          <cell r="AK20">
            <v>2.8380000000000001</v>
          </cell>
          <cell r="AL20">
            <v>11.622000000000003</v>
          </cell>
          <cell r="AM20">
            <v>0</v>
          </cell>
          <cell r="AN20">
            <v>0</v>
          </cell>
          <cell r="AO20">
            <v>0</v>
          </cell>
          <cell r="AP20">
            <v>2.8410000000000002</v>
          </cell>
          <cell r="AQ20">
            <v>0</v>
          </cell>
          <cell r="AR20">
            <v>0</v>
          </cell>
          <cell r="AS20">
            <v>0</v>
          </cell>
          <cell r="AT20">
            <v>1.522</v>
          </cell>
          <cell r="AU20">
            <v>0</v>
          </cell>
          <cell r="AV20">
            <v>26.280999999999999</v>
          </cell>
          <cell r="AW20">
            <v>16.928999999999998</v>
          </cell>
          <cell r="AX20">
            <v>7.5310000000000006</v>
          </cell>
          <cell r="AY20">
            <v>16</v>
          </cell>
          <cell r="AZ20">
            <v>12</v>
          </cell>
          <cell r="BA20">
            <v>10</v>
          </cell>
          <cell r="BB20">
            <v>17</v>
          </cell>
          <cell r="BC20">
            <v>7</v>
          </cell>
          <cell r="BD20">
            <v>5</v>
          </cell>
          <cell r="BE20">
            <v>0</v>
          </cell>
          <cell r="BF20">
            <v>0</v>
          </cell>
          <cell r="BG20">
            <v>13</v>
          </cell>
          <cell r="BH20">
            <v>14</v>
          </cell>
          <cell r="BI20">
            <v>0</v>
          </cell>
          <cell r="BJ20">
            <v>0</v>
          </cell>
          <cell r="BK20">
            <v>0</v>
          </cell>
          <cell r="BL20">
            <v>0</v>
          </cell>
          <cell r="BM20">
            <v>0</v>
          </cell>
          <cell r="BN20">
            <v>0</v>
          </cell>
          <cell r="BO20">
            <v>-16</v>
          </cell>
          <cell r="BP20">
            <v>-16</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0.75</v>
          </cell>
          <cell r="DF20">
            <v>3.0470000000000002</v>
          </cell>
          <cell r="DG20">
            <v>0.69599999999999995</v>
          </cell>
          <cell r="DH20">
            <v>14.696000000000003</v>
          </cell>
          <cell r="DI20">
            <v>2.8410000000000002</v>
          </cell>
          <cell r="DJ20">
            <v>1.522</v>
          </cell>
          <cell r="DK20">
            <v>50.740999999999993</v>
          </cell>
          <cell r="DL20">
            <v>55</v>
          </cell>
          <cell r="DM20">
            <v>12</v>
          </cell>
          <cell r="DN20">
            <v>27</v>
          </cell>
          <cell r="DO20">
            <v>0</v>
          </cell>
          <cell r="DP20">
            <v>-32</v>
          </cell>
          <cell r="DQ20">
            <v>0</v>
          </cell>
          <cell r="DR20">
            <v>0</v>
          </cell>
          <cell r="DS20">
            <v>0</v>
          </cell>
          <cell r="DT20">
            <v>0</v>
          </cell>
          <cell r="DU20">
            <v>0</v>
          </cell>
          <cell r="DV20">
            <v>0</v>
          </cell>
          <cell r="DW20">
            <v>0</v>
          </cell>
          <cell r="DX20">
            <v>0</v>
          </cell>
          <cell r="DY20">
            <v>0</v>
          </cell>
          <cell r="DZ20">
            <v>0</v>
          </cell>
          <cell r="EA20">
            <v>0</v>
          </cell>
          <cell r="EB20">
            <v>0</v>
          </cell>
          <cell r="EC20">
            <v>0</v>
          </cell>
          <cell r="ED20">
            <v>0</v>
          </cell>
          <cell r="EE20">
            <v>0</v>
          </cell>
          <cell r="EF20">
            <v>0</v>
          </cell>
        </row>
        <row r="21">
          <cell r="A21" t="str">
            <v>Amort. of discounts and premiums on investments</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5.1029999999999998</v>
          </cell>
          <cell r="AA21">
            <v>0</v>
          </cell>
          <cell r="AB21">
            <v>0</v>
          </cell>
          <cell r="AC21">
            <v>0</v>
          </cell>
          <cell r="AD21">
            <v>-7.1420000000000003</v>
          </cell>
          <cell r="AE21">
            <v>-5.327</v>
          </cell>
          <cell r="AF21">
            <v>-8.7260000000000009</v>
          </cell>
          <cell r="AG21">
            <v>-10.402999999999999</v>
          </cell>
          <cell r="AH21">
            <v>1.8109999999999999</v>
          </cell>
          <cell r="AI21">
            <v>-7.7990000000000004</v>
          </cell>
          <cell r="AJ21">
            <v>-12.686</v>
          </cell>
          <cell r="AK21">
            <v>1.0420000000000016</v>
          </cell>
          <cell r="AL21">
            <v>0</v>
          </cell>
          <cell r="AM21">
            <v>-0.48</v>
          </cell>
          <cell r="AN21">
            <v>0.48</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0</v>
          </cell>
          <cell r="BT21">
            <v>0</v>
          </cell>
          <cell r="BU21">
            <v>0</v>
          </cell>
          <cell r="BV21">
            <v>0</v>
          </cell>
          <cell r="BW21">
            <v>0</v>
          </cell>
          <cell r="BX21">
            <v>0</v>
          </cell>
          <cell r="BY21">
            <v>0</v>
          </cell>
          <cell r="BZ21">
            <v>0</v>
          </cell>
          <cell r="CA21">
            <v>0</v>
          </cell>
          <cell r="CB21">
            <v>0</v>
          </cell>
          <cell r="CC21">
            <v>0</v>
          </cell>
          <cell r="CD21">
            <v>0</v>
          </cell>
          <cell r="CE21">
            <v>0</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5.1029999999999998</v>
          </cell>
          <cell r="DF21">
            <v>-7.1420000000000003</v>
          </cell>
          <cell r="DG21">
            <v>-22.645</v>
          </cell>
          <cell r="DH21">
            <v>-19.442999999999998</v>
          </cell>
          <cell r="DI21">
            <v>0</v>
          </cell>
          <cell r="DJ21">
            <v>0</v>
          </cell>
          <cell r="DK21">
            <v>0</v>
          </cell>
          <cell r="DL21">
            <v>0</v>
          </cell>
          <cell r="DM21">
            <v>0</v>
          </cell>
          <cell r="DN21">
            <v>0</v>
          </cell>
          <cell r="DO21">
            <v>0</v>
          </cell>
          <cell r="DP21">
            <v>0</v>
          </cell>
          <cell r="DQ21">
            <v>0</v>
          </cell>
          <cell r="DR21">
            <v>0</v>
          </cell>
          <cell r="DS21">
            <v>0</v>
          </cell>
          <cell r="DT21">
            <v>0</v>
          </cell>
          <cell r="DU21">
            <v>0</v>
          </cell>
          <cell r="DV21">
            <v>0</v>
          </cell>
          <cell r="DW21">
            <v>0</v>
          </cell>
          <cell r="DX21">
            <v>0</v>
          </cell>
          <cell r="DY21">
            <v>0</v>
          </cell>
          <cell r="DZ21">
            <v>0</v>
          </cell>
          <cell r="EA21">
            <v>0</v>
          </cell>
          <cell r="EB21">
            <v>0</v>
          </cell>
          <cell r="EC21">
            <v>0</v>
          </cell>
          <cell r="ED21">
            <v>0</v>
          </cell>
          <cell r="EE21">
            <v>0</v>
          </cell>
          <cell r="EF21">
            <v>0</v>
          </cell>
        </row>
        <row r="22">
          <cell r="A22" t="str">
            <v>Amortization of deferred stock-based compensation</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4.524</v>
          </cell>
          <cell r="AI22">
            <v>0</v>
          </cell>
          <cell r="AJ22">
            <v>-2.7850000000000001</v>
          </cell>
          <cell r="AK22">
            <v>0</v>
          </cell>
          <cell r="AL22">
            <v>38.40100000000001</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0</v>
          </cell>
          <cell r="BT22">
            <v>0</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4.524</v>
          </cell>
          <cell r="DH22">
            <v>35.616000000000014</v>
          </cell>
          <cell r="DI22">
            <v>0</v>
          </cell>
          <cell r="DJ22">
            <v>0</v>
          </cell>
          <cell r="DK22">
            <v>0</v>
          </cell>
          <cell r="DL22">
            <v>0</v>
          </cell>
          <cell r="DM22">
            <v>0</v>
          </cell>
          <cell r="DN22">
            <v>0</v>
          </cell>
          <cell r="DO22">
            <v>0</v>
          </cell>
          <cell r="DP22">
            <v>0</v>
          </cell>
          <cell r="DQ22">
            <v>0</v>
          </cell>
          <cell r="DR22">
            <v>0</v>
          </cell>
          <cell r="DS22">
            <v>0</v>
          </cell>
          <cell r="DT22">
            <v>0</v>
          </cell>
          <cell r="DU22">
            <v>0</v>
          </cell>
          <cell r="DV22">
            <v>0</v>
          </cell>
          <cell r="DW22">
            <v>0</v>
          </cell>
          <cell r="DX22">
            <v>0</v>
          </cell>
          <cell r="DY22">
            <v>0</v>
          </cell>
          <cell r="DZ22">
            <v>0</v>
          </cell>
          <cell r="EA22">
            <v>0</v>
          </cell>
          <cell r="EB22">
            <v>0</v>
          </cell>
          <cell r="EC22">
            <v>0</v>
          </cell>
          <cell r="ED22">
            <v>0</v>
          </cell>
          <cell r="EE22">
            <v>0</v>
          </cell>
          <cell r="EF22">
            <v>0</v>
          </cell>
        </row>
        <row r="23">
          <cell r="A23" t="str">
            <v>Gain on divestiture of our web access management products</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-0.39200000000000002</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-526</v>
          </cell>
          <cell r="BK23">
            <v>0</v>
          </cell>
          <cell r="BL23">
            <v>0</v>
          </cell>
          <cell r="BM23">
            <v>0</v>
          </cell>
          <cell r="BN23">
            <v>0</v>
          </cell>
          <cell r="BO23">
            <v>1</v>
          </cell>
          <cell r="BP23">
            <v>1</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-658</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-0.39200000000000002</v>
          </cell>
          <cell r="DE23">
            <v>0</v>
          </cell>
          <cell r="DF23">
            <v>0</v>
          </cell>
          <cell r="DG23">
            <v>0</v>
          </cell>
          <cell r="DH23">
            <v>0</v>
          </cell>
          <cell r="DI23">
            <v>0</v>
          </cell>
          <cell r="DJ23">
            <v>0</v>
          </cell>
          <cell r="DK23">
            <v>0</v>
          </cell>
          <cell r="DL23">
            <v>0</v>
          </cell>
          <cell r="DM23">
            <v>0</v>
          </cell>
          <cell r="DN23">
            <v>-526</v>
          </cell>
          <cell r="DO23">
            <v>0</v>
          </cell>
          <cell r="DP23">
            <v>2</v>
          </cell>
          <cell r="DQ23">
            <v>0</v>
          </cell>
          <cell r="DR23">
            <v>0</v>
          </cell>
          <cell r="DS23">
            <v>0</v>
          </cell>
          <cell r="DT23">
            <v>-658</v>
          </cell>
          <cell r="DU23">
            <v>0</v>
          </cell>
          <cell r="DV23">
            <v>0</v>
          </cell>
          <cell r="DW23">
            <v>0</v>
          </cell>
          <cell r="DX23">
            <v>0</v>
          </cell>
          <cell r="DY23">
            <v>0</v>
          </cell>
          <cell r="DZ23">
            <v>0</v>
          </cell>
          <cell r="EA23">
            <v>0</v>
          </cell>
          <cell r="EB23">
            <v>-653</v>
          </cell>
          <cell r="EC23">
            <v>0</v>
          </cell>
          <cell r="ED23">
            <v>0</v>
          </cell>
          <cell r="EE23">
            <v>0</v>
          </cell>
          <cell r="EF23">
            <v>0</v>
          </cell>
        </row>
        <row r="24">
          <cell r="A24" t="str">
            <v>Other</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16.074000000000002</v>
          </cell>
          <cell r="V24">
            <v>-1.0269999999999999</v>
          </cell>
          <cell r="W24">
            <v>0</v>
          </cell>
          <cell r="X24">
            <v>14.74</v>
          </cell>
          <cell r="Y24">
            <v>0</v>
          </cell>
          <cell r="Z24">
            <v>2.9879999999999995</v>
          </cell>
          <cell r="AA24">
            <v>3.577</v>
          </cell>
          <cell r="AB24">
            <v>-1.389</v>
          </cell>
          <cell r="AC24">
            <v>5.2789999999999999</v>
          </cell>
          <cell r="AD24">
            <v>0.9579999999999993</v>
          </cell>
          <cell r="AE24">
            <v>-6.4130000000000003</v>
          </cell>
          <cell r="AF24">
            <v>-0.17399999999999993</v>
          </cell>
          <cell r="AG24">
            <v>-7.6000000000000068E-2</v>
          </cell>
          <cell r="AH24">
            <v>3.5000000000000031E-2</v>
          </cell>
          <cell r="AI24">
            <v>-0.73199999999999998</v>
          </cell>
          <cell r="AJ24">
            <v>0</v>
          </cell>
          <cell r="AK24">
            <v>0</v>
          </cell>
          <cell r="AL24">
            <v>17.420000000000002</v>
          </cell>
          <cell r="AM24">
            <v>5.109</v>
          </cell>
          <cell r="AN24">
            <v>-19.128</v>
          </cell>
          <cell r="AO24">
            <v>1.3579999999999988</v>
          </cell>
          <cell r="AP24">
            <v>-6.3640000000000025</v>
          </cell>
          <cell r="AQ24">
            <v>-0.26</v>
          </cell>
          <cell r="AR24">
            <v>89.882000000000005</v>
          </cell>
          <cell r="AS24">
            <v>0.17699999999999999</v>
          </cell>
          <cell r="AT24">
            <v>-59.393999999999998</v>
          </cell>
          <cell r="AU24">
            <v>12.341000000000001</v>
          </cell>
          <cell r="AV24">
            <v>17.740000000000002</v>
          </cell>
          <cell r="AW24">
            <v>7025.0529999999999</v>
          </cell>
          <cell r="AX24">
            <v>425.71199999999999</v>
          </cell>
          <cell r="AY24">
            <v>28</v>
          </cell>
          <cell r="AZ24">
            <v>26</v>
          </cell>
          <cell r="BA24">
            <v>-7</v>
          </cell>
          <cell r="BB24">
            <v>37</v>
          </cell>
          <cell r="BC24">
            <v>29</v>
          </cell>
          <cell r="BD24">
            <v>31</v>
          </cell>
          <cell r="BE24">
            <v>32</v>
          </cell>
          <cell r="BF24">
            <v>7</v>
          </cell>
          <cell r="BG24">
            <v>4</v>
          </cell>
          <cell r="BH24">
            <v>1</v>
          </cell>
          <cell r="BI24">
            <v>-1</v>
          </cell>
          <cell r="BJ24">
            <v>-2</v>
          </cell>
          <cell r="BK24">
            <v>6</v>
          </cell>
          <cell r="BL24">
            <v>2</v>
          </cell>
          <cell r="BM24">
            <v>-11</v>
          </cell>
          <cell r="BN24">
            <v>19</v>
          </cell>
          <cell r="BO24">
            <v>0</v>
          </cell>
          <cell r="BP24">
            <v>0</v>
          </cell>
          <cell r="BQ24">
            <v>-3</v>
          </cell>
          <cell r="BR24">
            <v>-3</v>
          </cell>
          <cell r="BS24">
            <v>1</v>
          </cell>
          <cell r="BT24">
            <v>2</v>
          </cell>
          <cell r="BU24">
            <v>5</v>
          </cell>
          <cell r="BV24">
            <v>2</v>
          </cell>
          <cell r="BW24">
            <v>4</v>
          </cell>
          <cell r="BX24">
            <v>4</v>
          </cell>
          <cell r="BY24">
            <v>6</v>
          </cell>
          <cell r="BZ24">
            <v>-1</v>
          </cell>
          <cell r="CA24">
            <v>27</v>
          </cell>
          <cell r="CB24">
            <v>4</v>
          </cell>
          <cell r="CC24">
            <v>12</v>
          </cell>
          <cell r="CD24">
            <v>0</v>
          </cell>
          <cell r="CE24">
            <v>14</v>
          </cell>
          <cell r="CF24">
            <v>5</v>
          </cell>
          <cell r="CG24">
            <v>24</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15.047000000000002</v>
          </cell>
          <cell r="DE24">
            <v>17.728000000000002</v>
          </cell>
          <cell r="DF24">
            <v>8.4249999999999989</v>
          </cell>
          <cell r="DG24">
            <v>-6.6280000000000001</v>
          </cell>
          <cell r="DH24">
            <v>16.688000000000002</v>
          </cell>
          <cell r="DI24">
            <v>-19.025000000000006</v>
          </cell>
          <cell r="DJ24">
            <v>30.405000000000008</v>
          </cell>
          <cell r="DK24">
            <v>7480.8459999999995</v>
          </cell>
          <cell r="DL24">
            <v>84</v>
          </cell>
          <cell r="DM24">
            <v>99</v>
          </cell>
          <cell r="DN24">
            <v>2</v>
          </cell>
          <cell r="DO24">
            <v>16</v>
          </cell>
          <cell r="DP24">
            <v>-6</v>
          </cell>
          <cell r="DQ24">
            <v>10</v>
          </cell>
          <cell r="DR24">
            <v>13</v>
          </cell>
          <cell r="DS24">
            <v>43</v>
          </cell>
          <cell r="DT24">
            <v>43</v>
          </cell>
          <cell r="DU24">
            <v>0</v>
          </cell>
          <cell r="DV24">
            <v>0</v>
          </cell>
          <cell r="DW24">
            <v>0</v>
          </cell>
          <cell r="DX24">
            <v>0</v>
          </cell>
          <cell r="DY24">
            <v>10</v>
          </cell>
          <cell r="DZ24">
            <v>0</v>
          </cell>
          <cell r="EA24">
            <v>43</v>
          </cell>
          <cell r="EB24">
            <v>73</v>
          </cell>
          <cell r="EC24">
            <v>0</v>
          </cell>
          <cell r="ED24">
            <v>0</v>
          </cell>
          <cell r="EE24">
            <v>0</v>
          </cell>
          <cell r="EF24">
            <v>0</v>
          </cell>
        </row>
        <row r="25">
          <cell r="A25" t="str">
            <v>Changes to assets and liabilities:</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-10.851000000000004</v>
          </cell>
          <cell r="T25">
            <v>34.814</v>
          </cell>
          <cell r="U25">
            <v>121.51900000000001</v>
          </cell>
          <cell r="V25">
            <v>175.08</v>
          </cell>
          <cell r="W25">
            <v>95.929000000000002</v>
          </cell>
          <cell r="X25">
            <v>54.89700000000002</v>
          </cell>
          <cell r="Y25">
            <v>77.207000000000008</v>
          </cell>
          <cell r="Z25">
            <v>219.39199999999997</v>
          </cell>
          <cell r="AA25">
            <v>108.36800000000001</v>
          </cell>
          <cell r="AB25">
            <v>25.093000000000018</v>
          </cell>
          <cell r="AC25">
            <v>128.79899999999998</v>
          </cell>
          <cell r="AD25">
            <v>56.091000000000072</v>
          </cell>
          <cell r="AE25">
            <v>129.61099999999999</v>
          </cell>
          <cell r="AF25">
            <v>34.131999999999977</v>
          </cell>
          <cell r="AG25">
            <v>107.31099999999999</v>
          </cell>
          <cell r="AH25">
            <v>53.063000000000024</v>
          </cell>
          <cell r="AI25">
            <v>89.447999999999965</v>
          </cell>
          <cell r="AJ25">
            <v>81.048999999999978</v>
          </cell>
          <cell r="AK25">
            <v>147.79899999999998</v>
          </cell>
          <cell r="AL25">
            <v>166.52199999999999</v>
          </cell>
          <cell r="AM25">
            <v>60.674000000000021</v>
          </cell>
          <cell r="AN25">
            <v>-104.6</v>
          </cell>
          <cell r="AO25">
            <v>156.37999999999994</v>
          </cell>
          <cell r="AP25">
            <v>113.06000000000003</v>
          </cell>
          <cell r="AQ25">
            <v>68.632999999999967</v>
          </cell>
          <cell r="AR25">
            <v>-15.551999999999978</v>
          </cell>
          <cell r="AS25">
            <v>100.16999999999996</v>
          </cell>
          <cell r="AT25">
            <v>239.91899999999998</v>
          </cell>
          <cell r="AU25">
            <v>-75.72</v>
          </cell>
          <cell r="AV25">
            <v>-181.45100000000002</v>
          </cell>
          <cell r="AW25">
            <v>-29.287999999999993</v>
          </cell>
          <cell r="AX25">
            <v>218.60199999999998</v>
          </cell>
          <cell r="AY25">
            <v>-23</v>
          </cell>
          <cell r="AZ25">
            <v>-162</v>
          </cell>
          <cell r="BA25">
            <v>-110</v>
          </cell>
          <cell r="BB25">
            <v>301</v>
          </cell>
          <cell r="BC25">
            <v>-70</v>
          </cell>
          <cell r="BD25">
            <v>-69</v>
          </cell>
          <cell r="BE25">
            <v>90</v>
          </cell>
          <cell r="BF25">
            <v>329</v>
          </cell>
          <cell r="BG25">
            <v>74</v>
          </cell>
          <cell r="BH25">
            <v>-91</v>
          </cell>
          <cell r="BI25">
            <v>-95</v>
          </cell>
          <cell r="BJ25">
            <v>426</v>
          </cell>
          <cell r="BK25">
            <v>-35</v>
          </cell>
          <cell r="BL25">
            <v>-241</v>
          </cell>
          <cell r="BM25">
            <v>30</v>
          </cell>
          <cell r="BN25">
            <v>186</v>
          </cell>
          <cell r="BO25">
            <v>-61</v>
          </cell>
          <cell r="BP25">
            <v>-200</v>
          </cell>
          <cell r="BQ25">
            <v>-54</v>
          </cell>
          <cell r="BR25">
            <v>36.799999999999997</v>
          </cell>
          <cell r="BS25">
            <v>-121</v>
          </cell>
          <cell r="BT25">
            <v>-239</v>
          </cell>
          <cell r="BU25">
            <v>-25</v>
          </cell>
          <cell r="BV25">
            <v>204</v>
          </cell>
          <cell r="BW25">
            <v>-107</v>
          </cell>
          <cell r="BX25">
            <v>-58</v>
          </cell>
          <cell r="BY25">
            <v>-127</v>
          </cell>
          <cell r="BZ25">
            <v>1015</v>
          </cell>
          <cell r="CA25">
            <v>113</v>
          </cell>
          <cell r="CB25">
            <v>12</v>
          </cell>
          <cell r="CC25">
            <v>-89</v>
          </cell>
          <cell r="CD25">
            <v>310</v>
          </cell>
          <cell r="CE25">
            <v>71</v>
          </cell>
          <cell r="CF25">
            <v>-38</v>
          </cell>
          <cell r="CG25">
            <v>925</v>
          </cell>
          <cell r="CH25">
            <v>-56.05518834580576</v>
          </cell>
          <cell r="CI25">
            <v>31.945289773883502</v>
          </cell>
          <cell r="CJ25">
            <v>-66.6715825469755</v>
          </cell>
          <cell r="CK25">
            <v>-65.879093044882268</v>
          </cell>
          <cell r="CL25">
            <v>224.15888411565095</v>
          </cell>
          <cell r="CM25">
            <v>37.267072042677043</v>
          </cell>
          <cell r="CN25">
            <v>-73.940329598820881</v>
          </cell>
          <cell r="CO25">
            <v>-72.188677096486998</v>
          </cell>
          <cell r="CP25">
            <v>229.25900514134003</v>
          </cell>
          <cell r="CQ25">
            <v>30.852335184716992</v>
          </cell>
          <cell r="CR25">
            <v>-83.187600931783038</v>
          </cell>
          <cell r="CS25">
            <v>-79.045578633020909</v>
          </cell>
          <cell r="CT25">
            <v>238.09417012511483</v>
          </cell>
          <cell r="CU25">
            <v>31.790400009907586</v>
          </cell>
          <cell r="CV25">
            <v>-87.308309353047321</v>
          </cell>
          <cell r="CW25">
            <v>-82.281261954438463</v>
          </cell>
          <cell r="CX25">
            <v>248.5430548824784</v>
          </cell>
          <cell r="CY25">
            <v>0</v>
          </cell>
          <cell r="CZ25">
            <v>0</v>
          </cell>
          <cell r="DA25">
            <v>0</v>
          </cell>
          <cell r="DB25">
            <v>0</v>
          </cell>
          <cell r="DC25">
            <v>0</v>
          </cell>
          <cell r="DD25">
            <v>320.56200000000001</v>
          </cell>
          <cell r="DE25">
            <v>447.42499999999995</v>
          </cell>
          <cell r="DF25">
            <v>318.35100000000006</v>
          </cell>
          <cell r="DG25">
            <v>324.11700000000002</v>
          </cell>
          <cell r="DH25">
            <v>484.81799999999993</v>
          </cell>
          <cell r="DI25">
            <v>225.51400000000001</v>
          </cell>
          <cell r="DJ25">
            <v>393.16999999999996</v>
          </cell>
          <cell r="DK25">
            <v>-67.857000000000085</v>
          </cell>
          <cell r="DL25">
            <v>6</v>
          </cell>
          <cell r="DM25">
            <v>280</v>
          </cell>
          <cell r="DN25">
            <v>314</v>
          </cell>
          <cell r="DO25">
            <v>-60</v>
          </cell>
          <cell r="DP25">
            <v>-278.2</v>
          </cell>
          <cell r="DQ25">
            <v>-181</v>
          </cell>
          <cell r="DR25">
            <v>723</v>
          </cell>
          <cell r="DS25">
            <v>346</v>
          </cell>
          <cell r="DT25">
            <v>901.94481165419427</v>
          </cell>
          <cell r="DU25">
            <v>123.55349829767668</v>
          </cell>
          <cell r="DV25">
            <v>120.39707048870919</v>
          </cell>
          <cell r="DW25">
            <v>106.71332574502787</v>
          </cell>
          <cell r="DX25">
            <v>110.7438835849002</v>
          </cell>
          <cell r="DY25">
            <v>-181</v>
          </cell>
          <cell r="DZ25">
            <v>0</v>
          </cell>
          <cell r="EA25">
            <v>346</v>
          </cell>
          <cell r="EB25">
            <v>886</v>
          </cell>
          <cell r="EC25">
            <v>156.91250257642287</v>
          </cell>
          <cell r="ED25">
            <v>51.454295276647173</v>
          </cell>
          <cell r="EE25">
            <v>21.187740231162906</v>
          </cell>
          <cell r="EF25">
            <v>15.291002083907472</v>
          </cell>
        </row>
        <row r="26">
          <cell r="A26" t="str">
            <v>Accounts receivable</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22.387</v>
          </cell>
          <cell r="T26">
            <v>-48.024000000000001</v>
          </cell>
          <cell r="U26">
            <v>13.069999999999997</v>
          </cell>
          <cell r="V26">
            <v>45.025999999999996</v>
          </cell>
          <cell r="W26">
            <v>16.700000000000003</v>
          </cell>
          <cell r="X26">
            <v>-36.317</v>
          </cell>
          <cell r="Y26">
            <v>-16.528000000000006</v>
          </cell>
          <cell r="Z26">
            <v>-10.719999999999999</v>
          </cell>
          <cell r="AA26">
            <v>120.968</v>
          </cell>
          <cell r="AB26">
            <v>-139.47399999999999</v>
          </cell>
          <cell r="AC26">
            <v>2.4359999999999999</v>
          </cell>
          <cell r="AD26">
            <v>-129.75099999999998</v>
          </cell>
          <cell r="AE26">
            <v>111.962</v>
          </cell>
          <cell r="AF26">
            <v>-91.099000000000004</v>
          </cell>
          <cell r="AG26">
            <v>-1.6539999999999964</v>
          </cell>
          <cell r="AH26">
            <v>-149.154</v>
          </cell>
          <cell r="AI26">
            <v>164.89599999999999</v>
          </cell>
          <cell r="AJ26">
            <v>72.983000000000004</v>
          </cell>
          <cell r="AK26">
            <v>-251.37</v>
          </cell>
          <cell r="AL26">
            <v>54.389000000000003</v>
          </cell>
          <cell r="AM26">
            <v>144.066</v>
          </cell>
          <cell r="AN26">
            <v>-24.448999999999998</v>
          </cell>
          <cell r="AO26">
            <v>-167.072</v>
          </cell>
          <cell r="AP26">
            <v>81.169000000000011</v>
          </cell>
          <cell r="AQ26">
            <v>141.39099999999999</v>
          </cell>
          <cell r="AR26">
            <v>-22.404999999999987</v>
          </cell>
          <cell r="AS26">
            <v>-284.37799999999999</v>
          </cell>
          <cell r="AT26">
            <v>158.38999999999999</v>
          </cell>
          <cell r="AU26">
            <v>118.88500000000001</v>
          </cell>
          <cell r="AV26">
            <v>-19.001000000000001</v>
          </cell>
          <cell r="AW26">
            <v>-256.95299999999997</v>
          </cell>
          <cell r="AX26">
            <v>72.111000000000004</v>
          </cell>
          <cell r="AY26">
            <v>229</v>
          </cell>
          <cell r="AZ26">
            <v>-58</v>
          </cell>
          <cell r="BA26">
            <v>-218</v>
          </cell>
          <cell r="BB26">
            <v>33</v>
          </cell>
          <cell r="BC26">
            <v>285</v>
          </cell>
          <cell r="BD26">
            <v>-52</v>
          </cell>
          <cell r="BE26">
            <v>-296</v>
          </cell>
          <cell r="BF26">
            <v>-25</v>
          </cell>
          <cell r="BG26">
            <v>359</v>
          </cell>
          <cell r="BH26">
            <v>-28</v>
          </cell>
          <cell r="BI26">
            <v>-319</v>
          </cell>
          <cell r="BJ26">
            <v>77</v>
          </cell>
          <cell r="BK26">
            <v>307</v>
          </cell>
          <cell r="BL26">
            <v>-104</v>
          </cell>
          <cell r="BM26">
            <v>-347</v>
          </cell>
          <cell r="BN26">
            <v>37</v>
          </cell>
          <cell r="BO26">
            <v>285</v>
          </cell>
          <cell r="BP26">
            <v>180</v>
          </cell>
          <cell r="BQ26">
            <v>-320</v>
          </cell>
          <cell r="BR26">
            <v>-115</v>
          </cell>
          <cell r="BS26">
            <v>308</v>
          </cell>
          <cell r="BT26">
            <v>-40</v>
          </cell>
          <cell r="BU26">
            <v>-275</v>
          </cell>
          <cell r="BV26">
            <v>-31</v>
          </cell>
          <cell r="BW26">
            <v>154</v>
          </cell>
          <cell r="BX26">
            <v>-46</v>
          </cell>
          <cell r="BY26">
            <v>-82</v>
          </cell>
          <cell r="BZ26">
            <v>12</v>
          </cell>
          <cell r="CA26">
            <v>244</v>
          </cell>
          <cell r="CB26">
            <v>-19</v>
          </cell>
          <cell r="CC26">
            <v>-111</v>
          </cell>
          <cell r="CD26">
            <v>-69</v>
          </cell>
          <cell r="CE26">
            <v>188</v>
          </cell>
          <cell r="CF26">
            <v>-73</v>
          </cell>
          <cell r="CG26">
            <v>-153</v>
          </cell>
          <cell r="CH26">
            <v>17.057341226476069</v>
          </cell>
          <cell r="CI26">
            <v>184.40424226574021</v>
          </cell>
          <cell r="CJ26">
            <v>-31.375433821527167</v>
          </cell>
          <cell r="CK26">
            <v>-174.00544997658767</v>
          </cell>
          <cell r="CL26">
            <v>-0.81234295447893601</v>
          </cell>
          <cell r="CM26">
            <v>185.52763621325136</v>
          </cell>
          <cell r="CN26">
            <v>-36.038030940565534</v>
          </cell>
          <cell r="CO26">
            <v>-182.83257324725662</v>
          </cell>
          <cell r="CP26">
            <v>-0.64702309582560247</v>
          </cell>
          <cell r="CQ26">
            <v>197.06101376616829</v>
          </cell>
          <cell r="CR26">
            <v>-36.779425290910183</v>
          </cell>
          <cell r="CS26">
            <v>-189.76421610995828</v>
          </cell>
          <cell r="CT26">
            <v>0.61565938490582539</v>
          </cell>
          <cell r="CU26">
            <v>205.4630165187981</v>
          </cell>
          <cell r="CV26">
            <v>-38.336448470773121</v>
          </cell>
          <cell r="CW26">
            <v>-197.38864481939459</v>
          </cell>
          <cell r="CX26">
            <v>0.84164660613771503</v>
          </cell>
          <cell r="CY26">
            <v>0</v>
          </cell>
          <cell r="CZ26">
            <v>0</v>
          </cell>
          <cell r="DA26">
            <v>0</v>
          </cell>
          <cell r="DB26">
            <v>0</v>
          </cell>
          <cell r="DC26">
            <v>0</v>
          </cell>
          <cell r="DD26">
            <v>32.458999999999989</v>
          </cell>
          <cell r="DE26">
            <v>-46.865000000000002</v>
          </cell>
          <cell r="DF26">
            <v>-145.82099999999997</v>
          </cell>
          <cell r="DG26">
            <v>-129.94499999999999</v>
          </cell>
          <cell r="DH26">
            <v>40.897999999999989</v>
          </cell>
          <cell r="DI26">
            <v>33.714000000000013</v>
          </cell>
          <cell r="DJ26">
            <v>-7.0020000000000095</v>
          </cell>
          <cell r="DK26">
            <v>-84.957999999999956</v>
          </cell>
          <cell r="DL26">
            <v>-14</v>
          </cell>
          <cell r="DM26">
            <v>-88</v>
          </cell>
          <cell r="DN26">
            <v>89</v>
          </cell>
          <cell r="DO26">
            <v>-107</v>
          </cell>
          <cell r="DP26">
            <v>30</v>
          </cell>
          <cell r="DQ26">
            <v>-38</v>
          </cell>
          <cell r="DR26">
            <v>38</v>
          </cell>
          <cell r="DS26">
            <v>45</v>
          </cell>
          <cell r="DT26">
            <v>-20.942658773523931</v>
          </cell>
          <cell r="DU26">
            <v>-21.788984486853565</v>
          </cell>
          <cell r="DV26">
            <v>-33.9899910703964</v>
          </cell>
          <cell r="DW26">
            <v>-28.866968249794354</v>
          </cell>
          <cell r="DX26">
            <v>-29.420430165231892</v>
          </cell>
          <cell r="DY26">
            <v>-38</v>
          </cell>
          <cell r="DZ26">
            <v>0</v>
          </cell>
          <cell r="EA26">
            <v>45</v>
          </cell>
          <cell r="EB26">
            <v>-170</v>
          </cell>
          <cell r="EC26">
            <v>-94.827775221685897</v>
          </cell>
          <cell r="ED26">
            <v>-115.91745977355367</v>
          </cell>
          <cell r="EE26">
            <v>-110.40964008486981</v>
          </cell>
          <cell r="EF26">
            <v>-115.21320806630956</v>
          </cell>
        </row>
        <row r="27">
          <cell r="A27" t="str">
            <v>Inventories</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3.3490000000000002</v>
          </cell>
          <cell r="T27">
            <v>-4.5090000000000003</v>
          </cell>
          <cell r="U27">
            <v>-4.9359999999999999</v>
          </cell>
          <cell r="V27">
            <v>4.4580000000000002</v>
          </cell>
          <cell r="W27">
            <v>2.3460000000000001</v>
          </cell>
          <cell r="X27">
            <v>-2.7080000000000002</v>
          </cell>
          <cell r="Y27">
            <v>-2.2679999999999998</v>
          </cell>
          <cell r="Z27">
            <v>4.8529999999999998</v>
          </cell>
          <cell r="AA27">
            <v>2.262</v>
          </cell>
          <cell r="AB27">
            <v>-7.4269999999999996</v>
          </cell>
          <cell r="AC27">
            <v>-2.5910000000000011</v>
          </cell>
          <cell r="AD27">
            <v>-0.5470000000000006</v>
          </cell>
          <cell r="AE27">
            <v>0.434</v>
          </cell>
          <cell r="AF27">
            <v>-5.7810000000000006</v>
          </cell>
          <cell r="AG27">
            <v>-0.57899999999999952</v>
          </cell>
          <cell r="AH27">
            <v>2.3049999999999997</v>
          </cell>
          <cell r="AI27">
            <v>3.2669999999999999</v>
          </cell>
          <cell r="AJ27">
            <v>1.365</v>
          </cell>
          <cell r="AK27">
            <v>-22.466999999999999</v>
          </cell>
          <cell r="AL27">
            <v>-11.993</v>
          </cell>
          <cell r="AM27">
            <v>8.9789999999999992</v>
          </cell>
          <cell r="AN27">
            <v>0.34600000000000009</v>
          </cell>
          <cell r="AO27">
            <v>0.1590000000000007</v>
          </cell>
          <cell r="AP27">
            <v>0.83999999999999986</v>
          </cell>
          <cell r="AQ27">
            <v>7.7060000000000004</v>
          </cell>
          <cell r="AR27">
            <v>2.7909999999999995</v>
          </cell>
          <cell r="AS27">
            <v>-1.2729999999999999</v>
          </cell>
          <cell r="AT27">
            <v>1.5669999999999999</v>
          </cell>
          <cell r="AU27">
            <v>5.8239999999999998</v>
          </cell>
          <cell r="AV27">
            <v>0.121</v>
          </cell>
          <cell r="AW27">
            <v>-0.11</v>
          </cell>
          <cell r="AX27">
            <v>-2.1999999999999999E-2</v>
          </cell>
          <cell r="AY27">
            <v>4</v>
          </cell>
          <cell r="AZ27">
            <v>1</v>
          </cell>
          <cell r="BA27">
            <v>-1</v>
          </cell>
          <cell r="BB27">
            <v>-1</v>
          </cell>
          <cell r="BC27">
            <v>3</v>
          </cell>
          <cell r="BD27">
            <v>0</v>
          </cell>
          <cell r="BE27">
            <v>-9</v>
          </cell>
          <cell r="BF27">
            <v>2</v>
          </cell>
          <cell r="BG27">
            <v>4</v>
          </cell>
          <cell r="BH27">
            <v>-2</v>
          </cell>
          <cell r="BI27">
            <v>-5</v>
          </cell>
          <cell r="BJ27">
            <v>5</v>
          </cell>
          <cell r="BK27">
            <v>1</v>
          </cell>
          <cell r="BL27">
            <v>4</v>
          </cell>
          <cell r="BM27">
            <v>4</v>
          </cell>
          <cell r="BN27">
            <v>-5</v>
          </cell>
          <cell r="BO27">
            <v>6</v>
          </cell>
          <cell r="BP27">
            <v>2</v>
          </cell>
          <cell r="BQ27">
            <v>3</v>
          </cell>
          <cell r="BR27">
            <v>-1.2</v>
          </cell>
          <cell r="BS27">
            <v>3</v>
          </cell>
          <cell r="BT27">
            <v>0</v>
          </cell>
          <cell r="BU27">
            <v>-2</v>
          </cell>
          <cell r="BV27">
            <v>0</v>
          </cell>
          <cell r="BW27">
            <v>0</v>
          </cell>
          <cell r="BX27">
            <v>0</v>
          </cell>
          <cell r="BY27">
            <v>0</v>
          </cell>
          <cell r="BZ27">
            <v>0</v>
          </cell>
          <cell r="CA27">
            <v>0</v>
          </cell>
          <cell r="CB27">
            <v>0</v>
          </cell>
          <cell r="CC27">
            <v>0</v>
          </cell>
          <cell r="CD27">
            <v>0</v>
          </cell>
          <cell r="CE27">
            <v>0</v>
          </cell>
          <cell r="CF27">
            <v>0</v>
          </cell>
          <cell r="CG27">
            <v>0</v>
          </cell>
          <cell r="CH27">
            <v>-0.87336949715103529</v>
          </cell>
          <cell r="CI27">
            <v>-0.96380983125848374</v>
          </cell>
          <cell r="CJ27">
            <v>-0.29672275348668542</v>
          </cell>
          <cell r="CK27">
            <v>-0.93412629647848533</v>
          </cell>
          <cell r="CL27">
            <v>-0.94060352166939154</v>
          </cell>
          <cell r="CM27">
            <v>2.6286637123283274</v>
          </cell>
          <cell r="CN27">
            <v>-0.28413611323613353</v>
          </cell>
          <cell r="CO27">
            <v>-0.97990205103052297</v>
          </cell>
          <cell r="CP27">
            <v>-0.93407989454823692</v>
          </cell>
          <cell r="CQ27">
            <v>2.7068797954871844</v>
          </cell>
          <cell r="CR27">
            <v>-0.34535115674553296</v>
          </cell>
          <cell r="CS27">
            <v>-1.0131702138246705</v>
          </cell>
          <cell r="CT27">
            <v>-0.84262376068997824</v>
          </cell>
          <cell r="CU27">
            <v>2.8279401692837052</v>
          </cell>
          <cell r="CV27">
            <v>-0.41478039795855182</v>
          </cell>
          <cell r="CW27">
            <v>-1.0191549500665271</v>
          </cell>
          <cell r="CX27">
            <v>-0.76001835216904823</v>
          </cell>
          <cell r="CY27">
            <v>0</v>
          </cell>
          <cell r="CZ27">
            <v>0</v>
          </cell>
          <cell r="DA27">
            <v>0</v>
          </cell>
          <cell r="DB27">
            <v>0</v>
          </cell>
          <cell r="DC27">
            <v>0</v>
          </cell>
          <cell r="DD27">
            <v>-1.6379999999999999</v>
          </cell>
          <cell r="DE27">
            <v>2.2229999999999999</v>
          </cell>
          <cell r="DF27">
            <v>-8.3030000000000008</v>
          </cell>
          <cell r="DG27">
            <v>-3.6210000000000004</v>
          </cell>
          <cell r="DH27">
            <v>-29.828000000000003</v>
          </cell>
          <cell r="DI27">
            <v>10.324</v>
          </cell>
          <cell r="DJ27">
            <v>10.791</v>
          </cell>
          <cell r="DK27">
            <v>5.8129999999999997</v>
          </cell>
          <cell r="DL27">
            <v>3</v>
          </cell>
          <cell r="DM27">
            <v>-4</v>
          </cell>
          <cell r="DN27">
            <v>2</v>
          </cell>
          <cell r="DO27">
            <v>4</v>
          </cell>
          <cell r="DP27">
            <v>9.8000000000000007</v>
          </cell>
          <cell r="DQ27">
            <v>1</v>
          </cell>
          <cell r="DR27">
            <v>0</v>
          </cell>
          <cell r="DS27">
            <v>0</v>
          </cell>
          <cell r="DT27">
            <v>-0.87336949715103529</v>
          </cell>
          <cell r="DU27">
            <v>-3.135262402893046</v>
          </cell>
          <cell r="DV27">
            <v>0.43054565351343399</v>
          </cell>
          <cell r="DW27">
            <v>0.50573466422700264</v>
          </cell>
          <cell r="DX27">
            <v>0.63398646908957801</v>
          </cell>
          <cell r="DY27">
            <v>1</v>
          </cell>
          <cell r="DZ27">
            <v>0</v>
          </cell>
          <cell r="EA27">
            <v>0</v>
          </cell>
          <cell r="EB27">
            <v>0</v>
          </cell>
          <cell r="EC27">
            <v>-0.87751337378510996</v>
          </cell>
          <cell r="ED27">
            <v>0.24269920677168777</v>
          </cell>
          <cell r="EE27">
            <v>0.41937013496575659</v>
          </cell>
          <cell r="EF27">
            <v>0.58137306702482583</v>
          </cell>
        </row>
        <row r="28">
          <cell r="A28" t="str">
            <v>Deferred commissions</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8</v>
          </cell>
          <cell r="BH28">
            <v>10</v>
          </cell>
          <cell r="BI28">
            <v>-15</v>
          </cell>
          <cell r="BJ28">
            <v>-28</v>
          </cell>
          <cell r="BK28">
            <v>19</v>
          </cell>
          <cell r="BL28">
            <v>8</v>
          </cell>
          <cell r="BM28">
            <v>-6</v>
          </cell>
          <cell r="BN28">
            <v>-4</v>
          </cell>
          <cell r="BO28">
            <v>-5</v>
          </cell>
          <cell r="BP28">
            <v>25</v>
          </cell>
          <cell r="BQ28">
            <v>7</v>
          </cell>
          <cell r="BR28">
            <v>-1.2</v>
          </cell>
          <cell r="BS28">
            <v>0</v>
          </cell>
          <cell r="BT28">
            <v>-3</v>
          </cell>
          <cell r="BU28">
            <v>-13</v>
          </cell>
          <cell r="BV28">
            <v>-14</v>
          </cell>
          <cell r="BW28">
            <v>0</v>
          </cell>
          <cell r="BX28">
            <v>0</v>
          </cell>
          <cell r="BY28">
            <v>0</v>
          </cell>
          <cell r="BZ28">
            <v>0</v>
          </cell>
          <cell r="CA28">
            <v>0</v>
          </cell>
          <cell r="CB28">
            <v>0</v>
          </cell>
          <cell r="CC28">
            <v>0</v>
          </cell>
          <cell r="CD28">
            <v>0</v>
          </cell>
          <cell r="CE28">
            <v>0</v>
          </cell>
          <cell r="CF28">
            <v>0</v>
          </cell>
          <cell r="CG28">
            <v>0</v>
          </cell>
          <cell r="CH28">
            <v>2.8147351686055568</v>
          </cell>
          <cell r="CI28">
            <v>1.1875506449456079</v>
          </cell>
          <cell r="CJ28">
            <v>2.1829626075389008</v>
          </cell>
          <cell r="CK28">
            <v>-1.7965640893306603</v>
          </cell>
          <cell r="CL28">
            <v>-4.1835106570983314</v>
          </cell>
          <cell r="CM28">
            <v>1.174385893218691</v>
          </cell>
          <cell r="CN28">
            <v>2.3171775608738319</v>
          </cell>
          <cell r="CO28">
            <v>-1.8154897363981295</v>
          </cell>
          <cell r="CP28">
            <v>-4.2675527238769426</v>
          </cell>
          <cell r="CQ28">
            <v>1.3829034505256974</v>
          </cell>
          <cell r="CR28">
            <v>2.5568900154763785</v>
          </cell>
          <cell r="CS28">
            <v>-1.8102485869281519</v>
          </cell>
          <cell r="CT28">
            <v>-4.4304170696386951</v>
          </cell>
          <cell r="CU28">
            <v>1.443674210865133</v>
          </cell>
          <cell r="CV28">
            <v>2.6780723815731378</v>
          </cell>
          <cell r="CW28">
            <v>-1.8824946428302756</v>
          </cell>
          <cell r="CX28">
            <v>-4.6288213869831196</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-25</v>
          </cell>
          <cell r="DO28">
            <v>17</v>
          </cell>
          <cell r="DP28">
            <v>25.8</v>
          </cell>
          <cell r="DQ28">
            <v>-30</v>
          </cell>
          <cell r="DR28">
            <v>0</v>
          </cell>
          <cell r="DS28">
            <v>0</v>
          </cell>
          <cell r="DT28">
            <v>2.8147351686055568</v>
          </cell>
          <cell r="DU28">
            <v>-2.6095614939444829</v>
          </cell>
          <cell r="DV28">
            <v>-2.5914790061825492</v>
          </cell>
          <cell r="DW28">
            <v>-2.3008721905647711</v>
          </cell>
          <cell r="DX28">
            <v>-2.3895694373751244</v>
          </cell>
          <cell r="DY28">
            <v>-30</v>
          </cell>
          <cell r="DZ28">
            <v>0</v>
          </cell>
          <cell r="EA28">
            <v>0</v>
          </cell>
          <cell r="EB28">
            <v>0</v>
          </cell>
          <cell r="EC28">
            <v>-6.0375097026578821</v>
          </cell>
          <cell r="ED28">
            <v>-2.5677442145696237</v>
          </cell>
          <cell r="EE28">
            <v>-2.0452136587966159</v>
          </cell>
          <cell r="EF28">
            <v>-2.0139387176470578</v>
          </cell>
        </row>
        <row r="29">
          <cell r="A29" t="str">
            <v>Accounts payable</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-11.077999999999999</v>
          </cell>
          <cell r="T29">
            <v>0.28399999999999981</v>
          </cell>
          <cell r="U29">
            <v>5.101</v>
          </cell>
          <cell r="V29">
            <v>-3.1980000000000013</v>
          </cell>
          <cell r="W29">
            <v>-4.0539999999999994</v>
          </cell>
          <cell r="X29">
            <v>17.417000000000002</v>
          </cell>
          <cell r="Y29">
            <v>-21.774999999999999</v>
          </cell>
          <cell r="Z29">
            <v>-4.3130000000000024</v>
          </cell>
          <cell r="AA29">
            <v>-4.758</v>
          </cell>
          <cell r="AB29">
            <v>12.445</v>
          </cell>
          <cell r="AC29">
            <v>-27.268000000000001</v>
          </cell>
          <cell r="AD29">
            <v>7.7810000000000006</v>
          </cell>
          <cell r="AE29">
            <v>-8.0620000000000012</v>
          </cell>
          <cell r="AF29">
            <v>25.959</v>
          </cell>
          <cell r="AG29">
            <v>-6.3219999999999974</v>
          </cell>
          <cell r="AH29">
            <v>-13.526</v>
          </cell>
          <cell r="AI29">
            <v>3.9559999999999995</v>
          </cell>
          <cell r="AJ29">
            <v>34.895000000000003</v>
          </cell>
          <cell r="AK29">
            <v>1.6090000000000035</v>
          </cell>
          <cell r="AL29">
            <v>-11.246999999999998</v>
          </cell>
          <cell r="AM29">
            <v>-16.751000000000001</v>
          </cell>
          <cell r="AN29">
            <v>2.7360000000000007</v>
          </cell>
          <cell r="AO29">
            <v>39.087000000000003</v>
          </cell>
          <cell r="AP29">
            <v>-50.695000000000007</v>
          </cell>
          <cell r="AQ29">
            <v>12.682</v>
          </cell>
          <cell r="AR29">
            <v>-5.0350000000000001</v>
          </cell>
          <cell r="AS29">
            <v>-20.896000000000001</v>
          </cell>
          <cell r="AT29">
            <v>13.916</v>
          </cell>
          <cell r="AU29">
            <v>-8.6649999999999991</v>
          </cell>
          <cell r="AV29">
            <v>7.6790000000000003</v>
          </cell>
          <cell r="AW29">
            <v>-19.292999999999999</v>
          </cell>
          <cell r="AX29">
            <v>-28.715</v>
          </cell>
          <cell r="AY29">
            <v>16</v>
          </cell>
          <cell r="AZ29">
            <v>-23</v>
          </cell>
          <cell r="BA29">
            <v>-35</v>
          </cell>
          <cell r="BB29">
            <v>46</v>
          </cell>
          <cell r="BC29">
            <v>4</v>
          </cell>
          <cell r="BD29">
            <v>23</v>
          </cell>
          <cell r="BE29">
            <v>-6</v>
          </cell>
          <cell r="BF29">
            <v>-19</v>
          </cell>
          <cell r="BG29">
            <v>-8</v>
          </cell>
          <cell r="BH29">
            <v>45</v>
          </cell>
          <cell r="BI29">
            <v>-28</v>
          </cell>
          <cell r="BJ29">
            <v>21</v>
          </cell>
          <cell r="BK29">
            <v>0</v>
          </cell>
          <cell r="BL29">
            <v>-34</v>
          </cell>
          <cell r="BM29">
            <v>26</v>
          </cell>
          <cell r="BN29">
            <v>41</v>
          </cell>
          <cell r="BO29">
            <v>-64</v>
          </cell>
          <cell r="BP29">
            <v>-28</v>
          </cell>
          <cell r="BQ29">
            <v>38</v>
          </cell>
          <cell r="BR29">
            <v>-21.2</v>
          </cell>
          <cell r="BS29">
            <v>-57</v>
          </cell>
          <cell r="BT29">
            <v>-20</v>
          </cell>
          <cell r="BU29">
            <v>12</v>
          </cell>
          <cell r="BV29">
            <v>0</v>
          </cell>
          <cell r="BW29">
            <v>-34</v>
          </cell>
          <cell r="BX29">
            <v>51</v>
          </cell>
          <cell r="BY29">
            <v>44</v>
          </cell>
          <cell r="BZ29">
            <v>-130</v>
          </cell>
          <cell r="CA29">
            <v>-63</v>
          </cell>
          <cell r="CB29">
            <v>-3</v>
          </cell>
          <cell r="CC29">
            <v>-6</v>
          </cell>
          <cell r="CD29">
            <v>5</v>
          </cell>
          <cell r="CE29">
            <v>-32</v>
          </cell>
          <cell r="CF29">
            <v>52</v>
          </cell>
          <cell r="CG29">
            <v>-15</v>
          </cell>
          <cell r="CH29">
            <v>16.400037599097942</v>
          </cell>
          <cell r="CI29">
            <v>-77.295019655846147</v>
          </cell>
          <cell r="CJ29">
            <v>60.315001534532513</v>
          </cell>
          <cell r="CK29">
            <v>1.6451357104553779</v>
          </cell>
          <cell r="CL29">
            <v>21.962812165206714</v>
          </cell>
          <cell r="CM29">
            <v>-78.57992279639025</v>
          </cell>
          <cell r="CN29">
            <v>64.186704671928922</v>
          </cell>
          <cell r="CO29">
            <v>1.7128553258582144</v>
          </cell>
          <cell r="CP29">
            <v>23.019682343368743</v>
          </cell>
          <cell r="CQ29">
            <v>-83.113152094115264</v>
          </cell>
          <cell r="CR29">
            <v>66.820356586917768</v>
          </cell>
          <cell r="CS29">
            <v>1.4615017257283967</v>
          </cell>
          <cell r="CT29">
            <v>23.612255459425398</v>
          </cell>
          <cell r="CU29">
            <v>-86.602958162761922</v>
          </cell>
          <cell r="CV29">
            <v>69.541091799795112</v>
          </cell>
          <cell r="CW29">
            <v>1.506670283346125</v>
          </cell>
          <cell r="CX29">
            <v>24.504513777080348</v>
          </cell>
          <cell r="CY29">
            <v>0</v>
          </cell>
          <cell r="CZ29">
            <v>0</v>
          </cell>
          <cell r="DA29">
            <v>0</v>
          </cell>
          <cell r="DB29">
            <v>0</v>
          </cell>
          <cell r="DC29">
            <v>0</v>
          </cell>
          <cell r="DD29">
            <v>-8.8910000000000018</v>
          </cell>
          <cell r="DE29">
            <v>-12.724999999999998</v>
          </cell>
          <cell r="DF29">
            <v>-11.799999999999999</v>
          </cell>
          <cell r="DG29">
            <v>-1.9509999999999987</v>
          </cell>
          <cell r="DH29">
            <v>29.213000000000001</v>
          </cell>
          <cell r="DI29">
            <v>-25.623000000000005</v>
          </cell>
          <cell r="DJ29">
            <v>0.66699999999999982</v>
          </cell>
          <cell r="DK29">
            <v>-48.994</v>
          </cell>
          <cell r="DL29">
            <v>4</v>
          </cell>
          <cell r="DM29">
            <v>2</v>
          </cell>
          <cell r="DN29">
            <v>30</v>
          </cell>
          <cell r="DO29">
            <v>33</v>
          </cell>
          <cell r="DP29">
            <v>-75.2</v>
          </cell>
          <cell r="DQ29">
            <v>-65</v>
          </cell>
          <cell r="DR29">
            <v>-69</v>
          </cell>
          <cell r="DS29">
            <v>-67</v>
          </cell>
          <cell r="DT29">
            <v>21.400037599097942</v>
          </cell>
          <cell r="DU29">
            <v>6.6279297543484574</v>
          </cell>
          <cell r="DV29">
            <v>10.33931954476563</v>
          </cell>
          <cell r="DW29">
            <v>8.7809616779562987</v>
          </cell>
          <cell r="DX29">
            <v>8.9493176974596622</v>
          </cell>
          <cell r="DY29">
            <v>-65</v>
          </cell>
          <cell r="DZ29">
            <v>0</v>
          </cell>
          <cell r="EA29">
            <v>-67</v>
          </cell>
          <cell r="EB29">
            <v>-4</v>
          </cell>
          <cell r="EC29">
            <v>-12.662468715381578</v>
          </cell>
          <cell r="ED29">
            <v>7.2229128707002133</v>
          </cell>
          <cell r="EE29">
            <v>5.4281922259494593</v>
          </cell>
          <cell r="EF29">
            <v>5.4099312731527789</v>
          </cell>
        </row>
        <row r="30">
          <cell r="A30" t="str">
            <v>Accrued compensation and benefits</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-24.173000000000002</v>
          </cell>
          <cell r="T30">
            <v>31.484999999999999</v>
          </cell>
          <cell r="U30">
            <v>3.26</v>
          </cell>
          <cell r="V30">
            <v>23.338999999999999</v>
          </cell>
          <cell r="W30">
            <v>-34.879000000000005</v>
          </cell>
          <cell r="X30">
            <v>30.287000000000003</v>
          </cell>
          <cell r="Y30">
            <v>18.036999999999999</v>
          </cell>
          <cell r="Z30">
            <v>23.813999999999997</v>
          </cell>
          <cell r="AA30">
            <v>-56.539000000000001</v>
          </cell>
          <cell r="AB30">
            <v>35.667000000000002</v>
          </cell>
          <cell r="AC30">
            <v>6.8679999999999986</v>
          </cell>
          <cell r="AD30">
            <v>45.716999999999999</v>
          </cell>
          <cell r="AE30">
            <v>-69.186999999999998</v>
          </cell>
          <cell r="AF30">
            <v>40.416999999999994</v>
          </cell>
          <cell r="AG30">
            <v>22.225000000000005</v>
          </cell>
          <cell r="AH30">
            <v>49.25</v>
          </cell>
          <cell r="AI30">
            <v>-76.399000000000001</v>
          </cell>
          <cell r="AJ30">
            <v>-4.0660000000000025</v>
          </cell>
          <cell r="AK30">
            <v>50.908000000000001</v>
          </cell>
          <cell r="AL30">
            <v>-28.841000000000001</v>
          </cell>
          <cell r="AM30">
            <v>-22.838999999999999</v>
          </cell>
          <cell r="AN30">
            <v>6.0960000000000001</v>
          </cell>
          <cell r="AO30">
            <v>28.820999999999998</v>
          </cell>
          <cell r="AP30">
            <v>11.091000000000001</v>
          </cell>
          <cell r="AQ30">
            <v>-16.48</v>
          </cell>
          <cell r="AR30">
            <v>16.062000000000001</v>
          </cell>
          <cell r="AS30">
            <v>84.212000000000003</v>
          </cell>
          <cell r="AT30">
            <v>13.339</v>
          </cell>
          <cell r="AU30">
            <v>-90.906000000000006</v>
          </cell>
          <cell r="AV30">
            <v>9.0009999999999994</v>
          </cell>
          <cell r="AW30">
            <v>37.267000000000003</v>
          </cell>
          <cell r="AX30">
            <v>-10.454000000000001</v>
          </cell>
          <cell r="AY30">
            <v>-90</v>
          </cell>
          <cell r="AZ30">
            <v>11</v>
          </cell>
          <cell r="BA30">
            <v>55</v>
          </cell>
          <cell r="BB30">
            <v>-10</v>
          </cell>
          <cell r="BC30">
            <v>-68</v>
          </cell>
          <cell r="BD30">
            <v>3</v>
          </cell>
          <cell r="BE30">
            <v>89</v>
          </cell>
          <cell r="BF30">
            <v>48</v>
          </cell>
          <cell r="BG30">
            <v>-121</v>
          </cell>
          <cell r="BH30">
            <v>-9</v>
          </cell>
          <cell r="BI30">
            <v>81</v>
          </cell>
          <cell r="BJ30">
            <v>18</v>
          </cell>
          <cell r="BK30">
            <v>-125</v>
          </cell>
          <cell r="BL30">
            <v>18</v>
          </cell>
          <cell r="BM30">
            <v>147</v>
          </cell>
          <cell r="BN30">
            <v>-28</v>
          </cell>
          <cell r="BO30">
            <v>-97</v>
          </cell>
          <cell r="BP30">
            <v>-13</v>
          </cell>
          <cell r="BQ30">
            <v>27</v>
          </cell>
          <cell r="BR30">
            <v>25</v>
          </cell>
          <cell r="BS30">
            <v>-34</v>
          </cell>
          <cell r="BT30">
            <v>-16</v>
          </cell>
          <cell r="BU30">
            <v>78</v>
          </cell>
          <cell r="BV30">
            <v>21</v>
          </cell>
          <cell r="BW30">
            <v>-62</v>
          </cell>
          <cell r="BX30">
            <v>8</v>
          </cell>
          <cell r="BY30">
            <v>31</v>
          </cell>
          <cell r="BZ30">
            <v>16</v>
          </cell>
          <cell r="CA30">
            <v>-52</v>
          </cell>
          <cell r="CB30">
            <v>17</v>
          </cell>
          <cell r="CC30">
            <v>25</v>
          </cell>
          <cell r="CD30">
            <v>30</v>
          </cell>
          <cell r="CE30">
            <v>-68</v>
          </cell>
          <cell r="CF30">
            <v>-7</v>
          </cell>
          <cell r="CG30">
            <v>22</v>
          </cell>
          <cell r="CH30">
            <v>27.03316764740228</v>
          </cell>
          <cell r="CI30">
            <v>-37.556856107651328</v>
          </cell>
          <cell r="CJ30">
            <v>-18.267414431663383</v>
          </cell>
          <cell r="CK30">
            <v>30.056342480152949</v>
          </cell>
          <cell r="CL30">
            <v>33.894465687525212</v>
          </cell>
          <cell r="CM30">
            <v>-36.587001319124738</v>
          </cell>
          <cell r="CN30">
            <v>-17.853417319239242</v>
          </cell>
          <cell r="CO30">
            <v>31.572066839345808</v>
          </cell>
          <cell r="CP30">
            <v>35.545442903836459</v>
          </cell>
          <cell r="CQ30">
            <v>-39.379343738898655</v>
          </cell>
          <cell r="CR30">
            <v>-19.027629976092783</v>
          </cell>
          <cell r="CS30">
            <v>32.588069710649023</v>
          </cell>
          <cell r="CT30">
            <v>36.585284779925018</v>
          </cell>
          <cell r="CU30">
            <v>-41.137641411028454</v>
          </cell>
          <cell r="CV30">
            <v>-19.766756241673448</v>
          </cell>
          <cell r="CW30">
            <v>33.889653020058745</v>
          </cell>
          <cell r="CX30">
            <v>37.987547560868222</v>
          </cell>
          <cell r="CY30">
            <v>0</v>
          </cell>
          <cell r="CZ30">
            <v>0</v>
          </cell>
          <cell r="DA30">
            <v>0</v>
          </cell>
          <cell r="DB30">
            <v>0</v>
          </cell>
          <cell r="DC30">
            <v>0</v>
          </cell>
          <cell r="DD30">
            <v>33.910999999999994</v>
          </cell>
          <cell r="DE30">
            <v>37.258999999999993</v>
          </cell>
          <cell r="DF30">
            <v>31.712999999999997</v>
          </cell>
          <cell r="DG30">
            <v>42.704999999999998</v>
          </cell>
          <cell r="DH30">
            <v>-58.398000000000003</v>
          </cell>
          <cell r="DI30">
            <v>23.169</v>
          </cell>
          <cell r="DJ30">
            <v>97.13300000000001</v>
          </cell>
          <cell r="DK30">
            <v>-55.091999999999999</v>
          </cell>
          <cell r="DL30">
            <v>-34</v>
          </cell>
          <cell r="DM30">
            <v>72</v>
          </cell>
          <cell r="DN30">
            <v>-31</v>
          </cell>
          <cell r="DO30">
            <v>12</v>
          </cell>
          <cell r="DP30">
            <v>-58</v>
          </cell>
          <cell r="DQ30">
            <v>49</v>
          </cell>
          <cell r="DR30">
            <v>-7</v>
          </cell>
          <cell r="DS30">
            <v>20</v>
          </cell>
          <cell r="DT30">
            <v>-25.96683235259772</v>
          </cell>
          <cell r="DU30">
            <v>8.1265376283634509</v>
          </cell>
          <cell r="DV30">
            <v>12.677091104818288</v>
          </cell>
          <cell r="DW30">
            <v>10.766380775582604</v>
          </cell>
          <cell r="DX30">
            <v>10.972802928225065</v>
          </cell>
          <cell r="DY30">
            <v>49</v>
          </cell>
          <cell r="DZ30">
            <v>0</v>
          </cell>
          <cell r="EA30">
            <v>20</v>
          </cell>
          <cell r="EB30">
            <v>-35</v>
          </cell>
          <cell r="EC30">
            <v>-17.635000178968824</v>
          </cell>
          <cell r="ED30">
            <v>11.269531980697309</v>
          </cell>
          <cell r="EE30">
            <v>8.4693235240119975</v>
          </cell>
          <cell r="EF30">
            <v>8.4408319174780786</v>
          </cell>
        </row>
        <row r="31">
          <cell r="A31" t="str">
            <v>Deferred revenue</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38.647999999999996</v>
          </cell>
          <cell r="T31">
            <v>42.792999999999999</v>
          </cell>
          <cell r="U31">
            <v>66.063000000000002</v>
          </cell>
          <cell r="V31">
            <v>42.315000000000019</v>
          </cell>
          <cell r="W31">
            <v>77.924000000000007</v>
          </cell>
          <cell r="X31">
            <v>41.800000000000004</v>
          </cell>
          <cell r="Y31">
            <v>76.762</v>
          </cell>
          <cell r="Z31">
            <v>67.975000000000009</v>
          </cell>
          <cell r="AA31">
            <v>20.682000000000002</v>
          </cell>
          <cell r="AB31">
            <v>110.99000000000001</v>
          </cell>
          <cell r="AC31">
            <v>135.661</v>
          </cell>
          <cell r="AD31">
            <v>179.64500000000004</v>
          </cell>
          <cell r="AE31">
            <v>100.908</v>
          </cell>
          <cell r="AF31">
            <v>77.551999999999992</v>
          </cell>
          <cell r="AG31">
            <v>85.242999999999995</v>
          </cell>
          <cell r="AH31">
            <v>183.94900000000001</v>
          </cell>
          <cell r="AI31">
            <v>-12.423000000000002</v>
          </cell>
          <cell r="AJ31">
            <v>66.373999999999995</v>
          </cell>
          <cell r="AK31">
            <v>363.279</v>
          </cell>
          <cell r="AL31">
            <v>272.245</v>
          </cell>
          <cell r="AM31">
            <v>2.7410000000000001</v>
          </cell>
          <cell r="AN31">
            <v>24.972999999999999</v>
          </cell>
          <cell r="AO31">
            <v>201.69499999999996</v>
          </cell>
          <cell r="AP31">
            <v>170.10800000000003</v>
          </cell>
          <cell r="AQ31">
            <v>-110.004</v>
          </cell>
          <cell r="AR31">
            <v>-119.009</v>
          </cell>
          <cell r="AS31">
            <v>238.47900000000001</v>
          </cell>
          <cell r="AT31">
            <v>117.25</v>
          </cell>
          <cell r="AU31">
            <v>-70.266000000000005</v>
          </cell>
          <cell r="AV31">
            <v>-158.36600000000001</v>
          </cell>
          <cell r="AW31">
            <v>179.626</v>
          </cell>
          <cell r="AX31">
            <v>189.73400000000001</v>
          </cell>
          <cell r="AY31">
            <v>-142</v>
          </cell>
          <cell r="AZ31">
            <v>-117</v>
          </cell>
          <cell r="BA31">
            <v>164</v>
          </cell>
          <cell r="BB31">
            <v>209</v>
          </cell>
          <cell r="BC31">
            <v>-177</v>
          </cell>
          <cell r="BD31">
            <v>-61</v>
          </cell>
          <cell r="BE31">
            <v>322</v>
          </cell>
          <cell r="BF31">
            <v>358</v>
          </cell>
          <cell r="BG31">
            <v>-182</v>
          </cell>
          <cell r="BH31">
            <v>-164</v>
          </cell>
          <cell r="BI31">
            <v>238</v>
          </cell>
          <cell r="BJ31">
            <v>285</v>
          </cell>
          <cell r="BK31">
            <v>-187</v>
          </cell>
          <cell r="BL31">
            <v>-152</v>
          </cell>
          <cell r="BM31">
            <v>189</v>
          </cell>
          <cell r="BN31">
            <v>269</v>
          </cell>
          <cell r="BO31">
            <v>-199</v>
          </cell>
          <cell r="BP31">
            <v>-357</v>
          </cell>
          <cell r="BQ31">
            <v>86</v>
          </cell>
          <cell r="BR31">
            <v>247</v>
          </cell>
          <cell r="BS31">
            <v>-185</v>
          </cell>
          <cell r="BT31">
            <v>-189</v>
          </cell>
          <cell r="BU31">
            <v>142</v>
          </cell>
          <cell r="BV31">
            <v>251</v>
          </cell>
          <cell r="BW31">
            <v>-111</v>
          </cell>
          <cell r="BX31">
            <v>-96</v>
          </cell>
          <cell r="BY31">
            <v>32</v>
          </cell>
          <cell r="BZ31">
            <v>195</v>
          </cell>
          <cell r="CA31">
            <v>-139</v>
          </cell>
          <cell r="CB31">
            <v>-74</v>
          </cell>
          <cell r="CC31">
            <v>142</v>
          </cell>
          <cell r="CD31">
            <v>196</v>
          </cell>
          <cell r="CE31">
            <v>-21</v>
          </cell>
          <cell r="CF31">
            <v>-6</v>
          </cell>
          <cell r="CG31">
            <v>214</v>
          </cell>
          <cell r="CH31">
            <v>-103.70567748416829</v>
          </cell>
          <cell r="CI31">
            <v>-42.787353029882865</v>
          </cell>
          <cell r="CJ31">
            <v>-82.885256013948151</v>
          </cell>
          <cell r="CK31">
            <v>76.107395914361632</v>
          </cell>
          <cell r="CL31">
            <v>173.78651780795531</v>
          </cell>
          <cell r="CM31">
            <v>-46.00921949129372</v>
          </cell>
          <cell r="CN31">
            <v>-92.519472670774917</v>
          </cell>
          <cell r="CO31">
            <v>76.983856815594322</v>
          </cell>
          <cell r="CP31">
            <v>176.18288403169697</v>
          </cell>
          <cell r="CQ31">
            <v>-55.702345760646949</v>
          </cell>
          <cell r="CR31">
            <v>-102.26254947123903</v>
          </cell>
          <cell r="CS31">
            <v>76.850881751554084</v>
          </cell>
          <cell r="CT31">
            <v>182.89622920549971</v>
          </cell>
          <cell r="CU31">
            <v>-58.163738784196312</v>
          </cell>
          <cell r="CV31">
            <v>-107.15080754032908</v>
          </cell>
          <cell r="CW31">
            <v>79.892783155988809</v>
          </cell>
          <cell r="CX31">
            <v>191.06602087212707</v>
          </cell>
          <cell r="CY31">
            <v>0</v>
          </cell>
          <cell r="CZ31">
            <v>0</v>
          </cell>
          <cell r="DA31">
            <v>0</v>
          </cell>
          <cell r="DB31">
            <v>0</v>
          </cell>
          <cell r="DC31">
            <v>0</v>
          </cell>
          <cell r="DD31">
            <v>189.81900000000005</v>
          </cell>
          <cell r="DE31">
            <v>264.46100000000001</v>
          </cell>
          <cell r="DF31">
            <v>446.97800000000007</v>
          </cell>
          <cell r="DG31">
            <v>447.65199999999999</v>
          </cell>
          <cell r="DH31">
            <v>689.47500000000002</v>
          </cell>
          <cell r="DI31">
            <v>399.517</v>
          </cell>
          <cell r="DJ31">
            <v>126.71600000000001</v>
          </cell>
          <cell r="DK31">
            <v>140.72800000000001</v>
          </cell>
          <cell r="DL31">
            <v>114</v>
          </cell>
          <cell r="DM31">
            <v>442</v>
          </cell>
          <cell r="DN31">
            <v>177</v>
          </cell>
          <cell r="DO31">
            <v>119</v>
          </cell>
          <cell r="DP31">
            <v>-223</v>
          </cell>
          <cell r="DQ31">
            <v>19</v>
          </cell>
          <cell r="DR31">
            <v>20</v>
          </cell>
          <cell r="DS31">
            <v>125</v>
          </cell>
          <cell r="DT31">
            <v>83.294322515831709</v>
          </cell>
          <cell r="DU31">
            <v>124.22130467848592</v>
          </cell>
          <cell r="DV31">
            <v>114.63804868522266</v>
          </cell>
          <cell r="DW31">
            <v>101.78221572516782</v>
          </cell>
          <cell r="DX31">
            <v>105.64425770359048</v>
          </cell>
          <cell r="DY31">
            <v>19</v>
          </cell>
          <cell r="DZ31">
            <v>0</v>
          </cell>
          <cell r="EA31">
            <v>125</v>
          </cell>
          <cell r="EB31">
            <v>529</v>
          </cell>
          <cell r="EC31">
            <v>328.74340149253635</v>
          </cell>
          <cell r="ED31">
            <v>135.89671793688308</v>
          </cell>
          <cell r="EE31">
            <v>107.82165160845045</v>
          </cell>
          <cell r="EF31">
            <v>106.62065686440405</v>
          </cell>
        </row>
        <row r="32">
          <cell r="A32" t="str">
            <v>Other accrued expenses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-30.02</v>
          </cell>
          <cell r="T32">
            <v>-5.7020000000000008</v>
          </cell>
          <cell r="U32">
            <v>21.524000000000001</v>
          </cell>
          <cell r="V32">
            <v>10.186999999999998</v>
          </cell>
          <cell r="W32">
            <v>9.999999999999995E-3</v>
          </cell>
          <cell r="X32">
            <v>-8.891</v>
          </cell>
          <cell r="Y32">
            <v>-4.5889999999999995</v>
          </cell>
          <cell r="Z32">
            <v>108.91099999999999</v>
          </cell>
          <cell r="AA32">
            <v>6.2890000000000006</v>
          </cell>
          <cell r="AB32">
            <v>-9.2609999999999992</v>
          </cell>
          <cell r="AC32">
            <v>-17.666999999999998</v>
          </cell>
          <cell r="AD32">
            <v>5.4</v>
          </cell>
          <cell r="AE32">
            <v>-18.638000000000002</v>
          </cell>
          <cell r="AF32">
            <v>6.0690000000000017</v>
          </cell>
          <cell r="AG32">
            <v>-19.394000000000005</v>
          </cell>
          <cell r="AH32">
            <v>-3.6420000000000021</v>
          </cell>
          <cell r="AI32">
            <v>-9.4809999999999999</v>
          </cell>
          <cell r="AJ32">
            <v>-12.907999999999987</v>
          </cell>
          <cell r="AK32">
            <v>-98.229000000000013</v>
          </cell>
          <cell r="AL32">
            <v>-12.668999999999993</v>
          </cell>
          <cell r="AM32">
            <v>-10.763</v>
          </cell>
          <cell r="AN32">
            <v>10.763</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-7.2814230060682803</v>
          </cell>
          <cell r="CI32">
            <v>4.9565354878365042</v>
          </cell>
          <cell r="CJ32">
            <v>3.6552803315784672</v>
          </cell>
          <cell r="CK32">
            <v>3.0481732125446115</v>
          </cell>
          <cell r="CL32">
            <v>0.45154558821036517</v>
          </cell>
          <cell r="CM32">
            <v>9.1125298306873788</v>
          </cell>
          <cell r="CN32">
            <v>6.2508452121921891</v>
          </cell>
          <cell r="CO32">
            <v>3.1705089573999317</v>
          </cell>
          <cell r="CP32">
            <v>0.35965157668863412</v>
          </cell>
          <cell r="CQ32">
            <v>7.8963797661966737</v>
          </cell>
          <cell r="CR32">
            <v>5.8501083608103386</v>
          </cell>
          <cell r="CS32">
            <v>2.6416030897586893</v>
          </cell>
          <cell r="CT32">
            <v>-0.34221787431243911</v>
          </cell>
          <cell r="CU32">
            <v>7.9601074689473421</v>
          </cell>
          <cell r="CV32">
            <v>6.1413191163186411</v>
          </cell>
          <cell r="CW32">
            <v>2.7199259984592459</v>
          </cell>
          <cell r="CX32">
            <v>-0.46783419458279241</v>
          </cell>
          <cell r="CY32">
            <v>0</v>
          </cell>
          <cell r="CZ32">
            <v>0</v>
          </cell>
          <cell r="DA32">
            <v>0</v>
          </cell>
          <cell r="DB32">
            <v>0</v>
          </cell>
          <cell r="DC32">
            <v>0</v>
          </cell>
          <cell r="DD32">
            <v>-4.0110000000000028</v>
          </cell>
          <cell r="DE32">
            <v>95.440999999999988</v>
          </cell>
          <cell r="DF32">
            <v>-15.238999999999995</v>
          </cell>
          <cell r="DG32">
            <v>-35.605000000000004</v>
          </cell>
          <cell r="DH32">
            <v>-133.28699999999998</v>
          </cell>
          <cell r="DI32">
            <v>0</v>
          </cell>
          <cell r="DJ32">
            <v>0</v>
          </cell>
          <cell r="DK32">
            <v>0</v>
          </cell>
          <cell r="DL32">
            <v>0</v>
          </cell>
          <cell r="DM32">
            <v>0</v>
          </cell>
          <cell r="DN32">
            <v>0</v>
          </cell>
          <cell r="DO32">
            <v>0</v>
          </cell>
          <cell r="DP32">
            <v>0</v>
          </cell>
          <cell r="DQ32">
            <v>0</v>
          </cell>
          <cell r="DR32">
            <v>0</v>
          </cell>
          <cell r="DS32">
            <v>0</v>
          </cell>
          <cell r="DT32">
            <v>-7.2814230060682803</v>
          </cell>
          <cell r="DU32">
            <v>12.111534620169948</v>
          </cell>
          <cell r="DV32">
            <v>18.893535576968134</v>
          </cell>
          <cell r="DW32">
            <v>16.045873342453262</v>
          </cell>
          <cell r="DX32">
            <v>16.353518389142437</v>
          </cell>
          <cell r="DY32">
            <v>0</v>
          </cell>
          <cell r="DZ32">
            <v>0</v>
          </cell>
          <cell r="EA32">
            <v>0</v>
          </cell>
          <cell r="EB32">
            <v>0</v>
          </cell>
          <cell r="EC32">
            <v>-39.790631723634192</v>
          </cell>
          <cell r="ED32">
            <v>15.307637269718214</v>
          </cell>
          <cell r="EE32">
            <v>11.504056481451642</v>
          </cell>
          <cell r="EF32">
            <v>11.465355745804402</v>
          </cell>
        </row>
        <row r="33">
          <cell r="A33" t="str">
            <v>Income taxes payable</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-16.937999999999999</v>
          </cell>
          <cell r="T33">
            <v>-4.3409999999999984</v>
          </cell>
          <cell r="U33">
            <v>20.971</v>
          </cell>
          <cell r="V33">
            <v>-12.902000000000001</v>
          </cell>
          <cell r="W33">
            <v>32.216000000000001</v>
          </cell>
          <cell r="X33">
            <v>3.8169999999999984</v>
          </cell>
          <cell r="Y33">
            <v>30.987000000000002</v>
          </cell>
          <cell r="Z33">
            <v>11.710000000000003</v>
          </cell>
          <cell r="AA33">
            <v>34.268000000000001</v>
          </cell>
          <cell r="AB33">
            <v>23.477999999999998</v>
          </cell>
          <cell r="AC33">
            <v>49.756</v>
          </cell>
          <cell r="AD33">
            <v>-21.950000000000006</v>
          </cell>
          <cell r="AE33">
            <v>55.019000000000005</v>
          </cell>
          <cell r="AF33">
            <v>-24.911000000000005</v>
          </cell>
          <cell r="AG33">
            <v>24.382999999999999</v>
          </cell>
          <cell r="AH33">
            <v>-2.7959999999999976</v>
          </cell>
          <cell r="AI33">
            <v>37.872</v>
          </cell>
          <cell r="AJ33">
            <v>-18.21</v>
          </cell>
          <cell r="AK33">
            <v>50.679000000000002</v>
          </cell>
          <cell r="AL33">
            <v>-58.792000000000002</v>
          </cell>
          <cell r="AM33">
            <v>-58.704999999999998</v>
          </cell>
          <cell r="AN33">
            <v>-96.402000000000001</v>
          </cell>
          <cell r="AO33">
            <v>72.983000000000004</v>
          </cell>
          <cell r="AP33">
            <v>-99.802000000000007</v>
          </cell>
          <cell r="AQ33">
            <v>19.391999999999999</v>
          </cell>
          <cell r="AR33">
            <v>112.04400000000001</v>
          </cell>
          <cell r="AS33">
            <v>84.025999999999996</v>
          </cell>
          <cell r="AT33">
            <v>-64.543000000000006</v>
          </cell>
          <cell r="AU33">
            <v>-30.591999999999999</v>
          </cell>
          <cell r="AV33">
            <v>-20.885000000000002</v>
          </cell>
          <cell r="AW33">
            <v>33.908000000000001</v>
          </cell>
          <cell r="AX33">
            <v>-11.132999999999999</v>
          </cell>
          <cell r="AY33">
            <v>-19</v>
          </cell>
          <cell r="AZ33">
            <v>3</v>
          </cell>
          <cell r="BA33">
            <v>-102</v>
          </cell>
          <cell r="BB33">
            <v>10</v>
          </cell>
          <cell r="BC33">
            <v>-76</v>
          </cell>
          <cell r="BD33">
            <v>-3</v>
          </cell>
          <cell r="BE33">
            <v>-10</v>
          </cell>
          <cell r="BF33">
            <v>-35</v>
          </cell>
          <cell r="BG33">
            <v>22</v>
          </cell>
          <cell r="BH33">
            <v>51</v>
          </cell>
          <cell r="BI33">
            <v>-70</v>
          </cell>
          <cell r="BJ33">
            <v>36</v>
          </cell>
          <cell r="BK33">
            <v>20</v>
          </cell>
          <cell r="BL33">
            <v>22</v>
          </cell>
          <cell r="BM33">
            <v>-3</v>
          </cell>
          <cell r="BN33">
            <v>-70</v>
          </cell>
          <cell r="BO33">
            <v>-9</v>
          </cell>
          <cell r="BP33">
            <v>-63</v>
          </cell>
          <cell r="BQ33">
            <v>102</v>
          </cell>
          <cell r="BR33">
            <v>-23.2</v>
          </cell>
          <cell r="BS33">
            <v>-148</v>
          </cell>
          <cell r="BT33">
            <v>47</v>
          </cell>
          <cell r="BU33">
            <v>7</v>
          </cell>
          <cell r="BV33">
            <v>-97</v>
          </cell>
          <cell r="BW33">
            <v>-47</v>
          </cell>
          <cell r="BX33">
            <v>1</v>
          </cell>
          <cell r="BY33">
            <v>-48</v>
          </cell>
          <cell r="BZ33">
            <v>787</v>
          </cell>
          <cell r="CA33">
            <v>160</v>
          </cell>
          <cell r="CB33">
            <v>99</v>
          </cell>
          <cell r="CC33">
            <v>-140</v>
          </cell>
          <cell r="CD33">
            <v>77</v>
          </cell>
          <cell r="CE33">
            <v>40</v>
          </cell>
          <cell r="CF33">
            <v>-45</v>
          </cell>
          <cell r="CG33">
            <v>950</v>
          </cell>
          <cell r="CH33">
            <v>-7.5</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-13.209999999999997</v>
          </cell>
          <cell r="DE33">
            <v>78.730000000000018</v>
          </cell>
          <cell r="DF33">
            <v>85.551999999999992</v>
          </cell>
          <cell r="DG33">
            <v>51.695</v>
          </cell>
          <cell r="DH33">
            <v>11.549000000000007</v>
          </cell>
          <cell r="DI33">
            <v>-181.92599999999999</v>
          </cell>
          <cell r="DJ33">
            <v>150.91899999999998</v>
          </cell>
          <cell r="DK33">
            <v>-28.702000000000002</v>
          </cell>
          <cell r="DL33">
            <v>-108</v>
          </cell>
          <cell r="DM33">
            <v>-124</v>
          </cell>
          <cell r="DN33">
            <v>39</v>
          </cell>
          <cell r="DO33">
            <v>-31</v>
          </cell>
          <cell r="DP33">
            <v>6.8000000000000007</v>
          </cell>
          <cell r="DQ33">
            <v>-191</v>
          </cell>
          <cell r="DR33">
            <v>693</v>
          </cell>
          <cell r="DS33">
            <v>196</v>
          </cell>
          <cell r="DT33">
            <v>937.5</v>
          </cell>
          <cell r="DU33">
            <v>0</v>
          </cell>
          <cell r="DV33">
            <v>0</v>
          </cell>
          <cell r="DW33">
            <v>0</v>
          </cell>
          <cell r="DX33">
            <v>0</v>
          </cell>
          <cell r="DY33">
            <v>-191</v>
          </cell>
          <cell r="DZ33">
            <v>0</v>
          </cell>
          <cell r="EA33">
            <v>196</v>
          </cell>
          <cell r="EB33">
            <v>777</v>
          </cell>
          <cell r="EC33">
            <v>0</v>
          </cell>
          <cell r="ED33">
            <v>0</v>
          </cell>
          <cell r="EE33">
            <v>0</v>
          </cell>
          <cell r="EF33">
            <v>0</v>
          </cell>
        </row>
        <row r="34">
          <cell r="A34" t="str">
            <v>Other operating assets and liabilities</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6.9739999999999984</v>
          </cell>
          <cell r="T34">
            <v>22.828000000000003</v>
          </cell>
          <cell r="U34">
            <v>-3.5340000000000007</v>
          </cell>
          <cell r="V34">
            <v>65.85499999999999</v>
          </cell>
          <cell r="W34">
            <v>5.6659999999999995</v>
          </cell>
          <cell r="X34">
            <v>9.4920000000000009</v>
          </cell>
          <cell r="Y34">
            <v>-3.4189999999999996</v>
          </cell>
          <cell r="Z34">
            <v>17.161999999999999</v>
          </cell>
          <cell r="AA34">
            <v>-14.804000000000002</v>
          </cell>
          <cell r="AB34">
            <v>-1.3250000000000011</v>
          </cell>
          <cell r="AC34">
            <v>-18.396000000000001</v>
          </cell>
          <cell r="AD34">
            <v>-30.204000000000001</v>
          </cell>
          <cell r="AE34">
            <v>-42.825000000000003</v>
          </cell>
          <cell r="AF34">
            <v>5.9260000000000002</v>
          </cell>
          <cell r="AG34">
            <v>3.4089999999999998</v>
          </cell>
          <cell r="AH34">
            <v>-13.323</v>
          </cell>
          <cell r="AI34">
            <v>-22.24</v>
          </cell>
          <cell r="AJ34">
            <v>-59.384000000000007</v>
          </cell>
          <cell r="AK34">
            <v>53.39</v>
          </cell>
          <cell r="AL34">
            <v>-36.569999999999993</v>
          </cell>
          <cell r="AM34">
            <v>13.946</v>
          </cell>
          <cell r="AN34">
            <v>-28.663000000000004</v>
          </cell>
          <cell r="AO34">
            <v>-14.697999999999995</v>
          </cell>
          <cell r="AP34">
            <v>54.204000000000008</v>
          </cell>
          <cell r="AQ34">
            <v>-28.212</v>
          </cell>
          <cell r="AR34">
            <v>37.093000000000004</v>
          </cell>
          <cell r="AS34">
            <v>51.161000000000001</v>
          </cell>
          <cell r="AT34">
            <v>64.387</v>
          </cell>
          <cell r="AU34">
            <v>29.731000000000002</v>
          </cell>
          <cell r="AV34">
            <v>4.1129999999999995</v>
          </cell>
          <cell r="AW34">
            <v>-3.7330000000000001</v>
          </cell>
          <cell r="AX34">
            <v>7.0809999999999995</v>
          </cell>
          <cell r="AY34">
            <v>-21</v>
          </cell>
          <cell r="AZ34">
            <v>21</v>
          </cell>
          <cell r="BA34">
            <v>27</v>
          </cell>
          <cell r="BB34">
            <v>14</v>
          </cell>
          <cell r="BC34">
            <v>-41</v>
          </cell>
          <cell r="BD34">
            <v>21</v>
          </cell>
          <cell r="BE34">
            <v>11</v>
          </cell>
          <cell r="BF34">
            <v>-56</v>
          </cell>
          <cell r="BG34">
            <v>-8</v>
          </cell>
          <cell r="BH34">
            <v>6</v>
          </cell>
          <cell r="BI34">
            <v>23</v>
          </cell>
          <cell r="BJ34">
            <v>12</v>
          </cell>
          <cell r="BK34">
            <v>-70</v>
          </cell>
          <cell r="BL34">
            <v>-3</v>
          </cell>
          <cell r="BM34">
            <v>20</v>
          </cell>
          <cell r="BN34">
            <v>-54</v>
          </cell>
          <cell r="BO34">
            <v>22</v>
          </cell>
          <cell r="BP34">
            <v>54</v>
          </cell>
          <cell r="BQ34">
            <v>3</v>
          </cell>
          <cell r="BR34">
            <v>-73.400000000000006</v>
          </cell>
          <cell r="BS34">
            <v>-8</v>
          </cell>
          <cell r="BT34">
            <v>-18</v>
          </cell>
          <cell r="BU34">
            <v>26</v>
          </cell>
          <cell r="BV34">
            <v>74</v>
          </cell>
          <cell r="BW34">
            <v>-7</v>
          </cell>
          <cell r="BX34">
            <v>24</v>
          </cell>
          <cell r="BY34">
            <v>-104</v>
          </cell>
          <cell r="BZ34">
            <v>135</v>
          </cell>
          <cell r="CA34">
            <v>-37</v>
          </cell>
          <cell r="CB34">
            <v>-8</v>
          </cell>
          <cell r="CC34">
            <v>1</v>
          </cell>
          <cell r="CD34">
            <v>71</v>
          </cell>
          <cell r="CE34">
            <v>-36</v>
          </cell>
          <cell r="CF34">
            <v>41</v>
          </cell>
          <cell r="CG34">
            <v>-93</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0</v>
          </cell>
          <cell r="CW34">
            <v>0</v>
          </cell>
          <cell r="CX34">
            <v>0</v>
          </cell>
          <cell r="CY34">
            <v>0</v>
          </cell>
          <cell r="CZ34">
            <v>0</v>
          </cell>
          <cell r="DA34">
            <v>0</v>
          </cell>
          <cell r="DB34">
            <v>0</v>
          </cell>
          <cell r="DC34">
            <v>0</v>
          </cell>
          <cell r="DD34">
            <v>92.12299999999999</v>
          </cell>
          <cell r="DE34">
            <v>28.901</v>
          </cell>
          <cell r="DF34">
            <v>-64.729000000000013</v>
          </cell>
          <cell r="DG34">
            <v>-46.813000000000002</v>
          </cell>
          <cell r="DH34">
            <v>-64.804000000000002</v>
          </cell>
          <cell r="DI34">
            <v>24.789000000000009</v>
          </cell>
          <cell r="DJ34">
            <v>124.429</v>
          </cell>
          <cell r="DK34">
            <v>37.192</v>
          </cell>
          <cell r="DL34">
            <v>41</v>
          </cell>
          <cell r="DM34">
            <v>-65</v>
          </cell>
          <cell r="DN34">
            <v>33</v>
          </cell>
          <cell r="DO34">
            <v>-107</v>
          </cell>
          <cell r="DP34">
            <v>5.5999999999999943</v>
          </cell>
          <cell r="DQ34">
            <v>74</v>
          </cell>
          <cell r="DR34">
            <v>48</v>
          </cell>
          <cell r="DS34">
            <v>27</v>
          </cell>
          <cell r="DT34">
            <v>-88</v>
          </cell>
          <cell r="DU34">
            <v>0</v>
          </cell>
          <cell r="DV34">
            <v>0</v>
          </cell>
          <cell r="DW34">
            <v>0</v>
          </cell>
          <cell r="DX34">
            <v>0</v>
          </cell>
          <cell r="DY34">
            <v>74</v>
          </cell>
          <cell r="DZ34">
            <v>0</v>
          </cell>
          <cell r="EA34">
            <v>27</v>
          </cell>
          <cell r="EB34">
            <v>-211</v>
          </cell>
          <cell r="EC34">
            <v>0</v>
          </cell>
          <cell r="ED34">
            <v>0</v>
          </cell>
          <cell r="EE34">
            <v>0</v>
          </cell>
          <cell r="EF34">
            <v>0</v>
          </cell>
        </row>
        <row r="35">
          <cell r="A35" t="str">
            <v>Other current assets</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0.434</v>
          </cell>
          <cell r="T35">
            <v>8.6189999999999998</v>
          </cell>
          <cell r="U35">
            <v>1.6709999999999998</v>
          </cell>
          <cell r="V35">
            <v>36.991999999999997</v>
          </cell>
          <cell r="W35">
            <v>3.0449999999999999</v>
          </cell>
          <cell r="X35">
            <v>3.7880000000000003</v>
          </cell>
          <cell r="Y35">
            <v>1.1460000000000004</v>
          </cell>
          <cell r="Z35">
            <v>1.9819999999999998</v>
          </cell>
          <cell r="AA35">
            <v>0.27700000000000014</v>
          </cell>
          <cell r="AB35">
            <v>-10.123000000000001</v>
          </cell>
          <cell r="AC35">
            <v>-8.8269999999999982</v>
          </cell>
          <cell r="AD35">
            <v>-24.977</v>
          </cell>
          <cell r="AE35">
            <v>-28.273000000000003</v>
          </cell>
          <cell r="AF35">
            <v>0.53100000000000058</v>
          </cell>
          <cell r="AG35">
            <v>13.115</v>
          </cell>
          <cell r="AH35">
            <v>-8.8660000000000014</v>
          </cell>
          <cell r="AI35">
            <v>2.7560000000000002</v>
          </cell>
          <cell r="AJ35">
            <v>-50.773000000000003</v>
          </cell>
          <cell r="AK35">
            <v>55.822000000000003</v>
          </cell>
          <cell r="AL35">
            <v>-24.738999999999997</v>
          </cell>
          <cell r="AM35">
            <v>6.7210000000000001</v>
          </cell>
          <cell r="AN35">
            <v>-21.438000000000002</v>
          </cell>
          <cell r="AO35">
            <v>-19.939999999999998</v>
          </cell>
          <cell r="AP35">
            <v>1.0970000000000084</v>
          </cell>
          <cell r="AQ35">
            <v>6.7210000000000001</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47.715999999999994</v>
          </cell>
          <cell r="DE35">
            <v>9.9610000000000003</v>
          </cell>
          <cell r="DF35">
            <v>-43.65</v>
          </cell>
          <cell r="DG35">
            <v>-23.493000000000006</v>
          </cell>
          <cell r="DH35">
            <v>-16.933999999999997</v>
          </cell>
          <cell r="DI35">
            <v>-33.559999999999988</v>
          </cell>
          <cell r="DJ35">
            <v>6.7210000000000001</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row>
        <row r="36">
          <cell r="A36" t="str">
            <v>Other assets</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-1.7290000000000001</v>
          </cell>
          <cell r="T36">
            <v>1.1070000000000002</v>
          </cell>
          <cell r="U36">
            <v>-0.35300000000000009</v>
          </cell>
          <cell r="V36">
            <v>1.149</v>
          </cell>
          <cell r="W36">
            <v>0.44800000000000001</v>
          </cell>
          <cell r="X36">
            <v>0.19700000000000001</v>
          </cell>
          <cell r="Y36">
            <v>-0.53600000000000003</v>
          </cell>
          <cell r="Z36">
            <v>-0.17399999999999993</v>
          </cell>
          <cell r="AA36">
            <v>-2.2850000000000001</v>
          </cell>
          <cell r="AB36">
            <v>0.34400000000000008</v>
          </cell>
          <cell r="AC36">
            <v>0.35600000000000009</v>
          </cell>
          <cell r="AD36">
            <v>-6.0000000000000053E-3</v>
          </cell>
          <cell r="AE36">
            <v>0.47699999999999998</v>
          </cell>
          <cell r="AF36">
            <v>1.1920000000000002</v>
          </cell>
          <cell r="AG36">
            <v>-1.7360000000000002</v>
          </cell>
          <cell r="AH36">
            <v>-5.75</v>
          </cell>
          <cell r="AI36">
            <v>-0.59299999999999997</v>
          </cell>
          <cell r="AJ36">
            <v>5.1929999999999996</v>
          </cell>
          <cell r="AK36">
            <v>2.0970000000000004</v>
          </cell>
          <cell r="AL36">
            <v>-0.37699999999999978</v>
          </cell>
          <cell r="AM36">
            <v>6.1760000000000002</v>
          </cell>
          <cell r="AN36">
            <v>-6.1760000000000002</v>
          </cell>
          <cell r="AO36">
            <v>0</v>
          </cell>
          <cell r="AP36">
            <v>0</v>
          </cell>
          <cell r="AQ36">
            <v>6.1760000000000002</v>
          </cell>
          <cell r="AR36">
            <v>0</v>
          </cell>
          <cell r="AS36">
            <v>0</v>
          </cell>
          <cell r="AT36">
            <v>0</v>
          </cell>
          <cell r="AU36">
            <v>0</v>
          </cell>
          <cell r="AV36">
            <v>0</v>
          </cell>
          <cell r="AW36">
            <v>-4.931</v>
          </cell>
          <cell r="AX36">
            <v>-1.4350000000000001</v>
          </cell>
          <cell r="AY36">
            <v>-22</v>
          </cell>
          <cell r="AZ36">
            <v>14</v>
          </cell>
          <cell r="BA36">
            <v>12</v>
          </cell>
          <cell r="BB36">
            <v>-3</v>
          </cell>
          <cell r="BC36">
            <v>0</v>
          </cell>
          <cell r="BD36">
            <v>0</v>
          </cell>
          <cell r="BE36">
            <v>0</v>
          </cell>
          <cell r="BF36">
            <v>0</v>
          </cell>
          <cell r="BG36">
            <v>-10</v>
          </cell>
          <cell r="BH36">
            <v>7</v>
          </cell>
          <cell r="BI36">
            <v>-6</v>
          </cell>
          <cell r="BJ36">
            <v>-5</v>
          </cell>
          <cell r="BK36">
            <v>-27</v>
          </cell>
          <cell r="BL36">
            <v>3</v>
          </cell>
          <cell r="BM36">
            <v>-21</v>
          </cell>
          <cell r="BN36">
            <v>-23</v>
          </cell>
          <cell r="BO36">
            <v>1</v>
          </cell>
          <cell r="BP36">
            <v>30</v>
          </cell>
          <cell r="BQ36">
            <v>-1</v>
          </cell>
          <cell r="BR36">
            <v>-51.2</v>
          </cell>
          <cell r="BS36">
            <v>14</v>
          </cell>
          <cell r="BT36">
            <v>16</v>
          </cell>
          <cell r="BU36">
            <v>-8</v>
          </cell>
          <cell r="BV36">
            <v>-1</v>
          </cell>
          <cell r="BW36">
            <v>17</v>
          </cell>
          <cell r="BX36">
            <v>30</v>
          </cell>
          <cell r="BY36">
            <v>-86</v>
          </cell>
          <cell r="BZ36">
            <v>36</v>
          </cell>
          <cell r="CA36">
            <v>-2</v>
          </cell>
          <cell r="CB36">
            <v>8</v>
          </cell>
          <cell r="CC36">
            <v>10</v>
          </cell>
          <cell r="CD36">
            <v>101</v>
          </cell>
          <cell r="CE36">
            <v>3</v>
          </cell>
          <cell r="CF36">
            <v>23</v>
          </cell>
          <cell r="CG36">
            <v>-29</v>
          </cell>
          <cell r="CH36">
            <v>0</v>
          </cell>
          <cell r="CI36">
            <v>0</v>
          </cell>
          <cell r="CJ36">
            <v>0</v>
          </cell>
          <cell r="CK36">
            <v>0</v>
          </cell>
          <cell r="CL36">
            <v>0</v>
          </cell>
          <cell r="CM36">
            <v>0</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0.17400000000000004</v>
          </cell>
          <cell r="DE36">
            <v>-6.4999999999999947E-2</v>
          </cell>
          <cell r="DF36">
            <v>-1.591</v>
          </cell>
          <cell r="DG36">
            <v>-5.8170000000000002</v>
          </cell>
          <cell r="DH36">
            <v>6.32</v>
          </cell>
          <cell r="DI36">
            <v>0</v>
          </cell>
          <cell r="DJ36">
            <v>6.1760000000000002</v>
          </cell>
          <cell r="DK36">
            <v>-6.3659999999999997</v>
          </cell>
          <cell r="DL36">
            <v>1</v>
          </cell>
          <cell r="DM36">
            <v>0</v>
          </cell>
          <cell r="DN36">
            <v>-14</v>
          </cell>
          <cell r="DO36">
            <v>-68</v>
          </cell>
          <cell r="DP36">
            <v>-21.200000000000003</v>
          </cell>
          <cell r="DQ36">
            <v>21</v>
          </cell>
          <cell r="DR36">
            <v>-3</v>
          </cell>
          <cell r="DS36">
            <v>117</v>
          </cell>
          <cell r="DT36">
            <v>-3</v>
          </cell>
          <cell r="DU36">
            <v>0</v>
          </cell>
          <cell r="DV36">
            <v>0</v>
          </cell>
          <cell r="DW36">
            <v>0</v>
          </cell>
          <cell r="DX36">
            <v>0</v>
          </cell>
          <cell r="DY36">
            <v>21</v>
          </cell>
          <cell r="DZ36">
            <v>0</v>
          </cell>
          <cell r="EA36">
            <v>117</v>
          </cell>
          <cell r="EB36">
            <v>-122</v>
          </cell>
          <cell r="EC36">
            <v>0</v>
          </cell>
          <cell r="ED36">
            <v>0</v>
          </cell>
          <cell r="EE36">
            <v>0</v>
          </cell>
          <cell r="EF36">
            <v>0</v>
          </cell>
        </row>
        <row r="37">
          <cell r="A37" t="str">
            <v>Other long-term obligations</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8.2689999999999984</v>
          </cell>
          <cell r="T37">
            <v>13.102000000000002</v>
          </cell>
          <cell r="U37">
            <v>-4.8520000000000003</v>
          </cell>
          <cell r="V37">
            <v>27.713999999999999</v>
          </cell>
          <cell r="W37">
            <v>2.1729999999999996</v>
          </cell>
          <cell r="X37">
            <v>5.5070000000000006</v>
          </cell>
          <cell r="Y37">
            <v>-4.0289999999999999</v>
          </cell>
          <cell r="Z37">
            <v>15.353999999999999</v>
          </cell>
          <cell r="AA37">
            <v>-12.796000000000001</v>
          </cell>
          <cell r="AB37">
            <v>8.4540000000000006</v>
          </cell>
          <cell r="AC37">
            <v>-9.9250000000000007</v>
          </cell>
          <cell r="AD37">
            <v>-5.2209999999999983</v>
          </cell>
          <cell r="AE37">
            <v>-15.029</v>
          </cell>
          <cell r="AF37">
            <v>4.2029999999999994</v>
          </cell>
          <cell r="AG37">
            <v>-7.97</v>
          </cell>
          <cell r="AH37">
            <v>1.2930000000000001</v>
          </cell>
          <cell r="AI37">
            <v>-24.402999999999999</v>
          </cell>
          <cell r="AJ37">
            <v>-13.804</v>
          </cell>
          <cell r="AK37">
            <v>-4.5290000000000017</v>
          </cell>
          <cell r="AL37">
            <v>-11.453999999999999</v>
          </cell>
          <cell r="AM37">
            <v>1.0489999999999999</v>
          </cell>
          <cell r="AN37">
            <v>-1.0489999999999999</v>
          </cell>
          <cell r="AO37">
            <v>0.64699999999999847</v>
          </cell>
          <cell r="AP37">
            <v>-0.74799999999999756</v>
          </cell>
          <cell r="AQ37">
            <v>1.0489999999999999</v>
          </cell>
          <cell r="AR37">
            <v>0</v>
          </cell>
          <cell r="AS37">
            <v>0</v>
          </cell>
          <cell r="AT37">
            <v>0</v>
          </cell>
          <cell r="AU37">
            <v>0</v>
          </cell>
          <cell r="AV37">
            <v>0</v>
          </cell>
          <cell r="AW37">
            <v>1.198</v>
          </cell>
          <cell r="AX37">
            <v>8.516</v>
          </cell>
          <cell r="AY37">
            <v>1</v>
          </cell>
          <cell r="AZ37">
            <v>7</v>
          </cell>
          <cell r="BA37">
            <v>15</v>
          </cell>
          <cell r="BB37">
            <v>17</v>
          </cell>
          <cell r="BC37">
            <v>-41</v>
          </cell>
          <cell r="BD37">
            <v>21</v>
          </cell>
          <cell r="BE37">
            <v>0</v>
          </cell>
          <cell r="BF37">
            <v>0</v>
          </cell>
          <cell r="BG37">
            <v>2</v>
          </cell>
          <cell r="BH37">
            <v>-1</v>
          </cell>
          <cell r="BI37">
            <v>29</v>
          </cell>
          <cell r="BJ37">
            <v>17</v>
          </cell>
          <cell r="BK37">
            <v>-43</v>
          </cell>
          <cell r="BL37">
            <v>-6</v>
          </cell>
          <cell r="BM37">
            <v>41</v>
          </cell>
          <cell r="BN37">
            <v>-31</v>
          </cell>
          <cell r="BO37">
            <v>21</v>
          </cell>
          <cell r="BP37">
            <v>24</v>
          </cell>
          <cell r="BQ37">
            <v>4</v>
          </cell>
          <cell r="BR37">
            <v>-22.2</v>
          </cell>
          <cell r="BS37">
            <v>-22</v>
          </cell>
          <cell r="BT37">
            <v>-34</v>
          </cell>
          <cell r="BU37">
            <v>34</v>
          </cell>
          <cell r="BV37">
            <v>75</v>
          </cell>
          <cell r="BW37">
            <v>-24</v>
          </cell>
          <cell r="BX37">
            <v>-6</v>
          </cell>
          <cell r="BY37">
            <v>-18</v>
          </cell>
          <cell r="BZ37">
            <v>99</v>
          </cell>
          <cell r="CA37">
            <v>-35</v>
          </cell>
          <cell r="CB37">
            <v>-16</v>
          </cell>
          <cell r="CC37">
            <v>-9</v>
          </cell>
          <cell r="CD37">
            <v>-30</v>
          </cell>
          <cell r="CE37">
            <v>-39</v>
          </cell>
          <cell r="CF37">
            <v>18</v>
          </cell>
          <cell r="CG37">
            <v>-64</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44.233000000000004</v>
          </cell>
          <cell r="DE37">
            <v>19.004999999999999</v>
          </cell>
          <cell r="DF37">
            <v>-19.488</v>
          </cell>
          <cell r="DG37">
            <v>-17.503</v>
          </cell>
          <cell r="DH37">
            <v>-54.190000000000005</v>
          </cell>
          <cell r="DI37">
            <v>-0.10099999999999909</v>
          </cell>
          <cell r="DJ37">
            <v>1.0489999999999999</v>
          </cell>
          <cell r="DK37">
            <v>9.7140000000000004</v>
          </cell>
          <cell r="DL37">
            <v>40</v>
          </cell>
          <cell r="DM37">
            <v>-20</v>
          </cell>
          <cell r="DN37">
            <v>47</v>
          </cell>
          <cell r="DO37">
            <v>-39</v>
          </cell>
          <cell r="DP37">
            <v>26.8</v>
          </cell>
          <cell r="DQ37">
            <v>53</v>
          </cell>
          <cell r="DR37">
            <v>51</v>
          </cell>
          <cell r="DS37">
            <v>-90</v>
          </cell>
          <cell r="DT37">
            <v>-85</v>
          </cell>
          <cell r="DU37">
            <v>0</v>
          </cell>
          <cell r="DV37">
            <v>0</v>
          </cell>
          <cell r="DW37">
            <v>0</v>
          </cell>
          <cell r="DX37">
            <v>0</v>
          </cell>
          <cell r="DY37">
            <v>0</v>
          </cell>
          <cell r="DZ37">
            <v>0</v>
          </cell>
          <cell r="EA37">
            <v>-90</v>
          </cell>
          <cell r="EB37">
            <v>-89</v>
          </cell>
          <cell r="EC37">
            <v>0</v>
          </cell>
          <cell r="ED37">
            <v>0</v>
          </cell>
          <cell r="EE37">
            <v>0</v>
          </cell>
          <cell r="EF37">
            <v>0</v>
          </cell>
        </row>
        <row r="38">
          <cell r="A38" t="str">
            <v>Net cash provided by discontinued operating activities</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241</v>
          </cell>
          <cell r="BX38">
            <v>30</v>
          </cell>
          <cell r="BY38">
            <v>-41</v>
          </cell>
          <cell r="BZ38">
            <v>-890</v>
          </cell>
          <cell r="CA38">
            <v>-30</v>
          </cell>
          <cell r="CB38">
            <v>-123</v>
          </cell>
          <cell r="CC38">
            <v>49</v>
          </cell>
          <cell r="CD38">
            <v>40</v>
          </cell>
          <cell r="CE38">
            <v>-38</v>
          </cell>
          <cell r="CF38">
            <v>7</v>
          </cell>
          <cell r="CG38">
            <v>34</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cell r="DN38">
            <v>0</v>
          </cell>
          <cell r="DO38">
            <v>0</v>
          </cell>
          <cell r="DP38">
            <v>0</v>
          </cell>
          <cell r="DQ38">
            <v>0</v>
          </cell>
          <cell r="DR38">
            <v>-660</v>
          </cell>
          <cell r="DS38">
            <v>-64</v>
          </cell>
          <cell r="DT38">
            <v>3</v>
          </cell>
          <cell r="DU38">
            <v>0</v>
          </cell>
          <cell r="DV38">
            <v>0</v>
          </cell>
          <cell r="DW38">
            <v>0</v>
          </cell>
          <cell r="DX38">
            <v>0</v>
          </cell>
          <cell r="DY38">
            <v>0</v>
          </cell>
          <cell r="DZ38">
            <v>0</v>
          </cell>
          <cell r="EA38">
            <v>-64</v>
          </cell>
          <cell r="EB38">
            <v>-7</v>
          </cell>
          <cell r="EC38">
            <v>0</v>
          </cell>
          <cell r="ED38">
            <v>0</v>
          </cell>
          <cell r="EE38">
            <v>0</v>
          </cell>
          <cell r="EF38">
            <v>0</v>
          </cell>
        </row>
        <row r="39">
          <cell r="A39" t="str">
            <v>Net cash provided by operating activities</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201.95999999999998</v>
          </cell>
          <cell r="T39">
            <v>225.66700000000012</v>
          </cell>
          <cell r="U39">
            <v>309.59500000000008</v>
          </cell>
          <cell r="V39">
            <v>341.21900000000005</v>
          </cell>
          <cell r="W39">
            <v>292.14499999999998</v>
          </cell>
          <cell r="X39">
            <v>240.72900000000013</v>
          </cell>
          <cell r="Y39">
            <v>280.24900000000008</v>
          </cell>
          <cell r="Z39">
            <v>364.69500000000016</v>
          </cell>
          <cell r="AA39">
            <v>317.32200000000006</v>
          </cell>
          <cell r="AB39">
            <v>277.02400000000006</v>
          </cell>
          <cell r="AC39">
            <v>409.81200000000013</v>
          </cell>
          <cell r="AD39">
            <v>593.76799999999969</v>
          </cell>
          <cell r="AE39">
            <v>426.68099999999993</v>
          </cell>
          <cell r="AF39">
            <v>357.67699999999991</v>
          </cell>
          <cell r="AG39">
            <v>488.47100000000006</v>
          </cell>
          <cell r="AH39">
            <v>509.40999999999991</v>
          </cell>
          <cell r="AI39">
            <v>352.69400000000002</v>
          </cell>
          <cell r="AJ39">
            <v>317.3830000000001</v>
          </cell>
          <cell r="AK39">
            <v>375.74499999999989</v>
          </cell>
          <cell r="AL39">
            <v>487.04400000000004</v>
          </cell>
          <cell r="AM39">
            <v>361.40800000000002</v>
          </cell>
          <cell r="AN39">
            <v>267.01599999999974</v>
          </cell>
          <cell r="AO39">
            <v>456.02900000000005</v>
          </cell>
          <cell r="AP39">
            <v>607.31700000000012</v>
          </cell>
          <cell r="AQ39">
            <v>351.30899999999986</v>
          </cell>
          <cell r="AR39">
            <v>330.96799999999996</v>
          </cell>
          <cell r="AS39">
            <v>462.00500000000011</v>
          </cell>
          <cell r="AT39">
            <v>674.37</v>
          </cell>
          <cell r="AU39">
            <v>413.57599999999991</v>
          </cell>
          <cell r="AV39">
            <v>248.29099999999988</v>
          </cell>
          <cell r="AW39">
            <v>401.67399999999958</v>
          </cell>
          <cell r="AX39">
            <v>607.05699999999979</v>
          </cell>
          <cell r="AY39">
            <v>394</v>
          </cell>
          <cell r="AZ39">
            <v>226</v>
          </cell>
          <cell r="BA39">
            <v>392</v>
          </cell>
          <cell r="BB39">
            <v>703</v>
          </cell>
          <cell r="BC39">
            <v>335</v>
          </cell>
          <cell r="BD39">
            <v>310</v>
          </cell>
          <cell r="BE39">
            <v>460</v>
          </cell>
          <cell r="BF39">
            <v>689</v>
          </cell>
          <cell r="BG39">
            <v>503</v>
          </cell>
          <cell r="BH39">
            <v>308</v>
          </cell>
          <cell r="BI39">
            <v>403</v>
          </cell>
          <cell r="BJ39">
            <v>687</v>
          </cell>
          <cell r="BK39">
            <v>340</v>
          </cell>
          <cell r="BL39">
            <v>142</v>
          </cell>
          <cell r="BM39">
            <v>461</v>
          </cell>
          <cell r="BN39">
            <v>601</v>
          </cell>
          <cell r="BO39">
            <v>312</v>
          </cell>
          <cell r="BP39">
            <v>206</v>
          </cell>
          <cell r="BQ39">
            <v>324</v>
          </cell>
          <cell r="BR39">
            <v>455.2</v>
          </cell>
          <cell r="BS39">
            <v>293</v>
          </cell>
          <cell r="BT39">
            <v>173</v>
          </cell>
          <cell r="BU39">
            <v>358</v>
          </cell>
          <cell r="BV39">
            <v>488</v>
          </cell>
          <cell r="BW39">
            <v>300</v>
          </cell>
          <cell r="BX39">
            <v>134</v>
          </cell>
          <cell r="BY39">
            <v>112</v>
          </cell>
          <cell r="BZ39">
            <v>250</v>
          </cell>
          <cell r="CA39">
            <v>330</v>
          </cell>
          <cell r="CB39">
            <v>58</v>
          </cell>
          <cell r="CC39">
            <v>148</v>
          </cell>
          <cell r="CD39">
            <v>355</v>
          </cell>
          <cell r="CE39">
            <v>213</v>
          </cell>
          <cell r="CF39">
            <v>177</v>
          </cell>
          <cell r="CG39">
            <v>294</v>
          </cell>
          <cell r="CH39">
            <v>264.37090339508654</v>
          </cell>
          <cell r="CI39">
            <v>395.25055530383531</v>
          </cell>
          <cell r="CJ39">
            <v>311.22236635015014</v>
          </cell>
          <cell r="CK39">
            <v>307.903297671404</v>
          </cell>
          <cell r="CL39">
            <v>638.88985638857559</v>
          </cell>
          <cell r="CM39">
            <v>503.27630421161388</v>
          </cell>
          <cell r="CN39">
            <v>377.7285946696951</v>
          </cell>
          <cell r="CO39">
            <v>351.62452386566451</v>
          </cell>
          <cell r="CP39">
            <v>681.84683006018099</v>
          </cell>
          <cell r="CQ39">
            <v>524.9251877361628</v>
          </cell>
          <cell r="CR39">
            <v>396.38688803375356</v>
          </cell>
          <cell r="CS39">
            <v>372.86042864048397</v>
          </cell>
          <cell r="CT39">
            <v>714.19194646888548</v>
          </cell>
          <cell r="CU39">
            <v>552.67976053207428</v>
          </cell>
          <cell r="CV39">
            <v>422.79430573535944</v>
          </cell>
          <cell r="CW39">
            <v>397.89677371855612</v>
          </cell>
          <cell r="CX39">
            <v>753.42218700574915</v>
          </cell>
          <cell r="CY39">
            <v>0</v>
          </cell>
          <cell r="CZ39">
            <v>0</v>
          </cell>
          <cell r="DA39">
            <v>0</v>
          </cell>
          <cell r="DB39">
            <v>0</v>
          </cell>
          <cell r="DC39">
            <v>0</v>
          </cell>
          <cell r="DD39">
            <v>1078.4410000000003</v>
          </cell>
          <cell r="DE39">
            <v>1177.818</v>
          </cell>
          <cell r="DF39">
            <v>1597.9259999999997</v>
          </cell>
          <cell r="DG39">
            <v>1782.2389999999994</v>
          </cell>
          <cell r="DH39">
            <v>1532.8660000000002</v>
          </cell>
          <cell r="DI39">
            <v>1691.77</v>
          </cell>
          <cell r="DJ39">
            <v>1818.6519999999996</v>
          </cell>
          <cell r="DK39">
            <v>1670.5979999999995</v>
          </cell>
          <cell r="DL39">
            <v>1715</v>
          </cell>
          <cell r="DM39">
            <v>1794</v>
          </cell>
          <cell r="DN39">
            <v>1901</v>
          </cell>
          <cell r="DO39">
            <v>1544</v>
          </cell>
          <cell r="DP39">
            <v>1297.1999999999998</v>
          </cell>
          <cell r="DQ39">
            <v>1312</v>
          </cell>
          <cell r="DR39">
            <v>796</v>
          </cell>
          <cell r="DS39">
            <v>891</v>
          </cell>
          <cell r="DT39">
            <v>948.37090339508643</v>
          </cell>
          <cell r="DU39">
            <v>1653.2660757139647</v>
          </cell>
          <cell r="DV39">
            <v>1914.4762528071547</v>
          </cell>
          <cell r="DW39">
            <v>2008.3644508792863</v>
          </cell>
          <cell r="DX39">
            <v>2126.7930269917392</v>
          </cell>
          <cell r="DY39">
            <v>1312</v>
          </cell>
          <cell r="DZ39">
            <v>0</v>
          </cell>
          <cell r="EA39">
            <v>891</v>
          </cell>
          <cell r="EB39">
            <v>950</v>
          </cell>
          <cell r="EC39">
            <v>1434.2870031359598</v>
          </cell>
          <cell r="ED39">
            <v>1681.1752766009727</v>
          </cell>
          <cell r="EE39">
            <v>1729.370424652685</v>
          </cell>
          <cell r="EF39">
            <v>1829.6133785925447</v>
          </cell>
        </row>
        <row r="40">
          <cell r="A40">
            <v>0</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0</v>
          </cell>
          <cell r="CQ40">
            <v>0</v>
          </cell>
          <cell r="CR40">
            <v>0</v>
          </cell>
          <cell r="CS40">
            <v>0</v>
          </cell>
          <cell r="CT40">
            <v>0</v>
          </cell>
          <cell r="CU40">
            <v>0</v>
          </cell>
          <cell r="CV40">
            <v>0</v>
          </cell>
          <cell r="CW40">
            <v>0</v>
          </cell>
          <cell r="CX40">
            <v>0</v>
          </cell>
          <cell r="CY40">
            <v>0</v>
          </cell>
          <cell r="CZ40">
            <v>0</v>
          </cell>
          <cell r="DA40">
            <v>0</v>
          </cell>
          <cell r="DB40">
            <v>0</v>
          </cell>
          <cell r="DC40">
            <v>0</v>
          </cell>
          <cell r="DD40">
            <v>0</v>
          </cell>
          <cell r="DE40">
            <v>0</v>
          </cell>
          <cell r="DF40">
            <v>0</v>
          </cell>
          <cell r="DG40">
            <v>0</v>
          </cell>
          <cell r="DH40">
            <v>0</v>
          </cell>
          <cell r="DI40">
            <v>0</v>
          </cell>
          <cell r="DJ40">
            <v>0</v>
          </cell>
          <cell r="DK40">
            <v>0</v>
          </cell>
          <cell r="DL40">
            <v>0</v>
          </cell>
          <cell r="DM40">
            <v>0</v>
          </cell>
          <cell r="DN40">
            <v>0</v>
          </cell>
          <cell r="DO40">
            <v>0</v>
          </cell>
          <cell r="DP40">
            <v>0</v>
          </cell>
          <cell r="DQ40">
            <v>0</v>
          </cell>
          <cell r="DR40">
            <v>0</v>
          </cell>
          <cell r="DS40">
            <v>0</v>
          </cell>
          <cell r="DT40">
            <v>0</v>
          </cell>
          <cell r="DU40">
            <v>0</v>
          </cell>
          <cell r="DV40">
            <v>0</v>
          </cell>
          <cell r="DW40">
            <v>0</v>
          </cell>
          <cell r="DX40">
            <v>0</v>
          </cell>
          <cell r="DY40">
            <v>0</v>
          </cell>
          <cell r="DZ40">
            <v>0</v>
          </cell>
          <cell r="EA40">
            <v>0</v>
          </cell>
          <cell r="EB40">
            <v>0</v>
          </cell>
          <cell r="EC40">
            <v>0</v>
          </cell>
          <cell r="ED40">
            <v>0</v>
          </cell>
          <cell r="EE40">
            <v>0</v>
          </cell>
          <cell r="EF40">
            <v>0</v>
          </cell>
        </row>
        <row r="41">
          <cell r="A41" t="str">
            <v>CASH FLOWS FROM INVESTING ACTIVITIES: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Q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row>
        <row r="42">
          <cell r="A42" t="str">
            <v>Capital expenditures</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-63.991</v>
          </cell>
          <cell r="T42">
            <v>-68.16</v>
          </cell>
          <cell r="U42">
            <v>-86.562999999999988</v>
          </cell>
          <cell r="V42">
            <v>-67.89200000000001</v>
          </cell>
          <cell r="W42">
            <v>-39.727000000000004</v>
          </cell>
          <cell r="X42">
            <v>-55.99</v>
          </cell>
          <cell r="Y42">
            <v>-44.611999999999995</v>
          </cell>
          <cell r="Z42">
            <v>-160.065</v>
          </cell>
          <cell r="AA42">
            <v>-42.695</v>
          </cell>
          <cell r="AB42">
            <v>-60.573</v>
          </cell>
          <cell r="AC42">
            <v>-41.975000000000001</v>
          </cell>
          <cell r="AD42">
            <v>-49.696999999999989</v>
          </cell>
          <cell r="AE42">
            <v>-46.994</v>
          </cell>
          <cell r="AF42">
            <v>-45.051000000000002</v>
          </cell>
          <cell r="AG42">
            <v>-58.716000000000008</v>
          </cell>
          <cell r="AH42">
            <v>-58.513999999999996</v>
          </cell>
          <cell r="AI42">
            <v>-46.629999999999995</v>
          </cell>
          <cell r="AJ42">
            <v>-54.157000000000004</v>
          </cell>
          <cell r="AK42">
            <v>-57.543999999999997</v>
          </cell>
          <cell r="AL42">
            <v>-64.94</v>
          </cell>
          <cell r="AM42">
            <v>-51.639999999999986</v>
          </cell>
          <cell r="AN42">
            <v>-73.048000000000002</v>
          </cell>
          <cell r="AO42">
            <v>-98.033999999999992</v>
          </cell>
          <cell r="AP42">
            <v>-116.02700000000004</v>
          </cell>
          <cell r="AQ42">
            <v>-74.688000000000002</v>
          </cell>
          <cell r="AR42">
            <v>-63.340999999999994</v>
          </cell>
          <cell r="AS42">
            <v>-71.099999999999994</v>
          </cell>
          <cell r="AT42">
            <v>-64.677999999999997</v>
          </cell>
          <cell r="AU42">
            <v>-57.695</v>
          </cell>
          <cell r="AV42">
            <v>-67.644000000000005</v>
          </cell>
          <cell r="AW42">
            <v>-89.893000000000001</v>
          </cell>
          <cell r="AX42">
            <v>-57.008000000000003</v>
          </cell>
          <cell r="AY42">
            <v>-54</v>
          </cell>
          <cell r="AZ42">
            <v>-54</v>
          </cell>
          <cell r="BA42">
            <v>-41</v>
          </cell>
          <cell r="BB42">
            <v>-99</v>
          </cell>
          <cell r="BC42">
            <v>-52</v>
          </cell>
          <cell r="BD42">
            <v>-64</v>
          </cell>
          <cell r="BE42">
            <v>-69</v>
          </cell>
          <cell r="BF42">
            <v>-83</v>
          </cell>
          <cell r="BG42">
            <v>-51</v>
          </cell>
          <cell r="BH42">
            <v>-73</v>
          </cell>
          <cell r="BI42">
            <v>-75</v>
          </cell>
          <cell r="BJ42">
            <v>-87</v>
          </cell>
          <cell r="BK42">
            <v>-79</v>
          </cell>
          <cell r="BL42">
            <v>-89</v>
          </cell>
          <cell r="BM42">
            <v>-77</v>
          </cell>
          <cell r="BN42">
            <v>-91</v>
          </cell>
          <cell r="BO42">
            <v>-61</v>
          </cell>
          <cell r="BP42">
            <v>-57</v>
          </cell>
          <cell r="BQ42">
            <v>-65</v>
          </cell>
          <cell r="BR42">
            <v>-77</v>
          </cell>
          <cell r="BS42">
            <v>-92</v>
          </cell>
          <cell r="BT42">
            <v>-107</v>
          </cell>
          <cell r="BU42">
            <v>-101</v>
          </cell>
          <cell r="BV42">
            <v>-81</v>
          </cell>
          <cell r="BW42">
            <v>-61</v>
          </cell>
          <cell r="BX42">
            <v>-50</v>
          </cell>
          <cell r="BY42">
            <v>-114</v>
          </cell>
          <cell r="BZ42">
            <v>-47</v>
          </cell>
          <cell r="CA42">
            <v>-22</v>
          </cell>
          <cell r="CB42">
            <v>-17</v>
          </cell>
          <cell r="CC42">
            <v>-18</v>
          </cell>
          <cell r="CD42">
            <v>-13</v>
          </cell>
          <cell r="CE42">
            <v>-47</v>
          </cell>
          <cell r="CF42">
            <v>-25</v>
          </cell>
          <cell r="CG42">
            <v>-33</v>
          </cell>
          <cell r="CH42">
            <v>-144.28743079757268</v>
          </cell>
          <cell r="CI42">
            <v>-54.851266872265235</v>
          </cell>
          <cell r="CJ42">
            <v>-55.399558922002008</v>
          </cell>
          <cell r="CK42">
            <v>-55.8567849038837</v>
          </cell>
          <cell r="CL42">
            <v>-55.924516742115252</v>
          </cell>
          <cell r="CM42">
            <v>-56.145568292383992</v>
          </cell>
          <cell r="CN42">
            <v>-57.064442538576245</v>
          </cell>
          <cell r="CO42">
            <v>-57.530507355314029</v>
          </cell>
          <cell r="CP42">
            <v>-57.583376137087264</v>
          </cell>
          <cell r="CQ42">
            <v>-57.569261083463807</v>
          </cell>
          <cell r="CR42">
            <v>-58.412027693922148</v>
          </cell>
          <cell r="CS42">
            <v>-58.792577035032785</v>
          </cell>
          <cell r="CT42">
            <v>-58.743277128059333</v>
          </cell>
          <cell r="CU42">
            <v>-58.692210005835165</v>
          </cell>
          <cell r="CV42">
            <v>-59.559234069094096</v>
          </cell>
          <cell r="CW42">
            <v>-59.943229957645372</v>
          </cell>
          <cell r="CX42">
            <v>-59.877181687455206</v>
          </cell>
          <cell r="CY42">
            <v>0</v>
          </cell>
          <cell r="CZ42">
            <v>0</v>
          </cell>
          <cell r="DA42">
            <v>0</v>
          </cell>
          <cell r="DB42">
            <v>0</v>
          </cell>
          <cell r="DC42">
            <v>0</v>
          </cell>
          <cell r="DD42">
            <v>-286.60599999999999</v>
          </cell>
          <cell r="DE42">
            <v>-300.39400000000001</v>
          </cell>
          <cell r="DF42">
            <v>-194.94</v>
          </cell>
          <cell r="DG42">
            <v>-209.27500000000003</v>
          </cell>
          <cell r="DH42">
            <v>-223.27100000000002</v>
          </cell>
          <cell r="DI42">
            <v>-338.74900000000002</v>
          </cell>
          <cell r="DJ42">
            <v>-273.80700000000002</v>
          </cell>
          <cell r="DK42">
            <v>-272.24</v>
          </cell>
          <cell r="DL42">
            <v>-248</v>
          </cell>
          <cell r="DM42">
            <v>-268</v>
          </cell>
          <cell r="DN42">
            <v>-286</v>
          </cell>
          <cell r="DO42">
            <v>-336</v>
          </cell>
          <cell r="DP42">
            <v>-260</v>
          </cell>
          <cell r="DQ42">
            <v>-381</v>
          </cell>
          <cell r="DR42">
            <v>-272</v>
          </cell>
          <cell r="DS42">
            <v>-70</v>
          </cell>
          <cell r="DT42">
            <v>-249.28743079757268</v>
          </cell>
          <cell r="DU42">
            <v>-222.03212744026621</v>
          </cell>
          <cell r="DV42">
            <v>-228.32389432336154</v>
          </cell>
          <cell r="DW42">
            <v>-233.51714294047807</v>
          </cell>
          <cell r="DX42">
            <v>-238.07185572002982</v>
          </cell>
          <cell r="DY42">
            <v>-381</v>
          </cell>
          <cell r="DZ42">
            <v>0</v>
          </cell>
          <cell r="EA42">
            <v>-70</v>
          </cell>
          <cell r="EB42">
            <v>-142</v>
          </cell>
          <cell r="EC42">
            <v>-168.66742896339483</v>
          </cell>
          <cell r="ED42">
            <v>-177.99273883899417</v>
          </cell>
          <cell r="EE42">
            <v>-181.40987871645083</v>
          </cell>
          <cell r="EF42">
            <v>-183.76717739243534</v>
          </cell>
        </row>
        <row r="43">
          <cell r="A43" t="str">
            <v>Purchase of land and buildings</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-63</v>
          </cell>
          <cell r="AL43">
            <v>0</v>
          </cell>
          <cell r="AM43">
            <v>-81</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0</v>
          </cell>
          <cell r="DE43">
            <v>0</v>
          </cell>
          <cell r="DF43">
            <v>0</v>
          </cell>
          <cell r="DG43">
            <v>0</v>
          </cell>
          <cell r="DH43">
            <v>-63</v>
          </cell>
          <cell r="DI43">
            <v>-81</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row>
        <row r="44">
          <cell r="A44" t="str">
            <v>Proceeds from sale of property and equipment</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86.903999999999996</v>
          </cell>
          <cell r="AO44">
            <v>0</v>
          </cell>
          <cell r="AP44">
            <v>34.56</v>
          </cell>
          <cell r="AQ44">
            <v>0.90300000000000002</v>
          </cell>
          <cell r="AR44">
            <v>-0.90300000000000002</v>
          </cell>
          <cell r="AS44">
            <v>0</v>
          </cell>
          <cell r="AT44">
            <v>104.715</v>
          </cell>
          <cell r="AU44">
            <v>0</v>
          </cell>
          <cell r="AV44">
            <v>39.546999999999997</v>
          </cell>
          <cell r="AW44">
            <v>0</v>
          </cell>
          <cell r="AX44">
            <v>0.16600000000000001</v>
          </cell>
          <cell r="AY44">
            <v>2</v>
          </cell>
          <cell r="AZ44">
            <v>1</v>
          </cell>
          <cell r="BA44">
            <v>42</v>
          </cell>
          <cell r="BB44">
            <v>0</v>
          </cell>
          <cell r="BC44">
            <v>0</v>
          </cell>
          <cell r="BD44">
            <v>0</v>
          </cell>
          <cell r="BE44">
            <v>30</v>
          </cell>
          <cell r="BF44">
            <v>0</v>
          </cell>
          <cell r="BG44">
            <v>0</v>
          </cell>
          <cell r="BH44">
            <v>0</v>
          </cell>
          <cell r="BI44">
            <v>0</v>
          </cell>
          <cell r="BJ44">
            <v>530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121.464</v>
          </cell>
          <cell r="DJ44">
            <v>104.715</v>
          </cell>
          <cell r="DK44">
            <v>39.712999999999994</v>
          </cell>
          <cell r="DL44">
            <v>45</v>
          </cell>
          <cell r="DM44">
            <v>30</v>
          </cell>
          <cell r="DN44">
            <v>530</v>
          </cell>
          <cell r="DO44">
            <v>0</v>
          </cell>
          <cell r="DP44">
            <v>0</v>
          </cell>
          <cell r="DQ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row>
        <row r="45">
          <cell r="A45" t="str">
            <v>Purchased intangibles</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-0.3</v>
          </cell>
          <cell r="U45">
            <v>0</v>
          </cell>
          <cell r="V45">
            <v>-0.76</v>
          </cell>
          <cell r="W45">
            <v>-5.8999999999999997E-2</v>
          </cell>
          <cell r="X45">
            <v>5.8999999999999997E-2</v>
          </cell>
          <cell r="Y45">
            <v>-0.2</v>
          </cell>
          <cell r="Z45">
            <v>-2</v>
          </cell>
          <cell r="AA45">
            <v>-12.672000000000001</v>
          </cell>
          <cell r="AB45">
            <v>-48.582999999999998</v>
          </cell>
          <cell r="AC45">
            <v>8.8999999999998636E-2</v>
          </cell>
          <cell r="AD45">
            <v>0</v>
          </cell>
          <cell r="AE45">
            <v>0</v>
          </cell>
          <cell r="AF45">
            <v>0</v>
          </cell>
          <cell r="AG45">
            <v>0</v>
          </cell>
          <cell r="AH45">
            <v>-0.8</v>
          </cell>
          <cell r="AI45">
            <v>0</v>
          </cell>
          <cell r="AJ45">
            <v>0</v>
          </cell>
          <cell r="AK45">
            <v>0</v>
          </cell>
          <cell r="AL45">
            <v>-7.2039999999999997</v>
          </cell>
          <cell r="AM45">
            <v>0</v>
          </cell>
          <cell r="AN45">
            <v>0</v>
          </cell>
          <cell r="AO45">
            <v>-13.3</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cell r="BM45">
            <v>0</v>
          </cell>
          <cell r="BN45">
            <v>0</v>
          </cell>
          <cell r="BO45">
            <v>0</v>
          </cell>
          <cell r="BP45">
            <v>0</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cell r="CE45">
            <v>0</v>
          </cell>
          <cell r="CF45">
            <v>0</v>
          </cell>
          <cell r="CG45">
            <v>0</v>
          </cell>
          <cell r="CH45">
            <v>0</v>
          </cell>
          <cell r="CI45">
            <v>0</v>
          </cell>
          <cell r="CJ45">
            <v>0</v>
          </cell>
          <cell r="CK45">
            <v>0</v>
          </cell>
          <cell r="CL45">
            <v>0</v>
          </cell>
          <cell r="CM45">
            <v>0</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-1.06</v>
          </cell>
          <cell r="DE45">
            <v>-2.2000000000000002</v>
          </cell>
          <cell r="DF45">
            <v>-61.165999999999997</v>
          </cell>
          <cell r="DG45">
            <v>-0.8</v>
          </cell>
          <cell r="DH45">
            <v>-7.2039999999999997</v>
          </cell>
          <cell r="DI45">
            <v>-13.3</v>
          </cell>
          <cell r="DJ45">
            <v>0</v>
          </cell>
          <cell r="DK45">
            <v>0</v>
          </cell>
          <cell r="DL45">
            <v>0</v>
          </cell>
          <cell r="DM45">
            <v>0</v>
          </cell>
          <cell r="DN45">
            <v>0</v>
          </cell>
          <cell r="DO45">
            <v>0</v>
          </cell>
          <cell r="DP45">
            <v>0</v>
          </cell>
          <cell r="DQ45">
            <v>0</v>
          </cell>
          <cell r="DR45">
            <v>0</v>
          </cell>
          <cell r="DS45">
            <v>0</v>
          </cell>
          <cell r="DT45">
            <v>0</v>
          </cell>
          <cell r="DU45">
            <v>0</v>
          </cell>
          <cell r="DV45">
            <v>0</v>
          </cell>
          <cell r="DW45">
            <v>0</v>
          </cell>
          <cell r="DX45">
            <v>0</v>
          </cell>
          <cell r="DY45">
            <v>0</v>
          </cell>
          <cell r="DZ45">
            <v>0</v>
          </cell>
          <cell r="EA45">
            <v>0</v>
          </cell>
          <cell r="EB45">
            <v>0</v>
          </cell>
          <cell r="EC45">
            <v>0</v>
          </cell>
          <cell r="ED45">
            <v>0</v>
          </cell>
          <cell r="EE45">
            <v>0</v>
          </cell>
          <cell r="EF45">
            <v>0</v>
          </cell>
        </row>
        <row r="46">
          <cell r="A46" t="str">
            <v>Income tax settlement payments</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4.7</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4.7</v>
          </cell>
          <cell r="DI46">
            <v>0</v>
          </cell>
          <cell r="DJ46">
            <v>0</v>
          </cell>
          <cell r="DK46">
            <v>0</v>
          </cell>
          <cell r="DL46">
            <v>0</v>
          </cell>
          <cell r="DM46">
            <v>0</v>
          </cell>
          <cell r="DN46">
            <v>0</v>
          </cell>
          <cell r="DO46">
            <v>0</v>
          </cell>
          <cell r="DP46">
            <v>0</v>
          </cell>
          <cell r="DQ46">
            <v>0</v>
          </cell>
          <cell r="DR46">
            <v>0</v>
          </cell>
          <cell r="DS46">
            <v>0</v>
          </cell>
          <cell r="DT46">
            <v>0</v>
          </cell>
          <cell r="DU46">
            <v>0</v>
          </cell>
          <cell r="DV46">
            <v>0</v>
          </cell>
          <cell r="DW46">
            <v>0</v>
          </cell>
          <cell r="DX46">
            <v>0</v>
          </cell>
          <cell r="DY46">
            <v>0</v>
          </cell>
          <cell r="DZ46">
            <v>0</v>
          </cell>
          <cell r="EA46">
            <v>0</v>
          </cell>
          <cell r="EB46">
            <v>0</v>
          </cell>
          <cell r="EC46">
            <v>0</v>
          </cell>
          <cell r="ED46">
            <v>0</v>
          </cell>
          <cell r="EE46">
            <v>0</v>
          </cell>
          <cell r="EF46">
            <v>0</v>
          </cell>
        </row>
        <row r="47">
          <cell r="A47" t="str">
            <v>Acquisitions &amp; other</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-22.535</v>
          </cell>
          <cell r="T47">
            <v>-3.6360000000000001</v>
          </cell>
          <cell r="U47">
            <v>-3</v>
          </cell>
          <cell r="V47">
            <v>-41.161999999999999</v>
          </cell>
          <cell r="W47">
            <v>-7.2670000000000003</v>
          </cell>
          <cell r="X47">
            <v>-367.488</v>
          </cell>
          <cell r="Y47">
            <v>0</v>
          </cell>
          <cell r="Z47">
            <v>-14.081</v>
          </cell>
          <cell r="AA47">
            <v>-56.63</v>
          </cell>
          <cell r="AB47">
            <v>-302.09200000000004</v>
          </cell>
          <cell r="AC47">
            <v>-229.00699999999998</v>
          </cell>
          <cell r="AD47">
            <v>-99.31200000000004</v>
          </cell>
          <cell r="AE47">
            <v>-356.517</v>
          </cell>
          <cell r="AF47">
            <v>-41.071999999999989</v>
          </cell>
          <cell r="AG47">
            <v>-350.75700000000001</v>
          </cell>
          <cell r="AH47">
            <v>-0.75600000000000023</v>
          </cell>
          <cell r="AI47">
            <v>-18.484999999999999</v>
          </cell>
          <cell r="AJ47">
            <v>1140.8110000000001</v>
          </cell>
          <cell r="AK47">
            <v>-237.8660000000001</v>
          </cell>
          <cell r="AL47">
            <v>-344.38400000000001</v>
          </cell>
          <cell r="AM47">
            <v>-1.6459999999999999</v>
          </cell>
          <cell r="AN47">
            <v>-2.944</v>
          </cell>
          <cell r="AO47">
            <v>-20.425000000000001</v>
          </cell>
          <cell r="AP47">
            <v>-8.357999999999997</v>
          </cell>
          <cell r="AQ47">
            <v>-840.56799999999998</v>
          </cell>
          <cell r="AR47">
            <v>-11.717999999999961</v>
          </cell>
          <cell r="AS47">
            <v>-298.39699999999999</v>
          </cell>
          <cell r="AT47">
            <v>-11.772</v>
          </cell>
          <cell r="AU47">
            <v>-166.35599999999999</v>
          </cell>
          <cell r="AV47">
            <v>-20.47</v>
          </cell>
          <cell r="AW47">
            <v>-858.41399999999999</v>
          </cell>
          <cell r="AX47">
            <v>-18.126999999999999</v>
          </cell>
          <cell r="AY47">
            <v>3</v>
          </cell>
          <cell r="AZ47">
            <v>0</v>
          </cell>
          <cell r="BA47">
            <v>-19</v>
          </cell>
          <cell r="BB47">
            <v>-15</v>
          </cell>
          <cell r="BC47">
            <v>-362</v>
          </cell>
          <cell r="BD47">
            <v>-1166</v>
          </cell>
          <cell r="BE47">
            <v>-7</v>
          </cell>
          <cell r="BF47">
            <v>0</v>
          </cell>
          <cell r="BG47">
            <v>-364</v>
          </cell>
          <cell r="BH47">
            <v>0</v>
          </cell>
          <cell r="BI47">
            <v>0</v>
          </cell>
          <cell r="BJ47">
            <v>-144</v>
          </cell>
          <cell r="BK47">
            <v>-28</v>
          </cell>
          <cell r="BL47">
            <v>0</v>
          </cell>
          <cell r="BM47">
            <v>0</v>
          </cell>
          <cell r="BN47">
            <v>0</v>
          </cell>
          <cell r="BO47">
            <v>0</v>
          </cell>
          <cell r="BP47">
            <v>-17</v>
          </cell>
          <cell r="BQ47">
            <v>0</v>
          </cell>
          <cell r="BR47">
            <v>0</v>
          </cell>
          <cell r="BS47">
            <v>-19</v>
          </cell>
          <cell r="BT47">
            <v>0</v>
          </cell>
          <cell r="BU47">
            <v>-20</v>
          </cell>
          <cell r="BV47">
            <v>0</v>
          </cell>
          <cell r="BW47">
            <v>-17</v>
          </cell>
          <cell r="BX47">
            <v>-25</v>
          </cell>
          <cell r="BY47">
            <v>-19</v>
          </cell>
          <cell r="BZ47">
            <v>6535</v>
          </cell>
          <cell r="CA47">
            <v>7</v>
          </cell>
          <cell r="CB47">
            <v>-4533</v>
          </cell>
          <cell r="CC47">
            <v>2</v>
          </cell>
          <cell r="CD47">
            <v>-2210</v>
          </cell>
          <cell r="CE47">
            <v>-7</v>
          </cell>
          <cell r="CF47">
            <v>-354</v>
          </cell>
          <cell r="CG47">
            <v>885</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-70.332999999999998</v>
          </cell>
          <cell r="DE47">
            <v>-388.83600000000001</v>
          </cell>
          <cell r="DF47">
            <v>-687.04100000000005</v>
          </cell>
          <cell r="DG47">
            <v>-749.10199999999998</v>
          </cell>
          <cell r="DH47">
            <v>540.07600000000014</v>
          </cell>
          <cell r="DI47">
            <v>-33.372999999999998</v>
          </cell>
          <cell r="DJ47">
            <v>-1162.4549999999999</v>
          </cell>
          <cell r="DK47">
            <v>-1063.367</v>
          </cell>
          <cell r="DL47">
            <v>-31</v>
          </cell>
          <cell r="DM47">
            <v>-1535</v>
          </cell>
          <cell r="DN47">
            <v>-508</v>
          </cell>
          <cell r="DO47">
            <v>-28</v>
          </cell>
          <cell r="DP47">
            <v>-17</v>
          </cell>
          <cell r="DQ47">
            <v>-39</v>
          </cell>
          <cell r="DR47">
            <v>6474</v>
          </cell>
          <cell r="DS47">
            <v>-6734</v>
          </cell>
          <cell r="DT47">
            <v>524</v>
          </cell>
          <cell r="DU47">
            <v>0</v>
          </cell>
          <cell r="DV47">
            <v>0</v>
          </cell>
          <cell r="DW47">
            <v>0</v>
          </cell>
          <cell r="DX47">
            <v>0</v>
          </cell>
          <cell r="DY47">
            <v>-39</v>
          </cell>
          <cell r="DZ47">
            <v>0</v>
          </cell>
          <cell r="EA47">
            <v>-6734</v>
          </cell>
          <cell r="EB47">
            <v>508</v>
          </cell>
          <cell r="EC47">
            <v>0</v>
          </cell>
          <cell r="ED47">
            <v>0</v>
          </cell>
          <cell r="EE47">
            <v>0</v>
          </cell>
          <cell r="EF47">
            <v>0</v>
          </cell>
        </row>
        <row r="48">
          <cell r="A48" t="str">
            <v>Tax payment on Veritas divestiture</v>
          </cell>
          <cell r="B48">
            <v>0</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-1100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-1100</v>
          </cell>
          <cell r="DT48">
            <v>0</v>
          </cell>
          <cell r="DU48">
            <v>0</v>
          </cell>
          <cell r="DV48">
            <v>0</v>
          </cell>
          <cell r="DW48">
            <v>0</v>
          </cell>
          <cell r="DX48">
            <v>0</v>
          </cell>
          <cell r="DY48">
            <v>0</v>
          </cell>
          <cell r="DZ48">
            <v>0</v>
          </cell>
          <cell r="EA48">
            <v>-1100</v>
          </cell>
          <cell r="EB48">
            <v>0</v>
          </cell>
          <cell r="EC48">
            <v>0</v>
          </cell>
          <cell r="ED48">
            <v>0</v>
          </cell>
          <cell r="EE48">
            <v>0</v>
          </cell>
          <cell r="EF48">
            <v>0</v>
          </cell>
        </row>
        <row r="49">
          <cell r="A49" t="str">
            <v>Purchase of equity investments</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-230.51</v>
          </cell>
          <cell r="T49">
            <v>-425.00700000000006</v>
          </cell>
          <cell r="U49">
            <v>-557.06100000000004</v>
          </cell>
          <cell r="V49">
            <v>-480.3549999999999</v>
          </cell>
          <cell r="W49">
            <v>-299.36900000000003</v>
          </cell>
          <cell r="X49">
            <v>-607.03</v>
          </cell>
          <cell r="Y49">
            <v>-354.78300000000002</v>
          </cell>
          <cell r="Z49">
            <v>-512.00799999999992</v>
          </cell>
          <cell r="AA49">
            <v>-417.45600000000002</v>
          </cell>
          <cell r="AB49">
            <v>-516.65300000000002</v>
          </cell>
          <cell r="AC49">
            <v>-437.02600000000001</v>
          </cell>
          <cell r="AD49">
            <v>-422.21000000000004</v>
          </cell>
          <cell r="AE49">
            <v>-948.87599999999998</v>
          </cell>
          <cell r="AF49">
            <v>-703.50800000000015</v>
          </cell>
          <cell r="AG49">
            <v>-1955.9189999999999</v>
          </cell>
          <cell r="AH49">
            <v>-241.58199999999977</v>
          </cell>
          <cell r="AI49">
            <v>-362.09300000000002</v>
          </cell>
          <cell r="AJ49">
            <v>-4.5</v>
          </cell>
          <cell r="AK49">
            <v>-0.8839999999999999</v>
          </cell>
          <cell r="AL49">
            <v>-15.913999999999987</v>
          </cell>
          <cell r="AM49">
            <v>0</v>
          </cell>
          <cell r="AN49">
            <v>0</v>
          </cell>
          <cell r="AO49">
            <v>0</v>
          </cell>
          <cell r="AP49">
            <v>0</v>
          </cell>
          <cell r="AQ49">
            <v>0</v>
          </cell>
          <cell r="AR49">
            <v>0</v>
          </cell>
          <cell r="AS49">
            <v>0</v>
          </cell>
          <cell r="AT49">
            <v>-150</v>
          </cell>
          <cell r="AU49">
            <v>0</v>
          </cell>
          <cell r="AV49">
            <v>0</v>
          </cell>
          <cell r="AW49">
            <v>0</v>
          </cell>
          <cell r="AX49">
            <v>-2</v>
          </cell>
          <cell r="AY49">
            <v>-16</v>
          </cell>
          <cell r="AZ49">
            <v>0</v>
          </cell>
          <cell r="BA49">
            <v>0</v>
          </cell>
          <cell r="BB49">
            <v>-5</v>
          </cell>
          <cell r="BC49">
            <v>-6</v>
          </cell>
          <cell r="BD49">
            <v>0</v>
          </cell>
          <cell r="BE49">
            <v>-1</v>
          </cell>
          <cell r="BF49">
            <v>0</v>
          </cell>
          <cell r="BG49">
            <v>0</v>
          </cell>
          <cell r="BH49">
            <v>-33</v>
          </cell>
          <cell r="BI49">
            <v>0</v>
          </cell>
          <cell r="BJ49">
            <v>-10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7</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-1692.933</v>
          </cell>
          <cell r="DE49">
            <v>-1773.19</v>
          </cell>
          <cell r="DF49">
            <v>-1793.345</v>
          </cell>
          <cell r="DG49">
            <v>-3849.8849999999998</v>
          </cell>
          <cell r="DH49">
            <v>-383.39100000000002</v>
          </cell>
          <cell r="DI49">
            <v>0</v>
          </cell>
          <cell r="DJ49">
            <v>-150</v>
          </cell>
          <cell r="DK49">
            <v>-2</v>
          </cell>
          <cell r="DL49">
            <v>-21</v>
          </cell>
          <cell r="DM49">
            <v>-7</v>
          </cell>
          <cell r="DN49">
            <v>-43</v>
          </cell>
          <cell r="DO49">
            <v>0</v>
          </cell>
          <cell r="DP49">
            <v>0</v>
          </cell>
          <cell r="DQ49">
            <v>0</v>
          </cell>
          <cell r="DR49">
            <v>0</v>
          </cell>
          <cell r="DS49">
            <v>7</v>
          </cell>
          <cell r="DT49">
            <v>0</v>
          </cell>
          <cell r="DU49">
            <v>0</v>
          </cell>
          <cell r="DV49">
            <v>0</v>
          </cell>
          <cell r="DW49">
            <v>0</v>
          </cell>
          <cell r="DX49">
            <v>0</v>
          </cell>
          <cell r="DY49">
            <v>0</v>
          </cell>
          <cell r="DZ49">
            <v>0</v>
          </cell>
          <cell r="EA49">
            <v>7</v>
          </cell>
          <cell r="EB49">
            <v>0</v>
          </cell>
          <cell r="EC49">
            <v>0</v>
          </cell>
          <cell r="ED49">
            <v>0</v>
          </cell>
          <cell r="EE49">
            <v>0</v>
          </cell>
          <cell r="EF49">
            <v>0</v>
          </cell>
        </row>
        <row r="50">
          <cell r="A50" t="str">
            <v>Purchases of marketable securities</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-205.81299999999999</v>
          </cell>
          <cell r="T50">
            <v>-69.396000000000015</v>
          </cell>
          <cell r="U50">
            <v>-290.00600000000003</v>
          </cell>
          <cell r="V50">
            <v>-746.48199999999997</v>
          </cell>
          <cell r="W50">
            <v>-623.596</v>
          </cell>
          <cell r="X50">
            <v>-352.18899999999996</v>
          </cell>
          <cell r="Y50">
            <v>-597.24699999999996</v>
          </cell>
          <cell r="Z50">
            <v>-821.52499999999998</v>
          </cell>
          <cell r="AA50">
            <v>-2791.2710000000002</v>
          </cell>
          <cell r="AB50">
            <v>-532.01899999999978</v>
          </cell>
          <cell r="AC50">
            <v>-432.30000000000018</v>
          </cell>
          <cell r="AD50">
            <v>-973.65899999999965</v>
          </cell>
          <cell r="AE50">
            <v>-861.98299999999995</v>
          </cell>
          <cell r="AF50">
            <v>-184.702</v>
          </cell>
          <cell r="AG50">
            <v>-515.20500000000015</v>
          </cell>
          <cell r="AH50">
            <v>-2294.9429999999993</v>
          </cell>
          <cell r="AI50">
            <v>-1095.7329999999999</v>
          </cell>
          <cell r="AJ50">
            <v>-555.54899999999998</v>
          </cell>
          <cell r="AK50">
            <v>-62.726000000000113</v>
          </cell>
          <cell r="AL50">
            <v>467.79499999999939</v>
          </cell>
          <cell r="AM50">
            <v>-12.683</v>
          </cell>
          <cell r="AN50">
            <v>-29.808999999999997</v>
          </cell>
          <cell r="AO50">
            <v>-87.074000000000012</v>
          </cell>
          <cell r="AP50">
            <v>-97.338999999999999</v>
          </cell>
          <cell r="AQ50">
            <v>-300.53100000000001</v>
          </cell>
          <cell r="AR50">
            <v>-340.03900000000004</v>
          </cell>
          <cell r="AS50">
            <v>-184.53399999999999</v>
          </cell>
          <cell r="AT50">
            <v>-408.85</v>
          </cell>
          <cell r="AU50">
            <v>-172.596</v>
          </cell>
          <cell r="AV50">
            <v>-0.29499999999999998</v>
          </cell>
          <cell r="AW50">
            <v>-49.959000000000003</v>
          </cell>
          <cell r="AX50">
            <v>-126.193</v>
          </cell>
          <cell r="AY50">
            <v>-2</v>
          </cell>
          <cell r="AZ50">
            <v>0</v>
          </cell>
          <cell r="BA50">
            <v>0</v>
          </cell>
          <cell r="BB50">
            <v>0</v>
          </cell>
          <cell r="BC50">
            <v>0</v>
          </cell>
          <cell r="BD50">
            <v>0</v>
          </cell>
          <cell r="BE50">
            <v>0</v>
          </cell>
          <cell r="BF50">
            <v>0</v>
          </cell>
          <cell r="BG50">
            <v>0</v>
          </cell>
          <cell r="BH50">
            <v>0</v>
          </cell>
          <cell r="BI50">
            <v>-14</v>
          </cell>
          <cell r="BJ50">
            <v>0</v>
          </cell>
          <cell r="BK50">
            <v>0</v>
          </cell>
          <cell r="BL50">
            <v>0</v>
          </cell>
          <cell r="BM50">
            <v>0</v>
          </cell>
          <cell r="BN50">
            <v>0</v>
          </cell>
          <cell r="BO50">
            <v>0</v>
          </cell>
          <cell r="BP50">
            <v>-102</v>
          </cell>
          <cell r="BQ50">
            <v>-72</v>
          </cell>
          <cell r="BR50">
            <v>-318</v>
          </cell>
          <cell r="BS50">
            <v>-712</v>
          </cell>
          <cell r="BT50">
            <v>-359</v>
          </cell>
          <cell r="BU50">
            <v>-358</v>
          </cell>
          <cell r="BV50">
            <v>-329</v>
          </cell>
          <cell r="BW50">
            <v>-183</v>
          </cell>
          <cell r="BX50">
            <v>-143</v>
          </cell>
          <cell r="BY50">
            <v>-51</v>
          </cell>
          <cell r="BZ50">
            <v>-1</v>
          </cell>
          <cell r="CA50">
            <v>0</v>
          </cell>
          <cell r="CB50">
            <v>0</v>
          </cell>
          <cell r="CC50">
            <v>0</v>
          </cell>
          <cell r="CD50">
            <v>0</v>
          </cell>
          <cell r="CE50">
            <v>0</v>
          </cell>
          <cell r="CF50">
            <v>-201</v>
          </cell>
          <cell r="CG50">
            <v>-207</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-1311.6970000000001</v>
          </cell>
          <cell r="DE50">
            <v>-2394.5569999999998</v>
          </cell>
          <cell r="DF50">
            <v>-4729.2489999999998</v>
          </cell>
          <cell r="DG50">
            <v>-3856.8329999999996</v>
          </cell>
          <cell r="DH50">
            <v>-1246.2130000000006</v>
          </cell>
          <cell r="DI50">
            <v>-226.905</v>
          </cell>
          <cell r="DJ50">
            <v>-1233.9540000000002</v>
          </cell>
          <cell r="DK50">
            <v>-349.04300000000001</v>
          </cell>
          <cell r="DL50">
            <v>-2</v>
          </cell>
          <cell r="DM50">
            <v>0</v>
          </cell>
          <cell r="DN50">
            <v>-14</v>
          </cell>
          <cell r="DO50">
            <v>0</v>
          </cell>
          <cell r="DP50">
            <v>-492</v>
          </cell>
          <cell r="DQ50">
            <v>-1758</v>
          </cell>
          <cell r="DR50">
            <v>-378</v>
          </cell>
          <cell r="DS50">
            <v>0</v>
          </cell>
          <cell r="DT50">
            <v>-408</v>
          </cell>
          <cell r="DU50">
            <v>0</v>
          </cell>
          <cell r="DV50">
            <v>0</v>
          </cell>
          <cell r="DW50">
            <v>0</v>
          </cell>
          <cell r="DX50">
            <v>0</v>
          </cell>
          <cell r="DY50">
            <v>-1758</v>
          </cell>
          <cell r="DZ50">
            <v>-378</v>
          </cell>
          <cell r="EA50">
            <v>0</v>
          </cell>
          <cell r="EB50">
            <v>-436</v>
          </cell>
          <cell r="EC50">
            <v>0</v>
          </cell>
          <cell r="ED50">
            <v>0</v>
          </cell>
          <cell r="EE50">
            <v>0</v>
          </cell>
          <cell r="EF50">
            <v>0</v>
          </cell>
        </row>
        <row r="51">
          <cell r="A51" t="str">
            <v>Proceeds from sales/maturities of marketable securities</v>
          </cell>
          <cell r="B51">
            <v>0</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341.363</v>
          </cell>
          <cell r="T51">
            <v>357.64700000000005</v>
          </cell>
          <cell r="U51">
            <v>222.16899999999993</v>
          </cell>
          <cell r="V51">
            <v>607.00700000000006</v>
          </cell>
          <cell r="W51">
            <v>926.57299999999998</v>
          </cell>
          <cell r="X51">
            <v>948.2650000000001</v>
          </cell>
          <cell r="Y51">
            <v>747.25300000000004</v>
          </cell>
          <cell r="Z51">
            <v>897.91599999999971</v>
          </cell>
          <cell r="AA51">
            <v>3350.1549999999997</v>
          </cell>
          <cell r="AB51">
            <v>1060.925</v>
          </cell>
          <cell r="AC51">
            <v>652.56100000000015</v>
          </cell>
          <cell r="AD51">
            <v>1314.412</v>
          </cell>
          <cell r="AE51">
            <v>1227.855</v>
          </cell>
          <cell r="AF51">
            <v>1115.886</v>
          </cell>
          <cell r="AG51">
            <v>2056.0660000000003</v>
          </cell>
          <cell r="AH51">
            <v>2985.8759999999997</v>
          </cell>
          <cell r="AI51">
            <v>1200.327</v>
          </cell>
          <cell r="AJ51">
            <v>2131.9070000000002</v>
          </cell>
          <cell r="AK51">
            <v>1697.7230000000002</v>
          </cell>
          <cell r="AL51">
            <v>2.5</v>
          </cell>
          <cell r="AM51">
            <v>147.26499999999999</v>
          </cell>
          <cell r="AN51">
            <v>98.703000000000003</v>
          </cell>
          <cell r="AO51">
            <v>49.490000000000038</v>
          </cell>
          <cell r="AP51">
            <v>53.950000000000017</v>
          </cell>
          <cell r="AQ51">
            <v>103.611</v>
          </cell>
          <cell r="AR51">
            <v>394.77500000000003</v>
          </cell>
          <cell r="AS51">
            <v>332.517</v>
          </cell>
          <cell r="AT51">
            <v>358.38</v>
          </cell>
          <cell r="AU51">
            <v>471.99799999999999</v>
          </cell>
          <cell r="AV51">
            <v>195.69499999999999</v>
          </cell>
          <cell r="AW51">
            <v>11.651999999999999</v>
          </cell>
          <cell r="AX51">
            <v>5.6550000000000002</v>
          </cell>
          <cell r="AY51">
            <v>183</v>
          </cell>
          <cell r="AZ51">
            <v>6</v>
          </cell>
          <cell r="BA51">
            <v>1</v>
          </cell>
          <cell r="BB51">
            <v>2</v>
          </cell>
          <cell r="BC51">
            <v>2</v>
          </cell>
          <cell r="BD51">
            <v>1</v>
          </cell>
          <cell r="BE51">
            <v>16</v>
          </cell>
          <cell r="BF51">
            <v>1</v>
          </cell>
          <cell r="BG51">
            <v>0</v>
          </cell>
          <cell r="BH51">
            <v>1</v>
          </cell>
          <cell r="BI51">
            <v>-2</v>
          </cell>
          <cell r="BJ51">
            <v>4</v>
          </cell>
          <cell r="BK51">
            <v>24</v>
          </cell>
          <cell r="BL51">
            <v>24</v>
          </cell>
          <cell r="BM51">
            <v>1</v>
          </cell>
          <cell r="BN51">
            <v>4</v>
          </cell>
          <cell r="BO51">
            <v>32</v>
          </cell>
          <cell r="BP51">
            <v>35</v>
          </cell>
          <cell r="BQ51">
            <v>99</v>
          </cell>
          <cell r="BR51">
            <v>20</v>
          </cell>
          <cell r="BS51">
            <v>99</v>
          </cell>
          <cell r="BT51">
            <v>468</v>
          </cell>
          <cell r="BU51">
            <v>198</v>
          </cell>
          <cell r="BV51">
            <v>259</v>
          </cell>
          <cell r="BW51">
            <v>298</v>
          </cell>
          <cell r="BX51">
            <v>796</v>
          </cell>
          <cell r="BY51">
            <v>243</v>
          </cell>
          <cell r="BZ51">
            <v>18</v>
          </cell>
          <cell r="CA51">
            <v>30</v>
          </cell>
          <cell r="CB51">
            <v>1</v>
          </cell>
          <cell r="CC51">
            <v>0</v>
          </cell>
          <cell r="CD51">
            <v>0</v>
          </cell>
          <cell r="CE51">
            <v>0</v>
          </cell>
          <cell r="CF51">
            <v>0</v>
          </cell>
          <cell r="CG51">
            <v>25</v>
          </cell>
          <cell r="CH51">
            <v>0</v>
          </cell>
          <cell r="CI51">
            <v>0</v>
          </cell>
          <cell r="CJ51">
            <v>0</v>
          </cell>
          <cell r="CK51">
            <v>0</v>
          </cell>
          <cell r="CL51">
            <v>0</v>
          </cell>
          <cell r="CM51">
            <v>0</v>
          </cell>
          <cell r="CN51">
            <v>0</v>
          </cell>
          <cell r="CO51">
            <v>0</v>
          </cell>
          <cell r="CP51">
            <v>0</v>
          </cell>
          <cell r="CQ51">
            <v>0</v>
          </cell>
          <cell r="CR51">
            <v>0</v>
          </cell>
          <cell r="CS51">
            <v>0</v>
          </cell>
          <cell r="CT51">
            <v>0</v>
          </cell>
          <cell r="CU51">
            <v>0</v>
          </cell>
          <cell r="CV51">
            <v>0</v>
          </cell>
          <cell r="CW51">
            <v>0</v>
          </cell>
          <cell r="CX51">
            <v>0</v>
          </cell>
          <cell r="CY51">
            <v>0</v>
          </cell>
          <cell r="CZ51">
            <v>0</v>
          </cell>
          <cell r="DA51">
            <v>0</v>
          </cell>
          <cell r="DB51">
            <v>0</v>
          </cell>
          <cell r="DC51">
            <v>0</v>
          </cell>
          <cell r="DD51">
            <v>1528.1859999999999</v>
          </cell>
          <cell r="DE51">
            <v>3520.0070000000001</v>
          </cell>
          <cell r="DF51">
            <v>6378.0529999999999</v>
          </cell>
          <cell r="DG51">
            <v>7385.6830000000009</v>
          </cell>
          <cell r="DH51">
            <v>5032.4570000000003</v>
          </cell>
          <cell r="DI51">
            <v>349.40800000000002</v>
          </cell>
          <cell r="DJ51">
            <v>1189.2829999999999</v>
          </cell>
          <cell r="DK51">
            <v>685</v>
          </cell>
          <cell r="DL51">
            <v>192</v>
          </cell>
          <cell r="DM51">
            <v>20</v>
          </cell>
          <cell r="DN51">
            <v>3</v>
          </cell>
          <cell r="DO51">
            <v>53</v>
          </cell>
          <cell r="DP51">
            <v>186</v>
          </cell>
          <cell r="DQ51">
            <v>1024</v>
          </cell>
          <cell r="DR51">
            <v>1355</v>
          </cell>
          <cell r="DS51">
            <v>31</v>
          </cell>
          <cell r="DT51">
            <v>25</v>
          </cell>
          <cell r="DU51">
            <v>0</v>
          </cell>
          <cell r="DV51">
            <v>0</v>
          </cell>
          <cell r="DW51">
            <v>0</v>
          </cell>
          <cell r="DX51">
            <v>0</v>
          </cell>
          <cell r="DY51">
            <v>1024</v>
          </cell>
          <cell r="DZ51">
            <v>1355</v>
          </cell>
          <cell r="EA51">
            <v>31</v>
          </cell>
          <cell r="EB51">
            <v>49</v>
          </cell>
          <cell r="EC51">
            <v>0</v>
          </cell>
          <cell r="ED51">
            <v>0</v>
          </cell>
          <cell r="EE51">
            <v>0</v>
          </cell>
          <cell r="EF51">
            <v>0</v>
          </cell>
        </row>
        <row r="52">
          <cell r="A52" t="str">
            <v>Proceeds from long-term, restricted investments</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-9.2840000000000007</v>
          </cell>
          <cell r="T52">
            <v>-12.101999999999999</v>
          </cell>
          <cell r="U52">
            <v>-19.806000000000004</v>
          </cell>
          <cell r="V52">
            <v>-8.5870000000000033</v>
          </cell>
          <cell r="W52">
            <v>4.7530000000000001</v>
          </cell>
          <cell r="X52">
            <v>1.0540000000000003</v>
          </cell>
          <cell r="Y52">
            <v>-0.36800000000000033</v>
          </cell>
          <cell r="Z52">
            <v>118.874</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-49.779000000000011</v>
          </cell>
          <cell r="DE52">
            <v>124.31299999999999</v>
          </cell>
          <cell r="DF52">
            <v>0</v>
          </cell>
          <cell r="DG52">
            <v>0</v>
          </cell>
          <cell r="DH52">
            <v>0</v>
          </cell>
          <cell r="DI52">
            <v>0</v>
          </cell>
          <cell r="DJ52">
            <v>0</v>
          </cell>
          <cell r="DK52">
            <v>0</v>
          </cell>
          <cell r="DL52">
            <v>0</v>
          </cell>
          <cell r="DM52">
            <v>0</v>
          </cell>
          <cell r="DN52">
            <v>0</v>
          </cell>
          <cell r="DO52">
            <v>0</v>
          </cell>
          <cell r="DP52">
            <v>0</v>
          </cell>
          <cell r="DQ52">
            <v>0</v>
          </cell>
          <cell r="DR52">
            <v>0</v>
          </cell>
          <cell r="DS52">
            <v>0</v>
          </cell>
          <cell r="DT52">
            <v>0</v>
          </cell>
          <cell r="DU52">
            <v>0</v>
          </cell>
          <cell r="DV52">
            <v>0</v>
          </cell>
          <cell r="DW52">
            <v>0</v>
          </cell>
          <cell r="DX52">
            <v>0</v>
          </cell>
          <cell r="DY52">
            <v>0</v>
          </cell>
          <cell r="DZ52">
            <v>0</v>
          </cell>
          <cell r="EA52">
            <v>0</v>
          </cell>
          <cell r="EB52">
            <v>0</v>
          </cell>
          <cell r="EC52">
            <v>0</v>
          </cell>
          <cell r="ED52">
            <v>0</v>
          </cell>
          <cell r="EE52">
            <v>0</v>
          </cell>
          <cell r="EF52">
            <v>0</v>
          </cell>
        </row>
        <row r="53">
          <cell r="A53" t="str">
            <v>Net cash used in investing activities</v>
          </cell>
          <cell r="B53">
            <v>0</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-190.76999999999992</v>
          </cell>
          <cell r="T53">
            <v>-220.95399999999998</v>
          </cell>
          <cell r="U53">
            <v>-734.26700000000028</v>
          </cell>
          <cell r="V53">
            <v>-738.23099999999977</v>
          </cell>
          <cell r="W53">
            <v>-38.69200000000005</v>
          </cell>
          <cell r="X53">
            <v>-433.31899999999985</v>
          </cell>
          <cell r="Y53">
            <v>-249.95699999999994</v>
          </cell>
          <cell r="Z53">
            <v>-492.88900000000012</v>
          </cell>
          <cell r="AA53">
            <v>29.430999999999585</v>
          </cell>
          <cell r="AB53">
            <v>-398.99499999999989</v>
          </cell>
          <cell r="AC53">
            <v>-487.6579999999999</v>
          </cell>
          <cell r="AD53">
            <v>-230.46599999999967</v>
          </cell>
          <cell r="AE53">
            <v>-986.51499999999987</v>
          </cell>
          <cell r="AF53">
            <v>141.55299999999988</v>
          </cell>
          <cell r="AG53">
            <v>-824.53099999999949</v>
          </cell>
          <cell r="AH53">
            <v>389.28100000000086</v>
          </cell>
          <cell r="AI53">
            <v>-322.61400000000003</v>
          </cell>
          <cell r="AJ53">
            <v>2658.5120000000006</v>
          </cell>
          <cell r="AK53">
            <v>1275.703</v>
          </cell>
          <cell r="AL53">
            <v>42.552999999999429</v>
          </cell>
          <cell r="AM53">
            <v>0.29600000000002069</v>
          </cell>
          <cell r="AN53">
            <v>79.805999999999997</v>
          </cell>
          <cell r="AO53">
            <v>-169.34299999999996</v>
          </cell>
          <cell r="AP53">
            <v>-133.21400000000003</v>
          </cell>
          <cell r="AQ53">
            <v>-1111.2729999999999</v>
          </cell>
          <cell r="AR53">
            <v>-21.225999999999942</v>
          </cell>
          <cell r="AS53">
            <v>-221.51399999999995</v>
          </cell>
          <cell r="AT53">
            <v>-172.20500000000004</v>
          </cell>
          <cell r="AU53">
            <v>75.350999999999999</v>
          </cell>
          <cell r="AV53">
            <v>146.83299999999997</v>
          </cell>
          <cell r="AW53">
            <v>-986.61400000000003</v>
          </cell>
          <cell r="AX53">
            <v>-197.50700000000001</v>
          </cell>
          <cell r="AY53">
            <v>116</v>
          </cell>
          <cell r="AZ53">
            <v>-47</v>
          </cell>
          <cell r="BA53">
            <v>-17</v>
          </cell>
          <cell r="BB53">
            <v>-117</v>
          </cell>
          <cell r="BC53">
            <v>-418</v>
          </cell>
          <cell r="BD53">
            <v>-1229</v>
          </cell>
          <cell r="BE53">
            <v>-31</v>
          </cell>
          <cell r="BF53">
            <v>-82</v>
          </cell>
          <cell r="BG53">
            <v>-415</v>
          </cell>
          <cell r="BH53">
            <v>-105</v>
          </cell>
          <cell r="BI53">
            <v>-91</v>
          </cell>
          <cell r="BJ53">
            <v>293</v>
          </cell>
          <cell r="BK53">
            <v>-83</v>
          </cell>
          <cell r="BL53">
            <v>-65</v>
          </cell>
          <cell r="BM53">
            <v>-76</v>
          </cell>
          <cell r="BN53">
            <v>-87</v>
          </cell>
          <cell r="BO53">
            <v>-29</v>
          </cell>
          <cell r="BP53">
            <v>-141</v>
          </cell>
          <cell r="BQ53">
            <v>-38</v>
          </cell>
          <cell r="BR53">
            <v>-375</v>
          </cell>
          <cell r="BS53">
            <v>-724</v>
          </cell>
          <cell r="BT53">
            <v>2</v>
          </cell>
          <cell r="BU53">
            <v>-281</v>
          </cell>
          <cell r="BV53">
            <v>-151</v>
          </cell>
          <cell r="BW53">
            <v>37</v>
          </cell>
          <cell r="BX53">
            <v>578</v>
          </cell>
          <cell r="BY53">
            <v>59</v>
          </cell>
          <cell r="BZ53">
            <v>6505</v>
          </cell>
          <cell r="CA53">
            <v>-1085</v>
          </cell>
          <cell r="CB53">
            <v>-4549</v>
          </cell>
          <cell r="CC53">
            <v>-16</v>
          </cell>
          <cell r="CD53">
            <v>-2216</v>
          </cell>
          <cell r="CE53">
            <v>-54</v>
          </cell>
          <cell r="CF53">
            <v>-580</v>
          </cell>
          <cell r="CG53">
            <v>670</v>
          </cell>
          <cell r="CH53">
            <v>-144.28743079757268</v>
          </cell>
          <cell r="CI53">
            <v>-54.851266872265235</v>
          </cell>
          <cell r="CJ53">
            <v>-55.399558922002008</v>
          </cell>
          <cell r="CK53">
            <v>-55.8567849038837</v>
          </cell>
          <cell r="CL53">
            <v>-55.924516742115252</v>
          </cell>
          <cell r="CM53">
            <v>-56.145568292383992</v>
          </cell>
          <cell r="CN53">
            <v>-57.064442538576245</v>
          </cell>
          <cell r="CO53">
            <v>-57.530507355314029</v>
          </cell>
          <cell r="CP53">
            <v>-57.583376137087264</v>
          </cell>
          <cell r="CQ53">
            <v>-57.569261083463807</v>
          </cell>
          <cell r="CR53">
            <v>-58.412027693922148</v>
          </cell>
          <cell r="CS53">
            <v>-58.792577035032785</v>
          </cell>
          <cell r="CT53">
            <v>-58.743277128059333</v>
          </cell>
          <cell r="CU53">
            <v>-58.692210005835165</v>
          </cell>
          <cell r="CV53">
            <v>-59.559234069094096</v>
          </cell>
          <cell r="CW53">
            <v>-59.943229957645372</v>
          </cell>
          <cell r="CX53">
            <v>-59.877181687455206</v>
          </cell>
          <cell r="CY53">
            <v>0</v>
          </cell>
          <cell r="CZ53">
            <v>0</v>
          </cell>
          <cell r="DA53">
            <v>0</v>
          </cell>
          <cell r="DB53">
            <v>0</v>
          </cell>
          <cell r="DC53">
            <v>0</v>
          </cell>
          <cell r="DD53">
            <v>-1884.222</v>
          </cell>
          <cell r="DE53">
            <v>-1214.857</v>
          </cell>
          <cell r="DF53">
            <v>-1087.6879999999999</v>
          </cell>
          <cell r="DG53">
            <v>-1280.2119999999986</v>
          </cell>
          <cell r="DH53">
            <v>3654.154</v>
          </cell>
          <cell r="DI53">
            <v>-222.45499999999998</v>
          </cell>
          <cell r="DJ53">
            <v>-1526.2179999999998</v>
          </cell>
          <cell r="DK53">
            <v>-961.93700000000013</v>
          </cell>
          <cell r="DL53">
            <v>-65</v>
          </cell>
          <cell r="DM53">
            <v>-1760</v>
          </cell>
          <cell r="DN53">
            <v>-318</v>
          </cell>
          <cell r="DO53">
            <v>-311</v>
          </cell>
          <cell r="DP53">
            <v>-583</v>
          </cell>
          <cell r="DQ53">
            <v>-1154</v>
          </cell>
          <cell r="DR53">
            <v>7179</v>
          </cell>
          <cell r="DS53">
            <v>-7866</v>
          </cell>
          <cell r="DT53">
            <v>-108.28743079757268</v>
          </cell>
          <cell r="DU53">
            <v>-222.03212744026621</v>
          </cell>
          <cell r="DV53">
            <v>-228.32389432336154</v>
          </cell>
          <cell r="DW53">
            <v>-233.51714294047807</v>
          </cell>
          <cell r="DX53">
            <v>-238.07185572002982</v>
          </cell>
          <cell r="DY53">
            <v>-1154</v>
          </cell>
          <cell r="DZ53">
            <v>7179</v>
          </cell>
          <cell r="EA53">
            <v>-7866</v>
          </cell>
          <cell r="EB53">
            <v>-21</v>
          </cell>
          <cell r="EC53">
            <v>-168.66742896339483</v>
          </cell>
          <cell r="ED53">
            <v>-177.99273883899417</v>
          </cell>
          <cell r="EE53">
            <v>-181.40987871645083</v>
          </cell>
          <cell r="EF53">
            <v>-183.76717739243534</v>
          </cell>
        </row>
        <row r="54">
          <cell r="A54">
            <v>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v>0</v>
          </cell>
          <cell r="DU54">
            <v>0</v>
          </cell>
          <cell r="DV54">
            <v>0</v>
          </cell>
          <cell r="DW54">
            <v>0</v>
          </cell>
          <cell r="DX54">
            <v>0</v>
          </cell>
          <cell r="DY54">
            <v>0</v>
          </cell>
          <cell r="DZ54">
            <v>0</v>
          </cell>
          <cell r="EA54">
            <v>0</v>
          </cell>
          <cell r="EB54">
            <v>0</v>
          </cell>
          <cell r="EC54">
            <v>0</v>
          </cell>
          <cell r="ED54">
            <v>0</v>
          </cell>
          <cell r="EE54">
            <v>0</v>
          </cell>
          <cell r="EF54">
            <v>0</v>
          </cell>
        </row>
        <row r="55">
          <cell r="A55" t="str">
            <v>Net Free Cash Flow</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137.96899999999999</v>
          </cell>
          <cell r="T55">
            <v>157.50700000000012</v>
          </cell>
          <cell r="U55">
            <v>223.0320000000001</v>
          </cell>
          <cell r="V55">
            <v>273.32700000000006</v>
          </cell>
          <cell r="W55">
            <v>252.41799999999998</v>
          </cell>
          <cell r="X55">
            <v>184.73900000000012</v>
          </cell>
          <cell r="Y55">
            <v>235.63700000000009</v>
          </cell>
          <cell r="Z55">
            <v>204.63000000000017</v>
          </cell>
          <cell r="AA55">
            <v>274.62700000000007</v>
          </cell>
          <cell r="AB55">
            <v>216.45100000000005</v>
          </cell>
          <cell r="AC55">
            <v>367.8370000000001</v>
          </cell>
          <cell r="AD55">
            <v>544.07099999999969</v>
          </cell>
          <cell r="AE55">
            <v>379.6869999999999</v>
          </cell>
          <cell r="AF55">
            <v>312.62599999999992</v>
          </cell>
          <cell r="AG55">
            <v>429.75500000000005</v>
          </cell>
          <cell r="AH55">
            <v>450.8959999999999</v>
          </cell>
          <cell r="AI55">
            <v>306.06400000000002</v>
          </cell>
          <cell r="AJ55">
            <v>263.22600000000011</v>
          </cell>
          <cell r="AK55">
            <v>318.20099999999991</v>
          </cell>
          <cell r="AL55">
            <v>422.10400000000004</v>
          </cell>
          <cell r="AM55">
            <v>309.76800000000003</v>
          </cell>
          <cell r="AN55">
            <v>193.96799999999973</v>
          </cell>
          <cell r="AO55">
            <v>357.99500000000006</v>
          </cell>
          <cell r="AP55">
            <v>491.29000000000008</v>
          </cell>
          <cell r="AQ55">
            <v>276.62099999999987</v>
          </cell>
          <cell r="AR55">
            <v>267.62699999999995</v>
          </cell>
          <cell r="AS55">
            <v>390.90500000000009</v>
          </cell>
          <cell r="AT55">
            <v>609.69200000000001</v>
          </cell>
          <cell r="AU55">
            <v>355.88099999999991</v>
          </cell>
          <cell r="AV55">
            <v>180.64699999999988</v>
          </cell>
          <cell r="AW55">
            <v>311.78099999999961</v>
          </cell>
          <cell r="AX55">
            <v>550.04899999999975</v>
          </cell>
          <cell r="AY55">
            <v>340</v>
          </cell>
          <cell r="AZ55">
            <v>172</v>
          </cell>
          <cell r="BA55">
            <v>351</v>
          </cell>
          <cell r="BB55">
            <v>604</v>
          </cell>
          <cell r="BC55">
            <v>283</v>
          </cell>
          <cell r="BD55">
            <v>246</v>
          </cell>
          <cell r="BE55">
            <v>391</v>
          </cell>
          <cell r="BF55">
            <v>606</v>
          </cell>
          <cell r="BG55">
            <v>452</v>
          </cell>
          <cell r="BH55">
            <v>235</v>
          </cell>
          <cell r="BI55">
            <v>328</v>
          </cell>
          <cell r="BJ55">
            <v>600</v>
          </cell>
          <cell r="BK55">
            <v>261</v>
          </cell>
          <cell r="BL55">
            <v>53</v>
          </cell>
          <cell r="BM55">
            <v>384</v>
          </cell>
          <cell r="BN55">
            <v>510</v>
          </cell>
          <cell r="BO55">
            <v>251</v>
          </cell>
          <cell r="BP55">
            <v>149</v>
          </cell>
          <cell r="BQ55">
            <v>259</v>
          </cell>
          <cell r="BR55">
            <v>378.2</v>
          </cell>
          <cell r="BS55">
            <v>201</v>
          </cell>
          <cell r="BT55">
            <v>66</v>
          </cell>
          <cell r="BU55">
            <v>257</v>
          </cell>
          <cell r="BV55">
            <v>407</v>
          </cell>
          <cell r="BW55">
            <v>239</v>
          </cell>
          <cell r="BX55">
            <v>84</v>
          </cell>
          <cell r="BY55">
            <v>-2</v>
          </cell>
          <cell r="BZ55">
            <v>203</v>
          </cell>
          <cell r="CA55">
            <v>308</v>
          </cell>
          <cell r="CB55">
            <v>41</v>
          </cell>
          <cell r="CC55">
            <v>130</v>
          </cell>
          <cell r="CD55">
            <v>342</v>
          </cell>
          <cell r="CE55">
            <v>166</v>
          </cell>
          <cell r="CF55">
            <v>152</v>
          </cell>
          <cell r="CG55">
            <v>261</v>
          </cell>
          <cell r="CH55">
            <v>120.08347259751386</v>
          </cell>
          <cell r="CI55">
            <v>340.39928843157008</v>
          </cell>
          <cell r="CJ55">
            <v>255.82280742814814</v>
          </cell>
          <cell r="CK55">
            <v>252.04651276752031</v>
          </cell>
          <cell r="CL55">
            <v>582.96533964646039</v>
          </cell>
          <cell r="CM55">
            <v>447.13073591922989</v>
          </cell>
          <cell r="CN55">
            <v>320.66415213111884</v>
          </cell>
          <cell r="CO55">
            <v>294.09401651035046</v>
          </cell>
          <cell r="CP55">
            <v>624.26345392309372</v>
          </cell>
          <cell r="CQ55">
            <v>467.355926652699</v>
          </cell>
          <cell r="CR55">
            <v>337.97486033983142</v>
          </cell>
          <cell r="CS55">
            <v>314.06785160545121</v>
          </cell>
          <cell r="CT55">
            <v>655.4486693408262</v>
          </cell>
          <cell r="CU55">
            <v>493.98755052623915</v>
          </cell>
          <cell r="CV55">
            <v>363.23507166626536</v>
          </cell>
          <cell r="CW55">
            <v>337.95354376091075</v>
          </cell>
          <cell r="CX55">
            <v>693.54500531829399</v>
          </cell>
          <cell r="CY55">
            <v>0</v>
          </cell>
          <cell r="CZ55">
            <v>0</v>
          </cell>
          <cell r="DA55">
            <v>0</v>
          </cell>
          <cell r="DB55">
            <v>0</v>
          </cell>
          <cell r="DC55">
            <v>0</v>
          </cell>
          <cell r="DD55">
            <v>791.83500000000026</v>
          </cell>
          <cell r="DE55">
            <v>877.42400000000043</v>
          </cell>
          <cell r="DF55">
            <v>1402.9859999999999</v>
          </cell>
          <cell r="DG55">
            <v>1572.9639999999999</v>
          </cell>
          <cell r="DH55">
            <v>1309.5950000000003</v>
          </cell>
          <cell r="DI55">
            <v>1353.0209999999997</v>
          </cell>
          <cell r="DJ55">
            <v>1544.8449999999998</v>
          </cell>
          <cell r="DK55">
            <v>1398.3579999999993</v>
          </cell>
          <cell r="DL55">
            <v>1467</v>
          </cell>
          <cell r="DM55">
            <v>1526</v>
          </cell>
          <cell r="DN55">
            <v>1615</v>
          </cell>
          <cell r="DO55">
            <v>1208</v>
          </cell>
          <cell r="DP55">
            <v>1037.2</v>
          </cell>
          <cell r="DQ55">
            <v>931</v>
          </cell>
          <cell r="DR55">
            <v>524</v>
          </cell>
          <cell r="DS55">
            <v>821</v>
          </cell>
          <cell r="DT55">
            <v>699.08347259751383</v>
          </cell>
          <cell r="DU55">
            <v>1431.2339482736988</v>
          </cell>
          <cell r="DV55">
            <v>1686.152358483793</v>
          </cell>
          <cell r="DW55">
            <v>1774.8473079388077</v>
          </cell>
          <cell r="DX55">
            <v>1888.7211712717094</v>
          </cell>
          <cell r="DY55">
            <v>0</v>
          </cell>
          <cell r="DZ55">
            <v>524</v>
          </cell>
          <cell r="EA55">
            <v>821</v>
          </cell>
          <cell r="EB55">
            <v>808</v>
          </cell>
          <cell r="EC55">
            <v>1265.6195741725649</v>
          </cell>
          <cell r="ED55">
            <v>1503.182537761978</v>
          </cell>
          <cell r="EE55">
            <v>1547.9605459362338</v>
          </cell>
          <cell r="EF55">
            <v>1645.8462012001094</v>
          </cell>
        </row>
        <row r="56">
          <cell r="A56">
            <v>0</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0</v>
          </cell>
          <cell r="BW56">
            <v>0</v>
          </cell>
          <cell r="BX56">
            <v>0</v>
          </cell>
          <cell r="BY56">
            <v>0</v>
          </cell>
          <cell r="BZ56">
            <v>0</v>
          </cell>
          <cell r="CA56">
            <v>0</v>
          </cell>
          <cell r="CB56">
            <v>0</v>
          </cell>
          <cell r="CC56">
            <v>0</v>
          </cell>
          <cell r="CD56">
            <v>0</v>
          </cell>
          <cell r="CE56">
            <v>0</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0</v>
          </cell>
          <cell r="DM56">
            <v>0</v>
          </cell>
          <cell r="DN56">
            <v>0</v>
          </cell>
          <cell r="DO56">
            <v>0</v>
          </cell>
          <cell r="DP56">
            <v>0</v>
          </cell>
          <cell r="DQ56">
            <v>0</v>
          </cell>
          <cell r="DR56">
            <v>0</v>
          </cell>
          <cell r="DS56">
            <v>0</v>
          </cell>
          <cell r="DT56">
            <v>0</v>
          </cell>
          <cell r="DU56">
            <v>0</v>
          </cell>
          <cell r="DV56">
            <v>0</v>
          </cell>
          <cell r="DW56">
            <v>0</v>
          </cell>
          <cell r="DX56">
            <v>0</v>
          </cell>
          <cell r="DY56">
            <v>0</v>
          </cell>
          <cell r="DZ56">
            <v>0</v>
          </cell>
          <cell r="EA56">
            <v>0</v>
          </cell>
          <cell r="EB56">
            <v>0</v>
          </cell>
          <cell r="EC56">
            <v>0</v>
          </cell>
          <cell r="ED56">
            <v>0</v>
          </cell>
          <cell r="EE56">
            <v>0</v>
          </cell>
          <cell r="EF56">
            <v>0</v>
          </cell>
        </row>
        <row r="57">
          <cell r="A57">
            <v>0</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cell r="BM57">
            <v>0</v>
          </cell>
          <cell r="BN57">
            <v>0</v>
          </cell>
          <cell r="BO57">
            <v>0</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cell r="CE57">
            <v>0</v>
          </cell>
          <cell r="CF57">
            <v>0</v>
          </cell>
          <cell r="CG57">
            <v>0</v>
          </cell>
          <cell r="CH57">
            <v>0</v>
          </cell>
          <cell r="CI57">
            <v>0</v>
          </cell>
          <cell r="CJ57">
            <v>0</v>
          </cell>
          <cell r="CK57">
            <v>0</v>
          </cell>
          <cell r="CL57">
            <v>0</v>
          </cell>
          <cell r="CM57">
            <v>0</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0</v>
          </cell>
          <cell r="DF57">
            <v>0</v>
          </cell>
          <cell r="DG57">
            <v>0</v>
          </cell>
          <cell r="DH57">
            <v>0</v>
          </cell>
          <cell r="DI57">
            <v>0</v>
          </cell>
          <cell r="DJ57">
            <v>0</v>
          </cell>
          <cell r="DK57">
            <v>0</v>
          </cell>
          <cell r="DL57">
            <v>0</v>
          </cell>
          <cell r="DM57">
            <v>0</v>
          </cell>
          <cell r="DN57">
            <v>0</v>
          </cell>
          <cell r="DO57">
            <v>0</v>
          </cell>
          <cell r="DP57">
            <v>0</v>
          </cell>
          <cell r="DQ57">
            <v>0</v>
          </cell>
          <cell r="DR57">
            <v>0</v>
          </cell>
          <cell r="DS57">
            <v>0</v>
          </cell>
          <cell r="DT57">
            <v>0</v>
          </cell>
          <cell r="DU57">
            <v>0</v>
          </cell>
          <cell r="DV57">
            <v>0</v>
          </cell>
          <cell r="DW57">
            <v>0</v>
          </cell>
          <cell r="DX57">
            <v>0</v>
          </cell>
          <cell r="DY57">
            <v>0</v>
          </cell>
          <cell r="DZ57">
            <v>0</v>
          </cell>
          <cell r="EA57">
            <v>0</v>
          </cell>
          <cell r="EB57">
            <v>0</v>
          </cell>
          <cell r="EC57">
            <v>0</v>
          </cell>
          <cell r="ED57">
            <v>0</v>
          </cell>
          <cell r="EE57">
            <v>0</v>
          </cell>
          <cell r="EF57">
            <v>0</v>
          </cell>
        </row>
        <row r="58">
          <cell r="A58" t="str">
            <v>CASH FLOWS FROM FINANCING ACTIVITIES:</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row>
        <row r="59">
          <cell r="A59" t="str">
            <v>Repurchases of common stock</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-204.42</v>
          </cell>
          <cell r="U59">
            <v>0</v>
          </cell>
          <cell r="V59">
            <v>0</v>
          </cell>
          <cell r="W59">
            <v>0</v>
          </cell>
          <cell r="X59">
            <v>-64.331999999999994</v>
          </cell>
          <cell r="Y59">
            <v>0</v>
          </cell>
          <cell r="Z59">
            <v>0</v>
          </cell>
          <cell r="AA59">
            <v>0</v>
          </cell>
          <cell r="AB59">
            <v>0</v>
          </cell>
          <cell r="AC59">
            <v>-316.23899999999998</v>
          </cell>
          <cell r="AD59">
            <v>-60</v>
          </cell>
          <cell r="AE59">
            <v>-59.896000000000001</v>
          </cell>
          <cell r="AF59">
            <v>-60.057000000000002</v>
          </cell>
          <cell r="AG59">
            <v>-130.91699999999997</v>
          </cell>
          <cell r="AH59">
            <v>-191.03700000000003</v>
          </cell>
          <cell r="AI59">
            <v>-4.6719999999999997</v>
          </cell>
          <cell r="AJ59">
            <v>-1675.3710000000001</v>
          </cell>
          <cell r="AK59">
            <v>-1649.164</v>
          </cell>
          <cell r="AL59">
            <v>-153.95800000000011</v>
          </cell>
          <cell r="AM59">
            <v>-891.36099999999999</v>
          </cell>
          <cell r="AN59">
            <v>-974.95699999999999</v>
          </cell>
          <cell r="AO59">
            <v>-384.99599999999998</v>
          </cell>
          <cell r="AP59">
            <v>-594.99799999999993</v>
          </cell>
          <cell r="AQ59">
            <v>-499.995</v>
          </cell>
          <cell r="AR59">
            <v>-399.98900000000003</v>
          </cell>
          <cell r="AS59">
            <v>-399.99200000000002</v>
          </cell>
          <cell r="AT59">
            <v>-200.01900000000001</v>
          </cell>
          <cell r="AU59">
            <v>-199.99799999999999</v>
          </cell>
          <cell r="AV59">
            <v>-199.89599999999999</v>
          </cell>
          <cell r="AW59">
            <v>-200</v>
          </cell>
          <cell r="AX59">
            <v>-99.986999999999995</v>
          </cell>
          <cell r="AY59">
            <v>-123</v>
          </cell>
          <cell r="AZ59">
            <v>-120</v>
          </cell>
          <cell r="BA59">
            <v>-121</v>
          </cell>
          <cell r="BB59">
            <v>-189</v>
          </cell>
          <cell r="BC59">
            <v>-200</v>
          </cell>
          <cell r="BD59">
            <v>-225</v>
          </cell>
          <cell r="BE59">
            <v>-265</v>
          </cell>
          <cell r="BF59">
            <v>-182</v>
          </cell>
          <cell r="BG59">
            <v>-198</v>
          </cell>
          <cell r="BH59">
            <v>-275</v>
          </cell>
          <cell r="BI59">
            <v>-220</v>
          </cell>
          <cell r="BJ59">
            <v>-200</v>
          </cell>
          <cell r="BK59">
            <v>-301</v>
          </cell>
          <cell r="BL59">
            <v>-200</v>
          </cell>
          <cell r="BM59">
            <v>-200</v>
          </cell>
          <cell r="BN59">
            <v>-125</v>
          </cell>
          <cell r="BO59">
            <v>-125</v>
          </cell>
          <cell r="BP59">
            <v>-125</v>
          </cell>
          <cell r="BQ59">
            <v>-125</v>
          </cell>
          <cell r="BR59">
            <v>-125</v>
          </cell>
          <cell r="BS59">
            <v>-125</v>
          </cell>
          <cell r="BT59">
            <v>-125</v>
          </cell>
          <cell r="BU59">
            <v>-125</v>
          </cell>
          <cell r="BV59">
            <v>-125</v>
          </cell>
          <cell r="BW59">
            <v>-90</v>
          </cell>
          <cell r="BX59">
            <v>-160</v>
          </cell>
          <cell r="BY59">
            <v>-618</v>
          </cell>
          <cell r="BZ59">
            <v>-1000</v>
          </cell>
          <cell r="CA59">
            <v>0</v>
          </cell>
          <cell r="CB59">
            <v>0</v>
          </cell>
          <cell r="CC59">
            <v>0</v>
          </cell>
          <cell r="CD59">
            <v>-500</v>
          </cell>
          <cell r="CE59">
            <v>0</v>
          </cell>
          <cell r="CF59">
            <v>0</v>
          </cell>
          <cell r="CG59">
            <v>0</v>
          </cell>
          <cell r="CH59">
            <v>0</v>
          </cell>
          <cell r="CI59">
            <v>-131.07815111203385</v>
          </cell>
          <cell r="CJ59">
            <v>-163.77801769295323</v>
          </cell>
          <cell r="CK59">
            <v>-183.24479408573103</v>
          </cell>
          <cell r="CL59">
            <v>-181.56601522964107</v>
          </cell>
          <cell r="CM59">
            <v>-232.57551659447606</v>
          </cell>
          <cell r="CN59">
            <v>-249.91937681122081</v>
          </cell>
          <cell r="CO59">
            <v>-260.45609532545353</v>
          </cell>
          <cell r="CP59">
            <v>-267.28881468366342</v>
          </cell>
          <cell r="CQ59">
            <v>-210.76904481047413</v>
          </cell>
          <cell r="CR59">
            <v>-213.29719365215777</v>
          </cell>
          <cell r="CS59">
            <v>-215.46103217824682</v>
          </cell>
          <cell r="CT59">
            <v>-217.95776156513443</v>
          </cell>
          <cell r="CU59">
            <v>-221.85591349235096</v>
          </cell>
          <cell r="CV59">
            <v>-225.1848664765435</v>
          </cell>
          <cell r="CW59">
            <v>-228.34239289234773</v>
          </cell>
          <cell r="CX59">
            <v>-231.3281044117802</v>
          </cell>
          <cell r="CY59">
            <v>0</v>
          </cell>
          <cell r="CZ59">
            <v>0</v>
          </cell>
          <cell r="DA59">
            <v>0</v>
          </cell>
          <cell r="DB59">
            <v>0</v>
          </cell>
          <cell r="DC59">
            <v>0</v>
          </cell>
          <cell r="DD59">
            <v>-204.42</v>
          </cell>
          <cell r="DE59">
            <v>-64.331999999999994</v>
          </cell>
          <cell r="DF59">
            <v>-376.23899999999998</v>
          </cell>
          <cell r="DG59">
            <v>-441.90700000000004</v>
          </cell>
          <cell r="DH59">
            <v>-3483.1650000000004</v>
          </cell>
          <cell r="DI59">
            <v>-2846.3119999999999</v>
          </cell>
          <cell r="DJ59">
            <v>-1499.9950000000001</v>
          </cell>
          <cell r="DK59">
            <v>-699.88099999999997</v>
          </cell>
          <cell r="DL59">
            <v>-553</v>
          </cell>
          <cell r="DM59">
            <v>-872</v>
          </cell>
          <cell r="DN59">
            <v>-893</v>
          </cell>
          <cell r="DO59">
            <v>-826</v>
          </cell>
          <cell r="DP59">
            <v>-500</v>
          </cell>
          <cell r="DQ59">
            <v>-500</v>
          </cell>
          <cell r="DR59">
            <v>-1868</v>
          </cell>
          <cell r="DS59">
            <v>-500</v>
          </cell>
          <cell r="DT59">
            <v>0</v>
          </cell>
          <cell r="DU59">
            <v>-659.6669781203592</v>
          </cell>
          <cell r="DV59">
            <v>-1010.2398034148138</v>
          </cell>
          <cell r="DW59">
            <v>-857.4850322060131</v>
          </cell>
          <cell r="DX59">
            <v>-906.71127727302246</v>
          </cell>
          <cell r="DY59">
            <v>-500</v>
          </cell>
          <cell r="DZ59">
            <v>-1868</v>
          </cell>
          <cell r="EA59">
            <v>-500</v>
          </cell>
          <cell r="EB59">
            <v>0</v>
          </cell>
          <cell r="EC59">
            <v>-126.62942537364573</v>
          </cell>
          <cell r="ED59">
            <v>-641.70068759944218</v>
          </cell>
          <cell r="EE59">
            <v>-760.58528819607091</v>
          </cell>
          <cell r="EF59">
            <v>-791.35907598800338</v>
          </cell>
        </row>
        <row r="60">
          <cell r="A60" t="str">
            <v>Dividends paid</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cell r="BM60">
            <v>0</v>
          </cell>
          <cell r="BN60">
            <v>0</v>
          </cell>
          <cell r="BO60">
            <v>-105</v>
          </cell>
          <cell r="BP60">
            <v>-105</v>
          </cell>
          <cell r="BQ60">
            <v>-104</v>
          </cell>
          <cell r="BR60">
            <v>-104</v>
          </cell>
          <cell r="BS60">
            <v>-104</v>
          </cell>
          <cell r="BT60">
            <v>-103</v>
          </cell>
          <cell r="BU60">
            <v>-104</v>
          </cell>
          <cell r="BV60">
            <v>-102</v>
          </cell>
          <cell r="BW60">
            <v>-107</v>
          </cell>
          <cell r="BX60">
            <v>-103</v>
          </cell>
          <cell r="BY60">
            <v>-102</v>
          </cell>
          <cell r="BZ60">
            <v>-2718</v>
          </cell>
          <cell r="CA60">
            <v>-68</v>
          </cell>
          <cell r="CB60">
            <v>-52</v>
          </cell>
          <cell r="CC60">
            <v>-53</v>
          </cell>
          <cell r="CD60">
            <v>-49</v>
          </cell>
          <cell r="CE60">
            <v>-66</v>
          </cell>
          <cell r="CF60">
            <v>-48</v>
          </cell>
          <cell r="CG60">
            <v>-49</v>
          </cell>
          <cell r="CH60">
            <v>-47.54887500000001</v>
          </cell>
          <cell r="CI60">
            <v>-47.620934615230389</v>
          </cell>
          <cell r="CJ60">
            <v>-47.54816220582714</v>
          </cell>
          <cell r="CK60">
            <v>-47.437420762728507</v>
          </cell>
          <cell r="CL60">
            <v>-47.320076573632825</v>
          </cell>
          <cell r="CM60">
            <v>-47.171798114399657</v>
          </cell>
          <cell r="CN60">
            <v>-46.978399942466488</v>
          </cell>
          <cell r="CO60">
            <v>-46.774270883664933</v>
          </cell>
          <cell r="CP60">
            <v>-46.568228809867648</v>
          </cell>
          <cell r="CQ60">
            <v>-46.40870761002207</v>
          </cell>
          <cell r="CR60">
            <v>-46.298334744679174</v>
          </cell>
          <cell r="CS60">
            <v>-46.1937723115743</v>
          </cell>
          <cell r="CT60">
            <v>-46.094969547077632</v>
          </cell>
          <cell r="CU60">
            <v>-45.998967799517665</v>
          </cell>
          <cell r="CV60">
            <v>-45.906990153244216</v>
          </cell>
          <cell r="CW60">
            <v>-45.819502083719662</v>
          </cell>
          <cell r="CX60">
            <v>-45.736687352130495</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-418</v>
          </cell>
          <cell r="DQ60">
            <v>-413</v>
          </cell>
          <cell r="DR60">
            <v>-3030</v>
          </cell>
          <cell r="DS60">
            <v>-222</v>
          </cell>
          <cell r="DT60">
            <v>-210.54887500000001</v>
          </cell>
          <cell r="DU60">
            <v>-189.92659415741889</v>
          </cell>
          <cell r="DV60">
            <v>-187.49269775039875</v>
          </cell>
          <cell r="DW60">
            <v>-184.99578421335318</v>
          </cell>
          <cell r="DX60">
            <v>-183.46214738861204</v>
          </cell>
          <cell r="DY60">
            <v>-413</v>
          </cell>
          <cell r="DZ60">
            <v>-3030</v>
          </cell>
          <cell r="EA60">
            <v>-222</v>
          </cell>
          <cell r="EB60">
            <v>-211</v>
          </cell>
          <cell r="EC60">
            <v>-189.28359910481652</v>
          </cell>
          <cell r="ED60">
            <v>-189.75655613870313</v>
          </cell>
          <cell r="EE60">
            <v>-187.92039935913633</v>
          </cell>
          <cell r="EF60">
            <v>-186.22224866360426</v>
          </cell>
        </row>
        <row r="61">
          <cell r="A61" t="str">
            <v>Excess tax benefit from stock options</v>
          </cell>
          <cell r="B61">
            <v>0</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9.0440000000000005</v>
          </cell>
          <cell r="AR61">
            <v>4.4849999999999994</v>
          </cell>
          <cell r="AS61">
            <v>4.7779999999999987</v>
          </cell>
          <cell r="AT61">
            <v>7.8440000000000012</v>
          </cell>
          <cell r="AU61">
            <v>9.0329999999999995</v>
          </cell>
          <cell r="AV61">
            <v>6.974000000000002</v>
          </cell>
          <cell r="AW61">
            <v>0.18999999999999773</v>
          </cell>
          <cell r="AX61">
            <v>1.6810000000000009</v>
          </cell>
          <cell r="AY61">
            <v>3</v>
          </cell>
          <cell r="AZ61">
            <v>3</v>
          </cell>
          <cell r="BA61">
            <v>4</v>
          </cell>
          <cell r="BB61">
            <v>3</v>
          </cell>
          <cell r="BC61">
            <v>1</v>
          </cell>
          <cell r="BD61">
            <v>0</v>
          </cell>
          <cell r="BE61">
            <v>3</v>
          </cell>
          <cell r="BF61">
            <v>3</v>
          </cell>
          <cell r="BG61">
            <v>4</v>
          </cell>
          <cell r="BH61">
            <v>1</v>
          </cell>
          <cell r="BI61">
            <v>1</v>
          </cell>
          <cell r="BJ61">
            <v>2</v>
          </cell>
          <cell r="BK61">
            <v>0</v>
          </cell>
          <cell r="BL61">
            <v>1</v>
          </cell>
          <cell r="BM61">
            <v>1</v>
          </cell>
          <cell r="BN61">
            <v>9</v>
          </cell>
          <cell r="BO61">
            <v>9</v>
          </cell>
          <cell r="BP61">
            <v>4</v>
          </cell>
          <cell r="BQ61">
            <v>0</v>
          </cell>
          <cell r="BR61">
            <v>4</v>
          </cell>
          <cell r="BS61">
            <v>3</v>
          </cell>
          <cell r="BT61">
            <v>2</v>
          </cell>
          <cell r="BU61">
            <v>1</v>
          </cell>
          <cell r="BV61">
            <v>4</v>
          </cell>
          <cell r="BW61">
            <v>5</v>
          </cell>
          <cell r="BX61">
            <v>1</v>
          </cell>
          <cell r="BY61">
            <v>0</v>
          </cell>
          <cell r="BZ61">
            <v>0</v>
          </cell>
          <cell r="CA61">
            <v>0</v>
          </cell>
          <cell r="CB61">
            <v>0</v>
          </cell>
          <cell r="CC61">
            <v>0</v>
          </cell>
          <cell r="CD61">
            <v>0</v>
          </cell>
          <cell r="CE61">
            <v>0</v>
          </cell>
          <cell r="CF61">
            <v>-83</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26.151</v>
          </cell>
          <cell r="DK61">
            <v>17.878</v>
          </cell>
          <cell r="DL61">
            <v>13</v>
          </cell>
          <cell r="DM61">
            <v>7</v>
          </cell>
          <cell r="DN61">
            <v>8</v>
          </cell>
          <cell r="DO61">
            <v>11</v>
          </cell>
          <cell r="DP61">
            <v>17</v>
          </cell>
          <cell r="DQ61">
            <v>10</v>
          </cell>
          <cell r="DR61">
            <v>6</v>
          </cell>
          <cell r="DS61">
            <v>0</v>
          </cell>
          <cell r="DT61">
            <v>-83</v>
          </cell>
          <cell r="DU61">
            <v>0</v>
          </cell>
          <cell r="DV61">
            <v>0</v>
          </cell>
          <cell r="DW61">
            <v>0</v>
          </cell>
          <cell r="DX61">
            <v>0</v>
          </cell>
          <cell r="DY61">
            <v>10</v>
          </cell>
          <cell r="DZ61">
            <v>6</v>
          </cell>
          <cell r="EA61">
            <v>0</v>
          </cell>
          <cell r="EB61">
            <v>-93</v>
          </cell>
          <cell r="EC61">
            <v>0</v>
          </cell>
          <cell r="ED61">
            <v>0</v>
          </cell>
          <cell r="EE61">
            <v>0</v>
          </cell>
          <cell r="EF61">
            <v>0</v>
          </cell>
        </row>
        <row r="62">
          <cell r="A62" t="str">
            <v>Principal payments on long-term obligations</v>
          </cell>
          <cell r="B62">
            <v>0</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584.625</v>
          </cell>
          <cell r="V62">
            <v>-1.8919999999999999</v>
          </cell>
          <cell r="W62">
            <v>0</v>
          </cell>
          <cell r="X62">
            <v>0</v>
          </cell>
          <cell r="Y62">
            <v>0</v>
          </cell>
          <cell r="Z62">
            <v>0</v>
          </cell>
          <cell r="AA62">
            <v>0</v>
          </cell>
          <cell r="AB62">
            <v>0</v>
          </cell>
          <cell r="AC62">
            <v>116.62900000000002</v>
          </cell>
          <cell r="AD62">
            <v>-0.10000000000002274</v>
          </cell>
          <cell r="AE62">
            <v>0</v>
          </cell>
          <cell r="AF62">
            <v>-0.17</v>
          </cell>
          <cell r="AG62">
            <v>0</v>
          </cell>
          <cell r="AH62">
            <v>0</v>
          </cell>
          <cell r="AI62">
            <v>-380.63</v>
          </cell>
          <cell r="AJ62">
            <v>-491.46199999999999</v>
          </cell>
          <cell r="AK62">
            <v>0</v>
          </cell>
          <cell r="AL62">
            <v>0</v>
          </cell>
          <cell r="AM62">
            <v>0</v>
          </cell>
          <cell r="AN62">
            <v>-520</v>
          </cell>
          <cell r="AO62">
            <v>0</v>
          </cell>
          <cell r="AP62">
            <v>0</v>
          </cell>
          <cell r="AQ62">
            <v>-5.3330000000000002</v>
          </cell>
          <cell r="AR62">
            <v>-2.2709999999999999</v>
          </cell>
          <cell r="AS62">
            <v>-2.3090000000000002</v>
          </cell>
          <cell r="AT62">
            <v>-1.8109999999999999</v>
          </cell>
          <cell r="AU62">
            <v>-201.84200000000001</v>
          </cell>
          <cell r="AV62">
            <v>-1.8740000000000001</v>
          </cell>
          <cell r="AW62">
            <v>-1.9059999999999999</v>
          </cell>
          <cell r="AX62">
            <v>-2.008</v>
          </cell>
          <cell r="AY62">
            <v>-1</v>
          </cell>
          <cell r="AZ62">
            <v>-3</v>
          </cell>
          <cell r="BA62">
            <v>0</v>
          </cell>
          <cell r="BB62">
            <v>-1</v>
          </cell>
          <cell r="BC62">
            <v>-1</v>
          </cell>
          <cell r="BD62">
            <v>-511</v>
          </cell>
          <cell r="BE62">
            <v>0</v>
          </cell>
          <cell r="BF62">
            <v>0</v>
          </cell>
          <cell r="BG62">
            <v>-600</v>
          </cell>
          <cell r="BH62">
            <v>-1</v>
          </cell>
          <cell r="BI62">
            <v>-1</v>
          </cell>
          <cell r="BJ62">
            <v>-5</v>
          </cell>
          <cell r="BK62">
            <v>0</v>
          </cell>
          <cell r="BL62">
            <v>0</v>
          </cell>
          <cell r="BM62">
            <v>0</v>
          </cell>
          <cell r="BN62">
            <v>0</v>
          </cell>
          <cell r="BO62">
            <v>-1189</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-68</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582.73299999999995</v>
          </cell>
          <cell r="DE62">
            <v>0</v>
          </cell>
          <cell r="DF62">
            <v>116.529</v>
          </cell>
          <cell r="DG62">
            <v>-0.17</v>
          </cell>
          <cell r="DH62">
            <v>-872.09199999999998</v>
          </cell>
          <cell r="DI62">
            <v>-520</v>
          </cell>
          <cell r="DJ62">
            <v>-11.724</v>
          </cell>
          <cell r="DK62">
            <v>-207.63000000000002</v>
          </cell>
          <cell r="DL62">
            <v>-5</v>
          </cell>
          <cell r="DM62">
            <v>-512</v>
          </cell>
          <cell r="DN62">
            <v>-607</v>
          </cell>
          <cell r="DO62">
            <v>0</v>
          </cell>
          <cell r="DP62">
            <v>-1189</v>
          </cell>
          <cell r="DQ62">
            <v>0</v>
          </cell>
          <cell r="DR62">
            <v>0</v>
          </cell>
          <cell r="DS62">
            <v>0</v>
          </cell>
          <cell r="DT62">
            <v>-68</v>
          </cell>
          <cell r="DU62">
            <v>0</v>
          </cell>
          <cell r="DV62">
            <v>0</v>
          </cell>
          <cell r="DW62">
            <v>0</v>
          </cell>
          <cell r="DX62">
            <v>0</v>
          </cell>
          <cell r="DY62">
            <v>0</v>
          </cell>
          <cell r="DZ62">
            <v>0</v>
          </cell>
          <cell r="EA62">
            <v>0</v>
          </cell>
          <cell r="EB62">
            <v>-68</v>
          </cell>
          <cell r="EC62">
            <v>0</v>
          </cell>
          <cell r="ED62">
            <v>0</v>
          </cell>
          <cell r="EE62">
            <v>0</v>
          </cell>
          <cell r="EF62">
            <v>0</v>
          </cell>
        </row>
        <row r="63">
          <cell r="A63" t="str">
            <v>Issuance (repayment) of debt</v>
          </cell>
          <cell r="B63">
            <v>0</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2067.7620000000002</v>
          </cell>
          <cell r="AN63">
            <v>0</v>
          </cell>
          <cell r="AO63">
            <v>0</v>
          </cell>
          <cell r="AP63">
            <v>-0.46300000000019281</v>
          </cell>
          <cell r="AQ63">
            <v>0</v>
          </cell>
          <cell r="AR63">
            <v>0</v>
          </cell>
          <cell r="AS63">
            <v>200</v>
          </cell>
          <cell r="AT63">
            <v>0</v>
          </cell>
          <cell r="AU63">
            <v>0</v>
          </cell>
          <cell r="AV63">
            <v>0</v>
          </cell>
          <cell r="AW63">
            <v>0</v>
          </cell>
          <cell r="AX63">
            <v>0</v>
          </cell>
          <cell r="AY63">
            <v>0</v>
          </cell>
          <cell r="AZ63">
            <v>0</v>
          </cell>
          <cell r="BA63">
            <v>0</v>
          </cell>
          <cell r="BB63">
            <v>0</v>
          </cell>
          <cell r="BC63">
            <v>0</v>
          </cell>
          <cell r="BD63">
            <v>1100</v>
          </cell>
          <cell r="BE63">
            <v>0</v>
          </cell>
          <cell r="BF63">
            <v>0</v>
          </cell>
          <cell r="BG63">
            <v>0</v>
          </cell>
          <cell r="BH63">
            <v>0</v>
          </cell>
          <cell r="BI63">
            <v>0</v>
          </cell>
          <cell r="BJ63">
            <v>0</v>
          </cell>
          <cell r="BK63">
            <v>989</v>
          </cell>
          <cell r="BL63">
            <v>0</v>
          </cell>
          <cell r="BM63">
            <v>0</v>
          </cell>
          <cell r="BN63">
            <v>0</v>
          </cell>
          <cell r="BO63">
            <v>189</v>
          </cell>
          <cell r="BP63">
            <v>0</v>
          </cell>
          <cell r="BQ63">
            <v>0</v>
          </cell>
          <cell r="BR63">
            <v>0</v>
          </cell>
          <cell r="BS63">
            <v>-18</v>
          </cell>
          <cell r="BT63">
            <v>0</v>
          </cell>
          <cell r="BU63">
            <v>-1</v>
          </cell>
          <cell r="BV63">
            <v>-2</v>
          </cell>
          <cell r="BW63">
            <v>-17</v>
          </cell>
          <cell r="BX63">
            <v>-350</v>
          </cell>
          <cell r="BY63">
            <v>-1</v>
          </cell>
          <cell r="BZ63">
            <v>500</v>
          </cell>
          <cell r="CA63">
            <v>977</v>
          </cell>
          <cell r="CB63">
            <v>4005</v>
          </cell>
          <cell r="CC63">
            <v>-51</v>
          </cell>
          <cell r="CD63">
            <v>1031</v>
          </cell>
          <cell r="CE63">
            <v>-2010</v>
          </cell>
          <cell r="CF63">
            <v>0</v>
          </cell>
          <cell r="CG63">
            <v>-630</v>
          </cell>
          <cell r="CH63">
            <v>-395</v>
          </cell>
          <cell r="CI63">
            <v>0</v>
          </cell>
          <cell r="CJ63">
            <v>0</v>
          </cell>
          <cell r="CK63">
            <v>0</v>
          </cell>
          <cell r="CL63">
            <v>0</v>
          </cell>
          <cell r="CM63">
            <v>-170</v>
          </cell>
          <cell r="CN63">
            <v>-1000</v>
          </cell>
          <cell r="CO63">
            <v>0</v>
          </cell>
          <cell r="CP63">
            <v>0</v>
          </cell>
          <cell r="CQ63">
            <v>0</v>
          </cell>
          <cell r="CR63">
            <v>-750</v>
          </cell>
          <cell r="CS63">
            <v>0</v>
          </cell>
          <cell r="CT63">
            <v>0</v>
          </cell>
          <cell r="CU63">
            <v>-500</v>
          </cell>
          <cell r="CV63">
            <v>-1370</v>
          </cell>
          <cell r="CW63">
            <v>0</v>
          </cell>
          <cell r="CX63">
            <v>0</v>
          </cell>
          <cell r="CY63">
            <v>0</v>
          </cell>
          <cell r="CZ63">
            <v>0</v>
          </cell>
          <cell r="DA63">
            <v>0</v>
          </cell>
          <cell r="DB63">
            <v>0</v>
          </cell>
          <cell r="DC63">
            <v>0</v>
          </cell>
          <cell r="DD63">
            <v>0</v>
          </cell>
          <cell r="DE63">
            <v>0</v>
          </cell>
          <cell r="DF63">
            <v>0</v>
          </cell>
          <cell r="DG63">
            <v>0</v>
          </cell>
          <cell r="DH63">
            <v>0</v>
          </cell>
          <cell r="DI63">
            <v>2067.299</v>
          </cell>
          <cell r="DJ63">
            <v>200</v>
          </cell>
          <cell r="DK63">
            <v>0</v>
          </cell>
          <cell r="DL63">
            <v>0</v>
          </cell>
          <cell r="DM63">
            <v>1100</v>
          </cell>
          <cell r="DN63">
            <v>0</v>
          </cell>
          <cell r="DO63">
            <v>989</v>
          </cell>
          <cell r="DP63">
            <v>189</v>
          </cell>
          <cell r="DQ63">
            <v>-21</v>
          </cell>
          <cell r="DR63">
            <v>132</v>
          </cell>
          <cell r="DS63">
            <v>5962</v>
          </cell>
          <cell r="DT63">
            <v>-3035</v>
          </cell>
          <cell r="DU63">
            <v>0</v>
          </cell>
          <cell r="DV63">
            <v>-1170</v>
          </cell>
          <cell r="DW63">
            <v>-750</v>
          </cell>
          <cell r="DX63">
            <v>-1870</v>
          </cell>
          <cell r="DY63">
            <v>-21</v>
          </cell>
          <cell r="DZ63">
            <v>132</v>
          </cell>
          <cell r="EA63">
            <v>5962</v>
          </cell>
          <cell r="EB63">
            <v>-3210</v>
          </cell>
          <cell r="EC63">
            <v>166</v>
          </cell>
          <cell r="ED63">
            <v>-1170</v>
          </cell>
          <cell r="EE63">
            <v>-750</v>
          </cell>
          <cell r="EF63">
            <v>-1870</v>
          </cell>
        </row>
        <row r="64">
          <cell r="A64" t="str">
            <v>Purchase of hedge on convertible senior notes</v>
          </cell>
          <cell r="B64">
            <v>0</v>
          </cell>
          <cell r="C64">
            <v>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-592.49</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0</v>
          </cell>
          <cell r="BP64">
            <v>0</v>
          </cell>
          <cell r="BQ64">
            <v>0</v>
          </cell>
          <cell r="BR64">
            <v>0</v>
          </cell>
          <cell r="BS64">
            <v>34</v>
          </cell>
          <cell r="BT64">
            <v>0</v>
          </cell>
          <cell r="BU64">
            <v>2</v>
          </cell>
          <cell r="BV64">
            <v>8</v>
          </cell>
          <cell r="BW64">
            <v>0</v>
          </cell>
          <cell r="BX64">
            <v>0</v>
          </cell>
          <cell r="BY64">
            <v>0</v>
          </cell>
          <cell r="BZ64">
            <v>0</v>
          </cell>
          <cell r="CA64">
            <v>0</v>
          </cell>
          <cell r="CB64">
            <v>0</v>
          </cell>
          <cell r="CC64">
            <v>0</v>
          </cell>
          <cell r="CD64">
            <v>0</v>
          </cell>
          <cell r="CE64">
            <v>0</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-592.49</v>
          </cell>
          <cell r="DJ64">
            <v>0</v>
          </cell>
          <cell r="DK64">
            <v>0</v>
          </cell>
          <cell r="DL64">
            <v>0</v>
          </cell>
          <cell r="DM64">
            <v>0</v>
          </cell>
          <cell r="DN64">
            <v>0</v>
          </cell>
          <cell r="DO64">
            <v>0</v>
          </cell>
          <cell r="DP64">
            <v>0</v>
          </cell>
          <cell r="DQ64">
            <v>44</v>
          </cell>
          <cell r="DR64">
            <v>0</v>
          </cell>
          <cell r="DS64">
            <v>0</v>
          </cell>
          <cell r="DT64">
            <v>0</v>
          </cell>
          <cell r="DU64">
            <v>0</v>
          </cell>
          <cell r="DV64">
            <v>0</v>
          </cell>
          <cell r="DW64">
            <v>0</v>
          </cell>
          <cell r="DX64">
            <v>0</v>
          </cell>
          <cell r="DY64">
            <v>44</v>
          </cell>
          <cell r="DZ64">
            <v>0</v>
          </cell>
          <cell r="EA64">
            <v>0</v>
          </cell>
          <cell r="EB64">
            <v>0</v>
          </cell>
          <cell r="EC64">
            <v>0</v>
          </cell>
          <cell r="ED64">
            <v>0</v>
          </cell>
          <cell r="EE64">
            <v>0</v>
          </cell>
          <cell r="EF64">
            <v>0</v>
          </cell>
        </row>
        <row r="65">
          <cell r="A65" t="str">
            <v>Sale of common stock warrants and other</v>
          </cell>
          <cell r="B65">
            <v>0</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326.10199999999998</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-92</v>
          </cell>
          <cell r="BM65">
            <v>0</v>
          </cell>
          <cell r="BN65">
            <v>-19</v>
          </cell>
          <cell r="BO65">
            <v>0</v>
          </cell>
          <cell r="BP65">
            <v>0</v>
          </cell>
          <cell r="BQ65">
            <v>0</v>
          </cell>
          <cell r="BR65">
            <v>0</v>
          </cell>
          <cell r="BS65">
            <v>0</v>
          </cell>
          <cell r="BT65">
            <v>0</v>
          </cell>
          <cell r="BU65">
            <v>0</v>
          </cell>
          <cell r="BV65">
            <v>0</v>
          </cell>
          <cell r="BW65">
            <v>-12</v>
          </cell>
          <cell r="BX65">
            <v>-1</v>
          </cell>
          <cell r="BY65">
            <v>-4</v>
          </cell>
          <cell r="BZ65">
            <v>-14</v>
          </cell>
          <cell r="CA65">
            <v>10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326.10199999999998</v>
          </cell>
          <cell r="DJ65">
            <v>0</v>
          </cell>
          <cell r="DK65">
            <v>0</v>
          </cell>
          <cell r="DL65">
            <v>0</v>
          </cell>
          <cell r="DM65">
            <v>0</v>
          </cell>
          <cell r="DN65">
            <v>0</v>
          </cell>
          <cell r="DO65">
            <v>-111</v>
          </cell>
          <cell r="DP65">
            <v>0</v>
          </cell>
          <cell r="DQ65">
            <v>0</v>
          </cell>
          <cell r="DR65">
            <v>-31</v>
          </cell>
          <cell r="DS65">
            <v>10</v>
          </cell>
          <cell r="DT65">
            <v>0</v>
          </cell>
          <cell r="DU65">
            <v>0</v>
          </cell>
          <cell r="DV65">
            <v>0</v>
          </cell>
          <cell r="DW65">
            <v>0</v>
          </cell>
          <cell r="DX65">
            <v>0</v>
          </cell>
          <cell r="DY65">
            <v>0</v>
          </cell>
          <cell r="DZ65">
            <v>-31</v>
          </cell>
          <cell r="EA65">
            <v>10</v>
          </cell>
          <cell r="EB65">
            <v>0</v>
          </cell>
          <cell r="EC65">
            <v>0</v>
          </cell>
          <cell r="ED65">
            <v>0</v>
          </cell>
          <cell r="EE65">
            <v>0</v>
          </cell>
          <cell r="EF65">
            <v>0</v>
          </cell>
        </row>
        <row r="66">
          <cell r="A66" t="str">
            <v>Net proceeds from sale of common stocks</v>
          </cell>
          <cell r="B66">
            <v>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95.841999999999999</v>
          </cell>
          <cell r="T66">
            <v>24.325000000000003</v>
          </cell>
          <cell r="U66">
            <v>48.396000000000001</v>
          </cell>
          <cell r="V66">
            <v>69.550000000000011</v>
          </cell>
          <cell r="W66">
            <v>71.739000000000004</v>
          </cell>
          <cell r="X66">
            <v>23.637999999999998</v>
          </cell>
          <cell r="Y66">
            <v>74.314000000000007</v>
          </cell>
          <cell r="Z66">
            <v>53.601999999999997</v>
          </cell>
          <cell r="AA66">
            <v>74.170999999999992</v>
          </cell>
          <cell r="AB66">
            <v>100.73600000000002</v>
          </cell>
          <cell r="AC66">
            <v>109.06199999999998</v>
          </cell>
          <cell r="AD66">
            <v>83.813000000000017</v>
          </cell>
          <cell r="AE66">
            <v>85.484999999999999</v>
          </cell>
          <cell r="AF66">
            <v>58.033999999999999</v>
          </cell>
          <cell r="AG66">
            <v>77.656999999999982</v>
          </cell>
          <cell r="AH66">
            <v>61.088000000000001</v>
          </cell>
          <cell r="AI66">
            <v>77.900999999999996</v>
          </cell>
          <cell r="AJ66">
            <v>42.239000000000004</v>
          </cell>
          <cell r="AK66">
            <v>49.408999999999992</v>
          </cell>
          <cell r="AL66">
            <v>79.498999999999995</v>
          </cell>
          <cell r="AM66">
            <v>40.481000000000002</v>
          </cell>
          <cell r="AN66">
            <v>77.501000000000005</v>
          </cell>
          <cell r="AO66">
            <v>51.273999999999994</v>
          </cell>
          <cell r="AP66">
            <v>61.03899999999998</v>
          </cell>
          <cell r="AQ66">
            <v>59.223999999999997</v>
          </cell>
          <cell r="AR66">
            <v>67.946000000000012</v>
          </cell>
          <cell r="AS66">
            <v>33.25</v>
          </cell>
          <cell r="AT66">
            <v>59.594999999999999</v>
          </cell>
          <cell r="AU66">
            <v>60.218999999999994</v>
          </cell>
          <cell r="AV66">
            <v>110.488</v>
          </cell>
          <cell r="AW66">
            <v>3.327</v>
          </cell>
          <cell r="AX66">
            <v>39.491999999999997</v>
          </cell>
          <cell r="AY66">
            <v>-7</v>
          </cell>
          <cell r="AZ66">
            <v>43</v>
          </cell>
          <cell r="BA66">
            <v>19</v>
          </cell>
          <cell r="BB66">
            <v>50</v>
          </cell>
          <cell r="BC66">
            <v>-7</v>
          </cell>
          <cell r="BD66">
            <v>35</v>
          </cell>
          <cell r="BE66">
            <v>19</v>
          </cell>
          <cell r="BF66">
            <v>46</v>
          </cell>
          <cell r="BG66">
            <v>16</v>
          </cell>
          <cell r="BH66">
            <v>46</v>
          </cell>
          <cell r="BI66">
            <v>11</v>
          </cell>
          <cell r="BJ66">
            <v>33</v>
          </cell>
          <cell r="BK66">
            <v>-3</v>
          </cell>
          <cell r="BL66">
            <v>67</v>
          </cell>
          <cell r="BM66">
            <v>22</v>
          </cell>
          <cell r="BN66">
            <v>159</v>
          </cell>
          <cell r="BO66">
            <v>29</v>
          </cell>
          <cell r="BP66">
            <v>101</v>
          </cell>
          <cell r="BQ66">
            <v>21</v>
          </cell>
          <cell r="BR66">
            <v>38</v>
          </cell>
          <cell r="BS66">
            <v>-6</v>
          </cell>
          <cell r="BT66">
            <v>38</v>
          </cell>
          <cell r="BU66">
            <v>9</v>
          </cell>
          <cell r="BV66">
            <v>28</v>
          </cell>
          <cell r="BW66">
            <v>-18</v>
          </cell>
          <cell r="BX66">
            <v>37</v>
          </cell>
          <cell r="BY66">
            <v>9</v>
          </cell>
          <cell r="BZ66">
            <v>-2</v>
          </cell>
          <cell r="CA66">
            <v>-23</v>
          </cell>
          <cell r="CB66">
            <v>38</v>
          </cell>
          <cell r="CC66">
            <v>-12</v>
          </cell>
          <cell r="CD66">
            <v>27</v>
          </cell>
          <cell r="CE66">
            <v>-50</v>
          </cell>
          <cell r="CF66">
            <v>124</v>
          </cell>
          <cell r="CG66">
            <v>-5</v>
          </cell>
          <cell r="CH66">
            <v>27.773144796380091</v>
          </cell>
          <cell r="CI66">
            <v>-51.667100348664277</v>
          </cell>
          <cell r="CJ66">
            <v>128.2893921971318</v>
          </cell>
          <cell r="CK66">
            <v>-5.1856084155430997</v>
          </cell>
          <cell r="CL66">
            <v>28.271808562515123</v>
          </cell>
          <cell r="CM66">
            <v>-52.508783710224655</v>
          </cell>
          <cell r="CN66">
            <v>130.33429976276184</v>
          </cell>
          <cell r="CO66">
            <v>-5.2671866826553995</v>
          </cell>
          <cell r="CP66">
            <v>28.719108901653108</v>
          </cell>
          <cell r="CQ66">
            <v>-53.253219297561266</v>
          </cell>
          <cell r="CR66">
            <v>132.15572234666018</v>
          </cell>
          <cell r="CS66">
            <v>-5.3403995069097698</v>
          </cell>
          <cell r="CT66">
            <v>29.118463113537302</v>
          </cell>
          <cell r="CU66">
            <v>-54.041615769032276</v>
          </cell>
          <cell r="CV66">
            <v>134.11346738329243</v>
          </cell>
          <cell r="CW66">
            <v>-5.4195646313230643</v>
          </cell>
          <cell r="CX66">
            <v>29.550143848984487</v>
          </cell>
          <cell r="CY66">
            <v>0</v>
          </cell>
          <cell r="CZ66">
            <v>0</v>
          </cell>
          <cell r="DA66">
            <v>0</v>
          </cell>
          <cell r="DB66">
            <v>0</v>
          </cell>
          <cell r="DC66">
            <v>0</v>
          </cell>
          <cell r="DD66">
            <v>238.113</v>
          </cell>
          <cell r="DE66">
            <v>223.29300000000003</v>
          </cell>
          <cell r="DF66">
            <v>367.78200000000004</v>
          </cell>
          <cell r="DG66">
            <v>282.26400000000001</v>
          </cell>
          <cell r="DH66">
            <v>249.04799999999997</v>
          </cell>
          <cell r="DI66">
            <v>230.29499999999999</v>
          </cell>
          <cell r="DJ66">
            <v>220.01500000000001</v>
          </cell>
          <cell r="DK66">
            <v>213.52599999999998</v>
          </cell>
          <cell r="DL66">
            <v>105</v>
          </cell>
          <cell r="DM66">
            <v>93</v>
          </cell>
          <cell r="DN66">
            <v>106</v>
          </cell>
          <cell r="DO66">
            <v>245</v>
          </cell>
          <cell r="DP66">
            <v>189</v>
          </cell>
          <cell r="DQ66">
            <v>69</v>
          </cell>
          <cell r="DR66">
            <v>26</v>
          </cell>
          <cell r="DS66">
            <v>30</v>
          </cell>
          <cell r="DT66">
            <v>96.773144796380095</v>
          </cell>
          <cell r="DU66">
            <v>99.708491995439545</v>
          </cell>
          <cell r="DV66">
            <v>101.27743827153489</v>
          </cell>
          <cell r="DW66">
            <v>102.68056665572645</v>
          </cell>
          <cell r="DX66">
            <v>104.20243083192157</v>
          </cell>
          <cell r="DY66">
            <v>69</v>
          </cell>
          <cell r="DZ66">
            <v>26</v>
          </cell>
          <cell r="EA66">
            <v>30</v>
          </cell>
          <cell r="EB66">
            <v>107</v>
          </cell>
          <cell r="EC66">
            <v>110.03124590154975</v>
          </cell>
          <cell r="ED66">
            <v>113.11886158291396</v>
          </cell>
          <cell r="EE66">
            <v>115.9389853331332</v>
          </cell>
          <cell r="EF66">
            <v>118.79935891771137</v>
          </cell>
        </row>
        <row r="67">
          <cell r="A67" t="str">
            <v>Net cash provided by financing activities</v>
          </cell>
          <cell r="B67">
            <v>0</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95.841999999999999</v>
          </cell>
          <cell r="T67">
            <v>-180.09499999999997</v>
          </cell>
          <cell r="U67">
            <v>633.02099999999996</v>
          </cell>
          <cell r="V67">
            <v>67.658000000000015</v>
          </cell>
          <cell r="W67">
            <v>71.739000000000004</v>
          </cell>
          <cell r="X67">
            <v>-40.693999999999996</v>
          </cell>
          <cell r="Y67">
            <v>74.314000000000007</v>
          </cell>
          <cell r="Z67">
            <v>53.601999999999997</v>
          </cell>
          <cell r="AA67">
            <v>74.170999999999992</v>
          </cell>
          <cell r="AB67">
            <v>100.73600000000002</v>
          </cell>
          <cell r="AC67">
            <v>-90.547999999999973</v>
          </cell>
          <cell r="AD67">
            <v>23.712999999999994</v>
          </cell>
          <cell r="AE67">
            <v>25.588999999999999</v>
          </cell>
          <cell r="AF67">
            <v>-2.1930000000000049</v>
          </cell>
          <cell r="AG67">
            <v>-53.259999999999991</v>
          </cell>
          <cell r="AH67">
            <v>-129.94900000000004</v>
          </cell>
          <cell r="AI67">
            <v>-307.40100000000001</v>
          </cell>
          <cell r="AJ67">
            <v>-2124.5940000000001</v>
          </cell>
          <cell r="AK67">
            <v>-1599.7550000000001</v>
          </cell>
          <cell r="AL67">
            <v>-74.459000000000117</v>
          </cell>
          <cell r="AM67">
            <v>950.49400000000026</v>
          </cell>
          <cell r="AN67">
            <v>-1417.4559999999999</v>
          </cell>
          <cell r="AO67">
            <v>-333.72199999999998</v>
          </cell>
          <cell r="AP67">
            <v>-534.42200000000014</v>
          </cell>
          <cell r="AQ67">
            <v>-437.06000000000006</v>
          </cell>
          <cell r="AR67">
            <v>-329.82900000000001</v>
          </cell>
          <cell r="AS67">
            <v>-164.27300000000002</v>
          </cell>
          <cell r="AT67">
            <v>-134.39100000000002</v>
          </cell>
          <cell r="AU67">
            <v>-332.58800000000002</v>
          </cell>
          <cell r="AV67">
            <v>-84.307999999999993</v>
          </cell>
          <cell r="AW67">
            <v>-198.38900000000001</v>
          </cell>
          <cell r="AX67">
            <v>-60.821999999999996</v>
          </cell>
          <cell r="AY67">
            <v>-128</v>
          </cell>
          <cell r="AZ67">
            <v>-77</v>
          </cell>
          <cell r="BA67">
            <v>-98</v>
          </cell>
          <cell r="BB67">
            <v>-137</v>
          </cell>
          <cell r="BC67">
            <v>-207</v>
          </cell>
          <cell r="BD67">
            <v>399</v>
          </cell>
          <cell r="BE67">
            <v>-243</v>
          </cell>
          <cell r="BF67">
            <v>-133</v>
          </cell>
          <cell r="BG67">
            <v>-778</v>
          </cell>
          <cell r="BH67">
            <v>-229</v>
          </cell>
          <cell r="BI67">
            <v>-209</v>
          </cell>
          <cell r="BJ67">
            <v>-170</v>
          </cell>
          <cell r="BK67">
            <v>685</v>
          </cell>
          <cell r="BL67">
            <v>-224</v>
          </cell>
          <cell r="BM67">
            <v>-177</v>
          </cell>
          <cell r="BN67">
            <v>24</v>
          </cell>
          <cell r="BO67">
            <v>-1192</v>
          </cell>
          <cell r="BP67">
            <v>-125</v>
          </cell>
          <cell r="BQ67">
            <v>-208</v>
          </cell>
          <cell r="BR67">
            <v>-187</v>
          </cell>
          <cell r="BS67">
            <v>-216</v>
          </cell>
          <cell r="BT67">
            <v>-188</v>
          </cell>
          <cell r="BU67">
            <v>-218</v>
          </cell>
          <cell r="BV67">
            <v>-189</v>
          </cell>
          <cell r="BW67">
            <v>-239</v>
          </cell>
          <cell r="BX67">
            <v>-576</v>
          </cell>
          <cell r="BY67">
            <v>-716</v>
          </cell>
          <cell r="BZ67">
            <v>-3234</v>
          </cell>
          <cell r="CA67">
            <v>896</v>
          </cell>
          <cell r="CB67">
            <v>3991</v>
          </cell>
          <cell r="CC67">
            <v>-116</v>
          </cell>
          <cell r="CD67">
            <v>509</v>
          </cell>
          <cell r="CE67">
            <v>-2126</v>
          </cell>
          <cell r="CF67">
            <v>-75</v>
          </cell>
          <cell r="CG67">
            <v>-684</v>
          </cell>
          <cell r="CH67">
            <v>-414.7757302036199</v>
          </cell>
          <cell r="CI67">
            <v>-230.36618607592851</v>
          </cell>
          <cell r="CJ67">
            <v>-83.036787701648564</v>
          </cell>
          <cell r="CK67">
            <v>-235.86782326400262</v>
          </cell>
          <cell r="CL67">
            <v>-200.61428324075877</v>
          </cell>
          <cell r="CM67">
            <v>-502.25609841910034</v>
          </cell>
          <cell r="CN67">
            <v>-1166.5634769909254</v>
          </cell>
          <cell r="CO67">
            <v>-312.49755289177386</v>
          </cell>
          <cell r="CP67">
            <v>-285.13793459187798</v>
          </cell>
          <cell r="CQ67">
            <v>-310.43097171805744</v>
          </cell>
          <cell r="CR67">
            <v>-877.43980605017668</v>
          </cell>
          <cell r="CS67">
            <v>-266.99520399673088</v>
          </cell>
          <cell r="CT67">
            <v>-234.93426799867478</v>
          </cell>
          <cell r="CU67">
            <v>-821.89649706090097</v>
          </cell>
          <cell r="CV67">
            <v>-1506.9783892464955</v>
          </cell>
          <cell r="CW67">
            <v>-279.58145960739046</v>
          </cell>
          <cell r="CX67">
            <v>-247.51464791492623</v>
          </cell>
          <cell r="CY67">
            <v>0</v>
          </cell>
          <cell r="CZ67">
            <v>0</v>
          </cell>
          <cell r="DA67">
            <v>0</v>
          </cell>
          <cell r="DB67">
            <v>0</v>
          </cell>
          <cell r="DC67">
            <v>0</v>
          </cell>
          <cell r="DD67">
            <v>616.42600000000004</v>
          </cell>
          <cell r="DE67">
            <v>158.96100000000001</v>
          </cell>
          <cell r="DF67">
            <v>108.07200000000003</v>
          </cell>
          <cell r="DG67">
            <v>-159.81300000000005</v>
          </cell>
          <cell r="DH67">
            <v>-4106.2089999999998</v>
          </cell>
          <cell r="DI67">
            <v>-1335.1059999999998</v>
          </cell>
          <cell r="DJ67">
            <v>-1065.5530000000001</v>
          </cell>
          <cell r="DK67">
            <v>-676.10700000000008</v>
          </cell>
          <cell r="DL67">
            <v>-440</v>
          </cell>
          <cell r="DM67">
            <v>-184</v>
          </cell>
          <cell r="DN67">
            <v>-1386</v>
          </cell>
          <cell r="DO67">
            <v>308</v>
          </cell>
          <cell r="DP67">
            <v>-1712</v>
          </cell>
          <cell r="DQ67">
            <v>-811</v>
          </cell>
          <cell r="DR67">
            <v>-4765</v>
          </cell>
          <cell r="DS67">
            <v>5280</v>
          </cell>
          <cell r="DT67">
            <v>-3299.7757302036198</v>
          </cell>
          <cell r="DU67">
            <v>-749.88508028233855</v>
          </cell>
          <cell r="DV67">
            <v>-2266.4550628936777</v>
          </cell>
          <cell r="DW67">
            <v>-1689.8002497636398</v>
          </cell>
          <cell r="DX67">
            <v>-2855.9709938297133</v>
          </cell>
          <cell r="DY67">
            <v>-811</v>
          </cell>
          <cell r="DZ67">
            <v>-4765</v>
          </cell>
          <cell r="EA67">
            <v>5280</v>
          </cell>
          <cell r="EB67">
            <v>-3475</v>
          </cell>
          <cell r="EC67">
            <v>-39.881778576912481</v>
          </cell>
          <cell r="ED67">
            <v>-1888.3383821552316</v>
          </cell>
          <cell r="EE67">
            <v>-1582.5667022220739</v>
          </cell>
          <cell r="EF67">
            <v>-2728.7819657338964</v>
          </cell>
        </row>
        <row r="68">
          <cell r="A68">
            <v>0</v>
          </cell>
          <cell r="B68">
            <v>0</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0</v>
          </cell>
          <cell r="DM68">
            <v>0</v>
          </cell>
          <cell r="DN68">
            <v>0</v>
          </cell>
          <cell r="DO68">
            <v>0</v>
          </cell>
          <cell r="DP68">
            <v>0</v>
          </cell>
          <cell r="DQ68">
            <v>0</v>
          </cell>
          <cell r="DR68">
            <v>0</v>
          </cell>
          <cell r="DS68">
            <v>0</v>
          </cell>
          <cell r="DT68">
            <v>0</v>
          </cell>
          <cell r="DU68">
            <v>0</v>
          </cell>
          <cell r="DV68">
            <v>0</v>
          </cell>
          <cell r="DW68">
            <v>0</v>
          </cell>
          <cell r="DX68">
            <v>0</v>
          </cell>
          <cell r="DY68">
            <v>0</v>
          </cell>
          <cell r="DZ68">
            <v>0</v>
          </cell>
          <cell r="EA68">
            <v>0</v>
          </cell>
          <cell r="EB68">
            <v>0</v>
          </cell>
          <cell r="EC68">
            <v>0</v>
          </cell>
          <cell r="ED68">
            <v>0</v>
          </cell>
          <cell r="EE68">
            <v>0</v>
          </cell>
          <cell r="EF68">
            <v>0</v>
          </cell>
        </row>
        <row r="69">
          <cell r="A69" t="str">
            <v>Effect of exchange rate changes</v>
          </cell>
          <cell r="B69">
            <v>0</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4.7290000000000001</v>
          </cell>
          <cell r="T69">
            <v>-7.0360000000000014</v>
          </cell>
          <cell r="U69">
            <v>3.5189999999999992</v>
          </cell>
          <cell r="V69">
            <v>-1.8659999999999997</v>
          </cell>
          <cell r="W69">
            <v>16.494</v>
          </cell>
          <cell r="X69">
            <v>-9.1229999999999993</v>
          </cell>
          <cell r="Y69">
            <v>2.9639999999999995</v>
          </cell>
          <cell r="Z69">
            <v>4.0809999999999995</v>
          </cell>
          <cell r="AA69">
            <v>18.652999999999999</v>
          </cell>
          <cell r="AB69">
            <v>82.369</v>
          </cell>
          <cell r="AC69">
            <v>31.155999999999995</v>
          </cell>
          <cell r="AD69">
            <v>-82.37</v>
          </cell>
          <cell r="AE69">
            <v>-0.43400000000000016</v>
          </cell>
          <cell r="AF69">
            <v>6.5680000000000014</v>
          </cell>
          <cell r="AG69">
            <v>33.737000000000002</v>
          </cell>
          <cell r="AH69">
            <v>16.045000000000002</v>
          </cell>
          <cell r="AI69">
            <v>-48.004999999999995</v>
          </cell>
          <cell r="AJ69">
            <v>6.7210000000000001</v>
          </cell>
          <cell r="AK69">
            <v>-18.853999999999999</v>
          </cell>
          <cell r="AL69">
            <v>21.265999999999998</v>
          </cell>
          <cell r="AM69">
            <v>63.439</v>
          </cell>
          <cell r="AN69">
            <v>-4.3519999999999968</v>
          </cell>
          <cell r="AO69">
            <v>34.300000000000004</v>
          </cell>
          <cell r="AP69">
            <v>15.812000000000005</v>
          </cell>
          <cell r="AQ69">
            <v>12.039</v>
          </cell>
          <cell r="AR69">
            <v>34.400999999999996</v>
          </cell>
          <cell r="AS69">
            <v>19.907</v>
          </cell>
          <cell r="AT69">
            <v>37.962000000000003</v>
          </cell>
          <cell r="AU69">
            <v>-1.321</v>
          </cell>
          <cell r="AV69">
            <v>-93.902000000000001</v>
          </cell>
          <cell r="AW69">
            <v>-29.795000000000002</v>
          </cell>
          <cell r="AX69">
            <v>-5.2590000000000003</v>
          </cell>
          <cell r="AY69">
            <v>40</v>
          </cell>
          <cell r="AZ69">
            <v>20</v>
          </cell>
          <cell r="BA69">
            <v>2</v>
          </cell>
          <cell r="BB69">
            <v>-13</v>
          </cell>
          <cell r="BC69">
            <v>-13</v>
          </cell>
          <cell r="BD69">
            <v>50</v>
          </cell>
          <cell r="BE69">
            <v>3</v>
          </cell>
          <cell r="BF69">
            <v>31</v>
          </cell>
          <cell r="BG69">
            <v>30</v>
          </cell>
          <cell r="BH69">
            <v>-49</v>
          </cell>
          <cell r="BI69">
            <v>9</v>
          </cell>
          <cell r="BJ69">
            <v>25</v>
          </cell>
          <cell r="BK69">
            <v>-22</v>
          </cell>
          <cell r="BL69">
            <v>31</v>
          </cell>
          <cell r="BM69">
            <v>-12</v>
          </cell>
          <cell r="BN69">
            <v>-56</v>
          </cell>
          <cell r="BO69">
            <v>-27</v>
          </cell>
          <cell r="BP69">
            <v>53</v>
          </cell>
          <cell r="BQ69">
            <v>3</v>
          </cell>
          <cell r="BR69">
            <v>7</v>
          </cell>
          <cell r="BS69">
            <v>7</v>
          </cell>
          <cell r="BT69">
            <v>-82</v>
          </cell>
          <cell r="BU69">
            <v>-67</v>
          </cell>
          <cell r="BV69">
            <v>-38</v>
          </cell>
          <cell r="BW69">
            <v>-9</v>
          </cell>
          <cell r="BX69">
            <v>-20</v>
          </cell>
          <cell r="BY69">
            <v>-40</v>
          </cell>
          <cell r="BZ69">
            <v>-44</v>
          </cell>
          <cell r="CA69">
            <v>-16</v>
          </cell>
          <cell r="CB69">
            <v>2</v>
          </cell>
          <cell r="CC69">
            <v>-51</v>
          </cell>
          <cell r="CD69">
            <v>24</v>
          </cell>
          <cell r="CE69">
            <v>26</v>
          </cell>
          <cell r="CF69">
            <v>5</v>
          </cell>
          <cell r="CG69">
            <v>26</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-0.65400000000000169</v>
          </cell>
          <cell r="DE69">
            <v>14.416</v>
          </cell>
          <cell r="DF69">
            <v>49.807999999999993</v>
          </cell>
          <cell r="DG69">
            <v>55.916000000000004</v>
          </cell>
          <cell r="DH69">
            <v>-38.871999999999993</v>
          </cell>
          <cell r="DI69">
            <v>109.19900000000001</v>
          </cell>
          <cell r="DJ69">
            <v>104.309</v>
          </cell>
          <cell r="DK69">
            <v>-130.27699999999999</v>
          </cell>
          <cell r="DL69">
            <v>49</v>
          </cell>
          <cell r="DM69">
            <v>71</v>
          </cell>
          <cell r="DN69">
            <v>15</v>
          </cell>
          <cell r="DO69">
            <v>-59</v>
          </cell>
          <cell r="DP69">
            <v>36</v>
          </cell>
          <cell r="DQ69">
            <v>-180</v>
          </cell>
          <cell r="DR69">
            <v>-113</v>
          </cell>
          <cell r="DS69">
            <v>-41</v>
          </cell>
          <cell r="DT69">
            <v>57</v>
          </cell>
          <cell r="DU69">
            <v>0</v>
          </cell>
          <cell r="DV69">
            <v>0</v>
          </cell>
          <cell r="DW69">
            <v>0</v>
          </cell>
          <cell r="DX69">
            <v>0</v>
          </cell>
          <cell r="DY69">
            <v>-180</v>
          </cell>
          <cell r="DZ69">
            <v>-113</v>
          </cell>
          <cell r="EA69">
            <v>-41</v>
          </cell>
          <cell r="EB69">
            <v>70</v>
          </cell>
          <cell r="EC69">
            <v>0</v>
          </cell>
          <cell r="ED69">
            <v>0</v>
          </cell>
          <cell r="EE69">
            <v>0</v>
          </cell>
          <cell r="EF69">
            <v>0</v>
          </cell>
        </row>
        <row r="70">
          <cell r="A70">
            <v>0</v>
          </cell>
          <cell r="B70">
            <v>0</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cell r="DV70">
            <v>0</v>
          </cell>
          <cell r="DW70">
            <v>0</v>
          </cell>
          <cell r="DX70">
            <v>0</v>
          </cell>
          <cell r="DY70">
            <v>0</v>
          </cell>
          <cell r="DZ70">
            <v>0</v>
          </cell>
          <cell r="EA70">
            <v>0</v>
          </cell>
          <cell r="EB70">
            <v>0</v>
          </cell>
          <cell r="EC70">
            <v>0</v>
          </cell>
          <cell r="ED70">
            <v>0</v>
          </cell>
          <cell r="EE70">
            <v>0</v>
          </cell>
          <cell r="EF70">
            <v>0</v>
          </cell>
        </row>
        <row r="71">
          <cell r="A71" t="str">
            <v>Net change in cash and cash equivalents</v>
          </cell>
          <cell r="B71">
            <v>0</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111.76100000000005</v>
          </cell>
          <cell r="T71">
            <v>-182.41799999999984</v>
          </cell>
          <cell r="U71">
            <v>211.86799999999977</v>
          </cell>
          <cell r="V71">
            <v>-331.21999999999969</v>
          </cell>
          <cell r="W71">
            <v>341.68599999999992</v>
          </cell>
          <cell r="X71">
            <v>-242.4069999999997</v>
          </cell>
          <cell r="Y71">
            <v>107.57000000000015</v>
          </cell>
          <cell r="Z71">
            <v>-70.510999999999953</v>
          </cell>
          <cell r="AA71">
            <v>439.57699999999966</v>
          </cell>
          <cell r="AB71">
            <v>61.134000000000185</v>
          </cell>
          <cell r="AC71">
            <v>-137.23799999999974</v>
          </cell>
          <cell r="AD71">
            <v>304.64499999999998</v>
          </cell>
          <cell r="AE71">
            <v>-534.67899999999986</v>
          </cell>
          <cell r="AF71">
            <v>503.60499999999979</v>
          </cell>
          <cell r="AG71">
            <v>-355.5829999999994</v>
          </cell>
          <cell r="AH71">
            <v>784.7870000000006</v>
          </cell>
          <cell r="AI71">
            <v>-325.32600000000002</v>
          </cell>
          <cell r="AJ71">
            <v>858.02200000000084</v>
          </cell>
          <cell r="AK71">
            <v>32.838999999999757</v>
          </cell>
          <cell r="AL71">
            <v>476.40399999999943</v>
          </cell>
          <cell r="AM71">
            <v>1375.6370000000004</v>
          </cell>
          <cell r="AN71">
            <v>-1074.9860000000003</v>
          </cell>
          <cell r="AO71">
            <v>-12.735999999999883</v>
          </cell>
          <cell r="AP71">
            <v>-44.507000000000069</v>
          </cell>
          <cell r="AQ71">
            <v>-1184.9850000000001</v>
          </cell>
          <cell r="AR71">
            <v>14.314000000000007</v>
          </cell>
          <cell r="AS71">
            <v>96.125000000000128</v>
          </cell>
          <cell r="AT71">
            <v>405.73599999999993</v>
          </cell>
          <cell r="AU71">
            <v>155.01799999999989</v>
          </cell>
          <cell r="AV71">
            <v>216.91399999999987</v>
          </cell>
          <cell r="AW71">
            <v>-813.12400000000048</v>
          </cell>
          <cell r="AX71">
            <v>343.46899999999977</v>
          </cell>
          <cell r="AY71">
            <v>422</v>
          </cell>
          <cell r="AZ71">
            <v>122</v>
          </cell>
          <cell r="BA71">
            <v>279</v>
          </cell>
          <cell r="BB71">
            <v>436</v>
          </cell>
          <cell r="BC71">
            <v>-303</v>
          </cell>
          <cell r="BD71">
            <v>-470</v>
          </cell>
          <cell r="BE71">
            <v>189</v>
          </cell>
          <cell r="BF71">
            <v>505</v>
          </cell>
          <cell r="BG71">
            <v>-660</v>
          </cell>
          <cell r="BH71">
            <v>-75</v>
          </cell>
          <cell r="BI71">
            <v>112</v>
          </cell>
          <cell r="BJ71">
            <v>835</v>
          </cell>
          <cell r="BK71">
            <v>920</v>
          </cell>
          <cell r="BL71">
            <v>-116</v>
          </cell>
          <cell r="BM71">
            <v>196</v>
          </cell>
          <cell r="BN71">
            <v>482</v>
          </cell>
          <cell r="BO71">
            <v>-936</v>
          </cell>
          <cell r="BP71">
            <v>-7</v>
          </cell>
          <cell r="BQ71">
            <v>81</v>
          </cell>
          <cell r="BR71">
            <v>-99.800000000000011</v>
          </cell>
          <cell r="BS71">
            <v>-640</v>
          </cell>
          <cell r="BT71">
            <v>-95</v>
          </cell>
          <cell r="BU71">
            <v>-208</v>
          </cell>
          <cell r="BV71">
            <v>110</v>
          </cell>
          <cell r="BW71">
            <v>89</v>
          </cell>
          <cell r="BX71">
            <v>116</v>
          </cell>
          <cell r="BY71">
            <v>-585</v>
          </cell>
          <cell r="BZ71">
            <v>3477</v>
          </cell>
          <cell r="CA71">
            <v>125</v>
          </cell>
          <cell r="CB71">
            <v>-498</v>
          </cell>
          <cell r="CC71">
            <v>-35</v>
          </cell>
          <cell r="CD71">
            <v>-1328</v>
          </cell>
          <cell r="CE71">
            <v>-1941</v>
          </cell>
          <cell r="CF71">
            <v>-473</v>
          </cell>
          <cell r="CG71">
            <v>306</v>
          </cell>
          <cell r="CH71">
            <v>-294.69225760610607</v>
          </cell>
          <cell r="CI71">
            <v>110.03310235564157</v>
          </cell>
          <cell r="CJ71">
            <v>172.78601972649957</v>
          </cell>
          <cell r="CK71">
            <v>16.178689503517688</v>
          </cell>
          <cell r="CL71">
            <v>382.35105640570163</v>
          </cell>
          <cell r="CM71">
            <v>-55.125362499870448</v>
          </cell>
          <cell r="CN71">
            <v>-845.8993248598066</v>
          </cell>
          <cell r="CO71">
            <v>-18.403536381423407</v>
          </cell>
          <cell r="CP71">
            <v>339.12551933121574</v>
          </cell>
          <cell r="CQ71">
            <v>156.92495493464156</v>
          </cell>
          <cell r="CR71">
            <v>-539.46494571034532</v>
          </cell>
          <cell r="CS71">
            <v>47.072647608720331</v>
          </cell>
          <cell r="CT71">
            <v>420.51440134215142</v>
          </cell>
          <cell r="CU71">
            <v>-327.90894653466182</v>
          </cell>
          <cell r="CV71">
            <v>-1143.74331758023</v>
          </cell>
          <cell r="CW71">
            <v>58.372084153520291</v>
          </cell>
          <cell r="CX71">
            <v>446.03035740336776</v>
          </cell>
          <cell r="CY71">
            <v>0</v>
          </cell>
          <cell r="CZ71">
            <v>0</v>
          </cell>
          <cell r="DA71">
            <v>0</v>
          </cell>
          <cell r="DB71">
            <v>0</v>
          </cell>
          <cell r="DC71">
            <v>0</v>
          </cell>
          <cell r="DD71">
            <v>-190.0089999999997</v>
          </cell>
          <cell r="DE71">
            <v>136.33800000000042</v>
          </cell>
          <cell r="DF71">
            <v>668.11800000000005</v>
          </cell>
          <cell r="DG71">
            <v>398.13000000000113</v>
          </cell>
          <cell r="DH71">
            <v>1041.9389999999999</v>
          </cell>
          <cell r="DI71">
            <v>243.40800000000013</v>
          </cell>
          <cell r="DJ71">
            <v>-668.81</v>
          </cell>
          <cell r="DK71">
            <v>-97.723000000000923</v>
          </cell>
          <cell r="DL71">
            <v>1259</v>
          </cell>
          <cell r="DM71">
            <v>-79</v>
          </cell>
          <cell r="DN71">
            <v>212</v>
          </cell>
          <cell r="DO71">
            <v>1482</v>
          </cell>
          <cell r="DP71">
            <v>-961.8</v>
          </cell>
          <cell r="DQ71">
            <v>-833</v>
          </cell>
          <cell r="DR71">
            <v>3097</v>
          </cell>
          <cell r="DS71">
            <v>-1736</v>
          </cell>
          <cell r="DT71">
            <v>-2402.6922576061061</v>
          </cell>
          <cell r="DU71">
            <v>681.34886799136052</v>
          </cell>
          <cell r="DV71">
            <v>-580.30270440988477</v>
          </cell>
          <cell r="DW71">
            <v>85.04705817516799</v>
          </cell>
          <cell r="DX71">
            <v>-967.24982255800364</v>
          </cell>
          <cell r="DY71">
            <v>-833</v>
          </cell>
          <cell r="DZ71">
            <v>3097</v>
          </cell>
          <cell r="EA71">
            <v>-1736</v>
          </cell>
          <cell r="EB71">
            <v>-2476</v>
          </cell>
          <cell r="EC71">
            <v>1225.7377955956522</v>
          </cell>
          <cell r="ED71">
            <v>-385.15584439325346</v>
          </cell>
          <cell r="EE71">
            <v>-34.606156285840029</v>
          </cell>
          <cell r="EF71">
            <v>-1082.9357645337868</v>
          </cell>
        </row>
        <row r="72">
          <cell r="A72">
            <v>0</v>
          </cell>
          <cell r="B72">
            <v>0</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v>0</v>
          </cell>
          <cell r="DU72">
            <v>0</v>
          </cell>
          <cell r="DV72">
            <v>0</v>
          </cell>
          <cell r="DW72">
            <v>0</v>
          </cell>
          <cell r="DX72">
            <v>0</v>
          </cell>
          <cell r="DY72">
            <v>0</v>
          </cell>
          <cell r="DZ72">
            <v>0</v>
          </cell>
          <cell r="EA72">
            <v>0</v>
          </cell>
          <cell r="EB72">
            <v>0</v>
          </cell>
          <cell r="EC72">
            <v>0</v>
          </cell>
          <cell r="ED72">
            <v>0</v>
          </cell>
          <cell r="EE72">
            <v>0</v>
          </cell>
          <cell r="EF72">
            <v>0</v>
          </cell>
        </row>
        <row r="73">
          <cell r="A73" t="str">
            <v>Beginning balance cash and cash equivalents</v>
          </cell>
          <cell r="B73">
            <v>0</v>
          </cell>
          <cell r="C73">
            <v>0</v>
          </cell>
          <cell r="D73">
            <v>0</v>
          </cell>
          <cell r="E73">
            <v>0</v>
          </cell>
          <cell r="F73">
            <v>0</v>
          </cell>
          <cell r="G73">
            <v>0</v>
          </cell>
          <cell r="H73">
            <v>0</v>
          </cell>
          <cell r="I73">
            <v>0</v>
          </cell>
          <cell r="J73">
            <v>0</v>
          </cell>
          <cell r="K73">
            <v>0</v>
          </cell>
          <cell r="L73">
            <v>0</v>
          </cell>
          <cell r="M73">
            <v>0</v>
          </cell>
          <cell r="N73">
            <v>0</v>
          </cell>
          <cell r="O73">
            <v>87.972999999999999</v>
          </cell>
          <cell r="P73">
            <v>87.972999999999999</v>
          </cell>
          <cell r="Q73">
            <v>87.972999999999999</v>
          </cell>
          <cell r="R73">
            <v>87.972999999999999</v>
          </cell>
          <cell r="S73">
            <v>3040.6610000000001</v>
          </cell>
          <cell r="T73">
            <v>3152.422</v>
          </cell>
          <cell r="U73">
            <v>2970.0040000000004</v>
          </cell>
          <cell r="V73">
            <v>3181.8720000000003</v>
          </cell>
          <cell r="W73">
            <v>2850.6520000000005</v>
          </cell>
          <cell r="X73">
            <v>3192.3380000000006</v>
          </cell>
          <cell r="Y73">
            <v>2949.9310000000009</v>
          </cell>
          <cell r="Z73">
            <v>3057.5010000000011</v>
          </cell>
          <cell r="AA73">
            <v>2986.9900000000011</v>
          </cell>
          <cell r="AB73">
            <v>3426.5670000000009</v>
          </cell>
          <cell r="AC73">
            <v>3487.7010000000009</v>
          </cell>
          <cell r="AD73">
            <v>3350.4630000000011</v>
          </cell>
          <cell r="AE73">
            <v>3655.1080000000011</v>
          </cell>
          <cell r="AF73">
            <v>3120.429000000001</v>
          </cell>
          <cell r="AG73">
            <v>3624.0340000000006</v>
          </cell>
          <cell r="AH73">
            <v>3268.4510000000009</v>
          </cell>
          <cell r="AI73">
            <v>4053.2380000000016</v>
          </cell>
          <cell r="AJ73">
            <v>3727.9120000000016</v>
          </cell>
          <cell r="AK73">
            <v>4585.9340000000029</v>
          </cell>
          <cell r="AL73">
            <v>4618.7730000000029</v>
          </cell>
          <cell r="AM73">
            <v>5095.1770000000024</v>
          </cell>
          <cell r="AN73">
            <v>6470.814000000003</v>
          </cell>
          <cell r="AO73">
            <v>5395.8280000000032</v>
          </cell>
          <cell r="AP73">
            <v>5383.0920000000033</v>
          </cell>
          <cell r="AQ73">
            <v>5338.5850000000028</v>
          </cell>
          <cell r="AR73">
            <v>4153.6000000000022</v>
          </cell>
          <cell r="AS73">
            <v>4167.9140000000025</v>
          </cell>
          <cell r="AT73">
            <v>4264.0390000000025</v>
          </cell>
          <cell r="AU73">
            <v>4669.7750000000024</v>
          </cell>
          <cell r="AV73">
            <v>4824.7930000000024</v>
          </cell>
          <cell r="AW73">
            <v>5041.7070000000022</v>
          </cell>
          <cell r="AX73">
            <v>4228.5830000000014</v>
          </cell>
          <cell r="AY73">
            <v>4572.0520000000015</v>
          </cell>
          <cell r="AZ73">
            <v>4994.0520000000015</v>
          </cell>
          <cell r="BA73">
            <v>5116.0520000000015</v>
          </cell>
          <cell r="BB73">
            <v>5395.0520000000015</v>
          </cell>
          <cell r="BC73">
            <v>5831.0520000000015</v>
          </cell>
          <cell r="BD73">
            <v>5528.0520000000015</v>
          </cell>
          <cell r="BE73">
            <v>5058.0520000000015</v>
          </cell>
          <cell r="BF73">
            <v>5247.0520000000015</v>
          </cell>
          <cell r="BG73">
            <v>5752.0520000000015</v>
          </cell>
          <cell r="BH73">
            <v>5092.0520000000015</v>
          </cell>
          <cell r="BI73">
            <v>5017.0520000000015</v>
          </cell>
          <cell r="BJ73">
            <v>5129.0520000000015</v>
          </cell>
          <cell r="BK73">
            <v>5964.0520000000015</v>
          </cell>
          <cell r="BL73">
            <v>6884.0520000000015</v>
          </cell>
          <cell r="BM73">
            <v>6768.0520000000015</v>
          </cell>
          <cell r="BN73">
            <v>6964.0520000000015</v>
          </cell>
          <cell r="BO73">
            <v>7446.0520000000015</v>
          </cell>
          <cell r="BP73">
            <v>6510.0520000000015</v>
          </cell>
          <cell r="BQ73">
            <v>6503.0520000000015</v>
          </cell>
          <cell r="BR73">
            <v>6584.0520000000015</v>
          </cell>
          <cell r="BS73">
            <v>6484.2520000000013</v>
          </cell>
          <cell r="BT73">
            <v>5844.2520000000013</v>
          </cell>
          <cell r="BU73">
            <v>5749.2520000000013</v>
          </cell>
          <cell r="BV73">
            <v>5541.2520000000013</v>
          </cell>
          <cell r="BW73">
            <v>5651.2520000000013</v>
          </cell>
          <cell r="BX73">
            <v>5740.2520000000013</v>
          </cell>
          <cell r="BY73">
            <v>5856.2520000000013</v>
          </cell>
          <cell r="BZ73">
            <v>5271.2520000000013</v>
          </cell>
          <cell r="CA73">
            <v>8748.2520000000004</v>
          </cell>
          <cell r="CB73">
            <v>8873.2520000000004</v>
          </cell>
          <cell r="CC73">
            <v>8375.2520000000004</v>
          </cell>
          <cell r="CD73">
            <v>8340.2520000000004</v>
          </cell>
          <cell r="CE73">
            <v>7012.2520000000004</v>
          </cell>
          <cell r="CF73">
            <v>5071.2520000000004</v>
          </cell>
          <cell r="CG73">
            <v>4598.2520000000004</v>
          </cell>
          <cell r="CH73">
            <v>4904.2520000000004</v>
          </cell>
          <cell r="CI73">
            <v>4609.5597423938943</v>
          </cell>
          <cell r="CJ73">
            <v>4719.5928447495362</v>
          </cell>
          <cell r="CK73">
            <v>4892.3788644760361</v>
          </cell>
          <cell r="CL73">
            <v>4908.5575539795536</v>
          </cell>
          <cell r="CM73">
            <v>5290.9086103852551</v>
          </cell>
          <cell r="CN73">
            <v>5235.7832478853843</v>
          </cell>
          <cell r="CO73">
            <v>4389.883923025578</v>
          </cell>
          <cell r="CP73">
            <v>4371.4803866441544</v>
          </cell>
          <cell r="CQ73">
            <v>4710.6059059753698</v>
          </cell>
          <cell r="CR73">
            <v>4867.5308609100111</v>
          </cell>
          <cell r="CS73">
            <v>4328.0659151996661</v>
          </cell>
          <cell r="CT73">
            <v>4375.1385628083863</v>
          </cell>
          <cell r="CU73">
            <v>4795.6529641505376</v>
          </cell>
          <cell r="CV73">
            <v>4467.7440176158761</v>
          </cell>
          <cell r="CW73">
            <v>3324.0007000356463</v>
          </cell>
          <cell r="CX73">
            <v>3382.3727841891669</v>
          </cell>
          <cell r="CY73">
            <v>0</v>
          </cell>
          <cell r="CZ73">
            <v>0</v>
          </cell>
          <cell r="DA73">
            <v>0</v>
          </cell>
          <cell r="DB73">
            <v>0</v>
          </cell>
          <cell r="DC73">
            <v>0</v>
          </cell>
          <cell r="DD73">
            <v>0</v>
          </cell>
          <cell r="DE73">
            <v>-190.0089999999997</v>
          </cell>
          <cell r="DF73">
            <v>-53.670999999999282</v>
          </cell>
          <cell r="DG73">
            <v>614.4470000000008</v>
          </cell>
          <cell r="DH73">
            <v>1012.5770000000019</v>
          </cell>
          <cell r="DI73">
            <v>2054.5160000000019</v>
          </cell>
          <cell r="DJ73">
            <v>2297.9240000000018</v>
          </cell>
          <cell r="DK73">
            <v>1629.1140000000019</v>
          </cell>
          <cell r="DL73">
            <v>1531.391000000001</v>
          </cell>
          <cell r="DM73">
            <v>2790.391000000001</v>
          </cell>
          <cell r="DN73">
            <v>2711.391000000001</v>
          </cell>
          <cell r="DO73">
            <v>2923.391000000001</v>
          </cell>
          <cell r="DP73">
            <v>4405.3910000000014</v>
          </cell>
          <cell r="DQ73">
            <v>3443.5910000000013</v>
          </cell>
          <cell r="DR73">
            <v>2610.5910000000013</v>
          </cell>
          <cell r="DS73">
            <v>5707.5910000000013</v>
          </cell>
          <cell r="DT73">
            <v>3971.5910000000013</v>
          </cell>
          <cell r="DU73">
            <v>1568.8987423938952</v>
          </cell>
          <cell r="DV73">
            <v>2250.2476103852559</v>
          </cell>
          <cell r="DW73">
            <v>1669.9449059753711</v>
          </cell>
          <cell r="DX73">
            <v>1754.9919641505389</v>
          </cell>
          <cell r="DY73">
            <v>3443.5910000000013</v>
          </cell>
          <cell r="DZ73">
            <v>2610.5910000000013</v>
          </cell>
          <cell r="EA73">
            <v>5707.5910000000013</v>
          </cell>
          <cell r="EB73">
            <v>3971.5910000000013</v>
          </cell>
          <cell r="EC73">
            <v>1495.5910000000013</v>
          </cell>
          <cell r="ED73">
            <v>2721.3287955956534</v>
          </cell>
          <cell r="EE73">
            <v>2336.1729512023999</v>
          </cell>
          <cell r="EF73">
            <v>2301.56679491656</v>
          </cell>
        </row>
        <row r="74">
          <cell r="A74">
            <v>0</v>
          </cell>
          <cell r="B74">
            <v>0</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cell r="BM74">
            <v>0</v>
          </cell>
          <cell r="BN74">
            <v>0</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v>0</v>
          </cell>
          <cell r="DU74">
            <v>0</v>
          </cell>
          <cell r="DV74">
            <v>0</v>
          </cell>
          <cell r="DW74">
            <v>0</v>
          </cell>
          <cell r="DX74">
            <v>0</v>
          </cell>
          <cell r="DY74">
            <v>0</v>
          </cell>
          <cell r="DZ74">
            <v>0</v>
          </cell>
          <cell r="EA74">
            <v>0</v>
          </cell>
          <cell r="EB74">
            <v>0</v>
          </cell>
          <cell r="EC74">
            <v>0</v>
          </cell>
          <cell r="ED74">
            <v>0</v>
          </cell>
          <cell r="EE74">
            <v>0</v>
          </cell>
          <cell r="EF74">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Assumptions"/>
      <sheetName val="Calcs"/>
      <sheetName val="ACAI"/>
      <sheetName val="CF"/>
      <sheetName val="BS"/>
      <sheetName val="Valuation Template"/>
      <sheetName val="FCFF"/>
      <sheetName val="D-Sheet"/>
      <sheetName val="Print page"/>
      <sheetName val="EPS Comparison"/>
      <sheetName val="UPDATE"/>
      <sheetName val="Disclosures"/>
      <sheetName val="Module1"/>
      <sheetName val="traffic"/>
      <sheetName val="Corp A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osures"/>
      <sheetName val="Financials"/>
      <sheetName val="New DENA"/>
      <sheetName val="Merchant Plant Economics"/>
      <sheetName val="Sheet1"/>
      <sheetName val="Sheet5"/>
      <sheetName val="DUK DCF"/>
      <sheetName val="DUK - P-CF Ch"/>
      <sheetName val="DUK - P-E Ch"/>
      <sheetName val="Unregulated Generation 2"/>
      <sheetName val="Unregulated Generation"/>
      <sheetName val="Key Analyst Data Good"/>
      <sheetName val="Rate Base - ROE"/>
      <sheetName val="Generation"/>
      <sheetName val="Gas"/>
      <sheetName val="__FDSCACHE__"/>
      <sheetName val="Component Valuation"/>
      <sheetName val="DENA"/>
      <sheetName val="Regulated Generation"/>
      <sheetName val="DEFS"/>
      <sheetName val="Franchised Electric"/>
      <sheetName val="International"/>
      <sheetName val="Sources &amp; Uses"/>
      <sheetName val="LT DEBT"/>
      <sheetName val="As of 1-1-03"/>
      <sheetName val="Sheet3"/>
      <sheetName val="Disclaimers &amp; Disclosures"/>
      <sheetName val="Repository Links"/>
    </sheetNames>
    <sheetDataSet>
      <sheetData sheetId="0"/>
      <sheetData sheetId="1"/>
      <sheetData sheetId="2"/>
      <sheetData sheetId="3"/>
      <sheetData sheetId="4"/>
      <sheetData sheetId="5"/>
      <sheetData sheetId="6"/>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_EPS estimates"/>
      <sheetName val="2000_2005 Indexed Values Chart"/>
      <sheetName val="2000_2005 Indexed Values_Data"/>
      <sheetName val="Geographic Growth in GDP_ Chart"/>
      <sheetName val="Geographic Growth in GDP_Data"/>
      <sheetName val="China_India_W_ GDP Chart"/>
      <sheetName val="China_India_ W_GDP _Data"/>
      <sheetName val="Major Oil Demand_Data"/>
      <sheetName val="Major Oil Demand Chart"/>
      <sheetName val="VLCC vs Utilization Data"/>
      <sheetName val="VLCC vs Utilization Chart"/>
      <sheetName val="Index_SP_Rolling Forw_ PE (95)"/>
      <sheetName val="1990 Index (2)"/>
      <sheetName val="Index_SP_Rolling Forw_PE(00)"/>
      <sheetName val="Index EV EBITDA"/>
      <sheetName val="Company Dividend Yield"/>
      <sheetName val="Consolidation Table"/>
      <sheetName val="VLCC Rates Chart"/>
      <sheetName val="VLCC Rates _ Data"/>
      <sheetName val="VLCC_Suez_Afram Rates_Data"/>
      <sheetName val="VLCC_Suez_Afram Rates Chart"/>
      <sheetName val="1990 Index_SP_VLCC_Chart"/>
      <sheetName val="1990 Index_SP_VLCC_Tanker"/>
      <sheetName val="1990 Index_VLCC_Oil Price Chart"/>
      <sheetName val="Oil Production vs Rates_Data "/>
      <sheetName val="Oil Production vs Rates Chart"/>
      <sheetName val="1990 Index _SP_FF_ Chart"/>
      <sheetName val="1990_Index_SP_FF Table"/>
      <sheetName val="Tanker Fleet"/>
      <sheetName val="Tanker Fleet_ Diagram"/>
      <sheetName val="Tanker Fleet By Age (dwt)_2005"/>
      <sheetName val="Deliveries Data "/>
      <sheetName val="Deliveries Chart"/>
      <sheetName val="Tanker Fleet Age Profile"/>
      <sheetName val="Tanker Vessel Earnings"/>
      <sheetName val="Company Universe_2005"/>
      <sheetName val="Map"/>
      <sheetName val="Oil - Inter-area mov 2003 "/>
      <sheetName val="Crude Seaborne Import Export"/>
      <sheetName val="Product Import Trade"/>
      <sheetName val="Tanker Routes"/>
      <sheetName val="Major_Demand_Supply_2005"/>
      <sheetName val="China_India_ Demand_2005"/>
      <sheetName val="Haul and Oil Production_2005"/>
      <sheetName val="Refinery Capacity"/>
      <sheetName val="Crude Tanker  Demand Clarkson "/>
      <sheetName val="VLCC vs Utilization Chart (2)"/>
      <sheetName val="Product Tanker Demand Clarkson"/>
      <sheetName val="Orderbook as a fleet percentage"/>
      <sheetName val="Fleet Supply Forecast"/>
      <sheetName val="5 year to NB ratio chart"/>
      <sheetName val="5 year to NB ratio table"/>
      <sheetName val="VLCC Earn_New_SH_Data"/>
      <sheetName val="VLCC Earn_New_SH_Chart"/>
      <sheetName val="Tanker Demand _ Our Estimates "/>
      <sheetName val="Charters"/>
      <sheetName val="1 year vs 3 year TC Chart"/>
      <sheetName val="1 year vs 3 year TC_Data"/>
      <sheetName val="Global Shipyard Capacity"/>
      <sheetName val="China Export Import"/>
      <sheetName val="China Industrial Prodcution"/>
      <sheetName val="Picture Data"/>
      <sheetName val="Charter Rates_2005 "/>
      <sheetName val="Scrapping IMO"/>
      <sheetName val="Scrapping IMO1"/>
      <sheetName val="RELATED DATA FOR EDITOR&gt;"/>
      <sheetName val="Tanker Fleet_2004"/>
      <sheetName val="Forward Order book_Deliv 2005"/>
      <sheetName val="1990 Index"/>
      <sheetName val="2000 Snapshot Index"/>
      <sheetName val="Historical Pricing"/>
      <sheetName val="2000 BSC Index Values"/>
      <sheetName val="PE"/>
      <sheetName val="STOP INDUSTRY"/>
      <sheetName val="Suezmax Rates "/>
      <sheetName val="SH DH World"/>
      <sheetName val="Company Summaries----&gt;"/>
      <sheetName val="FCF PER SHARE"/>
      <sheetName val="NET DEBT RATIO"/>
      <sheetName val="NET DEBT ABSOLUTE"/>
      <sheetName val="Ownership Summary"/>
      <sheetName val="Company Dividend Yield_Diana"/>
      <sheetName val="VLCCF_Diana Chart"/>
      <sheetName val="VLCCF_Diana2"/>
      <sheetName val="VLCCF Diana 1"/>
      <sheetName val="NAT_12month_forward ev_ebit (2)"/>
      <sheetName val="NAT_EVEBITDA Chart (2)"/>
      <sheetName val="Diana NAV"/>
      <sheetName val="Diana Vessels Age Utilization"/>
      <sheetName val="Current Diana Fleet "/>
      <sheetName val="Diana Fleet"/>
      <sheetName val="Historical Average Vessel"/>
      <sheetName val="EPS Derivation"/>
      <sheetName val="Operation highlights "/>
      <sheetName val="Vessel Expansion"/>
      <sheetName val="Leverage Analysis"/>
      <sheetName val="Dividend Yield"/>
      <sheetName val="Diana Management"/>
      <sheetName val="NAT_EPS_DPS"/>
      <sheetName val="Company Dividend Yield_NAT"/>
      <sheetName val="Historical Suezmax Chart"/>
      <sheetName val="Historical Suezmax Data "/>
      <sheetName val="NAT_12 month_forward pe"/>
      <sheetName val="NAT_ PE Chart"/>
      <sheetName val="NAT_12month_forward ev_ebitda"/>
      <sheetName val="NAT_EVEBITDA Chart"/>
      <sheetName val="NAT_NAV"/>
      <sheetName val="NAT Fleet"/>
      <sheetName val="NAT Routes_and_Hauls"/>
      <sheetName val="NAT_EPS Derivation"/>
      <sheetName val="NAT_Acquisition Scenario"/>
      <sheetName val="NAT_FCF_EPS"/>
      <sheetName val="NAT_Capital"/>
      <sheetName val="NAT_ Management"/>
      <sheetName val="OMM_TCE Revenue_Vessel"/>
      <sheetName val="Freight Rates"/>
      <sheetName val="OMM_Segment Results"/>
      <sheetName val="OMM_12month_forward pe"/>
      <sheetName val="OMM_PE_Chart"/>
      <sheetName val="OMM_12month_forward_ebitda"/>
      <sheetName val="OMM_evebitda chart"/>
      <sheetName val="OMM_Fleet Valuation"/>
      <sheetName val="OMM_Customers"/>
      <sheetName val="OMM_Fleet Summary"/>
      <sheetName val="OMM_EPS Derivation"/>
      <sheetName val="OMM_Capital"/>
      <sheetName val="OMM_Management"/>
      <sheetName val="OMM_Options"/>
      <sheetName val="OSG TK Fleet copy paste (2)"/>
      <sheetName val="World Fleet DH_SH summary (2)"/>
      <sheetName val="TK 12Month Forward PE"/>
      <sheetName val="TK 12Month Forward PE Chart"/>
      <sheetName val="TK 12 Month Forward EVebitda"/>
      <sheetName val="TK 12 M Forward Ebitda Chart"/>
      <sheetName val="TK_NAV Valuation"/>
      <sheetName val="TK_ Fleet Summary"/>
      <sheetName val="TK_Segment Results"/>
      <sheetName val="TK_EPS_Derivation"/>
      <sheetName val="TK_Capital"/>
      <sheetName val="TK Management"/>
      <sheetName val="TK_Options"/>
      <sheetName val="Charter Rates Chart _OSG"/>
      <sheetName val="Charter Rates_OSG"/>
      <sheetName val="OSG 12month forward PE"/>
      <sheetName val="OSG 12month forward PE Chart"/>
      <sheetName val="OSG_12 month EVebitda"/>
      <sheetName val="OSG_12 Month EVEbitda Chart"/>
      <sheetName val="OSG_NAV"/>
      <sheetName val="OSG_Fleet"/>
      <sheetName val="OSG_EPS_Derivation"/>
      <sheetName val="OSG TK Fleet copy paste"/>
      <sheetName val="OSG Capitalization"/>
      <sheetName val="World Fleet DH_SH summary"/>
      <sheetName val="OSG_Management_"/>
      <sheetName val="OSG_Options"/>
      <sheetName val="Data ---&gt;"/>
      <sheetName val="To do"/>
      <sheetName val="__FDSCACHE__"/>
      <sheetName val="OSG_Dividend per share comp"/>
      <sheetName val="Key Data Summary_ 2005"/>
      <sheetName val="Misc_For Consideration"/>
      <sheetName val="Top Vessel Owners"/>
      <sheetName val="OIL D&amp;S_Most Recent"/>
      <sheetName val="OILS&amp;D"/>
      <sheetName val="Oil Production"/>
      <sheetName val="Quotas &amp; Production_Old"/>
      <sheetName val="Oil - Imports and exports 2003"/>
      <sheetName val="OPEC_OECD"/>
      <sheetName val="Regional Import by Source_2004"/>
      <sheetName val="Tanker Demand_Multipliers Check"/>
      <sheetName val="PER SHARE price_div yield"/>
      <sheetName val="NAT TO DO"/>
      <sheetName val="OMM TO DO"/>
      <sheetName val="TK_TO DO"/>
      <sheetName val="OSG_TO_DO"/>
      <sheetName val="OSG_Cash Flow"/>
      <sheetName val="OSG_Segment Revenue"/>
      <sheetName val="OSG_Charter Rates"/>
      <sheetName val="Charter Rates Chart"/>
      <sheetName val="OSG_Fleet Details"/>
      <sheetName val="OSG and TK Fleet ----&gt;"/>
      <sheetName val="Ownership To Do "/>
      <sheetName val="NAT_Company Management"/>
      <sheetName val="NAT_Largest Shareholder"/>
      <sheetName val="OMM_Largest Sharesholder"/>
      <sheetName val="Options To DO"/>
      <sheetName val="Company----&gt;"/>
      <sheetName val="NAT_FCF_Group"/>
      <sheetName val="NAT_NETDEBT_Group"/>
      <sheetName val="OMM_Net DEBT"/>
      <sheetName val="OMM_FCF_Group"/>
      <sheetName val="TK Net Debt Ratio"/>
      <sheetName val="TK_FCF_BSC group"/>
      <sheetName val="OSG_Net Debt Ratio"/>
    </sheetNames>
    <sheetDataSet>
      <sheetData sheetId="0"/>
      <sheetData sheetId="1" refreshError="1"/>
      <sheetData sheetId="2"/>
      <sheetData sheetId="3" refreshError="1"/>
      <sheetData sheetId="4"/>
      <sheetData sheetId="5" refreshError="1"/>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sheetData sheetId="17" refreshError="1"/>
      <sheetData sheetId="18"/>
      <sheetData sheetId="19"/>
      <sheetData sheetId="20" refreshError="1"/>
      <sheetData sheetId="21" refreshError="1"/>
      <sheetData sheetId="22" refreshError="1"/>
      <sheetData sheetId="23" refreshError="1"/>
      <sheetData sheetId="24"/>
      <sheetData sheetId="25" refreshError="1"/>
      <sheetData sheetId="26" refreshError="1"/>
      <sheetData sheetId="27"/>
      <sheetData sheetId="28"/>
      <sheetData sheetId="29"/>
      <sheetData sheetId="30"/>
      <sheetData sheetId="3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refreshError="1"/>
      <sheetData sheetId="51"/>
      <sheetData sheetId="52"/>
      <sheetData sheetId="53" refreshError="1"/>
      <sheetData sheetId="54"/>
      <sheetData sheetId="55"/>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sheetData sheetId="102"/>
      <sheetData sheetId="103" refreshError="1"/>
      <sheetData sheetId="104"/>
      <sheetData sheetId="105" refreshError="1"/>
      <sheetData sheetId="106"/>
      <sheetData sheetId="107"/>
      <sheetData sheetId="108"/>
      <sheetData sheetId="109"/>
      <sheetData sheetId="110"/>
      <sheetData sheetId="111"/>
      <sheetData sheetId="112"/>
      <sheetData sheetId="113" refreshError="1"/>
      <sheetData sheetId="114"/>
      <sheetData sheetId="115" refreshError="1"/>
      <sheetData sheetId="116"/>
      <sheetData sheetId="117"/>
      <sheetData sheetId="118" refreshError="1"/>
      <sheetData sheetId="119"/>
      <sheetData sheetId="120" refreshError="1"/>
      <sheetData sheetId="121"/>
      <sheetData sheetId="122"/>
      <sheetData sheetId="123"/>
      <sheetData sheetId="124"/>
      <sheetData sheetId="125"/>
      <sheetData sheetId="126"/>
      <sheetData sheetId="127"/>
      <sheetData sheetId="128" refreshError="1"/>
      <sheetData sheetId="129" refreshError="1"/>
      <sheetData sheetId="130"/>
      <sheetData sheetId="131" refreshError="1"/>
      <sheetData sheetId="132"/>
      <sheetData sheetId="133" refreshError="1"/>
      <sheetData sheetId="134"/>
      <sheetData sheetId="135"/>
      <sheetData sheetId="136"/>
      <sheetData sheetId="137"/>
      <sheetData sheetId="138"/>
      <sheetData sheetId="139"/>
      <sheetData sheetId="140"/>
      <sheetData sheetId="141" refreshError="1"/>
      <sheetData sheetId="142" refreshError="1"/>
      <sheetData sheetId="143"/>
      <sheetData sheetId="144" refreshError="1"/>
      <sheetData sheetId="145"/>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refreshError="1">
        <row r="1">
          <cell r="A1" t="str">
            <v>Table 2. World Oil Supply and Demand (Million B/D)</v>
          </cell>
        </row>
        <row r="3">
          <cell r="E3" t="str">
            <v>1988</v>
          </cell>
          <cell r="G3" t="str">
            <v>1989</v>
          </cell>
          <cell r="K3" t="str">
            <v>1990</v>
          </cell>
          <cell r="M3" t="str">
            <v>1990</v>
          </cell>
          <cell r="Q3" t="str">
            <v>1991</v>
          </cell>
          <cell r="S3" t="str">
            <v>1991</v>
          </cell>
          <cell r="W3" t="str">
            <v>1992</v>
          </cell>
          <cell r="Y3" t="str">
            <v>1992</v>
          </cell>
          <cell r="AC3" t="str">
            <v>1993</v>
          </cell>
          <cell r="AE3" t="str">
            <v>1993</v>
          </cell>
          <cell r="AI3" t="str">
            <v>1994</v>
          </cell>
          <cell r="AK3" t="str">
            <v>1994</v>
          </cell>
          <cell r="AO3" t="str">
            <v>1995</v>
          </cell>
          <cell r="AQ3" t="str">
            <v>1995</v>
          </cell>
          <cell r="AS3" t="str">
            <v xml:space="preserve">     ——————— 1996 ———————</v>
          </cell>
          <cell r="AW3" t="str">
            <v>1996</v>
          </cell>
        </row>
        <row r="4">
          <cell r="E4" t="str">
            <v>Year</v>
          </cell>
          <cell r="G4" t="str">
            <v>Year</v>
          </cell>
          <cell r="I4" t="str">
            <v>1Q</v>
          </cell>
          <cell r="J4" t="str">
            <v>2Q</v>
          </cell>
          <cell r="K4" t="str">
            <v>3Q</v>
          </cell>
          <cell r="L4" t="str">
            <v>4Q</v>
          </cell>
          <cell r="M4" t="str">
            <v>Year</v>
          </cell>
          <cell r="O4" t="str">
            <v>1Q</v>
          </cell>
          <cell r="P4" t="str">
            <v>2Q</v>
          </cell>
          <cell r="Q4" t="str">
            <v>3Q</v>
          </cell>
          <cell r="R4" t="str">
            <v>4Q</v>
          </cell>
          <cell r="S4" t="str">
            <v>Year</v>
          </cell>
          <cell r="U4" t="str">
            <v>1Q</v>
          </cell>
          <cell r="V4" t="str">
            <v>2Q</v>
          </cell>
          <cell r="W4" t="str">
            <v>3Q</v>
          </cell>
          <cell r="X4" t="str">
            <v>4Q</v>
          </cell>
          <cell r="Y4" t="str">
            <v>Year</v>
          </cell>
          <cell r="AA4" t="str">
            <v>1Q</v>
          </cell>
          <cell r="AB4" t="str">
            <v>2Q</v>
          </cell>
          <cell r="AC4" t="str">
            <v>3Q</v>
          </cell>
          <cell r="AD4" t="str">
            <v>4Q</v>
          </cell>
          <cell r="AE4" t="str">
            <v>Year</v>
          </cell>
          <cell r="AG4" t="str">
            <v>1Q</v>
          </cell>
          <cell r="AH4" t="str">
            <v>2Q</v>
          </cell>
          <cell r="AI4" t="str">
            <v>3Q</v>
          </cell>
          <cell r="AJ4" t="str">
            <v>4Q</v>
          </cell>
          <cell r="AK4" t="str">
            <v>Year</v>
          </cell>
          <cell r="AM4" t="str">
            <v>1Q</v>
          </cell>
          <cell r="AN4" t="str">
            <v>2Q</v>
          </cell>
          <cell r="AO4" t="str">
            <v>3Q</v>
          </cell>
          <cell r="AP4" t="str">
            <v>4Q</v>
          </cell>
          <cell r="AQ4" t="str">
            <v>Year</v>
          </cell>
          <cell r="AS4" t="str">
            <v>1Q</v>
          </cell>
          <cell r="AT4" t="str">
            <v>2Q</v>
          </cell>
          <cell r="AU4" t="str">
            <v>3Q</v>
          </cell>
          <cell r="AV4" t="str">
            <v>4Q</v>
          </cell>
          <cell r="AW4" t="str">
            <v>Year</v>
          </cell>
        </row>
        <row r="5">
          <cell r="A5" t="str">
            <v>Demand</v>
          </cell>
        </row>
        <row r="6">
          <cell r="B6" t="str">
            <v>OECD</v>
          </cell>
        </row>
        <row r="7">
          <cell r="B7" t="str">
            <v xml:space="preserve">  North America</v>
          </cell>
          <cell r="E7">
            <v>17.2</v>
          </cell>
          <cell r="G7">
            <v>17.399999999999999</v>
          </cell>
          <cell r="I7">
            <v>17.3</v>
          </cell>
          <cell r="J7">
            <v>17</v>
          </cell>
          <cell r="K7">
            <v>17.100000000000001</v>
          </cell>
          <cell r="L7">
            <v>17.100000000000001</v>
          </cell>
          <cell r="M7">
            <v>17.125</v>
          </cell>
          <cell r="O7">
            <v>16.899999999999999</v>
          </cell>
          <cell r="P7">
            <v>16.399999999999999</v>
          </cell>
          <cell r="Q7">
            <v>16.600000000000001</v>
          </cell>
          <cell r="R7">
            <v>17.100000000000001</v>
          </cell>
          <cell r="S7">
            <v>16.899999999999999</v>
          </cell>
          <cell r="U7">
            <v>17</v>
          </cell>
          <cell r="V7">
            <v>16.600000000000001</v>
          </cell>
          <cell r="W7">
            <v>16.7</v>
          </cell>
          <cell r="X7">
            <v>17.2</v>
          </cell>
          <cell r="Y7">
            <v>17.100000000000001</v>
          </cell>
          <cell r="AA7">
            <v>17.2</v>
          </cell>
          <cell r="AB7">
            <v>17.100000000000001</v>
          </cell>
          <cell r="AC7">
            <v>17.8</v>
          </cell>
          <cell r="AD7">
            <v>17.8</v>
          </cell>
          <cell r="AE7">
            <v>17.5</v>
          </cell>
          <cell r="AG7">
            <v>17.899999999999999</v>
          </cell>
          <cell r="AH7">
            <v>17.600000000000001</v>
          </cell>
          <cell r="AI7">
            <v>17.8</v>
          </cell>
          <cell r="AJ7">
            <v>18.100000000000001</v>
          </cell>
          <cell r="AK7">
            <v>17.850000000000001</v>
          </cell>
          <cell r="AM7">
            <v>17.7</v>
          </cell>
          <cell r="AN7">
            <v>17.7</v>
          </cell>
          <cell r="AO7">
            <v>18</v>
          </cell>
          <cell r="AP7">
            <v>18.3</v>
          </cell>
          <cell r="AQ7">
            <v>21.6</v>
          </cell>
          <cell r="AS7">
            <v>18.399999999999999</v>
          </cell>
          <cell r="AT7">
            <v>18.100000000000001</v>
          </cell>
          <cell r="AU7">
            <v>18.399999999999999</v>
          </cell>
          <cell r="AV7">
            <v>18.600000000000001</v>
          </cell>
          <cell r="AW7">
            <v>22.3</v>
          </cell>
        </row>
        <row r="8">
          <cell r="B8" t="str">
            <v xml:space="preserve">  Europe</v>
          </cell>
          <cell r="E8">
            <v>12.8</v>
          </cell>
          <cell r="G8">
            <v>13</v>
          </cell>
          <cell r="I8">
            <v>13.3</v>
          </cell>
          <cell r="J8">
            <v>12.7</v>
          </cell>
          <cell r="K8">
            <v>13</v>
          </cell>
          <cell r="L8">
            <v>13</v>
          </cell>
          <cell r="M8">
            <v>13</v>
          </cell>
          <cell r="O8">
            <v>13.2</v>
          </cell>
          <cell r="P8">
            <v>12.7</v>
          </cell>
          <cell r="Q8">
            <v>12.8</v>
          </cell>
          <cell r="R8">
            <v>13.3</v>
          </cell>
          <cell r="S8">
            <v>13.4</v>
          </cell>
          <cell r="U8">
            <v>13.3</v>
          </cell>
          <cell r="V8">
            <v>12.7</v>
          </cell>
          <cell r="W8">
            <v>12.8</v>
          </cell>
          <cell r="X8">
            <v>13.3</v>
          </cell>
          <cell r="Y8">
            <v>13.7</v>
          </cell>
          <cell r="AA8">
            <v>13.7</v>
          </cell>
          <cell r="AB8">
            <v>13.1</v>
          </cell>
          <cell r="AC8">
            <v>13.7</v>
          </cell>
          <cell r="AD8">
            <v>13.8</v>
          </cell>
          <cell r="AE8">
            <v>13.6</v>
          </cell>
          <cell r="AG8">
            <v>13.9</v>
          </cell>
          <cell r="AH8">
            <v>13.2</v>
          </cell>
          <cell r="AI8">
            <v>13.8</v>
          </cell>
          <cell r="AJ8">
            <v>14</v>
          </cell>
          <cell r="AK8">
            <v>13.7</v>
          </cell>
          <cell r="AM8">
            <v>14</v>
          </cell>
          <cell r="AN8">
            <v>13.5</v>
          </cell>
          <cell r="AO8">
            <v>13.6</v>
          </cell>
          <cell r="AP8">
            <v>14.3</v>
          </cell>
          <cell r="AQ8">
            <v>14.6</v>
          </cell>
          <cell r="AS8">
            <v>14.3</v>
          </cell>
          <cell r="AT8">
            <v>13.7</v>
          </cell>
          <cell r="AU8">
            <v>13.9</v>
          </cell>
          <cell r="AV8">
            <v>14.5</v>
          </cell>
          <cell r="AW8">
            <v>14.9</v>
          </cell>
        </row>
        <row r="9">
          <cell r="B9" t="str">
            <v xml:space="preserve">  Pacific</v>
          </cell>
          <cell r="E9">
            <v>5.6</v>
          </cell>
          <cell r="G9">
            <v>5.8</v>
          </cell>
          <cell r="I9">
            <v>6.4</v>
          </cell>
          <cell r="J9">
            <v>5.5</v>
          </cell>
          <cell r="K9">
            <v>5.6</v>
          </cell>
          <cell r="L9">
            <v>6.5</v>
          </cell>
          <cell r="M9">
            <v>6.1</v>
          </cell>
          <cell r="O9">
            <v>6.6</v>
          </cell>
          <cell r="P9">
            <v>5.7</v>
          </cell>
          <cell r="Q9">
            <v>5.7</v>
          </cell>
          <cell r="R9">
            <v>6.6</v>
          </cell>
          <cell r="S9">
            <v>6.2</v>
          </cell>
          <cell r="U9">
            <v>6.6</v>
          </cell>
          <cell r="V9">
            <v>5.8</v>
          </cell>
          <cell r="W9">
            <v>5.8</v>
          </cell>
          <cell r="X9">
            <v>6.6</v>
          </cell>
          <cell r="Y9">
            <v>6.3</v>
          </cell>
          <cell r="AA9">
            <v>7</v>
          </cell>
          <cell r="AB9">
            <v>5.9</v>
          </cell>
          <cell r="AC9">
            <v>5.6</v>
          </cell>
          <cell r="AD9">
            <v>6.4</v>
          </cell>
          <cell r="AE9">
            <v>6.3</v>
          </cell>
          <cell r="AG9">
            <v>7.1</v>
          </cell>
          <cell r="AH9">
            <v>6</v>
          </cell>
          <cell r="AI9">
            <v>6.3</v>
          </cell>
          <cell r="AJ9">
            <v>6.8</v>
          </cell>
          <cell r="AK9">
            <v>6.55</v>
          </cell>
          <cell r="AM9">
            <v>7.3</v>
          </cell>
          <cell r="AN9">
            <v>6.2</v>
          </cell>
          <cell r="AO9">
            <v>6.3</v>
          </cell>
          <cell r="AP9">
            <v>6.9</v>
          </cell>
          <cell r="AQ9">
            <v>8.6999999999999993</v>
          </cell>
          <cell r="AS9">
            <v>7.4</v>
          </cell>
          <cell r="AT9">
            <v>6.3</v>
          </cell>
          <cell r="AU9">
            <v>6.5</v>
          </cell>
          <cell r="AV9">
            <v>7</v>
          </cell>
          <cell r="AW9">
            <v>8.8000000000000007</v>
          </cell>
        </row>
        <row r="11">
          <cell r="B11" t="str">
            <v xml:space="preserve">  Total OECD</v>
          </cell>
          <cell r="E11">
            <v>35.6</v>
          </cell>
          <cell r="G11">
            <v>36.199999999999996</v>
          </cell>
          <cell r="I11">
            <v>37</v>
          </cell>
          <cell r="J11">
            <v>35.200000000000003</v>
          </cell>
          <cell r="K11">
            <v>35.700000000000003</v>
          </cell>
          <cell r="L11">
            <v>36.6</v>
          </cell>
          <cell r="M11">
            <v>38.1</v>
          </cell>
          <cell r="O11">
            <v>38.5</v>
          </cell>
          <cell r="P11">
            <v>34.799999999999997</v>
          </cell>
          <cell r="Q11">
            <v>35.1</v>
          </cell>
          <cell r="R11">
            <v>37</v>
          </cell>
          <cell r="S11">
            <v>38.299999999999997</v>
          </cell>
          <cell r="U11">
            <v>36.9</v>
          </cell>
          <cell r="V11">
            <v>35.1</v>
          </cell>
          <cell r="W11">
            <v>35.299999999999997</v>
          </cell>
          <cell r="X11">
            <v>37.1</v>
          </cell>
          <cell r="Y11">
            <v>37.1</v>
          </cell>
          <cell r="AA11">
            <v>37.9</v>
          </cell>
          <cell r="AB11">
            <v>36.1</v>
          </cell>
          <cell r="AC11">
            <v>37.1</v>
          </cell>
          <cell r="AD11">
            <v>38</v>
          </cell>
          <cell r="AE11">
            <v>37.4</v>
          </cell>
          <cell r="AG11">
            <v>38.9</v>
          </cell>
          <cell r="AH11">
            <v>36.799999999999997</v>
          </cell>
          <cell r="AI11">
            <v>37.9</v>
          </cell>
          <cell r="AJ11">
            <v>38.9</v>
          </cell>
          <cell r="AK11">
            <v>40</v>
          </cell>
          <cell r="AM11">
            <v>39</v>
          </cell>
          <cell r="AN11">
            <v>37.4</v>
          </cell>
          <cell r="AO11">
            <v>37.9</v>
          </cell>
          <cell r="AP11">
            <v>41.4</v>
          </cell>
          <cell r="AQ11">
            <v>44.900000000000006</v>
          </cell>
          <cell r="AS11">
            <v>40.1</v>
          </cell>
          <cell r="AT11">
            <v>38.1</v>
          </cell>
          <cell r="AU11">
            <v>38.799999999999997</v>
          </cell>
          <cell r="AV11">
            <v>40.1</v>
          </cell>
          <cell r="AW11">
            <v>46</v>
          </cell>
        </row>
        <row r="12">
          <cell r="B12" t="str">
            <v xml:space="preserve">  Non-OECD </v>
          </cell>
          <cell r="E12">
            <v>18.5</v>
          </cell>
          <cell r="G12">
            <v>19.3</v>
          </cell>
          <cell r="I12">
            <v>19.899999999999999</v>
          </cell>
          <cell r="J12">
            <v>19.3</v>
          </cell>
          <cell r="K12">
            <v>19.8</v>
          </cell>
          <cell r="L12">
            <v>20.2</v>
          </cell>
          <cell r="M12">
            <v>19.899999999999999</v>
          </cell>
          <cell r="O12">
            <v>20.2</v>
          </cell>
          <cell r="P12">
            <v>19.7</v>
          </cell>
          <cell r="Q12">
            <v>20</v>
          </cell>
          <cell r="R12">
            <v>20.5</v>
          </cell>
          <cell r="S12">
            <v>20.3</v>
          </cell>
          <cell r="U12">
            <v>20.5</v>
          </cell>
          <cell r="V12">
            <v>19.899999999999999</v>
          </cell>
          <cell r="W12">
            <v>20.5</v>
          </cell>
          <cell r="X12">
            <v>20.9</v>
          </cell>
          <cell r="Y12">
            <v>21.2</v>
          </cell>
          <cell r="AA12">
            <v>22.4</v>
          </cell>
          <cell r="AB12">
            <v>22</v>
          </cell>
          <cell r="AC12">
            <v>22</v>
          </cell>
          <cell r="AD12">
            <v>22.9</v>
          </cell>
          <cell r="AE12">
            <v>22.8</v>
          </cell>
          <cell r="AG12">
            <v>23.1</v>
          </cell>
          <cell r="AH12">
            <v>23</v>
          </cell>
          <cell r="AI12">
            <v>22.8</v>
          </cell>
          <cell r="AJ12">
            <v>23.8</v>
          </cell>
          <cell r="AK12">
            <v>23.8</v>
          </cell>
          <cell r="AM12">
            <v>24.8</v>
          </cell>
          <cell r="AN12">
            <v>24.6</v>
          </cell>
          <cell r="AO12">
            <v>24.4</v>
          </cell>
          <cell r="AP12">
            <v>25.7</v>
          </cell>
          <cell r="AQ12">
            <v>20.399999999999999</v>
          </cell>
          <cell r="AS12">
            <v>26.2</v>
          </cell>
          <cell r="AT12">
            <v>25.9</v>
          </cell>
          <cell r="AU12">
            <v>25.7</v>
          </cell>
          <cell r="AV12">
            <v>26.9</v>
          </cell>
          <cell r="AW12">
            <v>21.5</v>
          </cell>
        </row>
        <row r="14">
          <cell r="B14" t="str">
            <v xml:space="preserve">  Demand Outside FSU</v>
          </cell>
          <cell r="E14">
            <v>54.1</v>
          </cell>
          <cell r="G14">
            <v>55.5</v>
          </cell>
          <cell r="I14">
            <v>56.9</v>
          </cell>
          <cell r="J14">
            <v>54.5</v>
          </cell>
          <cell r="K14">
            <v>55.5</v>
          </cell>
          <cell r="L14">
            <v>56.8</v>
          </cell>
          <cell r="M14">
            <v>58</v>
          </cell>
          <cell r="O14">
            <v>58.7</v>
          </cell>
          <cell r="P14">
            <v>54.5</v>
          </cell>
          <cell r="Q14">
            <v>55.1</v>
          </cell>
          <cell r="R14">
            <v>57.5</v>
          </cell>
          <cell r="S14">
            <v>58.599999999999994</v>
          </cell>
          <cell r="U14">
            <v>57.4</v>
          </cell>
          <cell r="V14">
            <v>55</v>
          </cell>
          <cell r="W14">
            <v>55.8</v>
          </cell>
          <cell r="X14">
            <v>58</v>
          </cell>
          <cell r="Y14">
            <v>60.1</v>
          </cell>
          <cell r="AA14">
            <v>60.3</v>
          </cell>
          <cell r="AB14">
            <v>58.1</v>
          </cell>
          <cell r="AC14">
            <v>59.1</v>
          </cell>
          <cell r="AD14">
            <v>60.9</v>
          </cell>
          <cell r="AE14">
            <v>60.2</v>
          </cell>
          <cell r="AG14">
            <v>62</v>
          </cell>
          <cell r="AH14">
            <v>59.8</v>
          </cell>
          <cell r="AI14">
            <v>60.7</v>
          </cell>
          <cell r="AJ14">
            <v>62.7</v>
          </cell>
          <cell r="AK14">
            <v>63.8</v>
          </cell>
          <cell r="AM14">
            <v>63.8</v>
          </cell>
          <cell r="AN14">
            <v>62</v>
          </cell>
          <cell r="AO14">
            <v>62.3</v>
          </cell>
          <cell r="AP14">
            <v>67.099999999999994</v>
          </cell>
          <cell r="AQ14">
            <v>65.300000000000011</v>
          </cell>
          <cell r="AS14">
            <v>66.3</v>
          </cell>
          <cell r="AT14">
            <v>64</v>
          </cell>
          <cell r="AU14">
            <v>64.5</v>
          </cell>
          <cell r="AV14">
            <v>67</v>
          </cell>
          <cell r="AW14">
            <v>67.599999999999994</v>
          </cell>
        </row>
        <row r="16">
          <cell r="A16" t="str">
            <v>Supply</v>
          </cell>
        </row>
        <row r="17">
          <cell r="B17" t="str">
            <v xml:space="preserve">  OECD (1)</v>
          </cell>
          <cell r="E17">
            <v>16.7</v>
          </cell>
          <cell r="G17">
            <v>16.3</v>
          </cell>
          <cell r="I17">
            <v>16.100000000000001</v>
          </cell>
          <cell r="J17">
            <v>16</v>
          </cell>
          <cell r="K17">
            <v>15.5</v>
          </cell>
          <cell r="L17">
            <v>16.100000000000001</v>
          </cell>
          <cell r="M17">
            <v>15.925000000000001</v>
          </cell>
          <cell r="O17">
            <v>15.9</v>
          </cell>
          <cell r="P17">
            <v>16</v>
          </cell>
          <cell r="Q17">
            <v>15.7</v>
          </cell>
          <cell r="R17">
            <v>16</v>
          </cell>
          <cell r="S17">
            <v>16.3</v>
          </cell>
          <cell r="U17">
            <v>16.2</v>
          </cell>
          <cell r="V17">
            <v>16.100000000000001</v>
          </cell>
          <cell r="W17">
            <v>15.9</v>
          </cell>
          <cell r="X17">
            <v>16.2</v>
          </cell>
          <cell r="Y17">
            <v>16.600000000000001</v>
          </cell>
          <cell r="AA17">
            <v>16.600000000000001</v>
          </cell>
          <cell r="AB17">
            <v>16.399999999999999</v>
          </cell>
          <cell r="AC17">
            <v>16.7</v>
          </cell>
          <cell r="AD17">
            <v>17.5</v>
          </cell>
          <cell r="AE17">
            <v>16.8</v>
          </cell>
          <cell r="AG17">
            <v>17.600000000000001</v>
          </cell>
          <cell r="AH17">
            <v>17.3</v>
          </cell>
          <cell r="AI17">
            <v>17.2</v>
          </cell>
          <cell r="AJ17">
            <v>18</v>
          </cell>
          <cell r="AK17">
            <v>17.600000000000001</v>
          </cell>
          <cell r="AM17">
            <v>18.100000000000001</v>
          </cell>
          <cell r="AN17">
            <v>17.7</v>
          </cell>
          <cell r="AO17">
            <v>17.7</v>
          </cell>
          <cell r="AP17">
            <v>18.3</v>
          </cell>
          <cell r="AQ17">
            <v>21.2</v>
          </cell>
          <cell r="AS17">
            <v>18.3</v>
          </cell>
          <cell r="AT17">
            <v>18.2</v>
          </cell>
          <cell r="AU17">
            <v>18.399999999999999</v>
          </cell>
          <cell r="AV17">
            <v>19.399999999999999</v>
          </cell>
          <cell r="AW17">
            <v>21.7</v>
          </cell>
        </row>
        <row r="18">
          <cell r="B18" t="str">
            <v xml:space="preserve">  FSU Net Exports</v>
          </cell>
          <cell r="E18">
            <v>3.7</v>
          </cell>
          <cell r="G18">
            <v>3.3</v>
          </cell>
          <cell r="I18">
            <v>2.8</v>
          </cell>
          <cell r="J18">
            <v>3.3</v>
          </cell>
          <cell r="K18">
            <v>3.3</v>
          </cell>
          <cell r="L18">
            <v>2.7</v>
          </cell>
          <cell r="M18">
            <v>3.0249999999999995</v>
          </cell>
          <cell r="O18">
            <v>2</v>
          </cell>
          <cell r="P18">
            <v>2.5</v>
          </cell>
          <cell r="Q18">
            <v>2.5</v>
          </cell>
          <cell r="R18">
            <v>1.9</v>
          </cell>
          <cell r="S18">
            <v>2.1</v>
          </cell>
          <cell r="U18">
            <v>2.2000000000000002</v>
          </cell>
          <cell r="V18">
            <v>1.9</v>
          </cell>
          <cell r="W18">
            <v>1.9</v>
          </cell>
          <cell r="X18">
            <v>2</v>
          </cell>
          <cell r="Y18">
            <v>2.1</v>
          </cell>
          <cell r="AA18">
            <v>1.9</v>
          </cell>
          <cell r="AB18">
            <v>2.4</v>
          </cell>
          <cell r="AC18">
            <v>2.5</v>
          </cell>
          <cell r="AD18">
            <v>2.1</v>
          </cell>
          <cell r="AE18">
            <v>2.2000000000000002</v>
          </cell>
          <cell r="AG18">
            <v>1.8</v>
          </cell>
          <cell r="AH18">
            <v>2.4</v>
          </cell>
          <cell r="AI18">
            <v>2.5</v>
          </cell>
          <cell r="AJ18">
            <v>2.4</v>
          </cell>
          <cell r="AK18">
            <v>2.4</v>
          </cell>
          <cell r="AM18">
            <v>2</v>
          </cell>
          <cell r="AN18">
            <v>2.7</v>
          </cell>
          <cell r="AO18">
            <v>2.6</v>
          </cell>
          <cell r="AP18">
            <v>2.2999999999999998</v>
          </cell>
          <cell r="AQ18">
            <v>2.2999999999999998</v>
          </cell>
          <cell r="AS18">
            <v>2.4</v>
          </cell>
          <cell r="AT18">
            <v>2.9</v>
          </cell>
          <cell r="AU18">
            <v>2.8</v>
          </cell>
          <cell r="AV18">
            <v>2.4</v>
          </cell>
          <cell r="AW18">
            <v>2.7</v>
          </cell>
        </row>
        <row r="19">
          <cell r="B19" t="str">
            <v xml:space="preserve">  China</v>
          </cell>
          <cell r="E19">
            <v>2.7</v>
          </cell>
          <cell r="G19">
            <v>2.8</v>
          </cell>
          <cell r="I19">
            <v>2.8</v>
          </cell>
          <cell r="J19">
            <v>2.8</v>
          </cell>
          <cell r="K19">
            <v>2.8</v>
          </cell>
          <cell r="L19">
            <v>2.8</v>
          </cell>
          <cell r="M19">
            <v>2.8</v>
          </cell>
          <cell r="O19">
            <v>2.9</v>
          </cell>
          <cell r="P19">
            <v>2.9</v>
          </cell>
          <cell r="Q19">
            <v>2.9</v>
          </cell>
          <cell r="R19">
            <v>2.9</v>
          </cell>
          <cell r="S19">
            <v>2.8</v>
          </cell>
          <cell r="U19">
            <v>2.8</v>
          </cell>
          <cell r="V19">
            <v>2.8</v>
          </cell>
          <cell r="W19">
            <v>2.8</v>
          </cell>
          <cell r="X19">
            <v>2.8</v>
          </cell>
          <cell r="Y19">
            <v>2.8</v>
          </cell>
          <cell r="AA19">
            <v>2.8</v>
          </cell>
          <cell r="AB19">
            <v>2.8</v>
          </cell>
          <cell r="AC19">
            <v>2.9</v>
          </cell>
          <cell r="AD19">
            <v>2.9</v>
          </cell>
          <cell r="AE19">
            <v>2.9</v>
          </cell>
          <cell r="AG19">
            <v>3</v>
          </cell>
          <cell r="AH19">
            <v>2.9</v>
          </cell>
          <cell r="AI19">
            <v>2.9</v>
          </cell>
          <cell r="AJ19">
            <v>2.9</v>
          </cell>
          <cell r="AK19">
            <v>2.8</v>
          </cell>
          <cell r="AM19">
            <v>3</v>
          </cell>
          <cell r="AN19">
            <v>2.9</v>
          </cell>
          <cell r="AO19">
            <v>3</v>
          </cell>
          <cell r="AP19">
            <v>3</v>
          </cell>
          <cell r="AQ19">
            <v>2.9750000000000001</v>
          </cell>
          <cell r="AS19">
            <v>3.1</v>
          </cell>
          <cell r="AT19">
            <v>3.1</v>
          </cell>
          <cell r="AU19">
            <v>3.2</v>
          </cell>
          <cell r="AV19">
            <v>3.2</v>
          </cell>
          <cell r="AW19">
            <v>3.1</v>
          </cell>
        </row>
        <row r="20">
          <cell r="B20" t="str">
            <v xml:space="preserve">  Other Non-OECD </v>
          </cell>
          <cell r="E20">
            <v>9.6999999999999993</v>
          </cell>
          <cell r="G20">
            <v>10</v>
          </cell>
          <cell r="I20">
            <v>10.199999999999999</v>
          </cell>
          <cell r="J20">
            <v>10.199999999999999</v>
          </cell>
          <cell r="K20">
            <v>10.3</v>
          </cell>
          <cell r="L20">
            <v>10.5</v>
          </cell>
          <cell r="M20">
            <v>10.6</v>
          </cell>
          <cell r="O20">
            <v>10.4</v>
          </cell>
          <cell r="P20">
            <v>10.5</v>
          </cell>
          <cell r="Q20">
            <v>10.5</v>
          </cell>
          <cell r="R20">
            <v>10.6</v>
          </cell>
          <cell r="S20">
            <v>11</v>
          </cell>
          <cell r="U20">
            <v>10.5</v>
          </cell>
          <cell r="V20">
            <v>10.5</v>
          </cell>
          <cell r="W20">
            <v>10.5</v>
          </cell>
          <cell r="X20">
            <v>10.5</v>
          </cell>
          <cell r="Y20">
            <v>11.3</v>
          </cell>
          <cell r="AA20">
            <v>11.5</v>
          </cell>
          <cell r="AB20">
            <v>11.6</v>
          </cell>
          <cell r="AC20">
            <v>11.4</v>
          </cell>
          <cell r="AD20">
            <v>11.9</v>
          </cell>
          <cell r="AE20">
            <v>11.5</v>
          </cell>
          <cell r="AG20">
            <v>11.6</v>
          </cell>
          <cell r="AH20">
            <v>11.6</v>
          </cell>
          <cell r="AI20">
            <v>11.7</v>
          </cell>
          <cell r="AJ20">
            <v>12</v>
          </cell>
          <cell r="AK20">
            <v>12</v>
          </cell>
          <cell r="AM20">
            <v>12.5</v>
          </cell>
          <cell r="AN20">
            <v>12.5</v>
          </cell>
          <cell r="AO20">
            <v>12.8</v>
          </cell>
          <cell r="AP20">
            <v>12.5</v>
          </cell>
          <cell r="AQ20">
            <v>9.8000000000000007</v>
          </cell>
          <cell r="AS20">
            <v>13</v>
          </cell>
          <cell r="AT20">
            <v>13.1</v>
          </cell>
          <cell r="AU20">
            <v>13.4</v>
          </cell>
          <cell r="AV20">
            <v>13.7</v>
          </cell>
          <cell r="AW20">
            <v>10.1</v>
          </cell>
        </row>
        <row r="21">
          <cell r="B21" t="str">
            <v xml:space="preserve">  Processing Gains</v>
          </cell>
          <cell r="E21">
            <v>1.2</v>
          </cell>
          <cell r="G21">
            <v>1.2</v>
          </cell>
          <cell r="I21">
            <v>1.2</v>
          </cell>
          <cell r="J21">
            <v>1.2</v>
          </cell>
          <cell r="K21">
            <v>1.2</v>
          </cell>
          <cell r="L21">
            <v>1.2</v>
          </cell>
          <cell r="M21">
            <v>1.4</v>
          </cell>
          <cell r="O21">
            <v>1.2</v>
          </cell>
          <cell r="P21">
            <v>1.2</v>
          </cell>
          <cell r="Q21">
            <v>1.2</v>
          </cell>
          <cell r="R21">
            <v>1.2</v>
          </cell>
          <cell r="S21">
            <v>1.4</v>
          </cell>
          <cell r="U21">
            <v>1.2</v>
          </cell>
          <cell r="V21">
            <v>1.2</v>
          </cell>
          <cell r="W21">
            <v>1.2</v>
          </cell>
          <cell r="X21">
            <v>1.2</v>
          </cell>
          <cell r="Y21">
            <v>1.5</v>
          </cell>
          <cell r="AA21">
            <v>1.5</v>
          </cell>
          <cell r="AB21">
            <v>1.5</v>
          </cell>
          <cell r="AC21">
            <v>1.5</v>
          </cell>
          <cell r="AD21">
            <v>1.5</v>
          </cell>
          <cell r="AE21">
            <v>1.5</v>
          </cell>
          <cell r="AG21">
            <v>1.5</v>
          </cell>
          <cell r="AH21">
            <v>1.5</v>
          </cell>
          <cell r="AI21">
            <v>1.5</v>
          </cell>
          <cell r="AJ21">
            <v>1.5</v>
          </cell>
          <cell r="AK21">
            <v>1.5</v>
          </cell>
          <cell r="AM21">
            <v>1.5</v>
          </cell>
          <cell r="AN21">
            <v>1.5</v>
          </cell>
          <cell r="AO21">
            <v>1.5</v>
          </cell>
          <cell r="AP21">
            <v>1.5</v>
          </cell>
          <cell r="AQ21">
            <v>1.5</v>
          </cell>
          <cell r="AS21">
            <v>1.5</v>
          </cell>
          <cell r="AT21">
            <v>1.5</v>
          </cell>
          <cell r="AU21">
            <v>1.5</v>
          </cell>
          <cell r="AV21">
            <v>1.5</v>
          </cell>
          <cell r="AW21">
            <v>1.5</v>
          </cell>
        </row>
        <row r="23">
          <cell r="B23" t="str">
            <v xml:space="preserve">  Total Non-OPEC</v>
          </cell>
          <cell r="E23">
            <v>34</v>
          </cell>
          <cell r="G23">
            <v>33.600000000000009</v>
          </cell>
          <cell r="I23">
            <v>33.1</v>
          </cell>
          <cell r="J23">
            <v>33.5</v>
          </cell>
          <cell r="K23">
            <v>33.1</v>
          </cell>
          <cell r="L23">
            <v>33.300000000000004</v>
          </cell>
          <cell r="M23">
            <v>33.700000000000003</v>
          </cell>
          <cell r="O23">
            <v>32.4</v>
          </cell>
          <cell r="P23">
            <v>33.1</v>
          </cell>
          <cell r="Q23">
            <v>32.799999999999997</v>
          </cell>
          <cell r="R23">
            <v>32.6</v>
          </cell>
          <cell r="S23">
            <v>33.6</v>
          </cell>
          <cell r="U23">
            <v>32.9</v>
          </cell>
          <cell r="V23">
            <v>32.5</v>
          </cell>
          <cell r="W23">
            <v>32.300000000000004</v>
          </cell>
          <cell r="X23">
            <v>32.700000000000003</v>
          </cell>
          <cell r="Y23">
            <v>34.300000000000004</v>
          </cell>
          <cell r="AA23">
            <v>34.299999999999997</v>
          </cell>
          <cell r="AB23">
            <v>34.699999999999996</v>
          </cell>
          <cell r="AC23">
            <v>35</v>
          </cell>
          <cell r="AD23">
            <v>35.9</v>
          </cell>
          <cell r="AE23">
            <v>34.9</v>
          </cell>
          <cell r="AG23">
            <v>35.5</v>
          </cell>
          <cell r="AH23">
            <v>35.699999999999996</v>
          </cell>
          <cell r="AI23">
            <v>35.799999999999997</v>
          </cell>
          <cell r="AJ23">
            <v>36.799999999999997</v>
          </cell>
          <cell r="AK23">
            <v>36.299999999999997</v>
          </cell>
          <cell r="AM23">
            <v>37.1</v>
          </cell>
          <cell r="AN23">
            <v>37.299999999999997</v>
          </cell>
          <cell r="AO23">
            <v>37.6</v>
          </cell>
          <cell r="AP23">
            <v>37.6</v>
          </cell>
          <cell r="AQ23">
            <v>37.700000000000003</v>
          </cell>
          <cell r="AS23">
            <v>38.299999999999997</v>
          </cell>
          <cell r="AT23">
            <v>38.799999999999997</v>
          </cell>
          <cell r="AU23">
            <v>39.299999999999997</v>
          </cell>
          <cell r="AV23">
            <v>40.199999999999996</v>
          </cell>
          <cell r="AW23">
            <v>39.1</v>
          </cell>
        </row>
        <row r="25">
          <cell r="B25" t="str">
            <v xml:space="preserve">  Call on OPEC Oil  (2)</v>
          </cell>
          <cell r="E25">
            <v>19.8</v>
          </cell>
          <cell r="G25">
            <v>21.7</v>
          </cell>
          <cell r="I25">
            <v>23.8</v>
          </cell>
          <cell r="J25">
            <v>23.6</v>
          </cell>
          <cell r="K25">
            <v>21.9</v>
          </cell>
          <cell r="L25">
            <v>23.1</v>
          </cell>
          <cell r="M25">
            <v>22.7</v>
          </cell>
          <cell r="O25">
            <v>23.1</v>
          </cell>
          <cell r="P25">
            <v>22.7</v>
          </cell>
          <cell r="Q25">
            <v>23.5</v>
          </cell>
          <cell r="R25">
            <v>24.1</v>
          </cell>
          <cell r="S25">
            <v>23</v>
          </cell>
          <cell r="U25">
            <v>23.9</v>
          </cell>
          <cell r="V25">
            <v>22.5</v>
          </cell>
          <cell r="W25">
            <v>23.5</v>
          </cell>
          <cell r="X25">
            <v>24.5</v>
          </cell>
          <cell r="Y25">
            <v>24.1</v>
          </cell>
          <cell r="AA25">
            <v>25.1</v>
          </cell>
          <cell r="AB25">
            <v>24.2</v>
          </cell>
          <cell r="AC25">
            <v>24.7</v>
          </cell>
          <cell r="AD25">
            <v>24.8</v>
          </cell>
          <cell r="AE25">
            <v>24.7</v>
          </cell>
          <cell r="AG25">
            <v>25.2</v>
          </cell>
          <cell r="AH25">
            <v>25.1</v>
          </cell>
          <cell r="AI25">
            <v>25.5</v>
          </cell>
          <cell r="AJ25">
            <v>25.2</v>
          </cell>
          <cell r="AK25">
            <v>25</v>
          </cell>
          <cell r="AM25">
            <v>25.2</v>
          </cell>
          <cell r="AN25">
            <v>25.2</v>
          </cell>
          <cell r="AO25">
            <v>25.6</v>
          </cell>
          <cell r="AP25">
            <v>25.6</v>
          </cell>
          <cell r="AQ25">
            <v>25.2</v>
          </cell>
          <cell r="AS25">
            <v>25.9</v>
          </cell>
          <cell r="AT25">
            <v>26</v>
          </cell>
          <cell r="AU25">
            <v>25.5</v>
          </cell>
          <cell r="AV25">
            <v>25.6</v>
          </cell>
          <cell r="AW25">
            <v>25.8</v>
          </cell>
        </row>
        <row r="27">
          <cell r="B27" t="str">
            <v xml:space="preserve">  OPEC NGL</v>
          </cell>
          <cell r="E27">
            <v>1.9</v>
          </cell>
          <cell r="G27">
            <v>2</v>
          </cell>
          <cell r="I27">
            <v>2</v>
          </cell>
          <cell r="J27">
            <v>2</v>
          </cell>
          <cell r="K27">
            <v>2</v>
          </cell>
          <cell r="L27">
            <v>2</v>
          </cell>
          <cell r="M27">
            <v>2</v>
          </cell>
          <cell r="O27">
            <v>2</v>
          </cell>
          <cell r="P27">
            <v>2</v>
          </cell>
          <cell r="Q27">
            <v>2</v>
          </cell>
          <cell r="R27">
            <v>2</v>
          </cell>
          <cell r="S27">
            <v>2.1</v>
          </cell>
          <cell r="U27">
            <v>2</v>
          </cell>
          <cell r="V27">
            <v>2</v>
          </cell>
          <cell r="W27">
            <v>2</v>
          </cell>
          <cell r="X27">
            <v>2</v>
          </cell>
          <cell r="Y27">
            <v>2.1</v>
          </cell>
          <cell r="AA27">
            <v>2.2000000000000002</v>
          </cell>
          <cell r="AB27">
            <v>2.2000000000000002</v>
          </cell>
          <cell r="AC27">
            <v>2</v>
          </cell>
          <cell r="AD27">
            <v>2.2000000000000002</v>
          </cell>
          <cell r="AE27">
            <v>2.2999999999999998</v>
          </cell>
          <cell r="AG27">
            <v>2.2000000000000002</v>
          </cell>
          <cell r="AH27">
            <v>2.2000000000000002</v>
          </cell>
          <cell r="AI27">
            <v>2.2000000000000002</v>
          </cell>
          <cell r="AJ27">
            <v>2.2000000000000002</v>
          </cell>
          <cell r="AK27">
            <v>2.4</v>
          </cell>
          <cell r="AM27">
            <v>2.4</v>
          </cell>
          <cell r="AN27">
            <v>2.4</v>
          </cell>
          <cell r="AO27">
            <v>2.4</v>
          </cell>
          <cell r="AP27">
            <v>2.4</v>
          </cell>
          <cell r="AQ27">
            <v>2.4</v>
          </cell>
          <cell r="AS27">
            <v>2.5</v>
          </cell>
          <cell r="AT27">
            <v>2.5</v>
          </cell>
          <cell r="AU27">
            <v>2.6</v>
          </cell>
          <cell r="AV27">
            <v>2.7</v>
          </cell>
          <cell r="AW27">
            <v>2.5750000000000002</v>
          </cell>
        </row>
        <row r="29">
          <cell r="B29" t="str">
            <v xml:space="preserve">  Total OPEC</v>
          </cell>
          <cell r="E29">
            <v>21.7</v>
          </cell>
          <cell r="G29">
            <v>23.7</v>
          </cell>
          <cell r="I29">
            <v>25.8</v>
          </cell>
          <cell r="J29">
            <v>25.6</v>
          </cell>
          <cell r="K29">
            <v>23.9</v>
          </cell>
          <cell r="L29">
            <v>25.1</v>
          </cell>
          <cell r="M29">
            <v>24.8</v>
          </cell>
          <cell r="O29">
            <v>25.1</v>
          </cell>
          <cell r="P29">
            <v>24.7</v>
          </cell>
          <cell r="Q29">
            <v>25.5</v>
          </cell>
          <cell r="R29">
            <v>26.1</v>
          </cell>
          <cell r="S29">
            <v>25.1</v>
          </cell>
          <cell r="U29">
            <v>25.9</v>
          </cell>
          <cell r="V29">
            <v>24.5</v>
          </cell>
          <cell r="W29">
            <v>25.5</v>
          </cell>
          <cell r="X29">
            <v>26.5</v>
          </cell>
          <cell r="Y29">
            <v>26.200000000000003</v>
          </cell>
          <cell r="AA29">
            <v>27.3</v>
          </cell>
          <cell r="AB29">
            <v>26.4</v>
          </cell>
          <cell r="AC29">
            <v>26.7</v>
          </cell>
          <cell r="AD29">
            <v>27</v>
          </cell>
          <cell r="AE29">
            <v>27</v>
          </cell>
          <cell r="AG29">
            <v>27.4</v>
          </cell>
          <cell r="AH29">
            <v>27.3</v>
          </cell>
          <cell r="AI29">
            <v>27.7</v>
          </cell>
          <cell r="AJ29">
            <v>27.4</v>
          </cell>
          <cell r="AK29">
            <v>27.4</v>
          </cell>
          <cell r="AM29">
            <v>27.599999999999998</v>
          </cell>
          <cell r="AN29">
            <v>27.599999999999998</v>
          </cell>
          <cell r="AO29">
            <v>28</v>
          </cell>
          <cell r="AP29">
            <v>28</v>
          </cell>
          <cell r="AQ29">
            <v>27.599999999999998</v>
          </cell>
          <cell r="AS29">
            <v>28.4</v>
          </cell>
          <cell r="AT29">
            <v>28.5</v>
          </cell>
          <cell r="AU29">
            <v>28.1</v>
          </cell>
          <cell r="AV29">
            <v>28.3</v>
          </cell>
          <cell r="AW29">
            <v>28.375</v>
          </cell>
        </row>
        <row r="31">
          <cell r="B31" t="str">
            <v xml:space="preserve">  Total Production</v>
          </cell>
          <cell r="E31">
            <v>55.7</v>
          </cell>
          <cell r="G31">
            <v>57.300000000000011</v>
          </cell>
          <cell r="I31">
            <v>58.900000000000006</v>
          </cell>
          <cell r="J31">
            <v>59.1</v>
          </cell>
          <cell r="K31">
            <v>57</v>
          </cell>
          <cell r="L31">
            <v>58.400000000000006</v>
          </cell>
          <cell r="M31">
            <v>58.5</v>
          </cell>
          <cell r="O31">
            <v>57.5</v>
          </cell>
          <cell r="P31">
            <v>57.8</v>
          </cell>
          <cell r="Q31">
            <v>58.3</v>
          </cell>
          <cell r="R31">
            <v>58.7</v>
          </cell>
          <cell r="S31">
            <v>58.7</v>
          </cell>
          <cell r="U31">
            <v>58.8</v>
          </cell>
          <cell r="V31">
            <v>57</v>
          </cell>
          <cell r="W31">
            <v>57.800000000000004</v>
          </cell>
          <cell r="X31">
            <v>59.2</v>
          </cell>
          <cell r="Y31">
            <v>60.500000000000007</v>
          </cell>
          <cell r="AA31">
            <v>61.599999999999994</v>
          </cell>
          <cell r="AB31">
            <v>61.099999999999994</v>
          </cell>
          <cell r="AC31">
            <v>61.7</v>
          </cell>
          <cell r="AD31">
            <v>62.9</v>
          </cell>
          <cell r="AE31">
            <v>61.9</v>
          </cell>
          <cell r="AG31">
            <v>62.9</v>
          </cell>
          <cell r="AH31">
            <v>63</v>
          </cell>
          <cell r="AI31">
            <v>63.5</v>
          </cell>
          <cell r="AJ31">
            <v>64.199999999999989</v>
          </cell>
          <cell r="AK31">
            <v>63.7</v>
          </cell>
          <cell r="AM31">
            <v>64.7</v>
          </cell>
          <cell r="AN31">
            <v>64.899999999999991</v>
          </cell>
          <cell r="AO31">
            <v>65.599999999999994</v>
          </cell>
          <cell r="AP31">
            <v>65.599999999999994</v>
          </cell>
          <cell r="AQ31">
            <v>65.3</v>
          </cell>
          <cell r="AS31">
            <v>66.699999999999989</v>
          </cell>
          <cell r="AT31">
            <v>67.3</v>
          </cell>
          <cell r="AU31">
            <v>67.400000000000006</v>
          </cell>
          <cell r="AV31">
            <v>68.5</v>
          </cell>
          <cell r="AW31">
            <v>67.474999999999994</v>
          </cell>
        </row>
        <row r="33">
          <cell r="A33" t="str">
            <v>Inventory Build (Draw)</v>
          </cell>
          <cell r="E33">
            <v>1.6000000000000014</v>
          </cell>
          <cell r="G33">
            <v>-0.1</v>
          </cell>
          <cell r="I33">
            <v>0.2</v>
          </cell>
          <cell r="J33">
            <v>2.8</v>
          </cell>
          <cell r="K33">
            <v>1.5</v>
          </cell>
          <cell r="L33">
            <v>1.6000000000000085</v>
          </cell>
          <cell r="M33">
            <v>0.5</v>
          </cell>
          <cell r="O33">
            <v>-1.2000000000000028</v>
          </cell>
          <cell r="P33">
            <v>3.2999999999999972</v>
          </cell>
          <cell r="Q33">
            <v>3.1999999999999957</v>
          </cell>
          <cell r="R33">
            <v>1.2000000000000028</v>
          </cell>
          <cell r="S33">
            <v>0.10000000000000853</v>
          </cell>
          <cell r="U33">
            <v>1.3999999999999986</v>
          </cell>
          <cell r="V33">
            <v>2</v>
          </cell>
          <cell r="W33">
            <v>2.0000000000000071</v>
          </cell>
          <cell r="X33">
            <v>1.2000000000000028</v>
          </cell>
          <cell r="Y33">
            <v>0.40000000000000568</v>
          </cell>
          <cell r="AA33">
            <v>1.2999999999999972</v>
          </cell>
          <cell r="AB33">
            <v>2.9999999999999929</v>
          </cell>
          <cell r="AC33">
            <v>2.6000000000000014</v>
          </cell>
          <cell r="AD33">
            <v>0.1</v>
          </cell>
          <cell r="AE33">
            <v>-0.1</v>
          </cell>
          <cell r="AG33">
            <v>-1</v>
          </cell>
          <cell r="AH33">
            <v>1.4</v>
          </cell>
          <cell r="AI33">
            <v>1</v>
          </cell>
          <cell r="AJ33">
            <v>-0.3</v>
          </cell>
          <cell r="AK33">
            <v>-0.1</v>
          </cell>
          <cell r="AM33">
            <v>-1</v>
          </cell>
          <cell r="AN33">
            <v>1.1000000000000001</v>
          </cell>
          <cell r="AO33">
            <v>1.5</v>
          </cell>
          <cell r="AP33">
            <v>-1.5</v>
          </cell>
          <cell r="AQ33">
            <v>0</v>
          </cell>
          <cell r="AS33">
            <v>0.39999999999999147</v>
          </cell>
          <cell r="AT33">
            <v>3.2999999999999972</v>
          </cell>
          <cell r="AU33">
            <v>2.9000000000000057</v>
          </cell>
          <cell r="AV33">
            <v>1.5</v>
          </cell>
          <cell r="AW33">
            <v>-0.125</v>
          </cell>
        </row>
        <row r="35">
          <cell r="A35" t="str">
            <v>OPEC Capacity</v>
          </cell>
          <cell r="G35">
            <v>28</v>
          </cell>
          <cell r="M35">
            <v>26.5</v>
          </cell>
          <cell r="S35">
            <v>24.5</v>
          </cell>
          <cell r="Y35">
            <v>26</v>
          </cell>
          <cell r="AE35">
            <v>27.5</v>
          </cell>
          <cell r="AK35">
            <v>28</v>
          </cell>
          <cell r="AQ35">
            <v>29</v>
          </cell>
          <cell r="AW35">
            <v>29.8</v>
          </cell>
        </row>
        <row r="36">
          <cell r="A36" t="str">
            <v>OPEC Operating Rate</v>
          </cell>
          <cell r="G36">
            <v>0.77500000000000002</v>
          </cell>
          <cell r="M36">
            <v>0.85660377358490558</v>
          </cell>
          <cell r="S36">
            <v>0.95499999999999996</v>
          </cell>
          <cell r="Y36">
            <v>0.92692307692307696</v>
          </cell>
          <cell r="AE36">
            <v>0.89818181818181819</v>
          </cell>
          <cell r="AK36">
            <v>0.8928571428571429</v>
          </cell>
          <cell r="AQ36">
            <v>0.86896551724137927</v>
          </cell>
          <cell r="AW36">
            <v>0.86577181208053688</v>
          </cell>
        </row>
        <row r="39">
          <cell r="B39" t="str">
            <v xml:space="preserve">(1) OECD production includes NGLs and non-conventional.  </v>
          </cell>
        </row>
        <row r="40">
          <cell r="B40" t="str">
            <v>(2) Includes condensates.</v>
          </cell>
        </row>
        <row r="41">
          <cell r="B41" t="str">
            <v>(3) Data for 2002 and 2003 revised to match IEA figures.</v>
          </cell>
        </row>
        <row r="42">
          <cell r="B42" t="str">
            <v xml:space="preserve">Notes:  (a) Historical OPEC production is actual.  Projected OPEC production is derived from our estimates of </v>
          </cell>
        </row>
        <row r="43">
          <cell r="B43" t="str">
            <v xml:space="preserve">                 demand and non-OPEC production. Projected OPEC production is the same as the projected call on OPEC.</v>
          </cell>
        </row>
        <row r="44">
          <cell r="B44" t="str">
            <v xml:space="preserve">                (b) Numbers may not add due to rounding.</v>
          </cell>
        </row>
        <row r="46">
          <cell r="A46" t="str">
            <v>Sources: The International Energy Agency, U.S. Department of Energy and Bear, Stearns &amp; Co., Inc. estimates.</v>
          </cell>
        </row>
      </sheetData>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refreshError="1"/>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WFS"/>
      <sheetName val="Valuation"/>
      <sheetName val="Variance"/>
      <sheetName val="IS"/>
      <sheetName val="REV"/>
      <sheetName val="BS"/>
      <sheetName val="Maintenance"/>
      <sheetName val="CF"/>
      <sheetName val="DCF"/>
      <sheetName val="Disclosures"/>
      <sheetName val="Metrics"/>
      <sheetName val="LBO"/>
      <sheetName val="SEG"/>
      <sheetName val="REV-New"/>
      <sheetName val="REV - OLD"/>
      <sheetName val="SpinCO"/>
      <sheetName val="SOTP"/>
      <sheetName val="IS Pre Q1Goto"/>
      <sheetName val="BS Pre Q1Goto"/>
      <sheetName val="REV (2)"/>
      <sheetName val="CTXS"/>
      <sheetName val="Disclaimer"/>
      <sheetName val="BM CTXS Estimate Upload"/>
      <sheetName val="BM CTXS Financials"/>
      <sheetName val="BM CTXS DL"/>
      <sheetName val="BM CTXS VAR"/>
      <sheetName val="BM CTXS Charts"/>
      <sheetName val="Sheet1"/>
    </sheetNames>
    <sheetDataSet>
      <sheetData sheetId="0"/>
      <sheetData sheetId="1"/>
      <sheetData sheetId="2">
        <row r="4">
          <cell r="D4">
            <v>80</v>
          </cell>
        </row>
      </sheetData>
      <sheetData sheetId="3">
        <row r="132">
          <cell r="AM132">
            <v>3130.0000000000014</v>
          </cell>
        </row>
      </sheetData>
      <sheetData sheetId="4">
        <row r="7">
          <cell r="CD7">
            <v>944.11894807943577</v>
          </cell>
        </row>
      </sheetData>
      <sheetData sheetId="5">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103</v>
          </cell>
          <cell r="DD1">
            <v>104</v>
          </cell>
          <cell r="DE1">
            <v>105</v>
          </cell>
          <cell r="DF1">
            <v>106</v>
          </cell>
          <cell r="DG1">
            <v>107</v>
          </cell>
          <cell r="DH1">
            <v>108</v>
          </cell>
          <cell r="DI1">
            <v>109</v>
          </cell>
          <cell r="DJ1">
            <v>110</v>
          </cell>
          <cell r="DK1">
            <v>111</v>
          </cell>
          <cell r="DL1">
            <v>112</v>
          </cell>
          <cell r="DM1">
            <v>113</v>
          </cell>
          <cell r="DN1">
            <v>114</v>
          </cell>
          <cell r="DO1">
            <v>115</v>
          </cell>
        </row>
        <row r="2">
          <cell r="A2" t="str">
            <v>C I T R I X   S Y S T E M S</v>
          </cell>
          <cell r="AU2">
            <v>369.05799999999999</v>
          </cell>
          <cell r="AV2">
            <v>392.82799999999997</v>
          </cell>
          <cell r="AW2">
            <v>401.04199999999997</v>
          </cell>
          <cell r="AX2">
            <v>451.15999999999997</v>
          </cell>
          <cell r="AY2">
            <v>414.27200000000005</v>
          </cell>
          <cell r="AZ2">
            <v>458.43299999999999</v>
          </cell>
          <cell r="BA2">
            <v>472.233</v>
          </cell>
          <cell r="BB2">
            <v>529.72432300000003</v>
          </cell>
          <cell r="BC2">
            <v>490.88800000000003</v>
          </cell>
          <cell r="BD2">
            <v>530.79</v>
          </cell>
          <cell r="BE2">
            <v>565.34799999999996</v>
          </cell>
          <cell r="BV2"/>
          <cell r="CA2"/>
          <cell r="CB2"/>
          <cell r="CC2"/>
          <cell r="CD2"/>
          <cell r="CE2"/>
          <cell r="CF2"/>
          <cell r="CG2"/>
          <cell r="CH2"/>
          <cell r="CI2"/>
          <cell r="CJ2"/>
          <cell r="CK2"/>
          <cell r="CL2"/>
          <cell r="CM2"/>
          <cell r="CY2">
            <v>0</v>
          </cell>
          <cell r="DC2"/>
          <cell r="DG2"/>
          <cell r="DK2"/>
          <cell r="DO2"/>
        </row>
        <row r="3">
          <cell r="A3" t="str">
            <v>R e v e n u e   B r e a k d o w n</v>
          </cell>
          <cell r="B3"/>
          <cell r="C3"/>
          <cell r="D3"/>
          <cell r="E3"/>
          <cell r="F3"/>
          <cell r="G3"/>
          <cell r="H3"/>
          <cell r="I3"/>
          <cell r="J3"/>
          <cell r="K3"/>
          <cell r="L3"/>
          <cell r="M3"/>
          <cell r="N3"/>
          <cell r="O3"/>
          <cell r="P3"/>
          <cell r="Q3"/>
          <cell r="R3"/>
          <cell r="S3"/>
          <cell r="T3"/>
          <cell r="U3"/>
          <cell r="V3"/>
          <cell r="W3"/>
          <cell r="X3"/>
          <cell r="Y3"/>
          <cell r="Z3"/>
          <cell r="AA3"/>
          <cell r="AB3"/>
          <cell r="AC3"/>
          <cell r="AD3"/>
          <cell r="AE3"/>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-4.784946236559108</v>
          </cell>
          <cell r="BH3">
            <v>-6.0571428571428214</v>
          </cell>
          <cell r="BI3">
            <v>-7.2352941176470722</v>
          </cell>
          <cell r="BJ3">
            <v>-8.6666666666666288</v>
          </cell>
          <cell r="BK3">
            <v>-8.8999999999999773</v>
          </cell>
          <cell r="BL3">
            <v>-10.600000000000023</v>
          </cell>
          <cell r="BM3">
            <v>-12.300000000000068</v>
          </cell>
          <cell r="BN3">
            <v>-14.300000000000068</v>
          </cell>
          <cell r="BO3">
            <v>-15.899999999999977</v>
          </cell>
          <cell r="BP3">
            <v>-17.800000000000068</v>
          </cell>
          <cell r="BQ3">
            <v>-20.100000000000023</v>
          </cell>
          <cell r="BR3">
            <v>-21.699999999999932</v>
          </cell>
          <cell r="BS3">
            <v>-21.799999999999955</v>
          </cell>
          <cell r="BT3">
            <v>-24.900000000000091</v>
          </cell>
          <cell r="BU3">
            <v>-26.399999999999977</v>
          </cell>
          <cell r="BV3">
            <v>-28.300000000000068</v>
          </cell>
          <cell r="BW3"/>
          <cell r="BX3"/>
          <cell r="BY3"/>
          <cell r="BZ3"/>
          <cell r="CA3"/>
          <cell r="CB3"/>
          <cell r="CC3"/>
          <cell r="CD3"/>
          <cell r="CE3"/>
          <cell r="CF3"/>
          <cell r="CG3"/>
          <cell r="CH3"/>
          <cell r="CI3"/>
          <cell r="CJ3"/>
          <cell r="CK3"/>
          <cell r="CL3"/>
          <cell r="CM3"/>
          <cell r="CN3"/>
          <cell r="CO3"/>
          <cell r="CP3"/>
          <cell r="CQ3"/>
          <cell r="CR3"/>
          <cell r="CS3"/>
          <cell r="CT3"/>
          <cell r="CU3"/>
          <cell r="CV3"/>
          <cell r="CW3"/>
          <cell r="CX3"/>
          <cell r="CY3"/>
          <cell r="CZ3"/>
          <cell r="DA3"/>
          <cell r="DB3"/>
          <cell r="DC3"/>
          <cell r="DD3"/>
          <cell r="DE3"/>
          <cell r="DF3"/>
          <cell r="DG3"/>
          <cell r="DH3"/>
          <cell r="DI3"/>
          <cell r="DJ3"/>
          <cell r="DK3"/>
          <cell r="DL3"/>
          <cell r="DM3"/>
          <cell r="DN3"/>
          <cell r="DO3"/>
        </row>
        <row r="4">
          <cell r="A4" t="str">
            <v>(US$ in millions, unless otherwise stated)</v>
          </cell>
          <cell r="B4"/>
          <cell r="C4" t="str">
            <v>Fiscal 1998 by Quarter</v>
          </cell>
          <cell r="D4"/>
          <cell r="E4"/>
          <cell r="F4"/>
          <cell r="G4" t="str">
            <v>Fiscal 1999 by Quarter</v>
          </cell>
          <cell r="H4"/>
          <cell r="I4"/>
          <cell r="J4"/>
          <cell r="K4" t="str">
            <v>Fiscal 2000 by Quarter</v>
          </cell>
          <cell r="L4"/>
          <cell r="M4"/>
          <cell r="N4"/>
          <cell r="O4" t="str">
            <v>Fiscal 2001 by Quarter</v>
          </cell>
          <cell r="P4"/>
          <cell r="Q4"/>
          <cell r="R4"/>
          <cell r="S4" t="str">
            <v>Fiscal 2002 by Quarter</v>
          </cell>
          <cell r="T4"/>
          <cell r="U4"/>
          <cell r="V4"/>
          <cell r="W4" t="str">
            <v>Fiscal 2003 by Quarter</v>
          </cell>
          <cell r="X4"/>
          <cell r="Y4"/>
          <cell r="Z4"/>
          <cell r="AA4" t="str">
            <v>Fiscal 2004 by Quarter</v>
          </cell>
          <cell r="AB4"/>
          <cell r="AC4"/>
          <cell r="AD4"/>
          <cell r="AE4" t="str">
            <v>Fiscal 2005 by Quarter</v>
          </cell>
          <cell r="AF4"/>
          <cell r="AG4"/>
          <cell r="AH4"/>
          <cell r="AI4" t="str">
            <v>Fiscal 2006 by Quarter</v>
          </cell>
          <cell r="AJ4"/>
          <cell r="AK4"/>
          <cell r="AL4"/>
          <cell r="AM4" t="str">
            <v>Fiscal 2007 by Quarter</v>
          </cell>
          <cell r="AN4"/>
          <cell r="AO4"/>
          <cell r="AP4"/>
          <cell r="AQ4" t="str">
            <v>Fiscal 2008 by Quarter</v>
          </cell>
          <cell r="AR4"/>
          <cell r="AS4"/>
          <cell r="AT4"/>
          <cell r="AU4" t="str">
            <v>Fiscal 2009 by Quarter</v>
          </cell>
          <cell r="AV4"/>
          <cell r="AW4"/>
          <cell r="AX4"/>
          <cell r="AY4" t="str">
            <v>Fiscal 2010 by Quarter</v>
          </cell>
          <cell r="AZ4"/>
          <cell r="BA4"/>
          <cell r="BB4"/>
          <cell r="BC4" t="str">
            <v>Fiscal 2011 by Quarter</v>
          </cell>
          <cell r="BD4"/>
          <cell r="BE4"/>
          <cell r="BF4"/>
          <cell r="BG4" t="str">
            <v>Fiscal 2012 by Quarter</v>
          </cell>
          <cell r="BH4"/>
          <cell r="BI4"/>
          <cell r="BJ4"/>
          <cell r="BK4" t="str">
            <v>Fiscal 2013 by Quarter</v>
          </cell>
          <cell r="BL4"/>
          <cell r="BM4"/>
          <cell r="BN4"/>
          <cell r="BO4" t="str">
            <v>Fiscal 2014 by Quarter</v>
          </cell>
          <cell r="BP4"/>
          <cell r="BQ4"/>
          <cell r="BR4"/>
          <cell r="BS4" t="str">
            <v>Fiscal 2015 by Quarter</v>
          </cell>
          <cell r="BT4"/>
          <cell r="BU4"/>
          <cell r="BV4"/>
          <cell r="BW4" t="str">
            <v>Fiscal 2016 by Quarter</v>
          </cell>
          <cell r="BX4"/>
          <cell r="BY4"/>
          <cell r="BZ4"/>
          <cell r="CA4" t="str">
            <v>Fiscal 2017 by Quarter</v>
          </cell>
          <cell r="CB4"/>
          <cell r="CC4"/>
          <cell r="CD4"/>
          <cell r="CE4" t="str">
            <v>Fiscal 2018 by Quarter</v>
          </cell>
          <cell r="CF4"/>
          <cell r="CG4"/>
          <cell r="CH4"/>
          <cell r="CI4" t="str">
            <v>Fiscal 2019 by Quarter</v>
          </cell>
          <cell r="CJ4"/>
          <cell r="CK4"/>
          <cell r="CL4"/>
          <cell r="CM4" t="str">
            <v>Fiscal 2020 by Quarter</v>
          </cell>
          <cell r="CN4"/>
          <cell r="CO4"/>
          <cell r="CP4"/>
          <cell r="CQ4" t="str">
            <v>Fiscal 2021 by Quarter</v>
          </cell>
          <cell r="CR4"/>
          <cell r="CS4"/>
          <cell r="CT4"/>
          <cell r="CU4" t="str">
            <v>Fiscal 2022 by Quarter</v>
          </cell>
          <cell r="CV4"/>
          <cell r="CW4"/>
          <cell r="CX4"/>
          <cell r="CY4" t="str">
            <v>Fiscal 2023 by Quarter</v>
          </cell>
          <cell r="CZ4"/>
          <cell r="DA4"/>
          <cell r="DB4"/>
          <cell r="DC4"/>
          <cell r="DD4" t="str">
            <v xml:space="preserve"> Fiscal Year Ends December</v>
          </cell>
          <cell r="DE4"/>
          <cell r="DF4"/>
          <cell r="DG4"/>
          <cell r="DH4"/>
          <cell r="DI4"/>
          <cell r="DJ4"/>
          <cell r="DK4"/>
          <cell r="DL4"/>
          <cell r="DM4"/>
          <cell r="DN4"/>
          <cell r="DO4"/>
        </row>
        <row r="5">
          <cell r="A5"/>
          <cell r="B5"/>
          <cell r="C5">
            <v>35855</v>
          </cell>
          <cell r="D5">
            <v>35947</v>
          </cell>
          <cell r="E5">
            <v>36039</v>
          </cell>
          <cell r="F5">
            <v>36130</v>
          </cell>
          <cell r="G5">
            <v>36220</v>
          </cell>
          <cell r="H5">
            <v>36312</v>
          </cell>
          <cell r="I5">
            <v>36404</v>
          </cell>
          <cell r="J5">
            <v>36495</v>
          </cell>
          <cell r="K5">
            <v>36586</v>
          </cell>
          <cell r="L5">
            <v>36678</v>
          </cell>
          <cell r="M5">
            <v>36770</v>
          </cell>
          <cell r="N5">
            <v>36861</v>
          </cell>
          <cell r="O5">
            <v>36951</v>
          </cell>
          <cell r="P5">
            <v>37043</v>
          </cell>
          <cell r="Q5">
            <v>37135</v>
          </cell>
          <cell r="R5">
            <v>37226</v>
          </cell>
          <cell r="S5">
            <v>37317</v>
          </cell>
          <cell r="T5">
            <v>37409</v>
          </cell>
          <cell r="U5">
            <v>37501</v>
          </cell>
          <cell r="V5">
            <v>37592</v>
          </cell>
          <cell r="W5">
            <v>37683</v>
          </cell>
          <cell r="X5">
            <v>37775</v>
          </cell>
          <cell r="Y5">
            <v>37867</v>
          </cell>
          <cell r="Z5">
            <v>37958</v>
          </cell>
          <cell r="AA5">
            <v>38050</v>
          </cell>
          <cell r="AB5">
            <v>38142</v>
          </cell>
          <cell r="AC5">
            <v>38234</v>
          </cell>
          <cell r="AD5">
            <v>38325</v>
          </cell>
          <cell r="AE5">
            <v>38416</v>
          </cell>
          <cell r="AF5">
            <v>38508</v>
          </cell>
          <cell r="AG5">
            <v>38600</v>
          </cell>
          <cell r="AH5">
            <v>38691</v>
          </cell>
          <cell r="AI5">
            <v>38782</v>
          </cell>
          <cell r="AJ5">
            <v>38874</v>
          </cell>
          <cell r="AK5">
            <v>38966</v>
          </cell>
          <cell r="AL5">
            <v>39057</v>
          </cell>
          <cell r="AM5">
            <v>39148</v>
          </cell>
          <cell r="AN5">
            <v>39240</v>
          </cell>
          <cell r="AO5">
            <v>39332</v>
          </cell>
          <cell r="AP5">
            <v>39423</v>
          </cell>
          <cell r="AQ5">
            <v>39515</v>
          </cell>
          <cell r="AR5">
            <v>39607</v>
          </cell>
          <cell r="AS5">
            <v>39699</v>
          </cell>
          <cell r="AT5">
            <v>39790</v>
          </cell>
          <cell r="AU5">
            <v>39880</v>
          </cell>
          <cell r="AV5">
            <v>39972</v>
          </cell>
          <cell r="AW5">
            <v>40065</v>
          </cell>
          <cell r="AX5">
            <v>40155</v>
          </cell>
          <cell r="AY5">
            <v>40247</v>
          </cell>
          <cell r="AZ5">
            <v>40339</v>
          </cell>
          <cell r="BA5">
            <v>40431</v>
          </cell>
          <cell r="BB5">
            <v>40522</v>
          </cell>
          <cell r="BC5">
            <v>40613</v>
          </cell>
          <cell r="BD5">
            <v>40705</v>
          </cell>
          <cell r="BE5">
            <v>40797</v>
          </cell>
          <cell r="BF5">
            <v>40888</v>
          </cell>
          <cell r="BG5">
            <v>40979</v>
          </cell>
          <cell r="BH5">
            <v>41071</v>
          </cell>
          <cell r="BI5">
            <v>41163</v>
          </cell>
          <cell r="BJ5">
            <v>41254</v>
          </cell>
          <cell r="BK5">
            <v>41344</v>
          </cell>
          <cell r="BL5">
            <v>41436</v>
          </cell>
          <cell r="BM5">
            <v>41530</v>
          </cell>
          <cell r="BN5">
            <v>41621</v>
          </cell>
          <cell r="BO5">
            <v>41712</v>
          </cell>
          <cell r="BP5">
            <v>41804</v>
          </cell>
          <cell r="BQ5">
            <v>41896</v>
          </cell>
          <cell r="BR5">
            <v>41987</v>
          </cell>
          <cell r="BS5">
            <v>42078</v>
          </cell>
          <cell r="BT5">
            <v>42170</v>
          </cell>
          <cell r="BU5">
            <v>42262</v>
          </cell>
          <cell r="BV5">
            <v>42353</v>
          </cell>
          <cell r="BW5">
            <v>42445</v>
          </cell>
          <cell r="BX5">
            <v>42537</v>
          </cell>
          <cell r="BY5">
            <v>42629</v>
          </cell>
          <cell r="BZ5">
            <v>42720</v>
          </cell>
          <cell r="CA5">
            <v>42811</v>
          </cell>
          <cell r="CB5">
            <v>42903</v>
          </cell>
          <cell r="CC5">
            <v>42995</v>
          </cell>
          <cell r="CD5">
            <v>43086</v>
          </cell>
          <cell r="CE5">
            <v>43177</v>
          </cell>
          <cell r="CF5">
            <v>43269</v>
          </cell>
          <cell r="CG5">
            <v>43361</v>
          </cell>
          <cell r="CH5">
            <v>43451</v>
          </cell>
          <cell r="CI5" t="str">
            <v>Mar-19E</v>
          </cell>
          <cell r="CJ5" t="str">
            <v>Jun-19E</v>
          </cell>
          <cell r="CK5" t="str">
            <v>Sep-19E</v>
          </cell>
          <cell r="CL5" t="str">
            <v>Dec-19E</v>
          </cell>
          <cell r="CM5" t="str">
            <v>Mar-20E</v>
          </cell>
          <cell r="CN5" t="str">
            <v>Jun-20E</v>
          </cell>
          <cell r="CO5" t="str">
            <v>Sep-20E</v>
          </cell>
          <cell r="CP5" t="str">
            <v>Dec-20E</v>
          </cell>
          <cell r="CQ5" t="str">
            <v>Mar-21E</v>
          </cell>
          <cell r="CR5" t="str">
            <v>Jun-21E</v>
          </cell>
          <cell r="CS5" t="str">
            <v>Sep-21E</v>
          </cell>
          <cell r="CT5" t="str">
            <v>Dec-21E</v>
          </cell>
          <cell r="CU5" t="str">
            <v>Mar-22E</v>
          </cell>
          <cell r="CV5" t="str">
            <v>Jun-22E</v>
          </cell>
          <cell r="CW5" t="str">
            <v>Sep-22E</v>
          </cell>
          <cell r="CX5" t="str">
            <v>Dec-22E</v>
          </cell>
          <cell r="CY5" t="str">
            <v>Mar-23E</v>
          </cell>
          <cell r="CZ5" t="str">
            <v>Jun-23E</v>
          </cell>
          <cell r="DA5" t="str">
            <v>Sep-23E</v>
          </cell>
          <cell r="DB5" t="str">
            <v>Dec-23E</v>
          </cell>
          <cell r="DC5"/>
          <cell r="DD5">
            <v>1998</v>
          </cell>
          <cell r="DE5">
            <v>1999</v>
          </cell>
          <cell r="DF5">
            <v>2000</v>
          </cell>
          <cell r="DG5">
            <v>2001</v>
          </cell>
          <cell r="DH5">
            <v>2002</v>
          </cell>
          <cell r="DI5">
            <v>2003</v>
          </cell>
          <cell r="DJ5">
            <v>2004</v>
          </cell>
          <cell r="DK5">
            <v>2005</v>
          </cell>
          <cell r="DL5">
            <v>2006</v>
          </cell>
          <cell r="DM5">
            <v>2007</v>
          </cell>
          <cell r="DN5">
            <v>2008</v>
          </cell>
          <cell r="DO5">
            <v>2009</v>
          </cell>
        </row>
        <row r="6">
          <cell r="A6"/>
          <cell r="B6"/>
          <cell r="C6"/>
          <cell r="D6"/>
          <cell r="E6"/>
          <cell r="F6"/>
          <cell r="G6"/>
          <cell r="H6"/>
          <cell r="I6"/>
          <cell r="J6"/>
          <cell r="K6"/>
          <cell r="L6"/>
          <cell r="M6"/>
          <cell r="N6"/>
          <cell r="O6"/>
          <cell r="P6"/>
          <cell r="Q6"/>
          <cell r="R6"/>
          <cell r="S6"/>
          <cell r="T6"/>
          <cell r="U6"/>
          <cell r="V6"/>
          <cell r="W6"/>
          <cell r="X6"/>
          <cell r="Y6"/>
          <cell r="Z6"/>
          <cell r="AA6"/>
          <cell r="AB6"/>
          <cell r="AC6"/>
          <cell r="AD6"/>
          <cell r="AE6"/>
          <cell r="AF6"/>
          <cell r="AG6"/>
          <cell r="AH6"/>
          <cell r="AI6"/>
          <cell r="AJ6"/>
          <cell r="AK6"/>
          <cell r="AL6"/>
          <cell r="AM6"/>
          <cell r="AN6"/>
          <cell r="AO6"/>
          <cell r="AP6"/>
          <cell r="AQ6"/>
          <cell r="AR6"/>
          <cell r="AS6"/>
          <cell r="AT6"/>
          <cell r="AU6"/>
          <cell r="AV6"/>
          <cell r="AW6"/>
          <cell r="AX6"/>
          <cell r="AY6"/>
          <cell r="AZ6"/>
          <cell r="BA6"/>
          <cell r="BB6"/>
          <cell r="BC6"/>
          <cell r="BD6"/>
          <cell r="BE6"/>
          <cell r="BF6"/>
          <cell r="BG6"/>
          <cell r="BH6"/>
          <cell r="BI6"/>
          <cell r="BJ6"/>
          <cell r="BK6"/>
          <cell r="BL6"/>
          <cell r="BM6"/>
          <cell r="BN6"/>
          <cell r="BO6"/>
          <cell r="BP6"/>
          <cell r="BQ6"/>
          <cell r="BR6"/>
          <cell r="BS6"/>
          <cell r="BT6"/>
          <cell r="BU6"/>
          <cell r="BV6"/>
          <cell r="BW6"/>
          <cell r="BX6"/>
          <cell r="BY6"/>
          <cell r="BZ6"/>
          <cell r="CA6"/>
          <cell r="CB6"/>
          <cell r="CC6"/>
          <cell r="CD6"/>
          <cell r="CE6"/>
          <cell r="CF6"/>
          <cell r="CG6"/>
          <cell r="CH6"/>
          <cell r="CI6"/>
          <cell r="CJ6"/>
          <cell r="CK6"/>
          <cell r="CL6"/>
          <cell r="CM6"/>
          <cell r="CN6"/>
          <cell r="CO6"/>
          <cell r="CP6"/>
          <cell r="CQ6"/>
          <cell r="CR6"/>
          <cell r="CS6"/>
          <cell r="CT6"/>
          <cell r="CU6"/>
          <cell r="CV6"/>
          <cell r="CW6"/>
          <cell r="CX6"/>
          <cell r="CY6"/>
          <cell r="CZ6"/>
          <cell r="DA6"/>
          <cell r="DB6"/>
          <cell r="DC6"/>
          <cell r="DD6"/>
          <cell r="DE6"/>
          <cell r="DF6"/>
          <cell r="DG6"/>
          <cell r="DH6"/>
          <cell r="DI6"/>
          <cell r="DJ6"/>
          <cell r="DK6"/>
          <cell r="DL6"/>
          <cell r="DM6"/>
          <cell r="DN6"/>
          <cell r="DO6"/>
        </row>
        <row r="7">
          <cell r="A7" t="str">
            <v>Total revenue</v>
          </cell>
          <cell r="B7"/>
          <cell r="C7">
            <v>0</v>
          </cell>
          <cell r="D7">
            <v>0</v>
          </cell>
          <cell r="E7">
            <v>0</v>
          </cell>
          <cell r="F7">
            <v>248.636</v>
          </cell>
          <cell r="G7">
            <v>85.039000000000001</v>
          </cell>
          <cell r="H7">
            <v>94.415000000000006</v>
          </cell>
          <cell r="I7">
            <v>105.78</v>
          </cell>
          <cell r="J7">
            <v>118.051</v>
          </cell>
          <cell r="K7">
            <v>127.515</v>
          </cell>
          <cell r="L7">
            <v>106.086</v>
          </cell>
          <cell r="M7">
            <v>113.491</v>
          </cell>
          <cell r="N7">
            <v>123.354</v>
          </cell>
          <cell r="O7">
            <v>132.81200000000001</v>
          </cell>
          <cell r="P7">
            <v>147.274</v>
          </cell>
          <cell r="Q7">
            <v>153.495</v>
          </cell>
          <cell r="R7">
            <v>158.04900000000001</v>
          </cell>
          <cell r="S7">
            <v>142.31</v>
          </cell>
          <cell r="T7">
            <v>117.456</v>
          </cell>
          <cell r="U7">
            <v>118.898</v>
          </cell>
          <cell r="V7">
            <v>148.78399999999999</v>
          </cell>
          <cell r="W7">
            <v>143.49100000000001</v>
          </cell>
          <cell r="X7">
            <v>142.98899999999998</v>
          </cell>
          <cell r="Y7">
            <v>144.36599999999999</v>
          </cell>
          <cell r="Z7">
            <v>157.9</v>
          </cell>
          <cell r="AA7">
            <v>161.31</v>
          </cell>
          <cell r="AB7">
            <v>178.30199999999999</v>
          </cell>
          <cell r="AC7">
            <v>187.57799999999997</v>
          </cell>
          <cell r="AD7">
            <v>213.96700000000001</v>
          </cell>
          <cell r="AE7">
            <v>201.89</v>
          </cell>
          <cell r="AF7">
            <v>211.22899999999998</v>
          </cell>
          <cell r="AG7">
            <v>226.947</v>
          </cell>
          <cell r="AH7">
            <v>268.65600000000001</v>
          </cell>
          <cell r="AI7">
            <v>259.99799999999999</v>
          </cell>
          <cell r="AJ7">
            <v>275.46800000000002</v>
          </cell>
          <cell r="AK7">
            <v>277.851</v>
          </cell>
          <cell r="AL7">
            <v>321.00200000000001</v>
          </cell>
          <cell r="AM7">
            <v>308.08800000000002</v>
          </cell>
          <cell r="AN7">
            <v>334.36399999999998</v>
          </cell>
          <cell r="AO7">
            <v>349.93099999999998</v>
          </cell>
          <cell r="AP7">
            <v>399.55900000000003</v>
          </cell>
          <cell r="AQ7">
            <v>377.03399999999999</v>
          </cell>
          <cell r="AR7">
            <v>391.73</v>
          </cell>
          <cell r="AS7">
            <v>398.89299999999997</v>
          </cell>
          <cell r="AT7">
            <v>415.697</v>
          </cell>
          <cell r="AU7">
            <v>369.05799999999999</v>
          </cell>
          <cell r="AV7">
            <v>392.82799999999997</v>
          </cell>
          <cell r="AW7">
            <v>401.04199999999997</v>
          </cell>
          <cell r="AX7">
            <v>451.16</v>
          </cell>
          <cell r="AY7">
            <v>414.27199999999999</v>
          </cell>
          <cell r="AZ7">
            <v>458.43299999999999</v>
          </cell>
          <cell r="BA7">
            <v>472.233</v>
          </cell>
          <cell r="BB7">
            <v>529.72432300000003</v>
          </cell>
          <cell r="BC7">
            <v>490.88800000000003</v>
          </cell>
          <cell r="BD7">
            <v>530.79</v>
          </cell>
          <cell r="BE7">
            <v>565.34799999999996</v>
          </cell>
          <cell r="BF7">
            <v>619.36599999999999</v>
          </cell>
          <cell r="BG7">
            <v>589.495</v>
          </cell>
          <cell r="BH7">
            <v>615.20999999999992</v>
          </cell>
          <cell r="BI7">
            <v>641.42200000000003</v>
          </cell>
          <cell r="BJ7">
            <v>739.99599999999998</v>
          </cell>
          <cell r="BK7">
            <v>672.899</v>
          </cell>
          <cell r="BL7">
            <v>730.38400000000001</v>
          </cell>
          <cell r="BM7">
            <v>712.73099999999999</v>
          </cell>
          <cell r="BN7">
            <v>802.42</v>
          </cell>
          <cell r="BO7">
            <v>750.81899999999996</v>
          </cell>
          <cell r="BP7">
            <v>781.56</v>
          </cell>
          <cell r="BQ7">
            <v>758.99399999999991</v>
          </cell>
          <cell r="BR7">
            <v>851.48299999999995</v>
          </cell>
          <cell r="BS7">
            <v>760.80199999999991</v>
          </cell>
          <cell r="BT7">
            <v>796.75900000000001</v>
          </cell>
          <cell r="BU7">
            <v>813.27</v>
          </cell>
          <cell r="BV7">
            <v>904.76300000000003</v>
          </cell>
          <cell r="BW7">
            <v>658.77299999999991</v>
          </cell>
          <cell r="BX7">
            <v>673.98699999999997</v>
          </cell>
          <cell r="BY7">
            <v>668.73599999999999</v>
          </cell>
          <cell r="BZ7">
            <v>734.58400000000006</v>
          </cell>
          <cell r="CA7">
            <v>662.67699999999991</v>
          </cell>
          <cell r="CB7">
            <v>693.22700000000009</v>
          </cell>
          <cell r="CC7">
            <v>690.92499999999995</v>
          </cell>
          <cell r="CD7">
            <v>777.85700000000008</v>
          </cell>
          <cell r="CE7">
            <v>697.19200000000001</v>
          </cell>
          <cell r="CF7">
            <v>742.36500000000001</v>
          </cell>
          <cell r="CG7">
            <v>732.476</v>
          </cell>
          <cell r="CH7">
            <v>801.87</v>
          </cell>
          <cell r="CI7">
            <v>710.22308750979482</v>
          </cell>
          <cell r="CJ7">
            <v>771.98683059933012</v>
          </cell>
          <cell r="CK7">
            <v>762.8312545940895</v>
          </cell>
          <cell r="CL7">
            <v>855.92196681317864</v>
          </cell>
          <cell r="CM7">
            <v>764.90215235832568</v>
          </cell>
          <cell r="CN7">
            <v>827.01230981535025</v>
          </cell>
          <cell r="CO7">
            <v>818.99159361235093</v>
          </cell>
          <cell r="CP7">
            <v>899.51389604789256</v>
          </cell>
          <cell r="CQ7">
            <v>823.61107291098563</v>
          </cell>
          <cell r="CR7">
            <v>884.31403806901722</v>
          </cell>
          <cell r="CS7">
            <v>876.72924789280751</v>
          </cell>
          <cell r="CT7">
            <v>943.36472067882346</v>
          </cell>
          <cell r="CU7">
            <v>893.76092802290873</v>
          </cell>
          <cell r="CV7">
            <v>955.421064101311</v>
          </cell>
          <cell r="CW7">
            <v>947.44634030305133</v>
          </cell>
          <cell r="CX7">
            <v>1011.4388128078598</v>
          </cell>
          <cell r="CY7">
            <v>971.1607552733069</v>
          </cell>
          <cell r="CZ7">
            <v>1032.8567171681684</v>
          </cell>
          <cell r="DA7">
            <v>1022.9622251320616</v>
          </cell>
          <cell r="DB7">
            <v>1088.0918223402787</v>
          </cell>
          <cell r="DC7"/>
          <cell r="DD7">
            <v>248.636</v>
          </cell>
          <cell r="DE7">
            <v>403.28500000000003</v>
          </cell>
          <cell r="DF7">
            <v>470.44599999999997</v>
          </cell>
          <cell r="DG7">
            <v>591.63</v>
          </cell>
          <cell r="DH7">
            <v>527.44799999999998</v>
          </cell>
          <cell r="DI7">
            <v>588.74599999999998</v>
          </cell>
          <cell r="DJ7">
            <v>741.15699999999993</v>
          </cell>
          <cell r="DK7">
            <v>908.72199999999998</v>
          </cell>
          <cell r="DL7">
            <v>1134.319</v>
          </cell>
          <cell r="DM7">
            <v>1391.942</v>
          </cell>
          <cell r="DN7">
            <v>1583.3539999999998</v>
          </cell>
          <cell r="DO7">
            <v>1614.088</v>
          </cell>
        </row>
        <row r="8">
          <cell r="A8" t="str">
            <v>% growth in revenue y-o-y</v>
          </cell>
          <cell r="B8"/>
          <cell r="C8" t="str">
            <v>NA</v>
          </cell>
          <cell r="D8" t="str">
            <v>NA</v>
          </cell>
          <cell r="E8" t="str">
            <v>NA</v>
          </cell>
          <cell r="F8" t="str">
            <v>NA</v>
          </cell>
          <cell r="G8" t="str">
            <v>NA</v>
          </cell>
          <cell r="H8" t="str">
            <v>NA</v>
          </cell>
          <cell r="I8" t="str">
            <v>NA</v>
          </cell>
          <cell r="J8">
            <v>-0.52520552132434561</v>
          </cell>
          <cell r="K8">
            <v>0.49948846999611951</v>
          </cell>
          <cell r="L8">
            <v>0.12361383254779423</v>
          </cell>
          <cell r="M8">
            <v>7.2896577802987306E-2</v>
          </cell>
          <cell r="N8">
            <v>4.4921262844024978E-2</v>
          </cell>
          <cell r="O8">
            <v>4.1540210955574031E-2</v>
          </cell>
          <cell r="P8">
            <v>0.38825104160775226</v>
          </cell>
          <cell r="Q8">
            <v>0.35248610021940063</v>
          </cell>
          <cell r="R8">
            <v>0.28126368014008474</v>
          </cell>
          <cell r="S8">
            <v>7.1514622172695219E-2</v>
          </cell>
          <cell r="T8">
            <v>-0.20246615152708558</v>
          </cell>
          <cell r="U8">
            <v>-0.2253949640053422</v>
          </cell>
          <cell r="V8">
            <v>-5.8621060557169091E-2</v>
          </cell>
          <cell r="W8">
            <v>8.2987843440376352E-3</v>
          </cell>
          <cell r="X8">
            <v>0.21738353085410678</v>
          </cell>
          <cell r="Y8">
            <v>0.21420040707160748</v>
          </cell>
          <cell r="Z8">
            <v>6.1270029035380258E-2</v>
          </cell>
          <cell r="AA8">
            <v>0.12418200444627181</v>
          </cell>
          <cell r="AB8">
            <v>0.24696305310198707</v>
          </cell>
          <cell r="AC8">
            <v>0.29932255517227047</v>
          </cell>
          <cell r="AD8">
            <v>0.35507916402786588</v>
          </cell>
          <cell r="AE8">
            <v>0.25156530903229801</v>
          </cell>
          <cell r="AF8">
            <v>0.1846698298392615</v>
          </cell>
          <cell r="AG8">
            <v>0.2098806896331129</v>
          </cell>
          <cell r="AH8">
            <v>0.25559548902400842</v>
          </cell>
          <cell r="AI8">
            <v>0.28782010005448511</v>
          </cell>
          <cell r="AJ8">
            <v>0.30412017289292681</v>
          </cell>
          <cell r="AK8">
            <v>0.22429906542056077</v>
          </cell>
          <cell r="AL8">
            <v>0.19484396402834858</v>
          </cell>
          <cell r="AM8">
            <v>0.18496296125354816</v>
          </cell>
          <cell r="AN8">
            <v>0.21380341818287407</v>
          </cell>
          <cell r="AO8">
            <v>0.25941961698896154</v>
          </cell>
          <cell r="AP8">
            <v>0.2447243319356267</v>
          </cell>
          <cell r="AQ8">
            <v>0.22378671029056618</v>
          </cell>
          <cell r="AR8">
            <v>0.17156751324903419</v>
          </cell>
          <cell r="AS8">
            <v>0.13991901260534223</v>
          </cell>
          <cell r="AT8">
            <v>4.0389529456225537E-2</v>
          </cell>
          <cell r="AU8">
            <v>-2.1154590832657028E-2</v>
          </cell>
          <cell r="AV8">
            <v>2.8029510121765355E-3</v>
          </cell>
          <cell r="AW8">
            <v>5.3874096562236407E-3</v>
          </cell>
          <cell r="AX8">
            <v>8.5309732810195937E-2</v>
          </cell>
          <cell r="AY8">
            <v>0.1225119086972779</v>
          </cell>
          <cell r="AZ8">
            <v>0.16700693433258329</v>
          </cell>
          <cell r="BA8">
            <v>0.177515073234225</v>
          </cell>
          <cell r="BB8">
            <v>0.17413849410408733</v>
          </cell>
          <cell r="BC8">
            <v>0.18494129460837327</v>
          </cell>
          <cell r="BD8">
            <v>0.15783549613574932</v>
          </cell>
          <cell r="BE8">
            <v>0.19718020553413251</v>
          </cell>
          <cell r="BF8">
            <v>0.16922326030326529</v>
          </cell>
          <cell r="BG8">
            <v>0.20087474128518101</v>
          </cell>
          <cell r="BH8">
            <v>0.15904595037585478</v>
          </cell>
          <cell r="BI8">
            <v>0.13456136751169212</v>
          </cell>
          <cell r="BJ8">
            <v>0.19476367769622493</v>
          </cell>
          <cell r="BK8">
            <v>0.14148381241571184</v>
          </cell>
          <cell r="BL8">
            <v>0.18721087108467049</v>
          </cell>
          <cell r="BM8">
            <v>0.11117329932556097</v>
          </cell>
          <cell r="BN8">
            <v>8.4357212741690502E-2</v>
          </cell>
          <cell r="BO8">
            <v>0.1157974673762332</v>
          </cell>
          <cell r="BP8">
            <v>7.0067252294683247E-2</v>
          </cell>
          <cell r="BQ8">
            <v>6.4909481978474126E-2</v>
          </cell>
          <cell r="BR8">
            <v>6.1143790035143697E-2</v>
          </cell>
          <cell r="BS8">
            <v>1.3296147273843539E-2</v>
          </cell>
          <cell r="BT8">
            <v>1.9447003429039489E-2</v>
          </cell>
          <cell r="BU8">
            <v>7.1510446722899079E-2</v>
          </cell>
          <cell r="BV8">
            <v>6.2573181143957157E-2</v>
          </cell>
          <cell r="BW8">
            <v>-0.13410716585918547</v>
          </cell>
          <cell r="BX8">
            <v>-0.15408925409063479</v>
          </cell>
          <cell r="BY8">
            <v>-0.17771957652440151</v>
          </cell>
          <cell r="BZ8">
            <v>-0.18809235125662738</v>
          </cell>
          <cell r="CA8">
            <v>5.9261688016964964E-3</v>
          </cell>
          <cell r="CB8">
            <v>2.8546544666292029E-2</v>
          </cell>
          <cell r="CC8">
            <v>3.3180507704086537E-2</v>
          </cell>
          <cell r="CD8">
            <v>5.8908171155374944E-2</v>
          </cell>
          <cell r="CE8">
            <v>5.2084197882226402E-2</v>
          </cell>
          <cell r="CF8">
            <v>7.0882986381084256E-2</v>
          </cell>
          <cell r="CG8">
            <v>6.0138220501501749E-2</v>
          </cell>
          <cell r="CH8">
            <v>3.0870712740259432E-2</v>
          </cell>
          <cell r="CI8">
            <v>1.8690816173729585E-2</v>
          </cell>
          <cell r="CJ8">
            <v>3.9901976250672044E-2</v>
          </cell>
          <cell r="CK8">
            <v>4.1441978432180004E-2</v>
          </cell>
          <cell r="CL8">
            <v>6.7407393733621035E-2</v>
          </cell>
          <cell r="CM8">
            <v>7.6988576983956225E-2</v>
          </cell>
          <cell r="CN8">
            <v>7.127774339531312E-2</v>
          </cell>
          <cell r="CO8">
            <v>7.3620920328107076E-2</v>
          </cell>
          <cell r="CP8">
            <v>5.0929793748626384E-2</v>
          </cell>
          <cell r="CQ8">
            <v>7.6753504185666399E-2</v>
          </cell>
          <cell r="CR8">
            <v>6.9287636439729461E-2</v>
          </cell>
          <cell r="CS8">
            <v>7.0498469985255108E-2</v>
          </cell>
          <cell r="CT8">
            <v>4.8749468822654185E-2</v>
          </cell>
          <cell r="CU8">
            <v>8.5173521118389273E-2</v>
          </cell>
          <cell r="CV8">
            <v>8.04092471352853E-2</v>
          </cell>
          <cell r="CW8">
            <v>8.0660126920836905E-2</v>
          </cell>
          <cell r="CX8">
            <v>7.2160947549588128E-2</v>
          </cell>
          <cell r="CY8">
            <v>8.6600146441414116E-2</v>
          </cell>
          <cell r="CZ8">
            <v>8.1048718702570133E-2</v>
          </cell>
          <cell r="DA8">
            <v>7.9704656207607139E-2</v>
          </cell>
          <cell r="DB8">
            <v>7.5786106447331303E-2</v>
          </cell>
          <cell r="DC8"/>
          <cell r="DD8" t="str">
            <v>NA</v>
          </cell>
          <cell r="DE8">
            <v>0.62198957512186492</v>
          </cell>
          <cell r="DF8">
            <v>0.16653483268656144</v>
          </cell>
          <cell r="DG8">
            <v>0.25759385774350307</v>
          </cell>
          <cell r="DH8">
            <v>-0.10848334262968418</v>
          </cell>
          <cell r="DI8">
            <v>0.1162161957197676</v>
          </cell>
          <cell r="DJ8">
            <v>0.25887394564039501</v>
          </cell>
          <cell r="DK8">
            <v>0.2260857011402444</v>
          </cell>
          <cell r="DL8">
            <v>0.24825744287031681</v>
          </cell>
          <cell r="DM8">
            <v>0.22711688687221154</v>
          </cell>
          <cell r="DN8">
            <v>0.13751435045425731</v>
          </cell>
          <cell r="DO8">
            <v>1.9410694007783613E-2</v>
          </cell>
        </row>
        <row r="9">
          <cell r="A9" t="str">
            <v>% growth in revenue seq</v>
          </cell>
          <cell r="B9"/>
          <cell r="C9" t="str">
            <v>NA</v>
          </cell>
          <cell r="D9" t="str">
            <v>NA</v>
          </cell>
          <cell r="E9" t="str">
            <v>NA</v>
          </cell>
          <cell r="F9" t="str">
            <v>NA</v>
          </cell>
          <cell r="G9">
            <v>-0.65797792757283746</v>
          </cell>
          <cell r="H9">
            <v>0.11025529462952299</v>
          </cell>
          <cell r="I9">
            <v>0.1203728221151299</v>
          </cell>
          <cell r="J9">
            <v>0.11600491586311223</v>
          </cell>
          <cell r="K9">
            <v>8.0168740629050106E-2</v>
          </cell>
          <cell r="L9">
            <v>-0.16805081755087636</v>
          </cell>
          <cell r="M9">
            <v>6.9801858869219302E-2</v>
          </cell>
          <cell r="N9">
            <v>8.6905569604638355E-2</v>
          </cell>
          <cell r="O9">
            <v>7.6673638471391303E-2</v>
          </cell>
          <cell r="P9">
            <v>0.10889076288287192</v>
          </cell>
          <cell r="Q9">
            <v>4.2240992979073022E-2</v>
          </cell>
          <cell r="R9">
            <v>2.9668718850776932E-2</v>
          </cell>
          <cell r="S9">
            <v>-9.9583040702566961E-2</v>
          </cell>
          <cell r="T9">
            <v>-0.17464689761787644</v>
          </cell>
          <cell r="U9">
            <v>1.2276937746900973E-2</v>
          </cell>
          <cell r="V9">
            <v>0.25135830712038887</v>
          </cell>
          <cell r="W9">
            <v>-3.5575061834605681E-2</v>
          </cell>
          <cell r="X9">
            <v>-3.4984772564136124E-3</v>
          </cell>
          <cell r="Y9">
            <v>9.6301114071712934E-3</v>
          </cell>
          <cell r="Z9">
            <v>9.3747835362897325E-2</v>
          </cell>
          <cell r="AA9">
            <v>2.1595946801773236E-2</v>
          </cell>
          <cell r="AB9">
            <v>0.105337548819044</v>
          </cell>
          <cell r="AC9">
            <v>5.2024093952956152E-2</v>
          </cell>
          <cell r="AD9">
            <v>0.14068280928467103</v>
          </cell>
          <cell r="AE9">
            <v>-5.6443283310043224E-2</v>
          </cell>
          <cell r="AF9">
            <v>4.6257863192827875E-2</v>
          </cell>
          <cell r="AG9">
            <v>7.4412130910055163E-2</v>
          </cell>
          <cell r="AH9">
            <v>0.18378299779243612</v>
          </cell>
          <cell r="AI9">
            <v>-3.2227085938895894E-2</v>
          </cell>
          <cell r="AJ9">
            <v>5.9500457695828457E-2</v>
          </cell>
          <cell r="AK9">
            <v>8.6507325714781924E-3</v>
          </cell>
          <cell r="AL9">
            <v>0.15530266221823941</v>
          </cell>
          <cell r="AM9">
            <v>-4.023027893907194E-2</v>
          </cell>
          <cell r="AN9">
            <v>8.5287320505829323E-2</v>
          </cell>
          <cell r="AO9">
            <v>4.6557045614958659E-2</v>
          </cell>
          <cell r="AP9">
            <v>0.14182224495686313</v>
          </cell>
          <cell r="AQ9">
            <v>-5.6374653054993229E-2</v>
          </cell>
          <cell r="AR9">
            <v>3.8977917110923688E-2</v>
          </cell>
          <cell r="AS9">
            <v>1.8285553825338807E-2</v>
          </cell>
          <cell r="AT9">
            <v>4.2126585324886667E-2</v>
          </cell>
          <cell r="AU9">
            <v>-0.1121946995046873</v>
          </cell>
          <cell r="AV9">
            <v>6.4407220545280142E-2</v>
          </cell>
          <cell r="AW9">
            <v>2.0909914771859439E-2</v>
          </cell>
          <cell r="AX9">
            <v>0.12496945457084307</v>
          </cell>
          <cell r="AY9">
            <v>-8.1762567603510972E-2</v>
          </cell>
          <cell r="AZ9">
            <v>0.10659904603738601</v>
          </cell>
          <cell r="BA9">
            <v>3.010254497385656E-2</v>
          </cell>
          <cell r="BB9">
            <v>0.12174355244127377</v>
          </cell>
          <cell r="BC9">
            <v>-7.3314215175277142E-2</v>
          </cell>
          <cell r="BD9">
            <v>8.1285344111080127E-2</v>
          </cell>
          <cell r="BE9">
            <v>6.5106727707756384E-2</v>
          </cell>
          <cell r="BF9">
            <v>9.5548228701613835E-2</v>
          </cell>
          <cell r="BG9">
            <v>-4.8228349634949264E-2</v>
          </cell>
          <cell r="BH9">
            <v>4.3622083308594517E-2</v>
          </cell>
          <cell r="BI9">
            <v>4.2606589619804902E-2</v>
          </cell>
          <cell r="BJ9">
            <v>0.15368041632497786</v>
          </cell>
          <cell r="BK9">
            <v>-9.0672111741144534E-2</v>
          </cell>
          <cell r="BL9">
            <v>8.5428868225394972E-2</v>
          </cell>
          <cell r="BM9">
            <v>-2.4169477973230546E-2</v>
          </cell>
          <cell r="BN9">
            <v>0.12583850007927255</v>
          </cell>
          <cell r="BO9">
            <v>-6.4306722165449526E-2</v>
          </cell>
          <cell r="BP9">
            <v>4.0943289927399373E-2</v>
          </cell>
          <cell r="BQ9">
            <v>-2.8873023184400437E-2</v>
          </cell>
          <cell r="BR9">
            <v>0.12185735328606029</v>
          </cell>
          <cell r="BS9">
            <v>-0.10649772220936893</v>
          </cell>
          <cell r="BT9">
            <v>4.726196829135576E-2</v>
          </cell>
          <cell r="BU9">
            <v>2.0722702849920616E-2</v>
          </cell>
          <cell r="BV9">
            <v>0.11250015370049304</v>
          </cell>
          <cell r="BW9">
            <v>-0.27188335508857031</v>
          </cell>
          <cell r="BX9">
            <v>2.3094449833250597E-2</v>
          </cell>
          <cell r="BY9">
            <v>-7.7909514575206229E-3</v>
          </cell>
          <cell r="BZ9">
            <v>9.8466360417264864E-2</v>
          </cell>
          <cell r="CA9">
            <v>-9.7888056369319409E-2</v>
          </cell>
          <cell r="CB9">
            <v>4.6100890780878423E-2</v>
          </cell>
          <cell r="CC9">
            <v>-3.3207015883688351E-3</v>
          </cell>
          <cell r="CD9">
            <v>0.1258197344140104</v>
          </cell>
          <cell r="CE9">
            <v>-0.10370158011048314</v>
          </cell>
          <cell r="CF9">
            <v>6.4792768706468218E-2</v>
          </cell>
          <cell r="CG9">
            <v>-1.3320940507701717E-2</v>
          </cell>
          <cell r="CH9">
            <v>9.4738940251967385E-2</v>
          </cell>
          <cell r="CI9">
            <v>-0.1142914842682794</v>
          </cell>
          <cell r="CJ9">
            <v>8.6963862729516617E-2</v>
          </cell>
          <cell r="CK9">
            <v>-1.1859756724260095E-2</v>
          </cell>
          <cell r="CL9">
            <v>0.12203316481654092</v>
          </cell>
          <cell r="CM9">
            <v>-0.10634125303939046</v>
          </cell>
          <cell r="CN9">
            <v>8.1200134246619982E-2</v>
          </cell>
          <cell r="CO9">
            <v>-9.698424204580669E-3</v>
          </cell>
          <cell r="CP9">
            <v>9.8318838756793037E-2</v>
          </cell>
          <cell r="CQ9">
            <v>-8.4382046203392624E-2</v>
          </cell>
          <cell r="CR9">
            <v>7.3703434976270854E-2</v>
          </cell>
          <cell r="CS9">
            <v>-8.5770324225223904E-3</v>
          </cell>
          <cell r="CT9">
            <v>7.6004619380695138E-2</v>
          </cell>
          <cell r="CU9">
            <v>-5.2581776240498979E-2</v>
          </cell>
          <cell r="CV9">
            <v>6.8989518499987357E-2</v>
          </cell>
          <cell r="CW9">
            <v>-8.3468159724539026E-3</v>
          </cell>
          <cell r="CX9">
            <v>6.7542054660678419E-2</v>
          </cell>
          <cell r="CY9">
            <v>-3.9822535011027282E-2</v>
          </cell>
          <cell r="CZ9">
            <v>6.3528063258176948E-2</v>
          </cell>
          <cell r="DA9">
            <v>-9.579733443797589E-3</v>
          </cell>
          <cell r="DB9">
            <v>6.3667646378446685E-2</v>
          </cell>
          <cell r="DC9"/>
          <cell r="DD9"/>
          <cell r="DE9"/>
          <cell r="DF9"/>
          <cell r="DG9"/>
          <cell r="DH9"/>
          <cell r="DI9"/>
          <cell r="DJ9"/>
          <cell r="DK9"/>
          <cell r="DL9"/>
          <cell r="DM9"/>
          <cell r="DN9"/>
          <cell r="DO9"/>
        </row>
        <row r="10">
          <cell r="A10"/>
          <cell r="B10"/>
          <cell r="C10"/>
          <cell r="D10"/>
          <cell r="E10"/>
          <cell r="F10"/>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cell r="CO10"/>
          <cell r="CP10"/>
          <cell r="CQ10"/>
          <cell r="CR10"/>
          <cell r="CS10"/>
          <cell r="CT10"/>
          <cell r="CU10"/>
          <cell r="CV10"/>
          <cell r="CW10"/>
          <cell r="CX10"/>
          <cell r="CY10"/>
          <cell r="CZ10"/>
          <cell r="DA10"/>
          <cell r="DB10"/>
          <cell r="DC10"/>
          <cell r="DD10"/>
          <cell r="DE10"/>
          <cell r="DF10"/>
          <cell r="DG10"/>
          <cell r="DH10"/>
          <cell r="DI10"/>
          <cell r="DJ10"/>
          <cell r="DK10"/>
          <cell r="DL10"/>
          <cell r="DM10"/>
          <cell r="DN10"/>
          <cell r="DO10"/>
        </row>
        <row r="11">
          <cell r="A11" t="str">
            <v>Check Subscription</v>
          </cell>
          <cell r="B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cell r="BM11">
            <v>0</v>
          </cell>
          <cell r="BN11">
            <v>0</v>
          </cell>
          <cell r="BO11">
            <v>0</v>
          </cell>
          <cell r="BP11">
            <v>0</v>
          </cell>
          <cell r="BQ11">
            <v>0</v>
          </cell>
          <cell r="BR11">
            <v>0</v>
          </cell>
          <cell r="BS11">
            <v>169.81055360550457</v>
          </cell>
          <cell r="BT11">
            <v>190.49781165094339</v>
          </cell>
          <cell r="BU11">
            <v>191.44609202040814</v>
          </cell>
          <cell r="BV11">
            <v>263.76867683035709</v>
          </cell>
          <cell r="BW11">
            <v>185.09350343000003</v>
          </cell>
          <cell r="BX11">
            <v>201.92768035</v>
          </cell>
          <cell r="BY11">
            <v>187.61717018000002</v>
          </cell>
          <cell r="BZ11">
            <v>236.33673443999999</v>
          </cell>
          <cell r="CA11">
            <v>170.89819532000001</v>
          </cell>
          <cell r="CB11">
            <v>190.37640114999999</v>
          </cell>
          <cell r="CC11">
            <v>168.7</v>
          </cell>
          <cell r="CD11">
            <v>236.8</v>
          </cell>
          <cell r="CE11">
            <v>160.69999999999999</v>
          </cell>
          <cell r="CF11">
            <v>192.05799999999999</v>
          </cell>
          <cell r="CG11">
            <v>170.952</v>
          </cell>
          <cell r="CH11">
            <v>210.78807625000002</v>
          </cell>
          <cell r="CI11">
            <v>126.61950565053891</v>
          </cell>
          <cell r="CJ11">
            <v>171.22040554056312</v>
          </cell>
          <cell r="CK11">
            <v>145.85240141036908</v>
          </cell>
          <cell r="CL11">
            <v>212.95229711260373</v>
          </cell>
          <cell r="CM11">
            <v>119.17532511607973</v>
          </cell>
          <cell r="CN11">
            <v>162.40506413002447</v>
          </cell>
          <cell r="CO11">
            <v>138.67830273437517</v>
          </cell>
          <cell r="CP11">
            <v>187.99542476384144</v>
          </cell>
          <cell r="CQ11">
            <v>110.25633082800692</v>
          </cell>
          <cell r="CR11">
            <v>151.68901328863365</v>
          </cell>
          <cell r="CS11">
            <v>129.93414393590012</v>
          </cell>
          <cell r="CT11">
            <v>159.49811079795029</v>
          </cell>
          <cell r="CU11">
            <v>109.5969229756279</v>
          </cell>
          <cell r="CV11">
            <v>151.42578813977093</v>
          </cell>
          <cell r="CW11">
            <v>129.81839300968696</v>
          </cell>
          <cell r="CX11">
            <v>153.03480583278943</v>
          </cell>
          <cell r="CY11">
            <v>113.39623136331906</v>
          </cell>
          <cell r="CZ11">
            <v>156.78533624969981</v>
          </cell>
          <cell r="DA11">
            <v>134.33854046797805</v>
          </cell>
          <cell r="DB11">
            <v>158.58627549295488</v>
          </cell>
          <cell r="DC11"/>
          <cell r="DD11">
            <v>0</v>
          </cell>
          <cell r="DE11">
            <v>0</v>
          </cell>
          <cell r="DF11">
            <v>0</v>
          </cell>
          <cell r="DG11">
            <v>0</v>
          </cell>
          <cell r="DH11">
            <v>0</v>
          </cell>
          <cell r="DI11">
            <v>0</v>
          </cell>
          <cell r="DJ11">
            <v>0</v>
          </cell>
          <cell r="DK11">
            <v>0</v>
          </cell>
          <cell r="DL11">
            <v>0</v>
          </cell>
          <cell r="DM11">
            <v>0</v>
          </cell>
          <cell r="DN11">
            <v>0</v>
          </cell>
          <cell r="DO11">
            <v>0</v>
          </cell>
        </row>
        <row r="12">
          <cell r="A12" t="str">
            <v>$ Delta</v>
          </cell>
          <cell r="B12"/>
          <cell r="C12"/>
          <cell r="D12"/>
          <cell r="E12"/>
          <cell r="F12"/>
          <cell r="G12"/>
          <cell r="H12"/>
          <cell r="I12"/>
          <cell r="J12"/>
          <cell r="K12"/>
          <cell r="L12"/>
          <cell r="M12"/>
          <cell r="N12"/>
          <cell r="O12"/>
          <cell r="P12"/>
          <cell r="Q12"/>
          <cell r="R12"/>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cell r="DD12" t="e">
            <v>#REF!</v>
          </cell>
          <cell r="DE12">
            <v>0</v>
          </cell>
          <cell r="DF12">
            <v>0</v>
          </cell>
          <cell r="DG12">
            <v>0</v>
          </cell>
          <cell r="DH12">
            <v>0</v>
          </cell>
          <cell r="DI12">
            <v>0</v>
          </cell>
          <cell r="DJ12">
            <v>0</v>
          </cell>
          <cell r="DK12">
            <v>0</v>
          </cell>
          <cell r="DL12">
            <v>0</v>
          </cell>
          <cell r="DM12">
            <v>0</v>
          </cell>
          <cell r="DN12">
            <v>0</v>
          </cell>
          <cell r="DO12">
            <v>0</v>
          </cell>
        </row>
        <row r="13">
          <cell r="A13" t="str">
            <v>% Delta</v>
          </cell>
          <cell r="B13"/>
          <cell r="C13"/>
          <cell r="D13"/>
          <cell r="E13"/>
          <cell r="F13"/>
          <cell r="G13"/>
          <cell r="H13"/>
          <cell r="I13"/>
          <cell r="J13"/>
          <cell r="K13"/>
          <cell r="L13"/>
          <cell r="M13"/>
          <cell r="N13"/>
          <cell r="O13"/>
          <cell r="P13"/>
          <cell r="Q13"/>
          <cell r="R13"/>
          <cell r="S13" t="e">
            <v>#DIV/0!</v>
          </cell>
          <cell r="T13" t="e">
            <v>#DIV/0!</v>
          </cell>
          <cell r="U13" t="e">
            <v>#DIV/0!</v>
          </cell>
          <cell r="V13" t="e">
            <v>#DIV/0!</v>
          </cell>
          <cell r="W13" t="e">
            <v>#DIV/0!</v>
          </cell>
          <cell r="X13" t="e">
            <v>#DIV/0!</v>
          </cell>
          <cell r="Y13" t="e">
            <v>#DIV/0!</v>
          </cell>
          <cell r="Z13" t="e">
            <v>#DIV/0!</v>
          </cell>
          <cell r="AA13" t="e">
            <v>#DIV/0!</v>
          </cell>
          <cell r="AB13" t="e">
            <v>#DIV/0!</v>
          </cell>
          <cell r="AC13" t="e">
            <v>#DIV/0!</v>
          </cell>
          <cell r="AD13" t="e">
            <v>#DIV/0!</v>
          </cell>
          <cell r="AE13" t="e">
            <v>#DIV/0!</v>
          </cell>
          <cell r="AF13" t="e">
            <v>#DIV/0!</v>
          </cell>
          <cell r="AG13" t="e">
            <v>#DIV/0!</v>
          </cell>
          <cell r="AH13" t="e">
            <v>#DIV/0!</v>
          </cell>
          <cell r="AI13" t="e">
            <v>#DIV/0!</v>
          </cell>
          <cell r="AJ13" t="e">
            <v>#DIV/0!</v>
          </cell>
          <cell r="AK13" t="e">
            <v>#DIV/0!</v>
          </cell>
          <cell r="AL13" t="e">
            <v>#DIV/0!</v>
          </cell>
          <cell r="AM13" t="e">
            <v>#DIV/0!</v>
          </cell>
          <cell r="AN13" t="e">
            <v>#DIV/0!</v>
          </cell>
          <cell r="AO13" t="e">
            <v>#DIV/0!</v>
          </cell>
          <cell r="AP13" t="e">
            <v>#DIV/0!</v>
          </cell>
          <cell r="AQ13" t="e">
            <v>#DIV/0!</v>
          </cell>
          <cell r="AR13" t="e">
            <v>#DIV/0!</v>
          </cell>
          <cell r="AS13" t="e">
            <v>#DIV/0!</v>
          </cell>
          <cell r="AT13" t="e">
            <v>#DIV/0!</v>
          </cell>
          <cell r="AU13" t="e">
            <v>#DIV/0!</v>
          </cell>
          <cell r="AV13" t="e">
            <v>#DIV/0!</v>
          </cell>
          <cell r="AW13" t="e">
            <v>#DIV/0!</v>
          </cell>
          <cell r="AX13" t="e">
            <v>#DIV/0!</v>
          </cell>
          <cell r="AY13" t="e">
            <v>#DIV/0!</v>
          </cell>
          <cell r="AZ13" t="e">
            <v>#DIV/0!</v>
          </cell>
          <cell r="BA13" t="e">
            <v>#DIV/0!</v>
          </cell>
          <cell r="BB13" t="e">
            <v>#DIV/0!</v>
          </cell>
          <cell r="BC13" t="e">
            <v>#DIV/0!</v>
          </cell>
          <cell r="BD13" t="e">
            <v>#DIV/0!</v>
          </cell>
          <cell r="BE13" t="e">
            <v>#DIV/0!</v>
          </cell>
          <cell r="BF13" t="e">
            <v>#DIV/0!</v>
          </cell>
          <cell r="BG13" t="e">
            <v>#DIV/0!</v>
          </cell>
          <cell r="BH13" t="e">
            <v>#DIV/0!</v>
          </cell>
          <cell r="BI13" t="e">
            <v>#DIV/0!</v>
          </cell>
          <cell r="BJ13" t="e">
            <v>#DIV/0!</v>
          </cell>
          <cell r="BK13" t="e">
            <v>#DIV/0!</v>
          </cell>
          <cell r="BL13" t="e">
            <v>#DIV/0!</v>
          </cell>
          <cell r="BM13" t="e">
            <v>#DIV/0!</v>
          </cell>
          <cell r="BN13" t="e">
            <v>#DIV/0!</v>
          </cell>
          <cell r="BO13" t="e">
            <v>#DIV/0!</v>
          </cell>
          <cell r="BP13" t="e">
            <v>#DIV/0!</v>
          </cell>
          <cell r="BQ13" t="e">
            <v>#DIV/0!</v>
          </cell>
          <cell r="BR13" t="e">
            <v>#DIV/0!</v>
          </cell>
          <cell r="BS13">
            <v>0</v>
          </cell>
          <cell r="BT13">
            <v>0</v>
          </cell>
          <cell r="BU13">
            <v>0</v>
          </cell>
          <cell r="BV13">
            <v>0</v>
          </cell>
          <cell r="BW13">
            <v>0</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cell r="DD13" t="e">
            <v>#REF!</v>
          </cell>
          <cell r="DE13" t="e">
            <v>#DIV/0!</v>
          </cell>
          <cell r="DF13" t="e">
            <v>#DIV/0!</v>
          </cell>
          <cell r="DG13" t="e">
            <v>#DIV/0!</v>
          </cell>
          <cell r="DH13" t="e">
            <v>#DIV/0!</v>
          </cell>
          <cell r="DI13" t="e">
            <v>#DIV/0!</v>
          </cell>
          <cell r="DJ13" t="e">
            <v>#DIV/0!</v>
          </cell>
          <cell r="DK13" t="e">
            <v>#DIV/0!</v>
          </cell>
          <cell r="DL13" t="e">
            <v>#DIV/0!</v>
          </cell>
          <cell r="DM13" t="e">
            <v>#DIV/0!</v>
          </cell>
          <cell r="DN13" t="e">
            <v>#DIV/0!</v>
          </cell>
          <cell r="DO13" t="e">
            <v>#DIV/0!</v>
          </cell>
        </row>
        <row r="14">
          <cell r="A14" t="str">
            <v>Product &amp; License</v>
          </cell>
          <cell r="B14"/>
          <cell r="C14"/>
          <cell r="D14"/>
          <cell r="E14"/>
          <cell r="F14"/>
          <cell r="G14"/>
          <cell r="H14"/>
          <cell r="I14"/>
          <cell r="J14"/>
          <cell r="K14"/>
          <cell r="L14"/>
          <cell r="M14"/>
          <cell r="N14"/>
          <cell r="O14"/>
          <cell r="P14"/>
          <cell r="Q14"/>
          <cell r="R14"/>
          <cell r="S14"/>
          <cell r="T14"/>
          <cell r="U14"/>
          <cell r="V14"/>
          <cell r="W14"/>
          <cell r="X14"/>
          <cell r="Y14"/>
          <cell r="Z14"/>
          <cell r="AA14"/>
          <cell r="AB14"/>
          <cell r="AC14"/>
          <cell r="AD14"/>
          <cell r="AE14"/>
          <cell r="AF14"/>
          <cell r="AG14"/>
          <cell r="AH14"/>
          <cell r="AI14"/>
          <cell r="AJ14"/>
          <cell r="AK14"/>
          <cell r="AL14"/>
          <cell r="AM14"/>
          <cell r="AN14"/>
          <cell r="AO14"/>
          <cell r="AP14"/>
          <cell r="AQ14"/>
          <cell r="AR14"/>
          <cell r="AS14"/>
          <cell r="AT14"/>
          <cell r="AU14"/>
          <cell r="AV14"/>
          <cell r="AW14"/>
          <cell r="AX14"/>
          <cell r="AY14"/>
          <cell r="AZ14"/>
          <cell r="BA14"/>
          <cell r="BB14"/>
          <cell r="BC14"/>
          <cell r="BD14"/>
          <cell r="BE14"/>
          <cell r="BF14"/>
          <cell r="BG14"/>
          <cell r="BH14"/>
          <cell r="BI14"/>
          <cell r="BJ14"/>
          <cell r="BK14"/>
          <cell r="BL14"/>
          <cell r="BM14"/>
          <cell r="BN14"/>
          <cell r="BO14"/>
          <cell r="BP14"/>
          <cell r="BQ14"/>
          <cell r="BR14"/>
          <cell r="BS14">
            <v>169.81055360550457</v>
          </cell>
          <cell r="BT14">
            <v>190.49781165094339</v>
          </cell>
          <cell r="BU14">
            <v>191.44609202040814</v>
          </cell>
          <cell r="BV14">
            <v>263.76867683035709</v>
          </cell>
          <cell r="BW14">
            <v>185.09350343</v>
          </cell>
          <cell r="BX14">
            <v>201.92768035</v>
          </cell>
          <cell r="BY14">
            <v>187.61717017999999</v>
          </cell>
          <cell r="BZ14">
            <v>236.33673443999999</v>
          </cell>
          <cell r="CA14">
            <v>170.89819532000001</v>
          </cell>
          <cell r="CB14">
            <v>190.37640114999999</v>
          </cell>
          <cell r="CC14">
            <v>168.7</v>
          </cell>
          <cell r="CD14">
            <v>236.8</v>
          </cell>
          <cell r="CE14">
            <v>160.69999999999999</v>
          </cell>
          <cell r="CF14">
            <v>192.05799999999999</v>
          </cell>
          <cell r="CG14">
            <v>170.952</v>
          </cell>
          <cell r="CH14">
            <v>210.78807624999999</v>
          </cell>
          <cell r="CI14">
            <v>126.61950565053891</v>
          </cell>
          <cell r="CJ14">
            <v>171.22040554056312</v>
          </cell>
          <cell r="CK14">
            <v>145.85240141036911</v>
          </cell>
          <cell r="CL14">
            <v>212.95229711260373</v>
          </cell>
          <cell r="CM14">
            <v>119.17532511607973</v>
          </cell>
          <cell r="CN14">
            <v>162.40506413002447</v>
          </cell>
          <cell r="CO14">
            <v>138.67830273437517</v>
          </cell>
          <cell r="CP14">
            <v>187.99542476384144</v>
          </cell>
          <cell r="CQ14">
            <v>110.25633082800692</v>
          </cell>
          <cell r="CR14">
            <v>151.68901328863365</v>
          </cell>
          <cell r="CS14">
            <v>129.93414393590012</v>
          </cell>
          <cell r="CT14">
            <v>159.49811079795029</v>
          </cell>
          <cell r="CU14">
            <v>109.5969229756279</v>
          </cell>
          <cell r="CV14">
            <v>151.42578813977093</v>
          </cell>
          <cell r="CW14">
            <v>129.81839300968696</v>
          </cell>
          <cell r="CX14">
            <v>153.03480583278943</v>
          </cell>
          <cell r="CY14">
            <v>113.39623136331906</v>
          </cell>
          <cell r="CZ14">
            <v>156.78533624969981</v>
          </cell>
          <cell r="DA14">
            <v>134.33854046797805</v>
          </cell>
          <cell r="DB14">
            <v>158.58627549295485</v>
          </cell>
          <cell r="DC14"/>
          <cell r="DD14" t="e">
            <v>#REF!</v>
          </cell>
          <cell r="DE14">
            <v>0</v>
          </cell>
          <cell r="DF14">
            <v>0</v>
          </cell>
          <cell r="DG14">
            <v>0</v>
          </cell>
          <cell r="DH14">
            <v>0</v>
          </cell>
          <cell r="DI14">
            <v>0</v>
          </cell>
          <cell r="DJ14">
            <v>0</v>
          </cell>
          <cell r="DK14">
            <v>0</v>
          </cell>
          <cell r="DL14">
            <v>0</v>
          </cell>
          <cell r="DM14">
            <v>0</v>
          </cell>
          <cell r="DN14">
            <v>0</v>
          </cell>
          <cell r="DO14">
            <v>0</v>
          </cell>
        </row>
        <row r="15">
          <cell r="A15" t="str">
            <v>Prior Product &amp; License</v>
          </cell>
          <cell r="B15"/>
          <cell r="C15">
            <v>0</v>
          </cell>
          <cell r="D15">
            <v>0</v>
          </cell>
          <cell r="E15">
            <v>0</v>
          </cell>
          <cell r="F15">
            <v>206.35500000000002</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96.873999999999995</v>
          </cell>
          <cell r="X15">
            <v>92.2</v>
          </cell>
          <cell r="Y15">
            <v>90.1</v>
          </cell>
          <cell r="Z15">
            <v>95.3</v>
          </cell>
          <cell r="AA15">
            <v>87.426000000000002</v>
          </cell>
          <cell r="AB15">
            <v>87.715999999999994</v>
          </cell>
          <cell r="AC15">
            <v>88.454999999999998</v>
          </cell>
          <cell r="AD15">
            <v>106.229</v>
          </cell>
          <cell r="AE15">
            <v>90.061999999999998</v>
          </cell>
          <cell r="AF15">
            <v>91.98</v>
          </cell>
          <cell r="AG15">
            <v>97.262</v>
          </cell>
          <cell r="AH15">
            <v>130.131</v>
          </cell>
          <cell r="AI15">
            <v>114.185</v>
          </cell>
          <cell r="AJ15">
            <v>117.79900000000001</v>
          </cell>
          <cell r="AK15">
            <v>113.379</v>
          </cell>
          <cell r="AL15">
            <v>143.124</v>
          </cell>
          <cell r="AM15">
            <v>122.58692625999996</v>
          </cell>
          <cell r="AN15">
            <v>136.58699999999999</v>
          </cell>
          <cell r="AO15">
            <v>140.46</v>
          </cell>
          <cell r="AP15">
            <v>178.03</v>
          </cell>
          <cell r="AQ15">
            <v>146.96</v>
          </cell>
          <cell r="AR15">
            <v>153.458</v>
          </cell>
          <cell r="AS15">
            <v>157.53700000000001</v>
          </cell>
          <cell r="AT15">
            <v>162.26</v>
          </cell>
          <cell r="AU15">
            <v>111.9</v>
          </cell>
          <cell r="AV15">
            <v>129.69200000000001</v>
          </cell>
          <cell r="AW15">
            <v>129.06</v>
          </cell>
          <cell r="AX15">
            <v>168.32300000000001</v>
          </cell>
          <cell r="AY15">
            <v>122.706</v>
          </cell>
          <cell r="AZ15">
            <v>148.733</v>
          </cell>
          <cell r="BA15">
            <v>151.75800000000001</v>
          </cell>
          <cell r="BB15">
            <v>196.255</v>
          </cell>
          <cell r="BC15">
            <v>150.26</v>
          </cell>
          <cell r="BD15">
            <v>171.32599999999999</v>
          </cell>
          <cell r="BE15">
            <v>193.88</v>
          </cell>
          <cell r="BF15">
            <v>229.047</v>
          </cell>
          <cell r="BG15">
            <v>178.364</v>
          </cell>
          <cell r="BH15">
            <v>187.917</v>
          </cell>
          <cell r="BI15">
            <v>195.69</v>
          </cell>
          <cell r="BJ15">
            <v>268.67399999999998</v>
          </cell>
          <cell r="BK15">
            <v>193.083</v>
          </cell>
          <cell r="BL15">
            <v>227.215</v>
          </cell>
          <cell r="BM15">
            <v>201.44300000000001</v>
          </cell>
          <cell r="BN15">
            <v>269.88900000000001</v>
          </cell>
          <cell r="BO15">
            <v>207.42400000000001</v>
          </cell>
          <cell r="BP15">
            <v>231.792</v>
          </cell>
          <cell r="BQ15">
            <v>193.15299999999999</v>
          </cell>
          <cell r="BR15">
            <v>267.36700000000002</v>
          </cell>
          <cell r="BS15">
            <v>183.28100000000001</v>
          </cell>
          <cell r="BT15">
            <v>204.97399999999999</v>
          </cell>
          <cell r="BU15">
            <v>206.25200000000001</v>
          </cell>
          <cell r="BV15">
            <v>281.3</v>
          </cell>
          <cell r="BW15">
            <v>202.03299999999999</v>
          </cell>
          <cell r="BX15">
            <v>219.50700000000001</v>
          </cell>
          <cell r="BY15">
            <v>206.041</v>
          </cell>
          <cell r="BZ15">
            <v>255.31700000000001</v>
          </cell>
          <cell r="CA15">
            <v>191.59700000000001</v>
          </cell>
          <cell r="CB15">
            <v>211.00899999999999</v>
          </cell>
          <cell r="CC15">
            <v>192.102</v>
          </cell>
          <cell r="CD15">
            <v>262.54500000000002</v>
          </cell>
          <cell r="CE15"/>
          <cell r="CF15"/>
          <cell r="CG15"/>
          <cell r="CH15"/>
          <cell r="CI15"/>
          <cell r="CJ15"/>
          <cell r="CK15"/>
          <cell r="CL15"/>
          <cell r="CM15"/>
          <cell r="CN15"/>
          <cell r="CO15"/>
          <cell r="CP15"/>
          <cell r="CQ15"/>
          <cell r="CR15"/>
          <cell r="CS15"/>
          <cell r="CT15"/>
          <cell r="CU15"/>
          <cell r="CV15"/>
          <cell r="CW15"/>
          <cell r="CX15"/>
          <cell r="CY15"/>
          <cell r="CZ15"/>
          <cell r="DA15"/>
          <cell r="DB15"/>
          <cell r="DC15"/>
          <cell r="DD15" t="e">
            <v>#REF!</v>
          </cell>
          <cell r="DE15" t="e">
            <v>#REF!</v>
          </cell>
          <cell r="DF15" t="e">
            <v>#REF!</v>
          </cell>
          <cell r="DG15" t="e">
            <v>#REF!</v>
          </cell>
          <cell r="DH15" t="e">
            <v>#REF!</v>
          </cell>
          <cell r="DI15" t="e">
            <v>#REF!</v>
          </cell>
          <cell r="DJ15" t="e">
            <v>#REF!</v>
          </cell>
          <cell r="DK15" t="e">
            <v>#REF!</v>
          </cell>
          <cell r="DL15" t="e">
            <v>#REF!</v>
          </cell>
          <cell r="DM15" t="e">
            <v>#REF!</v>
          </cell>
          <cell r="DN15" t="e">
            <v>#REF!</v>
          </cell>
          <cell r="DO15" t="e">
            <v>#REF!</v>
          </cell>
        </row>
        <row r="16">
          <cell r="A16" t="str">
            <v>$ Delta</v>
          </cell>
          <cell r="B16"/>
          <cell r="C16"/>
          <cell r="D16"/>
          <cell r="E16"/>
          <cell r="F16"/>
          <cell r="G16"/>
          <cell r="H16"/>
          <cell r="I16"/>
          <cell r="J16"/>
          <cell r="K16"/>
          <cell r="L16"/>
          <cell r="M16"/>
          <cell r="N16"/>
          <cell r="O16"/>
          <cell r="P16"/>
          <cell r="Q16"/>
          <cell r="R16"/>
          <cell r="S16">
            <v>0</v>
          </cell>
          <cell r="T16">
            <v>0</v>
          </cell>
          <cell r="U16">
            <v>0</v>
          </cell>
          <cell r="V16">
            <v>0</v>
          </cell>
          <cell r="W16">
            <v>-96.873999999999995</v>
          </cell>
          <cell r="X16">
            <v>-92.2</v>
          </cell>
          <cell r="Y16">
            <v>-90.1</v>
          </cell>
          <cell r="Z16">
            <v>-95.3</v>
          </cell>
          <cell r="AA16">
            <v>-87.426000000000002</v>
          </cell>
          <cell r="AB16">
            <v>-87.715999999999994</v>
          </cell>
          <cell r="AC16">
            <v>-88.454999999999998</v>
          </cell>
          <cell r="AD16">
            <v>-106.229</v>
          </cell>
          <cell r="AE16">
            <v>-90.061999999999998</v>
          </cell>
          <cell r="AF16">
            <v>-91.98</v>
          </cell>
          <cell r="AG16">
            <v>-97.262</v>
          </cell>
          <cell r="AH16">
            <v>-130.131</v>
          </cell>
          <cell r="AI16">
            <v>-114.185</v>
          </cell>
          <cell r="AJ16">
            <v>-117.79900000000001</v>
          </cell>
          <cell r="AK16">
            <v>-113.379</v>
          </cell>
          <cell r="AL16">
            <v>-143.124</v>
          </cell>
          <cell r="AM16">
            <v>-122.58692625999996</v>
          </cell>
          <cell r="AN16">
            <v>-136.58699999999999</v>
          </cell>
          <cell r="AO16">
            <v>-140.46</v>
          </cell>
          <cell r="AP16">
            <v>-178.03</v>
          </cell>
          <cell r="AQ16">
            <v>-146.96</v>
          </cell>
          <cell r="AR16">
            <v>-153.458</v>
          </cell>
          <cell r="AS16">
            <v>-157.53700000000001</v>
          </cell>
          <cell r="AT16">
            <v>-162.26</v>
          </cell>
          <cell r="AU16">
            <v>-111.9</v>
          </cell>
          <cell r="AV16">
            <v>-129.69200000000001</v>
          </cell>
          <cell r="AW16">
            <v>-129.06</v>
          </cell>
          <cell r="AX16">
            <v>-168.32300000000001</v>
          </cell>
          <cell r="AY16">
            <v>-122.706</v>
          </cell>
          <cell r="AZ16">
            <v>-148.733</v>
          </cell>
          <cell r="BA16">
            <v>-151.75800000000001</v>
          </cell>
          <cell r="BB16">
            <v>-196.255</v>
          </cell>
          <cell r="BC16">
            <v>-150.26</v>
          </cell>
          <cell r="BD16">
            <v>-171.32599999999999</v>
          </cell>
          <cell r="BE16">
            <v>-193.88</v>
          </cell>
          <cell r="BF16">
            <v>-229.047</v>
          </cell>
          <cell r="BG16">
            <v>-178.364</v>
          </cell>
          <cell r="BH16">
            <v>-187.917</v>
          </cell>
          <cell r="BI16">
            <v>-195.69</v>
          </cell>
          <cell r="BJ16">
            <v>-268.67399999999998</v>
          </cell>
          <cell r="BK16">
            <v>-193.083</v>
          </cell>
          <cell r="BL16">
            <v>-227.215</v>
          </cell>
          <cell r="BM16">
            <v>-201.44300000000001</v>
          </cell>
          <cell r="BN16">
            <v>-269.88900000000001</v>
          </cell>
          <cell r="BO16">
            <v>-207.42400000000001</v>
          </cell>
          <cell r="BP16">
            <v>-231.792</v>
          </cell>
          <cell r="BQ16">
            <v>-193.15299999999999</v>
          </cell>
          <cell r="BR16">
            <v>-267.36700000000002</v>
          </cell>
          <cell r="BS16">
            <v>-13.47044639449544</v>
          </cell>
          <cell r="BT16">
            <v>-14.476188349056599</v>
          </cell>
          <cell r="BU16">
            <v>-14.805907979591865</v>
          </cell>
          <cell r="BV16">
            <v>-17.531323169642917</v>
          </cell>
          <cell r="BW16">
            <v>-16.939496569999989</v>
          </cell>
          <cell r="BX16">
            <v>-17.579319650000002</v>
          </cell>
          <cell r="BY16">
            <v>-18.423829820000009</v>
          </cell>
          <cell r="BZ16">
            <v>-18.980265560000021</v>
          </cell>
          <cell r="CA16">
            <v>-20.698804679999995</v>
          </cell>
          <cell r="CB16">
            <v>-20.632598849999994</v>
          </cell>
          <cell r="CC16">
            <v>-23.402000000000015</v>
          </cell>
          <cell r="CD16">
            <v>-25.745000000000005</v>
          </cell>
          <cell r="CE16"/>
          <cell r="CF16"/>
          <cell r="CG16"/>
          <cell r="CH16"/>
          <cell r="CI16"/>
          <cell r="CJ16"/>
          <cell r="CK16"/>
          <cell r="CL16"/>
          <cell r="CM16"/>
          <cell r="CN16"/>
          <cell r="CO16"/>
          <cell r="CP16"/>
          <cell r="CQ16"/>
          <cell r="CR16"/>
          <cell r="CS16"/>
          <cell r="CT16"/>
          <cell r="CU16"/>
          <cell r="CV16"/>
          <cell r="CW16"/>
          <cell r="CX16"/>
          <cell r="CY16"/>
          <cell r="CZ16"/>
          <cell r="DA16"/>
          <cell r="DB16"/>
          <cell r="DC16"/>
          <cell r="DD16" t="e">
            <v>#REF!</v>
          </cell>
          <cell r="DE16" t="e">
            <v>#REF!</v>
          </cell>
          <cell r="DF16" t="e">
            <v>#REF!</v>
          </cell>
          <cell r="DG16" t="e">
            <v>#REF!</v>
          </cell>
          <cell r="DH16" t="e">
            <v>#REF!</v>
          </cell>
          <cell r="DI16" t="e">
            <v>#REF!</v>
          </cell>
          <cell r="DJ16" t="e">
            <v>#REF!</v>
          </cell>
          <cell r="DK16" t="e">
            <v>#REF!</v>
          </cell>
          <cell r="DL16" t="e">
            <v>#REF!</v>
          </cell>
          <cell r="DM16" t="e">
            <v>#REF!</v>
          </cell>
          <cell r="DN16" t="e">
            <v>#REF!</v>
          </cell>
          <cell r="DO16" t="e">
            <v>#REF!</v>
          </cell>
        </row>
        <row r="17">
          <cell r="A17" t="str">
            <v>% Delta</v>
          </cell>
          <cell r="B17"/>
          <cell r="C17"/>
          <cell r="D17"/>
          <cell r="E17"/>
          <cell r="F17"/>
          <cell r="G17"/>
          <cell r="H17"/>
          <cell r="I17"/>
          <cell r="J17"/>
          <cell r="K17"/>
          <cell r="L17"/>
          <cell r="M17"/>
          <cell r="N17"/>
          <cell r="O17"/>
          <cell r="P17"/>
          <cell r="Q17"/>
          <cell r="R17"/>
          <cell r="S17" t="e">
            <v>#DIV/0!</v>
          </cell>
          <cell r="T17" t="e">
            <v>#DIV/0!</v>
          </cell>
          <cell r="U17" t="e">
            <v>#DIV/0!</v>
          </cell>
          <cell r="V17" t="e">
            <v>#DIV/0!</v>
          </cell>
          <cell r="W17">
            <v>-1</v>
          </cell>
          <cell r="X17">
            <v>-1</v>
          </cell>
          <cell r="Y17">
            <v>-1</v>
          </cell>
          <cell r="Z17">
            <v>-1</v>
          </cell>
          <cell r="AA17">
            <v>-1</v>
          </cell>
          <cell r="AB17">
            <v>-1</v>
          </cell>
          <cell r="AC17">
            <v>-1</v>
          </cell>
          <cell r="AD17">
            <v>-1</v>
          </cell>
          <cell r="AE17">
            <v>-1</v>
          </cell>
          <cell r="AF17">
            <v>-1</v>
          </cell>
          <cell r="AG17">
            <v>-1</v>
          </cell>
          <cell r="AH17">
            <v>-1</v>
          </cell>
          <cell r="AI17">
            <v>-1</v>
          </cell>
          <cell r="AJ17">
            <v>-1</v>
          </cell>
          <cell r="AK17">
            <v>-1</v>
          </cell>
          <cell r="AL17">
            <v>-1</v>
          </cell>
          <cell r="AM17">
            <v>-1</v>
          </cell>
          <cell r="AN17">
            <v>-1</v>
          </cell>
          <cell r="AO17">
            <v>-1</v>
          </cell>
          <cell r="AP17">
            <v>-1</v>
          </cell>
          <cell r="AQ17">
            <v>-1</v>
          </cell>
          <cell r="AR17">
            <v>-1</v>
          </cell>
          <cell r="AS17">
            <v>-1</v>
          </cell>
          <cell r="AT17">
            <v>-1</v>
          </cell>
          <cell r="AU17">
            <v>-1</v>
          </cell>
          <cell r="AV17">
            <v>-1</v>
          </cell>
          <cell r="AW17">
            <v>-1</v>
          </cell>
          <cell r="AX17">
            <v>-1</v>
          </cell>
          <cell r="AY17">
            <v>-1</v>
          </cell>
          <cell r="AZ17">
            <v>-1</v>
          </cell>
          <cell r="BA17">
            <v>-1</v>
          </cell>
          <cell r="BB17">
            <v>-1</v>
          </cell>
          <cell r="BC17">
            <v>-1</v>
          </cell>
          <cell r="BD17">
            <v>-1</v>
          </cell>
          <cell r="BE17">
            <v>-1</v>
          </cell>
          <cell r="BF17">
            <v>-1</v>
          </cell>
          <cell r="BG17">
            <v>-1</v>
          </cell>
          <cell r="BH17">
            <v>-1</v>
          </cell>
          <cell r="BI17">
            <v>-1</v>
          </cell>
          <cell r="BJ17">
            <v>-1</v>
          </cell>
          <cell r="BK17">
            <v>-1</v>
          </cell>
          <cell r="BL17">
            <v>-1</v>
          </cell>
          <cell r="BM17">
            <v>-1</v>
          </cell>
          <cell r="BN17">
            <v>-1</v>
          </cell>
          <cell r="BO17">
            <v>-1</v>
          </cell>
          <cell r="BP17">
            <v>-1</v>
          </cell>
          <cell r="BQ17">
            <v>-1</v>
          </cell>
          <cell r="BR17">
            <v>-1</v>
          </cell>
          <cell r="BS17">
            <v>-7.3496141959589048E-2</v>
          </cell>
          <cell r="BT17">
            <v>-7.0624510177176622E-2</v>
          </cell>
          <cell r="BU17">
            <v>-7.1785524405057227E-2</v>
          </cell>
          <cell r="BV17">
            <v>-6.2322513934030987E-2</v>
          </cell>
          <cell r="BW17">
            <v>-8.3845196428306221E-2</v>
          </cell>
          <cell r="BX17">
            <v>-8.0085462650393846E-2</v>
          </cell>
          <cell r="BY17">
            <v>-8.9418270247183851E-2</v>
          </cell>
          <cell r="BZ17">
            <v>-7.433999913832616E-2</v>
          </cell>
          <cell r="CA17">
            <v>-0.10803303120612533</v>
          </cell>
          <cell r="CB17">
            <v>-9.7780657934021742E-2</v>
          </cell>
          <cell r="CC17">
            <v>-0.12182069942009982</v>
          </cell>
          <cell r="CD17">
            <v>-9.8059380296711046E-2</v>
          </cell>
          <cell r="CE17"/>
          <cell r="CF17"/>
          <cell r="CG17"/>
          <cell r="CH17"/>
          <cell r="CI17"/>
          <cell r="CJ17"/>
          <cell r="CK17"/>
          <cell r="CL17"/>
          <cell r="CM17"/>
          <cell r="CN17"/>
          <cell r="CO17"/>
          <cell r="CP17"/>
          <cell r="CQ17"/>
          <cell r="CR17"/>
          <cell r="CS17"/>
          <cell r="CT17"/>
          <cell r="CU17"/>
          <cell r="CV17"/>
          <cell r="CW17"/>
          <cell r="CX17"/>
          <cell r="CY17"/>
          <cell r="CZ17"/>
          <cell r="DA17"/>
          <cell r="DB17"/>
          <cell r="DC17"/>
          <cell r="DD17" t="e">
            <v>#REF!</v>
          </cell>
          <cell r="DE17" t="e">
            <v>#REF!</v>
          </cell>
          <cell r="DF17" t="e">
            <v>#REF!</v>
          </cell>
          <cell r="DG17" t="e">
            <v>#REF!</v>
          </cell>
          <cell r="DH17" t="e">
            <v>#REF!</v>
          </cell>
          <cell r="DI17" t="e">
            <v>#REF!</v>
          </cell>
          <cell r="DJ17" t="e">
            <v>#REF!</v>
          </cell>
          <cell r="DK17" t="e">
            <v>#REF!</v>
          </cell>
          <cell r="DL17" t="e">
            <v>#REF!</v>
          </cell>
          <cell r="DM17" t="e">
            <v>#REF!</v>
          </cell>
          <cell r="DN17" t="e">
            <v>#REF!</v>
          </cell>
          <cell r="DO17" t="e">
            <v>#REF!</v>
          </cell>
        </row>
        <row r="18">
          <cell r="A18" t="str">
            <v>% of revenue</v>
          </cell>
          <cell r="B18"/>
          <cell r="C18"/>
          <cell r="D18"/>
          <cell r="E18"/>
          <cell r="F18"/>
          <cell r="G18"/>
          <cell r="H18"/>
          <cell r="I18"/>
          <cell r="J18"/>
          <cell r="K18"/>
          <cell r="L18"/>
          <cell r="M18"/>
          <cell r="N18"/>
          <cell r="O18"/>
          <cell r="P18"/>
          <cell r="Q18"/>
          <cell r="R18"/>
          <cell r="S18"/>
          <cell r="T18"/>
          <cell r="U18"/>
          <cell r="V18"/>
          <cell r="W18"/>
          <cell r="X18"/>
          <cell r="Y18"/>
          <cell r="Z18"/>
          <cell r="AA18"/>
          <cell r="AB18"/>
          <cell r="AC18"/>
          <cell r="AD18"/>
          <cell r="AE18"/>
          <cell r="AF18"/>
          <cell r="AG18"/>
          <cell r="AH18"/>
          <cell r="AI18"/>
          <cell r="AJ18"/>
          <cell r="AK18"/>
          <cell r="AL18"/>
          <cell r="AM18"/>
          <cell r="AN18"/>
          <cell r="AO18"/>
          <cell r="AP18"/>
          <cell r="AQ18"/>
          <cell r="AR18"/>
          <cell r="AS18"/>
          <cell r="AT18"/>
          <cell r="AU18"/>
          <cell r="AV18"/>
          <cell r="AW18"/>
          <cell r="AX18"/>
          <cell r="AY18"/>
          <cell r="AZ18"/>
          <cell r="BA18"/>
          <cell r="BB18"/>
          <cell r="BC18"/>
          <cell r="BD18"/>
          <cell r="BE18"/>
          <cell r="BF18"/>
          <cell r="BG18"/>
          <cell r="BH18"/>
          <cell r="BI18"/>
          <cell r="BJ18"/>
          <cell r="BK18"/>
          <cell r="BL18"/>
          <cell r="BM18"/>
          <cell r="BN18"/>
          <cell r="BO18"/>
          <cell r="BP18"/>
          <cell r="BQ18"/>
          <cell r="BR18"/>
          <cell r="BS18">
            <v>0.22319940484581349</v>
          </cell>
          <cell r="BT18">
            <v>0.23909088149734536</v>
          </cell>
          <cell r="BU18">
            <v>0.23540286992070056</v>
          </cell>
          <cell r="BV18">
            <v>0.2915334477983263</v>
          </cell>
          <cell r="BW18">
            <v>0.28096704544661061</v>
          </cell>
          <cell r="BX18">
            <v>0.29960174357962394</v>
          </cell>
          <cell r="BY18">
            <v>0.28055491282060485</v>
          </cell>
          <cell r="BZ18">
            <v>0.32172867152020729</v>
          </cell>
          <cell r="CA18">
            <v>0.25789063951216057</v>
          </cell>
          <cell r="CB18">
            <v>0.27462346554591782</v>
          </cell>
          <cell r="CC18">
            <v>0.24416543040127364</v>
          </cell>
          <cell r="CD18">
            <v>0.30442613488083281</v>
          </cell>
          <cell r="CE18">
            <v>0.23049604699996556</v>
          </cell>
          <cell r="CF18">
            <v>0.25871101142968755</v>
          </cell>
          <cell r="CG18">
            <v>0.23338921684806055</v>
          </cell>
          <cell r="CH18">
            <v>0.26287063520271364</v>
          </cell>
          <cell r="CI18">
            <v>0.17828131452963036</v>
          </cell>
          <cell r="CJ18">
            <v>0.22179187358369387</v>
          </cell>
          <cell r="CK18">
            <v>0.19119877500034879</v>
          </cell>
          <cell r="CL18">
            <v>0.24879872858676688</v>
          </cell>
          <cell r="CM18">
            <v>0.15580466697425494</v>
          </cell>
          <cell r="CN18">
            <v>0.1963756309338191</v>
          </cell>
          <cell r="CO18">
            <v>0.16932811498430966</v>
          </cell>
          <cell r="CP18">
            <v>0.20899668764409177</v>
          </cell>
          <cell r="CQ18">
            <v>0.13386941294792817</v>
          </cell>
          <cell r="CR18">
            <v>0.17153296991627642</v>
          </cell>
          <cell r="CS18">
            <v>0.14820327284414539</v>
          </cell>
          <cell r="CT18">
            <v>0.16907364384283857</v>
          </cell>
          <cell r="CU18">
            <v>0.12262442845657573</v>
          </cell>
          <cell r="CV18">
            <v>0.15849115518737825</v>
          </cell>
          <cell r="CW18">
            <v>0.13701925638148868</v>
          </cell>
          <cell r="CX18">
            <v>0.15130406693406279</v>
          </cell>
          <cell r="CY18">
            <v>0.11676360555921224</v>
          </cell>
          <cell r="CZ18">
            <v>0.15179776017680893</v>
          </cell>
          <cell r="DA18">
            <v>0.13132307055681877</v>
          </cell>
          <cell r="DB18">
            <v>0.14574714397895752</v>
          </cell>
          <cell r="DC18"/>
          <cell r="DD18"/>
          <cell r="DE18">
            <v>0</v>
          </cell>
          <cell r="DF18">
            <v>0</v>
          </cell>
          <cell r="DG18">
            <v>0</v>
          </cell>
          <cell r="DH18">
            <v>0</v>
          </cell>
          <cell r="DI18">
            <v>0</v>
          </cell>
          <cell r="DJ18">
            <v>0</v>
          </cell>
          <cell r="DK18">
            <v>0</v>
          </cell>
          <cell r="DL18">
            <v>0</v>
          </cell>
          <cell r="DM18">
            <v>0</v>
          </cell>
          <cell r="DN18">
            <v>0</v>
          </cell>
          <cell r="DO18">
            <v>0</v>
          </cell>
        </row>
        <row r="19">
          <cell r="A19" t="str">
            <v>% growth in revenue y-o-y</v>
          </cell>
          <cell r="B19"/>
          <cell r="C19"/>
          <cell r="D19"/>
          <cell r="E19"/>
          <cell r="F19"/>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cell r="BA19"/>
          <cell r="BB19"/>
          <cell r="BC19"/>
          <cell r="BD19"/>
          <cell r="BE19"/>
          <cell r="BF19"/>
          <cell r="BG19"/>
          <cell r="BH19"/>
          <cell r="BI19"/>
          <cell r="BJ19"/>
          <cell r="BK19"/>
          <cell r="BL19"/>
          <cell r="BM19"/>
          <cell r="BN19"/>
          <cell r="BO19"/>
          <cell r="BP19"/>
          <cell r="BQ19"/>
          <cell r="BR19"/>
          <cell r="BS19" t="str">
            <v>NA</v>
          </cell>
          <cell r="BT19" t="str">
            <v>NA</v>
          </cell>
          <cell r="BU19" t="str">
            <v>NA</v>
          </cell>
          <cell r="BV19" t="str">
            <v>NA</v>
          </cell>
          <cell r="BW19">
            <v>0.09</v>
          </cell>
          <cell r="BX19">
            <v>0.06</v>
          </cell>
          <cell r="BY19">
            <v>-0.02</v>
          </cell>
          <cell r="BZ19">
            <v>-0.104</v>
          </cell>
          <cell r="CA19">
            <v>-7.6692632896045776E-2</v>
          </cell>
          <cell r="CB19">
            <v>-5.7205030929777689E-2</v>
          </cell>
          <cell r="CC19">
            <v>-0.10082856575360799</v>
          </cell>
          <cell r="CD19">
            <v>1.9601927778927219E-3</v>
          </cell>
          <cell r="CE19">
            <v>-5.9674096036557378E-2</v>
          </cell>
          <cell r="CF19">
            <v>8.833021529149665E-3</v>
          </cell>
          <cell r="CG19">
            <v>1.3349140486069944E-2</v>
          </cell>
          <cell r="CH19">
            <v>-0.10984765097128391</v>
          </cell>
          <cell r="CI19">
            <v>-0.21207526041979519</v>
          </cell>
          <cell r="CJ19">
            <v>-0.10849636286661779</v>
          </cell>
          <cell r="CK19">
            <v>-0.14682249163291972</v>
          </cell>
          <cell r="CL19">
            <v>1.0267283145735995E-2</v>
          </cell>
          <cell r="CM19">
            <v>-5.8791735887870233E-2</v>
          </cell>
          <cell r="CN19">
            <v>-5.1485343599716238E-2</v>
          </cell>
          <cell r="CO19">
            <v>-4.9187388117175823E-2</v>
          </cell>
          <cell r="CP19">
            <v>-0.11719466137322643</v>
          </cell>
          <cell r="CQ19">
            <v>-7.4839269617141713E-2</v>
          </cell>
          <cell r="CR19">
            <v>-6.5983477170461602E-2</v>
          </cell>
          <cell r="CS19">
            <v>-6.3053546416872663E-2</v>
          </cell>
          <cell r="CT19">
            <v>-0.15158514629645525</v>
          </cell>
          <cell r="CU19">
            <v>-5.9806801788793162E-3</v>
          </cell>
          <cell r="CV19">
            <v>-1.7352947531001917E-3</v>
          </cell>
          <cell r="CW19">
            <v>-8.908430279132018E-4</v>
          </cell>
          <cell r="CX19">
            <v>-4.0522768155846545E-2</v>
          </cell>
          <cell r="CY19">
            <v>3.4666195770259423E-2</v>
          </cell>
          <cell r="CZ19">
            <v>3.5393892782528136E-2</v>
          </cell>
          <cell r="DA19">
            <v>3.4819006409621878E-2</v>
          </cell>
          <cell r="DB19">
            <v>3.6275863062362079E-2</v>
          </cell>
          <cell r="DC19"/>
          <cell r="DD19" t="str">
            <v>NA</v>
          </cell>
          <cell r="DE19" t="str">
            <v>NA</v>
          </cell>
          <cell r="DF19" t="str">
            <v>NA</v>
          </cell>
          <cell r="DG19" t="str">
            <v>NA</v>
          </cell>
          <cell r="DH19" t="str">
            <v>NA</v>
          </cell>
          <cell r="DI19" t="str">
            <v>NA</v>
          </cell>
          <cell r="DJ19" t="str">
            <v>NA</v>
          </cell>
          <cell r="DK19" t="str">
            <v>NA</v>
          </cell>
          <cell r="DL19" t="str">
            <v>NA</v>
          </cell>
          <cell r="DM19" t="str">
            <v>NA</v>
          </cell>
          <cell r="DN19" t="str">
            <v>NA</v>
          </cell>
          <cell r="DO19" t="str">
            <v>NA</v>
          </cell>
        </row>
        <row r="20">
          <cell r="A20" t="str">
            <v>% growth in revenue seq</v>
          </cell>
          <cell r="B20"/>
          <cell r="C20"/>
          <cell r="D20"/>
          <cell r="E20"/>
          <cell r="F20"/>
          <cell r="G20"/>
          <cell r="H20"/>
          <cell r="I20"/>
          <cell r="J20"/>
          <cell r="K20"/>
          <cell r="L20"/>
          <cell r="M20"/>
          <cell r="N20"/>
          <cell r="O20"/>
          <cell r="P20"/>
          <cell r="Q20"/>
          <cell r="R20"/>
          <cell r="S20"/>
          <cell r="T20"/>
          <cell r="U20"/>
          <cell r="V20"/>
          <cell r="W20"/>
          <cell r="X20"/>
          <cell r="Y20"/>
          <cell r="Z20"/>
          <cell r="AA20"/>
          <cell r="AB20"/>
          <cell r="AC20"/>
          <cell r="AD20"/>
          <cell r="AE20"/>
          <cell r="AF20"/>
          <cell r="AG20"/>
          <cell r="AH20"/>
          <cell r="AI20"/>
          <cell r="AJ20"/>
          <cell r="AK20"/>
          <cell r="AL20"/>
          <cell r="AM20"/>
          <cell r="AN20"/>
          <cell r="AO20"/>
          <cell r="AP20"/>
          <cell r="AQ20"/>
          <cell r="AR20"/>
          <cell r="AS20"/>
          <cell r="AT20"/>
          <cell r="AU20"/>
          <cell r="AV20"/>
          <cell r="AW20"/>
          <cell r="AX20"/>
          <cell r="AY20"/>
          <cell r="AZ20"/>
          <cell r="BA20"/>
          <cell r="BB20"/>
          <cell r="BC20"/>
          <cell r="BD20"/>
          <cell r="BE20"/>
          <cell r="BF20"/>
          <cell r="BG20"/>
          <cell r="BH20"/>
          <cell r="BI20"/>
          <cell r="BJ20"/>
          <cell r="BK20"/>
          <cell r="BL20"/>
          <cell r="BM20"/>
          <cell r="BN20"/>
          <cell r="BO20"/>
          <cell r="BP20"/>
          <cell r="BQ20"/>
          <cell r="BR20"/>
          <cell r="BS20" t="str">
            <v>NA</v>
          </cell>
          <cell r="BT20">
            <v>0.12182551441118572</v>
          </cell>
          <cell r="BU20">
            <v>4.9779068916671054E-3</v>
          </cell>
          <cell r="BV20">
            <v>0.37776997193674422</v>
          </cell>
          <cell r="BW20">
            <v>-0.29827337478345484</v>
          </cell>
          <cell r="BX20">
            <v>9.0949582821886921E-2</v>
          </cell>
          <cell r="BY20">
            <v>-7.0869482307703957E-2</v>
          </cell>
          <cell r="BZ20">
            <v>0.25967540291359481</v>
          </cell>
          <cell r="CA20">
            <v>-0.27688687192474171</v>
          </cell>
          <cell r="CB20">
            <v>0.11397549162838039</v>
          </cell>
          <cell r="CC20">
            <v>-0.11386075700065834</v>
          </cell>
          <cell r="CD20">
            <v>0.40367516301126272</v>
          </cell>
          <cell r="CE20">
            <v>-0.32136824324324331</v>
          </cell>
          <cell r="CF20">
            <v>0.19513378967019301</v>
          </cell>
          <cell r="CG20">
            <v>-0.10989388622187046</v>
          </cell>
          <cell r="CH20">
            <v>0.23302492073798486</v>
          </cell>
          <cell r="CI20">
            <v>-0.39930423056584574</v>
          </cell>
          <cell r="CJ20">
            <v>0.35224351620136329</v>
          </cell>
          <cell r="CK20">
            <v>-0.14815993485183154</v>
          </cell>
          <cell r="CL20">
            <v>0.46005341738215821</v>
          </cell>
          <cell r="CM20">
            <v>-0.44036609732806564</v>
          </cell>
          <cell r="CN20">
            <v>0.36274068454890207</v>
          </cell>
          <cell r="CO20">
            <v>-0.1460961917828697</v>
          </cell>
          <cell r="CP20">
            <v>0.35562248064088609</v>
          </cell>
          <cell r="CQ20">
            <v>-0.41351588228005987</v>
          </cell>
          <cell r="CR20">
            <v>0.37578506512482401</v>
          </cell>
          <cell r="CS20">
            <v>-0.14341756783227533</v>
          </cell>
          <cell r="CT20">
            <v>0.22753039321700408</v>
          </cell>
          <cell r="CU20">
            <v>-0.31286381746261827</v>
          </cell>
          <cell r="CV20">
            <v>0.38166094474609391</v>
          </cell>
          <cell r="CW20">
            <v>-0.14269296792524955</v>
          </cell>
          <cell r="CX20">
            <v>0.17883762296587724</v>
          </cell>
          <cell r="CY20">
            <v>-0.25901672664439945</v>
          </cell>
          <cell r="CZ20">
            <v>0.38263268862404254</v>
          </cell>
          <cell r="DA20">
            <v>-0.14316897433553666</v>
          </cell>
          <cell r="DB20">
            <v>0.1804972343789657</v>
          </cell>
          <cell r="DC20"/>
          <cell r="DD20"/>
          <cell r="DE20"/>
          <cell r="DF20"/>
          <cell r="DG20"/>
          <cell r="DH20"/>
          <cell r="DI20"/>
          <cell r="DJ20"/>
          <cell r="DK20"/>
          <cell r="DL20"/>
          <cell r="DM20"/>
          <cell r="DN20"/>
          <cell r="DO20"/>
        </row>
        <row r="21">
          <cell r="A21"/>
          <cell r="B21"/>
          <cell r="C21"/>
          <cell r="D21"/>
          <cell r="E21"/>
          <cell r="F21"/>
          <cell r="G21"/>
          <cell r="H21"/>
          <cell r="I21"/>
          <cell r="J21"/>
          <cell r="K21"/>
          <cell r="L21"/>
          <cell r="M21"/>
          <cell r="N21"/>
          <cell r="O21"/>
          <cell r="P21"/>
          <cell r="Q21"/>
          <cell r="R21"/>
          <cell r="S21"/>
          <cell r="T21"/>
          <cell r="U21"/>
          <cell r="V21"/>
          <cell r="W21"/>
          <cell r="X21"/>
          <cell r="Y21"/>
          <cell r="Z21"/>
          <cell r="AA21"/>
          <cell r="AB21"/>
          <cell r="AC21"/>
          <cell r="AD21"/>
          <cell r="AE21"/>
          <cell r="AF21"/>
          <cell r="AG21"/>
          <cell r="AH21"/>
          <cell r="AI21"/>
          <cell r="AJ21"/>
          <cell r="AK21"/>
          <cell r="AL21"/>
          <cell r="AM21"/>
          <cell r="AN21"/>
          <cell r="AO21"/>
          <cell r="AP21"/>
          <cell r="AQ21"/>
          <cell r="AR21"/>
          <cell r="AS21"/>
          <cell r="AT21"/>
          <cell r="AU21"/>
          <cell r="AV21"/>
          <cell r="AW21"/>
          <cell r="AX21"/>
          <cell r="AY21"/>
          <cell r="AZ21"/>
          <cell r="BA21"/>
          <cell r="BB21"/>
          <cell r="BC21"/>
          <cell r="BD21"/>
          <cell r="BE21"/>
          <cell r="BF21"/>
          <cell r="BG21"/>
          <cell r="BH21"/>
          <cell r="BI21"/>
          <cell r="BJ21"/>
          <cell r="BK21"/>
          <cell r="BL21"/>
          <cell r="BM21"/>
          <cell r="BN21"/>
          <cell r="BO21"/>
          <cell r="BP21"/>
          <cell r="BQ21"/>
          <cell r="BR21"/>
          <cell r="BS21"/>
          <cell r="BT21"/>
          <cell r="BU21"/>
          <cell r="BV21"/>
          <cell r="BW21"/>
          <cell r="BX21"/>
          <cell r="BY21"/>
          <cell r="BZ21"/>
          <cell r="CA21"/>
          <cell r="CB21"/>
          <cell r="CC21"/>
          <cell r="CD21"/>
          <cell r="CE21"/>
          <cell r="CF21"/>
          <cell r="CG21"/>
          <cell r="CH21"/>
          <cell r="CI21"/>
          <cell r="CJ21"/>
          <cell r="CK21"/>
          <cell r="CL21"/>
          <cell r="CM21"/>
          <cell r="CN21"/>
          <cell r="CO21"/>
          <cell r="CP21"/>
          <cell r="CQ21"/>
          <cell r="CR21"/>
          <cell r="CS21"/>
          <cell r="CT21"/>
          <cell r="CU21"/>
          <cell r="CV21"/>
          <cell r="CW21"/>
          <cell r="CX21"/>
          <cell r="CY21"/>
          <cell r="CZ21"/>
          <cell r="DA21"/>
          <cell r="DB21"/>
          <cell r="DC21"/>
          <cell r="DD21"/>
          <cell r="DE21"/>
          <cell r="DF21"/>
          <cell r="DG21"/>
          <cell r="DH21"/>
          <cell r="DI21"/>
          <cell r="DJ21"/>
          <cell r="DK21"/>
          <cell r="DL21"/>
          <cell r="DM21"/>
          <cell r="DN21"/>
          <cell r="DO21"/>
        </row>
        <row r="22">
          <cell r="A22" t="str">
            <v>Workspace Services</v>
          </cell>
          <cell r="B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-0.293292</v>
          </cell>
          <cell r="AF22">
            <v>-2.1471542499999998</v>
          </cell>
          <cell r="AG22">
            <v>-8.0079071093749992</v>
          </cell>
          <cell r="AH22">
            <v>-15.088201915039063</v>
          </cell>
          <cell r="AI22">
            <v>-16.597390295349122</v>
          </cell>
          <cell r="AJ22">
            <v>-20.844607508430482</v>
          </cell>
          <cell r="AK22">
            <v>-23.875876999999999</v>
          </cell>
          <cell r="AL22">
            <v>-25.831512999999998</v>
          </cell>
          <cell r="AM22">
            <v>-23.956699999999966</v>
          </cell>
          <cell r="AN22">
            <v>-20.848391920000001</v>
          </cell>
          <cell r="AO22">
            <v>-35.054000000000002</v>
          </cell>
          <cell r="AP22">
            <v>-39.216365000000017</v>
          </cell>
          <cell r="AQ22">
            <v>-28.224984000000024</v>
          </cell>
          <cell r="AR22">
            <v>-39.911242603550292</v>
          </cell>
          <cell r="AS22">
            <v>-39.023012695957554</v>
          </cell>
          <cell r="AT22">
            <v>-44.824949759999996</v>
          </cell>
          <cell r="AU22">
            <v>-30.607407407407404</v>
          </cell>
          <cell r="AV22">
            <v>-41.507692307692302</v>
          </cell>
          <cell r="AW22">
            <v>-36.85</v>
          </cell>
          <cell r="AX22">
            <v>-46.033333333333367</v>
          </cell>
          <cell r="AY22">
            <v>-37.407407407407405</v>
          </cell>
          <cell r="AZ22">
            <v>-47.307692307692299</v>
          </cell>
          <cell r="BA22">
            <v>-56.25</v>
          </cell>
          <cell r="BB22">
            <v>-55.333333333333364</v>
          </cell>
          <cell r="BC22">
            <v>-47.507407407407406</v>
          </cell>
          <cell r="BD22">
            <v>-59.607692307692297</v>
          </cell>
          <cell r="BE22">
            <v>-74.25</v>
          </cell>
          <cell r="BF22">
            <v>-63.633333333333368</v>
          </cell>
          <cell r="BG22">
            <v>-58.007407407407406</v>
          </cell>
          <cell r="BH22">
            <v>-68.707692307692298</v>
          </cell>
          <cell r="BI22">
            <v>-78.650000000000006</v>
          </cell>
          <cell r="BJ22">
            <v>-99.633333333333368</v>
          </cell>
          <cell r="BK22">
            <v>-87.007407407407413</v>
          </cell>
          <cell r="BL22">
            <v>-105.80769230769229</v>
          </cell>
          <cell r="BM22">
            <v>-89.15</v>
          </cell>
          <cell r="BN22">
            <v>-115.03333333333337</v>
          </cell>
          <cell r="BO22">
            <v>-106.80740740740741</v>
          </cell>
          <cell r="BP22">
            <v>-120.0076923076923</v>
          </cell>
          <cell r="BQ22">
            <v>-92.850000000000009</v>
          </cell>
          <cell r="BR22">
            <v>-125.53333333333337</v>
          </cell>
          <cell r="BS22">
            <v>77.403146198097161</v>
          </cell>
          <cell r="BT22">
            <v>89.790119343251092</v>
          </cell>
          <cell r="BU22">
            <v>78.196092020408145</v>
          </cell>
          <cell r="BV22">
            <v>125.68201016369036</v>
          </cell>
          <cell r="BW22">
            <v>67.783932079757705</v>
          </cell>
          <cell r="BX22">
            <v>82.687329682799046</v>
          </cell>
          <cell r="BY22">
            <v>75.228063632248791</v>
          </cell>
          <cell r="BZ22">
            <v>123.75260530512725</v>
          </cell>
          <cell r="CA22">
            <v>63.591125415077485</v>
          </cell>
          <cell r="CB22">
            <v>77.614840678100649</v>
          </cell>
          <cell r="CC22">
            <v>76.798238062903579</v>
          </cell>
          <cell r="CD22">
            <v>116.96330685431197</v>
          </cell>
          <cell r="CE22">
            <v>36.960499932103275</v>
          </cell>
          <cell r="CF22">
            <v>68.403019014319099</v>
          </cell>
          <cell r="CG22">
            <v>64.231527850379635</v>
          </cell>
          <cell r="CH22">
            <v>97.389733706117866</v>
          </cell>
          <cell r="CI22">
            <v>37.639701657886036</v>
          </cell>
          <cell r="CJ22">
            <v>47.927799917182796</v>
          </cell>
          <cell r="CK22">
            <v>39.476185854934286</v>
          </cell>
          <cell r="CL22">
            <v>99.880998333197866</v>
          </cell>
          <cell r="CM22">
            <v>26.367295329125671</v>
          </cell>
          <cell r="CN22">
            <v>33.552117947075047</v>
          </cell>
          <cell r="CO22">
            <v>27.6218313433478</v>
          </cell>
          <cell r="CP22">
            <v>69.859521207575241</v>
          </cell>
          <cell r="CQ22">
            <v>13.756856234599487</v>
          </cell>
          <cell r="CR22">
            <v>17.511459060416339</v>
          </cell>
          <cell r="CS22">
            <v>14.388392349044585</v>
          </cell>
          <cell r="CT22">
            <v>36.513294312749935</v>
          </cell>
          <cell r="CU22">
            <v>9.5911955814057954</v>
          </cell>
          <cell r="CV22">
            <v>12.206817919647666</v>
          </cell>
          <cell r="CW22">
            <v>10.017788867187438</v>
          </cell>
          <cell r="CX22">
            <v>25.457924944439188</v>
          </cell>
          <cell r="CY22">
            <v>10.089342825993237</v>
          </cell>
          <cell r="CZ22">
            <v>12.82766397842861</v>
          </cell>
          <cell r="DA22">
            <v>10.535965608151207</v>
          </cell>
          <cell r="DB22">
            <v>26.691874789931333</v>
          </cell>
          <cell r="DC22"/>
          <cell r="DD22"/>
          <cell r="DE22">
            <v>0</v>
          </cell>
          <cell r="DF22">
            <v>0</v>
          </cell>
          <cell r="DG22">
            <v>0</v>
          </cell>
          <cell r="DH22">
            <v>0</v>
          </cell>
          <cell r="DI22">
            <v>0</v>
          </cell>
          <cell r="DJ22">
            <v>0</v>
          </cell>
          <cell r="DK22">
            <v>-25.536555274414063</v>
          </cell>
          <cell r="DL22">
            <v>-87.149387803779604</v>
          </cell>
          <cell r="DM22">
            <v>-119.07545691999999</v>
          </cell>
          <cell r="DN22">
            <v>-151.98418905950786</v>
          </cell>
          <cell r="DO22">
            <v>-154.99843304843307</v>
          </cell>
        </row>
        <row r="23">
          <cell r="A23" t="str">
            <v>% of revenue</v>
          </cell>
          <cell r="B23"/>
          <cell r="C23"/>
          <cell r="D23"/>
          <cell r="E23"/>
          <cell r="F23"/>
          <cell r="G23"/>
          <cell r="H23"/>
          <cell r="I23"/>
          <cell r="J23"/>
          <cell r="K23"/>
          <cell r="L23"/>
          <cell r="M23"/>
          <cell r="N23"/>
          <cell r="O23"/>
          <cell r="P23"/>
          <cell r="Q23"/>
          <cell r="R23"/>
          <cell r="S23"/>
          <cell r="T23"/>
          <cell r="U23"/>
          <cell r="V23"/>
          <cell r="W23"/>
          <cell r="X23"/>
          <cell r="Y23"/>
          <cell r="Z23"/>
          <cell r="AA23"/>
          <cell r="AB23"/>
          <cell r="AC23"/>
          <cell r="AD23"/>
          <cell r="AE23"/>
          <cell r="AF23"/>
          <cell r="AG23"/>
          <cell r="AH23"/>
          <cell r="AI23"/>
          <cell r="AJ23"/>
          <cell r="AK23"/>
          <cell r="AL23"/>
          <cell r="AM23"/>
          <cell r="AN23"/>
          <cell r="AO23"/>
          <cell r="AP23"/>
          <cell r="AQ23"/>
          <cell r="AR23"/>
          <cell r="AS23"/>
          <cell r="AT23"/>
          <cell r="AU23"/>
          <cell r="AV23"/>
          <cell r="AW23"/>
          <cell r="AX23"/>
          <cell r="AY23"/>
          <cell r="AZ23"/>
          <cell r="BA23"/>
          <cell r="BB23"/>
          <cell r="BC23"/>
          <cell r="BD23"/>
          <cell r="BE23"/>
          <cell r="BF23"/>
          <cell r="BG23"/>
          <cell r="BH23"/>
          <cell r="BI23"/>
          <cell r="BJ23"/>
          <cell r="BK23"/>
          <cell r="BL23"/>
          <cell r="BM23"/>
          <cell r="BN23"/>
          <cell r="BO23"/>
          <cell r="BP23"/>
          <cell r="BQ23"/>
          <cell r="BR23"/>
          <cell r="BS23">
            <v>0.10173888370180043</v>
          </cell>
          <cell r="BT23">
            <v>0.11269420156314656</v>
          </cell>
          <cell r="BU23">
            <v>9.6150223198209872E-2</v>
          </cell>
          <cell r="BV23">
            <v>0.13891152728801948</v>
          </cell>
          <cell r="BW23">
            <v>0.10289421709717568</v>
          </cell>
          <cell r="BX23">
            <v>0.12268386435168489</v>
          </cell>
          <cell r="BY23">
            <v>0.11249291743266221</v>
          </cell>
          <cell r="BZ23">
            <v>0.16846624117204737</v>
          </cell>
          <cell r="CA23">
            <v>9.5960966526795852E-2</v>
          </cell>
          <cell r="CB23">
            <v>0.11196165278920273</v>
          </cell>
          <cell r="CC23">
            <v>0.11115278512559769</v>
          </cell>
          <cell r="CD23">
            <v>0.15036607866781679</v>
          </cell>
          <cell r="CE23">
            <v>5.3013373550045428E-2</v>
          </cell>
          <cell r="CF23">
            <v>9.2142031230350432E-2</v>
          </cell>
          <cell r="CG23">
            <v>8.7690965779601837E-2</v>
          </cell>
          <cell r="CH23">
            <v>0.12145327011375642</v>
          </cell>
          <cell r="CI23">
            <v>5.2997012234366349E-2</v>
          </cell>
          <cell r="CJ23">
            <v>6.2083701453785375E-2</v>
          </cell>
          <cell r="CK23">
            <v>5.1749565342521231E-2</v>
          </cell>
          <cell r="CL23">
            <v>0.11669404712801208</v>
          </cell>
          <cell r="CM23">
            <v>3.4471461804403004E-2</v>
          </cell>
          <cell r="CN23">
            <v>4.0570276341553295E-2</v>
          </cell>
          <cell r="CO23">
            <v>3.3726635973777647E-2</v>
          </cell>
          <cell r="CP23">
            <v>7.7663637565256391E-2</v>
          </cell>
          <cell r="CQ23">
            <v>1.6703097720598886E-2</v>
          </cell>
          <cell r="CR23">
            <v>1.9802308124220503E-2</v>
          </cell>
          <cell r="CS23">
            <v>1.641144330889685E-2</v>
          </cell>
          <cell r="CT23">
            <v>3.8705384579652093E-2</v>
          </cell>
          <cell r="CU23">
            <v>1.0731276430513144E-2</v>
          </cell>
          <cell r="CV23">
            <v>1.2776375127472884E-2</v>
          </cell>
          <cell r="CW23">
            <v>1.0573463045921034E-2</v>
          </cell>
          <cell r="CX23">
            <v>2.5170009912676112E-2</v>
          </cell>
          <cell r="CY23">
            <v>1.0388952365722258E-2</v>
          </cell>
          <cell r="CZ23">
            <v>1.2419596799059232E-2</v>
          </cell>
          <cell r="DA23">
            <v>1.0299466929769614E-2</v>
          </cell>
          <cell r="DB23">
            <v>2.4530902853880644E-2</v>
          </cell>
          <cell r="DC23"/>
          <cell r="DD23"/>
          <cell r="DE23">
            <v>0</v>
          </cell>
          <cell r="DF23">
            <v>0</v>
          </cell>
          <cell r="DG23">
            <v>0</v>
          </cell>
          <cell r="DH23">
            <v>0</v>
          </cell>
          <cell r="DI23">
            <v>0</v>
          </cell>
          <cell r="DJ23">
            <v>0</v>
          </cell>
          <cell r="DK23">
            <v>-2.8101614436994E-2</v>
          </cell>
          <cell r="DL23">
            <v>-7.682969940887846E-2</v>
          </cell>
          <cell r="DM23">
            <v>-8.5546277732836559E-2</v>
          </cell>
          <cell r="DN23">
            <v>-9.5988761236910927E-2</v>
          </cell>
          <cell r="DO23">
            <v>-9.6028489802559139E-2</v>
          </cell>
        </row>
        <row r="24">
          <cell r="A24" t="str">
            <v>% growth in revenue y-o-y</v>
          </cell>
          <cell r="B24"/>
          <cell r="C24"/>
          <cell r="D24"/>
          <cell r="E24"/>
          <cell r="F24"/>
          <cell r="G24"/>
          <cell r="H24"/>
          <cell r="I24"/>
          <cell r="J24"/>
          <cell r="K24"/>
          <cell r="L24"/>
          <cell r="M24"/>
          <cell r="N24"/>
          <cell r="O24"/>
          <cell r="P24"/>
          <cell r="Q24"/>
          <cell r="R24"/>
          <cell r="S24"/>
          <cell r="T24"/>
          <cell r="U24"/>
          <cell r="V24"/>
          <cell r="W24"/>
          <cell r="X24"/>
          <cell r="Y24"/>
          <cell r="Z24"/>
          <cell r="AA24"/>
          <cell r="AB24"/>
          <cell r="AC24"/>
          <cell r="AD24"/>
          <cell r="AE24"/>
          <cell r="AF24"/>
          <cell r="AG24"/>
          <cell r="AH24"/>
          <cell r="AI24"/>
          <cell r="AJ24"/>
          <cell r="AK24"/>
          <cell r="AL24"/>
          <cell r="AM24"/>
          <cell r="AN24"/>
          <cell r="AO24"/>
          <cell r="AP24"/>
          <cell r="AQ24"/>
          <cell r="AR24"/>
          <cell r="AS24"/>
          <cell r="AT24"/>
          <cell r="AU24"/>
          <cell r="AV24"/>
          <cell r="AW24"/>
          <cell r="AX24"/>
          <cell r="AY24"/>
          <cell r="AZ24"/>
          <cell r="BA24"/>
          <cell r="BB24"/>
          <cell r="BC24"/>
          <cell r="BD24"/>
          <cell r="BE24"/>
          <cell r="BF24"/>
          <cell r="BG24"/>
          <cell r="BH24"/>
          <cell r="BI24"/>
          <cell r="BJ24"/>
          <cell r="BK24"/>
          <cell r="BL24"/>
          <cell r="BM24"/>
          <cell r="BN24"/>
          <cell r="BO24"/>
          <cell r="BP24"/>
          <cell r="BQ24"/>
          <cell r="BR24"/>
          <cell r="BS24">
            <v>-1.7246982964659905</v>
          </cell>
          <cell r="BT24">
            <v>-1.7482030327942211</v>
          </cell>
          <cell r="BU24">
            <v>-1.8421765430307824</v>
          </cell>
          <cell r="BV24">
            <v>-2.0011843613676872</v>
          </cell>
          <cell r="BW24">
            <v>-0.12427420060834593</v>
          </cell>
          <cell r="BX24">
            <v>-7.9104357054024965E-2</v>
          </cell>
          <cell r="BY24">
            <v>-3.7956224044863207E-2</v>
          </cell>
          <cell r="BZ24">
            <v>-1.5351479945699742E-2</v>
          </cell>
          <cell r="CA24">
            <v>-6.1855465388858999E-2</v>
          </cell>
          <cell r="CB24">
            <v>-6.1345420442977416E-2</v>
          </cell>
          <cell r="CC24">
            <v>2.0872189909480587E-2</v>
          </cell>
          <cell r="CD24">
            <v>-5.486186277917493E-2</v>
          </cell>
          <cell r="CE24">
            <v>-0.41877896183073493</v>
          </cell>
          <cell r="CF24">
            <v>-0.11868634378812426</v>
          </cell>
          <cell r="CG24">
            <v>-0.16363279327099733</v>
          </cell>
          <cell r="CH24">
            <v>-0.16734798010263763</v>
          </cell>
          <cell r="CI24">
            <v>1.8376421504862295E-2</v>
          </cell>
          <cell r="CJ24">
            <v>-0.2993320966264682</v>
          </cell>
          <cell r="CK24">
            <v>-0.38540795811537021</v>
          </cell>
          <cell r="CL24">
            <v>2.5580361833595466E-2</v>
          </cell>
          <cell r="CM24">
            <v>-0.29948181925609496</v>
          </cell>
          <cell r="CN24">
            <v>-0.29994454147589322</v>
          </cell>
          <cell r="CO24">
            <v>-0.30029128333594479</v>
          </cell>
          <cell r="CP24">
            <v>-0.30057245749058814</v>
          </cell>
          <cell r="CQ24">
            <v>-0.47826062313628814</v>
          </cell>
          <cell r="CR24">
            <v>-0.4780818579608348</v>
          </cell>
          <cell r="CS24">
            <v>-0.4790934688510522</v>
          </cell>
          <cell r="CT24">
            <v>-0.47733260002946309</v>
          </cell>
          <cell r="CU24">
            <v>-0.30280614859641797</v>
          </cell>
          <cell r="CV24">
            <v>-0.30292399522319158</v>
          </cell>
          <cell r="CW24">
            <v>-0.30375898681601932</v>
          </cell>
          <cell r="CX24">
            <v>-0.30277655238712231</v>
          </cell>
          <cell r="CY24">
            <v>5.1937971690743767E-2</v>
          </cell>
          <cell r="CZ24">
            <v>5.0860597976287725E-2</v>
          </cell>
          <cell r="DA24">
            <v>5.1725660006772589E-2</v>
          </cell>
          <cell r="DB24">
            <v>4.8470165898641948E-2</v>
          </cell>
          <cell r="DC24"/>
          <cell r="DD24" t="str">
            <v>NA</v>
          </cell>
          <cell r="DE24" t="str">
            <v>NA</v>
          </cell>
          <cell r="DF24" t="str">
            <v>NA</v>
          </cell>
          <cell r="DG24" t="str">
            <v>NA</v>
          </cell>
          <cell r="DH24" t="str">
            <v>NA</v>
          </cell>
          <cell r="DI24" t="str">
            <v>NA</v>
          </cell>
          <cell r="DJ24" t="str">
            <v>NA</v>
          </cell>
          <cell r="DK24" t="str">
            <v>NA</v>
          </cell>
          <cell r="DL24">
            <v>2.4127307644777569</v>
          </cell>
          <cell r="DM24">
            <v>0.36633727351135548</v>
          </cell>
          <cell r="DN24">
            <v>0.27636872442670835</v>
          </cell>
          <cell r="DO24">
            <v>1.9832615534402853E-2</v>
          </cell>
        </row>
        <row r="25">
          <cell r="A25" t="str">
            <v>% growth in revenue seq</v>
          </cell>
          <cell r="B25"/>
          <cell r="C25"/>
          <cell r="D25"/>
          <cell r="E25"/>
          <cell r="F25"/>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v>-1.6165943669524467</v>
          </cell>
          <cell r="BT25">
            <v>0.16003190766241038</v>
          </cell>
          <cell r="BU25">
            <v>-0.12912364308728796</v>
          </cell>
          <cell r="BV25">
            <v>0.60726715256932562</v>
          </cell>
          <cell r="BW25">
            <v>-0.46067116533643304</v>
          </cell>
          <cell r="BX25">
            <v>0.21986623003081784</v>
          </cell>
          <cell r="BY25">
            <v>-9.0210508419671043E-2</v>
          </cell>
          <cell r="BZ25">
            <v>0.64503244307988461</v>
          </cell>
          <cell r="CA25">
            <v>-0.48614313809163245</v>
          </cell>
          <cell r="CB25">
            <v>0.22052943978403206</v>
          </cell>
          <cell r="CC25">
            <v>-1.0521217438090757E-2</v>
          </cell>
          <cell r="CD25">
            <v>0.52299466504049419</v>
          </cell>
          <cell r="CE25">
            <v>-0.68399918806894866</v>
          </cell>
          <cell r="CF25">
            <v>0.85070600072985969</v>
          </cell>
          <cell r="CG25">
            <v>-6.098402123254576E-2</v>
          </cell>
          <cell r="CH25">
            <v>0.51622944316343622</v>
          </cell>
          <cell r="CI25">
            <v>-0.61351468758024164</v>
          </cell>
          <cell r="CJ25">
            <v>0.2733310256496484</v>
          </cell>
          <cell r="CK25">
            <v>-0.17634053882824874</v>
          </cell>
          <cell r="CL25">
            <v>1.5301582756813712</v>
          </cell>
          <cell r="CM25">
            <v>-0.73601289765681221</v>
          </cell>
          <cell r="CN25">
            <v>0.27248993604637639</v>
          </cell>
          <cell r="CO25">
            <v>-0.17674850252617891</v>
          </cell>
          <cell r="CP25">
            <v>1.5291415452943746</v>
          </cell>
          <cell r="CQ25">
            <v>-0.80307829202373981</v>
          </cell>
          <cell r="CR25">
            <v>0.27292593320658209</v>
          </cell>
          <cell r="CS25">
            <v>-0.17834417455432194</v>
          </cell>
          <cell r="CT25">
            <v>1.5376910378159434</v>
          </cell>
          <cell r="CU25">
            <v>-0.73732319249932254</v>
          </cell>
          <cell r="CV25">
            <v>0.27271077062725224</v>
          </cell>
          <cell r="CW25">
            <v>-0.17932839392458244</v>
          </cell>
          <cell r="CX25">
            <v>1.5412718596840098</v>
          </cell>
          <cell r="CY25">
            <v>-0.60368557735900363</v>
          </cell>
          <cell r="CZ25">
            <v>0.27140728585221829</v>
          </cell>
          <cell r="DA25">
            <v>-0.17865282206730648</v>
          </cell>
          <cell r="DB25">
            <v>1.5334056490542283</v>
          </cell>
          <cell r="DC25"/>
          <cell r="DD25"/>
          <cell r="DE25"/>
          <cell r="DF25"/>
          <cell r="DG25"/>
          <cell r="DH25"/>
          <cell r="DI25"/>
          <cell r="DJ25"/>
          <cell r="DK25"/>
          <cell r="DL25"/>
          <cell r="DM25"/>
          <cell r="DN25"/>
          <cell r="DO25"/>
        </row>
        <row r="26">
          <cell r="A26"/>
          <cell r="B26"/>
          <cell r="C26"/>
          <cell r="D26"/>
          <cell r="E26"/>
          <cell r="F26"/>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cell r="BA26"/>
          <cell r="BB26"/>
          <cell r="BC26"/>
          <cell r="BD26"/>
          <cell r="BE26"/>
          <cell r="BF26"/>
          <cell r="BG26"/>
          <cell r="BH26"/>
          <cell r="BI26"/>
          <cell r="BJ26"/>
          <cell r="BK26"/>
          <cell r="BL26"/>
          <cell r="BM26"/>
          <cell r="BN26"/>
          <cell r="BO26"/>
          <cell r="BP26"/>
          <cell r="BQ26"/>
          <cell r="BR26"/>
          <cell r="BS26"/>
          <cell r="BT26"/>
          <cell r="BU26"/>
          <cell r="BV26"/>
          <cell r="BW26"/>
          <cell r="BX26"/>
          <cell r="BY26"/>
          <cell r="BZ26"/>
          <cell r="CA26"/>
          <cell r="CB26"/>
          <cell r="CC26"/>
          <cell r="CD26"/>
          <cell r="CE26"/>
          <cell r="CF26"/>
          <cell r="CG26"/>
          <cell r="CH26"/>
          <cell r="CI26"/>
          <cell r="CJ26"/>
          <cell r="CK26"/>
          <cell r="CL26"/>
          <cell r="CM26"/>
          <cell r="CN26"/>
          <cell r="CO26"/>
          <cell r="CP26"/>
          <cell r="CQ26"/>
          <cell r="CR26"/>
          <cell r="CS26"/>
          <cell r="CT26"/>
          <cell r="CU26"/>
          <cell r="CV26"/>
          <cell r="CW26"/>
          <cell r="CX26"/>
          <cell r="CY26"/>
          <cell r="CZ26"/>
          <cell r="DA26"/>
          <cell r="DB26"/>
          <cell r="DC26"/>
          <cell r="DD26"/>
          <cell r="DE26"/>
          <cell r="DF26"/>
          <cell r="DG26"/>
          <cell r="DH26"/>
          <cell r="DI26"/>
          <cell r="DJ26"/>
          <cell r="DK26"/>
          <cell r="DL26"/>
          <cell r="DM26"/>
          <cell r="DN26"/>
          <cell r="DO26"/>
        </row>
        <row r="27">
          <cell r="A27" t="str">
            <v>Delivery Networking</v>
          </cell>
          <cell r="B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0.293292</v>
          </cell>
          <cell r="AF27">
            <v>2.1471542499999998</v>
          </cell>
          <cell r="AG27">
            <v>8.0079071093749992</v>
          </cell>
          <cell r="AH27">
            <v>15.088201915039063</v>
          </cell>
          <cell r="AI27">
            <v>16.597390295349122</v>
          </cell>
          <cell r="AJ27">
            <v>20.844607508430482</v>
          </cell>
          <cell r="AK27">
            <v>23.875876999999999</v>
          </cell>
          <cell r="AL27">
            <v>25.831512999999998</v>
          </cell>
          <cell r="AM27">
            <v>23.956699999999966</v>
          </cell>
          <cell r="AN27">
            <v>20.848391920000001</v>
          </cell>
          <cell r="AO27">
            <v>35.054000000000002</v>
          </cell>
          <cell r="AP27">
            <v>39.216365000000017</v>
          </cell>
          <cell r="AQ27">
            <v>28.224984000000024</v>
          </cell>
          <cell r="AR27">
            <v>39.911242603550292</v>
          </cell>
          <cell r="AS27">
            <v>39.023012695957554</v>
          </cell>
          <cell r="AT27">
            <v>44.824949759999996</v>
          </cell>
          <cell r="AU27">
            <v>30.607407407407404</v>
          </cell>
          <cell r="AV27">
            <v>41.507692307692302</v>
          </cell>
          <cell r="AW27">
            <v>36.85</v>
          </cell>
          <cell r="AX27">
            <v>46.033333333333367</v>
          </cell>
          <cell r="AY27">
            <v>37.407407407407405</v>
          </cell>
          <cell r="AZ27">
            <v>47.307692307692299</v>
          </cell>
          <cell r="BA27">
            <v>56.25</v>
          </cell>
          <cell r="BB27">
            <v>55.333333333333364</v>
          </cell>
          <cell r="BC27">
            <v>47.507407407407406</v>
          </cell>
          <cell r="BD27">
            <v>59.607692307692297</v>
          </cell>
          <cell r="BE27">
            <v>74.25</v>
          </cell>
          <cell r="BF27">
            <v>63.633333333333368</v>
          </cell>
          <cell r="BG27">
            <v>58.007407407407406</v>
          </cell>
          <cell r="BH27">
            <v>68.707692307692298</v>
          </cell>
          <cell r="BI27">
            <v>78.650000000000006</v>
          </cell>
          <cell r="BJ27">
            <v>99.633333333333368</v>
          </cell>
          <cell r="BK27">
            <v>87.007407407407413</v>
          </cell>
          <cell r="BL27">
            <v>105.80769230769229</v>
          </cell>
          <cell r="BM27">
            <v>89.15</v>
          </cell>
          <cell r="BN27">
            <v>115.03333333333337</v>
          </cell>
          <cell r="BO27">
            <v>106.80740740740741</v>
          </cell>
          <cell r="BP27">
            <v>120.0076923076923</v>
          </cell>
          <cell r="BQ27">
            <v>92.850000000000009</v>
          </cell>
          <cell r="BR27">
            <v>125.53333333333337</v>
          </cell>
          <cell r="BS27">
            <v>92.407407407407405</v>
          </cell>
          <cell r="BT27">
            <v>100.7076923076923</v>
          </cell>
          <cell r="BU27">
            <v>113.25</v>
          </cell>
          <cell r="BV27">
            <v>138.08666666666673</v>
          </cell>
          <cell r="BW27">
            <v>115.50925925925925</v>
          </cell>
          <cell r="BX27">
            <v>116.82092307692305</v>
          </cell>
          <cell r="BY27">
            <v>110.985</v>
          </cell>
          <cell r="BZ27">
            <v>110.4693333333334</v>
          </cell>
          <cell r="CA27">
            <v>105.11342592592592</v>
          </cell>
          <cell r="CB27">
            <v>110.97987692307689</v>
          </cell>
          <cell r="CC27">
            <v>93.782325</v>
          </cell>
          <cell r="CD27">
            <v>118.20218666666673</v>
          </cell>
          <cell r="CE27">
            <v>122.81450006789672</v>
          </cell>
          <cell r="CF27">
            <v>122.7299809856809</v>
          </cell>
          <cell r="CG27">
            <v>105.79547214962037</v>
          </cell>
          <cell r="CH27">
            <v>112.47334254388213</v>
          </cell>
          <cell r="CI27">
            <v>88.436251742442948</v>
          </cell>
          <cell r="CJ27">
            <v>122.7299809856809</v>
          </cell>
          <cell r="CK27">
            <v>105.79547214962037</v>
          </cell>
          <cell r="CL27">
            <v>112.47334254388213</v>
          </cell>
          <cell r="CM27">
            <v>92.447047380412556</v>
          </cell>
          <cell r="CN27">
            <v>128.46984867903274</v>
          </cell>
          <cell r="CO27">
            <v>110.65177118083022</v>
          </cell>
          <cell r="CP27">
            <v>117.71014526429657</v>
          </cell>
          <cell r="CQ27">
            <v>96.237249258293829</v>
          </cell>
          <cell r="CR27">
            <v>133.89402364925022</v>
          </cell>
          <cell r="CS27">
            <v>115.2409737653235</v>
          </cell>
          <cell r="CT27">
            <v>122.65892383508822</v>
          </cell>
          <cell r="CU27">
            <v>99.801934124441175</v>
          </cell>
          <cell r="CV27">
            <v>138.99546020873976</v>
          </cell>
          <cell r="CW27">
            <v>119.55711879603945</v>
          </cell>
          <cell r="CX27">
            <v>127.31325008091777</v>
          </cell>
          <cell r="CY27">
            <v>103.14008326734486</v>
          </cell>
          <cell r="CZ27">
            <v>143.77270047487374</v>
          </cell>
          <cell r="DA27">
            <v>123.5989728100534</v>
          </cell>
          <cell r="DB27">
            <v>131.67179389382486</v>
          </cell>
          <cell r="DC27"/>
          <cell r="DD27"/>
          <cell r="DE27">
            <v>0</v>
          </cell>
          <cell r="DF27">
            <v>0</v>
          </cell>
          <cell r="DG27">
            <v>0</v>
          </cell>
          <cell r="DH27">
            <v>0</v>
          </cell>
          <cell r="DI27">
            <v>0</v>
          </cell>
          <cell r="DJ27">
            <v>0</v>
          </cell>
          <cell r="DK27">
            <v>25.536555274414063</v>
          </cell>
          <cell r="DL27">
            <v>87.149387803779604</v>
          </cell>
          <cell r="DM27">
            <v>119.07545691999999</v>
          </cell>
          <cell r="DN27">
            <v>151.98418905950786</v>
          </cell>
          <cell r="DO27">
            <v>154.99843304843307</v>
          </cell>
        </row>
        <row r="28">
          <cell r="A28" t="str">
            <v>% of revenue</v>
          </cell>
          <cell r="B28"/>
          <cell r="C28"/>
          <cell r="D28"/>
          <cell r="E28"/>
          <cell r="F28"/>
          <cell r="G28"/>
          <cell r="H28"/>
          <cell r="I28"/>
          <cell r="J28"/>
          <cell r="K28"/>
          <cell r="L28"/>
          <cell r="M28"/>
          <cell r="N28"/>
          <cell r="O28"/>
          <cell r="P28"/>
          <cell r="Q28"/>
          <cell r="R28"/>
          <cell r="S28"/>
          <cell r="T28"/>
          <cell r="U28"/>
          <cell r="V28"/>
          <cell r="W28"/>
          <cell r="X28"/>
          <cell r="Y28"/>
          <cell r="Z28"/>
          <cell r="AA28"/>
          <cell r="AB28"/>
          <cell r="AC28"/>
          <cell r="AD28"/>
          <cell r="AE28"/>
          <cell r="AF28"/>
          <cell r="AG28"/>
          <cell r="AH28"/>
          <cell r="AI28"/>
          <cell r="AJ28"/>
          <cell r="AK28"/>
          <cell r="AL28"/>
          <cell r="AM28"/>
          <cell r="AN28"/>
          <cell r="AO28"/>
          <cell r="AP28"/>
          <cell r="AQ28"/>
          <cell r="AR28"/>
          <cell r="AS28"/>
          <cell r="AT28"/>
          <cell r="AU28"/>
          <cell r="AV28"/>
          <cell r="AW28"/>
          <cell r="AX28"/>
          <cell r="AY28"/>
          <cell r="AZ28"/>
          <cell r="BA28"/>
          <cell r="BB28"/>
          <cell r="BC28"/>
          <cell r="BD28"/>
          <cell r="BE28"/>
          <cell r="BF28"/>
          <cell r="BG28"/>
          <cell r="BH28"/>
          <cell r="BI28"/>
          <cell r="BJ28"/>
          <cell r="BK28"/>
          <cell r="BL28"/>
          <cell r="BM28"/>
          <cell r="BN28"/>
          <cell r="BO28"/>
          <cell r="BP28"/>
          <cell r="BQ28"/>
          <cell r="BR28"/>
          <cell r="BS28">
            <v>0.12146052114401305</v>
          </cell>
          <cell r="BT28">
            <v>0.12639667993419879</v>
          </cell>
          <cell r="BU28">
            <v>0.13925264672249069</v>
          </cell>
          <cell r="BV28">
            <v>0.15262192051030682</v>
          </cell>
          <cell r="BW28">
            <v>0.17534000218475751</v>
          </cell>
          <cell r="BX28">
            <v>0.17332815481147715</v>
          </cell>
          <cell r="BY28">
            <v>0.16596235285673269</v>
          </cell>
          <cell r="BZ28">
            <v>0.15038352772907304</v>
          </cell>
          <cell r="CA28">
            <v>0.15861939666825006</v>
          </cell>
          <cell r="CB28">
            <v>0.16009168270000573</v>
          </cell>
          <cell r="CC28">
            <v>0.13573445019358107</v>
          </cell>
          <cell r="CD28">
            <v>0.15195876191467933</v>
          </cell>
          <cell r="CE28">
            <v>0.17615592271267702</v>
          </cell>
          <cell r="CF28">
            <v>0.16532296240485597</v>
          </cell>
          <cell r="CG28">
            <v>0.14443541105731841</v>
          </cell>
          <cell r="CH28">
            <v>0.14026381152042366</v>
          </cell>
          <cell r="CI28">
            <v>0.12451897621706547</v>
          </cell>
          <cell r="CJ28">
            <v>0.15897937130663198</v>
          </cell>
          <cell r="CK28">
            <v>0.13868790969493672</v>
          </cell>
          <cell r="CL28">
            <v>0.13140607076910271</v>
          </cell>
          <cell r="CM28">
            <v>0.12086127238024147</v>
          </cell>
          <cell r="CN28">
            <v>0.15534212387687024</v>
          </cell>
          <cell r="CO28">
            <v>0.1351073344877389</v>
          </cell>
          <cell r="CP28">
            <v>0.13085972966228568</v>
          </cell>
          <cell r="CQ28">
            <v>0.1168479303200128</v>
          </cell>
          <cell r="CR28">
            <v>0.15141003974291803</v>
          </cell>
          <cell r="CS28">
            <v>0.13144419904126814</v>
          </cell>
          <cell r="CT28">
            <v>0.13002280151713294</v>
          </cell>
          <cell r="CU28">
            <v>0.11166513437235764</v>
          </cell>
          <cell r="CV28">
            <v>0.1454808413078916</v>
          </cell>
          <cell r="CW28">
            <v>0.12618880216245046</v>
          </cell>
          <cell r="CX28">
            <v>0.12587340773237968</v>
          </cell>
          <cell r="CY28">
            <v>0.10620289453347904</v>
          </cell>
          <cell r="CZ28">
            <v>0.13919907581088506</v>
          </cell>
          <cell r="DA28">
            <v>0.12082457179110119</v>
          </cell>
          <cell r="DB28">
            <v>0.12101165654441172</v>
          </cell>
          <cell r="DC28"/>
          <cell r="DD28"/>
          <cell r="DE28">
            <v>0</v>
          </cell>
          <cell r="DF28">
            <v>0</v>
          </cell>
          <cell r="DG28">
            <v>0</v>
          </cell>
          <cell r="DH28">
            <v>0</v>
          </cell>
          <cell r="DI28">
            <v>0</v>
          </cell>
          <cell r="DJ28">
            <v>0</v>
          </cell>
          <cell r="DK28">
            <v>2.8101614436994E-2</v>
          </cell>
          <cell r="DL28">
            <v>7.682969940887846E-2</v>
          </cell>
          <cell r="DM28">
            <v>8.5546277732836559E-2</v>
          </cell>
          <cell r="DN28">
            <v>9.5988761236910927E-2</v>
          </cell>
          <cell r="DO28">
            <v>9.6028489802559139E-2</v>
          </cell>
        </row>
        <row r="29">
          <cell r="A29" t="str">
            <v>% growth in revenue y-o-y</v>
          </cell>
          <cell r="B29"/>
          <cell r="C29"/>
          <cell r="D29"/>
          <cell r="E29"/>
          <cell r="F29"/>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v>-0.13482210971634656</v>
          </cell>
          <cell r="BT29">
            <v>-0.16082302416511762</v>
          </cell>
          <cell r="BU29">
            <v>0.21970920840064601</v>
          </cell>
          <cell r="BV29">
            <v>0.10000000000000009</v>
          </cell>
          <cell r="BW29">
            <v>0.25</v>
          </cell>
          <cell r="BX29">
            <v>0.15999999999999992</v>
          </cell>
          <cell r="BY29">
            <v>-2.0000000000000018E-2</v>
          </cell>
          <cell r="BZ29">
            <v>-0.19999999999999996</v>
          </cell>
          <cell r="CA29">
            <v>-8.9999999999999969E-2</v>
          </cell>
          <cell r="CB29">
            <v>-5.0000000000000155E-2</v>
          </cell>
          <cell r="CC29">
            <v>-0.15500000000000003</v>
          </cell>
          <cell r="CD29">
            <v>7.0000000000000062E-2</v>
          </cell>
          <cell r="CE29">
            <v>0.16839974518997081</v>
          </cell>
          <cell r="CF29">
            <v>0.10587598750671101</v>
          </cell>
          <cell r="CG29">
            <v>0.1280960687381163</v>
          </cell>
          <cell r="CH29">
            <v>-4.8466481749107504E-2</v>
          </cell>
          <cell r="CI29">
            <v>-0.27992010964868241</v>
          </cell>
          <cell r="CJ29">
            <v>0</v>
          </cell>
          <cell r="CK29">
            <v>0</v>
          </cell>
          <cell r="CL29">
            <v>0</v>
          </cell>
          <cell r="CM29">
            <v>4.5352392926493845E-2</v>
          </cell>
          <cell r="CN29">
            <v>4.6768260267403772E-2</v>
          </cell>
          <cell r="CO29">
            <v>4.5902711453869038E-2</v>
          </cell>
          <cell r="CP29">
            <v>4.6560390239769767E-2</v>
          </cell>
          <cell r="CQ29">
            <v>4.0998625540574318E-2</v>
          </cell>
          <cell r="CR29">
            <v>4.2221385219882723E-2</v>
          </cell>
          <cell r="CS29">
            <v>4.147428039803791E-2</v>
          </cell>
          <cell r="CT29">
            <v>4.2042073431139526E-2</v>
          </cell>
          <cell r="CU29">
            <v>3.7040593882520456E-2</v>
          </cell>
          <cell r="CV29">
            <v>3.8100554606181003E-2</v>
          </cell>
          <cell r="CW29">
            <v>3.7453215550792951E-2</v>
          </cell>
          <cell r="CX29">
            <v>3.7945272144138231E-2</v>
          </cell>
          <cell r="CY29">
            <v>3.3447739988099023E-2</v>
          </cell>
          <cell r="CZ29">
            <v>3.4369757537114243E-2</v>
          </cell>
          <cell r="DA29">
            <v>3.380688707386148E-2</v>
          </cell>
          <cell r="DB29">
            <v>3.4234801249177771E-2</v>
          </cell>
          <cell r="DC29"/>
          <cell r="DD29" t="str">
            <v>NA</v>
          </cell>
          <cell r="DE29" t="str">
            <v>NA</v>
          </cell>
          <cell r="DF29" t="str">
            <v>NA</v>
          </cell>
          <cell r="DG29" t="str">
            <v>NA</v>
          </cell>
          <cell r="DH29" t="str">
            <v>NA</v>
          </cell>
          <cell r="DI29" t="str">
            <v>NA</v>
          </cell>
          <cell r="DJ29" t="str">
            <v>NA</v>
          </cell>
          <cell r="DK29" t="str">
            <v>NA</v>
          </cell>
          <cell r="DL29">
            <v>2.4127307644777569</v>
          </cell>
          <cell r="DM29">
            <v>0.36633727351135548</v>
          </cell>
          <cell r="DN29">
            <v>0.27636872442670835</v>
          </cell>
          <cell r="DO29">
            <v>1.9832615534402853E-2</v>
          </cell>
        </row>
        <row r="30">
          <cell r="A30" t="str">
            <v>% growth in revenue seq</v>
          </cell>
          <cell r="B30"/>
          <cell r="C30"/>
          <cell r="D30"/>
          <cell r="E30"/>
          <cell r="F30"/>
          <cell r="G30"/>
          <cell r="H30"/>
          <cell r="I30"/>
          <cell r="J30"/>
          <cell r="K30"/>
          <cell r="L30"/>
          <cell r="M30"/>
          <cell r="N30"/>
          <cell r="O30"/>
          <cell r="P30"/>
          <cell r="Q30"/>
          <cell r="R30"/>
          <cell r="S30"/>
          <cell r="T30"/>
          <cell r="U30"/>
          <cell r="V30"/>
          <cell r="W30"/>
          <cell r="X30"/>
          <cell r="Y30"/>
          <cell r="Z30"/>
          <cell r="AA30"/>
          <cell r="AB30"/>
          <cell r="AC30"/>
          <cell r="AD30"/>
          <cell r="AE30"/>
          <cell r="AF30"/>
          <cell r="AG30"/>
          <cell r="AH30"/>
          <cell r="AI30"/>
          <cell r="AJ30"/>
          <cell r="AK30"/>
          <cell r="AL30"/>
          <cell r="AM30"/>
          <cell r="AN30"/>
          <cell r="AO30"/>
          <cell r="AP30"/>
          <cell r="AQ30"/>
          <cell r="AR30"/>
          <cell r="AS30"/>
          <cell r="AT30"/>
          <cell r="AU30"/>
          <cell r="AV30"/>
          <cell r="AW30"/>
          <cell r="AX30"/>
          <cell r="AY30"/>
          <cell r="AZ30"/>
          <cell r="BA30"/>
          <cell r="BB30"/>
          <cell r="BC30"/>
          <cell r="BD30"/>
          <cell r="BE30"/>
          <cell r="BF30"/>
          <cell r="BG30"/>
          <cell r="BH30"/>
          <cell r="BI30"/>
          <cell r="BJ30"/>
          <cell r="BK30"/>
          <cell r="BL30"/>
          <cell r="BM30"/>
          <cell r="BN30"/>
          <cell r="BO30"/>
          <cell r="BP30"/>
          <cell r="BQ30"/>
          <cell r="BR30"/>
          <cell r="BS30">
            <v>-0.26388151295214524</v>
          </cell>
          <cell r="BT30">
            <v>8.9822722367812524E-2</v>
          </cell>
          <cell r="BU30">
            <v>0.1245417048579287</v>
          </cell>
          <cell r="BV30">
            <v>0.21930831493745462</v>
          </cell>
          <cell r="BW30">
            <v>-0.16350171926380153</v>
          </cell>
          <cell r="BX30">
            <v>1.1355486357329969E-2</v>
          </cell>
          <cell r="BY30">
            <v>-4.9956145895887816E-2</v>
          </cell>
          <cell r="BZ30">
            <v>-4.64627352044511E-3</v>
          </cell>
          <cell r="CA30">
            <v>-4.8483205662574247E-2</v>
          </cell>
          <cell r="CB30">
            <v>5.5810672570838715E-2</v>
          </cell>
          <cell r="CC30">
            <v>-0.15496099292844745</v>
          </cell>
          <cell r="CD30">
            <v>0.26038874240606358</v>
          </cell>
          <cell r="CE30">
            <v>3.9020542100772104E-2</v>
          </cell>
          <cell r="CF30">
            <v>-6.8818488182664783E-4</v>
          </cell>
          <cell r="CG30">
            <v>-0.13798184192692331</v>
          </cell>
          <cell r="CH30">
            <v>6.3120568948523914E-2</v>
          </cell>
          <cell r="CI30">
            <v>-0.21371366990414609</v>
          </cell>
          <cell r="CJ30">
            <v>0.38777909022097856</v>
          </cell>
          <cell r="CK30">
            <v>-0.13798184192692331</v>
          </cell>
          <cell r="CL30">
            <v>6.3120568948523914E-2</v>
          </cell>
          <cell r="CM30">
            <v>-0.17805370330890802</v>
          </cell>
          <cell r="CN30">
            <v>0.38965875405829986</v>
          </cell>
          <cell r="CO30">
            <v>-0.13869462509229658</v>
          </cell>
          <cell r="CP30">
            <v>6.3789074572799587E-2</v>
          </cell>
          <cell r="CQ30">
            <v>-0.18242179514594337</v>
          </cell>
          <cell r="CR30">
            <v>0.3912910508267784</v>
          </cell>
          <cell r="CS30">
            <v>-0.13931204228196459</v>
          </cell>
          <cell r="CT30">
            <v>6.4369033230061046E-2</v>
          </cell>
          <cell r="CU30">
            <v>-0.18634591757365881</v>
          </cell>
          <cell r="CV30">
            <v>0.39271309146603217</v>
          </cell>
          <cell r="CW30">
            <v>-0.13984875033694133</v>
          </cell>
          <cell r="CX30">
            <v>6.4873855802012326E-2</v>
          </cell>
          <cell r="CY30">
            <v>-0.18987157109106023</v>
          </cell>
          <cell r="CZ30">
            <v>0.3939556370359607</v>
          </cell>
          <cell r="DA30">
            <v>-0.14031681674050478</v>
          </cell>
          <cell r="DB30">
            <v>6.5314629241925326E-2</v>
          </cell>
          <cell r="DC30"/>
          <cell r="DD30"/>
          <cell r="DE30"/>
          <cell r="DF30"/>
          <cell r="DG30"/>
          <cell r="DH30"/>
          <cell r="DI30"/>
          <cell r="DJ30"/>
          <cell r="DK30"/>
          <cell r="DL30"/>
          <cell r="DM30"/>
          <cell r="DN30"/>
          <cell r="DO30"/>
        </row>
        <row r="31">
          <cell r="A31"/>
          <cell r="B31"/>
          <cell r="C31"/>
          <cell r="D31"/>
          <cell r="E31"/>
          <cell r="F31"/>
          <cell r="G31"/>
          <cell r="H31"/>
          <cell r="I31"/>
          <cell r="J31"/>
          <cell r="K31"/>
          <cell r="L31"/>
          <cell r="M31"/>
          <cell r="N31"/>
          <cell r="O31"/>
          <cell r="P31"/>
          <cell r="Q31"/>
          <cell r="R31"/>
          <cell r="S31"/>
          <cell r="T31"/>
          <cell r="U31"/>
          <cell r="V31"/>
          <cell r="W31"/>
          <cell r="X31"/>
          <cell r="Y31"/>
          <cell r="Z31"/>
          <cell r="AA31"/>
          <cell r="AB31"/>
          <cell r="AC31"/>
          <cell r="AD31"/>
          <cell r="AE31"/>
          <cell r="AF31"/>
          <cell r="AG31"/>
          <cell r="AH31"/>
          <cell r="AI31"/>
          <cell r="AJ31"/>
          <cell r="AK31"/>
          <cell r="AL31"/>
          <cell r="AM31"/>
          <cell r="AN31"/>
          <cell r="AO31"/>
          <cell r="AP31"/>
          <cell r="AQ31"/>
          <cell r="AR31"/>
          <cell r="AS31"/>
          <cell r="AT31"/>
          <cell r="AU31"/>
          <cell r="AV31"/>
          <cell r="AW31"/>
          <cell r="AX31"/>
          <cell r="AY31"/>
          <cell r="AZ31"/>
          <cell r="BA31"/>
          <cell r="BB31"/>
          <cell r="BC31"/>
          <cell r="BD31"/>
          <cell r="BE31"/>
          <cell r="BF31"/>
          <cell r="BG31"/>
          <cell r="BH31"/>
          <cell r="BI31"/>
          <cell r="BJ31"/>
          <cell r="BK31"/>
          <cell r="BL31"/>
          <cell r="BM31"/>
          <cell r="BN31"/>
          <cell r="BO31"/>
          <cell r="BP31"/>
          <cell r="BQ31"/>
          <cell r="BR31"/>
          <cell r="BS31"/>
          <cell r="BT31"/>
          <cell r="BU31"/>
          <cell r="BV31"/>
          <cell r="BW31"/>
          <cell r="BX31"/>
          <cell r="BY31"/>
          <cell r="BZ31"/>
          <cell r="CA31"/>
          <cell r="CB31"/>
          <cell r="CC31"/>
          <cell r="CD31"/>
          <cell r="CE31"/>
          <cell r="CF31"/>
          <cell r="CG31"/>
          <cell r="CH31"/>
          <cell r="CI31"/>
          <cell r="CJ31"/>
          <cell r="CK31"/>
          <cell r="CL31"/>
          <cell r="CM31"/>
          <cell r="CN31"/>
          <cell r="CO31"/>
          <cell r="CP31"/>
          <cell r="CQ31"/>
          <cell r="CR31"/>
          <cell r="CS31"/>
          <cell r="CT31"/>
          <cell r="CU31"/>
          <cell r="CV31"/>
          <cell r="CW31"/>
          <cell r="CX31"/>
          <cell r="CY31"/>
          <cell r="CZ31"/>
          <cell r="DA31"/>
          <cell r="DB31"/>
          <cell r="DC31"/>
          <cell r="DD31"/>
          <cell r="DE31"/>
          <cell r="DF31"/>
          <cell r="DG31"/>
          <cell r="DH31"/>
          <cell r="DI31"/>
          <cell r="DJ31"/>
          <cell r="DK31"/>
          <cell r="DL31"/>
          <cell r="DM31"/>
          <cell r="DN31"/>
          <cell r="DO31"/>
        </row>
        <row r="32">
          <cell r="A32" t="str">
            <v>Data</v>
          </cell>
          <cell r="B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1.800312090983045</v>
          </cell>
          <cell r="BX32">
            <v>2.4194275902779054</v>
          </cell>
          <cell r="BY32">
            <v>1.4041065477512049</v>
          </cell>
          <cell r="BZ32">
            <v>2.1147958015393442</v>
          </cell>
          <cell r="CA32">
            <v>2.1936439789966045</v>
          </cell>
          <cell r="CB32">
            <v>1.781683548822464</v>
          </cell>
          <cell r="CC32">
            <v>-1.8805630629035903</v>
          </cell>
          <cell r="CD32">
            <v>1.6345064790213115</v>
          </cell>
          <cell r="CE32">
            <v>0.92500000000000004</v>
          </cell>
          <cell r="CF32">
            <v>0.92500000000000004</v>
          </cell>
          <cell r="CG32">
            <v>0.92500000000000004</v>
          </cell>
          <cell r="CH32">
            <v>0.92500000000000004</v>
          </cell>
          <cell r="CI32">
            <v>0.54355225020992526</v>
          </cell>
          <cell r="CJ32">
            <v>0.56262463769942894</v>
          </cell>
          <cell r="CK32">
            <v>0.5807434058144576</v>
          </cell>
          <cell r="CL32">
            <v>0.59795623552373467</v>
          </cell>
          <cell r="CM32">
            <v>0.36098240654150487</v>
          </cell>
          <cell r="CN32">
            <v>0.38309750391668812</v>
          </cell>
          <cell r="CO32">
            <v>0.40470021019714209</v>
          </cell>
          <cell r="CP32">
            <v>0.42575829196963516</v>
          </cell>
          <cell r="CQ32">
            <v>0.26222533511360729</v>
          </cell>
          <cell r="CR32">
            <v>0.28353057896709327</v>
          </cell>
          <cell r="CS32">
            <v>0.30477782153203709</v>
          </cell>
          <cell r="CT32">
            <v>0.32589265011213681</v>
          </cell>
          <cell r="CU32">
            <v>0.20379326978093407</v>
          </cell>
          <cell r="CV32">
            <v>0.22351001138350607</v>
          </cell>
          <cell r="CW32">
            <v>0.24348534646007339</v>
          </cell>
          <cell r="CX32">
            <v>0.26363080743247541</v>
          </cell>
          <cell r="CY32">
            <v>0.1668052699809604</v>
          </cell>
          <cell r="CZ32">
            <v>0.18497179639745487</v>
          </cell>
          <cell r="DA32">
            <v>0.20360204977344573</v>
          </cell>
          <cell r="DB32">
            <v>0.22260680919866657</v>
          </cell>
          <cell r="DC32"/>
          <cell r="DD32"/>
          <cell r="DE32">
            <v>0</v>
          </cell>
          <cell r="DF32">
            <v>0</v>
          </cell>
          <cell r="DG32">
            <v>0</v>
          </cell>
          <cell r="DH32">
            <v>0</v>
          </cell>
          <cell r="DI32">
            <v>0</v>
          </cell>
          <cell r="DJ32">
            <v>0</v>
          </cell>
          <cell r="DK32">
            <v>0</v>
          </cell>
          <cell r="DL32">
            <v>0</v>
          </cell>
          <cell r="DM32">
            <v>0</v>
          </cell>
          <cell r="DN32">
            <v>0</v>
          </cell>
          <cell r="DO32">
            <v>0</v>
          </cell>
        </row>
        <row r="33">
          <cell r="A33" t="str">
            <v>% of revenue</v>
          </cell>
          <cell r="B33"/>
          <cell r="C33"/>
          <cell r="D33"/>
          <cell r="E33"/>
          <cell r="F33"/>
          <cell r="G33"/>
          <cell r="H33"/>
          <cell r="I33"/>
          <cell r="J33"/>
          <cell r="K33"/>
          <cell r="L33"/>
          <cell r="M33"/>
          <cell r="N33"/>
          <cell r="O33"/>
          <cell r="P33"/>
          <cell r="Q33"/>
          <cell r="R33"/>
          <cell r="S33"/>
          <cell r="T33"/>
          <cell r="U33"/>
          <cell r="V33"/>
          <cell r="W33"/>
          <cell r="X33"/>
          <cell r="Y33"/>
          <cell r="Z33"/>
          <cell r="AA33"/>
          <cell r="AB33"/>
          <cell r="AC33"/>
          <cell r="AD33"/>
          <cell r="AE33"/>
          <cell r="AF33"/>
          <cell r="AG33"/>
          <cell r="AH33"/>
          <cell r="AI33"/>
          <cell r="AJ33"/>
          <cell r="AK33"/>
          <cell r="AL33"/>
          <cell r="AM33"/>
          <cell r="AN33"/>
          <cell r="AO33"/>
          <cell r="AP33"/>
          <cell r="AQ33"/>
          <cell r="AR33"/>
          <cell r="AS33"/>
          <cell r="AT33"/>
          <cell r="AU33"/>
          <cell r="AV33"/>
          <cell r="AW33"/>
          <cell r="AX33"/>
          <cell r="AY33"/>
          <cell r="AZ33"/>
          <cell r="BA33"/>
          <cell r="BB33"/>
          <cell r="BC33"/>
          <cell r="BD33"/>
          <cell r="BE33"/>
          <cell r="BF33"/>
          <cell r="BG33"/>
          <cell r="BH33"/>
          <cell r="BI33"/>
          <cell r="BJ33"/>
          <cell r="BK33"/>
          <cell r="BL33"/>
          <cell r="BM33"/>
          <cell r="BN33"/>
          <cell r="BO33"/>
          <cell r="BP33"/>
          <cell r="BQ33"/>
          <cell r="BR33"/>
          <cell r="BS33">
            <v>0</v>
          </cell>
          <cell r="BT33">
            <v>0</v>
          </cell>
          <cell r="BU33">
            <v>0</v>
          </cell>
          <cell r="BV33">
            <v>0</v>
          </cell>
          <cell r="BW33">
            <v>2.7328261646774308E-3</v>
          </cell>
          <cell r="BX33">
            <v>3.5897244164618983E-3</v>
          </cell>
          <cell r="BY33">
            <v>2.0996425312099316E-3</v>
          </cell>
          <cell r="BZ33">
            <v>2.8789026190869172E-3</v>
          </cell>
          <cell r="CA33">
            <v>3.31027631711468E-3</v>
          </cell>
          <cell r="CB33">
            <v>2.5701300567093663E-3</v>
          </cell>
          <cell r="CC33">
            <v>-2.7218049179051134E-3</v>
          </cell>
          <cell r="CD33">
            <v>2.1012942983367269E-3</v>
          </cell>
          <cell r="CE33">
            <v>1.3267507372431125E-3</v>
          </cell>
          <cell r="CF33">
            <v>1.2460177944811515E-3</v>
          </cell>
          <cell r="CG33">
            <v>1.2628400111402969E-3</v>
          </cell>
          <cell r="CH33">
            <v>1.1535535685335528E-3</v>
          </cell>
          <cell r="CI33">
            <v>7.6532607819853368E-4</v>
          </cell>
          <cell r="CJ33">
            <v>7.2880082327652751E-4</v>
          </cell>
          <cell r="CK33">
            <v>7.6129996289084573E-4</v>
          </cell>
          <cell r="CL33">
            <v>6.9861068965209781E-4</v>
          </cell>
          <cell r="CM33">
            <v>4.7193278961045362E-4</v>
          </cell>
          <cell r="CN33">
            <v>4.6323071539554659E-4</v>
          </cell>
          <cell r="CO33">
            <v>4.9414452279310792E-4</v>
          </cell>
          <cell r="CP33">
            <v>4.7332041654970348E-4</v>
          </cell>
          <cell r="CQ33">
            <v>3.1838490731649999E-4</v>
          </cell>
          <cell r="CR33">
            <v>3.2062204913789331E-4</v>
          </cell>
          <cell r="CS33">
            <v>3.4763049398039525E-4</v>
          </cell>
          <cell r="CT33">
            <v>3.4545774605354329E-4</v>
          </cell>
          <cell r="CU33">
            <v>2.2801765370494075E-4</v>
          </cell>
          <cell r="CV33">
            <v>2.3393875201374616E-4</v>
          </cell>
          <cell r="CW33">
            <v>2.5699117311719401E-4</v>
          </cell>
          <cell r="CX33">
            <v>2.6064928900702231E-4</v>
          </cell>
          <cell r="CY33">
            <v>1.7175866001094492E-4</v>
          </cell>
          <cell r="CZ33">
            <v>1.790875668646477E-4</v>
          </cell>
          <cell r="DA33">
            <v>1.9903183594796109E-4</v>
          </cell>
          <cell r="DB33">
            <v>2.0458458066515163E-4</v>
          </cell>
          <cell r="DC33"/>
          <cell r="DD33"/>
          <cell r="DE33">
            <v>0</v>
          </cell>
          <cell r="DF33">
            <v>0</v>
          </cell>
          <cell r="DG33">
            <v>0</v>
          </cell>
          <cell r="DH33">
            <v>0</v>
          </cell>
          <cell r="DI33">
            <v>0</v>
          </cell>
          <cell r="DJ33">
            <v>0</v>
          </cell>
          <cell r="DK33">
            <v>0</v>
          </cell>
          <cell r="DL33">
            <v>0</v>
          </cell>
          <cell r="DM33">
            <v>0</v>
          </cell>
          <cell r="DN33">
            <v>0</v>
          </cell>
          <cell r="DO33">
            <v>0</v>
          </cell>
        </row>
        <row r="34">
          <cell r="A34" t="str">
            <v>% growth in revenue y-o-y</v>
          </cell>
          <cell r="B34"/>
          <cell r="C34"/>
          <cell r="D34"/>
          <cell r="E34"/>
          <cell r="F34"/>
          <cell r="G34"/>
          <cell r="H34"/>
          <cell r="I34"/>
          <cell r="J34"/>
          <cell r="K34"/>
          <cell r="L34"/>
          <cell r="M34"/>
          <cell r="N34"/>
          <cell r="O34"/>
          <cell r="P34"/>
          <cell r="Q34"/>
          <cell r="R34"/>
          <cell r="S34"/>
          <cell r="T34"/>
          <cell r="U34"/>
          <cell r="V34"/>
          <cell r="W34"/>
          <cell r="X34"/>
          <cell r="Y34"/>
          <cell r="Z34"/>
          <cell r="AA34"/>
          <cell r="AB34"/>
          <cell r="AC34"/>
          <cell r="AD34"/>
          <cell r="AE34"/>
          <cell r="AF34"/>
          <cell r="AG34"/>
          <cell r="AH34"/>
          <cell r="AI34"/>
          <cell r="AJ34"/>
          <cell r="AK34"/>
          <cell r="AL34"/>
          <cell r="AM34"/>
          <cell r="AN34"/>
          <cell r="AO34"/>
          <cell r="AP34"/>
          <cell r="AQ34"/>
          <cell r="AR34"/>
          <cell r="AS34"/>
          <cell r="AT34"/>
          <cell r="AU34"/>
          <cell r="AV34"/>
          <cell r="AW34"/>
          <cell r="AX34"/>
          <cell r="AY34"/>
          <cell r="AZ34"/>
          <cell r="BA34"/>
          <cell r="BB34"/>
          <cell r="BC34"/>
          <cell r="BD34"/>
          <cell r="BE34"/>
          <cell r="BF34"/>
          <cell r="BG34"/>
          <cell r="BH34"/>
          <cell r="BI34"/>
          <cell r="BJ34"/>
          <cell r="BK34"/>
          <cell r="BL34"/>
          <cell r="BM34"/>
          <cell r="BN34"/>
          <cell r="BO34"/>
          <cell r="BP34"/>
          <cell r="BQ34"/>
          <cell r="BR34"/>
          <cell r="BS34" t="str">
            <v>NA</v>
          </cell>
          <cell r="BT34" t="str">
            <v>NA</v>
          </cell>
          <cell r="BU34" t="str">
            <v>NA</v>
          </cell>
          <cell r="BV34" t="str">
            <v>NA</v>
          </cell>
          <cell r="BW34" t="str">
            <v>NA</v>
          </cell>
          <cell r="BX34" t="str">
            <v>NA</v>
          </cell>
          <cell r="BY34" t="str">
            <v>NA</v>
          </cell>
          <cell r="BZ34" t="str">
            <v>NA</v>
          </cell>
          <cell r="CA34">
            <v>0.21847983468176557</v>
          </cell>
          <cell r="CB34">
            <v>-0.26359294405756006</v>
          </cell>
          <cell r="CC34">
            <v>-2.3393307409010169</v>
          </cell>
          <cell r="CD34">
            <v>-0.22710907699383254</v>
          </cell>
          <cell r="CE34">
            <v>-0.57832719946510891</v>
          </cell>
          <cell r="CF34">
            <v>-0.48082811865701758</v>
          </cell>
          <cell r="CG34">
            <v>-1.4918739595851678</v>
          </cell>
          <cell r="CH34">
            <v>-0.43407994286210505</v>
          </cell>
          <cell r="CI34">
            <v>-0.41237594571899971</v>
          </cell>
          <cell r="CJ34">
            <v>-0.39175714843304987</v>
          </cell>
          <cell r="CK34">
            <v>-0.37216929101139717</v>
          </cell>
          <cell r="CL34">
            <v>-0.35356082646082743</v>
          </cell>
          <cell r="CM34">
            <v>-0.33588278513778591</v>
          </cell>
          <cell r="CN34">
            <v>-0.31908864588089658</v>
          </cell>
          <cell r="CO34">
            <v>-0.30313421358685178</v>
          </cell>
          <cell r="CP34">
            <v>-0.28797750290750912</v>
          </cell>
          <cell r="CQ34">
            <v>-0.27357862776213371</v>
          </cell>
          <cell r="CR34">
            <v>-0.25989969637402699</v>
          </cell>
          <cell r="CS34">
            <v>-0.24690471155532556</v>
          </cell>
          <cell r="CT34">
            <v>-0.23455947597755944</v>
          </cell>
          <cell r="CU34">
            <v>-0.22283150217868131</v>
          </cell>
          <cell r="CV34">
            <v>-0.21168992706974732</v>
          </cell>
          <cell r="CW34">
            <v>-0.20110543071625986</v>
          </cell>
          <cell r="CX34">
            <v>-0.19105015918044677</v>
          </cell>
          <cell r="CY34">
            <v>-0.18149765122142458</v>
          </cell>
          <cell r="CZ34">
            <v>-0.17242276866035333</v>
          </cell>
          <cell r="DA34">
            <v>-0.16380163022733563</v>
          </cell>
          <cell r="DB34">
            <v>-0.15561154871596883</v>
          </cell>
          <cell r="DC34"/>
          <cell r="DD34" t="str">
            <v>NA</v>
          </cell>
          <cell r="DE34" t="str">
            <v>NA</v>
          </cell>
          <cell r="DF34" t="str">
            <v>NA</v>
          </cell>
          <cell r="DG34" t="str">
            <v>NA</v>
          </cell>
          <cell r="DH34" t="str">
            <v>NA</v>
          </cell>
          <cell r="DI34" t="str">
            <v>NA</v>
          </cell>
          <cell r="DJ34" t="str">
            <v>NA</v>
          </cell>
          <cell r="DK34" t="str">
            <v>NA</v>
          </cell>
          <cell r="DL34" t="str">
            <v>NA</v>
          </cell>
          <cell r="DM34" t="str">
            <v>NA</v>
          </cell>
          <cell r="DN34" t="str">
            <v>NA</v>
          </cell>
          <cell r="DO34" t="str">
            <v>NA</v>
          </cell>
        </row>
        <row r="35">
          <cell r="A35" t="str">
            <v>% growth in revenue seq</v>
          </cell>
          <cell r="B35"/>
          <cell r="C35"/>
          <cell r="D35"/>
          <cell r="E35"/>
          <cell r="F35"/>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t="str">
            <v>NA</v>
          </cell>
          <cell r="BT35" t="str">
            <v>NA</v>
          </cell>
          <cell r="BU35" t="str">
            <v>NA</v>
          </cell>
          <cell r="BV35" t="str">
            <v>NA</v>
          </cell>
          <cell r="BW35" t="str">
            <v>NA</v>
          </cell>
          <cell r="BX35">
            <v>0.34389342958686542</v>
          </cell>
          <cell r="BY35">
            <v>-0.41965341166092784</v>
          </cell>
          <cell r="BZ35">
            <v>0.50615051608894501</v>
          </cell>
          <cell r="CA35">
            <v>3.7284061846475813E-2</v>
          </cell>
          <cell r="CB35">
            <v>-0.18779730627144675</v>
          </cell>
          <cell r="CC35">
            <v>-2.0554977982181386</v>
          </cell>
          <cell r="CD35">
            <v>-1.8691580257338631</v>
          </cell>
          <cell r="CE35">
            <v>-0.43407994286210505</v>
          </cell>
          <cell r="CF35">
            <v>0</v>
          </cell>
          <cell r="CG35">
            <v>0</v>
          </cell>
          <cell r="CH35">
            <v>0</v>
          </cell>
          <cell r="CI35">
            <v>-0.41237594571899971</v>
          </cell>
          <cell r="CJ35">
            <v>3.5088416030174985E-2</v>
          </cell>
          <cell r="CK35">
            <v>3.2204007611746688E-2</v>
          </cell>
          <cell r="CL35">
            <v>2.9639302895117847E-2</v>
          </cell>
          <cell r="CM35">
            <v>-0.39630630956573343</v>
          </cell>
          <cell r="CN35">
            <v>6.126364325359579E-2</v>
          </cell>
          <cell r="CO35">
            <v>5.6389577221447773E-2</v>
          </cell>
          <cell r="CP35">
            <v>5.2033780170845478E-2</v>
          </cell>
          <cell r="CQ35">
            <v>-0.38409811374311631</v>
          </cell>
          <cell r="CR35">
            <v>8.1247846796556278E-2</v>
          </cell>
          <cell r="CS35">
            <v>7.4938098889890004E-2</v>
          </cell>
          <cell r="CT35">
            <v>6.9279413029337489E-2</v>
          </cell>
          <cell r="CU35">
            <v>-0.37466135026116554</v>
          </cell>
          <cell r="CV35">
            <v>9.674873769760084E-2</v>
          </cell>
          <cell r="CW35">
            <v>8.9371097754959106E-2</v>
          </cell>
          <cell r="CX35">
            <v>8.2737878337600268E-2</v>
          </cell>
          <cell r="CY35">
            <v>-0.36727702044578092</v>
          </cell>
          <cell r="CZ35">
            <v>0.10890858795149594</v>
          </cell>
          <cell r="DA35">
            <v>0.10071942717126148</v>
          </cell>
          <cell r="DB35">
            <v>9.3342672366845125E-2</v>
          </cell>
          <cell r="DC35"/>
          <cell r="DD35"/>
          <cell r="DE35"/>
          <cell r="DF35"/>
          <cell r="DG35"/>
          <cell r="DH35"/>
          <cell r="DI35"/>
          <cell r="DJ35"/>
          <cell r="DK35"/>
          <cell r="DL35"/>
          <cell r="DM35"/>
          <cell r="DN35"/>
          <cell r="DO35"/>
        </row>
        <row r="36">
          <cell r="A36"/>
          <cell r="B36"/>
          <cell r="C36"/>
          <cell r="D36"/>
          <cell r="E36"/>
          <cell r="F36"/>
          <cell r="G36"/>
          <cell r="H36"/>
          <cell r="I36"/>
          <cell r="J36"/>
          <cell r="K36"/>
          <cell r="L36"/>
          <cell r="M36"/>
          <cell r="N36"/>
          <cell r="O36"/>
          <cell r="P36"/>
          <cell r="Q36"/>
          <cell r="R36"/>
          <cell r="S36"/>
          <cell r="T36"/>
          <cell r="U36"/>
          <cell r="V36"/>
          <cell r="W36"/>
          <cell r="X36"/>
          <cell r="Y36"/>
          <cell r="Z36"/>
          <cell r="AA36"/>
          <cell r="AB36"/>
          <cell r="AC36"/>
          <cell r="AD36"/>
          <cell r="AE36"/>
          <cell r="AF36"/>
          <cell r="AG36"/>
          <cell r="AH36"/>
          <cell r="AI36"/>
          <cell r="AJ36"/>
          <cell r="AK36"/>
          <cell r="AL36"/>
          <cell r="AM36"/>
          <cell r="AN36"/>
          <cell r="AO36"/>
          <cell r="AP36"/>
          <cell r="AQ36"/>
          <cell r="AR36"/>
          <cell r="AS36"/>
          <cell r="AT36"/>
          <cell r="AU36"/>
          <cell r="AV36"/>
          <cell r="AW36"/>
          <cell r="AX36"/>
          <cell r="AY36"/>
          <cell r="AZ36"/>
          <cell r="BA36"/>
          <cell r="BB36"/>
          <cell r="BC36"/>
          <cell r="BD36"/>
          <cell r="BE36"/>
          <cell r="BF36"/>
          <cell r="BG36"/>
          <cell r="BH36"/>
          <cell r="BI36"/>
          <cell r="BJ36"/>
          <cell r="BK36"/>
          <cell r="BL36"/>
          <cell r="BM36"/>
          <cell r="BN36"/>
          <cell r="BO36"/>
          <cell r="BP36"/>
          <cell r="BQ36"/>
          <cell r="BR36"/>
          <cell r="BS36"/>
          <cell r="BT36"/>
          <cell r="BU36"/>
          <cell r="BV36"/>
          <cell r="BW36"/>
          <cell r="BX36"/>
          <cell r="BY36"/>
          <cell r="BZ36"/>
          <cell r="CA36"/>
          <cell r="CB36"/>
          <cell r="CC36"/>
          <cell r="CD36"/>
          <cell r="CE36"/>
          <cell r="CF36"/>
          <cell r="CG36"/>
          <cell r="CH36"/>
          <cell r="CI36"/>
          <cell r="CJ36"/>
          <cell r="CK36"/>
          <cell r="CL36"/>
          <cell r="CM36"/>
          <cell r="CN36"/>
          <cell r="CO36"/>
          <cell r="CP36"/>
          <cell r="CQ36"/>
          <cell r="CR36"/>
          <cell r="CS36"/>
          <cell r="CT36"/>
          <cell r="CU36"/>
          <cell r="CV36"/>
          <cell r="CW36"/>
          <cell r="CX36"/>
          <cell r="CY36"/>
          <cell r="CZ36"/>
          <cell r="DA36"/>
          <cell r="DB36"/>
          <cell r="DC36"/>
          <cell r="DD36"/>
          <cell r="DE36"/>
          <cell r="DF36"/>
          <cell r="DG36"/>
          <cell r="DH36"/>
          <cell r="DI36"/>
          <cell r="DJ36"/>
          <cell r="DK36"/>
          <cell r="DL36"/>
          <cell r="DM36"/>
          <cell r="DN36"/>
          <cell r="DO36"/>
        </row>
        <row r="37">
          <cell r="A37" t="str">
            <v>Check Subscription</v>
          </cell>
          <cell r="B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365.68836926666665</v>
          </cell>
          <cell r="BT37">
            <v>369.87741865686274</v>
          </cell>
          <cell r="BU37">
            <v>369.92424547619049</v>
          </cell>
          <cell r="BV37">
            <v>385.12267212560391</v>
          </cell>
          <cell r="BW37">
            <v>383.97278772999999</v>
          </cell>
          <cell r="BX37">
            <v>377.27496703000003</v>
          </cell>
          <cell r="BY37">
            <v>388.42045775000003</v>
          </cell>
          <cell r="BZ37">
            <v>398.60196565000001</v>
          </cell>
          <cell r="CA37">
            <v>392.32641244000001</v>
          </cell>
          <cell r="CB37">
            <v>396.57761799999997</v>
          </cell>
          <cell r="CC37">
            <v>408.8</v>
          </cell>
          <cell r="CD37">
            <v>413</v>
          </cell>
          <cell r="CE37">
            <v>401.9919999999999</v>
          </cell>
          <cell r="CF37">
            <v>405.61100000000005</v>
          </cell>
          <cell r="CG37">
            <v>421.685</v>
          </cell>
          <cell r="CH37">
            <v>422.43880369999994</v>
          </cell>
          <cell r="CI37">
            <v>414.49028763353664</v>
          </cell>
          <cell r="CJ37">
            <v>415.95732981051873</v>
          </cell>
          <cell r="CK37">
            <v>423.03032282303968</v>
          </cell>
          <cell r="CL37">
            <v>418.57683784986045</v>
          </cell>
          <cell r="CM37">
            <v>415.44825070928789</v>
          </cell>
          <cell r="CN37">
            <v>414.99424744406946</v>
          </cell>
          <cell r="CO37">
            <v>419.06514565379854</v>
          </cell>
          <cell r="CP37">
            <v>411.71096900625918</v>
          </cell>
          <cell r="CQ37">
            <v>405.42927857261049</v>
          </cell>
          <cell r="CR37">
            <v>401.91567494861073</v>
          </cell>
          <cell r="CS37">
            <v>402.04560601010093</v>
          </cell>
          <cell r="CT37">
            <v>392.04285140179138</v>
          </cell>
          <cell r="CU37">
            <v>384.15023534695723</v>
          </cell>
          <cell r="CV37">
            <v>380.39131814325805</v>
          </cell>
          <cell r="CW37">
            <v>379.82524889870552</v>
          </cell>
          <cell r="CX37">
            <v>370.05506198667172</v>
          </cell>
          <cell r="CY37">
            <v>362.72272800199113</v>
          </cell>
          <cell r="CZ37">
            <v>358.47602313371397</v>
          </cell>
          <cell r="DA37">
            <v>358.1827805843422</v>
          </cell>
          <cell r="DB37">
            <v>348.35934192904665</v>
          </cell>
          <cell r="DC37"/>
          <cell r="DD37">
            <v>0</v>
          </cell>
          <cell r="DE37">
            <v>0</v>
          </cell>
          <cell r="DF37">
            <v>0</v>
          </cell>
          <cell r="DG37">
            <v>0</v>
          </cell>
          <cell r="DH37">
            <v>0</v>
          </cell>
          <cell r="DI37">
            <v>0</v>
          </cell>
          <cell r="DJ37">
            <v>0</v>
          </cell>
          <cell r="DK37">
            <v>0</v>
          </cell>
          <cell r="DL37">
            <v>0</v>
          </cell>
          <cell r="DM37">
            <v>0</v>
          </cell>
          <cell r="DN37">
            <v>0</v>
          </cell>
          <cell r="DO37">
            <v>0</v>
          </cell>
        </row>
        <row r="38">
          <cell r="A38" t="str">
            <v>$ Delta</v>
          </cell>
          <cell r="B38"/>
          <cell r="C38"/>
          <cell r="D38"/>
          <cell r="E38"/>
          <cell r="F38"/>
          <cell r="G38"/>
          <cell r="H38"/>
          <cell r="I38"/>
          <cell r="J38"/>
          <cell r="K38"/>
          <cell r="L38"/>
          <cell r="M38"/>
          <cell r="N38"/>
          <cell r="O38"/>
          <cell r="P38"/>
          <cell r="Q38"/>
          <cell r="R38"/>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cell r="DD38">
            <v>0</v>
          </cell>
          <cell r="DE38">
            <v>0</v>
          </cell>
          <cell r="DF38">
            <v>0</v>
          </cell>
          <cell r="DG38">
            <v>0</v>
          </cell>
          <cell r="DH38">
            <v>0</v>
          </cell>
          <cell r="DI38">
            <v>0</v>
          </cell>
          <cell r="DJ38">
            <v>0</v>
          </cell>
          <cell r="DK38">
            <v>0</v>
          </cell>
          <cell r="DL38">
            <v>0</v>
          </cell>
          <cell r="DM38">
            <v>0</v>
          </cell>
          <cell r="DN38">
            <v>0</v>
          </cell>
          <cell r="DO38">
            <v>0</v>
          </cell>
        </row>
        <row r="39">
          <cell r="A39" t="str">
            <v>% Delta</v>
          </cell>
          <cell r="B39"/>
          <cell r="C39"/>
          <cell r="D39"/>
          <cell r="E39"/>
          <cell r="F39"/>
          <cell r="G39"/>
          <cell r="H39"/>
          <cell r="I39"/>
          <cell r="J39"/>
          <cell r="K39"/>
          <cell r="L39"/>
          <cell r="M39"/>
          <cell r="N39"/>
          <cell r="O39"/>
          <cell r="P39"/>
          <cell r="Q39"/>
          <cell r="R39"/>
          <cell r="S39" t="e">
            <v>#DIV/0!</v>
          </cell>
          <cell r="T39" t="e">
            <v>#DIV/0!</v>
          </cell>
          <cell r="U39" t="e">
            <v>#DIV/0!</v>
          </cell>
          <cell r="V39" t="e">
            <v>#DIV/0!</v>
          </cell>
          <cell r="W39" t="e">
            <v>#DIV/0!</v>
          </cell>
          <cell r="X39" t="e">
            <v>#DIV/0!</v>
          </cell>
          <cell r="Y39" t="e">
            <v>#DIV/0!</v>
          </cell>
          <cell r="Z39" t="e">
            <v>#DIV/0!</v>
          </cell>
          <cell r="AA39" t="e">
            <v>#DIV/0!</v>
          </cell>
          <cell r="AB39" t="e">
            <v>#DIV/0!</v>
          </cell>
          <cell r="AC39" t="e">
            <v>#DIV/0!</v>
          </cell>
          <cell r="AD39" t="e">
            <v>#DIV/0!</v>
          </cell>
          <cell r="AE39" t="e">
            <v>#DIV/0!</v>
          </cell>
          <cell r="AF39" t="e">
            <v>#DIV/0!</v>
          </cell>
          <cell r="AG39" t="e">
            <v>#DIV/0!</v>
          </cell>
          <cell r="AH39" t="e">
            <v>#DIV/0!</v>
          </cell>
          <cell r="AI39" t="e">
            <v>#DIV/0!</v>
          </cell>
          <cell r="AJ39" t="e">
            <v>#DIV/0!</v>
          </cell>
          <cell r="AK39" t="e">
            <v>#DIV/0!</v>
          </cell>
          <cell r="AL39" t="e">
            <v>#DIV/0!</v>
          </cell>
          <cell r="AM39" t="e">
            <v>#DIV/0!</v>
          </cell>
          <cell r="AN39" t="e">
            <v>#DIV/0!</v>
          </cell>
          <cell r="AO39" t="e">
            <v>#DIV/0!</v>
          </cell>
          <cell r="AP39" t="e">
            <v>#DIV/0!</v>
          </cell>
          <cell r="AQ39" t="e">
            <v>#DIV/0!</v>
          </cell>
          <cell r="AR39" t="e">
            <v>#DIV/0!</v>
          </cell>
          <cell r="AS39" t="e">
            <v>#DIV/0!</v>
          </cell>
          <cell r="AT39" t="e">
            <v>#DIV/0!</v>
          </cell>
          <cell r="AU39" t="e">
            <v>#DIV/0!</v>
          </cell>
          <cell r="AV39" t="e">
            <v>#DIV/0!</v>
          </cell>
          <cell r="AW39" t="e">
            <v>#DIV/0!</v>
          </cell>
          <cell r="AX39" t="e">
            <v>#DIV/0!</v>
          </cell>
          <cell r="AY39" t="e">
            <v>#DIV/0!</v>
          </cell>
          <cell r="AZ39" t="e">
            <v>#DIV/0!</v>
          </cell>
          <cell r="BA39" t="e">
            <v>#DIV/0!</v>
          </cell>
          <cell r="BB39" t="e">
            <v>#DIV/0!</v>
          </cell>
          <cell r="BC39" t="e">
            <v>#DIV/0!</v>
          </cell>
          <cell r="BD39" t="e">
            <v>#DIV/0!</v>
          </cell>
          <cell r="BE39" t="e">
            <v>#DIV/0!</v>
          </cell>
          <cell r="BF39" t="e">
            <v>#DIV/0!</v>
          </cell>
          <cell r="BG39" t="e">
            <v>#DIV/0!</v>
          </cell>
          <cell r="BH39" t="e">
            <v>#DIV/0!</v>
          </cell>
          <cell r="BI39" t="e">
            <v>#DIV/0!</v>
          </cell>
          <cell r="BJ39" t="e">
            <v>#DIV/0!</v>
          </cell>
          <cell r="BK39" t="e">
            <v>#DIV/0!</v>
          </cell>
          <cell r="BL39" t="e">
            <v>#DIV/0!</v>
          </cell>
          <cell r="BM39" t="e">
            <v>#DIV/0!</v>
          </cell>
          <cell r="BN39" t="e">
            <v>#DIV/0!</v>
          </cell>
          <cell r="BO39" t="e">
            <v>#DIV/0!</v>
          </cell>
          <cell r="BP39" t="e">
            <v>#DIV/0!</v>
          </cell>
          <cell r="BQ39" t="e">
            <v>#DIV/0!</v>
          </cell>
          <cell r="BR39" t="e">
            <v>#DIV/0!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cell r="DD39" t="e">
            <v>#DIV/0!</v>
          </cell>
          <cell r="DE39" t="e">
            <v>#DIV/0!</v>
          </cell>
          <cell r="DF39" t="e">
            <v>#DIV/0!</v>
          </cell>
          <cell r="DG39" t="e">
            <v>#DIV/0!</v>
          </cell>
          <cell r="DH39" t="e">
            <v>#DIV/0!</v>
          </cell>
          <cell r="DI39" t="e">
            <v>#DIV/0!</v>
          </cell>
          <cell r="DJ39" t="e">
            <v>#DIV/0!</v>
          </cell>
          <cell r="DK39" t="e">
            <v>#DIV/0!</v>
          </cell>
          <cell r="DL39" t="e">
            <v>#DIV/0!</v>
          </cell>
          <cell r="DM39" t="e">
            <v>#DIV/0!</v>
          </cell>
          <cell r="DN39" t="e">
            <v>#DIV/0!</v>
          </cell>
          <cell r="DO39" t="e">
            <v>#DIV/0!</v>
          </cell>
        </row>
        <row r="40">
          <cell r="A40" t="str">
            <v>License Updates &amp; Maintenance</v>
          </cell>
          <cell r="B40"/>
          <cell r="C40"/>
          <cell r="D40"/>
          <cell r="E40"/>
          <cell r="F40"/>
          <cell r="G40"/>
          <cell r="H40"/>
          <cell r="I40"/>
          <cell r="J40"/>
          <cell r="K40"/>
          <cell r="L40"/>
          <cell r="M40"/>
          <cell r="N40"/>
          <cell r="O40"/>
          <cell r="P40"/>
          <cell r="Q40"/>
          <cell r="R40"/>
          <cell r="S40"/>
          <cell r="T40"/>
          <cell r="U40"/>
          <cell r="V40"/>
          <cell r="W40"/>
          <cell r="X40"/>
          <cell r="Y40"/>
          <cell r="Z40"/>
          <cell r="AA40"/>
          <cell r="AB40"/>
          <cell r="AC40"/>
          <cell r="AD40"/>
          <cell r="AE40"/>
          <cell r="AF40"/>
          <cell r="AG40"/>
          <cell r="AH40"/>
          <cell r="AI40"/>
          <cell r="AJ40"/>
          <cell r="AK40"/>
          <cell r="AL40"/>
          <cell r="AM40"/>
          <cell r="AN40"/>
          <cell r="AO40"/>
          <cell r="AP40"/>
          <cell r="AQ40"/>
          <cell r="AR40"/>
          <cell r="AS40"/>
          <cell r="AT40"/>
          <cell r="AU40"/>
          <cell r="AV40"/>
          <cell r="AW40"/>
          <cell r="AX40"/>
          <cell r="AY40"/>
          <cell r="AZ40"/>
          <cell r="BA40"/>
          <cell r="BB40"/>
          <cell r="BC40"/>
          <cell r="BD40"/>
          <cell r="BE40"/>
          <cell r="BF40"/>
          <cell r="BG40"/>
          <cell r="BH40"/>
          <cell r="BI40"/>
          <cell r="BJ40"/>
          <cell r="BK40"/>
          <cell r="BL40"/>
          <cell r="BM40"/>
          <cell r="BN40"/>
          <cell r="BO40"/>
          <cell r="BP40"/>
          <cell r="BQ40"/>
          <cell r="BR40"/>
          <cell r="BS40">
            <v>365.68836926666665</v>
          </cell>
          <cell r="BT40">
            <v>369.87741865686274</v>
          </cell>
          <cell r="BU40">
            <v>369.92424547619049</v>
          </cell>
          <cell r="BV40">
            <v>385.12267212560391</v>
          </cell>
          <cell r="BW40">
            <v>383.97278772999999</v>
          </cell>
          <cell r="BX40">
            <v>377.27496703000003</v>
          </cell>
          <cell r="BY40">
            <v>388.42045775000003</v>
          </cell>
          <cell r="BZ40">
            <v>398.60196565000001</v>
          </cell>
          <cell r="CA40">
            <v>392.32641244000001</v>
          </cell>
          <cell r="CB40">
            <v>396.57761799999997</v>
          </cell>
          <cell r="CC40">
            <v>408.8</v>
          </cell>
          <cell r="CD40">
            <v>413</v>
          </cell>
          <cell r="CE40">
            <v>401.99199999999996</v>
          </cell>
          <cell r="CF40">
            <v>405.61100000000005</v>
          </cell>
          <cell r="CG40">
            <v>421.685</v>
          </cell>
          <cell r="CH40">
            <v>422.43880369999994</v>
          </cell>
          <cell r="CI40">
            <v>414.49028763353664</v>
          </cell>
          <cell r="CJ40">
            <v>415.95732981051879</v>
          </cell>
          <cell r="CK40">
            <v>423.03032282303968</v>
          </cell>
          <cell r="CL40">
            <v>418.57683784986045</v>
          </cell>
          <cell r="CM40">
            <v>415.44825070928789</v>
          </cell>
          <cell r="CN40">
            <v>414.99424744406946</v>
          </cell>
          <cell r="CO40">
            <v>419.06514565379854</v>
          </cell>
          <cell r="CP40">
            <v>411.71096900625918</v>
          </cell>
          <cell r="CQ40">
            <v>405.42927857261049</v>
          </cell>
          <cell r="CR40">
            <v>401.91567494861073</v>
          </cell>
          <cell r="CS40">
            <v>402.04560601010093</v>
          </cell>
          <cell r="CT40">
            <v>392.04285140179138</v>
          </cell>
          <cell r="CU40">
            <v>384.15023534695729</v>
          </cell>
          <cell r="CV40">
            <v>380.39131814325805</v>
          </cell>
          <cell r="CW40">
            <v>379.82524889870552</v>
          </cell>
          <cell r="CX40">
            <v>370.05506198667172</v>
          </cell>
          <cell r="CY40">
            <v>362.72272800199113</v>
          </cell>
          <cell r="CZ40">
            <v>358.47602313371397</v>
          </cell>
          <cell r="DA40">
            <v>358.18278058434214</v>
          </cell>
          <cell r="DB40">
            <v>348.35934192904665</v>
          </cell>
          <cell r="DC40"/>
          <cell r="DD40"/>
          <cell r="DE40">
            <v>0</v>
          </cell>
          <cell r="DF40">
            <v>0</v>
          </cell>
          <cell r="DG40">
            <v>0</v>
          </cell>
          <cell r="DH40">
            <v>0</v>
          </cell>
          <cell r="DI40">
            <v>0</v>
          </cell>
          <cell r="DJ40">
            <v>0</v>
          </cell>
          <cell r="DK40">
            <v>0</v>
          </cell>
          <cell r="DL40">
            <v>0</v>
          </cell>
          <cell r="DM40">
            <v>0</v>
          </cell>
          <cell r="DN40">
            <v>0</v>
          </cell>
          <cell r="DO40">
            <v>0</v>
          </cell>
        </row>
        <row r="41">
          <cell r="A41" t="str">
            <v>Prior License Updates &amp; Maintenance</v>
          </cell>
          <cell r="B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35.24</v>
          </cell>
          <cell r="X41">
            <v>39.5</v>
          </cell>
          <cell r="Y41">
            <v>43.4</v>
          </cell>
          <cell r="Z41">
            <v>50.6</v>
          </cell>
          <cell r="AA41">
            <v>58.896999999999998</v>
          </cell>
          <cell r="AB41">
            <v>66.980999999999995</v>
          </cell>
          <cell r="AC41">
            <v>70.406000000000006</v>
          </cell>
          <cell r="AD41">
            <v>75.263000000000005</v>
          </cell>
          <cell r="AE41">
            <v>77.174999999999997</v>
          </cell>
          <cell r="AF41">
            <v>80.454999999999998</v>
          </cell>
          <cell r="AG41">
            <v>84.510999999999996</v>
          </cell>
          <cell r="AH41">
            <v>88.960999999999999</v>
          </cell>
          <cell r="AI41">
            <v>93.870999999999995</v>
          </cell>
          <cell r="AJ41">
            <v>99.75</v>
          </cell>
          <cell r="AK41">
            <v>102.854</v>
          </cell>
          <cell r="AL41">
            <v>109.28100000000001</v>
          </cell>
          <cell r="AM41">
            <v>112.80800000000001</v>
          </cell>
          <cell r="AN41">
            <v>118.163</v>
          </cell>
          <cell r="AO41">
            <v>124.035</v>
          </cell>
          <cell r="AP41">
            <v>129.66300000000001</v>
          </cell>
          <cell r="AQ41">
            <v>133.934</v>
          </cell>
          <cell r="AR41">
            <v>137.279</v>
          </cell>
          <cell r="AS41">
            <v>141.251</v>
          </cell>
          <cell r="AT41">
            <v>146.876</v>
          </cell>
          <cell r="AU41">
            <v>148.19800000000001</v>
          </cell>
          <cell r="AV41">
            <v>149.334</v>
          </cell>
          <cell r="AW41">
            <v>151.041</v>
          </cell>
          <cell r="AX41">
            <v>156.39500000000001</v>
          </cell>
          <cell r="AY41">
            <v>162.95500000000001</v>
          </cell>
          <cell r="AZ41">
            <v>168.601</v>
          </cell>
          <cell r="BA41">
            <v>174.12799999999999</v>
          </cell>
          <cell r="BB41">
            <v>176.56200000000001</v>
          </cell>
          <cell r="BC41">
            <v>221.37899999999999</v>
          </cell>
          <cell r="BD41">
            <v>231.68199999999999</v>
          </cell>
          <cell r="BE41">
            <v>238.69900000000001</v>
          </cell>
          <cell r="BF41">
            <v>248.411</v>
          </cell>
          <cell r="BG41">
            <v>264.52499999999998</v>
          </cell>
          <cell r="BH41">
            <v>272.53699999999998</v>
          </cell>
          <cell r="BI41">
            <v>285.05099999999999</v>
          </cell>
          <cell r="BJ41">
            <v>302.98099999999999</v>
          </cell>
          <cell r="BK41">
            <v>315.738</v>
          </cell>
          <cell r="BL41">
            <v>322.89499999999998</v>
          </cell>
          <cell r="BM41">
            <v>329.38400000000001</v>
          </cell>
          <cell r="BN41">
            <v>337.036</v>
          </cell>
          <cell r="BO41">
            <v>343.75799999999998</v>
          </cell>
          <cell r="BP41">
            <v>347.041</v>
          </cell>
          <cell r="BQ41">
            <v>358.26600000000002</v>
          </cell>
          <cell r="BR41">
            <v>366.952</v>
          </cell>
          <cell r="BS41">
            <v>371.29700000000003</v>
          </cell>
          <cell r="BT41">
            <v>377.161</v>
          </cell>
          <cell r="BU41">
            <v>379.58499999999998</v>
          </cell>
          <cell r="BV41">
            <v>392.964</v>
          </cell>
          <cell r="BW41">
            <v>393.01799999999997</v>
          </cell>
          <cell r="BX41">
            <v>386.86399999999998</v>
          </cell>
          <cell r="BY41">
            <v>398.17099999999999</v>
          </cell>
          <cell r="BZ41">
            <v>409.21800000000002</v>
          </cell>
          <cell r="CA41">
            <v>402.755</v>
          </cell>
          <cell r="CB41">
            <v>409.02800000000002</v>
          </cell>
          <cell r="CC41">
            <v>420.95100000000002</v>
          </cell>
          <cell r="CD41">
            <v>427.202</v>
          </cell>
          <cell r="CE41"/>
          <cell r="CF41"/>
          <cell r="CG41"/>
          <cell r="CH41"/>
          <cell r="CI41"/>
          <cell r="CJ41"/>
          <cell r="CK41"/>
          <cell r="CL41"/>
          <cell r="CM41"/>
          <cell r="CN41"/>
          <cell r="CO41"/>
          <cell r="CP41"/>
          <cell r="CQ41"/>
          <cell r="CR41"/>
          <cell r="CS41"/>
          <cell r="CT41"/>
          <cell r="CU41"/>
          <cell r="CV41"/>
          <cell r="CW41"/>
          <cell r="CX41"/>
          <cell r="CY41"/>
          <cell r="CZ41"/>
          <cell r="DA41"/>
          <cell r="DB41"/>
          <cell r="DC41"/>
          <cell r="DD41" t="e">
            <v>#REF!</v>
          </cell>
          <cell r="DE41" t="e">
            <v>#REF!</v>
          </cell>
          <cell r="DF41" t="e">
            <v>#REF!</v>
          </cell>
          <cell r="DG41" t="e">
            <v>#REF!</v>
          </cell>
          <cell r="DH41" t="e">
            <v>#REF!</v>
          </cell>
          <cell r="DI41" t="e">
            <v>#REF!</v>
          </cell>
          <cell r="DJ41" t="e">
            <v>#REF!</v>
          </cell>
          <cell r="DK41" t="e">
            <v>#REF!</v>
          </cell>
          <cell r="DL41" t="e">
            <v>#REF!</v>
          </cell>
          <cell r="DM41" t="e">
            <v>#REF!</v>
          </cell>
          <cell r="DN41" t="e">
            <v>#REF!</v>
          </cell>
          <cell r="DO41" t="e">
            <v>#REF!</v>
          </cell>
        </row>
        <row r="42">
          <cell r="A42" t="str">
            <v>$ Delta</v>
          </cell>
          <cell r="B42"/>
          <cell r="C42"/>
          <cell r="D42"/>
          <cell r="E42"/>
          <cell r="F42"/>
          <cell r="G42"/>
          <cell r="H42"/>
          <cell r="I42"/>
          <cell r="J42"/>
          <cell r="K42"/>
          <cell r="L42"/>
          <cell r="M42"/>
          <cell r="N42"/>
          <cell r="O42"/>
          <cell r="P42"/>
          <cell r="Q42"/>
          <cell r="R42"/>
          <cell r="S42">
            <v>0</v>
          </cell>
          <cell r="T42">
            <v>0</v>
          </cell>
          <cell r="U42">
            <v>0</v>
          </cell>
          <cell r="V42">
            <v>0</v>
          </cell>
          <cell r="W42">
            <v>-35.24</v>
          </cell>
          <cell r="X42">
            <v>-39.5</v>
          </cell>
          <cell r="Y42">
            <v>-43.4</v>
          </cell>
          <cell r="Z42">
            <v>-50.6</v>
          </cell>
          <cell r="AA42">
            <v>-58.896999999999998</v>
          </cell>
          <cell r="AB42">
            <v>-66.980999999999995</v>
          </cell>
          <cell r="AC42">
            <v>-70.406000000000006</v>
          </cell>
          <cell r="AD42">
            <v>-75.263000000000005</v>
          </cell>
          <cell r="AE42">
            <v>-77.174999999999997</v>
          </cell>
          <cell r="AF42">
            <v>-80.454999999999998</v>
          </cell>
          <cell r="AG42">
            <v>-84.510999999999996</v>
          </cell>
          <cell r="AH42">
            <v>-88.960999999999999</v>
          </cell>
          <cell r="AI42">
            <v>-93.870999999999995</v>
          </cell>
          <cell r="AJ42">
            <v>-99.75</v>
          </cell>
          <cell r="AK42">
            <v>-102.854</v>
          </cell>
          <cell r="AL42">
            <v>-109.28100000000001</v>
          </cell>
          <cell r="AM42">
            <v>-112.80800000000001</v>
          </cell>
          <cell r="AN42">
            <v>-118.163</v>
          </cell>
          <cell r="AO42">
            <v>-124.035</v>
          </cell>
          <cell r="AP42">
            <v>-129.66300000000001</v>
          </cell>
          <cell r="AQ42">
            <v>-133.934</v>
          </cell>
          <cell r="AR42">
            <v>-137.279</v>
          </cell>
          <cell r="AS42">
            <v>-141.251</v>
          </cell>
          <cell r="AT42">
            <v>-146.876</v>
          </cell>
          <cell r="AU42">
            <v>-148.19800000000001</v>
          </cell>
          <cell r="AV42">
            <v>-149.334</v>
          </cell>
          <cell r="AW42">
            <v>-151.041</v>
          </cell>
          <cell r="AX42">
            <v>-156.39500000000001</v>
          </cell>
          <cell r="AY42">
            <v>-162.95500000000001</v>
          </cell>
          <cell r="AZ42">
            <v>-168.601</v>
          </cell>
          <cell r="BA42">
            <v>-174.12799999999999</v>
          </cell>
          <cell r="BB42">
            <v>-176.56200000000001</v>
          </cell>
          <cell r="BC42">
            <v>-221.37899999999999</v>
          </cell>
          <cell r="BD42">
            <v>-231.68199999999999</v>
          </cell>
          <cell r="BE42">
            <v>-238.69900000000001</v>
          </cell>
          <cell r="BF42">
            <v>-248.411</v>
          </cell>
          <cell r="BG42">
            <v>-264.52499999999998</v>
          </cell>
          <cell r="BH42">
            <v>-272.53699999999998</v>
          </cell>
          <cell r="BI42">
            <v>-285.05099999999999</v>
          </cell>
          <cell r="BJ42">
            <v>-302.98099999999999</v>
          </cell>
          <cell r="BK42">
            <v>-315.738</v>
          </cell>
          <cell r="BL42">
            <v>-322.89499999999998</v>
          </cell>
          <cell r="BM42">
            <v>-329.38400000000001</v>
          </cell>
          <cell r="BN42">
            <v>-337.036</v>
          </cell>
          <cell r="BO42">
            <v>-343.75799999999998</v>
          </cell>
          <cell r="BP42">
            <v>-347.041</v>
          </cell>
          <cell r="BQ42">
            <v>-358.26600000000002</v>
          </cell>
          <cell r="BR42">
            <v>-366.952</v>
          </cell>
          <cell r="BS42">
            <v>-5.6086307333333707</v>
          </cell>
          <cell r="BT42">
            <v>-7.2835813431372571</v>
          </cell>
          <cell r="BU42">
            <v>-9.6607545238094872</v>
          </cell>
          <cell r="BV42">
            <v>-7.8413278743960859</v>
          </cell>
          <cell r="BW42">
            <v>-9.0452122699999791</v>
          </cell>
          <cell r="BX42">
            <v>-9.5890329699999484</v>
          </cell>
          <cell r="BY42">
            <v>-9.7505422499999668</v>
          </cell>
          <cell r="BZ42">
            <v>-10.616034350000007</v>
          </cell>
          <cell r="CA42">
            <v>-10.428587559999983</v>
          </cell>
          <cell r="CB42">
            <v>-12.450382000000047</v>
          </cell>
          <cell r="CC42">
            <v>-12.15100000000001</v>
          </cell>
          <cell r="CD42">
            <v>-14.201999999999998</v>
          </cell>
          <cell r="CE42"/>
          <cell r="CF42"/>
          <cell r="CG42"/>
          <cell r="CH42"/>
          <cell r="CI42"/>
          <cell r="CJ42"/>
          <cell r="CK42"/>
          <cell r="CL42"/>
          <cell r="CM42"/>
          <cell r="CN42"/>
          <cell r="CO42"/>
          <cell r="CP42"/>
          <cell r="CQ42"/>
          <cell r="CR42"/>
          <cell r="CS42"/>
          <cell r="CT42"/>
          <cell r="CU42"/>
          <cell r="CV42"/>
          <cell r="CW42"/>
          <cell r="CX42"/>
          <cell r="CY42"/>
          <cell r="CZ42"/>
          <cell r="DA42"/>
          <cell r="DB42"/>
          <cell r="DC42"/>
          <cell r="DD42" t="e">
            <v>#REF!</v>
          </cell>
          <cell r="DE42" t="e">
            <v>#REF!</v>
          </cell>
          <cell r="DF42" t="e">
            <v>#REF!</v>
          </cell>
          <cell r="DG42" t="e">
            <v>#REF!</v>
          </cell>
          <cell r="DH42" t="e">
            <v>#REF!</v>
          </cell>
          <cell r="DI42" t="e">
            <v>#REF!</v>
          </cell>
          <cell r="DJ42" t="e">
            <v>#REF!</v>
          </cell>
          <cell r="DK42" t="e">
            <v>#REF!</v>
          </cell>
          <cell r="DL42" t="e">
            <v>#REF!</v>
          </cell>
          <cell r="DM42" t="e">
            <v>#REF!</v>
          </cell>
          <cell r="DN42" t="e">
            <v>#REF!</v>
          </cell>
          <cell r="DO42" t="e">
            <v>#REF!</v>
          </cell>
        </row>
        <row r="43">
          <cell r="A43" t="str">
            <v>% Delta</v>
          </cell>
          <cell r="B43"/>
          <cell r="C43"/>
          <cell r="D43"/>
          <cell r="E43"/>
          <cell r="F43"/>
          <cell r="G43"/>
          <cell r="H43"/>
          <cell r="I43"/>
          <cell r="J43"/>
          <cell r="K43"/>
          <cell r="L43"/>
          <cell r="M43"/>
          <cell r="N43"/>
          <cell r="O43"/>
          <cell r="P43"/>
          <cell r="Q43"/>
          <cell r="R43"/>
          <cell r="S43" t="e">
            <v>#DIV/0!</v>
          </cell>
          <cell r="T43" t="e">
            <v>#DIV/0!</v>
          </cell>
          <cell r="U43" t="e">
            <v>#DIV/0!</v>
          </cell>
          <cell r="V43" t="e">
            <v>#DIV/0!</v>
          </cell>
          <cell r="W43">
            <v>-1</v>
          </cell>
          <cell r="X43">
            <v>-1</v>
          </cell>
          <cell r="Y43">
            <v>-1</v>
          </cell>
          <cell r="Z43">
            <v>-1</v>
          </cell>
          <cell r="AA43">
            <v>-1</v>
          </cell>
          <cell r="AB43">
            <v>-1</v>
          </cell>
          <cell r="AC43">
            <v>-1</v>
          </cell>
          <cell r="AD43">
            <v>-1</v>
          </cell>
          <cell r="AE43">
            <v>-1</v>
          </cell>
          <cell r="AF43">
            <v>-1</v>
          </cell>
          <cell r="AG43">
            <v>-1</v>
          </cell>
          <cell r="AH43">
            <v>-1</v>
          </cell>
          <cell r="AI43">
            <v>-1</v>
          </cell>
          <cell r="AJ43">
            <v>-1</v>
          </cell>
          <cell r="AK43">
            <v>-1</v>
          </cell>
          <cell r="AL43">
            <v>-1</v>
          </cell>
          <cell r="AM43">
            <v>-1</v>
          </cell>
          <cell r="AN43">
            <v>-1</v>
          </cell>
          <cell r="AO43">
            <v>-1</v>
          </cell>
          <cell r="AP43">
            <v>-1</v>
          </cell>
          <cell r="AQ43">
            <v>-1</v>
          </cell>
          <cell r="AR43">
            <v>-1</v>
          </cell>
          <cell r="AS43">
            <v>-1</v>
          </cell>
          <cell r="AT43">
            <v>-1</v>
          </cell>
          <cell r="AU43">
            <v>-1</v>
          </cell>
          <cell r="AV43">
            <v>-1</v>
          </cell>
          <cell r="AW43">
            <v>-1</v>
          </cell>
          <cell r="AX43">
            <v>-1</v>
          </cell>
          <cell r="AY43">
            <v>-1</v>
          </cell>
          <cell r="AZ43">
            <v>-1</v>
          </cell>
          <cell r="BA43">
            <v>-1</v>
          </cell>
          <cell r="BB43">
            <v>-1</v>
          </cell>
          <cell r="BC43">
            <v>-1</v>
          </cell>
          <cell r="BD43">
            <v>-1</v>
          </cell>
          <cell r="BE43">
            <v>-1</v>
          </cell>
          <cell r="BF43">
            <v>-1</v>
          </cell>
          <cell r="BG43">
            <v>-1</v>
          </cell>
          <cell r="BH43">
            <v>-1</v>
          </cell>
          <cell r="BI43">
            <v>-1</v>
          </cell>
          <cell r="BJ43">
            <v>-1</v>
          </cell>
          <cell r="BK43">
            <v>-1</v>
          </cell>
          <cell r="BL43">
            <v>-1</v>
          </cell>
          <cell r="BM43">
            <v>-1</v>
          </cell>
          <cell r="BN43">
            <v>-1</v>
          </cell>
          <cell r="BO43">
            <v>-1</v>
          </cell>
          <cell r="BP43">
            <v>-1</v>
          </cell>
          <cell r="BQ43">
            <v>-1</v>
          </cell>
          <cell r="BR43">
            <v>-1</v>
          </cell>
          <cell r="BS43">
            <v>-1.5105510503271963E-2</v>
          </cell>
          <cell r="BT43">
            <v>-1.9311597283752185E-2</v>
          </cell>
          <cell r="BU43">
            <v>-2.5450833209451077E-2</v>
          </cell>
          <cell r="BV43">
            <v>-1.9954316106300031E-2</v>
          </cell>
          <cell r="BW43">
            <v>-2.301475319196571E-2</v>
          </cell>
          <cell r="BX43">
            <v>-2.4786573498697086E-2</v>
          </cell>
          <cell r="BY43">
            <v>-2.4488328507098627E-2</v>
          </cell>
          <cell r="BZ43">
            <v>-2.5942246797550465E-2</v>
          </cell>
          <cell r="CA43">
            <v>-2.5893129967349836E-2</v>
          </cell>
          <cell r="CB43">
            <v>-3.0438947944884082E-2</v>
          </cell>
          <cell r="CC43">
            <v>-2.8865592432373386E-2</v>
          </cell>
          <cell r="CD43">
            <v>-3.3244226384707934E-2</v>
          </cell>
          <cell r="CE43"/>
          <cell r="CF43"/>
          <cell r="CG43"/>
          <cell r="CH43"/>
          <cell r="CI43"/>
          <cell r="CJ43"/>
          <cell r="CK43"/>
          <cell r="CL43"/>
          <cell r="CM43"/>
          <cell r="CN43"/>
          <cell r="CO43"/>
          <cell r="CP43"/>
          <cell r="CQ43"/>
          <cell r="CR43"/>
          <cell r="CS43"/>
          <cell r="CT43"/>
          <cell r="CU43"/>
          <cell r="CV43"/>
          <cell r="CW43"/>
          <cell r="CX43"/>
          <cell r="CY43"/>
          <cell r="CZ43"/>
          <cell r="DA43"/>
          <cell r="DB43"/>
          <cell r="DC43"/>
          <cell r="DD43" t="e">
            <v>#REF!</v>
          </cell>
          <cell r="DE43" t="e">
            <v>#REF!</v>
          </cell>
          <cell r="DF43" t="e">
            <v>#REF!</v>
          </cell>
          <cell r="DG43" t="e">
            <v>#REF!</v>
          </cell>
          <cell r="DH43" t="e">
            <v>#REF!</v>
          </cell>
          <cell r="DI43" t="e">
            <v>#REF!</v>
          </cell>
          <cell r="DJ43" t="e">
            <v>#REF!</v>
          </cell>
          <cell r="DK43" t="e">
            <v>#REF!</v>
          </cell>
          <cell r="DL43" t="e">
            <v>#REF!</v>
          </cell>
          <cell r="DM43" t="e">
            <v>#REF!</v>
          </cell>
          <cell r="DN43" t="e">
            <v>#REF!</v>
          </cell>
          <cell r="DO43" t="e">
            <v>#REF!</v>
          </cell>
        </row>
        <row r="44">
          <cell r="A44" t="str">
            <v>% of revenue</v>
          </cell>
          <cell r="B44"/>
          <cell r="C44"/>
          <cell r="D44"/>
          <cell r="E44"/>
          <cell r="F44"/>
          <cell r="G44"/>
          <cell r="H44"/>
          <cell r="I44"/>
          <cell r="J44"/>
          <cell r="K44"/>
          <cell r="L44"/>
          <cell r="M44"/>
          <cell r="N44"/>
          <cell r="O44"/>
          <cell r="P44"/>
          <cell r="Q44"/>
          <cell r="R44"/>
          <cell r="S44"/>
          <cell r="T44"/>
          <cell r="U44"/>
          <cell r="V44"/>
          <cell r="W44"/>
          <cell r="X44"/>
          <cell r="Y44"/>
          <cell r="Z44"/>
          <cell r="AA44"/>
          <cell r="AB44"/>
          <cell r="AC44"/>
          <cell r="AD44"/>
          <cell r="AE44"/>
          <cell r="AF44"/>
          <cell r="AG44"/>
          <cell r="AH44"/>
          <cell r="AI44"/>
          <cell r="AJ44"/>
          <cell r="AK44"/>
          <cell r="AL44"/>
          <cell r="AM44"/>
          <cell r="AN44"/>
          <cell r="AO44"/>
          <cell r="AP44"/>
          <cell r="AQ44"/>
          <cell r="AR44"/>
          <cell r="AS44"/>
          <cell r="AT44"/>
          <cell r="AU44"/>
          <cell r="AV44"/>
          <cell r="AW44"/>
          <cell r="AX44"/>
          <cell r="AY44"/>
          <cell r="AZ44"/>
          <cell r="BA44"/>
          <cell r="BB44"/>
          <cell r="BC44"/>
          <cell r="BD44"/>
          <cell r="BE44"/>
          <cell r="BF44"/>
          <cell r="BG44"/>
          <cell r="BH44"/>
          <cell r="BI44"/>
          <cell r="BJ44"/>
          <cell r="BK44"/>
          <cell r="BL44"/>
          <cell r="BM44"/>
          <cell r="BN44"/>
          <cell r="BO44"/>
          <cell r="BP44"/>
          <cell r="BQ44"/>
          <cell r="BR44"/>
          <cell r="BS44">
            <v>0.48066168236501311</v>
          </cell>
          <cell r="BT44">
            <v>0.46422747487868066</v>
          </cell>
          <cell r="BU44">
            <v>0.45486031142940292</v>
          </cell>
          <cell r="BV44">
            <v>0.42566138549609556</v>
          </cell>
          <cell r="BW44">
            <v>0.58286054184066449</v>
          </cell>
          <cell r="BX44">
            <v>0.55976594063386986</v>
          </cell>
          <cell r="BY44">
            <v>0.58082779714266919</v>
          </cell>
          <cell r="BZ44">
            <v>0.54262271659878236</v>
          </cell>
          <cell r="CA44">
            <v>0.59203263798200345</v>
          </cell>
          <cell r="CB44">
            <v>0.57207468549263074</v>
          </cell>
          <cell r="CC44">
            <v>0.591670586532547</v>
          </cell>
          <cell r="CD44">
            <v>0.53094591936564173</v>
          </cell>
          <cell r="CE44">
            <v>0.5765872241792791</v>
          </cell>
          <cell r="CF44">
            <v>0.5463767823105885</v>
          </cell>
          <cell r="CG44">
            <v>0.57569804334886054</v>
          </cell>
          <cell r="CH44">
            <v>0.5268170697245188</v>
          </cell>
          <cell r="CI44">
            <v>0.58360576405201747</v>
          </cell>
          <cell r="CJ44">
            <v>0.5388140228863636</v>
          </cell>
          <cell r="CK44">
            <v>0.55455295030896257</v>
          </cell>
          <cell r="CL44">
            <v>0.48903621367299582</v>
          </cell>
          <cell r="CM44">
            <v>0.54313907919907012</v>
          </cell>
          <cell r="CN44">
            <v>0.50179935959686817</v>
          </cell>
          <cell r="CO44">
            <v>0.51168430655730579</v>
          </cell>
          <cell r="CP44">
            <v>0.45770384517143531</v>
          </cell>
          <cell r="CQ44">
            <v>0.49225816882191009</v>
          </cell>
          <cell r="CR44">
            <v>0.45449428330486685</v>
          </cell>
          <cell r="CS44">
            <v>0.45857441961290274</v>
          </cell>
          <cell r="CT44">
            <v>0.4155793012056741</v>
          </cell>
          <cell r="CU44">
            <v>0.42981318974945254</v>
          </cell>
          <cell r="CV44">
            <v>0.39813997454730815</v>
          </cell>
          <cell r="CW44">
            <v>0.40089367887284694</v>
          </cell>
          <cell r="CX44">
            <v>0.36586994418313867</v>
          </cell>
          <cell r="CY44">
            <v>0.3734940132541833</v>
          </cell>
          <cell r="CZ44">
            <v>0.34707236461274554</v>
          </cell>
          <cell r="DA44">
            <v>0.35014272451566014</v>
          </cell>
          <cell r="DB44">
            <v>0.32015619893162317</v>
          </cell>
          <cell r="DC44"/>
          <cell r="DD44"/>
          <cell r="DE44">
            <v>0</v>
          </cell>
          <cell r="DF44">
            <v>0</v>
          </cell>
          <cell r="DG44">
            <v>0</v>
          </cell>
          <cell r="DH44">
            <v>0</v>
          </cell>
          <cell r="DI44">
            <v>0</v>
          </cell>
          <cell r="DJ44">
            <v>0</v>
          </cell>
          <cell r="DK44">
            <v>0</v>
          </cell>
          <cell r="DL44">
            <v>0</v>
          </cell>
          <cell r="DM44">
            <v>0</v>
          </cell>
          <cell r="DN44">
            <v>0</v>
          </cell>
          <cell r="DO44">
            <v>0</v>
          </cell>
        </row>
        <row r="45">
          <cell r="A45" t="str">
            <v>% growth in revenue y-o-y</v>
          </cell>
          <cell r="B45"/>
          <cell r="C45"/>
          <cell r="D45"/>
          <cell r="E45"/>
          <cell r="F45"/>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cell r="BA45"/>
          <cell r="BB45"/>
          <cell r="BC45"/>
          <cell r="BD45"/>
          <cell r="BE45"/>
          <cell r="BF45"/>
          <cell r="BG45"/>
          <cell r="BH45"/>
          <cell r="BI45"/>
          <cell r="BJ45"/>
          <cell r="BK45"/>
          <cell r="BL45"/>
          <cell r="BM45"/>
          <cell r="BN45"/>
          <cell r="BO45"/>
          <cell r="BP45"/>
          <cell r="BQ45"/>
          <cell r="BR45"/>
          <cell r="BS45" t="str">
            <v>NA</v>
          </cell>
          <cell r="BT45" t="str">
            <v>NA</v>
          </cell>
          <cell r="BU45" t="str">
            <v>NA</v>
          </cell>
          <cell r="BV45" t="str">
            <v>NA</v>
          </cell>
          <cell r="BW45">
            <v>0.05</v>
          </cell>
          <cell r="BX45">
            <v>0.02</v>
          </cell>
          <cell r="BY45">
            <v>0.05</v>
          </cell>
          <cell r="BZ45">
            <v>3.5000000000000003E-2</v>
          </cell>
          <cell r="CA45">
            <v>2.1755772744692647E-2</v>
          </cell>
          <cell r="CB45">
            <v>5.1163349431728955E-2</v>
          </cell>
          <cell r="CC45">
            <v>5.2467736555516176E-2</v>
          </cell>
          <cell r="CD45">
            <v>3.6121333035879832E-2</v>
          </cell>
          <cell r="CE45">
            <v>2.4636596603034411E-2</v>
          </cell>
          <cell r="CF45">
            <v>2.2778345499064656E-2</v>
          </cell>
          <cell r="CG45">
            <v>3.1519080234833741E-2</v>
          </cell>
          <cell r="CH45">
            <v>2.2854246246973187E-2</v>
          </cell>
          <cell r="CI45">
            <v>3.1090886469224976E-2</v>
          </cell>
          <cell r="CJ45">
            <v>2.5508010903350087E-2</v>
          </cell>
          <cell r="CK45">
            <v>3.1903501975163451E-3</v>
          </cell>
          <cell r="CL45">
            <v>-9.1420717422590059E-3</v>
          </cell>
          <cell r="CM45">
            <v>2.3111834084716953E-3</v>
          </cell>
          <cell r="CN45">
            <v>-2.3153393327340899E-3</v>
          </cell>
          <cell r="CO45">
            <v>-9.3732693741196416E-3</v>
          </cell>
          <cell r="CP45">
            <v>-1.6402887648704567E-2</v>
          </cell>
          <cell r="CQ45">
            <v>-2.4116053249886527E-2</v>
          </cell>
          <cell r="CR45">
            <v>-3.1515069367850423E-2</v>
          </cell>
          <cell r="CS45">
            <v>-4.061311187582739E-2</v>
          </cell>
          <cell r="CT45">
            <v>-4.7771662853531516E-2</v>
          </cell>
          <cell r="CU45">
            <v>-5.2485215918717132E-2</v>
          </cell>
          <cell r="CV45">
            <v>-5.3554409909752354E-2</v>
          </cell>
          <cell r="CW45">
            <v>-5.5268250116970896E-2</v>
          </cell>
          <cell r="CX45">
            <v>-5.6085168589351753E-2</v>
          </cell>
          <cell r="CY45">
            <v>-5.5778977528448515E-2</v>
          </cell>
          <cell r="CZ45">
            <v>-5.7612500507413289E-2</v>
          </cell>
          <cell r="DA45">
            <v>-5.6980067483968555E-2</v>
          </cell>
          <cell r="DB45">
            <v>-5.8628356388775726E-2</v>
          </cell>
          <cell r="DC45"/>
          <cell r="DD45" t="str">
            <v>NA</v>
          </cell>
          <cell r="DE45" t="str">
            <v>NA</v>
          </cell>
          <cell r="DF45" t="str">
            <v>NA</v>
          </cell>
          <cell r="DG45" t="str">
            <v>NA</v>
          </cell>
          <cell r="DH45" t="str">
            <v>NA</v>
          </cell>
          <cell r="DI45" t="str">
            <v>NA</v>
          </cell>
          <cell r="DJ45" t="str">
            <v>NA</v>
          </cell>
          <cell r="DK45" t="str">
            <v>NA</v>
          </cell>
          <cell r="DL45" t="str">
            <v>NA</v>
          </cell>
          <cell r="DM45" t="str">
            <v>NA</v>
          </cell>
          <cell r="DN45" t="str">
            <v>NA</v>
          </cell>
          <cell r="DO45" t="str">
            <v>NA</v>
          </cell>
        </row>
        <row r="46">
          <cell r="A46" t="str">
            <v>% growth in revenue seq</v>
          </cell>
          <cell r="B46"/>
          <cell r="C46"/>
          <cell r="D46"/>
          <cell r="E46"/>
          <cell r="F46"/>
          <cell r="G46"/>
          <cell r="H46"/>
          <cell r="I46"/>
          <cell r="J46"/>
          <cell r="K46"/>
          <cell r="L46"/>
          <cell r="M46"/>
          <cell r="N46"/>
          <cell r="O46"/>
          <cell r="P46"/>
          <cell r="Q46"/>
          <cell r="R46"/>
          <cell r="S46"/>
          <cell r="T46"/>
          <cell r="U46"/>
          <cell r="V46"/>
          <cell r="W46"/>
          <cell r="X46"/>
          <cell r="Y46"/>
          <cell r="Z46"/>
          <cell r="AA46"/>
          <cell r="AB46"/>
          <cell r="AC46"/>
          <cell r="AD46"/>
          <cell r="AE46"/>
          <cell r="AF46"/>
          <cell r="AG46"/>
          <cell r="AH46"/>
          <cell r="AI46"/>
          <cell r="AJ46"/>
          <cell r="AK46"/>
          <cell r="AL46"/>
          <cell r="AM46"/>
          <cell r="AN46"/>
          <cell r="AO46"/>
          <cell r="AP46"/>
          <cell r="AQ46"/>
          <cell r="AR46"/>
          <cell r="AS46"/>
          <cell r="AT46"/>
          <cell r="AU46"/>
          <cell r="AV46"/>
          <cell r="AW46"/>
          <cell r="AX46"/>
          <cell r="AY46"/>
          <cell r="AZ46"/>
          <cell r="BA46"/>
          <cell r="BB46"/>
          <cell r="BC46"/>
          <cell r="BD46"/>
          <cell r="BE46"/>
          <cell r="BF46"/>
          <cell r="BG46"/>
          <cell r="BH46"/>
          <cell r="BI46"/>
          <cell r="BJ46"/>
          <cell r="BK46"/>
          <cell r="BL46"/>
          <cell r="BM46"/>
          <cell r="BN46"/>
          <cell r="BO46"/>
          <cell r="BP46"/>
          <cell r="BQ46"/>
          <cell r="BR46"/>
          <cell r="BS46" t="str">
            <v>NA</v>
          </cell>
          <cell r="BT46">
            <v>1.145524370544404E-2</v>
          </cell>
          <cell r="BU46">
            <v>1.2660091415628294E-4</v>
          </cell>
          <cell r="BV46">
            <v>4.1085240654742838E-2</v>
          </cell>
          <cell r="BW46">
            <v>-2.9857613660015936E-3</v>
          </cell>
          <cell r="BX46">
            <v>-1.7443477543282793E-2</v>
          </cell>
          <cell r="BY46">
            <v>2.9542089176337383E-2</v>
          </cell>
          <cell r="BZ46">
            <v>2.6212594359674934E-2</v>
          </cell>
          <cell r="CA46">
            <v>-1.5743909340152018E-2</v>
          </cell>
          <cell r="CB46">
            <v>1.0835889262617693E-2</v>
          </cell>
          <cell r="CC46">
            <v>3.0819646508643883E-2</v>
          </cell>
          <cell r="CD46">
            <v>1.0273972602739656E-2</v>
          </cell>
          <cell r="CE46">
            <v>-2.665375302663453E-2</v>
          </cell>
          <cell r="CF46">
            <v>9.002666719735819E-3</v>
          </cell>
          <cell r="CG46">
            <v>3.9629102761019608E-2</v>
          </cell>
          <cell r="CH46">
            <v>1.7875990371958306E-3</v>
          </cell>
          <cell r="CI46">
            <v>-1.8815781118696751E-2</v>
          </cell>
          <cell r="CJ46">
            <v>3.5393885472154718E-3</v>
          </cell>
          <cell r="CK46">
            <v>1.7004131206782347E-2</v>
          </cell>
          <cell r="CL46">
            <v>-1.0527578598762077E-2</v>
          </cell>
          <cell r="CM46">
            <v>-7.47434367521016E-3</v>
          </cell>
          <cell r="CN46">
            <v>-1.0928034103966366E-3</v>
          </cell>
          <cell r="CO46">
            <v>9.8095292520354871E-3</v>
          </cell>
          <cell r="CP46">
            <v>-1.7549005742450441E-2</v>
          </cell>
          <cell r="CQ46">
            <v>-1.5257525075930589E-2</v>
          </cell>
          <cell r="CR46">
            <v>-8.6663786008993604E-3</v>
          </cell>
          <cell r="CS46">
            <v>3.2327940806697875E-4</v>
          </cell>
          <cell r="CT46">
            <v>-2.4879651608624265E-2</v>
          </cell>
          <cell r="CU46">
            <v>-2.0132023901502594E-2</v>
          </cell>
          <cell r="CV46">
            <v>-9.7850186146684059E-3</v>
          </cell>
          <cell r="CW46">
            <v>-1.4881234601136217E-3</v>
          </cell>
          <cell r="CX46">
            <v>-2.5722847389325065E-2</v>
          </cell>
          <cell r="CY46">
            <v>-1.9814170208390935E-2</v>
          </cell>
          <cell r="CZ46">
            <v>-1.1707854348332547E-2</v>
          </cell>
          <cell r="DA46">
            <v>-8.1802555944565647E-4</v>
          </cell>
          <cell r="DB46">
            <v>-2.7425770270891991E-2</v>
          </cell>
          <cell r="DC46"/>
          <cell r="DD46"/>
          <cell r="DE46"/>
          <cell r="DF46"/>
          <cell r="DG46"/>
          <cell r="DH46"/>
          <cell r="DI46"/>
          <cell r="DJ46"/>
          <cell r="DK46"/>
          <cell r="DL46"/>
          <cell r="DM46"/>
          <cell r="DN46"/>
          <cell r="DO46"/>
        </row>
        <row r="47">
          <cell r="A47"/>
          <cell r="B47"/>
          <cell r="C47"/>
          <cell r="D47"/>
          <cell r="E47"/>
          <cell r="F47"/>
          <cell r="G47"/>
          <cell r="H47"/>
          <cell r="I47"/>
          <cell r="J47"/>
          <cell r="K47"/>
          <cell r="L47"/>
          <cell r="M47"/>
          <cell r="N47"/>
          <cell r="O47"/>
          <cell r="P47"/>
          <cell r="Q47"/>
          <cell r="R47"/>
          <cell r="S47"/>
          <cell r="T47"/>
          <cell r="U47"/>
          <cell r="V47"/>
          <cell r="W47"/>
          <cell r="X47"/>
          <cell r="Y47"/>
          <cell r="Z47"/>
          <cell r="AA47"/>
          <cell r="AB47"/>
          <cell r="AC47"/>
          <cell r="AD47"/>
          <cell r="AE47"/>
          <cell r="AF47"/>
          <cell r="AG47"/>
          <cell r="AH47"/>
          <cell r="AI47"/>
          <cell r="AJ47"/>
          <cell r="AK47"/>
          <cell r="AL47"/>
          <cell r="AM47"/>
          <cell r="AN47"/>
          <cell r="AO47"/>
          <cell r="AP47"/>
          <cell r="AQ47"/>
          <cell r="AR47"/>
          <cell r="AS47"/>
          <cell r="AT47"/>
          <cell r="AU47"/>
          <cell r="AV47"/>
          <cell r="AW47"/>
          <cell r="AX47"/>
          <cell r="AY47"/>
          <cell r="AZ47"/>
          <cell r="BA47"/>
          <cell r="BB47"/>
          <cell r="BC47"/>
          <cell r="BD47"/>
          <cell r="BE47"/>
          <cell r="BF47"/>
          <cell r="BG47"/>
          <cell r="BH47"/>
          <cell r="BI47"/>
          <cell r="BJ47"/>
          <cell r="BK47"/>
          <cell r="BL47"/>
          <cell r="BM47"/>
          <cell r="BN47"/>
          <cell r="BO47"/>
          <cell r="BP47"/>
          <cell r="BQ47"/>
          <cell r="BR47"/>
          <cell r="BS47"/>
          <cell r="BT47"/>
          <cell r="BU47"/>
          <cell r="BV47"/>
          <cell r="BW47"/>
          <cell r="BX47"/>
          <cell r="BY47"/>
          <cell r="BZ47"/>
          <cell r="CA47"/>
          <cell r="CB47"/>
          <cell r="CC47"/>
          <cell r="CD47"/>
          <cell r="CE47"/>
          <cell r="CF47"/>
          <cell r="CG47"/>
          <cell r="CH47"/>
          <cell r="CI47"/>
          <cell r="CJ47"/>
          <cell r="CK47"/>
          <cell r="CL47"/>
          <cell r="CM47"/>
          <cell r="CN47"/>
          <cell r="CO47"/>
          <cell r="CP47"/>
          <cell r="CQ47"/>
          <cell r="CR47"/>
          <cell r="CS47"/>
          <cell r="CT47"/>
          <cell r="CU47"/>
          <cell r="CV47"/>
          <cell r="CW47"/>
          <cell r="CX47"/>
          <cell r="CY47"/>
          <cell r="CZ47"/>
          <cell r="DA47"/>
          <cell r="DB47"/>
          <cell r="DC47"/>
          <cell r="DD47"/>
          <cell r="DE47"/>
          <cell r="DF47"/>
          <cell r="DG47"/>
          <cell r="DH47"/>
          <cell r="DI47"/>
          <cell r="DJ47"/>
          <cell r="DK47"/>
          <cell r="DL47"/>
          <cell r="DM47"/>
          <cell r="DN47"/>
          <cell r="DO47"/>
        </row>
        <row r="48">
          <cell r="A48" t="str">
            <v>Workspace Services</v>
          </cell>
          <cell r="B48"/>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-1.8330750000000062E-2</v>
          </cell>
          <cell r="AG48">
            <v>-1.6525278906250005</v>
          </cell>
          <cell r="AH48">
            <v>-3.4717720849609375</v>
          </cell>
          <cell r="AI48">
            <v>-4.4147847046508772</v>
          </cell>
          <cell r="AJ48">
            <v>-5.699208491569518</v>
          </cell>
          <cell r="AK48">
            <v>-5.7424999999999997</v>
          </cell>
          <cell r="AL48">
            <v>-6.2024000000000008</v>
          </cell>
          <cell r="AM48">
            <v>-8.1403000000000354</v>
          </cell>
          <cell r="AN48">
            <v>-8.901608079999999</v>
          </cell>
          <cell r="AO48">
            <v>-10.933999999999997</v>
          </cell>
          <cell r="AP48">
            <v>-10.333015999999979</v>
          </cell>
          <cell r="AQ48">
            <v>-12.07176599999995</v>
          </cell>
          <cell r="AR48">
            <v>-17.282069896449755</v>
          </cell>
          <cell r="AS48">
            <v>-12.438231179042404</v>
          </cell>
          <cell r="AT48">
            <v>-14.079319771249985</v>
          </cell>
          <cell r="AU48">
            <v>-18.692592592592593</v>
          </cell>
          <cell r="AV48">
            <v>-20.292307692307702</v>
          </cell>
          <cell r="AW48">
            <v>-23.049999999999997</v>
          </cell>
          <cell r="AX48">
            <v>-24.366666666666639</v>
          </cell>
          <cell r="AY48">
            <v>-20.797319592592594</v>
          </cell>
          <cell r="AZ48">
            <v>-23.435712582307694</v>
          </cell>
          <cell r="BA48">
            <v>-27.989774999999995</v>
          </cell>
          <cell r="BB48">
            <v>-30.128029666666642</v>
          </cell>
          <cell r="BC48">
            <v>-30.162592592592596</v>
          </cell>
          <cell r="BD48">
            <v>-34.392307692307703</v>
          </cell>
          <cell r="BE48">
            <v>-37.549999999999997</v>
          </cell>
          <cell r="BF48">
            <v>-40.366666666666632</v>
          </cell>
          <cell r="BG48">
            <v>-42.292592592592591</v>
          </cell>
          <cell r="BH48">
            <v>-43.992307692307705</v>
          </cell>
          <cell r="BI48">
            <v>-48.649999999999991</v>
          </cell>
          <cell r="BJ48">
            <v>-56.666666666666643</v>
          </cell>
          <cell r="BK48">
            <v>-61.392592592592592</v>
          </cell>
          <cell r="BL48">
            <v>-59.992307692307719</v>
          </cell>
          <cell r="BM48">
            <v>-58.449999999999989</v>
          </cell>
          <cell r="BN48">
            <v>-62.06666666666662</v>
          </cell>
          <cell r="BO48">
            <v>-61.19259259259259</v>
          </cell>
          <cell r="BP48">
            <v>-60.792307692307716</v>
          </cell>
          <cell r="BQ48">
            <v>-64.149999999999991</v>
          </cell>
          <cell r="BR48">
            <v>-70.666666666666615</v>
          </cell>
          <cell r="BS48">
            <v>295.09577667407405</v>
          </cell>
          <cell r="BT48">
            <v>295.28511096455503</v>
          </cell>
          <cell r="BU48">
            <v>293.4742454761905</v>
          </cell>
          <cell r="BV48">
            <v>301.30933879227064</v>
          </cell>
          <cell r="BW48">
            <v>303.18204698925922</v>
          </cell>
          <cell r="BX48">
            <v>298.06082768872648</v>
          </cell>
          <cell r="BY48">
            <v>306.62198051431648</v>
          </cell>
          <cell r="BZ48">
            <v>306.05648410171472</v>
          </cell>
          <cell r="CA48">
            <v>301.83877728904997</v>
          </cell>
          <cell r="CB48">
            <v>308.13786320905393</v>
          </cell>
          <cell r="CC48">
            <v>314.21509506727585</v>
          </cell>
          <cell r="CD48">
            <v>314.23845153192093</v>
          </cell>
          <cell r="CE48">
            <v>313.58973036030744</v>
          </cell>
          <cell r="CF48">
            <v>318.22098533145379</v>
          </cell>
          <cell r="CG48">
            <v>329.26047635958776</v>
          </cell>
          <cell r="CH48">
            <v>326.18870241228802</v>
          </cell>
          <cell r="CI48">
            <v>326.83608676791641</v>
          </cell>
          <cell r="CJ48">
            <v>325.87139326929451</v>
          </cell>
          <cell r="CK48">
            <v>328.97879629154568</v>
          </cell>
          <cell r="CL48">
            <v>321.52130459702607</v>
          </cell>
          <cell r="CM48">
            <v>325.2545082655173</v>
          </cell>
          <cell r="CN48">
            <v>322.68211117370828</v>
          </cell>
          <cell r="CO48">
            <v>323.37033567803087</v>
          </cell>
          <cell r="CP48">
            <v>313.41918650255485</v>
          </cell>
          <cell r="CQ48">
            <v>312.44375841618836</v>
          </cell>
          <cell r="CR48">
            <v>307.06043349927802</v>
          </cell>
          <cell r="CS48">
            <v>304.27500199881922</v>
          </cell>
          <cell r="CT48">
            <v>292.00185748825788</v>
          </cell>
          <cell r="CU48">
            <v>288.17256178797635</v>
          </cell>
          <cell r="CV48">
            <v>282.74795514834057</v>
          </cell>
          <cell r="CW48">
            <v>279.64781336714668</v>
          </cell>
          <cell r="CX48">
            <v>267.87527408004905</v>
          </cell>
          <cell r="CY48">
            <v>263.61855377421995</v>
          </cell>
          <cell r="CZ48">
            <v>257.87745359187556</v>
          </cell>
          <cell r="DA48">
            <v>255.3653717114673</v>
          </cell>
          <cell r="DB48">
            <v>243.76332108892899</v>
          </cell>
          <cell r="DC48"/>
          <cell r="DD48"/>
          <cell r="DE48">
            <v>0</v>
          </cell>
          <cell r="DF48">
            <v>0</v>
          </cell>
          <cell r="DG48">
            <v>0</v>
          </cell>
          <cell r="DH48">
            <v>0</v>
          </cell>
          <cell r="DI48">
            <v>0</v>
          </cell>
          <cell r="DJ48">
            <v>0</v>
          </cell>
          <cell r="DK48">
            <v>-5.1426307255859385</v>
          </cell>
          <cell r="DL48">
            <v>-22.058893196220396</v>
          </cell>
          <cell r="DM48">
            <v>-38.308924080000011</v>
          </cell>
          <cell r="DN48">
            <v>-55.871386846742098</v>
          </cell>
          <cell r="DO48">
            <v>-86.401566951566934</v>
          </cell>
        </row>
        <row r="49">
          <cell r="A49" t="str">
            <v>% of revenue</v>
          </cell>
          <cell r="B49"/>
          <cell r="C49"/>
          <cell r="D49"/>
          <cell r="E49"/>
          <cell r="F49"/>
          <cell r="G49"/>
          <cell r="H49"/>
          <cell r="I49"/>
          <cell r="J49"/>
          <cell r="K49"/>
          <cell r="L49"/>
          <cell r="M49"/>
          <cell r="N49"/>
          <cell r="O49"/>
          <cell r="P49"/>
          <cell r="Q49"/>
          <cell r="R49"/>
          <cell r="S49"/>
          <cell r="T49"/>
          <cell r="U49"/>
          <cell r="V49"/>
          <cell r="W49"/>
          <cell r="X49"/>
          <cell r="Y49"/>
          <cell r="Z49"/>
          <cell r="AA49"/>
          <cell r="AB49"/>
          <cell r="AC49"/>
          <cell r="AD49"/>
          <cell r="AE49"/>
          <cell r="AF49"/>
          <cell r="AG49"/>
          <cell r="AH49"/>
          <cell r="AI49"/>
          <cell r="AJ49"/>
          <cell r="AK49"/>
          <cell r="AL49"/>
          <cell r="AM49"/>
          <cell r="AN49"/>
          <cell r="AO49"/>
          <cell r="AP49"/>
          <cell r="AQ49"/>
          <cell r="AR49"/>
          <cell r="AS49"/>
          <cell r="AT49"/>
          <cell r="AU49"/>
          <cell r="AV49"/>
          <cell r="AW49"/>
          <cell r="AX49"/>
          <cell r="AY49"/>
          <cell r="AZ49"/>
          <cell r="BA49"/>
          <cell r="BB49"/>
          <cell r="BC49"/>
          <cell r="BD49"/>
          <cell r="BE49"/>
          <cell r="BF49"/>
          <cell r="BG49"/>
          <cell r="BH49"/>
          <cell r="BI49"/>
          <cell r="BJ49"/>
          <cell r="BK49"/>
          <cell r="BL49"/>
          <cell r="BM49"/>
          <cell r="BN49"/>
          <cell r="BO49"/>
          <cell r="BP49"/>
          <cell r="BQ49"/>
          <cell r="BR49"/>
          <cell r="BS49">
            <v>0.38787460689387526</v>
          </cell>
          <cell r="BT49">
            <v>0.37060781361058365</v>
          </cell>
          <cell r="BU49">
            <v>0.36085708986706816</v>
          </cell>
          <cell r="BV49">
            <v>0.33302570816033661</v>
          </cell>
          <cell r="BW49">
            <v>0.46022233301798837</v>
          </cell>
          <cell r="BX49">
            <v>0.4422352770731876</v>
          </cell>
          <cell r="BY49">
            <v>0.45850975648733805</v>
          </cell>
          <cell r="BZ49">
            <v>0.41663919184424747</v>
          </cell>
          <cell r="CA49">
            <v>0.45548400999136834</v>
          </cell>
          <cell r="CB49">
            <v>0.44449778097081316</v>
          </cell>
          <cell r="CC49">
            <v>0.45477453423638725</v>
          </cell>
          <cell r="CD49">
            <v>0.40397971803547555</v>
          </cell>
          <cell r="CE49">
            <v>0.4497896280512505</v>
          </cell>
          <cell r="CF49">
            <v>0.4286583895138561</v>
          </cell>
          <cell r="CG49">
            <v>0.44951708500973103</v>
          </cell>
          <cell r="CH49">
            <v>0.40678501803570155</v>
          </cell>
          <cell r="CI49">
            <v>0.4601879219582663</v>
          </cell>
          <cell r="CJ49">
            <v>0.42212040458812627</v>
          </cell>
          <cell r="CK49">
            <v>0.43126024833185256</v>
          </cell>
          <cell r="CL49">
            <v>0.37564324443516034</v>
          </cell>
          <cell r="CM49">
            <v>0.425223680261196</v>
          </cell>
          <cell r="CN49">
            <v>0.39017812352243531</v>
          </cell>
          <cell r="CO49">
            <v>0.39483962741513812</v>
          </cell>
          <cell r="CP49">
            <v>0.34843173393940269</v>
          </cell>
          <cell r="CQ49">
            <v>0.37935837519993698</v>
          </cell>
          <cell r="CR49">
            <v>0.34723007922589733</v>
          </cell>
          <cell r="CS49">
            <v>0.34705697651827527</v>
          </cell>
          <cell r="CT49">
            <v>0.30953230610334898</v>
          </cell>
          <cell r="CU49">
            <v>0.32242689599940755</v>
          </cell>
          <cell r="CV49">
            <v>0.29594067555366199</v>
          </cell>
          <cell r="CW49">
            <v>0.29515952668907686</v>
          </cell>
          <cell r="CX49">
            <v>0.26484575308752423</v>
          </cell>
          <cell r="CY49">
            <v>0.27144687668112333</v>
          </cell>
          <cell r="CZ49">
            <v>0.24967398604804569</v>
          </cell>
          <cell r="DA49">
            <v>0.24963323712026644</v>
          </cell>
          <cell r="DB49">
            <v>0.22402826313374952</v>
          </cell>
          <cell r="DC49"/>
          <cell r="DD49"/>
          <cell r="DE49">
            <v>0</v>
          </cell>
          <cell r="DF49">
            <v>0</v>
          </cell>
          <cell r="DG49">
            <v>0</v>
          </cell>
          <cell r="DH49">
            <v>0</v>
          </cell>
          <cell r="DI49">
            <v>0</v>
          </cell>
          <cell r="DJ49">
            <v>0</v>
          </cell>
          <cell r="DK49">
            <v>-5.6591902975672856E-3</v>
          </cell>
          <cell r="DL49">
            <v>-1.9446816280270715E-2</v>
          </cell>
          <cell r="DM49">
            <v>-2.7521925540000956E-2</v>
          </cell>
          <cell r="DN49">
            <v>-3.5286731107978447E-2</v>
          </cell>
          <cell r="DO49">
            <v>-5.3529650769702106E-2</v>
          </cell>
        </row>
        <row r="50">
          <cell r="A50" t="str">
            <v>% growth in revenue y-o-y</v>
          </cell>
          <cell r="B50"/>
          <cell r="C50"/>
          <cell r="D50"/>
          <cell r="E50"/>
          <cell r="F50"/>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v>-5.8224101018036558</v>
          </cell>
          <cell r="BT50">
            <v>-5.8572775433875917</v>
          </cell>
          <cell r="BU50">
            <v>-5.5748128679063216</v>
          </cell>
          <cell r="BV50">
            <v>-5.263811398003833</v>
          </cell>
          <cell r="BW50">
            <v>2.7402189236060304E-2</v>
          </cell>
          <cell r="BX50">
            <v>9.4001242226691151E-3</v>
          </cell>
          <cell r="BY50">
            <v>4.4800302720916729E-2</v>
          </cell>
          <cell r="BZ50">
            <v>1.5755055347676628E-2</v>
          </cell>
          <cell r="CA50">
            <v>-4.430571379633319E-3</v>
          </cell>
          <cell r="CB50">
            <v>3.380865442288572E-2</v>
          </cell>
          <cell r="CC50">
            <v>2.4763764620602036E-2</v>
          </cell>
          <cell r="CD50">
            <v>2.6733520951926604E-2</v>
          </cell>
          <cell r="CE50">
            <v>3.8931224068683434E-2</v>
          </cell>
          <cell r="CF50">
            <v>3.2722762523861082E-2</v>
          </cell>
          <cell r="CG50">
            <v>4.7882426810496037E-2</v>
          </cell>
          <cell r="CH50">
            <v>3.8029244422855601E-2</v>
          </cell>
          <cell r="CI50">
            <v>4.2241040203673696E-2</v>
          </cell>
          <cell r="CJ50">
            <v>2.4041179841964855E-2</v>
          </cell>
          <cell r="CK50">
            <v>-8.5549310733079587E-4</v>
          </cell>
          <cell r="CL50">
            <v>-1.4308888630246153E-2</v>
          </cell>
          <cell r="CM50">
            <v>-4.8390571495312562E-3</v>
          </cell>
          <cell r="CN50">
            <v>-9.7869348505551512E-3</v>
          </cell>
          <cell r="CO50">
            <v>-1.7048091478043204E-2</v>
          </cell>
          <cell r="CP50">
            <v>-2.5199319543150911E-2</v>
          </cell>
          <cell r="CQ50">
            <v>-3.9386847910716893E-2</v>
          </cell>
          <cell r="CR50">
            <v>-4.8411973064167446E-2</v>
          </cell>
          <cell r="CS50">
            <v>-5.9050975220634516E-2</v>
          </cell>
          <cell r="CT50">
            <v>-6.8334454100570485E-2</v>
          </cell>
          <cell r="CU50">
            <v>-7.7681809843939131E-2</v>
          </cell>
          <cell r="CV50">
            <v>-7.9178154195482242E-2</v>
          </cell>
          <cell r="CW50">
            <v>-8.0937272105475522E-2</v>
          </cell>
          <cell r="CX50">
            <v>-8.2624760046874135E-2</v>
          </cell>
          <cell r="CY50">
            <v>-8.5205919194423774E-2</v>
          </cell>
          <cell r="CZ50">
            <v>-8.7959969660671655E-2</v>
          </cell>
          <cell r="DA50">
            <v>-8.6832224301354399E-2</v>
          </cell>
          <cell r="DB50">
            <v>-9.0011864939481878E-2</v>
          </cell>
          <cell r="DC50"/>
          <cell r="DD50" t="str">
            <v>NA</v>
          </cell>
          <cell r="DE50" t="str">
            <v>NA</v>
          </cell>
          <cell r="DF50" t="str">
            <v>NA</v>
          </cell>
          <cell r="DG50" t="str">
            <v>NA</v>
          </cell>
          <cell r="DH50" t="str">
            <v>NA</v>
          </cell>
          <cell r="DI50" t="str">
            <v>NA</v>
          </cell>
          <cell r="DJ50" t="str">
            <v>NA</v>
          </cell>
          <cell r="DK50" t="str">
            <v>NA</v>
          </cell>
          <cell r="DL50">
            <v>3.2894180767192962</v>
          </cell>
          <cell r="DM50">
            <v>0.73666574017249054</v>
          </cell>
          <cell r="DN50">
            <v>0.45844312228833761</v>
          </cell>
          <cell r="DO50">
            <v>0.54643676894168736</v>
          </cell>
        </row>
        <row r="51">
          <cell r="A51" t="str">
            <v>% growth in revenue seq</v>
          </cell>
          <cell r="B51"/>
          <cell r="C51"/>
          <cell r="D51"/>
          <cell r="E51"/>
          <cell r="F51"/>
          <cell r="G51"/>
          <cell r="H51"/>
          <cell r="I51"/>
          <cell r="J51"/>
          <cell r="K51"/>
          <cell r="L51"/>
          <cell r="M51"/>
          <cell r="N51"/>
          <cell r="O51"/>
          <cell r="P51"/>
          <cell r="Q51"/>
          <cell r="R51"/>
          <cell r="S51"/>
          <cell r="T51"/>
          <cell r="U51"/>
          <cell r="V51"/>
          <cell r="W51"/>
          <cell r="X51"/>
          <cell r="Y51"/>
          <cell r="Z51"/>
          <cell r="AA51"/>
          <cell r="AB51"/>
          <cell r="AC51"/>
          <cell r="AD51"/>
          <cell r="AE51"/>
          <cell r="AF51"/>
          <cell r="AG51"/>
          <cell r="AH51"/>
          <cell r="AI51"/>
          <cell r="AJ51"/>
          <cell r="AK51"/>
          <cell r="AL51"/>
          <cell r="AM51"/>
          <cell r="AN51"/>
          <cell r="AO51"/>
          <cell r="AP51"/>
          <cell r="AQ51"/>
          <cell r="AR51"/>
          <cell r="AS51"/>
          <cell r="AT51"/>
          <cell r="AU51"/>
          <cell r="AV51"/>
          <cell r="AW51"/>
          <cell r="AX51"/>
          <cell r="AY51"/>
          <cell r="AZ51"/>
          <cell r="BA51"/>
          <cell r="BB51"/>
          <cell r="BC51"/>
          <cell r="BD51"/>
          <cell r="BE51"/>
          <cell r="BF51"/>
          <cell r="BG51"/>
          <cell r="BH51"/>
          <cell r="BI51"/>
          <cell r="BJ51"/>
          <cell r="BK51"/>
          <cell r="BL51"/>
          <cell r="BM51"/>
          <cell r="BN51"/>
          <cell r="BO51"/>
          <cell r="BP51"/>
          <cell r="BQ51"/>
          <cell r="BR51"/>
          <cell r="BS51">
            <v>-5.1758836321802963</v>
          </cell>
          <cell r="BT51">
            <v>6.4160284709902093E-4</v>
          </cell>
          <cell r="BU51">
            <v>-6.1326000571084727E-3</v>
          </cell>
          <cell r="BV51">
            <v>2.6697720283314519E-2</v>
          </cell>
          <cell r="BW51">
            <v>6.215234497858324E-3</v>
          </cell>
          <cell r="BX51">
            <v>-1.6891565154958488E-2</v>
          </cell>
          <cell r="BY51">
            <v>2.8722837858219608E-2</v>
          </cell>
          <cell r="BZ51">
            <v>-1.8442787814925143E-3</v>
          </cell>
          <cell r="CA51">
            <v>-1.3780811816628713E-2</v>
          </cell>
          <cell r="CB51">
            <v>2.086904133583789E-2</v>
          </cell>
          <cell r="CC51">
            <v>1.9722444346603529E-2</v>
          </cell>
          <cell r="CD51">
            <v>7.4332726249348724E-5</v>
          </cell>
          <cell r="CE51">
            <v>-2.0644232698161513E-3</v>
          </cell>
          <cell r="CF51">
            <v>1.4768516066598014E-2</v>
          </cell>
          <cell r="CG51">
            <v>3.4691272848129229E-2</v>
          </cell>
          <cell r="CH51">
            <v>-9.3293127109037588E-3</v>
          </cell>
          <cell r="CI51">
            <v>1.9846927586417706E-3</v>
          </cell>
          <cell r="CJ51">
            <v>-2.95161255956089E-3</v>
          </cell>
          <cell r="CK51">
            <v>9.5356729262923157E-3</v>
          </cell>
          <cell r="CL51">
            <v>-2.2668608975973892E-2</v>
          </cell>
          <cell r="CM51">
            <v>1.1611061584768656E-2</v>
          </cell>
          <cell r="CN51">
            <v>-7.9088745165342145E-3</v>
          </cell>
          <cell r="CO51">
            <v>2.1328250947016958E-3</v>
          </cell>
          <cell r="CP51">
            <v>-3.0773228331568592E-2</v>
          </cell>
          <cell r="CQ51">
            <v>-3.1122156152956215E-3</v>
          </cell>
          <cell r="CR51">
            <v>-1.7229740623397327E-2</v>
          </cell>
          <cell r="CS51">
            <v>-9.0712810788282638E-3</v>
          </cell>
          <cell r="CT51">
            <v>-4.0335697740325638E-2</v>
          </cell>
          <cell r="CU51">
            <v>-1.3113942949611324E-2</v>
          </cell>
          <cell r="CV51">
            <v>-1.8824160794416511E-2</v>
          </cell>
          <cell r="CW51">
            <v>-1.0964329625540281E-2</v>
          </cell>
          <cell r="CX51">
            <v>-4.2097734093996197E-2</v>
          </cell>
          <cell r="CY51">
            <v>-1.5890680169895255E-2</v>
          </cell>
          <cell r="CZ51">
            <v>-2.1778058107630116E-2</v>
          </cell>
          <cell r="DA51">
            <v>-9.7413784936156711E-3</v>
          </cell>
          <cell r="DB51">
            <v>-4.5433139758852104E-2</v>
          </cell>
          <cell r="DC51"/>
          <cell r="DD51"/>
          <cell r="DE51"/>
          <cell r="DF51"/>
          <cell r="DG51"/>
          <cell r="DH51"/>
          <cell r="DI51"/>
          <cell r="DJ51"/>
          <cell r="DK51"/>
          <cell r="DL51"/>
          <cell r="DM51"/>
          <cell r="DN51"/>
          <cell r="DO51"/>
        </row>
        <row r="52">
          <cell r="A52"/>
          <cell r="B52"/>
          <cell r="C52"/>
          <cell r="D52"/>
          <cell r="E52"/>
          <cell r="F52"/>
          <cell r="G52"/>
          <cell r="H52"/>
          <cell r="I52"/>
          <cell r="J52"/>
          <cell r="K52"/>
          <cell r="L52"/>
          <cell r="M52"/>
          <cell r="N52"/>
          <cell r="O52"/>
          <cell r="P52"/>
          <cell r="Q52"/>
          <cell r="R52"/>
          <cell r="S52"/>
          <cell r="T52"/>
          <cell r="U52"/>
          <cell r="V52"/>
          <cell r="W52"/>
          <cell r="X52"/>
          <cell r="Y52"/>
          <cell r="Z52"/>
          <cell r="AA52"/>
          <cell r="AB52"/>
          <cell r="AC52"/>
          <cell r="AD52"/>
          <cell r="AE52"/>
          <cell r="AF52"/>
          <cell r="AG52"/>
          <cell r="AH52"/>
          <cell r="AI52"/>
          <cell r="AJ52"/>
          <cell r="AK52"/>
          <cell r="AL52"/>
          <cell r="AM52"/>
          <cell r="AN52"/>
          <cell r="AO52"/>
          <cell r="AP52"/>
          <cell r="AQ52"/>
          <cell r="AR52"/>
          <cell r="AS52"/>
          <cell r="AT52"/>
          <cell r="AU52"/>
          <cell r="AV52"/>
          <cell r="AW52"/>
          <cell r="AX52"/>
          <cell r="AY52"/>
          <cell r="AZ52"/>
          <cell r="BA52"/>
          <cell r="BB52"/>
          <cell r="BC52"/>
          <cell r="BD52"/>
          <cell r="BE52"/>
          <cell r="BF52"/>
          <cell r="BG52"/>
          <cell r="BH52"/>
          <cell r="BI52"/>
          <cell r="BJ52"/>
          <cell r="BK52"/>
          <cell r="BL52"/>
          <cell r="BM52"/>
          <cell r="BN52"/>
          <cell r="BO52"/>
          <cell r="BP52"/>
          <cell r="BQ52"/>
          <cell r="BR52"/>
          <cell r="BS52"/>
          <cell r="BT52"/>
          <cell r="BU52"/>
          <cell r="BV52"/>
          <cell r="BW52"/>
          <cell r="BX52"/>
          <cell r="BY52"/>
          <cell r="BZ52"/>
          <cell r="CA52"/>
          <cell r="CB52"/>
          <cell r="CC52"/>
          <cell r="CD52"/>
          <cell r="CE52"/>
          <cell r="CF52"/>
          <cell r="CG52"/>
          <cell r="CH52"/>
          <cell r="CI52"/>
          <cell r="CJ52"/>
          <cell r="CK52"/>
          <cell r="CL52"/>
          <cell r="CM52"/>
          <cell r="CN52"/>
          <cell r="CO52"/>
          <cell r="CP52"/>
          <cell r="CQ52"/>
          <cell r="CR52"/>
          <cell r="CS52"/>
          <cell r="CT52"/>
          <cell r="CU52"/>
          <cell r="CV52"/>
          <cell r="CW52"/>
          <cell r="CX52"/>
          <cell r="CY52"/>
          <cell r="CZ52"/>
          <cell r="DA52"/>
          <cell r="DB52"/>
          <cell r="DC52"/>
          <cell r="DD52"/>
          <cell r="DE52"/>
          <cell r="DF52"/>
          <cell r="DG52"/>
          <cell r="DH52"/>
          <cell r="DI52"/>
          <cell r="DJ52"/>
          <cell r="DK52"/>
          <cell r="DL52"/>
          <cell r="DM52"/>
          <cell r="DN52"/>
          <cell r="DO52"/>
        </row>
        <row r="53">
          <cell r="A53" t="str">
            <v>Delivery Networking</v>
          </cell>
          <cell r="B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1.8330750000000062E-2</v>
          </cell>
          <cell r="AG53">
            <v>1.6525278906250005</v>
          </cell>
          <cell r="AH53">
            <v>3.4717720849609375</v>
          </cell>
          <cell r="AI53">
            <v>4.4147847046508772</v>
          </cell>
          <cell r="AJ53">
            <v>5.699208491569518</v>
          </cell>
          <cell r="AK53">
            <v>5.7424999999999997</v>
          </cell>
          <cell r="AL53">
            <v>6.2024000000000008</v>
          </cell>
          <cell r="AM53">
            <v>8.1403000000000354</v>
          </cell>
          <cell r="AN53">
            <v>8.901608079999999</v>
          </cell>
          <cell r="AO53">
            <v>10.933999999999997</v>
          </cell>
          <cell r="AP53">
            <v>10.333015999999979</v>
          </cell>
          <cell r="AQ53">
            <v>12.07176599999995</v>
          </cell>
          <cell r="AR53">
            <v>17.282069896449755</v>
          </cell>
          <cell r="AS53">
            <v>12.438231179042404</v>
          </cell>
          <cell r="AT53">
            <v>14.079319771249985</v>
          </cell>
          <cell r="AU53">
            <v>18.692592592592593</v>
          </cell>
          <cell r="AV53">
            <v>20.292307692307702</v>
          </cell>
          <cell r="AW53">
            <v>23.049999999999997</v>
          </cell>
          <cell r="AX53">
            <v>24.366666666666639</v>
          </cell>
          <cell r="AY53">
            <v>20.797319592592594</v>
          </cell>
          <cell r="AZ53">
            <v>23.435712582307694</v>
          </cell>
          <cell r="BA53">
            <v>27.989774999999995</v>
          </cell>
          <cell r="BB53">
            <v>30.128029666666642</v>
          </cell>
          <cell r="BC53">
            <v>30.162592592592596</v>
          </cell>
          <cell r="BD53">
            <v>34.392307692307703</v>
          </cell>
          <cell r="BE53">
            <v>37.549999999999997</v>
          </cell>
          <cell r="BF53">
            <v>40.366666666666632</v>
          </cell>
          <cell r="BG53">
            <v>42.292592592592591</v>
          </cell>
          <cell r="BH53">
            <v>43.992307692307705</v>
          </cell>
          <cell r="BI53">
            <v>48.649999999999991</v>
          </cell>
          <cell r="BJ53">
            <v>56.666666666666643</v>
          </cell>
          <cell r="BK53">
            <v>61.392592592592592</v>
          </cell>
          <cell r="BL53">
            <v>59.992307692307719</v>
          </cell>
          <cell r="BM53">
            <v>58.449999999999989</v>
          </cell>
          <cell r="BN53">
            <v>62.06666666666662</v>
          </cell>
          <cell r="BO53">
            <v>61.19259259259259</v>
          </cell>
          <cell r="BP53">
            <v>60.792307692307716</v>
          </cell>
          <cell r="BQ53">
            <v>64.149999999999991</v>
          </cell>
          <cell r="BR53">
            <v>70.666666666666615</v>
          </cell>
          <cell r="BS53">
            <v>70.592592592592595</v>
          </cell>
          <cell r="BT53">
            <v>74.592307692307713</v>
          </cell>
          <cell r="BU53">
            <v>76.449999999999989</v>
          </cell>
          <cell r="BV53">
            <v>83.813333333333276</v>
          </cell>
          <cell r="BW53">
            <v>79.990740740740748</v>
          </cell>
          <cell r="BX53">
            <v>78.079076923076954</v>
          </cell>
          <cell r="BY53">
            <v>80.214999999999989</v>
          </cell>
          <cell r="BZ53">
            <v>90.730666666666593</v>
          </cell>
          <cell r="CA53">
            <v>88.306574074074064</v>
          </cell>
          <cell r="CB53">
            <v>85.888123076923108</v>
          </cell>
          <cell r="CC53">
            <v>91.756674999999987</v>
          </cell>
          <cell r="CD53">
            <v>96.397813333333261</v>
          </cell>
          <cell r="CE53">
            <v>85.785499932103193</v>
          </cell>
          <cell r="CF53">
            <v>84.670019014319109</v>
          </cell>
          <cell r="CG53">
            <v>89.604527850379725</v>
          </cell>
          <cell r="CH53">
            <v>93.333230366117903</v>
          </cell>
          <cell r="CI53">
            <v>84.643482160326002</v>
          </cell>
          <cell r="CJ53">
            <v>87.060592345428489</v>
          </cell>
          <cell r="CK53">
            <v>91.008199414276959</v>
          </cell>
          <cell r="CL53">
            <v>93.991161426867507</v>
          </cell>
          <cell r="CM53">
            <v>87.105540990260494</v>
          </cell>
          <cell r="CN53">
            <v>89.248244630964905</v>
          </cell>
          <cell r="CO53">
            <v>92.65004544931918</v>
          </cell>
          <cell r="CP53">
            <v>95.261226826667937</v>
          </cell>
          <cell r="CQ53">
            <v>89.964517685899182</v>
          </cell>
          <cell r="CR53">
            <v>91.876200238990918</v>
          </cell>
          <cell r="CS53">
            <v>94.827951722969672</v>
          </cell>
          <cell r="CT53">
            <v>97.129343944924784</v>
          </cell>
          <cell r="CU53">
            <v>93.0918341218688</v>
          </cell>
          <cell r="CV53">
            <v>94.806947386258955</v>
          </cell>
          <cell r="CW53">
            <v>97.384955908394218</v>
          </cell>
          <cell r="CX53">
            <v>99.425876202389901</v>
          </cell>
          <cell r="CY53">
            <v>96.383596102809179</v>
          </cell>
          <cell r="CZ53">
            <v>97.929648429285265</v>
          </cell>
          <cell r="DA53">
            <v>100.19489718580952</v>
          </cell>
          <cell r="DB53">
            <v>102.01474223331843</v>
          </cell>
          <cell r="DC53"/>
          <cell r="DD53"/>
          <cell r="DE53">
            <v>0</v>
          </cell>
          <cell r="DF53">
            <v>0</v>
          </cell>
          <cell r="DG53">
            <v>0</v>
          </cell>
          <cell r="DH53">
            <v>0</v>
          </cell>
          <cell r="DI53">
            <v>0</v>
          </cell>
          <cell r="DJ53">
            <v>0</v>
          </cell>
          <cell r="DK53">
            <v>5.1426307255859385</v>
          </cell>
          <cell r="DL53">
            <v>22.058893196220396</v>
          </cell>
          <cell r="DM53">
            <v>38.308924080000011</v>
          </cell>
          <cell r="DN53">
            <v>55.871386846742098</v>
          </cell>
          <cell r="DO53">
            <v>86.401566951566934</v>
          </cell>
        </row>
        <row r="54">
          <cell r="A54" t="str">
            <v>% of revenue</v>
          </cell>
          <cell r="B54"/>
          <cell r="C54"/>
          <cell r="D54"/>
          <cell r="E54"/>
          <cell r="F54"/>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J54"/>
          <cell r="BK54"/>
          <cell r="BL54"/>
          <cell r="BM54"/>
          <cell r="BN54"/>
          <cell r="BO54"/>
          <cell r="BP54"/>
          <cell r="BQ54"/>
          <cell r="BR54"/>
          <cell r="BS54">
            <v>9.2787075471137834E-2</v>
          </cell>
          <cell r="BT54">
            <v>9.3619661268097024E-2</v>
          </cell>
          <cell r="BU54">
            <v>9.400322156233476E-2</v>
          </cell>
          <cell r="BV54">
            <v>9.2635677335758948E-2</v>
          </cell>
          <cell r="BW54">
            <v>0.12142382996986938</v>
          </cell>
          <cell r="BX54">
            <v>0.11584656220828733</v>
          </cell>
          <cell r="BY54">
            <v>0.11995017465786198</v>
          </cell>
          <cell r="BZ54">
            <v>0.12351299057244179</v>
          </cell>
          <cell r="CA54">
            <v>0.13325733966030823</v>
          </cell>
          <cell r="CB54">
            <v>0.12389610196504622</v>
          </cell>
          <cell r="CC54">
            <v>0.13280265585989795</v>
          </cell>
          <cell r="CD54">
            <v>0.1239274228210754</v>
          </cell>
          <cell r="CE54">
            <v>0.12304429759966148</v>
          </cell>
          <cell r="CF54">
            <v>0.11405443281178276</v>
          </cell>
          <cell r="CG54">
            <v>0.12233100859329142</v>
          </cell>
          <cell r="CH54">
            <v>0.11639446589362104</v>
          </cell>
          <cell r="CI54">
            <v>0.11917872517648713</v>
          </cell>
          <cell r="CJ54">
            <v>0.11277471181449975</v>
          </cell>
          <cell r="CK54">
            <v>0.11930318647300756</v>
          </cell>
          <cell r="CL54">
            <v>0.10981276923738877</v>
          </cell>
          <cell r="CM54">
            <v>0.1138780178898687</v>
          </cell>
          <cell r="CN54">
            <v>0.10791646456978574</v>
          </cell>
          <cell r="CO54">
            <v>0.11312697977846736</v>
          </cell>
          <cell r="CP54">
            <v>0.10590300744125021</v>
          </cell>
          <cell r="CQ54">
            <v>0.10923179719758622</v>
          </cell>
          <cell r="CR54">
            <v>0.10389544469927361</v>
          </cell>
          <cell r="CS54">
            <v>0.10816104510130786</v>
          </cell>
          <cell r="CT54">
            <v>0.10296054306019919</v>
          </cell>
          <cell r="CU54">
            <v>0.10415742197166476</v>
          </cell>
          <cell r="CV54">
            <v>9.9230539233962092E-2</v>
          </cell>
          <cell r="CW54">
            <v>0.10278677721974687</v>
          </cell>
          <cell r="CX54">
            <v>9.8301424607558099E-2</v>
          </cell>
          <cell r="CY54">
            <v>9.9245769126744238E-2</v>
          </cell>
          <cell r="CZ54">
            <v>9.4814359825033195E-2</v>
          </cell>
          <cell r="DA54">
            <v>9.7945842695095264E-2</v>
          </cell>
          <cell r="DB54">
            <v>9.3755637289786919E-2</v>
          </cell>
          <cell r="DC54"/>
          <cell r="DD54"/>
          <cell r="DE54">
            <v>0</v>
          </cell>
          <cell r="DF54">
            <v>0</v>
          </cell>
          <cell r="DG54">
            <v>0</v>
          </cell>
          <cell r="DH54">
            <v>0</v>
          </cell>
          <cell r="DI54">
            <v>0</v>
          </cell>
          <cell r="DJ54">
            <v>0</v>
          </cell>
          <cell r="DK54">
            <v>5.6591902975672856E-3</v>
          </cell>
          <cell r="DL54">
            <v>1.9446816280270715E-2</v>
          </cell>
          <cell r="DM54">
            <v>2.7521925540000956E-2</v>
          </cell>
          <cell r="DN54">
            <v>3.5286731107978447E-2</v>
          </cell>
          <cell r="DO54">
            <v>5.3529650769702106E-2</v>
          </cell>
        </row>
        <row r="55">
          <cell r="A55" t="str">
            <v>% growth in revenue y-o-y</v>
          </cell>
          <cell r="B55"/>
          <cell r="C55"/>
          <cell r="D55"/>
          <cell r="E55"/>
          <cell r="F55"/>
          <cell r="G55"/>
          <cell r="H55"/>
          <cell r="I55"/>
          <cell r="J55"/>
          <cell r="K55"/>
          <cell r="L55"/>
          <cell r="M55"/>
          <cell r="N55"/>
          <cell r="O55"/>
          <cell r="P55"/>
          <cell r="Q55"/>
          <cell r="R55"/>
          <cell r="S55"/>
          <cell r="T55"/>
          <cell r="U55"/>
          <cell r="V55"/>
          <cell r="W55"/>
          <cell r="X55"/>
          <cell r="Y55"/>
          <cell r="Z55"/>
          <cell r="AA55"/>
          <cell r="AB55"/>
          <cell r="AC55"/>
          <cell r="AD55"/>
          <cell r="AE55"/>
          <cell r="AF55"/>
          <cell r="AG55"/>
          <cell r="AH55"/>
          <cell r="AI55"/>
          <cell r="AJ55"/>
          <cell r="AK55"/>
          <cell r="AL55"/>
          <cell r="AM55"/>
          <cell r="AN55"/>
          <cell r="AO55"/>
          <cell r="AP55"/>
          <cell r="AQ55"/>
          <cell r="AR55"/>
          <cell r="AS55"/>
          <cell r="AT55"/>
          <cell r="AU55"/>
          <cell r="AV55"/>
          <cell r="AW55"/>
          <cell r="AX55"/>
          <cell r="AY55"/>
          <cell r="AZ55"/>
          <cell r="BA55"/>
          <cell r="BB55"/>
          <cell r="BC55"/>
          <cell r="BD55"/>
          <cell r="BE55"/>
          <cell r="BF55"/>
          <cell r="BG55"/>
          <cell r="BH55"/>
          <cell r="BI55"/>
          <cell r="BJ55"/>
          <cell r="BK55"/>
          <cell r="BL55"/>
          <cell r="BM55"/>
          <cell r="BN55"/>
          <cell r="BO55"/>
          <cell r="BP55"/>
          <cell r="BQ55"/>
          <cell r="BR55"/>
          <cell r="BS55">
            <v>0.15361336399951586</v>
          </cell>
          <cell r="BT55">
            <v>0.22700240415032247</v>
          </cell>
          <cell r="BU55">
            <v>0.1917381137957912</v>
          </cell>
          <cell r="BV55">
            <v>0.18603773584905658</v>
          </cell>
          <cell r="BW55">
            <v>0.1331322140608604</v>
          </cell>
          <cell r="BX55">
            <v>4.6744353923894089E-2</v>
          </cell>
          <cell r="BY55">
            <v>4.9247874427730487E-2</v>
          </cell>
          <cell r="BZ55">
            <v>8.2532612153992879E-2</v>
          </cell>
          <cell r="CA55">
            <v>0.10395994906817907</v>
          </cell>
          <cell r="CB55">
            <v>0.10001458087855708</v>
          </cell>
          <cell r="CC55">
            <v>0.14388424858193605</v>
          </cell>
          <cell r="CD55">
            <v>6.2461203856101655E-2</v>
          </cell>
          <cell r="CE55">
            <v>-2.8549110509667353E-2</v>
          </cell>
          <cell r="CF55">
            <v>-1.4182450599287688E-2</v>
          </cell>
          <cell r="CG55">
            <v>-2.3454938287816751E-2</v>
          </cell>
          <cell r="CH55">
            <v>-3.1791000866569052E-2</v>
          </cell>
          <cell r="CI55">
            <v>-1.3312480228955592E-2</v>
          </cell>
          <cell r="CJ55">
            <v>2.8234000168407825E-2</v>
          </cell>
          <cell r="CK55">
            <v>1.5665185650451274E-2</v>
          </cell>
          <cell r="CL55">
            <v>7.0492691420702691E-3</v>
          </cell>
          <cell r="CM55">
            <v>2.9087400082040915E-2</v>
          </cell>
          <cell r="CN55">
            <v>2.5127927878741296E-2</v>
          </cell>
          <cell r="CO55">
            <v>1.8040638597500491E-2</v>
          </cell>
          <cell r="CP55">
            <v>1.35126045951528E-2</v>
          </cell>
          <cell r="CQ55">
            <v>3.2821984263416315E-2</v>
          </cell>
          <cell r="CR55">
            <v>2.9445459895512949E-2</v>
          </cell>
          <cell r="CS55">
            <v>2.3506801999809479E-2</v>
          </cell>
          <cell r="CT55">
            <v>1.9610466718594344E-2</v>
          </cell>
          <cell r="CU55">
            <v>3.4761665114331874E-2</v>
          </cell>
          <cell r="CV55">
            <v>3.1898871956442365E-2</v>
          </cell>
          <cell r="CW55">
            <v>2.6964667473727388E-2</v>
          </cell>
          <cell r="CX55">
            <v>2.3644062280162359E-2</v>
          </cell>
          <cell r="CY55">
            <v>3.5360373033697545E-2</v>
          </cell>
          <cell r="CZ55">
            <v>3.2937470608603414E-2</v>
          </cell>
          <cell r="DA55">
            <v>2.8853956457694396E-2</v>
          </cell>
          <cell r="DB55">
            <v>2.603815153369804E-2</v>
          </cell>
          <cell r="DC55"/>
          <cell r="DD55" t="str">
            <v>NA</v>
          </cell>
          <cell r="DE55" t="str">
            <v>NA</v>
          </cell>
          <cell r="DF55" t="str">
            <v>NA</v>
          </cell>
          <cell r="DG55" t="str">
            <v>NA</v>
          </cell>
          <cell r="DH55" t="str">
            <v>NA</v>
          </cell>
          <cell r="DI55" t="str">
            <v>NA</v>
          </cell>
          <cell r="DJ55" t="str">
            <v>NA</v>
          </cell>
          <cell r="DK55" t="str">
            <v>NA</v>
          </cell>
          <cell r="DL55">
            <v>3.2894180767192962</v>
          </cell>
          <cell r="DM55">
            <v>0.73666574017249054</v>
          </cell>
          <cell r="DN55">
            <v>0.45844312228833761</v>
          </cell>
          <cell r="DO55">
            <v>0.54643676894168736</v>
          </cell>
        </row>
        <row r="56">
          <cell r="A56" t="str">
            <v>% growth in revenue seq</v>
          </cell>
          <cell r="B56"/>
          <cell r="C56"/>
          <cell r="D56"/>
          <cell r="E56"/>
          <cell r="F56"/>
          <cell r="G56"/>
          <cell r="H56"/>
          <cell r="I56"/>
          <cell r="J56"/>
          <cell r="K56"/>
          <cell r="L56"/>
          <cell r="M56"/>
          <cell r="N56"/>
          <cell r="O56"/>
          <cell r="P56"/>
          <cell r="Q56"/>
          <cell r="R56"/>
          <cell r="S56"/>
          <cell r="T56"/>
          <cell r="U56"/>
          <cell r="V56"/>
          <cell r="W56"/>
          <cell r="X56"/>
          <cell r="Y56"/>
          <cell r="Z56"/>
          <cell r="AA56"/>
          <cell r="AB56"/>
          <cell r="AC56"/>
          <cell r="AD56"/>
          <cell r="AE56"/>
          <cell r="AF56"/>
          <cell r="AG56"/>
          <cell r="AH56"/>
          <cell r="AI56"/>
          <cell r="AJ56"/>
          <cell r="AK56"/>
          <cell r="AL56"/>
          <cell r="AM56"/>
          <cell r="AN56"/>
          <cell r="AO56"/>
          <cell r="AP56"/>
          <cell r="AQ56"/>
          <cell r="AR56"/>
          <cell r="AS56"/>
          <cell r="AT56"/>
          <cell r="AU56"/>
          <cell r="AV56"/>
          <cell r="AW56"/>
          <cell r="AX56"/>
          <cell r="AY56"/>
          <cell r="AZ56"/>
          <cell r="BA56"/>
          <cell r="BB56"/>
          <cell r="BC56"/>
          <cell r="BD56"/>
          <cell r="BE56"/>
          <cell r="BF56"/>
          <cell r="BG56"/>
          <cell r="BH56"/>
          <cell r="BI56"/>
          <cell r="BJ56"/>
          <cell r="BK56"/>
          <cell r="BL56"/>
          <cell r="BM56"/>
          <cell r="BN56"/>
          <cell r="BO56"/>
          <cell r="BP56"/>
          <cell r="BQ56"/>
          <cell r="BR56"/>
          <cell r="BS56">
            <v>-1.0482180293492904E-3</v>
          </cell>
          <cell r="BT56">
            <v>5.665913310194548E-2</v>
          </cell>
          <cell r="BU56">
            <v>2.4904609673094269E-2</v>
          </cell>
          <cell r="BV56">
            <v>9.6315674732940337E-2</v>
          </cell>
          <cell r="BW56">
            <v>-4.5608406688584124E-2</v>
          </cell>
          <cell r="BX56">
            <v>-2.3898563758269487E-2</v>
          </cell>
          <cell r="BY56">
            <v>2.7355895600909008E-2</v>
          </cell>
          <cell r="BZ56">
            <v>0.13109351949967718</v>
          </cell>
          <cell r="CA56">
            <v>-2.6717455978785498E-2</v>
          </cell>
          <cell r="CB56">
            <v>-2.7386987010981634E-2</v>
          </cell>
          <cell r="CC56">
            <v>6.832786318803219E-2</v>
          </cell>
          <cell r="CD56">
            <v>5.058093412095932E-2</v>
          </cell>
          <cell r="CE56">
            <v>-0.11008873577384826</v>
          </cell>
          <cell r="CF56">
            <v>-1.3003140608458974E-2</v>
          </cell>
          <cell r="CG56">
            <v>5.827929287728284E-2</v>
          </cell>
          <cell r="CH56">
            <v>4.1612880567422961E-2</v>
          </cell>
          <cell r="CI56">
            <v>-9.3104547776870716E-2</v>
          </cell>
          <cell r="CJ56">
            <v>2.8556365161397368E-2</v>
          </cell>
          <cell r="CK56">
            <v>4.5343213990385323E-2</v>
          </cell>
          <cell r="CL56">
            <v>3.2776849028864463E-2</v>
          </cell>
          <cell r="CM56">
            <v>-7.3258169513785276E-2</v>
          </cell>
          <cell r="CN56">
            <v>2.4598936145106887E-2</v>
          </cell>
          <cell r="CO56">
            <v>3.8116165000448676E-2</v>
          </cell>
          <cell r="CP56">
            <v>2.8183271413257049E-2</v>
          </cell>
          <cell r="CQ56">
            <v>-5.5601941285160605E-2</v>
          </cell>
          <cell r="CR56">
            <v>2.1249294747137437E-2</v>
          </cell>
          <cell r="CS56">
            <v>3.212748760071249E-2</v>
          </cell>
          <cell r="CT56">
            <v>2.4269133521710895E-2</v>
          </cell>
          <cell r="CU56">
            <v>-4.1568383549932864E-2</v>
          </cell>
          <cell r="CV56">
            <v>1.8423885194321699E-2</v>
          </cell>
          <cell r="CW56">
            <v>2.7192189952409684E-2</v>
          </cell>
          <cell r="CX56">
            <v>2.0957244113921414E-2</v>
          </cell>
          <cell r="CY56">
            <v>-3.0598474117420893E-2</v>
          </cell>
          <cell r="CZ56">
            <v>1.6040616754192882E-2</v>
          </cell>
          <cell r="DA56">
            <v>2.3131388633136796E-2</v>
          </cell>
          <cell r="DB56">
            <v>1.8163051199444169E-2</v>
          </cell>
          <cell r="DC56"/>
          <cell r="DD56"/>
          <cell r="DE56"/>
          <cell r="DF56"/>
          <cell r="DG56"/>
          <cell r="DH56"/>
          <cell r="DI56"/>
          <cell r="DJ56"/>
          <cell r="DK56"/>
          <cell r="DL56"/>
          <cell r="DM56"/>
          <cell r="DN56"/>
          <cell r="DO56"/>
        </row>
        <row r="57">
          <cell r="A57"/>
          <cell r="B57"/>
          <cell r="C57"/>
          <cell r="D57"/>
          <cell r="E57"/>
          <cell r="F57"/>
          <cell r="G57"/>
          <cell r="H57"/>
          <cell r="I57"/>
          <cell r="J57"/>
          <cell r="K57"/>
          <cell r="L57"/>
          <cell r="M57"/>
          <cell r="N57"/>
          <cell r="O57"/>
          <cell r="P57"/>
          <cell r="Q57"/>
          <cell r="R57"/>
          <cell r="S57"/>
          <cell r="T57"/>
          <cell r="U57"/>
          <cell r="V57"/>
          <cell r="W57"/>
          <cell r="X57"/>
          <cell r="Y57"/>
          <cell r="Z57"/>
          <cell r="AA57"/>
          <cell r="AB57"/>
          <cell r="AC57"/>
          <cell r="AD57"/>
          <cell r="AE57"/>
          <cell r="AF57"/>
          <cell r="AG57"/>
          <cell r="AH57"/>
          <cell r="AI57"/>
          <cell r="AJ57"/>
          <cell r="AK57"/>
          <cell r="AL57"/>
          <cell r="AM57"/>
          <cell r="AN57"/>
          <cell r="AO57"/>
          <cell r="AP57"/>
          <cell r="AQ57"/>
          <cell r="AR57"/>
          <cell r="AS57"/>
          <cell r="AT57"/>
          <cell r="AU57"/>
          <cell r="AV57"/>
          <cell r="AW57"/>
          <cell r="AX57"/>
          <cell r="AY57"/>
          <cell r="AZ57"/>
          <cell r="BA57"/>
          <cell r="BB57"/>
          <cell r="BC57"/>
          <cell r="BD57"/>
          <cell r="BE57"/>
          <cell r="BF57"/>
          <cell r="BG57"/>
          <cell r="BH57"/>
          <cell r="BI57"/>
          <cell r="BJ57"/>
          <cell r="BK57"/>
          <cell r="BL57"/>
          <cell r="BM57"/>
          <cell r="BN57"/>
          <cell r="BO57"/>
          <cell r="BP57"/>
          <cell r="BQ57"/>
          <cell r="BR57"/>
          <cell r="BS57"/>
          <cell r="BT57"/>
          <cell r="BU57"/>
          <cell r="BV57"/>
          <cell r="BW57"/>
          <cell r="BX57"/>
          <cell r="BY57"/>
          <cell r="BZ57"/>
          <cell r="CA57"/>
          <cell r="CB57"/>
          <cell r="CC57"/>
          <cell r="CD57"/>
          <cell r="CE57"/>
          <cell r="CF57"/>
          <cell r="CG57"/>
          <cell r="CH57"/>
          <cell r="CI57"/>
          <cell r="CJ57"/>
          <cell r="CK57"/>
          <cell r="CL57"/>
          <cell r="CM57"/>
          <cell r="CN57"/>
          <cell r="CO57"/>
          <cell r="CP57"/>
          <cell r="CQ57"/>
          <cell r="CR57"/>
          <cell r="CS57"/>
          <cell r="CT57"/>
          <cell r="CU57"/>
          <cell r="CV57"/>
          <cell r="CW57"/>
          <cell r="CX57"/>
          <cell r="CY57"/>
          <cell r="CZ57"/>
          <cell r="DA57"/>
          <cell r="DB57"/>
          <cell r="DC57"/>
          <cell r="DD57"/>
          <cell r="DE57"/>
          <cell r="DF57"/>
          <cell r="DG57"/>
          <cell r="DH57"/>
          <cell r="DI57"/>
          <cell r="DJ57"/>
          <cell r="DK57"/>
          <cell r="DL57"/>
          <cell r="DM57"/>
          <cell r="DN57"/>
          <cell r="DO57"/>
        </row>
        <row r="58">
          <cell r="A58" t="str">
            <v>Data</v>
          </cell>
          <cell r="B58"/>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0.8</v>
          </cell>
          <cell r="BX58">
            <v>1.1350624181966091</v>
          </cell>
          <cell r="BY58">
            <v>1.5834772356835463</v>
          </cell>
          <cell r="BZ58">
            <v>1.8148148816186764</v>
          </cell>
          <cell r="CA58">
            <v>2.1810610768759617</v>
          </cell>
          <cell r="CB58">
            <v>2.5516317140229088</v>
          </cell>
          <cell r="CC58">
            <v>2.8282299327241858</v>
          </cell>
          <cell r="CD58">
            <v>2.3637351347458369</v>
          </cell>
          <cell r="CE58">
            <v>2.6167697075892917</v>
          </cell>
          <cell r="CF58">
            <v>2.7199956542271266</v>
          </cell>
          <cell r="CG58">
            <v>2.8199957900325288</v>
          </cell>
          <cell r="CH58">
            <v>2.9168709215940121</v>
          </cell>
          <cell r="CI58">
            <v>3.0107187052941993</v>
          </cell>
          <cell r="CJ58">
            <v>3.0253441957957405</v>
          </cell>
          <cell r="CK58">
            <v>3.0433271172170095</v>
          </cell>
          <cell r="CL58">
            <v>3.0643718259668695</v>
          </cell>
          <cell r="CM58">
            <v>3.0882014535101519</v>
          </cell>
          <cell r="CN58">
            <v>3.0638916393962607</v>
          </cell>
          <cell r="CO58">
            <v>3.0447645264484651</v>
          </cell>
          <cell r="CP58">
            <v>3.0305556770363791</v>
          </cell>
          <cell r="CQ58">
            <v>3.0210024705229195</v>
          </cell>
          <cell r="CR58">
            <v>2.9790412103418</v>
          </cell>
          <cell r="CS58">
            <v>2.9426522883120372</v>
          </cell>
          <cell r="CT58">
            <v>2.9116499686086934</v>
          </cell>
          <cell r="CU58">
            <v>2.8858394371120988</v>
          </cell>
          <cell r="CV58">
            <v>2.8364156086585326</v>
          </cell>
          <cell r="CW58">
            <v>2.7924796231646547</v>
          </cell>
          <cell r="CX58">
            <v>2.7539117042327739</v>
          </cell>
          <cell r="CY58">
            <v>2.7205781249619947</v>
          </cell>
          <cell r="CZ58">
            <v>2.6689211125531247</v>
          </cell>
          <cell r="DA58">
            <v>2.6225116870653307</v>
          </cell>
          <cell r="DB58">
            <v>2.5812786067992284</v>
          </cell>
          <cell r="DC58"/>
          <cell r="DD58"/>
          <cell r="DE58">
            <v>0</v>
          </cell>
          <cell r="DF58">
            <v>0</v>
          </cell>
          <cell r="DG58">
            <v>0</v>
          </cell>
          <cell r="DH58">
            <v>0</v>
          </cell>
          <cell r="DI58">
            <v>0</v>
          </cell>
          <cell r="DJ58">
            <v>0</v>
          </cell>
          <cell r="DK58">
            <v>0</v>
          </cell>
          <cell r="DL58">
            <v>0</v>
          </cell>
          <cell r="DM58">
            <v>0</v>
          </cell>
          <cell r="DN58">
            <v>0</v>
          </cell>
          <cell r="DO58">
            <v>0</v>
          </cell>
        </row>
        <row r="59">
          <cell r="A59" t="str">
            <v>% of revenue</v>
          </cell>
          <cell r="B59"/>
          <cell r="C59"/>
          <cell r="D59"/>
          <cell r="E59"/>
          <cell r="F59"/>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cell r="BA59"/>
          <cell r="BB59"/>
          <cell r="BC59"/>
          <cell r="BD59"/>
          <cell r="BE59"/>
          <cell r="BF59"/>
          <cell r="BG59"/>
          <cell r="BH59"/>
          <cell r="BI59"/>
          <cell r="BJ59"/>
          <cell r="BK59"/>
          <cell r="BL59"/>
          <cell r="BM59"/>
          <cell r="BN59"/>
          <cell r="BO59"/>
          <cell r="BP59"/>
          <cell r="BQ59"/>
          <cell r="BR59"/>
          <cell r="BS59">
            <v>0</v>
          </cell>
          <cell r="BT59">
            <v>0</v>
          </cell>
          <cell r="BU59">
            <v>0</v>
          </cell>
          <cell r="BV59">
            <v>0</v>
          </cell>
          <cell r="BW59">
            <v>1.2143788528066574E-3</v>
          </cell>
          <cell r="BX59">
            <v>1.684101352394941E-3</v>
          </cell>
          <cell r="BY59">
            <v>2.3678659974691752E-3</v>
          </cell>
          <cell r="BZ59">
            <v>2.4705341820930979E-3</v>
          </cell>
          <cell r="CA59">
            <v>3.2912883303267836E-3</v>
          </cell>
          <cell r="CB59">
            <v>3.6808025567713152E-3</v>
          </cell>
          <cell r="CC59">
            <v>4.0933964362618027E-3</v>
          </cell>
          <cell r="CD59">
            <v>3.0387785090907923E-3</v>
          </cell>
          <cell r="CE59">
            <v>3.7532985283670662E-3</v>
          </cell>
          <cell r="CF59">
            <v>3.6639599849496228E-3</v>
          </cell>
          <cell r="CG59">
            <v>3.8499497458381283E-3</v>
          </cell>
          <cell r="CH59">
            <v>3.637585795196244E-3</v>
          </cell>
          <cell r="CI59">
            <v>4.2391169172639404E-3</v>
          </cell>
          <cell r="CJ59">
            <v>3.918906483737581E-3</v>
          </cell>
          <cell r="CK59">
            <v>3.9895155041024056E-3</v>
          </cell>
          <cell r="CL59">
            <v>3.5802000004466848E-3</v>
          </cell>
          <cell r="CM59">
            <v>4.0373810480055419E-3</v>
          </cell>
          <cell r="CN59">
            <v>3.7047715046470663E-3</v>
          </cell>
          <cell r="CO59">
            <v>3.7176993637002185E-3</v>
          </cell>
          <cell r="CP59">
            <v>3.3691037907823762E-3</v>
          </cell>
          <cell r="CQ59">
            <v>3.6679964243868583E-3</v>
          </cell>
          <cell r="CR59">
            <v>3.3687593796959464E-3</v>
          </cell>
          <cell r="CS59">
            <v>3.3563979933196181E-3</v>
          </cell>
          <cell r="CT59">
            <v>3.0864520421259099E-3</v>
          </cell>
          <cell r="CU59">
            <v>3.2288717783802352E-3</v>
          </cell>
          <cell r="CV59">
            <v>2.9687597596840974E-3</v>
          </cell>
          <cell r="CW59">
            <v>2.9473749640232384E-3</v>
          </cell>
          <cell r="CX59">
            <v>2.7227664880563832E-3</v>
          </cell>
          <cell r="CY59">
            <v>2.801367446315684E-3</v>
          </cell>
          <cell r="CZ59">
            <v>2.5840187396666504E-3</v>
          </cell>
          <cell r="DA59">
            <v>2.5636447002984611E-3</v>
          </cell>
          <cell r="DB59">
            <v>2.3722985080867429E-3</v>
          </cell>
          <cell r="DC59"/>
          <cell r="DD59"/>
          <cell r="DE59">
            <v>0</v>
          </cell>
          <cell r="DF59">
            <v>0</v>
          </cell>
          <cell r="DG59">
            <v>0</v>
          </cell>
          <cell r="DH59">
            <v>0</v>
          </cell>
          <cell r="DI59">
            <v>0</v>
          </cell>
          <cell r="DJ59">
            <v>0</v>
          </cell>
          <cell r="DK59">
            <v>0</v>
          </cell>
          <cell r="DL59">
            <v>0</v>
          </cell>
          <cell r="DM59">
            <v>0</v>
          </cell>
          <cell r="DN59">
            <v>0</v>
          </cell>
          <cell r="DO59">
            <v>0</v>
          </cell>
        </row>
        <row r="60">
          <cell r="A60" t="str">
            <v>% growth in revenue y-o-y</v>
          </cell>
          <cell r="B60"/>
          <cell r="C60"/>
          <cell r="D60"/>
          <cell r="E60"/>
          <cell r="F60"/>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t="str">
            <v>NA</v>
          </cell>
          <cell r="BT60" t="str">
            <v>NA</v>
          </cell>
          <cell r="BU60" t="str">
            <v>NA</v>
          </cell>
          <cell r="BV60" t="str">
            <v>NA</v>
          </cell>
          <cell r="BW60" t="str">
            <v>NA</v>
          </cell>
          <cell r="BX60" t="str">
            <v>NA</v>
          </cell>
          <cell r="BY60" t="str">
            <v>NA</v>
          </cell>
          <cell r="BZ60" t="str">
            <v>NA</v>
          </cell>
          <cell r="CA60">
            <v>1.7263263460949521</v>
          </cell>
          <cell r="CB60">
            <v>1.2480100416653293</v>
          </cell>
          <cell r="CC60">
            <v>0.78608815396282727</v>
          </cell>
          <cell r="CD60">
            <v>0.30246625079334</v>
          </cell>
          <cell r="CE60">
            <v>0.1997691102430823</v>
          </cell>
          <cell r="CF60">
            <v>6.5982852963829552E-2</v>
          </cell>
          <cell r="CG60">
            <v>-2.9114120448211489E-3</v>
          </cell>
          <cell r="CH60">
            <v>0.23400920801883829</v>
          </cell>
          <cell r="CI60">
            <v>0.15054782870741601</v>
          </cell>
          <cell r="CJ60">
            <v>0.11226067258382333</v>
          </cell>
          <cell r="CK60">
            <v>7.9195624324639446E-2</v>
          </cell>
          <cell r="CL60">
            <v>5.0568197338074494E-2</v>
          </cell>
          <cell r="CM60">
            <v>2.5735631854182595E-2</v>
          </cell>
          <cell r="CN60">
            <v>1.2741506785934886E-2</v>
          </cell>
          <cell r="CO60">
            <v>4.7231506048883709E-4</v>
          </cell>
          <cell r="CP60">
            <v>-1.1035262967744042E-2</v>
          </cell>
          <cell r="CQ60">
            <v>-2.1759909124727583E-2</v>
          </cell>
          <cell r="CR60">
            <v>-2.7693678184774306E-2</v>
          </cell>
          <cell r="CS60">
            <v>-3.3536990216953111E-2</v>
          </cell>
          <cell r="CT60">
            <v>-3.9235612573851553E-2</v>
          </cell>
          <cell r="CU60">
            <v>-4.4741119787109818E-2</v>
          </cell>
          <cell r="CV60">
            <v>-4.7876343968703661E-2</v>
          </cell>
          <cell r="CW60">
            <v>-5.1033098862497406E-2</v>
          </cell>
          <cell r="CX60">
            <v>-5.4174872006092611E-2</v>
          </cell>
          <cell r="CY60">
            <v>-5.7266287938556815E-2</v>
          </cell>
          <cell r="CZ60">
            <v>-5.9051464670448417E-2</v>
          </cell>
          <cell r="DA60">
            <v>-6.0866312036577441E-2</v>
          </cell>
          <cell r="DB60">
            <v>-6.2686504134539911E-2</v>
          </cell>
          <cell r="DC60"/>
          <cell r="DD60" t="str">
            <v>NA</v>
          </cell>
          <cell r="DE60" t="str">
            <v>NA</v>
          </cell>
          <cell r="DF60" t="str">
            <v>NA</v>
          </cell>
          <cell r="DG60" t="str">
            <v>NA</v>
          </cell>
          <cell r="DH60" t="str">
            <v>NA</v>
          </cell>
          <cell r="DI60" t="str">
            <v>NA</v>
          </cell>
          <cell r="DJ60" t="str">
            <v>NA</v>
          </cell>
          <cell r="DK60" t="str">
            <v>NA</v>
          </cell>
          <cell r="DL60" t="str">
            <v>NA</v>
          </cell>
          <cell r="DM60" t="str">
            <v>NA</v>
          </cell>
          <cell r="DN60" t="str">
            <v>NA</v>
          </cell>
          <cell r="DO60" t="str">
            <v>NA</v>
          </cell>
        </row>
        <row r="61">
          <cell r="A61" t="str">
            <v>% growth in revenue seq</v>
          </cell>
          <cell r="B61"/>
          <cell r="C61"/>
          <cell r="D61"/>
          <cell r="E61"/>
          <cell r="F61"/>
          <cell r="G61"/>
          <cell r="H61"/>
          <cell r="I61"/>
          <cell r="J61"/>
          <cell r="K61"/>
          <cell r="L61"/>
          <cell r="M61"/>
          <cell r="N61"/>
          <cell r="O61"/>
          <cell r="P61"/>
          <cell r="Q61"/>
          <cell r="R61"/>
          <cell r="S61"/>
          <cell r="T61"/>
          <cell r="U61"/>
          <cell r="V61"/>
          <cell r="W61"/>
          <cell r="X61"/>
          <cell r="Y61"/>
          <cell r="Z61"/>
          <cell r="AA61"/>
          <cell r="AB61"/>
          <cell r="AC61"/>
          <cell r="AD61"/>
          <cell r="AE61"/>
          <cell r="AF61"/>
          <cell r="AG61"/>
          <cell r="AH61"/>
          <cell r="AI61"/>
          <cell r="AJ61"/>
          <cell r="AK61"/>
          <cell r="AL61"/>
          <cell r="AM61"/>
          <cell r="AN61"/>
          <cell r="AO61"/>
          <cell r="AP61"/>
          <cell r="AQ61"/>
          <cell r="AR61"/>
          <cell r="AS61"/>
          <cell r="AT61"/>
          <cell r="AU61"/>
          <cell r="AV61"/>
          <cell r="AW61"/>
          <cell r="AX61"/>
          <cell r="AY61"/>
          <cell r="AZ61"/>
          <cell r="BA61"/>
          <cell r="BB61"/>
          <cell r="BC61"/>
          <cell r="BD61"/>
          <cell r="BE61"/>
          <cell r="BF61"/>
          <cell r="BG61"/>
          <cell r="BH61"/>
          <cell r="BI61"/>
          <cell r="BJ61"/>
          <cell r="BK61"/>
          <cell r="BL61"/>
          <cell r="BM61"/>
          <cell r="BN61"/>
          <cell r="BO61"/>
          <cell r="BP61"/>
          <cell r="BQ61"/>
          <cell r="BR61"/>
          <cell r="BS61" t="str">
            <v>NA</v>
          </cell>
          <cell r="BT61" t="str">
            <v>NA</v>
          </cell>
          <cell r="BU61" t="str">
            <v>NA</v>
          </cell>
          <cell r="BV61" t="str">
            <v>NA</v>
          </cell>
          <cell r="BW61" t="str">
            <v>NA</v>
          </cell>
          <cell r="BX61">
            <v>0.41882802274576125</v>
          </cell>
          <cell r="BY61">
            <v>0.39505740856029758</v>
          </cell>
          <cell r="BZ61">
            <v>0.14609470898725463</v>
          </cell>
          <cell r="CA61">
            <v>0.2018091205702599</v>
          </cell>
          <cell r="CB61">
            <v>0.16990383308189294</v>
          </cell>
          <cell r="CC61">
            <v>0.1084005255073397</v>
          </cell>
          <cell r="CD61">
            <v>-0.16423516087001522</v>
          </cell>
          <cell r="CE61">
            <v>0.1070486151870238</v>
          </cell>
          <cell r="CF61">
            <v>3.9447852953377494E-2</v>
          </cell>
          <cell r="CG61">
            <v>3.6764814550344083E-2</v>
          </cell>
          <cell r="CH61">
            <v>3.43529348178091E-2</v>
          </cell>
          <cell r="CI61">
            <v>3.2174129820218944E-2</v>
          </cell>
          <cell r="CJ61">
            <v>4.857807033192163E-3</v>
          </cell>
          <cell r="CK61">
            <v>5.9440910711117123E-3</v>
          </cell>
          <cell r="CL61">
            <v>6.9150334286458559E-3</v>
          </cell>
          <cell r="CM61">
            <v>7.7763499002814207E-3</v>
          </cell>
          <cell r="CN61">
            <v>-7.8718355909909166E-3</v>
          </cell>
          <cell r="CO61">
            <v>-6.2427511149071302E-3</v>
          </cell>
          <cell r="CP61">
            <v>-4.6666496829755877E-3</v>
          </cell>
          <cell r="CQ61">
            <v>-3.1522953317927316E-3</v>
          </cell>
          <cell r="CR61">
            <v>-1.3889846364096514E-2</v>
          </cell>
          <cell r="CS61">
            <v>-1.2214977726201948E-2</v>
          </cell>
          <cell r="CT61">
            <v>-1.0535502215631265E-2</v>
          </cell>
          <cell r="CU61">
            <v>-8.8645722442137753E-3</v>
          </cell>
          <cell r="CV61">
            <v>-1.7126326509358858E-2</v>
          </cell>
          <cell r="CW61">
            <v>-1.5489967464484944E-2</v>
          </cell>
          <cell r="CX61">
            <v>-1.3811351965452356E-2</v>
          </cell>
          <cell r="CY61">
            <v>-1.2104084244801805E-2</v>
          </cell>
          <cell r="CZ61">
            <v>-1.898751296090484E-2</v>
          </cell>
          <cell r="DA61">
            <v>-1.7388833738663068E-2</v>
          </cell>
          <cell r="DB61">
            <v>-1.5722744142369627E-2</v>
          </cell>
          <cell r="DC61"/>
          <cell r="DD61"/>
          <cell r="DE61"/>
          <cell r="DF61"/>
          <cell r="DG61"/>
          <cell r="DH61"/>
          <cell r="DI61"/>
          <cell r="DJ61"/>
          <cell r="DK61"/>
          <cell r="DL61"/>
          <cell r="DM61"/>
          <cell r="DN61"/>
          <cell r="DO61"/>
        </row>
        <row r="62">
          <cell r="A62"/>
          <cell r="B62"/>
          <cell r="C62"/>
          <cell r="D62"/>
          <cell r="E62"/>
          <cell r="F62"/>
          <cell r="G62"/>
          <cell r="H62"/>
          <cell r="I62"/>
          <cell r="J62"/>
          <cell r="K62"/>
          <cell r="L62"/>
          <cell r="M62"/>
          <cell r="N62"/>
          <cell r="O62"/>
          <cell r="P62"/>
          <cell r="Q62"/>
          <cell r="R62"/>
          <cell r="S62"/>
          <cell r="T62"/>
          <cell r="U62"/>
          <cell r="V62"/>
          <cell r="W62"/>
          <cell r="X62"/>
          <cell r="Y62"/>
          <cell r="Z62"/>
          <cell r="AA62"/>
          <cell r="AB62"/>
          <cell r="AC62"/>
          <cell r="AD62"/>
          <cell r="AE62"/>
          <cell r="AF62"/>
          <cell r="AG62"/>
          <cell r="AH62"/>
          <cell r="AI62"/>
          <cell r="AJ62"/>
          <cell r="AK62"/>
          <cell r="AL62"/>
          <cell r="AM62"/>
          <cell r="AN62"/>
          <cell r="AO62"/>
          <cell r="AP62"/>
          <cell r="AQ62"/>
          <cell r="AR62"/>
          <cell r="AS62"/>
          <cell r="AT62"/>
          <cell r="AU62"/>
          <cell r="AV62"/>
          <cell r="AW62"/>
          <cell r="AX62"/>
          <cell r="AY62"/>
          <cell r="AZ62"/>
          <cell r="BA62"/>
          <cell r="BB62"/>
          <cell r="BC62"/>
          <cell r="BD62"/>
          <cell r="BE62"/>
          <cell r="BF62"/>
          <cell r="BG62"/>
          <cell r="BH62"/>
          <cell r="BI62"/>
          <cell r="BJ62"/>
          <cell r="BK62"/>
          <cell r="BL62"/>
          <cell r="BM62"/>
          <cell r="BN62"/>
          <cell r="BO62"/>
          <cell r="BP62"/>
          <cell r="BQ62"/>
          <cell r="BR62"/>
          <cell r="BS62"/>
          <cell r="BT62"/>
          <cell r="BU62"/>
          <cell r="BV62"/>
          <cell r="BW62"/>
          <cell r="BX62"/>
          <cell r="BY62"/>
          <cell r="BZ62"/>
          <cell r="CA62"/>
          <cell r="CB62"/>
          <cell r="CC62"/>
          <cell r="CD62"/>
          <cell r="CE62"/>
          <cell r="CF62"/>
          <cell r="CG62"/>
          <cell r="CH62"/>
          <cell r="CI62"/>
          <cell r="CJ62"/>
          <cell r="CK62"/>
          <cell r="CL62"/>
          <cell r="CM62"/>
          <cell r="CN62"/>
          <cell r="CO62"/>
          <cell r="CP62"/>
          <cell r="CQ62"/>
          <cell r="CR62"/>
          <cell r="CS62"/>
          <cell r="CT62"/>
          <cell r="CU62"/>
          <cell r="CV62"/>
          <cell r="CW62"/>
          <cell r="CX62"/>
          <cell r="CY62"/>
          <cell r="CZ62"/>
          <cell r="DA62"/>
          <cell r="DB62"/>
          <cell r="DC62"/>
          <cell r="DD62"/>
          <cell r="DE62"/>
          <cell r="DF62"/>
          <cell r="DG62"/>
          <cell r="DH62"/>
          <cell r="DI62"/>
          <cell r="DJ62"/>
          <cell r="DK62"/>
          <cell r="DL62"/>
          <cell r="DM62"/>
          <cell r="DN62"/>
          <cell r="DO62"/>
        </row>
        <row r="63">
          <cell r="A63" t="str">
            <v>Check Subscription</v>
          </cell>
          <cell r="B63"/>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19.06422058144117</v>
          </cell>
          <cell r="BP63">
            <v>20.88190010984075</v>
          </cell>
          <cell r="BQ63">
            <v>21.777032443823195</v>
          </cell>
          <cell r="BR63">
            <v>22.434471338366286</v>
          </cell>
          <cell r="BS63">
            <v>42.296247666666659</v>
          </cell>
          <cell r="BT63">
            <v>46.458858891472872</v>
          </cell>
          <cell r="BU63">
            <v>49.099045585937503</v>
          </cell>
          <cell r="BV63">
            <v>54.773035116666669</v>
          </cell>
          <cell r="BW63">
            <v>57.099934349999998</v>
          </cell>
          <cell r="BX63">
            <v>59.931927970000004</v>
          </cell>
          <cell r="BY63">
            <v>62.846778350000001</v>
          </cell>
          <cell r="BZ63">
            <v>65.72764214</v>
          </cell>
          <cell r="CA63">
            <v>69.857370950000004</v>
          </cell>
          <cell r="CB63">
            <v>74.595950569999999</v>
          </cell>
          <cell r="CC63">
            <v>81.399999999999991</v>
          </cell>
          <cell r="CD63">
            <v>89.595242080900007</v>
          </cell>
          <cell r="CE63">
            <v>103.208</v>
          </cell>
          <cell r="CF63">
            <v>110.83099999999996</v>
          </cell>
          <cell r="CG63">
            <v>111.46300000000014</v>
          </cell>
          <cell r="CH63">
            <v>129.78369296000011</v>
          </cell>
          <cell r="CI63">
            <v>138.28279422571927</v>
          </cell>
          <cell r="CJ63">
            <v>151.41759524824829</v>
          </cell>
          <cell r="CK63">
            <v>161.05703036068073</v>
          </cell>
          <cell r="CL63">
            <v>187.50133185071439</v>
          </cell>
          <cell r="CM63">
            <v>198.67731403295801</v>
          </cell>
          <cell r="CN63">
            <v>215.39505861625634</v>
          </cell>
          <cell r="CO63">
            <v>227.55072124542733</v>
          </cell>
          <cell r="CP63">
            <v>262.02110763882945</v>
          </cell>
          <cell r="CQ63">
            <v>275.5652998436567</v>
          </cell>
          <cell r="CR63">
            <v>295.67788720398653</v>
          </cell>
          <cell r="CS63">
            <v>310.25893757400797</v>
          </cell>
          <cell r="CT63">
            <v>353.15687911348635</v>
          </cell>
          <cell r="CU63">
            <v>366.90710180025508</v>
          </cell>
          <cell r="CV63">
            <v>387.7724490576191</v>
          </cell>
          <cell r="CW63">
            <v>402.53232190790607</v>
          </cell>
          <cell r="CX63">
            <v>448.81656721608277</v>
          </cell>
          <cell r="CY63">
            <v>461.20149676843948</v>
          </cell>
          <cell r="CZ63">
            <v>480.97777646851051</v>
          </cell>
          <cell r="DA63">
            <v>494.40450279579727</v>
          </cell>
          <cell r="DB63">
            <v>540.76382335141341</v>
          </cell>
          <cell r="DC63"/>
          <cell r="DD63">
            <v>0</v>
          </cell>
          <cell r="DE63">
            <v>0</v>
          </cell>
          <cell r="DF63">
            <v>0</v>
          </cell>
          <cell r="DG63">
            <v>0</v>
          </cell>
          <cell r="DH63">
            <v>0</v>
          </cell>
          <cell r="DI63">
            <v>0</v>
          </cell>
          <cell r="DJ63">
            <v>0</v>
          </cell>
          <cell r="DK63">
            <v>0</v>
          </cell>
          <cell r="DL63">
            <v>0</v>
          </cell>
          <cell r="DM63">
            <v>0</v>
          </cell>
          <cell r="DN63">
            <v>0</v>
          </cell>
          <cell r="DO63">
            <v>0</v>
          </cell>
        </row>
        <row r="64">
          <cell r="A64" t="str">
            <v>$ Delta</v>
          </cell>
          <cell r="B64"/>
          <cell r="C64"/>
          <cell r="D64"/>
          <cell r="E64"/>
          <cell r="F64"/>
          <cell r="G64"/>
          <cell r="H64"/>
          <cell r="I64"/>
          <cell r="J64"/>
          <cell r="K64"/>
          <cell r="L64"/>
          <cell r="M64"/>
          <cell r="N64"/>
          <cell r="O64"/>
          <cell r="P64"/>
          <cell r="Q64"/>
          <cell r="R64"/>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cell r="BM64">
            <v>0</v>
          </cell>
          <cell r="BN64">
            <v>0</v>
          </cell>
          <cell r="BO64">
            <v>-19.06422058144117</v>
          </cell>
          <cell r="BP64">
            <v>-20.88190010984075</v>
          </cell>
          <cell r="BQ64">
            <v>-21.777032443823195</v>
          </cell>
          <cell r="BR64">
            <v>-22.434471338366286</v>
          </cell>
          <cell r="BS64">
            <v>0</v>
          </cell>
          <cell r="BT64">
            <v>0</v>
          </cell>
          <cell r="BU64">
            <v>0</v>
          </cell>
          <cell r="BV64">
            <v>0</v>
          </cell>
          <cell r="BW64">
            <v>0</v>
          </cell>
          <cell r="BX64">
            <v>0</v>
          </cell>
          <cell r="BY64">
            <v>0</v>
          </cell>
          <cell r="BZ64">
            <v>0</v>
          </cell>
          <cell r="CA64">
            <v>0</v>
          </cell>
          <cell r="CB64">
            <v>0</v>
          </cell>
          <cell r="CC64">
            <v>0</v>
          </cell>
          <cell r="CD64">
            <v>0</v>
          </cell>
          <cell r="CE64">
            <v>-7.9999999999955662E-3</v>
          </cell>
          <cell r="CF64">
            <v>-3.4999999999953957E-2</v>
          </cell>
          <cell r="CG64">
            <v>7.5999999999865508E-2</v>
          </cell>
          <cell r="CH64">
            <v>-8.2193000011443473E-4</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cell r="DD64">
            <v>0</v>
          </cell>
          <cell r="DE64">
            <v>0</v>
          </cell>
          <cell r="DF64">
            <v>0</v>
          </cell>
          <cell r="DG64">
            <v>0</v>
          </cell>
          <cell r="DH64">
            <v>0</v>
          </cell>
          <cell r="DI64">
            <v>0</v>
          </cell>
          <cell r="DJ64">
            <v>0</v>
          </cell>
          <cell r="DK64">
            <v>0</v>
          </cell>
          <cell r="DL64">
            <v>0</v>
          </cell>
          <cell r="DM64">
            <v>0</v>
          </cell>
          <cell r="DN64">
            <v>0</v>
          </cell>
          <cell r="DO64">
            <v>0</v>
          </cell>
        </row>
        <row r="65">
          <cell r="A65" t="str">
            <v>% Delta</v>
          </cell>
          <cell r="B65"/>
          <cell r="C65"/>
          <cell r="D65"/>
          <cell r="E65"/>
          <cell r="F65"/>
          <cell r="G65"/>
          <cell r="H65"/>
          <cell r="I65"/>
          <cell r="J65"/>
          <cell r="K65"/>
          <cell r="L65"/>
          <cell r="M65"/>
          <cell r="N65"/>
          <cell r="O65"/>
          <cell r="P65"/>
          <cell r="Q65"/>
          <cell r="R65"/>
          <cell r="S65" t="e">
            <v>#DIV/0!</v>
          </cell>
          <cell r="T65" t="e">
            <v>#DIV/0!</v>
          </cell>
          <cell r="U65" t="e">
            <v>#DIV/0!</v>
          </cell>
          <cell r="V65" t="e">
            <v>#DIV/0!</v>
          </cell>
          <cell r="W65" t="e">
            <v>#DIV/0!</v>
          </cell>
          <cell r="X65" t="e">
            <v>#DIV/0!</v>
          </cell>
          <cell r="Y65" t="e">
            <v>#DIV/0!</v>
          </cell>
          <cell r="Z65" t="e">
            <v>#DIV/0!</v>
          </cell>
          <cell r="AA65" t="e">
            <v>#DIV/0!</v>
          </cell>
          <cell r="AB65" t="e">
            <v>#DIV/0!</v>
          </cell>
          <cell r="AC65" t="e">
            <v>#DIV/0!</v>
          </cell>
          <cell r="AD65" t="e">
            <v>#DIV/0!</v>
          </cell>
          <cell r="AE65" t="e">
            <v>#DIV/0!</v>
          </cell>
          <cell r="AF65" t="e">
            <v>#DIV/0!</v>
          </cell>
          <cell r="AG65" t="e">
            <v>#DIV/0!</v>
          </cell>
          <cell r="AH65" t="e">
            <v>#DIV/0!</v>
          </cell>
          <cell r="AI65" t="e">
            <v>#DIV/0!</v>
          </cell>
          <cell r="AJ65" t="e">
            <v>#DIV/0!</v>
          </cell>
          <cell r="AK65" t="e">
            <v>#DIV/0!</v>
          </cell>
          <cell r="AL65" t="e">
            <v>#DIV/0!</v>
          </cell>
          <cell r="AM65" t="e">
            <v>#DIV/0!</v>
          </cell>
          <cell r="AN65" t="e">
            <v>#DIV/0!</v>
          </cell>
          <cell r="AO65" t="e">
            <v>#DIV/0!</v>
          </cell>
          <cell r="AP65" t="e">
            <v>#DIV/0!</v>
          </cell>
          <cell r="AQ65" t="e">
            <v>#DIV/0!</v>
          </cell>
          <cell r="AR65" t="e">
            <v>#DIV/0!</v>
          </cell>
          <cell r="AS65" t="e">
            <v>#DIV/0!</v>
          </cell>
          <cell r="AT65" t="e">
            <v>#DIV/0!</v>
          </cell>
          <cell r="AU65" t="e">
            <v>#DIV/0!</v>
          </cell>
          <cell r="AV65" t="e">
            <v>#DIV/0!</v>
          </cell>
          <cell r="AW65" t="e">
            <v>#DIV/0!</v>
          </cell>
          <cell r="AX65" t="e">
            <v>#DIV/0!</v>
          </cell>
          <cell r="AY65" t="e">
            <v>#DIV/0!</v>
          </cell>
          <cell r="AZ65" t="e">
            <v>#DIV/0!</v>
          </cell>
          <cell r="BA65" t="e">
            <v>#DIV/0!</v>
          </cell>
          <cell r="BB65" t="e">
            <v>#DIV/0!</v>
          </cell>
          <cell r="BC65" t="e">
            <v>#DIV/0!</v>
          </cell>
          <cell r="BD65" t="e">
            <v>#DIV/0!</v>
          </cell>
          <cell r="BE65" t="e">
            <v>#DIV/0!</v>
          </cell>
          <cell r="BF65" t="e">
            <v>#DIV/0!</v>
          </cell>
          <cell r="BG65" t="e">
            <v>#DIV/0!</v>
          </cell>
          <cell r="BH65" t="e">
            <v>#DIV/0!</v>
          </cell>
          <cell r="BI65" t="e">
            <v>#DIV/0!</v>
          </cell>
          <cell r="BJ65" t="e">
            <v>#DIV/0!</v>
          </cell>
          <cell r="BK65" t="e">
            <v>#DIV/0!</v>
          </cell>
          <cell r="BL65" t="e">
            <v>#DIV/0!</v>
          </cell>
          <cell r="BM65" t="e">
            <v>#DIV/0!</v>
          </cell>
          <cell r="BN65" t="e">
            <v>#DIV/0!</v>
          </cell>
          <cell r="BO65">
            <v>-1</v>
          </cell>
          <cell r="BP65">
            <v>-1</v>
          </cell>
          <cell r="BQ65">
            <v>-1</v>
          </cell>
          <cell r="BR65">
            <v>-1</v>
          </cell>
          <cell r="BS65">
            <v>0</v>
          </cell>
          <cell r="BT65">
            <v>0</v>
          </cell>
          <cell r="BU65">
            <v>0</v>
          </cell>
          <cell r="BV65">
            <v>0</v>
          </cell>
          <cell r="BW65">
            <v>0</v>
          </cell>
          <cell r="BX65">
            <v>0</v>
          </cell>
          <cell r="BY65">
            <v>0</v>
          </cell>
          <cell r="BZ65">
            <v>0</v>
          </cell>
          <cell r="CA65">
            <v>0</v>
          </cell>
          <cell r="CB65">
            <v>0</v>
          </cell>
          <cell r="CC65">
            <v>0</v>
          </cell>
          <cell r="CD65">
            <v>0</v>
          </cell>
          <cell r="CE65">
            <v>-7.7513371056464283E-5</v>
          </cell>
          <cell r="CF65">
            <v>-3.1579612202320623E-4</v>
          </cell>
          <cell r="CG65">
            <v>6.8184061078443439E-4</v>
          </cell>
          <cell r="CH65">
            <v>-6.333076069639636E-6</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cell r="DD65" t="e">
            <v>#DIV/0!</v>
          </cell>
          <cell r="DE65" t="e">
            <v>#DIV/0!</v>
          </cell>
          <cell r="DF65" t="e">
            <v>#DIV/0!</v>
          </cell>
          <cell r="DG65" t="e">
            <v>#DIV/0!</v>
          </cell>
          <cell r="DH65" t="e">
            <v>#DIV/0!</v>
          </cell>
          <cell r="DI65" t="e">
            <v>#DIV/0!</v>
          </cell>
          <cell r="DJ65" t="e">
            <v>#DIV/0!</v>
          </cell>
          <cell r="DK65" t="e">
            <v>#DIV/0!</v>
          </cell>
          <cell r="DL65" t="e">
            <v>#DIV/0!</v>
          </cell>
          <cell r="DM65" t="e">
            <v>#DIV/0!</v>
          </cell>
          <cell r="DN65" t="e">
            <v>#DIV/0!</v>
          </cell>
          <cell r="DO65" t="e">
            <v>#DIV/0!</v>
          </cell>
        </row>
        <row r="66">
          <cell r="A66" t="str">
            <v>Subscription</v>
          </cell>
          <cell r="B66"/>
          <cell r="C66"/>
          <cell r="D66"/>
          <cell r="E66"/>
          <cell r="F66"/>
          <cell r="G66"/>
          <cell r="H66"/>
          <cell r="I66"/>
          <cell r="J66"/>
          <cell r="K66"/>
          <cell r="L66"/>
          <cell r="M66"/>
          <cell r="N66"/>
          <cell r="O66"/>
          <cell r="P66"/>
          <cell r="Q66"/>
          <cell r="R66"/>
          <cell r="S66"/>
          <cell r="T66"/>
          <cell r="U66"/>
          <cell r="V66"/>
          <cell r="W66"/>
          <cell r="X66"/>
          <cell r="Y66"/>
          <cell r="Z66"/>
          <cell r="AA66"/>
          <cell r="AB66"/>
          <cell r="AC66"/>
          <cell r="AD66"/>
          <cell r="AE66"/>
          <cell r="AF66"/>
          <cell r="AG66"/>
          <cell r="AH66"/>
          <cell r="AI66"/>
          <cell r="AJ66"/>
          <cell r="AK66"/>
          <cell r="AL66"/>
          <cell r="AM66"/>
          <cell r="AN66"/>
          <cell r="AO66"/>
          <cell r="AP66"/>
          <cell r="AQ66"/>
          <cell r="AR66"/>
          <cell r="AS66"/>
          <cell r="AT66"/>
          <cell r="AU66"/>
          <cell r="AV66"/>
          <cell r="AW66"/>
          <cell r="AX66"/>
          <cell r="AY66"/>
          <cell r="AZ66"/>
          <cell r="BA66"/>
          <cell r="BB66"/>
          <cell r="BC66"/>
          <cell r="BD66"/>
          <cell r="BE66"/>
          <cell r="BF66"/>
          <cell r="BG66"/>
          <cell r="BH66"/>
          <cell r="BI66"/>
          <cell r="BJ66"/>
          <cell r="BK66"/>
          <cell r="BL66"/>
          <cell r="BM66"/>
          <cell r="BN66"/>
          <cell r="BO66"/>
          <cell r="BP66"/>
          <cell r="BQ66"/>
          <cell r="BR66"/>
          <cell r="BS66">
            <v>42.296247666666659</v>
          </cell>
          <cell r="BT66">
            <v>46.458858891472872</v>
          </cell>
          <cell r="BU66">
            <v>49.099045585937503</v>
          </cell>
          <cell r="BV66">
            <v>54.773035116666669</v>
          </cell>
          <cell r="BW66">
            <v>57.099934349999998</v>
          </cell>
          <cell r="BX66">
            <v>59.931927970000004</v>
          </cell>
          <cell r="BY66">
            <v>62.846778350000001</v>
          </cell>
          <cell r="BZ66">
            <v>65.72764214</v>
          </cell>
          <cell r="CA66">
            <v>69.857370950000004</v>
          </cell>
          <cell r="CB66">
            <v>74.595950569999999</v>
          </cell>
          <cell r="CC66">
            <v>81.399999999999991</v>
          </cell>
          <cell r="CD66">
            <v>89.595242080900007</v>
          </cell>
          <cell r="CE66">
            <v>103.2</v>
          </cell>
          <cell r="CF66">
            <v>110.79600000000001</v>
          </cell>
          <cell r="CG66">
            <v>111.539</v>
          </cell>
          <cell r="CH66">
            <v>129.78287103</v>
          </cell>
          <cell r="CI66">
            <v>138.28279422571927</v>
          </cell>
          <cell r="CJ66">
            <v>151.41759524824829</v>
          </cell>
          <cell r="CK66">
            <v>161.05703036068073</v>
          </cell>
          <cell r="CL66">
            <v>187.50133185071439</v>
          </cell>
          <cell r="CM66">
            <v>198.67731403295801</v>
          </cell>
          <cell r="CN66">
            <v>215.39505861625634</v>
          </cell>
          <cell r="CO66">
            <v>227.55072124542733</v>
          </cell>
          <cell r="CP66">
            <v>262.02110763882945</v>
          </cell>
          <cell r="CQ66">
            <v>275.5652998436567</v>
          </cell>
          <cell r="CR66">
            <v>295.67788720398653</v>
          </cell>
          <cell r="CS66">
            <v>310.25893757400797</v>
          </cell>
          <cell r="CT66">
            <v>353.15687911348635</v>
          </cell>
          <cell r="CU66">
            <v>366.90710180025508</v>
          </cell>
          <cell r="CV66">
            <v>387.7724490576191</v>
          </cell>
          <cell r="CW66">
            <v>402.53232190790607</v>
          </cell>
          <cell r="CX66">
            <v>448.81656721608277</v>
          </cell>
          <cell r="CY66">
            <v>461.20149676843948</v>
          </cell>
          <cell r="CZ66">
            <v>480.97777646851051</v>
          </cell>
          <cell r="DA66">
            <v>494.40450279579727</v>
          </cell>
          <cell r="DB66">
            <v>540.76382335141341</v>
          </cell>
          <cell r="DC66"/>
          <cell r="DD66"/>
          <cell r="DE66">
            <v>0</v>
          </cell>
          <cell r="DF66">
            <v>0</v>
          </cell>
          <cell r="DG66">
            <v>0</v>
          </cell>
          <cell r="DH66">
            <v>0</v>
          </cell>
          <cell r="DI66">
            <v>0</v>
          </cell>
          <cell r="DJ66">
            <v>0</v>
          </cell>
          <cell r="DK66">
            <v>0</v>
          </cell>
          <cell r="DL66">
            <v>0</v>
          </cell>
          <cell r="DM66">
            <v>0</v>
          </cell>
          <cell r="DN66">
            <v>0</v>
          </cell>
          <cell r="DO66">
            <v>0</v>
          </cell>
        </row>
        <row r="67">
          <cell r="A67" t="str">
            <v>% of revenue</v>
          </cell>
          <cell r="B67"/>
          <cell r="C67"/>
          <cell r="D67"/>
          <cell r="E67"/>
          <cell r="F67"/>
          <cell r="G67"/>
          <cell r="H67"/>
          <cell r="I67"/>
          <cell r="J67"/>
          <cell r="K67"/>
          <cell r="L67"/>
          <cell r="M67"/>
          <cell r="N67"/>
          <cell r="O67"/>
          <cell r="P67"/>
          <cell r="Q67"/>
          <cell r="R67"/>
          <cell r="S67"/>
          <cell r="T67"/>
          <cell r="U67"/>
          <cell r="V67"/>
          <cell r="W67"/>
          <cell r="X67"/>
          <cell r="Y67"/>
          <cell r="Z67"/>
          <cell r="AA67"/>
          <cell r="AB67"/>
          <cell r="AC67"/>
          <cell r="AD67"/>
          <cell r="AE67"/>
          <cell r="AF67"/>
          <cell r="AG67"/>
          <cell r="AH67"/>
          <cell r="AI67"/>
          <cell r="AJ67"/>
          <cell r="AK67"/>
          <cell r="AL67"/>
          <cell r="AM67"/>
          <cell r="AN67"/>
          <cell r="AO67"/>
          <cell r="AP67"/>
          <cell r="AQ67"/>
          <cell r="AR67"/>
          <cell r="AS67"/>
          <cell r="AT67"/>
          <cell r="AU67"/>
          <cell r="AV67"/>
          <cell r="AW67"/>
          <cell r="AX67"/>
          <cell r="AY67"/>
          <cell r="AZ67"/>
          <cell r="BA67"/>
          <cell r="BB67"/>
          <cell r="BC67"/>
          <cell r="BD67"/>
          <cell r="BE67"/>
          <cell r="BF67"/>
          <cell r="BG67"/>
          <cell r="BH67"/>
          <cell r="BI67"/>
          <cell r="BJ67"/>
          <cell r="BK67"/>
          <cell r="BL67"/>
          <cell r="BM67"/>
          <cell r="BN67"/>
          <cell r="BO67"/>
          <cell r="BP67"/>
          <cell r="BQ67"/>
          <cell r="BR67"/>
          <cell r="BS67">
            <v>5.5594290849217881E-2</v>
          </cell>
          <cell r="BT67">
            <v>5.8309801196438159E-2</v>
          </cell>
          <cell r="BU67">
            <v>6.0372380127064203E-2</v>
          </cell>
          <cell r="BV67">
            <v>6.0538544477025107E-2</v>
          </cell>
          <cell r="BW67">
            <v>8.6676190964110555E-2</v>
          </cell>
          <cell r="BX67">
            <v>8.8921489539115744E-2</v>
          </cell>
          <cell r="BY67">
            <v>9.3978458390156949E-2</v>
          </cell>
          <cell r="BZ67">
            <v>8.9476005657623897E-2</v>
          </cell>
          <cell r="CA67">
            <v>0.10541692400671822</v>
          </cell>
          <cell r="CB67">
            <v>0.10760681648291251</v>
          </cell>
          <cell r="CC67">
            <v>0.11781307667257661</v>
          </cell>
          <cell r="CD67">
            <v>0.11518215055067962</v>
          </cell>
          <cell r="CE67">
            <v>0.14802235252269103</v>
          </cell>
          <cell r="CF67">
            <v>0.14924733789982017</v>
          </cell>
          <cell r="CG67">
            <v>0.15227666162440817</v>
          </cell>
          <cell r="CH67">
            <v>0.16185026379587714</v>
          </cell>
          <cell r="CI67">
            <v>0.19470332161486117</v>
          </cell>
          <cell r="CJ67">
            <v>0.19614012732664832</v>
          </cell>
          <cell r="CK67">
            <v>0.21113061295106592</v>
          </cell>
          <cell r="CL67">
            <v>0.21906358186930391</v>
          </cell>
          <cell r="CM67">
            <v>0.25974212965723981</v>
          </cell>
          <cell r="CN67">
            <v>0.26044964030142226</v>
          </cell>
          <cell r="CO67">
            <v>0.2778425603146456</v>
          </cell>
          <cell r="CP67">
            <v>0.29129189531150806</v>
          </cell>
          <cell r="CQ67">
            <v>0.33458182983103152</v>
          </cell>
          <cell r="CR67">
            <v>0.33435846823106752</v>
          </cell>
          <cell r="CS67">
            <v>0.35388227131660777</v>
          </cell>
          <cell r="CT67">
            <v>0.37435879397669525</v>
          </cell>
          <cell r="CU67">
            <v>0.41052040908958887</v>
          </cell>
          <cell r="CV67">
            <v>0.40586550121999454</v>
          </cell>
          <cell r="CW67">
            <v>0.4248602847303749</v>
          </cell>
          <cell r="CX67">
            <v>0.44374070040887703</v>
          </cell>
          <cell r="CY67">
            <v>0.47489717254755298</v>
          </cell>
          <cell r="CZ67">
            <v>0.46567715393014997</v>
          </cell>
          <cell r="DA67">
            <v>0.48330670541815074</v>
          </cell>
          <cell r="DB67">
            <v>0.49698362973478949</v>
          </cell>
          <cell r="DC67"/>
          <cell r="DD67"/>
          <cell r="DE67">
            <v>0</v>
          </cell>
          <cell r="DF67">
            <v>0</v>
          </cell>
          <cell r="DG67">
            <v>0</v>
          </cell>
          <cell r="DH67">
            <v>0</v>
          </cell>
          <cell r="DI67">
            <v>0</v>
          </cell>
          <cell r="DJ67">
            <v>0</v>
          </cell>
          <cell r="DK67">
            <v>0</v>
          </cell>
          <cell r="DL67">
            <v>0</v>
          </cell>
          <cell r="DM67">
            <v>0</v>
          </cell>
          <cell r="DN67">
            <v>0</v>
          </cell>
          <cell r="DO67">
            <v>0</v>
          </cell>
        </row>
        <row r="68">
          <cell r="A68" t="str">
            <v>% growth in revenue y-o-y</v>
          </cell>
          <cell r="B68"/>
          <cell r="C68"/>
          <cell r="D68"/>
          <cell r="E68"/>
          <cell r="F68"/>
          <cell r="G68"/>
          <cell r="H68"/>
          <cell r="I68"/>
          <cell r="J68"/>
          <cell r="K68"/>
          <cell r="L68"/>
          <cell r="M68"/>
          <cell r="N68"/>
          <cell r="O68"/>
          <cell r="P68"/>
          <cell r="Q68"/>
          <cell r="R68"/>
          <cell r="S68"/>
          <cell r="T68"/>
          <cell r="U68"/>
          <cell r="V68"/>
          <cell r="W68"/>
          <cell r="X68"/>
          <cell r="Y68"/>
          <cell r="Z68"/>
          <cell r="AA68"/>
          <cell r="AB68"/>
          <cell r="AC68"/>
          <cell r="AD68"/>
          <cell r="AE68"/>
          <cell r="AF68"/>
          <cell r="AG68"/>
          <cell r="AH68"/>
          <cell r="AI68"/>
          <cell r="AJ68"/>
          <cell r="AK68"/>
          <cell r="AL68"/>
          <cell r="AM68"/>
          <cell r="AN68"/>
          <cell r="AO68"/>
          <cell r="AP68"/>
          <cell r="AQ68"/>
          <cell r="AR68"/>
          <cell r="AS68"/>
          <cell r="AT68"/>
          <cell r="AU68"/>
          <cell r="AV68"/>
          <cell r="AW68"/>
          <cell r="AX68"/>
          <cell r="AY68"/>
          <cell r="AZ68"/>
          <cell r="BA68"/>
          <cell r="BB68"/>
          <cell r="BC68"/>
          <cell r="BD68"/>
          <cell r="BE68"/>
          <cell r="BF68"/>
          <cell r="BG68"/>
          <cell r="BH68"/>
          <cell r="BI68"/>
          <cell r="BJ68"/>
          <cell r="BK68"/>
          <cell r="BL68"/>
          <cell r="BM68"/>
          <cell r="BN68"/>
          <cell r="BO68"/>
          <cell r="BP68"/>
          <cell r="BQ68"/>
          <cell r="BR68"/>
          <cell r="BS68" t="str">
            <v>NA</v>
          </cell>
          <cell r="BT68" t="str">
            <v>NA</v>
          </cell>
          <cell r="BU68" t="str">
            <v>NA</v>
          </cell>
          <cell r="BV68" t="str">
            <v>NA</v>
          </cell>
          <cell r="BW68">
            <v>0.35</v>
          </cell>
          <cell r="BX68">
            <v>0.28999999999999998</v>
          </cell>
          <cell r="BY68">
            <v>0.28000000000000003</v>
          </cell>
          <cell r="BZ68">
            <v>0.2</v>
          </cell>
          <cell r="CA68">
            <v>0.22342296440836451</v>
          </cell>
          <cell r="CB68">
            <v>0.24467797210429021</v>
          </cell>
          <cell r="CC68">
            <v>0.29521356761798101</v>
          </cell>
          <cell r="CD68">
            <v>0.36312880188310981</v>
          </cell>
          <cell r="CE68">
            <v>0.47729578992980981</v>
          </cell>
          <cell r="CF68">
            <v>0.48528169630374629</v>
          </cell>
          <cell r="CG68">
            <v>0.37025798525798548</v>
          </cell>
          <cell r="CH68">
            <v>0.4485464631348679</v>
          </cell>
          <cell r="CI68">
            <v>0.33994955645076819</v>
          </cell>
          <cell r="CJ68">
            <v>0.36663413163154157</v>
          </cell>
          <cell r="CK68">
            <v>0.44395261173832234</v>
          </cell>
          <cell r="CL68">
            <v>0.44473095996907386</v>
          </cell>
          <cell r="CM68">
            <v>0.43674645240865351</v>
          </cell>
          <cell r="CN68">
            <v>0.42252330888703749</v>
          </cell>
          <cell r="CO68">
            <v>0.41285804622025291</v>
          </cell>
          <cell r="CP68">
            <v>0.39743598113450473</v>
          </cell>
          <cell r="CQ68">
            <v>0.38699932191525388</v>
          </cell>
          <cell r="CR68">
            <v>0.37272363211804471</v>
          </cell>
          <cell r="CS68">
            <v>0.3634715630691181</v>
          </cell>
          <cell r="CT68">
            <v>0.34781843453726125</v>
          </cell>
          <cell r="CU68">
            <v>0.3314706242346972</v>
          </cell>
          <cell r="CV68">
            <v>0.31146922322972714</v>
          </cell>
          <cell r="CW68">
            <v>0.29740765908439792</v>
          </cell>
          <cell r="CX68">
            <v>0.27087023858271309</v>
          </cell>
          <cell r="CY68">
            <v>0.25699800986550114</v>
          </cell>
          <cell r="CZ68">
            <v>0.24036088081400031</v>
          </cell>
          <cell r="DA68">
            <v>0.22823553758972515</v>
          </cell>
          <cell r="DB68">
            <v>0.20486600284312284</v>
          </cell>
          <cell r="DC68"/>
          <cell r="DD68" t="str">
            <v>NA</v>
          </cell>
          <cell r="DE68" t="str">
            <v>NA</v>
          </cell>
          <cell r="DF68" t="str">
            <v>NA</v>
          </cell>
          <cell r="DG68" t="str">
            <v>NA</v>
          </cell>
          <cell r="DH68" t="str">
            <v>NA</v>
          </cell>
          <cell r="DI68" t="str">
            <v>NA</v>
          </cell>
          <cell r="DJ68" t="str">
            <v>NA</v>
          </cell>
          <cell r="DK68" t="str">
            <v>NA</v>
          </cell>
          <cell r="DL68" t="str">
            <v>NA</v>
          </cell>
          <cell r="DM68" t="str">
            <v>NA</v>
          </cell>
          <cell r="DN68" t="str">
            <v>NA</v>
          </cell>
          <cell r="DO68" t="str">
            <v>NA</v>
          </cell>
        </row>
        <row r="69">
          <cell r="A69" t="str">
            <v>% growth in revenue seq</v>
          </cell>
          <cell r="B69"/>
          <cell r="C69"/>
          <cell r="D69"/>
          <cell r="E69"/>
          <cell r="F69"/>
          <cell r="G69"/>
          <cell r="H69"/>
          <cell r="I69"/>
          <cell r="J69"/>
          <cell r="K69"/>
          <cell r="L69"/>
          <cell r="M69"/>
          <cell r="N69"/>
          <cell r="O69"/>
          <cell r="P69"/>
          <cell r="Q69"/>
          <cell r="R69"/>
          <cell r="S69"/>
          <cell r="T69"/>
          <cell r="U69"/>
          <cell r="V69"/>
          <cell r="W69"/>
          <cell r="X69"/>
          <cell r="Y69"/>
          <cell r="Z69"/>
          <cell r="AA69"/>
          <cell r="AB69"/>
          <cell r="AC69"/>
          <cell r="AD69"/>
          <cell r="AE69"/>
          <cell r="AF69"/>
          <cell r="AG69"/>
          <cell r="AH69"/>
          <cell r="AI69"/>
          <cell r="AJ69"/>
          <cell r="AK69"/>
          <cell r="AL69"/>
          <cell r="AM69"/>
          <cell r="AN69"/>
          <cell r="AO69"/>
          <cell r="AP69"/>
          <cell r="AQ69"/>
          <cell r="AR69"/>
          <cell r="AS69"/>
          <cell r="AT69"/>
          <cell r="AU69"/>
          <cell r="AV69"/>
          <cell r="AW69"/>
          <cell r="AX69"/>
          <cell r="AY69"/>
          <cell r="AZ69"/>
          <cell r="BA69"/>
          <cell r="BB69"/>
          <cell r="BC69"/>
          <cell r="BD69"/>
          <cell r="BE69"/>
          <cell r="BF69"/>
          <cell r="BG69"/>
          <cell r="BH69"/>
          <cell r="BI69"/>
          <cell r="BJ69"/>
          <cell r="BK69"/>
          <cell r="BL69"/>
          <cell r="BM69"/>
          <cell r="BN69"/>
          <cell r="BO69"/>
          <cell r="BP69"/>
          <cell r="BQ69"/>
          <cell r="BR69"/>
          <cell r="BS69" t="str">
            <v>NA</v>
          </cell>
          <cell r="BT69">
            <v>9.8415614964509901E-2</v>
          </cell>
          <cell r="BU69">
            <v>5.6828487773065373E-2</v>
          </cell>
          <cell r="BV69">
            <v>0.11556211455878596</v>
          </cell>
          <cell r="BW69">
            <v>4.24825688110404E-2</v>
          </cell>
          <cell r="BX69">
            <v>4.9597143188309323E-2</v>
          </cell>
          <cell r="BY69">
            <v>4.8636018875599651E-2</v>
          </cell>
          <cell r="BZ69">
            <v>4.583948239886193E-2</v>
          </cell>
          <cell r="CA69">
            <v>6.2830928899041849E-2</v>
          </cell>
          <cell r="CB69">
            <v>6.78322066169883E-2</v>
          </cell>
          <cell r="CC69">
            <v>9.1212048080480557E-2</v>
          </cell>
          <cell r="CD69">
            <v>0.10067864964250628</v>
          </cell>
          <cell r="CE69">
            <v>0.15184687940030983</v>
          </cell>
          <cell r="CF69">
            <v>7.3604651162790802E-2</v>
          </cell>
          <cell r="CG69">
            <v>6.7060182678073676E-3</v>
          </cell>
          <cell r="CH69">
            <v>0.16356495064506582</v>
          </cell>
          <cell r="CI69">
            <v>6.5493413177417414E-2</v>
          </cell>
          <cell r="CJ69">
            <v>9.4985070963268692E-2</v>
          </cell>
          <cell r="CK69">
            <v>6.3661261405113745E-2</v>
          </cell>
          <cell r="CL69">
            <v>0.16419215870808435</v>
          </cell>
          <cell r="CM69">
            <v>5.9604814920150906E-2</v>
          </cell>
          <cell r="CN69">
            <v>8.414521136784181E-2</v>
          </cell>
          <cell r="CO69">
            <v>5.643426876763824E-2</v>
          </cell>
          <cell r="CP69">
            <v>0.15148440841997468</v>
          </cell>
          <cell r="CQ69">
            <v>5.169122566834039E-2</v>
          </cell>
          <cell r="CR69">
            <v>7.2986647345441469E-2</v>
          </cell>
          <cell r="CS69">
            <v>4.9313969698254967E-2</v>
          </cell>
          <cell r="CT69">
            <v>0.13826496627271423</v>
          </cell>
          <cell r="CU69">
            <v>3.8935168759236083E-2</v>
          </cell>
          <cell r="CV69">
            <v>5.6868202209733099E-2</v>
          </cell>
          <cell r="CW69">
            <v>3.8063232408999115E-2</v>
          </cell>
          <cell r="CX69">
            <v>0.11498268036912052</v>
          </cell>
          <cell r="CY69">
            <v>2.7594635441329451E-2</v>
          </cell>
          <cell r="CZ69">
            <v>4.2879912226304606E-2</v>
          </cell>
          <cell r="DA69">
            <v>2.7915481721151325E-2</v>
          </cell>
          <cell r="DB69">
            <v>9.3767998255395835E-2</v>
          </cell>
          <cell r="DC69"/>
          <cell r="DD69"/>
          <cell r="DE69"/>
          <cell r="DF69"/>
          <cell r="DG69"/>
          <cell r="DH69"/>
          <cell r="DI69"/>
          <cell r="DJ69"/>
          <cell r="DK69"/>
          <cell r="DL69"/>
          <cell r="DM69"/>
          <cell r="DN69"/>
          <cell r="DO69"/>
        </row>
        <row r="70">
          <cell r="A70" t="str">
            <v>Prior Software-as-a-Service</v>
          </cell>
          <cell r="B70"/>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132.114</v>
          </cell>
          <cell r="X70">
            <v>131.69999999999999</v>
          </cell>
          <cell r="Y70">
            <v>133.5</v>
          </cell>
          <cell r="Z70">
            <v>145.9</v>
          </cell>
          <cell r="AA70">
            <v>146.32300000000001</v>
          </cell>
          <cell r="AB70">
            <v>154.697</v>
          </cell>
          <cell r="AC70">
            <v>158.86099999999999</v>
          </cell>
          <cell r="AD70">
            <v>181.49200000000002</v>
          </cell>
          <cell r="AE70">
            <v>167.23699999999999</v>
          </cell>
          <cell r="AF70">
            <v>172.435</v>
          </cell>
          <cell r="AG70">
            <v>181.773</v>
          </cell>
          <cell r="AH70">
            <v>219.09199999999998</v>
          </cell>
          <cell r="AI70">
            <v>208.05599999999998</v>
          </cell>
          <cell r="AJ70">
            <v>217.54900000000001</v>
          </cell>
          <cell r="AK70">
            <v>216.233</v>
          </cell>
          <cell r="AL70">
            <v>252.405</v>
          </cell>
          <cell r="AM70">
            <v>235.39492625999998</v>
          </cell>
          <cell r="AN70">
            <v>254.75</v>
          </cell>
          <cell r="AO70">
            <v>264.495</v>
          </cell>
          <cell r="AP70">
            <v>307.69299999999998</v>
          </cell>
          <cell r="AQ70">
            <v>280.89400000000001</v>
          </cell>
          <cell r="AR70">
            <v>290.73699999999997</v>
          </cell>
          <cell r="AS70">
            <v>298.78800000000001</v>
          </cell>
          <cell r="AT70">
            <v>309.13599999999997</v>
          </cell>
          <cell r="AU70">
            <v>260.09800000000001</v>
          </cell>
          <cell r="AV70">
            <v>279.02600000000001</v>
          </cell>
          <cell r="AW70">
            <v>280.101</v>
          </cell>
          <cell r="AX70">
            <v>324.71800000000002</v>
          </cell>
          <cell r="AY70">
            <v>285.661</v>
          </cell>
          <cell r="AZ70">
            <v>317.334</v>
          </cell>
          <cell r="BA70">
            <v>325.88599999999997</v>
          </cell>
          <cell r="BB70">
            <v>372.81700000000001</v>
          </cell>
          <cell r="BC70">
            <v>371.63900000000001</v>
          </cell>
          <cell r="BD70">
            <v>403.00799999999998</v>
          </cell>
          <cell r="BE70">
            <v>432.57900000000001</v>
          </cell>
          <cell r="BF70">
            <v>477.45799999999997</v>
          </cell>
          <cell r="BG70">
            <v>447.67394623655912</v>
          </cell>
          <cell r="BH70">
            <v>466.51114285714283</v>
          </cell>
          <cell r="BI70">
            <v>487.97629411764706</v>
          </cell>
          <cell r="BJ70">
            <v>580.32166666666672</v>
          </cell>
          <cell r="BK70">
            <v>517.721</v>
          </cell>
          <cell r="BL70">
            <v>560.71</v>
          </cell>
          <cell r="BM70">
            <v>543.12700000000007</v>
          </cell>
          <cell r="BN70">
            <v>621.22500000000002</v>
          </cell>
          <cell r="BO70">
            <v>567.08199999999999</v>
          </cell>
          <cell r="BP70">
            <v>596.63300000000004</v>
          </cell>
          <cell r="BQ70">
            <v>571.51900000000001</v>
          </cell>
          <cell r="BR70">
            <v>656.01900000000001</v>
          </cell>
          <cell r="BS70">
            <v>40.879077127828808</v>
          </cell>
          <cell r="BT70">
            <v>46.659769692193855</v>
          </cell>
          <cell r="BU70">
            <v>50.866662503401351</v>
          </cell>
          <cell r="BV70">
            <v>53.672651044039</v>
          </cell>
          <cell r="BW70">
            <v>57.084708839999969</v>
          </cell>
          <cell r="BX70">
            <v>60.868352619999953</v>
          </cell>
          <cell r="BY70">
            <v>62.974372069999973</v>
          </cell>
          <cell r="BZ70">
            <v>66.79629991000003</v>
          </cell>
          <cell r="CA70">
            <v>70.038392239999979</v>
          </cell>
          <cell r="CB70">
            <v>74.104980850000032</v>
          </cell>
          <cell r="CC70">
            <v>77.185000000000031</v>
          </cell>
          <cell r="CD70">
            <v>85.546999999999997</v>
          </cell>
          <cell r="CE70"/>
          <cell r="CF70"/>
          <cell r="CG70"/>
          <cell r="CH70"/>
          <cell r="CI70"/>
          <cell r="CJ70"/>
          <cell r="CK70"/>
          <cell r="CL70"/>
          <cell r="CM70"/>
          <cell r="CN70"/>
          <cell r="CO70"/>
          <cell r="CP70"/>
          <cell r="CQ70"/>
          <cell r="CR70"/>
          <cell r="CS70"/>
          <cell r="CT70"/>
          <cell r="CU70"/>
          <cell r="CV70"/>
          <cell r="CW70"/>
          <cell r="CX70"/>
          <cell r="CY70"/>
          <cell r="CZ70"/>
          <cell r="DA70"/>
          <cell r="DB70"/>
          <cell r="DC70"/>
          <cell r="DD70" t="e">
            <v>#REF!</v>
          </cell>
          <cell r="DE70" t="e">
            <v>#REF!</v>
          </cell>
          <cell r="DF70" t="e">
            <v>#REF!</v>
          </cell>
          <cell r="DG70" t="e">
            <v>#REF!</v>
          </cell>
          <cell r="DH70" t="e">
            <v>#REF!</v>
          </cell>
          <cell r="DI70" t="e">
            <v>#REF!</v>
          </cell>
          <cell r="DJ70" t="e">
            <v>#REF!</v>
          </cell>
          <cell r="DK70" t="e">
            <v>#REF!</v>
          </cell>
          <cell r="DL70" t="e">
            <v>#REF!</v>
          </cell>
          <cell r="DM70" t="e">
            <v>#REF!</v>
          </cell>
          <cell r="DN70" t="e">
            <v>#REF!</v>
          </cell>
          <cell r="DO70" t="e">
            <v>#REF!</v>
          </cell>
        </row>
        <row r="71">
          <cell r="A71" t="str">
            <v>$ Delta</v>
          </cell>
          <cell r="B71"/>
          <cell r="C71"/>
          <cell r="D71"/>
          <cell r="E71"/>
          <cell r="F71"/>
          <cell r="G71"/>
          <cell r="H71"/>
          <cell r="I71"/>
          <cell r="J71"/>
          <cell r="K71"/>
          <cell r="L71"/>
          <cell r="M71"/>
          <cell r="N71"/>
          <cell r="O71"/>
          <cell r="P71"/>
          <cell r="Q71"/>
          <cell r="R71"/>
          <cell r="S71">
            <v>0</v>
          </cell>
          <cell r="T71">
            <v>0</v>
          </cell>
          <cell r="U71">
            <v>0</v>
          </cell>
          <cell r="V71">
            <v>0</v>
          </cell>
          <cell r="W71">
            <v>-132.114</v>
          </cell>
          <cell r="X71">
            <v>-131.69999999999999</v>
          </cell>
          <cell r="Y71">
            <v>-133.5</v>
          </cell>
          <cell r="Z71">
            <v>-145.9</v>
          </cell>
          <cell r="AA71">
            <v>-146.32300000000001</v>
          </cell>
          <cell r="AB71">
            <v>-154.697</v>
          </cell>
          <cell r="AC71">
            <v>-158.86099999999999</v>
          </cell>
          <cell r="AD71">
            <v>-181.49200000000002</v>
          </cell>
          <cell r="AE71">
            <v>-167.23699999999999</v>
          </cell>
          <cell r="AF71">
            <v>-172.435</v>
          </cell>
          <cell r="AG71">
            <v>-181.773</v>
          </cell>
          <cell r="AH71">
            <v>-219.09199999999998</v>
          </cell>
          <cell r="AI71">
            <v>-208.05599999999998</v>
          </cell>
          <cell r="AJ71">
            <v>-217.54900000000001</v>
          </cell>
          <cell r="AK71">
            <v>-216.233</v>
          </cell>
          <cell r="AL71">
            <v>-252.405</v>
          </cell>
          <cell r="AM71">
            <v>-235.39492625999998</v>
          </cell>
          <cell r="AN71">
            <v>-254.75</v>
          </cell>
          <cell r="AO71">
            <v>-264.495</v>
          </cell>
          <cell r="AP71">
            <v>-307.69299999999998</v>
          </cell>
          <cell r="AQ71">
            <v>-280.89400000000001</v>
          </cell>
          <cell r="AR71">
            <v>-290.73699999999997</v>
          </cell>
          <cell r="AS71">
            <v>-298.78800000000001</v>
          </cell>
          <cell r="AT71">
            <v>-309.13599999999997</v>
          </cell>
          <cell r="AU71">
            <v>-260.09800000000001</v>
          </cell>
          <cell r="AV71">
            <v>-279.02600000000001</v>
          </cell>
          <cell r="AW71">
            <v>-280.101</v>
          </cell>
          <cell r="AX71">
            <v>-324.71800000000002</v>
          </cell>
          <cell r="AY71">
            <v>-285.661</v>
          </cell>
          <cell r="AZ71">
            <v>-317.334</v>
          </cell>
          <cell r="BA71">
            <v>-325.88599999999997</v>
          </cell>
          <cell r="BB71">
            <v>-372.81700000000001</v>
          </cell>
          <cell r="BC71">
            <v>-371.63900000000001</v>
          </cell>
          <cell r="BD71">
            <v>-403.00799999999998</v>
          </cell>
          <cell r="BE71">
            <v>-432.57900000000001</v>
          </cell>
          <cell r="BF71">
            <v>-477.45799999999997</v>
          </cell>
          <cell r="BG71">
            <v>-447.67394623655912</v>
          </cell>
          <cell r="BH71">
            <v>-466.51114285714283</v>
          </cell>
          <cell r="BI71">
            <v>-487.97629411764706</v>
          </cell>
          <cell r="BJ71">
            <v>-580.32166666666672</v>
          </cell>
          <cell r="BK71">
            <v>-517.721</v>
          </cell>
          <cell r="BL71">
            <v>-560.71</v>
          </cell>
          <cell r="BM71">
            <v>-543.12700000000007</v>
          </cell>
          <cell r="BN71">
            <v>-621.22500000000002</v>
          </cell>
          <cell r="BO71">
            <v>-567.08199999999999</v>
          </cell>
          <cell r="BP71">
            <v>-596.63300000000004</v>
          </cell>
          <cell r="BQ71">
            <v>-571.51900000000001</v>
          </cell>
          <cell r="BR71">
            <v>-656.01900000000001</v>
          </cell>
          <cell r="BS71">
            <v>1.4171705388378513</v>
          </cell>
          <cell r="BT71">
            <v>-0.20091080072098322</v>
          </cell>
          <cell r="BU71">
            <v>-1.7676169174638474</v>
          </cell>
          <cell r="BV71">
            <v>1.1003840726276692</v>
          </cell>
          <cell r="BW71">
            <v>1.5225510000028919E-2</v>
          </cell>
          <cell r="BX71">
            <v>-0.93642464999994957</v>
          </cell>
          <cell r="BY71">
            <v>-0.12759371999997171</v>
          </cell>
          <cell r="BZ71">
            <v>-1.0686577700000299</v>
          </cell>
          <cell r="CA71">
            <v>-0.18102128999997547</v>
          </cell>
          <cell r="CB71">
            <v>0.49096971999996697</v>
          </cell>
          <cell r="CC71">
            <v>4.2149999999999608</v>
          </cell>
          <cell r="CD71">
            <v>4.0482420809000104</v>
          </cell>
          <cell r="CE71"/>
          <cell r="CF71"/>
          <cell r="CG71"/>
          <cell r="CH71"/>
          <cell r="CI71"/>
          <cell r="CJ71"/>
          <cell r="CK71"/>
          <cell r="CL71"/>
          <cell r="CM71"/>
          <cell r="CN71"/>
          <cell r="CO71"/>
          <cell r="CP71"/>
          <cell r="CQ71"/>
          <cell r="CR71"/>
          <cell r="CS71"/>
          <cell r="CT71"/>
          <cell r="CU71"/>
          <cell r="CV71"/>
          <cell r="CW71"/>
          <cell r="CX71"/>
          <cell r="CY71"/>
          <cell r="CZ71"/>
          <cell r="DA71"/>
          <cell r="DB71"/>
          <cell r="DC71"/>
          <cell r="DD71" t="e">
            <v>#REF!</v>
          </cell>
          <cell r="DE71" t="e">
            <v>#REF!</v>
          </cell>
          <cell r="DF71" t="e">
            <v>#REF!</v>
          </cell>
          <cell r="DG71" t="e">
            <v>#REF!</v>
          </cell>
          <cell r="DH71" t="e">
            <v>#REF!</v>
          </cell>
          <cell r="DI71" t="e">
            <v>#REF!</v>
          </cell>
          <cell r="DJ71" t="e">
            <v>#REF!</v>
          </cell>
          <cell r="DK71" t="e">
            <v>#REF!</v>
          </cell>
          <cell r="DL71" t="e">
            <v>#REF!</v>
          </cell>
          <cell r="DM71" t="e">
            <v>#REF!</v>
          </cell>
          <cell r="DN71" t="e">
            <v>#REF!</v>
          </cell>
          <cell r="DO71" t="e">
            <v>#REF!</v>
          </cell>
        </row>
        <row r="72">
          <cell r="A72" t="str">
            <v>% Delta</v>
          </cell>
          <cell r="B72"/>
          <cell r="C72"/>
          <cell r="D72"/>
          <cell r="E72"/>
          <cell r="F72"/>
          <cell r="G72"/>
          <cell r="H72"/>
          <cell r="I72"/>
          <cell r="J72"/>
          <cell r="K72"/>
          <cell r="L72"/>
          <cell r="M72"/>
          <cell r="N72"/>
          <cell r="O72"/>
          <cell r="P72"/>
          <cell r="Q72"/>
          <cell r="R72"/>
          <cell r="S72" t="e">
            <v>#DIV/0!</v>
          </cell>
          <cell r="T72" t="e">
            <v>#DIV/0!</v>
          </cell>
          <cell r="U72" t="e">
            <v>#DIV/0!</v>
          </cell>
          <cell r="V72" t="e">
            <v>#DIV/0!</v>
          </cell>
          <cell r="W72">
            <v>-1</v>
          </cell>
          <cell r="X72">
            <v>-1</v>
          </cell>
          <cell r="Y72">
            <v>-1</v>
          </cell>
          <cell r="Z72">
            <v>-1</v>
          </cell>
          <cell r="AA72">
            <v>-1</v>
          </cell>
          <cell r="AB72">
            <v>-1</v>
          </cell>
          <cell r="AC72">
            <v>-1</v>
          </cell>
          <cell r="AD72">
            <v>-1</v>
          </cell>
          <cell r="AE72">
            <v>-1</v>
          </cell>
          <cell r="AF72">
            <v>-1</v>
          </cell>
          <cell r="AG72">
            <v>-1</v>
          </cell>
          <cell r="AH72">
            <v>-1</v>
          </cell>
          <cell r="AI72">
            <v>-1</v>
          </cell>
          <cell r="AJ72">
            <v>-1</v>
          </cell>
          <cell r="AK72">
            <v>-1</v>
          </cell>
          <cell r="AL72">
            <v>-1</v>
          </cell>
          <cell r="AM72">
            <v>-1</v>
          </cell>
          <cell r="AN72">
            <v>-1</v>
          </cell>
          <cell r="AO72">
            <v>-1</v>
          </cell>
          <cell r="AP72">
            <v>-1</v>
          </cell>
          <cell r="AQ72">
            <v>-1</v>
          </cell>
          <cell r="AR72">
            <v>-1</v>
          </cell>
          <cell r="AS72">
            <v>-1</v>
          </cell>
          <cell r="AT72">
            <v>-1</v>
          </cell>
          <cell r="AU72">
            <v>-1</v>
          </cell>
          <cell r="AV72">
            <v>-1</v>
          </cell>
          <cell r="AW72">
            <v>-1</v>
          </cell>
          <cell r="AX72">
            <v>-1</v>
          </cell>
          <cell r="AY72">
            <v>-1</v>
          </cell>
          <cell r="AZ72">
            <v>-1</v>
          </cell>
          <cell r="BA72">
            <v>-1</v>
          </cell>
          <cell r="BB72">
            <v>-1</v>
          </cell>
          <cell r="BC72">
            <v>-1</v>
          </cell>
          <cell r="BD72">
            <v>-1</v>
          </cell>
          <cell r="BE72">
            <v>-1</v>
          </cell>
          <cell r="BF72">
            <v>-1</v>
          </cell>
          <cell r="BG72">
            <v>-1</v>
          </cell>
          <cell r="BH72">
            <v>-1</v>
          </cell>
          <cell r="BI72">
            <v>-1</v>
          </cell>
          <cell r="BJ72">
            <v>-1</v>
          </cell>
          <cell r="BK72">
            <v>-1</v>
          </cell>
          <cell r="BL72">
            <v>-1</v>
          </cell>
          <cell r="BM72">
            <v>-1</v>
          </cell>
          <cell r="BN72">
            <v>-1</v>
          </cell>
          <cell r="BO72">
            <v>-1</v>
          </cell>
          <cell r="BP72">
            <v>-1</v>
          </cell>
          <cell r="BQ72">
            <v>-1</v>
          </cell>
          <cell r="BR72">
            <v>-1</v>
          </cell>
          <cell r="BS72">
            <v>3.4667380929524441E-2</v>
          </cell>
          <cell r="BT72">
            <v>-4.3058678181730385E-3</v>
          </cell>
          <cell r="BU72">
            <v>-3.4750007774653008E-2</v>
          </cell>
          <cell r="BV72">
            <v>2.0501764888132542E-2</v>
          </cell>
          <cell r="BW72">
            <v>2.6671783581665946E-4</v>
          </cell>
          <cell r="BX72">
            <v>-1.5384425726880306E-2</v>
          </cell>
          <cell r="BY72">
            <v>-2.026121353907956E-3</v>
          </cell>
          <cell r="BZ72">
            <v>-1.5998756988634365E-2</v>
          </cell>
          <cell r="CA72">
            <v>-2.5846008768972209E-3</v>
          </cell>
          <cell r="CB72">
            <v>6.6253268588486076E-3</v>
          </cell>
          <cell r="CC72">
            <v>5.4609056163761861E-2</v>
          </cell>
          <cell r="CD72">
            <v>4.7321847416040431E-2</v>
          </cell>
          <cell r="CE72"/>
          <cell r="CF72"/>
          <cell r="CG72"/>
          <cell r="CH72"/>
          <cell r="CI72"/>
          <cell r="CJ72"/>
          <cell r="CK72"/>
          <cell r="CL72"/>
          <cell r="CM72"/>
          <cell r="CN72"/>
          <cell r="CO72"/>
          <cell r="CP72"/>
          <cell r="CQ72"/>
          <cell r="CR72"/>
          <cell r="CS72"/>
          <cell r="CT72"/>
          <cell r="CU72"/>
          <cell r="CV72"/>
          <cell r="CW72"/>
          <cell r="CX72"/>
          <cell r="CY72"/>
          <cell r="CZ72"/>
          <cell r="DA72"/>
          <cell r="DB72"/>
          <cell r="DC72"/>
          <cell r="DD72" t="e">
            <v>#REF!</v>
          </cell>
          <cell r="DE72" t="e">
            <v>#REF!</v>
          </cell>
          <cell r="DF72" t="e">
            <v>#REF!</v>
          </cell>
          <cell r="DG72" t="e">
            <v>#REF!</v>
          </cell>
          <cell r="DH72" t="e">
            <v>#REF!</v>
          </cell>
          <cell r="DI72" t="e">
            <v>#REF!</v>
          </cell>
          <cell r="DJ72" t="e">
            <v>#REF!</v>
          </cell>
          <cell r="DK72" t="e">
            <v>#REF!</v>
          </cell>
          <cell r="DL72" t="e">
            <v>#REF!</v>
          </cell>
          <cell r="DM72" t="e">
            <v>#REF!</v>
          </cell>
          <cell r="DN72" t="e">
            <v>#REF!</v>
          </cell>
          <cell r="DO72" t="e">
            <v>#REF!</v>
          </cell>
        </row>
        <row r="73">
          <cell r="A73"/>
          <cell r="B73"/>
          <cell r="C73"/>
          <cell r="D73"/>
          <cell r="E73"/>
          <cell r="F73"/>
          <cell r="G73"/>
          <cell r="H73"/>
          <cell r="I73"/>
          <cell r="J73"/>
          <cell r="K73"/>
          <cell r="L73"/>
          <cell r="M73"/>
          <cell r="N73"/>
          <cell r="O73"/>
          <cell r="P73"/>
          <cell r="Q73"/>
          <cell r="R73"/>
          <cell r="S73"/>
          <cell r="T73"/>
          <cell r="U73"/>
          <cell r="V73"/>
          <cell r="W73"/>
          <cell r="X73"/>
          <cell r="Y73"/>
          <cell r="Z73"/>
          <cell r="AA73"/>
          <cell r="AB73"/>
          <cell r="AC73"/>
          <cell r="AD73"/>
          <cell r="AE73"/>
          <cell r="AF73"/>
          <cell r="AG73"/>
          <cell r="AH73"/>
          <cell r="AI73"/>
          <cell r="AJ73"/>
          <cell r="AK73"/>
          <cell r="AL73"/>
          <cell r="AM73"/>
          <cell r="AN73"/>
          <cell r="AO73"/>
          <cell r="AP73"/>
          <cell r="AQ73"/>
          <cell r="AR73"/>
          <cell r="AS73"/>
          <cell r="AT73"/>
          <cell r="AU73"/>
          <cell r="AV73"/>
          <cell r="AW73"/>
          <cell r="AX73"/>
          <cell r="AY73"/>
          <cell r="AZ73"/>
          <cell r="BA73"/>
          <cell r="BB73"/>
          <cell r="BC73"/>
          <cell r="BD73"/>
          <cell r="BE73"/>
          <cell r="BF73"/>
          <cell r="BG73"/>
          <cell r="BH73"/>
          <cell r="BI73"/>
          <cell r="BJ73"/>
          <cell r="BK73"/>
          <cell r="BL73"/>
          <cell r="BM73"/>
          <cell r="BN73"/>
          <cell r="BO73"/>
          <cell r="BP73"/>
          <cell r="BQ73"/>
          <cell r="BR73"/>
          <cell r="BS73"/>
          <cell r="BT73"/>
          <cell r="BU73"/>
          <cell r="BV73"/>
          <cell r="BW73"/>
          <cell r="BX73"/>
          <cell r="BY73"/>
          <cell r="BZ73"/>
          <cell r="CA73"/>
          <cell r="CB73"/>
          <cell r="CC73"/>
          <cell r="CD73"/>
          <cell r="CE73"/>
          <cell r="CF73"/>
          <cell r="CG73"/>
          <cell r="CH73"/>
          <cell r="CI73"/>
          <cell r="CJ73"/>
          <cell r="CK73"/>
          <cell r="CL73"/>
          <cell r="CM73"/>
          <cell r="CN73"/>
          <cell r="CO73"/>
          <cell r="CP73"/>
          <cell r="CQ73"/>
          <cell r="CR73"/>
          <cell r="CS73"/>
          <cell r="CT73"/>
          <cell r="CU73"/>
          <cell r="CV73"/>
          <cell r="CW73"/>
          <cell r="CX73"/>
          <cell r="CY73"/>
          <cell r="CZ73"/>
          <cell r="DA73"/>
          <cell r="DB73"/>
          <cell r="DC73"/>
          <cell r="DD73"/>
          <cell r="DE73"/>
          <cell r="DF73"/>
          <cell r="DG73"/>
          <cell r="DH73"/>
          <cell r="DI73"/>
          <cell r="DJ73"/>
          <cell r="DK73"/>
          <cell r="DL73"/>
          <cell r="DM73"/>
          <cell r="DN73"/>
          <cell r="DO73"/>
        </row>
        <row r="74">
          <cell r="A74" t="str">
            <v>CSP + Term Based</v>
          </cell>
          <cell r="B74"/>
          <cell r="C74"/>
          <cell r="D74"/>
          <cell r="E74"/>
          <cell r="F74"/>
          <cell r="G74"/>
          <cell r="H74"/>
          <cell r="I74"/>
          <cell r="J74"/>
          <cell r="K74"/>
          <cell r="L74"/>
          <cell r="M74"/>
          <cell r="N74"/>
          <cell r="O74"/>
          <cell r="P74"/>
          <cell r="Q74"/>
          <cell r="R74"/>
          <cell r="S74"/>
          <cell r="T74"/>
          <cell r="U74"/>
          <cell r="V74"/>
          <cell r="W74"/>
          <cell r="X74"/>
          <cell r="Y74"/>
          <cell r="Z74"/>
          <cell r="AA74"/>
          <cell r="AB74"/>
          <cell r="AC74"/>
          <cell r="AD74"/>
          <cell r="AE74"/>
          <cell r="AF74"/>
          <cell r="AG74"/>
          <cell r="AH74"/>
          <cell r="AI74"/>
          <cell r="AJ74"/>
          <cell r="AK74"/>
          <cell r="AL74"/>
          <cell r="AM74"/>
          <cell r="AN74"/>
          <cell r="AO74"/>
          <cell r="AP74"/>
          <cell r="AQ74"/>
          <cell r="AR74"/>
          <cell r="AS74"/>
          <cell r="AT74"/>
          <cell r="AU74"/>
          <cell r="AV74"/>
          <cell r="AW74"/>
          <cell r="AX74"/>
          <cell r="AY74"/>
          <cell r="AZ74"/>
          <cell r="BA74"/>
          <cell r="BB74"/>
          <cell r="BC74"/>
          <cell r="BD74"/>
          <cell r="BE74"/>
          <cell r="BF74"/>
          <cell r="BG74"/>
          <cell r="BH74"/>
          <cell r="BI74"/>
          <cell r="BJ74"/>
          <cell r="BK74"/>
          <cell r="BL74"/>
          <cell r="BM74"/>
          <cell r="BN74">
            <v>0</v>
          </cell>
          <cell r="BO74">
            <v>19.06422058144117</v>
          </cell>
          <cell r="BP74">
            <v>20.88190010984075</v>
          </cell>
          <cell r="BQ74">
            <v>21.777032443823195</v>
          </cell>
          <cell r="BR74">
            <v>22.434471338366286</v>
          </cell>
          <cell r="BS74">
            <v>19.07907712782881</v>
          </cell>
          <cell r="BT74">
            <v>21.759769692193856</v>
          </cell>
          <cell r="BU74">
            <v>24.466662503401352</v>
          </cell>
          <cell r="BV74">
            <v>25.372651044039003</v>
          </cell>
          <cell r="BW74">
            <v>25.985135580000001</v>
          </cell>
          <cell r="BX74">
            <v>27.168044300000002</v>
          </cell>
          <cell r="BY74">
            <v>28.1747698</v>
          </cell>
          <cell r="BZ74">
            <v>29.595925430000001</v>
          </cell>
          <cell r="CA74">
            <v>31.127330090000001</v>
          </cell>
          <cell r="CB74">
            <v>33.08340492</v>
          </cell>
          <cell r="CC74">
            <v>35.599999999999994</v>
          </cell>
          <cell r="CD74">
            <v>39.895242080900005</v>
          </cell>
          <cell r="CE74">
            <v>50.592710968344505</v>
          </cell>
          <cell r="CF74">
            <v>50.908506130113082</v>
          </cell>
          <cell r="CG74">
            <v>44.603043669294827</v>
          </cell>
          <cell r="CH74">
            <v>48.86206164922573</v>
          </cell>
          <cell r="CI74">
            <v>50.318901386286015</v>
          </cell>
          <cell r="CJ74">
            <v>52.502529267343455</v>
          </cell>
          <cell r="CK74">
            <v>54.242664066314347</v>
          </cell>
          <cell r="CL74">
            <v>60.183134444028219</v>
          </cell>
          <cell r="CM74">
            <v>62.497337392911497</v>
          </cell>
          <cell r="CN74">
            <v>65.720141006093158</v>
          </cell>
          <cell r="CO74">
            <v>68.109758652943668</v>
          </cell>
          <cell r="CP74">
            <v>75.998653180933076</v>
          </cell>
          <cell r="CQ74">
            <v>78.932906287339009</v>
          </cell>
          <cell r="CR74">
            <v>82.997729627649292</v>
          </cell>
          <cell r="CS74">
            <v>86.007889300944612</v>
          </cell>
          <cell r="CT74">
            <v>95.924265959509128</v>
          </cell>
          <cell r="CU74">
            <v>98.66362661751927</v>
          </cell>
          <cell r="CV74">
            <v>102.5693128530789</v>
          </cell>
          <cell r="CW74">
            <v>105.35614377995174</v>
          </cell>
          <cell r="CX74">
            <v>115.33350263422301</v>
          </cell>
          <cell r="CY74">
            <v>117.8014737885462</v>
          </cell>
          <cell r="CZ74">
            <v>121.49803742491856</v>
          </cell>
          <cell r="DA74">
            <v>124.03128430734579</v>
          </cell>
          <cell r="DB74">
            <v>134.09736713352444</v>
          </cell>
          <cell r="DC74"/>
          <cell r="DD74"/>
          <cell r="DE74">
            <v>0</v>
          </cell>
          <cell r="DF74">
            <v>0</v>
          </cell>
          <cell r="DG74">
            <v>0</v>
          </cell>
          <cell r="DH74">
            <v>0</v>
          </cell>
          <cell r="DI74">
            <v>0</v>
          </cell>
          <cell r="DJ74">
            <v>0</v>
          </cell>
          <cell r="DK74">
            <v>0</v>
          </cell>
          <cell r="DL74">
            <v>0</v>
          </cell>
          <cell r="DM74">
            <v>0</v>
          </cell>
          <cell r="DN74">
            <v>0</v>
          </cell>
          <cell r="DO74">
            <v>0</v>
          </cell>
        </row>
        <row r="75">
          <cell r="A75" t="str">
            <v>CSP + Term Based -- calc</v>
          </cell>
          <cell r="B75"/>
          <cell r="C75" t="e">
            <v>#REF!</v>
          </cell>
          <cell r="D75" t="e">
            <v>#REF!</v>
          </cell>
          <cell r="E75" t="e">
            <v>#VALUE!</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cell r="BM75">
            <v>0</v>
          </cell>
          <cell r="BN75">
            <v>0</v>
          </cell>
          <cell r="BO75">
            <v>0</v>
          </cell>
          <cell r="BP75">
            <v>19.06422058144117</v>
          </cell>
          <cell r="BQ75">
            <v>20.88190010984075</v>
          </cell>
          <cell r="BR75">
            <v>21.777032443823195</v>
          </cell>
          <cell r="BS75">
            <v>18.602471613292781</v>
          </cell>
          <cell r="BT75">
            <v>21.237722189447837</v>
          </cell>
          <cell r="BU75">
            <v>23.922236692305773</v>
          </cell>
          <cell r="BV75">
            <v>24.811789260579847</v>
          </cell>
          <cell r="BW75">
            <v>25.50815865180428</v>
          </cell>
          <cell r="BX75">
            <v>26.624050057695154</v>
          </cell>
          <cell r="BY75">
            <v>27.563103237414968</v>
          </cell>
          <cell r="BZ75">
            <v>28.961609153899026</v>
          </cell>
          <cell r="CA75">
            <v>30.477701700499999</v>
          </cell>
          <cell r="CB75">
            <v>32.4042038125</v>
          </cell>
          <cell r="CC75">
            <v>34.895630754999992</v>
          </cell>
          <cell r="CD75">
            <v>39.155343945150001</v>
          </cell>
          <cell r="CE75">
            <v>49.814527716094503</v>
          </cell>
          <cell r="CF75">
            <v>50.081421007113079</v>
          </cell>
          <cell r="CG75">
            <v>43.713043669294827</v>
          </cell>
          <cell r="CH75">
            <v>47.864680597203233</v>
          </cell>
          <cell r="CI75">
            <v>50.318901386286015</v>
          </cell>
          <cell r="CJ75">
            <v>52.502529267343455</v>
          </cell>
          <cell r="CK75">
            <v>54.242664066314347</v>
          </cell>
          <cell r="CL75">
            <v>60.183134444028219</v>
          </cell>
          <cell r="CM75">
            <v>62.497337392911497</v>
          </cell>
          <cell r="CN75">
            <v>65.720141006093158</v>
          </cell>
          <cell r="CO75">
            <v>68.109758652943668</v>
          </cell>
          <cell r="CP75">
            <v>75.998653180933076</v>
          </cell>
          <cell r="CQ75">
            <v>78.932906287339009</v>
          </cell>
          <cell r="CR75">
            <v>82.997729627649292</v>
          </cell>
          <cell r="CS75">
            <v>86.007889300944612</v>
          </cell>
          <cell r="CT75">
            <v>95.924265959509128</v>
          </cell>
          <cell r="CU75">
            <v>98.66362661751927</v>
          </cell>
          <cell r="CV75">
            <v>102.5693128530789</v>
          </cell>
          <cell r="CW75">
            <v>105.35614377995174</v>
          </cell>
          <cell r="CX75">
            <v>115.33350263422301</v>
          </cell>
          <cell r="CY75">
            <v>117.8014737885462</v>
          </cell>
          <cell r="CZ75">
            <v>121.49803742491856</v>
          </cell>
          <cell r="DA75">
            <v>124.03128430734579</v>
          </cell>
          <cell r="DB75">
            <v>134.09736713352444</v>
          </cell>
          <cell r="DC75"/>
          <cell r="DD75" t="e">
            <v>#REF!</v>
          </cell>
          <cell r="DE75" t="e">
            <v>#REF!</v>
          </cell>
          <cell r="DF75" t="e">
            <v>#REF!</v>
          </cell>
          <cell r="DG75" t="e">
            <v>#REF!</v>
          </cell>
          <cell r="DH75" t="e">
            <v>#REF!</v>
          </cell>
          <cell r="DI75" t="e">
            <v>#REF!</v>
          </cell>
          <cell r="DJ75" t="e">
            <v>#REF!</v>
          </cell>
          <cell r="DK75" t="e">
            <v>#REF!</v>
          </cell>
          <cell r="DL75" t="e">
            <v>#REF!</v>
          </cell>
          <cell r="DM75" t="e">
            <v>#REF!</v>
          </cell>
          <cell r="DN75" t="e">
            <v>#REF!</v>
          </cell>
          <cell r="DO75" t="e">
            <v>#REF!</v>
          </cell>
        </row>
        <row r="76">
          <cell r="A76" t="str">
            <v>$ Delta</v>
          </cell>
          <cell r="B76"/>
          <cell r="C76"/>
          <cell r="D76"/>
          <cell r="E76"/>
          <cell r="F76"/>
          <cell r="G76"/>
          <cell r="H76"/>
          <cell r="I76"/>
          <cell r="J76"/>
          <cell r="K76"/>
          <cell r="L76"/>
          <cell r="M76"/>
          <cell r="N76"/>
          <cell r="O76"/>
          <cell r="P76"/>
          <cell r="Q76"/>
          <cell r="R76"/>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cell r="BM76">
            <v>0</v>
          </cell>
          <cell r="BN76">
            <v>0</v>
          </cell>
          <cell r="BO76">
            <v>19.06422058144117</v>
          </cell>
          <cell r="BP76">
            <v>1.8176795283995801</v>
          </cell>
          <cell r="BQ76">
            <v>0.89513233398244552</v>
          </cell>
          <cell r="BR76">
            <v>0.65743889454309112</v>
          </cell>
          <cell r="BS76">
            <v>0.47660551453602906</v>
          </cell>
          <cell r="BT76">
            <v>0.52204750274601963</v>
          </cell>
          <cell r="BU76">
            <v>0.54442581109557864</v>
          </cell>
          <cell r="BV76">
            <v>0.56086178345915627</v>
          </cell>
          <cell r="BW76">
            <v>0.47697692819572168</v>
          </cell>
          <cell r="BX76">
            <v>0.54399424230484783</v>
          </cell>
          <cell r="BY76">
            <v>0.61166656258503238</v>
          </cell>
          <cell r="BZ76">
            <v>0.63431627610097507</v>
          </cell>
          <cell r="CA76">
            <v>0.6496283895000019</v>
          </cell>
          <cell r="CB76">
            <v>0.67920110749999907</v>
          </cell>
          <cell r="CC76">
            <v>0.70436924500000231</v>
          </cell>
          <cell r="CD76">
            <v>0.73989813575000341</v>
          </cell>
          <cell r="CE76">
            <v>0.77818325225000251</v>
          </cell>
          <cell r="CF76">
            <v>0.82708512300000336</v>
          </cell>
          <cell r="CG76">
            <v>0.89000000000000057</v>
          </cell>
          <cell r="CH76">
            <v>0.99738105202249727</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cell r="DD76" t="e">
            <v>#REF!</v>
          </cell>
          <cell r="DE76" t="e">
            <v>#REF!</v>
          </cell>
          <cell r="DF76" t="e">
            <v>#REF!</v>
          </cell>
          <cell r="DG76" t="e">
            <v>#REF!</v>
          </cell>
          <cell r="DH76" t="e">
            <v>#REF!</v>
          </cell>
          <cell r="DI76" t="e">
            <v>#REF!</v>
          </cell>
          <cell r="DJ76" t="e">
            <v>#REF!</v>
          </cell>
          <cell r="DK76" t="e">
            <v>#REF!</v>
          </cell>
          <cell r="DL76" t="e">
            <v>#REF!</v>
          </cell>
          <cell r="DM76" t="e">
            <v>#REF!</v>
          </cell>
          <cell r="DN76" t="e">
            <v>#REF!</v>
          </cell>
          <cell r="DO76" t="e">
            <v>#REF!</v>
          </cell>
        </row>
        <row r="77">
          <cell r="A77" t="str">
            <v>% Delta</v>
          </cell>
          <cell r="B77"/>
          <cell r="C77"/>
          <cell r="D77"/>
          <cell r="E77"/>
          <cell r="F77"/>
          <cell r="G77"/>
          <cell r="H77"/>
          <cell r="I77"/>
          <cell r="J77"/>
          <cell r="K77"/>
          <cell r="L77"/>
          <cell r="M77"/>
          <cell r="N77"/>
          <cell r="O77"/>
          <cell r="P77"/>
          <cell r="Q77"/>
          <cell r="R77"/>
          <cell r="S77" t="e">
            <v>#DIV/0!</v>
          </cell>
          <cell r="T77" t="e">
            <v>#DIV/0!</v>
          </cell>
          <cell r="U77" t="e">
            <v>#DIV/0!</v>
          </cell>
          <cell r="V77" t="e">
            <v>#DIV/0!</v>
          </cell>
          <cell r="W77" t="e">
            <v>#DIV/0!</v>
          </cell>
          <cell r="X77" t="e">
            <v>#DIV/0!</v>
          </cell>
          <cell r="Y77" t="e">
            <v>#DIV/0!</v>
          </cell>
          <cell r="Z77" t="e">
            <v>#DIV/0!</v>
          </cell>
          <cell r="AA77" t="e">
            <v>#DIV/0!</v>
          </cell>
          <cell r="AB77" t="e">
            <v>#DIV/0!</v>
          </cell>
          <cell r="AC77" t="e">
            <v>#DIV/0!</v>
          </cell>
          <cell r="AD77" t="e">
            <v>#DIV/0!</v>
          </cell>
          <cell r="AE77" t="e">
            <v>#DIV/0!</v>
          </cell>
          <cell r="AF77" t="e">
            <v>#DIV/0!</v>
          </cell>
          <cell r="AG77" t="e">
            <v>#DIV/0!</v>
          </cell>
          <cell r="AH77" t="e">
            <v>#DIV/0!</v>
          </cell>
          <cell r="AI77" t="e">
            <v>#DIV/0!</v>
          </cell>
          <cell r="AJ77" t="e">
            <v>#DIV/0!</v>
          </cell>
          <cell r="AK77" t="e">
            <v>#DIV/0!</v>
          </cell>
          <cell r="AL77" t="e">
            <v>#DIV/0!</v>
          </cell>
          <cell r="AM77" t="e">
            <v>#DIV/0!</v>
          </cell>
          <cell r="AN77" t="e">
            <v>#DIV/0!</v>
          </cell>
          <cell r="AO77" t="e">
            <v>#DIV/0!</v>
          </cell>
          <cell r="AP77" t="e">
            <v>#DIV/0!</v>
          </cell>
          <cell r="AQ77" t="e">
            <v>#DIV/0!</v>
          </cell>
          <cell r="AR77" t="e">
            <v>#DIV/0!</v>
          </cell>
          <cell r="AS77" t="e">
            <v>#DIV/0!</v>
          </cell>
          <cell r="AT77" t="e">
            <v>#DIV/0!</v>
          </cell>
          <cell r="AU77" t="e">
            <v>#DIV/0!</v>
          </cell>
          <cell r="AV77" t="e">
            <v>#DIV/0!</v>
          </cell>
          <cell r="AW77" t="e">
            <v>#DIV/0!</v>
          </cell>
          <cell r="AX77" t="e">
            <v>#DIV/0!</v>
          </cell>
          <cell r="AY77" t="e">
            <v>#DIV/0!</v>
          </cell>
          <cell r="AZ77" t="e">
            <v>#DIV/0!</v>
          </cell>
          <cell r="BA77" t="e">
            <v>#DIV/0!</v>
          </cell>
          <cell r="BB77" t="e">
            <v>#DIV/0!</v>
          </cell>
          <cell r="BC77" t="e">
            <v>#DIV/0!</v>
          </cell>
          <cell r="BD77" t="e">
            <v>#DIV/0!</v>
          </cell>
          <cell r="BE77" t="e">
            <v>#DIV/0!</v>
          </cell>
          <cell r="BF77" t="e">
            <v>#DIV/0!</v>
          </cell>
          <cell r="BG77" t="e">
            <v>#DIV/0!</v>
          </cell>
          <cell r="BH77" t="e">
            <v>#DIV/0!</v>
          </cell>
          <cell r="BI77" t="e">
            <v>#DIV/0!</v>
          </cell>
          <cell r="BJ77" t="e">
            <v>#DIV/0!</v>
          </cell>
          <cell r="BK77" t="e">
            <v>#DIV/0!</v>
          </cell>
          <cell r="BL77" t="e">
            <v>#DIV/0!</v>
          </cell>
          <cell r="BM77" t="e">
            <v>#DIV/0!</v>
          </cell>
          <cell r="BN77" t="e">
            <v>#DIV/0!</v>
          </cell>
          <cell r="BO77" t="e">
            <v>#DIV/0!</v>
          </cell>
          <cell r="BP77">
            <v>9.5345074330973348E-2</v>
          </cell>
          <cell r="BQ77">
            <v>4.2866421603109182E-2</v>
          </cell>
          <cell r="BR77">
            <v>3.0189553890735289E-2</v>
          </cell>
          <cell r="BS77">
            <v>2.5620547873620229E-2</v>
          </cell>
          <cell r="BT77">
            <v>2.4581143782236865E-2</v>
          </cell>
          <cell r="BU77">
            <v>2.2758148332788841E-2</v>
          </cell>
          <cell r="BV77">
            <v>2.2604648845306573E-2</v>
          </cell>
          <cell r="BW77">
            <v>1.869899488656283E-2</v>
          </cell>
          <cell r="BX77">
            <v>2.0432437631614845E-2</v>
          </cell>
          <cell r="BY77">
            <v>2.219149844327899E-2</v>
          </cell>
          <cell r="BZ77">
            <v>2.1901969352955609E-2</v>
          </cell>
          <cell r="CA77">
            <v>2.1314874588766793E-2</v>
          </cell>
          <cell r="CB77">
            <v>2.0960277605648055E-2</v>
          </cell>
          <cell r="CC77">
            <v>2.0185026886183375E-2</v>
          </cell>
          <cell r="CD77">
            <v>1.8896479029439129E-2</v>
          </cell>
          <cell r="CE77">
            <v>1.5621612568226365E-2</v>
          </cell>
          <cell r="CF77">
            <v>1.651480941170843E-2</v>
          </cell>
          <cell r="CG77">
            <v>2.0360055610247053E-2</v>
          </cell>
          <cell r="CH77">
            <v>2.083751608865379E-2</v>
          </cell>
          <cell r="CI77">
            <v>0</v>
          </cell>
          <cell r="CJ77">
            <v>0</v>
          </cell>
          <cell r="CK77">
            <v>0</v>
          </cell>
          <cell r="CL77">
            <v>0</v>
          </cell>
          <cell r="CM77">
            <v>0</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cell r="DD77" t="e">
            <v>#REF!</v>
          </cell>
          <cell r="DE77" t="e">
            <v>#REF!</v>
          </cell>
          <cell r="DF77" t="e">
            <v>#REF!</v>
          </cell>
          <cell r="DG77" t="e">
            <v>#REF!</v>
          </cell>
          <cell r="DH77" t="e">
            <v>#REF!</v>
          </cell>
          <cell r="DI77" t="e">
            <v>#REF!</v>
          </cell>
          <cell r="DJ77" t="e">
            <v>#REF!</v>
          </cell>
          <cell r="DK77" t="e">
            <v>#REF!</v>
          </cell>
          <cell r="DL77" t="e">
            <v>#REF!</v>
          </cell>
          <cell r="DM77" t="e">
            <v>#REF!</v>
          </cell>
          <cell r="DN77" t="e">
            <v>#REF!</v>
          </cell>
          <cell r="DO77" t="e">
            <v>#REF!</v>
          </cell>
        </row>
        <row r="78">
          <cell r="A78" t="str">
            <v>% of revenue</v>
          </cell>
          <cell r="B78"/>
          <cell r="C78"/>
          <cell r="D78"/>
          <cell r="E78"/>
          <cell r="F78"/>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cell r="BA78"/>
          <cell r="BB78"/>
          <cell r="BC78"/>
          <cell r="BD78"/>
          <cell r="BE78"/>
          <cell r="BF78"/>
          <cell r="BG78"/>
          <cell r="BH78"/>
          <cell r="BI78"/>
          <cell r="BJ78"/>
          <cell r="BK78"/>
          <cell r="BL78"/>
          <cell r="BM78"/>
          <cell r="BN78"/>
          <cell r="BO78">
            <v>2.5391233548220239E-2</v>
          </cell>
          <cell r="BP78">
            <v>2.6718230346794554E-2</v>
          </cell>
          <cell r="BQ78">
            <v>2.8691969164213679E-2</v>
          </cell>
          <cell r="BR78">
            <v>2.6347527006841343E-2</v>
          </cell>
          <cell r="BS78">
            <v>2.5077585400444285E-2</v>
          </cell>
          <cell r="BT78">
            <v>2.7310353183577288E-2</v>
          </cell>
          <cell r="BU78">
            <v>3.0084304724631861E-2</v>
          </cell>
          <cell r="BV78">
            <v>2.8043422469794854E-2</v>
          </cell>
          <cell r="BW78">
            <v>3.9444748919582322E-2</v>
          </cell>
          <cell r="BX78">
            <v>4.0309448550194596E-2</v>
          </cell>
          <cell r="BY78">
            <v>4.2131378899894725E-2</v>
          </cell>
          <cell r="BZ78">
            <v>4.0289368445269702E-2</v>
          </cell>
          <cell r="CA78">
            <v>4.6972099665447881E-2</v>
          </cell>
          <cell r="CB78">
            <v>4.7723768577969401E-2</v>
          </cell>
          <cell r="CC78">
            <v>5.1525129355574045E-2</v>
          </cell>
          <cell r="CD78">
            <v>5.1288658559221038E-2</v>
          </cell>
          <cell r="CE78">
            <v>7.2566396298787861E-2</v>
          </cell>
          <cell r="CF78">
            <v>6.8576113003863445E-2</v>
          </cell>
          <cell r="CG78">
            <v>6.0893522339700995E-2</v>
          </cell>
          <cell r="CH78">
            <v>6.0935141169049509E-2</v>
          </cell>
          <cell r="CI78">
            <v>7.0849430652438566E-2</v>
          </cell>
          <cell r="CJ78">
            <v>6.8009617763276145E-2</v>
          </cell>
          <cell r="CK78">
            <v>7.1107028900090671E-2</v>
          </cell>
          <cell r="CL78">
            <v>7.0313809876974845E-2</v>
          </cell>
          <cell r="CM78">
            <v>8.1706316553328287E-2</v>
          </cell>
          <cell r="CN78">
            <v>7.9466944114491733E-2</v>
          </cell>
          <cell r="CO78">
            <v>8.3162952079312444E-2</v>
          </cell>
          <cell r="CP78">
            <v>8.4488581571492138E-2</v>
          </cell>
          <cell r="CQ78">
            <v>9.5837597239139996E-2</v>
          </cell>
          <cell r="CR78">
            <v>9.3855492567869472E-2</v>
          </cell>
          <cell r="CS78">
            <v>9.8100855546523619E-2</v>
          </cell>
          <cell r="CT78">
            <v>0.10168311773465966</v>
          </cell>
          <cell r="CU78">
            <v>0.11039151916807706</v>
          </cell>
          <cell r="CV78">
            <v>0.1073550884599323</v>
          </cell>
          <cell r="CW78">
            <v>0.11120011688076434</v>
          </cell>
          <cell r="CX78">
            <v>0.1140291445945654</v>
          </cell>
          <cell r="CY78">
            <v>0.12129966449827781</v>
          </cell>
          <cell r="CZ78">
            <v>0.1176330031120245</v>
          </cell>
          <cell r="DA78">
            <v>0.12124717928008895</v>
          </cell>
          <cell r="DB78">
            <v>0.12324085557881181</v>
          </cell>
          <cell r="DC78"/>
          <cell r="DD78"/>
          <cell r="DE78">
            <v>0</v>
          </cell>
          <cell r="DF78">
            <v>0</v>
          </cell>
          <cell r="DG78">
            <v>0</v>
          </cell>
          <cell r="DH78">
            <v>0</v>
          </cell>
          <cell r="DI78">
            <v>0</v>
          </cell>
          <cell r="DJ78">
            <v>0</v>
          </cell>
          <cell r="DK78">
            <v>0</v>
          </cell>
          <cell r="DL78">
            <v>0</v>
          </cell>
          <cell r="DM78">
            <v>0</v>
          </cell>
          <cell r="DN78">
            <v>0</v>
          </cell>
          <cell r="DO78">
            <v>0</v>
          </cell>
        </row>
        <row r="79">
          <cell r="A79" t="str">
            <v>% growth in revenue y-o-y</v>
          </cell>
          <cell r="B79"/>
          <cell r="C79"/>
          <cell r="D79"/>
          <cell r="E79"/>
          <cell r="F79"/>
          <cell r="G79"/>
          <cell r="H79"/>
          <cell r="I79"/>
          <cell r="J79"/>
          <cell r="K79"/>
          <cell r="L79"/>
          <cell r="M79"/>
          <cell r="N79"/>
          <cell r="O79"/>
          <cell r="P79"/>
          <cell r="Q79"/>
          <cell r="R79"/>
          <cell r="S79"/>
          <cell r="T79"/>
          <cell r="U79"/>
          <cell r="V79"/>
          <cell r="W79"/>
          <cell r="X79"/>
          <cell r="Y79"/>
          <cell r="Z79"/>
          <cell r="AA79"/>
          <cell r="AB79"/>
          <cell r="AC79"/>
          <cell r="AD79"/>
          <cell r="AE79"/>
          <cell r="AF79"/>
          <cell r="AG79"/>
          <cell r="AH79"/>
          <cell r="AI79"/>
          <cell r="AJ79"/>
          <cell r="AK79"/>
          <cell r="AL79"/>
          <cell r="AM79"/>
          <cell r="AN79"/>
          <cell r="AO79"/>
          <cell r="AP79"/>
          <cell r="AQ79"/>
          <cell r="AR79"/>
          <cell r="AS79"/>
          <cell r="AT79"/>
          <cell r="AU79"/>
          <cell r="AV79"/>
          <cell r="AW79"/>
          <cell r="AX79"/>
          <cell r="AY79"/>
          <cell r="AZ79"/>
          <cell r="BA79"/>
          <cell r="BB79"/>
          <cell r="BC79"/>
          <cell r="BD79"/>
          <cell r="BE79"/>
          <cell r="BF79"/>
          <cell r="BG79"/>
          <cell r="BH79"/>
          <cell r="BI79"/>
          <cell r="BJ79"/>
          <cell r="BK79"/>
          <cell r="BL79"/>
          <cell r="BM79"/>
          <cell r="BN79"/>
          <cell r="BO79" t="str">
            <v>NA</v>
          </cell>
          <cell r="BP79" t="str">
            <v>NA</v>
          </cell>
          <cell r="BQ79" t="str">
            <v>NA</v>
          </cell>
          <cell r="BR79" t="str">
            <v>NA</v>
          </cell>
          <cell r="BS79">
            <v>7.7928947182370756E-4</v>
          </cell>
          <cell r="BT79">
            <v>4.2039736697112362E-2</v>
          </cell>
          <cell r="BU79">
            <v>0.12350764809284387</v>
          </cell>
          <cell r="BV79">
            <v>0.1309671915757602</v>
          </cell>
          <cell r="BW79">
            <v>0.36197025704655239</v>
          </cell>
          <cell r="BX79">
            <v>0.24854466220505644</v>
          </cell>
          <cell r="BY79">
            <v>0.15155754472368876</v>
          </cell>
          <cell r="BZ79">
            <v>0.1664498667731138</v>
          </cell>
          <cell r="CA79">
            <v>0.19788984722318692</v>
          </cell>
          <cell r="CB79">
            <v>0.21773229440736741</v>
          </cell>
          <cell r="CC79">
            <v>0.26354182315271291</v>
          </cell>
          <cell r="CD79">
            <v>0.34799779027893041</v>
          </cell>
          <cell r="CE79">
            <v>0.62534694823048675</v>
          </cell>
          <cell r="CF79">
            <v>0.53879282538228779</v>
          </cell>
          <cell r="CG79">
            <v>0.25289448509255141</v>
          </cell>
          <cell r="CH79">
            <v>0.22475912165522671</v>
          </cell>
          <cell r="CI79">
            <v>-5.4120361771048398E-3</v>
          </cell>
          <cell r="CJ79">
            <v>3.1311528434095681E-2</v>
          </cell>
          <cell r="CK79">
            <v>0.21612023763426547</v>
          </cell>
          <cell r="CL79">
            <v>0.23169453790294336</v>
          </cell>
          <cell r="CM79">
            <v>0.24202507747803503</v>
          </cell>
          <cell r="CN79">
            <v>0.2517519045881671</v>
          </cell>
          <cell r="CO79">
            <v>0.25564921681715536</v>
          </cell>
          <cell r="CP79">
            <v>0.26278988096928835</v>
          </cell>
          <cell r="CQ79">
            <v>0.26298030572245867</v>
          </cell>
          <cell r="CR79">
            <v>0.26289640218444243</v>
          </cell>
          <cell r="CS79">
            <v>0.2627836451337564</v>
          </cell>
          <cell r="CT79">
            <v>0.26218376174559754</v>
          </cell>
          <cell r="CU79">
            <v>0.2499682484559056</v>
          </cell>
          <cell r="CV79">
            <v>0.23580865781790816</v>
          </cell>
          <cell r="CW79">
            <v>0.22495906638642071</v>
          </cell>
          <cell r="CX79">
            <v>0.20233917331102402</v>
          </cell>
          <cell r="CY79">
            <v>0.19397064376334927</v>
          </cell>
          <cell r="CZ79">
            <v>0.18454568959580842</v>
          </cell>
          <cell r="DA79">
            <v>0.17725725199661069</v>
          </cell>
          <cell r="DB79">
            <v>0.16269222793666915</v>
          </cell>
          <cell r="DC79"/>
          <cell r="DD79" t="str">
            <v>NA</v>
          </cell>
          <cell r="DE79" t="str">
            <v>NA</v>
          </cell>
          <cell r="DF79" t="str">
            <v>NA</v>
          </cell>
          <cell r="DG79" t="str">
            <v>NA</v>
          </cell>
          <cell r="DH79" t="str">
            <v>NA</v>
          </cell>
          <cell r="DI79" t="str">
            <v>NA</v>
          </cell>
          <cell r="DJ79" t="str">
            <v>NA</v>
          </cell>
          <cell r="DK79" t="str">
            <v>NA</v>
          </cell>
          <cell r="DL79" t="str">
            <v>NA</v>
          </cell>
          <cell r="DM79" t="str">
            <v>NA</v>
          </cell>
          <cell r="DN79" t="str">
            <v>NA</v>
          </cell>
          <cell r="DO79" t="str">
            <v>NA</v>
          </cell>
        </row>
        <row r="80">
          <cell r="A80" t="str">
            <v>% growth in revenue seq</v>
          </cell>
          <cell r="B80"/>
          <cell r="C80"/>
          <cell r="D80"/>
          <cell r="E80"/>
          <cell r="F80"/>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cell r="AO80"/>
          <cell r="AP80"/>
          <cell r="AQ80"/>
          <cell r="AR80"/>
          <cell r="AS80"/>
          <cell r="AT80"/>
          <cell r="AU80"/>
          <cell r="AV80"/>
          <cell r="AW80"/>
          <cell r="AX80"/>
          <cell r="AY80"/>
          <cell r="AZ80"/>
          <cell r="BA80"/>
          <cell r="BB80"/>
          <cell r="BC80"/>
          <cell r="BD80"/>
          <cell r="BE80"/>
          <cell r="BF80"/>
          <cell r="BG80"/>
          <cell r="BH80"/>
          <cell r="BI80"/>
          <cell r="BJ80"/>
          <cell r="BK80"/>
          <cell r="BL80"/>
          <cell r="BM80"/>
          <cell r="BN80"/>
          <cell r="BO80" t="str">
            <v>NA</v>
          </cell>
          <cell r="BP80">
            <v>9.5345074330973389E-2</v>
          </cell>
          <cell r="BQ80">
            <v>4.2866421603109162E-2</v>
          </cell>
          <cell r="BR80">
            <v>3.0189553890735299E-2</v>
          </cell>
          <cell r="BS80">
            <v>-0.14956422016503024</v>
          </cell>
          <cell r="BT80">
            <v>0.14050430984709306</v>
          </cell>
          <cell r="BU80">
            <v>0.12439896421231755</v>
          </cell>
          <cell r="BV80">
            <v>3.7029510686702682E-2</v>
          </cell>
          <cell r="BW80">
            <v>2.4139556205534651E-2</v>
          </cell>
          <cell r="BX80">
            <v>4.552251483769254E-2</v>
          </cell>
          <cell r="BY80">
            <v>3.7055501267715396E-2</v>
          </cell>
          <cell r="BZ80">
            <v>5.0440718418931052E-2</v>
          </cell>
          <cell r="CA80">
            <v>5.1743766675654834E-2</v>
          </cell>
          <cell r="CB80">
            <v>6.2841073241562961E-2</v>
          </cell>
          <cell r="CC80">
            <v>7.60682005399822E-2</v>
          </cell>
          <cell r="CD80">
            <v>0.12065286744101145</v>
          </cell>
          <cell r="CE80">
            <v>0.26813896418405125</v>
          </cell>
          <cell r="CF80">
            <v>6.2419102618589406E-3</v>
          </cell>
          <cell r="CG80">
            <v>-0.12385872106917883</v>
          </cell>
          <cell r="CH80">
            <v>9.5487160282356598E-2</v>
          </cell>
          <cell r="CI80">
            <v>2.9815355469827276E-2</v>
          </cell>
          <cell r="CJ80">
            <v>4.3395778144960984E-2</v>
          </cell>
          <cell r="CK80">
            <v>3.3143827987983432E-2</v>
          </cell>
          <cell r="CL80">
            <v>0.10951656744682281</v>
          </cell>
          <cell r="CM80">
            <v>3.8452682304799923E-2</v>
          </cell>
          <cell r="CN80">
            <v>5.1567054655790701E-2</v>
          </cell>
          <cell r="CO80">
            <v>3.6360506996309772E-2</v>
          </cell>
          <cell r="CP80">
            <v>0.11582620000443145</v>
          </cell>
          <cell r="CQ80">
            <v>3.86092777120699E-2</v>
          </cell>
          <cell r="CR80">
            <v>5.1497195928819961E-2</v>
          </cell>
          <cell r="CS80">
            <v>3.6267976085607723E-2</v>
          </cell>
          <cell r="CT80">
            <v>0.11529612851987059</v>
          </cell>
          <cell r="CU80">
            <v>2.855753578731024E-2</v>
          </cell>
          <cell r="CV80">
            <v>3.9585877485534438E-2</v>
          </cell>
          <cell r="CW80">
            <v>2.7170221281141993E-2</v>
          </cell>
          <cell r="CX80">
            <v>9.4701253256859186E-2</v>
          </cell>
          <cell r="CY80">
            <v>2.1398562412088484E-2</v>
          </cell>
          <cell r="CZ80">
            <v>3.1379604324880406E-2</v>
          </cell>
          <cell r="DA80">
            <v>2.085010536892562E-2</v>
          </cell>
          <cell r="DB80">
            <v>8.1157611826667919E-2</v>
          </cell>
          <cell r="DC80"/>
          <cell r="DD80"/>
          <cell r="DE80"/>
          <cell r="DF80"/>
          <cell r="DG80"/>
          <cell r="DH80"/>
          <cell r="DI80"/>
          <cell r="DJ80"/>
          <cell r="DK80"/>
          <cell r="DL80"/>
          <cell r="DM80"/>
          <cell r="DN80"/>
          <cell r="DO80"/>
        </row>
        <row r="81">
          <cell r="A81"/>
          <cell r="B81"/>
          <cell r="C81"/>
          <cell r="D81"/>
          <cell r="E81"/>
          <cell r="F81"/>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cell r="BA81"/>
          <cell r="BB81"/>
          <cell r="BC81"/>
          <cell r="BD81"/>
          <cell r="BE81"/>
          <cell r="BF81"/>
          <cell r="BG81"/>
          <cell r="BH81"/>
          <cell r="BI81"/>
          <cell r="BJ81"/>
          <cell r="BK81"/>
          <cell r="BL81"/>
          <cell r="BM81"/>
          <cell r="BN81"/>
          <cell r="BO81"/>
          <cell r="BP81"/>
          <cell r="BQ81"/>
          <cell r="BR81"/>
          <cell r="BS81"/>
          <cell r="BT81"/>
          <cell r="BU81"/>
          <cell r="BV81"/>
          <cell r="BW81"/>
          <cell r="BX81"/>
          <cell r="BY81"/>
          <cell r="BZ81"/>
          <cell r="CA81"/>
          <cell r="CB81"/>
          <cell r="CC81"/>
          <cell r="CD81"/>
          <cell r="CE81"/>
          <cell r="CF81"/>
          <cell r="CG81"/>
          <cell r="CH81"/>
          <cell r="CI81"/>
          <cell r="CJ81"/>
          <cell r="CK81"/>
          <cell r="CL81"/>
          <cell r="CM81"/>
          <cell r="CN81"/>
          <cell r="CO81"/>
          <cell r="CP81"/>
          <cell r="CQ81"/>
          <cell r="CR81"/>
          <cell r="CS81"/>
          <cell r="CT81"/>
          <cell r="CU81"/>
          <cell r="CV81"/>
          <cell r="CW81"/>
          <cell r="CX81"/>
          <cell r="CY81"/>
          <cell r="CZ81"/>
          <cell r="DA81"/>
          <cell r="DB81"/>
          <cell r="DC81"/>
          <cell r="DD81"/>
          <cell r="DE81"/>
          <cell r="DF81"/>
          <cell r="DG81"/>
          <cell r="DH81"/>
          <cell r="DI81"/>
          <cell r="DJ81"/>
          <cell r="DK81"/>
          <cell r="DL81"/>
          <cell r="DM81"/>
          <cell r="DN81"/>
          <cell r="DO81"/>
        </row>
        <row r="82">
          <cell r="A82" t="str">
            <v>Citrix Service Provider (CSP)</v>
          </cell>
          <cell r="B82"/>
          <cell r="C82"/>
          <cell r="D82"/>
          <cell r="E82"/>
          <cell r="F82"/>
          <cell r="G82"/>
          <cell r="H82"/>
          <cell r="I82"/>
          <cell r="J82"/>
          <cell r="K82"/>
          <cell r="L82"/>
          <cell r="M82"/>
          <cell r="N82"/>
          <cell r="O82"/>
          <cell r="P82"/>
          <cell r="Q82"/>
          <cell r="R82"/>
          <cell r="S82"/>
          <cell r="T82"/>
          <cell r="U82"/>
          <cell r="V82"/>
          <cell r="W82"/>
          <cell r="X82"/>
          <cell r="Y82"/>
          <cell r="Z82"/>
          <cell r="AA82"/>
          <cell r="AB82"/>
          <cell r="AC82"/>
          <cell r="AD82"/>
          <cell r="AE82"/>
          <cell r="AF82"/>
          <cell r="AG82"/>
          <cell r="AH82"/>
          <cell r="AI82"/>
          <cell r="AJ82"/>
          <cell r="AK82"/>
          <cell r="AL82"/>
          <cell r="AM82"/>
          <cell r="AN82"/>
          <cell r="AO82"/>
          <cell r="AP82"/>
          <cell r="AQ82"/>
          <cell r="AR82"/>
          <cell r="AS82"/>
          <cell r="AT82"/>
          <cell r="AU82"/>
          <cell r="AV82"/>
          <cell r="AW82"/>
          <cell r="AX82"/>
          <cell r="AY82"/>
          <cell r="AZ82"/>
          <cell r="BA82"/>
          <cell r="BB82"/>
          <cell r="BC82"/>
          <cell r="BD82"/>
          <cell r="BE82"/>
          <cell r="BF82"/>
          <cell r="BG82"/>
          <cell r="BH82"/>
          <cell r="BI82"/>
          <cell r="BJ82"/>
          <cell r="BK82"/>
          <cell r="BL82"/>
          <cell r="BM82"/>
          <cell r="BN82"/>
          <cell r="BO82">
            <v>8.6450133006921313</v>
          </cell>
          <cell r="BP82">
            <v>10.975069056326292</v>
          </cell>
          <cell r="BQ82">
            <v>11.403571300406504</v>
          </cell>
          <cell r="BR82">
            <v>12.326016059116766</v>
          </cell>
          <cell r="BS82">
            <v>12.255968245031125</v>
          </cell>
          <cell r="BT82">
            <v>13.077597401122643</v>
          </cell>
          <cell r="BU82">
            <v>14.275806587089383</v>
          </cell>
          <cell r="BV82">
            <v>16.398348573659021</v>
          </cell>
          <cell r="BW82">
            <v>16.466817670000001</v>
          </cell>
          <cell r="BX82">
            <v>18.117800370000001</v>
          </cell>
          <cell r="BY82">
            <v>18.698242619999998</v>
          </cell>
          <cell r="BZ82">
            <v>20.361490570000001</v>
          </cell>
          <cell r="CA82">
            <v>22.432006789999999</v>
          </cell>
          <cell r="CB82">
            <v>24.204161920000001</v>
          </cell>
          <cell r="CC82">
            <v>25.4</v>
          </cell>
          <cell r="CD82">
            <v>27.895242080900005</v>
          </cell>
          <cell r="CE82">
            <v>41.897387668344507</v>
          </cell>
          <cell r="CF82">
            <v>43.908506130113082</v>
          </cell>
          <cell r="CG82">
            <v>36.561817632345509</v>
          </cell>
          <cell r="CH82">
            <v>39.401795723402998</v>
          </cell>
          <cell r="CI82">
            <v>43.463895492202475</v>
          </cell>
          <cell r="CJ82">
            <v>46.984040810613529</v>
          </cell>
          <cell r="CK82">
            <v>47.903319343048494</v>
          </cell>
          <cell r="CL82">
            <v>52.725081828421338</v>
          </cell>
          <cell r="CM82">
            <v>57.093155836152121</v>
          </cell>
          <cell r="CN82">
            <v>61.369610313655812</v>
          </cell>
          <cell r="CO82">
            <v>63.112101413147329</v>
          </cell>
          <cell r="CP82">
            <v>70.119056428231502</v>
          </cell>
          <cell r="CQ82">
            <v>74.672490067474811</v>
          </cell>
          <cell r="CR82">
            <v>79.567964855240035</v>
          </cell>
          <cell r="CS82">
            <v>82.067958759729066</v>
          </cell>
          <cell r="CT82">
            <v>91.289053558079075</v>
          </cell>
          <cell r="CU82">
            <v>95.304904084635623</v>
          </cell>
          <cell r="CV82">
            <v>99.865438952244702</v>
          </cell>
          <cell r="CW82">
            <v>102.25007789252092</v>
          </cell>
          <cell r="CX82">
            <v>111.6793074725397</v>
          </cell>
          <cell r="CY82">
            <v>115.15360642753519</v>
          </cell>
          <cell r="CZ82">
            <v>119.3664235806033</v>
          </cell>
          <cell r="DA82">
            <v>121.58260020082729</v>
          </cell>
          <cell r="DB82">
            <v>131.2165623023262</v>
          </cell>
          <cell r="DC82"/>
          <cell r="DD82"/>
          <cell r="DE82">
            <v>0</v>
          </cell>
          <cell r="DF82">
            <v>0</v>
          </cell>
          <cell r="DG82">
            <v>0</v>
          </cell>
          <cell r="DH82">
            <v>0</v>
          </cell>
          <cell r="DI82">
            <v>0</v>
          </cell>
          <cell r="DJ82">
            <v>0</v>
          </cell>
          <cell r="DK82">
            <v>0</v>
          </cell>
          <cell r="DL82">
            <v>0</v>
          </cell>
          <cell r="DM82">
            <v>0</v>
          </cell>
          <cell r="DN82">
            <v>0</v>
          </cell>
          <cell r="DO82">
            <v>0</v>
          </cell>
        </row>
        <row r="83">
          <cell r="A83" t="str">
            <v>% of revenue</v>
          </cell>
          <cell r="B83"/>
          <cell r="C83"/>
          <cell r="D83"/>
          <cell r="E83"/>
          <cell r="F83"/>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v>1.1514110991719884E-2</v>
          </cell>
          <cell r="BP83">
            <v>1.4042516321621236E-2</v>
          </cell>
          <cell r="BQ83">
            <v>1.5024586887915459E-2</v>
          </cell>
          <cell r="BR83">
            <v>1.4475939107553253E-2</v>
          </cell>
          <cell r="BS83">
            <v>1.6109274482757837E-2</v>
          </cell>
          <cell r="BT83">
            <v>1.6413491910505739E-2</v>
          </cell>
          <cell r="BU83">
            <v>1.7553588091395702E-2</v>
          </cell>
          <cell r="BV83">
            <v>1.8124468588634837E-2</v>
          </cell>
          <cell r="BW83">
            <v>2.4996193939338746E-2</v>
          </cell>
          <cell r="BX83">
            <v>2.6881527937482476E-2</v>
          </cell>
          <cell r="BY83">
            <v>2.7960574307349984E-2</v>
          </cell>
          <cell r="BZ83">
            <v>2.7718396493797849E-2</v>
          </cell>
          <cell r="CA83">
            <v>3.3850589035080439E-2</v>
          </cell>
          <cell r="CB83">
            <v>3.4915203706722325E-2</v>
          </cell>
          <cell r="CC83">
            <v>3.6762311394145528E-2</v>
          </cell>
          <cell r="CD83">
            <v>3.586165848080046E-2</v>
          </cell>
          <cell r="CE83">
            <v>6.0094475651390873E-2</v>
          </cell>
          <cell r="CF83">
            <v>5.9146789153735807E-2</v>
          </cell>
          <cell r="CG83">
            <v>4.9915379660692649E-2</v>
          </cell>
          <cell r="CH83">
            <v>4.9137386014444985E-2</v>
          </cell>
          <cell r="CI83">
            <v>6.1197525476955235E-2</v>
          </cell>
          <cell r="CJ83">
            <v>6.0861194709937706E-2</v>
          </cell>
          <cell r="CK83">
            <v>6.2796744436668828E-2</v>
          </cell>
          <cell r="CL83">
            <v>6.1600337265242305E-2</v>
          </cell>
          <cell r="CM83">
            <v>7.4641123260176537E-2</v>
          </cell>
          <cell r="CN83">
            <v>7.4206404893003355E-2</v>
          </cell>
          <cell r="CO83">
            <v>7.7060743853031355E-2</v>
          </cell>
          <cell r="CP83">
            <v>7.7952165871263177E-2</v>
          </cell>
          <cell r="CQ83">
            <v>9.0664747626025763E-2</v>
          </cell>
          <cell r="CR83">
            <v>8.9977045969986139E-2</v>
          </cell>
          <cell r="CS83">
            <v>9.3606958997862741E-2</v>
          </cell>
          <cell r="CT83">
            <v>9.676962849786197E-2</v>
          </cell>
          <cell r="CU83">
            <v>0.10663355389171005</v>
          </cell>
          <cell r="CV83">
            <v>0.1045250546639143</v>
          </cell>
          <cell r="CW83">
            <v>0.10792176141586561</v>
          </cell>
          <cell r="CX83">
            <v>0.11041627635635841</v>
          </cell>
          <cell r="CY83">
            <v>0.11857316700892462</v>
          </cell>
          <cell r="CZ83">
            <v>0.11556919909266389</v>
          </cell>
          <cell r="DA83">
            <v>0.11885346028797038</v>
          </cell>
          <cell r="DB83">
            <v>0.12059328046423905</v>
          </cell>
          <cell r="DC83"/>
          <cell r="DD83"/>
          <cell r="DE83">
            <v>0</v>
          </cell>
          <cell r="DF83">
            <v>0</v>
          </cell>
          <cell r="DG83">
            <v>0</v>
          </cell>
          <cell r="DH83">
            <v>0</v>
          </cell>
          <cell r="DI83">
            <v>0</v>
          </cell>
          <cell r="DJ83">
            <v>0</v>
          </cell>
          <cell r="DK83">
            <v>0</v>
          </cell>
          <cell r="DL83">
            <v>0</v>
          </cell>
          <cell r="DM83">
            <v>0</v>
          </cell>
          <cell r="DN83">
            <v>0</v>
          </cell>
          <cell r="DO83">
            <v>0</v>
          </cell>
        </row>
        <row r="84">
          <cell r="A84" t="str">
            <v>% growth in revenue y-o-y</v>
          </cell>
          <cell r="B84"/>
          <cell r="C84"/>
          <cell r="D84"/>
          <cell r="E84"/>
          <cell r="F84"/>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cell r="BA84"/>
          <cell r="BB84"/>
          <cell r="BC84"/>
          <cell r="BD84"/>
          <cell r="BE84"/>
          <cell r="BF84"/>
          <cell r="BG84"/>
          <cell r="BH84"/>
          <cell r="BI84"/>
          <cell r="BJ84"/>
          <cell r="BK84"/>
          <cell r="BL84"/>
          <cell r="BM84"/>
          <cell r="BN84"/>
          <cell r="BO84" t="str">
            <v>NA</v>
          </cell>
          <cell r="BP84" t="str">
            <v>NA</v>
          </cell>
          <cell r="BQ84" t="str">
            <v>NA</v>
          </cell>
          <cell r="BR84" t="str">
            <v>NA</v>
          </cell>
          <cell r="BS84">
            <v>0.41769223698590435</v>
          </cell>
          <cell r="BT84">
            <v>0.19157313124917455</v>
          </cell>
          <cell r="BU84">
            <v>0.25187155944563533</v>
          </cell>
          <cell r="BV84">
            <v>0.33038513782644402</v>
          </cell>
          <cell r="BW84">
            <v>0.34357541899442001</v>
          </cell>
          <cell r="BX84">
            <v>0.38540741194897787</v>
          </cell>
          <cell r="BY84">
            <v>0.30978537051000221</v>
          </cell>
          <cell r="BZ84">
            <v>0.24167933609528514</v>
          </cell>
          <cell r="CA84">
            <v>0.36225512661548764</v>
          </cell>
          <cell r="CB84">
            <v>0.33593269744146093</v>
          </cell>
          <cell r="CC84">
            <v>0.35841643068807283</v>
          </cell>
          <cell r="CD84">
            <v>0.37000000000000011</v>
          </cell>
          <cell r="CE84">
            <v>0.86775031144436054</v>
          </cell>
          <cell r="CF84">
            <v>0.81408909241477589</v>
          </cell>
          <cell r="CG84">
            <v>0.4394416390687208</v>
          </cell>
          <cell r="CH84">
            <v>0.41249162165836095</v>
          </cell>
          <cell r="CI84">
            <v>3.7389152666468917E-2</v>
          </cell>
          <cell r="CJ84">
            <v>7.0044165733782471E-2</v>
          </cell>
          <cell r="CK84">
            <v>0.31020070787370768</v>
          </cell>
          <cell r="CL84">
            <v>0.33813905839588099</v>
          </cell>
          <cell r="CM84">
            <v>0.31357659477151034</v>
          </cell>
          <cell r="CN84">
            <v>0.30617991247344212</v>
          </cell>
          <cell r="CO84">
            <v>0.31748910678161302</v>
          </cell>
          <cell r="CP84">
            <v>0.3298994329949807</v>
          </cell>
          <cell r="CQ84">
            <v>0.30790615746960048</v>
          </cell>
          <cell r="CR84">
            <v>0.29653690888004181</v>
          </cell>
          <cell r="CS84">
            <v>0.30035218162824329</v>
          </cell>
          <cell r="CT84">
            <v>0.30191503149383592</v>
          </cell>
          <cell r="CU84">
            <v>0.27630542383837953</v>
          </cell>
          <cell r="CV84">
            <v>0.25509605698640603</v>
          </cell>
          <cell r="CW84">
            <v>0.2459195944166126</v>
          </cell>
          <cell r="CX84">
            <v>0.22335924319215472</v>
          </cell>
          <cell r="CY84">
            <v>0.20826527798897843</v>
          </cell>
          <cell r="CZ84">
            <v>0.1952726071497457</v>
          </cell>
          <cell r="DA84">
            <v>0.18907097878817791</v>
          </cell>
          <cell r="DB84">
            <v>0.17494068750910197</v>
          </cell>
          <cell r="DC84"/>
          <cell r="DD84" t="str">
            <v>NA</v>
          </cell>
          <cell r="DE84" t="str">
            <v>NA</v>
          </cell>
          <cell r="DF84" t="str">
            <v>NA</v>
          </cell>
          <cell r="DG84" t="str">
            <v>NA</v>
          </cell>
          <cell r="DH84" t="str">
            <v>NA</v>
          </cell>
          <cell r="DI84" t="str">
            <v>NA</v>
          </cell>
          <cell r="DJ84" t="str">
            <v>NA</v>
          </cell>
          <cell r="DK84" t="str">
            <v>NA</v>
          </cell>
          <cell r="DL84" t="str">
            <v>NA</v>
          </cell>
          <cell r="DM84" t="str">
            <v>NA</v>
          </cell>
          <cell r="DN84" t="str">
            <v>NA</v>
          </cell>
          <cell r="DO84" t="str">
            <v>NA</v>
          </cell>
        </row>
        <row r="85">
          <cell r="A85" t="str">
            <v>% growth in revenue seq</v>
          </cell>
          <cell r="B85"/>
          <cell r="C85"/>
          <cell r="D85"/>
          <cell r="E85"/>
          <cell r="F85"/>
          <cell r="G85"/>
          <cell r="H85"/>
          <cell r="I85"/>
          <cell r="J85"/>
          <cell r="K85"/>
          <cell r="L85"/>
          <cell r="M85"/>
          <cell r="N85"/>
          <cell r="O85"/>
          <cell r="P85"/>
          <cell r="Q85"/>
          <cell r="R85"/>
          <cell r="S85"/>
          <cell r="T85"/>
          <cell r="U85"/>
          <cell r="V85"/>
          <cell r="W85"/>
          <cell r="X85"/>
          <cell r="Y85"/>
          <cell r="Z85"/>
          <cell r="AA85"/>
          <cell r="AB85"/>
          <cell r="AC85"/>
          <cell r="AD85"/>
          <cell r="AE85"/>
          <cell r="AF85"/>
          <cell r="AG85"/>
          <cell r="AH85"/>
          <cell r="AI85"/>
          <cell r="AJ85"/>
          <cell r="AK85"/>
          <cell r="AL85"/>
          <cell r="AM85"/>
          <cell r="AN85"/>
          <cell r="AO85"/>
          <cell r="AP85"/>
          <cell r="AQ85"/>
          <cell r="AR85"/>
          <cell r="AS85"/>
          <cell r="AT85"/>
          <cell r="AU85"/>
          <cell r="AV85"/>
          <cell r="AW85"/>
          <cell r="AX85"/>
          <cell r="AY85"/>
          <cell r="AZ85"/>
          <cell r="BA85"/>
          <cell r="BB85"/>
          <cell r="BC85"/>
          <cell r="BD85"/>
          <cell r="BE85"/>
          <cell r="BF85"/>
          <cell r="BG85"/>
          <cell r="BH85"/>
          <cell r="BI85"/>
          <cell r="BJ85"/>
          <cell r="BK85"/>
          <cell r="BL85"/>
          <cell r="BM85"/>
          <cell r="BN85"/>
          <cell r="BO85" t="str">
            <v>NA</v>
          </cell>
          <cell r="BP85">
            <v>0.26952598851960285</v>
          </cell>
          <cell r="BQ85">
            <v>3.9043238988388129E-2</v>
          </cell>
          <cell r="BR85">
            <v>8.0890866063807465E-2</v>
          </cell>
          <cell r="BS85">
            <v>-5.6829241297174926E-3</v>
          </cell>
          <cell r="BT85">
            <v>6.7039106145255101E-2</v>
          </cell>
          <cell r="BU85">
            <v>9.1623036649215006E-2</v>
          </cell>
          <cell r="BV85">
            <v>0.14868105515587482</v>
          </cell>
          <cell r="BW85">
            <v>4.1753653444691619E-3</v>
          </cell>
          <cell r="BX85">
            <v>0.10026118786800176</v>
          </cell>
          <cell r="BY85">
            <v>3.2037125818049628E-2</v>
          </cell>
          <cell r="BZ85">
            <v>8.8952100141270085E-2</v>
          </cell>
          <cell r="CA85">
            <v>0.10168785103830436</v>
          </cell>
          <cell r="CB85">
            <v>7.9001185519880224E-2</v>
          </cell>
          <cell r="CC85">
            <v>4.9406299790610397E-2</v>
          </cell>
          <cell r="CD85">
            <v>9.8237877200787693E-2</v>
          </cell>
          <cell r="CE85">
            <v>0.50195461816880349</v>
          </cell>
          <cell r="CF85">
            <v>4.8001046692657479E-2</v>
          </cell>
          <cell r="CG85">
            <v>-0.16731811544663577</v>
          </cell>
          <cell r="CH85">
            <v>7.7676064128305633E-2</v>
          </cell>
          <cell r="CI85">
            <v>0.10309428020273614</v>
          </cell>
          <cell r="CJ85">
            <v>8.0990101751063248E-2</v>
          </cell>
          <cell r="CK85">
            <v>1.9565761406952209E-2</v>
          </cell>
          <cell r="CL85">
            <v>0.10065612470073138</v>
          </cell>
          <cell r="CM85">
            <v>8.2846225292649622E-2</v>
          </cell>
          <cell r="CN85">
            <v>7.4903102042150227E-2</v>
          </cell>
          <cell r="CO85">
            <v>2.8393387062191966E-2</v>
          </cell>
          <cell r="CP85">
            <v>0.11102395353966932</v>
          </cell>
          <cell r="CQ85">
            <v>6.4938604014214807E-2</v>
          </cell>
          <cell r="CR85">
            <v>6.5559281381156964E-2</v>
          </cell>
          <cell r="CS85">
            <v>3.1419603467769175E-2</v>
          </cell>
          <cell r="CT85">
            <v>0.11235925612999198</v>
          </cell>
          <cell r="CU85">
            <v>4.3990493602846126E-2</v>
          </cell>
          <cell r="CV85">
            <v>4.7852048238347544E-2</v>
          </cell>
          <cell r="CW85">
            <v>2.3878520590256969E-2</v>
          </cell>
          <cell r="CX85">
            <v>9.2217333955776803E-2</v>
          </cell>
          <cell r="CY85">
            <v>3.1109603324230628E-2</v>
          </cell>
          <cell r="CZ85">
            <v>3.6584326655189736E-2</v>
          </cell>
          <cell r="DA85">
            <v>1.8566164200500612E-2</v>
          </cell>
          <cell r="DB85">
            <v>7.9238000220309024E-2</v>
          </cell>
          <cell r="DC85"/>
          <cell r="DD85"/>
          <cell r="DE85"/>
          <cell r="DF85"/>
          <cell r="DG85"/>
          <cell r="DH85"/>
          <cell r="DI85"/>
          <cell r="DJ85"/>
          <cell r="DK85"/>
          <cell r="DL85"/>
          <cell r="DM85"/>
          <cell r="DN85"/>
          <cell r="DO85"/>
        </row>
        <row r="86">
          <cell r="A86"/>
          <cell r="B86"/>
          <cell r="C86"/>
          <cell r="D86"/>
          <cell r="E86"/>
          <cell r="F86"/>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cell r="BA86"/>
          <cell r="BB86"/>
          <cell r="BC86"/>
          <cell r="BD86"/>
          <cell r="BE86"/>
          <cell r="BF86"/>
          <cell r="BG86"/>
          <cell r="BH86"/>
          <cell r="BI86"/>
          <cell r="BJ86"/>
          <cell r="BK86"/>
          <cell r="BL86"/>
          <cell r="BM86"/>
          <cell r="BN86"/>
          <cell r="BO86"/>
          <cell r="BP86"/>
          <cell r="BQ86"/>
          <cell r="BR86"/>
          <cell r="BS86"/>
          <cell r="BT86"/>
          <cell r="BU86"/>
          <cell r="BV86"/>
          <cell r="BW86"/>
          <cell r="BX86"/>
          <cell r="BY86"/>
          <cell r="BZ86"/>
          <cell r="CA86"/>
          <cell r="CB86"/>
          <cell r="CC86"/>
          <cell r="CD86"/>
          <cell r="CE86"/>
          <cell r="CF86"/>
          <cell r="CG86"/>
          <cell r="CH86"/>
          <cell r="CI86"/>
          <cell r="CJ86"/>
          <cell r="CK86"/>
          <cell r="CL86"/>
          <cell r="CM86"/>
          <cell r="CN86"/>
          <cell r="CO86"/>
          <cell r="CP86"/>
          <cell r="CQ86"/>
          <cell r="CR86"/>
          <cell r="CS86"/>
          <cell r="CT86"/>
          <cell r="CU86"/>
          <cell r="CV86"/>
          <cell r="CW86"/>
          <cell r="CX86"/>
          <cell r="CY86"/>
          <cell r="CZ86"/>
          <cell r="DA86"/>
          <cell r="DB86"/>
          <cell r="DC86"/>
          <cell r="DD86"/>
          <cell r="DE86"/>
          <cell r="DF86"/>
          <cell r="DG86"/>
          <cell r="DH86"/>
          <cell r="DI86"/>
          <cell r="DJ86"/>
          <cell r="DK86"/>
          <cell r="DL86"/>
          <cell r="DM86"/>
          <cell r="DN86"/>
          <cell r="DO86"/>
        </row>
        <row r="87">
          <cell r="A87" t="str">
            <v>Term Based</v>
          </cell>
          <cell r="B87"/>
          <cell r="C87"/>
          <cell r="D87"/>
          <cell r="E87"/>
          <cell r="F87"/>
          <cell r="G87"/>
          <cell r="H87"/>
          <cell r="I87"/>
          <cell r="J87"/>
          <cell r="K87"/>
          <cell r="L87"/>
          <cell r="M87"/>
          <cell r="N87"/>
          <cell r="O87"/>
          <cell r="P87"/>
          <cell r="Q87"/>
          <cell r="R87"/>
          <cell r="S87"/>
          <cell r="T87"/>
          <cell r="U87"/>
          <cell r="V87"/>
          <cell r="W87"/>
          <cell r="X87"/>
          <cell r="Y87"/>
          <cell r="Z87"/>
          <cell r="AA87"/>
          <cell r="AB87"/>
          <cell r="AC87"/>
          <cell r="AD87"/>
          <cell r="AE87"/>
          <cell r="AF87"/>
          <cell r="AG87"/>
          <cell r="AH87"/>
          <cell r="AI87"/>
          <cell r="AJ87"/>
          <cell r="AK87"/>
          <cell r="AL87"/>
          <cell r="AM87"/>
          <cell r="AN87"/>
          <cell r="AO87"/>
          <cell r="AP87"/>
          <cell r="AQ87"/>
          <cell r="AR87"/>
          <cell r="AS87"/>
          <cell r="AT87"/>
          <cell r="AU87"/>
          <cell r="AV87"/>
          <cell r="AW87"/>
          <cell r="AX87"/>
          <cell r="AY87"/>
          <cell r="AZ87"/>
          <cell r="BA87"/>
          <cell r="BB87"/>
          <cell r="BC87"/>
          <cell r="BD87"/>
          <cell r="BE87"/>
          <cell r="BF87"/>
          <cell r="BG87"/>
          <cell r="BH87"/>
          <cell r="BI87"/>
          <cell r="BJ87"/>
          <cell r="BK87"/>
          <cell r="BL87"/>
          <cell r="BM87"/>
          <cell r="BN87"/>
          <cell r="BO87">
            <v>10.41920728074904</v>
          </cell>
          <cell r="BP87">
            <v>9.9068310535144555</v>
          </cell>
          <cell r="BQ87">
            <v>10.373461143416691</v>
          </cell>
          <cell r="BR87">
            <v>10.108455279249519</v>
          </cell>
          <cell r="BS87">
            <v>10.41920728074904</v>
          </cell>
          <cell r="BT87">
            <v>9.9068310535144555</v>
          </cell>
          <cell r="BU87">
            <v>10.373461143416691</v>
          </cell>
          <cell r="BV87">
            <v>10.108455279249519</v>
          </cell>
          <cell r="BW87">
            <v>9.5183179100000004</v>
          </cell>
          <cell r="BX87">
            <v>9.0502439300000006</v>
          </cell>
          <cell r="BY87">
            <v>9.4765271799999997</v>
          </cell>
          <cell r="BZ87">
            <v>9.2344348600000004</v>
          </cell>
          <cell r="CA87">
            <v>8.6953233000000001</v>
          </cell>
          <cell r="CB87">
            <v>8.8792430000000007</v>
          </cell>
          <cell r="CC87">
            <v>10.199999999999999</v>
          </cell>
          <cell r="CD87">
            <v>12</v>
          </cell>
          <cell r="CE87">
            <v>8.6953233000000001</v>
          </cell>
          <cell r="CF87">
            <v>7</v>
          </cell>
          <cell r="CG87">
            <v>8.04122603694932</v>
          </cell>
          <cell r="CH87">
            <v>9.4602659258227302</v>
          </cell>
          <cell r="CI87">
            <v>6.8550058940835381</v>
          </cell>
          <cell r="CJ87">
            <v>5.5184884567299264</v>
          </cell>
          <cell r="CK87">
            <v>6.3393447232658504</v>
          </cell>
          <cell r="CL87">
            <v>7.4580526156068832</v>
          </cell>
          <cell r="CM87">
            <v>5.4041815567593732</v>
          </cell>
          <cell r="CN87">
            <v>4.3505306924373492</v>
          </cell>
          <cell r="CO87">
            <v>4.9976572397963377</v>
          </cell>
          <cell r="CP87">
            <v>5.8795967527015733</v>
          </cell>
          <cell r="CQ87">
            <v>4.2604162198641946</v>
          </cell>
          <cell r="CR87">
            <v>3.4297647724092521</v>
          </cell>
          <cell r="CS87">
            <v>3.9399305412155474</v>
          </cell>
          <cell r="CT87">
            <v>4.6352124014300555</v>
          </cell>
          <cell r="CU87">
            <v>3.3587225328836436</v>
          </cell>
          <cell r="CV87">
            <v>2.7038739008341999</v>
          </cell>
          <cell r="CW87">
            <v>3.1060658874308125</v>
          </cell>
          <cell r="CX87">
            <v>3.6541951616833086</v>
          </cell>
          <cell r="CY87">
            <v>2.6478673610110124</v>
          </cell>
          <cell r="CZ87">
            <v>2.1316138443152641</v>
          </cell>
          <cell r="DA87">
            <v>2.4486841065185048</v>
          </cell>
          <cell r="DB87">
            <v>2.8808048311982404</v>
          </cell>
          <cell r="DC87"/>
          <cell r="DD87"/>
          <cell r="DE87">
            <v>0</v>
          </cell>
          <cell r="DF87">
            <v>0</v>
          </cell>
          <cell r="DG87">
            <v>0</v>
          </cell>
          <cell r="DH87">
            <v>0</v>
          </cell>
          <cell r="DI87">
            <v>0</v>
          </cell>
          <cell r="DJ87">
            <v>0</v>
          </cell>
          <cell r="DK87">
            <v>0</v>
          </cell>
          <cell r="DL87">
            <v>0</v>
          </cell>
          <cell r="DM87">
            <v>0</v>
          </cell>
          <cell r="DN87">
            <v>0</v>
          </cell>
          <cell r="DO87">
            <v>0</v>
          </cell>
        </row>
        <row r="88">
          <cell r="A88" t="str">
            <v>% of revenue</v>
          </cell>
          <cell r="B88"/>
          <cell r="C88"/>
          <cell r="D88"/>
          <cell r="E88"/>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cell r="BH88"/>
          <cell r="BI88"/>
          <cell r="BJ88"/>
          <cell r="BK88"/>
          <cell r="BL88"/>
          <cell r="BM88"/>
          <cell r="BN88"/>
          <cell r="BO88">
            <v>1.3877122556500357E-2</v>
          </cell>
          <cell r="BP88">
            <v>1.2675714025173316E-2</v>
          </cell>
          <cell r="BQ88">
            <v>1.3667382276298221E-2</v>
          </cell>
          <cell r="BR88">
            <v>1.1871587899288088E-2</v>
          </cell>
          <cell r="BS88">
            <v>1.3695031402058671E-2</v>
          </cell>
          <cell r="BT88">
            <v>1.2433911701674478E-2</v>
          </cell>
          <cell r="BU88">
            <v>1.2755248740783124E-2</v>
          </cell>
          <cell r="BV88">
            <v>1.1172489678788278E-2</v>
          </cell>
          <cell r="BW88">
            <v>1.4448554980243576E-2</v>
          </cell>
          <cell r="BX88">
            <v>1.3427920612712117E-2</v>
          </cell>
          <cell r="BY88">
            <v>1.4170804592544741E-2</v>
          </cell>
          <cell r="BZ88">
            <v>1.2570971951471853E-2</v>
          </cell>
          <cell r="CA88">
            <v>1.3121510630367436E-2</v>
          </cell>
          <cell r="CB88">
            <v>1.2808564871247079E-2</v>
          </cell>
          <cell r="CC88">
            <v>1.4762817961428519E-2</v>
          </cell>
          <cell r="CD88">
            <v>1.5427000078420582E-2</v>
          </cell>
          <cell r="CE88">
            <v>1.2471920647396986E-2</v>
          </cell>
          <cell r="CF88">
            <v>9.4293238501276331E-3</v>
          </cell>
          <cell r="CG88">
            <v>1.0978142679008349E-2</v>
          </cell>
          <cell r="CH88">
            <v>1.1797755154604525E-2</v>
          </cell>
          <cell r="CI88">
            <v>9.6519051754833298E-3</v>
          </cell>
          <cell r="CJ88">
            <v>7.1484230533384371E-3</v>
          </cell>
          <cell r="CK88">
            <v>8.3102844634218385E-3</v>
          </cell>
          <cell r="CL88">
            <v>8.713472611732543E-3</v>
          </cell>
          <cell r="CM88">
            <v>7.0651932931517399E-3</v>
          </cell>
          <cell r="CN88">
            <v>5.2605392214883796E-3</v>
          </cell>
          <cell r="CO88">
            <v>6.1022082262810785E-3</v>
          </cell>
          <cell r="CP88">
            <v>6.5364157002289688E-3</v>
          </cell>
          <cell r="CQ88">
            <v>5.1728496131142384E-3</v>
          </cell>
          <cell r="CR88">
            <v>3.8784465978833329E-3</v>
          </cell>
          <cell r="CS88">
            <v>4.4938965486608926E-3</v>
          </cell>
          <cell r="CT88">
            <v>4.9134892367976874E-3</v>
          </cell>
          <cell r="CU88">
            <v>3.7579652763670077E-3</v>
          </cell>
          <cell r="CV88">
            <v>2.8300337960180102E-3</v>
          </cell>
          <cell r="CW88">
            <v>3.2783554648987325E-3</v>
          </cell>
          <cell r="CX88">
            <v>3.6128682382069966E-3</v>
          </cell>
          <cell r="CY88">
            <v>2.726497489353183E-3</v>
          </cell>
          <cell r="CZ88">
            <v>2.0638040193606036E-3</v>
          </cell>
          <cell r="DA88">
            <v>2.393718992118586E-3</v>
          </cell>
          <cell r="DB88">
            <v>2.6475751145727542E-3</v>
          </cell>
          <cell r="DC88"/>
          <cell r="DD88"/>
          <cell r="DE88">
            <v>0</v>
          </cell>
          <cell r="DF88">
            <v>0</v>
          </cell>
          <cell r="DG88">
            <v>0</v>
          </cell>
          <cell r="DH88">
            <v>0</v>
          </cell>
          <cell r="DI88">
            <v>0</v>
          </cell>
          <cell r="DJ88">
            <v>0</v>
          </cell>
          <cell r="DK88">
            <v>0</v>
          </cell>
          <cell r="DL88">
            <v>0</v>
          </cell>
          <cell r="DM88">
            <v>0</v>
          </cell>
          <cell r="DN88">
            <v>0</v>
          </cell>
          <cell r="DO88">
            <v>0</v>
          </cell>
        </row>
        <row r="89">
          <cell r="A89" t="str">
            <v>% growth in revenue y-o-y</v>
          </cell>
          <cell r="B89"/>
          <cell r="C89"/>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cell r="BG89"/>
          <cell r="BH89"/>
          <cell r="BI89"/>
          <cell r="BJ89"/>
          <cell r="BK89"/>
          <cell r="BL89"/>
          <cell r="BM89"/>
          <cell r="BN89"/>
          <cell r="BO89" t="str">
            <v>NA</v>
          </cell>
          <cell r="BP89" t="str">
            <v>NA</v>
          </cell>
          <cell r="BQ89" t="str">
            <v>NA</v>
          </cell>
          <cell r="BR89" t="str">
            <v>NA</v>
          </cell>
          <cell r="BS89">
            <v>0</v>
          </cell>
          <cell r="BT89">
            <v>0</v>
          </cell>
          <cell r="BU89">
            <v>0</v>
          </cell>
          <cell r="BV89">
            <v>0</v>
          </cell>
          <cell r="BW89">
            <v>-8.6464291041945196E-2</v>
          </cell>
          <cell r="BX89">
            <v>-8.6464291041945196E-2</v>
          </cell>
          <cell r="BY89">
            <v>-8.6464291041945307E-2</v>
          </cell>
          <cell r="BZ89">
            <v>-8.6464291041945307E-2</v>
          </cell>
          <cell r="CA89">
            <v>-8.6464291041945307E-2</v>
          </cell>
          <cell r="CB89">
            <v>-1.8894621108847875E-2</v>
          </cell>
          <cell r="CC89">
            <v>7.6343665380591341E-2</v>
          </cell>
          <cell r="CD89">
            <v>0.29948396214037509</v>
          </cell>
          <cell r="CE89">
            <v>0</v>
          </cell>
          <cell r="CF89">
            <v>-0.21164450618143915</v>
          </cell>
          <cell r="CG89">
            <v>-0.21164450618143915</v>
          </cell>
          <cell r="CH89">
            <v>-0.21164450618143915</v>
          </cell>
          <cell r="CI89">
            <v>-0.21164450618143915</v>
          </cell>
          <cell r="CJ89">
            <v>-0.21164450618143915</v>
          </cell>
          <cell r="CK89">
            <v>-0.21164450618143915</v>
          </cell>
          <cell r="CL89">
            <v>-0.21164450618143915</v>
          </cell>
          <cell r="CM89">
            <v>-0.21164450618143915</v>
          </cell>
          <cell r="CN89">
            <v>-0.21164450618143915</v>
          </cell>
          <cell r="CO89">
            <v>-0.21164450618143915</v>
          </cell>
          <cell r="CP89">
            <v>-0.21164450618143915</v>
          </cell>
          <cell r="CQ89">
            <v>-0.21164450618143915</v>
          </cell>
          <cell r="CR89">
            <v>-0.21164450618143915</v>
          </cell>
          <cell r="CS89">
            <v>-0.21164450618143915</v>
          </cell>
          <cell r="CT89">
            <v>-0.21164450618143915</v>
          </cell>
          <cell r="CU89">
            <v>-0.21164450618143915</v>
          </cell>
          <cell r="CV89">
            <v>-0.21164450618143915</v>
          </cell>
          <cell r="CW89">
            <v>-0.21164450618143915</v>
          </cell>
          <cell r="CX89">
            <v>-0.21164450618143915</v>
          </cell>
          <cell r="CY89">
            <v>-0.21164450618143915</v>
          </cell>
          <cell r="CZ89">
            <v>-0.21164450618143915</v>
          </cell>
          <cell r="DA89">
            <v>-0.21164450618143915</v>
          </cell>
          <cell r="DB89">
            <v>-0.21164450618143915</v>
          </cell>
          <cell r="DC89"/>
          <cell r="DD89" t="str">
            <v>NA</v>
          </cell>
          <cell r="DE89" t="str">
            <v>NA</v>
          </cell>
          <cell r="DF89" t="str">
            <v>NA</v>
          </cell>
          <cell r="DG89" t="str">
            <v>NA</v>
          </cell>
          <cell r="DH89" t="str">
            <v>NA</v>
          </cell>
          <cell r="DI89" t="str">
            <v>NA</v>
          </cell>
          <cell r="DJ89" t="str">
            <v>NA</v>
          </cell>
          <cell r="DK89" t="str">
            <v>NA</v>
          </cell>
          <cell r="DL89" t="str">
            <v>NA</v>
          </cell>
          <cell r="DM89" t="str">
            <v>NA</v>
          </cell>
          <cell r="DN89" t="str">
            <v>NA</v>
          </cell>
          <cell r="DO89" t="str">
            <v>NA</v>
          </cell>
        </row>
        <row r="90">
          <cell r="A90" t="str">
            <v>% growth in revenue seq</v>
          </cell>
          <cell r="B90"/>
          <cell r="C90"/>
          <cell r="D90"/>
          <cell r="E90"/>
          <cell r="F90"/>
          <cell r="G90"/>
          <cell r="H90"/>
          <cell r="I90"/>
          <cell r="J90"/>
          <cell r="K90"/>
          <cell r="L90"/>
          <cell r="M90"/>
          <cell r="N90"/>
          <cell r="O90"/>
          <cell r="P90"/>
          <cell r="Q90"/>
          <cell r="R90"/>
          <cell r="S90"/>
          <cell r="T90"/>
          <cell r="U90"/>
          <cell r="V90"/>
          <cell r="W90"/>
          <cell r="X90"/>
          <cell r="Y90"/>
          <cell r="Z90"/>
          <cell r="AA90"/>
          <cell r="AB90"/>
          <cell r="AC90"/>
          <cell r="AD90"/>
          <cell r="AE90"/>
          <cell r="AF90"/>
          <cell r="AG90"/>
          <cell r="AH90"/>
          <cell r="AI90"/>
          <cell r="AJ90"/>
          <cell r="AK90"/>
          <cell r="AL90"/>
          <cell r="AM90"/>
          <cell r="AN90"/>
          <cell r="AO90"/>
          <cell r="AP90"/>
          <cell r="AQ90"/>
          <cell r="AR90"/>
          <cell r="AS90"/>
          <cell r="AT90"/>
          <cell r="AU90"/>
          <cell r="AV90"/>
          <cell r="AW90"/>
          <cell r="AX90"/>
          <cell r="AY90"/>
          <cell r="AZ90"/>
          <cell r="BA90"/>
          <cell r="BB90"/>
          <cell r="BC90"/>
          <cell r="BD90"/>
          <cell r="BE90"/>
          <cell r="BF90"/>
          <cell r="BG90"/>
          <cell r="BH90"/>
          <cell r="BI90"/>
          <cell r="BJ90"/>
          <cell r="BK90"/>
          <cell r="BL90"/>
          <cell r="BM90"/>
          <cell r="BN90"/>
          <cell r="BO90" t="str">
            <v>NA</v>
          </cell>
          <cell r="BP90">
            <v>-4.9176123809464123E-2</v>
          </cell>
          <cell r="BQ90">
            <v>4.7101851982900067E-2</v>
          </cell>
          <cell r="BR90">
            <v>-2.5546523046008907E-2</v>
          </cell>
          <cell r="BS90">
            <v>3.0741789216541138E-2</v>
          </cell>
          <cell r="BT90">
            <v>-4.9176123809464123E-2</v>
          </cell>
          <cell r="BU90">
            <v>4.7101851982900067E-2</v>
          </cell>
          <cell r="BV90">
            <v>-2.5546523046008907E-2</v>
          </cell>
          <cell r="BW90">
            <v>-5.8380568835373237E-2</v>
          </cell>
          <cell r="BX90">
            <v>-4.9176123809464123E-2</v>
          </cell>
          <cell r="BY90">
            <v>4.7101851982900067E-2</v>
          </cell>
          <cell r="BZ90">
            <v>-2.5546523046008907E-2</v>
          </cell>
          <cell r="CA90">
            <v>-5.8380568835373237E-2</v>
          </cell>
          <cell r="CB90">
            <v>2.115156546278163E-2</v>
          </cell>
          <cell r="CC90">
            <v>0.14874657670704572</v>
          </cell>
          <cell r="CD90">
            <v>0.17647058823529416</v>
          </cell>
          <cell r="CE90">
            <v>-0.27538972500000003</v>
          </cell>
          <cell r="CF90">
            <v>-0.19496955334599231</v>
          </cell>
          <cell r="CG90">
            <v>0.14874657670704572</v>
          </cell>
          <cell r="CH90">
            <v>0.17647058823529416</v>
          </cell>
          <cell r="CI90">
            <v>-0.27538972500000003</v>
          </cell>
          <cell r="CJ90">
            <v>-0.19496955334599231</v>
          </cell>
          <cell r="CK90">
            <v>0.14874657670704572</v>
          </cell>
          <cell r="CL90">
            <v>0.17647058823529416</v>
          </cell>
          <cell r="CM90">
            <v>-0.27538972499999992</v>
          </cell>
          <cell r="CN90">
            <v>-0.1949695533459922</v>
          </cell>
          <cell r="CO90">
            <v>0.14874657670704572</v>
          </cell>
          <cell r="CP90">
            <v>0.17647058823529393</v>
          </cell>
          <cell r="CQ90">
            <v>-0.27538972499999992</v>
          </cell>
          <cell r="CR90">
            <v>-0.1949695533459922</v>
          </cell>
          <cell r="CS90">
            <v>0.1487465767070455</v>
          </cell>
          <cell r="CT90">
            <v>0.17647058823529416</v>
          </cell>
          <cell r="CU90">
            <v>-0.27538972499999981</v>
          </cell>
          <cell r="CV90">
            <v>-0.1949695533459922</v>
          </cell>
          <cell r="CW90">
            <v>0.1487465767070455</v>
          </cell>
          <cell r="CX90">
            <v>0.17647058823529416</v>
          </cell>
          <cell r="CY90">
            <v>-0.27538972499999981</v>
          </cell>
          <cell r="CZ90">
            <v>-0.1949695533459922</v>
          </cell>
          <cell r="DA90">
            <v>0.1487465767070455</v>
          </cell>
          <cell r="DB90">
            <v>0.17647058823529393</v>
          </cell>
          <cell r="DC90"/>
          <cell r="DD90"/>
          <cell r="DE90"/>
          <cell r="DF90"/>
          <cell r="DG90"/>
          <cell r="DH90"/>
          <cell r="DI90"/>
          <cell r="DJ90"/>
          <cell r="DK90"/>
          <cell r="DL90"/>
          <cell r="DM90"/>
          <cell r="DN90"/>
          <cell r="DO90"/>
        </row>
        <row r="91">
          <cell r="A91"/>
          <cell r="B91"/>
          <cell r="C91"/>
          <cell r="D91"/>
          <cell r="E91"/>
          <cell r="F91"/>
          <cell r="G91"/>
          <cell r="H91"/>
          <cell r="I91"/>
          <cell r="J91"/>
          <cell r="K91"/>
          <cell r="L91"/>
          <cell r="M91"/>
          <cell r="N91"/>
          <cell r="O91"/>
          <cell r="P91"/>
          <cell r="Q91"/>
          <cell r="R91"/>
          <cell r="S91"/>
          <cell r="T91"/>
          <cell r="U91"/>
          <cell r="V91"/>
          <cell r="W91"/>
          <cell r="X91"/>
          <cell r="Y91"/>
          <cell r="Z91"/>
          <cell r="AA91"/>
          <cell r="AB91"/>
          <cell r="AC91"/>
          <cell r="AD91"/>
          <cell r="AE91"/>
          <cell r="AF91"/>
          <cell r="AG91"/>
          <cell r="AH91"/>
          <cell r="AI91"/>
          <cell r="AJ91"/>
          <cell r="AK91"/>
          <cell r="AL91"/>
          <cell r="AM91"/>
          <cell r="AN91"/>
          <cell r="AO91"/>
          <cell r="AP91"/>
          <cell r="AQ91"/>
          <cell r="AR91"/>
          <cell r="AS91"/>
          <cell r="AT91"/>
          <cell r="AU91"/>
          <cell r="AV91"/>
          <cell r="AW91"/>
          <cell r="AX91"/>
          <cell r="AY91"/>
          <cell r="AZ91"/>
          <cell r="BA91"/>
          <cell r="BB91"/>
          <cell r="BC91"/>
          <cell r="BD91"/>
          <cell r="BE91"/>
          <cell r="BF91"/>
          <cell r="BG91"/>
          <cell r="BH91"/>
          <cell r="BI91"/>
          <cell r="BJ91"/>
          <cell r="BK91"/>
          <cell r="BL91"/>
          <cell r="BM91"/>
          <cell r="BN91"/>
          <cell r="BO91"/>
          <cell r="BP91"/>
          <cell r="BQ91"/>
          <cell r="BR91"/>
          <cell r="BS91"/>
          <cell r="BT91"/>
          <cell r="BU91"/>
          <cell r="BV91"/>
          <cell r="BW91"/>
          <cell r="BX91"/>
          <cell r="BY91"/>
          <cell r="BZ91"/>
          <cell r="CA91"/>
          <cell r="CB91"/>
          <cell r="CC91"/>
          <cell r="CD91"/>
          <cell r="CE91">
            <v>59.9</v>
          </cell>
          <cell r="CF91">
            <v>64.8</v>
          </cell>
          <cell r="CG91">
            <v>70.8</v>
          </cell>
          <cell r="CH91">
            <v>78.3</v>
          </cell>
          <cell r="CI91"/>
          <cell r="CJ91"/>
          <cell r="CK91"/>
          <cell r="CL91"/>
          <cell r="CM91"/>
          <cell r="CN91"/>
          <cell r="CO91"/>
          <cell r="CP91"/>
          <cell r="CQ91"/>
          <cell r="CR91"/>
          <cell r="CS91"/>
          <cell r="CT91"/>
          <cell r="CU91"/>
          <cell r="CV91"/>
          <cell r="CW91"/>
          <cell r="CX91"/>
          <cell r="CY91"/>
          <cell r="CZ91"/>
          <cell r="DA91"/>
          <cell r="DB91"/>
          <cell r="DC91"/>
          <cell r="DD91"/>
          <cell r="DE91"/>
          <cell r="DF91"/>
          <cell r="DG91"/>
          <cell r="DH91"/>
          <cell r="DI91"/>
          <cell r="DJ91"/>
          <cell r="DK91"/>
          <cell r="DL91"/>
          <cell r="DM91"/>
          <cell r="DN91"/>
          <cell r="DO91"/>
        </row>
        <row r="92">
          <cell r="A92" t="str">
            <v>Software-as-a-Service</v>
          </cell>
          <cell r="B92"/>
          <cell r="C92"/>
          <cell r="D92"/>
          <cell r="E92"/>
          <cell r="F92"/>
          <cell r="G92"/>
          <cell r="H92"/>
          <cell r="I92"/>
          <cell r="J92"/>
          <cell r="K92"/>
          <cell r="L92"/>
          <cell r="M92"/>
          <cell r="N92"/>
          <cell r="O92"/>
          <cell r="P92"/>
          <cell r="Q92"/>
          <cell r="R92"/>
          <cell r="S92"/>
          <cell r="T92"/>
          <cell r="U92"/>
          <cell r="V92"/>
          <cell r="W92"/>
          <cell r="X92"/>
          <cell r="Y92"/>
          <cell r="Z92"/>
          <cell r="AA92"/>
          <cell r="AB92"/>
          <cell r="AC92"/>
          <cell r="AD92"/>
          <cell r="AE92"/>
          <cell r="AF92"/>
          <cell r="AG92"/>
          <cell r="AH92"/>
          <cell r="AI92"/>
          <cell r="AJ92"/>
          <cell r="AK92"/>
          <cell r="AL92"/>
          <cell r="AM92"/>
          <cell r="AN92"/>
          <cell r="AO92"/>
          <cell r="AP92"/>
          <cell r="AQ92"/>
          <cell r="AR92"/>
          <cell r="AS92"/>
          <cell r="AT92"/>
          <cell r="AU92"/>
          <cell r="AV92"/>
          <cell r="AW92"/>
          <cell r="AX92"/>
          <cell r="AY92"/>
          <cell r="AZ92"/>
          <cell r="BA92"/>
          <cell r="BB92"/>
          <cell r="BC92"/>
          <cell r="BD92"/>
          <cell r="BE92"/>
          <cell r="BF92"/>
          <cell r="BG92"/>
          <cell r="BH92"/>
          <cell r="BI92"/>
          <cell r="BJ92"/>
          <cell r="BK92"/>
          <cell r="BL92"/>
          <cell r="BM92"/>
          <cell r="BN92"/>
          <cell r="BO92"/>
          <cell r="BP92"/>
          <cell r="BQ92"/>
          <cell r="BR92"/>
          <cell r="BS92">
            <v>23.217170538837848</v>
          </cell>
          <cell r="BT92">
            <v>24.699089199279015</v>
          </cell>
          <cell r="BU92">
            <v>24.632383082536151</v>
          </cell>
          <cell r="BV92">
            <v>29.400384072627666</v>
          </cell>
          <cell r="BW92">
            <v>31.11479877</v>
          </cell>
          <cell r="BX92">
            <v>32.763883669999998</v>
          </cell>
          <cell r="BY92">
            <v>34.672008550000001</v>
          </cell>
          <cell r="BZ92">
            <v>36.131716709999999</v>
          </cell>
          <cell r="CA92">
            <v>38.730040860000003</v>
          </cell>
          <cell r="CB92">
            <v>41.51254565</v>
          </cell>
          <cell r="CC92">
            <v>45.8</v>
          </cell>
          <cell r="CD92">
            <v>49.7</v>
          </cell>
          <cell r="CE92">
            <v>52.6152890316555</v>
          </cell>
          <cell r="CF92">
            <v>59.922493869886878</v>
          </cell>
          <cell r="CG92">
            <v>66.859956330705302</v>
          </cell>
          <cell r="CH92">
            <v>80.921631310774373</v>
          </cell>
          <cell r="CI92">
            <v>87.963892839433257</v>
          </cell>
          <cell r="CJ92">
            <v>98.915065980904842</v>
          </cell>
          <cell r="CK92">
            <v>106.81436629436638</v>
          </cell>
          <cell r="CL92">
            <v>127.31819740668618</v>
          </cell>
          <cell r="CM92">
            <v>136.1799766400465</v>
          </cell>
          <cell r="CN92">
            <v>149.67491761016316</v>
          </cell>
          <cell r="CO92">
            <v>159.44096259248366</v>
          </cell>
          <cell r="CP92">
            <v>186.02245445789634</v>
          </cell>
          <cell r="CQ92">
            <v>196.63239355631771</v>
          </cell>
          <cell r="CR92">
            <v>212.68015757633725</v>
          </cell>
          <cell r="CS92">
            <v>224.25104827306336</v>
          </cell>
          <cell r="CT92">
            <v>257.23261315397724</v>
          </cell>
          <cell r="CU92">
            <v>268.24347518273578</v>
          </cell>
          <cell r="CV92">
            <v>285.20313620454021</v>
          </cell>
          <cell r="CW92">
            <v>297.17617812795436</v>
          </cell>
          <cell r="CX92">
            <v>333.48306458185976</v>
          </cell>
          <cell r="CY92">
            <v>343.40002297989327</v>
          </cell>
          <cell r="CZ92">
            <v>359.47973904359196</v>
          </cell>
          <cell r="DA92">
            <v>370.37321848845147</v>
          </cell>
          <cell r="DB92">
            <v>406.66645621788899</v>
          </cell>
          <cell r="DC92"/>
          <cell r="DD92"/>
          <cell r="DE92">
            <v>0</v>
          </cell>
          <cell r="DF92">
            <v>0</v>
          </cell>
          <cell r="DG92">
            <v>0</v>
          </cell>
          <cell r="DH92">
            <v>0</v>
          </cell>
          <cell r="DI92">
            <v>0</v>
          </cell>
          <cell r="DJ92">
            <v>0</v>
          </cell>
          <cell r="DK92">
            <v>0</v>
          </cell>
          <cell r="DL92">
            <v>0</v>
          </cell>
          <cell r="DM92">
            <v>0</v>
          </cell>
          <cell r="DN92">
            <v>0</v>
          </cell>
          <cell r="DO92">
            <v>0</v>
          </cell>
        </row>
        <row r="93">
          <cell r="A93" t="str">
            <v>Prior Software-as-a-Service</v>
          </cell>
          <cell r="B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4.78494623655914</v>
          </cell>
          <cell r="BH93">
            <v>6.0571428571428569</v>
          </cell>
          <cell r="BI93">
            <v>7.2352941176470598</v>
          </cell>
          <cell r="BJ93">
            <v>8.6666666666666679</v>
          </cell>
          <cell r="BK93">
            <v>8.9</v>
          </cell>
          <cell r="BL93">
            <v>10.6</v>
          </cell>
          <cell r="BM93">
            <v>12.3</v>
          </cell>
          <cell r="BN93">
            <v>14.3</v>
          </cell>
          <cell r="BO93">
            <v>15.9</v>
          </cell>
          <cell r="BP93">
            <v>17.8</v>
          </cell>
          <cell r="BQ93">
            <v>20.100000000000001</v>
          </cell>
          <cell r="BR93">
            <v>21.7</v>
          </cell>
          <cell r="BS93">
            <v>21.8</v>
          </cell>
          <cell r="BT93">
            <v>24.9</v>
          </cell>
          <cell r="BU93">
            <v>26.4</v>
          </cell>
          <cell r="BV93">
            <v>28.3</v>
          </cell>
          <cell r="BW93">
            <v>31.1</v>
          </cell>
          <cell r="BX93">
            <v>33.700000000000003</v>
          </cell>
          <cell r="BY93">
            <v>34.799999999999997</v>
          </cell>
          <cell r="BZ93">
            <v>37.200000000000003</v>
          </cell>
          <cell r="CA93">
            <v>38.911000000000001</v>
          </cell>
          <cell r="CB93">
            <v>41.021999999999998</v>
          </cell>
          <cell r="CC93">
            <v>41.631999999999998</v>
          </cell>
          <cell r="CD93">
            <v>45.6</v>
          </cell>
          <cell r="CE93"/>
          <cell r="CF93"/>
          <cell r="CG93"/>
          <cell r="CH93"/>
          <cell r="CI93"/>
          <cell r="CJ93"/>
          <cell r="CK93"/>
          <cell r="CL93"/>
          <cell r="CM93"/>
          <cell r="CN93"/>
          <cell r="CO93"/>
          <cell r="CP93"/>
          <cell r="CQ93"/>
          <cell r="CR93"/>
          <cell r="CS93"/>
          <cell r="CT93"/>
          <cell r="CU93"/>
          <cell r="CV93"/>
          <cell r="CW93"/>
          <cell r="CX93"/>
          <cell r="CY93"/>
          <cell r="CZ93"/>
          <cell r="DA93"/>
          <cell r="DB93"/>
          <cell r="DC93"/>
          <cell r="DD93" t="e">
            <v>#REF!</v>
          </cell>
          <cell r="DE93" t="e">
            <v>#REF!</v>
          </cell>
          <cell r="DF93" t="e">
            <v>#REF!</v>
          </cell>
          <cell r="DG93" t="e">
            <v>#REF!</v>
          </cell>
          <cell r="DH93" t="e">
            <v>#REF!</v>
          </cell>
          <cell r="DI93" t="e">
            <v>#REF!</v>
          </cell>
          <cell r="DJ93" t="e">
            <v>#REF!</v>
          </cell>
          <cell r="DK93" t="e">
            <v>#REF!</v>
          </cell>
          <cell r="DL93" t="e">
            <v>#REF!</v>
          </cell>
          <cell r="DM93" t="e">
            <v>#REF!</v>
          </cell>
          <cell r="DN93" t="e">
            <v>#REF!</v>
          </cell>
          <cell r="DO93" t="e">
            <v>#REF!</v>
          </cell>
        </row>
        <row r="94">
          <cell r="A94" t="str">
            <v>$ Delta</v>
          </cell>
          <cell r="B94"/>
          <cell r="C94"/>
          <cell r="D94"/>
          <cell r="E94"/>
          <cell r="F94"/>
          <cell r="G94"/>
          <cell r="H94"/>
          <cell r="I94"/>
          <cell r="J94"/>
          <cell r="K94"/>
          <cell r="L94"/>
          <cell r="M94"/>
          <cell r="N94"/>
          <cell r="O94"/>
          <cell r="P94"/>
          <cell r="Q94"/>
          <cell r="R94"/>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-4.78494623655914</v>
          </cell>
          <cell r="BH94">
            <v>-6.0571428571428569</v>
          </cell>
          <cell r="BI94">
            <v>-7.2352941176470598</v>
          </cell>
          <cell r="BJ94">
            <v>-8.6666666666666679</v>
          </cell>
          <cell r="BK94">
            <v>-8.9</v>
          </cell>
          <cell r="BL94">
            <v>-10.6</v>
          </cell>
          <cell r="BM94">
            <v>-12.3</v>
          </cell>
          <cell r="BN94">
            <v>-14.3</v>
          </cell>
          <cell r="BO94">
            <v>-15.9</v>
          </cell>
          <cell r="BP94">
            <v>-17.8</v>
          </cell>
          <cell r="BQ94">
            <v>-20.100000000000001</v>
          </cell>
          <cell r="BR94">
            <v>-21.7</v>
          </cell>
          <cell r="BS94">
            <v>1.4171705388378477</v>
          </cell>
          <cell r="BT94">
            <v>-0.20091080072098322</v>
          </cell>
          <cell r="BU94">
            <v>-1.7676169174638474</v>
          </cell>
          <cell r="BV94">
            <v>1.1003840726276657</v>
          </cell>
          <cell r="BW94">
            <v>1.479876999999874E-2</v>
          </cell>
          <cell r="BX94">
            <v>-0.93611633000000438</v>
          </cell>
          <cell r="BY94">
            <v>-0.12799144999999612</v>
          </cell>
          <cell r="BZ94">
            <v>-1.0682832900000037</v>
          </cell>
          <cell r="CA94">
            <v>-0.1809591399999988</v>
          </cell>
          <cell r="CB94">
            <v>0.49054565000000139</v>
          </cell>
          <cell r="CC94">
            <v>4.1679999999999993</v>
          </cell>
          <cell r="CD94">
            <v>4.1000000000000014</v>
          </cell>
          <cell r="CE94"/>
          <cell r="CF94"/>
          <cell r="CG94"/>
          <cell r="CH94"/>
          <cell r="CI94"/>
          <cell r="CJ94"/>
          <cell r="CK94"/>
          <cell r="CL94"/>
          <cell r="CM94"/>
          <cell r="CN94"/>
          <cell r="CO94"/>
          <cell r="CP94"/>
          <cell r="CQ94"/>
          <cell r="CR94"/>
          <cell r="CS94"/>
          <cell r="CT94"/>
          <cell r="CU94"/>
          <cell r="CV94"/>
          <cell r="CW94"/>
          <cell r="CX94"/>
          <cell r="CY94"/>
          <cell r="CZ94"/>
          <cell r="DA94"/>
          <cell r="DB94"/>
          <cell r="DC94"/>
          <cell r="DD94" t="e">
            <v>#REF!</v>
          </cell>
          <cell r="DE94" t="e">
            <v>#REF!</v>
          </cell>
          <cell r="DF94" t="e">
            <v>#REF!</v>
          </cell>
          <cell r="DG94" t="e">
            <v>#REF!</v>
          </cell>
          <cell r="DH94" t="e">
            <v>#REF!</v>
          </cell>
          <cell r="DI94" t="e">
            <v>#REF!</v>
          </cell>
          <cell r="DJ94" t="e">
            <v>#REF!</v>
          </cell>
          <cell r="DK94" t="e">
            <v>#REF!</v>
          </cell>
          <cell r="DL94" t="e">
            <v>#REF!</v>
          </cell>
          <cell r="DM94" t="e">
            <v>#REF!</v>
          </cell>
          <cell r="DN94" t="e">
            <v>#REF!</v>
          </cell>
          <cell r="DO94" t="e">
            <v>#REF!</v>
          </cell>
        </row>
        <row r="95">
          <cell r="A95" t="str">
            <v>% Delta</v>
          </cell>
          <cell r="B95"/>
          <cell r="C95"/>
          <cell r="D95"/>
          <cell r="E95"/>
          <cell r="F95"/>
          <cell r="G95"/>
          <cell r="H95"/>
          <cell r="I95"/>
          <cell r="J95"/>
          <cell r="K95"/>
          <cell r="L95"/>
          <cell r="M95"/>
          <cell r="N95"/>
          <cell r="O95"/>
          <cell r="P95"/>
          <cell r="Q95"/>
          <cell r="R95"/>
          <cell r="S95" t="e">
            <v>#DIV/0!</v>
          </cell>
          <cell r="T95" t="e">
            <v>#DIV/0!</v>
          </cell>
          <cell r="U95" t="e">
            <v>#DIV/0!</v>
          </cell>
          <cell r="V95" t="e">
            <v>#DIV/0!</v>
          </cell>
          <cell r="W95" t="e">
            <v>#DIV/0!</v>
          </cell>
          <cell r="X95" t="e">
            <v>#DIV/0!</v>
          </cell>
          <cell r="Y95" t="e">
            <v>#DIV/0!</v>
          </cell>
          <cell r="Z95" t="e">
            <v>#DIV/0!</v>
          </cell>
          <cell r="AA95" t="e">
            <v>#DIV/0!</v>
          </cell>
          <cell r="AB95" t="e">
            <v>#DIV/0!</v>
          </cell>
          <cell r="AC95" t="e">
            <v>#DIV/0!</v>
          </cell>
          <cell r="AD95" t="e">
            <v>#DIV/0!</v>
          </cell>
          <cell r="AE95" t="e">
            <v>#DIV/0!</v>
          </cell>
          <cell r="AF95" t="e">
            <v>#DIV/0!</v>
          </cell>
          <cell r="AG95" t="e">
            <v>#DIV/0!</v>
          </cell>
          <cell r="AH95" t="e">
            <v>#DIV/0!</v>
          </cell>
          <cell r="AI95" t="e">
            <v>#DIV/0!</v>
          </cell>
          <cell r="AJ95" t="e">
            <v>#DIV/0!</v>
          </cell>
          <cell r="AK95" t="e">
            <v>#DIV/0!</v>
          </cell>
          <cell r="AL95" t="e">
            <v>#DIV/0!</v>
          </cell>
          <cell r="AM95" t="e">
            <v>#DIV/0!</v>
          </cell>
          <cell r="AN95" t="e">
            <v>#DIV/0!</v>
          </cell>
          <cell r="AO95" t="e">
            <v>#DIV/0!</v>
          </cell>
          <cell r="AP95" t="e">
            <v>#DIV/0!</v>
          </cell>
          <cell r="AQ95" t="e">
            <v>#DIV/0!</v>
          </cell>
          <cell r="AR95" t="e">
            <v>#DIV/0!</v>
          </cell>
          <cell r="AS95" t="e">
            <v>#DIV/0!</v>
          </cell>
          <cell r="AT95" t="e">
            <v>#DIV/0!</v>
          </cell>
          <cell r="AU95" t="e">
            <v>#DIV/0!</v>
          </cell>
          <cell r="AV95" t="e">
            <v>#DIV/0!</v>
          </cell>
          <cell r="AW95" t="e">
            <v>#DIV/0!</v>
          </cell>
          <cell r="AX95" t="e">
            <v>#DIV/0!</v>
          </cell>
          <cell r="AY95" t="e">
            <v>#DIV/0!</v>
          </cell>
          <cell r="AZ95" t="e">
            <v>#DIV/0!</v>
          </cell>
          <cell r="BA95" t="e">
            <v>#DIV/0!</v>
          </cell>
          <cell r="BB95" t="e">
            <v>#DIV/0!</v>
          </cell>
          <cell r="BC95" t="e">
            <v>#DIV/0!</v>
          </cell>
          <cell r="BD95" t="e">
            <v>#DIV/0!</v>
          </cell>
          <cell r="BE95" t="e">
            <v>#DIV/0!</v>
          </cell>
          <cell r="BF95" t="e">
            <v>#DIV/0!</v>
          </cell>
          <cell r="BG95">
            <v>-1</v>
          </cell>
          <cell r="BH95">
            <v>-1</v>
          </cell>
          <cell r="BI95">
            <v>-1</v>
          </cell>
          <cell r="BJ95">
            <v>-1</v>
          </cell>
          <cell r="BK95">
            <v>-1</v>
          </cell>
          <cell r="BL95">
            <v>-1</v>
          </cell>
          <cell r="BM95">
            <v>-1</v>
          </cell>
          <cell r="BN95">
            <v>-1</v>
          </cell>
          <cell r="BO95">
            <v>-1</v>
          </cell>
          <cell r="BP95">
            <v>-1</v>
          </cell>
          <cell r="BQ95">
            <v>-1</v>
          </cell>
          <cell r="BR95">
            <v>-1</v>
          </cell>
          <cell r="BS95">
            <v>6.5007822882470076E-2</v>
          </cell>
          <cell r="BT95">
            <v>-8.0687068562643859E-3</v>
          </cell>
          <cell r="BU95">
            <v>-6.695518626756998E-2</v>
          </cell>
          <cell r="BV95">
            <v>3.8882829421472281E-2</v>
          </cell>
          <cell r="BW95">
            <v>4.758446945337215E-4</v>
          </cell>
          <cell r="BX95">
            <v>-2.7777932640949684E-2</v>
          </cell>
          <cell r="BY95">
            <v>-3.6779152298849465E-3</v>
          </cell>
          <cell r="BZ95">
            <v>-2.8717292741935581E-2</v>
          </cell>
          <cell r="CA95">
            <v>-4.6505908354963583E-3</v>
          </cell>
          <cell r="CB95">
            <v>1.1958111501145761E-2</v>
          </cell>
          <cell r="CC95">
            <v>0.1001152959262106</v>
          </cell>
          <cell r="CD95">
            <v>8.9912280701754416E-2</v>
          </cell>
          <cell r="CE95"/>
          <cell r="CF95"/>
          <cell r="CG95"/>
          <cell r="CH95"/>
          <cell r="CI95"/>
          <cell r="CJ95"/>
          <cell r="CK95"/>
          <cell r="CL95"/>
          <cell r="CM95"/>
          <cell r="CN95"/>
          <cell r="CO95"/>
          <cell r="CP95"/>
          <cell r="CQ95"/>
          <cell r="CR95"/>
          <cell r="CS95"/>
          <cell r="CT95"/>
          <cell r="CU95"/>
          <cell r="CV95"/>
          <cell r="CW95"/>
          <cell r="CX95"/>
          <cell r="CY95"/>
          <cell r="CZ95"/>
          <cell r="DA95"/>
          <cell r="DB95"/>
          <cell r="DC95"/>
          <cell r="DD95" t="e">
            <v>#REF!</v>
          </cell>
          <cell r="DE95" t="e">
            <v>#REF!</v>
          </cell>
          <cell r="DF95" t="e">
            <v>#REF!</v>
          </cell>
          <cell r="DG95" t="e">
            <v>#REF!</v>
          </cell>
          <cell r="DH95" t="e">
            <v>#REF!</v>
          </cell>
          <cell r="DI95" t="e">
            <v>#REF!</v>
          </cell>
          <cell r="DJ95" t="e">
            <v>#REF!</v>
          </cell>
          <cell r="DK95" t="e">
            <v>#REF!</v>
          </cell>
          <cell r="DL95" t="e">
            <v>#REF!</v>
          </cell>
          <cell r="DM95" t="e">
            <v>#REF!</v>
          </cell>
          <cell r="DN95" t="e">
            <v>#REF!</v>
          </cell>
          <cell r="DO95" t="e">
            <v>#REF!</v>
          </cell>
        </row>
        <row r="96">
          <cell r="A96" t="str">
            <v>% of revenue</v>
          </cell>
          <cell r="B96"/>
          <cell r="C96"/>
          <cell r="D96"/>
          <cell r="E96"/>
          <cell r="F96"/>
          <cell r="G96"/>
          <cell r="H96"/>
          <cell r="I96"/>
          <cell r="J96"/>
          <cell r="K96"/>
          <cell r="L96"/>
          <cell r="M96"/>
          <cell r="N96"/>
          <cell r="O96"/>
          <cell r="P96"/>
          <cell r="Q96"/>
          <cell r="R96"/>
          <cell r="S96"/>
          <cell r="T96"/>
          <cell r="U96"/>
          <cell r="V96"/>
          <cell r="W96"/>
          <cell r="X96"/>
          <cell r="Y96"/>
          <cell r="Z96"/>
          <cell r="AA96"/>
          <cell r="AB96"/>
          <cell r="AC96"/>
          <cell r="AD96"/>
          <cell r="AE96"/>
          <cell r="AF96"/>
          <cell r="AG96"/>
          <cell r="AH96"/>
          <cell r="AI96"/>
          <cell r="AJ96"/>
          <cell r="AK96"/>
          <cell r="AL96"/>
          <cell r="AM96"/>
          <cell r="AN96"/>
          <cell r="AO96"/>
          <cell r="AP96"/>
          <cell r="AQ96"/>
          <cell r="AR96"/>
          <cell r="AS96"/>
          <cell r="AT96"/>
          <cell r="AU96"/>
          <cell r="AV96"/>
          <cell r="AW96"/>
          <cell r="AX96"/>
          <cell r="AY96"/>
          <cell r="AZ96"/>
          <cell r="BA96"/>
          <cell r="BB96"/>
          <cell r="BC96"/>
          <cell r="BD96"/>
          <cell r="BE96"/>
          <cell r="BF96"/>
          <cell r="BG96"/>
          <cell r="BH96"/>
          <cell r="BI96"/>
          <cell r="BJ96"/>
          <cell r="BK96"/>
          <cell r="BL96"/>
          <cell r="BM96"/>
          <cell r="BN96"/>
          <cell r="BO96"/>
          <cell r="BP96"/>
          <cell r="BQ96"/>
          <cell r="BR96"/>
          <cell r="BS96">
            <v>3.05167054487736E-2</v>
          </cell>
          <cell r="BT96">
            <v>3.0999448012860871E-2</v>
          </cell>
          <cell r="BU96">
            <v>3.0288075402432342E-2</v>
          </cell>
          <cell r="BV96">
            <v>3.2495122007230252E-2</v>
          </cell>
          <cell r="BW96">
            <v>4.7231442044528241E-2</v>
          </cell>
          <cell r="BX96">
            <v>4.8612040988921149E-2</v>
          </cell>
          <cell r="BY96">
            <v>5.1847079490262231E-2</v>
          </cell>
          <cell r="BZ96">
            <v>4.9186637212354195E-2</v>
          </cell>
          <cell r="CA96">
            <v>5.8444824341270345E-2</v>
          </cell>
          <cell r="CB96">
            <v>5.9883047904943108E-2</v>
          </cell>
          <cell r="CC96">
            <v>6.6287947317002563E-2</v>
          </cell>
          <cell r="CD96">
            <v>6.3893491991458579E-2</v>
          </cell>
          <cell r="CE96">
            <v>7.5467430824873921E-2</v>
          </cell>
          <cell r="CF96">
            <v>8.0718371515207318E-2</v>
          </cell>
          <cell r="CG96">
            <v>9.127938161892718E-2</v>
          </cell>
          <cell r="CH96">
            <v>0.10091614764335163</v>
          </cell>
          <cell r="CI96">
            <v>0.12385389096242261</v>
          </cell>
          <cell r="CJ96">
            <v>0.12813050956337219</v>
          </cell>
          <cell r="CK96">
            <v>0.14002358405097523</v>
          </cell>
          <cell r="CL96">
            <v>0.14874977199232908</v>
          </cell>
          <cell r="CM96">
            <v>0.17803581310391151</v>
          </cell>
          <cell r="CN96">
            <v>0.1809826961869305</v>
          </cell>
          <cell r="CO96">
            <v>0.19467960823533315</v>
          </cell>
          <cell r="CP96">
            <v>0.20680331374001587</v>
          </cell>
          <cell r="CQ96">
            <v>0.23874423259189156</v>
          </cell>
          <cell r="CR96">
            <v>0.24050297566319806</v>
          </cell>
          <cell r="CS96">
            <v>0.25578141577008412</v>
          </cell>
          <cell r="CT96">
            <v>0.27267567624203565</v>
          </cell>
          <cell r="CU96">
            <v>0.30012888992151177</v>
          </cell>
          <cell r="CV96">
            <v>0.29851041276006224</v>
          </cell>
          <cell r="CW96">
            <v>0.31366016784961059</v>
          </cell>
          <cell r="CX96">
            <v>0.32971155581431166</v>
          </cell>
          <cell r="CY96">
            <v>0.35359750804927514</v>
          </cell>
          <cell r="CZ96">
            <v>0.34804415081812545</v>
          </cell>
          <cell r="DA96">
            <v>0.36205952613806175</v>
          </cell>
          <cell r="DB96">
            <v>0.37374277415597773</v>
          </cell>
          <cell r="DC96"/>
          <cell r="DD96"/>
          <cell r="DE96">
            <v>0</v>
          </cell>
          <cell r="DF96">
            <v>0</v>
          </cell>
          <cell r="DG96">
            <v>0</v>
          </cell>
          <cell r="DH96">
            <v>0</v>
          </cell>
          <cell r="DI96">
            <v>0</v>
          </cell>
          <cell r="DJ96">
            <v>0</v>
          </cell>
          <cell r="DK96">
            <v>0</v>
          </cell>
          <cell r="DL96">
            <v>0</v>
          </cell>
          <cell r="DM96">
            <v>0</v>
          </cell>
          <cell r="DN96">
            <v>0</v>
          </cell>
          <cell r="DO96">
            <v>0</v>
          </cell>
        </row>
        <row r="97">
          <cell r="A97" t="str">
            <v>% growth in revenue y-o-y</v>
          </cell>
          <cell r="B97"/>
          <cell r="C97"/>
          <cell r="D97"/>
          <cell r="E97"/>
          <cell r="F97"/>
          <cell r="G97"/>
          <cell r="H97"/>
          <cell r="I97"/>
          <cell r="J97"/>
          <cell r="K97"/>
          <cell r="L97"/>
          <cell r="M97"/>
          <cell r="N97"/>
          <cell r="O97"/>
          <cell r="P97"/>
          <cell r="Q97"/>
          <cell r="R97"/>
          <cell r="S97"/>
          <cell r="T97"/>
          <cell r="U97"/>
          <cell r="V97"/>
          <cell r="W97"/>
          <cell r="X97"/>
          <cell r="Y97"/>
          <cell r="Z97"/>
          <cell r="AA97"/>
          <cell r="AB97"/>
          <cell r="AC97"/>
          <cell r="AD97"/>
          <cell r="AE97"/>
          <cell r="AF97"/>
          <cell r="AG97"/>
          <cell r="AH97"/>
          <cell r="AI97"/>
          <cell r="AJ97"/>
          <cell r="AK97"/>
          <cell r="AL97"/>
          <cell r="AM97"/>
          <cell r="AN97"/>
          <cell r="AO97"/>
          <cell r="AP97"/>
          <cell r="AQ97"/>
          <cell r="AR97"/>
          <cell r="AS97"/>
          <cell r="AT97"/>
          <cell r="AU97"/>
          <cell r="AV97"/>
          <cell r="AW97"/>
          <cell r="AX97"/>
          <cell r="AY97"/>
          <cell r="AZ97"/>
          <cell r="BA97"/>
          <cell r="BB97"/>
          <cell r="BC97"/>
          <cell r="BD97"/>
          <cell r="BE97"/>
          <cell r="BF97"/>
          <cell r="BG97"/>
          <cell r="BH97"/>
          <cell r="BI97"/>
          <cell r="BJ97"/>
          <cell r="BK97"/>
          <cell r="BL97"/>
          <cell r="BM97"/>
          <cell r="BN97"/>
          <cell r="BO97"/>
          <cell r="BP97"/>
          <cell r="BQ97"/>
          <cell r="BR97"/>
          <cell r="BS97" t="str">
            <v>NA</v>
          </cell>
          <cell r="BT97" t="str">
            <v>NA</v>
          </cell>
          <cell r="BU97" t="str">
            <v>NA</v>
          </cell>
          <cell r="BV97" t="str">
            <v>NA</v>
          </cell>
          <cell r="BW97">
            <v>0.34016325193248442</v>
          </cell>
          <cell r="BX97">
            <v>0.32652193794078843</v>
          </cell>
          <cell r="BY97">
            <v>0.40757832621488155</v>
          </cell>
          <cell r="BZ97">
            <v>0.22895390144373429</v>
          </cell>
          <cell r="CA97">
            <v>0.24474662832601712</v>
          </cell>
          <cell r="CB97">
            <v>0.26702151881984149</v>
          </cell>
          <cell r="CC97">
            <v>0.32095029723912538</v>
          </cell>
          <cell r="CD97">
            <v>0.37552279618767126</v>
          </cell>
          <cell r="CE97">
            <v>0.35851364634102523</v>
          </cell>
          <cell r="CF97">
            <v>0.44347914423520485</v>
          </cell>
          <cell r="CG97">
            <v>0.45982437403286691</v>
          </cell>
          <cell r="CH97">
            <v>0.62820183723892087</v>
          </cell>
          <cell r="CI97">
            <v>0.67183140981152079</v>
          </cell>
          <cell r="CJ97">
            <v>0.65071677750403301</v>
          </cell>
          <cell r="CK97">
            <v>0.59758354860474383</v>
          </cell>
          <cell r="CL97">
            <v>0.5733518386169052</v>
          </cell>
          <cell r="CM97">
            <v>0.54813494769524906</v>
          </cell>
          <cell r="CN97">
            <v>0.51316602911691245</v>
          </cell>
          <cell r="CO97">
            <v>0.49269211739819041</v>
          </cell>
          <cell r="CP97">
            <v>0.46108300499805277</v>
          </cell>
          <cell r="CQ97">
            <v>0.44391560644822392</v>
          </cell>
          <cell r="CR97">
            <v>0.42094721662232559</v>
          </cell>
          <cell r="CS97">
            <v>0.40648328150293644</v>
          </cell>
          <cell r="CT97">
            <v>0.38280410235205431</v>
          </cell>
          <cell r="CU97">
            <v>0.36418761085725104</v>
          </cell>
          <cell r="CV97">
            <v>0.34099550919399846</v>
          </cell>
          <cell r="CW97">
            <v>0.32519415367946181</v>
          </cell>
          <cell r="CX97">
            <v>0.29642606547032058</v>
          </cell>
          <cell r="CY97">
            <v>0.28018033894751215</v>
          </cell>
          <cell r="CZ97">
            <v>0.26043403248477093</v>
          </cell>
          <cell r="DA97">
            <v>0.24630857298723607</v>
          </cell>
          <cell r="DB97">
            <v>0.21945159862252916</v>
          </cell>
          <cell r="DC97"/>
          <cell r="DD97" t="str">
            <v>NA</v>
          </cell>
          <cell r="DE97" t="str">
            <v>NA</v>
          </cell>
          <cell r="DF97" t="str">
            <v>NA</v>
          </cell>
          <cell r="DG97" t="str">
            <v>NA</v>
          </cell>
          <cell r="DH97" t="str">
            <v>NA</v>
          </cell>
          <cell r="DI97" t="str">
            <v>NA</v>
          </cell>
          <cell r="DJ97" t="str">
            <v>NA</v>
          </cell>
          <cell r="DK97" t="str">
            <v>NA</v>
          </cell>
          <cell r="DL97" t="str">
            <v>NA</v>
          </cell>
          <cell r="DM97" t="str">
            <v>NA</v>
          </cell>
          <cell r="DN97" t="str">
            <v>NA</v>
          </cell>
          <cell r="DO97" t="str">
            <v>NA</v>
          </cell>
        </row>
        <row r="98">
          <cell r="A98" t="str">
            <v>% growth in revenue seq</v>
          </cell>
          <cell r="B98"/>
          <cell r="C98"/>
          <cell r="D98"/>
          <cell r="E98"/>
          <cell r="F98"/>
          <cell r="G98"/>
          <cell r="H98"/>
          <cell r="I98"/>
          <cell r="J98"/>
          <cell r="K98"/>
          <cell r="L98"/>
          <cell r="M98"/>
          <cell r="N98"/>
          <cell r="O98"/>
          <cell r="P98"/>
          <cell r="Q98"/>
          <cell r="R98"/>
          <cell r="S98"/>
          <cell r="T98"/>
          <cell r="U98"/>
          <cell r="V98"/>
          <cell r="W98"/>
          <cell r="X98"/>
          <cell r="Y98"/>
          <cell r="Z98"/>
          <cell r="AA98"/>
          <cell r="AB98"/>
          <cell r="AC98"/>
          <cell r="AD98"/>
          <cell r="AE98"/>
          <cell r="AF98"/>
          <cell r="AG98"/>
          <cell r="AH98"/>
          <cell r="AI98"/>
          <cell r="AJ98"/>
          <cell r="AK98"/>
          <cell r="AL98"/>
          <cell r="AM98"/>
          <cell r="AN98"/>
          <cell r="AO98"/>
          <cell r="AP98"/>
          <cell r="AQ98"/>
          <cell r="AR98"/>
          <cell r="AS98"/>
          <cell r="AT98"/>
          <cell r="AU98"/>
          <cell r="AV98"/>
          <cell r="AW98"/>
          <cell r="AX98"/>
          <cell r="AY98"/>
          <cell r="AZ98"/>
          <cell r="BA98"/>
          <cell r="BB98"/>
          <cell r="BC98"/>
          <cell r="BD98"/>
          <cell r="BE98"/>
          <cell r="BF98"/>
          <cell r="BG98"/>
          <cell r="BH98"/>
          <cell r="BI98"/>
          <cell r="BJ98"/>
          <cell r="BK98"/>
          <cell r="BL98"/>
          <cell r="BM98"/>
          <cell r="BN98"/>
          <cell r="BO98"/>
          <cell r="BP98"/>
          <cell r="BQ98"/>
          <cell r="BR98"/>
          <cell r="BS98" t="str">
            <v>NA</v>
          </cell>
          <cell r="BT98">
            <v>6.3828564206917626E-2</v>
          </cell>
          <cell r="BU98">
            <v>-2.7007520886563885E-3</v>
          </cell>
          <cell r="BV98">
            <v>0.19356637050159908</v>
          </cell>
          <cell r="BW98">
            <v>5.8312663301854251E-2</v>
          </cell>
          <cell r="BX98">
            <v>5.3000018164668372E-2</v>
          </cell>
          <cell r="BY98">
            <v>5.8238666063485045E-2</v>
          </cell>
          <cell r="BZ98">
            <v>4.2100478773676286E-2</v>
          </cell>
          <cell r="CA98">
            <v>7.191255734828883E-2</v>
          </cell>
          <cell r="CB98">
            <v>7.1843580027661114E-2</v>
          </cell>
          <cell r="CC98">
            <v>0.10328093068896149</v>
          </cell>
          <cell r="CD98">
            <v>8.515283842794763E-2</v>
          </cell>
          <cell r="CE98">
            <v>5.8657726995080317E-2</v>
          </cell>
          <cell r="CF98">
            <v>0.13887987641453536</v>
          </cell>
          <cell r="CG98">
            <v>0.11577392749844706</v>
          </cell>
          <cell r="CH98">
            <v>0.21031534795680495</v>
          </cell>
          <cell r="CI98">
            <v>8.7025698995285117E-2</v>
          </cell>
          <cell r="CJ98">
            <v>0.12449623121456832</v>
          </cell>
          <cell r="CK98">
            <v>7.9859425206130652E-2</v>
          </cell>
          <cell r="CL98">
            <v>0.19195761603653505</v>
          </cell>
          <cell r="CM98">
            <v>6.9603398523257365E-2</v>
          </cell>
          <cell r="CN98">
            <v>9.9096367197849755E-2</v>
          </cell>
          <cell r="CO98">
            <v>6.5248373864194908E-2</v>
          </cell>
          <cell r="CP98">
            <v>0.16671683006174853</v>
          </cell>
          <cell r="CQ98">
            <v>5.7035797798393073E-2</v>
          </cell>
          <cell r="CR98">
            <v>8.1613022807573543E-2</v>
          </cell>
          <cell r="CS98">
            <v>5.440512565246225E-2</v>
          </cell>
          <cell r="CT98">
            <v>0.1470742952369759</v>
          </cell>
          <cell r="CU98">
            <v>4.2805077838895755E-2</v>
          </cell>
          <cell r="CV98">
            <v>6.3224878108408822E-2</v>
          </cell>
          <cell r="CW98">
            <v>4.1980751273462236E-2</v>
          </cell>
          <cell r="CX98">
            <v>0.12217293688416997</v>
          </cell>
          <cell r="CY98">
            <v>2.9737517287325987E-2</v>
          </cell>
          <cell r="CZ98">
            <v>4.6825029084637482E-2</v>
          </cell>
          <cell r="DA98">
            <v>3.0303458753591972E-2</v>
          </cell>
          <cell r="DB98">
            <v>9.7990988326736028E-2</v>
          </cell>
          <cell r="DC98"/>
          <cell r="DD98"/>
          <cell r="DE98"/>
          <cell r="DF98"/>
          <cell r="DG98"/>
          <cell r="DH98"/>
          <cell r="DI98"/>
          <cell r="DJ98"/>
          <cell r="DK98"/>
          <cell r="DL98"/>
          <cell r="DM98"/>
          <cell r="DN98"/>
          <cell r="DO98"/>
        </row>
        <row r="99">
          <cell r="A99"/>
          <cell r="B99"/>
          <cell r="C99"/>
          <cell r="D99"/>
          <cell r="E99"/>
          <cell r="F99"/>
          <cell r="G99"/>
          <cell r="H99"/>
          <cell r="I99"/>
          <cell r="J99"/>
          <cell r="K99"/>
          <cell r="L99"/>
          <cell r="M99"/>
          <cell r="N99"/>
          <cell r="O99"/>
          <cell r="P99"/>
          <cell r="Q99"/>
          <cell r="R99"/>
          <cell r="S99"/>
          <cell r="T99"/>
          <cell r="U99"/>
          <cell r="V99"/>
          <cell r="W99"/>
          <cell r="X99"/>
          <cell r="Y99"/>
          <cell r="Z99"/>
          <cell r="AA99"/>
          <cell r="AB99"/>
          <cell r="AC99"/>
          <cell r="AD99"/>
          <cell r="AE99"/>
          <cell r="AF99"/>
          <cell r="AG99"/>
          <cell r="AH99"/>
          <cell r="AI99"/>
          <cell r="AJ99"/>
          <cell r="AK99"/>
          <cell r="AL99"/>
          <cell r="AM99"/>
          <cell r="AN99"/>
          <cell r="AO99"/>
          <cell r="AP99"/>
          <cell r="AQ99"/>
          <cell r="AR99"/>
          <cell r="AS99"/>
          <cell r="AT99"/>
          <cell r="AU99"/>
          <cell r="AV99"/>
          <cell r="AW99"/>
          <cell r="AX99"/>
          <cell r="AY99"/>
          <cell r="AZ99"/>
          <cell r="BA99"/>
          <cell r="BB99"/>
          <cell r="BC99"/>
          <cell r="BD99"/>
          <cell r="BE99"/>
          <cell r="BF99"/>
          <cell r="BG99"/>
          <cell r="BH99"/>
          <cell r="BI99"/>
          <cell r="BJ99"/>
          <cell r="BK99"/>
          <cell r="BL99"/>
          <cell r="BM99"/>
          <cell r="BN99"/>
          <cell r="BO99"/>
          <cell r="BP99"/>
          <cell r="BQ99"/>
          <cell r="BR99"/>
          <cell r="BS99"/>
          <cell r="BT99"/>
          <cell r="BU99"/>
          <cell r="BV99"/>
          <cell r="BW99"/>
          <cell r="BX99"/>
          <cell r="BY99"/>
          <cell r="BZ99"/>
          <cell r="CA99"/>
          <cell r="CB99"/>
          <cell r="CC99"/>
          <cell r="CD99"/>
          <cell r="CE99"/>
          <cell r="CF99"/>
          <cell r="CG99"/>
          <cell r="CH99"/>
          <cell r="CI99"/>
          <cell r="CJ99"/>
          <cell r="CK99"/>
          <cell r="CL99"/>
          <cell r="CM99"/>
          <cell r="CN99"/>
          <cell r="CO99"/>
          <cell r="CP99"/>
          <cell r="CQ99"/>
          <cell r="CR99"/>
          <cell r="CS99"/>
          <cell r="CT99"/>
          <cell r="CU99"/>
          <cell r="CV99"/>
          <cell r="CW99"/>
          <cell r="CX99"/>
          <cell r="CY99"/>
          <cell r="CZ99"/>
          <cell r="DA99"/>
          <cell r="DB99"/>
          <cell r="DC99"/>
          <cell r="DD99"/>
          <cell r="DE99"/>
          <cell r="DF99"/>
          <cell r="DG99"/>
          <cell r="DH99"/>
          <cell r="DI99"/>
          <cell r="DJ99"/>
          <cell r="DK99"/>
          <cell r="DL99"/>
          <cell r="DM99"/>
          <cell r="DN99"/>
          <cell r="DO99"/>
        </row>
        <row r="100">
          <cell r="A100" t="str">
            <v>Citrix Cloud</v>
          </cell>
          <cell r="B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0.5</v>
          </cell>
          <cell r="BV100">
            <v>1.9522390280845081</v>
          </cell>
          <cell r="BW100">
            <v>2.6151108609830458</v>
          </cell>
          <cell r="BX100">
            <v>2.6183736784745135</v>
          </cell>
          <cell r="BY100">
            <v>2.8595923334347564</v>
          </cell>
          <cell r="BZ100">
            <v>2.8613273931580157</v>
          </cell>
          <cell r="CA100">
            <v>4.1937459158725723</v>
          </cell>
          <cell r="CB100">
            <v>4.8238609128453733</v>
          </cell>
          <cell r="CC100">
            <v>5.1156668698205907</v>
          </cell>
          <cell r="CD100">
            <v>8.0982416137671507</v>
          </cell>
          <cell r="CE100">
            <v>11.457058739244786</v>
          </cell>
          <cell r="CF100">
            <v>17.367489524113996</v>
          </cell>
          <cell r="CG100">
            <v>24.004952120737819</v>
          </cell>
          <cell r="CH100">
            <v>37.336502232368382</v>
          </cell>
          <cell r="CI100">
            <v>44.941548400728195</v>
          </cell>
          <cell r="CJ100">
            <v>54.529054427549461</v>
          </cell>
          <cell r="CK100">
            <v>62.207642594388759</v>
          </cell>
          <cell r="CL100">
            <v>82.040582808460329</v>
          </cell>
          <cell r="CM100">
            <v>91.570532158177372</v>
          </cell>
          <cell r="CN100">
            <v>103.73337044658675</v>
          </cell>
          <cell r="CO100">
            <v>113.34913181698433</v>
          </cell>
          <cell r="CP100">
            <v>139.31276874541214</v>
          </cell>
          <cell r="CQ100">
            <v>150.68255818679137</v>
          </cell>
          <cell r="CR100">
            <v>165.42721435519366</v>
          </cell>
          <cell r="CS100">
            <v>176.90931590625851</v>
          </cell>
          <cell r="CT100">
            <v>209.31960390143902</v>
          </cell>
          <cell r="CU100">
            <v>221.16907877554806</v>
          </cell>
          <cell r="CV100">
            <v>236.85156275953867</v>
          </cell>
          <cell r="CW100">
            <v>248.78878591949001</v>
          </cell>
          <cell r="CX100">
            <v>284.5646913131456</v>
          </cell>
          <cell r="CY100">
            <v>295.38724762884783</v>
          </cell>
          <cell r="CZ100">
            <v>310.21251937066694</v>
          </cell>
          <cell r="DA100">
            <v>321.11531796974822</v>
          </cell>
          <cell r="DB100">
            <v>356.91202512326834</v>
          </cell>
          <cell r="DC100"/>
          <cell r="DD100"/>
          <cell r="DE100">
            <v>0</v>
          </cell>
          <cell r="DF100">
            <v>0</v>
          </cell>
          <cell r="DG100">
            <v>0</v>
          </cell>
          <cell r="DH100">
            <v>0</v>
          </cell>
          <cell r="DI100">
            <v>0</v>
          </cell>
          <cell r="DJ100">
            <v>0</v>
          </cell>
          <cell r="DK100">
            <v>0</v>
          </cell>
          <cell r="DL100">
            <v>0</v>
          </cell>
          <cell r="DM100">
            <v>0</v>
          </cell>
          <cell r="DN100">
            <v>0</v>
          </cell>
          <cell r="DO100">
            <v>0</v>
          </cell>
        </row>
        <row r="101">
          <cell r="A101" t="str">
            <v>Citrix Cloud -- calc</v>
          </cell>
          <cell r="B101"/>
          <cell r="C101" t="e">
            <v>#REF!</v>
          </cell>
          <cell r="D101" t="e">
            <v>#REF!</v>
          </cell>
          <cell r="E101" t="e">
            <v>#VALUE!</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0</v>
          </cell>
          <cell r="BU101">
            <v>0.5</v>
          </cell>
          <cell r="BV101">
            <v>1.9522390280845081</v>
          </cell>
          <cell r="BW101">
            <v>2.6151108609830458</v>
          </cell>
          <cell r="BX101">
            <v>2.6183736784745135</v>
          </cell>
          <cell r="BY101">
            <v>2.8470923334347562</v>
          </cell>
          <cell r="BZ101">
            <v>2.812521417455903</v>
          </cell>
          <cell r="CA101">
            <v>4.1283681443479958</v>
          </cell>
          <cell r="CB101">
            <v>4.7584015708835103</v>
          </cell>
          <cell r="CC101">
            <v>5.0441770614847217</v>
          </cell>
          <cell r="CD101">
            <v>8.0267084289381998</v>
          </cell>
          <cell r="CE101">
            <v>11.352215091347972</v>
          </cell>
          <cell r="CF101">
            <v>17.246893001292861</v>
          </cell>
          <cell r="CG101">
            <v>23.877060448992303</v>
          </cell>
          <cell r="CH101">
            <v>37.134046192024201</v>
          </cell>
          <cell r="CI101">
            <v>44.941548400728195</v>
          </cell>
          <cell r="CJ101">
            <v>54.529054427549461</v>
          </cell>
          <cell r="CK101">
            <v>62.207642594388759</v>
          </cell>
          <cell r="CL101">
            <v>82.040582808460329</v>
          </cell>
          <cell r="CM101">
            <v>91.570532158177372</v>
          </cell>
          <cell r="CN101">
            <v>103.73337044658675</v>
          </cell>
          <cell r="CO101">
            <v>113.34913181698433</v>
          </cell>
          <cell r="CP101">
            <v>139.31276874541214</v>
          </cell>
          <cell r="CQ101">
            <v>150.68255818679137</v>
          </cell>
          <cell r="CR101">
            <v>165.42721435519366</v>
          </cell>
          <cell r="CS101">
            <v>176.90931590625851</v>
          </cell>
          <cell r="CT101">
            <v>209.31960390143902</v>
          </cell>
          <cell r="CU101">
            <v>221.16907877554806</v>
          </cell>
          <cell r="CV101">
            <v>236.85156275953867</v>
          </cell>
          <cell r="CW101">
            <v>248.78878591949001</v>
          </cell>
          <cell r="CX101">
            <v>284.5646913131456</v>
          </cell>
          <cell r="CY101">
            <v>295.38724762884783</v>
          </cell>
          <cell r="CZ101">
            <v>310.21251937066694</v>
          </cell>
          <cell r="DA101">
            <v>321.11531796974822</v>
          </cell>
          <cell r="DB101">
            <v>356.91202512326834</v>
          </cell>
          <cell r="DC101"/>
          <cell r="DD101" t="e">
            <v>#REF!</v>
          </cell>
          <cell r="DE101" t="e">
            <v>#REF!</v>
          </cell>
          <cell r="DF101" t="e">
            <v>#REF!</v>
          </cell>
          <cell r="DG101" t="e">
            <v>#REF!</v>
          </cell>
          <cell r="DH101" t="e">
            <v>#REF!</v>
          </cell>
          <cell r="DI101" t="e">
            <v>#REF!</v>
          </cell>
          <cell r="DJ101" t="e">
            <v>#REF!</v>
          </cell>
          <cell r="DK101" t="e">
            <v>#REF!</v>
          </cell>
          <cell r="DL101" t="e">
            <v>#REF!</v>
          </cell>
          <cell r="DM101" t="e">
            <v>#REF!</v>
          </cell>
          <cell r="DN101" t="e">
            <v>#REF!</v>
          </cell>
          <cell r="DO101" t="e">
            <v>#REF!</v>
          </cell>
        </row>
        <row r="102">
          <cell r="A102" t="str">
            <v>$ Delta</v>
          </cell>
          <cell r="B102"/>
          <cell r="C102"/>
          <cell r="D102"/>
          <cell r="E102"/>
          <cell r="F102"/>
          <cell r="G102"/>
          <cell r="H102"/>
          <cell r="I102"/>
          <cell r="J102"/>
          <cell r="K102"/>
          <cell r="L102"/>
          <cell r="M102"/>
          <cell r="N102"/>
          <cell r="O102"/>
          <cell r="P102"/>
          <cell r="Q102"/>
          <cell r="R102"/>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0</v>
          </cell>
          <cell r="BU102">
            <v>0</v>
          </cell>
          <cell r="BV102">
            <v>0</v>
          </cell>
          <cell r="BW102">
            <v>0</v>
          </cell>
          <cell r="BX102">
            <v>0</v>
          </cell>
          <cell r="BY102">
            <v>1.2500000000000178E-2</v>
          </cell>
          <cell r="BZ102">
            <v>4.8805975702112647E-2</v>
          </cell>
          <cell r="CA102">
            <v>6.5377771524576467E-2</v>
          </cell>
          <cell r="CB102">
            <v>6.5459341961862982E-2</v>
          </cell>
          <cell r="CC102">
            <v>7.1489808335869043E-2</v>
          </cell>
          <cell r="CD102">
            <v>7.153318482895088E-2</v>
          </cell>
          <cell r="CE102">
            <v>0.10484364789681422</v>
          </cell>
          <cell r="CF102">
            <v>0.12059652282113476</v>
          </cell>
          <cell r="CG102">
            <v>0.12789167174551608</v>
          </cell>
          <cell r="CH102">
            <v>0.20245604034418108</v>
          </cell>
          <cell r="CI102">
            <v>0</v>
          </cell>
          <cell r="CJ102">
            <v>0</v>
          </cell>
          <cell r="CK102">
            <v>0</v>
          </cell>
          <cell r="CL102">
            <v>0</v>
          </cell>
          <cell r="CM102">
            <v>0</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cell r="DD102" t="e">
            <v>#REF!</v>
          </cell>
          <cell r="DE102" t="e">
            <v>#REF!</v>
          </cell>
          <cell r="DF102" t="e">
            <v>#REF!</v>
          </cell>
          <cell r="DG102" t="e">
            <v>#REF!</v>
          </cell>
          <cell r="DH102" t="e">
            <v>#REF!</v>
          </cell>
          <cell r="DI102" t="e">
            <v>#REF!</v>
          </cell>
          <cell r="DJ102" t="e">
            <v>#REF!</v>
          </cell>
          <cell r="DK102" t="e">
            <v>#REF!</v>
          </cell>
          <cell r="DL102" t="e">
            <v>#REF!</v>
          </cell>
          <cell r="DM102" t="e">
            <v>#REF!</v>
          </cell>
          <cell r="DN102" t="e">
            <v>#REF!</v>
          </cell>
          <cell r="DO102" t="e">
            <v>#REF!</v>
          </cell>
        </row>
        <row r="103">
          <cell r="A103" t="str">
            <v>% Delta</v>
          </cell>
          <cell r="B103"/>
          <cell r="C103"/>
          <cell r="D103"/>
          <cell r="E103"/>
          <cell r="F103"/>
          <cell r="G103"/>
          <cell r="H103"/>
          <cell r="I103"/>
          <cell r="J103"/>
          <cell r="K103"/>
          <cell r="L103"/>
          <cell r="M103"/>
          <cell r="N103"/>
          <cell r="O103"/>
          <cell r="P103"/>
          <cell r="Q103"/>
          <cell r="R103"/>
          <cell r="S103" t="e">
            <v>#DIV/0!</v>
          </cell>
          <cell r="T103" t="e">
            <v>#DIV/0!</v>
          </cell>
          <cell r="U103" t="e">
            <v>#DIV/0!</v>
          </cell>
          <cell r="V103" t="e">
            <v>#DIV/0!</v>
          </cell>
          <cell r="W103" t="e">
            <v>#DIV/0!</v>
          </cell>
          <cell r="X103" t="e">
            <v>#DIV/0!</v>
          </cell>
          <cell r="Y103" t="e">
            <v>#DIV/0!</v>
          </cell>
          <cell r="Z103" t="e">
            <v>#DIV/0!</v>
          </cell>
          <cell r="AA103" t="e">
            <v>#DIV/0!</v>
          </cell>
          <cell r="AB103" t="e">
            <v>#DIV/0!</v>
          </cell>
          <cell r="AC103" t="e">
            <v>#DIV/0!</v>
          </cell>
          <cell r="AD103" t="e">
            <v>#DIV/0!</v>
          </cell>
          <cell r="AE103" t="e">
            <v>#DIV/0!</v>
          </cell>
          <cell r="AF103" t="e">
            <v>#DIV/0!</v>
          </cell>
          <cell r="AG103" t="e">
            <v>#DIV/0!</v>
          </cell>
          <cell r="AH103" t="e">
            <v>#DIV/0!</v>
          </cell>
          <cell r="AI103" t="e">
            <v>#DIV/0!</v>
          </cell>
          <cell r="AJ103" t="e">
            <v>#DIV/0!</v>
          </cell>
          <cell r="AK103" t="e">
            <v>#DIV/0!</v>
          </cell>
          <cell r="AL103" t="e">
            <v>#DIV/0!</v>
          </cell>
          <cell r="AM103" t="e">
            <v>#DIV/0!</v>
          </cell>
          <cell r="AN103" t="e">
            <v>#DIV/0!</v>
          </cell>
          <cell r="AO103" t="e">
            <v>#DIV/0!</v>
          </cell>
          <cell r="AP103" t="e">
            <v>#DIV/0!</v>
          </cell>
          <cell r="AQ103" t="e">
            <v>#DIV/0!</v>
          </cell>
          <cell r="AR103" t="e">
            <v>#DIV/0!</v>
          </cell>
          <cell r="AS103" t="e">
            <v>#DIV/0!</v>
          </cell>
          <cell r="AT103" t="e">
            <v>#DIV/0!</v>
          </cell>
          <cell r="AU103" t="e">
            <v>#DIV/0!</v>
          </cell>
          <cell r="AV103" t="e">
            <v>#DIV/0!</v>
          </cell>
          <cell r="AW103" t="e">
            <v>#DIV/0!</v>
          </cell>
          <cell r="AX103" t="e">
            <v>#DIV/0!</v>
          </cell>
          <cell r="AY103" t="e">
            <v>#DIV/0!</v>
          </cell>
          <cell r="AZ103" t="e">
            <v>#DIV/0!</v>
          </cell>
          <cell r="BA103" t="e">
            <v>#DIV/0!</v>
          </cell>
          <cell r="BB103" t="e">
            <v>#DIV/0!</v>
          </cell>
          <cell r="BC103" t="e">
            <v>#DIV/0!</v>
          </cell>
          <cell r="BD103" t="e">
            <v>#DIV/0!</v>
          </cell>
          <cell r="BE103" t="e">
            <v>#DIV/0!</v>
          </cell>
          <cell r="BF103" t="e">
            <v>#DIV/0!</v>
          </cell>
          <cell r="BG103" t="e">
            <v>#DIV/0!</v>
          </cell>
          <cell r="BH103" t="e">
            <v>#DIV/0!</v>
          </cell>
          <cell r="BI103" t="e">
            <v>#DIV/0!</v>
          </cell>
          <cell r="BJ103" t="e">
            <v>#DIV/0!</v>
          </cell>
          <cell r="BK103" t="e">
            <v>#DIV/0!</v>
          </cell>
          <cell r="BL103" t="e">
            <v>#DIV/0!</v>
          </cell>
          <cell r="BM103" t="e">
            <v>#DIV/0!</v>
          </cell>
          <cell r="BN103" t="e">
            <v>#DIV/0!</v>
          </cell>
          <cell r="BO103" t="e">
            <v>#DIV/0!</v>
          </cell>
          <cell r="BP103" t="e">
            <v>#DIV/0!</v>
          </cell>
          <cell r="BQ103" t="e">
            <v>#DIV/0!</v>
          </cell>
          <cell r="BR103" t="e">
            <v>#DIV/0!</v>
          </cell>
          <cell r="BS103" t="e">
            <v>#DIV/0!</v>
          </cell>
          <cell r="BT103" t="e">
            <v>#DIV/0!</v>
          </cell>
          <cell r="BU103">
            <v>0</v>
          </cell>
          <cell r="BV103">
            <v>0</v>
          </cell>
          <cell r="BW103">
            <v>0</v>
          </cell>
          <cell r="BX103">
            <v>0</v>
          </cell>
          <cell r="BY103">
            <v>4.3904441922050603E-3</v>
          </cell>
          <cell r="BZ103">
            <v>1.7353103659655197E-2</v>
          </cell>
          <cell r="CA103">
            <v>1.5836226140365627E-2</v>
          </cell>
          <cell r="CB103">
            <v>1.3756582118332838E-2</v>
          </cell>
          <cell r="CC103">
            <v>1.4172739668822503E-2</v>
          </cell>
          <cell r="CD103">
            <v>8.9118952634502924E-3</v>
          </cell>
          <cell r="CE103">
            <v>9.2355233805180657E-3</v>
          </cell>
          <cell r="CF103">
            <v>6.9923622076216631E-3</v>
          </cell>
          <cell r="CG103">
            <v>5.3562569822498216E-3</v>
          </cell>
          <cell r="CH103">
            <v>5.4520328675539105E-3</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cell r="DD103" t="e">
            <v>#REF!</v>
          </cell>
          <cell r="DE103" t="e">
            <v>#REF!</v>
          </cell>
          <cell r="DF103" t="e">
            <v>#REF!</v>
          </cell>
          <cell r="DG103" t="e">
            <v>#REF!</v>
          </cell>
          <cell r="DH103" t="e">
            <v>#REF!</v>
          </cell>
          <cell r="DI103" t="e">
            <v>#REF!</v>
          </cell>
          <cell r="DJ103" t="e">
            <v>#REF!</v>
          </cell>
          <cell r="DK103" t="e">
            <v>#REF!</v>
          </cell>
          <cell r="DL103" t="e">
            <v>#REF!</v>
          </cell>
          <cell r="DM103" t="e">
            <v>#REF!</v>
          </cell>
          <cell r="DN103" t="e">
            <v>#REF!</v>
          </cell>
          <cell r="DO103" t="e">
            <v>#REF!</v>
          </cell>
        </row>
        <row r="104">
          <cell r="A104" t="str">
            <v>% of revenue</v>
          </cell>
          <cell r="B104"/>
          <cell r="C104"/>
          <cell r="D104"/>
          <cell r="E104"/>
          <cell r="F104"/>
          <cell r="G104"/>
          <cell r="H104"/>
          <cell r="I104"/>
          <cell r="J104"/>
          <cell r="K104"/>
          <cell r="L104"/>
          <cell r="M104"/>
          <cell r="N104"/>
          <cell r="O104"/>
          <cell r="P104"/>
          <cell r="Q104"/>
          <cell r="R104"/>
          <cell r="S104"/>
          <cell r="T104"/>
          <cell r="U104"/>
          <cell r="V104"/>
          <cell r="W104"/>
          <cell r="X104"/>
          <cell r="Y104"/>
          <cell r="Z104"/>
          <cell r="AA104"/>
          <cell r="AB104"/>
          <cell r="AC104"/>
          <cell r="AD104"/>
          <cell r="AE104"/>
          <cell r="AF104"/>
          <cell r="AG104"/>
          <cell r="AH104"/>
          <cell r="AI104"/>
          <cell r="AJ104"/>
          <cell r="AK104"/>
          <cell r="AL104"/>
          <cell r="AM104"/>
          <cell r="AN104"/>
          <cell r="AO104"/>
          <cell r="AP104"/>
          <cell r="AQ104"/>
          <cell r="AR104"/>
          <cell r="AS104"/>
          <cell r="AT104"/>
          <cell r="AU104"/>
          <cell r="AV104"/>
          <cell r="AW104"/>
          <cell r="AX104"/>
          <cell r="AY104"/>
          <cell r="AZ104"/>
          <cell r="BA104"/>
          <cell r="BB104"/>
          <cell r="BC104"/>
          <cell r="BD104"/>
          <cell r="BE104"/>
          <cell r="BF104"/>
          <cell r="BG104"/>
          <cell r="BH104"/>
          <cell r="BI104"/>
          <cell r="BJ104"/>
          <cell r="BK104"/>
          <cell r="BL104"/>
          <cell r="BM104"/>
          <cell r="BN104"/>
          <cell r="BO104">
            <v>0</v>
          </cell>
          <cell r="BP104">
            <v>0</v>
          </cell>
          <cell r="BQ104">
            <v>0</v>
          </cell>
          <cell r="BR104">
            <v>0</v>
          </cell>
          <cell r="BS104">
            <v>0</v>
          </cell>
          <cell r="BT104">
            <v>0</v>
          </cell>
          <cell r="BU104">
            <v>6.1480197228472712E-4</v>
          </cell>
          <cell r="BV104">
            <v>2.1577352611507191E-3</v>
          </cell>
          <cell r="BW104">
            <v>3.9696691591535266E-3</v>
          </cell>
          <cell r="BX104">
            <v>3.884902347485209E-3</v>
          </cell>
          <cell r="BY104">
            <v>4.276115437833101E-3</v>
          </cell>
          <cell r="BZ104">
            <v>3.8951670512262933E-3</v>
          </cell>
          <cell r="CA104">
            <v>6.3284917325824993E-3</v>
          </cell>
          <cell r="CB104">
            <v>6.9585589032818583E-3</v>
          </cell>
          <cell r="CC104">
            <v>7.4040841912227677E-3</v>
          </cell>
          <cell r="CD104">
            <v>1.0410964500887888E-2</v>
          </cell>
          <cell r="CE104">
            <v>1.6433147166411529E-2</v>
          </cell>
          <cell r="CF104">
            <v>2.3394811883795701E-2</v>
          </cell>
          <cell r="CG104">
            <v>3.2772339463324147E-2</v>
          </cell>
          <cell r="CH104">
            <v>4.6561789607253525E-2</v>
          </cell>
          <cell r="CI104">
            <v>6.3278073032381393E-2</v>
          </cell>
          <cell r="CJ104">
            <v>7.0634695134910483E-2</v>
          </cell>
          <cell r="CK104">
            <v>8.1548366325774238E-2</v>
          </cell>
          <cell r="CL104">
            <v>9.5850540106966614E-2</v>
          </cell>
          <cell r="CM104">
            <v>0.11971535427877876</v>
          </cell>
          <cell r="CN104">
            <v>0.12543147086861092</v>
          </cell>
          <cell r="CO104">
            <v>0.13840084892328613</v>
          </cell>
          <cell r="CP104">
            <v>0.15487561599381311</v>
          </cell>
          <cell r="CQ104">
            <v>0.18295353613231091</v>
          </cell>
          <cell r="CR104">
            <v>0.18706840243814235</v>
          </cell>
          <cell r="CS104">
            <v>0.20178329436534112</v>
          </cell>
          <cell r="CT104">
            <v>0.22188619026458556</v>
          </cell>
          <cell r="CU104">
            <v>0.24745888060333635</v>
          </cell>
          <cell r="CV104">
            <v>0.24790280605999218</v>
          </cell>
          <cell r="CW104">
            <v>0.26258878770898214</v>
          </cell>
          <cell r="CX104">
            <v>0.28134642225481171</v>
          </cell>
          <cell r="CY104">
            <v>0.30415896238076373</v>
          </cell>
          <cell r="CZ104">
            <v>0.30034419509919158</v>
          </cell>
          <cell r="DA104">
            <v>0.31390730769974728</v>
          </cell>
          <cell r="DB104">
            <v>0.328016457614412</v>
          </cell>
          <cell r="DC104"/>
          <cell r="DD104"/>
          <cell r="DE104">
            <v>0</v>
          </cell>
          <cell r="DF104">
            <v>0</v>
          </cell>
          <cell r="DG104">
            <v>0</v>
          </cell>
          <cell r="DH104">
            <v>0</v>
          </cell>
          <cell r="DI104">
            <v>0</v>
          </cell>
          <cell r="DJ104">
            <v>0</v>
          </cell>
          <cell r="DK104">
            <v>0</v>
          </cell>
          <cell r="DL104">
            <v>0</v>
          </cell>
          <cell r="DM104">
            <v>0</v>
          </cell>
          <cell r="DN104">
            <v>0</v>
          </cell>
          <cell r="DO104">
            <v>0</v>
          </cell>
        </row>
        <row r="105">
          <cell r="A105" t="str">
            <v>% growth in revenue y-o-y</v>
          </cell>
          <cell r="B105"/>
          <cell r="C105"/>
          <cell r="D105"/>
          <cell r="E105"/>
          <cell r="F105"/>
          <cell r="G105"/>
          <cell r="H105"/>
          <cell r="I105"/>
          <cell r="J105"/>
          <cell r="K105"/>
          <cell r="L105"/>
          <cell r="M105"/>
          <cell r="N105"/>
          <cell r="O105"/>
          <cell r="P105"/>
          <cell r="Q105"/>
          <cell r="R105"/>
          <cell r="S105"/>
          <cell r="T105"/>
          <cell r="U105"/>
          <cell r="V105"/>
          <cell r="W105"/>
          <cell r="X105"/>
          <cell r="Y105"/>
          <cell r="Z105"/>
          <cell r="AA105"/>
          <cell r="AB105"/>
          <cell r="AC105"/>
          <cell r="AD105"/>
          <cell r="AE105"/>
          <cell r="AF105"/>
          <cell r="AG105"/>
          <cell r="AH105"/>
          <cell r="AI105"/>
          <cell r="AJ105"/>
          <cell r="AK105"/>
          <cell r="AL105"/>
          <cell r="AM105"/>
          <cell r="AN105"/>
          <cell r="AO105"/>
          <cell r="AP105"/>
          <cell r="AQ105"/>
          <cell r="AR105"/>
          <cell r="AS105"/>
          <cell r="AT105"/>
          <cell r="AU105"/>
          <cell r="AV105"/>
          <cell r="AW105"/>
          <cell r="AX105"/>
          <cell r="AY105"/>
          <cell r="AZ105"/>
          <cell r="BA105"/>
          <cell r="BB105"/>
          <cell r="BC105"/>
          <cell r="BD105"/>
          <cell r="BE105"/>
          <cell r="BF105"/>
          <cell r="BG105"/>
          <cell r="BH105"/>
          <cell r="BI105"/>
          <cell r="BJ105"/>
          <cell r="BK105"/>
          <cell r="BL105"/>
          <cell r="BM105"/>
          <cell r="BN105"/>
          <cell r="BO105" t="str">
            <v>NA</v>
          </cell>
          <cell r="BP105" t="str">
            <v>NA</v>
          </cell>
          <cell r="BQ105" t="str">
            <v>NA</v>
          </cell>
          <cell r="BR105" t="str">
            <v>NA</v>
          </cell>
          <cell r="BS105">
            <v>0.41769223698590435</v>
          </cell>
          <cell r="BT105">
            <v>0.19157313124917455</v>
          </cell>
          <cell r="BU105">
            <v>0.25187155944563533</v>
          </cell>
          <cell r="BV105">
            <v>0.33038513782644402</v>
          </cell>
          <cell r="BW105" t="str">
            <v>NA</v>
          </cell>
          <cell r="BX105" t="str">
            <v>NA</v>
          </cell>
          <cell r="BY105">
            <v>4.7191846668695128</v>
          </cell>
          <cell r="BZ105">
            <v>0.46566447652953857</v>
          </cell>
          <cell r="CA105">
            <v>0.60365894174601142</v>
          </cell>
          <cell r="CB105">
            <v>0.8423118718699445</v>
          </cell>
          <cell r="CC105">
            <v>0.78894970797322861</v>
          </cell>
          <cell r="CD105">
            <v>1.8302394312274801</v>
          </cell>
          <cell r="CE105">
            <v>1.7319391706306968</v>
          </cell>
          <cell r="CF105">
            <v>2.6003296608047752</v>
          </cell>
          <cell r="CG105">
            <v>3.6924384897603169</v>
          </cell>
          <cell r="CH105">
            <v>3.6104455773331932</v>
          </cell>
          <cell r="CI105">
            <v>2.9226078371044997</v>
          </cell>
          <cell r="CJ105">
            <v>2.1397200126039095</v>
          </cell>
          <cell r="CK105">
            <v>1.5914503924649668</v>
          </cell>
          <cell r="CL105">
            <v>1.1973290989571148</v>
          </cell>
          <cell r="CM105">
            <v>1.0375473346328592</v>
          </cell>
          <cell r="CN105">
            <v>0.90235043566385431</v>
          </cell>
          <cell r="CO105">
            <v>0.82210942401486564</v>
          </cell>
          <cell r="CP105">
            <v>0.69809579571935587</v>
          </cell>
          <cell r="CQ105">
            <v>0.64553546468972023</v>
          </cell>
          <cell r="CR105">
            <v>0.59473478633737864</v>
          </cell>
          <cell r="CS105">
            <v>0.56074698650449029</v>
          </cell>
          <cell r="CT105">
            <v>0.5025155682890865</v>
          </cell>
          <cell r="CU105">
            <v>0.46778154974897057</v>
          </cell>
          <cell r="CV105">
            <v>0.43175694327408354</v>
          </cell>
          <cell r="CW105">
            <v>0.4063068677023165</v>
          </cell>
          <cell r="CX105">
            <v>0.35947463118235579</v>
          </cell>
          <cell r="CY105">
            <v>0.33557208477872069</v>
          </cell>
          <cell r="CZ105">
            <v>0.30973389306114596</v>
          </cell>
          <cell r="DA105">
            <v>0.29071459866227101</v>
          </cell>
          <cell r="DB105">
            <v>0.2542386178561733</v>
          </cell>
          <cell r="DC105"/>
          <cell r="DD105" t="str">
            <v>NA</v>
          </cell>
          <cell r="DE105" t="str">
            <v>NA</v>
          </cell>
          <cell r="DF105" t="str">
            <v>NA</v>
          </cell>
          <cell r="DG105" t="str">
            <v>NA</v>
          </cell>
          <cell r="DH105" t="str">
            <v>NA</v>
          </cell>
          <cell r="DI105" t="str">
            <v>NA</v>
          </cell>
          <cell r="DJ105" t="str">
            <v>NA</v>
          </cell>
          <cell r="DK105" t="str">
            <v>NA</v>
          </cell>
          <cell r="DL105" t="str">
            <v>NA</v>
          </cell>
          <cell r="DM105" t="str">
            <v>NA</v>
          </cell>
          <cell r="DN105" t="str">
            <v>NA</v>
          </cell>
          <cell r="DO105" t="str">
            <v>NA</v>
          </cell>
        </row>
        <row r="106">
          <cell r="A106" t="str">
            <v>% growth in revenue seq</v>
          </cell>
          <cell r="B106"/>
          <cell r="C106"/>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cell r="BH106"/>
          <cell r="BI106"/>
          <cell r="BJ106"/>
          <cell r="BK106"/>
          <cell r="BL106"/>
          <cell r="BM106"/>
          <cell r="BN106"/>
          <cell r="BO106" t="str">
            <v>NA</v>
          </cell>
          <cell r="BP106" t="str">
            <v>NA</v>
          </cell>
          <cell r="BQ106" t="str">
            <v>NA</v>
          </cell>
          <cell r="BR106" t="str">
            <v>NA</v>
          </cell>
          <cell r="BS106" t="str">
            <v>NA</v>
          </cell>
          <cell r="BT106" t="str">
            <v>NA</v>
          </cell>
          <cell r="BU106" t="str">
            <v>NA</v>
          </cell>
          <cell r="BV106">
            <v>2.9044780561690162</v>
          </cell>
          <cell r="BW106">
            <v>0.33954440176771405</v>
          </cell>
          <cell r="BX106">
            <v>1.2476784598880464E-3</v>
          </cell>
          <cell r="BY106">
            <v>9.2125374213499978E-2</v>
          </cell>
          <cell r="BZ106">
            <v>6.0675072560956167E-4</v>
          </cell>
          <cell r="CA106">
            <v>0.46566447652953857</v>
          </cell>
          <cell r="CB106">
            <v>0.15025111430521565</v>
          </cell>
          <cell r="CC106">
            <v>6.0492199557033777E-2</v>
          </cell>
          <cell r="CD106">
            <v>0.58302755434330322</v>
          </cell>
          <cell r="CE106">
            <v>0.4147588187252389</v>
          </cell>
          <cell r="CF106">
            <v>0.51587679869561409</v>
          </cell>
          <cell r="CG106">
            <v>0.38217743487957767</v>
          </cell>
          <cell r="CH106">
            <v>0.55536666120293865</v>
          </cell>
          <cell r="CI106">
            <v>0.20368930439784805</v>
          </cell>
          <cell r="CJ106">
            <v>0.21333279266065341</v>
          </cell>
          <cell r="CK106">
            <v>0.14081645551073185</v>
          </cell>
          <cell r="CL106">
            <v>0.31881838608461499</v>
          </cell>
          <cell r="CM106">
            <v>0.11616140480092096</v>
          </cell>
          <cell r="CN106">
            <v>0.13282480730153989</v>
          </cell>
          <cell r="CO106">
            <v>9.269689521318325E-2</v>
          </cell>
          <cell r="CP106">
            <v>0.22905898362194077</v>
          </cell>
          <cell r="CQ106">
            <v>8.1613405172910047E-2</v>
          </cell>
          <cell r="CR106">
            <v>9.7852441223650333E-2</v>
          </cell>
          <cell r="CS106">
            <v>6.9408782562289328E-2</v>
          </cell>
          <cell r="CT106">
            <v>0.18320283377475843</v>
          </cell>
          <cell r="CU106">
            <v>5.6609484507186947E-2</v>
          </cell>
          <cell r="CV106">
            <v>7.0907217549637025E-2</v>
          </cell>
          <cell r="CW106">
            <v>5.0399596358460697E-2</v>
          </cell>
          <cell r="CX106">
            <v>0.14380031343226607</v>
          </cell>
          <cell r="CY106">
            <v>3.8031971801423037E-2</v>
          </cell>
          <cell r="CZ106">
            <v>5.0189274793768224E-2</v>
          </cell>
          <cell r="DA106">
            <v>3.5146223695935896E-2</v>
          </cell>
          <cell r="DB106">
            <v>0.1114761742910455</v>
          </cell>
          <cell r="DC106"/>
          <cell r="DD106"/>
          <cell r="DE106"/>
          <cell r="DF106"/>
          <cell r="DG106"/>
          <cell r="DH106"/>
          <cell r="DI106"/>
          <cell r="DJ106"/>
          <cell r="DK106"/>
          <cell r="DL106"/>
          <cell r="DM106"/>
          <cell r="DN106"/>
          <cell r="DO106"/>
        </row>
        <row r="107">
          <cell r="A107"/>
          <cell r="B107"/>
          <cell r="C107"/>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cell r="AX107"/>
          <cell r="AY107"/>
          <cell r="AZ107"/>
          <cell r="BA107"/>
          <cell r="BB107"/>
          <cell r="BC107"/>
          <cell r="BD107"/>
          <cell r="BE107"/>
          <cell r="BF107"/>
          <cell r="BG107"/>
          <cell r="BH107"/>
          <cell r="BI107"/>
          <cell r="BJ107"/>
          <cell r="BK107"/>
          <cell r="BL107"/>
          <cell r="BM107"/>
          <cell r="BN107"/>
          <cell r="BO107"/>
          <cell r="BP107"/>
          <cell r="BQ107"/>
          <cell r="BR107"/>
          <cell r="BS107"/>
          <cell r="BT107"/>
          <cell r="BU107"/>
          <cell r="BV107"/>
          <cell r="BW107"/>
          <cell r="BX107"/>
          <cell r="BY107"/>
          <cell r="BZ107"/>
          <cell r="CA107"/>
          <cell r="CB107"/>
          <cell r="CC107"/>
          <cell r="CD107"/>
          <cell r="CE107"/>
          <cell r="CF107"/>
          <cell r="CG107"/>
          <cell r="CH107"/>
          <cell r="CI107"/>
          <cell r="CJ107"/>
          <cell r="CK107"/>
          <cell r="CL107"/>
          <cell r="CM107"/>
          <cell r="CN107"/>
          <cell r="CO107"/>
          <cell r="CP107"/>
          <cell r="CQ107"/>
          <cell r="CR107"/>
          <cell r="CS107"/>
          <cell r="CT107"/>
          <cell r="CU107"/>
          <cell r="CV107"/>
          <cell r="CW107"/>
          <cell r="CX107"/>
          <cell r="CY107"/>
          <cell r="CZ107"/>
          <cell r="DA107"/>
          <cell r="DB107"/>
          <cell r="DC107"/>
          <cell r="DD107"/>
          <cell r="DE107"/>
          <cell r="DF107"/>
          <cell r="DG107"/>
          <cell r="DH107"/>
          <cell r="DI107"/>
          <cell r="DJ107"/>
          <cell r="DK107"/>
          <cell r="DL107"/>
          <cell r="DM107"/>
          <cell r="DN107"/>
          <cell r="DO107"/>
        </row>
        <row r="108">
          <cell r="A108" t="str">
            <v>Content Collaboration</v>
          </cell>
          <cell r="B108"/>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4.78494623655914</v>
          </cell>
          <cell r="BH108">
            <v>6.0571428571428569</v>
          </cell>
          <cell r="BI108">
            <v>7.2352941176470598</v>
          </cell>
          <cell r="BJ108">
            <v>8.6666666666666679</v>
          </cell>
          <cell r="BK108">
            <v>8.9</v>
          </cell>
          <cell r="BL108">
            <v>10.6</v>
          </cell>
          <cell r="BM108">
            <v>12.3</v>
          </cell>
          <cell r="BN108">
            <v>14.3</v>
          </cell>
          <cell r="BO108">
            <v>0</v>
          </cell>
          <cell r="BP108">
            <v>0</v>
          </cell>
          <cell r="BQ108">
            <v>0</v>
          </cell>
          <cell r="BR108">
            <v>0</v>
          </cell>
          <cell r="BS108">
            <v>23.217170538837848</v>
          </cell>
          <cell r="BT108">
            <v>24.699089199279015</v>
          </cell>
          <cell r="BU108">
            <v>24.132383082536151</v>
          </cell>
          <cell r="BV108">
            <v>26.347760971915491</v>
          </cell>
          <cell r="BW108">
            <v>28.499687909016956</v>
          </cell>
          <cell r="BX108">
            <v>30.145509991525486</v>
          </cell>
          <cell r="BY108">
            <v>31.812416216565246</v>
          </cell>
          <cell r="BZ108">
            <v>33.270389316841985</v>
          </cell>
          <cell r="CA108">
            <v>34.536294944127434</v>
          </cell>
          <cell r="CB108">
            <v>36.688684737154624</v>
          </cell>
          <cell r="CC108">
            <v>40.684333130179404</v>
          </cell>
          <cell r="CD108">
            <v>41.601758386232852</v>
          </cell>
          <cell r="CE108">
            <v>41.158230292410714</v>
          </cell>
          <cell r="CF108">
            <v>42.555004345772879</v>
          </cell>
          <cell r="CG108">
            <v>42.855004209967476</v>
          </cell>
          <cell r="CH108">
            <v>43.585129078405991</v>
          </cell>
          <cell r="CI108">
            <v>43.022344438705062</v>
          </cell>
          <cell r="CJ108">
            <v>44.386011553355374</v>
          </cell>
          <cell r="CK108">
            <v>44.606723699977628</v>
          </cell>
          <cell r="CL108">
            <v>45.27761459822586</v>
          </cell>
          <cell r="CM108">
            <v>44.609444481869147</v>
          </cell>
          <cell r="CN108">
            <v>45.941547163576423</v>
          </cell>
          <cell r="CO108">
            <v>46.091830775499332</v>
          </cell>
          <cell r="CP108">
            <v>46.709685712484216</v>
          </cell>
          <cell r="CQ108">
            <v>45.949835369526348</v>
          </cell>
          <cell r="CR108">
            <v>47.252943221143596</v>
          </cell>
          <cell r="CS108">
            <v>47.341732366804834</v>
          </cell>
          <cell r="CT108">
            <v>47.91300925253821</v>
          </cell>
          <cell r="CU108">
            <v>47.074396407187741</v>
          </cell>
          <cell r="CV108">
            <v>48.35157344500152</v>
          </cell>
          <cell r="CW108">
            <v>48.387392208464341</v>
          </cell>
          <cell r="CX108">
            <v>48.918373268714156</v>
          </cell>
          <cell r="CY108">
            <v>48.012775351045413</v>
          </cell>
          <cell r="CZ108">
            <v>49.267219672925037</v>
          </cell>
          <cell r="DA108">
            <v>49.257900518703231</v>
          </cell>
          <cell r="DB108">
            <v>49.754431094620664</v>
          </cell>
          <cell r="DC108"/>
          <cell r="DD108"/>
          <cell r="DE108">
            <v>0</v>
          </cell>
          <cell r="DF108">
            <v>0</v>
          </cell>
          <cell r="DG108">
            <v>0</v>
          </cell>
          <cell r="DH108">
            <v>0</v>
          </cell>
          <cell r="DI108">
            <v>0</v>
          </cell>
          <cell r="DJ108">
            <v>0</v>
          </cell>
          <cell r="DK108">
            <v>0</v>
          </cell>
          <cell r="DL108">
            <v>0</v>
          </cell>
          <cell r="DM108">
            <v>0</v>
          </cell>
          <cell r="DN108">
            <v>0</v>
          </cell>
          <cell r="DO108">
            <v>0</v>
          </cell>
        </row>
        <row r="109">
          <cell r="A109" t="str">
            <v>% of revenue</v>
          </cell>
          <cell r="B109"/>
          <cell r="C109"/>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cell r="AD109"/>
          <cell r="AE109"/>
          <cell r="AF109"/>
          <cell r="AG109"/>
          <cell r="AH109"/>
          <cell r="AI109"/>
          <cell r="AJ109"/>
          <cell r="AK109"/>
          <cell r="AL109"/>
          <cell r="AM109"/>
          <cell r="AN109"/>
          <cell r="AO109"/>
          <cell r="AP109"/>
          <cell r="AQ109"/>
          <cell r="AR109"/>
          <cell r="AS109"/>
          <cell r="AT109"/>
          <cell r="AU109"/>
          <cell r="AV109"/>
          <cell r="AW109"/>
          <cell r="AX109"/>
          <cell r="AY109"/>
          <cell r="AZ109"/>
          <cell r="BA109"/>
          <cell r="BB109"/>
          <cell r="BC109"/>
          <cell r="BD109"/>
          <cell r="BE109"/>
          <cell r="BF109"/>
          <cell r="BG109"/>
          <cell r="BH109"/>
          <cell r="BI109"/>
          <cell r="BJ109"/>
          <cell r="BK109"/>
          <cell r="BL109"/>
          <cell r="BM109"/>
          <cell r="BN109"/>
          <cell r="BO109">
            <v>0</v>
          </cell>
          <cell r="BP109">
            <v>0</v>
          </cell>
          <cell r="BQ109">
            <v>0</v>
          </cell>
          <cell r="BR109">
            <v>0</v>
          </cell>
          <cell r="BS109">
            <v>3.05167054487736E-2</v>
          </cell>
          <cell r="BT109">
            <v>3.0999448012860871E-2</v>
          </cell>
          <cell r="BU109">
            <v>2.9673273430147615E-2</v>
          </cell>
          <cell r="BV109">
            <v>2.9121174243327247E-2</v>
          </cell>
          <cell r="BW109">
            <v>4.3261772885374722E-2</v>
          </cell>
          <cell r="BX109">
            <v>4.4727138641435946E-2</v>
          </cell>
          <cell r="BY109">
            <v>4.7570964052429131E-2</v>
          </cell>
          <cell r="BZ109">
            <v>4.529147016112791E-2</v>
          </cell>
          <cell r="CA109">
            <v>5.2116332608687851E-2</v>
          </cell>
          <cell r="CB109">
            <v>5.2924489001661246E-2</v>
          </cell>
          <cell r="CC109">
            <v>5.8883863125779798E-2</v>
          </cell>
          <cell r="CD109">
            <v>5.348252749057069E-2</v>
          </cell>
          <cell r="CE109">
            <v>5.9034283658462396E-2</v>
          </cell>
          <cell r="CF109">
            <v>5.7323559631411607E-2</v>
          </cell>
          <cell r="CG109">
            <v>5.8507042155603019E-2</v>
          </cell>
          <cell r="CH109">
            <v>5.4354358036098109E-2</v>
          </cell>
          <cell r="CI109">
            <v>6.0575817930041215E-2</v>
          </cell>
          <cell r="CJ109">
            <v>5.7495814428461689E-2</v>
          </cell>
          <cell r="CK109">
            <v>5.8475217725201013E-2</v>
          </cell>
          <cell r="CL109">
            <v>5.2899231885362476E-2</v>
          </cell>
          <cell r="CM109">
            <v>5.8320458825132745E-2</v>
          </cell>
          <cell r="CN109">
            <v>5.5551225318319561E-2</v>
          </cell>
          <cell r="CO109">
            <v>5.6278759312047032E-2</v>
          </cell>
          <cell r="CP109">
            <v>5.1927697746202761E-2</v>
          </cell>
          <cell r="CQ109">
            <v>5.5790696459580652E-2</v>
          </cell>
          <cell r="CR109">
            <v>5.3434573225055702E-2</v>
          </cell>
          <cell r="CS109">
            <v>5.3998121404742992E-2</v>
          </cell>
          <cell r="CT109">
            <v>5.0789485977450075E-2</v>
          </cell>
          <cell r="CU109">
            <v>5.2670009318175448E-2</v>
          </cell>
          <cell r="CV109">
            <v>5.0607606700070001E-2</v>
          </cell>
          <cell r="CW109">
            <v>5.1071380140628432E-2</v>
          </cell>
          <cell r="CX109">
            <v>4.8365133559499895E-2</v>
          </cell>
          <cell r="CY109">
            <v>4.9438545668511406E-2</v>
          </cell>
          <cell r="CZ109">
            <v>4.7699955718933873E-2</v>
          </cell>
          <cell r="DA109">
            <v>4.8152218438314451E-2</v>
          </cell>
          <cell r="DB109">
            <v>4.5726316541565712E-2</v>
          </cell>
          <cell r="DC109"/>
          <cell r="DD109"/>
          <cell r="DE109">
            <v>0</v>
          </cell>
          <cell r="DF109">
            <v>0</v>
          </cell>
          <cell r="DG109">
            <v>0</v>
          </cell>
          <cell r="DH109">
            <v>0</v>
          </cell>
          <cell r="DI109">
            <v>0</v>
          </cell>
          <cell r="DJ109">
            <v>0</v>
          </cell>
          <cell r="DK109">
            <v>0</v>
          </cell>
          <cell r="DL109">
            <v>0</v>
          </cell>
          <cell r="DM109">
            <v>0</v>
          </cell>
          <cell r="DN109">
            <v>0</v>
          </cell>
          <cell r="DO109">
            <v>0</v>
          </cell>
        </row>
        <row r="110">
          <cell r="A110" t="str">
            <v>% growth in revenue y-o-y</v>
          </cell>
          <cell r="B110"/>
          <cell r="C110"/>
          <cell r="D110"/>
          <cell r="E110"/>
          <cell r="F110"/>
          <cell r="G110"/>
          <cell r="H110"/>
          <cell r="I110"/>
          <cell r="J110"/>
          <cell r="K110"/>
          <cell r="L110"/>
          <cell r="M110"/>
          <cell r="N110"/>
          <cell r="O110"/>
          <cell r="P110"/>
          <cell r="Q110"/>
          <cell r="R110"/>
          <cell r="S110"/>
          <cell r="T110"/>
          <cell r="U110"/>
          <cell r="V110"/>
          <cell r="W110"/>
          <cell r="X110"/>
          <cell r="Y110"/>
          <cell r="Z110"/>
          <cell r="AA110"/>
          <cell r="AB110"/>
          <cell r="AC110"/>
          <cell r="AD110"/>
          <cell r="AE110"/>
          <cell r="AF110"/>
          <cell r="AG110"/>
          <cell r="AH110"/>
          <cell r="AI110"/>
          <cell r="AJ110"/>
          <cell r="AK110"/>
          <cell r="AL110"/>
          <cell r="AM110"/>
          <cell r="AN110"/>
          <cell r="AO110"/>
          <cell r="AP110"/>
          <cell r="AQ110"/>
          <cell r="AR110"/>
          <cell r="AS110"/>
          <cell r="AT110"/>
          <cell r="AU110"/>
          <cell r="AV110"/>
          <cell r="AW110"/>
          <cell r="AX110"/>
          <cell r="AY110"/>
          <cell r="AZ110"/>
          <cell r="BA110"/>
          <cell r="BB110"/>
          <cell r="BC110"/>
          <cell r="BD110"/>
          <cell r="BE110"/>
          <cell r="BF110"/>
          <cell r="BG110"/>
          <cell r="BH110"/>
          <cell r="BI110"/>
          <cell r="BJ110"/>
          <cell r="BK110"/>
          <cell r="BL110"/>
          <cell r="BM110"/>
          <cell r="BN110"/>
          <cell r="BO110">
            <v>-1</v>
          </cell>
          <cell r="BP110">
            <v>-1</v>
          </cell>
          <cell r="BQ110">
            <v>-1</v>
          </cell>
          <cell r="BR110">
            <v>-1</v>
          </cell>
          <cell r="BS110" t="str">
            <v>NA</v>
          </cell>
          <cell r="BT110" t="str">
            <v>NA</v>
          </cell>
          <cell r="BU110" t="str">
            <v>NA</v>
          </cell>
          <cell r="BV110" t="str">
            <v>NA</v>
          </cell>
          <cell r="BW110">
            <v>0.22752631985635263</v>
          </cell>
          <cell r="BX110">
            <v>0.22051099732072132</v>
          </cell>
          <cell r="BY110">
            <v>0.31824594810062057</v>
          </cell>
          <cell r="BZ110">
            <v>0.26274066901948268</v>
          </cell>
          <cell r="CA110">
            <v>0.21181309263392212</v>
          </cell>
          <cell r="CB110">
            <v>0.21705304529492309</v>
          </cell>
          <cell r="CC110">
            <v>0.27888220917323481</v>
          </cell>
          <cell r="CD110">
            <v>0.25041393384517452</v>
          </cell>
          <cell r="CE110">
            <v>0.19173844093572279</v>
          </cell>
          <cell r="CF110">
            <v>0.15989451926788312</v>
          </cell>
          <cell r="CG110">
            <v>5.3353979598055101E-2</v>
          </cell>
          <cell r="CH110">
            <v>4.7675164923545399E-2</v>
          </cell>
          <cell r="CI110">
            <v>4.5291406677368126E-2</v>
          </cell>
          <cell r="CJ110">
            <v>4.3026836343499721E-2</v>
          </cell>
          <cell r="CK110">
            <v>4.0875494526324732E-2</v>
          </cell>
          <cell r="CL110">
            <v>3.8831719800008491E-2</v>
          </cell>
          <cell r="CM110">
            <v>3.6890133810008066E-2</v>
          </cell>
          <cell r="CN110">
            <v>3.5045627119507664E-2</v>
          </cell>
          <cell r="CO110">
            <v>3.3293345763532281E-2</v>
          </cell>
          <cell r="CP110">
            <v>3.1628678475355665E-2</v>
          </cell>
          <cell r="CQ110">
            <v>3.004724455158788E-2</v>
          </cell>
          <cell r="CR110">
            <v>2.8544882324008484E-2</v>
          </cell>
          <cell r="CS110">
            <v>2.7117638207808058E-2</v>
          </cell>
          <cell r="CT110">
            <v>2.5761756297417653E-2</v>
          </cell>
          <cell r="CU110">
            <v>2.447366848254677E-2</v>
          </cell>
          <cell r="CV110">
            <v>2.324998505841943E-2</v>
          </cell>
          <cell r="CW110">
            <v>2.2087485805498457E-2</v>
          </cell>
          <cell r="CX110">
            <v>2.0983111515223533E-2</v>
          </cell>
          <cell r="CY110">
            <v>1.9933955939462355E-2</v>
          </cell>
          <cell r="CZ110">
            <v>1.8937258142489238E-2</v>
          </cell>
          <cell r="DA110">
            <v>1.7990395235364776E-2</v>
          </cell>
          <cell r="DB110">
            <v>1.7090875473596535E-2</v>
          </cell>
          <cell r="DC110"/>
          <cell r="DD110" t="str">
            <v>NA</v>
          </cell>
          <cell r="DE110" t="str">
            <v>NA</v>
          </cell>
          <cell r="DF110" t="str">
            <v>NA</v>
          </cell>
          <cell r="DG110" t="str">
            <v>NA</v>
          </cell>
          <cell r="DH110" t="str">
            <v>NA</v>
          </cell>
          <cell r="DI110" t="str">
            <v>NA</v>
          </cell>
          <cell r="DJ110" t="str">
            <v>NA</v>
          </cell>
          <cell r="DK110" t="str">
            <v>NA</v>
          </cell>
          <cell r="DL110" t="str">
            <v>NA</v>
          </cell>
          <cell r="DM110" t="str">
            <v>NA</v>
          </cell>
          <cell r="DN110" t="str">
            <v>NA</v>
          </cell>
          <cell r="DO110" t="str">
            <v>NA</v>
          </cell>
        </row>
        <row r="111">
          <cell r="A111" t="str">
            <v>% growth in revenue seq</v>
          </cell>
          <cell r="B111"/>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cell r="BH111"/>
          <cell r="BI111"/>
          <cell r="BJ111"/>
          <cell r="BK111"/>
          <cell r="BL111"/>
          <cell r="BM111"/>
          <cell r="BN111"/>
          <cell r="BO111">
            <v>-1</v>
          </cell>
          <cell r="BP111" t="str">
            <v>NA</v>
          </cell>
          <cell r="BQ111" t="str">
            <v>NA</v>
          </cell>
          <cell r="BR111" t="str">
            <v>NA</v>
          </cell>
          <cell r="BS111" t="str">
            <v>NA</v>
          </cell>
          <cell r="BT111">
            <v>6.3828564206917626E-2</v>
          </cell>
          <cell r="BU111">
            <v>-2.2944413543775855E-2</v>
          </cell>
          <cell r="BV111">
            <v>9.1801041024520247E-2</v>
          </cell>
          <cell r="BW111">
            <v>8.1673996488553113E-2</v>
          </cell>
          <cell r="BX111">
            <v>5.7748775627392446E-2</v>
          </cell>
          <cell r="BY111">
            <v>5.5295340019404504E-2</v>
          </cell>
          <cell r="BZ111">
            <v>4.5830316388151271E-2</v>
          </cell>
          <cell r="CA111">
            <v>3.8049017558223319E-2</v>
          </cell>
          <cell r="CB111">
            <v>6.2322544920041745E-2</v>
          </cell>
          <cell r="CC111">
            <v>0.10890683112928246</v>
          </cell>
          <cell r="CD111">
            <v>2.2549841314048802E-2</v>
          </cell>
          <cell r="CE111">
            <v>-1.0661282383893522E-2</v>
          </cell>
          <cell r="CF111">
            <v>3.3936688808986926E-2</v>
          </cell>
          <cell r="CG111">
            <v>7.0496964765178749E-3</v>
          </cell>
          <cell r="CH111">
            <v>1.7037097111489707E-2</v>
          </cell>
          <cell r="CI111">
            <v>-1.2912308661252925E-2</v>
          </cell>
          <cell r="CJ111">
            <v>3.1696717890238757E-2</v>
          </cell>
          <cell r="CK111">
            <v>4.9725609239961166E-3</v>
          </cell>
          <cell r="CL111">
            <v>1.5040129437898342E-2</v>
          </cell>
          <cell r="CM111">
            <v>-1.4757184588582439E-2</v>
          </cell>
          <cell r="CN111">
            <v>2.9861449681326757E-2</v>
          </cell>
          <cell r="CO111">
            <v>3.2711917904684196E-3</v>
          </cell>
          <cell r="CP111">
            <v>1.340486864134971E-2</v>
          </cell>
          <cell r="CQ111">
            <v>-1.6267511360171349E-2</v>
          </cell>
          <cell r="CR111">
            <v>2.8359358442477944E-2</v>
          </cell>
          <cell r="CS111">
            <v>1.879018313117653E-3</v>
          </cell>
          <cell r="CT111">
            <v>1.2067088743333398E-2</v>
          </cell>
          <cell r="CU111">
            <v>-1.7502821434786875E-2</v>
          </cell>
          <cell r="CV111">
            <v>2.7131033752750833E-2</v>
          </cell>
          <cell r="CW111">
            <v>7.4079830108453315E-4</v>
          </cell>
          <cell r="CX111">
            <v>1.0973541577984358E-2</v>
          </cell>
          <cell r="CY111">
            <v>-1.8512429117260143E-2</v>
          </cell>
          <cell r="CZ111">
            <v>2.6127302841957301E-2</v>
          </cell>
          <cell r="DA111">
            <v>-1.8915526964324858E-4</v>
          </cell>
          <cell r="DB111">
            <v>1.008022206973469E-2</v>
          </cell>
          <cell r="DC111"/>
          <cell r="DD111"/>
          <cell r="DE111"/>
          <cell r="DF111"/>
          <cell r="DG111"/>
          <cell r="DH111"/>
          <cell r="DI111"/>
          <cell r="DJ111"/>
          <cell r="DK111"/>
          <cell r="DL111"/>
          <cell r="DM111"/>
          <cell r="DN111"/>
          <cell r="DO111"/>
        </row>
        <row r="112">
          <cell r="A112"/>
          <cell r="B112"/>
          <cell r="C112"/>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cell r="BH112"/>
          <cell r="BI112"/>
          <cell r="BJ112"/>
          <cell r="BK112"/>
          <cell r="BL112"/>
          <cell r="BM112"/>
          <cell r="BN112"/>
          <cell r="BO112"/>
          <cell r="BP112"/>
          <cell r="BQ112"/>
          <cell r="BR112"/>
          <cell r="BS112"/>
          <cell r="BT112"/>
          <cell r="BU112"/>
          <cell r="BV112"/>
          <cell r="BW112"/>
          <cell r="BX112"/>
          <cell r="BY112"/>
          <cell r="BZ112"/>
          <cell r="CA112"/>
          <cell r="CB112"/>
          <cell r="CC112"/>
          <cell r="CD112"/>
          <cell r="CE112"/>
          <cell r="CF112"/>
          <cell r="CG112"/>
          <cell r="CH112"/>
          <cell r="CI112"/>
          <cell r="CJ112"/>
          <cell r="CK112"/>
          <cell r="CL112"/>
          <cell r="CM112"/>
          <cell r="CN112"/>
          <cell r="CO112"/>
          <cell r="CP112"/>
          <cell r="CQ112"/>
          <cell r="CR112"/>
          <cell r="CS112"/>
          <cell r="CT112"/>
          <cell r="CU112"/>
          <cell r="CV112"/>
          <cell r="CW112"/>
          <cell r="CX112"/>
          <cell r="CY112"/>
          <cell r="CZ112"/>
          <cell r="DA112"/>
          <cell r="DB112"/>
          <cell r="DC112"/>
          <cell r="DD112"/>
          <cell r="DE112"/>
          <cell r="DF112"/>
          <cell r="DG112"/>
          <cell r="DH112"/>
          <cell r="DI112"/>
          <cell r="DJ112"/>
          <cell r="DK112"/>
          <cell r="DL112"/>
          <cell r="DM112"/>
          <cell r="DN112"/>
          <cell r="DO112"/>
        </row>
        <row r="113">
          <cell r="A113" t="str">
            <v>Services</v>
          </cell>
          <cell r="B113"/>
          <cell r="C113"/>
          <cell r="D113"/>
          <cell r="E113"/>
          <cell r="F113"/>
          <cell r="G113"/>
          <cell r="H113"/>
          <cell r="I113"/>
          <cell r="J113"/>
          <cell r="K113"/>
          <cell r="L113"/>
          <cell r="M113"/>
          <cell r="N113"/>
          <cell r="O113"/>
          <cell r="P113"/>
          <cell r="Q113"/>
          <cell r="R113"/>
          <cell r="S113"/>
          <cell r="T113"/>
          <cell r="U113"/>
          <cell r="V113"/>
          <cell r="W113"/>
          <cell r="X113"/>
          <cell r="Y113"/>
          <cell r="Z113"/>
          <cell r="AA113"/>
          <cell r="AB113"/>
          <cell r="AC113"/>
          <cell r="AD113"/>
          <cell r="AE113"/>
          <cell r="AF113"/>
          <cell r="AG113"/>
          <cell r="AH113"/>
          <cell r="AI113"/>
          <cell r="AJ113"/>
          <cell r="AK113"/>
          <cell r="AL113"/>
          <cell r="AM113"/>
          <cell r="AN113"/>
          <cell r="AO113"/>
          <cell r="AP113"/>
          <cell r="AQ113"/>
          <cell r="AR113"/>
          <cell r="AS113"/>
          <cell r="AT113"/>
          <cell r="AU113"/>
          <cell r="AV113"/>
          <cell r="AW113"/>
          <cell r="AX113"/>
          <cell r="AY113"/>
          <cell r="AZ113"/>
          <cell r="BA113"/>
          <cell r="BB113"/>
          <cell r="BC113"/>
          <cell r="BD113"/>
          <cell r="BE113"/>
          <cell r="BF113"/>
          <cell r="BG113"/>
          <cell r="BH113"/>
          <cell r="BI113"/>
          <cell r="BJ113"/>
          <cell r="BK113"/>
          <cell r="BL113"/>
          <cell r="BM113"/>
          <cell r="BN113"/>
          <cell r="BO113"/>
          <cell r="BP113"/>
          <cell r="BQ113"/>
          <cell r="BR113"/>
          <cell r="BS113">
            <v>37.053409090909092</v>
          </cell>
          <cell r="BT113">
            <v>37.076595744680851</v>
          </cell>
          <cell r="BU113">
            <v>36.853086419753083</v>
          </cell>
          <cell r="BV113">
            <v>36.868478260869558</v>
          </cell>
          <cell r="BW113">
            <v>32.606999999999999</v>
          </cell>
          <cell r="BX113">
            <v>34.851999999999997</v>
          </cell>
          <cell r="BY113">
            <v>29.850999999999999</v>
          </cell>
          <cell r="BZ113">
            <v>33.918999999999997</v>
          </cell>
          <cell r="CA113">
            <v>29.59455496</v>
          </cell>
          <cell r="CB113">
            <v>31.677168720000001</v>
          </cell>
          <cell r="CC113">
            <v>32</v>
          </cell>
          <cell r="CD113">
            <v>38.4</v>
          </cell>
          <cell r="CE113">
            <v>31.3</v>
          </cell>
          <cell r="CF113">
            <v>33.9</v>
          </cell>
          <cell r="CG113">
            <v>28.3</v>
          </cell>
          <cell r="CH113">
            <v>38.860249020000005</v>
          </cell>
          <cell r="CI113">
            <v>30.830500000000001</v>
          </cell>
          <cell r="CJ113">
            <v>33.391500000000001</v>
          </cell>
          <cell r="CK113">
            <v>32.891500000000001</v>
          </cell>
          <cell r="CL113">
            <v>36.891500000000001</v>
          </cell>
          <cell r="CM113">
            <v>31.601262499999997</v>
          </cell>
          <cell r="CN113">
            <v>34.217939625</v>
          </cell>
          <cell r="CO113">
            <v>33.697423978750003</v>
          </cell>
          <cell r="CP113">
            <v>37.786394638962499</v>
          </cell>
          <cell r="CQ113">
            <v>32.360163666711564</v>
          </cell>
          <cell r="CR113">
            <v>35.031462627786347</v>
          </cell>
          <cell r="CS113">
            <v>34.490560372798562</v>
          </cell>
          <cell r="CT113">
            <v>38.666879365595385</v>
          </cell>
          <cell r="CU113">
            <v>33.106667900068494</v>
          </cell>
          <cell r="CV113">
            <v>35.831508760662878</v>
          </cell>
          <cell r="CW113">
            <v>35.27037648675276</v>
          </cell>
          <cell r="CX113">
            <v>39.532377772316003</v>
          </cell>
          <cell r="CY113">
            <v>33.84029913955726</v>
          </cell>
          <cell r="CZ113">
            <v>36.617581316244213</v>
          </cell>
          <cell r="DA113">
            <v>36.036401283944052</v>
          </cell>
          <cell r="DB113">
            <v>40.382381566863906</v>
          </cell>
          <cell r="DC113"/>
          <cell r="DD113"/>
          <cell r="DE113">
            <v>0</v>
          </cell>
          <cell r="DF113">
            <v>0</v>
          </cell>
          <cell r="DG113">
            <v>0</v>
          </cell>
          <cell r="DH113">
            <v>0</v>
          </cell>
          <cell r="DI113">
            <v>0</v>
          </cell>
          <cell r="DJ113">
            <v>0</v>
          </cell>
          <cell r="DK113">
            <v>0</v>
          </cell>
          <cell r="DL113">
            <v>0</v>
          </cell>
          <cell r="DM113">
            <v>0</v>
          </cell>
          <cell r="DN113">
            <v>0</v>
          </cell>
          <cell r="DO113">
            <v>0</v>
          </cell>
        </row>
        <row r="114">
          <cell r="A114" t="str">
            <v>Prior Services</v>
          </cell>
          <cell r="B114"/>
          <cell r="C114">
            <v>0</v>
          </cell>
          <cell r="D114">
            <v>0</v>
          </cell>
          <cell r="E114">
            <v>0</v>
          </cell>
          <cell r="F114">
            <v>0</v>
          </cell>
          <cell r="G114">
            <v>3.0910000000000002</v>
          </cell>
          <cell r="H114">
            <v>3.8929999999999998</v>
          </cell>
          <cell r="I114">
            <v>4.2</v>
          </cell>
          <cell r="J114">
            <v>4.5660000000000007</v>
          </cell>
          <cell r="K114">
            <v>6.6140000000000008</v>
          </cell>
          <cell r="L114">
            <v>7.6539999999999999</v>
          </cell>
          <cell r="M114">
            <v>7.5919999999999996</v>
          </cell>
          <cell r="N114">
            <v>8.532</v>
          </cell>
          <cell r="O114">
            <v>9.5660000000000007</v>
          </cell>
          <cell r="P114">
            <v>10.186999999999999</v>
          </cell>
          <cell r="Q114">
            <v>10.989000000000001</v>
          </cell>
          <cell r="R114">
            <v>9.91</v>
          </cell>
          <cell r="S114">
            <v>10.712999999999999</v>
          </cell>
          <cell r="T114">
            <v>11.218</v>
          </cell>
          <cell r="U114">
            <v>10.475</v>
          </cell>
          <cell r="V114">
            <v>12.133000000000001</v>
          </cell>
          <cell r="W114">
            <v>11.377000000000001</v>
          </cell>
          <cell r="X114">
            <v>11.289</v>
          </cell>
          <cell r="Y114">
            <v>10.866</v>
          </cell>
          <cell r="Z114">
            <v>12</v>
          </cell>
          <cell r="AA114">
            <v>12.191000000000001</v>
          </cell>
          <cell r="AB114">
            <v>13.15</v>
          </cell>
          <cell r="AC114">
            <v>14.629</v>
          </cell>
          <cell r="AD114">
            <v>15.713000000000001</v>
          </cell>
          <cell r="AE114">
            <v>14.288</v>
          </cell>
          <cell r="AF114">
            <v>14.95</v>
          </cell>
          <cell r="AG114">
            <v>19.010999999999999</v>
          </cell>
          <cell r="AH114">
            <v>20.838999999999999</v>
          </cell>
          <cell r="AI114">
            <v>20.303999999999998</v>
          </cell>
          <cell r="AJ114">
            <v>22.790999999999997</v>
          </cell>
          <cell r="AK114">
            <v>22.562999999999995</v>
          </cell>
          <cell r="AL114">
            <v>25.622999999999998</v>
          </cell>
          <cell r="AM114">
            <v>26.001999999999995</v>
          </cell>
          <cell r="AN114">
            <v>27.803999999999998</v>
          </cell>
          <cell r="AO114">
            <v>29.692</v>
          </cell>
          <cell r="AP114">
            <v>32.887</v>
          </cell>
          <cell r="AQ114">
            <v>34.155000000000001</v>
          </cell>
          <cell r="AR114">
            <v>37.305999999999997</v>
          </cell>
          <cell r="AS114">
            <v>35.155999999999999</v>
          </cell>
          <cell r="AT114">
            <v>37.116999999999997</v>
          </cell>
          <cell r="AU114">
            <v>36.979999999999997</v>
          </cell>
          <cell r="AV114">
            <v>38.451999999999998</v>
          </cell>
          <cell r="AW114">
            <v>42.063000000000002</v>
          </cell>
          <cell r="AX114">
            <v>44.472999999999999</v>
          </cell>
          <cell r="AY114">
            <v>43.661000000000001</v>
          </cell>
          <cell r="AZ114">
            <v>51.887999999999998</v>
          </cell>
          <cell r="BA114">
            <v>54.686999999999998</v>
          </cell>
          <cell r="BB114">
            <v>62.110999999999997</v>
          </cell>
          <cell r="BC114">
            <v>19.477</v>
          </cell>
          <cell r="BD114">
            <v>21.303000000000001</v>
          </cell>
          <cell r="BE114">
            <v>23.210999999999999</v>
          </cell>
          <cell r="BF114">
            <v>27.504000000000001</v>
          </cell>
          <cell r="BG114">
            <v>25.873000000000001</v>
          </cell>
          <cell r="BH114">
            <v>29.245999999999999</v>
          </cell>
          <cell r="BI114">
            <v>31.021999999999998</v>
          </cell>
          <cell r="BJ114">
            <v>32.92</v>
          </cell>
          <cell r="BK114">
            <v>26.512</v>
          </cell>
          <cell r="BL114">
            <v>36.415999999999997</v>
          </cell>
          <cell r="BM114">
            <v>33.725000000000001</v>
          </cell>
          <cell r="BN114">
            <v>42.225999999999999</v>
          </cell>
          <cell r="BO114">
            <v>42.505000000000003</v>
          </cell>
          <cell r="BP114">
            <v>41.948</v>
          </cell>
          <cell r="BQ114">
            <v>42.322000000000003</v>
          </cell>
          <cell r="BR114">
            <v>48.765999999999998</v>
          </cell>
          <cell r="BS114">
            <v>36.86</v>
          </cell>
          <cell r="BT114">
            <v>37.04</v>
          </cell>
          <cell r="BU114">
            <v>36.676000000000002</v>
          </cell>
          <cell r="BV114">
            <v>36.911999999999999</v>
          </cell>
          <cell r="BW114">
            <v>32.606999999999999</v>
          </cell>
          <cell r="BX114">
            <v>34.851999999999997</v>
          </cell>
          <cell r="BY114">
            <v>29.850999999999999</v>
          </cell>
          <cell r="BZ114">
            <v>33.918999999999997</v>
          </cell>
          <cell r="CA114">
            <v>29.594999999999999</v>
          </cell>
          <cell r="CB114">
            <v>31.677</v>
          </cell>
          <cell r="CC114">
            <v>32.061999999999998</v>
          </cell>
          <cell r="CD114">
            <v>38.401000000000003</v>
          </cell>
          <cell r="CE114"/>
          <cell r="CF114"/>
          <cell r="CG114"/>
          <cell r="CH114"/>
          <cell r="CI114"/>
          <cell r="CJ114"/>
          <cell r="CK114"/>
          <cell r="CL114"/>
          <cell r="CM114"/>
          <cell r="CN114"/>
          <cell r="CO114"/>
          <cell r="CP114"/>
          <cell r="CQ114"/>
          <cell r="CR114"/>
          <cell r="CS114"/>
          <cell r="CT114"/>
          <cell r="CU114"/>
          <cell r="CV114"/>
          <cell r="CW114"/>
          <cell r="CX114"/>
          <cell r="CY114"/>
          <cell r="CZ114"/>
          <cell r="DA114"/>
          <cell r="DB114"/>
          <cell r="DC114"/>
          <cell r="DD114" t="e">
            <v>#REF!</v>
          </cell>
          <cell r="DE114" t="e">
            <v>#REF!</v>
          </cell>
          <cell r="DF114" t="e">
            <v>#REF!</v>
          </cell>
          <cell r="DG114" t="e">
            <v>#REF!</v>
          </cell>
          <cell r="DH114" t="e">
            <v>#REF!</v>
          </cell>
          <cell r="DI114" t="e">
            <v>#REF!</v>
          </cell>
          <cell r="DJ114" t="e">
            <v>#REF!</v>
          </cell>
          <cell r="DK114" t="e">
            <v>#REF!</v>
          </cell>
          <cell r="DL114" t="e">
            <v>#REF!</v>
          </cell>
          <cell r="DM114" t="e">
            <v>#REF!</v>
          </cell>
          <cell r="DN114" t="e">
            <v>#REF!</v>
          </cell>
          <cell r="DO114" t="e">
            <v>#REF!</v>
          </cell>
        </row>
        <row r="115">
          <cell r="A115" t="str">
            <v>$ Delta</v>
          </cell>
          <cell r="B115"/>
          <cell r="C115"/>
          <cell r="D115"/>
          <cell r="E115"/>
          <cell r="F115"/>
          <cell r="G115"/>
          <cell r="H115"/>
          <cell r="I115"/>
          <cell r="J115"/>
          <cell r="K115"/>
          <cell r="L115"/>
          <cell r="M115"/>
          <cell r="N115"/>
          <cell r="O115"/>
          <cell r="P115"/>
          <cell r="Q115"/>
          <cell r="R115"/>
          <cell r="S115">
            <v>-10.712999999999999</v>
          </cell>
          <cell r="T115">
            <v>-11.218</v>
          </cell>
          <cell r="U115">
            <v>-10.475</v>
          </cell>
          <cell r="V115">
            <v>-12.133000000000001</v>
          </cell>
          <cell r="W115">
            <v>-11.377000000000001</v>
          </cell>
          <cell r="X115">
            <v>-11.289</v>
          </cell>
          <cell r="Y115">
            <v>-10.866</v>
          </cell>
          <cell r="Z115">
            <v>-12</v>
          </cell>
          <cell r="AA115">
            <v>-12.191000000000001</v>
          </cell>
          <cell r="AB115">
            <v>-13.15</v>
          </cell>
          <cell r="AC115">
            <v>-14.629</v>
          </cell>
          <cell r="AD115">
            <v>-15.713000000000001</v>
          </cell>
          <cell r="AE115">
            <v>-14.288</v>
          </cell>
          <cell r="AF115">
            <v>-14.95</v>
          </cell>
          <cell r="AG115">
            <v>-19.010999999999999</v>
          </cell>
          <cell r="AH115">
            <v>-20.838999999999999</v>
          </cell>
          <cell r="AI115">
            <v>-20.303999999999998</v>
          </cell>
          <cell r="AJ115">
            <v>-22.790999999999997</v>
          </cell>
          <cell r="AK115">
            <v>-22.562999999999995</v>
          </cell>
          <cell r="AL115">
            <v>-25.622999999999998</v>
          </cell>
          <cell r="AM115">
            <v>-26.001999999999995</v>
          </cell>
          <cell r="AN115">
            <v>-27.803999999999998</v>
          </cell>
          <cell r="AO115">
            <v>-29.692</v>
          </cell>
          <cell r="AP115">
            <v>-32.887</v>
          </cell>
          <cell r="AQ115">
            <v>-34.155000000000001</v>
          </cell>
          <cell r="AR115">
            <v>-37.305999999999997</v>
          </cell>
          <cell r="AS115">
            <v>-35.155999999999999</v>
          </cell>
          <cell r="AT115">
            <v>-37.116999999999997</v>
          </cell>
          <cell r="AU115">
            <v>-36.979999999999997</v>
          </cell>
          <cell r="AV115">
            <v>-38.451999999999998</v>
          </cell>
          <cell r="AW115">
            <v>-42.063000000000002</v>
          </cell>
          <cell r="AX115">
            <v>-44.472999999999999</v>
          </cell>
          <cell r="AY115">
            <v>-43.661000000000001</v>
          </cell>
          <cell r="AZ115">
            <v>-51.887999999999998</v>
          </cell>
          <cell r="BA115">
            <v>-54.686999999999998</v>
          </cell>
          <cell r="BB115">
            <v>-62.110999999999997</v>
          </cell>
          <cell r="BC115">
            <v>-19.477</v>
          </cell>
          <cell r="BD115">
            <v>-21.303000000000001</v>
          </cell>
          <cell r="BE115">
            <v>-23.210999999999999</v>
          </cell>
          <cell r="BF115">
            <v>-27.504000000000001</v>
          </cell>
          <cell r="BG115">
            <v>-25.873000000000001</v>
          </cell>
          <cell r="BH115">
            <v>-29.245999999999999</v>
          </cell>
          <cell r="BI115">
            <v>-31.021999999999998</v>
          </cell>
          <cell r="BJ115">
            <v>-32.92</v>
          </cell>
          <cell r="BK115">
            <v>-26.512</v>
          </cell>
          <cell r="BL115">
            <v>-36.415999999999997</v>
          </cell>
          <cell r="BM115">
            <v>-33.725000000000001</v>
          </cell>
          <cell r="BN115">
            <v>-42.225999999999999</v>
          </cell>
          <cell r="BO115">
            <v>-42.505000000000003</v>
          </cell>
          <cell r="BP115">
            <v>-41.948</v>
          </cell>
          <cell r="BQ115">
            <v>-42.322000000000003</v>
          </cell>
          <cell r="BR115">
            <v>-48.765999999999998</v>
          </cell>
          <cell r="BS115">
            <v>0.19340909090909264</v>
          </cell>
          <cell r="BT115">
            <v>3.6595744680852249E-2</v>
          </cell>
          <cell r="BU115">
            <v>0.17708641975308126</v>
          </cell>
          <cell r="BV115">
            <v>-4.3521739130440551E-2</v>
          </cell>
          <cell r="BW115">
            <v>0</v>
          </cell>
          <cell r="BX115">
            <v>0</v>
          </cell>
          <cell r="BY115">
            <v>0</v>
          </cell>
          <cell r="BZ115">
            <v>0</v>
          </cell>
          <cell r="CA115">
            <v>-4.4503999999889743E-4</v>
          </cell>
          <cell r="CB115">
            <v>1.6872000000134335E-4</v>
          </cell>
          <cell r="CC115">
            <v>-6.1999999999997613E-2</v>
          </cell>
          <cell r="CD115">
            <v>-1.0000000000047748E-3</v>
          </cell>
          <cell r="CE115"/>
          <cell r="CF115"/>
          <cell r="CG115"/>
          <cell r="CH115"/>
          <cell r="CI115"/>
          <cell r="CJ115"/>
          <cell r="CK115"/>
          <cell r="CL115"/>
          <cell r="CM115"/>
          <cell r="CN115"/>
          <cell r="CO115"/>
          <cell r="CP115"/>
          <cell r="CQ115"/>
          <cell r="CR115"/>
          <cell r="CS115"/>
          <cell r="CT115"/>
          <cell r="CU115"/>
          <cell r="CV115"/>
          <cell r="CW115"/>
          <cell r="CX115"/>
          <cell r="CY115"/>
          <cell r="CZ115"/>
          <cell r="DA115"/>
          <cell r="DB115"/>
          <cell r="DC115"/>
          <cell r="DD115" t="e">
            <v>#REF!</v>
          </cell>
          <cell r="DE115" t="e">
            <v>#REF!</v>
          </cell>
          <cell r="DF115" t="e">
            <v>#REF!</v>
          </cell>
          <cell r="DG115" t="e">
            <v>#REF!</v>
          </cell>
          <cell r="DH115" t="e">
            <v>#REF!</v>
          </cell>
          <cell r="DI115" t="e">
            <v>#REF!</v>
          </cell>
          <cell r="DJ115" t="e">
            <v>#REF!</v>
          </cell>
          <cell r="DK115" t="e">
            <v>#REF!</v>
          </cell>
          <cell r="DL115" t="e">
            <v>#REF!</v>
          </cell>
          <cell r="DM115" t="e">
            <v>#REF!</v>
          </cell>
          <cell r="DN115" t="e">
            <v>#REF!</v>
          </cell>
          <cell r="DO115" t="e">
            <v>#REF!</v>
          </cell>
        </row>
        <row r="116">
          <cell r="A116" t="str">
            <v>% Delta</v>
          </cell>
          <cell r="B116"/>
          <cell r="C116"/>
          <cell r="D116"/>
          <cell r="E116"/>
          <cell r="F116"/>
          <cell r="G116"/>
          <cell r="H116"/>
          <cell r="I116"/>
          <cell r="J116"/>
          <cell r="K116"/>
          <cell r="L116"/>
          <cell r="M116"/>
          <cell r="N116"/>
          <cell r="O116"/>
          <cell r="P116"/>
          <cell r="Q116"/>
          <cell r="R116"/>
          <cell r="S116">
            <v>-1</v>
          </cell>
          <cell r="T116">
            <v>-1</v>
          </cell>
          <cell r="U116">
            <v>-1</v>
          </cell>
          <cell r="V116">
            <v>-1</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-1</v>
          </cell>
          <cell r="AP116">
            <v>-1</v>
          </cell>
          <cell r="AQ116">
            <v>-1</v>
          </cell>
          <cell r="AR116">
            <v>-1</v>
          </cell>
          <cell r="AS116">
            <v>-1</v>
          </cell>
          <cell r="AT116">
            <v>-1</v>
          </cell>
          <cell r="AU116">
            <v>-1</v>
          </cell>
          <cell r="AV116">
            <v>-1</v>
          </cell>
          <cell r="AW116">
            <v>-1</v>
          </cell>
          <cell r="AX116">
            <v>-1</v>
          </cell>
          <cell r="AY116">
            <v>-1</v>
          </cell>
          <cell r="AZ116">
            <v>-1</v>
          </cell>
          <cell r="BA116">
            <v>-1</v>
          </cell>
          <cell r="BB116">
            <v>-1</v>
          </cell>
          <cell r="BC116">
            <v>-1</v>
          </cell>
          <cell r="BD116">
            <v>-1</v>
          </cell>
          <cell r="BE116">
            <v>-1</v>
          </cell>
          <cell r="BF116">
            <v>-1</v>
          </cell>
          <cell r="BG116">
            <v>-1</v>
          </cell>
          <cell r="BH116">
            <v>-1</v>
          </cell>
          <cell r="BI116">
            <v>-1</v>
          </cell>
          <cell r="BJ116">
            <v>-1</v>
          </cell>
          <cell r="BK116">
            <v>-1</v>
          </cell>
          <cell r="BL116">
            <v>-1</v>
          </cell>
          <cell r="BM116">
            <v>-1</v>
          </cell>
          <cell r="BN116">
            <v>-1</v>
          </cell>
          <cell r="BO116">
            <v>-1</v>
          </cell>
          <cell r="BP116">
            <v>-1</v>
          </cell>
          <cell r="BQ116">
            <v>-1</v>
          </cell>
          <cell r="BR116">
            <v>-1</v>
          </cell>
          <cell r="BS116">
            <v>5.2471267202683844E-3</v>
          </cell>
          <cell r="BT116">
            <v>9.8800606589773891E-4</v>
          </cell>
          <cell r="BU116">
            <v>4.8284005822085627E-3</v>
          </cell>
          <cell r="BV116">
            <v>-1.1790674883626071E-3</v>
          </cell>
          <cell r="BW116">
            <v>0</v>
          </cell>
          <cell r="BX116">
            <v>0</v>
          </cell>
          <cell r="BY116">
            <v>0</v>
          </cell>
          <cell r="BZ116">
            <v>0</v>
          </cell>
          <cell r="CA116">
            <v>-1.5037675282949736E-5</v>
          </cell>
          <cell r="CB116">
            <v>5.3262619566670882E-6</v>
          </cell>
          <cell r="CC116">
            <v>-1.9337533528787231E-3</v>
          </cell>
          <cell r="CD116">
            <v>-2.6040988516048403E-5</v>
          </cell>
          <cell r="CE116"/>
          <cell r="CF116"/>
          <cell r="CG116"/>
          <cell r="CH116"/>
          <cell r="CI116"/>
          <cell r="CJ116"/>
          <cell r="CK116"/>
          <cell r="CL116"/>
          <cell r="CM116"/>
          <cell r="CN116"/>
          <cell r="CO116"/>
          <cell r="CP116"/>
          <cell r="CQ116"/>
          <cell r="CR116"/>
          <cell r="CS116"/>
          <cell r="CT116"/>
          <cell r="CU116"/>
          <cell r="CV116"/>
          <cell r="CW116"/>
          <cell r="CX116"/>
          <cell r="CY116"/>
          <cell r="CZ116"/>
          <cell r="DA116"/>
          <cell r="DB116"/>
          <cell r="DC116"/>
          <cell r="DD116" t="e">
            <v>#REF!</v>
          </cell>
          <cell r="DE116" t="e">
            <v>#REF!</v>
          </cell>
          <cell r="DF116" t="e">
            <v>#REF!</v>
          </cell>
          <cell r="DG116" t="e">
            <v>#REF!</v>
          </cell>
          <cell r="DH116" t="e">
            <v>#REF!</v>
          </cell>
          <cell r="DI116" t="e">
            <v>#REF!</v>
          </cell>
          <cell r="DJ116" t="e">
            <v>#REF!</v>
          </cell>
          <cell r="DK116" t="e">
            <v>#REF!</v>
          </cell>
          <cell r="DL116" t="e">
            <v>#REF!</v>
          </cell>
          <cell r="DM116" t="e">
            <v>#REF!</v>
          </cell>
          <cell r="DN116" t="e">
            <v>#REF!</v>
          </cell>
          <cell r="DO116" t="e">
            <v>#REF!</v>
          </cell>
        </row>
        <row r="117">
          <cell r="A117" t="str">
            <v>% of revenue</v>
          </cell>
          <cell r="B117"/>
          <cell r="C117"/>
          <cell r="D117"/>
          <cell r="E117"/>
          <cell r="F117"/>
          <cell r="G117"/>
          <cell r="H117"/>
          <cell r="I117"/>
          <cell r="J117"/>
          <cell r="K117"/>
          <cell r="L117"/>
          <cell r="M117"/>
          <cell r="N117"/>
          <cell r="O117"/>
          <cell r="P117"/>
          <cell r="Q117"/>
          <cell r="R117"/>
          <cell r="S117"/>
          <cell r="T117"/>
          <cell r="U117"/>
          <cell r="V117"/>
          <cell r="W117"/>
          <cell r="X117"/>
          <cell r="Y117"/>
          <cell r="Z117"/>
          <cell r="AA117"/>
          <cell r="AB117"/>
          <cell r="AC117"/>
          <cell r="AD117"/>
          <cell r="AE117"/>
          <cell r="AF117"/>
          <cell r="AG117"/>
          <cell r="AH117"/>
          <cell r="AI117"/>
          <cell r="AJ117"/>
          <cell r="AK117"/>
          <cell r="AL117"/>
          <cell r="AM117"/>
          <cell r="AN117"/>
          <cell r="AO117"/>
          <cell r="AP117"/>
          <cell r="AQ117"/>
          <cell r="AR117"/>
          <cell r="AS117"/>
          <cell r="AT117"/>
          <cell r="AU117"/>
          <cell r="AV117"/>
          <cell r="AW117"/>
          <cell r="AX117"/>
          <cell r="AY117"/>
          <cell r="AZ117"/>
          <cell r="BA117"/>
          <cell r="BB117"/>
          <cell r="BC117"/>
          <cell r="BD117"/>
          <cell r="BE117"/>
          <cell r="BF117"/>
          <cell r="BG117"/>
          <cell r="BH117"/>
          <cell r="BI117"/>
          <cell r="BJ117"/>
          <cell r="BK117"/>
          <cell r="BL117"/>
          <cell r="BM117"/>
          <cell r="BN117"/>
          <cell r="BO117"/>
          <cell r="BP117"/>
          <cell r="BQ117"/>
          <cell r="BR117"/>
          <cell r="BS117">
            <v>4.8703091068253102E-2</v>
          </cell>
          <cell r="BT117">
            <v>4.6534266628529893E-2</v>
          </cell>
          <cell r="BU117">
            <v>4.5314700431287373E-2</v>
          </cell>
          <cell r="BV117">
            <v>4.0749321381256261E-2</v>
          </cell>
          <cell r="BW117">
            <v>4.9496564066833344E-2</v>
          </cell>
          <cell r="BX117">
            <v>5.1710196190727711E-2</v>
          </cell>
          <cell r="BY117">
            <v>4.4637943822375348E-2</v>
          </cell>
          <cell r="BZ117">
            <v>4.6174433420820483E-2</v>
          </cell>
          <cell r="CA117">
            <v>4.4659094792787443E-2</v>
          </cell>
          <cell r="CB117">
            <v>4.5695232182243327E-2</v>
          </cell>
          <cell r="CC117">
            <v>4.631472301624634E-2</v>
          </cell>
          <cell r="CD117">
            <v>4.9366400250945859E-2</v>
          </cell>
          <cell r="CE117">
            <v>4.4894376298064233E-2</v>
          </cell>
          <cell r="CF117">
            <v>4.5664868359903819E-2</v>
          </cell>
          <cell r="CG117">
            <v>3.8636078178670701E-2</v>
          </cell>
          <cell r="CH117">
            <v>4.8462031276890277E-2</v>
          </cell>
          <cell r="CI117">
            <v>4.3409599803491059E-2</v>
          </cell>
          <cell r="CJ117">
            <v>4.3253976203294284E-2</v>
          </cell>
          <cell r="CK117">
            <v>4.311766173962276E-2</v>
          </cell>
          <cell r="CL117">
            <v>4.3101475870933312E-2</v>
          </cell>
          <cell r="CM117">
            <v>4.1314124169435057E-2</v>
          </cell>
          <cell r="CN117">
            <v>4.1375369167890565E-2</v>
          </cell>
          <cell r="CO117">
            <v>4.114501814373913E-2</v>
          </cell>
          <cell r="CP117">
            <v>4.2007571872964874E-2</v>
          </cell>
          <cell r="CQ117">
            <v>3.9290588399130216E-2</v>
          </cell>
          <cell r="CR117">
            <v>3.961427854778924E-2</v>
          </cell>
          <cell r="CS117">
            <v>3.9340036226344209E-2</v>
          </cell>
          <cell r="CT117">
            <v>4.098826097479201E-2</v>
          </cell>
          <cell r="CU117">
            <v>3.7041972704382878E-2</v>
          </cell>
          <cell r="CV117">
            <v>3.7503369045319035E-2</v>
          </cell>
          <cell r="CW117">
            <v>3.7226780015289451E-2</v>
          </cell>
          <cell r="CX117">
            <v>3.9085288473921613E-2</v>
          </cell>
          <cell r="CY117">
            <v>3.484520863905155E-2</v>
          </cell>
          <cell r="CZ117">
            <v>3.5452721280295633E-2</v>
          </cell>
          <cell r="DA117">
            <v>3.5227499509370305E-2</v>
          </cell>
          <cell r="DB117">
            <v>3.7113027354629943E-2</v>
          </cell>
          <cell r="DC117"/>
          <cell r="DD117"/>
          <cell r="DE117">
            <v>0</v>
          </cell>
          <cell r="DF117">
            <v>0</v>
          </cell>
          <cell r="DG117">
            <v>0</v>
          </cell>
          <cell r="DH117">
            <v>0</v>
          </cell>
          <cell r="DI117">
            <v>0</v>
          </cell>
          <cell r="DJ117">
            <v>0</v>
          </cell>
          <cell r="DK117">
            <v>0</v>
          </cell>
          <cell r="DL117">
            <v>0</v>
          </cell>
          <cell r="DM117">
            <v>0</v>
          </cell>
          <cell r="DN117">
            <v>0</v>
          </cell>
          <cell r="DO117">
            <v>0</v>
          </cell>
        </row>
        <row r="118">
          <cell r="A118" t="str">
            <v>% growth in revenue y-o-y</v>
          </cell>
          <cell r="B118"/>
          <cell r="C118"/>
          <cell r="D118"/>
          <cell r="E118"/>
          <cell r="F118"/>
          <cell r="G118"/>
          <cell r="H118"/>
          <cell r="I118"/>
          <cell r="J118"/>
          <cell r="K118"/>
          <cell r="L118"/>
          <cell r="M118"/>
          <cell r="N118"/>
          <cell r="O118"/>
          <cell r="P118"/>
          <cell r="Q118"/>
          <cell r="R118"/>
          <cell r="S118"/>
          <cell r="T118"/>
          <cell r="U118"/>
          <cell r="V118"/>
          <cell r="W118"/>
          <cell r="X118"/>
          <cell r="Y118"/>
          <cell r="Z118"/>
          <cell r="AA118"/>
          <cell r="AB118"/>
          <cell r="AC118"/>
          <cell r="AD118"/>
          <cell r="AE118"/>
          <cell r="AF118"/>
          <cell r="AG118"/>
          <cell r="AH118"/>
          <cell r="AI118"/>
          <cell r="AJ118"/>
          <cell r="AK118"/>
          <cell r="AL118"/>
          <cell r="AM118"/>
          <cell r="AN118"/>
          <cell r="AO118"/>
          <cell r="AP118"/>
          <cell r="AQ118"/>
          <cell r="AR118"/>
          <cell r="AS118"/>
          <cell r="AT118"/>
          <cell r="AU118"/>
          <cell r="AV118"/>
          <cell r="AW118"/>
          <cell r="AX118"/>
          <cell r="AY118"/>
          <cell r="AZ118"/>
          <cell r="BA118"/>
          <cell r="BB118"/>
          <cell r="BC118"/>
          <cell r="BD118"/>
          <cell r="BE118"/>
          <cell r="BF118"/>
          <cell r="BG118"/>
          <cell r="BH118"/>
          <cell r="BI118"/>
          <cell r="BJ118"/>
          <cell r="BK118"/>
          <cell r="BL118"/>
          <cell r="BM118"/>
          <cell r="BN118"/>
          <cell r="BO118"/>
          <cell r="BP118"/>
          <cell r="BQ118"/>
          <cell r="BR118"/>
          <cell r="BS118" t="str">
            <v>NA</v>
          </cell>
          <cell r="BT118" t="str">
            <v>NA</v>
          </cell>
          <cell r="BU118" t="str">
            <v>NA</v>
          </cell>
          <cell r="BV118" t="str">
            <v>NA</v>
          </cell>
          <cell r="BW118">
            <v>-0.12</v>
          </cell>
          <cell r="BX118">
            <v>-0.06</v>
          </cell>
          <cell r="BY118">
            <v>-0.19</v>
          </cell>
          <cell r="BZ118">
            <v>-0.08</v>
          </cell>
          <cell r="CA118">
            <v>-9.2386451988836771E-2</v>
          </cell>
          <cell r="CB118">
            <v>-9.1094665442442269E-2</v>
          </cell>
          <cell r="CC118">
            <v>7.1990888077451354E-2</v>
          </cell>
          <cell r="CD118">
            <v>0.13210884754857166</v>
          </cell>
          <cell r="CE118">
            <v>5.7626987204405733E-2</v>
          </cell>
          <cell r="CF118">
            <v>7.0171400090961011E-2</v>
          </cell>
          <cell r="CG118">
            <v>-0.11562499999999998</v>
          </cell>
          <cell r="CH118">
            <v>1.1985651562500088E-2</v>
          </cell>
          <cell r="CI118">
            <v>-1.4999999999999999E-2</v>
          </cell>
          <cell r="CJ118">
            <v>-1.4999999999999999E-2</v>
          </cell>
          <cell r="CK118">
            <v>0.16224381625441686</v>
          </cell>
          <cell r="CL118">
            <v>-5.0662285231027671E-2</v>
          </cell>
          <cell r="CM118">
            <v>2.5000000000000001E-2</v>
          </cell>
          <cell r="CN118">
            <v>2.4750000000000001E-2</v>
          </cell>
          <cell r="CO118">
            <v>2.45025E-2</v>
          </cell>
          <cell r="CP118">
            <v>2.4257475000000001E-2</v>
          </cell>
          <cell r="CQ118">
            <v>2.4014900249999999E-2</v>
          </cell>
          <cell r="CR118">
            <v>2.37747512475E-2</v>
          </cell>
          <cell r="CS118">
            <v>2.3537003735025E-2</v>
          </cell>
          <cell r="CT118">
            <v>2.330163369767475E-2</v>
          </cell>
          <cell r="CU118">
            <v>2.3068617360698002E-2</v>
          </cell>
          <cell r="CV118">
            <v>2.2837931187091022E-2</v>
          </cell>
          <cell r="CW118">
            <v>2.260955187522011E-2</v>
          </cell>
          <cell r="CX118">
            <v>2.238345635646791E-2</v>
          </cell>
          <cell r="CY118">
            <v>2.215962179290323E-2</v>
          </cell>
          <cell r="CZ118">
            <v>2.1938025574974197E-2</v>
          </cell>
          <cell r="DA118">
            <v>2.1718645319224454E-2</v>
          </cell>
          <cell r="DB118">
            <v>2.1501458866032209E-2</v>
          </cell>
          <cell r="DC118"/>
          <cell r="DD118" t="str">
            <v>NA</v>
          </cell>
          <cell r="DE118" t="str">
            <v>NA</v>
          </cell>
          <cell r="DF118" t="str">
            <v>NA</v>
          </cell>
          <cell r="DG118" t="str">
            <v>NA</v>
          </cell>
          <cell r="DH118" t="str">
            <v>NA</v>
          </cell>
          <cell r="DI118" t="str">
            <v>NA</v>
          </cell>
          <cell r="DJ118" t="str">
            <v>NA</v>
          </cell>
          <cell r="DK118" t="str">
            <v>NA</v>
          </cell>
          <cell r="DL118" t="str">
            <v>NA</v>
          </cell>
          <cell r="DM118" t="str">
            <v>NA</v>
          </cell>
          <cell r="DN118" t="str">
            <v>NA</v>
          </cell>
          <cell r="DO118" t="str">
            <v>NA</v>
          </cell>
        </row>
        <row r="119">
          <cell r="A119" t="str">
            <v>% growth in revenue seq</v>
          </cell>
          <cell r="B119"/>
          <cell r="C119"/>
          <cell r="D119"/>
          <cell r="E119"/>
          <cell r="F119"/>
          <cell r="G119"/>
          <cell r="H119"/>
          <cell r="I119"/>
          <cell r="J119"/>
          <cell r="K119"/>
          <cell r="L119"/>
          <cell r="M119"/>
          <cell r="N119"/>
          <cell r="O119"/>
          <cell r="P119"/>
          <cell r="Q119"/>
          <cell r="R119"/>
          <cell r="S119"/>
          <cell r="T119"/>
          <cell r="U119"/>
          <cell r="V119"/>
          <cell r="W119"/>
          <cell r="X119"/>
          <cell r="Y119"/>
          <cell r="Z119"/>
          <cell r="AA119"/>
          <cell r="AB119"/>
          <cell r="AC119"/>
          <cell r="AD119"/>
          <cell r="AE119"/>
          <cell r="AF119"/>
          <cell r="AG119"/>
          <cell r="AH119"/>
          <cell r="AI119"/>
          <cell r="AJ119"/>
          <cell r="AK119"/>
          <cell r="AL119"/>
          <cell r="AM119"/>
          <cell r="AN119"/>
          <cell r="AO119"/>
          <cell r="AP119"/>
          <cell r="AQ119"/>
          <cell r="AR119"/>
          <cell r="AS119"/>
          <cell r="AT119"/>
          <cell r="AU119"/>
          <cell r="AV119"/>
          <cell r="AW119"/>
          <cell r="AX119"/>
          <cell r="AY119"/>
          <cell r="AZ119"/>
          <cell r="BA119"/>
          <cell r="BB119"/>
          <cell r="BC119"/>
          <cell r="BD119"/>
          <cell r="BE119"/>
          <cell r="BF119"/>
          <cell r="BG119"/>
          <cell r="BH119"/>
          <cell r="BI119"/>
          <cell r="BJ119"/>
          <cell r="BK119"/>
          <cell r="BL119"/>
          <cell r="BM119"/>
          <cell r="BN119"/>
          <cell r="BO119"/>
          <cell r="BP119"/>
          <cell r="BQ119"/>
          <cell r="BR119"/>
          <cell r="BS119" t="str">
            <v>NA</v>
          </cell>
          <cell r="BT119">
            <v>6.2576303613171014E-4</v>
          </cell>
          <cell r="BU119">
            <v>-6.028313021694709E-3</v>
          </cell>
          <cell r="BV119">
            <v>4.1765405863603E-4</v>
          </cell>
          <cell r="BW119">
            <v>-0.11558595477460998</v>
          </cell>
          <cell r="BX119">
            <v>6.8850246879504251E-2</v>
          </cell>
          <cell r="BY119">
            <v>-0.14349248249741764</v>
          </cell>
          <cell r="BZ119">
            <v>0.13627684164684584</v>
          </cell>
          <cell r="CA119">
            <v>-0.12749329402399823</v>
          </cell>
          <cell r="CB119">
            <v>7.0371518099017205E-2</v>
          </cell>
          <cell r="CC119">
            <v>1.0191292121261242E-2</v>
          </cell>
          <cell r="CD119">
            <v>0.19999999999999996</v>
          </cell>
          <cell r="CE119">
            <v>-0.18489583333333326</v>
          </cell>
          <cell r="CF119">
            <v>8.3067092651757157E-2</v>
          </cell>
          <cell r="CG119">
            <v>-0.16519174041297935</v>
          </cell>
          <cell r="CH119">
            <v>0.37315367561837465</v>
          </cell>
          <cell r="CI119">
            <v>-0.20663143501389747</v>
          </cell>
          <cell r="CJ119">
            <v>8.3067092651757157E-2</v>
          </cell>
          <cell r="CK119">
            <v>-1.4973870595810346E-2</v>
          </cell>
          <cell r="CL119">
            <v>0.12161196661751505</v>
          </cell>
          <cell r="CM119">
            <v>-0.14339990241654588</v>
          </cell>
          <cell r="CN119">
            <v>8.2802929946232506E-2</v>
          </cell>
          <cell r="CO119">
            <v>-1.5211776394324583E-2</v>
          </cell>
          <cell r="CP119">
            <v>0.12134371644524067</v>
          </cell>
          <cell r="CQ119">
            <v>-0.14360277089404583</v>
          </cell>
          <cell r="CR119">
            <v>8.2548994145623222E-2</v>
          </cell>
          <cell r="CS119">
            <v>-1.5440470206309675E-2</v>
          </cell>
          <cell r="CT119">
            <v>0.12108585501819014</v>
          </cell>
          <cell r="CU119">
            <v>-0.14379778137653898</v>
          </cell>
          <cell r="CV119">
            <v>8.2304896065627409E-2</v>
          </cell>
          <cell r="CW119">
            <v>-1.5660302714524565E-2</v>
          </cell>
          <cell r="CX119">
            <v>0.12083798672135004</v>
          </cell>
          <cell r="CY119">
            <v>-0.1439852332066105</v>
          </cell>
          <cell r="CZ119">
            <v>8.207026082226565E-2</v>
          </cell>
          <cell r="DA119">
            <v>-1.5871611706979039E-2</v>
          </cell>
          <cell r="DB119">
            <v>0.12059973049684625</v>
          </cell>
          <cell r="DC119"/>
          <cell r="DD119" t="str">
            <v>NA</v>
          </cell>
          <cell r="DE119" t="str">
            <v>NA</v>
          </cell>
          <cell r="DF119" t="str">
            <v>NA</v>
          </cell>
          <cell r="DG119" t="str">
            <v>NA</v>
          </cell>
          <cell r="DH119" t="str">
            <v>NA</v>
          </cell>
          <cell r="DI119" t="str">
            <v>NA</v>
          </cell>
          <cell r="DJ119" t="str">
            <v>NA</v>
          </cell>
          <cell r="DK119" t="str">
            <v>NA</v>
          </cell>
          <cell r="DL119" t="str">
            <v>NA</v>
          </cell>
          <cell r="DM119" t="str">
            <v>NA</v>
          </cell>
          <cell r="DN119" t="str">
            <v>NA</v>
          </cell>
          <cell r="DO119" t="str">
            <v>NA</v>
          </cell>
        </row>
        <row r="120">
          <cell r="A120" t="str">
            <v>% of revenue</v>
          </cell>
          <cell r="B120">
            <v>0</v>
          </cell>
          <cell r="C120" t="e">
            <v>#DIV/0!</v>
          </cell>
          <cell r="D120" t="e">
            <v>#DIV/0!</v>
          </cell>
          <cell r="E120" t="e">
            <v>#DIV/0!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5.0055185842391237E-3</v>
          </cell>
          <cell r="AQ120">
            <v>1.0343894715065485E-2</v>
          </cell>
          <cell r="AR120">
            <v>1.0211114798458121E-2</v>
          </cell>
          <cell r="AS120">
            <v>1.0027751803115121E-2</v>
          </cell>
          <cell r="AT120"/>
          <cell r="AU120">
            <v>1.0567444683491484E-2</v>
          </cell>
          <cell r="AV120">
            <v>1.3237345606728646E-2</v>
          </cell>
          <cell r="AW120">
            <v>1.3714274315408363E-2</v>
          </cell>
          <cell r="AX120"/>
          <cell r="AY120">
            <v>7.2416190329059171E-3</v>
          </cell>
          <cell r="AZ120">
            <v>6.7632038923899447E-3</v>
          </cell>
          <cell r="BA120">
            <v>9.3174344020854113E-3</v>
          </cell>
          <cell r="BB120">
            <v>1.0326226271848949E-2</v>
          </cell>
          <cell r="BC120">
            <v>1.4259871905607796E-2</v>
          </cell>
          <cell r="BD120">
            <v>1.5166073213511938E-2</v>
          </cell>
          <cell r="BE120">
            <v>1.5919398317496482E-2</v>
          </cell>
          <cell r="BF120">
            <v>1.4805462359897058E-2</v>
          </cell>
          <cell r="BG120">
            <v>1.6115488680989661E-2</v>
          </cell>
          <cell r="BH120">
            <v>1.5701955429853223E-2</v>
          </cell>
          <cell r="BI120">
            <v>1.4966745761760587E-2</v>
          </cell>
          <cell r="BJ120">
            <v>1.275682571257142E-2</v>
          </cell>
          <cell r="BK120">
            <v>1.3820796285921068E-2</v>
          </cell>
          <cell r="BL120">
            <v>1.204845670222787E-2</v>
          </cell>
          <cell r="BM120">
            <v>1.1645347262852325E-2</v>
          </cell>
          <cell r="BN120">
            <v>1.0219087261035367E-2</v>
          </cell>
          <cell r="BO120">
            <v>1.1986910293958998E-2</v>
          </cell>
          <cell r="BP120">
            <v>1.2372690516403094E-2</v>
          </cell>
          <cell r="BQ120">
            <v>1.0276761081115266E-2</v>
          </cell>
          <cell r="BR120">
            <v>1.0534561465114394E-2</v>
          </cell>
          <cell r="BS120">
            <v>1.2881143845573489E-2</v>
          </cell>
          <cell r="BT120">
            <v>1.2751660163236311E-2</v>
          </cell>
          <cell r="BU120">
            <v>1.4140445362548723E-2</v>
          </cell>
          <cell r="BV120">
            <v>1.2887352820572901E-2</v>
          </cell>
          <cell r="BW120">
            <v>1.5938722443087378E-2</v>
          </cell>
          <cell r="BX120">
            <v>1.5846002964448869E-2</v>
          </cell>
          <cell r="BY120">
            <v>1.5970427792133219E-2</v>
          </cell>
          <cell r="BZ120">
            <v>1.4538841031114207E-2</v>
          </cell>
          <cell r="CA120">
            <v>1.6116448888372468E-2</v>
          </cell>
          <cell r="CB120">
            <v>1.5406208933004626E-2</v>
          </cell>
          <cell r="CC120">
            <v>1.5457538806672215E-2</v>
          </cell>
          <cell r="CD120">
            <v>1.3730030069794317E-2</v>
          </cell>
          <cell r="CE120">
            <v>1.5643197429209579E-2</v>
          </cell>
          <cell r="CF120">
            <v>1.4619457953811405E-2</v>
          </cell>
          <cell r="CG120">
            <v>1.4643234149795483E-2</v>
          </cell>
          <cell r="CH120">
            <v>1.3100377986855875E-2</v>
          </cell>
          <cell r="CI120">
            <v>1.4535262613385712E-2</v>
          </cell>
          <cell r="CJ120">
            <v>1.3672886648655715E-2</v>
          </cell>
          <cell r="CK120">
            <v>1.3738664786152469E-2</v>
          </cell>
          <cell r="CL120">
            <v>1.2412755731046225E-2</v>
          </cell>
          <cell r="CM120">
            <v>1.3332117027878589E-2</v>
          </cell>
          <cell r="CN120">
            <v>1.2639204798008345E-2</v>
          </cell>
          <cell r="CO120">
            <v>1.273527369856212E-2</v>
          </cell>
          <cell r="CP120">
            <v>1.1598613585515156E-2</v>
          </cell>
          <cell r="CQ120">
            <v>1.2137622698576231E-2</v>
          </cell>
          <cell r="CR120">
            <v>1.1619193320123854E-2</v>
          </cell>
          <cell r="CS120">
            <v>1.168949630954272E-2</v>
          </cell>
          <cell r="CT120">
            <v>1.0687730146909272E-2</v>
          </cell>
          <cell r="CU120">
            <v>1.1040061286249785E-2</v>
          </cell>
          <cell r="CV120">
            <v>1.0615788863912793E-2</v>
          </cell>
          <cell r="CW120">
            <v>1.0729176537894824E-2</v>
          </cell>
          <cell r="CX120">
            <v>9.8138823735794585E-3</v>
          </cell>
          <cell r="CY120">
            <v>1.0124866795742286E-2</v>
          </cell>
          <cell r="CZ120">
            <v>9.7822452877263481E-3</v>
          </cell>
          <cell r="DA120">
            <v>9.9285385820259611E-3</v>
          </cell>
          <cell r="DB120">
            <v>9.0839789560100102E-3</v>
          </cell>
          <cell r="DC120"/>
          <cell r="DD120"/>
          <cell r="DE120"/>
          <cell r="DF120"/>
          <cell r="DG120"/>
          <cell r="DH120"/>
          <cell r="DI120"/>
          <cell r="DJ120"/>
          <cell r="DK120"/>
          <cell r="DL120"/>
          <cell r="DM120"/>
          <cell r="DN120"/>
          <cell r="DO120"/>
        </row>
        <row r="121">
          <cell r="A121" t="str">
            <v>% of delivery networking revenue</v>
          </cell>
          <cell r="B121">
            <v>0</v>
          </cell>
          <cell r="C121" t="e">
            <v>#DIV/0!</v>
          </cell>
          <cell r="D121" t="e">
            <v>#DIV/0!</v>
          </cell>
          <cell r="E121" t="e">
            <v>#DIV/0!</v>
          </cell>
          <cell r="F121" t="e">
            <v>#DIV/0!</v>
          </cell>
          <cell r="G121" t="e">
            <v>#DIV/0!</v>
          </cell>
          <cell r="H121" t="e">
            <v>#DIV/0!</v>
          </cell>
          <cell r="I121" t="e">
            <v>#DIV/0!</v>
          </cell>
          <cell r="J121" t="e">
            <v>#DIV/0!</v>
          </cell>
          <cell r="K121" t="e">
            <v>#DIV/0!</v>
          </cell>
          <cell r="L121" t="e">
            <v>#DIV/0!</v>
          </cell>
          <cell r="M121" t="e">
            <v>#DIV/0!</v>
          </cell>
          <cell r="N121" t="e">
            <v>#DIV/0!</v>
          </cell>
          <cell r="O121" t="e">
            <v>#DIV/0!</v>
          </cell>
          <cell r="P121" t="e">
            <v>#DIV/0!</v>
          </cell>
          <cell r="Q121" t="e">
            <v>#DIV/0!</v>
          </cell>
          <cell r="R121" t="e">
            <v>#DIV/0!</v>
          </cell>
          <cell r="S121" t="e">
            <v>#DIV/0!</v>
          </cell>
          <cell r="T121" t="e">
            <v>#DIV/0!</v>
          </cell>
          <cell r="U121" t="e">
            <v>#DIV/0!</v>
          </cell>
          <cell r="V121" t="e">
            <v>#DIV/0!</v>
          </cell>
          <cell r="W121" t="e">
            <v>#DIV/0!</v>
          </cell>
          <cell r="X121" t="e">
            <v>#DIV/0!</v>
          </cell>
          <cell r="Y121" t="e">
            <v>#DIV/0!</v>
          </cell>
          <cell r="Z121" t="e">
            <v>#DIV/0!</v>
          </cell>
          <cell r="AA121" t="e">
            <v>#DIV/0!</v>
          </cell>
          <cell r="AB121" t="e">
            <v>#DIV/0!</v>
          </cell>
          <cell r="AC121" t="e">
            <v>#DIV/0!</v>
          </cell>
          <cell r="AD121" t="e">
            <v>#DIV/0!</v>
          </cell>
          <cell r="AE121">
            <v>0</v>
          </cell>
          <cell r="AF121">
            <v>0</v>
          </cell>
          <cell r="AG121">
            <v>0</v>
          </cell>
          <cell r="AH121">
            <v>0</v>
          </cell>
          <cell r="AI121">
            <v>0</v>
          </cell>
          <cell r="AJ121">
            <v>0</v>
          </cell>
          <cell r="AK121">
            <v>0</v>
          </cell>
          <cell r="AL121">
            <v>0</v>
          </cell>
          <cell r="AM121">
            <v>0</v>
          </cell>
          <cell r="AN121">
            <v>0</v>
          </cell>
          <cell r="AO121">
            <v>0</v>
          </cell>
          <cell r="AP121">
            <v>4.0363773666516646E-2</v>
          </cell>
          <cell r="AQ121">
            <v>9.6781998548270076E-2</v>
          </cell>
          <cell r="AR121">
            <v>6.9938246713721938E-2</v>
          </cell>
          <cell r="AS121">
            <v>7.7728397116013231E-2</v>
          </cell>
          <cell r="AT121"/>
          <cell r="AU121">
            <v>7.9107505070993914E-2</v>
          </cell>
          <cell r="AV121">
            <v>8.4142394822006472E-2</v>
          </cell>
          <cell r="AW121">
            <v>9.1819699499165283E-2</v>
          </cell>
          <cell r="AX121"/>
          <cell r="AY121">
            <v>5.1542205498189178E-2</v>
          </cell>
          <cell r="AZ121">
            <v>4.3827065644083389E-2</v>
          </cell>
          <cell r="BA121">
            <v>5.2231858406554393E-2</v>
          </cell>
          <cell r="BB121">
            <v>6.4006154699404905E-2</v>
          </cell>
          <cell r="BC121">
            <v>9.0124887343890819E-2</v>
          </cell>
          <cell r="BD121">
            <v>8.5638297882978734E-2</v>
          </cell>
          <cell r="BE121">
            <v>8.0500894454382826E-2</v>
          </cell>
          <cell r="BF121">
            <v>8.8173076923076937E-2</v>
          </cell>
          <cell r="BG121">
            <v>9.4715852442671986E-2</v>
          </cell>
          <cell r="BH121">
            <v>8.5714285714285715E-2</v>
          </cell>
          <cell r="BI121">
            <v>7.5412411626080131E-2</v>
          </cell>
          <cell r="BJ121">
            <v>6.0396673064619315E-2</v>
          </cell>
          <cell r="BK121">
            <v>6.2668463611859834E-2</v>
          </cell>
          <cell r="BL121">
            <v>5.3075995174909532E-2</v>
          </cell>
          <cell r="BM121">
            <v>5.6233062330623314E-2</v>
          </cell>
          <cell r="BN121">
            <v>4.6301524562394128E-2</v>
          </cell>
          <cell r="BO121">
            <v>5.3571428571428568E-2</v>
          </cell>
          <cell r="BP121">
            <v>5.3484513274336287E-2</v>
          </cell>
          <cell r="BQ121">
            <v>4.9681528662420378E-2</v>
          </cell>
          <cell r="BR121">
            <v>4.5718654434250765E-2</v>
          </cell>
          <cell r="BS121">
            <v>6.0122699386503074E-2</v>
          </cell>
          <cell r="BT121">
            <v>5.7957786651454644E-2</v>
          </cell>
          <cell r="BU121">
            <v>6.062203479177649E-2</v>
          </cell>
          <cell r="BV121">
            <v>5.2546191978368635E-2</v>
          </cell>
          <cell r="BW121">
            <v>5.3708439897698211E-2</v>
          </cell>
          <cell r="BX121">
            <v>5.4797331965110309E-2</v>
          </cell>
          <cell r="BY121">
            <v>5.5857740585774057E-2</v>
          </cell>
          <cell r="BZ121">
            <v>5.3081510934393637E-2</v>
          </cell>
          <cell r="CA121">
            <v>5.5216627029262749E-2</v>
          </cell>
          <cell r="CB121">
            <v>5.4249547920433995E-2</v>
          </cell>
          <cell r="CC121">
            <v>5.7562022000765344E-2</v>
          </cell>
          <cell r="CD121">
            <v>4.9767008387698042E-2</v>
          </cell>
          <cell r="CE121">
            <v>5.6201691964517096E-2</v>
          </cell>
          <cell r="CF121">
            <v>5.199891320507901E-2</v>
          </cell>
          <cell r="CG121">
            <v>5.5234994403464278E-2</v>
          </cell>
          <cell r="CH121">
            <v>4.8138520993086777E-2</v>
          </cell>
          <cell r="CI121">
            <v>5.288783655777024E-2</v>
          </cell>
          <cell r="CJ121">
            <v>4.8918818085734846E-2</v>
          </cell>
          <cell r="CK121">
            <v>5.2100538003667027E-2</v>
          </cell>
          <cell r="CL121">
            <v>4.5547154112447419E-2</v>
          </cell>
          <cell r="CM121">
            <v>5.0008790145163649E-2</v>
          </cell>
          <cell r="CN121">
            <v>4.6256075487022749E-2</v>
          </cell>
          <cell r="CO121">
            <v>4.9366211768110048E-2</v>
          </cell>
          <cell r="CP121">
            <v>4.3277741860236342E-2</v>
          </cell>
          <cell r="CQ121">
            <v>4.7496505959043908E-2</v>
          </cell>
          <cell r="CR121">
            <v>4.3942065453978565E-2</v>
          </cell>
          <cell r="CS121">
            <v>4.697200000409979E-2</v>
          </cell>
          <cell r="CT121">
            <v>4.1284191211404565E-2</v>
          </cell>
          <cell r="CU121">
            <v>4.5295398102635963E-2</v>
          </cell>
          <cell r="CV121">
            <v>4.192162397378895E-2</v>
          </cell>
          <cell r="CW121">
            <v>4.4868228019698281E-2</v>
          </cell>
          <cell r="CX121">
            <v>3.9527777462654241E-2</v>
          </cell>
          <cell r="CY121">
            <v>4.3359757918046367E-2</v>
          </cell>
          <cell r="CZ121">
            <v>4.0149993641215742E-2</v>
          </cell>
          <cell r="DA121">
            <v>4.301359548579483E-2</v>
          </cell>
          <cell r="DB121">
            <v>3.7975908320178386E-2</v>
          </cell>
          <cell r="DC121"/>
          <cell r="DD121"/>
          <cell r="DE121"/>
          <cell r="DF121"/>
          <cell r="DG121"/>
          <cell r="DH121"/>
          <cell r="DI121"/>
          <cell r="DJ121"/>
          <cell r="DK121"/>
          <cell r="DL121"/>
          <cell r="DM121"/>
          <cell r="DN121"/>
          <cell r="DO121"/>
        </row>
        <row r="122">
          <cell r="A122" t="str">
            <v>(US$ in millions, unless otherwise stated)</v>
          </cell>
          <cell r="B122"/>
          <cell r="C122" t="str">
            <v>Fiscal 1998 by Quarter</v>
          </cell>
          <cell r="D122"/>
          <cell r="E122"/>
          <cell r="F122"/>
          <cell r="G122" t="str">
            <v>Fiscal 1999 by Quarter</v>
          </cell>
          <cell r="H122"/>
          <cell r="I122"/>
          <cell r="J122"/>
          <cell r="K122" t="str">
            <v>Fiscal 2000 by Quarter</v>
          </cell>
          <cell r="L122"/>
          <cell r="M122"/>
          <cell r="N122"/>
          <cell r="O122" t="str">
            <v>Fiscal 2001 by Quarter</v>
          </cell>
          <cell r="P122"/>
          <cell r="Q122"/>
          <cell r="R122"/>
          <cell r="S122" t="str">
            <v>Fiscal 2002 by Quarter</v>
          </cell>
          <cell r="T122"/>
          <cell r="U122"/>
          <cell r="V122"/>
          <cell r="W122" t="str">
            <v>Fiscal 2003 by Quarter</v>
          </cell>
          <cell r="X122"/>
          <cell r="Y122"/>
          <cell r="Z122"/>
          <cell r="AA122" t="str">
            <v>Fiscal 2004 by Quarter</v>
          </cell>
          <cell r="AB122"/>
          <cell r="AC122"/>
          <cell r="AD122"/>
          <cell r="AE122" t="str">
            <v>Fiscal 2005 by Quarter</v>
          </cell>
          <cell r="AF122"/>
          <cell r="AG122"/>
          <cell r="AH122"/>
          <cell r="AI122" t="str">
            <v>Fiscal 2006 by Quarter</v>
          </cell>
          <cell r="AJ122"/>
          <cell r="AK122"/>
          <cell r="AL122"/>
          <cell r="AM122" t="str">
            <v>Fiscal 2007 by Quarter</v>
          </cell>
          <cell r="AN122"/>
          <cell r="AO122"/>
          <cell r="AP122"/>
          <cell r="AQ122" t="str">
            <v>Fiscal 2008 by Quarter</v>
          </cell>
          <cell r="AR122"/>
          <cell r="AS122"/>
          <cell r="AT122"/>
          <cell r="AU122" t="str">
            <v>Fiscal 2009 by Quarter</v>
          </cell>
          <cell r="AV122"/>
          <cell r="AW122"/>
          <cell r="AX122"/>
          <cell r="AY122" t="str">
            <v>Fiscal 2010 by Quarter</v>
          </cell>
          <cell r="AZ122"/>
          <cell r="BA122"/>
          <cell r="BB122"/>
          <cell r="BC122" t="str">
            <v>Fiscal 2011 by Quarter</v>
          </cell>
          <cell r="BD122"/>
          <cell r="BE122"/>
          <cell r="BF122"/>
          <cell r="BG122" t="str">
            <v>Fiscal 2012 by Quarter</v>
          </cell>
          <cell r="BH122"/>
          <cell r="BI122"/>
          <cell r="BJ122"/>
          <cell r="BK122" t="str">
            <v>Fiscal 2013 by Quarter</v>
          </cell>
          <cell r="BL122"/>
          <cell r="BM122"/>
          <cell r="BN122"/>
          <cell r="BO122" t="str">
            <v>Fiscal 2014 by Quarter</v>
          </cell>
          <cell r="BP122"/>
          <cell r="BQ122"/>
          <cell r="BR122"/>
          <cell r="BS122" t="str">
            <v>Fiscal 2015 by Quarter</v>
          </cell>
          <cell r="BT122"/>
          <cell r="BU122"/>
          <cell r="BV122"/>
          <cell r="BW122" t="str">
            <v>Fiscal 2016 by Quarter</v>
          </cell>
          <cell r="BX122"/>
          <cell r="BY122"/>
          <cell r="BZ122"/>
          <cell r="CA122" t="str">
            <v>Fiscal 2017 by Quarter</v>
          </cell>
          <cell r="CB122"/>
          <cell r="CC122"/>
          <cell r="CD122"/>
          <cell r="CE122" t="str">
            <v>Fiscal 2018 by Quarter</v>
          </cell>
          <cell r="CF122"/>
          <cell r="CG122"/>
          <cell r="CH122"/>
          <cell r="CI122" t="str">
            <v>Fiscal 2019 by Quarter</v>
          </cell>
          <cell r="CJ122"/>
          <cell r="CK122"/>
          <cell r="CL122"/>
          <cell r="CM122" t="str">
            <v>Fiscal 2020 by Quarter</v>
          </cell>
          <cell r="CN122"/>
          <cell r="CO122"/>
          <cell r="CP122"/>
          <cell r="CQ122" t="str">
            <v>Fiscal 2021 by Quarter</v>
          </cell>
          <cell r="CR122"/>
          <cell r="CS122"/>
          <cell r="CT122"/>
          <cell r="CU122" t="str">
            <v>Fiscal 2022 by Quarter</v>
          </cell>
          <cell r="CV122"/>
          <cell r="CW122"/>
          <cell r="CX122"/>
          <cell r="CY122" t="str">
            <v>Fiscal 2023 by Quarter</v>
          </cell>
          <cell r="CZ122"/>
          <cell r="DA122"/>
          <cell r="DB122"/>
          <cell r="DC122"/>
          <cell r="DD122" t="str">
            <v xml:space="preserve"> Fiscal Year Ends December</v>
          </cell>
          <cell r="DE122"/>
          <cell r="DF122"/>
          <cell r="DG122"/>
          <cell r="DH122"/>
          <cell r="DI122"/>
          <cell r="DJ122"/>
          <cell r="DK122"/>
          <cell r="DL122"/>
          <cell r="DM122"/>
          <cell r="DN122"/>
          <cell r="DO122"/>
        </row>
        <row r="123">
          <cell r="A123"/>
          <cell r="B123"/>
          <cell r="C123">
            <v>35855</v>
          </cell>
          <cell r="D123">
            <v>35947</v>
          </cell>
          <cell r="E123">
            <v>36039</v>
          </cell>
          <cell r="F123">
            <v>36130</v>
          </cell>
          <cell r="G123">
            <v>36220</v>
          </cell>
          <cell r="H123">
            <v>36312</v>
          </cell>
          <cell r="I123">
            <v>36404</v>
          </cell>
          <cell r="J123">
            <v>36495</v>
          </cell>
          <cell r="K123">
            <v>36586</v>
          </cell>
          <cell r="L123">
            <v>36678</v>
          </cell>
          <cell r="M123">
            <v>36770</v>
          </cell>
          <cell r="N123">
            <v>36861</v>
          </cell>
          <cell r="O123">
            <v>36951</v>
          </cell>
          <cell r="P123">
            <v>37043</v>
          </cell>
          <cell r="Q123">
            <v>37135</v>
          </cell>
          <cell r="R123">
            <v>37226</v>
          </cell>
          <cell r="S123">
            <v>37317</v>
          </cell>
          <cell r="T123">
            <v>37409</v>
          </cell>
          <cell r="U123">
            <v>37501</v>
          </cell>
          <cell r="V123">
            <v>37592</v>
          </cell>
          <cell r="W123">
            <v>37683</v>
          </cell>
          <cell r="X123">
            <v>37775</v>
          </cell>
          <cell r="Y123">
            <v>37867</v>
          </cell>
          <cell r="Z123">
            <v>37958</v>
          </cell>
          <cell r="AA123">
            <v>38050</v>
          </cell>
          <cell r="AB123">
            <v>38142</v>
          </cell>
          <cell r="AC123">
            <v>38234</v>
          </cell>
          <cell r="AD123">
            <v>38325</v>
          </cell>
          <cell r="AE123">
            <v>38416</v>
          </cell>
          <cell r="AF123">
            <v>38508</v>
          </cell>
          <cell r="AG123">
            <v>38600</v>
          </cell>
          <cell r="AH123">
            <v>38691</v>
          </cell>
          <cell r="AI123">
            <v>38782</v>
          </cell>
          <cell r="AJ123">
            <v>38874</v>
          </cell>
          <cell r="AK123">
            <v>38966</v>
          </cell>
          <cell r="AL123">
            <v>39057</v>
          </cell>
          <cell r="AM123">
            <v>39148</v>
          </cell>
          <cell r="AN123">
            <v>39240</v>
          </cell>
          <cell r="AO123">
            <v>39332</v>
          </cell>
          <cell r="AP123">
            <v>39423</v>
          </cell>
          <cell r="AQ123">
            <v>39515</v>
          </cell>
          <cell r="AR123">
            <v>39607</v>
          </cell>
          <cell r="AS123">
            <v>39699</v>
          </cell>
          <cell r="AT123">
            <v>39790</v>
          </cell>
          <cell r="AU123">
            <v>39880</v>
          </cell>
          <cell r="AV123">
            <v>39972</v>
          </cell>
          <cell r="AW123">
            <v>40065</v>
          </cell>
          <cell r="AX123">
            <v>40155</v>
          </cell>
          <cell r="AY123">
            <v>40247</v>
          </cell>
          <cell r="AZ123">
            <v>40339</v>
          </cell>
          <cell r="BA123">
            <v>40431</v>
          </cell>
          <cell r="BB123">
            <v>40522</v>
          </cell>
          <cell r="BC123">
            <v>40613</v>
          </cell>
          <cell r="BD123">
            <v>40705</v>
          </cell>
          <cell r="BE123">
            <v>40797</v>
          </cell>
          <cell r="BF123">
            <v>40888</v>
          </cell>
          <cell r="BG123">
            <v>40979</v>
          </cell>
          <cell r="BH123">
            <v>41071</v>
          </cell>
          <cell r="BI123">
            <v>41163</v>
          </cell>
          <cell r="BJ123">
            <v>41254</v>
          </cell>
          <cell r="BK123">
            <v>41344</v>
          </cell>
          <cell r="BL123">
            <v>41436</v>
          </cell>
          <cell r="BM123">
            <v>41530</v>
          </cell>
          <cell r="BN123">
            <v>41621</v>
          </cell>
          <cell r="BO123">
            <v>41712</v>
          </cell>
          <cell r="BP123">
            <v>41804</v>
          </cell>
          <cell r="BQ123">
            <v>41896</v>
          </cell>
          <cell r="BR123">
            <v>41987</v>
          </cell>
          <cell r="BS123">
            <v>42078</v>
          </cell>
          <cell r="BT123">
            <v>42170</v>
          </cell>
          <cell r="BU123">
            <v>42262</v>
          </cell>
          <cell r="BV123">
            <v>42353</v>
          </cell>
          <cell r="BW123">
            <v>42445</v>
          </cell>
          <cell r="BX123">
            <v>42537</v>
          </cell>
          <cell r="BY123">
            <v>42629</v>
          </cell>
          <cell r="BZ123">
            <v>42720</v>
          </cell>
          <cell r="CA123">
            <v>42811</v>
          </cell>
          <cell r="CB123">
            <v>42903</v>
          </cell>
          <cell r="CC123">
            <v>42995</v>
          </cell>
          <cell r="CD123">
            <v>43086</v>
          </cell>
          <cell r="CE123">
            <v>43177</v>
          </cell>
          <cell r="CF123">
            <v>43269</v>
          </cell>
          <cell r="CG123">
            <v>43361</v>
          </cell>
          <cell r="CH123">
            <v>43451</v>
          </cell>
          <cell r="CI123" t="str">
            <v>Mar-19E</v>
          </cell>
          <cell r="CJ123" t="str">
            <v>Jun-19E</v>
          </cell>
          <cell r="CK123" t="str">
            <v>Sep-19E</v>
          </cell>
          <cell r="CL123" t="str">
            <v>Dec-19E</v>
          </cell>
          <cell r="CM123" t="str">
            <v>Mar-20E</v>
          </cell>
          <cell r="CN123" t="str">
            <v>Jun-20E</v>
          </cell>
          <cell r="CO123" t="str">
            <v>Sep-20E</v>
          </cell>
          <cell r="CP123" t="str">
            <v>Dec-20E</v>
          </cell>
          <cell r="CQ123" t="str">
            <v>Mar-21E</v>
          </cell>
          <cell r="CR123" t="str">
            <v>Jun-21E</v>
          </cell>
          <cell r="CS123" t="str">
            <v>Sep-21E</v>
          </cell>
          <cell r="CT123" t="str">
            <v>Dec-21E</v>
          </cell>
          <cell r="CU123" t="str">
            <v>Mar-22E</v>
          </cell>
          <cell r="CV123" t="str">
            <v>Jun-22E</v>
          </cell>
          <cell r="CW123" t="str">
            <v>Sep-22E</v>
          </cell>
          <cell r="CX123" t="str">
            <v>Dec-22E</v>
          </cell>
          <cell r="CY123" t="str">
            <v>Mar-23E</v>
          </cell>
          <cell r="CZ123" t="str">
            <v>Jun-23E</v>
          </cell>
          <cell r="DA123" t="str">
            <v>Sep-23E</v>
          </cell>
          <cell r="DB123" t="str">
            <v>Dec-23E</v>
          </cell>
          <cell r="DC123"/>
          <cell r="DD123">
            <v>1998</v>
          </cell>
          <cell r="DE123">
            <v>1999</v>
          </cell>
          <cell r="DF123">
            <v>2000</v>
          </cell>
          <cell r="DG123">
            <v>2001</v>
          </cell>
          <cell r="DH123">
            <v>2002</v>
          </cell>
          <cell r="DI123">
            <v>2003</v>
          </cell>
          <cell r="DJ123">
            <v>2004</v>
          </cell>
          <cell r="DK123">
            <v>2005</v>
          </cell>
          <cell r="DL123">
            <v>2006</v>
          </cell>
          <cell r="DM123">
            <v>2007</v>
          </cell>
          <cell r="DN123">
            <v>2008</v>
          </cell>
          <cell r="DO123">
            <v>2009</v>
          </cell>
        </row>
        <row r="124">
          <cell r="A124" t="str">
            <v>Total revenue</v>
          </cell>
          <cell r="B124"/>
          <cell r="C124">
            <v>0</v>
          </cell>
          <cell r="D124">
            <v>0</v>
          </cell>
          <cell r="E124">
            <v>0</v>
          </cell>
          <cell r="F124">
            <v>248.636</v>
          </cell>
          <cell r="G124">
            <v>85.039000000000001</v>
          </cell>
          <cell r="H124">
            <v>94.415000000000006</v>
          </cell>
          <cell r="I124">
            <v>105.78</v>
          </cell>
          <cell r="J124">
            <v>118.051</v>
          </cell>
          <cell r="K124">
            <v>127.515</v>
          </cell>
          <cell r="L124">
            <v>106.086</v>
          </cell>
          <cell r="M124">
            <v>113.491</v>
          </cell>
          <cell r="N124">
            <v>123.354</v>
          </cell>
          <cell r="O124">
            <v>132.81200000000001</v>
          </cell>
          <cell r="P124">
            <v>147.274</v>
          </cell>
          <cell r="Q124">
            <v>153.495</v>
          </cell>
          <cell r="R124">
            <v>158.04900000000001</v>
          </cell>
          <cell r="S124">
            <v>142.31</v>
          </cell>
          <cell r="T124">
            <v>117.456</v>
          </cell>
          <cell r="U124">
            <v>118.898</v>
          </cell>
          <cell r="V124">
            <v>148.78399999999999</v>
          </cell>
          <cell r="W124">
            <v>143.49100000000001</v>
          </cell>
          <cell r="X124">
            <v>142.98899999999998</v>
          </cell>
          <cell r="Y124">
            <v>144.36599999999999</v>
          </cell>
          <cell r="Z124">
            <v>157.9</v>
          </cell>
          <cell r="AA124">
            <v>161.31</v>
          </cell>
          <cell r="AB124">
            <v>178.30199999999999</v>
          </cell>
          <cell r="AC124">
            <v>187.57799999999997</v>
          </cell>
          <cell r="AD124">
            <v>213.96700000000001</v>
          </cell>
          <cell r="AE124">
            <v>201.89</v>
          </cell>
          <cell r="AF124">
            <v>211.22899999999998</v>
          </cell>
          <cell r="AG124">
            <v>226.947</v>
          </cell>
          <cell r="AH124">
            <v>268.65600000000001</v>
          </cell>
          <cell r="AI124">
            <v>259.99799999999999</v>
          </cell>
          <cell r="AJ124">
            <v>275.46800000000002</v>
          </cell>
          <cell r="AK124">
            <v>277.851</v>
          </cell>
          <cell r="AL124">
            <v>321.00200000000001</v>
          </cell>
          <cell r="AM124">
            <v>308.08800000000002</v>
          </cell>
          <cell r="AN124">
            <v>334.36399999999998</v>
          </cell>
          <cell r="AO124">
            <v>349.93099999999998</v>
          </cell>
          <cell r="AP124">
            <v>399.55900000000003</v>
          </cell>
          <cell r="AQ124">
            <v>377.03399999999999</v>
          </cell>
          <cell r="AR124">
            <v>391.73</v>
          </cell>
          <cell r="AS124">
            <v>398.89299999999997</v>
          </cell>
          <cell r="AT124">
            <v>415.697</v>
          </cell>
          <cell r="AU124">
            <v>369.05799999999999</v>
          </cell>
          <cell r="AV124">
            <v>392.82799999999997</v>
          </cell>
          <cell r="AW124">
            <v>401.04199999999997</v>
          </cell>
          <cell r="AX124">
            <v>451.16</v>
          </cell>
          <cell r="AY124">
            <v>414.27199999999999</v>
          </cell>
          <cell r="AZ124">
            <v>458.43299999999999</v>
          </cell>
          <cell r="BA124">
            <v>472.233</v>
          </cell>
          <cell r="BB124">
            <v>529.72432300000003</v>
          </cell>
          <cell r="BC124">
            <v>490.88800000000003</v>
          </cell>
          <cell r="BD124">
            <v>530.79</v>
          </cell>
          <cell r="BE124">
            <v>565.34799999999996</v>
          </cell>
          <cell r="BF124">
            <v>619.36599999999999</v>
          </cell>
          <cell r="BG124">
            <v>589.495</v>
          </cell>
          <cell r="BH124">
            <v>615.20999999999992</v>
          </cell>
          <cell r="BI124">
            <v>641.42200000000003</v>
          </cell>
          <cell r="BJ124">
            <v>739.99599999999998</v>
          </cell>
          <cell r="BK124">
            <v>672.899</v>
          </cell>
          <cell r="BL124">
            <v>730.38400000000001</v>
          </cell>
          <cell r="BM124">
            <v>712.73099999999999</v>
          </cell>
          <cell r="BN124">
            <v>802.42</v>
          </cell>
          <cell r="BO124">
            <v>750.81899999999996</v>
          </cell>
          <cell r="BP124">
            <v>781.56</v>
          </cell>
          <cell r="BQ124">
            <v>758.99399999999991</v>
          </cell>
          <cell r="BR124">
            <v>851.48299999999995</v>
          </cell>
          <cell r="BS124">
            <v>760.80199999999991</v>
          </cell>
          <cell r="BT124">
            <v>796.75900000000001</v>
          </cell>
          <cell r="BU124">
            <v>813.27</v>
          </cell>
          <cell r="BV124">
            <v>904.76300000000003</v>
          </cell>
          <cell r="BW124">
            <v>658.77299999999991</v>
          </cell>
          <cell r="BX124">
            <v>673.98699999999997</v>
          </cell>
          <cell r="BY124">
            <v>668.73599999999999</v>
          </cell>
          <cell r="BZ124">
            <v>734.58400000000006</v>
          </cell>
          <cell r="CA124">
            <v>662.67699999999991</v>
          </cell>
          <cell r="CB124">
            <v>693.22700000000009</v>
          </cell>
          <cell r="CC124">
            <v>690.92499999999995</v>
          </cell>
          <cell r="CD124">
            <v>777.85700000000008</v>
          </cell>
          <cell r="CE124">
            <v>697.19200000000001</v>
          </cell>
          <cell r="CF124">
            <v>742.36500000000001</v>
          </cell>
          <cell r="CG124">
            <v>732.476</v>
          </cell>
          <cell r="CH124">
            <v>801.87</v>
          </cell>
          <cell r="CI124">
            <v>710.22308750979482</v>
          </cell>
          <cell r="CJ124">
            <v>771.98683059933012</v>
          </cell>
          <cell r="CK124">
            <v>762.8312545940895</v>
          </cell>
          <cell r="CL124">
            <v>855.92196681317864</v>
          </cell>
          <cell r="CM124">
            <v>764.90215235832568</v>
          </cell>
          <cell r="CN124">
            <v>827.01230981535025</v>
          </cell>
          <cell r="CO124">
            <v>818.99159361235093</v>
          </cell>
          <cell r="CP124">
            <v>899.51389604789256</v>
          </cell>
          <cell r="CQ124">
            <v>823.61107291098563</v>
          </cell>
          <cell r="CR124">
            <v>884.31403806901722</v>
          </cell>
          <cell r="CS124">
            <v>876.72924789280751</v>
          </cell>
          <cell r="CT124">
            <v>943.36472067882346</v>
          </cell>
          <cell r="CU124">
            <v>893.76092802290873</v>
          </cell>
          <cell r="CV124">
            <v>955.421064101311</v>
          </cell>
          <cell r="CW124">
            <v>947.44634030305133</v>
          </cell>
          <cell r="CX124">
            <v>1011.4388128078598</v>
          </cell>
          <cell r="CY124">
            <v>971.1607552733069</v>
          </cell>
          <cell r="CZ124">
            <v>1032.8567171681684</v>
          </cell>
          <cell r="DA124">
            <v>1022.9622251320616</v>
          </cell>
          <cell r="DB124">
            <v>1088.0918223402787</v>
          </cell>
          <cell r="DC124"/>
          <cell r="DD124">
            <v>248.636</v>
          </cell>
          <cell r="DE124">
            <v>403.28500000000003</v>
          </cell>
          <cell r="DF124">
            <v>470.44599999999997</v>
          </cell>
          <cell r="DG124">
            <v>591.63</v>
          </cell>
          <cell r="DH124">
            <v>527.44799999999998</v>
          </cell>
          <cell r="DI124">
            <v>588.74599999999998</v>
          </cell>
          <cell r="DJ124">
            <v>741.15699999999993</v>
          </cell>
          <cell r="DK124">
            <v>908.72199999999998</v>
          </cell>
          <cell r="DL124">
            <v>1134.319</v>
          </cell>
          <cell r="DM124">
            <v>1391.942</v>
          </cell>
          <cell r="DN124">
            <v>1583.3539999999998</v>
          </cell>
          <cell r="DO124">
            <v>1614.088</v>
          </cell>
        </row>
        <row r="125">
          <cell r="A125" t="str">
            <v>% growth in revenue y-o-y</v>
          </cell>
          <cell r="B125"/>
          <cell r="C125" t="str">
            <v>NA</v>
          </cell>
          <cell r="D125" t="str">
            <v>NA</v>
          </cell>
          <cell r="E125" t="str">
            <v>NA</v>
          </cell>
          <cell r="F125" t="str">
            <v>NA</v>
          </cell>
          <cell r="G125" t="str">
            <v>NA</v>
          </cell>
          <cell r="H125" t="str">
            <v>NA</v>
          </cell>
          <cell r="I125" t="str">
            <v>NA</v>
          </cell>
          <cell r="J125">
            <v>-0.52520552132434561</v>
          </cell>
          <cell r="K125">
            <v>0.49948846999611951</v>
          </cell>
          <cell r="L125">
            <v>0.12361383254779423</v>
          </cell>
          <cell r="M125">
            <v>7.2896577802987306E-2</v>
          </cell>
          <cell r="N125">
            <v>4.4921262844024978E-2</v>
          </cell>
          <cell r="O125">
            <v>4.1540210955574031E-2</v>
          </cell>
          <cell r="P125">
            <v>0.38825104160775226</v>
          </cell>
          <cell r="Q125">
            <v>0.35248610021940063</v>
          </cell>
          <cell r="R125">
            <v>0.28126368014008474</v>
          </cell>
          <cell r="S125">
            <v>7.1514622172695219E-2</v>
          </cell>
          <cell r="T125">
            <v>-0.20246615152708558</v>
          </cell>
          <cell r="U125">
            <v>-0.2253949640053422</v>
          </cell>
          <cell r="V125">
            <v>-5.8621060557169091E-2</v>
          </cell>
          <cell r="W125">
            <v>8.2987843440376352E-3</v>
          </cell>
          <cell r="X125">
            <v>0.21738353085410678</v>
          </cell>
          <cell r="Y125">
            <v>0.21420040707160748</v>
          </cell>
          <cell r="Z125">
            <v>6.1270029035380258E-2</v>
          </cell>
          <cell r="AA125">
            <v>0.12418200444627181</v>
          </cell>
          <cell r="AB125">
            <v>0.24696305310198707</v>
          </cell>
          <cell r="AC125">
            <v>0.29932255517227047</v>
          </cell>
          <cell r="AD125">
            <v>0.35507916402786588</v>
          </cell>
          <cell r="AE125">
            <v>0.25156530903229801</v>
          </cell>
          <cell r="AF125">
            <v>0.1846698298392615</v>
          </cell>
          <cell r="AG125">
            <v>0.2098806896331129</v>
          </cell>
          <cell r="AH125">
            <v>0.25559548902400842</v>
          </cell>
          <cell r="AI125">
            <v>0.28782010005448511</v>
          </cell>
          <cell r="AJ125">
            <v>0.30412017289292681</v>
          </cell>
          <cell r="AK125">
            <v>0.22429906542056077</v>
          </cell>
          <cell r="AL125">
            <v>0.19484396402834858</v>
          </cell>
          <cell r="AM125">
            <v>0.18496296125354816</v>
          </cell>
          <cell r="AN125">
            <v>0.21380341818287407</v>
          </cell>
          <cell r="AO125">
            <v>0.25941961698896154</v>
          </cell>
          <cell r="AP125">
            <v>0.2447243319356267</v>
          </cell>
          <cell r="AQ125">
            <v>0.22378671029056618</v>
          </cell>
          <cell r="AR125">
            <v>0.17156751324903419</v>
          </cell>
          <cell r="AS125">
            <v>0.13991901260534223</v>
          </cell>
          <cell r="AT125">
            <v>4.0389529456225537E-2</v>
          </cell>
          <cell r="AU125">
            <v>-2.1154590832657028E-2</v>
          </cell>
          <cell r="AV125">
            <v>2.8029510121765355E-3</v>
          </cell>
          <cell r="AW125">
            <v>5.3874096562236407E-3</v>
          </cell>
          <cell r="AX125">
            <v>8.5309732810195937E-2</v>
          </cell>
          <cell r="AY125">
            <v>0.1225119086972779</v>
          </cell>
          <cell r="AZ125">
            <v>0.16700693433258329</v>
          </cell>
          <cell r="BA125">
            <v>0.177515073234225</v>
          </cell>
          <cell r="BB125">
            <v>0.17413849410408733</v>
          </cell>
          <cell r="BC125">
            <v>0.18494129460837327</v>
          </cell>
          <cell r="BD125">
            <v>0.15783549613574932</v>
          </cell>
          <cell r="BE125">
            <v>0.19718020553413251</v>
          </cell>
          <cell r="BF125">
            <v>0.16922326030326529</v>
          </cell>
          <cell r="BG125">
            <v>0.20087474128518101</v>
          </cell>
          <cell r="BH125">
            <v>0.15904595037585478</v>
          </cell>
          <cell r="BI125">
            <v>0.13456136751169212</v>
          </cell>
          <cell r="BJ125">
            <v>0.19476367769622493</v>
          </cell>
          <cell r="BK125">
            <v>0.14148381241571184</v>
          </cell>
          <cell r="BL125">
            <v>0.18721087108467049</v>
          </cell>
          <cell r="BM125">
            <v>0.11117329932556097</v>
          </cell>
          <cell r="BN125">
            <v>8.4357212741690502E-2</v>
          </cell>
          <cell r="BO125">
            <v>0.1157974673762332</v>
          </cell>
          <cell r="BP125">
            <v>7.0067252294683247E-2</v>
          </cell>
          <cell r="BQ125">
            <v>6.4909481978474126E-2</v>
          </cell>
          <cell r="BR125">
            <v>6.1143790035143697E-2</v>
          </cell>
          <cell r="BS125">
            <v>1.3296147273843539E-2</v>
          </cell>
          <cell r="BT125">
            <v>1.9447003429039489E-2</v>
          </cell>
          <cell r="BU125">
            <v>7.1510446722899079E-2</v>
          </cell>
          <cell r="BV125">
            <v>6.2573181143957157E-2</v>
          </cell>
          <cell r="BW125">
            <v>-0.13410716585918547</v>
          </cell>
          <cell r="BX125">
            <v>-0.15408925409063479</v>
          </cell>
          <cell r="BY125">
            <v>-0.17771957652440151</v>
          </cell>
          <cell r="BZ125">
            <v>-0.18809235125662738</v>
          </cell>
          <cell r="CA125">
            <v>5.9261688016964964E-3</v>
          </cell>
          <cell r="CB125">
            <v>2.8546544666292029E-2</v>
          </cell>
          <cell r="CC125">
            <v>3.3180507704086537E-2</v>
          </cell>
          <cell r="CD125">
            <v>5.8908171155374944E-2</v>
          </cell>
          <cell r="CE125">
            <v>5.2084197882226402E-2</v>
          </cell>
          <cell r="CF125">
            <v>7.0882986381084256E-2</v>
          </cell>
          <cell r="CG125">
            <v>6.0138220501501749E-2</v>
          </cell>
          <cell r="CH125">
            <v>3.0870712740259432E-2</v>
          </cell>
          <cell r="CI125">
            <v>1.8690816173729585E-2</v>
          </cell>
          <cell r="CJ125">
            <v>3.9901976250672044E-2</v>
          </cell>
          <cell r="CK125">
            <v>4.1441978432180004E-2</v>
          </cell>
          <cell r="CL125">
            <v>6.7407393733621035E-2</v>
          </cell>
          <cell r="CM125">
            <v>7.6988576983956225E-2</v>
          </cell>
          <cell r="CN125">
            <v>7.127774339531312E-2</v>
          </cell>
          <cell r="CO125">
            <v>7.3620920328107076E-2</v>
          </cell>
          <cell r="CP125">
            <v>5.0929793748626384E-2</v>
          </cell>
          <cell r="CQ125">
            <v>7.6753504185666399E-2</v>
          </cell>
          <cell r="CR125">
            <v>6.9287636439729461E-2</v>
          </cell>
          <cell r="CS125">
            <v>7.0498469985255108E-2</v>
          </cell>
          <cell r="CT125">
            <v>4.8749468822654185E-2</v>
          </cell>
          <cell r="CU125">
            <v>8.5173521118389273E-2</v>
          </cell>
          <cell r="CV125">
            <v>8.04092471352853E-2</v>
          </cell>
          <cell r="CW125">
            <v>8.0660126920836905E-2</v>
          </cell>
          <cell r="CX125">
            <v>7.2160947549588128E-2</v>
          </cell>
          <cell r="CY125">
            <v>8.6600146441414116E-2</v>
          </cell>
          <cell r="CZ125">
            <v>8.1048718702570133E-2</v>
          </cell>
          <cell r="DA125">
            <v>7.9704656207607139E-2</v>
          </cell>
          <cell r="DB125">
            <v>7.5786106447331303E-2</v>
          </cell>
          <cell r="DC125"/>
          <cell r="DD125" t="str">
            <v>NA</v>
          </cell>
          <cell r="DE125">
            <v>0.62198957512186492</v>
          </cell>
          <cell r="DF125">
            <v>0.16653483268656144</v>
          </cell>
          <cell r="DG125">
            <v>0.25759385774350307</v>
          </cell>
          <cell r="DH125">
            <v>-0.10848334262968418</v>
          </cell>
          <cell r="DI125">
            <v>0.1162161957197676</v>
          </cell>
          <cell r="DJ125">
            <v>0.25887394564039501</v>
          </cell>
          <cell r="DK125">
            <v>0.2260857011402444</v>
          </cell>
          <cell r="DL125">
            <v>0.24825744287031681</v>
          </cell>
          <cell r="DM125">
            <v>0.22711688687221154</v>
          </cell>
          <cell r="DN125">
            <v>0.13751435045425731</v>
          </cell>
          <cell r="DO125">
            <v>1.9410694007783613E-2</v>
          </cell>
        </row>
        <row r="126">
          <cell r="A126" t="str">
            <v>% growth in revenue seq</v>
          </cell>
          <cell r="B126"/>
          <cell r="C126" t="str">
            <v>NA</v>
          </cell>
          <cell r="D126" t="str">
            <v>NA</v>
          </cell>
          <cell r="E126" t="str">
            <v>NA</v>
          </cell>
          <cell r="F126" t="str">
            <v>NA</v>
          </cell>
          <cell r="G126">
            <v>-0.65797792757283746</v>
          </cell>
          <cell r="H126">
            <v>0.11025529462952299</v>
          </cell>
          <cell r="I126">
            <v>0.1203728221151299</v>
          </cell>
          <cell r="J126">
            <v>0.11600491586311223</v>
          </cell>
          <cell r="K126">
            <v>8.0168740629050106E-2</v>
          </cell>
          <cell r="L126">
            <v>-0.16805081755087636</v>
          </cell>
          <cell r="M126">
            <v>6.9801858869219302E-2</v>
          </cell>
          <cell r="N126">
            <v>8.6905569604638355E-2</v>
          </cell>
          <cell r="O126">
            <v>7.6673638471391303E-2</v>
          </cell>
          <cell r="P126">
            <v>0.10889076288287192</v>
          </cell>
          <cell r="Q126">
            <v>4.2240992979073022E-2</v>
          </cell>
          <cell r="R126">
            <v>2.9668718850776932E-2</v>
          </cell>
          <cell r="S126">
            <v>-9.9583040702566961E-2</v>
          </cell>
          <cell r="T126">
            <v>-0.17464689761787644</v>
          </cell>
          <cell r="U126">
            <v>1.2276937746900973E-2</v>
          </cell>
          <cell r="V126">
            <v>0.25135830712038887</v>
          </cell>
          <cell r="W126">
            <v>-3.5575061834605681E-2</v>
          </cell>
          <cell r="X126">
            <v>-3.4984772564136124E-3</v>
          </cell>
          <cell r="Y126">
            <v>9.6301114071712934E-3</v>
          </cell>
          <cell r="Z126">
            <v>9.3747835362897325E-2</v>
          </cell>
          <cell r="AA126">
            <v>2.1595946801773236E-2</v>
          </cell>
          <cell r="AB126">
            <v>0.105337548819044</v>
          </cell>
          <cell r="AC126">
            <v>5.2024093952956152E-2</v>
          </cell>
          <cell r="AD126">
            <v>0.14068280928467103</v>
          </cell>
          <cell r="AE126">
            <v>-5.6443283310043224E-2</v>
          </cell>
          <cell r="AF126">
            <v>4.6257863192827875E-2</v>
          </cell>
          <cell r="AG126">
            <v>7.4412130910055163E-2</v>
          </cell>
          <cell r="AH126">
            <v>0.18378299779243612</v>
          </cell>
          <cell r="AI126">
            <v>-3.2227085938895894E-2</v>
          </cell>
          <cell r="AJ126">
            <v>5.9500457695828457E-2</v>
          </cell>
          <cell r="AK126">
            <v>8.6507325714781924E-3</v>
          </cell>
          <cell r="AL126">
            <v>0.15530266221823941</v>
          </cell>
          <cell r="AM126">
            <v>-4.023027893907194E-2</v>
          </cell>
          <cell r="AN126">
            <v>8.5287320505829323E-2</v>
          </cell>
          <cell r="AO126">
            <v>4.6557045614958659E-2</v>
          </cell>
          <cell r="AP126">
            <v>0.14182224495686313</v>
          </cell>
          <cell r="AQ126">
            <v>-5.6374653054993229E-2</v>
          </cell>
          <cell r="AR126">
            <v>3.8977917110923688E-2</v>
          </cell>
          <cell r="AS126">
            <v>1.8285553825338807E-2</v>
          </cell>
          <cell r="AT126">
            <v>4.2126585324886667E-2</v>
          </cell>
          <cell r="AU126">
            <v>-0.1121946995046873</v>
          </cell>
          <cell r="AV126">
            <v>6.4407220545280142E-2</v>
          </cell>
          <cell r="AW126">
            <v>2.0909914771859439E-2</v>
          </cell>
          <cell r="AX126">
            <v>0.12496945457084307</v>
          </cell>
          <cell r="AY126">
            <v>-8.1762567603510972E-2</v>
          </cell>
          <cell r="AZ126">
            <v>0.10659904603738601</v>
          </cell>
          <cell r="BA126">
            <v>3.010254497385656E-2</v>
          </cell>
          <cell r="BB126">
            <v>0.12174355244127377</v>
          </cell>
          <cell r="BC126">
            <v>-7.3314215175277142E-2</v>
          </cell>
          <cell r="BD126">
            <v>8.1285344111080127E-2</v>
          </cell>
          <cell r="BE126">
            <v>6.5106727707756384E-2</v>
          </cell>
          <cell r="BF126">
            <v>9.5548228701613835E-2</v>
          </cell>
          <cell r="BG126">
            <v>-4.8228349634949264E-2</v>
          </cell>
          <cell r="BH126">
            <v>4.3622083308594517E-2</v>
          </cell>
          <cell r="BI126">
            <v>4.2606589619804902E-2</v>
          </cell>
          <cell r="BJ126">
            <v>0.15368041632497786</v>
          </cell>
          <cell r="BK126">
            <v>-9.0672111741144534E-2</v>
          </cell>
          <cell r="BL126">
            <v>8.5428868225394972E-2</v>
          </cell>
          <cell r="BM126">
            <v>-2.4169477973230546E-2</v>
          </cell>
          <cell r="BN126">
            <v>0.12583850007927255</v>
          </cell>
          <cell r="BO126">
            <v>-6.4306722165449526E-2</v>
          </cell>
          <cell r="BP126">
            <v>4.0943289927399373E-2</v>
          </cell>
          <cell r="BQ126">
            <v>-2.8873023184400437E-2</v>
          </cell>
          <cell r="BR126">
            <v>0.12185735328606029</v>
          </cell>
          <cell r="BS126">
            <v>-0.10649772220936893</v>
          </cell>
          <cell r="BT126">
            <v>4.726196829135576E-2</v>
          </cell>
          <cell r="BU126">
            <v>2.0722702849920616E-2</v>
          </cell>
          <cell r="BV126">
            <v>0.11250015370049304</v>
          </cell>
          <cell r="BW126">
            <v>-0.27188335508857031</v>
          </cell>
          <cell r="BX126">
            <v>2.3094449833250597E-2</v>
          </cell>
          <cell r="BY126">
            <v>-7.7909514575206229E-3</v>
          </cell>
          <cell r="BZ126">
            <v>9.8466360417264864E-2</v>
          </cell>
          <cell r="CA126">
            <v>-9.7888056369319409E-2</v>
          </cell>
          <cell r="CB126">
            <v>4.6100890780878423E-2</v>
          </cell>
          <cell r="CC126">
            <v>-3.3207015883688351E-3</v>
          </cell>
          <cell r="CD126">
            <v>0.1258197344140104</v>
          </cell>
          <cell r="CE126">
            <v>-0.10370158011048314</v>
          </cell>
          <cell r="CF126">
            <v>6.4792768706468218E-2</v>
          </cell>
          <cell r="CG126">
            <v>-1.3320940507701717E-2</v>
          </cell>
          <cell r="CH126">
            <v>9.4738940251967385E-2</v>
          </cell>
          <cell r="CI126">
            <v>-0.1142914842682794</v>
          </cell>
          <cell r="CJ126">
            <v>8.6963862729516617E-2</v>
          </cell>
          <cell r="CK126">
            <v>-1.1859756724260095E-2</v>
          </cell>
          <cell r="CL126">
            <v>0.12203316481654092</v>
          </cell>
          <cell r="CM126">
            <v>-0.10634125303939046</v>
          </cell>
          <cell r="CN126">
            <v>8.1200134246619982E-2</v>
          </cell>
          <cell r="CO126">
            <v>-9.698424204580669E-3</v>
          </cell>
          <cell r="CP126">
            <v>9.8318838756793037E-2</v>
          </cell>
          <cell r="CQ126">
            <v>-8.4382046203392624E-2</v>
          </cell>
          <cell r="CR126">
            <v>7.3703434976270854E-2</v>
          </cell>
          <cell r="CS126">
            <v>-8.5770324225223904E-3</v>
          </cell>
          <cell r="CT126">
            <v>7.6004619380695138E-2</v>
          </cell>
          <cell r="CU126">
            <v>-5.2581776240498979E-2</v>
          </cell>
          <cell r="CV126">
            <v>6.8989518499987357E-2</v>
          </cell>
          <cell r="CW126">
            <v>-8.3468159724539026E-3</v>
          </cell>
          <cell r="CX126">
            <v>6.7542054660678419E-2</v>
          </cell>
          <cell r="CY126">
            <v>-3.9822535011027282E-2</v>
          </cell>
          <cell r="CZ126">
            <v>6.3528063258176948E-2</v>
          </cell>
          <cell r="DA126">
            <v>-9.579733443797589E-3</v>
          </cell>
          <cell r="DB126">
            <v>6.3667646378446685E-2</v>
          </cell>
          <cell r="DC126"/>
          <cell r="DD126"/>
          <cell r="DE126"/>
          <cell r="DF126"/>
          <cell r="DG126"/>
          <cell r="DH126"/>
          <cell r="DI126"/>
          <cell r="DJ126"/>
          <cell r="DK126"/>
          <cell r="DL126"/>
          <cell r="DM126"/>
          <cell r="DN126"/>
          <cell r="DO126"/>
        </row>
        <row r="127">
          <cell r="A127"/>
          <cell r="B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cell r="BJ127"/>
          <cell r="BK127"/>
          <cell r="BL127"/>
          <cell r="BM127"/>
          <cell r="BN127"/>
          <cell r="BO127"/>
          <cell r="BP127"/>
          <cell r="BQ127"/>
          <cell r="BR127"/>
          <cell r="BS127"/>
          <cell r="BT127"/>
          <cell r="BU127"/>
          <cell r="BV127"/>
          <cell r="BW127"/>
          <cell r="BX127"/>
          <cell r="BY127"/>
          <cell r="BZ127"/>
          <cell r="CA127"/>
          <cell r="CB127"/>
          <cell r="CC127"/>
          <cell r="CD127"/>
          <cell r="CE127"/>
          <cell r="CF127"/>
          <cell r="CG127"/>
          <cell r="CH127"/>
          <cell r="CI127"/>
          <cell r="CJ127"/>
          <cell r="CK127"/>
          <cell r="CL127"/>
          <cell r="CM127"/>
          <cell r="CN127"/>
          <cell r="CO127"/>
          <cell r="CP127"/>
          <cell r="CQ127"/>
          <cell r="CR127"/>
          <cell r="CS127"/>
          <cell r="CT127"/>
          <cell r="CU127"/>
          <cell r="CV127"/>
          <cell r="CW127"/>
          <cell r="CX127"/>
          <cell r="CY127"/>
          <cell r="CZ127"/>
          <cell r="DA127"/>
          <cell r="DB127"/>
          <cell r="DC127"/>
          <cell r="DD127"/>
          <cell r="DE127"/>
          <cell r="DF127"/>
          <cell r="DG127"/>
          <cell r="DH127"/>
          <cell r="DI127"/>
          <cell r="DJ127"/>
          <cell r="DK127"/>
          <cell r="DL127"/>
          <cell r="DM127"/>
          <cell r="DN127"/>
          <cell r="DO127"/>
        </row>
        <row r="128">
          <cell r="A128" t="str">
            <v>Royalty</v>
          </cell>
          <cell r="B128"/>
          <cell r="C128">
            <v>0</v>
          </cell>
          <cell r="D128">
            <v>0</v>
          </cell>
          <cell r="E128">
            <v>0</v>
          </cell>
          <cell r="F128">
            <v>0</v>
          </cell>
          <cell r="G128">
            <v>9.8729999999999993</v>
          </cell>
          <cell r="H128">
            <v>9.94</v>
          </cell>
          <cell r="I128">
            <v>10.009</v>
          </cell>
          <cell r="J128">
            <v>10.008000000000001</v>
          </cell>
          <cell r="K128">
            <v>9.9410000000000007</v>
          </cell>
          <cell r="L128">
            <v>9.94</v>
          </cell>
          <cell r="M128">
            <v>10.009</v>
          </cell>
          <cell r="N128">
            <v>10.008000000000004</v>
          </cell>
          <cell r="O128">
            <v>9.8719999999999999</v>
          </cell>
          <cell r="P128">
            <v>9.94</v>
          </cell>
          <cell r="Q128">
            <v>10.009</v>
          </cell>
          <cell r="R128">
            <v>10.009</v>
          </cell>
          <cell r="S128">
            <v>9.8719999999999999</v>
          </cell>
          <cell r="T128">
            <v>4.21</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cell r="DD128"/>
          <cell r="DE128">
            <v>39.83</v>
          </cell>
          <cell r="DF128">
            <v>39.898000000000003</v>
          </cell>
          <cell r="DG128">
            <v>39.83</v>
          </cell>
          <cell r="DH128">
            <v>14.082000000000001</v>
          </cell>
          <cell r="DI128">
            <v>0</v>
          </cell>
          <cell r="DJ128">
            <v>0</v>
          </cell>
          <cell r="DK128">
            <v>0</v>
          </cell>
          <cell r="DL128">
            <v>0</v>
          </cell>
          <cell r="DM128">
            <v>0</v>
          </cell>
          <cell r="DN128">
            <v>0</v>
          </cell>
          <cell r="DO128">
            <v>0</v>
          </cell>
        </row>
        <row r="129">
          <cell r="A129" t="str">
            <v>% of revenue</v>
          </cell>
          <cell r="B129"/>
          <cell r="C129" t="e">
            <v>#DIV/0!</v>
          </cell>
          <cell r="D129" t="e">
            <v>#DIV/0!</v>
          </cell>
          <cell r="E129" t="e">
            <v>#DIV/0!</v>
          </cell>
          <cell r="F129">
            <v>0</v>
          </cell>
          <cell r="G129">
            <v>0.11609967191523889</v>
          </cell>
          <cell r="H129">
            <v>0.10527988137478153</v>
          </cell>
          <cell r="I129">
            <v>9.4620911325392326E-2</v>
          </cell>
          <cell r="J129">
            <v>8.4776918450500213E-2</v>
          </cell>
          <cell r="K129">
            <v>7.7959455750303885E-2</v>
          </cell>
          <cell r="L129">
            <v>9.369756612559621E-2</v>
          </cell>
          <cell r="M129">
            <v>8.8192015225876941E-2</v>
          </cell>
          <cell r="N129">
            <v>8.1132350795272173E-2</v>
          </cell>
          <cell r="O129">
            <v>7.4330632774146907E-2</v>
          </cell>
          <cell r="P129">
            <v>6.7493243885546658E-2</v>
          </cell>
          <cell r="Q129">
            <v>6.5207335743835304E-2</v>
          </cell>
          <cell r="R129">
            <v>6.3328461426519628E-2</v>
          </cell>
          <cell r="S129">
            <v>6.9369685896985459E-2</v>
          </cell>
          <cell r="T129">
            <v>3.5843209372020159E-2</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cell r="DD129"/>
          <cell r="DE129">
            <v>9.8763901459265765E-2</v>
          </cell>
          <cell r="DF129">
            <v>8.4808883485033362E-2</v>
          </cell>
          <cell r="DG129">
            <v>6.7322481956628294E-2</v>
          </cell>
          <cell r="DH129">
            <v>2.6698366474041044E-2</v>
          </cell>
          <cell r="DI129">
            <v>0</v>
          </cell>
          <cell r="DJ129">
            <v>0</v>
          </cell>
          <cell r="DK129">
            <v>0</v>
          </cell>
          <cell r="DL129">
            <v>0</v>
          </cell>
          <cell r="DM129">
            <v>0</v>
          </cell>
          <cell r="DN129">
            <v>0</v>
          </cell>
          <cell r="DO129">
            <v>0</v>
          </cell>
        </row>
        <row r="130">
          <cell r="A130" t="str">
            <v>% growth in revenue y-o-y</v>
          </cell>
          <cell r="B130"/>
          <cell r="C130" t="str">
            <v>NA</v>
          </cell>
          <cell r="D130" t="str">
            <v>NA</v>
          </cell>
          <cell r="E130" t="str">
            <v>NA</v>
          </cell>
          <cell r="F130" t="str">
            <v>NA</v>
          </cell>
          <cell r="G130" t="str">
            <v>NA</v>
          </cell>
          <cell r="H130" t="str">
            <v>NA</v>
          </cell>
          <cell r="I130" t="str">
            <v>NA</v>
          </cell>
          <cell r="J130" t="str">
            <v>NA</v>
          </cell>
          <cell r="K130">
            <v>6.8874708801784923E-3</v>
          </cell>
          <cell r="L130">
            <v>0</v>
          </cell>
          <cell r="M130">
            <v>0</v>
          </cell>
          <cell r="N130">
            <v>4.4408920985006262E-16</v>
          </cell>
          <cell r="O130">
            <v>-6.9409516145257921E-3</v>
          </cell>
          <cell r="P130">
            <v>0</v>
          </cell>
          <cell r="Q130">
            <v>0</v>
          </cell>
          <cell r="R130">
            <v>9.9920063948433224E-5</v>
          </cell>
          <cell r="S130">
            <v>0</v>
          </cell>
          <cell r="T130">
            <v>-0.5764587525150906</v>
          </cell>
          <cell r="U130">
            <v>-1</v>
          </cell>
          <cell r="V130">
            <v>-1</v>
          </cell>
          <cell r="W130">
            <v>-1</v>
          </cell>
          <cell r="X130">
            <v>-1</v>
          </cell>
          <cell r="Y130" t="str">
            <v>NA</v>
          </cell>
          <cell r="Z130" t="str">
            <v>NA</v>
          </cell>
          <cell r="AA130" t="str">
            <v>NA</v>
          </cell>
          <cell r="AB130" t="str">
            <v>NA</v>
          </cell>
          <cell r="AC130" t="str">
            <v>NA</v>
          </cell>
          <cell r="AD130" t="str">
            <v>NA</v>
          </cell>
          <cell r="AE130" t="str">
            <v>NA</v>
          </cell>
          <cell r="AF130" t="str">
            <v>NA</v>
          </cell>
          <cell r="AG130" t="str">
            <v>NA</v>
          </cell>
          <cell r="AH130" t="str">
            <v>NA</v>
          </cell>
          <cell r="AI130" t="str">
            <v>NA</v>
          </cell>
          <cell r="AJ130" t="str">
            <v>NA</v>
          </cell>
          <cell r="AK130" t="str">
            <v>NA</v>
          </cell>
          <cell r="AL130" t="str">
            <v>NA</v>
          </cell>
          <cell r="AM130" t="str">
            <v>NA</v>
          </cell>
          <cell r="AN130" t="str">
            <v>NA</v>
          </cell>
          <cell r="AO130" t="str">
            <v>NA</v>
          </cell>
          <cell r="AP130" t="str">
            <v>NA</v>
          </cell>
          <cell r="AQ130" t="str">
            <v>NA</v>
          </cell>
          <cell r="AR130" t="str">
            <v>NA</v>
          </cell>
          <cell r="AS130" t="str">
            <v>NA</v>
          </cell>
          <cell r="AT130" t="str">
            <v>NA</v>
          </cell>
          <cell r="AU130" t="str">
            <v>NA</v>
          </cell>
          <cell r="AV130" t="str">
            <v>NA</v>
          </cell>
          <cell r="AW130" t="str">
            <v>NA</v>
          </cell>
          <cell r="AX130" t="str">
            <v>NA</v>
          </cell>
          <cell r="AY130" t="str">
            <v>NA</v>
          </cell>
          <cell r="AZ130" t="str">
            <v>NA</v>
          </cell>
          <cell r="BA130" t="str">
            <v>NA</v>
          </cell>
          <cell r="BB130" t="str">
            <v>NA</v>
          </cell>
          <cell r="BC130" t="str">
            <v>NA</v>
          </cell>
          <cell r="BD130" t="str">
            <v>NA</v>
          </cell>
          <cell r="BE130" t="str">
            <v>NA</v>
          </cell>
          <cell r="BF130" t="str">
            <v>NA</v>
          </cell>
          <cell r="BG130" t="str">
            <v>NA</v>
          </cell>
          <cell r="BH130" t="str">
            <v>NA</v>
          </cell>
          <cell r="BI130" t="str">
            <v>NA</v>
          </cell>
          <cell r="BJ130" t="str">
            <v>NA</v>
          </cell>
          <cell r="BK130" t="str">
            <v>NA</v>
          </cell>
          <cell r="BL130" t="str">
            <v>NA</v>
          </cell>
          <cell r="BM130" t="str">
            <v>NA</v>
          </cell>
          <cell r="BN130" t="str">
            <v>NA</v>
          </cell>
          <cell r="BO130" t="str">
            <v>NA</v>
          </cell>
          <cell r="BP130" t="str">
            <v>NA</v>
          </cell>
          <cell r="BQ130" t="str">
            <v>NA</v>
          </cell>
          <cell r="BR130" t="str">
            <v>NA</v>
          </cell>
          <cell r="BS130" t="str">
            <v>NA</v>
          </cell>
          <cell r="BT130" t="str">
            <v>NA</v>
          </cell>
          <cell r="BU130" t="str">
            <v>NA</v>
          </cell>
          <cell r="BV130" t="str">
            <v>NA</v>
          </cell>
          <cell r="BW130" t="str">
            <v>NA</v>
          </cell>
          <cell r="BX130" t="str">
            <v>NA</v>
          </cell>
          <cell r="BY130" t="str">
            <v>NA</v>
          </cell>
          <cell r="BZ130" t="str">
            <v>NA</v>
          </cell>
          <cell r="CA130" t="str">
            <v>NA</v>
          </cell>
          <cell r="CB130" t="str">
            <v>NA</v>
          </cell>
          <cell r="CC130" t="str">
            <v>NA</v>
          </cell>
          <cell r="CD130" t="str">
            <v>NA</v>
          </cell>
          <cell r="CE130" t="str">
            <v>NA</v>
          </cell>
          <cell r="CF130" t="str">
            <v>NA</v>
          </cell>
          <cell r="CG130" t="str">
            <v>NA</v>
          </cell>
          <cell r="CH130" t="str">
            <v>NA</v>
          </cell>
          <cell r="CI130" t="str">
            <v>NA</v>
          </cell>
          <cell r="CJ130" t="str">
            <v>NA</v>
          </cell>
          <cell r="CK130" t="str">
            <v>NA</v>
          </cell>
          <cell r="CL130" t="str">
            <v>NA</v>
          </cell>
          <cell r="CM130" t="str">
            <v>NA</v>
          </cell>
          <cell r="CN130" t="str">
            <v>NA</v>
          </cell>
          <cell r="CO130" t="str">
            <v>NA</v>
          </cell>
          <cell r="CP130" t="str">
            <v>NA</v>
          </cell>
          <cell r="CQ130" t="str">
            <v>NA</v>
          </cell>
          <cell r="CR130" t="str">
            <v>NA</v>
          </cell>
          <cell r="CS130" t="str">
            <v>NA</v>
          </cell>
          <cell r="CT130" t="str">
            <v>NA</v>
          </cell>
          <cell r="CU130" t="str">
            <v>NA</v>
          </cell>
          <cell r="CV130" t="str">
            <v>NA</v>
          </cell>
          <cell r="CW130" t="str">
            <v>NA</v>
          </cell>
          <cell r="CX130" t="str">
            <v>NA</v>
          </cell>
          <cell r="CY130" t="str">
            <v>NA</v>
          </cell>
          <cell r="CZ130" t="str">
            <v>NA</v>
          </cell>
          <cell r="DA130" t="str">
            <v>NA</v>
          </cell>
          <cell r="DB130" t="str">
            <v>NA</v>
          </cell>
          <cell r="DC130"/>
          <cell r="DD130" t="str">
            <v>NA</v>
          </cell>
          <cell r="DE130" t="str">
            <v>NA</v>
          </cell>
          <cell r="DF130">
            <v>1.7072558373087965E-3</v>
          </cell>
          <cell r="DG130">
            <v>-1.7043460825105772E-3</v>
          </cell>
          <cell r="DH130">
            <v>-0.64644740145618873</v>
          </cell>
          <cell r="DI130">
            <v>-1</v>
          </cell>
          <cell r="DJ130" t="str">
            <v>NA</v>
          </cell>
          <cell r="DK130" t="str">
            <v>NA</v>
          </cell>
          <cell r="DL130" t="str">
            <v>NA</v>
          </cell>
          <cell r="DM130" t="str">
            <v>NA</v>
          </cell>
          <cell r="DN130" t="str">
            <v>NA</v>
          </cell>
          <cell r="DO130" t="str">
            <v>NA</v>
          </cell>
        </row>
        <row r="131">
          <cell r="A131" t="str">
            <v>% growth in revenue seq</v>
          </cell>
          <cell r="B131"/>
          <cell r="C131" t="str">
            <v>NA</v>
          </cell>
          <cell r="D131" t="str">
            <v>NA</v>
          </cell>
          <cell r="E131" t="str">
            <v>NA</v>
          </cell>
          <cell r="F131" t="str">
            <v>NA</v>
          </cell>
          <cell r="G131" t="str">
            <v>NA</v>
          </cell>
          <cell r="H131">
            <v>6.7861845437051649E-3</v>
          </cell>
          <cell r="I131">
            <v>6.9416498993963849E-3</v>
          </cell>
          <cell r="J131">
            <v>-9.9910080927134715E-5</v>
          </cell>
          <cell r="K131">
            <v>-6.6946442845723375E-3</v>
          </cell>
          <cell r="L131">
            <v>-1.0059350165991798E-4</v>
          </cell>
          <cell r="M131">
            <v>6.9416498993963849E-3</v>
          </cell>
          <cell r="N131">
            <v>-9.9910080926801648E-5</v>
          </cell>
          <cell r="O131">
            <v>-1.3589128697042763E-2</v>
          </cell>
          <cell r="P131">
            <v>6.8881685575363782E-3</v>
          </cell>
          <cell r="Q131">
            <v>6.9416498993963849E-3</v>
          </cell>
          <cell r="R131">
            <v>0</v>
          </cell>
          <cell r="S131">
            <v>-1.3687681087021675E-2</v>
          </cell>
          <cell r="T131">
            <v>-0.57354132901134514</v>
          </cell>
          <cell r="U131">
            <v>-1</v>
          </cell>
          <cell r="V131" t="str">
            <v>NA</v>
          </cell>
          <cell r="W131" t="str">
            <v>NA</v>
          </cell>
          <cell r="X131" t="str">
            <v>NA</v>
          </cell>
          <cell r="Y131" t="str">
            <v>NA</v>
          </cell>
          <cell r="Z131" t="str">
            <v>NA</v>
          </cell>
          <cell r="AA131" t="str">
            <v>NA</v>
          </cell>
          <cell r="AB131" t="str">
            <v>NA</v>
          </cell>
          <cell r="AC131" t="str">
            <v>NA</v>
          </cell>
          <cell r="AD131" t="str">
            <v>NA</v>
          </cell>
          <cell r="AE131" t="str">
            <v>NA</v>
          </cell>
          <cell r="AF131" t="str">
            <v>NA</v>
          </cell>
          <cell r="AG131" t="str">
            <v>NA</v>
          </cell>
          <cell r="AH131" t="str">
            <v>NA</v>
          </cell>
          <cell r="AI131" t="str">
            <v>NA</v>
          </cell>
          <cell r="AJ131" t="str">
            <v>NA</v>
          </cell>
          <cell r="AK131" t="str">
            <v>NA</v>
          </cell>
          <cell r="AL131" t="str">
            <v>NA</v>
          </cell>
          <cell r="AM131" t="str">
            <v>NA</v>
          </cell>
          <cell r="AN131" t="str">
            <v>NA</v>
          </cell>
          <cell r="AO131" t="str">
            <v>NA</v>
          </cell>
          <cell r="AP131" t="str">
            <v>NA</v>
          </cell>
          <cell r="AQ131" t="str">
            <v>NA</v>
          </cell>
          <cell r="AR131" t="str">
            <v>NA</v>
          </cell>
          <cell r="AS131" t="str">
            <v>NA</v>
          </cell>
          <cell r="AT131" t="str">
            <v>NA</v>
          </cell>
          <cell r="AU131" t="str">
            <v>NA</v>
          </cell>
          <cell r="AV131" t="str">
            <v>NA</v>
          </cell>
          <cell r="AW131" t="str">
            <v>NA</v>
          </cell>
          <cell r="AX131" t="str">
            <v>NA</v>
          </cell>
          <cell r="AY131" t="str">
            <v>NA</v>
          </cell>
          <cell r="AZ131" t="str">
            <v>NA</v>
          </cell>
          <cell r="BA131" t="str">
            <v>NA</v>
          </cell>
          <cell r="BB131" t="str">
            <v>NA</v>
          </cell>
          <cell r="BC131" t="str">
            <v>NA</v>
          </cell>
          <cell r="BD131" t="str">
            <v>NA</v>
          </cell>
          <cell r="BE131" t="str">
            <v>NA</v>
          </cell>
          <cell r="BF131" t="str">
            <v>NA</v>
          </cell>
          <cell r="BG131" t="str">
            <v>NA</v>
          </cell>
          <cell r="BH131" t="str">
            <v>NA</v>
          </cell>
          <cell r="BI131" t="str">
            <v>NA</v>
          </cell>
          <cell r="BJ131" t="str">
            <v>NA</v>
          </cell>
          <cell r="BK131" t="str">
            <v>NA</v>
          </cell>
          <cell r="BL131" t="str">
            <v>NA</v>
          </cell>
          <cell r="BM131" t="str">
            <v>NA</v>
          </cell>
          <cell r="BN131" t="str">
            <v>NA</v>
          </cell>
          <cell r="BO131" t="str">
            <v>NA</v>
          </cell>
          <cell r="BP131" t="str">
            <v>NA</v>
          </cell>
          <cell r="BQ131" t="str">
            <v>NA</v>
          </cell>
          <cell r="BR131" t="str">
            <v>NA</v>
          </cell>
          <cell r="BS131" t="str">
            <v>NA</v>
          </cell>
          <cell r="BT131" t="str">
            <v>NA</v>
          </cell>
          <cell r="BU131" t="str">
            <v>NA</v>
          </cell>
          <cell r="BV131" t="str">
            <v>NA</v>
          </cell>
          <cell r="BW131" t="str">
            <v>NA</v>
          </cell>
          <cell r="BX131" t="str">
            <v>NA</v>
          </cell>
          <cell r="BY131" t="str">
            <v>NA</v>
          </cell>
          <cell r="BZ131" t="str">
            <v>NA</v>
          </cell>
          <cell r="CA131" t="str">
            <v>NA</v>
          </cell>
          <cell r="CB131" t="str">
            <v>NA</v>
          </cell>
          <cell r="CC131" t="str">
            <v>NA</v>
          </cell>
          <cell r="CD131" t="str">
            <v>NA</v>
          </cell>
          <cell r="CE131" t="str">
            <v>NA</v>
          </cell>
          <cell r="CF131" t="str">
            <v>NA</v>
          </cell>
          <cell r="CG131" t="str">
            <v>NA</v>
          </cell>
          <cell r="CH131" t="str">
            <v>NA</v>
          </cell>
          <cell r="CI131" t="str">
            <v>NA</v>
          </cell>
          <cell r="CJ131" t="str">
            <v>NA</v>
          </cell>
          <cell r="CK131" t="str">
            <v>NA</v>
          </cell>
          <cell r="CL131" t="str">
            <v>NA</v>
          </cell>
          <cell r="CM131" t="str">
            <v>NA</v>
          </cell>
          <cell r="CN131" t="str">
            <v>NA</v>
          </cell>
          <cell r="CO131" t="str">
            <v>NA</v>
          </cell>
          <cell r="CP131" t="str">
            <v>NA</v>
          </cell>
          <cell r="CQ131" t="str">
            <v>NA</v>
          </cell>
          <cell r="CR131" t="str">
            <v>NA</v>
          </cell>
          <cell r="CS131" t="str">
            <v>NA</v>
          </cell>
          <cell r="CT131" t="str">
            <v>NA</v>
          </cell>
          <cell r="CU131" t="str">
            <v>NA</v>
          </cell>
          <cell r="CV131" t="str">
            <v>NA</v>
          </cell>
          <cell r="CW131" t="str">
            <v>NA</v>
          </cell>
          <cell r="CX131" t="str">
            <v>NA</v>
          </cell>
          <cell r="CY131" t="str">
            <v>NA</v>
          </cell>
          <cell r="CZ131" t="str">
            <v>NA</v>
          </cell>
          <cell r="DA131" t="str">
            <v>NA</v>
          </cell>
          <cell r="DB131" t="str">
            <v>NA</v>
          </cell>
          <cell r="DC131"/>
          <cell r="DD131"/>
          <cell r="DE131"/>
          <cell r="DF131"/>
          <cell r="DG131"/>
          <cell r="DH131"/>
          <cell r="DI131"/>
          <cell r="DJ131"/>
          <cell r="DK131"/>
          <cell r="DL131"/>
          <cell r="DM131"/>
          <cell r="DN131"/>
          <cell r="DO131"/>
        </row>
        <row r="132">
          <cell r="A132"/>
          <cell r="B132"/>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cell r="BJ132"/>
          <cell r="BK132"/>
          <cell r="BL132"/>
          <cell r="BM132"/>
          <cell r="BN132"/>
          <cell r="BO132"/>
          <cell r="BP132"/>
          <cell r="BQ132"/>
          <cell r="BR132"/>
          <cell r="BS132"/>
          <cell r="BT132"/>
          <cell r="BU132"/>
          <cell r="BV132"/>
          <cell r="BW132"/>
          <cell r="BX132"/>
          <cell r="BY132"/>
          <cell r="BZ132"/>
          <cell r="CA132"/>
          <cell r="CB132"/>
          <cell r="CC132"/>
          <cell r="CD132"/>
          <cell r="CE132"/>
          <cell r="CF132"/>
          <cell r="CG132"/>
          <cell r="CH132"/>
          <cell r="CI132"/>
          <cell r="CJ132"/>
          <cell r="CK132"/>
          <cell r="CL132"/>
          <cell r="CM132"/>
          <cell r="CN132"/>
          <cell r="CO132"/>
          <cell r="CP132"/>
          <cell r="CQ132"/>
          <cell r="CR132"/>
          <cell r="CS132"/>
          <cell r="CT132"/>
          <cell r="CU132"/>
          <cell r="CV132"/>
          <cell r="CW132"/>
          <cell r="CX132"/>
          <cell r="CY132"/>
          <cell r="CZ132"/>
          <cell r="DA132"/>
          <cell r="DB132"/>
          <cell r="DC132"/>
          <cell r="DD132"/>
          <cell r="DE132"/>
          <cell r="DF132"/>
          <cell r="DG132"/>
          <cell r="DH132"/>
          <cell r="DI132"/>
          <cell r="DJ132"/>
          <cell r="DK132"/>
          <cell r="DL132"/>
          <cell r="DM132"/>
          <cell r="DN132"/>
          <cell r="DO132"/>
        </row>
        <row r="133">
          <cell r="A133" t="str">
            <v>Check WS</v>
          </cell>
          <cell r="B133"/>
          <cell r="C133">
            <v>0</v>
          </cell>
          <cell r="D133">
            <v>0</v>
          </cell>
          <cell r="E133">
            <v>0</v>
          </cell>
          <cell r="F133">
            <v>248.636</v>
          </cell>
          <cell r="G133">
            <v>75.165999999999997</v>
          </cell>
          <cell r="H133">
            <v>84.475000000000009</v>
          </cell>
          <cell r="I133">
            <v>95.771000000000001</v>
          </cell>
          <cell r="J133">
            <v>108.04300000000001</v>
          </cell>
          <cell r="K133">
            <v>117.574</v>
          </cell>
          <cell r="L133">
            <v>96.146000000000001</v>
          </cell>
          <cell r="M133">
            <v>103.482</v>
          </cell>
          <cell r="N133">
            <v>113.34599999999999</v>
          </cell>
          <cell r="O133">
            <v>122.94000000000001</v>
          </cell>
          <cell r="P133">
            <v>137.334</v>
          </cell>
          <cell r="Q133">
            <v>143.48599999999999</v>
          </cell>
          <cell r="R133">
            <v>148.04000000000002</v>
          </cell>
          <cell r="S133">
            <v>132.43799999999999</v>
          </cell>
          <cell r="T133">
            <v>113.24600000000001</v>
          </cell>
          <cell r="U133">
            <v>118.898</v>
          </cell>
          <cell r="V133">
            <v>148.78399999999999</v>
          </cell>
          <cell r="W133">
            <v>143.49100000000001</v>
          </cell>
          <cell r="X133">
            <v>142.98899999999998</v>
          </cell>
          <cell r="Y133">
            <v>144.36599999999999</v>
          </cell>
          <cell r="Z133">
            <v>157.9</v>
          </cell>
          <cell r="AA133">
            <v>158.51400000000001</v>
          </cell>
          <cell r="AB133">
            <v>167.84699999999998</v>
          </cell>
          <cell r="AC133">
            <v>173.48999999999998</v>
          </cell>
          <cell r="AD133">
            <v>197.20500000000001</v>
          </cell>
          <cell r="AE133">
            <v>180.663679</v>
          </cell>
          <cell r="AF133">
            <v>184.82190900000001</v>
          </cell>
          <cell r="AG133">
            <v>190.40280999999999</v>
          </cell>
          <cell r="AH133">
            <v>220.90409399999999</v>
          </cell>
          <cell r="AI133">
            <v>206.81718000000001</v>
          </cell>
          <cell r="AJ133">
            <v>212.83893800000001</v>
          </cell>
          <cell r="AK133">
            <v>207.41341799999998</v>
          </cell>
          <cell r="AL133">
            <v>244.58565050000001</v>
          </cell>
          <cell r="AM133">
            <v>224.13</v>
          </cell>
          <cell r="AN133">
            <v>246.541</v>
          </cell>
          <cell r="AO133">
            <v>242.87200000000001</v>
          </cell>
          <cell r="AP133">
            <v>284.60000000000002</v>
          </cell>
          <cell r="AQ133">
            <v>267.70100000000002</v>
          </cell>
          <cell r="AR133">
            <v>264.89999999999998</v>
          </cell>
          <cell r="AS133">
            <v>273.10000000000002</v>
          </cell>
          <cell r="AT133">
            <v>276.09999999999997</v>
          </cell>
          <cell r="AU133">
            <v>243</v>
          </cell>
          <cell r="AV133">
            <v>251.5</v>
          </cell>
          <cell r="AW133">
            <v>259.2</v>
          </cell>
          <cell r="AX133">
            <v>292.40000000000003</v>
          </cell>
          <cell r="AY133">
            <v>255.910403</v>
          </cell>
          <cell r="AZ133">
            <v>279.76853311000002</v>
          </cell>
          <cell r="BA133">
            <v>277.08982900000001</v>
          </cell>
          <cell r="BB133">
            <v>324.55690199999998</v>
          </cell>
          <cell r="BC133">
            <v>291.39999999999998</v>
          </cell>
          <cell r="BD133">
            <v>306.5</v>
          </cell>
          <cell r="BE133">
            <v>317.89999999999998</v>
          </cell>
          <cell r="BF133">
            <v>371.9</v>
          </cell>
          <cell r="BG133">
            <v>340.4</v>
          </cell>
          <cell r="BH133">
            <v>345.1</v>
          </cell>
          <cell r="BI133">
            <v>351.6</v>
          </cell>
          <cell r="BJ133">
            <v>413.7</v>
          </cell>
          <cell r="BK133">
            <v>357.8</v>
          </cell>
          <cell r="BL133">
            <v>381.7</v>
          </cell>
          <cell r="BM133">
            <v>380</v>
          </cell>
          <cell r="BN133">
            <v>426.9</v>
          </cell>
          <cell r="BO133">
            <v>380.2</v>
          </cell>
          <cell r="BP133">
            <v>394</v>
          </cell>
          <cell r="BQ133">
            <v>390.8</v>
          </cell>
          <cell r="BR133">
            <v>435.5</v>
          </cell>
          <cell r="BS133">
            <v>389.4</v>
          </cell>
          <cell r="BT133">
            <v>404.3</v>
          </cell>
          <cell r="BU133">
            <v>394.5</v>
          </cell>
          <cell r="BV133">
            <v>450.90000000000003</v>
          </cell>
          <cell r="BW133">
            <v>399.55</v>
          </cell>
          <cell r="BX133">
            <v>410.5</v>
          </cell>
          <cell r="BY133">
            <v>412.80000000000007</v>
          </cell>
          <cell r="BZ133">
            <v>462.1</v>
          </cell>
          <cell r="CA133">
            <v>400.62799999999999</v>
          </cell>
          <cell r="CB133">
            <v>423.50799999999998</v>
          </cell>
          <cell r="CC133">
            <v>431.59199999999993</v>
          </cell>
          <cell r="CD133">
            <v>479.1</v>
          </cell>
          <cell r="CE133">
            <v>412.6</v>
          </cell>
          <cell r="CF133">
            <v>454.9</v>
          </cell>
          <cell r="CG133">
            <v>462.1</v>
          </cell>
          <cell r="CH133">
            <v>509.77699999999993</v>
          </cell>
          <cell r="CI133">
            <v>463.2905091683208</v>
          </cell>
          <cell r="CJ133">
            <v>484.41874571486539</v>
          </cell>
          <cell r="CK133">
            <v>488.52935933021456</v>
          </cell>
          <cell r="CL133">
            <v>567.28834824420301</v>
          </cell>
          <cell r="CM133">
            <v>509.13885700578339</v>
          </cell>
          <cell r="CN133">
            <v>529.13472971677618</v>
          </cell>
          <cell r="CO133">
            <v>535.90052222795225</v>
          </cell>
          <cell r="CP133">
            <v>602.04644360548127</v>
          </cell>
          <cell r="CQ133">
            <v>559.0993069305548</v>
          </cell>
          <cell r="CR133">
            <v>576.25940833184609</v>
          </cell>
          <cell r="CS133">
            <v>584.82802966491101</v>
          </cell>
          <cell r="CT133">
            <v>636.99656428067681</v>
          </cell>
          <cell r="CU133">
            <v>620.68609546934249</v>
          </cell>
          <cell r="CV133">
            <v>637.43557430064789</v>
          </cell>
          <cell r="CW133">
            <v>646.84649690340052</v>
          </cell>
          <cell r="CX133">
            <v>696.24893548352202</v>
          </cell>
          <cell r="CY133">
            <v>689.7840014125502</v>
          </cell>
          <cell r="CZ133">
            <v>705.26956727484026</v>
          </cell>
          <cell r="DA133">
            <v>713.87405333355127</v>
          </cell>
          <cell r="DB133">
            <v>764.26847355165103</v>
          </cell>
          <cell r="DC133"/>
          <cell r="DD133">
            <v>0</v>
          </cell>
          <cell r="DE133">
            <v>363.45500000000004</v>
          </cell>
          <cell r="DF133">
            <v>430.548</v>
          </cell>
          <cell r="DG133">
            <v>551.79999999999995</v>
          </cell>
          <cell r="DH133">
            <v>513.36599999999999</v>
          </cell>
          <cell r="DI133">
            <v>588.74599999999998</v>
          </cell>
          <cell r="DJ133">
            <v>697.05600000000004</v>
          </cell>
          <cell r="DK133">
            <v>776.79249200000004</v>
          </cell>
          <cell r="DL133">
            <v>871.65518650000001</v>
          </cell>
          <cell r="DM133">
            <v>998.14300000000003</v>
          </cell>
          <cell r="DN133">
            <v>1081.8009999999999</v>
          </cell>
          <cell r="DO133">
            <v>1046.1000000000001</v>
          </cell>
        </row>
        <row r="134">
          <cell r="A134" t="str">
            <v>$ Delta</v>
          </cell>
          <cell r="B134"/>
          <cell r="C134"/>
          <cell r="D134"/>
          <cell r="E134"/>
          <cell r="F134"/>
          <cell r="G134"/>
          <cell r="H134"/>
          <cell r="I134"/>
          <cell r="J134"/>
          <cell r="K134"/>
          <cell r="L134"/>
          <cell r="M134"/>
          <cell r="N134"/>
          <cell r="O134"/>
          <cell r="P134"/>
          <cell r="Q134"/>
          <cell r="R134"/>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cell r="DD134" t="e">
            <v>#REF!</v>
          </cell>
          <cell r="DE134">
            <v>0</v>
          </cell>
          <cell r="DF134">
            <v>0</v>
          </cell>
          <cell r="DG134">
            <v>0</v>
          </cell>
          <cell r="DH134">
            <v>0</v>
          </cell>
          <cell r="DI134">
            <v>0</v>
          </cell>
          <cell r="DJ134">
            <v>0</v>
          </cell>
          <cell r="DK134">
            <v>0</v>
          </cell>
          <cell r="DL134">
            <v>0</v>
          </cell>
          <cell r="DM134">
            <v>0</v>
          </cell>
          <cell r="DN134">
            <v>0</v>
          </cell>
          <cell r="DO134">
            <v>0</v>
          </cell>
        </row>
        <row r="135">
          <cell r="A135" t="str">
            <v>% Delta</v>
          </cell>
          <cell r="B135"/>
          <cell r="C135"/>
          <cell r="D135"/>
          <cell r="E135"/>
          <cell r="F135"/>
          <cell r="G135"/>
          <cell r="H135"/>
          <cell r="I135"/>
          <cell r="J135"/>
          <cell r="K135"/>
          <cell r="L135"/>
          <cell r="M135"/>
          <cell r="N135"/>
          <cell r="O135"/>
          <cell r="P135"/>
          <cell r="Q135"/>
          <cell r="R135"/>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cell r="DD135" t="e">
            <v>#REF!</v>
          </cell>
          <cell r="DE135">
            <v>0</v>
          </cell>
          <cell r="DF135">
            <v>0</v>
          </cell>
          <cell r="DG135">
            <v>0</v>
          </cell>
          <cell r="DH135">
            <v>0</v>
          </cell>
          <cell r="DI135">
            <v>0</v>
          </cell>
          <cell r="DJ135">
            <v>0</v>
          </cell>
          <cell r="DK135">
            <v>0</v>
          </cell>
          <cell r="DL135">
            <v>0</v>
          </cell>
          <cell r="DM135">
            <v>0</v>
          </cell>
          <cell r="DN135">
            <v>0</v>
          </cell>
          <cell r="DO135">
            <v>0</v>
          </cell>
        </row>
        <row r="136">
          <cell r="A136" t="str">
            <v>Workspace Services</v>
          </cell>
          <cell r="B136"/>
          <cell r="C136">
            <v>0</v>
          </cell>
          <cell r="D136">
            <v>0</v>
          </cell>
          <cell r="E136">
            <v>0</v>
          </cell>
          <cell r="F136">
            <v>248.636</v>
          </cell>
          <cell r="G136">
            <v>75.165999999999997</v>
          </cell>
          <cell r="H136">
            <v>84.475000000000009</v>
          </cell>
          <cell r="I136">
            <v>95.771000000000001</v>
          </cell>
          <cell r="J136">
            <v>108.04300000000001</v>
          </cell>
          <cell r="K136">
            <v>117.574</v>
          </cell>
          <cell r="L136">
            <v>96.146000000000001</v>
          </cell>
          <cell r="M136">
            <v>103.482</v>
          </cell>
          <cell r="N136">
            <v>113.34599999999999</v>
          </cell>
          <cell r="O136">
            <v>122.94000000000001</v>
          </cell>
          <cell r="P136">
            <v>137.334</v>
          </cell>
          <cell r="Q136">
            <v>143.48599999999999</v>
          </cell>
          <cell r="R136">
            <v>148.04000000000002</v>
          </cell>
          <cell r="S136">
            <v>132.43799999999999</v>
          </cell>
          <cell r="T136">
            <v>113.24600000000001</v>
          </cell>
          <cell r="U136">
            <v>118.898</v>
          </cell>
          <cell r="V136">
            <v>148.78399999999999</v>
          </cell>
          <cell r="W136">
            <v>143.49100000000001</v>
          </cell>
          <cell r="X136">
            <v>142.98899999999998</v>
          </cell>
          <cell r="Y136">
            <v>144.36599999999999</v>
          </cell>
          <cell r="Z136">
            <v>157.9</v>
          </cell>
          <cell r="AA136">
            <v>158.51400000000001</v>
          </cell>
          <cell r="AB136">
            <v>167.84699999999998</v>
          </cell>
          <cell r="AC136">
            <v>173.48999999999998</v>
          </cell>
          <cell r="AD136">
            <v>197.20500000000001</v>
          </cell>
          <cell r="AE136">
            <v>180.663679</v>
          </cell>
          <cell r="AF136">
            <v>184.82190900000001</v>
          </cell>
          <cell r="AG136">
            <v>190.40280999999999</v>
          </cell>
          <cell r="AH136">
            <v>220.90409399999999</v>
          </cell>
          <cell r="AI136">
            <v>206.81718000000001</v>
          </cell>
          <cell r="AJ136">
            <v>212.83893800000001</v>
          </cell>
          <cell r="AK136">
            <v>207.41341800000001</v>
          </cell>
          <cell r="AL136">
            <v>244.58565050000001</v>
          </cell>
          <cell r="AM136">
            <v>224.13</v>
          </cell>
          <cell r="AN136">
            <v>246.541</v>
          </cell>
          <cell r="AO136">
            <v>242.87200000000001</v>
          </cell>
          <cell r="AP136">
            <v>284.60000000000002</v>
          </cell>
          <cell r="AQ136">
            <v>267.70100000000002</v>
          </cell>
          <cell r="AR136">
            <v>264.89999999999998</v>
          </cell>
          <cell r="AS136">
            <v>273.10000000000002</v>
          </cell>
          <cell r="AT136">
            <v>276.10000000000002</v>
          </cell>
          <cell r="AU136">
            <v>243</v>
          </cell>
          <cell r="AV136">
            <v>251.5</v>
          </cell>
          <cell r="AW136">
            <v>259.2</v>
          </cell>
          <cell r="AX136">
            <v>292.40000000000003</v>
          </cell>
          <cell r="AY136">
            <v>255.910403</v>
          </cell>
          <cell r="AZ136">
            <v>279.76853311000002</v>
          </cell>
          <cell r="BA136">
            <v>277.08982900000001</v>
          </cell>
          <cell r="BB136">
            <v>324.55690199999998</v>
          </cell>
          <cell r="BC136">
            <v>291.39999999999998</v>
          </cell>
          <cell r="BD136">
            <v>306.5</v>
          </cell>
          <cell r="BE136">
            <v>317.89999999999998</v>
          </cell>
          <cell r="BF136">
            <v>371.9</v>
          </cell>
          <cell r="BG136">
            <v>340.4</v>
          </cell>
          <cell r="BH136">
            <v>345.1</v>
          </cell>
          <cell r="BI136">
            <v>351.6</v>
          </cell>
          <cell r="BJ136">
            <v>413.7</v>
          </cell>
          <cell r="BK136">
            <v>357.8</v>
          </cell>
          <cell r="BL136">
            <v>381.7</v>
          </cell>
          <cell r="BM136">
            <v>380</v>
          </cell>
          <cell r="BN136">
            <v>426.9</v>
          </cell>
          <cell r="BO136">
            <v>380.2</v>
          </cell>
          <cell r="BP136">
            <v>394</v>
          </cell>
          <cell r="BQ136">
            <v>390.8</v>
          </cell>
          <cell r="BR136">
            <v>435.5</v>
          </cell>
          <cell r="BS136">
            <v>389.4</v>
          </cell>
          <cell r="BT136">
            <v>404.3</v>
          </cell>
          <cell r="BU136">
            <v>394.5</v>
          </cell>
          <cell r="BV136">
            <v>450.9</v>
          </cell>
          <cell r="BW136">
            <v>399.55</v>
          </cell>
          <cell r="BX136">
            <v>410.5</v>
          </cell>
          <cell r="BY136">
            <v>412.8</v>
          </cell>
          <cell r="BZ136">
            <v>462.1</v>
          </cell>
          <cell r="CA136">
            <v>400.62799999999999</v>
          </cell>
          <cell r="CB136">
            <v>423.50799999999998</v>
          </cell>
          <cell r="CC136">
            <v>431.59199999999998</v>
          </cell>
          <cell r="CD136">
            <v>479.1</v>
          </cell>
          <cell r="CE136">
            <v>412.6</v>
          </cell>
          <cell r="CF136">
            <v>454.9</v>
          </cell>
          <cell r="CG136">
            <v>462.1</v>
          </cell>
          <cell r="CH136">
            <v>509.77699999999999</v>
          </cell>
          <cell r="CI136">
            <v>463.2905091683208</v>
          </cell>
          <cell r="CJ136">
            <v>484.41874571486539</v>
          </cell>
          <cell r="CK136">
            <v>488.52935933021456</v>
          </cell>
          <cell r="CL136">
            <v>567.28834824420301</v>
          </cell>
          <cell r="CM136">
            <v>509.13885700578339</v>
          </cell>
          <cell r="CN136">
            <v>529.13472971677618</v>
          </cell>
          <cell r="CO136">
            <v>535.90052222795225</v>
          </cell>
          <cell r="CP136">
            <v>602.04644360548127</v>
          </cell>
          <cell r="CQ136">
            <v>559.0993069305548</v>
          </cell>
          <cell r="CR136">
            <v>576.25940833184609</v>
          </cell>
          <cell r="CS136">
            <v>584.82802966491101</v>
          </cell>
          <cell r="CT136">
            <v>636.99656428067681</v>
          </cell>
          <cell r="CU136">
            <v>620.68609546934249</v>
          </cell>
          <cell r="CV136">
            <v>637.43557430064789</v>
          </cell>
          <cell r="CW136">
            <v>646.84649690340052</v>
          </cell>
          <cell r="CX136">
            <v>696.24893548352202</v>
          </cell>
          <cell r="CY136">
            <v>689.7840014125502</v>
          </cell>
          <cell r="CZ136">
            <v>705.26956727484026</v>
          </cell>
          <cell r="DA136">
            <v>713.87405333355127</v>
          </cell>
          <cell r="DB136">
            <v>764.26847355165103</v>
          </cell>
          <cell r="DC136"/>
          <cell r="DD136" t="e">
            <v>#REF!</v>
          </cell>
          <cell r="DE136">
            <v>363.45500000000004</v>
          </cell>
          <cell r="DF136">
            <v>430.548</v>
          </cell>
          <cell r="DG136">
            <v>551.79999999999995</v>
          </cell>
          <cell r="DH136">
            <v>513.36599999999999</v>
          </cell>
          <cell r="DI136">
            <v>588.74599999999998</v>
          </cell>
          <cell r="DJ136">
            <v>697.05600000000004</v>
          </cell>
          <cell r="DK136">
            <v>776.79249200000004</v>
          </cell>
          <cell r="DL136">
            <v>871.65518650000001</v>
          </cell>
          <cell r="DM136">
            <v>998.14300000000003</v>
          </cell>
          <cell r="DN136">
            <v>1081.8009999999999</v>
          </cell>
          <cell r="DO136">
            <v>1046.1000000000001</v>
          </cell>
        </row>
        <row r="137">
          <cell r="A137" t="str">
            <v>% of revenue</v>
          </cell>
          <cell r="B137"/>
          <cell r="C137" t="e">
            <v>#DIV/0!</v>
          </cell>
          <cell r="D137" t="e">
            <v>#DIV/0!</v>
          </cell>
          <cell r="E137" t="e">
            <v>#DIV/0!</v>
          </cell>
          <cell r="F137">
            <v>1</v>
          </cell>
          <cell r="G137">
            <v>0.88390032808476104</v>
          </cell>
          <cell r="H137">
            <v>0.8947201186252185</v>
          </cell>
          <cell r="I137">
            <v>0.9053790886746077</v>
          </cell>
          <cell r="J137">
            <v>0.91522308154949983</v>
          </cell>
          <cell r="K137">
            <v>0.92204054424969606</v>
          </cell>
          <cell r="L137">
            <v>0.90630243387440379</v>
          </cell>
          <cell r="M137">
            <v>0.91180798477412306</v>
          </cell>
          <cell r="N137">
            <v>0.91886764920472774</v>
          </cell>
          <cell r="O137">
            <v>0.92566936722585313</v>
          </cell>
          <cell r="P137">
            <v>0.93250675611445333</v>
          </cell>
          <cell r="Q137">
            <v>0.93479266425616458</v>
          </cell>
          <cell r="R137">
            <v>0.93667153857348051</v>
          </cell>
          <cell r="S137">
            <v>0.93063031410301444</v>
          </cell>
          <cell r="T137">
            <v>0.96415679062797988</v>
          </cell>
          <cell r="U137">
            <v>1</v>
          </cell>
          <cell r="V137">
            <v>1</v>
          </cell>
          <cell r="W137">
            <v>1</v>
          </cell>
          <cell r="X137">
            <v>1</v>
          </cell>
          <cell r="Y137">
            <v>1</v>
          </cell>
          <cell r="Z137">
            <v>1</v>
          </cell>
          <cell r="AA137">
            <v>0.98266691463641442</v>
          </cell>
          <cell r="AB137">
            <v>0.94136352929299716</v>
          </cell>
          <cell r="AC137">
            <v>0.92489524357867126</v>
          </cell>
          <cell r="AD137">
            <v>0.92166081685493562</v>
          </cell>
          <cell r="AE137">
            <v>0.89486194957650211</v>
          </cell>
          <cell r="AF137">
            <v>0.87498359126824454</v>
          </cell>
          <cell r="AG137">
            <v>0.83897478265850611</v>
          </cell>
          <cell r="AH137">
            <v>0.82225632035018759</v>
          </cell>
          <cell r="AI137">
            <v>0.79545681120624012</v>
          </cell>
          <cell r="AJ137">
            <v>0.77264487345172583</v>
          </cell>
          <cell r="AK137">
            <v>0.74649152963278886</v>
          </cell>
          <cell r="AL137">
            <v>0.76194431966155973</v>
          </cell>
          <cell r="AM137">
            <v>0.72748695178001088</v>
          </cell>
          <cell r="AN137">
            <v>0.73734313502649806</v>
          </cell>
          <cell r="AO137">
            <v>0.69405682834615978</v>
          </cell>
          <cell r="AP137">
            <v>0.71228529453722733</v>
          </cell>
          <cell r="AQ137">
            <v>0.71001819464557581</v>
          </cell>
          <cell r="AR137">
            <v>0.67623107752788902</v>
          </cell>
          <cell r="AS137">
            <v>0.68464475435768501</v>
          </cell>
          <cell r="AT137">
            <v>0.66418569294462082</v>
          </cell>
          <cell r="AU137">
            <v>0.65843309181754628</v>
          </cell>
          <cell r="AV137">
            <v>0.64022931155620277</v>
          </cell>
          <cell r="AW137">
            <v>0.64631634591888132</v>
          </cell>
          <cell r="AX137">
            <v>0.64810710169341257</v>
          </cell>
          <cell r="AY137">
            <v>0.61773521502780782</v>
          </cell>
          <cell r="AZ137">
            <v>0.61027136595751186</v>
          </cell>
          <cell r="BA137">
            <v>0.58676506936194639</v>
          </cell>
          <cell r="BB137">
            <v>0.61269020112561445</v>
          </cell>
          <cell r="BC137">
            <v>0.59361809618487305</v>
          </cell>
          <cell r="BD137">
            <v>0.57744117259179717</v>
          </cell>
          <cell r="BE137">
            <v>0.5623085250146812</v>
          </cell>
          <cell r="BF137">
            <v>0.60045272100825686</v>
          </cell>
          <cell r="BG137">
            <v>0.57744340494830315</v>
          </cell>
          <cell r="BH137">
            <v>0.5609466686172202</v>
          </cell>
          <cell r="BI137">
            <v>0.54815706352448157</v>
          </cell>
          <cell r="BJ137">
            <v>0.55905707598419452</v>
          </cell>
          <cell r="BK137">
            <v>0.53172913022608148</v>
          </cell>
          <cell r="BL137">
            <v>0.52260180945913381</v>
          </cell>
          <cell r="BM137">
            <v>0.53316047709444381</v>
          </cell>
          <cell r="BN137">
            <v>0.53201565265073159</v>
          </cell>
          <cell r="BO137">
            <v>0.50638036597369007</v>
          </cell>
          <cell r="BP137">
            <v>0.50411996519780955</v>
          </cell>
          <cell r="BQ137">
            <v>0.51489208083331361</v>
          </cell>
          <cell r="BR137">
            <v>0.51146059287149603</v>
          </cell>
          <cell r="BS137">
            <v>0.51182830749656283</v>
          </cell>
          <cell r="BT137">
            <v>0.5074307287398071</v>
          </cell>
          <cell r="BU137">
            <v>0.48507875613264967</v>
          </cell>
          <cell r="BV137">
            <v>0.49836255461374962</v>
          </cell>
          <cell r="BW137">
            <v>0.60650633829862499</v>
          </cell>
          <cell r="BX137">
            <v>0.60906219259421923</v>
          </cell>
          <cell r="BY137">
            <v>0.61728395061728403</v>
          </cell>
          <cell r="BZ137">
            <v>0.62906352438931423</v>
          </cell>
          <cell r="CA137">
            <v>0.60455998925570076</v>
          </cell>
          <cell r="CB137">
            <v>0.61092254052424377</v>
          </cell>
          <cell r="CC137">
            <v>0.62465824800086844</v>
          </cell>
          <cell r="CD137">
            <v>0.61592297813094177</v>
          </cell>
          <cell r="CE137">
            <v>0.59180254506649532</v>
          </cell>
          <cell r="CF137">
            <v>0.61277134563186564</v>
          </cell>
          <cell r="CG137">
            <v>0.63087391259235803</v>
          </cell>
          <cell r="CH137">
            <v>0.63573521892576101</v>
          </cell>
          <cell r="CI137">
            <v>0.65231688087291506</v>
          </cell>
          <cell r="CJ137">
            <v>0.62749612624711237</v>
          </cell>
          <cell r="CK137">
            <v>0.640416024367232</v>
          </cell>
          <cell r="CL137">
            <v>0.6627804522372126</v>
          </cell>
          <cell r="CM137">
            <v>0.66562612673532195</v>
          </cell>
          <cell r="CN137">
            <v>0.63981481706713395</v>
          </cell>
          <cell r="CO137">
            <v>0.65434190827800764</v>
          </cell>
          <cell r="CP137">
            <v>0.66930199327729645</v>
          </cell>
          <cell r="CQ137">
            <v>0.67883898762369022</v>
          </cell>
          <cell r="CR137">
            <v>0.65164566378496336</v>
          </cell>
          <cell r="CS137">
            <v>0.66705659822633689</v>
          </cell>
          <cell r="CT137">
            <v>0.67523890847042578</v>
          </cell>
          <cell r="CU137">
            <v>0.69446546163341927</v>
          </cell>
          <cell r="CV137">
            <v>0.66717764371275723</v>
          </cell>
          <cell r="CW137">
            <v>0.68272626046188478</v>
          </cell>
          <cell r="CX137">
            <v>0.6883747456266408</v>
          </cell>
          <cell r="CY137">
            <v>0.71026758203221374</v>
          </cell>
          <cell r="CZ137">
            <v>0.68283388736485229</v>
          </cell>
          <cell r="DA137">
            <v>0.69784986756611866</v>
          </cell>
          <cell r="DB137">
            <v>0.70239336226960591</v>
          </cell>
          <cell r="DC137"/>
          <cell r="DD137"/>
          <cell r="DE137">
            <v>0.90123609854073428</v>
          </cell>
          <cell r="DF137">
            <v>0.91519111651496676</v>
          </cell>
          <cell r="DG137">
            <v>0.93267751804337162</v>
          </cell>
          <cell r="DH137">
            <v>0.973301633525959</v>
          </cell>
          <cell r="DI137">
            <v>1</v>
          </cell>
          <cell r="DJ137">
            <v>0.94049708766158868</v>
          </cell>
          <cell r="DK137">
            <v>0.8548186265986738</v>
          </cell>
          <cell r="DL137">
            <v>0.76843920140630639</v>
          </cell>
          <cell r="DM137">
            <v>0.71708663148320839</v>
          </cell>
          <cell r="DN137">
            <v>0.68323381884278567</v>
          </cell>
          <cell r="DO137">
            <v>0.64810592731003525</v>
          </cell>
        </row>
        <row r="138">
          <cell r="A138" t="str">
            <v>% growth in revenue y-o-y</v>
          </cell>
          <cell r="B138"/>
          <cell r="C138" t="str">
            <v>NA</v>
          </cell>
          <cell r="D138" t="str">
            <v>NA</v>
          </cell>
          <cell r="E138" t="str">
            <v>NA</v>
          </cell>
          <cell r="F138" t="str">
            <v>NA</v>
          </cell>
          <cell r="G138" t="str">
            <v>NA</v>
          </cell>
          <cell r="H138" t="str">
            <v>NA</v>
          </cell>
          <cell r="I138" t="str">
            <v>NA</v>
          </cell>
          <cell r="J138">
            <v>-0.56545713412377929</v>
          </cell>
          <cell r="K138">
            <v>0.56419125668520342</v>
          </cell>
          <cell r="L138">
            <v>0.13815921870375836</v>
          </cell>
          <cell r="M138">
            <v>8.0514978438149365E-2</v>
          </cell>
          <cell r="N138">
            <v>4.908230982108952E-2</v>
          </cell>
          <cell r="O138">
            <v>4.5639342031401631E-2</v>
          </cell>
          <cell r="P138">
            <v>0.42839015663678159</v>
          </cell>
          <cell r="Q138">
            <v>0.3865793084787692</v>
          </cell>
          <cell r="R138">
            <v>0.3060893194290053</v>
          </cell>
          <cell r="S138">
            <v>7.7257198633479574E-2</v>
          </cell>
          <cell r="T138">
            <v>-0.17539720680967563</v>
          </cell>
          <cell r="U138">
            <v>-0.17136166594650348</v>
          </cell>
          <cell r="V138">
            <v>5.025668738178668E-3</v>
          </cell>
          <cell r="W138">
            <v>8.345791993234597E-2</v>
          </cell>
          <cell r="X138">
            <v>0.26264062306836422</v>
          </cell>
          <cell r="Y138">
            <v>0.21420040707160748</v>
          </cell>
          <cell r="Z138">
            <v>6.1270029035380258E-2</v>
          </cell>
          <cell r="AA138">
            <v>0.10469646179899783</v>
          </cell>
          <cell r="AB138">
            <v>0.1738455405660575</v>
          </cell>
          <cell r="AC138">
            <v>0.20173725115331864</v>
          </cell>
          <cell r="AD138">
            <v>0.24892336922102598</v>
          </cell>
          <cell r="AE138">
            <v>0.13973326646226836</v>
          </cell>
          <cell r="AF138">
            <v>0.10113322847593365</v>
          </cell>
          <cell r="AG138">
            <v>9.7485791688281864E-2</v>
          </cell>
          <cell r="AH138">
            <v>0.12017491442914729</v>
          </cell>
          <cell r="AI138">
            <v>0.14476346958483011</v>
          </cell>
          <cell r="AJ138">
            <v>0.15158932808122882</v>
          </cell>
          <cell r="AK138">
            <v>8.9340110054048072E-2</v>
          </cell>
          <cell r="AL138">
            <v>0.10720288642545506</v>
          </cell>
          <cell r="AM138">
            <v>8.3710743952702504E-2</v>
          </cell>
          <cell r="AN138">
            <v>0.1583453775737218</v>
          </cell>
          <cell r="AO138">
            <v>0.17095606611140268</v>
          </cell>
          <cell r="AP138">
            <v>0.16360056045070404</v>
          </cell>
          <cell r="AQ138">
            <v>0.19440057109713127</v>
          </cell>
          <cell r="AR138">
            <v>7.4466315947448791E-2</v>
          </cell>
          <cell r="AS138">
            <v>0.12446062123258339</v>
          </cell>
          <cell r="AT138">
            <v>-2.9866479269149648E-2</v>
          </cell>
          <cell r="AU138">
            <v>-9.2270854423405324E-2</v>
          </cell>
          <cell r="AV138">
            <v>-5.0585126462816099E-2</v>
          </cell>
          <cell r="AW138">
            <v>-5.0897107286708265E-2</v>
          </cell>
          <cell r="AX138">
            <v>5.9036580948931494E-2</v>
          </cell>
          <cell r="AY138">
            <v>5.3129230452674925E-2</v>
          </cell>
          <cell r="AZ138">
            <v>0.1123997340357854</v>
          </cell>
          <cell r="BA138">
            <v>6.9019402006172959E-2</v>
          </cell>
          <cell r="BB138">
            <v>0.1099757250341995</v>
          </cell>
          <cell r="BC138">
            <v>0.13867977457719838</v>
          </cell>
          <cell r="BD138">
            <v>9.5548511452821838E-2</v>
          </cell>
          <cell r="BE138">
            <v>0.14728137495079241</v>
          </cell>
          <cell r="BF138">
            <v>0.14586994671276465</v>
          </cell>
          <cell r="BG138">
            <v>0.16815374056280019</v>
          </cell>
          <cell r="BH138">
            <v>0.12593800978792835</v>
          </cell>
          <cell r="BI138">
            <v>0.10600817867253864</v>
          </cell>
          <cell r="BJ138">
            <v>0.11239580532401194</v>
          </cell>
          <cell r="BK138">
            <v>5.111633372502955E-2</v>
          </cell>
          <cell r="BL138">
            <v>0.10605621558968403</v>
          </cell>
          <cell r="BM138">
            <v>8.0773606370875939E-2</v>
          </cell>
          <cell r="BN138">
            <v>3.1907179115300943E-2</v>
          </cell>
          <cell r="BO138">
            <v>6.2604807154835074E-2</v>
          </cell>
          <cell r="BP138">
            <v>3.2224259889966023E-2</v>
          </cell>
          <cell r="BQ138">
            <v>2.8421052631578902E-2</v>
          </cell>
          <cell r="BR138">
            <v>2.0145233075661739E-2</v>
          </cell>
          <cell r="BS138">
            <v>2.4197790636507177E-2</v>
          </cell>
          <cell r="BT138">
            <v>2.6142131979695504E-2</v>
          </cell>
          <cell r="BU138">
            <v>9.4677584442168783E-3</v>
          </cell>
          <cell r="BV138">
            <v>3.5361653272101057E-2</v>
          </cell>
          <cell r="BW138">
            <v>2.6065742167437067E-2</v>
          </cell>
          <cell r="BX138">
            <v>1.5335147167944596E-2</v>
          </cell>
          <cell r="BY138">
            <v>4.638783269961988E-2</v>
          </cell>
          <cell r="BZ138">
            <v>2.4839210467953121E-2</v>
          </cell>
          <cell r="CA138">
            <v>2.6980352897008064E-3</v>
          </cell>
          <cell r="CB138">
            <v>3.1688185140072989E-2</v>
          </cell>
          <cell r="CC138">
            <v>4.5523255813953334E-2</v>
          </cell>
          <cell r="CD138">
            <v>3.678857390175283E-2</v>
          </cell>
          <cell r="CE138">
            <v>2.9883083558812862E-2</v>
          </cell>
          <cell r="CF138">
            <v>7.4123747367228043E-2</v>
          </cell>
          <cell r="CG138">
            <v>7.068713043800634E-2</v>
          </cell>
          <cell r="CH138">
            <v>6.4030473805051003E-2</v>
          </cell>
          <cell r="CI138">
            <v>0.12285629948696264</v>
          </cell>
          <cell r="CJ138">
            <v>6.4890625884514108E-2</v>
          </cell>
          <cell r="CK138">
            <v>5.7194025817387084E-2</v>
          </cell>
          <cell r="CL138">
            <v>0.11281667914441607</v>
          </cell>
          <cell r="CM138">
            <v>9.8962415439434626E-2</v>
          </cell>
          <cell r="CN138">
            <v>9.2308533469163345E-2</v>
          </cell>
          <cell r="CO138">
            <v>9.696687004172011E-2</v>
          </cell>
          <cell r="CP138">
            <v>6.1270596282925638E-2</v>
          </cell>
          <cell r="CQ138">
            <v>9.8127356098071106E-2</v>
          </cell>
          <cell r="CR138">
            <v>8.9059885825853558E-2</v>
          </cell>
          <cell r="CS138">
            <v>9.1299607683805961E-2</v>
          </cell>
          <cell r="CT138">
            <v>5.8052200202179494E-2</v>
          </cell>
          <cell r="CU138">
            <v>0.11015357696810257</v>
          </cell>
          <cell r="CV138">
            <v>0.10616081071178418</v>
          </cell>
          <cell r="CW138">
            <v>0.10604564776764236</v>
          </cell>
          <cell r="CX138">
            <v>9.3018352885082534E-2</v>
          </cell>
          <cell r="CY138">
            <v>0.111325042477322</v>
          </cell>
          <cell r="CZ138">
            <v>0.10641701798431202</v>
          </cell>
          <cell r="DA138">
            <v>0.10362204441243272</v>
          </cell>
          <cell r="DB138">
            <v>9.7694279447467558E-2</v>
          </cell>
          <cell r="DC138"/>
          <cell r="DD138" t="str">
            <v>NA</v>
          </cell>
          <cell r="DE138" t="str">
            <v>NA</v>
          </cell>
          <cell r="DF138">
            <v>0.18459781816180798</v>
          </cell>
          <cell r="DG138">
            <v>0.28162249040757348</v>
          </cell>
          <cell r="DH138">
            <v>-6.9652047843421494E-2</v>
          </cell>
          <cell r="DI138">
            <v>0.14683481181067704</v>
          </cell>
          <cell r="DJ138">
            <v>0.18396727960784465</v>
          </cell>
          <cell r="DK138">
            <v>0.11439036748840836</v>
          </cell>
          <cell r="DL138">
            <v>0.12212102392462354</v>
          </cell>
          <cell r="DM138">
            <v>0.14511221347502423</v>
          </cell>
          <cell r="DN138">
            <v>8.3813641933069505E-2</v>
          </cell>
          <cell r="DO138">
            <v>-3.3001448510400544E-2</v>
          </cell>
        </row>
        <row r="139">
          <cell r="A139" t="str">
            <v>% growth in revenue seq</v>
          </cell>
          <cell r="B139"/>
          <cell r="C139" t="str">
            <v>NA</v>
          </cell>
          <cell r="D139" t="str">
            <v>NA</v>
          </cell>
          <cell r="E139" t="str">
            <v>NA</v>
          </cell>
          <cell r="F139" t="str">
            <v>NA</v>
          </cell>
          <cell r="G139">
            <v>-0.69768657796940103</v>
          </cell>
          <cell r="H139">
            <v>0.1238458877684061</v>
          </cell>
          <cell r="I139">
            <v>0.13372003551346534</v>
          </cell>
          <cell r="J139">
            <v>0.128138998235374</v>
          </cell>
          <cell r="K139">
            <v>8.8214877409920067E-2</v>
          </cell>
          <cell r="L139">
            <v>-0.18225117798152646</v>
          </cell>
          <cell r="M139">
            <v>7.6300626131092342E-2</v>
          </cell>
          <cell r="N139">
            <v>9.5320925378326482E-2</v>
          </cell>
          <cell r="O139">
            <v>8.4643481022709466E-2</v>
          </cell>
          <cell r="P139">
            <v>0.11708150317227917</v>
          </cell>
          <cell r="Q139">
            <v>4.4795899049033583E-2</v>
          </cell>
          <cell r="R139">
            <v>3.1738288055977781E-2</v>
          </cell>
          <cell r="S139">
            <v>-0.10539043501756307</v>
          </cell>
          <cell r="T139">
            <v>-0.14491309140881004</v>
          </cell>
          <cell r="U139">
            <v>4.9909047560178665E-2</v>
          </cell>
          <cell r="V139">
            <v>0.25135830712038887</v>
          </cell>
          <cell r="W139">
            <v>-3.5575061834605681E-2</v>
          </cell>
          <cell r="X139">
            <v>-3.4984772564136124E-3</v>
          </cell>
          <cell r="Y139">
            <v>9.6301114071712934E-3</v>
          </cell>
          <cell r="Z139">
            <v>9.3747835362897325E-2</v>
          </cell>
          <cell r="AA139">
            <v>3.8885370487651283E-3</v>
          </cell>
          <cell r="AB139">
            <v>5.8878080169574742E-2</v>
          </cell>
          <cell r="AC139">
            <v>3.3619903840998111E-2</v>
          </cell>
          <cell r="AD139">
            <v>0.1366937575652778</v>
          </cell>
          <cell r="AE139">
            <v>-8.3878811389163643E-2</v>
          </cell>
          <cell r="AF139">
            <v>2.301641383047448E-2</v>
          </cell>
          <cell r="AG139">
            <v>3.0196100831314299E-2</v>
          </cell>
          <cell r="AH139">
            <v>0.16019345512810457</v>
          </cell>
          <cell r="AI139">
            <v>-6.3769365904101205E-2</v>
          </cell>
          <cell r="AJ139">
            <v>2.9116333565712527E-2</v>
          </cell>
          <cell r="AK139">
            <v>-2.5491200299073147E-2</v>
          </cell>
          <cell r="AL139">
            <v>0.17921807016361879</v>
          </cell>
          <cell r="AM139">
            <v>-8.3633894540350417E-2</v>
          </cell>
          <cell r="AN139">
            <v>9.9991076607326201E-2</v>
          </cell>
          <cell r="AO139">
            <v>-1.488190605213735E-2</v>
          </cell>
          <cell r="AP139">
            <v>0.17181066570045123</v>
          </cell>
          <cell r="AQ139">
            <v>-5.9378074490513022E-2</v>
          </cell>
          <cell r="AR139">
            <v>-1.0463165994897494E-2</v>
          </cell>
          <cell r="AS139">
            <v>3.0955077387693652E-2</v>
          </cell>
          <cell r="AT139">
            <v>1.0984987184181616E-2</v>
          </cell>
          <cell r="AU139">
            <v>-0.11988409996378135</v>
          </cell>
          <cell r="AV139">
            <v>3.4979423868312765E-2</v>
          </cell>
          <cell r="AW139">
            <v>3.0616302186878608E-2</v>
          </cell>
          <cell r="AX139">
            <v>0.12808641975308666</v>
          </cell>
          <cell r="AY139">
            <v>-0.1247934233926129</v>
          </cell>
          <cell r="AZ139">
            <v>9.3228449607029029E-2</v>
          </cell>
          <cell r="BA139">
            <v>-9.574715498639752E-3</v>
          </cell>
          <cell r="BB139">
            <v>0.17130572122154653</v>
          </cell>
          <cell r="BC139">
            <v>-0.1021605203761774</v>
          </cell>
          <cell r="BD139">
            <v>5.1818805765271092E-2</v>
          </cell>
          <cell r="BE139">
            <v>3.7194127243066699E-2</v>
          </cell>
          <cell r="BF139">
            <v>0.16986473733878582</v>
          </cell>
          <cell r="BG139">
            <v>-8.4700188222640471E-2</v>
          </cell>
          <cell r="BH139">
            <v>1.3807285546416193E-2</v>
          </cell>
          <cell r="BI139">
            <v>1.8835120254998561E-2</v>
          </cell>
          <cell r="BJ139">
            <v>0.17662116040955622</v>
          </cell>
          <cell r="BK139">
            <v>-0.13512206913222136</v>
          </cell>
          <cell r="BL139">
            <v>6.6797093348239134E-2</v>
          </cell>
          <cell r="BM139">
            <v>-4.4537594969871197E-3</v>
          </cell>
          <cell r="BN139">
            <v>0.12342105263157888</v>
          </cell>
          <cell r="BO139">
            <v>-0.10939330053876783</v>
          </cell>
          <cell r="BP139">
            <v>3.6296685954760655E-2</v>
          </cell>
          <cell r="BQ139">
            <v>-8.1218274111675148E-3</v>
          </cell>
          <cell r="BR139">
            <v>0.11438075742067544</v>
          </cell>
          <cell r="BS139">
            <v>-0.1058553386911596</v>
          </cell>
          <cell r="BT139">
            <v>3.8263995891114622E-2</v>
          </cell>
          <cell r="BU139">
            <v>-2.4239426168686684E-2</v>
          </cell>
          <cell r="BV139">
            <v>0.14296577946768063</v>
          </cell>
          <cell r="BW139">
            <v>-0.11388334442226655</v>
          </cell>
          <cell r="BX139">
            <v>2.7405831560505467E-2</v>
          </cell>
          <cell r="BY139">
            <v>5.6029232643117766E-3</v>
          </cell>
          <cell r="BZ139">
            <v>0.11942829457364335</v>
          </cell>
          <cell r="CA139">
            <v>-0.13302748322873847</v>
          </cell>
          <cell r="CB139">
            <v>5.7110336771269088E-2</v>
          </cell>
          <cell r="CC139">
            <v>1.9088187236132592E-2</v>
          </cell>
          <cell r="CD139">
            <v>0.11007618306178069</v>
          </cell>
          <cell r="CE139">
            <v>-0.13880192026716764</v>
          </cell>
          <cell r="CF139">
            <v>0.10252060106640792</v>
          </cell>
          <cell r="CG139">
            <v>1.5827654429545035E-2</v>
          </cell>
          <cell r="CH139">
            <v>0.10317463752434519</v>
          </cell>
          <cell r="CI139">
            <v>-9.1189855234110606E-2</v>
          </cell>
          <cell r="CJ139">
            <v>4.5604725606128049E-2</v>
          </cell>
          <cell r="CK139">
            <v>8.4856617373116894E-3</v>
          </cell>
          <cell r="CL139">
            <v>0.16121649069765009</v>
          </cell>
          <cell r="CM139">
            <v>-0.10250429330762101</v>
          </cell>
          <cell r="CN139">
            <v>3.9273908160511128E-2</v>
          </cell>
          <cell r="CO139">
            <v>1.2786521336064061E-2</v>
          </cell>
          <cell r="CP139">
            <v>0.12342947736369814</v>
          </cell>
          <cell r="CQ139">
            <v>-7.1335255163585964E-2</v>
          </cell>
          <cell r="CR139">
            <v>3.0692403278945068E-2</v>
          </cell>
          <cell r="CS139">
            <v>1.4869382103225526E-2</v>
          </cell>
          <cell r="CT139">
            <v>8.9203204992853724E-2</v>
          </cell>
          <cell r="CU139">
            <v>-2.5605269676380105E-2</v>
          </cell>
          <cell r="CV139">
            <v>2.698542621393818E-2</v>
          </cell>
          <cell r="CW139">
            <v>1.4763723554459096E-2</v>
          </cell>
          <cell r="CX139">
            <v>7.6374284805780235E-2</v>
          </cell>
          <cell r="CY139">
            <v>-9.2853773147705265E-3</v>
          </cell>
          <cell r="CZ139">
            <v>2.2449876817349335E-2</v>
          </cell>
          <cell r="DA139">
            <v>1.2200279805009595E-2</v>
          </cell>
          <cell r="DB139">
            <v>7.0592872766246151E-2</v>
          </cell>
          <cell r="DC139"/>
          <cell r="DD139"/>
          <cell r="DE139"/>
          <cell r="DF139"/>
          <cell r="DG139"/>
          <cell r="DH139"/>
          <cell r="DI139"/>
          <cell r="DJ139"/>
          <cell r="DK139"/>
          <cell r="DL139"/>
          <cell r="DM139"/>
          <cell r="DN139"/>
          <cell r="DO139"/>
        </row>
        <row r="140">
          <cell r="A140"/>
          <cell r="B140"/>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cell r="AH140"/>
          <cell r="AI140"/>
          <cell r="AJ140"/>
          <cell r="AK140"/>
          <cell r="AL140"/>
          <cell r="AM140"/>
          <cell r="AN140"/>
          <cell r="AO140"/>
          <cell r="AP140"/>
          <cell r="AQ140"/>
          <cell r="AR140"/>
          <cell r="AS140"/>
          <cell r="AT140"/>
          <cell r="AU140"/>
          <cell r="AV140"/>
          <cell r="AW140"/>
          <cell r="AX140"/>
          <cell r="AY140"/>
          <cell r="AZ140"/>
          <cell r="BA140"/>
          <cell r="BB140"/>
          <cell r="BC140"/>
          <cell r="BD140"/>
          <cell r="BE140"/>
          <cell r="BF140"/>
          <cell r="BG140"/>
          <cell r="BH140"/>
          <cell r="BI140"/>
          <cell r="BJ140"/>
          <cell r="BK140">
            <v>-2</v>
          </cell>
          <cell r="BL140"/>
          <cell r="BM140"/>
          <cell r="BN140"/>
          <cell r="BO140">
            <v>-6</v>
          </cell>
          <cell r="BP140"/>
          <cell r="BQ140"/>
          <cell r="BR140"/>
          <cell r="BS140"/>
          <cell r="BT140"/>
          <cell r="BU140"/>
          <cell r="BV140"/>
          <cell r="BW140"/>
          <cell r="BX140"/>
          <cell r="BY140"/>
          <cell r="BZ140"/>
          <cell r="CA140"/>
          <cell r="CB140"/>
          <cell r="CC140"/>
          <cell r="CD140"/>
          <cell r="CE140"/>
          <cell r="CF140"/>
          <cell r="CG140"/>
          <cell r="CH140"/>
          <cell r="CI140"/>
          <cell r="CJ140"/>
          <cell r="CK140"/>
          <cell r="CL140"/>
          <cell r="CM140"/>
          <cell r="CN140"/>
          <cell r="CO140"/>
          <cell r="CP140"/>
          <cell r="CQ140"/>
          <cell r="CR140"/>
          <cell r="CS140"/>
          <cell r="CT140"/>
          <cell r="CU140"/>
          <cell r="CV140"/>
          <cell r="CW140"/>
          <cell r="CX140"/>
          <cell r="CY140"/>
          <cell r="CZ140"/>
          <cell r="DA140"/>
          <cell r="DB140"/>
          <cell r="DC140"/>
          <cell r="DD140"/>
          <cell r="DE140"/>
          <cell r="DF140"/>
          <cell r="DG140"/>
          <cell r="DH140"/>
          <cell r="DI140"/>
          <cell r="DJ140"/>
          <cell r="DK140"/>
          <cell r="DL140"/>
          <cell r="DM140"/>
          <cell r="DN140"/>
          <cell r="DO140"/>
        </row>
        <row r="141">
          <cell r="A141" t="str">
            <v>Software licenses</v>
          </cell>
          <cell r="B141"/>
          <cell r="C141">
            <v>0</v>
          </cell>
          <cell r="D141">
            <v>0</v>
          </cell>
          <cell r="E141">
            <v>0</v>
          </cell>
          <cell r="F141">
            <v>206.35500000000002</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96.873999999999995</v>
          </cell>
          <cell r="X141">
            <v>92.2</v>
          </cell>
          <cell r="Y141">
            <v>90.1</v>
          </cell>
          <cell r="Z141">
            <v>95.3</v>
          </cell>
          <cell r="AA141">
            <v>87.426000000000002</v>
          </cell>
          <cell r="AB141">
            <v>87.715999999999994</v>
          </cell>
          <cell r="AC141">
            <v>88.454999999999998</v>
          </cell>
          <cell r="AD141">
            <v>106.229</v>
          </cell>
          <cell r="AE141">
            <v>89.768708000000004</v>
          </cell>
          <cell r="AF141">
            <v>89.832845750000004</v>
          </cell>
          <cell r="AG141">
            <v>89.254092890625003</v>
          </cell>
          <cell r="AH141">
            <v>115.04279808496094</v>
          </cell>
          <cell r="AI141">
            <v>97.587609704650873</v>
          </cell>
          <cell r="AJ141">
            <v>96.954392491569521</v>
          </cell>
          <cell r="AK141">
            <v>89.503123000000002</v>
          </cell>
          <cell r="AL141">
            <v>117.29248699999999</v>
          </cell>
          <cell r="AM141">
            <v>98.630226259999986</v>
          </cell>
          <cell r="AN141">
            <v>115.73860807999999</v>
          </cell>
          <cell r="AO141">
            <v>105.40600000000001</v>
          </cell>
          <cell r="AP141">
            <v>138.81363499999998</v>
          </cell>
          <cell r="AQ141">
            <v>118.73501599999999</v>
          </cell>
          <cell r="AR141">
            <v>113.54675739644971</v>
          </cell>
          <cell r="AS141">
            <v>118.51398730404244</v>
          </cell>
          <cell r="AT141">
            <v>117.43505024</v>
          </cell>
          <cell r="AU141">
            <v>81.292592592592598</v>
          </cell>
          <cell r="AV141">
            <v>88.184307692307698</v>
          </cell>
          <cell r="AW141">
            <v>92.210000000000008</v>
          </cell>
          <cell r="AX141">
            <v>122.28966666666665</v>
          </cell>
          <cell r="AY141">
            <v>85.298592592592598</v>
          </cell>
          <cell r="AZ141">
            <v>101.42530769230771</v>
          </cell>
          <cell r="BA141">
            <v>95.50800000000001</v>
          </cell>
          <cell r="BB141">
            <v>140.92166666666662</v>
          </cell>
          <cell r="BC141">
            <v>102.75259259259258</v>
          </cell>
          <cell r="BD141">
            <v>111.71830769230769</v>
          </cell>
          <cell r="BE141">
            <v>119.63</v>
          </cell>
          <cell r="BF141">
            <v>165.41366666666664</v>
          </cell>
          <cell r="BG141">
            <v>120.35659259259259</v>
          </cell>
          <cell r="BH141">
            <v>119.2093076923077</v>
          </cell>
          <cell r="BI141">
            <v>117.03999999999999</v>
          </cell>
          <cell r="BJ141">
            <v>169.0406666666666</v>
          </cell>
          <cell r="BK141">
            <v>106.07559259259259</v>
          </cell>
          <cell r="BL141">
            <v>121.40730769230771</v>
          </cell>
          <cell r="BM141">
            <v>112.29300000000001</v>
          </cell>
          <cell r="BN141">
            <v>154.85566666666665</v>
          </cell>
          <cell r="BO141">
            <v>100.6165925925926</v>
          </cell>
          <cell r="BP141">
            <v>111.78430769230771</v>
          </cell>
          <cell r="BQ141">
            <v>100.30299999999998</v>
          </cell>
          <cell r="BR141">
            <v>141.83366666666666</v>
          </cell>
          <cell r="BS141">
            <v>90.873592592592601</v>
          </cell>
          <cell r="BT141">
            <v>104.26630769230769</v>
          </cell>
          <cell r="BU141">
            <v>93.00200000000001</v>
          </cell>
          <cell r="BV141">
            <v>143.21333333333328</v>
          </cell>
          <cell r="BW141">
            <v>84.723428649757693</v>
          </cell>
          <cell r="BX141">
            <v>100.26664933279905</v>
          </cell>
          <cell r="BY141">
            <v>93.6518934522488</v>
          </cell>
          <cell r="BZ141">
            <v>142.73287086512727</v>
          </cell>
          <cell r="CA141">
            <v>84.28993009507748</v>
          </cell>
          <cell r="CB141">
            <v>98.247439528100642</v>
          </cell>
          <cell r="CC141">
            <v>100.20023806290359</v>
          </cell>
          <cell r="CD141">
            <v>142.70830685431196</v>
          </cell>
          <cell r="CE141">
            <v>69.686865356224615</v>
          </cell>
          <cell r="CF141">
            <v>101.33365947461459</v>
          </cell>
          <cell r="CG141">
            <v>93.083421299273979</v>
          </cell>
          <cell r="CH141">
            <v>128.99661252921626</v>
          </cell>
          <cell r="CI141">
            <v>70.890539809181874</v>
          </cell>
          <cell r="CJ141">
            <v>82.617068578655477</v>
          </cell>
          <cell r="CK141">
            <v>75.314660903853081</v>
          </cell>
          <cell r="CL141">
            <v>139.59799195733993</v>
          </cell>
          <cell r="CM141">
            <v>67.351547041059646</v>
          </cell>
          <cell r="CN141">
            <v>76.65330710495229</v>
          </cell>
          <cell r="CO141">
            <v>72.297874677958305</v>
          </cell>
          <cell r="CP141">
            <v>119.68440406715138</v>
          </cell>
          <cell r="CQ141">
            <v>65.325470656483461</v>
          </cell>
          <cell r="CR141">
            <v>71.743513897355456</v>
          </cell>
          <cell r="CS141">
            <v>70.598298216190614</v>
          </cell>
          <cell r="CT141">
            <v>99.189959836543025</v>
          </cell>
          <cell r="CU141">
            <v>73.926346152574254</v>
          </cell>
          <cell r="CV141">
            <v>79.100381285532478</v>
          </cell>
          <cell r="CW141">
            <v>78.742767670616132</v>
          </cell>
          <cell r="CX141">
            <v>100.68833246411663</v>
          </cell>
          <cell r="CY141">
            <v>86.827106058529239</v>
          </cell>
          <cell r="CZ141">
            <v>91.986360101023124</v>
          </cell>
          <cell r="DA141">
            <v>91.359902457699405</v>
          </cell>
          <cell r="DB141">
            <v>114.07777023592089</v>
          </cell>
          <cell r="DC141"/>
          <cell r="DD141" t="e">
            <v>#REF!</v>
          </cell>
          <cell r="DE141">
            <v>0</v>
          </cell>
          <cell r="DF141">
            <v>0</v>
          </cell>
          <cell r="DG141">
            <v>0</v>
          </cell>
          <cell r="DH141">
            <v>0</v>
          </cell>
          <cell r="DI141">
            <v>374.47399999999999</v>
          </cell>
          <cell r="DJ141">
            <v>369.82599999999996</v>
          </cell>
          <cell r="DK141">
            <v>383.89844472558593</v>
          </cell>
          <cell r="DL141">
            <v>401.33761219622039</v>
          </cell>
          <cell r="DM141">
            <v>458.58846933999996</v>
          </cell>
          <cell r="DN141">
            <v>468.23081094049212</v>
          </cell>
          <cell r="DO141">
            <v>383.97656695156695</v>
          </cell>
        </row>
        <row r="142">
          <cell r="A142" t="str">
            <v>% of revenue</v>
          </cell>
          <cell r="B142"/>
          <cell r="C142" t="e">
            <v>#DIV/0!</v>
          </cell>
          <cell r="D142" t="e">
            <v>#DIV/0!</v>
          </cell>
          <cell r="E142" t="e">
            <v>#DIV/0!</v>
          </cell>
          <cell r="F142">
            <v>0.8299481973648225</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0.67512248154936538</v>
          </cell>
          <cell r="X142">
            <v>0.644804845127947</v>
          </cell>
          <cell r="Y142">
            <v>0.62410816951359738</v>
          </cell>
          <cell r="Z142">
            <v>0.60354654844838507</v>
          </cell>
          <cell r="AA142">
            <v>0.54197507904035713</v>
          </cell>
          <cell r="AB142">
            <v>0.49195185696178395</v>
          </cell>
          <cell r="AC142">
            <v>0.47156382944695013</v>
          </cell>
          <cell r="AD142">
            <v>0.49647375529871424</v>
          </cell>
          <cell r="AE142">
            <v>0.44464167616028533</v>
          </cell>
          <cell r="AF142">
            <v>0.42528651723958361</v>
          </cell>
          <cell r="AG142">
            <v>0.39328165999385317</v>
          </cell>
          <cell r="AH142">
            <v>0.42821600144780286</v>
          </cell>
          <cell r="AI142">
            <v>0.37533984763210054</v>
          </cell>
          <cell r="AJ142">
            <v>0.35196245114339786</v>
          </cell>
          <cell r="AK142">
            <v>0.32212633029933313</v>
          </cell>
          <cell r="AL142">
            <v>0.36539487915963137</v>
          </cell>
          <cell r="AM142">
            <v>0.32013653975487516</v>
          </cell>
          <cell r="AN142">
            <v>0.34614554222344512</v>
          </cell>
          <cell r="AO142">
            <v>0.30121938324984071</v>
          </cell>
          <cell r="AP142">
            <v>0.34741711486914317</v>
          </cell>
          <cell r="AQ142">
            <v>0.31491859089631169</v>
          </cell>
          <cell r="AR142">
            <v>0.28985974369195544</v>
          </cell>
          <cell r="AS142">
            <v>0.29710721247061855</v>
          </cell>
          <cell r="AT142">
            <v>0.28250155820224826</v>
          </cell>
          <cell r="AU142">
            <v>0.22027050651277738</v>
          </cell>
          <cell r="AV142">
            <v>0.22448579961791854</v>
          </cell>
          <cell r="AW142">
            <v>0.22992604265887367</v>
          </cell>
          <cell r="AX142">
            <v>0.27105609244318346</v>
          </cell>
          <cell r="AY142">
            <v>0.20589997053286874</v>
          </cell>
          <cell r="AZ142">
            <v>0.22124347002137218</v>
          </cell>
          <cell r="BA142">
            <v>0.20224761928963034</v>
          </cell>
          <cell r="BB142">
            <v>0.26602831047776265</v>
          </cell>
          <cell r="BC142">
            <v>0.20931982976278207</v>
          </cell>
          <cell r="BD142">
            <v>0.21047553211685921</v>
          </cell>
          <cell r="BE142">
            <v>0.21160418008023377</v>
          </cell>
          <cell r="BF142">
            <v>0.26706933649355413</v>
          </cell>
          <cell r="BG142">
            <v>0.20416897953772736</v>
          </cell>
          <cell r="BH142">
            <v>0.19377010726793731</v>
          </cell>
          <cell r="BI142">
            <v>0.18246957541213116</v>
          </cell>
          <cell r="BJ142">
            <v>0.22843456811478252</v>
          </cell>
          <cell r="BK142">
            <v>0.15763969420758922</v>
          </cell>
          <cell r="BL142">
            <v>0.16622394205282112</v>
          </cell>
          <cell r="BM142">
            <v>0.1575531301430694</v>
          </cell>
          <cell r="BN142">
            <v>0.19298580128444787</v>
          </cell>
          <cell r="BO142">
            <v>0.13400911883235853</v>
          </cell>
          <cell r="BP142">
            <v>0.1430271606688005</v>
          </cell>
          <cell r="BQ142">
            <v>0.13215255983578261</v>
          </cell>
          <cell r="BR142">
            <v>0.16657251720429728</v>
          </cell>
          <cell r="BS142">
            <v>0.11944447121930885</v>
          </cell>
          <cell r="BT142">
            <v>0.13086304352044681</v>
          </cell>
          <cell r="BU142">
            <v>0.11435562605284839</v>
          </cell>
          <cell r="BV142">
            <v>0.15828822944056431</v>
          </cell>
          <cell r="BW142">
            <v>0.12860792511192429</v>
          </cell>
          <cell r="BX142">
            <v>0.1487664440601956</v>
          </cell>
          <cell r="BY142">
            <v>0.14004314625240574</v>
          </cell>
          <cell r="BZ142">
            <v>0.19430435575118332</v>
          </cell>
          <cell r="CA142">
            <v>0.12719610020428881</v>
          </cell>
          <cell r="CB142">
            <v>0.14172477345530488</v>
          </cell>
          <cell r="CC142">
            <v>0.14502332100141635</v>
          </cell>
          <cell r="CD142">
            <v>0.18346342175272826</v>
          </cell>
          <cell r="CE142">
            <v>9.9953621608143264E-2</v>
          </cell>
          <cell r="CF142">
            <v>0.13650112744352791</v>
          </cell>
          <cell r="CG142">
            <v>0.12708050680059685</v>
          </cell>
          <cell r="CH142">
            <v>0.16086973266142426</v>
          </cell>
          <cell r="CI142">
            <v>9.9814468236649953E-2</v>
          </cell>
          <cell r="CJ142">
            <v>0.10701875382319141</v>
          </cell>
          <cell r="CK142">
            <v>9.8730434090471025E-2</v>
          </cell>
          <cell r="CL142">
            <v>0.16309663423769782</v>
          </cell>
          <cell r="CM142">
            <v>8.8052500353676844E-2</v>
          </cell>
          <cell r="CN142">
            <v>9.2687020731368461E-2</v>
          </cell>
          <cell r="CO142">
            <v>8.8276699348123822E-2</v>
          </cell>
          <cell r="CP142">
            <v>0.13305453600327599</v>
          </cell>
          <cell r="CQ142">
            <v>7.9315920833356396E-2</v>
          </cell>
          <cell r="CR142">
            <v>8.1129000342473542E-2</v>
          </cell>
          <cell r="CS142">
            <v>8.0524629908117595E-2</v>
          </cell>
          <cell r="CT142">
            <v>0.10514486885323443</v>
          </cell>
          <cell r="CU142">
            <v>8.2713781543468173E-2</v>
          </cell>
          <cell r="CV142">
            <v>8.2791121378442648E-2</v>
          </cell>
          <cell r="CW142">
            <v>8.311053019153504E-2</v>
          </cell>
          <cell r="CX142">
            <v>9.9549603188150648E-2</v>
          </cell>
          <cell r="CY142">
            <v>8.940549294961378E-2</v>
          </cell>
          <cell r="CZ142">
            <v>8.9060136388739802E-2</v>
          </cell>
          <cell r="DA142">
            <v>8.9309165297775384E-2</v>
          </cell>
          <cell r="DB142">
            <v>0.10484204356077348</v>
          </cell>
          <cell r="DC142"/>
          <cell r="DD142"/>
          <cell r="DE142">
            <v>0</v>
          </cell>
          <cell r="DF142">
            <v>0</v>
          </cell>
          <cell r="DG142">
            <v>0</v>
          </cell>
          <cell r="DH142">
            <v>0</v>
          </cell>
          <cell r="DI142">
            <v>0.63605357828333442</v>
          </cell>
          <cell r="DJ142">
            <v>0.49898469555033548</v>
          </cell>
          <cell r="DK142">
            <v>0.42245972335388154</v>
          </cell>
          <cell r="DL142">
            <v>0.35381370866239603</v>
          </cell>
          <cell r="DM142">
            <v>0.32945946694618022</v>
          </cell>
          <cell r="DN142">
            <v>0.29572086276378634</v>
          </cell>
          <cell r="DO142">
            <v>0.23789072649791521</v>
          </cell>
        </row>
        <row r="143">
          <cell r="A143" t="str">
            <v>% growth in revenue y-o-y</v>
          </cell>
          <cell r="B143"/>
          <cell r="C143" t="str">
            <v>NA</v>
          </cell>
          <cell r="D143" t="str">
            <v>NA</v>
          </cell>
          <cell r="E143" t="str">
            <v>NA</v>
          </cell>
          <cell r="F143" t="str">
            <v>NA</v>
          </cell>
          <cell r="G143" t="str">
            <v>NA</v>
          </cell>
          <cell r="H143" t="str">
            <v>NA</v>
          </cell>
          <cell r="I143" t="str">
            <v>NA</v>
          </cell>
          <cell r="J143">
            <v>-1</v>
          </cell>
          <cell r="K143" t="str">
            <v>NA</v>
          </cell>
          <cell r="L143" t="str">
            <v>NA</v>
          </cell>
          <cell r="M143" t="str">
            <v>NA</v>
          </cell>
          <cell r="N143" t="str">
            <v>NA</v>
          </cell>
          <cell r="O143" t="str">
            <v>NA</v>
          </cell>
          <cell r="P143" t="str">
            <v>NA</v>
          </cell>
          <cell r="Q143" t="str">
            <v>NA</v>
          </cell>
          <cell r="R143" t="str">
            <v>NA</v>
          </cell>
          <cell r="S143" t="str">
            <v>NA</v>
          </cell>
          <cell r="T143" t="str">
            <v>NA</v>
          </cell>
          <cell r="U143" t="str">
            <v>NA</v>
          </cell>
          <cell r="V143" t="str">
            <v>NA</v>
          </cell>
          <cell r="W143" t="str">
            <v>NA</v>
          </cell>
          <cell r="X143" t="str">
            <v>NA</v>
          </cell>
          <cell r="Y143" t="str">
            <v>NA</v>
          </cell>
          <cell r="Z143" t="str">
            <v>NA</v>
          </cell>
          <cell r="AA143">
            <v>-9.7528748683857303E-2</v>
          </cell>
          <cell r="AB143">
            <v>-4.8633405639913363E-2</v>
          </cell>
          <cell r="AC143">
            <v>-1.8257491675915616E-2</v>
          </cell>
          <cell r="AD143">
            <v>0.11467995802728237</v>
          </cell>
          <cell r="AE143">
            <v>2.6796467869970142E-2</v>
          </cell>
          <cell r="AF143">
            <v>2.4132948948880628E-2</v>
          </cell>
          <cell r="AG143">
            <v>9.0338917034085142E-3</v>
          </cell>
          <cell r="AH143">
            <v>8.2969792476262905E-2</v>
          </cell>
          <cell r="AI143">
            <v>8.7100526217341434E-2</v>
          </cell>
          <cell r="AJ143">
            <v>7.927553315396918E-2</v>
          </cell>
          <cell r="AK143">
            <v>2.7901253747564247E-3</v>
          </cell>
          <cell r="AL143">
            <v>1.955523468211906E-2</v>
          </cell>
          <cell r="AM143">
            <v>1.0683902992445482E-2</v>
          </cell>
          <cell r="AN143">
            <v>0.19374280118421461</v>
          </cell>
          <cell r="AO143">
            <v>0.17767957661097489</v>
          </cell>
          <cell r="AP143">
            <v>0.18348274941088061</v>
          </cell>
          <cell r="AQ143">
            <v>0.2038400448053479</v>
          </cell>
          <cell r="AR143">
            <v>-1.8937938859911352E-2</v>
          </cell>
          <cell r="AS143">
            <v>0.12435712676737976</v>
          </cell>
          <cell r="AT143">
            <v>-0.1540092567995931</v>
          </cell>
          <cell r="AU143">
            <v>-0.31534440865706703</v>
          </cell>
          <cell r="AV143">
            <v>-0.22336568904023169</v>
          </cell>
          <cell r="AW143">
            <v>-0.22194837843537163</v>
          </cell>
          <cell r="AX143">
            <v>4.1338735043288555E-2</v>
          </cell>
          <cell r="AY143">
            <v>4.92787826324661E-2</v>
          </cell>
          <cell r="AZ143">
            <v>0.15015143109361873</v>
          </cell>
          <cell r="BA143">
            <v>3.5766185880056423E-2</v>
          </cell>
          <cell r="BB143">
            <v>0.15235956158737851</v>
          </cell>
          <cell r="BC143">
            <v>0.20462236796056699</v>
          </cell>
          <cell r="BD143">
            <v>0.10148354719539698</v>
          </cell>
          <cell r="BE143">
            <v>0.25256523013778942</v>
          </cell>
          <cell r="BF143">
            <v>0.17379868248317631</v>
          </cell>
          <cell r="BG143">
            <v>0.17132414429481835</v>
          </cell>
          <cell r="BH143">
            <v>6.7052573161344053E-2</v>
          </cell>
          <cell r="BI143">
            <v>-2.1650087770626159E-2</v>
          </cell>
          <cell r="BJ143">
            <v>2.1926846028441638E-2</v>
          </cell>
          <cell r="BK143">
            <v>-0.11865573536417096</v>
          </cell>
          <cell r="BL143">
            <v>1.8438157578041459E-2</v>
          </cell>
          <cell r="BM143">
            <v>-4.0558783321941072E-2</v>
          </cell>
          <cell r="BN143">
            <v>-8.3914718746179173E-2</v>
          </cell>
          <cell r="BO143">
            <v>-5.14632995826525E-2</v>
          </cell>
          <cell r="BP143">
            <v>-7.9262115130568134E-2</v>
          </cell>
          <cell r="BQ143">
            <v>-0.1067742423837641</v>
          </cell>
          <cell r="BR143">
            <v>-8.4091207511510668E-2</v>
          </cell>
          <cell r="BS143">
            <v>-9.6832935293788447E-2</v>
          </cell>
          <cell r="BT143">
            <v>-6.7254520381283878E-2</v>
          </cell>
          <cell r="BU143">
            <v>-7.278944797264264E-2</v>
          </cell>
          <cell r="BV143">
            <v>9.7273566924633847E-3</v>
          </cell>
          <cell r="BW143">
            <v>-6.7678230466880707E-2</v>
          </cell>
          <cell r="BX143">
            <v>-3.8360026820089654E-2</v>
          </cell>
          <cell r="BY143">
            <v>6.9879513585600073E-3</v>
          </cell>
          <cell r="BZ143">
            <v>-3.3548724621031978E-3</v>
          </cell>
          <cell r="CA143">
            <v>-5.1166313921533479E-3</v>
          </cell>
          <cell r="CB143">
            <v>-2.0138399140040675E-2</v>
          </cell>
          <cell r="CC143">
            <v>6.9922180633685382E-2</v>
          </cell>
          <cell r="CD143">
            <v>-1.7209778424842614E-4</v>
          </cell>
          <cell r="CE143">
            <v>-0.17324803475789907</v>
          </cell>
          <cell r="CF143">
            <v>3.1412726492798138E-2</v>
          </cell>
          <cell r="CG143">
            <v>-7.1025946656552152E-2</v>
          </cell>
          <cell r="CH143">
            <v>-9.6081963463372055E-2</v>
          </cell>
          <cell r="CI143">
            <v>1.7272615819413417E-2</v>
          </cell>
          <cell r="CJ143">
            <v>-0.18470260516593562</v>
          </cell>
          <cell r="CK143">
            <v>-0.19089071015441383</v>
          </cell>
          <cell r="CL143">
            <v>8.2183393968756846E-2</v>
          </cell>
          <cell r="CM143">
            <v>-4.992193285095925E-2</v>
          </cell>
          <cell r="CN143">
            <v>-7.2185585573341871E-2</v>
          </cell>
          <cell r="CO143">
            <v>-4.0055763243042608E-2</v>
          </cell>
          <cell r="CP143">
            <v>-0.14264952963130006</v>
          </cell>
          <cell r="CQ143">
            <v>-3.0082106107243933E-2</v>
          </cell>
          <cell r="CR143">
            <v>-6.4051942349655389E-2</v>
          </cell>
          <cell r="CS143">
            <v>-2.3507972666392152E-2</v>
          </cell>
          <cell r="CT143">
            <v>-0.17123738377065001</v>
          </cell>
          <cell r="CU143">
            <v>0.13166189863856981</v>
          </cell>
          <cell r="CV143">
            <v>0.10254400695653976</v>
          </cell>
          <cell r="CW143">
            <v>0.11536353793522047</v>
          </cell>
          <cell r="CX143">
            <v>1.5106091685517242E-2</v>
          </cell>
          <cell r="CY143">
            <v>0.17450828530507256</v>
          </cell>
          <cell r="CZ143">
            <v>0.16290665867937482</v>
          </cell>
          <cell r="DA143">
            <v>0.16023230018864987</v>
          </cell>
          <cell r="DB143">
            <v>0.13297903981651493</v>
          </cell>
          <cell r="DC143"/>
          <cell r="DD143" t="str">
            <v>NA</v>
          </cell>
          <cell r="DE143" t="str">
            <v>NA</v>
          </cell>
          <cell r="DF143" t="str">
            <v>NA</v>
          </cell>
          <cell r="DG143" t="str">
            <v>NA</v>
          </cell>
          <cell r="DH143" t="str">
            <v>NA</v>
          </cell>
          <cell r="DI143" t="str">
            <v>NA</v>
          </cell>
          <cell r="DJ143">
            <v>-1.2412076672879913E-2</v>
          </cell>
          <cell r="DK143">
            <v>3.8051528896253739E-2</v>
          </cell>
          <cell r="DL143">
            <v>4.5426512428567323E-2</v>
          </cell>
          <cell r="DM143">
            <v>0.14265011652032422</v>
          </cell>
          <cell r="DN143">
            <v>2.1026131804773529E-2</v>
          </cell>
          <cell r="DO143">
            <v>-0.17994169119219516</v>
          </cell>
        </row>
        <row r="144">
          <cell r="A144" t="str">
            <v>% growth in revenue seq</v>
          </cell>
          <cell r="B144"/>
          <cell r="C144" t="str">
            <v>NA</v>
          </cell>
          <cell r="D144" t="str">
            <v>NA</v>
          </cell>
          <cell r="E144" t="str">
            <v>NA</v>
          </cell>
          <cell r="F144" t="str">
            <v>NA</v>
          </cell>
          <cell r="G144">
            <v>-1</v>
          </cell>
          <cell r="H144" t="str">
            <v>NA</v>
          </cell>
          <cell r="I144" t="str">
            <v>NA</v>
          </cell>
          <cell r="J144" t="str">
            <v>NA</v>
          </cell>
          <cell r="K144" t="str">
            <v>NA</v>
          </cell>
          <cell r="L144" t="str">
            <v>NA</v>
          </cell>
          <cell r="M144" t="str">
            <v>NA</v>
          </cell>
          <cell r="N144" t="str">
            <v>NA</v>
          </cell>
          <cell r="O144" t="str">
            <v>NA</v>
          </cell>
          <cell r="P144" t="str">
            <v>NA</v>
          </cell>
          <cell r="Q144" t="str">
            <v>NA</v>
          </cell>
          <cell r="R144" t="str">
            <v>NA</v>
          </cell>
          <cell r="S144" t="str">
            <v>NA</v>
          </cell>
          <cell r="T144" t="str">
            <v>NA</v>
          </cell>
          <cell r="U144" t="str">
            <v>NA</v>
          </cell>
          <cell r="V144" t="str">
            <v>NA</v>
          </cell>
          <cell r="W144" t="str">
            <v>NA</v>
          </cell>
          <cell r="X144">
            <v>-4.8248239981832031E-2</v>
          </cell>
          <cell r="Y144">
            <v>-2.2776572668112838E-2</v>
          </cell>
          <cell r="Z144">
            <v>5.7713651498335183E-2</v>
          </cell>
          <cell r="AA144">
            <v>-8.2623294858342078E-2</v>
          </cell>
          <cell r="AB144">
            <v>3.3170910255528874E-3</v>
          </cell>
          <cell r="AC144">
            <v>8.4249167768708499E-3</v>
          </cell>
          <cell r="AD144">
            <v>0.20093833022440788</v>
          </cell>
          <cell r="AE144">
            <v>-0.15495102090766166</v>
          </cell>
          <cell r="AF144">
            <v>7.1447781113209707E-4</v>
          </cell>
          <cell r="AG144">
            <v>-6.4425528830027723E-3</v>
          </cell>
          <cell r="AH144">
            <v>0.28893582758090752</v>
          </cell>
          <cell r="AI144">
            <v>-0.15172778019028299</v>
          </cell>
          <cell r="AJ144">
            <v>-6.488705021034824E-3</v>
          </cell>
          <cell r="AK144">
            <v>-7.685334619798101E-2</v>
          </cell>
          <cell r="AL144">
            <v>0.31048485313747087</v>
          </cell>
          <cell r="AM144">
            <v>-0.15910874786038098</v>
          </cell>
          <cell r="AN144">
            <v>0.17345982533691506</v>
          </cell>
          <cell r="AO144">
            <v>-8.9275378816185191E-2</v>
          </cell>
          <cell r="AP144">
            <v>0.31694244160673946</v>
          </cell>
          <cell r="AQ144">
            <v>-0.14464442920178544</v>
          </cell>
          <cell r="AR144">
            <v>-4.3696112388196262E-2</v>
          </cell>
          <cell r="AS144">
            <v>4.3746118528507072E-2</v>
          </cell>
          <cell r="AT144">
            <v>-9.1038795384926763E-3</v>
          </cell>
          <cell r="AU144">
            <v>-0.30776550589916452</v>
          </cell>
          <cell r="AV144">
            <v>8.4776667589552046E-2</v>
          </cell>
          <cell r="AW144">
            <v>4.5650892012882194E-2</v>
          </cell>
          <cell r="AX144">
            <v>0.32620829266529272</v>
          </cell>
          <cell r="AY144">
            <v>-0.30248732441885839</v>
          </cell>
          <cell r="AZ144">
            <v>0.18906191309322451</v>
          </cell>
          <cell r="BA144">
            <v>-5.8341530599630431E-2</v>
          </cell>
          <cell r="BB144">
            <v>0.47549594449330534</v>
          </cell>
          <cell r="BC144">
            <v>-0.27085312696704356</v>
          </cell>
          <cell r="BD144">
            <v>8.7255366249137767E-2</v>
          </cell>
          <cell r="BE144">
            <v>7.0818225509488908E-2</v>
          </cell>
          <cell r="BF144">
            <v>0.38271057984340584</v>
          </cell>
          <cell r="BG144">
            <v>-0.27239027452834852</v>
          </cell>
          <cell r="BH144">
            <v>-9.5323810318264091E-3</v>
          </cell>
          <cell r="BI144">
            <v>-1.8197469092823937E-2</v>
          </cell>
          <cell r="BJ144">
            <v>0.44429824561403453</v>
          </cell>
          <cell r="BK144">
            <v>-0.37248477136117564</v>
          </cell>
          <cell r="BL144">
            <v>0.14453574780958389</v>
          </cell>
          <cell r="BM144">
            <v>-7.5072150643574309E-2</v>
          </cell>
          <cell r="BN144">
            <v>0.3790322341256056</v>
          </cell>
          <cell r="BO144">
            <v>-0.35025566220205517</v>
          </cell>
          <cell r="BP144">
            <v>0.11099277775122429</v>
          </cell>
          <cell r="BQ144">
            <v>-0.10270947621656012</v>
          </cell>
          <cell r="BR144">
            <v>0.41405208883748923</v>
          </cell>
          <cell r="BS144">
            <v>-0.35929462497672671</v>
          </cell>
          <cell r="BT144">
            <v>0.1473774142479185</v>
          </cell>
          <cell r="BU144">
            <v>-0.10803401349502961</v>
          </cell>
          <cell r="BV144">
            <v>0.5398951993863923</v>
          </cell>
          <cell r="BW144">
            <v>-0.40841102795532735</v>
          </cell>
          <cell r="BX144">
            <v>0.18345835302884428</v>
          </cell>
          <cell r="BY144">
            <v>-6.5971645852001548E-2</v>
          </cell>
          <cell r="BZ144">
            <v>0.52407885845793234</v>
          </cell>
          <cell r="CA144">
            <v>-0.40945677345251708</v>
          </cell>
          <cell r="CB144">
            <v>0.16558928708659915</v>
          </cell>
          <cell r="CC144">
            <v>1.9876330051781244E-2</v>
          </cell>
          <cell r="CD144">
            <v>0.42423121554584231</v>
          </cell>
          <cell r="CE144">
            <v>-0.51168318865021267</v>
          </cell>
          <cell r="CF144">
            <v>0.45412853565185074</v>
          </cell>
          <cell r="CG144">
            <v>-8.1416562059592912E-2</v>
          </cell>
          <cell r="CH144">
            <v>0.3858172672282556</v>
          </cell>
          <cell r="CI144">
            <v>-0.45044650073174619</v>
          </cell>
          <cell r="CJ144">
            <v>0.16541739985389081</v>
          </cell>
          <cell r="CK144">
            <v>-8.8388607831687338E-2</v>
          </cell>
          <cell r="CL144">
            <v>0.85353011328765249</v>
          </cell>
          <cell r="CM144">
            <v>-0.5175321213671773</v>
          </cell>
          <cell r="CN144">
            <v>0.13810759325575694</v>
          </cell>
          <cell r="CO144">
            <v>-5.6819889336680696E-2</v>
          </cell>
          <cell r="CP144">
            <v>0.65543461132530312</v>
          </cell>
          <cell r="CQ144">
            <v>-0.4541856045017254</v>
          </cell>
          <cell r="CR144">
            <v>9.8247179490240866E-2</v>
          </cell>
          <cell r="CS144">
            <v>-1.5962637163316584E-2</v>
          </cell>
          <cell r="CT144">
            <v>0.40499080491709871</v>
          </cell>
          <cell r="CU144">
            <v>-0.25469930349403458</v>
          </cell>
          <cell r="CV144">
            <v>6.9989055353550045E-2</v>
          </cell>
          <cell r="CW144">
            <v>-4.5210100015251609E-3</v>
          </cell>
          <cell r="CX144">
            <v>0.27869943415374476</v>
          </cell>
          <cell r="CY144">
            <v>-0.13766467341712374</v>
          </cell>
          <cell r="CZ144">
            <v>5.941985488974022E-2</v>
          </cell>
          <cell r="DA144">
            <v>-6.8103319082929437E-3</v>
          </cell>
          <cell r="DB144">
            <v>0.24866344169686583</v>
          </cell>
          <cell r="DC144"/>
          <cell r="DD144"/>
          <cell r="DE144"/>
          <cell r="DF144"/>
          <cell r="DG144"/>
          <cell r="DH144"/>
          <cell r="DI144"/>
          <cell r="DJ144"/>
          <cell r="DK144"/>
          <cell r="DL144"/>
          <cell r="DM144"/>
          <cell r="DN144"/>
          <cell r="DO144"/>
        </row>
        <row r="145">
          <cell r="A145"/>
          <cell r="B145"/>
          <cell r="C145"/>
          <cell r="D145"/>
          <cell r="E145"/>
          <cell r="F145"/>
          <cell r="G145"/>
          <cell r="H145"/>
          <cell r="I145"/>
          <cell r="J145"/>
          <cell r="K145"/>
          <cell r="L145"/>
          <cell r="M145"/>
          <cell r="N145"/>
          <cell r="O145"/>
          <cell r="P145"/>
          <cell r="Q145"/>
          <cell r="R145"/>
          <cell r="S145"/>
          <cell r="T145"/>
          <cell r="U145"/>
          <cell r="V145"/>
          <cell r="W145"/>
          <cell r="X145"/>
          <cell r="Y145"/>
          <cell r="Z145"/>
          <cell r="AA145"/>
          <cell r="AB145"/>
          <cell r="AC145"/>
          <cell r="AD145"/>
          <cell r="AE145"/>
          <cell r="AF145"/>
          <cell r="AG145"/>
          <cell r="AH145"/>
          <cell r="AI145"/>
          <cell r="AJ145"/>
          <cell r="AK145"/>
          <cell r="AL145"/>
          <cell r="AM145"/>
          <cell r="AN145"/>
          <cell r="AO145"/>
          <cell r="AP145"/>
          <cell r="AQ145"/>
          <cell r="AR145"/>
          <cell r="AS145"/>
          <cell r="AT145"/>
          <cell r="AU145"/>
          <cell r="AV145"/>
          <cell r="AW145"/>
          <cell r="AX145"/>
          <cell r="AY145"/>
          <cell r="AZ145"/>
          <cell r="BA145"/>
          <cell r="BB145"/>
          <cell r="BC145"/>
          <cell r="BD145"/>
          <cell r="BE145"/>
          <cell r="BF145"/>
          <cell r="BG145"/>
          <cell r="BH145"/>
          <cell r="BI145"/>
          <cell r="BJ145"/>
          <cell r="BK145">
            <v>-2</v>
          </cell>
          <cell r="BL145"/>
          <cell r="BM145"/>
          <cell r="BN145"/>
          <cell r="BO145">
            <v>-6</v>
          </cell>
          <cell r="BP145"/>
          <cell r="BQ145"/>
          <cell r="BR145"/>
          <cell r="BS145"/>
          <cell r="BT145"/>
          <cell r="BU145"/>
          <cell r="BV145"/>
          <cell r="BW145"/>
          <cell r="BX145"/>
          <cell r="BY145"/>
          <cell r="BZ145"/>
          <cell r="CA145"/>
          <cell r="CB145"/>
          <cell r="CC145"/>
          <cell r="CD145"/>
          <cell r="CE145"/>
          <cell r="CF145"/>
          <cell r="CG145"/>
          <cell r="CH145"/>
          <cell r="CI145"/>
          <cell r="CJ145"/>
          <cell r="CK145"/>
          <cell r="CL145"/>
          <cell r="CM145"/>
          <cell r="CN145"/>
          <cell r="CO145"/>
          <cell r="CP145"/>
          <cell r="CQ145"/>
          <cell r="CR145"/>
          <cell r="CS145"/>
          <cell r="CT145"/>
          <cell r="CU145"/>
          <cell r="CV145"/>
          <cell r="CW145"/>
          <cell r="CX145"/>
          <cell r="CY145"/>
          <cell r="CZ145"/>
          <cell r="DA145"/>
          <cell r="DB145"/>
          <cell r="DC145"/>
          <cell r="DD145"/>
          <cell r="DE145"/>
          <cell r="DF145"/>
          <cell r="DG145"/>
          <cell r="DH145"/>
          <cell r="DI145"/>
          <cell r="DJ145"/>
          <cell r="DK145"/>
          <cell r="DL145"/>
          <cell r="DM145"/>
          <cell r="DN145"/>
          <cell r="DO145"/>
        </row>
        <row r="146">
          <cell r="A146" t="str">
            <v>Software licenses</v>
          </cell>
          <cell r="B146"/>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-0.293292</v>
          </cell>
          <cell r="AF146">
            <v>-2.1471542499999998</v>
          </cell>
          <cell r="AG146">
            <v>-8.0079071093749992</v>
          </cell>
          <cell r="AH146">
            <v>-15.088201915039063</v>
          </cell>
          <cell r="AI146">
            <v>-16.597390295349122</v>
          </cell>
          <cell r="AJ146">
            <v>-20.844607508430482</v>
          </cell>
          <cell r="AK146">
            <v>-23.875876999999999</v>
          </cell>
          <cell r="AL146">
            <v>-25.831512999999998</v>
          </cell>
          <cell r="AM146">
            <v>-23.956699999999966</v>
          </cell>
          <cell r="AN146">
            <v>-20.848391920000001</v>
          </cell>
          <cell r="AO146">
            <v>-35.054000000000002</v>
          </cell>
          <cell r="AP146">
            <v>-39.216365000000017</v>
          </cell>
          <cell r="AQ146">
            <v>-28.224984000000024</v>
          </cell>
          <cell r="AR146">
            <v>-39.911242603550292</v>
          </cell>
          <cell r="AS146">
            <v>-39.023012695957554</v>
          </cell>
          <cell r="AT146">
            <v>-44.824949759999996</v>
          </cell>
          <cell r="AU146">
            <v>-30.607407407407404</v>
          </cell>
          <cell r="AV146">
            <v>-41.507692307692302</v>
          </cell>
          <cell r="AW146">
            <v>-36.85</v>
          </cell>
          <cell r="AX146">
            <v>-46.033333333333367</v>
          </cell>
          <cell r="AY146">
            <v>-37.407407407407405</v>
          </cell>
          <cell r="AZ146">
            <v>-47.307692307692299</v>
          </cell>
          <cell r="BA146">
            <v>-56.25</v>
          </cell>
          <cell r="BB146">
            <v>-55.333333333333364</v>
          </cell>
          <cell r="BC146">
            <v>-47.507407407407406</v>
          </cell>
          <cell r="BD146">
            <v>-59.607692307692297</v>
          </cell>
          <cell r="BE146">
            <v>-74.25</v>
          </cell>
          <cell r="BF146">
            <v>-63.633333333333368</v>
          </cell>
          <cell r="BG146">
            <v>-58.007407407407406</v>
          </cell>
          <cell r="BH146">
            <v>-68.707692307692298</v>
          </cell>
          <cell r="BI146">
            <v>-78.650000000000006</v>
          </cell>
          <cell r="BJ146">
            <v>-99.633333333333368</v>
          </cell>
          <cell r="BK146">
            <v>-87.007407407407413</v>
          </cell>
          <cell r="BL146">
            <v>-105.80769230769229</v>
          </cell>
          <cell r="BM146">
            <v>-89.15</v>
          </cell>
          <cell r="BN146">
            <v>-115.03333333333337</v>
          </cell>
          <cell r="BO146">
            <v>-106.80740740740741</v>
          </cell>
          <cell r="BP146">
            <v>-120.0076923076923</v>
          </cell>
          <cell r="BQ146">
            <v>-92.850000000000009</v>
          </cell>
          <cell r="BR146">
            <v>-125.53333333333337</v>
          </cell>
          <cell r="BS146">
            <v>77.403146198097161</v>
          </cell>
          <cell r="BT146">
            <v>89.790119343251092</v>
          </cell>
          <cell r="BU146">
            <v>78.196092020408145</v>
          </cell>
          <cell r="BV146">
            <v>125.68201016369036</v>
          </cell>
          <cell r="BW146">
            <v>67.783932079757705</v>
          </cell>
          <cell r="BX146">
            <v>82.687329682799046</v>
          </cell>
          <cell r="BY146">
            <v>75.228063632248791</v>
          </cell>
          <cell r="BZ146">
            <v>123.75260530512725</v>
          </cell>
          <cell r="CA146">
            <v>63.591125415077485</v>
          </cell>
          <cell r="CB146">
            <v>77.614840678100649</v>
          </cell>
          <cell r="CC146">
            <v>76.798238062903579</v>
          </cell>
          <cell r="CD146">
            <v>116.96330685431197</v>
          </cell>
          <cell r="CE146">
            <v>36.960499932103275</v>
          </cell>
          <cell r="CF146">
            <v>68.403019014319099</v>
          </cell>
          <cell r="CG146">
            <v>64.231527850379635</v>
          </cell>
          <cell r="CH146">
            <v>97.389733706117866</v>
          </cell>
          <cell r="CI146">
            <v>37.639701657886036</v>
          </cell>
          <cell r="CJ146">
            <v>47.927799917182796</v>
          </cell>
          <cell r="CK146">
            <v>39.476185854934286</v>
          </cell>
          <cell r="CL146">
            <v>99.880998333197866</v>
          </cell>
          <cell r="CM146">
            <v>26.367295329125671</v>
          </cell>
          <cell r="CN146">
            <v>33.552117947075047</v>
          </cell>
          <cell r="CO146">
            <v>27.6218313433478</v>
          </cell>
          <cell r="CP146">
            <v>69.859521207575241</v>
          </cell>
          <cell r="CQ146">
            <v>13.756856234599487</v>
          </cell>
          <cell r="CR146">
            <v>17.511459060416339</v>
          </cell>
          <cell r="CS146">
            <v>14.388392349044585</v>
          </cell>
          <cell r="CT146">
            <v>36.513294312749935</v>
          </cell>
          <cell r="CU146">
            <v>9.5911955814057954</v>
          </cell>
          <cell r="CV146">
            <v>12.206817919647666</v>
          </cell>
          <cell r="CW146">
            <v>10.017788867187438</v>
          </cell>
          <cell r="CX146">
            <v>25.457924944439188</v>
          </cell>
          <cell r="CY146">
            <v>10.089342825993237</v>
          </cell>
          <cell r="CZ146">
            <v>12.82766397842861</v>
          </cell>
          <cell r="DA146">
            <v>10.535965608151207</v>
          </cell>
          <cell r="DB146">
            <v>26.691874789931333</v>
          </cell>
          <cell r="DC146"/>
          <cell r="DD146" t="e">
            <v>#REF!</v>
          </cell>
          <cell r="DE146">
            <v>0</v>
          </cell>
          <cell r="DF146">
            <v>0</v>
          </cell>
          <cell r="DG146">
            <v>0</v>
          </cell>
          <cell r="DH146">
            <v>0</v>
          </cell>
          <cell r="DI146">
            <v>0</v>
          </cell>
          <cell r="DJ146">
            <v>0</v>
          </cell>
          <cell r="DK146">
            <v>-25.536555274414063</v>
          </cell>
          <cell r="DL146">
            <v>-87.149387803779604</v>
          </cell>
          <cell r="DM146">
            <v>-119.07545691999999</v>
          </cell>
          <cell r="DN146">
            <v>-151.98418905950786</v>
          </cell>
          <cell r="DO146">
            <v>-154.99843304843307</v>
          </cell>
        </row>
        <row r="147">
          <cell r="A147" t="str">
            <v>% of revenue</v>
          </cell>
          <cell r="B147"/>
          <cell r="C147" t="e">
            <v>#DIV/0!</v>
          </cell>
          <cell r="D147" t="e">
            <v>#DIV/0!</v>
          </cell>
          <cell r="E147" t="e">
            <v>#DIV/0!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-1.4527316855713508E-3</v>
          </cell>
          <cell r="AF147">
            <v>-1.0165054277584991E-2</v>
          </cell>
          <cell r="AG147">
            <v>-3.5285362262444532E-2</v>
          </cell>
          <cell r="AH147">
            <v>-5.6161790226308225E-2</v>
          </cell>
          <cell r="AI147">
            <v>-6.3836607571401027E-2</v>
          </cell>
          <cell r="AJ147">
            <v>-7.5669796522392724E-2</v>
          </cell>
          <cell r="AK147">
            <v>-8.5930505918639849E-2</v>
          </cell>
          <cell r="AL147">
            <v>-8.0471501735191672E-2</v>
          </cell>
          <cell r="AM147">
            <v>-7.7759276570330438E-2</v>
          </cell>
          <cell r="AN147">
            <v>-6.2352382194255367E-2</v>
          </cell>
          <cell r="AO147">
            <v>-0.10017403430962105</v>
          </cell>
          <cell r="AP147">
            <v>-9.8149121906902392E-2</v>
          </cell>
          <cell r="AQ147">
            <v>-7.486058021292516E-2</v>
          </cell>
          <cell r="AR147">
            <v>-0.10188456999349116</v>
          </cell>
          <cell r="AS147">
            <v>-9.7828271481218157E-2</v>
          </cell>
          <cell r="AT147">
            <v>-0.10783082331602103</v>
          </cell>
          <cell r="AU147">
            <v>-8.293386786740134E-2</v>
          </cell>
          <cell r="AV147">
            <v>-0.10566378238743751</v>
          </cell>
          <cell r="AW147">
            <v>-9.1885637913236035E-2</v>
          </cell>
          <cell r="AX147">
            <v>-0.10203327718178333</v>
          </cell>
          <cell r="AY147">
            <v>-9.0296731151049081E-2</v>
          </cell>
          <cell r="AZ147">
            <v>-0.10319434313780269</v>
          </cell>
          <cell r="BA147">
            <v>-0.119114928435751</v>
          </cell>
          <cell r="BB147">
            <v>-0.10445684846027613</v>
          </cell>
          <cell r="BC147">
            <v>-9.6778506313878937E-2</v>
          </cell>
          <cell r="BD147">
            <v>-0.1122999534800812</v>
          </cell>
          <cell r="BE147">
            <v>-0.13133503611934597</v>
          </cell>
          <cell r="BF147">
            <v>-0.10273946799361504</v>
          </cell>
          <cell r="BG147">
            <v>-9.840186499869788E-2</v>
          </cell>
          <cell r="BH147">
            <v>-0.11168168967944654</v>
          </cell>
          <cell r="BI147">
            <v>-0.12261818272525732</v>
          </cell>
          <cell r="BJ147">
            <v>-0.13464036742540955</v>
          </cell>
          <cell r="BK147">
            <v>-0.1293023282950449</v>
          </cell>
          <cell r="BL147">
            <v>-0.14486584085589538</v>
          </cell>
          <cell r="BM147">
            <v>-0.1250822540341307</v>
          </cell>
          <cell r="BN147">
            <v>-0.14335800869037832</v>
          </cell>
          <cell r="BO147">
            <v>-0.14225453459143603</v>
          </cell>
          <cell r="BP147">
            <v>-0.1535489179432063</v>
          </cell>
          <cell r="BQ147">
            <v>-0.12233298286942983</v>
          </cell>
          <cell r="BR147">
            <v>-0.14742905417176078</v>
          </cell>
          <cell r="BS147">
            <v>0.10173888370180043</v>
          </cell>
          <cell r="BT147">
            <v>0.11269420156314656</v>
          </cell>
          <cell r="BU147">
            <v>9.6150223198209872E-2</v>
          </cell>
          <cell r="BV147">
            <v>0.13891152728801948</v>
          </cell>
          <cell r="BW147">
            <v>0.10289421709717568</v>
          </cell>
          <cell r="BX147">
            <v>0.12268386435168489</v>
          </cell>
          <cell r="BY147">
            <v>0.11249291743266221</v>
          </cell>
          <cell r="BZ147">
            <v>0.16846624117204737</v>
          </cell>
          <cell r="CA147">
            <v>9.5960966526795852E-2</v>
          </cell>
          <cell r="CB147">
            <v>0.11196165278920273</v>
          </cell>
          <cell r="CC147">
            <v>0.11115278512559769</v>
          </cell>
          <cell r="CD147">
            <v>0.15036607866781679</v>
          </cell>
          <cell r="CE147">
            <v>5.3013373550045428E-2</v>
          </cell>
          <cell r="CF147">
            <v>9.2142031230350432E-2</v>
          </cell>
          <cell r="CG147">
            <v>8.7690965779601837E-2</v>
          </cell>
          <cell r="CH147">
            <v>0.12145327011375642</v>
          </cell>
          <cell r="CI147">
            <v>5.2997012234366349E-2</v>
          </cell>
          <cell r="CJ147">
            <v>6.2083701453785375E-2</v>
          </cell>
          <cell r="CK147">
            <v>5.1749565342521231E-2</v>
          </cell>
          <cell r="CL147">
            <v>0.11669404712801208</v>
          </cell>
          <cell r="CM147">
            <v>3.4471461804403004E-2</v>
          </cell>
          <cell r="CN147">
            <v>4.0570276341553295E-2</v>
          </cell>
          <cell r="CO147">
            <v>3.3726635973777647E-2</v>
          </cell>
          <cell r="CP147">
            <v>7.7663637565256391E-2</v>
          </cell>
          <cell r="CQ147">
            <v>1.6703097720598886E-2</v>
          </cell>
          <cell r="CR147">
            <v>1.9802308124220503E-2</v>
          </cell>
          <cell r="CS147">
            <v>1.641144330889685E-2</v>
          </cell>
          <cell r="CT147">
            <v>3.8705384579652093E-2</v>
          </cell>
          <cell r="CU147">
            <v>1.0731276430513144E-2</v>
          </cell>
          <cell r="CV147">
            <v>1.2776375127472884E-2</v>
          </cell>
          <cell r="CW147">
            <v>1.0573463045921034E-2</v>
          </cell>
          <cell r="CX147">
            <v>2.5170009912676112E-2</v>
          </cell>
          <cell r="CY147">
            <v>1.0388952365722258E-2</v>
          </cell>
          <cell r="CZ147">
            <v>1.2419596799059232E-2</v>
          </cell>
          <cell r="DA147">
            <v>1.0299466929769614E-2</v>
          </cell>
          <cell r="DB147">
            <v>2.4530902853880644E-2</v>
          </cell>
          <cell r="DC147"/>
          <cell r="DD147"/>
          <cell r="DE147">
            <v>0</v>
          </cell>
          <cell r="DF147">
            <v>0</v>
          </cell>
          <cell r="DG147">
            <v>0</v>
          </cell>
          <cell r="DH147">
            <v>0</v>
          </cell>
          <cell r="DI147">
            <v>0</v>
          </cell>
          <cell r="DJ147">
            <v>0</v>
          </cell>
          <cell r="DK147">
            <v>-2.8101614436994E-2</v>
          </cell>
          <cell r="DL147">
            <v>-7.682969940887846E-2</v>
          </cell>
          <cell r="DM147">
            <v>-8.5546277732836559E-2</v>
          </cell>
          <cell r="DN147">
            <v>-9.5988761236910927E-2</v>
          </cell>
          <cell r="DO147">
            <v>-9.6028489802559139E-2</v>
          </cell>
        </row>
        <row r="148">
          <cell r="A148" t="str">
            <v>% growth in revenue y-o-y</v>
          </cell>
          <cell r="B148"/>
          <cell r="C148" t="str">
            <v>NA</v>
          </cell>
          <cell r="D148" t="str">
            <v>NA</v>
          </cell>
          <cell r="E148" t="str">
            <v>NA</v>
          </cell>
          <cell r="F148" t="str">
            <v>NA</v>
          </cell>
          <cell r="G148" t="str">
            <v>NA</v>
          </cell>
          <cell r="H148" t="str">
            <v>NA</v>
          </cell>
          <cell r="I148" t="str">
            <v>NA</v>
          </cell>
          <cell r="J148" t="str">
            <v>NA</v>
          </cell>
          <cell r="K148" t="str">
            <v>NA</v>
          </cell>
          <cell r="L148" t="str">
            <v>NA</v>
          </cell>
          <cell r="M148" t="str">
            <v>NA</v>
          </cell>
          <cell r="N148" t="str">
            <v>NA</v>
          </cell>
          <cell r="O148" t="str">
            <v>NA</v>
          </cell>
          <cell r="P148" t="str">
            <v>NA</v>
          </cell>
          <cell r="Q148" t="str">
            <v>NA</v>
          </cell>
          <cell r="R148" t="str">
            <v>NA</v>
          </cell>
          <cell r="S148" t="str">
            <v>NA</v>
          </cell>
          <cell r="T148" t="str">
            <v>NA</v>
          </cell>
          <cell r="U148" t="str">
            <v>NA</v>
          </cell>
          <cell r="V148" t="str">
            <v>NA</v>
          </cell>
          <cell r="W148" t="str">
            <v>NA</v>
          </cell>
          <cell r="X148" t="str">
            <v>NA</v>
          </cell>
          <cell r="Y148" t="str">
            <v>NA</v>
          </cell>
          <cell r="Z148" t="str">
            <v>NA</v>
          </cell>
          <cell r="AA148" t="str">
            <v>NA</v>
          </cell>
          <cell r="AB148" t="str">
            <v>NA</v>
          </cell>
          <cell r="AC148" t="str">
            <v>NA</v>
          </cell>
          <cell r="AD148" t="str">
            <v>NA</v>
          </cell>
          <cell r="AE148" t="str">
            <v>NA</v>
          </cell>
          <cell r="AF148" t="str">
            <v>NA</v>
          </cell>
          <cell r="AG148" t="str">
            <v>NA</v>
          </cell>
          <cell r="AH148" t="str">
            <v>NA</v>
          </cell>
          <cell r="AI148">
            <v>55.589986414048532</v>
          </cell>
          <cell r="AJ148">
            <v>8.708015857934047</v>
          </cell>
          <cell r="AK148">
            <v>1.9815377069057263</v>
          </cell>
          <cell r="AL148">
            <v>0.71203388882624985</v>
          </cell>
          <cell r="AM148">
            <v>0.44340161758520868</v>
          </cell>
          <cell r="AN148">
            <v>1.8155350576831708E-4</v>
          </cell>
          <cell r="AO148">
            <v>0.46817643599018388</v>
          </cell>
          <cell r="AP148">
            <v>0.51815981510645637</v>
          </cell>
          <cell r="AQ148">
            <v>0.17816660892360225</v>
          </cell>
          <cell r="AR148">
            <v>0.91435592522909026</v>
          </cell>
          <cell r="AS148">
            <v>0.11322567170529907</v>
          </cell>
          <cell r="AT148">
            <v>0.14301643612303128</v>
          </cell>
          <cell r="AU148">
            <v>8.4408317376101216E-2</v>
          </cell>
          <cell r="AV148">
            <v>4.0000000000000036E-2</v>
          </cell>
          <cell r="AW148">
            <v>-5.5685416010503364E-2</v>
          </cell>
          <cell r="AX148">
            <v>2.6957834415950233E-2</v>
          </cell>
          <cell r="AY148">
            <v>0.2221684414327203</v>
          </cell>
          <cell r="AZ148">
            <v>0.1397331356560414</v>
          </cell>
          <cell r="BA148">
            <v>0.52645861601085486</v>
          </cell>
          <cell r="BB148">
            <v>0.20202751629254134</v>
          </cell>
          <cell r="BC148">
            <v>0.27</v>
          </cell>
          <cell r="BD148">
            <v>0.26</v>
          </cell>
          <cell r="BE148">
            <v>0.32000000000000006</v>
          </cell>
          <cell r="BF148">
            <v>0.14999999999999991</v>
          </cell>
          <cell r="BG148">
            <v>0.22101816480860692</v>
          </cell>
          <cell r="BH148">
            <v>0.15266485998193313</v>
          </cell>
          <cell r="BI148">
            <v>5.9259259259259345E-2</v>
          </cell>
          <cell r="BJ148">
            <v>0.56574122577265551</v>
          </cell>
          <cell r="BK148">
            <v>0.49993615119397283</v>
          </cell>
          <cell r="BL148">
            <v>0.53996865203761746</v>
          </cell>
          <cell r="BM148">
            <v>0.13350286077558793</v>
          </cell>
          <cell r="BN148">
            <v>0.15456674473067911</v>
          </cell>
          <cell r="BO148">
            <v>0.22756683126170607</v>
          </cell>
          <cell r="BP148">
            <v>0.13420574336604885</v>
          </cell>
          <cell r="BQ148">
            <v>4.1503084688726988E-2</v>
          </cell>
          <cell r="BR148">
            <v>9.1277890466531453E-2</v>
          </cell>
          <cell r="BS148">
            <v>-1.7246982964659905</v>
          </cell>
          <cell r="BT148">
            <v>-1.7482030327942211</v>
          </cell>
          <cell r="BU148">
            <v>-1.8421765430307824</v>
          </cell>
          <cell r="BV148">
            <v>-2.0011843613676872</v>
          </cell>
          <cell r="BW148">
            <v>-0.12427420060834593</v>
          </cell>
          <cell r="BX148">
            <v>-7.9104357054024965E-2</v>
          </cell>
          <cell r="BY148">
            <v>-3.7956224044863207E-2</v>
          </cell>
          <cell r="BZ148">
            <v>-1.5351479945699742E-2</v>
          </cell>
          <cell r="CA148">
            <v>-6.1855465388858999E-2</v>
          </cell>
          <cell r="CB148">
            <v>-6.1345420442977416E-2</v>
          </cell>
          <cell r="CC148">
            <v>2.0872189909480587E-2</v>
          </cell>
          <cell r="CD148">
            <v>-5.486186277917493E-2</v>
          </cell>
          <cell r="CE148">
            <v>-0.41877896183073493</v>
          </cell>
          <cell r="CF148">
            <v>-0.11868634378812426</v>
          </cell>
          <cell r="CG148">
            <v>-0.16363279327099733</v>
          </cell>
          <cell r="CH148">
            <v>-0.16734798010263763</v>
          </cell>
          <cell r="CI148">
            <v>1.8376421504862295E-2</v>
          </cell>
          <cell r="CJ148">
            <v>-0.2993320966264682</v>
          </cell>
          <cell r="CK148">
            <v>-0.38540795811537021</v>
          </cell>
          <cell r="CL148">
            <v>2.5580361833595466E-2</v>
          </cell>
          <cell r="CM148">
            <v>-0.29948181925609496</v>
          </cell>
          <cell r="CN148">
            <v>-0.29994454147589322</v>
          </cell>
          <cell r="CO148">
            <v>-0.30029128333594479</v>
          </cell>
          <cell r="CP148">
            <v>-0.30057245749058814</v>
          </cell>
          <cell r="CQ148">
            <v>-0.47826062313628814</v>
          </cell>
          <cell r="CR148">
            <v>-0.4780818579608348</v>
          </cell>
          <cell r="CS148">
            <v>-0.4790934688510522</v>
          </cell>
          <cell r="CT148">
            <v>-0.47733260002946309</v>
          </cell>
          <cell r="CU148">
            <v>-0.30280614859641797</v>
          </cell>
          <cell r="CV148">
            <v>-0.30292399522319158</v>
          </cell>
          <cell r="CW148">
            <v>-0.30375898681601932</v>
          </cell>
          <cell r="CX148">
            <v>-0.30277655238712231</v>
          </cell>
          <cell r="CY148">
            <v>5.1937971690743767E-2</v>
          </cell>
          <cell r="CZ148">
            <v>5.0860597976287725E-2</v>
          </cell>
          <cell r="DA148">
            <v>5.1725660006772589E-2</v>
          </cell>
          <cell r="DB148">
            <v>4.8470165898641948E-2</v>
          </cell>
          <cell r="DC148"/>
          <cell r="DD148" t="str">
            <v>NA</v>
          </cell>
          <cell r="DE148" t="str">
            <v>NA</v>
          </cell>
          <cell r="DF148" t="str">
            <v>NA</v>
          </cell>
          <cell r="DG148" t="str">
            <v>NA</v>
          </cell>
          <cell r="DH148" t="str">
            <v>NA</v>
          </cell>
          <cell r="DI148" t="str">
            <v>NA</v>
          </cell>
          <cell r="DJ148" t="str">
            <v>NA</v>
          </cell>
          <cell r="DK148" t="str">
            <v>NA</v>
          </cell>
          <cell r="DL148">
            <v>2.4127307644777569</v>
          </cell>
          <cell r="DM148">
            <v>0.36633727351135548</v>
          </cell>
          <cell r="DN148">
            <v>0.27636872442670835</v>
          </cell>
          <cell r="DO148">
            <v>1.9832615534402853E-2</v>
          </cell>
        </row>
        <row r="149">
          <cell r="A149" t="str">
            <v>% growth in revenue seq</v>
          </cell>
          <cell r="B149"/>
          <cell r="C149" t="str">
            <v>NA</v>
          </cell>
          <cell r="D149" t="str">
            <v>NA</v>
          </cell>
          <cell r="E149" t="str">
            <v>NA</v>
          </cell>
          <cell r="F149" t="str">
            <v>NA</v>
          </cell>
          <cell r="G149" t="str">
            <v>NA</v>
          </cell>
          <cell r="H149" t="str">
            <v>NA</v>
          </cell>
          <cell r="I149" t="str">
            <v>NA</v>
          </cell>
          <cell r="J149" t="str">
            <v>NA</v>
          </cell>
          <cell r="K149" t="str">
            <v>NA</v>
          </cell>
          <cell r="L149" t="str">
            <v>NA</v>
          </cell>
          <cell r="M149" t="str">
            <v>NA</v>
          </cell>
          <cell r="N149" t="str">
            <v>NA</v>
          </cell>
          <cell r="O149" t="str">
            <v>NA</v>
          </cell>
          <cell r="P149" t="str">
            <v>NA</v>
          </cell>
          <cell r="Q149" t="str">
            <v>NA</v>
          </cell>
          <cell r="R149" t="str">
            <v>NA</v>
          </cell>
          <cell r="S149" t="str">
            <v>NA</v>
          </cell>
          <cell r="T149" t="str">
            <v>NA</v>
          </cell>
          <cell r="U149" t="str">
            <v>NA</v>
          </cell>
          <cell r="V149" t="str">
            <v>NA</v>
          </cell>
          <cell r="W149" t="str">
            <v>NA</v>
          </cell>
          <cell r="X149" t="str">
            <v>NA</v>
          </cell>
          <cell r="Y149" t="str">
            <v>NA</v>
          </cell>
          <cell r="Z149" t="str">
            <v>NA</v>
          </cell>
          <cell r="AA149" t="str">
            <v>NA</v>
          </cell>
          <cell r="AB149" t="str">
            <v>NA</v>
          </cell>
          <cell r="AC149" t="str">
            <v>NA</v>
          </cell>
          <cell r="AD149" t="str">
            <v>NA</v>
          </cell>
          <cell r="AE149" t="str">
            <v>NA</v>
          </cell>
          <cell r="AF149">
            <v>6.3208756120180567</v>
          </cell>
          <cell r="AG149">
            <v>2.7295444001636118</v>
          </cell>
          <cell r="AH149">
            <v>0.88416295406012346</v>
          </cell>
          <cell r="AI149">
            <v>0.10002440243100041</v>
          </cell>
          <cell r="AJ149">
            <v>0.25589668842525826</v>
          </cell>
          <cell r="AK149">
            <v>0.14542223883772043</v>
          </cell>
          <cell r="AL149">
            <v>8.1908446755694087E-2</v>
          </cell>
          <cell r="AM149">
            <v>-7.2578520661953916E-2</v>
          </cell>
          <cell r="AN149">
            <v>-0.12974692173796765</v>
          </cell>
          <cell r="AO149">
            <v>0.6813766804898016</v>
          </cell>
          <cell r="AP149">
            <v>0.11874151309408387</v>
          </cell>
          <cell r="AQ149">
            <v>-0.28027536463412628</v>
          </cell>
          <cell r="AR149">
            <v>0.41403951207023737</v>
          </cell>
          <cell r="AS149">
            <v>-2.2255130375563037E-2</v>
          </cell>
          <cell r="AT149">
            <v>0.14867988561640377</v>
          </cell>
          <cell r="AU149">
            <v>-0.31717921444899777</v>
          </cell>
          <cell r="AV149">
            <v>0.3561322510983691</v>
          </cell>
          <cell r="AW149">
            <v>-0.11221275018532229</v>
          </cell>
          <cell r="AX149">
            <v>0.2492085029398472</v>
          </cell>
          <cell r="AY149">
            <v>-0.1873843430686305</v>
          </cell>
          <cell r="AZ149">
            <v>0.26466108149276457</v>
          </cell>
          <cell r="BA149">
            <v>0.18902439024390261</v>
          </cell>
          <cell r="BB149">
            <v>-1.6296296296295698E-2</v>
          </cell>
          <cell r="BC149">
            <v>-0.14143239625167381</v>
          </cell>
          <cell r="BD149">
            <v>0.25470312022116781</v>
          </cell>
          <cell r="BE149">
            <v>0.2456445993031362</v>
          </cell>
          <cell r="BF149">
            <v>-0.14298540965207585</v>
          </cell>
          <cell r="BG149">
            <v>-8.8411617484431049E-2</v>
          </cell>
          <cell r="BH149">
            <v>0.18446411205956581</v>
          </cell>
          <cell r="BI149">
            <v>0.14470443349753714</v>
          </cell>
          <cell r="BJ149">
            <v>0.26679381224835796</v>
          </cell>
          <cell r="BK149">
            <v>-0.1267239136091598</v>
          </cell>
          <cell r="BL149">
            <v>0.2160768313926833</v>
          </cell>
          <cell r="BM149">
            <v>-0.15743366048709539</v>
          </cell>
          <cell r="BN149">
            <v>0.29033464198915726</v>
          </cell>
          <cell r="BO149">
            <v>-7.1509063395473471E-2</v>
          </cell>
          <cell r="BP149">
            <v>0.12358960132730834</v>
          </cell>
          <cell r="BQ149">
            <v>-0.22629959617973194</v>
          </cell>
          <cell r="BR149">
            <v>0.35200143600789846</v>
          </cell>
          <cell r="BS149">
            <v>-1.6165943669524467</v>
          </cell>
          <cell r="BT149">
            <v>0.16003190766241038</v>
          </cell>
          <cell r="BU149">
            <v>-0.12912364308728796</v>
          </cell>
          <cell r="BV149">
            <v>0.60726715256932562</v>
          </cell>
          <cell r="BW149">
            <v>-0.46067116533643304</v>
          </cell>
          <cell r="BX149">
            <v>0.21986623003081784</v>
          </cell>
          <cell r="BY149">
            <v>-9.0210508419671043E-2</v>
          </cell>
          <cell r="BZ149">
            <v>0.64503244307988461</v>
          </cell>
          <cell r="CA149">
            <v>-0.48614313809163245</v>
          </cell>
          <cell r="CB149">
            <v>0.22052943978403206</v>
          </cell>
          <cell r="CC149">
            <v>-1.0521217438090757E-2</v>
          </cell>
          <cell r="CD149">
            <v>0.52299466504049419</v>
          </cell>
          <cell r="CE149">
            <v>-0.68399918806894866</v>
          </cell>
          <cell r="CF149">
            <v>0.85070600072985969</v>
          </cell>
          <cell r="CG149">
            <v>-6.098402123254576E-2</v>
          </cell>
          <cell r="CH149">
            <v>0.51622944316343622</v>
          </cell>
          <cell r="CI149">
            <v>-0.61351468758024164</v>
          </cell>
          <cell r="CJ149">
            <v>0.2733310256496484</v>
          </cell>
          <cell r="CK149">
            <v>-0.17634053882824874</v>
          </cell>
          <cell r="CL149">
            <v>1.5301582756813712</v>
          </cell>
          <cell r="CM149">
            <v>-0.73601289765681221</v>
          </cell>
          <cell r="CN149">
            <v>0.27248993604637639</v>
          </cell>
          <cell r="CO149">
            <v>-0.17674850252617891</v>
          </cell>
          <cell r="CP149">
            <v>1.5291415452943746</v>
          </cell>
          <cell r="CQ149">
            <v>-0.80307829202373981</v>
          </cell>
          <cell r="CR149">
            <v>0.27292593320658209</v>
          </cell>
          <cell r="CS149">
            <v>-0.17834417455432194</v>
          </cell>
          <cell r="CT149">
            <v>1.5376910378159434</v>
          </cell>
          <cell r="CU149">
            <v>-0.73732319249932254</v>
          </cell>
          <cell r="CV149">
            <v>0.27271077062725224</v>
          </cell>
          <cell r="CW149">
            <v>-0.17932839392458244</v>
          </cell>
          <cell r="CX149">
            <v>1.5412718596840098</v>
          </cell>
          <cell r="CY149">
            <v>-0.60368557735900363</v>
          </cell>
          <cell r="CZ149">
            <v>0.27140728585221829</v>
          </cell>
          <cell r="DA149">
            <v>-0.17865282206730648</v>
          </cell>
          <cell r="DB149">
            <v>1.5334056490542283</v>
          </cell>
          <cell r="DC149"/>
          <cell r="DD149"/>
          <cell r="DE149"/>
          <cell r="DF149"/>
          <cell r="DG149"/>
          <cell r="DH149"/>
          <cell r="DI149"/>
          <cell r="DJ149"/>
          <cell r="DK149"/>
          <cell r="DL149"/>
          <cell r="DM149"/>
          <cell r="DN149"/>
          <cell r="DO149"/>
        </row>
        <row r="150">
          <cell r="A150"/>
          <cell r="B150"/>
          <cell r="C150"/>
          <cell r="D150"/>
          <cell r="E150"/>
          <cell r="F150"/>
          <cell r="G150"/>
          <cell r="H150"/>
          <cell r="I150"/>
          <cell r="J150"/>
          <cell r="K150"/>
          <cell r="L150"/>
          <cell r="M150"/>
          <cell r="N150"/>
          <cell r="O150"/>
          <cell r="P150"/>
          <cell r="Q150"/>
          <cell r="R150"/>
          <cell r="S150"/>
          <cell r="T150"/>
          <cell r="U150"/>
          <cell r="V150"/>
          <cell r="W150"/>
          <cell r="X150"/>
          <cell r="Y150"/>
          <cell r="Z150"/>
          <cell r="AA150"/>
          <cell r="AB150"/>
          <cell r="AC150"/>
          <cell r="AD150"/>
          <cell r="AE150"/>
          <cell r="AF150"/>
          <cell r="AG150"/>
          <cell r="AH150"/>
          <cell r="AI150"/>
          <cell r="AJ150"/>
          <cell r="AK150"/>
          <cell r="AL150"/>
          <cell r="AM150"/>
          <cell r="AN150"/>
          <cell r="AO150"/>
          <cell r="AP150"/>
          <cell r="AQ150"/>
          <cell r="AR150"/>
          <cell r="AS150"/>
          <cell r="AT150"/>
          <cell r="AU150"/>
          <cell r="AV150"/>
          <cell r="AW150"/>
          <cell r="AX150"/>
          <cell r="AY150"/>
          <cell r="AZ150"/>
          <cell r="BA150"/>
          <cell r="BB150"/>
          <cell r="BC150"/>
          <cell r="BD150"/>
          <cell r="BE150"/>
          <cell r="BF150"/>
          <cell r="BG150"/>
          <cell r="BH150"/>
          <cell r="BI150"/>
          <cell r="BJ150"/>
          <cell r="BK150">
            <v>-2</v>
          </cell>
          <cell r="BL150"/>
          <cell r="BM150"/>
          <cell r="BN150"/>
          <cell r="BO150">
            <v>-6</v>
          </cell>
          <cell r="BP150"/>
          <cell r="BQ150"/>
          <cell r="BR150"/>
          <cell r="BS150"/>
          <cell r="BT150"/>
          <cell r="BU150"/>
          <cell r="BV150"/>
          <cell r="BW150"/>
          <cell r="BX150"/>
          <cell r="BY150"/>
          <cell r="BZ150"/>
          <cell r="CA150"/>
          <cell r="CB150"/>
          <cell r="CC150"/>
          <cell r="CD150"/>
          <cell r="CE150"/>
          <cell r="CF150"/>
          <cell r="CG150"/>
          <cell r="CH150"/>
          <cell r="CI150"/>
          <cell r="CJ150"/>
          <cell r="CK150"/>
          <cell r="CL150"/>
          <cell r="CM150"/>
          <cell r="CN150"/>
          <cell r="CO150"/>
          <cell r="CP150"/>
          <cell r="CQ150"/>
          <cell r="CR150"/>
          <cell r="CS150"/>
          <cell r="CT150"/>
          <cell r="CU150"/>
          <cell r="CV150"/>
          <cell r="CW150"/>
          <cell r="CX150"/>
          <cell r="CY150"/>
          <cell r="CZ150"/>
          <cell r="DA150"/>
          <cell r="DB150"/>
          <cell r="DC150"/>
          <cell r="DD150"/>
          <cell r="DE150"/>
          <cell r="DF150"/>
          <cell r="DG150"/>
          <cell r="DH150"/>
          <cell r="DI150"/>
          <cell r="DJ150"/>
          <cell r="DK150"/>
          <cell r="DL150"/>
          <cell r="DM150"/>
          <cell r="DN150"/>
          <cell r="DO150"/>
        </row>
        <row r="151">
          <cell r="A151" t="str">
            <v>CSP+Term</v>
          </cell>
          <cell r="B151"/>
          <cell r="C151">
            <v>0</v>
          </cell>
          <cell r="D151">
            <v>0</v>
          </cell>
          <cell r="E151">
            <v>0</v>
          </cell>
          <cell r="F151">
            <v>206.35500000000002</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96.873999999999995</v>
          </cell>
          <cell r="X151">
            <v>92.2</v>
          </cell>
          <cell r="Y151">
            <v>90.1</v>
          </cell>
          <cell r="Z151">
            <v>95.3</v>
          </cell>
          <cell r="AA151">
            <v>87.426000000000002</v>
          </cell>
          <cell r="AB151">
            <v>87.715999999999994</v>
          </cell>
          <cell r="AC151">
            <v>88.454999999999998</v>
          </cell>
          <cell r="AD151">
            <v>106.229</v>
          </cell>
          <cell r="AE151">
            <v>90.061999999999998</v>
          </cell>
          <cell r="AF151">
            <v>91.98</v>
          </cell>
          <cell r="AG151">
            <v>97.262</v>
          </cell>
          <cell r="AH151">
            <v>130.131</v>
          </cell>
          <cell r="AI151">
            <v>114.185</v>
          </cell>
          <cell r="AJ151">
            <v>117.79900000000001</v>
          </cell>
          <cell r="AK151">
            <v>113.379</v>
          </cell>
          <cell r="AL151">
            <v>143.124</v>
          </cell>
          <cell r="AM151">
            <v>122.58692625999996</v>
          </cell>
          <cell r="AN151">
            <v>136.58699999999999</v>
          </cell>
          <cell r="AO151">
            <v>140.46</v>
          </cell>
          <cell r="AP151">
            <v>178.03</v>
          </cell>
          <cell r="AQ151">
            <v>146.96</v>
          </cell>
          <cell r="AR151">
            <v>153.458</v>
          </cell>
          <cell r="AS151">
            <v>157.53700000000001</v>
          </cell>
          <cell r="AT151">
            <v>162.26</v>
          </cell>
          <cell r="AU151">
            <v>111.9</v>
          </cell>
          <cell r="AV151">
            <v>129.69200000000001</v>
          </cell>
          <cell r="AW151">
            <v>129.06</v>
          </cell>
          <cell r="AX151">
            <v>168.32300000000001</v>
          </cell>
          <cell r="AY151">
            <v>122.706</v>
          </cell>
          <cell r="AZ151">
            <v>148.733</v>
          </cell>
          <cell r="BA151">
            <v>151.75800000000001</v>
          </cell>
          <cell r="BB151">
            <v>196.255</v>
          </cell>
          <cell r="BC151">
            <v>150.26</v>
          </cell>
          <cell r="BD151">
            <v>171.32599999999999</v>
          </cell>
          <cell r="BE151">
            <v>193.88</v>
          </cell>
          <cell r="BF151">
            <v>229.04700000000003</v>
          </cell>
          <cell r="BG151">
            <v>178.364</v>
          </cell>
          <cell r="BH151">
            <v>187.917</v>
          </cell>
          <cell r="BI151">
            <v>195.69</v>
          </cell>
          <cell r="BJ151">
            <v>268.67399999999998</v>
          </cell>
          <cell r="BK151">
            <v>193.083</v>
          </cell>
          <cell r="BL151">
            <v>227.215</v>
          </cell>
          <cell r="BM151">
            <v>201.44300000000001</v>
          </cell>
          <cell r="BN151">
            <v>269.88900000000001</v>
          </cell>
          <cell r="BO151">
            <v>207.42400000000001</v>
          </cell>
          <cell r="BP151">
            <v>231.792</v>
          </cell>
          <cell r="BQ151">
            <v>193.15299999999999</v>
          </cell>
          <cell r="BR151">
            <v>267.36700000000002</v>
          </cell>
          <cell r="BS151">
            <v>13.47044639449544</v>
          </cell>
          <cell r="BT151">
            <v>14.476188349056599</v>
          </cell>
          <cell r="BU151">
            <v>14.805907979591865</v>
          </cell>
          <cell r="BV151">
            <v>17.531323169642917</v>
          </cell>
          <cell r="BW151">
            <v>16.939496569999989</v>
          </cell>
          <cell r="BX151">
            <v>17.579319650000002</v>
          </cell>
          <cell r="BY151">
            <v>18.423829820000009</v>
          </cell>
          <cell r="BZ151">
            <v>18.980265560000021</v>
          </cell>
          <cell r="CA151">
            <v>20.698804679999995</v>
          </cell>
          <cell r="CB151">
            <v>20.632598849999994</v>
          </cell>
          <cell r="CC151">
            <v>23.402000000000015</v>
          </cell>
          <cell r="CD151">
            <v>25.74499999999999</v>
          </cell>
          <cell r="CE151">
            <v>32.726365424121333</v>
          </cell>
          <cell r="CF151">
            <v>32.9306404602955</v>
          </cell>
          <cell r="CG151">
            <v>28.851893448894344</v>
          </cell>
          <cell r="CH151">
            <v>31.606878823098391</v>
          </cell>
          <cell r="CI151">
            <v>33.250838151295838</v>
          </cell>
          <cell r="CJ151">
            <v>34.689268661472681</v>
          </cell>
          <cell r="CK151">
            <v>35.838475048918795</v>
          </cell>
          <cell r="CL151">
            <v>39.716993624142063</v>
          </cell>
          <cell r="CM151">
            <v>40.984251711933979</v>
          </cell>
          <cell r="CN151">
            <v>43.101189157877243</v>
          </cell>
          <cell r="CO151">
            <v>44.676043334610505</v>
          </cell>
          <cell r="CP151">
            <v>49.824882859576135</v>
          </cell>
          <cell r="CQ151">
            <v>51.568614421883971</v>
          </cell>
          <cell r="CR151">
            <v>54.232054836939113</v>
          </cell>
          <cell r="CS151">
            <v>56.209905867146027</v>
          </cell>
          <cell r="CT151">
            <v>62.676665523793091</v>
          </cell>
          <cell r="CU151">
            <v>64.335150571168455</v>
          </cell>
          <cell r="CV151">
            <v>66.893563365884816</v>
          </cell>
          <cell r="CW151">
            <v>68.724978803428698</v>
          </cell>
          <cell r="CX151">
            <v>75.230407519677442</v>
          </cell>
          <cell r="CY151">
            <v>76.737763232535997</v>
          </cell>
          <cell r="CZ151">
            <v>79.158696122594506</v>
          </cell>
          <cell r="DA151">
            <v>80.823936849548204</v>
          </cell>
          <cell r="DB151">
            <v>87.385895445989561</v>
          </cell>
          <cell r="DC151"/>
          <cell r="DD151" t="e">
            <v>#REF!</v>
          </cell>
          <cell r="DE151">
            <v>0</v>
          </cell>
          <cell r="DF151">
            <v>0</v>
          </cell>
          <cell r="DG151">
            <v>0</v>
          </cell>
          <cell r="DH151">
            <v>0</v>
          </cell>
          <cell r="DI151">
            <v>374.47399999999999</v>
          </cell>
          <cell r="DJ151">
            <v>369.82599999999996</v>
          </cell>
          <cell r="DK151">
            <v>409.43499999999995</v>
          </cell>
          <cell r="DL151">
            <v>488.48699999999997</v>
          </cell>
          <cell r="DM151">
            <v>577.66392625999993</v>
          </cell>
          <cell r="DN151">
            <v>620.21500000000003</v>
          </cell>
          <cell r="DO151">
            <v>538.97500000000002</v>
          </cell>
        </row>
        <row r="152">
          <cell r="A152" t="str">
            <v>% of revenue</v>
          </cell>
          <cell r="B152"/>
          <cell r="C152" t="e">
            <v>#DIV/0!</v>
          </cell>
          <cell r="D152" t="e">
            <v>#DIV/0!</v>
          </cell>
          <cell r="E152" t="e">
            <v>#DIV/0!</v>
          </cell>
          <cell r="F152">
            <v>0.8299481973648225</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0.67512248154936538</v>
          </cell>
          <cell r="X152">
            <v>0.644804845127947</v>
          </cell>
          <cell r="Y152">
            <v>0.62410816951359738</v>
          </cell>
          <cell r="Z152">
            <v>0.60354654844838507</v>
          </cell>
          <cell r="AA152">
            <v>0.54197507904035713</v>
          </cell>
          <cell r="AB152">
            <v>0.49195185696178395</v>
          </cell>
          <cell r="AC152">
            <v>0.47156382944695013</v>
          </cell>
          <cell r="AD152">
            <v>0.49647375529871424</v>
          </cell>
          <cell r="AE152">
            <v>0.44609440784585669</v>
          </cell>
          <cell r="AF152">
            <v>0.43545157151716862</v>
          </cell>
          <cell r="AG152">
            <v>0.42856702225629772</v>
          </cell>
          <cell r="AH152">
            <v>0.4843777916741111</v>
          </cell>
          <cell r="AI152">
            <v>0.43917645520350157</v>
          </cell>
          <cell r="AJ152">
            <v>0.42763224766579055</v>
          </cell>
          <cell r="AK152">
            <v>0.40805683621797295</v>
          </cell>
          <cell r="AL152">
            <v>0.44586638089482306</v>
          </cell>
          <cell r="AM152">
            <v>0.3978958163252056</v>
          </cell>
          <cell r="AN152">
            <v>0.40849792441770044</v>
          </cell>
          <cell r="AO152">
            <v>0.40139341755946178</v>
          </cell>
          <cell r="AP152">
            <v>0.44556623677604557</v>
          </cell>
          <cell r="AQ152">
            <v>0.38977917110923688</v>
          </cell>
          <cell r="AR152">
            <v>0.3917443136854466</v>
          </cell>
          <cell r="AS152">
            <v>0.39493548395183675</v>
          </cell>
          <cell r="AT152">
            <v>0.39033238151826927</v>
          </cell>
          <cell r="AU152">
            <v>0.30320437438017872</v>
          </cell>
          <cell r="AV152">
            <v>0.33014958200535605</v>
          </cell>
          <cell r="AW152">
            <v>0.32181168057210968</v>
          </cell>
          <cell r="AX152">
            <v>0.37308936962496675</v>
          </cell>
          <cell r="AY152">
            <v>0.29619670168391782</v>
          </cell>
          <cell r="AZ152">
            <v>0.32443781315917486</v>
          </cell>
          <cell r="BA152">
            <v>0.32136254772538136</v>
          </cell>
          <cell r="BB152">
            <v>0.37048515893803879</v>
          </cell>
          <cell r="BC152">
            <v>0.30609833607666104</v>
          </cell>
          <cell r="BD152">
            <v>0.32277548559694041</v>
          </cell>
          <cell r="BE152">
            <v>0.34293921619957973</v>
          </cell>
          <cell r="BF152">
            <v>0.36980880448716918</v>
          </cell>
          <cell r="BG152">
            <v>0.30257084453642524</v>
          </cell>
          <cell r="BH152">
            <v>0.30545179694738384</v>
          </cell>
          <cell r="BI152">
            <v>0.30508775813738848</v>
          </cell>
          <cell r="BJ152">
            <v>0.3630749355401921</v>
          </cell>
          <cell r="BK152">
            <v>0.28694202250263412</v>
          </cell>
          <cell r="BL152">
            <v>0.31108978290871653</v>
          </cell>
          <cell r="BM152">
            <v>0.28263538417720013</v>
          </cell>
          <cell r="BN152">
            <v>0.33634380997482616</v>
          </cell>
          <cell r="BO152">
            <v>0.27626365342379455</v>
          </cell>
          <cell r="BP152">
            <v>0.2965760786120068</v>
          </cell>
          <cell r="BQ152">
            <v>0.25448554270521245</v>
          </cell>
          <cell r="BR152">
            <v>0.31400157137605805</v>
          </cell>
          <cell r="BS152">
            <v>1.770558751750842E-2</v>
          </cell>
          <cell r="BT152">
            <v>1.8168841957300261E-2</v>
          </cell>
          <cell r="BU152">
            <v>1.8205402854638515E-2</v>
          </cell>
          <cell r="BV152">
            <v>1.9376702152544827E-2</v>
          </cell>
          <cell r="BW152">
            <v>2.5713708014748617E-2</v>
          </cell>
          <cell r="BX152">
            <v>2.6082579708510703E-2</v>
          </cell>
          <cell r="BY152">
            <v>2.755022881974353E-2</v>
          </cell>
          <cell r="BZ152">
            <v>2.5838114579135974E-2</v>
          </cell>
          <cell r="CA152">
            <v>3.1235133677492952E-2</v>
          </cell>
          <cell r="CB152">
            <v>2.9763120666102143E-2</v>
          </cell>
          <cell r="CC152">
            <v>3.3870535875818675E-2</v>
          </cell>
          <cell r="CD152">
            <v>3.3097343084911475E-2</v>
          </cell>
          <cell r="CE152">
            <v>4.6940248058097815E-2</v>
          </cell>
          <cell r="CF152">
            <v>4.4359096213177476E-2</v>
          </cell>
          <cell r="CG152">
            <v>3.9389541020995011E-2</v>
          </cell>
          <cell r="CH152">
            <v>3.9416462547667813E-2</v>
          </cell>
          <cell r="CI152">
            <v>4.6817456002283604E-2</v>
          </cell>
          <cell r="CJ152">
            <v>4.493505236940603E-2</v>
          </cell>
          <cell r="CK152">
            <v>4.6980868747949801E-2</v>
          </cell>
          <cell r="CL152">
            <v>4.6402587109685735E-2</v>
          </cell>
          <cell r="CM152">
            <v>5.3581038549273839E-2</v>
          </cell>
          <cell r="CN152">
            <v>5.2116744389815173E-2</v>
          </cell>
          <cell r="CO152">
            <v>5.4550063374346168E-2</v>
          </cell>
          <cell r="CP152">
            <v>5.5390898438019601E-2</v>
          </cell>
          <cell r="CQ152">
            <v>6.261282311275751E-2</v>
          </cell>
          <cell r="CR152">
            <v>6.1326692218253029E-2</v>
          </cell>
          <cell r="CS152">
            <v>6.4113186599220745E-2</v>
          </cell>
          <cell r="CT152">
            <v>6.6439484273582344E-2</v>
          </cell>
          <cell r="CU152">
            <v>7.1982505112955023E-2</v>
          </cell>
          <cell r="CV152">
            <v>7.0014746250969775E-2</v>
          </cell>
          <cell r="CW152">
            <v>7.2537067145614018E-2</v>
          </cell>
          <cell r="CX152">
            <v>7.437959327547454E-2</v>
          </cell>
          <cell r="CY152">
            <v>7.9016540583891515E-2</v>
          </cell>
          <cell r="CZ152">
            <v>7.6640539589680562E-2</v>
          </cell>
          <cell r="DA152">
            <v>7.9009698368005782E-2</v>
          </cell>
          <cell r="DB152">
            <v>8.0311140706892839E-2</v>
          </cell>
          <cell r="DC152"/>
          <cell r="DD152"/>
          <cell r="DE152">
            <v>0</v>
          </cell>
          <cell r="DF152">
            <v>0</v>
          </cell>
          <cell r="DG152">
            <v>0</v>
          </cell>
          <cell r="DH152">
            <v>0</v>
          </cell>
          <cell r="DI152">
            <v>0.63605357828333442</v>
          </cell>
          <cell r="DJ152">
            <v>0.49898469555033548</v>
          </cell>
          <cell r="DK152">
            <v>0.45056133779087548</v>
          </cell>
          <cell r="DL152">
            <v>0.43064340807127449</v>
          </cell>
          <cell r="DM152">
            <v>0.41500574467901674</v>
          </cell>
          <cell r="DN152">
            <v>0.39170962400069731</v>
          </cell>
          <cell r="DO152">
            <v>0.33391921630047433</v>
          </cell>
        </row>
        <row r="153">
          <cell r="A153" t="str">
            <v>% growth in revenue y-o-y</v>
          </cell>
          <cell r="B153"/>
          <cell r="C153" t="str">
            <v>NA</v>
          </cell>
          <cell r="D153" t="str">
            <v>NA</v>
          </cell>
          <cell r="E153" t="str">
            <v>NA</v>
          </cell>
          <cell r="F153" t="str">
            <v>NA</v>
          </cell>
          <cell r="G153" t="str">
            <v>NA</v>
          </cell>
          <cell r="H153" t="str">
            <v>NA</v>
          </cell>
          <cell r="I153" t="str">
            <v>NA</v>
          </cell>
          <cell r="J153">
            <v>-1</v>
          </cell>
          <cell r="K153" t="str">
            <v>NA</v>
          </cell>
          <cell r="L153" t="str">
            <v>NA</v>
          </cell>
          <cell r="M153" t="str">
            <v>NA</v>
          </cell>
          <cell r="N153" t="str">
            <v>NA</v>
          </cell>
          <cell r="O153" t="str">
            <v>NA</v>
          </cell>
          <cell r="P153" t="str">
            <v>NA</v>
          </cell>
          <cell r="Q153" t="str">
            <v>NA</v>
          </cell>
          <cell r="R153" t="str">
            <v>NA</v>
          </cell>
          <cell r="S153" t="str">
            <v>NA</v>
          </cell>
          <cell r="T153" t="str">
            <v>NA</v>
          </cell>
          <cell r="U153" t="str">
            <v>NA</v>
          </cell>
          <cell r="V153" t="str">
            <v>NA</v>
          </cell>
          <cell r="W153" t="str">
            <v>NA</v>
          </cell>
          <cell r="X153" t="str">
            <v>NA</v>
          </cell>
          <cell r="Y153" t="str">
            <v>NA</v>
          </cell>
          <cell r="Z153" t="str">
            <v>NA</v>
          </cell>
          <cell r="AA153">
            <v>-9.7528748683857303E-2</v>
          </cell>
          <cell r="AB153">
            <v>-4.8633405639913363E-2</v>
          </cell>
          <cell r="AC153">
            <v>-1.8257491675915616E-2</v>
          </cell>
          <cell r="AD153">
            <v>0.11467995802728237</v>
          </cell>
          <cell r="AE153">
            <v>3.0151213597785498E-2</v>
          </cell>
          <cell r="AF153">
            <v>4.8611427789684969E-2</v>
          </cell>
          <cell r="AG153">
            <v>9.9564750438075889E-2</v>
          </cell>
          <cell r="AH153">
            <v>0.22500447147200853</v>
          </cell>
          <cell r="AI153">
            <v>0.26784881526059823</v>
          </cell>
          <cell r="AJ153">
            <v>0.28070232659273753</v>
          </cell>
          <cell r="AK153">
            <v>0.16570705928317331</v>
          </cell>
          <cell r="AL153">
            <v>9.9845540263273191E-2</v>
          </cell>
          <cell r="AM153">
            <v>7.3581698646932203E-2</v>
          </cell>
          <cell r="AN153">
            <v>0.15949201606125674</v>
          </cell>
          <cell r="AO153">
            <v>0.23885375598655845</v>
          </cell>
          <cell r="AP153">
            <v>0.2438864201671278</v>
          </cell>
          <cell r="AQ153">
            <v>0.19882278219706828</v>
          </cell>
          <cell r="AR153">
            <v>0.12351834361981751</v>
          </cell>
          <cell r="AS153">
            <v>0.12157909725188665</v>
          </cell>
          <cell r="AT153">
            <v>-8.8580576307363934E-2</v>
          </cell>
          <cell r="AU153">
            <v>-0.23856831790963529</v>
          </cell>
          <cell r="AV153">
            <v>-0.15486973634479784</v>
          </cell>
          <cell r="AW153">
            <v>-0.18076388403993982</v>
          </cell>
          <cell r="AX153">
            <v>3.7365955873289947E-2</v>
          </cell>
          <cell r="AY153">
            <v>9.656836461126006E-2</v>
          </cell>
          <cell r="AZ153">
            <v>0.14681707429910862</v>
          </cell>
          <cell r="BA153">
            <v>0.17587168758716887</v>
          </cell>
          <cell r="BB153">
            <v>0.16594285985872381</v>
          </cell>
          <cell r="BC153">
            <v>0.2245529965934836</v>
          </cell>
          <cell r="BD153">
            <v>0.15190307463710129</v>
          </cell>
          <cell r="BE153">
            <v>0.27756032630899186</v>
          </cell>
          <cell r="BF153">
            <v>0.16708873659269852</v>
          </cell>
          <cell r="BG153">
            <v>0.18703580460535085</v>
          </cell>
          <cell r="BH153">
            <v>9.6838775200495109E-2</v>
          </cell>
          <cell r="BI153">
            <v>9.3356715494119502E-3</v>
          </cell>
          <cell r="BJ153">
            <v>0.17300815989731344</v>
          </cell>
          <cell r="BK153">
            <v>8.2522257854724002E-2</v>
          </cell>
          <cell r="BL153">
            <v>0.20912424102130189</v>
          </cell>
          <cell r="BM153">
            <v>2.9398538504778138E-2</v>
          </cell>
          <cell r="BN153">
            <v>4.5222090712164764E-3</v>
          </cell>
          <cell r="BO153">
            <v>7.4273757917579619E-2</v>
          </cell>
          <cell r="BP153">
            <v>2.0143916554804964E-2</v>
          </cell>
          <cell r="BQ153">
            <v>-4.1153080524019336E-2</v>
          </cell>
          <cell r="BR153">
            <v>-9.3445824023949964E-3</v>
          </cell>
          <cell r="BS153">
            <v>-0.93505840021166575</v>
          </cell>
          <cell r="BT153">
            <v>-0.93754664376226704</v>
          </cell>
          <cell r="BU153">
            <v>-0.92334621787084914</v>
          </cell>
          <cell r="BV153">
            <v>-0.93442974200390128</v>
          </cell>
          <cell r="BW153">
            <v>0.25753045399610075</v>
          </cell>
          <cell r="BX153">
            <v>0.21436107531342197</v>
          </cell>
          <cell r="BY153">
            <v>0.24435663421622</v>
          </cell>
          <cell r="BZ153">
            <v>8.264877535690407E-2</v>
          </cell>
          <cell r="CA153">
            <v>0.22192561003600164</v>
          </cell>
          <cell r="CB153">
            <v>0.17368585706330175</v>
          </cell>
          <cell r="CC153">
            <v>0.27020278783708407</v>
          </cell>
          <cell r="CD153">
            <v>0.35640884046724386</v>
          </cell>
          <cell r="CE153">
            <v>0.58107513598323113</v>
          </cell>
          <cell r="CF153">
            <v>0.59604908231400566</v>
          </cell>
          <cell r="CG153">
            <v>0.23288152503607917</v>
          </cell>
          <cell r="CH153">
            <v>0.22768999118657618</v>
          </cell>
          <cell r="CI153">
            <v>1.6025999843781502E-2</v>
          </cell>
          <cell r="CJ153">
            <v>5.3404008443065587E-2</v>
          </cell>
          <cell r="CK153">
            <v>0.24215331352168801</v>
          </cell>
          <cell r="CL153">
            <v>0.25659334622806163</v>
          </cell>
          <cell r="CM153">
            <v>0.23257800376189186</v>
          </cell>
          <cell r="CN153">
            <v>0.24249345175002746</v>
          </cell>
          <cell r="CO153">
            <v>0.2465944288541464</v>
          </cell>
          <cell r="CP153">
            <v>0.25449784369605388</v>
          </cell>
          <cell r="CQ153">
            <v>0.25825438474134654</v>
          </cell>
          <cell r="CR153">
            <v>0.25824961901376153</v>
          </cell>
          <cell r="CS153">
            <v>0.25816660723847606</v>
          </cell>
          <cell r="CT153">
            <v>0.25793904424096192</v>
          </cell>
          <cell r="CU153">
            <v>0.24756407152694027</v>
          </cell>
          <cell r="CV153">
            <v>0.23346909068843846</v>
          </cell>
          <cell r="CW153">
            <v>0.22264888622767764</v>
          </cell>
          <cell r="CX153">
            <v>0.20029371203735691</v>
          </cell>
          <cell r="CY153">
            <v>0.19278127977096426</v>
          </cell>
          <cell r="CZ153">
            <v>0.1833529586340561</v>
          </cell>
          <cell r="DA153">
            <v>0.17604891637326903</v>
          </cell>
          <cell r="DB153">
            <v>0.16157679224498023</v>
          </cell>
          <cell r="DC153"/>
          <cell r="DD153" t="str">
            <v>NA</v>
          </cell>
          <cell r="DE153" t="str">
            <v>NA</v>
          </cell>
          <cell r="DF153" t="str">
            <v>NA</v>
          </cell>
          <cell r="DG153" t="str">
            <v>NA</v>
          </cell>
          <cell r="DH153" t="str">
            <v>NA</v>
          </cell>
          <cell r="DI153" t="str">
            <v>NA</v>
          </cell>
          <cell r="DJ153">
            <v>-1.2412076672879913E-2</v>
          </cell>
          <cell r="DK153">
            <v>0.10710171810527114</v>
          </cell>
          <cell r="DL153">
            <v>0.19307582400136791</v>
          </cell>
          <cell r="DM153">
            <v>0.18255741966521111</v>
          </cell>
          <cell r="DN153">
            <v>7.366060403925645E-2</v>
          </cell>
          <cell r="DO153">
            <v>-0.13098683521037058</v>
          </cell>
        </row>
        <row r="154">
          <cell r="A154" t="str">
            <v>% growth in revenue seq</v>
          </cell>
          <cell r="B154"/>
          <cell r="C154" t="str">
            <v>NA</v>
          </cell>
          <cell r="D154" t="str">
            <v>NA</v>
          </cell>
          <cell r="E154" t="str">
            <v>NA</v>
          </cell>
          <cell r="F154" t="str">
            <v>NA</v>
          </cell>
          <cell r="G154">
            <v>-1</v>
          </cell>
          <cell r="H154" t="str">
            <v>NA</v>
          </cell>
          <cell r="I154" t="str">
            <v>NA</v>
          </cell>
          <cell r="J154" t="str">
            <v>NA</v>
          </cell>
          <cell r="K154" t="str">
            <v>NA</v>
          </cell>
          <cell r="L154" t="str">
            <v>NA</v>
          </cell>
          <cell r="M154" t="str">
            <v>NA</v>
          </cell>
          <cell r="N154" t="str">
            <v>NA</v>
          </cell>
          <cell r="O154" t="str">
            <v>NA</v>
          </cell>
          <cell r="P154" t="str">
            <v>NA</v>
          </cell>
          <cell r="Q154" t="str">
            <v>NA</v>
          </cell>
          <cell r="R154" t="str">
            <v>NA</v>
          </cell>
          <cell r="S154" t="str">
            <v>NA</v>
          </cell>
          <cell r="T154" t="str">
            <v>NA</v>
          </cell>
          <cell r="U154" t="str">
            <v>NA</v>
          </cell>
          <cell r="V154" t="str">
            <v>NA</v>
          </cell>
          <cell r="W154" t="str">
            <v>NA</v>
          </cell>
          <cell r="X154">
            <v>-4.8248239981832031E-2</v>
          </cell>
          <cell r="Y154">
            <v>-2.2776572668112838E-2</v>
          </cell>
          <cell r="Z154">
            <v>5.7713651498335183E-2</v>
          </cell>
          <cell r="AA154">
            <v>-8.2623294858342078E-2</v>
          </cell>
          <cell r="AB154">
            <v>3.3170910255528874E-3</v>
          </cell>
          <cell r="AC154">
            <v>8.4249167768708499E-3</v>
          </cell>
          <cell r="AD154">
            <v>0.20093833022440788</v>
          </cell>
          <cell r="AE154">
            <v>-0.15219007992167866</v>
          </cell>
          <cell r="AF154">
            <v>2.1296440230063718E-2</v>
          </cell>
          <cell r="AG154">
            <v>5.742552728854089E-2</v>
          </cell>
          <cell r="AH154">
            <v>0.33794287594332828</v>
          </cell>
          <cell r="AI154">
            <v>-0.12253805780329052</v>
          </cell>
          <cell r="AJ154">
            <v>3.165039190786878E-2</v>
          </cell>
          <cell r="AK154">
            <v>-3.7521540929889019E-2</v>
          </cell>
          <cell r="AL154">
            <v>0.26235017066652544</v>
          </cell>
          <cell r="AM154">
            <v>-0.14349147410636953</v>
          </cell>
          <cell r="AN154">
            <v>0.11420527593869734</v>
          </cell>
          <cell r="AO154">
            <v>2.835555360319808E-2</v>
          </cell>
          <cell r="AP154">
            <v>0.26747828563292031</v>
          </cell>
          <cell r="AQ154">
            <v>-0.1745211481211032</v>
          </cell>
          <cell r="AR154">
            <v>4.421611322808916E-2</v>
          </cell>
          <cell r="AS154">
            <v>2.6580562759843218E-2</v>
          </cell>
          <cell r="AT154">
            <v>2.99802586059148E-2</v>
          </cell>
          <cell r="AU154">
            <v>-0.31036607913225678</v>
          </cell>
          <cell r="AV154">
            <v>0.15899910634495096</v>
          </cell>
          <cell r="AW154">
            <v>-4.8730839219073285E-3</v>
          </cell>
          <cell r="AX154">
            <v>0.30422284208895101</v>
          </cell>
          <cell r="AY154">
            <v>-0.27100871538648907</v>
          </cell>
          <cell r="AZ154">
            <v>0.21210861734552511</v>
          </cell>
          <cell r="BA154">
            <v>2.0338458849078478E-2</v>
          </cell>
          <cell r="BB154">
            <v>0.29321024262312356</v>
          </cell>
          <cell r="BC154">
            <v>-0.23436345570813488</v>
          </cell>
          <cell r="BD154">
            <v>0.14019699188073997</v>
          </cell>
          <cell r="BE154">
            <v>0.13164376685383417</v>
          </cell>
          <cell r="BF154">
            <v>0.18138539302661449</v>
          </cell>
          <cell r="BG154">
            <v>-0.22127772902504728</v>
          </cell>
          <cell r="BH154">
            <v>5.3559014150837525E-2</v>
          </cell>
          <cell r="BI154">
            <v>4.1364006449655877E-2</v>
          </cell>
          <cell r="BJ154">
            <v>0.3729572282692013</v>
          </cell>
          <cell r="BK154">
            <v>-0.28134839991960514</v>
          </cell>
          <cell r="BL154">
            <v>0.17677371907418049</v>
          </cell>
          <cell r="BM154">
            <v>-0.11342561010496666</v>
          </cell>
          <cell r="BN154">
            <v>0.33977849813594907</v>
          </cell>
          <cell r="BO154">
            <v>-0.23144700228612503</v>
          </cell>
          <cell r="BP154">
            <v>0.11747917309472378</v>
          </cell>
          <cell r="BQ154">
            <v>-0.16669686615586388</v>
          </cell>
          <cell r="BR154">
            <v>0.3842239054014176</v>
          </cell>
          <cell r="BS154">
            <v>-0.94961814137685119</v>
          </cell>
          <cell r="BT154">
            <v>7.4662852670728475E-2</v>
          </cell>
          <cell r="BU154">
            <v>2.2776688350891305E-2</v>
          </cell>
          <cell r="BV154">
            <v>0.18407619403063324</v>
          </cell>
          <cell r="BW154">
            <v>-3.3758239119550892E-2</v>
          </cell>
          <cell r="BX154">
            <v>3.7771079993790702E-2</v>
          </cell>
          <cell r="BY154">
            <v>4.8039980318578923E-2</v>
          </cell>
          <cell r="BZ154">
            <v>3.0201958302717991E-2</v>
          </cell>
          <cell r="CA154">
            <v>9.0543470773228441E-2</v>
          </cell>
          <cell r="CB154">
            <v>-3.1985339744750041E-3</v>
          </cell>
          <cell r="CC154">
            <v>0.13422454292518871</v>
          </cell>
          <cell r="CD154">
            <v>0.10011964789334127</v>
          </cell>
          <cell r="CE154">
            <v>0.27117364242071651</v>
          </cell>
          <cell r="CF154">
            <v>6.2419102618589406E-3</v>
          </cell>
          <cell r="CG154">
            <v>-0.12385872106917883</v>
          </cell>
          <cell r="CH154">
            <v>9.5487160282356598E-2</v>
          </cell>
          <cell r="CI154">
            <v>5.2012707024903682E-2</v>
          </cell>
          <cell r="CJ154">
            <v>4.3259977496861612E-2</v>
          </cell>
          <cell r="CK154">
            <v>3.3128585057847326E-2</v>
          </cell>
          <cell r="CL154">
            <v>0.10822219890576168</v>
          </cell>
          <cell r="CM154">
            <v>3.1907200725827645E-2</v>
          </cell>
          <cell r="CN154">
            <v>5.1652460579799886E-2</v>
          </cell>
          <cell r="CO154">
            <v>3.6538531940839558E-2</v>
          </cell>
          <cell r="CP154">
            <v>0.11524833312570526</v>
          </cell>
          <cell r="CQ154">
            <v>3.4997203449976588E-2</v>
          </cell>
          <cell r="CR154">
            <v>5.1648477371633028E-2</v>
          </cell>
          <cell r="CS154">
            <v>3.6470147335441627E-2</v>
          </cell>
          <cell r="CT154">
            <v>0.11504661957505258</v>
          </cell>
          <cell r="CU154">
            <v>2.6460964914379215E-2</v>
          </cell>
          <cell r="CV154">
            <v>3.976695122344065E-2</v>
          </cell>
          <cell r="CW154">
            <v>2.7378051719664898E-2</v>
          </cell>
          <cell r="CX154">
            <v>9.465886828217096E-2</v>
          </cell>
          <cell r="CY154">
            <v>2.0036521967055521E-2</v>
          </cell>
          <cell r="CZ154">
            <v>3.1548129474694653E-2</v>
          </cell>
          <cell r="DA154">
            <v>2.103673769935166E-2</v>
          </cell>
          <cell r="DB154">
            <v>8.1188306982079794E-2</v>
          </cell>
          <cell r="DC154"/>
          <cell r="DD154"/>
          <cell r="DE154"/>
          <cell r="DF154"/>
          <cell r="DG154"/>
          <cell r="DH154"/>
          <cell r="DI154"/>
          <cell r="DJ154"/>
          <cell r="DK154"/>
          <cell r="DL154"/>
          <cell r="DM154"/>
          <cell r="DN154"/>
          <cell r="DO154"/>
        </row>
        <row r="155">
          <cell r="A155"/>
          <cell r="B155"/>
          <cell r="C155"/>
          <cell r="D155"/>
          <cell r="E155"/>
          <cell r="F155"/>
          <cell r="G155"/>
          <cell r="H155"/>
          <cell r="I155"/>
          <cell r="J155"/>
          <cell r="K155"/>
          <cell r="L155"/>
          <cell r="M155"/>
          <cell r="N155"/>
          <cell r="O155"/>
          <cell r="P155"/>
          <cell r="Q155"/>
          <cell r="R155"/>
          <cell r="S155"/>
          <cell r="T155"/>
          <cell r="U155"/>
          <cell r="V155"/>
          <cell r="W155"/>
          <cell r="X155"/>
          <cell r="Y155"/>
          <cell r="Z155"/>
          <cell r="AA155"/>
          <cell r="AB155"/>
          <cell r="AC155"/>
          <cell r="AD155"/>
          <cell r="AE155"/>
          <cell r="AF155"/>
          <cell r="AG155"/>
          <cell r="AH155"/>
          <cell r="AI155"/>
          <cell r="AJ155"/>
          <cell r="AK155"/>
          <cell r="AL155"/>
          <cell r="AM155"/>
          <cell r="AN155"/>
          <cell r="AO155"/>
          <cell r="AP155"/>
          <cell r="AQ155"/>
          <cell r="AR155"/>
          <cell r="AS155"/>
          <cell r="AT155"/>
          <cell r="AU155"/>
          <cell r="AV155"/>
          <cell r="AW155"/>
          <cell r="AX155"/>
          <cell r="AY155"/>
          <cell r="AZ155"/>
          <cell r="BA155"/>
          <cell r="BB155"/>
          <cell r="BC155"/>
          <cell r="BD155"/>
          <cell r="BE155"/>
          <cell r="BF155"/>
          <cell r="BG155"/>
          <cell r="BH155"/>
          <cell r="BI155"/>
          <cell r="BJ155"/>
          <cell r="BK155"/>
          <cell r="BL155"/>
          <cell r="BM155"/>
          <cell r="BN155"/>
          <cell r="BO155"/>
          <cell r="BP155"/>
          <cell r="BQ155"/>
          <cell r="BR155"/>
          <cell r="BS155"/>
          <cell r="BT155"/>
          <cell r="BU155"/>
          <cell r="BV155"/>
          <cell r="BW155"/>
          <cell r="BX155"/>
          <cell r="BY155"/>
          <cell r="BZ155"/>
          <cell r="CA155"/>
          <cell r="CB155"/>
          <cell r="CC155"/>
          <cell r="CD155"/>
          <cell r="CE155"/>
          <cell r="CF155"/>
          <cell r="CG155"/>
          <cell r="CH155"/>
          <cell r="CI155"/>
          <cell r="CJ155"/>
          <cell r="CK155"/>
          <cell r="CL155"/>
          <cell r="CM155"/>
          <cell r="CN155"/>
          <cell r="CO155"/>
          <cell r="CP155"/>
          <cell r="CQ155"/>
          <cell r="CR155"/>
          <cell r="CS155"/>
          <cell r="CT155"/>
          <cell r="CU155"/>
          <cell r="CV155"/>
          <cell r="CW155"/>
          <cell r="CX155"/>
          <cell r="CY155"/>
          <cell r="CZ155"/>
          <cell r="DA155"/>
          <cell r="DB155"/>
          <cell r="DC155"/>
          <cell r="DD155"/>
          <cell r="DE155"/>
          <cell r="DF155"/>
          <cell r="DG155"/>
          <cell r="DH155"/>
          <cell r="DI155"/>
          <cell r="DJ155"/>
          <cell r="DK155"/>
          <cell r="DL155"/>
          <cell r="DM155"/>
          <cell r="DN155"/>
          <cell r="DO155"/>
        </row>
        <row r="156">
          <cell r="A156" t="str">
            <v>Software licenses updates</v>
          </cell>
          <cell r="B156"/>
          <cell r="C156">
            <v>0</v>
          </cell>
          <cell r="D156">
            <v>0</v>
          </cell>
          <cell r="E156">
            <v>0</v>
          </cell>
          <cell r="F156">
            <v>42.280999999999977</v>
          </cell>
          <cell r="G156">
            <v>72.075000000000003</v>
          </cell>
          <cell r="H156">
            <v>80.582000000000008</v>
          </cell>
          <cell r="I156">
            <v>91.570999999999998</v>
          </cell>
          <cell r="J156">
            <v>103.477</v>
          </cell>
          <cell r="K156">
            <v>110.96</v>
          </cell>
          <cell r="L156">
            <v>88.492000000000004</v>
          </cell>
          <cell r="M156">
            <v>95.89</v>
          </cell>
          <cell r="N156">
            <v>104.81399999999999</v>
          </cell>
          <cell r="O156">
            <v>113.37400000000001</v>
          </cell>
          <cell r="P156">
            <v>127.14700000000001</v>
          </cell>
          <cell r="Q156">
            <v>132.49699999999999</v>
          </cell>
          <cell r="R156">
            <v>138.13000000000002</v>
          </cell>
          <cell r="S156">
            <v>121.72499999999999</v>
          </cell>
          <cell r="T156">
            <v>102.02800000000001</v>
          </cell>
          <cell r="U156">
            <v>108.423</v>
          </cell>
          <cell r="V156">
            <v>136.65099999999998</v>
          </cell>
          <cell r="W156">
            <v>35.240000000000016</v>
          </cell>
          <cell r="X156">
            <v>39.499999999999972</v>
          </cell>
          <cell r="Y156">
            <v>43.399999999999991</v>
          </cell>
          <cell r="Z156">
            <v>50.600000000000009</v>
          </cell>
          <cell r="AA156">
            <v>58.897000000000006</v>
          </cell>
          <cell r="AB156">
            <v>66.98099999999998</v>
          </cell>
          <cell r="AC156">
            <v>70.405999999999977</v>
          </cell>
          <cell r="AD156">
            <v>75.263000000000005</v>
          </cell>
          <cell r="AE156">
            <v>76.606971000000001</v>
          </cell>
          <cell r="AF156">
            <v>80.057394000000002</v>
          </cell>
          <cell r="AG156">
            <v>83.790244999999985</v>
          </cell>
          <cell r="AH156">
            <v>88.494067999999999</v>
          </cell>
          <cell r="AI156">
            <v>93.340355000000017</v>
          </cell>
          <cell r="AJ156">
            <v>98.792754000000016</v>
          </cell>
          <cell r="AK156">
            <v>101.08979500000001</v>
          </cell>
          <cell r="AL156">
            <v>107.87256350000003</v>
          </cell>
          <cell r="AM156">
            <v>107.63807374000005</v>
          </cell>
          <cell r="AN156">
            <v>111.89999999999999</v>
          </cell>
          <cell r="AO156">
            <v>118.708</v>
          </cell>
          <cell r="AP156">
            <v>123.23238100000003</v>
          </cell>
          <cell r="AQ156">
            <v>126.88275</v>
          </cell>
          <cell r="AR156">
            <v>131.32931250000001</v>
          </cell>
          <cell r="AS156">
            <v>131.86824387499999</v>
          </cell>
          <cell r="AT156">
            <v>135.62726953124999</v>
          </cell>
          <cell r="AU156">
            <v>161.7074074074074</v>
          </cell>
          <cell r="AV156">
            <v>163.3156923076923</v>
          </cell>
          <cell r="AW156">
            <v>166.98999999999998</v>
          </cell>
          <cell r="AX156">
            <v>170.11033333333339</v>
          </cell>
          <cell r="AY156">
            <v>170.6118104074074</v>
          </cell>
          <cell r="AZ156">
            <v>178.34322541769231</v>
          </cell>
          <cell r="BA156">
            <v>181.581829</v>
          </cell>
          <cell r="BB156">
            <v>183.63523533333336</v>
          </cell>
          <cell r="BC156">
            <v>188.6474074074074</v>
          </cell>
          <cell r="BD156">
            <v>194.78169230769231</v>
          </cell>
          <cell r="BE156">
            <v>198.26999999999998</v>
          </cell>
          <cell r="BF156">
            <v>206.48633333333333</v>
          </cell>
          <cell r="BG156">
            <v>220.04340740740739</v>
          </cell>
          <cell r="BH156">
            <v>225.89069230769232</v>
          </cell>
          <cell r="BI156">
            <v>234.56000000000003</v>
          </cell>
          <cell r="BJ156">
            <v>244.65933333333339</v>
          </cell>
          <cell r="BK156">
            <v>251.72440740740743</v>
          </cell>
          <cell r="BL156">
            <v>260.29269230769228</v>
          </cell>
          <cell r="BM156">
            <v>267.70699999999999</v>
          </cell>
          <cell r="BN156">
            <v>272.04433333333333</v>
          </cell>
          <cell r="BO156">
            <v>279.58340740740738</v>
          </cell>
          <cell r="BP156">
            <v>282.21569230769228</v>
          </cell>
          <cell r="BQ156">
            <v>290.49700000000001</v>
          </cell>
          <cell r="BR156">
            <v>293.66633333333334</v>
          </cell>
          <cell r="BS156">
            <v>298.52640740740736</v>
          </cell>
          <cell r="BT156">
            <v>300.03369230769232</v>
          </cell>
          <cell r="BU156">
            <v>300.99799999999999</v>
          </cell>
          <cell r="BV156">
            <v>305.73442763858219</v>
          </cell>
          <cell r="BW156">
            <v>312.21146048925925</v>
          </cell>
          <cell r="BX156">
            <v>307.61497698872643</v>
          </cell>
          <cell r="BY156">
            <v>316.28851421431648</v>
          </cell>
          <cell r="BZ156">
            <v>316.50580174171472</v>
          </cell>
          <cell r="CA156">
            <v>312.14432398904995</v>
          </cell>
          <cell r="CB156">
            <v>320.43669955905398</v>
          </cell>
          <cell r="CC156">
            <v>326.27609506727578</v>
          </cell>
          <cell r="CD156">
            <v>328.29345153192094</v>
          </cell>
          <cell r="CE156">
            <v>331.45607590453062</v>
          </cell>
          <cell r="CF156">
            <v>336.19885100127141</v>
          </cell>
          <cell r="CG156">
            <v>345.01162657998822</v>
          </cell>
          <cell r="CH156">
            <v>343.44388523841531</v>
          </cell>
          <cell r="CI156">
            <v>347.45842095841073</v>
          </cell>
          <cell r="CJ156">
            <v>347.27262270866049</v>
          </cell>
          <cell r="CK156">
            <v>351.00705583197271</v>
          </cell>
          <cell r="CL156">
            <v>345.64977347840284</v>
          </cell>
          <cell r="CM156">
            <v>350.21677780654642</v>
          </cell>
          <cell r="CN156">
            <v>348.74805216523714</v>
          </cell>
          <cell r="CO156">
            <v>350.25351573300964</v>
          </cell>
          <cell r="CP156">
            <v>343.04927079291781</v>
          </cell>
          <cell r="CQ156">
            <v>343.09127808727993</v>
          </cell>
          <cell r="CR156">
            <v>339.08868007929703</v>
          </cell>
          <cell r="CS156">
            <v>337.32041554246189</v>
          </cell>
          <cell r="CT156">
            <v>328.48700054269477</v>
          </cell>
          <cell r="CU156">
            <v>325.59067054122022</v>
          </cell>
          <cell r="CV156">
            <v>321.48363025557671</v>
          </cell>
          <cell r="CW156">
            <v>319.31494331329441</v>
          </cell>
          <cell r="CX156">
            <v>310.99591170625985</v>
          </cell>
          <cell r="CY156">
            <v>307.56964772517313</v>
          </cell>
          <cell r="CZ156">
            <v>303.07068780315024</v>
          </cell>
          <cell r="DA156">
            <v>301.39883290610368</v>
          </cell>
          <cell r="DB156">
            <v>293.27867819246177</v>
          </cell>
          <cell r="DC156"/>
          <cell r="DD156">
            <v>0</v>
          </cell>
          <cell r="DE156">
            <v>347.70500000000004</v>
          </cell>
          <cell r="DF156">
            <v>400.15599999999995</v>
          </cell>
          <cell r="DG156">
            <v>511.14800000000002</v>
          </cell>
          <cell r="DH156">
            <v>468.827</v>
          </cell>
          <cell r="DI156">
            <v>168.73999999999998</v>
          </cell>
          <cell r="DJ156">
            <v>271.54699999999997</v>
          </cell>
          <cell r="DK156">
            <v>328.94867799999997</v>
          </cell>
          <cell r="DL156">
            <v>401.0954675000001</v>
          </cell>
          <cell r="DM156">
            <v>461.47845474000007</v>
          </cell>
          <cell r="DN156">
            <v>525.70757590624999</v>
          </cell>
          <cell r="DO156">
            <v>662.12343304843307</v>
          </cell>
        </row>
        <row r="157">
          <cell r="A157" t="str">
            <v>% of revenue</v>
          </cell>
          <cell r="B157"/>
          <cell r="C157" t="e">
            <v>#DIV/0!</v>
          </cell>
          <cell r="D157" t="e">
            <v>#DIV/0!</v>
          </cell>
          <cell r="E157" t="e">
            <v>#DIV/0!</v>
          </cell>
          <cell r="F157">
            <v>0.17005180263517744</v>
          </cell>
          <cell r="G157">
            <v>0.84755229953315536</v>
          </cell>
          <cell r="H157">
            <v>0.85348726367632266</v>
          </cell>
          <cell r="I157">
            <v>0.86567404046133478</v>
          </cell>
          <cell r="J157">
            <v>0.87654488314372603</v>
          </cell>
          <cell r="K157">
            <v>0.87017213661137904</v>
          </cell>
          <cell r="L157">
            <v>0.83415342269479487</v>
          </cell>
          <cell r="M157">
            <v>0.84491281246971128</v>
          </cell>
          <cell r="N157">
            <v>0.84970086093681596</v>
          </cell>
          <cell r="O157">
            <v>0.85364274312562116</v>
          </cell>
          <cell r="P157">
            <v>0.86333636622893384</v>
          </cell>
          <cell r="Q157">
            <v>0.86320075572494204</v>
          </cell>
          <cell r="R157">
            <v>0.87396946516586638</v>
          </cell>
          <cell r="S157">
            <v>0.85535099430820039</v>
          </cell>
          <cell r="T157">
            <v>0.86864868546519547</v>
          </cell>
          <cell r="U157">
            <v>0.91189927500883117</v>
          </cell>
          <cell r="V157">
            <v>0.91845225293042254</v>
          </cell>
          <cell r="W157">
            <v>0.24559031576893334</v>
          </cell>
          <cell r="X157">
            <v>0.27624502584114846</v>
          </cell>
          <cell r="Y157">
            <v>0.3006248008533865</v>
          </cell>
          <cell r="Z157">
            <v>0.32045598480050669</v>
          </cell>
          <cell r="AA157">
            <v>0.36511685574359931</v>
          </cell>
          <cell r="AB157">
            <v>0.37566039640609744</v>
          </cell>
          <cell r="AC157">
            <v>0.37534252417660913</v>
          </cell>
          <cell r="AD157">
            <v>0.35175050358232812</v>
          </cell>
          <cell r="AE157">
            <v>0.37944906137005302</v>
          </cell>
          <cell r="AF157">
            <v>0.37900758892008202</v>
          </cell>
          <cell r="AG157">
            <v>0.36920622436075379</v>
          </cell>
          <cell r="AH157">
            <v>0.32939546483235066</v>
          </cell>
          <cell r="AI157">
            <v>0.35900412695482281</v>
          </cell>
          <cell r="AJ157">
            <v>0.35863604484005407</v>
          </cell>
          <cell r="AK157">
            <v>0.36382735710866621</v>
          </cell>
          <cell r="AL157">
            <v>0.33604950592208155</v>
          </cell>
          <cell r="AM157">
            <v>0.34937444411986202</v>
          </cell>
          <cell r="AN157">
            <v>0.33466521515474151</v>
          </cell>
          <cell r="AO157">
            <v>0.33923259156805202</v>
          </cell>
          <cell r="AP157">
            <v>0.30842098663776818</v>
          </cell>
          <cell r="AQ157">
            <v>0.33652866850204494</v>
          </cell>
          <cell r="AR157">
            <v>0.33525467158502031</v>
          </cell>
          <cell r="AS157">
            <v>0.33058550507278894</v>
          </cell>
          <cell r="AT157">
            <v>0.32626473015501672</v>
          </cell>
          <cell r="AU157">
            <v>0.43816258530476893</v>
          </cell>
          <cell r="AV157">
            <v>0.41574351193828424</v>
          </cell>
          <cell r="AW157">
            <v>0.41639030326000764</v>
          </cell>
          <cell r="AX157">
            <v>0.37705100925022916</v>
          </cell>
          <cell r="AY157">
            <v>0.41183524449493908</v>
          </cell>
          <cell r="AZ157">
            <v>0.38902789593613968</v>
          </cell>
          <cell r="BA157">
            <v>0.38451745007231597</v>
          </cell>
          <cell r="BB157">
            <v>0.34666189064785186</v>
          </cell>
          <cell r="BC157">
            <v>0.38429826642209097</v>
          </cell>
          <cell r="BD157">
            <v>0.36696564047493796</v>
          </cell>
          <cell r="BE157">
            <v>0.35070434493444747</v>
          </cell>
          <cell r="BF157">
            <v>0.33338338451470267</v>
          </cell>
          <cell r="BG157">
            <v>0.37327442541057582</v>
          </cell>
          <cell r="BH157">
            <v>0.36717656134928295</v>
          </cell>
          <cell r="BI157">
            <v>0.36568748811235041</v>
          </cell>
          <cell r="BJ157">
            <v>0.330622507869412</v>
          </cell>
          <cell r="BK157">
            <v>0.37408943601849226</v>
          </cell>
          <cell r="BL157">
            <v>0.35637786740631267</v>
          </cell>
          <cell r="BM157">
            <v>0.37560734695137438</v>
          </cell>
          <cell r="BN157">
            <v>0.33902985136628366</v>
          </cell>
          <cell r="BO157">
            <v>0.37237124714133152</v>
          </cell>
          <cell r="BP157">
            <v>0.36109280452900905</v>
          </cell>
          <cell r="BQ157">
            <v>0.382739520997531</v>
          </cell>
          <cell r="BR157">
            <v>0.3448880756671987</v>
          </cell>
          <cell r="BS157">
            <v>0.39238383627725398</v>
          </cell>
          <cell r="BT157">
            <v>0.37656768521936035</v>
          </cell>
          <cell r="BU157">
            <v>0.37010832810751659</v>
          </cell>
          <cell r="BV157">
            <v>0.3379165899120346</v>
          </cell>
          <cell r="BW157">
            <v>0.47392874402754709</v>
          </cell>
          <cell r="BX157">
            <v>0.45641084618653838</v>
          </cell>
          <cell r="BY157">
            <v>0.47296468892704518</v>
          </cell>
          <cell r="BZ157">
            <v>0.43086400158690458</v>
          </cell>
          <cell r="CA157">
            <v>0.47103539731882954</v>
          </cell>
          <cell r="CB157">
            <v>0.46223920816565706</v>
          </cell>
          <cell r="CC157">
            <v>0.47223084280822925</v>
          </cell>
          <cell r="CD157">
            <v>0.42204859187732563</v>
          </cell>
          <cell r="CE157">
            <v>0.47541577629194054</v>
          </cell>
          <cell r="CF157">
            <v>0.45287540630454209</v>
          </cell>
          <cell r="CG157">
            <v>0.47102106632843699</v>
          </cell>
          <cell r="CH157">
            <v>0.42830369665708318</v>
          </cell>
          <cell r="CI157">
            <v>0.48922433960388378</v>
          </cell>
          <cell r="CJ157">
            <v>0.44984267728901051</v>
          </cell>
          <cell r="CK157">
            <v>0.46013722395098672</v>
          </cell>
          <cell r="CL157">
            <v>0.40383327789254825</v>
          </cell>
          <cell r="CM157">
            <v>0.45785827210286634</v>
          </cell>
          <cell r="CN157">
            <v>0.42169632546715446</v>
          </cell>
          <cell r="CO157">
            <v>0.42766436000659774</v>
          </cell>
          <cell r="CP157">
            <v>0.38137184128020735</v>
          </cell>
          <cell r="CQ157">
            <v>0.41656953065802288</v>
          </cell>
          <cell r="CR157">
            <v>0.38344826100434753</v>
          </cell>
          <cell r="CS157">
            <v>0.38474867395287815</v>
          </cell>
          <cell r="CT157">
            <v>0.34820784935260574</v>
          </cell>
          <cell r="CU157">
            <v>0.36429279948661475</v>
          </cell>
          <cell r="CV157">
            <v>0.33648371627432239</v>
          </cell>
          <cell r="CW157">
            <v>0.33702694256136756</v>
          </cell>
          <cell r="CX157">
            <v>0.30747872018367844</v>
          </cell>
          <cell r="CY157">
            <v>0.31670312670183626</v>
          </cell>
          <cell r="CZ157">
            <v>0.29342955587692099</v>
          </cell>
          <cell r="DA157">
            <v>0.29463339456859605</v>
          </cell>
          <cell r="DB157">
            <v>0.26953486109442037</v>
          </cell>
          <cell r="DC157"/>
          <cell r="DD157"/>
          <cell r="DE157">
            <v>0.86218183170710549</v>
          </cell>
          <cell r="DF157">
            <v>0.85058859040144874</v>
          </cell>
          <cell r="DG157">
            <v>0.86396565420955673</v>
          </cell>
          <cell r="DH157">
            <v>0.8888591861188212</v>
          </cell>
          <cell r="DI157">
            <v>0.28660916592214636</v>
          </cell>
          <cell r="DJ157">
            <v>0.3663825613196664</v>
          </cell>
          <cell r="DK157">
            <v>0.36199044152116927</v>
          </cell>
          <cell r="DL157">
            <v>0.35360023723485201</v>
          </cell>
          <cell r="DM157">
            <v>0.33153569239235547</v>
          </cell>
          <cell r="DN157">
            <v>0.33202150366011013</v>
          </cell>
          <cell r="DO157">
            <v>0.41021520081211998</v>
          </cell>
        </row>
        <row r="158">
          <cell r="A158" t="str">
            <v>% growth in revenue y-o-y</v>
          </cell>
          <cell r="B158"/>
          <cell r="C158" t="str">
            <v>NA</v>
          </cell>
          <cell r="D158" t="str">
            <v>NA</v>
          </cell>
          <cell r="E158" t="str">
            <v>NA</v>
          </cell>
          <cell r="F158" t="str">
            <v>NA</v>
          </cell>
          <cell r="G158" t="str">
            <v>NA</v>
          </cell>
          <cell r="H158" t="str">
            <v>NA</v>
          </cell>
          <cell r="I158" t="str">
            <v>NA</v>
          </cell>
          <cell r="J158">
            <v>1.4473640642368926</v>
          </cell>
          <cell r="K158">
            <v>0.53950745750953844</v>
          </cell>
          <cell r="L158">
            <v>9.8160879600903472E-2</v>
          </cell>
          <cell r="M158">
            <v>4.7165587358443117E-2</v>
          </cell>
          <cell r="N158">
            <v>1.2920745672951428E-2</v>
          </cell>
          <cell r="O158">
            <v>2.1755587599134873E-2</v>
          </cell>
          <cell r="P158">
            <v>0.43681914749355877</v>
          </cell>
          <cell r="Q158">
            <v>0.38176035040150147</v>
          </cell>
          <cell r="R158">
            <v>0.31785830137195448</v>
          </cell>
          <cell r="S158">
            <v>7.3658863584243228E-2</v>
          </cell>
          <cell r="T158">
            <v>-0.19755873123235312</v>
          </cell>
          <cell r="U158">
            <v>-0.18169467987954435</v>
          </cell>
          <cell r="V158">
            <v>-1.0707304712951893E-2</v>
          </cell>
          <cell r="W158">
            <v>-0.7104949681659477</v>
          </cell>
          <cell r="X158">
            <v>-0.61285137413259139</v>
          </cell>
          <cell r="Y158">
            <v>-0.59971592743237145</v>
          </cell>
          <cell r="Z158">
            <v>-0.62971365010135294</v>
          </cell>
          <cell r="AA158">
            <v>0.67131101021566342</v>
          </cell>
          <cell r="AB158">
            <v>0.69572151898734247</v>
          </cell>
          <cell r="AC158">
            <v>0.62225806451612886</v>
          </cell>
          <cell r="AD158">
            <v>0.48741106719367577</v>
          </cell>
          <cell r="AE158">
            <v>0.30069394026860441</v>
          </cell>
          <cell r="AF158">
            <v>0.19522542213463567</v>
          </cell>
          <cell r="AG158">
            <v>0.19010091469477053</v>
          </cell>
          <cell r="AH158">
            <v>0.17579777579952949</v>
          </cell>
          <cell r="AI158">
            <v>0.21843160983352305</v>
          </cell>
          <cell r="AJ158">
            <v>0.23402410525628659</v>
          </cell>
          <cell r="AK158">
            <v>0.20646257807218515</v>
          </cell>
          <cell r="AL158">
            <v>0.21898072874217989</v>
          </cell>
          <cell r="AM158">
            <v>0.15317831970962659</v>
          </cell>
          <cell r="AN158">
            <v>0.13267416353227657</v>
          </cell>
          <cell r="AO158">
            <v>0.17428272557086477</v>
          </cell>
          <cell r="AP158">
            <v>0.14238854627757136</v>
          </cell>
          <cell r="AQ158">
            <v>0.17879060439603833</v>
          </cell>
          <cell r="AR158">
            <v>0.17363103217158193</v>
          </cell>
          <cell r="AS158">
            <v>0.11086231656670131</v>
          </cell>
          <cell r="AT158">
            <v>0.1005814253580799</v>
          </cell>
          <cell r="AU158">
            <v>0.27446329313801443</v>
          </cell>
          <cell r="AV158">
            <v>0.24355857195012942</v>
          </cell>
          <cell r="AW158">
            <v>0.2663397577228106</v>
          </cell>
          <cell r="AX158">
            <v>0.25424875042653672</v>
          </cell>
          <cell r="AY158">
            <v>5.5064904834978501E-2</v>
          </cell>
          <cell r="AZ158">
            <v>9.2015242979147649E-2</v>
          </cell>
          <cell r="BA158">
            <v>8.7381453979280321E-2</v>
          </cell>
          <cell r="BB158">
            <v>7.9506645686818755E-2</v>
          </cell>
          <cell r="BC158">
            <v>0.10571130425808395</v>
          </cell>
          <cell r="BD158">
            <v>9.2173206195525381E-2</v>
          </cell>
          <cell r="BE158">
            <v>9.1904410765682787E-2</v>
          </cell>
          <cell r="BF158">
            <v>0.12443743684876618</v>
          </cell>
          <cell r="BG158">
            <v>0.16642688299551578</v>
          </cell>
          <cell r="BH158">
            <v>0.15971213532151585</v>
          </cell>
          <cell r="BI158">
            <v>0.18303323750441347</v>
          </cell>
          <cell r="BJ158">
            <v>0.1848693779572177</v>
          </cell>
          <cell r="BK158">
            <v>0.1439761380414506</v>
          </cell>
          <cell r="BL158">
            <v>0.15229489824724607</v>
          </cell>
          <cell r="BM158">
            <v>0.14131565484311026</v>
          </cell>
          <cell r="BN158">
            <v>0.11193114780006996</v>
          </cell>
          <cell r="BO158">
            <v>0.11067262124848742</v>
          </cell>
          <cell r="BP158">
            <v>8.4224416005059366E-2</v>
          </cell>
          <cell r="BQ158">
            <v>8.5130385085186555E-2</v>
          </cell>
          <cell r="BR158">
            <v>7.9479692648134703E-2</v>
          </cell>
          <cell r="BS158">
            <v>6.7754378472097088E-2</v>
          </cell>
          <cell r="BT158">
            <v>6.3136106480477183E-2</v>
          </cell>
          <cell r="BU158">
            <v>3.6148393959317904E-2</v>
          </cell>
          <cell r="BV158">
            <v>4.1094578899347756E-2</v>
          </cell>
          <cell r="BW158">
            <v>4.5842018468990942E-2</v>
          </cell>
          <cell r="BX158">
            <v>2.5268111133530002E-2</v>
          </cell>
          <cell r="BY158">
            <v>5.0799388083364372E-2</v>
          </cell>
          <cell r="BZ158">
            <v>3.5231145495546512E-2</v>
          </cell>
          <cell r="CA158">
            <v>-2.1503534849132144E-4</v>
          </cell>
          <cell r="CB158">
            <v>4.1681073840554417E-2</v>
          </cell>
          <cell r="CC158">
            <v>3.1577437700414768E-2</v>
          </cell>
          <cell r="CD158">
            <v>3.7243076510254713E-2</v>
          </cell>
          <cell r="CE158">
            <v>6.1868022037645964E-2</v>
          </cell>
          <cell r="CF158">
            <v>4.9189594899421207E-2</v>
          </cell>
          <cell r="CG158">
            <v>5.7422323596368008E-2</v>
          </cell>
          <cell r="CH158">
            <v>4.6149058520045694E-2</v>
          </cell>
          <cell r="CI158">
            <v>4.827893110787107E-2</v>
          </cell>
          <cell r="CJ158">
            <v>3.2938160479754952E-2</v>
          </cell>
          <cell r="CK158">
            <v>1.7377470178079557E-2</v>
          </cell>
          <cell r="CL158">
            <v>6.4228490731643717E-3</v>
          </cell>
          <cell r="CM158">
            <v>7.9386674253776324E-3</v>
          </cell>
          <cell r="CN158">
            <v>4.2486201332792017E-3</v>
          </cell>
          <cell r="CO158">
            <v>-2.1467947337325821E-3</v>
          </cell>
          <cell r="CP158">
            <v>-7.5235191370593979E-3</v>
          </cell>
          <cell r="CQ158">
            <v>-2.0345969042072864E-2</v>
          </cell>
          <cell r="CR158">
            <v>-2.7697278955305826E-2</v>
          </cell>
          <cell r="CS158">
            <v>-3.6924968942799619E-2</v>
          </cell>
          <cell r="CT158">
            <v>-4.244950066958042E-2</v>
          </cell>
          <cell r="CU158">
            <v>-5.1008605184092337E-2</v>
          </cell>
          <cell r="CV158">
            <v>-5.1918718783544482E-2</v>
          </cell>
          <cell r="CW158">
            <v>-5.3377949864706453E-2</v>
          </cell>
          <cell r="CX158">
            <v>-5.3247430819295172E-2</v>
          </cell>
          <cell r="CY158">
            <v>-5.5348707584560897E-2</v>
          </cell>
          <cell r="CZ158">
            <v>-5.7274898998086909E-2</v>
          </cell>
          <cell r="DA158">
            <v>-5.6107961065926082E-2</v>
          </cell>
          <cell r="DB158">
            <v>-5.6969345405840088E-2</v>
          </cell>
          <cell r="DC158"/>
          <cell r="DD158" t="str">
            <v>NA</v>
          </cell>
          <cell r="DE158" t="str">
            <v>NA</v>
          </cell>
          <cell r="DF158">
            <v>0.15084913935663824</v>
          </cell>
          <cell r="DG158">
            <v>0.27737182498825486</v>
          </cell>
          <cell r="DH158">
            <v>-8.2795980811819714E-2</v>
          </cell>
          <cell r="DI158">
            <v>-0.6400804561170752</v>
          </cell>
          <cell r="DJ158">
            <v>0.60926277112717786</v>
          </cell>
          <cell r="DK158">
            <v>0.21138763455313447</v>
          </cell>
          <cell r="DL158">
            <v>0.21932536691939575</v>
          </cell>
          <cell r="DM158">
            <v>0.15054517473449125</v>
          </cell>
          <cell r="DN158">
            <v>0.13918119146523744</v>
          </cell>
          <cell r="DO158">
            <v>0.25948999670971129</v>
          </cell>
        </row>
        <row r="159">
          <cell r="A159" t="str">
            <v>% growth in revenue seq</v>
          </cell>
          <cell r="B159"/>
          <cell r="C159" t="str">
            <v>NA</v>
          </cell>
          <cell r="D159" t="str">
            <v>NA</v>
          </cell>
          <cell r="E159" t="str">
            <v>NA</v>
          </cell>
          <cell r="F159" t="str">
            <v>NA</v>
          </cell>
          <cell r="G159">
            <v>0.70466639861876601</v>
          </cell>
          <cell r="H159">
            <v>0.11802983003815481</v>
          </cell>
          <cell r="I159">
            <v>0.13637040530143185</v>
          </cell>
          <cell r="J159">
            <v>0.13001932926363158</v>
          </cell>
          <cell r="K159">
            <v>7.2315587038665585E-2</v>
          </cell>
          <cell r="L159">
            <v>-0.20248738284066325</v>
          </cell>
          <cell r="M159">
            <v>8.3600777471409815E-2</v>
          </cell>
          <cell r="N159">
            <v>9.306497027844407E-2</v>
          </cell>
          <cell r="O159">
            <v>8.1668479401606708E-2</v>
          </cell>
          <cell r="P159">
            <v>0.12148287967258797</v>
          </cell>
          <cell r="Q159">
            <v>4.2077280627934366E-2</v>
          </cell>
          <cell r="R159">
            <v>4.2514170132154305E-2</v>
          </cell>
          <cell r="S159">
            <v>-0.11876493158618717</v>
          </cell>
          <cell r="T159">
            <v>-0.16181556787841433</v>
          </cell>
          <cell r="U159">
            <v>6.2678872466381819E-2</v>
          </cell>
          <cell r="V159">
            <v>0.26035066360458559</v>
          </cell>
          <cell r="W159">
            <v>-0.74211677924054698</v>
          </cell>
          <cell r="X159">
            <v>0.12088535754823937</v>
          </cell>
          <cell r="Y159">
            <v>9.87341772151904E-2</v>
          </cell>
          <cell r="Z159">
            <v>0.16589861751152113</v>
          </cell>
          <cell r="AA159">
            <v>0.16397233201581018</v>
          </cell>
          <cell r="AB159">
            <v>0.1372565665483807</v>
          </cell>
          <cell r="AC159">
            <v>5.1133903644317025E-2</v>
          </cell>
          <cell r="AD159">
            <v>6.8985597818368216E-2</v>
          </cell>
          <cell r="AE159">
            <v>1.7856994804884119E-2</v>
          </cell>
          <cell r="AF159">
            <v>4.504058775538855E-2</v>
          </cell>
          <cell r="AG159">
            <v>4.6627185991090059E-2</v>
          </cell>
          <cell r="AH159">
            <v>5.613807430686002E-2</v>
          </cell>
          <cell r="AI159">
            <v>5.4763975818130639E-2</v>
          </cell>
          <cell r="AJ159">
            <v>5.841416609139749E-2</v>
          </cell>
          <cell r="AK159">
            <v>2.325110807215669E-2</v>
          </cell>
          <cell r="AL159">
            <v>6.7096471013716297E-2</v>
          </cell>
          <cell r="AM159">
            <v>-2.1737664554525304E-3</v>
          </cell>
          <cell r="AN159">
            <v>3.9594969622873677E-2</v>
          </cell>
          <cell r="AO159">
            <v>6.0840035746202004E-2</v>
          </cell>
          <cell r="AP159">
            <v>3.8113530680325081E-2</v>
          </cell>
          <cell r="AQ159">
            <v>2.9621832917437141E-2</v>
          </cell>
          <cell r="AR159">
            <v>3.5044657370682852E-2</v>
          </cell>
          <cell r="AS159">
            <v>4.1036640239777711E-3</v>
          </cell>
          <cell r="AT159">
            <v>2.8505920347382752E-2</v>
          </cell>
          <cell r="AU159">
            <v>0.19229272967224542</v>
          </cell>
          <cell r="AV159">
            <v>9.9456476735970689E-3</v>
          </cell>
          <cell r="AW159">
            <v>2.2498191327414929E-2</v>
          </cell>
          <cell r="AX159">
            <v>1.868574964568781E-2</v>
          </cell>
          <cell r="AY159">
            <v>2.947951863049747E-3</v>
          </cell>
          <cell r="AZ159">
            <v>4.5315825392292064E-2</v>
          </cell>
          <cell r="BA159">
            <v>1.8159386624990503E-2</v>
          </cell>
          <cell r="BB159">
            <v>1.1308435126145655E-2</v>
          </cell>
          <cell r="BC159">
            <v>2.7294174045498387E-2</v>
          </cell>
          <cell r="BD159">
            <v>3.2517196947409843E-2</v>
          </cell>
          <cell r="BE159">
            <v>1.7908806782504394E-2</v>
          </cell>
          <cell r="BF159">
            <v>4.1440123736991685E-2</v>
          </cell>
          <cell r="BG159">
            <v>6.5656035705707882E-2</v>
          </cell>
          <cell r="BH159">
            <v>2.6573324641618434E-2</v>
          </cell>
          <cell r="BI159">
            <v>3.8378330703856545E-2</v>
          </cell>
          <cell r="BJ159">
            <v>4.3056502955889142E-2</v>
          </cell>
          <cell r="BK159">
            <v>2.8877190082294169E-2</v>
          </cell>
          <cell r="BL159">
            <v>3.4038355630796602E-2</v>
          </cell>
          <cell r="BM159">
            <v>2.8484501914265214E-2</v>
          </cell>
          <cell r="BN159">
            <v>1.6201792756010525E-2</v>
          </cell>
          <cell r="BO159">
            <v>2.771266720279919E-2</v>
          </cell>
          <cell r="BP159">
            <v>9.4150254648308618E-3</v>
          </cell>
          <cell r="BQ159">
            <v>2.9343895176738855E-2</v>
          </cell>
          <cell r="BR159">
            <v>1.0910038084156914E-2</v>
          </cell>
          <cell r="BS159">
            <v>1.6549646733108769E-2</v>
          </cell>
          <cell r="BT159">
            <v>5.0490839767749485E-3</v>
          </cell>
          <cell r="BU159">
            <v>3.213998017658426E-3</v>
          </cell>
          <cell r="BV159">
            <v>1.5735744551731878E-2</v>
          </cell>
          <cell r="BW159">
            <v>2.1185160273587966E-2</v>
          </cell>
          <cell r="BX159">
            <v>-1.4722340728075101E-2</v>
          </cell>
          <cell r="BY159">
            <v>2.8196082357550223E-2</v>
          </cell>
          <cell r="BZ159">
            <v>6.8699152082074555E-4</v>
          </cell>
          <cell r="CA159">
            <v>-1.378008784882867E-2</v>
          </cell>
          <cell r="CB159">
            <v>2.656583808422841E-2</v>
          </cell>
          <cell r="CC159">
            <v>1.8223241957794567E-2</v>
          </cell>
          <cell r="CD159">
            <v>6.1829735464657976E-3</v>
          </cell>
          <cell r="CE159">
            <v>9.6335286550854882E-3</v>
          </cell>
          <cell r="CF159">
            <v>1.4308909811949988E-2</v>
          </cell>
          <cell r="CG159">
            <v>2.6212985417619628E-2</v>
          </cell>
          <cell r="CH159">
            <v>-4.5440246669757878E-3</v>
          </cell>
          <cell r="CI159">
            <v>1.1689058657161855E-2</v>
          </cell>
          <cell r="CJ159">
            <v>-5.3473520439584199E-4</v>
          </cell>
          <cell r="CK159">
            <v>1.0753606472587274E-2</v>
          </cell>
          <cell r="CL159">
            <v>-1.5262605878026636E-2</v>
          </cell>
          <cell r="CM159">
            <v>1.3212808682569355E-2</v>
          </cell>
          <cell r="CN159">
            <v>-4.1937615053970756E-3</v>
          </cell>
          <cell r="CO159">
            <v>4.3167655229203739E-3</v>
          </cell>
          <cell r="CP159">
            <v>-2.0568658461614042E-2</v>
          </cell>
          <cell r="CQ159">
            <v>1.2245265604282629E-4</v>
          </cell>
          <cell r="CR159">
            <v>-1.1666277354228316E-2</v>
          </cell>
          <cell r="CS159">
            <v>-5.2147554333622503E-3</v>
          </cell>
          <cell r="CT159">
            <v>-2.6187015646715772E-2</v>
          </cell>
          <cell r="CU159">
            <v>-8.81718301390777E-3</v>
          </cell>
          <cell r="CV159">
            <v>-1.2614121525093114E-2</v>
          </cell>
          <cell r="CW159">
            <v>-6.7458705146455911E-3</v>
          </cell>
          <cell r="CX159">
            <v>-2.6052747549845767E-2</v>
          </cell>
          <cell r="CY159">
            <v>-1.1017070810637741E-2</v>
          </cell>
          <cell r="CZ159">
            <v>-1.4627450905178141E-2</v>
          </cell>
          <cell r="DA159">
            <v>-5.5163859928692993E-3</v>
          </cell>
          <cell r="DB159">
            <v>-2.6941559910325319E-2</v>
          </cell>
          <cell r="DC159"/>
          <cell r="DD159"/>
          <cell r="DE159"/>
          <cell r="DF159"/>
          <cell r="DG159"/>
          <cell r="DH159"/>
          <cell r="DI159"/>
          <cell r="DJ159"/>
          <cell r="DK159"/>
          <cell r="DL159"/>
          <cell r="DM159"/>
          <cell r="DN159"/>
          <cell r="DO159"/>
        </row>
        <row r="160">
          <cell r="A160"/>
          <cell r="B160"/>
          <cell r="C160"/>
          <cell r="D160"/>
          <cell r="E160"/>
          <cell r="F160"/>
          <cell r="G160"/>
          <cell r="H160"/>
          <cell r="I160"/>
          <cell r="J160"/>
          <cell r="K160"/>
          <cell r="L160"/>
          <cell r="M160"/>
          <cell r="N160"/>
          <cell r="O160"/>
          <cell r="P160"/>
          <cell r="Q160"/>
          <cell r="R160"/>
          <cell r="S160"/>
          <cell r="T160"/>
          <cell r="U160"/>
          <cell r="V160"/>
          <cell r="W160"/>
          <cell r="X160"/>
          <cell r="Y160"/>
          <cell r="Z160"/>
          <cell r="AA160"/>
          <cell r="AB160"/>
          <cell r="AC160"/>
          <cell r="AD160"/>
          <cell r="AE160"/>
          <cell r="AF160"/>
          <cell r="AG160"/>
          <cell r="AH160"/>
          <cell r="AI160"/>
          <cell r="AJ160"/>
          <cell r="AK160"/>
          <cell r="AL160"/>
          <cell r="AM160"/>
          <cell r="AN160"/>
          <cell r="AO160"/>
          <cell r="AP160"/>
          <cell r="AQ160"/>
          <cell r="AR160"/>
          <cell r="AS160"/>
          <cell r="AT160"/>
          <cell r="AU160"/>
          <cell r="AV160"/>
          <cell r="AW160"/>
          <cell r="AX160"/>
          <cell r="AY160"/>
          <cell r="AZ160"/>
          <cell r="BA160"/>
          <cell r="BB160"/>
          <cell r="BC160"/>
          <cell r="BD160"/>
          <cell r="BE160"/>
          <cell r="BF160"/>
          <cell r="BG160"/>
          <cell r="BH160"/>
          <cell r="BI160"/>
          <cell r="BJ160"/>
          <cell r="BK160">
            <v>-2</v>
          </cell>
          <cell r="BL160"/>
          <cell r="BM160"/>
          <cell r="BN160"/>
          <cell r="BO160">
            <v>-6</v>
          </cell>
          <cell r="BP160"/>
          <cell r="BQ160"/>
          <cell r="BR160"/>
          <cell r="BS160"/>
          <cell r="BT160"/>
          <cell r="BU160"/>
          <cell r="BV160"/>
          <cell r="BW160"/>
          <cell r="BX160"/>
          <cell r="BY160"/>
          <cell r="BZ160"/>
          <cell r="CA160"/>
          <cell r="CB160"/>
          <cell r="CC160"/>
          <cell r="CD160"/>
          <cell r="CE160"/>
          <cell r="CF160"/>
          <cell r="CG160"/>
          <cell r="CH160"/>
          <cell r="CI160"/>
          <cell r="CJ160"/>
          <cell r="CK160"/>
          <cell r="CL160"/>
          <cell r="CM160"/>
          <cell r="CN160"/>
          <cell r="CO160"/>
          <cell r="CP160"/>
          <cell r="CQ160"/>
          <cell r="CR160"/>
          <cell r="CS160"/>
          <cell r="CT160"/>
          <cell r="CU160"/>
          <cell r="CV160"/>
          <cell r="CW160"/>
          <cell r="CX160"/>
          <cell r="CY160"/>
          <cell r="CZ160"/>
          <cell r="DA160"/>
          <cell r="DB160"/>
          <cell r="DC160"/>
          <cell r="DD160"/>
          <cell r="DE160"/>
          <cell r="DF160"/>
          <cell r="DG160"/>
          <cell r="DH160"/>
          <cell r="DI160"/>
          <cell r="DJ160"/>
          <cell r="DK160"/>
          <cell r="DL160"/>
          <cell r="DM160"/>
          <cell r="DN160"/>
          <cell r="DO160"/>
        </row>
        <row r="161">
          <cell r="A161" t="str">
            <v>Software licenses updates</v>
          </cell>
          <cell r="B161"/>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-1.8330750000000062E-2</v>
          </cell>
          <cell r="AG161">
            <v>-1.6525278906250005</v>
          </cell>
          <cell r="AH161">
            <v>-3.4717720849609375</v>
          </cell>
          <cell r="AI161">
            <v>-4.4147847046508772</v>
          </cell>
          <cell r="AJ161">
            <v>-5.699208491569518</v>
          </cell>
          <cell r="AK161">
            <v>-5.7424999999999997</v>
          </cell>
          <cell r="AL161">
            <v>-6.2024000000000008</v>
          </cell>
          <cell r="AM161">
            <v>-8.1403000000000354</v>
          </cell>
          <cell r="AN161">
            <v>-8.901608079999999</v>
          </cell>
          <cell r="AO161">
            <v>-10.933999999999997</v>
          </cell>
          <cell r="AP161">
            <v>-10.333015999999979</v>
          </cell>
          <cell r="AQ161">
            <v>-12.07176599999995</v>
          </cell>
          <cell r="AR161">
            <v>-17.282069896449755</v>
          </cell>
          <cell r="AS161">
            <v>-12.438231179042404</v>
          </cell>
          <cell r="AT161">
            <v>-14.079319771249985</v>
          </cell>
          <cell r="AU161">
            <v>-18.692592592592593</v>
          </cell>
          <cell r="AV161">
            <v>-20.292307692307702</v>
          </cell>
          <cell r="AW161">
            <v>-23.049999999999997</v>
          </cell>
          <cell r="AX161">
            <v>-24.366666666666639</v>
          </cell>
          <cell r="AY161">
            <v>-20.797319592592594</v>
          </cell>
          <cell r="AZ161">
            <v>-23.435712582307694</v>
          </cell>
          <cell r="BA161">
            <v>-27.989774999999995</v>
          </cell>
          <cell r="BB161">
            <v>-30.128029666666642</v>
          </cell>
          <cell r="BC161">
            <v>-30.162592592592596</v>
          </cell>
          <cell r="BD161">
            <v>-34.392307692307703</v>
          </cell>
          <cell r="BE161">
            <v>-37.549999999999997</v>
          </cell>
          <cell r="BF161">
            <v>-40.366666666666632</v>
          </cell>
          <cell r="BG161">
            <v>-42.292592592592591</v>
          </cell>
          <cell r="BH161">
            <v>-43.992307692307705</v>
          </cell>
          <cell r="BI161">
            <v>-48.649999999999991</v>
          </cell>
          <cell r="BJ161">
            <v>-56.666666666666643</v>
          </cell>
          <cell r="BK161">
            <v>-61.392592592592592</v>
          </cell>
          <cell r="BL161">
            <v>-59.992307692307719</v>
          </cell>
          <cell r="BM161">
            <v>-58.449999999999989</v>
          </cell>
          <cell r="BN161">
            <v>-62.06666666666662</v>
          </cell>
          <cell r="BO161">
            <v>-61.19259259259259</v>
          </cell>
          <cell r="BP161">
            <v>-60.792307692307716</v>
          </cell>
          <cell r="BQ161">
            <v>-64.149999999999991</v>
          </cell>
          <cell r="BR161">
            <v>-70.666666666666615</v>
          </cell>
          <cell r="BS161">
            <v>295.09577667407405</v>
          </cell>
          <cell r="BT161">
            <v>295.28511096455503</v>
          </cell>
          <cell r="BU161">
            <v>293.4742454761905</v>
          </cell>
          <cell r="BV161">
            <v>301.30933879227064</v>
          </cell>
          <cell r="BW161">
            <v>303.18204698925922</v>
          </cell>
          <cell r="BX161">
            <v>298.06082768872648</v>
          </cell>
          <cell r="BY161">
            <v>306.62198051431648</v>
          </cell>
          <cell r="BZ161">
            <v>306.05648410171472</v>
          </cell>
          <cell r="CA161">
            <v>301.83877728904997</v>
          </cell>
          <cell r="CB161">
            <v>308.13786320905393</v>
          </cell>
          <cell r="CC161">
            <v>314.21509506727585</v>
          </cell>
          <cell r="CD161">
            <v>314.23845153192093</v>
          </cell>
          <cell r="CE161">
            <v>313.58973036030744</v>
          </cell>
          <cell r="CF161">
            <v>318.22098533145379</v>
          </cell>
          <cell r="CG161">
            <v>329.26047635958776</v>
          </cell>
          <cell r="CH161">
            <v>326.18870241228802</v>
          </cell>
          <cell r="CI161">
            <v>326.83608676791641</v>
          </cell>
          <cell r="CJ161">
            <v>325.87139326929451</v>
          </cell>
          <cell r="CK161">
            <v>328.97879629154568</v>
          </cell>
          <cell r="CL161">
            <v>321.52130459702607</v>
          </cell>
          <cell r="CM161">
            <v>325.2545082655173</v>
          </cell>
          <cell r="CN161">
            <v>322.68211117370828</v>
          </cell>
          <cell r="CO161">
            <v>323.37033567803087</v>
          </cell>
          <cell r="CP161">
            <v>313.41918650255485</v>
          </cell>
          <cell r="CQ161">
            <v>312.44375841618836</v>
          </cell>
          <cell r="CR161">
            <v>307.06043349927802</v>
          </cell>
          <cell r="CS161">
            <v>304.27500199881922</v>
          </cell>
          <cell r="CT161">
            <v>292.00185748825788</v>
          </cell>
          <cell r="CU161">
            <v>288.17256178797635</v>
          </cell>
          <cell r="CV161">
            <v>282.74795514834057</v>
          </cell>
          <cell r="CW161">
            <v>279.64781336714668</v>
          </cell>
          <cell r="CX161">
            <v>267.87527408004905</v>
          </cell>
          <cell r="CY161">
            <v>263.61855377421995</v>
          </cell>
          <cell r="CZ161">
            <v>257.87745359187556</v>
          </cell>
          <cell r="DA161">
            <v>255.3653717114673</v>
          </cell>
          <cell r="DB161">
            <v>243.76332108892899</v>
          </cell>
          <cell r="DC161"/>
          <cell r="DD161" t="e">
            <v>#REF!</v>
          </cell>
          <cell r="DE161">
            <v>0</v>
          </cell>
          <cell r="DF161">
            <v>0</v>
          </cell>
          <cell r="DG161">
            <v>0</v>
          </cell>
          <cell r="DH161">
            <v>0</v>
          </cell>
          <cell r="DI161">
            <v>0</v>
          </cell>
          <cell r="DJ161">
            <v>0</v>
          </cell>
          <cell r="DK161">
            <v>-5.1426307255859385</v>
          </cell>
          <cell r="DL161">
            <v>-22.058893196220396</v>
          </cell>
          <cell r="DM161">
            <v>-38.308924080000011</v>
          </cell>
          <cell r="DN161">
            <v>-55.871386846742098</v>
          </cell>
          <cell r="DO161">
            <v>-86.401566951566934</v>
          </cell>
        </row>
        <row r="162">
          <cell r="A162" t="str">
            <v>% of revenue</v>
          </cell>
          <cell r="B162"/>
          <cell r="C162" t="e">
            <v>#DIV/0!</v>
          </cell>
          <cell r="D162" t="e">
            <v>#DIV/0!</v>
          </cell>
          <cell r="E162" t="e">
            <v>#DIV/0!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-8.6781407855929173E-5</v>
          </cell>
          <cell r="AG162">
            <v>-7.2815586486051831E-3</v>
          </cell>
          <cell r="AH162">
            <v>-1.2922741665776821E-2</v>
          </cell>
          <cell r="AI162">
            <v>-1.6980071787670973E-2</v>
          </cell>
          <cell r="AJ162">
            <v>-2.0689185283116432E-2</v>
          </cell>
          <cell r="AK162">
            <v>-2.0667552033284027E-2</v>
          </cell>
          <cell r="AL162">
            <v>-1.9321997993781974E-2</v>
          </cell>
          <cell r="AM162">
            <v>-2.6421996312741926E-2</v>
          </cell>
          <cell r="AN162">
            <v>-2.6622507446973954E-2</v>
          </cell>
          <cell r="AO162">
            <v>-3.124615995724871E-2</v>
          </cell>
          <cell r="AP162">
            <v>-2.5861051809620051E-2</v>
          </cell>
          <cell r="AQ162">
            <v>-3.2017711930488899E-2</v>
          </cell>
          <cell r="AR162">
            <v>-4.4117299916906424E-2</v>
          </cell>
          <cell r="AS162">
            <v>-3.1181873783301298E-2</v>
          </cell>
          <cell r="AT162">
            <v>-3.3869187824906083E-2</v>
          </cell>
          <cell r="AU162">
            <v>-5.0649471336734586E-2</v>
          </cell>
          <cell r="AV162">
            <v>-5.1656978861760627E-2</v>
          </cell>
          <cell r="AW162">
            <v>-5.7475276903665946E-2</v>
          </cell>
          <cell r="AX162">
            <v>-5.4008925141117645E-2</v>
          </cell>
          <cell r="AY162">
            <v>-5.0202088465048554E-2</v>
          </cell>
          <cell r="AZ162">
            <v>-5.1121347246615524E-2</v>
          </cell>
          <cell r="BA162">
            <v>-5.9271111929915937E-2</v>
          </cell>
          <cell r="BB162">
            <v>-5.6874922216223478E-2</v>
          </cell>
          <cell r="BC162">
            <v>-6.1444958101629282E-2</v>
          </cell>
          <cell r="BD162">
            <v>-6.4794566009735877E-2</v>
          </cell>
          <cell r="BE162">
            <v>-6.6419267424665876E-2</v>
          </cell>
          <cell r="BF162">
            <v>-6.5174172729317775E-2</v>
          </cell>
          <cell r="BG162">
            <v>-7.1743768127961377E-2</v>
          </cell>
          <cell r="BH162">
            <v>-7.1507790335507734E-2</v>
          </cell>
          <cell r="BI162">
            <v>-7.5847102219755463E-2</v>
          </cell>
          <cell r="BJ162">
            <v>-7.6576990506254952E-2</v>
          </cell>
          <cell r="BK162">
            <v>-9.1235969428684824E-2</v>
          </cell>
          <cell r="BL162">
            <v>-8.2138036556534261E-2</v>
          </cell>
          <cell r="BM162">
            <v>-8.2008499700447976E-2</v>
          </cell>
          <cell r="BN162">
            <v>-7.7349351544909933E-2</v>
          </cell>
          <cell r="BO162">
            <v>-8.1501124229131916E-2</v>
          </cell>
          <cell r="BP162">
            <v>-7.7783289436905323E-2</v>
          </cell>
          <cell r="BQ162">
            <v>-8.4519772224813369E-2</v>
          </cell>
          <cell r="BR162">
            <v>-8.2992457473216277E-2</v>
          </cell>
          <cell r="BS162">
            <v>0.38787460689387526</v>
          </cell>
          <cell r="BT162">
            <v>0.37060781361058365</v>
          </cell>
          <cell r="BU162">
            <v>0.36085708986706816</v>
          </cell>
          <cell r="BV162">
            <v>0.33302570816033661</v>
          </cell>
          <cell r="BW162">
            <v>0.46022233301798837</v>
          </cell>
          <cell r="BX162">
            <v>0.4422352770731876</v>
          </cell>
          <cell r="BY162">
            <v>0.45850975648733805</v>
          </cell>
          <cell r="BZ162">
            <v>0.41663919184424747</v>
          </cell>
          <cell r="CA162">
            <v>0.45548400999136834</v>
          </cell>
          <cell r="CB162">
            <v>0.44449778097081316</v>
          </cell>
          <cell r="CC162">
            <v>0.45477453423638725</v>
          </cell>
          <cell r="CD162">
            <v>0.40397971803547555</v>
          </cell>
          <cell r="CE162">
            <v>0.4497896280512505</v>
          </cell>
          <cell r="CF162">
            <v>0.4286583895138561</v>
          </cell>
          <cell r="CG162">
            <v>0.44951708500973103</v>
          </cell>
          <cell r="CH162">
            <v>0.40678501803570155</v>
          </cell>
          <cell r="CI162">
            <v>0.4601879219582663</v>
          </cell>
          <cell r="CJ162">
            <v>0.42212040458812627</v>
          </cell>
          <cell r="CK162">
            <v>0.43126024833185256</v>
          </cell>
          <cell r="CL162">
            <v>0.37564324443516034</v>
          </cell>
          <cell r="CM162">
            <v>0.425223680261196</v>
          </cell>
          <cell r="CN162">
            <v>0.39017812352243531</v>
          </cell>
          <cell r="CO162">
            <v>0.39483962741513812</v>
          </cell>
          <cell r="CP162">
            <v>0.34843173393940269</v>
          </cell>
          <cell r="CQ162">
            <v>0.37935837519993698</v>
          </cell>
          <cell r="CR162">
            <v>0.34723007922589733</v>
          </cell>
          <cell r="CS162">
            <v>0.34705697651827527</v>
          </cell>
          <cell r="CT162">
            <v>0.30953230610334898</v>
          </cell>
          <cell r="CU162">
            <v>0.32242689599940755</v>
          </cell>
          <cell r="CV162">
            <v>0.29594067555366199</v>
          </cell>
          <cell r="CW162">
            <v>0.29515952668907686</v>
          </cell>
          <cell r="CX162">
            <v>0.26484575308752423</v>
          </cell>
          <cell r="CY162">
            <v>0.27144687668112333</v>
          </cell>
          <cell r="CZ162">
            <v>0.24967398604804569</v>
          </cell>
          <cell r="DA162">
            <v>0.24963323712026644</v>
          </cell>
          <cell r="DB162">
            <v>0.22402826313374952</v>
          </cell>
          <cell r="DC162"/>
          <cell r="DD162"/>
          <cell r="DE162">
            <v>0</v>
          </cell>
          <cell r="DF162">
            <v>0</v>
          </cell>
          <cell r="DG162">
            <v>0</v>
          </cell>
          <cell r="DH162">
            <v>0</v>
          </cell>
          <cell r="DI162">
            <v>0</v>
          </cell>
          <cell r="DJ162">
            <v>0</v>
          </cell>
          <cell r="DK162">
            <v>-5.6591902975672856E-3</v>
          </cell>
          <cell r="DL162">
            <v>-1.9446816280270715E-2</v>
          </cell>
          <cell r="DM162">
            <v>-2.7521925540000956E-2</v>
          </cell>
          <cell r="DN162">
            <v>-3.5286731107978447E-2</v>
          </cell>
          <cell r="DO162">
            <v>-5.3529650769702106E-2</v>
          </cell>
        </row>
        <row r="163">
          <cell r="A163" t="str">
            <v>% growth in revenue y-o-y</v>
          </cell>
          <cell r="B163"/>
          <cell r="C163" t="str">
            <v>NA</v>
          </cell>
          <cell r="D163" t="str">
            <v>NA</v>
          </cell>
          <cell r="E163" t="str">
            <v>NA</v>
          </cell>
          <cell r="F163" t="str">
            <v>NA</v>
          </cell>
          <cell r="G163" t="str">
            <v>NA</v>
          </cell>
          <cell r="H163" t="str">
            <v>NA</v>
          </cell>
          <cell r="I163" t="str">
            <v>NA</v>
          </cell>
          <cell r="J163" t="str">
            <v>NA</v>
          </cell>
          <cell r="K163" t="str">
            <v>NA</v>
          </cell>
          <cell r="L163" t="str">
            <v>NA</v>
          </cell>
          <cell r="M163" t="str">
            <v>NA</v>
          </cell>
          <cell r="N163" t="str">
            <v>NA</v>
          </cell>
          <cell r="O163" t="str">
            <v>NA</v>
          </cell>
          <cell r="P163" t="str">
            <v>NA</v>
          </cell>
          <cell r="Q163" t="str">
            <v>NA</v>
          </cell>
          <cell r="R163" t="str">
            <v>NA</v>
          </cell>
          <cell r="S163" t="str">
            <v>NA</v>
          </cell>
          <cell r="T163" t="str">
            <v>NA</v>
          </cell>
          <cell r="U163" t="str">
            <v>NA</v>
          </cell>
          <cell r="V163" t="str">
            <v>NA</v>
          </cell>
          <cell r="W163" t="str">
            <v>NA</v>
          </cell>
          <cell r="X163" t="str">
            <v>NA</v>
          </cell>
          <cell r="Y163" t="str">
            <v>NA</v>
          </cell>
          <cell r="Z163" t="str">
            <v>NA</v>
          </cell>
          <cell r="AA163" t="str">
            <v>NA</v>
          </cell>
          <cell r="AB163" t="str">
            <v>NA</v>
          </cell>
          <cell r="AC163" t="str">
            <v>NA</v>
          </cell>
          <cell r="AD163" t="str">
            <v>NA</v>
          </cell>
          <cell r="AE163" t="str">
            <v>NA</v>
          </cell>
          <cell r="AF163" t="str">
            <v>NA</v>
          </cell>
          <cell r="AG163" t="str">
            <v>NA</v>
          </cell>
          <cell r="AH163" t="str">
            <v>NA</v>
          </cell>
          <cell r="AI163" t="str">
            <v>NA</v>
          </cell>
          <cell r="AJ163">
            <v>309.90972772906173</v>
          </cell>
          <cell r="AK163">
            <v>2.4749791713519196</v>
          </cell>
          <cell r="AL163">
            <v>0.78652280397887542</v>
          </cell>
          <cell r="AM163">
            <v>0.843872475009803</v>
          </cell>
          <cell r="AN163">
            <v>0.56190251561556126</v>
          </cell>
          <cell r="AO163">
            <v>0.90404875925119677</v>
          </cell>
          <cell r="AP163">
            <v>0.66597059202888853</v>
          </cell>
          <cell r="AQ163">
            <v>0.482963281451531</v>
          </cell>
          <cell r="AR163">
            <v>0.94145481817817323</v>
          </cell>
          <cell r="AS163">
            <v>0.13757373139220852</v>
          </cell>
          <cell r="AT163">
            <v>0.36255666024808364</v>
          </cell>
          <cell r="AU163">
            <v>0.54845551119800273</v>
          </cell>
          <cell r="AV163">
            <v>0.17418271155565335</v>
          </cell>
          <cell r="AW163">
            <v>0.85315738775121996</v>
          </cell>
          <cell r="AX163">
            <v>0.73067073285908668</v>
          </cell>
          <cell r="AY163">
            <v>0.11259684763225675</v>
          </cell>
          <cell r="AZ163">
            <v>0.15490623036391149</v>
          </cell>
          <cell r="BA163">
            <v>0.21430694143167028</v>
          </cell>
          <cell r="BB163">
            <v>0.23644444596443259</v>
          </cell>
          <cell r="BC163">
            <v>0.45031153934546664</v>
          </cell>
          <cell r="BD163">
            <v>0.46751704568486052</v>
          </cell>
          <cell r="BE163">
            <v>0.34156133802433231</v>
          </cell>
          <cell r="BF163">
            <v>0.33983759022011051</v>
          </cell>
          <cell r="BG163">
            <v>0.40215375925539343</v>
          </cell>
          <cell r="BH163">
            <v>0.27913218519346894</v>
          </cell>
          <cell r="BI163">
            <v>0.29560585885486002</v>
          </cell>
          <cell r="BJ163">
            <v>0.40379851362510388</v>
          </cell>
          <cell r="BK163">
            <v>0.4516157281723443</v>
          </cell>
          <cell r="BL163">
            <v>0.36369994754327695</v>
          </cell>
          <cell r="BM163">
            <v>0.20143884892086339</v>
          </cell>
          <cell r="BN163">
            <v>9.5294117647058529E-2</v>
          </cell>
          <cell r="BO163">
            <v>-3.2577220077220082E-3</v>
          </cell>
          <cell r="BP163">
            <v>1.333504295422494E-2</v>
          </cell>
          <cell r="BQ163">
            <v>9.7519247219846061E-2</v>
          </cell>
          <cell r="BR163">
            <v>0.13856068743286798</v>
          </cell>
          <cell r="BS163">
            <v>-5.8224101018036558</v>
          </cell>
          <cell r="BT163">
            <v>-5.8572775433875917</v>
          </cell>
          <cell r="BU163">
            <v>-5.5748128679063216</v>
          </cell>
          <cell r="BV163">
            <v>-5.263811398003833</v>
          </cell>
          <cell r="BW163">
            <v>2.7402189236060304E-2</v>
          </cell>
          <cell r="BX163">
            <v>9.4001242226691151E-3</v>
          </cell>
          <cell r="BY163">
            <v>4.4800302720916729E-2</v>
          </cell>
          <cell r="BZ163">
            <v>1.5755055347676628E-2</v>
          </cell>
          <cell r="CA163">
            <v>-4.430571379633319E-3</v>
          </cell>
          <cell r="CB163">
            <v>3.380865442288572E-2</v>
          </cell>
          <cell r="CC163">
            <v>2.4763764620602036E-2</v>
          </cell>
          <cell r="CD163">
            <v>2.6733520951926604E-2</v>
          </cell>
          <cell r="CE163">
            <v>3.8931224068683434E-2</v>
          </cell>
          <cell r="CF163">
            <v>3.2722762523861082E-2</v>
          </cell>
          <cell r="CG163">
            <v>4.7882426810496037E-2</v>
          </cell>
          <cell r="CH163">
            <v>3.8029244422855601E-2</v>
          </cell>
          <cell r="CI163">
            <v>4.2241040203673696E-2</v>
          </cell>
          <cell r="CJ163">
            <v>2.4041179841964855E-2</v>
          </cell>
          <cell r="CK163">
            <v>-8.5549310733079587E-4</v>
          </cell>
          <cell r="CL163">
            <v>-1.4308888630246153E-2</v>
          </cell>
          <cell r="CM163">
            <v>-4.8390571495312562E-3</v>
          </cell>
          <cell r="CN163">
            <v>-9.7869348505551512E-3</v>
          </cell>
          <cell r="CO163">
            <v>-1.7048091478043204E-2</v>
          </cell>
          <cell r="CP163">
            <v>-2.5199319543150911E-2</v>
          </cell>
          <cell r="CQ163">
            <v>-3.9386847910716893E-2</v>
          </cell>
          <cell r="CR163">
            <v>-4.8411973064167446E-2</v>
          </cell>
          <cell r="CS163">
            <v>-5.9050975220634516E-2</v>
          </cell>
          <cell r="CT163">
            <v>-6.8334454100570485E-2</v>
          </cell>
          <cell r="CU163">
            <v>-7.7681809843939131E-2</v>
          </cell>
          <cell r="CV163">
            <v>-7.9178154195482242E-2</v>
          </cell>
          <cell r="CW163">
            <v>-8.0937272105475522E-2</v>
          </cell>
          <cell r="CX163">
            <v>-8.2624760046874135E-2</v>
          </cell>
          <cell r="CY163">
            <v>-8.5205919194423774E-2</v>
          </cell>
          <cell r="CZ163">
            <v>-8.7959969660671655E-2</v>
          </cell>
          <cell r="DA163">
            <v>-8.6832224301354399E-2</v>
          </cell>
          <cell r="DB163">
            <v>-9.0011864939481878E-2</v>
          </cell>
          <cell r="DC163"/>
          <cell r="DD163" t="str">
            <v>NA</v>
          </cell>
          <cell r="DE163" t="str">
            <v>NA</v>
          </cell>
          <cell r="DF163" t="str">
            <v>NA</v>
          </cell>
          <cell r="DG163" t="str">
            <v>NA</v>
          </cell>
          <cell r="DH163" t="str">
            <v>NA</v>
          </cell>
          <cell r="DI163" t="str">
            <v>NA</v>
          </cell>
          <cell r="DJ163" t="str">
            <v>NA</v>
          </cell>
          <cell r="DK163" t="str">
            <v>NA</v>
          </cell>
          <cell r="DL163">
            <v>3.2894180767192962</v>
          </cell>
          <cell r="DM163">
            <v>0.73666574017249054</v>
          </cell>
          <cell r="DN163">
            <v>0.45844312228833761</v>
          </cell>
          <cell r="DO163">
            <v>0.54643676894168736</v>
          </cell>
        </row>
        <row r="164">
          <cell r="A164" t="str">
            <v>% growth in revenue seq</v>
          </cell>
          <cell r="B164"/>
          <cell r="C164" t="str">
            <v>NA</v>
          </cell>
          <cell r="D164" t="str">
            <v>NA</v>
          </cell>
          <cell r="E164" t="str">
            <v>NA</v>
          </cell>
          <cell r="F164" t="str">
            <v>NA</v>
          </cell>
          <cell r="G164" t="str">
            <v>NA</v>
          </cell>
          <cell r="H164" t="str">
            <v>NA</v>
          </cell>
          <cell r="I164" t="str">
            <v>NA</v>
          </cell>
          <cell r="J164" t="str">
            <v>NA</v>
          </cell>
          <cell r="K164" t="str">
            <v>NA</v>
          </cell>
          <cell r="L164" t="str">
            <v>NA</v>
          </cell>
          <cell r="M164" t="str">
            <v>NA</v>
          </cell>
          <cell r="N164" t="str">
            <v>NA</v>
          </cell>
          <cell r="O164" t="str">
            <v>NA</v>
          </cell>
          <cell r="P164" t="str">
            <v>NA</v>
          </cell>
          <cell r="Q164" t="str">
            <v>NA</v>
          </cell>
          <cell r="R164" t="str">
            <v>NA</v>
          </cell>
          <cell r="S164" t="str">
            <v>NA</v>
          </cell>
          <cell r="T164" t="str">
            <v>NA</v>
          </cell>
          <cell r="U164" t="str">
            <v>NA</v>
          </cell>
          <cell r="V164" t="str">
            <v>NA</v>
          </cell>
          <cell r="W164" t="str">
            <v>NA</v>
          </cell>
          <cell r="X164" t="str">
            <v>NA</v>
          </cell>
          <cell r="Y164" t="str">
            <v>NA</v>
          </cell>
          <cell r="Z164" t="str">
            <v>NA</v>
          </cell>
          <cell r="AA164" t="str">
            <v>NA</v>
          </cell>
          <cell r="AB164" t="str">
            <v>NA</v>
          </cell>
          <cell r="AC164" t="str">
            <v>NA</v>
          </cell>
          <cell r="AD164" t="str">
            <v>NA</v>
          </cell>
          <cell r="AE164" t="str">
            <v>NA</v>
          </cell>
          <cell r="AF164" t="str">
            <v>NA</v>
          </cell>
          <cell r="AG164">
            <v>89.150587980578806</v>
          </cell>
          <cell r="AH164">
            <v>1.1008856217536414</v>
          </cell>
          <cell r="AI164">
            <v>0.27162284752933319</v>
          </cell>
          <cell r="AJ164">
            <v>0.29093690244181758</v>
          </cell>
          <cell r="AK164">
            <v>7.5960562759758155E-3</v>
          </cell>
          <cell r="AL164">
            <v>8.0087070091423795E-2</v>
          </cell>
          <cell r="AM164">
            <v>0.31244357023088387</v>
          </cell>
          <cell r="AN164">
            <v>9.3523344348483528E-2</v>
          </cell>
          <cell r="AO164">
            <v>0.22831738959237557</v>
          </cell>
          <cell r="AP164">
            <v>-5.4964697274558105E-2</v>
          </cell>
          <cell r="AQ164">
            <v>0.1682712965894928</v>
          </cell>
          <cell r="AR164">
            <v>0.43161074332039129</v>
          </cell>
          <cell r="AS164">
            <v>-0.28028116692216465</v>
          </cell>
          <cell r="AT164">
            <v>0.13193906501534602</v>
          </cell>
          <cell r="AU164">
            <v>0.32766304738407359</v>
          </cell>
          <cell r="AV164">
            <v>8.5580161863102688E-2</v>
          </cell>
          <cell r="AW164">
            <v>0.13589840788476049</v>
          </cell>
          <cell r="AX164">
            <v>5.7122198120027834E-2</v>
          </cell>
          <cell r="AY164">
            <v>-0.14648483204134266</v>
          </cell>
          <cell r="AZ164">
            <v>0.12686216500009073</v>
          </cell>
          <cell r="BA164">
            <v>0.19432148272420346</v>
          </cell>
          <cell r="BB164">
            <v>7.6394135596540069E-2</v>
          </cell>
          <cell r="BC164">
            <v>1.147201669287945E-3</v>
          </cell>
          <cell r="BD164">
            <v>0.14023048869989552</v>
          </cell>
          <cell r="BE164">
            <v>9.1813911876537313E-2</v>
          </cell>
          <cell r="BF164">
            <v>7.5011096316022208E-2</v>
          </cell>
          <cell r="BG164">
            <v>4.7710799155886718E-2</v>
          </cell>
          <cell r="BH164">
            <v>4.0189427876616168E-2</v>
          </cell>
          <cell r="BI164">
            <v>0.10587515299877559</v>
          </cell>
          <cell r="BJ164">
            <v>0.1647824597464882</v>
          </cell>
          <cell r="BK164">
            <v>8.3398692810457975E-2</v>
          </cell>
          <cell r="BL164">
            <v>-2.2808694683694286E-2</v>
          </cell>
          <cell r="BM164">
            <v>-2.5708424156943854E-2</v>
          </cell>
          <cell r="BN164">
            <v>6.1876247504989434E-2</v>
          </cell>
          <cell r="BO164">
            <v>-1.4082826112900571E-2</v>
          </cell>
          <cell r="BP164">
            <v>-6.5413946905287235E-3</v>
          </cell>
          <cell r="BQ164">
            <v>5.5232190307477724E-2</v>
          </cell>
          <cell r="BR164">
            <v>0.10158482722785078</v>
          </cell>
          <cell r="BS164">
            <v>-5.1758836321802963</v>
          </cell>
          <cell r="BT164">
            <v>6.4160284709902093E-4</v>
          </cell>
          <cell r="BU164">
            <v>-6.1326000571084727E-3</v>
          </cell>
          <cell r="BV164">
            <v>2.6697720283314519E-2</v>
          </cell>
          <cell r="BW164">
            <v>6.215234497858324E-3</v>
          </cell>
          <cell r="BX164">
            <v>-1.6891565154958488E-2</v>
          </cell>
          <cell r="BY164">
            <v>2.8722837858219608E-2</v>
          </cell>
          <cell r="BZ164">
            <v>-1.8442787814925143E-3</v>
          </cell>
          <cell r="CA164">
            <v>-1.3780811816628713E-2</v>
          </cell>
          <cell r="CB164">
            <v>2.086904133583789E-2</v>
          </cell>
          <cell r="CC164">
            <v>1.9722444346603529E-2</v>
          </cell>
          <cell r="CD164">
            <v>7.4332726249348724E-5</v>
          </cell>
          <cell r="CE164">
            <v>-2.0644232698161513E-3</v>
          </cell>
          <cell r="CF164">
            <v>1.4768516066598014E-2</v>
          </cell>
          <cell r="CG164">
            <v>3.4691272848129229E-2</v>
          </cell>
          <cell r="CH164">
            <v>-9.3293127109037588E-3</v>
          </cell>
          <cell r="CI164">
            <v>1.9846927586417706E-3</v>
          </cell>
          <cell r="CJ164">
            <v>-2.95161255956089E-3</v>
          </cell>
          <cell r="CK164">
            <v>9.5356729262923157E-3</v>
          </cell>
          <cell r="CL164">
            <v>-2.2668608975973892E-2</v>
          </cell>
          <cell r="CM164">
            <v>1.1611061584768656E-2</v>
          </cell>
          <cell r="CN164">
            <v>-7.9088745165342145E-3</v>
          </cell>
          <cell r="CO164">
            <v>2.1328250947016958E-3</v>
          </cell>
          <cell r="CP164">
            <v>-3.0773228331568592E-2</v>
          </cell>
          <cell r="CQ164">
            <v>-3.1122156152956215E-3</v>
          </cell>
          <cell r="CR164">
            <v>-1.7229740623397327E-2</v>
          </cell>
          <cell r="CS164">
            <v>-9.0712810788282638E-3</v>
          </cell>
          <cell r="CT164">
            <v>-4.0335697740325638E-2</v>
          </cell>
          <cell r="CU164">
            <v>-1.3113942949611324E-2</v>
          </cell>
          <cell r="CV164">
            <v>-1.8824160794416511E-2</v>
          </cell>
          <cell r="CW164">
            <v>-1.0964329625540281E-2</v>
          </cell>
          <cell r="CX164">
            <v>-4.2097734093996197E-2</v>
          </cell>
          <cell r="CY164">
            <v>-1.5890680169895255E-2</v>
          </cell>
          <cell r="CZ164">
            <v>-2.1778058107630116E-2</v>
          </cell>
          <cell r="DA164">
            <v>-9.7413784936156711E-3</v>
          </cell>
          <cell r="DB164">
            <v>-4.5433139758852104E-2</v>
          </cell>
          <cell r="DC164"/>
          <cell r="DD164"/>
          <cell r="DE164"/>
          <cell r="DF164"/>
          <cell r="DG164"/>
          <cell r="DH164"/>
          <cell r="DI164"/>
          <cell r="DJ164"/>
          <cell r="DK164"/>
          <cell r="DL164"/>
          <cell r="DM164"/>
          <cell r="DN164"/>
          <cell r="DO164"/>
        </row>
        <row r="165">
          <cell r="A165"/>
          <cell r="B165"/>
          <cell r="C165"/>
          <cell r="D165"/>
          <cell r="E165"/>
          <cell r="F165"/>
          <cell r="G165"/>
          <cell r="H165"/>
          <cell r="I165"/>
          <cell r="J165"/>
          <cell r="K165"/>
          <cell r="L165"/>
          <cell r="M165"/>
          <cell r="N165"/>
          <cell r="O165"/>
          <cell r="P165"/>
          <cell r="Q165"/>
          <cell r="R165"/>
          <cell r="S165"/>
          <cell r="T165"/>
          <cell r="U165"/>
          <cell r="V165"/>
          <cell r="W165"/>
          <cell r="X165"/>
          <cell r="Y165"/>
          <cell r="Z165"/>
          <cell r="AA165"/>
          <cell r="AB165"/>
          <cell r="AC165"/>
          <cell r="AD165"/>
          <cell r="AE165"/>
          <cell r="AF165"/>
          <cell r="AG165"/>
          <cell r="AH165"/>
          <cell r="AI165"/>
          <cell r="AJ165"/>
          <cell r="AK165"/>
          <cell r="AL165"/>
          <cell r="AM165"/>
          <cell r="AN165"/>
          <cell r="AO165"/>
          <cell r="AP165"/>
          <cell r="AQ165"/>
          <cell r="AR165"/>
          <cell r="AS165"/>
          <cell r="AT165"/>
          <cell r="AU165"/>
          <cell r="AV165"/>
          <cell r="AW165"/>
          <cell r="AX165"/>
          <cell r="AY165"/>
          <cell r="AZ165"/>
          <cell r="BA165"/>
          <cell r="BB165"/>
          <cell r="BC165"/>
          <cell r="BD165"/>
          <cell r="BE165"/>
          <cell r="BF165"/>
          <cell r="BG165"/>
          <cell r="BH165"/>
          <cell r="BI165"/>
          <cell r="BJ165"/>
          <cell r="BK165"/>
          <cell r="BL165"/>
          <cell r="BM165"/>
          <cell r="BN165"/>
          <cell r="BO165"/>
          <cell r="BP165"/>
          <cell r="BQ165"/>
          <cell r="BR165"/>
          <cell r="BS165"/>
          <cell r="BT165"/>
          <cell r="BU165"/>
          <cell r="BV165"/>
          <cell r="BW165"/>
          <cell r="BX165"/>
          <cell r="BY165"/>
          <cell r="BZ165"/>
          <cell r="CA165"/>
          <cell r="CB165"/>
          <cell r="CC165"/>
          <cell r="CD165"/>
          <cell r="CE165"/>
          <cell r="CF165"/>
          <cell r="CG165"/>
          <cell r="CH165"/>
          <cell r="CI165"/>
          <cell r="CJ165"/>
          <cell r="CK165"/>
          <cell r="CL165"/>
          <cell r="CM165"/>
          <cell r="CN165"/>
          <cell r="CO165"/>
          <cell r="CP165"/>
          <cell r="CQ165"/>
          <cell r="CR165"/>
          <cell r="CS165"/>
          <cell r="CT165"/>
          <cell r="CU165"/>
          <cell r="CV165"/>
          <cell r="CW165"/>
          <cell r="CX165"/>
          <cell r="CY165"/>
          <cell r="CZ165"/>
          <cell r="DA165"/>
          <cell r="DB165"/>
          <cell r="DC165"/>
          <cell r="DD165"/>
          <cell r="DE165"/>
          <cell r="DF165"/>
          <cell r="DG165"/>
          <cell r="DH165"/>
          <cell r="DI165"/>
          <cell r="DJ165"/>
          <cell r="DK165"/>
          <cell r="DL165"/>
          <cell r="DM165"/>
          <cell r="DN165"/>
          <cell r="DO165"/>
        </row>
        <row r="166">
          <cell r="A166" t="str">
            <v>CSP+Term</v>
          </cell>
          <cell r="B166"/>
          <cell r="C166">
            <v>0</v>
          </cell>
          <cell r="D166">
            <v>0</v>
          </cell>
          <cell r="E166">
            <v>0</v>
          </cell>
          <cell r="F166">
            <v>42.280999999999977</v>
          </cell>
          <cell r="G166">
            <v>72.075000000000003</v>
          </cell>
          <cell r="H166">
            <v>80.582000000000008</v>
          </cell>
          <cell r="I166">
            <v>91.570999999999998</v>
          </cell>
          <cell r="J166">
            <v>103.477</v>
          </cell>
          <cell r="K166">
            <v>110.96</v>
          </cell>
          <cell r="L166">
            <v>88.492000000000004</v>
          </cell>
          <cell r="M166">
            <v>95.89</v>
          </cell>
          <cell r="N166">
            <v>104.81399999999999</v>
          </cell>
          <cell r="O166">
            <v>113.37400000000001</v>
          </cell>
          <cell r="P166">
            <v>127.14700000000001</v>
          </cell>
          <cell r="Q166">
            <v>132.49699999999999</v>
          </cell>
          <cell r="R166">
            <v>138.13000000000002</v>
          </cell>
          <cell r="S166">
            <v>121.72499999999999</v>
          </cell>
          <cell r="T166">
            <v>102.02800000000001</v>
          </cell>
          <cell r="U166">
            <v>108.423</v>
          </cell>
          <cell r="V166">
            <v>136.65099999999998</v>
          </cell>
          <cell r="W166">
            <v>35.240000000000016</v>
          </cell>
          <cell r="X166">
            <v>39.499999999999972</v>
          </cell>
          <cell r="Y166">
            <v>43.399999999999991</v>
          </cell>
          <cell r="Z166">
            <v>50.600000000000009</v>
          </cell>
          <cell r="AA166">
            <v>58.897000000000006</v>
          </cell>
          <cell r="AB166">
            <v>66.98099999999998</v>
          </cell>
          <cell r="AC166">
            <v>70.405999999999977</v>
          </cell>
          <cell r="AD166">
            <v>75.263000000000005</v>
          </cell>
          <cell r="AE166">
            <v>76.606971000000001</v>
          </cell>
          <cell r="AF166">
            <v>80.075724750000006</v>
          </cell>
          <cell r="AG166">
            <v>85.44277289062498</v>
          </cell>
          <cell r="AH166">
            <v>91.965840084960931</v>
          </cell>
          <cell r="AI166">
            <v>97.755139704650901</v>
          </cell>
          <cell r="AJ166">
            <v>104.49196249156954</v>
          </cell>
          <cell r="AK166">
            <v>106.83229500000002</v>
          </cell>
          <cell r="AL166">
            <v>114.07496350000002</v>
          </cell>
          <cell r="AM166">
            <v>115.77837374000009</v>
          </cell>
          <cell r="AN166">
            <v>120.80160807999999</v>
          </cell>
          <cell r="AO166">
            <v>129.642</v>
          </cell>
          <cell r="AP166">
            <v>133.56539700000002</v>
          </cell>
          <cell r="AQ166">
            <v>138.95451599999996</v>
          </cell>
          <cell r="AR166">
            <v>148.61138239644976</v>
          </cell>
          <cell r="AS166">
            <v>144.30647505404238</v>
          </cell>
          <cell r="AT166">
            <v>149.70658930249999</v>
          </cell>
          <cell r="AU166">
            <v>180.4</v>
          </cell>
          <cell r="AV166">
            <v>183.608</v>
          </cell>
          <cell r="AW166">
            <v>190.03999999999996</v>
          </cell>
          <cell r="AX166">
            <v>194.47700000000003</v>
          </cell>
          <cell r="AY166">
            <v>191.40913</v>
          </cell>
          <cell r="AZ166">
            <v>201.77893800000001</v>
          </cell>
          <cell r="BA166">
            <v>209.57160399999998</v>
          </cell>
          <cell r="BB166">
            <v>213.76326499999999</v>
          </cell>
          <cell r="BC166">
            <v>218.81</v>
          </cell>
          <cell r="BD166">
            <v>229.17400000000001</v>
          </cell>
          <cell r="BE166">
            <v>235.82</v>
          </cell>
          <cell r="BF166">
            <v>246.85299999999995</v>
          </cell>
          <cell r="BG166">
            <v>262.33599999999996</v>
          </cell>
          <cell r="BH166">
            <v>269.88300000000004</v>
          </cell>
          <cell r="BI166">
            <v>283.21000000000004</v>
          </cell>
          <cell r="BJ166">
            <v>301.32600000000002</v>
          </cell>
          <cell r="BK166">
            <v>313.11700000000002</v>
          </cell>
          <cell r="BL166">
            <v>320.28499999999997</v>
          </cell>
          <cell r="BM166">
            <v>326.15699999999998</v>
          </cell>
          <cell r="BN166">
            <v>334.11099999999993</v>
          </cell>
          <cell r="BO166">
            <v>340.77599999999995</v>
          </cell>
          <cell r="BP166">
            <v>343.00799999999998</v>
          </cell>
          <cell r="BQ166">
            <v>354.64699999999999</v>
          </cell>
          <cell r="BR166">
            <v>364.33299999999997</v>
          </cell>
          <cell r="BS166">
            <v>3.4306307333333166</v>
          </cell>
          <cell r="BT166">
            <v>4.748581343137289</v>
          </cell>
          <cell r="BU166">
            <v>7.5237545238094867</v>
          </cell>
          <cell r="BV166">
            <v>4.425088846311553</v>
          </cell>
          <cell r="BW166">
            <v>9.0294135000000324</v>
          </cell>
          <cell r="BX166">
            <v>9.5541492999999491</v>
          </cell>
          <cell r="BY166">
            <v>9.6665337000000022</v>
          </cell>
          <cell r="BZ166">
            <v>10.449317640000004</v>
          </cell>
          <cell r="CA166">
            <v>10.305546699999979</v>
          </cell>
          <cell r="CB166">
            <v>12.298836350000045</v>
          </cell>
          <cell r="CC166">
            <v>12.060999999999922</v>
          </cell>
          <cell r="CD166">
            <v>14.055000000000007</v>
          </cell>
          <cell r="CE166">
            <v>17.866345544223172</v>
          </cell>
          <cell r="CF166">
            <v>17.977865669817582</v>
          </cell>
          <cell r="CG166">
            <v>15.751150220400483</v>
          </cell>
          <cell r="CH166">
            <v>17.255182826127339</v>
          </cell>
          <cell r="CI166">
            <v>20.622334190494314</v>
          </cell>
          <cell r="CJ166">
            <v>21.401229439365977</v>
          </cell>
          <cell r="CK166">
            <v>22.02825954042703</v>
          </cell>
          <cell r="CL166">
            <v>24.128468881376762</v>
          </cell>
          <cell r="CM166">
            <v>24.962269541029116</v>
          </cell>
          <cell r="CN166">
            <v>26.065940991528862</v>
          </cell>
          <cell r="CO166">
            <v>26.883180054978766</v>
          </cell>
          <cell r="CP166">
            <v>29.630084290362959</v>
          </cell>
          <cell r="CQ166">
            <v>30.647519671091572</v>
          </cell>
          <cell r="CR166">
            <v>32.028246580019015</v>
          </cell>
          <cell r="CS166">
            <v>33.045413543642667</v>
          </cell>
          <cell r="CT166">
            <v>36.48514305443689</v>
          </cell>
          <cell r="CU166">
            <v>37.418108753243871</v>
          </cell>
          <cell r="CV166">
            <v>38.735675107236148</v>
          </cell>
          <cell r="CW166">
            <v>39.667129946147725</v>
          </cell>
          <cell r="CX166">
            <v>43.120637626210794</v>
          </cell>
          <cell r="CY166">
            <v>43.95109395095318</v>
          </cell>
          <cell r="CZ166">
            <v>45.193234211274671</v>
          </cell>
          <cell r="DA166">
            <v>46.033461194636374</v>
          </cell>
          <cell r="DB166">
            <v>49.515357103532779</v>
          </cell>
          <cell r="DC166"/>
          <cell r="DD166" t="e">
            <v>#REF!</v>
          </cell>
          <cell r="DE166">
            <v>347.70500000000004</v>
          </cell>
          <cell r="DF166">
            <v>400.15599999999995</v>
          </cell>
          <cell r="DG166">
            <v>511.14800000000002</v>
          </cell>
          <cell r="DH166">
            <v>468.827</v>
          </cell>
          <cell r="DI166">
            <v>168.73999999999998</v>
          </cell>
          <cell r="DJ166">
            <v>271.54699999999997</v>
          </cell>
          <cell r="DK166">
            <v>334.09130872558592</v>
          </cell>
          <cell r="DL166">
            <v>423.15436069622052</v>
          </cell>
          <cell r="DM166">
            <v>499.78737882000013</v>
          </cell>
          <cell r="DN166">
            <v>581.57896275299208</v>
          </cell>
          <cell r="DO166">
            <v>748.52500000000009</v>
          </cell>
        </row>
        <row r="167">
          <cell r="A167" t="str">
            <v>% of revenue</v>
          </cell>
          <cell r="B167"/>
          <cell r="C167" t="e">
            <v>#DIV/0!</v>
          </cell>
          <cell r="D167" t="e">
            <v>#DIV/0!</v>
          </cell>
          <cell r="E167" t="e">
            <v>#DIV/0!</v>
          </cell>
          <cell r="F167">
            <v>0.17005180263517744</v>
          </cell>
          <cell r="G167">
            <v>0.84755229953315536</v>
          </cell>
          <cell r="H167">
            <v>0.85348726367632266</v>
          </cell>
          <cell r="I167">
            <v>0.86567404046133478</v>
          </cell>
          <cell r="J167">
            <v>0.87654488314372603</v>
          </cell>
          <cell r="K167">
            <v>0.87017213661137904</v>
          </cell>
          <cell r="L167">
            <v>0.83415342269479487</v>
          </cell>
          <cell r="M167">
            <v>0.84491281246971128</v>
          </cell>
          <cell r="N167">
            <v>0.84970086093681596</v>
          </cell>
          <cell r="O167">
            <v>0.85364274312562116</v>
          </cell>
          <cell r="P167">
            <v>0.86333636622893384</v>
          </cell>
          <cell r="Q167">
            <v>0.86320075572494204</v>
          </cell>
          <cell r="R167">
            <v>0.87396946516586638</v>
          </cell>
          <cell r="S167">
            <v>0.85535099430820039</v>
          </cell>
          <cell r="T167">
            <v>0.86864868546519547</v>
          </cell>
          <cell r="U167">
            <v>0.91189927500883117</v>
          </cell>
          <cell r="V167">
            <v>0.91845225293042254</v>
          </cell>
          <cell r="W167">
            <v>0.24559031576893334</v>
          </cell>
          <cell r="X167">
            <v>0.27624502584114846</v>
          </cell>
          <cell r="Y167">
            <v>0.3006248008533865</v>
          </cell>
          <cell r="Z167">
            <v>0.32045598480050669</v>
          </cell>
          <cell r="AA167">
            <v>0.36511685574359931</v>
          </cell>
          <cell r="AB167">
            <v>0.37566039640609744</v>
          </cell>
          <cell r="AC167">
            <v>0.37534252417660913</v>
          </cell>
          <cell r="AD167">
            <v>0.35175050358232812</v>
          </cell>
          <cell r="AE167">
            <v>0.37944906137005302</v>
          </cell>
          <cell r="AF167">
            <v>0.37909437032793797</v>
          </cell>
          <cell r="AG167">
            <v>0.37648778300935892</v>
          </cell>
          <cell r="AH167">
            <v>0.34231820649812744</v>
          </cell>
          <cell r="AI167">
            <v>0.37598419874249378</v>
          </cell>
          <cell r="AJ167">
            <v>0.37932523012317049</v>
          </cell>
          <cell r="AK167">
            <v>0.38449490914195023</v>
          </cell>
          <cell r="AL167">
            <v>0.35537150391586353</v>
          </cell>
          <cell r="AM167">
            <v>0.37579644043260396</v>
          </cell>
          <cell r="AN167">
            <v>0.36128772260171549</v>
          </cell>
          <cell r="AO167">
            <v>0.37047875152530069</v>
          </cell>
          <cell r="AP167">
            <v>0.3342820384473883</v>
          </cell>
          <cell r="AQ167">
            <v>0.36854638043253385</v>
          </cell>
          <cell r="AR167">
            <v>0.3793719715019267</v>
          </cell>
          <cell r="AS167">
            <v>0.36176737885609023</v>
          </cell>
          <cell r="AT167">
            <v>0.36013391797992284</v>
          </cell>
          <cell r="AU167">
            <v>0.48881205664150351</v>
          </cell>
          <cell r="AV167">
            <v>0.46740049080004487</v>
          </cell>
          <cell r="AW167">
            <v>0.47386558016367358</v>
          </cell>
          <cell r="AX167">
            <v>0.43105993439134682</v>
          </cell>
          <cell r="AY167">
            <v>0.46203733295998767</v>
          </cell>
          <cell r="AZ167">
            <v>0.44014924318275522</v>
          </cell>
          <cell r="BA167">
            <v>0.44378856200223188</v>
          </cell>
          <cell r="BB167">
            <v>0.40353681286407528</v>
          </cell>
          <cell r="BC167">
            <v>0.44574322452372023</v>
          </cell>
          <cell r="BD167">
            <v>0.43176020648467384</v>
          </cell>
          <cell r="BE167">
            <v>0.41712361235911333</v>
          </cell>
          <cell r="BF167">
            <v>0.39855755724402042</v>
          </cell>
          <cell r="BG167">
            <v>0.44501819353853717</v>
          </cell>
          <cell r="BH167">
            <v>0.4386843516847907</v>
          </cell>
          <cell r="BI167">
            <v>0.4415345903321059</v>
          </cell>
          <cell r="BJ167">
            <v>0.40719949837566694</v>
          </cell>
          <cell r="BK167">
            <v>0.4653254054471771</v>
          </cell>
          <cell r="BL167">
            <v>0.4385159039628469</v>
          </cell>
          <cell r="BM167">
            <v>0.45761584665182231</v>
          </cell>
          <cell r="BN167">
            <v>0.41637920291119357</v>
          </cell>
          <cell r="BO167">
            <v>0.45387237137046343</v>
          </cell>
          <cell r="BP167">
            <v>0.43887609396591432</v>
          </cell>
          <cell r="BQ167">
            <v>0.46725929322234433</v>
          </cell>
          <cell r="BR167">
            <v>0.42788053314041502</v>
          </cell>
          <cell r="BS167">
            <v>4.5092293833787463E-3</v>
          </cell>
          <cell r="BT167">
            <v>5.9598716087766674E-3</v>
          </cell>
          <cell r="BU167">
            <v>9.25123824044842E-3</v>
          </cell>
          <cell r="BV167">
            <v>4.8908817516980169E-3</v>
          </cell>
          <cell r="BW167">
            <v>1.370641100955873E-2</v>
          </cell>
          <cell r="BX167">
            <v>1.4175569113350776E-2</v>
          </cell>
          <cell r="BY167">
            <v>1.4454932439707153E-2</v>
          </cell>
          <cell r="BZ167">
            <v>1.4224809742657073E-2</v>
          </cell>
          <cell r="CA167">
            <v>1.5551387327461162E-2</v>
          </cell>
          <cell r="CB167">
            <v>1.7741427194843888E-2</v>
          </cell>
          <cell r="CC167">
            <v>1.7456308571841984E-2</v>
          </cell>
          <cell r="CD167">
            <v>1.8068873841850117E-2</v>
          </cell>
          <cell r="CE167">
            <v>2.5626148240690042E-2</v>
          </cell>
          <cell r="CF167">
            <v>2.4217016790685959E-2</v>
          </cell>
          <cell r="CG167">
            <v>2.150398131870598E-2</v>
          </cell>
          <cell r="CH167">
            <v>2.1518678621381692E-2</v>
          </cell>
          <cell r="CI167">
            <v>2.903641764561745E-2</v>
          </cell>
          <cell r="CJ167">
            <v>2.7722272700884266E-2</v>
          </cell>
          <cell r="CK167">
            <v>2.8876975619134139E-2</v>
          </cell>
          <cell r="CL167">
            <v>2.8190033457387898E-2</v>
          </cell>
          <cell r="CM167">
            <v>3.2634591841670363E-2</v>
          </cell>
          <cell r="CN167">
            <v>3.1518201944719167E-2</v>
          </cell>
          <cell r="CO167">
            <v>3.2824732591459592E-2</v>
          </cell>
          <cell r="CP167">
            <v>3.2940107340804631E-2</v>
          </cell>
          <cell r="CQ167">
            <v>3.7211155458085857E-2</v>
          </cell>
          <cell r="CR167">
            <v>3.6218181778450223E-2</v>
          </cell>
          <cell r="CS167">
            <v>3.7691697434602905E-2</v>
          </cell>
          <cell r="CT167">
            <v>3.8675543249256789E-2</v>
          </cell>
          <cell r="CU167">
            <v>4.1865903487207236E-2</v>
          </cell>
          <cell r="CV167">
            <v>4.0543040720660409E-2</v>
          </cell>
          <cell r="CW167">
            <v>4.1867415872290717E-2</v>
          </cell>
          <cell r="CX167">
            <v>4.2632967096154238E-2</v>
          </cell>
          <cell r="CY167">
            <v>4.5256250020712929E-2</v>
          </cell>
          <cell r="CZ167">
            <v>4.3755569828875275E-2</v>
          </cell>
          <cell r="DA167">
            <v>4.5000157448329609E-2</v>
          </cell>
          <cell r="DB167">
            <v>4.5506597960670872E-2</v>
          </cell>
          <cell r="DC167"/>
          <cell r="DD167"/>
          <cell r="DE167">
            <v>0.86218183170710549</v>
          </cell>
          <cell r="DF167">
            <v>0.85058859040144874</v>
          </cell>
          <cell r="DG167">
            <v>0.86396565420955673</v>
          </cell>
          <cell r="DH167">
            <v>0.8888591861188212</v>
          </cell>
          <cell r="DI167">
            <v>0.28660916592214636</v>
          </cell>
          <cell r="DJ167">
            <v>0.3663825613196664</v>
          </cell>
          <cell r="DK167">
            <v>0.36764963181873656</v>
          </cell>
          <cell r="DL167">
            <v>0.37304705351512274</v>
          </cell>
          <cell r="DM167">
            <v>0.35905761793235647</v>
          </cell>
          <cell r="DN167">
            <v>0.3673082347680886</v>
          </cell>
          <cell r="DO167">
            <v>0.4637448515818221</v>
          </cell>
        </row>
        <row r="168">
          <cell r="A168" t="str">
            <v>% growth in revenue y-o-y</v>
          </cell>
          <cell r="B168"/>
          <cell r="C168" t="str">
            <v>NA</v>
          </cell>
          <cell r="D168" t="str">
            <v>NA</v>
          </cell>
          <cell r="E168" t="str">
            <v>NA</v>
          </cell>
          <cell r="F168" t="str">
            <v>NA</v>
          </cell>
          <cell r="G168" t="str">
            <v>NA</v>
          </cell>
          <cell r="H168" t="str">
            <v>NA</v>
          </cell>
          <cell r="I168" t="str">
            <v>NA</v>
          </cell>
          <cell r="J168">
            <v>1.4473640642368926</v>
          </cell>
          <cell r="K168">
            <v>0.53950745750953844</v>
          </cell>
          <cell r="L168">
            <v>9.8160879600903472E-2</v>
          </cell>
          <cell r="M168">
            <v>4.7165587358443117E-2</v>
          </cell>
          <cell r="N168">
            <v>1.2920745672951428E-2</v>
          </cell>
          <cell r="O168">
            <v>2.1755587599134873E-2</v>
          </cell>
          <cell r="P168">
            <v>0.43681914749355877</v>
          </cell>
          <cell r="Q168">
            <v>0.38176035040150147</v>
          </cell>
          <cell r="R168">
            <v>0.31785830137195448</v>
          </cell>
          <cell r="S168">
            <v>7.3658863584243228E-2</v>
          </cell>
          <cell r="T168">
            <v>-0.19755873123235312</v>
          </cell>
          <cell r="U168">
            <v>-0.18169467987954435</v>
          </cell>
          <cell r="V168">
            <v>-1.0707304712951893E-2</v>
          </cell>
          <cell r="W168">
            <v>-0.7104949681659477</v>
          </cell>
          <cell r="X168">
            <v>-0.61285137413259139</v>
          </cell>
          <cell r="Y168">
            <v>-0.59971592743237145</v>
          </cell>
          <cell r="Z168">
            <v>-0.62971365010135294</v>
          </cell>
          <cell r="AA168">
            <v>0.67131101021566342</v>
          </cell>
          <cell r="AB168">
            <v>0.69572151898734247</v>
          </cell>
          <cell r="AC168">
            <v>0.62225806451612886</v>
          </cell>
          <cell r="AD168">
            <v>0.48741106719367577</v>
          </cell>
          <cell r="AE168">
            <v>0.30069394026860441</v>
          </cell>
          <cell r="AF168">
            <v>0.19549909302638113</v>
          </cell>
          <cell r="AG168">
            <v>0.21357232182804031</v>
          </cell>
          <cell r="AH168">
            <v>0.22192631286237496</v>
          </cell>
          <cell r="AI168">
            <v>0.27606063036549111</v>
          </cell>
          <cell r="AJ168">
            <v>0.30491435223094276</v>
          </cell>
          <cell r="AK168">
            <v>0.25033740579505404</v>
          </cell>
          <cell r="AL168">
            <v>0.24040582236419517</v>
          </cell>
          <cell r="AM168">
            <v>0.1843712165907907</v>
          </cell>
          <cell r="AN168">
            <v>0.15608516865348698</v>
          </cell>
          <cell r="AO168">
            <v>0.21350945423385292</v>
          </cell>
          <cell r="AP168">
            <v>0.17085636411358562</v>
          </cell>
          <cell r="AQ168">
            <v>0.20017678182322562</v>
          </cell>
          <cell r="AR168">
            <v>0.23021029900556411</v>
          </cell>
          <cell r="AS168">
            <v>0.11311515599915456</v>
          </cell>
          <cell r="AT168">
            <v>0.12084860798564434</v>
          </cell>
          <cell r="AU168">
            <v>0.29826654932179442</v>
          </cell>
          <cell r="AV168">
            <v>0.23549082875893013</v>
          </cell>
          <cell r="AW168">
            <v>0.31691942394705785</v>
          </cell>
          <cell r="AX168">
            <v>0.29905437633767806</v>
          </cell>
          <cell r="AY168">
            <v>6.1026219512195112E-2</v>
          </cell>
          <cell r="AZ168">
            <v>9.8965938303341883E-2</v>
          </cell>
          <cell r="BA168">
            <v>0.10277627867817318</v>
          </cell>
          <cell r="BB168">
            <v>9.9169901839291752E-2</v>
          </cell>
          <cell r="BC168">
            <v>0.14315341175209362</v>
          </cell>
          <cell r="BD168">
            <v>0.13576769841062397</v>
          </cell>
          <cell r="BE168">
            <v>0.12524786516402298</v>
          </cell>
          <cell r="BF168">
            <v>0.15479617136274548</v>
          </cell>
          <cell r="BG168">
            <v>0.19892143869110157</v>
          </cell>
          <cell r="BH168">
            <v>0.17763358845244248</v>
          </cell>
          <cell r="BI168">
            <v>0.20095835806971429</v>
          </cell>
          <cell r="BJ168">
            <v>0.220669791333304</v>
          </cell>
          <cell r="BK168">
            <v>0.19357236521102728</v>
          </cell>
          <cell r="BL168">
            <v>0.18675500124127842</v>
          </cell>
          <cell r="BM168">
            <v>0.15164365665054169</v>
          </cell>
          <cell r="BN168">
            <v>0.10880242660772699</v>
          </cell>
          <cell r="BO168">
            <v>8.833439257529907E-2</v>
          </cell>
          <cell r="BP168">
            <v>7.094618855082202E-2</v>
          </cell>
          <cell r="BQ168">
            <v>8.7350570430804853E-2</v>
          </cell>
          <cell r="BR168">
            <v>9.0454968558353555E-2</v>
          </cell>
          <cell r="BS168">
            <v>-0.98993288631437271</v>
          </cell>
          <cell r="BT168">
            <v>-0.9861560624150536</v>
          </cell>
          <cell r="BU168">
            <v>-0.97878523003490936</v>
          </cell>
          <cell r="BV168">
            <v>-0.98785427384751989</v>
          </cell>
          <cell r="BW168">
            <v>1.6319980790315922</v>
          </cell>
          <cell r="BX168">
            <v>1.0120007660409418</v>
          </cell>
          <cell r="BY168">
            <v>0.28480184586160129</v>
          </cell>
          <cell r="BZ168">
            <v>1.3613803028406606</v>
          </cell>
          <cell r="CA168">
            <v>0.14133068554230488</v>
          </cell>
          <cell r="CB168">
            <v>0.28727696876163633</v>
          </cell>
          <cell r="CC168">
            <v>0.2477068175948034</v>
          </cell>
          <cell r="CD168">
            <v>0.34506390601023029</v>
          </cell>
          <cell r="CE168">
            <v>0.7336630519779419</v>
          </cell>
          <cell r="CF168">
            <v>0.46175338529628585</v>
          </cell>
          <cell r="CG168">
            <v>0.30595723575164446</v>
          </cell>
          <cell r="CH168">
            <v>0.2276899911865764</v>
          </cell>
          <cell r="CI168">
            <v>0.15425586835592409</v>
          </cell>
          <cell r="CJ168">
            <v>0.19042103397711796</v>
          </cell>
          <cell r="CK168">
            <v>0.39851751981240047</v>
          </cell>
          <cell r="CL168">
            <v>0.39833168529759511</v>
          </cell>
          <cell r="CM168">
            <v>0.21044830863691733</v>
          </cell>
          <cell r="CN168">
            <v>0.21796465316999458</v>
          </cell>
          <cell r="CO168">
            <v>0.22039510228403736</v>
          </cell>
          <cell r="CP168">
            <v>0.22801344901053988</v>
          </cell>
          <cell r="CQ168">
            <v>0.2277537353211383</v>
          </cell>
          <cell r="CR168">
            <v>0.22873931888466381</v>
          </cell>
          <cell r="CS168">
            <v>0.22922263943705778</v>
          </cell>
          <cell r="CT168">
            <v>0.23135468319621033</v>
          </cell>
          <cell r="CU168">
            <v>0.22091801081503792</v>
          </cell>
          <cell r="CV168">
            <v>0.20942228324798751</v>
          </cell>
          <cell r="CW168">
            <v>0.2003823130783291</v>
          </cell>
          <cell r="CX168">
            <v>0.18186839947080791</v>
          </cell>
          <cell r="CY168">
            <v>0.17459421160998545</v>
          </cell>
          <cell r="CZ168">
            <v>0.16670831439393696</v>
          </cell>
          <cell r="DA168">
            <v>0.16049387130179604</v>
          </cell>
          <cell r="DB168">
            <v>0.14829835154002846</v>
          </cell>
          <cell r="DC168"/>
          <cell r="DD168" t="str">
            <v>NA</v>
          </cell>
          <cell r="DE168" t="str">
            <v>NA</v>
          </cell>
          <cell r="DF168">
            <v>0.15084913935663824</v>
          </cell>
          <cell r="DG168">
            <v>0.27737182498825486</v>
          </cell>
          <cell r="DH168">
            <v>-8.2795980811819714E-2</v>
          </cell>
          <cell r="DI168">
            <v>-0.6400804561170752</v>
          </cell>
          <cell r="DJ168">
            <v>0.60926277112717786</v>
          </cell>
          <cell r="DK168">
            <v>0.23032590573854961</v>
          </cell>
          <cell r="DL168">
            <v>0.26658296592740371</v>
          </cell>
          <cell r="DM168">
            <v>0.18109944086998064</v>
          </cell>
          <cell r="DN168">
            <v>0.16365275995184625</v>
          </cell>
          <cell r="DO168">
            <v>0.28705652703932705</v>
          </cell>
        </row>
        <row r="169">
          <cell r="A169" t="str">
            <v>% growth in revenue seq</v>
          </cell>
          <cell r="B169"/>
          <cell r="C169" t="str">
            <v>NA</v>
          </cell>
          <cell r="D169" t="str">
            <v>NA</v>
          </cell>
          <cell r="E169" t="str">
            <v>NA</v>
          </cell>
          <cell r="F169" t="str">
            <v>NA</v>
          </cell>
          <cell r="G169">
            <v>0.70466639861876601</v>
          </cell>
          <cell r="H169">
            <v>0.11802983003815481</v>
          </cell>
          <cell r="I169">
            <v>0.13637040530143185</v>
          </cell>
          <cell r="J169">
            <v>0.13001932926363158</v>
          </cell>
          <cell r="K169">
            <v>7.2315587038665585E-2</v>
          </cell>
          <cell r="L169">
            <v>-0.20248738284066325</v>
          </cell>
          <cell r="M169">
            <v>8.3600777471409815E-2</v>
          </cell>
          <cell r="N169">
            <v>9.306497027844407E-2</v>
          </cell>
          <cell r="O169">
            <v>8.1668479401606708E-2</v>
          </cell>
          <cell r="P169">
            <v>0.12148287967258797</v>
          </cell>
          <cell r="Q169">
            <v>4.2077280627934366E-2</v>
          </cell>
          <cell r="R169">
            <v>4.2514170132154305E-2</v>
          </cell>
          <cell r="S169">
            <v>-0.11876493158618717</v>
          </cell>
          <cell r="T169">
            <v>-0.16181556787841433</v>
          </cell>
          <cell r="U169">
            <v>6.2678872466381819E-2</v>
          </cell>
          <cell r="V169">
            <v>0.26035066360458559</v>
          </cell>
          <cell r="W169">
            <v>-0.74211677924054698</v>
          </cell>
          <cell r="X169">
            <v>0.12088535754823937</v>
          </cell>
          <cell r="Y169">
            <v>9.87341772151904E-2</v>
          </cell>
          <cell r="Z169">
            <v>0.16589861751152113</v>
          </cell>
          <cell r="AA169">
            <v>0.16397233201581018</v>
          </cell>
          <cell r="AB169">
            <v>0.1372565665483807</v>
          </cell>
          <cell r="AC169">
            <v>5.1133903644317025E-2</v>
          </cell>
          <cell r="AD169">
            <v>6.8985597818368216E-2</v>
          </cell>
          <cell r="AE169">
            <v>1.7856994804884119E-2</v>
          </cell>
          <cell r="AF169">
            <v>4.5279870809668221E-2</v>
          </cell>
          <cell r="AG169">
            <v>6.7024658938537707E-2</v>
          </cell>
          <cell r="AH169">
            <v>7.6344282537343489E-2</v>
          </cell>
          <cell r="AI169">
            <v>6.2950543531615999E-2</v>
          </cell>
          <cell r="AJ169">
            <v>6.8915279618777081E-2</v>
          </cell>
          <cell r="AK169">
            <v>2.2397249057498625E-2</v>
          </cell>
          <cell r="AL169">
            <v>6.7794747833508584E-2</v>
          </cell>
          <cell r="AM169">
            <v>1.4932375937162234E-2</v>
          </cell>
          <cell r="AN169">
            <v>4.3386637570850928E-2</v>
          </cell>
          <cell r="AO169">
            <v>7.3181078137184441E-2</v>
          </cell>
          <cell r="AP169">
            <v>3.0263317443421256E-2</v>
          </cell>
          <cell r="AQ169">
            <v>4.0348167422434633E-2</v>
          </cell>
          <cell r="AR169">
            <v>6.9496599854658836E-2</v>
          </cell>
          <cell r="AS169">
            <v>-2.8967547929291126E-2</v>
          </cell>
          <cell r="AT169">
            <v>3.742114999645918E-2</v>
          </cell>
          <cell r="AU169">
            <v>0.20502377911689851</v>
          </cell>
          <cell r="AV169">
            <v>1.7782705099778306E-2</v>
          </cell>
          <cell r="AW169">
            <v>3.5031153326652298E-2</v>
          </cell>
          <cell r="AX169">
            <v>2.3347716270259333E-2</v>
          </cell>
          <cell r="AY169">
            <v>-1.5774975961167836E-2</v>
          </cell>
          <cell r="AZ169">
            <v>5.4176140918669846E-2</v>
          </cell>
          <cell r="BA169">
            <v>3.8619818684941132E-2</v>
          </cell>
          <cell r="BB169">
            <v>2.0001092323557401E-2</v>
          </cell>
          <cell r="BC169">
            <v>2.36089910022661E-2</v>
          </cell>
          <cell r="BD169">
            <v>4.7365294090763621E-2</v>
          </cell>
          <cell r="BE169">
            <v>2.8999799279150196E-2</v>
          </cell>
          <cell r="BF169">
            <v>4.6785683996268146E-2</v>
          </cell>
          <cell r="BG169">
            <v>6.2721538729527238E-2</v>
          </cell>
          <cell r="BH169">
            <v>2.8768449621859205E-2</v>
          </cell>
          <cell r="BI169">
            <v>4.9380657544195072E-2</v>
          </cell>
          <cell r="BJ169">
            <v>6.3966667843649461E-2</v>
          </cell>
          <cell r="BK169">
            <v>3.9130377066698419E-2</v>
          </cell>
          <cell r="BL169">
            <v>2.2892401242985638E-2</v>
          </cell>
          <cell r="BM169">
            <v>1.8333671573754762E-2</v>
          </cell>
          <cell r="BN169">
            <v>2.4387028332980565E-2</v>
          </cell>
          <cell r="BO169">
            <v>1.9948460242254829E-2</v>
          </cell>
          <cell r="BP169">
            <v>6.5497570251427106E-3</v>
          </cell>
          <cell r="BQ169">
            <v>3.3932153185931568E-2</v>
          </cell>
          <cell r="BR169">
            <v>2.7311664838557626E-2</v>
          </cell>
          <cell r="BS169">
            <v>-0.99058380455974804</v>
          </cell>
          <cell r="BT169">
            <v>0.38417151604171851</v>
          </cell>
          <cell r="BU169">
            <v>0.58442153142915276</v>
          </cell>
          <cell r="BV169">
            <v>-0.41185098047683155</v>
          </cell>
          <cell r="BW169">
            <v>1.0405044539447665</v>
          </cell>
          <cell r="BX169">
            <v>5.8114051372208708E-2</v>
          </cell>
          <cell r="BY169">
            <v>1.1762889240181096E-2</v>
          </cell>
          <cell r="BZ169">
            <v>8.0978762842362162E-2</v>
          </cell>
          <cell r="CA169">
            <v>-1.3758883111148701E-2</v>
          </cell>
          <cell r="CB169">
            <v>0.19341910798386563</v>
          </cell>
          <cell r="CC169">
            <v>-1.9338118113924052E-2</v>
          </cell>
          <cell r="CD169">
            <v>0.16532625818755475</v>
          </cell>
          <cell r="CE169">
            <v>0.27117364242071607</v>
          </cell>
          <cell r="CF169">
            <v>6.2419102618591626E-3</v>
          </cell>
          <cell r="CG169">
            <v>-0.12385872106917872</v>
          </cell>
          <cell r="CH169">
            <v>9.5487160282356598E-2</v>
          </cell>
          <cell r="CI169">
            <v>0.19513855044575501</v>
          </cell>
          <cell r="CJ169">
            <v>3.7769499886714408E-2</v>
          </cell>
          <cell r="CK169">
            <v>2.9298788783960195E-2</v>
          </cell>
          <cell r="CL169">
            <v>9.5341592334853065E-2</v>
          </cell>
          <cell r="CM169">
            <v>3.4556716538939325E-2</v>
          </cell>
          <cell r="CN169">
            <v>4.4213585975654279E-2</v>
          </cell>
          <cell r="CO169">
            <v>3.1352755065144011E-2</v>
          </cell>
          <cell r="CP169">
            <v>0.10217928942061549</v>
          </cell>
          <cell r="CQ169">
            <v>3.4337917191127554E-2</v>
          </cell>
          <cell r="CR169">
            <v>4.5051832048575768E-2</v>
          </cell>
          <cell r="CS169">
            <v>3.1758434264653745E-2</v>
          </cell>
          <cell r="CT169">
            <v>0.10409098092391589</v>
          </cell>
          <cell r="CU169">
            <v>2.5571112532434714E-2</v>
          </cell>
          <cell r="CV169">
            <v>3.5211997556612307E-2</v>
          </cell>
          <cell r="CW169">
            <v>2.4046433586943472E-2</v>
          </cell>
          <cell r="CX169">
            <v>8.7062201998268307E-2</v>
          </cell>
          <cell r="CY169">
            <v>1.9258906418341049E-2</v>
          </cell>
          <cell r="CZ169">
            <v>2.8261873565823992E-2</v>
          </cell>
          <cell r="DA169">
            <v>1.8591875488125353E-2</v>
          </cell>
          <cell r="DB169">
            <v>7.5638368667835465E-2</v>
          </cell>
          <cell r="DC169"/>
          <cell r="DD169"/>
          <cell r="DE169"/>
          <cell r="DF169"/>
          <cell r="DG169"/>
          <cell r="DH169"/>
          <cell r="DI169"/>
          <cell r="DJ169"/>
          <cell r="DK169"/>
          <cell r="DL169"/>
          <cell r="DM169"/>
          <cell r="DN169"/>
          <cell r="DO169"/>
        </row>
        <row r="170">
          <cell r="A170"/>
          <cell r="B170"/>
          <cell r="C170"/>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cell r="AD170"/>
          <cell r="AE170"/>
          <cell r="AF170"/>
          <cell r="AG170"/>
          <cell r="AH170"/>
          <cell r="AI170"/>
          <cell r="AJ170"/>
          <cell r="AK170"/>
          <cell r="AL170"/>
          <cell r="AM170"/>
          <cell r="AN170"/>
          <cell r="AO170"/>
          <cell r="AP170"/>
          <cell r="AQ170"/>
          <cell r="AR170"/>
          <cell r="AS170"/>
          <cell r="AT170"/>
          <cell r="AU170"/>
          <cell r="AV170"/>
          <cell r="AW170"/>
          <cell r="AX170"/>
          <cell r="AY170"/>
          <cell r="AZ170"/>
          <cell r="BA170"/>
          <cell r="BB170"/>
          <cell r="BC170"/>
          <cell r="BD170"/>
          <cell r="BE170"/>
          <cell r="BF170"/>
          <cell r="BG170"/>
          <cell r="BH170"/>
          <cell r="BI170"/>
          <cell r="BJ170"/>
          <cell r="BK170"/>
          <cell r="BL170"/>
          <cell r="BM170"/>
          <cell r="BN170"/>
          <cell r="BO170"/>
          <cell r="BP170"/>
          <cell r="BQ170"/>
          <cell r="BR170"/>
          <cell r="BS170"/>
          <cell r="BT170"/>
          <cell r="BU170"/>
          <cell r="BV170"/>
          <cell r="BW170"/>
          <cell r="BX170"/>
          <cell r="BY170"/>
          <cell r="BZ170"/>
          <cell r="CA170"/>
          <cell r="CB170"/>
          <cell r="CC170"/>
          <cell r="CD170"/>
          <cell r="CE170"/>
          <cell r="CF170"/>
          <cell r="CG170"/>
          <cell r="CH170"/>
          <cell r="CI170"/>
          <cell r="CJ170"/>
          <cell r="CK170"/>
          <cell r="CL170"/>
          <cell r="CM170"/>
          <cell r="CN170"/>
          <cell r="CO170"/>
          <cell r="CP170"/>
          <cell r="CQ170"/>
          <cell r="CR170"/>
          <cell r="CS170"/>
          <cell r="CT170"/>
          <cell r="CU170"/>
          <cell r="CV170"/>
          <cell r="CW170"/>
          <cell r="CX170"/>
          <cell r="CY170"/>
          <cell r="CZ170"/>
          <cell r="DA170"/>
          <cell r="DB170"/>
          <cell r="DC170"/>
          <cell r="DD170"/>
          <cell r="DE170"/>
          <cell r="DF170"/>
          <cell r="DG170"/>
          <cell r="DH170"/>
          <cell r="DI170"/>
          <cell r="DJ170"/>
          <cell r="DK170"/>
          <cell r="DL170"/>
          <cell r="DM170"/>
          <cell r="DN170"/>
          <cell r="DO170"/>
        </row>
        <row r="171">
          <cell r="A171" t="str">
            <v>Citrix Cloud</v>
          </cell>
          <cell r="B171"/>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0.5</v>
          </cell>
          <cell r="BV171">
            <v>1.9522390280845081</v>
          </cell>
          <cell r="BW171">
            <v>2.6151108609830458</v>
          </cell>
          <cell r="BX171">
            <v>2.6183736784745135</v>
          </cell>
          <cell r="BY171">
            <v>2.8595923334347564</v>
          </cell>
          <cell r="BZ171">
            <v>2.8613273931580157</v>
          </cell>
          <cell r="CA171">
            <v>4.1937459158725723</v>
          </cell>
          <cell r="CB171">
            <v>4.8238609128453733</v>
          </cell>
          <cell r="CC171">
            <v>5.1156668698205907</v>
          </cell>
          <cell r="CD171">
            <v>8.0982416137671507</v>
          </cell>
          <cell r="CE171">
            <v>11.457058739244786</v>
          </cell>
          <cell r="CF171">
            <v>17.367489524113996</v>
          </cell>
          <cell r="CG171">
            <v>24.004952120737819</v>
          </cell>
          <cell r="CH171">
            <v>37.336502232368382</v>
          </cell>
          <cell r="CI171">
            <v>44.941548400728195</v>
          </cell>
          <cell r="CJ171">
            <v>54.529054427549461</v>
          </cell>
          <cell r="CK171">
            <v>62.207642594388759</v>
          </cell>
          <cell r="CL171">
            <v>82.040582808460329</v>
          </cell>
          <cell r="CM171">
            <v>91.570532158177372</v>
          </cell>
          <cell r="CN171">
            <v>103.73337044658675</v>
          </cell>
          <cell r="CO171">
            <v>113.34913181698433</v>
          </cell>
          <cell r="CP171">
            <v>139.31276874541214</v>
          </cell>
          <cell r="CQ171">
            <v>150.68255818679137</v>
          </cell>
          <cell r="CR171">
            <v>165.42721435519366</v>
          </cell>
          <cell r="CS171">
            <v>176.90931590625851</v>
          </cell>
          <cell r="CT171">
            <v>209.31960390143902</v>
          </cell>
          <cell r="CU171">
            <v>221.16907877554806</v>
          </cell>
          <cell r="CV171">
            <v>236.85156275953867</v>
          </cell>
          <cell r="CW171">
            <v>248.78878591949001</v>
          </cell>
          <cell r="CX171">
            <v>284.5646913131456</v>
          </cell>
          <cell r="CY171">
            <v>295.38724762884783</v>
          </cell>
          <cell r="CZ171">
            <v>310.21251937066694</v>
          </cell>
          <cell r="DA171">
            <v>321.11531796974822</v>
          </cell>
          <cell r="DB171">
            <v>356.91202512326834</v>
          </cell>
          <cell r="DC171">
            <v>0</v>
          </cell>
          <cell r="DD171" t="e">
            <v>#REF!</v>
          </cell>
          <cell r="DE171">
            <v>0</v>
          </cell>
          <cell r="DF171">
            <v>0</v>
          </cell>
          <cell r="DG171">
            <v>0</v>
          </cell>
          <cell r="DH171">
            <v>0</v>
          </cell>
          <cell r="DI171">
            <v>0</v>
          </cell>
          <cell r="DJ171">
            <v>0</v>
          </cell>
          <cell r="DK171">
            <v>0</v>
          </cell>
          <cell r="DL171">
            <v>0</v>
          </cell>
          <cell r="DM171">
            <v>0</v>
          </cell>
          <cell r="DN171">
            <v>0</v>
          </cell>
          <cell r="DO171">
            <v>0</v>
          </cell>
        </row>
        <row r="172">
          <cell r="A172" t="str">
            <v>% of revenue</v>
          </cell>
          <cell r="B172"/>
          <cell r="C172" t="e">
            <v>#DIV/0!</v>
          </cell>
          <cell r="D172" t="e">
            <v>#DIV/0!</v>
          </cell>
          <cell r="E172" t="e">
            <v>#DIV/0!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6.1480197228472712E-4</v>
          </cell>
          <cell r="BV172">
            <v>2.1577352611507191E-3</v>
          </cell>
          <cell r="BW172">
            <v>3.9696691591535266E-3</v>
          </cell>
          <cell r="BX172">
            <v>3.884902347485209E-3</v>
          </cell>
          <cell r="BY172">
            <v>4.276115437833101E-3</v>
          </cell>
          <cell r="BZ172">
            <v>3.8951670512262933E-3</v>
          </cell>
          <cell r="CA172">
            <v>6.3284917325824993E-3</v>
          </cell>
          <cell r="CB172">
            <v>6.9585589032818583E-3</v>
          </cell>
          <cell r="CC172">
            <v>7.4040841912227677E-3</v>
          </cell>
          <cell r="CD172">
            <v>1.0410964500887888E-2</v>
          </cell>
          <cell r="CE172">
            <v>1.6433147166411529E-2</v>
          </cell>
          <cell r="CF172">
            <v>2.3394811883795701E-2</v>
          </cell>
          <cell r="CG172">
            <v>3.2772339463324147E-2</v>
          </cell>
          <cell r="CH172">
            <v>4.6561789607253525E-2</v>
          </cell>
          <cell r="CI172">
            <v>6.3278073032381393E-2</v>
          </cell>
          <cell r="CJ172">
            <v>7.0634695134910483E-2</v>
          </cell>
          <cell r="CK172">
            <v>8.1548366325774238E-2</v>
          </cell>
          <cell r="CL172">
            <v>9.5850540106966614E-2</v>
          </cell>
          <cell r="CM172">
            <v>0.11971535427877876</v>
          </cell>
          <cell r="CN172">
            <v>0.12543147086861092</v>
          </cell>
          <cell r="CO172">
            <v>0.13840084892328613</v>
          </cell>
          <cell r="CP172">
            <v>0.15487561599381311</v>
          </cell>
          <cell r="CQ172">
            <v>0.18295353613231091</v>
          </cell>
          <cell r="CR172">
            <v>0.18706840243814235</v>
          </cell>
          <cell r="CS172">
            <v>0.20178329436534112</v>
          </cell>
          <cell r="CT172">
            <v>0.22188619026458556</v>
          </cell>
          <cell r="CU172">
            <v>0.24745888060333635</v>
          </cell>
          <cell r="CV172">
            <v>0.24790280605999218</v>
          </cell>
          <cell r="CW172">
            <v>0.26258878770898214</v>
          </cell>
          <cell r="CX172">
            <v>0.28134642225481171</v>
          </cell>
          <cell r="CY172">
            <v>0.30415896238076373</v>
          </cell>
          <cell r="CZ172">
            <v>0.30034419509919158</v>
          </cell>
          <cell r="DA172">
            <v>0.31390730769974728</v>
          </cell>
          <cell r="DB172">
            <v>0.328016457614412</v>
          </cell>
          <cell r="DC172"/>
          <cell r="DD172"/>
          <cell r="DE172">
            <v>0</v>
          </cell>
          <cell r="DF172">
            <v>0</v>
          </cell>
          <cell r="DG172">
            <v>0</v>
          </cell>
          <cell r="DH172">
            <v>0</v>
          </cell>
          <cell r="DI172">
            <v>0</v>
          </cell>
          <cell r="DJ172">
            <v>0</v>
          </cell>
          <cell r="DK172">
            <v>0</v>
          </cell>
          <cell r="DL172">
            <v>0</v>
          </cell>
          <cell r="DM172">
            <v>0</v>
          </cell>
          <cell r="DN172">
            <v>0</v>
          </cell>
          <cell r="DO172">
            <v>0</v>
          </cell>
        </row>
        <row r="173">
          <cell r="A173" t="str">
            <v>% growth in revenue y-o-y</v>
          </cell>
          <cell r="B173"/>
          <cell r="C173" t="str">
            <v>NA</v>
          </cell>
          <cell r="D173" t="str">
            <v>NA</v>
          </cell>
          <cell r="E173" t="str">
            <v>NA</v>
          </cell>
          <cell r="F173" t="str">
            <v>NA</v>
          </cell>
          <cell r="G173" t="str">
            <v>NA</v>
          </cell>
          <cell r="H173" t="str">
            <v>NA</v>
          </cell>
          <cell r="I173" t="str">
            <v>NA</v>
          </cell>
          <cell r="J173" t="str">
            <v>NA</v>
          </cell>
          <cell r="K173" t="str">
            <v>NA</v>
          </cell>
          <cell r="L173" t="str">
            <v>NA</v>
          </cell>
          <cell r="M173" t="str">
            <v>NA</v>
          </cell>
          <cell r="N173" t="str">
            <v>NA</v>
          </cell>
          <cell r="O173" t="str">
            <v>NA</v>
          </cell>
          <cell r="P173" t="str">
            <v>NA</v>
          </cell>
          <cell r="Q173" t="str">
            <v>NA</v>
          </cell>
          <cell r="R173" t="str">
            <v>NA</v>
          </cell>
          <cell r="S173" t="str">
            <v>NA</v>
          </cell>
          <cell r="T173" t="str">
            <v>NA</v>
          </cell>
          <cell r="U173" t="str">
            <v>NA</v>
          </cell>
          <cell r="V173" t="str">
            <v>NA</v>
          </cell>
          <cell r="W173" t="str">
            <v>NA</v>
          </cell>
          <cell r="X173" t="str">
            <v>NA</v>
          </cell>
          <cell r="Y173" t="str">
            <v>NA</v>
          </cell>
          <cell r="Z173" t="str">
            <v>NA</v>
          </cell>
          <cell r="AA173" t="str">
            <v>NA</v>
          </cell>
          <cell r="AB173" t="str">
            <v>NA</v>
          </cell>
          <cell r="AC173" t="str">
            <v>NA</v>
          </cell>
          <cell r="AD173" t="str">
            <v>NA</v>
          </cell>
          <cell r="AE173" t="str">
            <v>NA</v>
          </cell>
          <cell r="AF173" t="str">
            <v>NA</v>
          </cell>
          <cell r="AG173" t="str">
            <v>NA</v>
          </cell>
          <cell r="AH173" t="str">
            <v>NA</v>
          </cell>
          <cell r="AI173" t="str">
            <v>NA</v>
          </cell>
          <cell r="AJ173" t="str">
            <v>NA</v>
          </cell>
          <cell r="AK173" t="str">
            <v>NA</v>
          </cell>
          <cell r="AL173" t="str">
            <v>NA</v>
          </cell>
          <cell r="AM173" t="str">
            <v>NA</v>
          </cell>
          <cell r="AN173" t="str">
            <v>NA</v>
          </cell>
          <cell r="AO173" t="str">
            <v>NA</v>
          </cell>
          <cell r="AP173" t="str">
            <v>NA</v>
          </cell>
          <cell r="AQ173" t="str">
            <v>NA</v>
          </cell>
          <cell r="AR173" t="str">
            <v>NA</v>
          </cell>
          <cell r="AS173" t="str">
            <v>NA</v>
          </cell>
          <cell r="AT173" t="str">
            <v>NA</v>
          </cell>
          <cell r="AU173" t="str">
            <v>NA</v>
          </cell>
          <cell r="AV173" t="str">
            <v>NA</v>
          </cell>
          <cell r="AW173" t="str">
            <v>NA</v>
          </cell>
          <cell r="AX173" t="str">
            <v>NA</v>
          </cell>
          <cell r="AY173" t="str">
            <v>NA</v>
          </cell>
          <cell r="AZ173" t="str">
            <v>NA</v>
          </cell>
          <cell r="BA173" t="str">
            <v>NA</v>
          </cell>
          <cell r="BB173" t="str">
            <v>NA</v>
          </cell>
          <cell r="BC173" t="str">
            <v>NA</v>
          </cell>
          <cell r="BD173" t="str">
            <v>NA</v>
          </cell>
          <cell r="BE173" t="str">
            <v>NA</v>
          </cell>
          <cell r="BF173" t="str">
            <v>NA</v>
          </cell>
          <cell r="BG173" t="str">
            <v>NA</v>
          </cell>
          <cell r="BH173" t="str">
            <v>NA</v>
          </cell>
          <cell r="BI173" t="str">
            <v>NA</v>
          </cell>
          <cell r="BJ173" t="str">
            <v>NA</v>
          </cell>
          <cell r="BK173" t="str">
            <v>NA</v>
          </cell>
          <cell r="BL173" t="str">
            <v>NA</v>
          </cell>
          <cell r="BM173" t="str">
            <v>NA</v>
          </cell>
          <cell r="BN173" t="str">
            <v>NA</v>
          </cell>
          <cell r="BO173" t="str">
            <v>NA</v>
          </cell>
          <cell r="BP173" t="str">
            <v>NA</v>
          </cell>
          <cell r="BQ173" t="str">
            <v>NA</v>
          </cell>
          <cell r="BR173" t="str">
            <v>NA</v>
          </cell>
          <cell r="BS173" t="str">
            <v>NA</v>
          </cell>
          <cell r="BT173" t="str">
            <v>NA</v>
          </cell>
          <cell r="BU173" t="str">
            <v>NA</v>
          </cell>
          <cell r="BV173" t="str">
            <v>NA</v>
          </cell>
          <cell r="BW173" t="str">
            <v>NA</v>
          </cell>
          <cell r="BX173" t="str">
            <v>NA</v>
          </cell>
          <cell r="BY173">
            <v>4.7191846668695128</v>
          </cell>
          <cell r="BZ173">
            <v>0.46566447652953857</v>
          </cell>
          <cell r="CA173">
            <v>0.60365894174601142</v>
          </cell>
          <cell r="CB173">
            <v>0.8423118718699445</v>
          </cell>
          <cell r="CC173">
            <v>0.78894970797322861</v>
          </cell>
          <cell r="CD173">
            <v>1.8302394312274801</v>
          </cell>
          <cell r="CE173">
            <v>1.7319391706306968</v>
          </cell>
          <cell r="CF173">
            <v>2.6003296608047752</v>
          </cell>
          <cell r="CG173">
            <v>3.6924384897603169</v>
          </cell>
          <cell r="CH173">
            <v>3.6104455773331932</v>
          </cell>
          <cell r="CI173">
            <v>2.9226078371044997</v>
          </cell>
          <cell r="CJ173">
            <v>2.1397200126039095</v>
          </cell>
          <cell r="CK173">
            <v>1.5914503924649668</v>
          </cell>
          <cell r="CL173">
            <v>1.1973290989571148</v>
          </cell>
          <cell r="CM173">
            <v>1.0375473346328592</v>
          </cell>
          <cell r="CN173">
            <v>0.90235043566385431</v>
          </cell>
          <cell r="CO173">
            <v>0.82210942401486564</v>
          </cell>
          <cell r="CP173">
            <v>0.69809579571935587</v>
          </cell>
          <cell r="CQ173">
            <v>0.64553546468972023</v>
          </cell>
          <cell r="CR173">
            <v>0.59473478633737864</v>
          </cell>
          <cell r="CS173">
            <v>0.56074698650449029</v>
          </cell>
          <cell r="CT173">
            <v>0.5025155682890865</v>
          </cell>
          <cell r="CU173">
            <v>0.46778154974897057</v>
          </cell>
          <cell r="CV173">
            <v>0.43175694327408354</v>
          </cell>
          <cell r="CW173">
            <v>0.4063068677023165</v>
          </cell>
          <cell r="CX173">
            <v>0.35947463118235579</v>
          </cell>
          <cell r="CY173">
            <v>0.33557208477872069</v>
          </cell>
          <cell r="CZ173">
            <v>0.30973389306114596</v>
          </cell>
          <cell r="DA173">
            <v>0.29071459866227101</v>
          </cell>
          <cell r="DB173">
            <v>0.2542386178561733</v>
          </cell>
          <cell r="DC173"/>
          <cell r="DD173" t="str">
            <v>NA</v>
          </cell>
          <cell r="DE173" t="str">
            <v>NA</v>
          </cell>
          <cell r="DF173" t="str">
            <v>NA</v>
          </cell>
          <cell r="DG173" t="str">
            <v>NA</v>
          </cell>
          <cell r="DH173" t="str">
            <v>NA</v>
          </cell>
          <cell r="DI173" t="str">
            <v>NA</v>
          </cell>
          <cell r="DJ173" t="str">
            <v>NA</v>
          </cell>
          <cell r="DK173" t="str">
            <v>NA</v>
          </cell>
          <cell r="DL173" t="str">
            <v>NA</v>
          </cell>
          <cell r="DM173" t="str">
            <v>NA</v>
          </cell>
          <cell r="DN173" t="str">
            <v>NA</v>
          </cell>
          <cell r="DO173" t="str">
            <v>NA</v>
          </cell>
        </row>
        <row r="174">
          <cell r="A174" t="str">
            <v>% growth in revenue seq</v>
          </cell>
          <cell r="B174"/>
          <cell r="C174" t="str">
            <v>NA</v>
          </cell>
          <cell r="D174" t="str">
            <v>NA</v>
          </cell>
          <cell r="E174" t="str">
            <v>NA</v>
          </cell>
          <cell r="F174" t="str">
            <v>NA</v>
          </cell>
          <cell r="G174" t="str">
            <v>NA</v>
          </cell>
          <cell r="H174" t="str">
            <v>NA</v>
          </cell>
          <cell r="I174" t="str">
            <v>NA</v>
          </cell>
          <cell r="J174" t="str">
            <v>NA</v>
          </cell>
          <cell r="K174" t="str">
            <v>NA</v>
          </cell>
          <cell r="L174" t="str">
            <v>NA</v>
          </cell>
          <cell r="M174" t="str">
            <v>NA</v>
          </cell>
          <cell r="N174" t="str">
            <v>NA</v>
          </cell>
          <cell r="O174" t="str">
            <v>NA</v>
          </cell>
          <cell r="P174" t="str">
            <v>NA</v>
          </cell>
          <cell r="Q174" t="str">
            <v>NA</v>
          </cell>
          <cell r="R174" t="str">
            <v>NA</v>
          </cell>
          <cell r="S174" t="str">
            <v>NA</v>
          </cell>
          <cell r="T174" t="str">
            <v>NA</v>
          </cell>
          <cell r="U174" t="str">
            <v>NA</v>
          </cell>
          <cell r="V174" t="str">
            <v>NA</v>
          </cell>
          <cell r="W174" t="str">
            <v>NA</v>
          </cell>
          <cell r="X174" t="str">
            <v>NA</v>
          </cell>
          <cell r="Y174" t="str">
            <v>NA</v>
          </cell>
          <cell r="Z174" t="str">
            <v>NA</v>
          </cell>
          <cell r="AA174" t="str">
            <v>NA</v>
          </cell>
          <cell r="AB174" t="str">
            <v>NA</v>
          </cell>
          <cell r="AC174" t="str">
            <v>NA</v>
          </cell>
          <cell r="AD174" t="str">
            <v>NA</v>
          </cell>
          <cell r="AE174" t="str">
            <v>NA</v>
          </cell>
          <cell r="AF174" t="str">
            <v>NA</v>
          </cell>
          <cell r="AG174" t="str">
            <v>NA</v>
          </cell>
          <cell r="AH174" t="str">
            <v>NA</v>
          </cell>
          <cell r="AI174" t="str">
            <v>NA</v>
          </cell>
          <cell r="AJ174" t="str">
            <v>NA</v>
          </cell>
          <cell r="AK174" t="str">
            <v>NA</v>
          </cell>
          <cell r="AL174" t="str">
            <v>NA</v>
          </cell>
          <cell r="AM174" t="str">
            <v>NA</v>
          </cell>
          <cell r="AN174" t="str">
            <v>NA</v>
          </cell>
          <cell r="AO174" t="str">
            <v>NA</v>
          </cell>
          <cell r="AP174" t="str">
            <v>NA</v>
          </cell>
          <cell r="AQ174" t="str">
            <v>NA</v>
          </cell>
          <cell r="AR174" t="str">
            <v>NA</v>
          </cell>
          <cell r="AS174" t="str">
            <v>NA</v>
          </cell>
          <cell r="AT174" t="str">
            <v>NA</v>
          </cell>
          <cell r="AU174" t="str">
            <v>NA</v>
          </cell>
          <cell r="AV174" t="str">
            <v>NA</v>
          </cell>
          <cell r="AW174" t="str">
            <v>NA</v>
          </cell>
          <cell r="AX174" t="str">
            <v>NA</v>
          </cell>
          <cell r="AY174" t="str">
            <v>NA</v>
          </cell>
          <cell r="AZ174" t="str">
            <v>NA</v>
          </cell>
          <cell r="BA174" t="str">
            <v>NA</v>
          </cell>
          <cell r="BB174" t="str">
            <v>NA</v>
          </cell>
          <cell r="BC174" t="str">
            <v>NA</v>
          </cell>
          <cell r="BD174" t="str">
            <v>NA</v>
          </cell>
          <cell r="BE174" t="str">
            <v>NA</v>
          </cell>
          <cell r="BF174" t="str">
            <v>NA</v>
          </cell>
          <cell r="BG174" t="str">
            <v>NA</v>
          </cell>
          <cell r="BH174" t="str">
            <v>NA</v>
          </cell>
          <cell r="BI174" t="str">
            <v>NA</v>
          </cell>
          <cell r="BJ174" t="str">
            <v>NA</v>
          </cell>
          <cell r="BK174" t="str">
            <v>NA</v>
          </cell>
          <cell r="BL174" t="str">
            <v>NA</v>
          </cell>
          <cell r="BM174" t="str">
            <v>NA</v>
          </cell>
          <cell r="BN174" t="str">
            <v>NA</v>
          </cell>
          <cell r="BO174" t="str">
            <v>NA</v>
          </cell>
          <cell r="BP174" t="str">
            <v>NA</v>
          </cell>
          <cell r="BQ174" t="str">
            <v>NA</v>
          </cell>
          <cell r="BR174" t="str">
            <v>NA</v>
          </cell>
          <cell r="BS174" t="str">
            <v>NA</v>
          </cell>
          <cell r="BT174" t="str">
            <v>NA</v>
          </cell>
          <cell r="BU174" t="str">
            <v>NA</v>
          </cell>
          <cell r="BV174">
            <v>2.9044780561690162</v>
          </cell>
          <cell r="BW174">
            <v>0.33954440176771405</v>
          </cell>
          <cell r="BX174">
            <v>1.2476784598880464E-3</v>
          </cell>
          <cell r="BY174">
            <v>9.2125374213499978E-2</v>
          </cell>
          <cell r="BZ174">
            <v>6.0675072560956167E-4</v>
          </cell>
          <cell r="CA174">
            <v>0.46566447652953857</v>
          </cell>
          <cell r="CB174">
            <v>0.15025111430521565</v>
          </cell>
          <cell r="CC174">
            <v>6.0492199557033777E-2</v>
          </cell>
          <cell r="CD174">
            <v>0.58302755434330322</v>
          </cell>
          <cell r="CE174">
            <v>0.4147588187252389</v>
          </cell>
          <cell r="CF174">
            <v>0.51587679869561409</v>
          </cell>
          <cell r="CG174">
            <v>0.38217743487957767</v>
          </cell>
          <cell r="CH174">
            <v>0.55536666120293865</v>
          </cell>
          <cell r="CI174">
            <v>0.20368930439784805</v>
          </cell>
          <cell r="CJ174">
            <v>0.21333279266065341</v>
          </cell>
          <cell r="CK174">
            <v>0.14081645551073185</v>
          </cell>
          <cell r="CL174">
            <v>0.31881838608461499</v>
          </cell>
          <cell r="CM174">
            <v>0.11616140480092096</v>
          </cell>
          <cell r="CN174">
            <v>0.13282480730153989</v>
          </cell>
          <cell r="CO174">
            <v>9.269689521318325E-2</v>
          </cell>
          <cell r="CP174">
            <v>0.22905898362194077</v>
          </cell>
          <cell r="CQ174">
            <v>8.1613405172910047E-2</v>
          </cell>
          <cell r="CR174">
            <v>9.7852441223650333E-2</v>
          </cell>
          <cell r="CS174">
            <v>6.9408782562289328E-2</v>
          </cell>
          <cell r="CT174">
            <v>0.18320283377475843</v>
          </cell>
          <cell r="CU174">
            <v>5.6609484507186947E-2</v>
          </cell>
          <cell r="CV174">
            <v>7.0907217549637025E-2</v>
          </cell>
          <cell r="CW174">
            <v>5.0399596358460697E-2</v>
          </cell>
          <cell r="CX174">
            <v>0.14380031343226607</v>
          </cell>
          <cell r="CY174">
            <v>3.8031971801423037E-2</v>
          </cell>
          <cell r="CZ174">
            <v>5.0189274793768224E-2</v>
          </cell>
          <cell r="DA174">
            <v>3.5146223695935896E-2</v>
          </cell>
          <cell r="DB174">
            <v>0.1114761742910455</v>
          </cell>
          <cell r="DC174"/>
          <cell r="DD174"/>
          <cell r="DE174"/>
          <cell r="DF174"/>
          <cell r="DG174"/>
          <cell r="DH174"/>
          <cell r="DI174"/>
          <cell r="DJ174"/>
          <cell r="DK174"/>
          <cell r="DL174"/>
          <cell r="DM174"/>
          <cell r="DN174"/>
          <cell r="DO174"/>
        </row>
        <row r="175">
          <cell r="A175"/>
          <cell r="B175"/>
          <cell r="C175"/>
          <cell r="D175"/>
          <cell r="E175"/>
          <cell r="F175"/>
          <cell r="G175"/>
          <cell r="H175"/>
          <cell r="I175"/>
          <cell r="J175"/>
          <cell r="K175"/>
          <cell r="L175"/>
          <cell r="M175"/>
          <cell r="N175"/>
          <cell r="O175"/>
          <cell r="P175"/>
          <cell r="Q175"/>
          <cell r="R175"/>
          <cell r="S175"/>
          <cell r="T175"/>
          <cell r="U175"/>
          <cell r="V175"/>
          <cell r="W175"/>
          <cell r="X175"/>
          <cell r="Y175"/>
          <cell r="Z175"/>
          <cell r="AA175"/>
          <cell r="AB175"/>
          <cell r="AC175"/>
          <cell r="AD175"/>
          <cell r="AE175"/>
          <cell r="AF175"/>
          <cell r="AG175"/>
          <cell r="AH175"/>
          <cell r="AI175"/>
          <cell r="AJ175"/>
          <cell r="AK175"/>
          <cell r="AL175"/>
          <cell r="AM175"/>
          <cell r="AN175"/>
          <cell r="AO175"/>
          <cell r="AP175"/>
          <cell r="AQ175"/>
          <cell r="AR175"/>
          <cell r="AS175"/>
          <cell r="AT175"/>
          <cell r="AU175"/>
          <cell r="AV175"/>
          <cell r="AW175"/>
          <cell r="AX175"/>
          <cell r="AY175"/>
          <cell r="AZ175"/>
          <cell r="BA175"/>
          <cell r="BB175"/>
          <cell r="BC175"/>
          <cell r="BD175"/>
          <cell r="BE175"/>
          <cell r="BF175"/>
          <cell r="BG175"/>
          <cell r="BH175"/>
          <cell r="BI175"/>
          <cell r="BJ175"/>
          <cell r="BK175"/>
          <cell r="BL175"/>
          <cell r="BM175"/>
          <cell r="BN175"/>
          <cell r="BO175"/>
          <cell r="BP175"/>
          <cell r="BQ175"/>
          <cell r="BR175"/>
          <cell r="BS175"/>
          <cell r="BT175"/>
          <cell r="BU175"/>
          <cell r="BV175"/>
          <cell r="BW175"/>
          <cell r="BX175"/>
          <cell r="BY175"/>
          <cell r="BZ175"/>
          <cell r="CA175"/>
          <cell r="CB175"/>
          <cell r="CC175"/>
          <cell r="CD175"/>
          <cell r="CE175"/>
          <cell r="CF175"/>
          <cell r="CG175"/>
          <cell r="CH175"/>
          <cell r="CI175"/>
          <cell r="CJ175"/>
          <cell r="CK175"/>
          <cell r="CL175"/>
          <cell r="CM175"/>
          <cell r="CN175"/>
          <cell r="CO175"/>
          <cell r="CP175"/>
          <cell r="CQ175"/>
          <cell r="CR175"/>
          <cell r="CS175"/>
          <cell r="CT175"/>
          <cell r="CU175"/>
          <cell r="CV175"/>
          <cell r="CW175"/>
          <cell r="CX175"/>
          <cell r="CY175"/>
          <cell r="CZ175"/>
          <cell r="DA175"/>
          <cell r="DB175"/>
          <cell r="DC175"/>
          <cell r="DD175"/>
          <cell r="DE175"/>
          <cell r="DF175"/>
          <cell r="DG175"/>
          <cell r="DH175"/>
          <cell r="DI175"/>
          <cell r="DJ175"/>
          <cell r="DK175"/>
          <cell r="DL175"/>
          <cell r="DM175"/>
          <cell r="DN175"/>
          <cell r="DO175"/>
        </row>
        <row r="176">
          <cell r="A176" t="str">
            <v>Services</v>
          </cell>
          <cell r="B176"/>
          <cell r="C176"/>
          <cell r="D176"/>
          <cell r="E176"/>
          <cell r="F176"/>
          <cell r="G176">
            <v>3.0910000000000002</v>
          </cell>
          <cell r="H176">
            <v>3.8929999999999998</v>
          </cell>
          <cell r="I176">
            <v>4.2</v>
          </cell>
          <cell r="J176">
            <v>4.5660000000000007</v>
          </cell>
          <cell r="K176">
            <v>6.6140000000000008</v>
          </cell>
          <cell r="L176">
            <v>7.6539999999999999</v>
          </cell>
          <cell r="M176">
            <v>7.5919999999999996</v>
          </cell>
          <cell r="N176">
            <v>8.532</v>
          </cell>
          <cell r="O176">
            <v>9.5660000000000007</v>
          </cell>
          <cell r="P176">
            <v>10.186999999999999</v>
          </cell>
          <cell r="Q176">
            <v>10.989000000000001</v>
          </cell>
          <cell r="R176">
            <v>9.91</v>
          </cell>
          <cell r="S176">
            <v>10.712999999999999</v>
          </cell>
          <cell r="T176">
            <v>11.218</v>
          </cell>
          <cell r="U176">
            <v>10.475</v>
          </cell>
          <cell r="V176">
            <v>12.133000000000001</v>
          </cell>
          <cell r="W176">
            <v>11.377000000000001</v>
          </cell>
          <cell r="X176">
            <v>11.289</v>
          </cell>
          <cell r="Y176">
            <v>10.866</v>
          </cell>
          <cell r="Z176">
            <v>12</v>
          </cell>
          <cell r="AA176">
            <v>12.191000000000001</v>
          </cell>
          <cell r="AB176">
            <v>13.15</v>
          </cell>
          <cell r="AC176">
            <v>14.629</v>
          </cell>
          <cell r="AD176">
            <v>15.713000000000001</v>
          </cell>
          <cell r="AE176">
            <v>14.288</v>
          </cell>
          <cell r="AF176">
            <v>14.931669249999999</v>
          </cell>
          <cell r="AG176">
            <v>17.358472109375001</v>
          </cell>
          <cell r="AH176">
            <v>17.367227915039059</v>
          </cell>
          <cell r="AI176">
            <v>15.889215295349121</v>
          </cell>
          <cell r="AJ176">
            <v>17.091791508430479</v>
          </cell>
          <cell r="AK176">
            <v>16.820499999999996</v>
          </cell>
          <cell r="AL176">
            <v>19.420599999999997</v>
          </cell>
          <cell r="AM176">
            <v>17.86169999999996</v>
          </cell>
          <cell r="AN176">
            <v>18.902391919999999</v>
          </cell>
          <cell r="AO176">
            <v>18.758000000000003</v>
          </cell>
          <cell r="AP176">
            <v>22.553984000000021</v>
          </cell>
          <cell r="AQ176">
            <v>22.083234000000051</v>
          </cell>
          <cell r="AR176">
            <v>20.023930103550242</v>
          </cell>
          <cell r="AS176">
            <v>22.717768820957595</v>
          </cell>
          <cell r="AT176">
            <v>23.037680228750013</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0</v>
          </cell>
          <cell r="BV176">
            <v>0</v>
          </cell>
          <cell r="BW176">
            <v>0</v>
          </cell>
          <cell r="BX176">
            <v>0</v>
          </cell>
          <cell r="BY176">
            <v>0</v>
          </cell>
          <cell r="BZ176">
            <v>0</v>
          </cell>
          <cell r="CA176">
            <v>0</v>
          </cell>
          <cell r="CB176">
            <v>0</v>
          </cell>
          <cell r="CC176">
            <v>0</v>
          </cell>
          <cell r="CD176">
            <v>0</v>
          </cell>
          <cell r="CE176">
            <v>0</v>
          </cell>
          <cell r="CF176">
            <v>0</v>
          </cell>
          <cell r="CG176">
            <v>0</v>
          </cell>
          <cell r="CH176">
            <v>0</v>
          </cell>
          <cell r="CI176">
            <v>0</v>
          </cell>
          <cell r="CJ176">
            <v>0</v>
          </cell>
          <cell r="CK176">
            <v>0</v>
          </cell>
          <cell r="CL176">
            <v>0</v>
          </cell>
          <cell r="CM176">
            <v>0</v>
          </cell>
          <cell r="CN176">
            <v>0</v>
          </cell>
          <cell r="CO176">
            <v>0</v>
          </cell>
          <cell r="CP176">
            <v>0</v>
          </cell>
          <cell r="CQ176">
            <v>0</v>
          </cell>
          <cell r="CR176">
            <v>0</v>
          </cell>
          <cell r="CS176">
            <v>0</v>
          </cell>
          <cell r="CT176">
            <v>0</v>
          </cell>
          <cell r="CU176">
            <v>0</v>
          </cell>
          <cell r="CV176">
            <v>0</v>
          </cell>
          <cell r="CW176">
            <v>0</v>
          </cell>
          <cell r="CX176">
            <v>0</v>
          </cell>
          <cell r="CY176">
            <v>0</v>
          </cell>
          <cell r="CZ176">
            <v>0</v>
          </cell>
          <cell r="DA176">
            <v>0</v>
          </cell>
          <cell r="DB176">
            <v>0</v>
          </cell>
          <cell r="DC176"/>
          <cell r="DD176">
            <v>0</v>
          </cell>
          <cell r="DE176">
            <v>15.750000000000002</v>
          </cell>
          <cell r="DF176">
            <v>30.391999999999999</v>
          </cell>
          <cell r="DG176">
            <v>40.652000000000001</v>
          </cell>
          <cell r="DH176">
            <v>44.539000000000001</v>
          </cell>
          <cell r="DI176">
            <v>45.531999999999996</v>
          </cell>
          <cell r="DJ176">
            <v>55.683</v>
          </cell>
          <cell r="DK176">
            <v>63.945369274414055</v>
          </cell>
          <cell r="DL176">
            <v>69.222106803779596</v>
          </cell>
          <cell r="DM176">
            <v>78.07607591999998</v>
          </cell>
          <cell r="DN176">
            <v>87.862613153257911</v>
          </cell>
          <cell r="DO176">
            <v>0</v>
          </cell>
        </row>
        <row r="177">
          <cell r="A177" t="str">
            <v>% of revenue</v>
          </cell>
          <cell r="B177"/>
          <cell r="C177" t="e">
            <v>#DIV/0!</v>
          </cell>
          <cell r="D177" t="e">
            <v>#DIV/0!</v>
          </cell>
          <cell r="E177" t="e">
            <v>#DIV/0!</v>
          </cell>
          <cell r="F177">
            <v>0</v>
          </cell>
          <cell r="G177">
            <v>3.6348028551605738E-2</v>
          </cell>
          <cell r="H177">
            <v>4.1232854948895829E-2</v>
          </cell>
          <cell r="I177">
            <v>3.970504821327283E-2</v>
          </cell>
          <cell r="J177">
            <v>3.867819840577378E-2</v>
          </cell>
          <cell r="K177">
            <v>5.1868407638317064E-2</v>
          </cell>
          <cell r="L177">
            <v>7.2149011179608993E-2</v>
          </cell>
          <cell r="M177">
            <v>6.6895172304411804E-2</v>
          </cell>
          <cell r="N177">
            <v>6.9166788267911866E-2</v>
          </cell>
          <cell r="O177">
            <v>7.2026624100231904E-2</v>
          </cell>
          <cell r="P177">
            <v>6.9170389885519504E-2</v>
          </cell>
          <cell r="Q177">
            <v>7.159190853122252E-2</v>
          </cell>
          <cell r="R177">
            <v>6.2702073407614092E-2</v>
          </cell>
          <cell r="S177">
            <v>7.5279319794814128E-2</v>
          </cell>
          <cell r="T177">
            <v>9.5508105162784365E-2</v>
          </cell>
          <cell r="U177">
            <v>8.8100724991168902E-2</v>
          </cell>
          <cell r="V177">
            <v>8.1547747069577389E-2</v>
          </cell>
          <cell r="W177">
            <v>7.9287202681701294E-2</v>
          </cell>
          <cell r="X177">
            <v>7.8950129030904481E-2</v>
          </cell>
          <cell r="Y177">
            <v>7.5267029633016083E-2</v>
          </cell>
          <cell r="Z177">
            <v>7.59974667511083E-2</v>
          </cell>
          <cell r="AA177">
            <v>7.5574979852458007E-2</v>
          </cell>
          <cell r="AB177">
            <v>7.3751275925115822E-2</v>
          </cell>
          <cell r="AC177">
            <v>7.7988889955112009E-2</v>
          </cell>
          <cell r="AD177">
            <v>7.3436557973893174E-2</v>
          </cell>
          <cell r="AE177">
            <v>7.0771212046163753E-2</v>
          </cell>
          <cell r="AF177">
            <v>7.0689485108578837E-2</v>
          </cell>
          <cell r="AG177">
            <v>7.6486898303899153E-2</v>
          </cell>
          <cell r="AH177">
            <v>6.4644854070034022E-2</v>
          </cell>
          <cell r="AI177">
            <v>6.1112836619316768E-2</v>
          </cell>
          <cell r="AJ177">
            <v>6.2046377468273912E-2</v>
          </cell>
          <cell r="AK177">
            <v>6.0537842224789529E-2</v>
          </cell>
          <cell r="AL177">
            <v>6.0499934579846842E-2</v>
          </cell>
          <cell r="AM177">
            <v>5.7975967905273686E-2</v>
          </cell>
          <cell r="AN177">
            <v>5.653237764831142E-2</v>
          </cell>
          <cell r="AO177">
            <v>5.3604853528267014E-2</v>
          </cell>
          <cell r="AP177">
            <v>5.6447193030315972E-2</v>
          </cell>
          <cell r="AQ177">
            <v>5.8570935247219222E-2</v>
          </cell>
          <cell r="AR177">
            <v>5.1116662250913235E-2</v>
          </cell>
          <cell r="AS177">
            <v>5.6952036814277504E-2</v>
          </cell>
          <cell r="AT177">
            <v>5.5419404587355725E-2</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0</v>
          </cell>
          <cell r="CW177">
            <v>0</v>
          </cell>
          <cell r="CX177">
            <v>0</v>
          </cell>
          <cell r="CY177">
            <v>0</v>
          </cell>
          <cell r="CZ177">
            <v>0</v>
          </cell>
          <cell r="DA177">
            <v>0</v>
          </cell>
          <cell r="DB177">
            <v>0</v>
          </cell>
          <cell r="DC177"/>
          <cell r="DD177"/>
          <cell r="DE177">
            <v>3.9054266833628823E-2</v>
          </cell>
          <cell r="DF177">
            <v>6.4602526113517814E-2</v>
          </cell>
          <cell r="DG177">
            <v>6.8711863833815057E-2</v>
          </cell>
          <cell r="DH177">
            <v>8.4442447407137772E-2</v>
          </cell>
          <cell r="DI177">
            <v>7.7337255794519194E-2</v>
          </cell>
          <cell r="DJ177">
            <v>7.512983079158668E-2</v>
          </cell>
          <cell r="DK177">
            <v>7.0368461723622905E-2</v>
          </cell>
          <cell r="DL177">
            <v>6.1025255509058386E-2</v>
          </cell>
          <cell r="DM177">
            <v>5.609147214467268E-2</v>
          </cell>
          <cell r="DN177">
            <v>5.5491452418889219E-2</v>
          </cell>
          <cell r="DO177">
            <v>0</v>
          </cell>
        </row>
        <row r="178">
          <cell r="A178" t="str">
            <v>% growth in revenue y-o-y</v>
          </cell>
          <cell r="B178"/>
          <cell r="C178" t="str">
            <v>NA</v>
          </cell>
          <cell r="D178" t="str">
            <v>NA</v>
          </cell>
          <cell r="E178" t="str">
            <v>NA</v>
          </cell>
          <cell r="F178" t="str">
            <v>NA</v>
          </cell>
          <cell r="G178" t="str">
            <v>NA</v>
          </cell>
          <cell r="H178" t="str">
            <v>NA</v>
          </cell>
          <cell r="I178" t="str">
            <v>NA</v>
          </cell>
          <cell r="J178" t="str">
            <v>NA</v>
          </cell>
          <cell r="K178">
            <v>1.1397605952766097</v>
          </cell>
          <cell r="L178">
            <v>0.96609298741330596</v>
          </cell>
          <cell r="M178">
            <v>0.80761904761904746</v>
          </cell>
          <cell r="N178">
            <v>0.86859395532194461</v>
          </cell>
          <cell r="O178">
            <v>0.44632597520411244</v>
          </cell>
          <cell r="P178">
            <v>0.33093807159655086</v>
          </cell>
          <cell r="Q178">
            <v>0.44744467860906245</v>
          </cell>
          <cell r="R178">
            <v>0.16150961087669957</v>
          </cell>
          <cell r="S178">
            <v>0.1199038260505958</v>
          </cell>
          <cell r="T178">
            <v>0.10120742122312754</v>
          </cell>
          <cell r="U178">
            <v>-4.677404677404684E-2</v>
          </cell>
          <cell r="V178">
            <v>0.22431886982845617</v>
          </cell>
          <cell r="W178">
            <v>6.198077102585664E-2</v>
          </cell>
          <cell r="X178">
            <v>6.3291139240506666E-3</v>
          </cell>
          <cell r="Y178">
            <v>3.7326968973746988E-2</v>
          </cell>
          <cell r="Z178">
            <v>-1.0961839610978408E-2</v>
          </cell>
          <cell r="AA178">
            <v>7.154785971697275E-2</v>
          </cell>
          <cell r="AB178">
            <v>0.16485073965807429</v>
          </cell>
          <cell r="AC178">
            <v>0.34630958954537094</v>
          </cell>
          <cell r="AD178">
            <v>0.30941666666666667</v>
          </cell>
          <cell r="AE178">
            <v>0.17201214010335497</v>
          </cell>
          <cell r="AF178">
            <v>0.13548815589353591</v>
          </cell>
          <cell r="AG178">
            <v>0.18657954127930831</v>
          </cell>
          <cell r="AH178">
            <v>0.10527766276580275</v>
          </cell>
          <cell r="AI178">
            <v>0.11206713993204942</v>
          </cell>
          <cell r="AJ178">
            <v>0.14466716495414467</v>
          </cell>
          <cell r="AK178">
            <v>-3.0991904470927256E-2</v>
          </cell>
          <cell r="AL178">
            <v>0.11823257545798826</v>
          </cell>
          <cell r="AM178">
            <v>0.12413984378625664</v>
          </cell>
          <cell r="AN178">
            <v>0.10593391632915994</v>
          </cell>
          <cell r="AO178">
            <v>0.11518682559971505</v>
          </cell>
          <cell r="AP178">
            <v>0.16134331586047934</v>
          </cell>
          <cell r="AQ178">
            <v>0.23634558860579347</v>
          </cell>
          <cell r="AR178">
            <v>5.9333135631558953E-2</v>
          </cell>
          <cell r="AS178">
            <v>0.21109760214082485</v>
          </cell>
          <cell r="AT178">
            <v>2.1446154646114435E-2</v>
          </cell>
          <cell r="AU178">
            <v>-1</v>
          </cell>
          <cell r="AV178">
            <v>-1</v>
          </cell>
          <cell r="AW178">
            <v>-1</v>
          </cell>
          <cell r="AX178">
            <v>-1</v>
          </cell>
          <cell r="AY178" t="str">
            <v>NA</v>
          </cell>
          <cell r="AZ178" t="str">
            <v>NA</v>
          </cell>
          <cell r="BA178" t="str">
            <v>NA</v>
          </cell>
          <cell r="BB178" t="str">
            <v>NA</v>
          </cell>
          <cell r="BC178" t="str">
            <v>NA</v>
          </cell>
          <cell r="BD178" t="str">
            <v>NA</v>
          </cell>
          <cell r="BE178" t="str">
            <v>NA</v>
          </cell>
          <cell r="BF178" t="str">
            <v>NA</v>
          </cell>
          <cell r="BG178" t="str">
            <v>NA</v>
          </cell>
          <cell r="BH178" t="str">
            <v>NA</v>
          </cell>
          <cell r="BI178" t="str">
            <v>NA</v>
          </cell>
          <cell r="BJ178" t="str">
            <v>NA</v>
          </cell>
          <cell r="BK178" t="str">
            <v>NA</v>
          </cell>
          <cell r="BL178" t="str">
            <v>NA</v>
          </cell>
          <cell r="BM178" t="str">
            <v>NA</v>
          </cell>
          <cell r="BN178" t="str">
            <v>NA</v>
          </cell>
          <cell r="BO178" t="str">
            <v>NA</v>
          </cell>
          <cell r="BP178" t="str">
            <v>NA</v>
          </cell>
          <cell r="BQ178" t="str">
            <v>NA</v>
          </cell>
          <cell r="BR178" t="str">
            <v>NA</v>
          </cell>
          <cell r="BS178" t="str">
            <v>NA</v>
          </cell>
          <cell r="BT178" t="str">
            <v>NA</v>
          </cell>
          <cell r="BU178" t="str">
            <v>NA</v>
          </cell>
          <cell r="BV178" t="str">
            <v>NA</v>
          </cell>
          <cell r="BW178" t="str">
            <v>NA</v>
          </cell>
          <cell r="BX178" t="str">
            <v>NA</v>
          </cell>
          <cell r="BY178" t="str">
            <v>NA</v>
          </cell>
          <cell r="BZ178" t="str">
            <v>NA</v>
          </cell>
          <cell r="CA178" t="str">
            <v>NA</v>
          </cell>
          <cell r="CB178" t="str">
            <v>NA</v>
          </cell>
          <cell r="CC178" t="str">
            <v>NA</v>
          </cell>
          <cell r="CD178" t="str">
            <v>NA</v>
          </cell>
          <cell r="CE178" t="str">
            <v>NA</v>
          </cell>
          <cell r="CF178" t="str">
            <v>NA</v>
          </cell>
          <cell r="CG178" t="str">
            <v>NA</v>
          </cell>
          <cell r="CH178" t="str">
            <v>NA</v>
          </cell>
          <cell r="CI178" t="str">
            <v>NA</v>
          </cell>
          <cell r="CJ178" t="str">
            <v>NA</v>
          </cell>
          <cell r="CK178" t="str">
            <v>NA</v>
          </cell>
          <cell r="CL178" t="str">
            <v>NA</v>
          </cell>
          <cell r="CM178" t="str">
            <v>NA</v>
          </cell>
          <cell r="CN178" t="str">
            <v>NA</v>
          </cell>
          <cell r="CO178" t="str">
            <v>NA</v>
          </cell>
          <cell r="CP178" t="str">
            <v>NA</v>
          </cell>
          <cell r="CQ178" t="str">
            <v>NA</v>
          </cell>
          <cell r="CR178" t="str">
            <v>NA</v>
          </cell>
          <cell r="CS178" t="str">
            <v>NA</v>
          </cell>
          <cell r="CT178" t="str">
            <v>NA</v>
          </cell>
          <cell r="CU178" t="str">
            <v>NA</v>
          </cell>
          <cell r="CV178" t="str">
            <v>NA</v>
          </cell>
          <cell r="CW178" t="str">
            <v>NA</v>
          </cell>
          <cell r="CX178" t="str">
            <v>NA</v>
          </cell>
          <cell r="CY178" t="str">
            <v>NA</v>
          </cell>
          <cell r="CZ178" t="str">
            <v>NA</v>
          </cell>
          <cell r="DA178" t="str">
            <v>NA</v>
          </cell>
          <cell r="DB178" t="str">
            <v>NA</v>
          </cell>
          <cell r="DC178"/>
          <cell r="DD178" t="str">
            <v>NA</v>
          </cell>
          <cell r="DE178" t="str">
            <v>NA</v>
          </cell>
          <cell r="DF178">
            <v>0.92965079365079339</v>
          </cell>
          <cell r="DG178">
            <v>0.33758883916820226</v>
          </cell>
          <cell r="DH178">
            <v>9.5616451835088156E-2</v>
          </cell>
          <cell r="DI178">
            <v>2.2295067244437305E-2</v>
          </cell>
          <cell r="DJ178">
            <v>0.22294210665026792</v>
          </cell>
          <cell r="DK178">
            <v>0.14838225803951044</v>
          </cell>
          <cell r="DL178">
            <v>8.2519462929693033E-2</v>
          </cell>
          <cell r="DM178">
            <v>0.12790666919916616</v>
          </cell>
          <cell r="DN178">
            <v>0.12534617189631336</v>
          </cell>
          <cell r="DO178">
            <v>-1</v>
          </cell>
        </row>
        <row r="179">
          <cell r="A179" t="str">
            <v>% growth in revenue seq</v>
          </cell>
          <cell r="B179"/>
          <cell r="C179" t="str">
            <v>NA</v>
          </cell>
          <cell r="D179" t="str">
            <v>NA</v>
          </cell>
          <cell r="E179" t="str">
            <v>NA</v>
          </cell>
          <cell r="F179" t="str">
            <v>NA</v>
          </cell>
          <cell r="G179" t="str">
            <v>NA</v>
          </cell>
          <cell r="H179">
            <v>0.25946295697185362</v>
          </cell>
          <cell r="I179">
            <v>7.8859491394811299E-2</v>
          </cell>
          <cell r="J179">
            <v>8.7142857142857189E-2</v>
          </cell>
          <cell r="K179">
            <v>0.44853263250109499</v>
          </cell>
          <cell r="L179">
            <v>0.15724221348654366</v>
          </cell>
          <cell r="M179">
            <v>-8.1003396916645709E-3</v>
          </cell>
          <cell r="N179">
            <v>0.12381454162276095</v>
          </cell>
          <cell r="O179">
            <v>0.1211908110642288</v>
          </cell>
          <cell r="P179">
            <v>6.4917415847794091E-2</v>
          </cell>
          <cell r="Q179">
            <v>7.8727790320997526E-2</v>
          </cell>
          <cell r="R179">
            <v>-9.8189098189098267E-2</v>
          </cell>
          <cell r="S179">
            <v>8.1029263370332894E-2</v>
          </cell>
          <cell r="T179">
            <v>4.713899001213484E-2</v>
          </cell>
          <cell r="U179">
            <v>-6.6232840078445432E-2</v>
          </cell>
          <cell r="V179">
            <v>0.15828162291169456</v>
          </cell>
          <cell r="W179">
            <v>-6.2309404104508359E-2</v>
          </cell>
          <cell r="X179">
            <v>-7.7349037531863063E-3</v>
          </cell>
          <cell r="Y179">
            <v>-3.7470103640712238E-2</v>
          </cell>
          <cell r="Z179">
            <v>0.10436223081170626</v>
          </cell>
          <cell r="AA179">
            <v>1.5916666666666801E-2</v>
          </cell>
          <cell r="AB179">
            <v>7.8664588630957155E-2</v>
          </cell>
          <cell r="AC179">
            <v>0.11247148288973374</v>
          </cell>
          <cell r="AD179">
            <v>7.4099391619386168E-2</v>
          </cell>
          <cell r="AE179">
            <v>-9.0689238210399092E-2</v>
          </cell>
          <cell r="AF179">
            <v>4.5049639557670718E-2</v>
          </cell>
          <cell r="AG179">
            <v>0.16252723113157641</v>
          </cell>
          <cell r="AH179">
            <v>5.0441108001253454E-4</v>
          </cell>
          <cell r="AI179">
            <v>-8.5103542541182464E-2</v>
          </cell>
          <cell r="AJ179">
            <v>7.5685060006289939E-2</v>
          </cell>
          <cell r="AK179">
            <v>-1.5872619806804322E-2</v>
          </cell>
          <cell r="AL179">
            <v>0.15457923367319659</v>
          </cell>
          <cell r="AM179">
            <v>-8.0270434487092923E-2</v>
          </cell>
          <cell r="AN179">
            <v>5.8263878578189265E-2</v>
          </cell>
          <cell r="AO179">
            <v>-7.6388173841227536E-3</v>
          </cell>
          <cell r="AP179">
            <v>0.20236613711483198</v>
          </cell>
          <cell r="AQ179">
            <v>-2.0872143919228203E-2</v>
          </cell>
          <cell r="AR179">
            <v>-9.3251916655404887E-2</v>
          </cell>
          <cell r="AS179">
            <v>0.13453096886957949</v>
          </cell>
          <cell r="AT179">
            <v>1.408199063533444E-2</v>
          </cell>
          <cell r="AU179">
            <v>-1</v>
          </cell>
          <cell r="AV179" t="str">
            <v>NA</v>
          </cell>
          <cell r="AW179" t="str">
            <v>NA</v>
          </cell>
          <cell r="AX179" t="str">
            <v>NA</v>
          </cell>
          <cell r="AY179" t="str">
            <v>NA</v>
          </cell>
          <cell r="AZ179" t="str">
            <v>NA</v>
          </cell>
          <cell r="BA179" t="str">
            <v>NA</v>
          </cell>
          <cell r="BB179" t="str">
            <v>NA</v>
          </cell>
          <cell r="BC179" t="str">
            <v>NA</v>
          </cell>
          <cell r="BD179" t="str">
            <v>NA</v>
          </cell>
          <cell r="BE179" t="str">
            <v>NA</v>
          </cell>
          <cell r="BF179" t="str">
            <v>NA</v>
          </cell>
          <cell r="BG179" t="str">
            <v>NA</v>
          </cell>
          <cell r="BH179" t="str">
            <v>NA</v>
          </cell>
          <cell r="BI179" t="str">
            <v>NA</v>
          </cell>
          <cell r="BJ179" t="str">
            <v>NA</v>
          </cell>
          <cell r="BK179" t="str">
            <v>NA</v>
          </cell>
          <cell r="BL179" t="str">
            <v>NA</v>
          </cell>
          <cell r="BM179" t="str">
            <v>NA</v>
          </cell>
          <cell r="BN179" t="str">
            <v>NA</v>
          </cell>
          <cell r="BO179" t="str">
            <v>NA</v>
          </cell>
          <cell r="BP179" t="str">
            <v>NA</v>
          </cell>
          <cell r="BQ179" t="str">
            <v>NA</v>
          </cell>
          <cell r="BR179" t="str">
            <v>NA</v>
          </cell>
          <cell r="BS179" t="str">
            <v>NA</v>
          </cell>
          <cell r="BT179" t="str">
            <v>NA</v>
          </cell>
          <cell r="BU179" t="str">
            <v>NA</v>
          </cell>
          <cell r="BV179" t="str">
            <v>NA</v>
          </cell>
          <cell r="BW179" t="str">
            <v>NA</v>
          </cell>
          <cell r="BX179" t="str">
            <v>NA</v>
          </cell>
          <cell r="BY179" t="str">
            <v>NA</v>
          </cell>
          <cell r="BZ179" t="str">
            <v>NA</v>
          </cell>
          <cell r="CA179" t="str">
            <v>NA</v>
          </cell>
          <cell r="CB179" t="str">
            <v>NA</v>
          </cell>
          <cell r="CC179" t="str">
            <v>NA</v>
          </cell>
          <cell r="CD179" t="str">
            <v>NA</v>
          </cell>
          <cell r="CE179" t="str">
            <v>NA</v>
          </cell>
          <cell r="CF179" t="str">
            <v>NA</v>
          </cell>
          <cell r="CG179" t="str">
            <v>NA</v>
          </cell>
          <cell r="CH179" t="str">
            <v>NA</v>
          </cell>
          <cell r="CI179" t="str">
            <v>NA</v>
          </cell>
          <cell r="CJ179" t="str">
            <v>NA</v>
          </cell>
          <cell r="CK179" t="str">
            <v>NA</v>
          </cell>
          <cell r="CL179" t="str">
            <v>NA</v>
          </cell>
          <cell r="CM179" t="str">
            <v>NA</v>
          </cell>
          <cell r="CN179" t="str">
            <v>NA</v>
          </cell>
          <cell r="CO179" t="str">
            <v>NA</v>
          </cell>
          <cell r="CP179" t="str">
            <v>NA</v>
          </cell>
          <cell r="CQ179" t="str">
            <v>NA</v>
          </cell>
          <cell r="CR179" t="str">
            <v>NA</v>
          </cell>
          <cell r="CS179" t="str">
            <v>NA</v>
          </cell>
          <cell r="CT179" t="str">
            <v>NA</v>
          </cell>
          <cell r="CU179" t="str">
            <v>NA</v>
          </cell>
          <cell r="CV179" t="str">
            <v>NA</v>
          </cell>
          <cell r="CW179" t="str">
            <v>NA</v>
          </cell>
          <cell r="CX179" t="str">
            <v>NA</v>
          </cell>
          <cell r="CY179" t="str">
            <v>NA</v>
          </cell>
          <cell r="CZ179" t="str">
            <v>NA</v>
          </cell>
          <cell r="DA179" t="str">
            <v>NA</v>
          </cell>
          <cell r="DB179" t="str">
            <v>NA</v>
          </cell>
          <cell r="DC179"/>
          <cell r="DD179"/>
          <cell r="DE179"/>
          <cell r="DF179"/>
          <cell r="DG179"/>
          <cell r="DH179"/>
          <cell r="DI179"/>
          <cell r="DJ179"/>
          <cell r="DK179"/>
          <cell r="DL179"/>
          <cell r="DM179"/>
          <cell r="DN179"/>
          <cell r="DO179"/>
        </row>
        <row r="180">
          <cell r="A180"/>
          <cell r="B180"/>
          <cell r="C180"/>
          <cell r="D180"/>
          <cell r="E180"/>
          <cell r="F180"/>
          <cell r="G180"/>
          <cell r="H180"/>
          <cell r="I180"/>
          <cell r="J180"/>
          <cell r="K180"/>
          <cell r="L180"/>
          <cell r="M180"/>
          <cell r="N180"/>
          <cell r="O180"/>
          <cell r="P180"/>
          <cell r="Q180"/>
          <cell r="R180"/>
          <cell r="S180"/>
          <cell r="T180"/>
          <cell r="U180"/>
          <cell r="V180"/>
          <cell r="W180"/>
          <cell r="X180"/>
          <cell r="Y180"/>
          <cell r="Z180"/>
          <cell r="AA180"/>
          <cell r="AB180"/>
          <cell r="AC180"/>
          <cell r="AD180"/>
          <cell r="AE180"/>
          <cell r="AF180"/>
          <cell r="AG180"/>
          <cell r="AH180"/>
          <cell r="AI180"/>
          <cell r="AJ180"/>
          <cell r="AK180"/>
          <cell r="AL180"/>
          <cell r="AM180"/>
          <cell r="AN180"/>
          <cell r="AO180"/>
          <cell r="AP180"/>
          <cell r="AQ180"/>
          <cell r="AR180"/>
          <cell r="AS180"/>
          <cell r="AT180"/>
          <cell r="AU180"/>
          <cell r="AV180"/>
          <cell r="AW180"/>
          <cell r="AX180"/>
          <cell r="AY180"/>
          <cell r="AZ180"/>
          <cell r="BA180"/>
          <cell r="BB180"/>
          <cell r="BC180"/>
          <cell r="BD180"/>
          <cell r="BE180"/>
          <cell r="BF180"/>
          <cell r="BG180"/>
          <cell r="BH180"/>
          <cell r="BI180"/>
          <cell r="BJ180"/>
          <cell r="BK180"/>
          <cell r="BL180"/>
          <cell r="BM180"/>
          <cell r="BN180"/>
          <cell r="BO180"/>
          <cell r="BP180"/>
          <cell r="BQ180"/>
          <cell r="BR180"/>
          <cell r="BS180"/>
          <cell r="BT180"/>
          <cell r="BU180"/>
          <cell r="BV180"/>
          <cell r="BW180"/>
          <cell r="BX180"/>
          <cell r="BY180"/>
          <cell r="BZ180"/>
          <cell r="CA180"/>
          <cell r="CB180"/>
          <cell r="CC180"/>
          <cell r="CD180"/>
          <cell r="CE180"/>
          <cell r="CF180"/>
          <cell r="CG180"/>
          <cell r="CH180"/>
          <cell r="CI180"/>
          <cell r="CJ180"/>
          <cell r="CK180"/>
          <cell r="CL180"/>
          <cell r="CM180"/>
          <cell r="CN180"/>
          <cell r="CO180"/>
          <cell r="CP180"/>
          <cell r="CQ180"/>
          <cell r="CR180"/>
          <cell r="CS180"/>
          <cell r="CT180"/>
          <cell r="CU180"/>
          <cell r="CV180"/>
          <cell r="CW180"/>
          <cell r="CX180"/>
          <cell r="CY180"/>
          <cell r="CZ180"/>
          <cell r="DA180"/>
          <cell r="DB180"/>
          <cell r="DC180"/>
          <cell r="DD180"/>
          <cell r="DE180"/>
          <cell r="DF180"/>
          <cell r="DG180"/>
          <cell r="DH180"/>
          <cell r="DI180"/>
          <cell r="DJ180"/>
          <cell r="DK180"/>
          <cell r="DL180"/>
          <cell r="DM180"/>
          <cell r="DN180"/>
          <cell r="DO180"/>
        </row>
        <row r="181">
          <cell r="A181" t="str">
            <v>Check DN</v>
          </cell>
          <cell r="B181">
            <v>0</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0.293292</v>
          </cell>
          <cell r="AF181">
            <v>2.1654849999999999</v>
          </cell>
          <cell r="AG181">
            <v>9.6604349999999997</v>
          </cell>
          <cell r="AH181">
            <v>18.559974</v>
          </cell>
          <cell r="AI181">
            <v>21.012174999999999</v>
          </cell>
          <cell r="AJ181">
            <v>26.543816</v>
          </cell>
          <cell r="AK181">
            <v>29.618376999999999</v>
          </cell>
          <cell r="AL181">
            <v>32.033912999999998</v>
          </cell>
          <cell r="AM181">
            <v>32.097000000000001</v>
          </cell>
          <cell r="AN181">
            <v>29.75</v>
          </cell>
          <cell r="AO181">
            <v>45.988</v>
          </cell>
          <cell r="AP181">
            <v>49.549380999999997</v>
          </cell>
          <cell r="AQ181">
            <v>40.296749999999975</v>
          </cell>
          <cell r="AR181">
            <v>57.193312500000047</v>
          </cell>
          <cell r="AS181">
            <v>51.461243874999958</v>
          </cell>
          <cell r="AT181">
            <v>58.90426953124998</v>
          </cell>
          <cell r="AU181">
            <v>49.3</v>
          </cell>
          <cell r="AV181">
            <v>61.800000000000004</v>
          </cell>
          <cell r="AW181">
            <v>59.9</v>
          </cell>
          <cell r="AX181">
            <v>70.400000000000006</v>
          </cell>
          <cell r="AY181">
            <v>58.204726999999998</v>
          </cell>
          <cell r="AZ181">
            <v>70.743404889999994</v>
          </cell>
          <cell r="BA181">
            <v>84.239774999999995</v>
          </cell>
          <cell r="BB181">
            <v>85.461363000000006</v>
          </cell>
          <cell r="BC181">
            <v>77.67</v>
          </cell>
          <cell r="BD181">
            <v>94</v>
          </cell>
          <cell r="BE181">
            <v>111.8</v>
          </cell>
          <cell r="BF181">
            <v>104</v>
          </cell>
          <cell r="BG181">
            <v>100.3</v>
          </cell>
          <cell r="BH181">
            <v>112.7</v>
          </cell>
          <cell r="BI181">
            <v>127.3</v>
          </cell>
          <cell r="BJ181">
            <v>156.30000000000001</v>
          </cell>
          <cell r="BK181">
            <v>148.4</v>
          </cell>
          <cell r="BL181">
            <v>165.8</v>
          </cell>
          <cell r="BM181">
            <v>147.6</v>
          </cell>
          <cell r="BN181">
            <v>177.1</v>
          </cell>
          <cell r="BO181">
            <v>168</v>
          </cell>
          <cell r="BP181">
            <v>180.8</v>
          </cell>
          <cell r="BQ181">
            <v>157</v>
          </cell>
          <cell r="BR181">
            <v>196.2</v>
          </cell>
          <cell r="BS181">
            <v>163</v>
          </cell>
          <cell r="BT181">
            <v>175.3</v>
          </cell>
          <cell r="BU181">
            <v>189.7</v>
          </cell>
          <cell r="BV181">
            <v>221.9</v>
          </cell>
          <cell r="BW181">
            <v>195.5</v>
          </cell>
          <cell r="BX181">
            <v>194.9</v>
          </cell>
          <cell r="BY181">
            <v>191.2</v>
          </cell>
          <cell r="BZ181">
            <v>201.2</v>
          </cell>
          <cell r="CA181">
            <v>193.42</v>
          </cell>
          <cell r="CB181">
            <v>196.86799999999999</v>
          </cell>
          <cell r="CC181">
            <v>185.53899999999999</v>
          </cell>
          <cell r="CD181">
            <v>214.6</v>
          </cell>
          <cell r="CE181">
            <v>208.59999999999991</v>
          </cell>
          <cell r="CF181">
            <v>207.4</v>
          </cell>
          <cell r="CG181">
            <v>195.40000000000009</v>
          </cell>
          <cell r="CH181">
            <v>205.80657291000003</v>
          </cell>
          <cell r="CI181">
            <v>173.07973390276896</v>
          </cell>
          <cell r="CJ181">
            <v>209.79057333110939</v>
          </cell>
          <cell r="CK181">
            <v>196.80367156389732</v>
          </cell>
          <cell r="CL181">
            <v>206.46450397074963</v>
          </cell>
          <cell r="CM181">
            <v>179.55258837067305</v>
          </cell>
          <cell r="CN181">
            <v>217.71809330999764</v>
          </cell>
          <cell r="CO181">
            <v>203.3018166301494</v>
          </cell>
          <cell r="CP181">
            <v>212.97137209096451</v>
          </cell>
          <cell r="CQ181">
            <v>186.20176694419303</v>
          </cell>
          <cell r="CR181">
            <v>225.77022388824113</v>
          </cell>
          <cell r="CS181">
            <v>210.06892548829319</v>
          </cell>
          <cell r="CT181">
            <v>219.788267780013</v>
          </cell>
          <cell r="CU181">
            <v>192.89376824630997</v>
          </cell>
          <cell r="CV181">
            <v>233.80240759499873</v>
          </cell>
          <cell r="CW181">
            <v>216.94207470443365</v>
          </cell>
          <cell r="CX181">
            <v>226.73912628330766</v>
          </cell>
          <cell r="CY181">
            <v>199.52367937015404</v>
          </cell>
          <cell r="CZ181">
            <v>241.70234890415901</v>
          </cell>
          <cell r="DA181">
            <v>223.79386999586291</v>
          </cell>
          <cell r="DB181">
            <v>233.68653612714328</v>
          </cell>
          <cell r="DC181"/>
          <cell r="DD181">
            <v>0</v>
          </cell>
          <cell r="DE181">
            <v>0</v>
          </cell>
          <cell r="DF181">
            <v>0</v>
          </cell>
          <cell r="DG181">
            <v>0</v>
          </cell>
          <cell r="DH181">
            <v>0</v>
          </cell>
          <cell r="DI181">
            <v>0</v>
          </cell>
          <cell r="DJ181">
            <v>0</v>
          </cell>
          <cell r="DK181">
            <v>30.679186000000001</v>
          </cell>
          <cell r="DL181">
            <v>109.208281</v>
          </cell>
          <cell r="DM181">
            <v>157.38438100000002</v>
          </cell>
          <cell r="DN181">
            <v>207.85557590624995</v>
          </cell>
          <cell r="DO181">
            <v>241.4</v>
          </cell>
        </row>
        <row r="182">
          <cell r="A182" t="str">
            <v>$ Delta</v>
          </cell>
          <cell r="B182"/>
          <cell r="C182"/>
          <cell r="D182"/>
          <cell r="E182"/>
          <cell r="F182"/>
          <cell r="G182"/>
          <cell r="H182"/>
          <cell r="I182"/>
          <cell r="J182"/>
          <cell r="K182"/>
          <cell r="L182"/>
          <cell r="M182"/>
          <cell r="N182"/>
          <cell r="O182"/>
          <cell r="P182"/>
          <cell r="Q182"/>
          <cell r="R182"/>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cell r="DD182">
            <v>0</v>
          </cell>
          <cell r="DE182">
            <v>0</v>
          </cell>
          <cell r="DF182">
            <v>0</v>
          </cell>
          <cell r="DG182">
            <v>0</v>
          </cell>
          <cell r="DH182">
            <v>0</v>
          </cell>
          <cell r="DI182">
            <v>0</v>
          </cell>
          <cell r="DJ182">
            <v>0</v>
          </cell>
          <cell r="DK182">
            <v>0</v>
          </cell>
          <cell r="DL182">
            <v>0</v>
          </cell>
          <cell r="DM182">
            <v>0</v>
          </cell>
          <cell r="DN182">
            <v>0</v>
          </cell>
          <cell r="DO182">
            <v>0</v>
          </cell>
        </row>
        <row r="183">
          <cell r="A183" t="str">
            <v>% Delta</v>
          </cell>
          <cell r="B183"/>
          <cell r="C183"/>
          <cell r="D183"/>
          <cell r="E183"/>
          <cell r="F183"/>
          <cell r="G183"/>
          <cell r="H183"/>
          <cell r="I183"/>
          <cell r="J183"/>
          <cell r="K183"/>
          <cell r="L183"/>
          <cell r="M183"/>
          <cell r="N183"/>
          <cell r="O183"/>
          <cell r="P183"/>
          <cell r="Q183"/>
          <cell r="R183"/>
          <cell r="S183" t="e">
            <v>#DIV/0!</v>
          </cell>
          <cell r="T183" t="e">
            <v>#DIV/0!</v>
          </cell>
          <cell r="U183" t="e">
            <v>#DIV/0!</v>
          </cell>
          <cell r="V183" t="e">
            <v>#DIV/0!</v>
          </cell>
          <cell r="W183" t="e">
            <v>#DIV/0!</v>
          </cell>
          <cell r="X183" t="e">
            <v>#DIV/0!</v>
          </cell>
          <cell r="Y183" t="e">
            <v>#DIV/0!</v>
          </cell>
          <cell r="Z183" t="e">
            <v>#DIV/0!</v>
          </cell>
          <cell r="AA183" t="e">
            <v>#DIV/0!</v>
          </cell>
          <cell r="AB183" t="e">
            <v>#DIV/0!</v>
          </cell>
          <cell r="AC183" t="e">
            <v>#DIV/0!</v>
          </cell>
          <cell r="AD183" t="e">
            <v>#DIV/0!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0</v>
          </cell>
          <cell r="CQ183">
            <v>0</v>
          </cell>
          <cell r="CR183">
            <v>0</v>
          </cell>
          <cell r="CS183">
            <v>0</v>
          </cell>
          <cell r="CT183">
            <v>0</v>
          </cell>
          <cell r="CU183">
            <v>0</v>
          </cell>
          <cell r="CV183">
            <v>0</v>
          </cell>
          <cell r="CW183">
            <v>0</v>
          </cell>
          <cell r="CX183">
            <v>0</v>
          </cell>
          <cell r="CY183">
            <v>0</v>
          </cell>
          <cell r="CZ183">
            <v>0</v>
          </cell>
          <cell r="DA183">
            <v>0</v>
          </cell>
          <cell r="DB183">
            <v>0</v>
          </cell>
          <cell r="DC183"/>
          <cell r="DD183" t="e">
            <v>#DIV/0!</v>
          </cell>
          <cell r="DE183" t="e">
            <v>#DIV/0!</v>
          </cell>
          <cell r="DF183" t="e">
            <v>#DIV/0!</v>
          </cell>
          <cell r="DG183" t="e">
            <v>#DIV/0!</v>
          </cell>
          <cell r="DH183" t="e">
            <v>#DIV/0!</v>
          </cell>
          <cell r="DI183" t="e">
            <v>#DIV/0!</v>
          </cell>
          <cell r="DJ183" t="e">
            <v>#DIV/0!</v>
          </cell>
          <cell r="DK183">
            <v>0</v>
          </cell>
          <cell r="DL183">
            <v>0</v>
          </cell>
          <cell r="DM183">
            <v>0</v>
          </cell>
          <cell r="DN183">
            <v>0</v>
          </cell>
          <cell r="DO183">
            <v>0</v>
          </cell>
        </row>
        <row r="184">
          <cell r="A184" t="str">
            <v>Delivery Networking</v>
          </cell>
          <cell r="B184"/>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0.293292</v>
          </cell>
          <cell r="AF184">
            <v>2.1654849999999999</v>
          </cell>
          <cell r="AG184">
            <v>9.6604349999999997</v>
          </cell>
          <cell r="AH184">
            <v>18.559974</v>
          </cell>
          <cell r="AI184">
            <v>21.012174999999999</v>
          </cell>
          <cell r="AJ184">
            <v>26.543816</v>
          </cell>
          <cell r="AK184">
            <v>29.618376999999999</v>
          </cell>
          <cell r="AL184">
            <v>32.033912999999998</v>
          </cell>
          <cell r="AM184">
            <v>32.097000000000001</v>
          </cell>
          <cell r="AN184">
            <v>29.75</v>
          </cell>
          <cell r="AO184">
            <v>45.988</v>
          </cell>
          <cell r="AP184">
            <v>49.549380999999997</v>
          </cell>
          <cell r="AQ184">
            <v>40.296749999999975</v>
          </cell>
          <cell r="AR184">
            <v>57.193312500000047</v>
          </cell>
          <cell r="AS184">
            <v>51.461243874999958</v>
          </cell>
          <cell r="AT184">
            <v>58.90426953124998</v>
          </cell>
          <cell r="AU184">
            <v>49.3</v>
          </cell>
          <cell r="AV184">
            <v>61.800000000000004</v>
          </cell>
          <cell r="AW184">
            <v>59.9</v>
          </cell>
          <cell r="AX184">
            <v>70.400000000000006</v>
          </cell>
          <cell r="AY184">
            <v>58.204726999999998</v>
          </cell>
          <cell r="AZ184">
            <v>70.743404889999994</v>
          </cell>
          <cell r="BA184">
            <v>84.239774999999995</v>
          </cell>
          <cell r="BB184">
            <v>85.461363000000006</v>
          </cell>
          <cell r="BC184">
            <v>77.67</v>
          </cell>
          <cell r="BD184">
            <v>94</v>
          </cell>
          <cell r="BE184">
            <v>111.8</v>
          </cell>
          <cell r="BF184">
            <v>104</v>
          </cell>
          <cell r="BG184">
            <v>100.3</v>
          </cell>
          <cell r="BH184">
            <v>112.7</v>
          </cell>
          <cell r="BI184">
            <v>127.3</v>
          </cell>
          <cell r="BJ184">
            <v>156.30000000000001</v>
          </cell>
          <cell r="BK184">
            <v>148.4</v>
          </cell>
          <cell r="BL184">
            <v>165.8</v>
          </cell>
          <cell r="BM184">
            <v>147.6</v>
          </cell>
          <cell r="BN184">
            <v>177.1</v>
          </cell>
          <cell r="BO184">
            <v>168</v>
          </cell>
          <cell r="BP184">
            <v>180.8</v>
          </cell>
          <cell r="BQ184">
            <v>157</v>
          </cell>
          <cell r="BR184">
            <v>196.2</v>
          </cell>
          <cell r="BS184">
            <v>163</v>
          </cell>
          <cell r="BT184">
            <v>175.3</v>
          </cell>
          <cell r="BU184">
            <v>189.7</v>
          </cell>
          <cell r="BV184">
            <v>221.9</v>
          </cell>
          <cell r="BW184">
            <v>195.5</v>
          </cell>
          <cell r="BX184">
            <v>194.9</v>
          </cell>
          <cell r="BY184">
            <v>191.2</v>
          </cell>
          <cell r="BZ184">
            <v>201.2</v>
          </cell>
          <cell r="CA184">
            <v>193.42</v>
          </cell>
          <cell r="CB184">
            <v>196.86799999999999</v>
          </cell>
          <cell r="CC184">
            <v>185.53899999999999</v>
          </cell>
          <cell r="CD184">
            <v>214.6</v>
          </cell>
          <cell r="CE184">
            <v>208.6</v>
          </cell>
          <cell r="CF184">
            <v>207.4</v>
          </cell>
          <cell r="CG184">
            <v>195.4</v>
          </cell>
          <cell r="CH184">
            <v>205.80657291000003</v>
          </cell>
          <cell r="CI184">
            <v>173.07973390276896</v>
          </cell>
          <cell r="CJ184">
            <v>209.79057333110939</v>
          </cell>
          <cell r="CK184">
            <v>196.80367156389732</v>
          </cell>
          <cell r="CL184">
            <v>206.46450397074963</v>
          </cell>
          <cell r="CM184">
            <v>179.55258837067305</v>
          </cell>
          <cell r="CN184">
            <v>217.71809330999764</v>
          </cell>
          <cell r="CO184">
            <v>203.3018166301494</v>
          </cell>
          <cell r="CP184">
            <v>212.97137209096451</v>
          </cell>
          <cell r="CQ184">
            <v>186.20176694419303</v>
          </cell>
          <cell r="CR184">
            <v>225.77022388824113</v>
          </cell>
          <cell r="CS184">
            <v>210.06892548829319</v>
          </cell>
          <cell r="CT184">
            <v>219.788267780013</v>
          </cell>
          <cell r="CU184">
            <v>192.89376824630997</v>
          </cell>
          <cell r="CV184">
            <v>233.80240759499873</v>
          </cell>
          <cell r="CW184">
            <v>216.94207470443365</v>
          </cell>
          <cell r="CX184">
            <v>226.73912628330766</v>
          </cell>
          <cell r="CY184">
            <v>199.52367937015404</v>
          </cell>
          <cell r="CZ184">
            <v>241.70234890415901</v>
          </cell>
          <cell r="DA184">
            <v>223.79386999586291</v>
          </cell>
          <cell r="DB184">
            <v>233.68653612714328</v>
          </cell>
          <cell r="DC184"/>
          <cell r="DD184"/>
          <cell r="DE184">
            <v>0</v>
          </cell>
          <cell r="DF184">
            <v>0</v>
          </cell>
          <cell r="DG184">
            <v>0</v>
          </cell>
          <cell r="DH184">
            <v>0</v>
          </cell>
          <cell r="DI184">
            <v>0</v>
          </cell>
          <cell r="DJ184">
            <v>0</v>
          </cell>
          <cell r="DK184">
            <v>30.679186000000001</v>
          </cell>
          <cell r="DL184">
            <v>109.208281</v>
          </cell>
          <cell r="DM184">
            <v>157.38438100000002</v>
          </cell>
          <cell r="DN184">
            <v>207.85557590624995</v>
          </cell>
          <cell r="DO184">
            <v>241.4</v>
          </cell>
        </row>
        <row r="185">
          <cell r="A185" t="str">
            <v>% of revenue</v>
          </cell>
          <cell r="B185"/>
          <cell r="C185" t="e">
            <v>#DIV/0!</v>
          </cell>
          <cell r="D185" t="e">
            <v>#DIV/0!</v>
          </cell>
          <cell r="E185" t="e">
            <v>#DIV/0!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1.4527316855713508E-3</v>
          </cell>
          <cell r="AF185">
            <v>1.025183568544092E-2</v>
          </cell>
          <cell r="AG185">
            <v>4.2566920911049716E-2</v>
          </cell>
          <cell r="AH185">
            <v>6.9084531892085049E-2</v>
          </cell>
          <cell r="AI185">
            <v>8.0816679359071997E-2</v>
          </cell>
          <cell r="AJ185">
            <v>9.6358981805509156E-2</v>
          </cell>
          <cell r="AK185">
            <v>0.10659805795192387</v>
          </cell>
          <cell r="AL185">
            <v>9.9793499728973639E-2</v>
          </cell>
          <cell r="AM185">
            <v>0.10418127288307237</v>
          </cell>
          <cell r="AN185">
            <v>8.8974889641229321E-2</v>
          </cell>
          <cell r="AO185">
            <v>0.13142019426686977</v>
          </cell>
          <cell r="AP185">
            <v>0.12401017371652245</v>
          </cell>
          <cell r="AQ185">
            <v>0.10687829214341406</v>
          </cell>
          <cell r="AR185">
            <v>0.14600186991039757</v>
          </cell>
          <cell r="AS185">
            <v>0.12901014526451945</v>
          </cell>
          <cell r="AT185">
            <v>0.14170001114092712</v>
          </cell>
          <cell r="AU185">
            <v>0.13358333920413593</v>
          </cell>
          <cell r="AV185">
            <v>0.15732076124919814</v>
          </cell>
          <cell r="AW185">
            <v>0.14936091481690197</v>
          </cell>
          <cell r="AX185">
            <v>0.15604220232290097</v>
          </cell>
          <cell r="AY185">
            <v>0.14049881961609764</v>
          </cell>
          <cell r="AZ185">
            <v>0.15431569038441822</v>
          </cell>
          <cell r="BA185">
            <v>0.17838604036566694</v>
          </cell>
          <cell r="BB185">
            <v>0.16133177067649959</v>
          </cell>
          <cell r="BC185">
            <v>0.15822346441550822</v>
          </cell>
          <cell r="BD185">
            <v>0.17709451948981708</v>
          </cell>
          <cell r="BE185">
            <v>0.19775430354401183</v>
          </cell>
          <cell r="BF185">
            <v>0.1679136407229328</v>
          </cell>
          <cell r="BG185">
            <v>0.17014563312665926</v>
          </cell>
          <cell r="BH185">
            <v>0.18318948001495428</v>
          </cell>
          <cell r="BI185">
            <v>0.19846528494501278</v>
          </cell>
          <cell r="BJ185">
            <v>0.21121735793166452</v>
          </cell>
          <cell r="BK185">
            <v>0.22053829772372971</v>
          </cell>
          <cell r="BL185">
            <v>0.22700387741242964</v>
          </cell>
          <cell r="BM185">
            <v>0.20709075373457866</v>
          </cell>
          <cell r="BN185">
            <v>0.22070736023528825</v>
          </cell>
          <cell r="BO185">
            <v>0.22375565882056794</v>
          </cell>
          <cell r="BP185">
            <v>0.23133220738011159</v>
          </cell>
          <cell r="BQ185">
            <v>0.2068527550942432</v>
          </cell>
          <cell r="BR185">
            <v>0.23042151164497707</v>
          </cell>
          <cell r="BS185">
            <v>0.21424759661515089</v>
          </cell>
          <cell r="BT185">
            <v>0.22001634120229582</v>
          </cell>
          <cell r="BU185">
            <v>0.23325586828482545</v>
          </cell>
          <cell r="BV185">
            <v>0.24525759784606577</v>
          </cell>
          <cell r="BW185">
            <v>0.29676383215462687</v>
          </cell>
          <cell r="BX185">
            <v>0.28917471701976449</v>
          </cell>
          <cell r="BY185">
            <v>0.28591252751459467</v>
          </cell>
          <cell r="BZ185">
            <v>0.27389651830151485</v>
          </cell>
          <cell r="CA185">
            <v>0.29187673632855826</v>
          </cell>
          <cell r="CB185">
            <v>0.28398778466505198</v>
          </cell>
          <cell r="CC185">
            <v>0.26853710605347902</v>
          </cell>
          <cell r="CD185">
            <v>0.27588618473575471</v>
          </cell>
          <cell r="CE185">
            <v>0.29920022031233862</v>
          </cell>
          <cell r="CF185">
            <v>0.27937739521663874</v>
          </cell>
          <cell r="CG185">
            <v>0.26676641965060971</v>
          </cell>
          <cell r="CH185">
            <v>0.25665827741404468</v>
          </cell>
          <cell r="CI185">
            <v>0.24369770139355262</v>
          </cell>
          <cell r="CJ185">
            <v>0.2717540831211317</v>
          </cell>
          <cell r="CK185">
            <v>0.25799109616794424</v>
          </cell>
          <cell r="CL185">
            <v>0.24121884000649146</v>
          </cell>
          <cell r="CM185">
            <v>0.23473929027011017</v>
          </cell>
          <cell r="CN185">
            <v>0.26325858844665601</v>
          </cell>
          <cell r="CO185">
            <v>0.24823431426620626</v>
          </cell>
          <cell r="CP185">
            <v>0.2367627371035359</v>
          </cell>
          <cell r="CQ185">
            <v>0.22607972751759903</v>
          </cell>
          <cell r="CR185">
            <v>0.25530548444219164</v>
          </cell>
          <cell r="CS185">
            <v>0.239605244142576</v>
          </cell>
          <cell r="CT185">
            <v>0.23298334457733214</v>
          </cell>
          <cell r="CU185">
            <v>0.21582255634402242</v>
          </cell>
          <cell r="CV185">
            <v>0.24471138054185371</v>
          </cell>
          <cell r="CW185">
            <v>0.22897557938219731</v>
          </cell>
          <cell r="CX185">
            <v>0.22417483233993776</v>
          </cell>
          <cell r="CY185">
            <v>0.20544866366022327</v>
          </cell>
          <cell r="CZ185">
            <v>0.23401343563591825</v>
          </cell>
          <cell r="DA185">
            <v>0.21877041448619644</v>
          </cell>
          <cell r="DB185">
            <v>0.21476729383419862</v>
          </cell>
          <cell r="DC185"/>
          <cell r="DD185"/>
          <cell r="DE185">
            <v>0</v>
          </cell>
          <cell r="DF185">
            <v>0</v>
          </cell>
          <cell r="DG185">
            <v>0</v>
          </cell>
          <cell r="DH185">
            <v>0</v>
          </cell>
          <cell r="DI185">
            <v>0</v>
          </cell>
          <cell r="DJ185">
            <v>0</v>
          </cell>
          <cell r="DK185">
            <v>3.3760804734561285E-2</v>
          </cell>
          <cell r="DL185">
            <v>9.6276515689149175E-2</v>
          </cell>
          <cell r="DM185">
            <v>0.11306820327283754</v>
          </cell>
          <cell r="DN185">
            <v>0.13127549234488939</v>
          </cell>
          <cell r="DO185">
            <v>0.14955814057226124</v>
          </cell>
        </row>
        <row r="186">
          <cell r="A186" t="str">
            <v>% growth in revenue y-o-y</v>
          </cell>
          <cell r="B186"/>
          <cell r="C186" t="str">
            <v>NA</v>
          </cell>
          <cell r="D186" t="str">
            <v>NA</v>
          </cell>
          <cell r="E186" t="str">
            <v>NA</v>
          </cell>
          <cell r="F186" t="str">
            <v>NA</v>
          </cell>
          <cell r="G186" t="str">
            <v>NA</v>
          </cell>
          <cell r="H186" t="str">
            <v>NA</v>
          </cell>
          <cell r="I186" t="str">
            <v>NA</v>
          </cell>
          <cell r="J186" t="str">
            <v>NA</v>
          </cell>
          <cell r="K186" t="str">
            <v>NA</v>
          </cell>
          <cell r="L186" t="str">
            <v>NA</v>
          </cell>
          <cell r="M186" t="str">
            <v>NA</v>
          </cell>
          <cell r="N186" t="str">
            <v>NA</v>
          </cell>
          <cell r="O186" t="str">
            <v>NA</v>
          </cell>
          <cell r="P186" t="str">
            <v>NA</v>
          </cell>
          <cell r="Q186" t="str">
            <v>NA</v>
          </cell>
          <cell r="R186" t="str">
            <v>NA</v>
          </cell>
          <cell r="S186" t="str">
            <v>NA</v>
          </cell>
          <cell r="T186" t="str">
            <v>NA</v>
          </cell>
          <cell r="U186" t="str">
            <v>NA</v>
          </cell>
          <cell r="V186" t="str">
            <v>NA</v>
          </cell>
          <cell r="W186" t="str">
            <v>NA</v>
          </cell>
          <cell r="X186" t="str">
            <v>NA</v>
          </cell>
          <cell r="Y186" t="str">
            <v>NA</v>
          </cell>
          <cell r="Z186" t="str">
            <v>NA</v>
          </cell>
          <cell r="AA186" t="str">
            <v>NA</v>
          </cell>
          <cell r="AB186" t="str">
            <v>NA</v>
          </cell>
          <cell r="AC186" t="str">
            <v>NA</v>
          </cell>
          <cell r="AD186" t="str">
            <v>NA</v>
          </cell>
          <cell r="AE186" t="str">
            <v>NA</v>
          </cell>
          <cell r="AF186" t="str">
            <v>NA</v>
          </cell>
          <cell r="AG186" t="str">
            <v>NA</v>
          </cell>
          <cell r="AH186" t="str">
            <v>NA</v>
          </cell>
          <cell r="AI186">
            <v>70.642509853661196</v>
          </cell>
          <cell r="AJ186">
            <v>11.257677148537164</v>
          </cell>
          <cell r="AK186">
            <v>2.0659465127605539</v>
          </cell>
          <cell r="AL186">
            <v>0.72596755792869083</v>
          </cell>
          <cell r="AM186">
            <v>0.52754296021235314</v>
          </cell>
          <cell r="AN186">
            <v>0.12078835989520131</v>
          </cell>
          <cell r="AO186">
            <v>0.55268467276245414</v>
          </cell>
          <cell r="AP186">
            <v>0.54677890896438397</v>
          </cell>
          <cell r="AQ186">
            <v>0.25546780072903919</v>
          </cell>
          <cell r="AR186">
            <v>0.92246428571428729</v>
          </cell>
          <cell r="AS186">
            <v>0.11901460978950951</v>
          </cell>
          <cell r="AT186">
            <v>0.18879930167543324</v>
          </cell>
          <cell r="AU186">
            <v>0.22342372523838838</v>
          </cell>
          <cell r="AV186">
            <v>8.0545911727003983E-2</v>
          </cell>
          <cell r="AW186">
            <v>0.16398274681229807</v>
          </cell>
          <cell r="AX186">
            <v>0.19515954548339298</v>
          </cell>
          <cell r="AY186">
            <v>0.18062326572008125</v>
          </cell>
          <cell r="AZ186">
            <v>0.14471528948220036</v>
          </cell>
          <cell r="BA186">
            <v>0.40634015025041736</v>
          </cell>
          <cell r="BB186">
            <v>0.21393981534090911</v>
          </cell>
          <cell r="BC186">
            <v>0.33442770034811775</v>
          </cell>
          <cell r="BD186">
            <v>0.32874576995780802</v>
          </cell>
          <cell r="BE186">
            <v>0.32716403860290466</v>
          </cell>
          <cell r="BF186">
            <v>0.21692419064273527</v>
          </cell>
          <cell r="BG186">
            <v>0.29136088579889274</v>
          </cell>
          <cell r="BH186">
            <v>0.19893617021276588</v>
          </cell>
          <cell r="BI186">
            <v>0.13864042933810383</v>
          </cell>
          <cell r="BJ186">
            <v>0.5028846153846156</v>
          </cell>
          <cell r="BK186">
            <v>0.4795613160518446</v>
          </cell>
          <cell r="BL186">
            <v>0.47116237799467608</v>
          </cell>
          <cell r="BM186">
            <v>0.15946582875098181</v>
          </cell>
          <cell r="BN186">
            <v>0.13307741522712724</v>
          </cell>
          <cell r="BO186">
            <v>0.13207547169811318</v>
          </cell>
          <cell r="BP186">
            <v>9.0470446320868536E-2</v>
          </cell>
          <cell r="BQ186">
            <v>6.3685636856368522E-2</v>
          </cell>
          <cell r="BR186">
            <v>0.10784867306606438</v>
          </cell>
          <cell r="BS186">
            <v>-2.9761904761904767E-2</v>
          </cell>
          <cell r="BT186">
            <v>-3.0420353982300918E-2</v>
          </cell>
          <cell r="BU186">
            <v>0.20828025477706991</v>
          </cell>
          <cell r="BV186">
            <v>0.13098878695208982</v>
          </cell>
          <cell r="BW186">
            <v>0.19938650306748462</v>
          </cell>
          <cell r="BX186">
            <v>0.1118083285795779</v>
          </cell>
          <cell r="BY186">
            <v>7.9072219293621071E-3</v>
          </cell>
          <cell r="BZ186">
            <v>-9.3285263632266857E-2</v>
          </cell>
          <cell r="CA186">
            <v>-1.0639386189258415E-2</v>
          </cell>
          <cell r="CB186">
            <v>1.0097485890200097E-2</v>
          </cell>
          <cell r="CC186">
            <v>-2.9607740585774089E-2</v>
          </cell>
          <cell r="CD186">
            <v>6.6600397614314133E-2</v>
          </cell>
          <cell r="CE186">
            <v>7.8482059766311618E-2</v>
          </cell>
          <cell r="CF186">
            <v>5.3497775158989791E-2</v>
          </cell>
          <cell r="CG186">
            <v>5.3147855706886515E-2</v>
          </cell>
          <cell r="CH186">
            <v>-4.097589510717603E-2</v>
          </cell>
          <cell r="CI186">
            <v>-0.17027931973744503</v>
          </cell>
          <cell r="CJ186">
            <v>1.1526390217499349E-2</v>
          </cell>
          <cell r="CK186">
            <v>7.1835801632411656E-3</v>
          </cell>
          <cell r="CL186">
            <v>3.196841827968866E-3</v>
          </cell>
          <cell r="CM186">
            <v>3.7398107345949283E-2</v>
          </cell>
          <cell r="CN186">
            <v>3.7787779751077499E-2</v>
          </cell>
          <cell r="CO186">
            <v>3.3018413806077174E-2</v>
          </cell>
          <cell r="CP186">
            <v>3.1515674583640463E-2</v>
          </cell>
          <cell r="CQ186">
            <v>3.7031928271583858E-2</v>
          </cell>
          <cell r="CR186">
            <v>3.698420492218113E-2</v>
          </cell>
          <cell r="CS186">
            <v>3.3286022576249907E-2</v>
          </cell>
          <cell r="CT186">
            <v>3.2008507162816446E-2</v>
          </cell>
          <cell r="CU186">
            <v>3.5939515569272995E-2</v>
          </cell>
          <cell r="CV186">
            <v>3.5576807111347142E-2</v>
          </cell>
          <cell r="CW186">
            <v>3.271854321225387E-2</v>
          </cell>
          <cell r="CX186">
            <v>3.1625248124034444E-2</v>
          </cell>
          <cell r="CY186">
            <v>3.4370789601549934E-2</v>
          </cell>
          <cell r="CZ186">
            <v>3.3788964752000661E-2</v>
          </cell>
          <cell r="DA186">
            <v>3.1583524315254685E-2</v>
          </cell>
          <cell r="DB186">
            <v>3.0640542537660354E-2</v>
          </cell>
          <cell r="DC186"/>
          <cell r="DD186" t="str">
            <v>NA</v>
          </cell>
          <cell r="DE186" t="str">
            <v>NA</v>
          </cell>
          <cell r="DF186" t="str">
            <v>NA</v>
          </cell>
          <cell r="DG186" t="str">
            <v>NA</v>
          </cell>
          <cell r="DH186" t="str">
            <v>NA</v>
          </cell>
          <cell r="DI186" t="str">
            <v>NA</v>
          </cell>
          <cell r="DJ186" t="str">
            <v>NA</v>
          </cell>
          <cell r="DK186" t="str">
            <v>NA</v>
          </cell>
          <cell r="DL186">
            <v>2.5596863945477559</v>
          </cell>
          <cell r="DM186">
            <v>0.44113962383493632</v>
          </cell>
          <cell r="DN186">
            <v>0.32068744424041618</v>
          </cell>
          <cell r="DO186">
            <v>0.16138332564568647</v>
          </cell>
        </row>
        <row r="187">
          <cell r="A187" t="str">
            <v>% growth in revenue seq</v>
          </cell>
          <cell r="B187"/>
          <cell r="C187" t="str">
            <v>NA</v>
          </cell>
          <cell r="D187" t="str">
            <v>NA</v>
          </cell>
          <cell r="E187" t="str">
            <v>NA</v>
          </cell>
          <cell r="F187" t="str">
            <v>NA</v>
          </cell>
          <cell r="G187" t="str">
            <v>NA</v>
          </cell>
          <cell r="H187" t="str">
            <v>NA</v>
          </cell>
          <cell r="I187" t="str">
            <v>NA</v>
          </cell>
          <cell r="J187" t="str">
            <v>NA</v>
          </cell>
          <cell r="K187" t="str">
            <v>NA</v>
          </cell>
          <cell r="L187" t="str">
            <v>NA</v>
          </cell>
          <cell r="M187" t="str">
            <v>NA</v>
          </cell>
          <cell r="N187" t="str">
            <v>NA</v>
          </cell>
          <cell r="O187" t="str">
            <v>NA</v>
          </cell>
          <cell r="P187" t="str">
            <v>NA</v>
          </cell>
          <cell r="Q187" t="str">
            <v>NA</v>
          </cell>
          <cell r="R187" t="str">
            <v>NA</v>
          </cell>
          <cell r="S187" t="str">
            <v>NA</v>
          </cell>
          <cell r="T187" t="str">
            <v>NA</v>
          </cell>
          <cell r="U187" t="str">
            <v>NA</v>
          </cell>
          <cell r="V187" t="str">
            <v>NA</v>
          </cell>
          <cell r="W187" t="str">
            <v>NA</v>
          </cell>
          <cell r="X187" t="str">
            <v>NA</v>
          </cell>
          <cell r="Y187" t="str">
            <v>NA</v>
          </cell>
          <cell r="Z187" t="str">
            <v>NA</v>
          </cell>
          <cell r="AA187" t="str">
            <v>NA</v>
          </cell>
          <cell r="AB187" t="str">
            <v>NA</v>
          </cell>
          <cell r="AC187" t="str">
            <v>NA</v>
          </cell>
          <cell r="AD187" t="str">
            <v>NA</v>
          </cell>
          <cell r="AE187" t="str">
            <v>NA</v>
          </cell>
          <cell r="AF187">
            <v>6.3833756120180567</v>
          </cell>
          <cell r="AG187">
            <v>3.4610953204478445</v>
          </cell>
          <cell r="AH187">
            <v>0.92123584496971422</v>
          </cell>
          <cell r="AI187">
            <v>0.13212308379311311</v>
          </cell>
          <cell r="AJ187">
            <v>0.26325884873888583</v>
          </cell>
          <cell r="AK187">
            <v>0.11582965312899995</v>
          </cell>
          <cell r="AL187">
            <v>8.1555312770851707E-2</v>
          </cell>
          <cell r="AM187">
            <v>1.9693816362678085E-3</v>
          </cell>
          <cell r="AN187">
            <v>-7.3122098638502053E-2</v>
          </cell>
          <cell r="AO187">
            <v>0.54581512605042026</v>
          </cell>
          <cell r="AP187">
            <v>7.7441528224754252E-2</v>
          </cell>
          <cell r="AQ187">
            <v>-0.18673555175189827</v>
          </cell>
          <cell r="AR187">
            <v>0.41930335572968258</v>
          </cell>
          <cell r="AS187">
            <v>-0.10022270741881023</v>
          </cell>
          <cell r="AT187">
            <v>0.14463361348841919</v>
          </cell>
          <cell r="AU187">
            <v>-0.16304878419983992</v>
          </cell>
          <cell r="AV187">
            <v>0.25354969574036534</v>
          </cell>
          <cell r="AW187">
            <v>-3.0744336569579422E-2</v>
          </cell>
          <cell r="AX187">
            <v>0.17529215358931571</v>
          </cell>
          <cell r="AY187">
            <v>-0.17322830965909097</v>
          </cell>
          <cell r="AZ187">
            <v>0.21542370416066037</v>
          </cell>
          <cell r="BA187">
            <v>0.19077919886646266</v>
          </cell>
          <cell r="BB187">
            <v>1.4501320783442351E-2</v>
          </cell>
          <cell r="BC187">
            <v>-9.1168251084411178E-2</v>
          </cell>
          <cell r="BD187">
            <v>0.21024848718939104</v>
          </cell>
          <cell r="BE187">
            <v>0.18936170212765946</v>
          </cell>
          <cell r="BF187">
            <v>-6.9767441860465129E-2</v>
          </cell>
          <cell r="BG187">
            <v>-3.5576923076923062E-2</v>
          </cell>
          <cell r="BH187">
            <v>0.12362911266201393</v>
          </cell>
          <cell r="BI187">
            <v>0.12954747116237786</v>
          </cell>
          <cell r="BJ187">
            <v>0.22780832678711715</v>
          </cell>
          <cell r="BK187">
            <v>-5.0543825975687851E-2</v>
          </cell>
          <cell r="BL187">
            <v>0.11725067385444743</v>
          </cell>
          <cell r="BM187">
            <v>-0.10977080820265395</v>
          </cell>
          <cell r="BN187">
            <v>0.19986449864498645</v>
          </cell>
          <cell r="BO187">
            <v>-5.1383399209486091E-2</v>
          </cell>
          <cell r="BP187">
            <v>7.6190476190476364E-2</v>
          </cell>
          <cell r="BQ187">
            <v>-0.13163716814159299</v>
          </cell>
          <cell r="BR187">
            <v>0.24968152866242033</v>
          </cell>
          <cell r="BS187">
            <v>-0.16921508664627927</v>
          </cell>
          <cell r="BT187">
            <v>7.5460122699386512E-2</v>
          </cell>
          <cell r="BU187">
            <v>8.2144894466628537E-2</v>
          </cell>
          <cell r="BV187">
            <v>0.16974169741697431</v>
          </cell>
          <cell r="BW187">
            <v>-0.11897251013970256</v>
          </cell>
          <cell r="BX187">
            <v>-3.0690537084399061E-3</v>
          </cell>
          <cell r="BY187">
            <v>-1.8984094407388463E-2</v>
          </cell>
          <cell r="BZ187">
            <v>5.2301255230125632E-2</v>
          </cell>
          <cell r="CA187">
            <v>-3.8667992047713762E-2</v>
          </cell>
          <cell r="CB187">
            <v>1.7826491572743297E-2</v>
          </cell>
          <cell r="CC187">
            <v>-5.7546173070280648E-2</v>
          </cell>
          <cell r="CD187">
            <v>0.15663014244983531</v>
          </cell>
          <cell r="CE187">
            <v>-2.7958993476234872E-2</v>
          </cell>
          <cell r="CF187">
            <v>-5.7526366251198224E-3</v>
          </cell>
          <cell r="CG187">
            <v>-5.7859209257473454E-2</v>
          </cell>
          <cell r="CH187">
            <v>5.3257793807574227E-2</v>
          </cell>
          <cell r="CI187">
            <v>-0.15901746258387306</v>
          </cell>
          <cell r="CJ187">
            <v>0.21210362762033985</v>
          </cell>
          <cell r="CK187">
            <v>-6.1904124484730927E-2</v>
          </cell>
          <cell r="CL187">
            <v>4.9088679749125896E-2</v>
          </cell>
          <cell r="CM187">
            <v>-0.13034645221092955</v>
          </cell>
          <cell r="CN187">
            <v>0.2125589237429133</v>
          </cell>
          <cell r="CO187">
            <v>-6.6215335899169614E-2</v>
          </cell>
          <cell r="CP187">
            <v>4.7562562996700253E-2</v>
          </cell>
          <cell r="CQ187">
            <v>-0.12569579133545528</v>
          </cell>
          <cell r="CR187">
            <v>0.21250312278673089</v>
          </cell>
          <cell r="CS187">
            <v>-6.9545479158138579E-2</v>
          </cell>
          <cell r="CT187">
            <v>4.6267396613410394E-2</v>
          </cell>
          <cell r="CU187">
            <v>-0.12236549204992986</v>
          </cell>
          <cell r="CV187">
            <v>0.21207859497281256</v>
          </cell>
          <cell r="CW187">
            <v>-7.2113598247333544E-2</v>
          </cell>
          <cell r="CX187">
            <v>4.5159757931796829E-2</v>
          </cell>
          <cell r="CY187">
            <v>-0.12002977765358525</v>
          </cell>
          <cell r="CZ187">
            <v>0.21139681098079377</v>
          </cell>
          <cell r="DA187">
            <v>-7.4093110759950731E-2</v>
          </cell>
          <cell r="DB187">
            <v>4.4204365970628601E-2</v>
          </cell>
          <cell r="DC187"/>
          <cell r="DD187"/>
          <cell r="DE187"/>
          <cell r="DF187"/>
          <cell r="DG187"/>
          <cell r="DH187"/>
          <cell r="DI187"/>
          <cell r="DJ187"/>
          <cell r="DK187"/>
          <cell r="DL187"/>
          <cell r="DM187"/>
          <cell r="DN187"/>
          <cell r="DO187"/>
        </row>
        <row r="188">
          <cell r="A188"/>
          <cell r="B188"/>
          <cell r="C188"/>
          <cell r="D188"/>
          <cell r="E188"/>
          <cell r="F188"/>
          <cell r="G188"/>
          <cell r="H188"/>
          <cell r="I188"/>
          <cell r="J188"/>
          <cell r="K188"/>
          <cell r="L188"/>
          <cell r="M188"/>
          <cell r="N188"/>
          <cell r="O188"/>
          <cell r="P188"/>
          <cell r="Q188"/>
          <cell r="R188"/>
          <cell r="S188"/>
          <cell r="T188"/>
          <cell r="U188"/>
          <cell r="V188"/>
          <cell r="W188"/>
          <cell r="X188"/>
          <cell r="Y188"/>
          <cell r="Z188"/>
          <cell r="AA188"/>
          <cell r="AB188"/>
          <cell r="AC188"/>
          <cell r="AD188"/>
          <cell r="AE188"/>
          <cell r="AF188"/>
          <cell r="AG188"/>
          <cell r="AH188"/>
          <cell r="AI188"/>
          <cell r="AJ188"/>
          <cell r="AK188"/>
          <cell r="AL188"/>
          <cell r="AM188"/>
          <cell r="AN188"/>
          <cell r="AO188"/>
          <cell r="AP188">
            <v>0</v>
          </cell>
          <cell r="AQ188">
            <v>0</v>
          </cell>
          <cell r="AR188">
            <v>0</v>
          </cell>
          <cell r="AS188">
            <v>0</v>
          </cell>
          <cell r="AT188">
            <v>0</v>
          </cell>
          <cell r="AU188">
            <v>0</v>
          </cell>
          <cell r="AV188">
            <v>0</v>
          </cell>
          <cell r="AW188">
            <v>0</v>
          </cell>
          <cell r="AX188">
            <v>0</v>
          </cell>
          <cell r="AY188"/>
          <cell r="AZ188"/>
          <cell r="BA188"/>
          <cell r="BB188"/>
          <cell r="BC188"/>
          <cell r="BD188"/>
          <cell r="BE188"/>
          <cell r="BF188"/>
          <cell r="BG188"/>
          <cell r="BH188"/>
          <cell r="BI188"/>
          <cell r="BJ188"/>
          <cell r="BK188"/>
          <cell r="BL188"/>
          <cell r="BM188"/>
          <cell r="BN188"/>
          <cell r="BO188"/>
          <cell r="BP188"/>
          <cell r="BQ188"/>
          <cell r="BR188"/>
          <cell r="BS188"/>
          <cell r="BT188"/>
          <cell r="BU188"/>
          <cell r="BV188"/>
          <cell r="BW188"/>
          <cell r="BX188"/>
          <cell r="BY188"/>
          <cell r="BZ188"/>
          <cell r="CA188"/>
          <cell r="CB188"/>
          <cell r="CC188"/>
          <cell r="CD188"/>
          <cell r="CE188"/>
          <cell r="CF188"/>
          <cell r="CG188"/>
          <cell r="CH188"/>
          <cell r="CI188"/>
          <cell r="CJ188"/>
          <cell r="CK188"/>
          <cell r="CL188"/>
          <cell r="CM188"/>
          <cell r="CN188"/>
          <cell r="CO188"/>
          <cell r="CP188"/>
          <cell r="CQ188"/>
          <cell r="CR188"/>
          <cell r="CS188"/>
          <cell r="CT188"/>
          <cell r="CU188"/>
          <cell r="CV188"/>
          <cell r="CW188"/>
          <cell r="CX188"/>
          <cell r="CY188"/>
          <cell r="CZ188"/>
          <cell r="DA188"/>
          <cell r="DB188"/>
          <cell r="DC188"/>
          <cell r="DD188"/>
          <cell r="DE188"/>
          <cell r="DF188"/>
          <cell r="DG188"/>
          <cell r="DH188"/>
          <cell r="DI188"/>
          <cell r="DJ188"/>
          <cell r="DK188"/>
          <cell r="DL188"/>
          <cell r="DM188"/>
          <cell r="DN188"/>
          <cell r="DO188"/>
        </row>
        <row r="189">
          <cell r="A189" t="str">
            <v>Product</v>
          </cell>
          <cell r="B189"/>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0.293292</v>
          </cell>
          <cell r="AF189">
            <v>2.1471542499999998</v>
          </cell>
          <cell r="AG189">
            <v>8.0079071093749992</v>
          </cell>
          <cell r="AH189">
            <v>15.088201915039063</v>
          </cell>
          <cell r="AI189">
            <v>16.597390295349122</v>
          </cell>
          <cell r="AJ189">
            <v>20.844607508430482</v>
          </cell>
          <cell r="AK189">
            <v>23.875876999999999</v>
          </cell>
          <cell r="AL189">
            <v>25.831512999999998</v>
          </cell>
          <cell r="AM189">
            <v>23.956699999999966</v>
          </cell>
          <cell r="AN189">
            <v>20.848391920000001</v>
          </cell>
          <cell r="AO189">
            <v>35.054000000000002</v>
          </cell>
          <cell r="AP189">
            <v>39.216365000000017</v>
          </cell>
          <cell r="AQ189">
            <v>28.224984000000024</v>
          </cell>
          <cell r="AR189">
            <v>39.911242603550292</v>
          </cell>
          <cell r="AS189">
            <v>39.023012695957554</v>
          </cell>
          <cell r="AT189">
            <v>44.824949759999996</v>
          </cell>
          <cell r="AU189">
            <v>30.607407407407404</v>
          </cell>
          <cell r="AV189">
            <v>41.507692307692302</v>
          </cell>
          <cell r="AW189">
            <v>36.85</v>
          </cell>
          <cell r="AX189">
            <v>46.033333333333367</v>
          </cell>
          <cell r="AY189">
            <v>37.407407407407405</v>
          </cell>
          <cell r="AZ189">
            <v>47.307692307692299</v>
          </cell>
          <cell r="BA189">
            <v>56.25</v>
          </cell>
          <cell r="BB189">
            <v>55.333333333333364</v>
          </cell>
          <cell r="BC189">
            <v>47.507407407407406</v>
          </cell>
          <cell r="BD189">
            <v>59.607692307692297</v>
          </cell>
          <cell r="BE189">
            <v>74.25</v>
          </cell>
          <cell r="BF189">
            <v>63.633333333333368</v>
          </cell>
          <cell r="BG189">
            <v>58.007407407407406</v>
          </cell>
          <cell r="BH189">
            <v>68.707692307692298</v>
          </cell>
          <cell r="BI189">
            <v>78.650000000000006</v>
          </cell>
          <cell r="BJ189">
            <v>99.633333333333368</v>
          </cell>
          <cell r="BK189">
            <v>87.007407407407413</v>
          </cell>
          <cell r="BL189">
            <v>105.80769230769229</v>
          </cell>
          <cell r="BM189">
            <v>89.15</v>
          </cell>
          <cell r="BN189">
            <v>115.03333333333337</v>
          </cell>
          <cell r="BO189">
            <v>106.80740740740741</v>
          </cell>
          <cell r="BP189">
            <v>120.0076923076923</v>
          </cell>
          <cell r="BQ189">
            <v>92.850000000000009</v>
          </cell>
          <cell r="BR189">
            <v>125.53333333333337</v>
          </cell>
          <cell r="BS189">
            <v>92.407407407407405</v>
          </cell>
          <cell r="BT189">
            <v>100.7076923076923</v>
          </cell>
          <cell r="BU189">
            <v>113.25</v>
          </cell>
          <cell r="BV189">
            <v>138.08666666666673</v>
          </cell>
          <cell r="BW189">
            <v>115.50925925925925</v>
          </cell>
          <cell r="BX189">
            <v>116.82092307692305</v>
          </cell>
          <cell r="BY189">
            <v>110.985</v>
          </cell>
          <cell r="BZ189">
            <v>110.4693333333334</v>
          </cell>
          <cell r="CA189">
            <v>105.11342592592592</v>
          </cell>
          <cell r="CB189">
            <v>110.97987692307689</v>
          </cell>
          <cell r="CC189">
            <v>93.782325</v>
          </cell>
          <cell r="CD189">
            <v>118.20218666666673</v>
          </cell>
          <cell r="CE189">
            <v>122.81450006789672</v>
          </cell>
          <cell r="CF189">
            <v>122.7299809856809</v>
          </cell>
          <cell r="CG189">
            <v>105.79547214962037</v>
          </cell>
          <cell r="CH189">
            <v>112.47334254388213</v>
          </cell>
          <cell r="CI189">
            <v>88.436251742442948</v>
          </cell>
          <cell r="CJ189">
            <v>122.7299809856809</v>
          </cell>
          <cell r="CK189">
            <v>105.79547214962037</v>
          </cell>
          <cell r="CL189">
            <v>112.47334254388213</v>
          </cell>
          <cell r="CM189">
            <v>92.447047380412556</v>
          </cell>
          <cell r="CN189">
            <v>128.46984867903274</v>
          </cell>
          <cell r="CO189">
            <v>110.65177118083022</v>
          </cell>
          <cell r="CP189">
            <v>117.71014526429657</v>
          </cell>
          <cell r="CQ189">
            <v>96.237249258293829</v>
          </cell>
          <cell r="CR189">
            <v>133.89402364925022</v>
          </cell>
          <cell r="CS189">
            <v>115.2409737653235</v>
          </cell>
          <cell r="CT189">
            <v>122.65892383508822</v>
          </cell>
          <cell r="CU189">
            <v>99.801934124441175</v>
          </cell>
          <cell r="CV189">
            <v>138.99546020873976</v>
          </cell>
          <cell r="CW189">
            <v>119.55711879603945</v>
          </cell>
          <cell r="CX189">
            <v>127.31325008091777</v>
          </cell>
          <cell r="CY189">
            <v>103.14008326734486</v>
          </cell>
          <cell r="CZ189">
            <v>143.77270047487374</v>
          </cell>
          <cell r="DA189">
            <v>123.5989728100534</v>
          </cell>
          <cell r="DB189">
            <v>131.67179389382486</v>
          </cell>
          <cell r="DC189"/>
          <cell r="DD189"/>
          <cell r="DE189">
            <v>0</v>
          </cell>
          <cell r="DF189">
            <v>0</v>
          </cell>
          <cell r="DG189">
            <v>0</v>
          </cell>
          <cell r="DH189">
            <v>0</v>
          </cell>
          <cell r="DI189">
            <v>0</v>
          </cell>
          <cell r="DJ189">
            <v>0</v>
          </cell>
          <cell r="DK189">
            <v>25.536555274414063</v>
          </cell>
          <cell r="DL189">
            <v>87.149387803779604</v>
          </cell>
          <cell r="DM189">
            <v>119.07545691999999</v>
          </cell>
          <cell r="DN189">
            <v>151.98418905950786</v>
          </cell>
          <cell r="DO189">
            <v>154.99843304843307</v>
          </cell>
        </row>
        <row r="190">
          <cell r="A190" t="str">
            <v>% of revenue</v>
          </cell>
          <cell r="B190"/>
          <cell r="C190" t="e">
            <v>#DIV/0!</v>
          </cell>
          <cell r="D190" t="e">
            <v>#DIV/0!</v>
          </cell>
          <cell r="E190" t="e">
            <v>#DIV/0!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1.4527316855713508E-3</v>
          </cell>
          <cell r="AF190">
            <v>1.0165054277584991E-2</v>
          </cell>
          <cell r="AG190">
            <v>3.5285362262444532E-2</v>
          </cell>
          <cell r="AH190">
            <v>5.6161790226308225E-2</v>
          </cell>
          <cell r="AI190">
            <v>6.3836607571401027E-2</v>
          </cell>
          <cell r="AJ190">
            <v>7.5669796522392724E-2</v>
          </cell>
          <cell r="AK190">
            <v>8.5930505918639849E-2</v>
          </cell>
          <cell r="AL190">
            <v>8.0471501735191672E-2</v>
          </cell>
          <cell r="AM190">
            <v>7.7759276570330438E-2</v>
          </cell>
          <cell r="AN190">
            <v>6.2352382194255367E-2</v>
          </cell>
          <cell r="AO190">
            <v>0.10017403430962105</v>
          </cell>
          <cell r="AP190">
            <v>9.8149121906902392E-2</v>
          </cell>
          <cell r="AQ190">
            <v>7.486058021292516E-2</v>
          </cell>
          <cell r="AR190">
            <v>0.10188456999349116</v>
          </cell>
          <cell r="AS190">
            <v>9.7828271481218157E-2</v>
          </cell>
          <cell r="AT190">
            <v>0.10783082331602103</v>
          </cell>
          <cell r="AU190">
            <v>8.293386786740134E-2</v>
          </cell>
          <cell r="AV190">
            <v>0.10566378238743751</v>
          </cell>
          <cell r="AW190">
            <v>9.1885637913236035E-2</v>
          </cell>
          <cell r="AX190">
            <v>0.10203327718178333</v>
          </cell>
          <cell r="AY190">
            <v>9.0296731151049081E-2</v>
          </cell>
          <cell r="AZ190">
            <v>0.10319434313780269</v>
          </cell>
          <cell r="BA190">
            <v>0.119114928435751</v>
          </cell>
          <cell r="BB190">
            <v>0.10445684846027613</v>
          </cell>
          <cell r="BC190">
            <v>9.6778506313878937E-2</v>
          </cell>
          <cell r="BD190">
            <v>0.1122999534800812</v>
          </cell>
          <cell r="BE190">
            <v>0.13133503611934597</v>
          </cell>
          <cell r="BF190">
            <v>0.10273946799361504</v>
          </cell>
          <cell r="BG190">
            <v>9.840186499869788E-2</v>
          </cell>
          <cell r="BH190">
            <v>0.11168168967944654</v>
          </cell>
          <cell r="BI190">
            <v>0.12261818272525732</v>
          </cell>
          <cell r="BJ190">
            <v>0.13464036742540955</v>
          </cell>
          <cell r="BK190">
            <v>0.1293023282950449</v>
          </cell>
          <cell r="BL190">
            <v>0.14486584085589538</v>
          </cell>
          <cell r="BM190">
            <v>0.1250822540341307</v>
          </cell>
          <cell r="BN190">
            <v>0.14335800869037832</v>
          </cell>
          <cell r="BO190">
            <v>0.14225453459143603</v>
          </cell>
          <cell r="BP190">
            <v>0.1535489179432063</v>
          </cell>
          <cell r="BQ190">
            <v>0.12233298286942983</v>
          </cell>
          <cell r="BR190">
            <v>0.14742905417176078</v>
          </cell>
          <cell r="BS190">
            <v>0.12146052114401305</v>
          </cell>
          <cell r="BT190">
            <v>0.12639667993419879</v>
          </cell>
          <cell r="BU190">
            <v>0.13925264672249069</v>
          </cell>
          <cell r="BV190">
            <v>0.15262192051030682</v>
          </cell>
          <cell r="BW190">
            <v>0.17534000218475751</v>
          </cell>
          <cell r="BX190">
            <v>0.17332815481147715</v>
          </cell>
          <cell r="BY190">
            <v>0.16596235285673269</v>
          </cell>
          <cell r="BZ190">
            <v>0.15038352772907304</v>
          </cell>
          <cell r="CA190">
            <v>0.15861939666825006</v>
          </cell>
          <cell r="CB190">
            <v>0.16009168270000573</v>
          </cell>
          <cell r="CC190">
            <v>0.13573445019358107</v>
          </cell>
          <cell r="CD190">
            <v>0.15195876191467933</v>
          </cell>
          <cell r="CE190">
            <v>0.17615592271267702</v>
          </cell>
          <cell r="CF190">
            <v>0.16532296240485597</v>
          </cell>
          <cell r="CG190">
            <v>0.14443541105731841</v>
          </cell>
          <cell r="CH190">
            <v>0.14026381152042366</v>
          </cell>
          <cell r="CI190">
            <v>0.12451897621706547</v>
          </cell>
          <cell r="CJ190">
            <v>0.15897937130663198</v>
          </cell>
          <cell r="CK190">
            <v>0.13868790969493672</v>
          </cell>
          <cell r="CL190">
            <v>0.13140607076910271</v>
          </cell>
          <cell r="CM190">
            <v>0.12086127238024147</v>
          </cell>
          <cell r="CN190">
            <v>0.15534212387687024</v>
          </cell>
          <cell r="CO190">
            <v>0.1351073344877389</v>
          </cell>
          <cell r="CP190">
            <v>0.13085972966228568</v>
          </cell>
          <cell r="CQ190">
            <v>0.1168479303200128</v>
          </cell>
          <cell r="CR190">
            <v>0.15141003974291803</v>
          </cell>
          <cell r="CS190">
            <v>0.13144419904126814</v>
          </cell>
          <cell r="CT190">
            <v>0.13002280151713294</v>
          </cell>
          <cell r="CU190">
            <v>0.11166513437235764</v>
          </cell>
          <cell r="CV190">
            <v>0.1454808413078916</v>
          </cell>
          <cell r="CW190">
            <v>0.12618880216245046</v>
          </cell>
          <cell r="CX190">
            <v>0.12587340773237968</v>
          </cell>
          <cell r="CY190">
            <v>0.10620289453347904</v>
          </cell>
          <cell r="CZ190">
            <v>0.13919907581088506</v>
          </cell>
          <cell r="DA190">
            <v>0.12082457179110119</v>
          </cell>
          <cell r="DB190">
            <v>0.12101165654441172</v>
          </cell>
          <cell r="DC190"/>
          <cell r="DD190"/>
          <cell r="DE190">
            <v>0</v>
          </cell>
          <cell r="DF190">
            <v>0</v>
          </cell>
          <cell r="DG190">
            <v>0</v>
          </cell>
          <cell r="DH190">
            <v>0</v>
          </cell>
          <cell r="DI190">
            <v>0</v>
          </cell>
          <cell r="DJ190">
            <v>0</v>
          </cell>
          <cell r="DK190">
            <v>2.8101614436994E-2</v>
          </cell>
          <cell r="DL190">
            <v>7.682969940887846E-2</v>
          </cell>
          <cell r="DM190">
            <v>8.5546277732836559E-2</v>
          </cell>
          <cell r="DN190">
            <v>9.5988761236910927E-2</v>
          </cell>
          <cell r="DO190">
            <v>9.6028489802559139E-2</v>
          </cell>
        </row>
        <row r="191">
          <cell r="A191" t="str">
            <v>% of delivery networking revenue</v>
          </cell>
          <cell r="B191"/>
          <cell r="C191" t="e">
            <v>#DIV/0!</v>
          </cell>
          <cell r="D191" t="e">
            <v>#DIV/0!</v>
          </cell>
          <cell r="E191" t="e">
            <v>#DIV/0!</v>
          </cell>
          <cell r="F191" t="e">
            <v>#DIV/0!</v>
          </cell>
          <cell r="G191" t="e">
            <v>#DIV/0!</v>
          </cell>
          <cell r="H191" t="e">
            <v>#DIV/0!</v>
          </cell>
          <cell r="I191" t="e">
            <v>#DIV/0!</v>
          </cell>
          <cell r="J191" t="e">
            <v>#DIV/0!</v>
          </cell>
          <cell r="K191" t="e">
            <v>#DIV/0!</v>
          </cell>
          <cell r="L191" t="e">
            <v>#DIV/0!</v>
          </cell>
          <cell r="M191" t="e">
            <v>#DIV/0!</v>
          </cell>
          <cell r="N191" t="e">
            <v>#DIV/0!</v>
          </cell>
          <cell r="O191" t="e">
            <v>#DIV/0!</v>
          </cell>
          <cell r="P191" t="e">
            <v>#DIV/0!</v>
          </cell>
          <cell r="Q191" t="e">
            <v>#DIV/0!</v>
          </cell>
          <cell r="R191" t="e">
            <v>#DIV/0!</v>
          </cell>
          <cell r="S191" t="e">
            <v>#DIV/0!</v>
          </cell>
          <cell r="T191" t="e">
            <v>#DIV/0!</v>
          </cell>
          <cell r="U191" t="e">
            <v>#DIV/0!</v>
          </cell>
          <cell r="V191" t="e">
            <v>#DIV/0!</v>
          </cell>
          <cell r="W191" t="e">
            <v>#DIV/0!</v>
          </cell>
          <cell r="X191" t="e">
            <v>#DIV/0!</v>
          </cell>
          <cell r="Y191" t="e">
            <v>#DIV/0!</v>
          </cell>
          <cell r="Z191" t="e">
            <v>#DIV/0!</v>
          </cell>
          <cell r="AA191" t="e">
            <v>#DIV/0!</v>
          </cell>
          <cell r="AB191" t="e">
            <v>#DIV/0!</v>
          </cell>
          <cell r="AC191" t="e">
            <v>#DIV/0!</v>
          </cell>
          <cell r="AD191" t="e">
            <v>#DIV/0!</v>
          </cell>
          <cell r="AE191">
            <v>1</v>
          </cell>
          <cell r="AF191">
            <v>0.99153503718566505</v>
          </cell>
          <cell r="AG191">
            <v>0.82893856326086757</v>
          </cell>
          <cell r="AH191">
            <v>0.81294305234689779</v>
          </cell>
          <cell r="AI191">
            <v>0.78989396839447235</v>
          </cell>
          <cell r="AJ191">
            <v>0.78529053653892422</v>
          </cell>
          <cell r="AK191">
            <v>0.8061169928386015</v>
          </cell>
          <cell r="AL191">
            <v>0.80638019463934985</v>
          </cell>
          <cell r="AM191">
            <v>0.74638439729569628</v>
          </cell>
          <cell r="AN191">
            <v>0.70078628302521007</v>
          </cell>
          <cell r="AO191">
            <v>0.76224232408454384</v>
          </cell>
          <cell r="AP191">
            <v>0.79146024044175289</v>
          </cell>
          <cell r="AQ191">
            <v>0.70042829756742275</v>
          </cell>
          <cell r="AR191">
            <v>0.69783058296457756</v>
          </cell>
          <cell r="AS191">
            <v>0.75829905687365362</v>
          </cell>
          <cell r="AT191">
            <v>0.76097963894144205</v>
          </cell>
          <cell r="AU191">
            <v>0.62083990684396362</v>
          </cell>
          <cell r="AV191">
            <v>0.67164550659696276</v>
          </cell>
          <cell r="AW191">
            <v>0.61519198664440733</v>
          </cell>
          <cell r="AX191">
            <v>0.65388257575757613</v>
          </cell>
          <cell r="AY191">
            <v>0.64268675991569213</v>
          </cell>
          <cell r="AZ191">
            <v>0.66872229830118801</v>
          </cell>
          <cell r="BA191">
            <v>0.66773682622015551</v>
          </cell>
          <cell r="BB191">
            <v>0.64746607579068638</v>
          </cell>
          <cell r="BC191">
            <v>0.61165710579898813</v>
          </cell>
          <cell r="BD191">
            <v>0.6341243862520457</v>
          </cell>
          <cell r="BE191">
            <v>0.66413237924865831</v>
          </cell>
          <cell r="BF191">
            <v>0.61185897435897474</v>
          </cell>
          <cell r="BG191">
            <v>0.57833905690336396</v>
          </cell>
          <cell r="BH191">
            <v>0.60965121834687042</v>
          </cell>
          <cell r="BI191">
            <v>0.61783189316575027</v>
          </cell>
          <cell r="BJ191">
            <v>0.63744934954148025</v>
          </cell>
          <cell r="BK191">
            <v>0.58630328441649193</v>
          </cell>
          <cell r="BL191">
            <v>0.63816460981720313</v>
          </cell>
          <cell r="BM191">
            <v>0.60399728997289981</v>
          </cell>
          <cell r="BN191">
            <v>0.64953886693017149</v>
          </cell>
          <cell r="BO191">
            <v>0.63575837742504415</v>
          </cell>
          <cell r="BP191">
            <v>0.66375936010891756</v>
          </cell>
          <cell r="BQ191">
            <v>0.59140127388535035</v>
          </cell>
          <cell r="BR191">
            <v>0.63982330954808042</v>
          </cell>
          <cell r="BS191">
            <v>0.56691660986139514</v>
          </cell>
          <cell r="BT191">
            <v>0.57448769143007583</v>
          </cell>
          <cell r="BU191">
            <v>0.59699525566684242</v>
          </cell>
          <cell r="BV191">
            <v>0.6222923238696112</v>
          </cell>
          <cell r="BW191">
            <v>0.59084020081462529</v>
          </cell>
          <cell r="BX191">
            <v>0.59938903579745018</v>
          </cell>
          <cell r="BY191">
            <v>0.58046548117154817</v>
          </cell>
          <cell r="BZ191">
            <v>0.54905235255135887</v>
          </cell>
          <cell r="CA191">
            <v>0.54344652014231176</v>
          </cell>
          <cell r="CB191">
            <v>0.56372735499459992</v>
          </cell>
          <cell r="CC191">
            <v>0.50545882536825149</v>
          </cell>
          <cell r="CD191">
            <v>0.55080236098167168</v>
          </cell>
          <cell r="CE191">
            <v>0.58875599265530543</v>
          </cell>
          <cell r="CF191">
            <v>0.59175497100135432</v>
          </cell>
          <cell r="CG191">
            <v>0.54143025665107658</v>
          </cell>
          <cell r="CH191">
            <v>0.54650024512612205</v>
          </cell>
          <cell r="CI191">
            <v>0.51095671196330705</v>
          </cell>
          <cell r="CJ191">
            <v>0.5850118956106668</v>
          </cell>
          <cell r="CK191">
            <v>0.53756858959448417</v>
          </cell>
          <cell r="CL191">
            <v>0.54475873760758664</v>
          </cell>
          <cell r="CM191">
            <v>0.51487449008288566</v>
          </cell>
          <cell r="CN191">
            <v>0.59007428700981268</v>
          </cell>
          <cell r="CO191">
            <v>0.54427340106916045</v>
          </cell>
          <cell r="CP191">
            <v>0.55270407524077991</v>
          </cell>
          <cell r="CQ191">
            <v>0.51684390990305329</v>
          </cell>
          <cell r="CR191">
            <v>0.5930543954969425</v>
          </cell>
          <cell r="CS191">
            <v>0.5485864865422263</v>
          </cell>
          <cell r="CT191">
            <v>0.55807766753891541</v>
          </cell>
          <cell r="CU191">
            <v>0.51739325241965339</v>
          </cell>
          <cell r="CV191">
            <v>0.59449969586931239</v>
          </cell>
          <cell r="CW191">
            <v>0.55110157381377733</v>
          </cell>
          <cell r="CX191">
            <v>0.56149660699424886</v>
          </cell>
          <cell r="CY191">
            <v>0.51693154212538639</v>
          </cell>
          <cell r="CZ191">
            <v>0.59483369163236055</v>
          </cell>
          <cell r="DA191">
            <v>0.55228935811485036</v>
          </cell>
          <cell r="DB191">
            <v>0.56345477183240611</v>
          </cell>
          <cell r="DC191"/>
          <cell r="DD191"/>
          <cell r="DE191" t="e">
            <v>#DIV/0!</v>
          </cell>
          <cell r="DF191" t="e">
            <v>#DIV/0!</v>
          </cell>
          <cell r="DG191" t="e">
            <v>#DIV/0!</v>
          </cell>
          <cell r="DH191" t="e">
            <v>#DIV/0!</v>
          </cell>
          <cell r="DI191" t="e">
            <v>#DIV/0!</v>
          </cell>
          <cell r="DJ191" t="e">
            <v>#DIV/0!</v>
          </cell>
          <cell r="DK191">
            <v>0.83237395133019698</v>
          </cell>
          <cell r="DL191">
            <v>0.79801080106534783</v>
          </cell>
          <cell r="DM191">
            <v>0.75659005146133262</v>
          </cell>
          <cell r="DN191">
            <v>0.73120092351074562</v>
          </cell>
          <cell r="DO191">
            <v>0.64208132994379896</v>
          </cell>
        </row>
        <row r="192">
          <cell r="A192" t="str">
            <v>% growth in revenue y-o-y</v>
          </cell>
          <cell r="B192"/>
          <cell r="C192" t="str">
            <v>NA</v>
          </cell>
          <cell r="D192" t="str">
            <v>NA</v>
          </cell>
          <cell r="E192" t="str">
            <v>NA</v>
          </cell>
          <cell r="F192" t="str">
            <v>NA</v>
          </cell>
          <cell r="G192" t="str">
            <v>NA</v>
          </cell>
          <cell r="H192" t="str">
            <v>NA</v>
          </cell>
          <cell r="I192" t="str">
            <v>NA</v>
          </cell>
          <cell r="J192" t="str">
            <v>NA</v>
          </cell>
          <cell r="K192" t="str">
            <v>NA</v>
          </cell>
          <cell r="L192" t="str">
            <v>NA</v>
          </cell>
          <cell r="M192" t="str">
            <v>NA</v>
          </cell>
          <cell r="N192" t="str">
            <v>NA</v>
          </cell>
          <cell r="O192" t="str">
            <v>NA</v>
          </cell>
          <cell r="P192" t="str">
            <v>NA</v>
          </cell>
          <cell r="Q192" t="str">
            <v>NA</v>
          </cell>
          <cell r="R192" t="str">
            <v>NA</v>
          </cell>
          <cell r="S192" t="str">
            <v>NA</v>
          </cell>
          <cell r="T192" t="str">
            <v>NA</v>
          </cell>
          <cell r="U192" t="str">
            <v>NA</v>
          </cell>
          <cell r="V192" t="str">
            <v>NA</v>
          </cell>
          <cell r="W192" t="str">
            <v>NA</v>
          </cell>
          <cell r="X192" t="str">
            <v>NA</v>
          </cell>
          <cell r="Y192" t="str">
            <v>NA</v>
          </cell>
          <cell r="Z192" t="str">
            <v>NA</v>
          </cell>
          <cell r="AA192" t="str">
            <v>NA</v>
          </cell>
          <cell r="AB192" t="str">
            <v>NA</v>
          </cell>
          <cell r="AC192" t="str">
            <v>NA</v>
          </cell>
          <cell r="AD192" t="str">
            <v>NA</v>
          </cell>
          <cell r="AE192" t="str">
            <v>NA</v>
          </cell>
          <cell r="AF192" t="str">
            <v>NA</v>
          </cell>
          <cell r="AG192" t="str">
            <v>NA</v>
          </cell>
          <cell r="AH192" t="str">
            <v>NA</v>
          </cell>
          <cell r="AI192">
            <v>55.589986414048532</v>
          </cell>
          <cell r="AJ192">
            <v>8.708015857934047</v>
          </cell>
          <cell r="AK192">
            <v>1.9815377069057263</v>
          </cell>
          <cell r="AL192">
            <v>0.71203388882624985</v>
          </cell>
          <cell r="AM192">
            <v>0.44340161758520868</v>
          </cell>
          <cell r="AN192">
            <v>1.8155350576831708E-4</v>
          </cell>
          <cell r="AO192">
            <v>0.46817643599018388</v>
          </cell>
          <cell r="AP192">
            <v>0.51815981510645637</v>
          </cell>
          <cell r="AQ192">
            <v>0.17816660892360225</v>
          </cell>
          <cell r="AR192">
            <v>0.91435592522909026</v>
          </cell>
          <cell r="AS192">
            <v>0.11322567170529907</v>
          </cell>
          <cell r="AT192">
            <v>0.14301643612303128</v>
          </cell>
          <cell r="AU192">
            <v>8.4408317376101216E-2</v>
          </cell>
          <cell r="AV192">
            <v>4.0000000000000036E-2</v>
          </cell>
          <cell r="AW192">
            <v>-5.5685416010503364E-2</v>
          </cell>
          <cell r="AX192">
            <v>2.6957834415950233E-2</v>
          </cell>
          <cell r="AY192">
            <v>0.2221684414327203</v>
          </cell>
          <cell r="AZ192">
            <v>0.1397331356560414</v>
          </cell>
          <cell r="BA192">
            <v>0.52645861601085486</v>
          </cell>
          <cell r="BB192">
            <v>0.20202751629254134</v>
          </cell>
          <cell r="BC192">
            <v>0.27</v>
          </cell>
          <cell r="BD192">
            <v>0.26</v>
          </cell>
          <cell r="BE192">
            <v>0.32000000000000006</v>
          </cell>
          <cell r="BF192">
            <v>0.14999999999999991</v>
          </cell>
          <cell r="BG192">
            <v>0.22101816480860692</v>
          </cell>
          <cell r="BH192">
            <v>0.15266485998193313</v>
          </cell>
          <cell r="BI192">
            <v>5.9259259259259345E-2</v>
          </cell>
          <cell r="BJ192">
            <v>0.56574122577265551</v>
          </cell>
          <cell r="BK192">
            <v>0.49993615119397283</v>
          </cell>
          <cell r="BL192">
            <v>0.53996865203761746</v>
          </cell>
          <cell r="BM192">
            <v>0.13350286077558793</v>
          </cell>
          <cell r="BN192">
            <v>0.15456674473067911</v>
          </cell>
          <cell r="BO192">
            <v>0.22756683126170607</v>
          </cell>
          <cell r="BP192">
            <v>0.13420574336604885</v>
          </cell>
          <cell r="BQ192">
            <v>4.1503084688726988E-2</v>
          </cell>
          <cell r="BR192">
            <v>9.1277890466531453E-2</v>
          </cell>
          <cell r="BS192">
            <v>-0.13482210971634656</v>
          </cell>
          <cell r="BT192">
            <v>-0.16082302416511762</v>
          </cell>
          <cell r="BU192">
            <v>0.21970920840064601</v>
          </cell>
          <cell r="BV192">
            <v>0.10000000000000009</v>
          </cell>
          <cell r="BW192">
            <v>0.25</v>
          </cell>
          <cell r="BX192">
            <v>0.15999999999999992</v>
          </cell>
          <cell r="BY192">
            <v>-2.0000000000000018E-2</v>
          </cell>
          <cell r="BZ192">
            <v>-0.19999999999999996</v>
          </cell>
          <cell r="CA192">
            <v>-8.9999999999999969E-2</v>
          </cell>
          <cell r="CB192">
            <v>-5.0000000000000155E-2</v>
          </cell>
          <cell r="CC192">
            <v>-0.15500000000000003</v>
          </cell>
          <cell r="CD192">
            <v>7.0000000000000062E-2</v>
          </cell>
          <cell r="CE192">
            <v>0.16839974518997081</v>
          </cell>
          <cell r="CF192">
            <v>0.10587598750671101</v>
          </cell>
          <cell r="CG192">
            <v>0.1280960687381163</v>
          </cell>
          <cell r="CH192">
            <v>-4.8466481749107504E-2</v>
          </cell>
          <cell r="CI192">
            <v>-0.27992010964868241</v>
          </cell>
          <cell r="CJ192">
            <v>0</v>
          </cell>
          <cell r="CK192">
            <v>0</v>
          </cell>
          <cell r="CL192">
            <v>0</v>
          </cell>
          <cell r="CM192">
            <v>4.5352392926493845E-2</v>
          </cell>
          <cell r="CN192">
            <v>4.6768260267403772E-2</v>
          </cell>
          <cell r="CO192">
            <v>4.5902711453869038E-2</v>
          </cell>
          <cell r="CP192">
            <v>4.6560390239769767E-2</v>
          </cell>
          <cell r="CQ192">
            <v>4.0998625540574318E-2</v>
          </cell>
          <cell r="CR192">
            <v>4.2221385219882723E-2</v>
          </cell>
          <cell r="CS192">
            <v>4.147428039803791E-2</v>
          </cell>
          <cell r="CT192">
            <v>4.2042073431139526E-2</v>
          </cell>
          <cell r="CU192">
            <v>3.7040593882520456E-2</v>
          </cell>
          <cell r="CV192">
            <v>3.8100554606181003E-2</v>
          </cell>
          <cell r="CW192">
            <v>3.7453215550792951E-2</v>
          </cell>
          <cell r="CX192">
            <v>3.7945272144138231E-2</v>
          </cell>
          <cell r="CY192">
            <v>3.3447739988099023E-2</v>
          </cell>
          <cell r="CZ192">
            <v>3.4369757537114243E-2</v>
          </cell>
          <cell r="DA192">
            <v>3.380688707386148E-2</v>
          </cell>
          <cell r="DB192">
            <v>3.4234801249177771E-2</v>
          </cell>
          <cell r="DC192"/>
          <cell r="DD192" t="str">
            <v>NA</v>
          </cell>
          <cell r="DE192" t="str">
            <v>NA</v>
          </cell>
          <cell r="DF192" t="str">
            <v>NA</v>
          </cell>
          <cell r="DG192" t="str">
            <v>NA</v>
          </cell>
          <cell r="DH192" t="str">
            <v>NA</v>
          </cell>
          <cell r="DI192" t="str">
            <v>NA</v>
          </cell>
          <cell r="DJ192" t="str">
            <v>NA</v>
          </cell>
          <cell r="DK192" t="str">
            <v>NA</v>
          </cell>
          <cell r="DL192">
            <v>2.4127307644777569</v>
          </cell>
          <cell r="DM192">
            <v>0.36633727351135548</v>
          </cell>
          <cell r="DN192">
            <v>0.27636872442670835</v>
          </cell>
          <cell r="DO192">
            <v>1.9832615534402853E-2</v>
          </cell>
        </row>
        <row r="193">
          <cell r="A193" t="str">
            <v>% growth in revenue seq</v>
          </cell>
          <cell r="B193"/>
          <cell r="C193" t="str">
            <v>NA</v>
          </cell>
          <cell r="D193" t="str">
            <v>NA</v>
          </cell>
          <cell r="E193" t="str">
            <v>NA</v>
          </cell>
          <cell r="F193" t="str">
            <v>NA</v>
          </cell>
          <cell r="G193" t="str">
            <v>NA</v>
          </cell>
          <cell r="H193" t="str">
            <v>NA</v>
          </cell>
          <cell r="I193" t="str">
            <v>NA</v>
          </cell>
          <cell r="J193" t="str">
            <v>NA</v>
          </cell>
          <cell r="K193" t="str">
            <v>NA</v>
          </cell>
          <cell r="L193" t="str">
            <v>NA</v>
          </cell>
          <cell r="M193" t="str">
            <v>NA</v>
          </cell>
          <cell r="N193" t="str">
            <v>NA</v>
          </cell>
          <cell r="O193" t="str">
            <v>NA</v>
          </cell>
          <cell r="P193" t="str">
            <v>NA</v>
          </cell>
          <cell r="Q193" t="str">
            <v>NA</v>
          </cell>
          <cell r="R193" t="str">
            <v>NA</v>
          </cell>
          <cell r="S193" t="str">
            <v>NA</v>
          </cell>
          <cell r="T193" t="str">
            <v>NA</v>
          </cell>
          <cell r="U193" t="str">
            <v>NA</v>
          </cell>
          <cell r="V193" t="str">
            <v>NA</v>
          </cell>
          <cell r="W193" t="str">
            <v>NA</v>
          </cell>
          <cell r="X193" t="str">
            <v>NA</v>
          </cell>
          <cell r="Y193" t="str">
            <v>NA</v>
          </cell>
          <cell r="Z193" t="str">
            <v>NA</v>
          </cell>
          <cell r="AA193" t="str">
            <v>NA</v>
          </cell>
          <cell r="AB193" t="str">
            <v>NA</v>
          </cell>
          <cell r="AC193" t="str">
            <v>NA</v>
          </cell>
          <cell r="AD193" t="str">
            <v>NA</v>
          </cell>
          <cell r="AE193" t="str">
            <v>NA</v>
          </cell>
          <cell r="AF193">
            <v>6.3208756120180567</v>
          </cell>
          <cell r="AG193">
            <v>2.7295444001636118</v>
          </cell>
          <cell r="AH193">
            <v>0.88416295406012346</v>
          </cell>
          <cell r="AI193">
            <v>0.10002440243100041</v>
          </cell>
          <cell r="AJ193">
            <v>0.25589668842525826</v>
          </cell>
          <cell r="AK193">
            <v>0.14542223883772043</v>
          </cell>
          <cell r="AL193">
            <v>8.1908446755694087E-2</v>
          </cell>
          <cell r="AM193">
            <v>-7.2578520661953916E-2</v>
          </cell>
          <cell r="AN193">
            <v>-0.12974692173796765</v>
          </cell>
          <cell r="AO193">
            <v>0.6813766804898016</v>
          </cell>
          <cell r="AP193">
            <v>0.11874151309408387</v>
          </cell>
          <cell r="AQ193">
            <v>-0.28027536463412628</v>
          </cell>
          <cell r="AR193">
            <v>0.41403951207023737</v>
          </cell>
          <cell r="AS193">
            <v>-2.2255130375563037E-2</v>
          </cell>
          <cell r="AT193">
            <v>0.14867988561640377</v>
          </cell>
          <cell r="AU193">
            <v>-0.31717921444899777</v>
          </cell>
          <cell r="AV193">
            <v>0.3561322510983691</v>
          </cell>
          <cell r="AW193">
            <v>-0.11221275018532229</v>
          </cell>
          <cell r="AX193">
            <v>0.2492085029398472</v>
          </cell>
          <cell r="AY193">
            <v>-0.1873843430686305</v>
          </cell>
          <cell r="AZ193">
            <v>0.26466108149276457</v>
          </cell>
          <cell r="BA193">
            <v>0.18902439024390261</v>
          </cell>
          <cell r="BB193">
            <v>-1.6296296296295698E-2</v>
          </cell>
          <cell r="BC193">
            <v>-0.14143239625167381</v>
          </cell>
          <cell r="BD193">
            <v>0.25470312022116781</v>
          </cell>
          <cell r="BE193">
            <v>0.2456445993031362</v>
          </cell>
          <cell r="BF193">
            <v>-0.14298540965207585</v>
          </cell>
          <cell r="BG193">
            <v>-8.8411617484431049E-2</v>
          </cell>
          <cell r="BH193">
            <v>0.18446411205956581</v>
          </cell>
          <cell r="BI193">
            <v>0.14470443349753714</v>
          </cell>
          <cell r="BJ193">
            <v>0.26679381224835796</v>
          </cell>
          <cell r="BK193">
            <v>-0.1267239136091598</v>
          </cell>
          <cell r="BL193">
            <v>0.2160768313926833</v>
          </cell>
          <cell r="BM193">
            <v>-0.15743366048709539</v>
          </cell>
          <cell r="BN193">
            <v>0.29033464198915726</v>
          </cell>
          <cell r="BO193">
            <v>-7.1509063395473471E-2</v>
          </cell>
          <cell r="BP193">
            <v>0.12358960132730834</v>
          </cell>
          <cell r="BQ193">
            <v>-0.22629959617973194</v>
          </cell>
          <cell r="BR193">
            <v>0.35200143600789846</v>
          </cell>
          <cell r="BS193">
            <v>-0.26388151295214524</v>
          </cell>
          <cell r="BT193">
            <v>8.9822722367812524E-2</v>
          </cell>
          <cell r="BU193">
            <v>0.1245417048579287</v>
          </cell>
          <cell r="BV193">
            <v>0.21930831493745462</v>
          </cell>
          <cell r="BW193">
            <v>-0.16350171926380153</v>
          </cell>
          <cell r="BX193">
            <v>1.1355486357329969E-2</v>
          </cell>
          <cell r="BY193">
            <v>-4.9956145895887816E-2</v>
          </cell>
          <cell r="BZ193">
            <v>-4.64627352044511E-3</v>
          </cell>
          <cell r="CA193">
            <v>-4.8483205662574247E-2</v>
          </cell>
          <cell r="CB193">
            <v>5.5810672570838715E-2</v>
          </cell>
          <cell r="CC193">
            <v>-0.15496099292844745</v>
          </cell>
          <cell r="CD193">
            <v>0.26038874240606358</v>
          </cell>
          <cell r="CE193">
            <v>3.9020542100772104E-2</v>
          </cell>
          <cell r="CF193">
            <v>-6.8818488182664783E-4</v>
          </cell>
          <cell r="CG193">
            <v>-0.13798184192692331</v>
          </cell>
          <cell r="CH193">
            <v>6.3120568948523914E-2</v>
          </cell>
          <cell r="CI193">
            <v>-0.21371366990414609</v>
          </cell>
          <cell r="CJ193">
            <v>0.38777909022097856</v>
          </cell>
          <cell r="CK193">
            <v>-0.13798184192692331</v>
          </cell>
          <cell r="CL193">
            <v>6.3120568948523914E-2</v>
          </cell>
          <cell r="CM193">
            <v>-0.17805370330890802</v>
          </cell>
          <cell r="CN193">
            <v>0.38965875405829986</v>
          </cell>
          <cell r="CO193">
            <v>-0.13869462509229658</v>
          </cell>
          <cell r="CP193">
            <v>6.3789074572799587E-2</v>
          </cell>
          <cell r="CQ193">
            <v>-0.18242179514594337</v>
          </cell>
          <cell r="CR193">
            <v>0.3912910508267784</v>
          </cell>
          <cell r="CS193">
            <v>-0.13931204228196459</v>
          </cell>
          <cell r="CT193">
            <v>6.4369033230061046E-2</v>
          </cell>
          <cell r="CU193">
            <v>-0.18634591757365881</v>
          </cell>
          <cell r="CV193">
            <v>0.39271309146603217</v>
          </cell>
          <cell r="CW193">
            <v>-0.13984875033694133</v>
          </cell>
          <cell r="CX193">
            <v>6.4873855802012326E-2</v>
          </cell>
          <cell r="CY193">
            <v>-0.18987157109106023</v>
          </cell>
          <cell r="CZ193">
            <v>0.3939556370359607</v>
          </cell>
          <cell r="DA193">
            <v>-0.14031681674050478</v>
          </cell>
          <cell r="DB193">
            <v>6.5314629241925326E-2</v>
          </cell>
          <cell r="DC193"/>
          <cell r="DD193"/>
          <cell r="DE193"/>
          <cell r="DF193"/>
          <cell r="DG193"/>
          <cell r="DH193"/>
          <cell r="DI193"/>
          <cell r="DJ193"/>
          <cell r="DK193"/>
          <cell r="DL193"/>
          <cell r="DM193"/>
          <cell r="DN193"/>
          <cell r="DO193"/>
        </row>
        <row r="194">
          <cell r="A194"/>
          <cell r="B194"/>
          <cell r="C194"/>
          <cell r="D194"/>
          <cell r="E194"/>
          <cell r="F194"/>
          <cell r="G194"/>
          <cell r="H194"/>
          <cell r="I194"/>
          <cell r="J194"/>
          <cell r="K194"/>
          <cell r="L194"/>
          <cell r="M194"/>
          <cell r="N194"/>
          <cell r="O194"/>
          <cell r="P194"/>
          <cell r="Q194"/>
          <cell r="R194"/>
          <cell r="S194"/>
          <cell r="T194"/>
          <cell r="U194"/>
          <cell r="V194"/>
          <cell r="W194"/>
          <cell r="X194"/>
          <cell r="Y194"/>
          <cell r="Z194"/>
          <cell r="AA194"/>
          <cell r="AB194"/>
          <cell r="AC194"/>
          <cell r="AD194"/>
          <cell r="AE194"/>
          <cell r="AF194"/>
          <cell r="AG194"/>
          <cell r="AH194"/>
          <cell r="AI194"/>
          <cell r="AJ194"/>
          <cell r="AK194"/>
          <cell r="AL194"/>
          <cell r="AM194">
            <v>26.953972832031283</v>
          </cell>
          <cell r="AN194">
            <v>28.746987162031253</v>
          </cell>
          <cell r="AO194">
            <v>34.361030962172983</v>
          </cell>
          <cell r="AP194">
            <v>36.848066574657452</v>
          </cell>
          <cell r="AQ194">
            <v>33.817508665682965</v>
          </cell>
          <cell r="AR194">
            <v>46.253942254362642</v>
          </cell>
          <cell r="AS194">
            <v>38.676640886278307</v>
          </cell>
          <cell r="AT194">
            <v>45.324508375277262</v>
          </cell>
          <cell r="AU194">
            <v>43.424580108778507</v>
          </cell>
          <cell r="AV194">
            <v>45.644232606624989</v>
          </cell>
          <cell r="AW194">
            <v>47.267520785149202</v>
          </cell>
          <cell r="AX194">
            <v>54.868979919743396</v>
          </cell>
          <cell r="AY194"/>
          <cell r="AZ194"/>
          <cell r="BA194"/>
          <cell r="BB194"/>
          <cell r="BC194"/>
          <cell r="BD194"/>
          <cell r="BE194"/>
          <cell r="BF194"/>
          <cell r="BG194"/>
          <cell r="BH194"/>
          <cell r="BI194"/>
          <cell r="BJ194"/>
          <cell r="BK194"/>
          <cell r="BL194"/>
          <cell r="BM194"/>
          <cell r="BN194"/>
          <cell r="BO194"/>
          <cell r="BP194"/>
          <cell r="BQ194"/>
          <cell r="BR194"/>
          <cell r="BS194"/>
          <cell r="BT194"/>
          <cell r="BU194"/>
          <cell r="BV194"/>
          <cell r="BW194"/>
          <cell r="BX194"/>
          <cell r="BY194"/>
          <cell r="BZ194"/>
          <cell r="CA194"/>
          <cell r="CB194"/>
          <cell r="CC194"/>
          <cell r="CD194"/>
          <cell r="CE194"/>
          <cell r="CF194"/>
          <cell r="CG194"/>
          <cell r="CH194"/>
          <cell r="CI194"/>
          <cell r="CJ194"/>
          <cell r="CK194"/>
          <cell r="CL194"/>
          <cell r="CM194"/>
          <cell r="CN194"/>
          <cell r="CO194"/>
          <cell r="CP194"/>
          <cell r="CQ194"/>
          <cell r="CR194"/>
          <cell r="CS194"/>
          <cell r="CT194"/>
          <cell r="CU194"/>
          <cell r="CV194"/>
          <cell r="CW194"/>
          <cell r="CX194"/>
          <cell r="CY194"/>
          <cell r="CZ194"/>
          <cell r="DA194"/>
          <cell r="DB194"/>
          <cell r="DC194"/>
          <cell r="DD194"/>
          <cell r="DE194"/>
          <cell r="DF194"/>
          <cell r="DG194"/>
          <cell r="DH194"/>
          <cell r="DI194"/>
          <cell r="DJ194"/>
          <cell r="DK194"/>
          <cell r="DL194"/>
          <cell r="DM194"/>
          <cell r="DN194"/>
          <cell r="DO194"/>
        </row>
        <row r="195">
          <cell r="A195" t="str">
            <v>Product -- Application Networking</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0.293292</v>
          </cell>
          <cell r="AF195">
            <v>2.1471542499999998</v>
          </cell>
          <cell r="AG195">
            <v>8.0079071093749992</v>
          </cell>
          <cell r="AH195">
            <v>15.088201915039063</v>
          </cell>
          <cell r="AI195">
            <v>16.597390295349122</v>
          </cell>
          <cell r="AJ195">
            <v>20.844607508430482</v>
          </cell>
          <cell r="AK195">
            <v>24</v>
          </cell>
          <cell r="AL195">
            <v>25.823755312499998</v>
          </cell>
          <cell r="AM195">
            <v>18.8064</v>
          </cell>
          <cell r="AN195">
            <v>20.16</v>
          </cell>
          <cell r="AO195">
            <v>23.893333333333331</v>
          </cell>
          <cell r="AP195">
            <v>27.573333333333334</v>
          </cell>
          <cell r="AQ195">
            <v>23.531755852800003</v>
          </cell>
          <cell r="AR195">
            <v>31.071808581888018</v>
          </cell>
          <cell r="AS195">
            <v>28.660309637880321</v>
          </cell>
          <cell r="AT195">
            <v>33.971343698047157</v>
          </cell>
          <cell r="AU195">
            <v>28.263984999999995</v>
          </cell>
          <cell r="AV195">
            <v>28.670268144000005</v>
          </cell>
          <cell r="AW195">
            <v>29.082491071999993</v>
          </cell>
          <cell r="AX195">
            <v>35.471880837119997</v>
          </cell>
          <cell r="AY195">
            <v>34.784640335760002</v>
          </cell>
          <cell r="AZ195">
            <v>37.973766480499997</v>
          </cell>
          <cell r="BA195">
            <v>48.094200144000006</v>
          </cell>
          <cell r="BB195">
            <v>51.019999999999982</v>
          </cell>
          <cell r="BC195">
            <v>46.706039999999994</v>
          </cell>
          <cell r="BD195">
            <v>50.653482058001295</v>
          </cell>
          <cell r="BE195">
            <v>60.180446338496004</v>
          </cell>
          <cell r="BF195">
            <v>60.790753536372662</v>
          </cell>
          <cell r="BG195">
            <v>60.818195941974416</v>
          </cell>
          <cell r="BH195">
            <v>61.439860381488842</v>
          </cell>
          <cell r="BI195">
            <v>67.822133088293867</v>
          </cell>
          <cell r="BJ195">
            <v>84.247210829935497</v>
          </cell>
          <cell r="BK195">
            <v>79.374901289722587</v>
          </cell>
          <cell r="BL195">
            <v>88.390553346702575</v>
          </cell>
          <cell r="BM195">
            <v>85.244626526977129</v>
          </cell>
          <cell r="BN195">
            <v>104.36817819809531</v>
          </cell>
          <cell r="BO195">
            <v>96.192012816313394</v>
          </cell>
          <cell r="BP195">
            <v>100.96866277181019</v>
          </cell>
          <cell r="BQ195">
            <v>89.279478919246387</v>
          </cell>
          <cell r="BR195">
            <v>107.70788822059542</v>
          </cell>
          <cell r="BS195">
            <v>91.321840010685548</v>
          </cell>
          <cell r="BT195">
            <v>99.620538670742008</v>
          </cell>
          <cell r="BU195">
            <v>108.82208196681258</v>
          </cell>
          <cell r="BV195">
            <v>126.6738587130377</v>
          </cell>
          <cell r="BW195">
            <v>102.05932203389833</v>
          </cell>
          <cell r="BX195">
            <v>104.78483050847458</v>
          </cell>
          <cell r="BY195">
            <v>97.10084745762714</v>
          </cell>
          <cell r="BZ195">
            <v>95.935593220338987</v>
          </cell>
          <cell r="CA195">
            <v>105.11342592592592</v>
          </cell>
          <cell r="CB195">
            <v>110.97987692307689</v>
          </cell>
          <cell r="CC195">
            <v>93.782324999999986</v>
          </cell>
          <cell r="CD195">
            <v>118.20218666666673</v>
          </cell>
          <cell r="CE195">
            <v>122.81450006789672</v>
          </cell>
          <cell r="CF195">
            <v>122.7299809856809</v>
          </cell>
          <cell r="CG195">
            <v>105.79547214962037</v>
          </cell>
          <cell r="CH195">
            <v>112.47334254388213</v>
          </cell>
          <cell r="CI195">
            <v>88.436251742442948</v>
          </cell>
          <cell r="CJ195">
            <v>122.7299809856809</v>
          </cell>
          <cell r="CK195">
            <v>105.79547214962037</v>
          </cell>
          <cell r="CL195">
            <v>112.47334254388213</v>
          </cell>
          <cell r="CM195">
            <v>92.447047380412556</v>
          </cell>
          <cell r="CN195">
            <v>128.46984867903274</v>
          </cell>
          <cell r="CO195">
            <v>110.65177118083022</v>
          </cell>
          <cell r="CP195">
            <v>117.71014526429657</v>
          </cell>
          <cell r="CQ195">
            <v>96.237249258293829</v>
          </cell>
          <cell r="CR195">
            <v>133.89402364925022</v>
          </cell>
          <cell r="CS195">
            <v>115.2409737653235</v>
          </cell>
          <cell r="CT195">
            <v>122.65892383508822</v>
          </cell>
          <cell r="CU195">
            <v>99.801934124441175</v>
          </cell>
          <cell r="CV195">
            <v>138.99546020873976</v>
          </cell>
          <cell r="CW195">
            <v>119.55711879603945</v>
          </cell>
          <cell r="CX195">
            <v>127.31325008091777</v>
          </cell>
          <cell r="CY195">
            <v>103.14008326734486</v>
          </cell>
          <cell r="CZ195">
            <v>143.77270047487374</v>
          </cell>
          <cell r="DA195">
            <v>123.5989728100534</v>
          </cell>
          <cell r="DB195">
            <v>131.67179389382486</v>
          </cell>
          <cell r="DC195"/>
          <cell r="DD195">
            <v>0</v>
          </cell>
          <cell r="DE195">
            <v>0</v>
          </cell>
          <cell r="DF195">
            <v>0</v>
          </cell>
          <cell r="DG195">
            <v>0</v>
          </cell>
          <cell r="DH195">
            <v>0</v>
          </cell>
          <cell r="DI195">
            <v>0</v>
          </cell>
          <cell r="DJ195">
            <v>0</v>
          </cell>
          <cell r="DK195">
            <v>25.536555274414063</v>
          </cell>
          <cell r="DL195">
            <v>87.265753116279598</v>
          </cell>
          <cell r="DM195">
            <v>90.433066666666662</v>
          </cell>
          <cell r="DN195">
            <v>117.23521777061549</v>
          </cell>
          <cell r="DO195">
            <v>121.48862505311999</v>
          </cell>
        </row>
        <row r="196">
          <cell r="A196" t="str">
            <v>% of revenue</v>
          </cell>
          <cell r="B196"/>
          <cell r="C196" t="e">
            <v>#DIV/0!</v>
          </cell>
          <cell r="D196" t="e">
            <v>#DIV/0!</v>
          </cell>
          <cell r="E196" t="e">
            <v>#DIV/0!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1.4527316855713508E-3</v>
          </cell>
          <cell r="AF196">
            <v>1.0165054277584991E-2</v>
          </cell>
          <cell r="AG196">
            <v>3.5285362262444532E-2</v>
          </cell>
          <cell r="AH196">
            <v>5.6161790226308225E-2</v>
          </cell>
          <cell r="AI196">
            <v>6.3836607571401027E-2</v>
          </cell>
          <cell r="AJ196">
            <v>7.5669796522392724E-2</v>
          </cell>
          <cell r="AK196">
            <v>8.6377230961918433E-2</v>
          </cell>
          <cell r="AL196">
            <v>8.0447334634986684E-2</v>
          </cell>
          <cell r="AM196">
            <v>6.104229960271091E-2</v>
          </cell>
          <cell r="AN196">
            <v>6.0293572274527168E-2</v>
          </cell>
          <cell r="AO196">
            <v>6.8280127606109006E-2</v>
          </cell>
          <cell r="AP196">
            <v>6.9009416214710045E-2</v>
          </cell>
          <cell r="AQ196">
            <v>6.2412821795381858E-2</v>
          </cell>
          <cell r="AR196">
            <v>7.9319451106343697E-2</v>
          </cell>
          <cell r="AS196">
            <v>7.1849617912273026E-2</v>
          </cell>
          <cell r="AT196">
            <v>8.172140693352889E-2</v>
          </cell>
          <cell r="AU196">
            <v>7.6584127698085383E-2</v>
          </cell>
          <cell r="AV196">
            <v>7.2984278473021288E-2</v>
          </cell>
          <cell r="AW196">
            <v>7.2517320061240453E-2</v>
          </cell>
          <cell r="AX196">
            <v>7.8623727363064097E-2</v>
          </cell>
          <cell r="AY196">
            <v>8.3965704502742169E-2</v>
          </cell>
          <cell r="AZ196">
            <v>8.2833841543911532E-2</v>
          </cell>
          <cell r="BA196">
            <v>0.10184421703692882</v>
          </cell>
          <cell r="BB196">
            <v>9.6314248345360537E-2</v>
          </cell>
          <cell r="BC196">
            <v>9.5146021088313409E-2</v>
          </cell>
          <cell r="BD196">
            <v>9.5430362399444787E-2</v>
          </cell>
          <cell r="BE196">
            <v>0.10644849957636006</v>
          </cell>
          <cell r="BF196">
            <v>9.8149968736373425E-2</v>
          </cell>
          <cell r="BG196">
            <v>0.10316999455801053</v>
          </cell>
          <cell r="BH196">
            <v>9.9868110696329462E-2</v>
          </cell>
          <cell r="BI196">
            <v>0.10573714822424841</v>
          </cell>
          <cell r="BJ196">
            <v>0.11384819759827823</v>
          </cell>
          <cell r="BK196">
            <v>0.11795960655272572</v>
          </cell>
          <cell r="BL196">
            <v>0.12101929032769417</v>
          </cell>
          <cell r="BM196">
            <v>0.11960280460226527</v>
          </cell>
          <cell r="BN196">
            <v>0.13006677076605183</v>
          </cell>
          <cell r="BO196">
            <v>0.12811611429161143</v>
          </cell>
          <cell r="BP196">
            <v>0.12918862630100081</v>
          </cell>
          <cell r="BQ196">
            <v>0.1176287018332772</v>
          </cell>
          <cell r="BR196">
            <v>0.12649446697185432</v>
          </cell>
          <cell r="BS196">
            <v>0.12003364871633561</v>
          </cell>
          <cell r="BT196">
            <v>0.12503221007951212</v>
          </cell>
          <cell r="BU196">
            <v>0.13380806124265321</v>
          </cell>
          <cell r="BV196">
            <v>0.14000777962078212</v>
          </cell>
          <cell r="BW196">
            <v>0.15492335301218832</v>
          </cell>
          <cell r="BX196">
            <v>0.15547010626091393</v>
          </cell>
          <cell r="BY196">
            <v>0.14520056862143976</v>
          </cell>
          <cell r="BZ196">
            <v>0.13059853361948937</v>
          </cell>
          <cell r="CA196">
            <v>0.15861939666825006</v>
          </cell>
          <cell r="CB196">
            <v>0.16009168270000573</v>
          </cell>
          <cell r="CC196">
            <v>0.13573445019358105</v>
          </cell>
          <cell r="CD196">
            <v>0.15195876191467933</v>
          </cell>
          <cell r="CE196">
            <v>0.17615592271267702</v>
          </cell>
          <cell r="CF196">
            <v>0.16532296240485597</v>
          </cell>
          <cell r="CG196">
            <v>0.14443541105731841</v>
          </cell>
          <cell r="CH196">
            <v>0.14026381152042366</v>
          </cell>
          <cell r="CI196">
            <v>0.12451897621706547</v>
          </cell>
          <cell r="CJ196">
            <v>0.15897937130663198</v>
          </cell>
          <cell r="CK196">
            <v>0.13868790969493672</v>
          </cell>
          <cell r="CL196">
            <v>0.13140607076910271</v>
          </cell>
          <cell r="CM196">
            <v>0.12086127238024147</v>
          </cell>
          <cell r="CN196">
            <v>0.15534212387687024</v>
          </cell>
          <cell r="CO196">
            <v>0.1351073344877389</v>
          </cell>
          <cell r="CP196">
            <v>0.13085972966228568</v>
          </cell>
          <cell r="CQ196">
            <v>0.1168479303200128</v>
          </cell>
          <cell r="CR196">
            <v>0.15141003974291803</v>
          </cell>
          <cell r="CS196">
            <v>0.13144419904126814</v>
          </cell>
          <cell r="CT196">
            <v>0.13002280151713294</v>
          </cell>
          <cell r="CU196">
            <v>0.11166513437235764</v>
          </cell>
          <cell r="CV196">
            <v>0.1454808413078916</v>
          </cell>
          <cell r="CW196">
            <v>0.12618880216245046</v>
          </cell>
          <cell r="CX196">
            <v>0.12587340773237968</v>
          </cell>
          <cell r="CY196">
            <v>0.10620289453347904</v>
          </cell>
          <cell r="CZ196">
            <v>0.13919907581088506</v>
          </cell>
          <cell r="DA196">
            <v>0.12082457179110119</v>
          </cell>
          <cell r="DB196">
            <v>0.12101165654441172</v>
          </cell>
          <cell r="DC196"/>
          <cell r="DD196"/>
          <cell r="DE196">
            <v>0</v>
          </cell>
          <cell r="DF196">
            <v>0</v>
          </cell>
          <cell r="DG196">
            <v>0</v>
          </cell>
          <cell r="DH196">
            <v>0</v>
          </cell>
          <cell r="DI196">
            <v>0</v>
          </cell>
          <cell r="DJ196">
            <v>0</v>
          </cell>
          <cell r="DK196">
            <v>2.8101614436994E-2</v>
          </cell>
          <cell r="DL196">
            <v>7.6932285464917372E-2</v>
          </cell>
          <cell r="DM196">
            <v>6.4968990566177803E-2</v>
          </cell>
          <cell r="DN196">
            <v>7.404232898683144E-2</v>
          </cell>
          <cell r="DO196">
            <v>7.5267658921397099E-2</v>
          </cell>
        </row>
        <row r="197">
          <cell r="A197" t="str">
            <v>% of delivery networking revenue</v>
          </cell>
          <cell r="B197"/>
          <cell r="C197" t="e">
            <v>#DIV/0!</v>
          </cell>
          <cell r="D197" t="e">
            <v>#DIV/0!</v>
          </cell>
          <cell r="E197" t="e">
            <v>#DIV/0!</v>
          </cell>
          <cell r="F197" t="e">
            <v>#DIV/0!</v>
          </cell>
          <cell r="G197" t="e">
            <v>#DIV/0!</v>
          </cell>
          <cell r="H197" t="e">
            <v>#DIV/0!</v>
          </cell>
          <cell r="I197" t="e">
            <v>#DIV/0!</v>
          </cell>
          <cell r="J197" t="e">
            <v>#DIV/0!</v>
          </cell>
          <cell r="K197" t="e">
            <v>#DIV/0!</v>
          </cell>
          <cell r="L197" t="e">
            <v>#DIV/0!</v>
          </cell>
          <cell r="M197" t="e">
            <v>#DIV/0!</v>
          </cell>
          <cell r="N197" t="e">
            <v>#DIV/0!</v>
          </cell>
          <cell r="O197" t="e">
            <v>#DIV/0!</v>
          </cell>
          <cell r="P197" t="e">
            <v>#DIV/0!</v>
          </cell>
          <cell r="Q197" t="e">
            <v>#DIV/0!</v>
          </cell>
          <cell r="R197" t="e">
            <v>#DIV/0!</v>
          </cell>
          <cell r="S197" t="e">
            <v>#DIV/0!</v>
          </cell>
          <cell r="T197" t="e">
            <v>#DIV/0!</v>
          </cell>
          <cell r="U197" t="e">
            <v>#DIV/0!</v>
          </cell>
          <cell r="V197" t="e">
            <v>#DIV/0!</v>
          </cell>
          <cell r="W197" t="e">
            <v>#DIV/0!</v>
          </cell>
          <cell r="X197" t="e">
            <v>#DIV/0!</v>
          </cell>
          <cell r="Y197" t="e">
            <v>#DIV/0!</v>
          </cell>
          <cell r="Z197" t="e">
            <v>#DIV/0!</v>
          </cell>
          <cell r="AA197" t="e">
            <v>#DIV/0!</v>
          </cell>
          <cell r="AB197" t="e">
            <v>#DIV/0!</v>
          </cell>
          <cell r="AC197" t="e">
            <v>#DIV/0!</v>
          </cell>
          <cell r="AD197" t="e">
            <v>#DIV/0!</v>
          </cell>
          <cell r="AE197">
            <v>1</v>
          </cell>
          <cell r="AF197">
            <v>0.99153503718566505</v>
          </cell>
          <cell r="AG197">
            <v>0.82893856326086757</v>
          </cell>
          <cell r="AH197">
            <v>0.81294305234689779</v>
          </cell>
          <cell r="AI197">
            <v>0.78989396839447235</v>
          </cell>
          <cell r="AJ197">
            <v>0.78529053653892422</v>
          </cell>
          <cell r="AK197">
            <v>0.81030773563318481</v>
          </cell>
          <cell r="AL197">
            <v>0.80613802355335107</v>
          </cell>
          <cell r="AM197">
            <v>0.58592391812318911</v>
          </cell>
          <cell r="AN197">
            <v>0.67764705882352938</v>
          </cell>
          <cell r="AO197">
            <v>0.51955582615754825</v>
          </cell>
          <cell r="AP197">
            <v>0.55648189294904282</v>
          </cell>
          <cell r="AQ197">
            <v>0.58396163097024001</v>
          </cell>
          <cell r="AR197">
            <v>0.54327695361040662</v>
          </cell>
          <cell r="AS197">
            <v>0.55692998225026569</v>
          </cell>
          <cell r="AT197">
            <v>0.57672124564798533</v>
          </cell>
          <cell r="AU197">
            <v>0.57330598377281938</v>
          </cell>
          <cell r="AV197">
            <v>0.46392019650485444</v>
          </cell>
          <cell r="AW197">
            <v>0.48551738016694479</v>
          </cell>
          <cell r="AX197">
            <v>0.50386194370909088</v>
          </cell>
          <cell r="AY197">
            <v>0.59762569345544736</v>
          </cell>
          <cell r="AZ197">
            <v>0.53678171893968052</v>
          </cell>
          <cell r="BA197">
            <v>0.57092033002224907</v>
          </cell>
          <cell r="BB197">
            <v>0.59699492506338769</v>
          </cell>
          <cell r="BC197">
            <v>0.60133951332560831</v>
          </cell>
          <cell r="BD197">
            <v>0.53886683040426908</v>
          </cell>
          <cell r="BE197">
            <v>0.53828663987921288</v>
          </cell>
          <cell r="BF197">
            <v>0.58452647631127563</v>
          </cell>
          <cell r="BG197">
            <v>0.60636287080732221</v>
          </cell>
          <cell r="BH197">
            <v>0.54516291376653803</v>
          </cell>
          <cell r="BI197">
            <v>0.53277402268887564</v>
          </cell>
          <cell r="BJ197">
            <v>0.5390096662183973</v>
          </cell>
          <cell r="BK197">
            <v>0.53487130249139203</v>
          </cell>
          <cell r="BL197">
            <v>0.5331155207883147</v>
          </cell>
          <cell r="BM197">
            <v>0.5775381201014711</v>
          </cell>
          <cell r="BN197">
            <v>0.58931777638676064</v>
          </cell>
          <cell r="BO197">
            <v>0.57257150485900832</v>
          </cell>
          <cell r="BP197">
            <v>0.55845499320691472</v>
          </cell>
          <cell r="BQ197">
            <v>0.5686591013964738</v>
          </cell>
          <cell r="BR197">
            <v>0.54896986860650065</v>
          </cell>
          <cell r="BS197">
            <v>0.56025668718211996</v>
          </cell>
          <cell r="BT197">
            <v>0.5682860163761666</v>
          </cell>
          <cell r="BU197">
            <v>0.57365356861788397</v>
          </cell>
          <cell r="BV197">
            <v>0.57086011137015635</v>
          </cell>
          <cell r="BW197">
            <v>0.52204256794832904</v>
          </cell>
          <cell r="BX197">
            <v>0.53763381482029027</v>
          </cell>
          <cell r="BY197">
            <v>0.50784962059428418</v>
          </cell>
          <cell r="BZ197">
            <v>0.47681706371937871</v>
          </cell>
          <cell r="CA197">
            <v>0.54344652014231176</v>
          </cell>
          <cell r="CB197">
            <v>0.56372735499459992</v>
          </cell>
          <cell r="CC197">
            <v>0.50545882536825137</v>
          </cell>
          <cell r="CD197">
            <v>0.55080236098167168</v>
          </cell>
          <cell r="CE197">
            <v>0.58875599265530543</v>
          </cell>
          <cell r="CF197">
            <v>0.59175497100135432</v>
          </cell>
          <cell r="CG197">
            <v>0.54143025665107658</v>
          </cell>
          <cell r="CH197">
            <v>0.54650024512612205</v>
          </cell>
          <cell r="CI197">
            <v>0.51095671196330705</v>
          </cell>
          <cell r="CJ197">
            <v>0.5850118956106668</v>
          </cell>
          <cell r="CK197">
            <v>0.53756858959448417</v>
          </cell>
          <cell r="CL197">
            <v>0.54475873760758664</v>
          </cell>
          <cell r="CM197">
            <v>0.51487449008288566</v>
          </cell>
          <cell r="CN197">
            <v>0.59007428700981268</v>
          </cell>
          <cell r="CO197">
            <v>0.54427340106916045</v>
          </cell>
          <cell r="CP197">
            <v>0.55270407524077991</v>
          </cell>
          <cell r="CQ197">
            <v>0.51684390990305329</v>
          </cell>
          <cell r="CR197">
            <v>0.5930543954969425</v>
          </cell>
          <cell r="CS197">
            <v>0.5485864865422263</v>
          </cell>
          <cell r="CT197">
            <v>0.55807766753891541</v>
          </cell>
          <cell r="CU197">
            <v>0.51739325241965339</v>
          </cell>
          <cell r="CV197">
            <v>0.59449969586931239</v>
          </cell>
          <cell r="CW197">
            <v>0.55110157381377733</v>
          </cell>
          <cell r="CX197">
            <v>0.56149660699424886</v>
          </cell>
          <cell r="CY197">
            <v>0.51693154212538639</v>
          </cell>
          <cell r="CZ197">
            <v>0.59483369163236055</v>
          </cell>
          <cell r="DA197">
            <v>0.55228935811485036</v>
          </cell>
          <cell r="DB197">
            <v>0.56345477183240611</v>
          </cell>
          <cell r="DC197"/>
          <cell r="DD197"/>
          <cell r="DE197" t="e">
            <v>#DIV/0!</v>
          </cell>
          <cell r="DF197" t="e">
            <v>#DIV/0!</v>
          </cell>
          <cell r="DG197" t="e">
            <v>#DIV/0!</v>
          </cell>
          <cell r="DH197" t="e">
            <v>#DIV/0!</v>
          </cell>
          <cell r="DI197" t="e">
            <v>#DIV/0!</v>
          </cell>
          <cell r="DJ197" t="e">
            <v>#DIV/0!</v>
          </cell>
          <cell r="DK197">
            <v>0.83237395133019698</v>
          </cell>
          <cell r="DL197">
            <v>0.79907633667706568</v>
          </cell>
          <cell r="DM197">
            <v>0.57460000854002569</v>
          </cell>
          <cell r="DN197">
            <v>0.56402248176153147</v>
          </cell>
          <cell r="DO197">
            <v>0.50326688091599003</v>
          </cell>
        </row>
        <row r="198">
          <cell r="A198" t="str">
            <v>% of delivery networking product revenue</v>
          </cell>
          <cell r="B198"/>
          <cell r="C198" t="e">
            <v>#DIV/0!</v>
          </cell>
          <cell r="D198" t="e">
            <v>#DIV/0!</v>
          </cell>
          <cell r="E198" t="e">
            <v>#DIV/0!</v>
          </cell>
          <cell r="F198" t="e">
            <v>#DIV/0!</v>
          </cell>
          <cell r="G198" t="e">
            <v>#DIV/0!</v>
          </cell>
          <cell r="H198" t="e">
            <v>#DIV/0!</v>
          </cell>
          <cell r="I198" t="e">
            <v>#DIV/0!</v>
          </cell>
          <cell r="J198" t="e">
            <v>#DIV/0!</v>
          </cell>
          <cell r="K198" t="e">
            <v>#DIV/0!</v>
          </cell>
          <cell r="L198" t="e">
            <v>#DIV/0!</v>
          </cell>
          <cell r="M198" t="e">
            <v>#DIV/0!</v>
          </cell>
          <cell r="N198" t="e">
            <v>#DIV/0!</v>
          </cell>
          <cell r="O198" t="e">
            <v>#DIV/0!</v>
          </cell>
          <cell r="P198" t="e">
            <v>#DIV/0!</v>
          </cell>
          <cell r="Q198" t="e">
            <v>#DIV/0!</v>
          </cell>
          <cell r="R198" t="e">
            <v>#DIV/0!</v>
          </cell>
          <cell r="S198" t="e">
            <v>#DIV/0!</v>
          </cell>
          <cell r="T198" t="e">
            <v>#DIV/0!</v>
          </cell>
          <cell r="U198" t="e">
            <v>#DIV/0!</v>
          </cell>
          <cell r="V198" t="e">
            <v>#DIV/0!</v>
          </cell>
          <cell r="W198" t="e">
            <v>#DIV/0!</v>
          </cell>
          <cell r="X198" t="e">
            <v>#DIV/0!</v>
          </cell>
          <cell r="Y198" t="e">
            <v>#DIV/0!</v>
          </cell>
          <cell r="Z198" t="e">
            <v>#DIV/0!</v>
          </cell>
          <cell r="AA198" t="e">
            <v>#DIV/0!</v>
          </cell>
          <cell r="AB198" t="e">
            <v>#DIV/0!</v>
          </cell>
          <cell r="AC198" t="e">
            <v>#DIV/0!</v>
          </cell>
          <cell r="AD198" t="e">
            <v>#DIV/0!</v>
          </cell>
          <cell r="AE198">
            <v>1</v>
          </cell>
          <cell r="AF198">
            <v>1</v>
          </cell>
          <cell r="AG198">
            <v>1</v>
          </cell>
          <cell r="AH198">
            <v>1</v>
          </cell>
          <cell r="AI198">
            <v>1</v>
          </cell>
          <cell r="AJ198">
            <v>1</v>
          </cell>
          <cell r="AK198">
            <v>1.005198678146985</v>
          </cell>
          <cell r="AL198">
            <v>0.99969968125753994</v>
          </cell>
          <cell r="AM198">
            <v>0.78501630024168711</v>
          </cell>
          <cell r="AN198">
            <v>0.96698105433543668</v>
          </cell>
          <cell r="AO198">
            <v>0.68161503204579588</v>
          </cell>
          <cell r="AP198">
            <v>0.70310783096121532</v>
          </cell>
          <cell r="AQ198">
            <v>0.83372078626510415</v>
          </cell>
          <cell r="AR198">
            <v>0.77852270575820248</v>
          </cell>
          <cell r="AS198">
            <v>0.73444636018195697</v>
          </cell>
          <cell r="AT198">
            <v>0.75786685495321704</v>
          </cell>
          <cell r="AU198">
            <v>0.92343610237173279</v>
          </cell>
          <cell r="AV198">
            <v>0.69072180480355838</v>
          </cell>
          <cell r="AW198">
            <v>0.78921278350067825</v>
          </cell>
          <cell r="AX198">
            <v>0.77056946061810216</v>
          </cell>
          <cell r="AY198">
            <v>0.92988642481734662</v>
          </cell>
          <cell r="AZ198">
            <v>0.80269750283983743</v>
          </cell>
          <cell r="BA198">
            <v>0.85500800256000009</v>
          </cell>
          <cell r="BB198">
            <v>0.92204819277108352</v>
          </cell>
          <cell r="BC198">
            <v>0.98313173774070306</v>
          </cell>
          <cell r="BD198">
            <v>0.84978096109693757</v>
          </cell>
          <cell r="BE198">
            <v>0.81051106179792598</v>
          </cell>
          <cell r="BF198">
            <v>0.95532876170307957</v>
          </cell>
          <cell r="BG198">
            <v>1.0484556828203992</v>
          </cell>
          <cell r="BH198">
            <v>0.89422098629574009</v>
          </cell>
          <cell r="BI198">
            <v>0.86232845630379995</v>
          </cell>
          <cell r="BJ198">
            <v>0.84557254094950285</v>
          </cell>
          <cell r="BK198">
            <v>0.91227751354610498</v>
          </cell>
          <cell r="BL198">
            <v>0.8353887266500426</v>
          </cell>
          <cell r="BM198">
            <v>0.95619323081297947</v>
          </cell>
          <cell r="BN198">
            <v>0.90728639407211187</v>
          </cell>
          <cell r="BO198">
            <v>0.90061181289980641</v>
          </cell>
          <cell r="BP198">
            <v>0.84135159030416806</v>
          </cell>
          <cell r="BQ198">
            <v>0.96154527645930399</v>
          </cell>
          <cell r="BR198">
            <v>0.85800229596863031</v>
          </cell>
          <cell r="BS198">
            <v>0.98825237686914225</v>
          </cell>
          <cell r="BT198">
            <v>0.9892048600058404</v>
          </cell>
          <cell r="BU198">
            <v>0.96090138602042008</v>
          </cell>
          <cell r="BV198">
            <v>0.91735039863639489</v>
          </cell>
          <cell r="BW198">
            <v>0.88355966169627409</v>
          </cell>
          <cell r="BX198">
            <v>0.89696971868196018</v>
          </cell>
          <cell r="BY198">
            <v>0.87490063934430007</v>
          </cell>
          <cell r="BZ198">
            <v>0.86843642778996522</v>
          </cell>
          <cell r="CA198">
            <v>1</v>
          </cell>
          <cell r="CB198">
            <v>1</v>
          </cell>
          <cell r="CC198">
            <v>0.99999999999999989</v>
          </cell>
          <cell r="CD198">
            <v>1</v>
          </cell>
          <cell r="CE198">
            <v>1</v>
          </cell>
          <cell r="CF198">
            <v>1</v>
          </cell>
          <cell r="CG198">
            <v>1</v>
          </cell>
          <cell r="CH198">
            <v>1</v>
          </cell>
          <cell r="CI198">
            <v>1</v>
          </cell>
          <cell r="CJ198">
            <v>1</v>
          </cell>
          <cell r="CK198">
            <v>1</v>
          </cell>
          <cell r="CL198">
            <v>1</v>
          </cell>
          <cell r="CM198">
            <v>1</v>
          </cell>
          <cell r="CN198">
            <v>1</v>
          </cell>
          <cell r="CO198">
            <v>1</v>
          </cell>
          <cell r="CP198">
            <v>1</v>
          </cell>
          <cell r="CQ198">
            <v>1</v>
          </cell>
          <cell r="CR198">
            <v>1</v>
          </cell>
          <cell r="CS198">
            <v>1</v>
          </cell>
          <cell r="CT198">
            <v>1</v>
          </cell>
          <cell r="CU198">
            <v>1</v>
          </cell>
          <cell r="CV198">
            <v>1</v>
          </cell>
          <cell r="CW198">
            <v>1</v>
          </cell>
          <cell r="CX198">
            <v>1</v>
          </cell>
          <cell r="CY198">
            <v>1</v>
          </cell>
          <cell r="CZ198">
            <v>1</v>
          </cell>
          <cell r="DA198">
            <v>1</v>
          </cell>
          <cell r="DB198">
            <v>1</v>
          </cell>
          <cell r="DC198"/>
          <cell r="DD198"/>
          <cell r="DE198" t="e">
            <v>#DIV/0!</v>
          </cell>
          <cell r="DF198" t="e">
            <v>#DIV/0!</v>
          </cell>
          <cell r="DG198" t="e">
            <v>#DIV/0!</v>
          </cell>
          <cell r="DH198" t="e">
            <v>#DIV/0!</v>
          </cell>
          <cell r="DI198" t="e">
            <v>#DIV/0!</v>
          </cell>
          <cell r="DJ198" t="e">
            <v>#DIV/0!</v>
          </cell>
          <cell r="DK198">
            <v>1</v>
          </cell>
          <cell r="DL198">
            <v>1.0013352395861002</v>
          </cell>
          <cell r="DM198">
            <v>0.75946016925573068</v>
          </cell>
          <cell r="DN198">
            <v>0.77136456427525657</v>
          </cell>
          <cell r="DO198">
            <v>0.78380550476376676</v>
          </cell>
        </row>
        <row r="199">
          <cell r="A199" t="str">
            <v>% growth in revenue y-o-y</v>
          </cell>
          <cell r="B199"/>
          <cell r="C199" t="str">
            <v>NA</v>
          </cell>
          <cell r="D199" t="str">
            <v>NA</v>
          </cell>
          <cell r="E199" t="str">
            <v>NA</v>
          </cell>
          <cell r="F199" t="str">
            <v>NA</v>
          </cell>
          <cell r="G199" t="str">
            <v>NA</v>
          </cell>
          <cell r="H199" t="str">
            <v>NA</v>
          </cell>
          <cell r="I199" t="str">
            <v>NA</v>
          </cell>
          <cell r="J199" t="str">
            <v>NA</v>
          </cell>
          <cell r="K199" t="str">
            <v>NA</v>
          </cell>
          <cell r="L199" t="str">
            <v>NA</v>
          </cell>
          <cell r="M199" t="str">
            <v>NA</v>
          </cell>
          <cell r="N199" t="str">
            <v>NA</v>
          </cell>
          <cell r="O199" t="str">
            <v>NA</v>
          </cell>
          <cell r="P199" t="str">
            <v>NA</v>
          </cell>
          <cell r="Q199" t="str">
            <v>NA</v>
          </cell>
          <cell r="R199" t="str">
            <v>NA</v>
          </cell>
          <cell r="S199" t="str">
            <v>NA</v>
          </cell>
          <cell r="T199" t="str">
            <v>NA</v>
          </cell>
          <cell r="U199" t="str">
            <v>NA</v>
          </cell>
          <cell r="V199" t="str">
            <v>NA</v>
          </cell>
          <cell r="W199" t="str">
            <v>NA</v>
          </cell>
          <cell r="X199" t="str">
            <v>NA</v>
          </cell>
          <cell r="Y199" t="str">
            <v>NA</v>
          </cell>
          <cell r="Z199" t="str">
            <v>NA</v>
          </cell>
          <cell r="AA199" t="str">
            <v>NA</v>
          </cell>
          <cell r="AB199" t="str">
            <v>NA</v>
          </cell>
          <cell r="AC199" t="str">
            <v>NA</v>
          </cell>
          <cell r="AD199" t="str">
            <v>NA</v>
          </cell>
          <cell r="AE199" t="str">
            <v>NA</v>
          </cell>
          <cell r="AF199" t="str">
            <v>NA</v>
          </cell>
          <cell r="AG199" t="str">
            <v>NA</v>
          </cell>
          <cell r="AH199" t="str">
            <v>NA</v>
          </cell>
          <cell r="AI199">
            <v>55.589986414048532</v>
          </cell>
          <cell r="AJ199">
            <v>8.708015857934047</v>
          </cell>
          <cell r="AK199">
            <v>1.9970377618270287</v>
          </cell>
          <cell r="AL199">
            <v>0.71151973296170867</v>
          </cell>
          <cell r="AM199">
            <v>0.13309379759960693</v>
          </cell>
          <cell r="AN199">
            <v>-3.2843386864137236E-2</v>
          </cell>
          <cell r="AO199">
            <v>-4.4444444444445841E-3</v>
          </cell>
          <cell r="AP199">
            <v>6.7750720205533188E-2</v>
          </cell>
          <cell r="AQ199">
            <v>0.25126317917304775</v>
          </cell>
          <cell r="AR199">
            <v>0.54126034632381037</v>
          </cell>
          <cell r="AS199">
            <v>0.19951072703182149</v>
          </cell>
          <cell r="AT199">
            <v>0.23203615926186494</v>
          </cell>
          <cell r="AU199">
            <v>0.20109970445052494</v>
          </cell>
          <cell r="AV199">
            <v>-7.7290011347710519E-2</v>
          </cell>
          <cell r="AW199">
            <v>1.4730525924314231E-2</v>
          </cell>
          <cell r="AX199">
            <v>4.4170673742266464E-2</v>
          </cell>
          <cell r="AY199">
            <v>0.23070544849779706</v>
          </cell>
          <cell r="AZ199">
            <v>0.32449987177559714</v>
          </cell>
          <cell r="BA199">
            <v>0.65371666494910685</v>
          </cell>
          <cell r="BB199">
            <v>0.43832237806261065</v>
          </cell>
          <cell r="BC199">
            <v>0.342720222177612</v>
          </cell>
          <cell r="BD199">
            <v>0.33390724051596221</v>
          </cell>
          <cell r="BE199">
            <v>0.25130361162693782</v>
          </cell>
          <cell r="BF199">
            <v>0.19150830137931574</v>
          </cell>
          <cell r="BG199">
            <v>0.30214841467986631</v>
          </cell>
          <cell r="BH199">
            <v>0.21294445880613888</v>
          </cell>
          <cell r="BI199">
            <v>0.12697956254454801</v>
          </cell>
          <cell r="BJ199">
            <v>0.38585567588873926</v>
          </cell>
          <cell r="BK199">
            <v>0.30511765533875423</v>
          </cell>
          <cell r="BL199">
            <v>0.43865159845535207</v>
          </cell>
          <cell r="BM199">
            <v>0.25688507048284492</v>
          </cell>
          <cell r="BN199">
            <v>0.23883244525182845</v>
          </cell>
          <cell r="BO199">
            <v>0.21186938507435071</v>
          </cell>
          <cell r="BP199">
            <v>0.14230151242261502</v>
          </cell>
          <cell r="BQ199">
            <v>4.7332630297727496E-2</v>
          </cell>
          <cell r="BR199">
            <v>3.199931320216387E-2</v>
          </cell>
          <cell r="BS199">
            <v>-5.062970056492988E-2</v>
          </cell>
          <cell r="BT199">
            <v>-1.3351906067280983E-2</v>
          </cell>
          <cell r="BU199">
            <v>0.21889244072809322</v>
          </cell>
          <cell r="BV199">
            <v>0.17608710750691037</v>
          </cell>
          <cell r="BW199">
            <v>0.11757846777897152</v>
          </cell>
          <cell r="BX199">
            <v>5.1839629725364045E-2</v>
          </cell>
          <cell r="BY199">
            <v>-0.10771007407081268</v>
          </cell>
          <cell r="BZ199">
            <v>-0.24265673916456632</v>
          </cell>
          <cell r="CA199">
            <v>2.9924791103483894E-2</v>
          </cell>
          <cell r="CB199">
            <v>5.9121595984270581E-2</v>
          </cell>
          <cell r="CC199">
            <v>-3.4176040112062767E-2</v>
          </cell>
          <cell r="CD199">
            <v>0.23209939813669789</v>
          </cell>
          <cell r="CE199">
            <v>0.16839974518997081</v>
          </cell>
          <cell r="CF199">
            <v>0.10587598750671101</v>
          </cell>
          <cell r="CG199">
            <v>0.12809606873811652</v>
          </cell>
          <cell r="CH199">
            <v>-4.8466481749107504E-2</v>
          </cell>
          <cell r="CI199">
            <v>-0.27992010964868241</v>
          </cell>
          <cell r="CJ199">
            <v>0</v>
          </cell>
          <cell r="CK199">
            <v>0</v>
          </cell>
          <cell r="CL199">
            <v>0</v>
          </cell>
          <cell r="CM199">
            <v>4.5352392926493845E-2</v>
          </cell>
          <cell r="CN199">
            <v>4.6768260267403772E-2</v>
          </cell>
          <cell r="CO199">
            <v>4.5902711453869038E-2</v>
          </cell>
          <cell r="CP199">
            <v>4.6560390239769767E-2</v>
          </cell>
          <cell r="CQ199">
            <v>4.0998625540574318E-2</v>
          </cell>
          <cell r="CR199">
            <v>4.2221385219882723E-2</v>
          </cell>
          <cell r="CS199">
            <v>4.147428039803791E-2</v>
          </cell>
          <cell r="CT199">
            <v>4.2042073431139526E-2</v>
          </cell>
          <cell r="CU199">
            <v>3.7040593882520456E-2</v>
          </cell>
          <cell r="CV199">
            <v>3.8100554606181003E-2</v>
          </cell>
          <cell r="CW199">
            <v>3.7453215550792951E-2</v>
          </cell>
          <cell r="CX199">
            <v>3.7945272144138231E-2</v>
          </cell>
          <cell r="CY199">
            <v>3.3447739988099023E-2</v>
          </cell>
          <cell r="CZ199">
            <v>3.4369757537114243E-2</v>
          </cell>
          <cell r="DA199">
            <v>3.380688707386148E-2</v>
          </cell>
          <cell r="DB199">
            <v>3.4234801249177771E-2</v>
          </cell>
          <cell r="DC199"/>
          <cell r="DD199" t="str">
            <v>NA</v>
          </cell>
          <cell r="DE199" t="str">
            <v>NA</v>
          </cell>
          <cell r="DF199" t="str">
            <v>NA</v>
          </cell>
          <cell r="DG199" t="str">
            <v>NA</v>
          </cell>
          <cell r="DH199" t="str">
            <v>NA</v>
          </cell>
          <cell r="DI199" t="str">
            <v>NA</v>
          </cell>
          <cell r="DJ199" t="str">
            <v>NA</v>
          </cell>
          <cell r="DK199" t="str">
            <v>NA</v>
          </cell>
          <cell r="DL199">
            <v>2.4172875776911895</v>
          </cell>
          <cell r="DM199">
            <v>3.6295034847939611E-2</v>
          </cell>
          <cell r="DN199">
            <v>0.29637556362807738</v>
          </cell>
          <cell r="DO199">
            <v>3.6280968836743144E-2</v>
          </cell>
        </row>
        <row r="200">
          <cell r="A200" t="str">
            <v>% growth in revenue seq</v>
          </cell>
          <cell r="B200"/>
          <cell r="C200" t="str">
            <v>NA</v>
          </cell>
          <cell r="D200" t="str">
            <v>NA</v>
          </cell>
          <cell r="E200" t="str">
            <v>NA</v>
          </cell>
          <cell r="F200" t="str">
            <v>NA</v>
          </cell>
          <cell r="G200" t="str">
            <v>NA</v>
          </cell>
          <cell r="H200" t="str">
            <v>NA</v>
          </cell>
          <cell r="I200" t="str">
            <v>NA</v>
          </cell>
          <cell r="J200" t="str">
            <v>NA</v>
          </cell>
          <cell r="K200" t="str">
            <v>NA</v>
          </cell>
          <cell r="L200" t="str">
            <v>NA</v>
          </cell>
          <cell r="M200" t="str">
            <v>NA</v>
          </cell>
          <cell r="N200" t="str">
            <v>NA</v>
          </cell>
          <cell r="O200" t="str">
            <v>NA</v>
          </cell>
          <cell r="P200" t="str">
            <v>NA</v>
          </cell>
          <cell r="Q200" t="str">
            <v>NA</v>
          </cell>
          <cell r="R200" t="str">
            <v>NA</v>
          </cell>
          <cell r="S200" t="str">
            <v>NA</v>
          </cell>
          <cell r="T200" t="str">
            <v>NA</v>
          </cell>
          <cell r="U200" t="str">
            <v>NA</v>
          </cell>
          <cell r="V200" t="str">
            <v>NA</v>
          </cell>
          <cell r="W200" t="str">
            <v>NA</v>
          </cell>
          <cell r="X200" t="str">
            <v>NA</v>
          </cell>
          <cell r="Y200" t="str">
            <v>NA</v>
          </cell>
          <cell r="Z200" t="str">
            <v>NA</v>
          </cell>
          <cell r="AA200" t="str">
            <v>NA</v>
          </cell>
          <cell r="AB200" t="str">
            <v>NA</v>
          </cell>
          <cell r="AC200" t="str">
            <v>NA</v>
          </cell>
          <cell r="AD200" t="str">
            <v>NA</v>
          </cell>
          <cell r="AE200" t="str">
            <v>NA</v>
          </cell>
          <cell r="AF200">
            <v>6.3208756120180567</v>
          </cell>
          <cell r="AG200">
            <v>2.7295444001636118</v>
          </cell>
          <cell r="AH200">
            <v>0.88416295406012346</v>
          </cell>
          <cell r="AI200">
            <v>0.10002440243100041</v>
          </cell>
          <cell r="AJ200">
            <v>0.25589668842525826</v>
          </cell>
          <cell r="AK200">
            <v>0.15137692039983675</v>
          </cell>
          <cell r="AL200">
            <v>7.5989804687499829E-2</v>
          </cell>
          <cell r="AM200">
            <v>-0.27174031149153755</v>
          </cell>
          <cell r="AN200">
            <v>7.1975497702909674E-2</v>
          </cell>
          <cell r="AO200">
            <v>0.18518518518518512</v>
          </cell>
          <cell r="AP200">
            <v>0.15401785714285721</v>
          </cell>
          <cell r="AQ200">
            <v>-0.14657558560928419</v>
          </cell>
          <cell r="AR200">
            <v>0.3204203195143569</v>
          </cell>
          <cell r="AS200">
            <v>-7.7610511073158972E-2</v>
          </cell>
          <cell r="AT200">
            <v>0.1853097237005159</v>
          </cell>
          <cell r="AU200">
            <v>-0.16800509125505236</v>
          </cell>
          <cell r="AV200">
            <v>1.4374588155209089E-2</v>
          </cell>
          <cell r="AW200">
            <v>1.4378063223181137E-2</v>
          </cell>
          <cell r="AX200">
            <v>0.21969884729962397</v>
          </cell>
          <cell r="AY200">
            <v>-1.9374233481321945E-2</v>
          </cell>
          <cell r="AZ200">
            <v>9.1682021546200865E-2</v>
          </cell>
          <cell r="BA200">
            <v>0.26651118920997674</v>
          </cell>
          <cell r="BB200">
            <v>6.0834775237757821E-2</v>
          </cell>
          <cell r="BC200">
            <v>-8.4554292434339207E-2</v>
          </cell>
          <cell r="BD200">
            <v>8.4516736122379532E-2</v>
          </cell>
          <cell r="BE200">
            <v>0.18808113269657878</v>
          </cell>
          <cell r="BF200">
            <v>1.0141287328509829E-2</v>
          </cell>
          <cell r="BG200">
            <v>4.5142400785236347E-4</v>
          </cell>
          <cell r="BH200">
            <v>1.0221684972496536E-2</v>
          </cell>
          <cell r="BI200">
            <v>0.10387837256101462</v>
          </cell>
          <cell r="BJ200">
            <v>0.24217872534705931</v>
          </cell>
          <cell r="BK200">
            <v>-5.7833481870970593E-2</v>
          </cell>
          <cell r="BL200">
            <v>0.11358315929203333</v>
          </cell>
          <cell r="BM200">
            <v>-3.5591210832065734E-2</v>
          </cell>
          <cell r="BN200">
            <v>0.22433732717529353</v>
          </cell>
          <cell r="BO200">
            <v>-7.8339638795487998E-2</v>
          </cell>
          <cell r="BP200">
            <v>4.9657448842641561E-2</v>
          </cell>
          <cell r="BQ200">
            <v>-0.1157704136280524</v>
          </cell>
          <cell r="BR200">
            <v>0.20641259922694655</v>
          </cell>
          <cell r="BS200">
            <v>-0.15213415173779821</v>
          </cell>
          <cell r="BT200">
            <v>9.0873099568355542E-2</v>
          </cell>
          <cell r="BU200">
            <v>9.2365925931024995E-2</v>
          </cell>
          <cell r="BV200">
            <v>0.16404553582855885</v>
          </cell>
          <cell r="BW200">
            <v>-0.19431425654207191</v>
          </cell>
          <cell r="BX200">
            <v>2.6705139915303322E-2</v>
          </cell>
          <cell r="BY200">
            <v>-7.3331063414050157E-2</v>
          </cell>
          <cell r="BZ200">
            <v>-1.2000453835345204E-2</v>
          </cell>
          <cell r="CA200">
            <v>9.566660712159103E-2</v>
          </cell>
          <cell r="CB200">
            <v>5.5810672570838715E-2</v>
          </cell>
          <cell r="CC200">
            <v>-0.15496099292844756</v>
          </cell>
          <cell r="CD200">
            <v>0.2603887424060638</v>
          </cell>
          <cell r="CE200">
            <v>3.9020542100772104E-2</v>
          </cell>
          <cell r="CF200">
            <v>-6.8818488182664783E-4</v>
          </cell>
          <cell r="CG200">
            <v>-0.13798184192692331</v>
          </cell>
          <cell r="CH200">
            <v>6.3120568948523914E-2</v>
          </cell>
          <cell r="CI200">
            <v>-0.21371366990414609</v>
          </cell>
          <cell r="CJ200">
            <v>0.38777909022097856</v>
          </cell>
          <cell r="CK200">
            <v>-0.13798184192692331</v>
          </cell>
          <cell r="CL200">
            <v>6.3120568948523914E-2</v>
          </cell>
          <cell r="CM200">
            <v>-0.17805370330890802</v>
          </cell>
          <cell r="CN200">
            <v>0.38965875405829986</v>
          </cell>
          <cell r="CO200">
            <v>-0.13869462509229658</v>
          </cell>
          <cell r="CP200">
            <v>6.3789074572799587E-2</v>
          </cell>
          <cell r="CQ200">
            <v>-0.18242179514594337</v>
          </cell>
          <cell r="CR200">
            <v>0.3912910508267784</v>
          </cell>
          <cell r="CS200">
            <v>-0.13931204228196459</v>
          </cell>
          <cell r="CT200">
            <v>6.4369033230061046E-2</v>
          </cell>
          <cell r="CU200">
            <v>-0.18634591757365881</v>
          </cell>
          <cell r="CV200">
            <v>0.39271309146603217</v>
          </cell>
          <cell r="CW200">
            <v>-0.13984875033694133</v>
          </cell>
          <cell r="CX200">
            <v>6.4873855802012326E-2</v>
          </cell>
          <cell r="CY200">
            <v>-0.18987157109106023</v>
          </cell>
          <cell r="CZ200">
            <v>0.3939556370359607</v>
          </cell>
          <cell r="DA200">
            <v>-0.14031681674050478</v>
          </cell>
          <cell r="DB200">
            <v>6.5314629241925326E-2</v>
          </cell>
          <cell r="DC200"/>
          <cell r="DD200"/>
          <cell r="DE200"/>
          <cell r="DF200"/>
          <cell r="DG200"/>
          <cell r="DH200"/>
          <cell r="DI200"/>
          <cell r="DJ200"/>
          <cell r="DK200"/>
          <cell r="DL200"/>
          <cell r="DM200"/>
          <cell r="DN200"/>
          <cell r="DO200"/>
        </row>
        <row r="201">
          <cell r="A201"/>
          <cell r="B201"/>
          <cell r="C201"/>
          <cell r="D201"/>
          <cell r="E201"/>
          <cell r="F201"/>
          <cell r="G201"/>
          <cell r="H201"/>
          <cell r="I201"/>
          <cell r="J201"/>
          <cell r="K201"/>
          <cell r="L201"/>
          <cell r="M201"/>
          <cell r="N201"/>
          <cell r="O201"/>
          <cell r="P201"/>
          <cell r="Q201"/>
          <cell r="R201"/>
          <cell r="S201"/>
          <cell r="T201"/>
          <cell r="U201"/>
          <cell r="V201"/>
          <cell r="W201"/>
          <cell r="X201"/>
          <cell r="Y201"/>
          <cell r="Z201"/>
          <cell r="AA201"/>
          <cell r="AB201"/>
          <cell r="AC201"/>
          <cell r="AD201"/>
          <cell r="AE201"/>
          <cell r="AF201"/>
          <cell r="AG201"/>
          <cell r="AH201"/>
          <cell r="AI201"/>
          <cell r="AJ201"/>
          <cell r="AK201"/>
          <cell r="AL201"/>
          <cell r="AM201"/>
          <cell r="AN201"/>
          <cell r="AO201"/>
          <cell r="AP201"/>
          <cell r="AQ201"/>
          <cell r="AR201"/>
          <cell r="AS201"/>
          <cell r="AT201"/>
          <cell r="AU201"/>
          <cell r="AV201"/>
          <cell r="AW201"/>
          <cell r="AX201"/>
          <cell r="AY201"/>
          <cell r="AZ201"/>
          <cell r="BA201"/>
          <cell r="BB201"/>
          <cell r="BC201"/>
          <cell r="BD201"/>
          <cell r="BE201"/>
          <cell r="BF201"/>
          <cell r="BG201"/>
          <cell r="BH201"/>
          <cell r="BI201"/>
          <cell r="BJ201"/>
          <cell r="BK201"/>
          <cell r="BL201"/>
          <cell r="BM201"/>
          <cell r="BN201"/>
          <cell r="BO201"/>
          <cell r="BP201"/>
          <cell r="BQ201"/>
          <cell r="BR201"/>
          <cell r="BS201"/>
          <cell r="BT201"/>
          <cell r="BU201"/>
          <cell r="BV201"/>
          <cell r="BW201"/>
          <cell r="BX201"/>
          <cell r="BY201"/>
          <cell r="BZ201"/>
          <cell r="CA201"/>
          <cell r="CB201"/>
          <cell r="CC201"/>
          <cell r="CD201"/>
          <cell r="CE201"/>
          <cell r="CF201"/>
          <cell r="CG201"/>
          <cell r="CH201"/>
          <cell r="CI201"/>
          <cell r="CJ201"/>
          <cell r="CK201"/>
          <cell r="CL201"/>
          <cell r="CM201"/>
          <cell r="CN201"/>
          <cell r="CO201"/>
          <cell r="CP201"/>
          <cell r="CQ201"/>
          <cell r="CR201"/>
          <cell r="CS201"/>
          <cell r="CT201"/>
          <cell r="CU201"/>
          <cell r="CV201"/>
          <cell r="CW201"/>
          <cell r="CX201"/>
          <cell r="CY201"/>
          <cell r="CZ201"/>
          <cell r="DA201"/>
          <cell r="DB201"/>
          <cell r="DC201"/>
          <cell r="DD201"/>
          <cell r="DE201"/>
          <cell r="DF201"/>
          <cell r="DG201"/>
          <cell r="DH201"/>
          <cell r="DI201"/>
          <cell r="DJ201"/>
          <cell r="DK201"/>
          <cell r="DL201"/>
          <cell r="DM201"/>
          <cell r="DN201"/>
          <cell r="DO201"/>
        </row>
        <row r="202">
          <cell r="A202" t="str">
            <v>Product -- NetScaler</v>
          </cell>
          <cell r="B202">
            <v>0</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0.293292</v>
          </cell>
          <cell r="AF202">
            <v>2.1471542499999998</v>
          </cell>
          <cell r="AG202">
            <v>8.0079071093749992</v>
          </cell>
          <cell r="AH202">
            <v>15.088201915039063</v>
          </cell>
          <cell r="AI202">
            <v>16.597390295349122</v>
          </cell>
          <cell r="AJ202">
            <v>20.844607508430482</v>
          </cell>
          <cell r="AK202">
            <v>23.75</v>
          </cell>
          <cell r="AL202">
            <v>24.089380312499998</v>
          </cell>
          <cell r="AM202">
            <v>16.8</v>
          </cell>
          <cell r="AN202">
            <v>16</v>
          </cell>
          <cell r="AO202">
            <v>19.52</v>
          </cell>
          <cell r="AP202">
            <v>21.28</v>
          </cell>
          <cell r="AQ202">
            <v>20.522155852800005</v>
          </cell>
          <cell r="AR202">
            <v>24.831808581888016</v>
          </cell>
          <cell r="AS202">
            <v>22.100309637880322</v>
          </cell>
          <cell r="AT202">
            <v>24.531343698047156</v>
          </cell>
          <cell r="AU202">
            <v>22.127984999999995</v>
          </cell>
          <cell r="AV202">
            <v>22.753200000000007</v>
          </cell>
          <cell r="AW202">
            <v>24.433140671999993</v>
          </cell>
          <cell r="AX202">
            <v>28.846556517119996</v>
          </cell>
          <cell r="AY202">
            <v>24.51538763976</v>
          </cell>
          <cell r="AZ202">
            <v>25.779028904</v>
          </cell>
          <cell r="BA202">
            <v>40.171656144000004</v>
          </cell>
          <cell r="BB202">
            <v>41.717599999999983</v>
          </cell>
          <cell r="BC202">
            <v>35.486159999999998</v>
          </cell>
          <cell r="BD202">
            <v>45.067482058001296</v>
          </cell>
          <cell r="BE202">
            <v>53.180518018496002</v>
          </cell>
          <cell r="BF202">
            <v>53.440828800372664</v>
          </cell>
          <cell r="BG202">
            <v>53.100774969174417</v>
          </cell>
          <cell r="BH202">
            <v>52.579476381488838</v>
          </cell>
          <cell r="BI202">
            <v>59.004233088293859</v>
          </cell>
          <cell r="BJ202">
            <v>74.188990829935491</v>
          </cell>
          <cell r="BK202">
            <v>71.350901289722586</v>
          </cell>
          <cell r="BL202">
            <v>80.763434702634783</v>
          </cell>
          <cell r="BM202">
            <v>77.388694323587302</v>
          </cell>
          <cell r="BN202">
            <v>95.724110401485135</v>
          </cell>
          <cell r="BO202">
            <v>87.547945019703221</v>
          </cell>
          <cell r="BP202">
            <v>93.341544127742395</v>
          </cell>
          <cell r="BQ202">
            <v>80.983767054839603</v>
          </cell>
          <cell r="BR202">
            <v>99.562922118900502</v>
          </cell>
          <cell r="BS202">
            <v>83.285484078482156</v>
          </cell>
          <cell r="BT202">
            <v>94.046131891080989</v>
          </cell>
          <cell r="BU202">
            <v>100.94072603460918</v>
          </cell>
          <cell r="BV202">
            <v>118.52889261134278</v>
          </cell>
          <cell r="BW202">
            <v>93.889830508474589</v>
          </cell>
          <cell r="BX202">
            <v>96.805169491525433</v>
          </cell>
          <cell r="BY202">
            <v>88.431355932203402</v>
          </cell>
          <cell r="BZ202">
            <v>88.198305084745769</v>
          </cell>
          <cell r="CA202">
            <v>96.893086942875073</v>
          </cell>
          <cell r="CB202">
            <v>103.04724980443282</v>
          </cell>
          <cell r="CC202">
            <v>85.112833474576263</v>
          </cell>
          <cell r="CD202">
            <v>110.46489853107352</v>
          </cell>
          <cell r="CE202">
            <v>114.59416108484587</v>
          </cell>
          <cell r="CF202">
            <v>114.79735386703683</v>
          </cell>
          <cell r="CG202">
            <v>97.125980624196643</v>
          </cell>
          <cell r="CH202">
            <v>104.73605440828891</v>
          </cell>
          <cell r="CI202">
            <v>80.215912759392097</v>
          </cell>
          <cell r="CJ202">
            <v>114.79735386703683</v>
          </cell>
          <cell r="CK202">
            <v>97.125980624196643</v>
          </cell>
          <cell r="CL202">
            <v>104.73605440828891</v>
          </cell>
          <cell r="CM202">
            <v>84.226708397361705</v>
          </cell>
          <cell r="CN202">
            <v>120.53722156038867</v>
          </cell>
          <cell r="CO202">
            <v>101.98227965540649</v>
          </cell>
          <cell r="CP202">
            <v>109.97285712870335</v>
          </cell>
          <cell r="CQ202">
            <v>88.016910275242978</v>
          </cell>
          <cell r="CR202">
            <v>125.96139653060615</v>
          </cell>
          <cell r="CS202">
            <v>106.57148223989977</v>
          </cell>
          <cell r="CT202">
            <v>114.921635699495</v>
          </cell>
          <cell r="CU202">
            <v>91.581595141390324</v>
          </cell>
          <cell r="CV202">
            <v>131.06283309009569</v>
          </cell>
          <cell r="CW202">
            <v>110.88762727061571</v>
          </cell>
          <cell r="CX202">
            <v>119.57596194532455</v>
          </cell>
          <cell r="CY202">
            <v>94.919744284294012</v>
          </cell>
          <cell r="CZ202">
            <v>135.84007335622968</v>
          </cell>
          <cell r="DA202">
            <v>114.92948128462966</v>
          </cell>
          <cell r="DB202">
            <v>123.93450575823164</v>
          </cell>
          <cell r="DC202"/>
          <cell r="DD202">
            <v>0</v>
          </cell>
          <cell r="DE202">
            <v>0</v>
          </cell>
          <cell r="DF202">
            <v>0</v>
          </cell>
          <cell r="DG202">
            <v>0</v>
          </cell>
          <cell r="DH202">
            <v>0</v>
          </cell>
          <cell r="DI202">
            <v>0</v>
          </cell>
          <cell r="DJ202">
            <v>0</v>
          </cell>
          <cell r="DK202">
            <v>25.536555274414063</v>
          </cell>
          <cell r="DL202">
            <v>85.281378116279598</v>
          </cell>
          <cell r="DM202">
            <v>73.599999999999994</v>
          </cell>
          <cell r="DN202">
            <v>91.985617770615505</v>
          </cell>
          <cell r="DO202">
            <v>98.160882189119988</v>
          </cell>
        </row>
        <row r="203">
          <cell r="A203" t="str">
            <v>% of revenue</v>
          </cell>
          <cell r="B203"/>
          <cell r="C203" t="e">
            <v>#DIV/0!</v>
          </cell>
          <cell r="D203" t="e">
            <v>#DIV/0!</v>
          </cell>
          <cell r="E203" t="e">
            <v>#DIV/0!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1.4527316855713508E-3</v>
          </cell>
          <cell r="AF203">
            <v>1.0165054277584991E-2</v>
          </cell>
          <cell r="AG203">
            <v>3.5285362262444532E-2</v>
          </cell>
          <cell r="AH203">
            <v>5.6161790226308225E-2</v>
          </cell>
          <cell r="AI203">
            <v>6.3836607571401027E-2</v>
          </cell>
          <cell r="AJ203">
            <v>7.5669796522392724E-2</v>
          </cell>
          <cell r="AK203">
            <v>8.5477468139398452E-2</v>
          </cell>
          <cell r="AL203">
            <v>7.5044330915383692E-2</v>
          </cell>
          <cell r="AM203">
            <v>5.4529874581288461E-2</v>
          </cell>
          <cell r="AN203">
            <v>4.7852041487719973E-2</v>
          </cell>
          <cell r="AO203">
            <v>5.5782425678205134E-2</v>
          </cell>
          <cell r="AP203">
            <v>5.3258717736304272E-2</v>
          </cell>
          <cell r="AQ203">
            <v>5.4430517812186711E-2</v>
          </cell>
          <cell r="AR203">
            <v>6.3390112020749026E-2</v>
          </cell>
          <cell r="AS203">
            <v>5.5404104955164228E-2</v>
          </cell>
          <cell r="AT203">
            <v>5.9012558902390815E-2</v>
          </cell>
          <cell r="AU203">
            <v>5.995801472939212E-2</v>
          </cell>
          <cell r="AV203">
            <v>5.7921533088272754E-2</v>
          </cell>
          <cell r="AW203">
            <v>6.0924144284139801E-2</v>
          </cell>
          <cell r="AX203">
            <v>6.393863932334426E-2</v>
          </cell>
          <cell r="AY203">
            <v>5.9177032577050828E-2</v>
          </cell>
          <cell r="AZ203">
            <v>5.6232925867029646E-2</v>
          </cell>
          <cell r="BA203">
            <v>8.5067447942011681E-2</v>
          </cell>
          <cell r="BB203">
            <v>7.8753416048067668E-2</v>
          </cell>
          <cell r="BC203">
            <v>7.2289728003129008E-2</v>
          </cell>
          <cell r="BD203">
            <v>8.4906426379549912E-2</v>
          </cell>
          <cell r="BE203">
            <v>9.4066872118581835E-2</v>
          </cell>
          <cell r="BF203">
            <v>8.628311660693784E-2</v>
          </cell>
          <cell r="BG203">
            <v>9.0078414522895722E-2</v>
          </cell>
          <cell r="BH203">
            <v>8.5465900069063974E-2</v>
          </cell>
          <cell r="BI203">
            <v>9.1989724531266248E-2</v>
          </cell>
          <cell r="BJ203">
            <v>0.10025593493739898</v>
          </cell>
          <cell r="BK203">
            <v>0.10603508296151813</v>
          </cell>
          <cell r="BL203">
            <v>0.11057667569748897</v>
          </cell>
          <cell r="BM203">
            <v>0.10858050838757863</v>
          </cell>
          <cell r="BN203">
            <v>0.11929427282655609</v>
          </cell>
          <cell r="BO203">
            <v>0.11660326259684854</v>
          </cell>
          <cell r="BP203">
            <v>0.1194297867441302</v>
          </cell>
          <cell r="BQ203">
            <v>0.10669882377836928</v>
          </cell>
          <cell r="BR203">
            <v>0.11692884311125473</v>
          </cell>
          <cell r="BS203">
            <v>0.10947064292481114</v>
          </cell>
          <cell r="BT203">
            <v>0.11803585763208321</v>
          </cell>
          <cell r="BU203">
            <v>0.12411711489986005</v>
          </cell>
          <cell r="BV203">
            <v>0.13100545956382253</v>
          </cell>
          <cell r="BW203">
            <v>0.14252228082886609</v>
          </cell>
          <cell r="BX203">
            <v>0.14363061823377221</v>
          </cell>
          <cell r="BY203">
            <v>0.13223657158012042</v>
          </cell>
          <cell r="BZ203">
            <v>0.1200656495169317</v>
          </cell>
          <cell r="CA203">
            <v>0.14621465199920186</v>
          </cell>
          <cell r="CB203">
            <v>0.14864863861972025</v>
          </cell>
          <cell r="CC203">
            <v>0.1231867908594656</v>
          </cell>
          <cell r="CD203">
            <v>0.14201183319179939</v>
          </cell>
          <cell r="CE203">
            <v>0.16436528400332456</v>
          </cell>
          <cell r="CF203">
            <v>0.15463734667857029</v>
          </cell>
          <cell r="CG203">
            <v>0.13259953994970025</v>
          </cell>
          <cell r="CH203">
            <v>0.13061475601816866</v>
          </cell>
          <cell r="CI203">
            <v>0.11294467072402209</v>
          </cell>
          <cell r="CJ203">
            <v>0.14870377228833578</v>
          </cell>
          <cell r="CK203">
            <v>0.12732302201733775</v>
          </cell>
          <cell r="CL203">
            <v>0.12236635869768436</v>
          </cell>
          <cell r="CM203">
            <v>0.11011435663721979</v>
          </cell>
          <cell r="CN203">
            <v>0.14575021451289089</v>
          </cell>
          <cell r="CO203">
            <v>0.12452176609724426</v>
          </cell>
          <cell r="CP203">
            <v>0.12225809696979723</v>
          </cell>
          <cell r="CQ203">
            <v>0.10686707982707717</v>
          </cell>
          <cell r="CR203">
            <v>0.14243966634936012</v>
          </cell>
          <cell r="CS203">
            <v>0.12155575110108524</v>
          </cell>
          <cell r="CT203">
            <v>0.12182100218545383</v>
          </cell>
          <cell r="CU203">
            <v>0.10246766475233847</v>
          </cell>
          <cell r="CV203">
            <v>0.13717808620158078</v>
          </cell>
          <cell r="CW203">
            <v>0.11703842482007694</v>
          </cell>
          <cell r="CX203">
            <v>0.11822362404045896</v>
          </cell>
          <cell r="CY203">
            <v>9.7738447284745789E-2</v>
          </cell>
          <cell r="CZ203">
            <v>0.13151879742687714</v>
          </cell>
          <cell r="DA203">
            <v>0.1123496825797185</v>
          </cell>
          <cell r="DB203">
            <v>0.11390077860494538</v>
          </cell>
          <cell r="DC203"/>
          <cell r="DD203"/>
          <cell r="DE203">
            <v>0</v>
          </cell>
          <cell r="DF203">
            <v>0</v>
          </cell>
          <cell r="DG203">
            <v>0</v>
          </cell>
          <cell r="DH203">
            <v>0</v>
          </cell>
          <cell r="DI203">
            <v>0</v>
          </cell>
          <cell r="DJ203">
            <v>0</v>
          </cell>
          <cell r="DK203">
            <v>2.8101614436994E-2</v>
          </cell>
          <cell r="DL203">
            <v>7.5182887808702498E-2</v>
          </cell>
          <cell r="DM203">
            <v>5.2875766375323104E-2</v>
          </cell>
          <cell r="DN203">
            <v>5.8095421346468015E-2</v>
          </cell>
          <cell r="DO203">
            <v>6.0815074636029753E-2</v>
          </cell>
        </row>
        <row r="204">
          <cell r="A204" t="str">
            <v>% growth in revenue y-o-y</v>
          </cell>
          <cell r="B204"/>
          <cell r="C204" t="str">
            <v>NA</v>
          </cell>
          <cell r="D204" t="str">
            <v>NA</v>
          </cell>
          <cell r="E204" t="str">
            <v>NA</v>
          </cell>
          <cell r="F204" t="str">
            <v>NA</v>
          </cell>
          <cell r="G204" t="str">
            <v>NA</v>
          </cell>
          <cell r="H204" t="str">
            <v>NA</v>
          </cell>
          <cell r="I204" t="str">
            <v>NA</v>
          </cell>
          <cell r="J204" t="str">
            <v>NA</v>
          </cell>
          <cell r="K204" t="str">
            <v>NA</v>
          </cell>
          <cell r="L204" t="str">
            <v>NA</v>
          </cell>
          <cell r="M204" t="str">
            <v>NA</v>
          </cell>
          <cell r="N204" t="str">
            <v>NA</v>
          </cell>
          <cell r="O204" t="str">
            <v>NA</v>
          </cell>
          <cell r="P204" t="str">
            <v>NA</v>
          </cell>
          <cell r="Q204" t="str">
            <v>NA</v>
          </cell>
          <cell r="R204" t="str">
            <v>NA</v>
          </cell>
          <cell r="S204" t="str">
            <v>NA</v>
          </cell>
          <cell r="T204" t="str">
            <v>NA</v>
          </cell>
          <cell r="U204" t="str">
            <v>NA</v>
          </cell>
          <cell r="V204" t="str">
            <v>NA</v>
          </cell>
          <cell r="W204" t="str">
            <v>NA</v>
          </cell>
          <cell r="X204" t="str">
            <v>NA</v>
          </cell>
          <cell r="Y204" t="str">
            <v>NA</v>
          </cell>
          <cell r="Z204" t="str">
            <v>NA</v>
          </cell>
          <cell r="AA204" t="str">
            <v>NA</v>
          </cell>
          <cell r="AB204" t="str">
            <v>NA</v>
          </cell>
          <cell r="AC204" t="str">
            <v>NA</v>
          </cell>
          <cell r="AD204" t="str">
            <v>NA</v>
          </cell>
          <cell r="AE204" t="str">
            <v>NA</v>
          </cell>
          <cell r="AF204" t="str">
            <v>NA</v>
          </cell>
          <cell r="AG204" t="str">
            <v>NA</v>
          </cell>
          <cell r="AH204" t="str">
            <v>NA</v>
          </cell>
          <cell r="AI204">
            <v>55.589986414048532</v>
          </cell>
          <cell r="AJ204">
            <v>8.708015857934047</v>
          </cell>
          <cell r="AK204">
            <v>1.965818618474664</v>
          </cell>
          <cell r="AL204">
            <v>0.59657064825524841</v>
          </cell>
          <cell r="AM204">
            <v>1.2207323021598881E-2</v>
          </cell>
          <cell r="AN204">
            <v>-0.23241538640010895</v>
          </cell>
          <cell r="AO204">
            <v>-0.17810526315789477</v>
          </cell>
          <cell r="AP204">
            <v>-0.11662318731554111</v>
          </cell>
          <cell r="AQ204">
            <v>0.22155689600000028</v>
          </cell>
          <cell r="AR204">
            <v>0.55198803636800098</v>
          </cell>
          <cell r="AS204">
            <v>0.13218799374386903</v>
          </cell>
          <cell r="AT204">
            <v>0.15278870761499785</v>
          </cell>
          <cell r="AU204">
            <v>7.8248560176532145E-2</v>
          </cell>
          <cell r="AV204">
            <v>-8.370749859130755E-2</v>
          </cell>
          <cell r="AW204">
            <v>0.10555648641778115</v>
          </cell>
          <cell r="AX204">
            <v>0.17590609271910185</v>
          </cell>
          <cell r="AY204">
            <v>0.10789064796274972</v>
          </cell>
          <cell r="AZ204">
            <v>0.13298476275864468</v>
          </cell>
          <cell r="BA204">
            <v>0.64414623086241662</v>
          </cell>
          <cell r="BB204">
            <v>0.4461899455916416</v>
          </cell>
          <cell r="BC204">
            <v>0.44750556350360027</v>
          </cell>
          <cell r="BD204">
            <v>0.74822264352279011</v>
          </cell>
          <cell r="BE204">
            <v>0.323831853679724</v>
          </cell>
          <cell r="BF204">
            <v>0.28101397972013453</v>
          </cell>
          <cell r="BG204">
            <v>0.49637985539078944</v>
          </cell>
          <cell r="BH204">
            <v>0.16668324877390961</v>
          </cell>
          <cell r="BI204">
            <v>0.1095084306582419</v>
          </cell>
          <cell r="BJ204">
            <v>0.38824551368892957</v>
          </cell>
          <cell r="BK204">
            <v>0.34368851172402981</v>
          </cell>
          <cell r="BL204">
            <v>0.53602584621912297</v>
          </cell>
          <cell r="BM204">
            <v>0.31157868296979574</v>
          </cell>
          <cell r="BN204">
            <v>0.29027379036486578</v>
          </cell>
          <cell r="BO204">
            <v>0.22700545385141013</v>
          </cell>
          <cell r="BP204">
            <v>0.15574014987623186</v>
          </cell>
          <cell r="BQ204">
            <v>4.6454753664923354E-2</v>
          </cell>
          <cell r="BR204">
            <v>4.0102871693606268E-2</v>
          </cell>
          <cell r="BS204">
            <v>-4.868716153487973E-2</v>
          </cell>
          <cell r="BT204">
            <v>7.5484905453711004E-3</v>
          </cell>
          <cell r="BU204">
            <v>0.24643159617723609</v>
          </cell>
          <cell r="BV204">
            <v>0.19049230465325895</v>
          </cell>
          <cell r="BW204">
            <v>0.12732526618923989</v>
          </cell>
          <cell r="BX204">
            <v>2.9337066235109122E-2</v>
          </cell>
          <cell r="BY204">
            <v>-0.1239278792002817</v>
          </cell>
          <cell r="BZ204">
            <v>-0.25589193367435958</v>
          </cell>
          <cell r="CA204">
            <v>3.1987025838005056E-2</v>
          </cell>
          <cell r="CB204">
            <v>6.448085722791741E-2</v>
          </cell>
          <cell r="CC204">
            <v>-3.7526535951470819E-2</v>
          </cell>
          <cell r="CD204">
            <v>0.2524605594737086</v>
          </cell>
          <cell r="CE204">
            <v>0.18268665702029652</v>
          </cell>
          <cell r="CF204">
            <v>0.11402637222151801</v>
          </cell>
          <cell r="CG204">
            <v>0.14114378125137605</v>
          </cell>
          <cell r="CH204">
            <v>-5.1861217445223984E-2</v>
          </cell>
          <cell r="CI204">
            <v>-0.30000000000000004</v>
          </cell>
          <cell r="CJ204">
            <v>0</v>
          </cell>
          <cell r="CK204">
            <v>0</v>
          </cell>
          <cell r="CL204">
            <v>0</v>
          </cell>
          <cell r="CM204">
            <v>5.0000000000000044E-2</v>
          </cell>
          <cell r="CN204">
            <v>5.0000000000000044E-2</v>
          </cell>
          <cell r="CO204">
            <v>5.0000000000000044E-2</v>
          </cell>
          <cell r="CP204">
            <v>5.0000000000000044E-2</v>
          </cell>
          <cell r="CQ204">
            <v>4.4999999999999929E-2</v>
          </cell>
          <cell r="CR204">
            <v>4.4999999999999929E-2</v>
          </cell>
          <cell r="CS204">
            <v>4.4999999999999929E-2</v>
          </cell>
          <cell r="CT204">
            <v>4.4999999999999929E-2</v>
          </cell>
          <cell r="CU204">
            <v>4.049999999999998E-2</v>
          </cell>
          <cell r="CV204">
            <v>4.049999999999998E-2</v>
          </cell>
          <cell r="CW204">
            <v>4.049999999999998E-2</v>
          </cell>
          <cell r="CX204">
            <v>4.049999999999998E-2</v>
          </cell>
          <cell r="CY204">
            <v>3.6450000000000093E-2</v>
          </cell>
          <cell r="CZ204">
            <v>3.6450000000000093E-2</v>
          </cell>
          <cell r="DA204">
            <v>3.6450000000000093E-2</v>
          </cell>
          <cell r="DB204">
            <v>3.6450000000000093E-2</v>
          </cell>
          <cell r="DC204"/>
          <cell r="DD204" t="str">
            <v>NA</v>
          </cell>
          <cell r="DE204" t="str">
            <v>NA</v>
          </cell>
          <cell r="DF204" t="str">
            <v>NA</v>
          </cell>
          <cell r="DG204" t="str">
            <v>NA</v>
          </cell>
          <cell r="DH204" t="str">
            <v>NA</v>
          </cell>
          <cell r="DI204" t="str">
            <v>NA</v>
          </cell>
          <cell r="DJ204" t="str">
            <v>NA</v>
          </cell>
          <cell r="DK204" t="str">
            <v>NA</v>
          </cell>
          <cell r="DL204">
            <v>2.3395803466776073</v>
          </cell>
          <cell r="DM204">
            <v>-0.13697454678033294</v>
          </cell>
          <cell r="DN204">
            <v>0.2498045892746672</v>
          </cell>
          <cell r="DO204">
            <v>6.7132934127851707E-2</v>
          </cell>
        </row>
        <row r="205">
          <cell r="A205" t="str">
            <v>% growth in revenue seq</v>
          </cell>
          <cell r="B205"/>
          <cell r="C205" t="str">
            <v>NA</v>
          </cell>
          <cell r="D205" t="str">
            <v>NA</v>
          </cell>
          <cell r="E205" t="str">
            <v>NA</v>
          </cell>
          <cell r="F205" t="str">
            <v>NA</v>
          </cell>
          <cell r="G205" t="str">
            <v>NA</v>
          </cell>
          <cell r="H205" t="str">
            <v>NA</v>
          </cell>
          <cell r="I205" t="str">
            <v>NA</v>
          </cell>
          <cell r="J205" t="str">
            <v>NA</v>
          </cell>
          <cell r="K205" t="str">
            <v>NA</v>
          </cell>
          <cell r="L205" t="str">
            <v>NA</v>
          </cell>
          <cell r="M205" t="str">
            <v>NA</v>
          </cell>
          <cell r="N205" t="str">
            <v>NA</v>
          </cell>
          <cell r="O205" t="str">
            <v>NA</v>
          </cell>
          <cell r="P205" t="str">
            <v>NA</v>
          </cell>
          <cell r="Q205" t="str">
            <v>NA</v>
          </cell>
          <cell r="R205" t="str">
            <v>NA</v>
          </cell>
          <cell r="S205" t="str">
            <v>NA</v>
          </cell>
          <cell r="T205" t="str">
            <v>NA</v>
          </cell>
          <cell r="U205" t="str">
            <v>NA</v>
          </cell>
          <cell r="V205" t="str">
            <v>NA</v>
          </cell>
          <cell r="W205" t="str">
            <v>NA</v>
          </cell>
          <cell r="X205" t="str">
            <v>NA</v>
          </cell>
          <cell r="Y205" t="str">
            <v>NA</v>
          </cell>
          <cell r="Z205" t="str">
            <v>NA</v>
          </cell>
          <cell r="AA205" t="str">
            <v>NA</v>
          </cell>
          <cell r="AB205" t="str">
            <v>NA</v>
          </cell>
          <cell r="AC205" t="str">
            <v>NA</v>
          </cell>
          <cell r="AD205" t="str">
            <v>NA</v>
          </cell>
          <cell r="AE205" t="str">
            <v>NA</v>
          </cell>
          <cell r="AF205">
            <v>6.3208756120180567</v>
          </cell>
          <cell r="AG205">
            <v>2.7295444001636118</v>
          </cell>
          <cell r="AH205">
            <v>0.88416295406012346</v>
          </cell>
          <cell r="AI205">
            <v>0.10002440243100041</v>
          </cell>
          <cell r="AJ205">
            <v>0.25589668842525826</v>
          </cell>
          <cell r="AK205">
            <v>0.1393834108123384</v>
          </cell>
          <cell r="AL205">
            <v>1.4289697368421006E-2</v>
          </cell>
          <cell r="AM205">
            <v>-0.30259725314384833</v>
          </cell>
          <cell r="AN205">
            <v>-4.7619047619047672E-2</v>
          </cell>
          <cell r="AO205">
            <v>0.21999999999999997</v>
          </cell>
          <cell r="AP205">
            <v>9.0163934426229497E-2</v>
          </cell>
          <cell r="AQ205">
            <v>-3.5612976842105071E-2</v>
          </cell>
          <cell r="AR205">
            <v>0.21000000000000041</v>
          </cell>
          <cell r="AS205">
            <v>-0.11000000000000043</v>
          </cell>
          <cell r="AT205">
            <v>0.10999999999999988</v>
          </cell>
          <cell r="AU205">
            <v>-9.7970935780353652E-2</v>
          </cell>
          <cell r="AV205">
            <v>2.8254493122623403E-2</v>
          </cell>
          <cell r="AW205">
            <v>7.3833160698274725E-2</v>
          </cell>
          <cell r="AX205">
            <v>0.18063235931751143</v>
          </cell>
          <cell r="AY205">
            <v>-0.1501450918340812</v>
          </cell>
          <cell r="AZ205">
            <v>5.1544820861432195E-2</v>
          </cell>
          <cell r="BA205">
            <v>0.55830757991689794</v>
          </cell>
          <cell r="BB205">
            <v>3.8483448391033681E-2</v>
          </cell>
          <cell r="BC205">
            <v>-0.14937196770667505</v>
          </cell>
          <cell r="BD205">
            <v>0.27000165861849523</v>
          </cell>
          <cell r="BE205">
            <v>0.18001973019156758</v>
          </cell>
          <cell r="BF205">
            <v>4.894852317649967E-3</v>
          </cell>
          <cell r="BG205">
            <v>-6.3631840828762831E-3</v>
          </cell>
          <cell r="BH205">
            <v>-9.8171559264097485E-3</v>
          </cell>
          <cell r="BI205">
            <v>0.12219134059438685</v>
          </cell>
          <cell r="BJ205">
            <v>0.257350311102581</v>
          </cell>
          <cell r="BK205">
            <v>-3.8254861111653327E-2</v>
          </cell>
          <cell r="BL205">
            <v>0.13191891402593936</v>
          </cell>
          <cell r="BM205">
            <v>-4.1785498492888928E-2</v>
          </cell>
          <cell r="BN205">
            <v>0.23692628798247317</v>
          </cell>
          <cell r="BO205">
            <v>-8.5413856002312438E-2</v>
          </cell>
          <cell r="BP205">
            <v>6.6176300388721687E-2</v>
          </cell>
          <cell r="BQ205">
            <v>-0.13239310736054011</v>
          </cell>
          <cell r="BR205">
            <v>0.2294182617052094</v>
          </cell>
          <cell r="BS205">
            <v>-0.16348895446217848</v>
          </cell>
          <cell r="BT205">
            <v>0.12920196036152931</v>
          </cell>
          <cell r="BU205">
            <v>7.3310767863511206E-2</v>
          </cell>
          <cell r="BV205">
            <v>0.1742425210088463</v>
          </cell>
          <cell r="BW205">
            <v>-0.20787389099854225</v>
          </cell>
          <cell r="BX205">
            <v>3.1050636339019722E-2</v>
          </cell>
          <cell r="BY205">
            <v>-8.650171889895919E-2</v>
          </cell>
          <cell r="BZ205">
            <v>-2.635387018562807E-3</v>
          </cell>
          <cell r="CA205">
            <v>9.8582187602980431E-2</v>
          </cell>
          <cell r="CB205">
            <v>6.3514983944995329E-2</v>
          </cell>
          <cell r="CC205">
            <v>-0.17404070815954054</v>
          </cell>
          <cell r="CD205">
            <v>0.29786418829623473</v>
          </cell>
          <cell r="CE205">
            <v>3.7380766276726263E-2</v>
          </cell>
          <cell r="CF205">
            <v>1.7731512693786033E-3</v>
          </cell>
          <cell r="CG205">
            <v>-0.15393537087368692</v>
          </cell>
          <cell r="CH205">
            <v>7.835260694599766E-2</v>
          </cell>
          <cell r="CI205">
            <v>-0.23411366589494387</v>
          </cell>
          <cell r="CJ205">
            <v>0.4311045018133981</v>
          </cell>
          <cell r="CK205">
            <v>-0.15393537087368692</v>
          </cell>
          <cell r="CL205">
            <v>7.835260694599766E-2</v>
          </cell>
          <cell r="CM205">
            <v>-0.19581934918969102</v>
          </cell>
          <cell r="CN205">
            <v>0.4311045018133981</v>
          </cell>
          <cell r="CO205">
            <v>-0.15393537087368681</v>
          </cell>
          <cell r="CP205">
            <v>7.8352606945997438E-2</v>
          </cell>
          <cell r="CQ205">
            <v>-0.19964878086021631</v>
          </cell>
          <cell r="CR205">
            <v>0.43110450181339788</v>
          </cell>
          <cell r="CS205">
            <v>-0.15393537087368681</v>
          </cell>
          <cell r="CT205">
            <v>7.835260694599766E-2</v>
          </cell>
          <cell r="CU205">
            <v>-0.20309526936368905</v>
          </cell>
          <cell r="CV205">
            <v>0.43110450181339788</v>
          </cell>
          <cell r="CW205">
            <v>-0.15393537087368669</v>
          </cell>
          <cell r="CX205">
            <v>7.835260694599766E-2</v>
          </cell>
          <cell r="CY205">
            <v>-0.20619710901681443</v>
          </cell>
          <cell r="CZ205">
            <v>0.43110450181339766</v>
          </cell>
          <cell r="DA205">
            <v>-0.15393537087368669</v>
          </cell>
          <cell r="DB205">
            <v>7.835260694599766E-2</v>
          </cell>
          <cell r="DC205"/>
          <cell r="DD205"/>
          <cell r="DE205"/>
          <cell r="DF205"/>
          <cell r="DG205"/>
          <cell r="DH205"/>
          <cell r="DI205"/>
          <cell r="DJ205"/>
          <cell r="DK205"/>
          <cell r="DL205"/>
          <cell r="DM205"/>
          <cell r="DN205"/>
          <cell r="DO205"/>
        </row>
        <row r="206">
          <cell r="A206"/>
          <cell r="B206"/>
          <cell r="C206"/>
          <cell r="D206"/>
          <cell r="E206"/>
          <cell r="F206"/>
          <cell r="G206"/>
          <cell r="H206"/>
          <cell r="I206"/>
          <cell r="J206"/>
          <cell r="K206"/>
          <cell r="L206"/>
          <cell r="M206"/>
          <cell r="N206"/>
          <cell r="O206"/>
          <cell r="P206"/>
          <cell r="Q206"/>
          <cell r="R206"/>
          <cell r="S206"/>
          <cell r="T206"/>
          <cell r="U206"/>
          <cell r="V206"/>
          <cell r="W206"/>
          <cell r="X206"/>
          <cell r="Y206"/>
          <cell r="Z206"/>
          <cell r="AA206"/>
          <cell r="AB206"/>
          <cell r="AC206"/>
          <cell r="AD206"/>
          <cell r="AE206"/>
          <cell r="AF206"/>
          <cell r="AG206"/>
          <cell r="AH206"/>
          <cell r="AI206"/>
          <cell r="AJ206"/>
          <cell r="AK206"/>
          <cell r="AL206"/>
          <cell r="AM206"/>
          <cell r="AN206"/>
          <cell r="AO206"/>
          <cell r="AP206"/>
          <cell r="AQ206"/>
          <cell r="AR206"/>
          <cell r="AS206"/>
          <cell r="AT206"/>
          <cell r="AU206"/>
          <cell r="AV206"/>
          <cell r="AW206"/>
          <cell r="AX206"/>
          <cell r="AY206"/>
          <cell r="AZ206"/>
          <cell r="BA206"/>
          <cell r="BB206"/>
          <cell r="BC206"/>
          <cell r="BD206"/>
          <cell r="BE206"/>
          <cell r="BF206"/>
          <cell r="BG206"/>
          <cell r="BH206"/>
          <cell r="BI206"/>
          <cell r="BJ206"/>
          <cell r="BK206"/>
          <cell r="BL206"/>
          <cell r="BM206"/>
          <cell r="BN206"/>
          <cell r="BO206"/>
          <cell r="BP206"/>
          <cell r="BQ206"/>
          <cell r="BR206"/>
          <cell r="BS206"/>
          <cell r="BT206"/>
          <cell r="BU206"/>
          <cell r="BV206"/>
          <cell r="BW206"/>
          <cell r="BX206"/>
          <cell r="BY206"/>
          <cell r="BZ206"/>
          <cell r="CA206"/>
          <cell r="CB206"/>
          <cell r="CC206"/>
          <cell r="CD206"/>
          <cell r="CE206"/>
          <cell r="CF206"/>
          <cell r="CG206"/>
          <cell r="CH206"/>
          <cell r="CI206"/>
          <cell r="CJ206"/>
          <cell r="CK206"/>
          <cell r="CL206"/>
          <cell r="CM206"/>
          <cell r="CN206"/>
          <cell r="CO206"/>
          <cell r="CP206"/>
          <cell r="CQ206"/>
          <cell r="CR206"/>
          <cell r="CS206"/>
          <cell r="CT206"/>
          <cell r="CU206"/>
          <cell r="CV206"/>
          <cell r="CW206"/>
          <cell r="CX206"/>
          <cell r="CY206"/>
          <cell r="CZ206"/>
          <cell r="DA206"/>
          <cell r="DB206"/>
          <cell r="DC206"/>
          <cell r="DD206"/>
          <cell r="DE206"/>
          <cell r="DF206"/>
          <cell r="DG206"/>
          <cell r="DH206"/>
          <cell r="DI206"/>
          <cell r="DJ206"/>
          <cell r="DK206"/>
          <cell r="DL206"/>
          <cell r="DM206"/>
          <cell r="DN206"/>
          <cell r="DO206"/>
        </row>
        <row r="207">
          <cell r="A207" t="str">
            <v>Product -- CloudBridge/WANScaler</v>
          </cell>
          <cell r="B207">
            <v>0</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0.25</v>
          </cell>
          <cell r="AL207">
            <v>1.734375</v>
          </cell>
          <cell r="AM207">
            <v>2.0064000000000006</v>
          </cell>
          <cell r="AN207">
            <v>4.160000000000001</v>
          </cell>
          <cell r="AO207">
            <v>4.3733333333333331</v>
          </cell>
          <cell r="AP207">
            <v>6.2933333333333339</v>
          </cell>
          <cell r="AQ207">
            <v>3.0096000000000007</v>
          </cell>
          <cell r="AR207">
            <v>6.240000000000002</v>
          </cell>
          <cell r="AS207">
            <v>6.56</v>
          </cell>
          <cell r="AT207">
            <v>9.4400000000000013</v>
          </cell>
          <cell r="AU207">
            <v>6.1359999999999983</v>
          </cell>
          <cell r="AV207">
            <v>5.9170681439999999</v>
          </cell>
          <cell r="AW207">
            <v>4.6493504000000003</v>
          </cell>
          <cell r="AX207">
            <v>6.6253243199999989</v>
          </cell>
          <cell r="AY207">
            <v>10.269252695999999</v>
          </cell>
          <cell r="AZ207">
            <v>12.194737576499998</v>
          </cell>
          <cell r="BA207">
            <v>7.9225440000000011</v>
          </cell>
          <cell r="BB207">
            <v>9.3023999999999987</v>
          </cell>
          <cell r="BC207">
            <v>11.219879999999998</v>
          </cell>
          <cell r="BD207">
            <v>5.5860000000000012</v>
          </cell>
          <cell r="BE207">
            <v>6.9999283200000013</v>
          </cell>
          <cell r="BF207">
            <v>7.349924736000002</v>
          </cell>
          <cell r="BG207">
            <v>7.7174209727999994</v>
          </cell>
          <cell r="BH207">
            <v>8.8603840000000016</v>
          </cell>
          <cell r="BI207">
            <v>8.8179000000000016</v>
          </cell>
          <cell r="BJ207">
            <v>10.058220000000002</v>
          </cell>
          <cell r="BK207">
            <v>8.0240000000000009</v>
          </cell>
          <cell r="BL207">
            <v>7.6271186440677976</v>
          </cell>
          <cell r="BM207">
            <v>7.8559322033898304</v>
          </cell>
          <cell r="BN207">
            <v>8.6440677966101696</v>
          </cell>
          <cell r="BO207">
            <v>8.6440677966101696</v>
          </cell>
          <cell r="BP207">
            <v>7.6271186440677976</v>
          </cell>
          <cell r="BQ207">
            <v>8.2957118644067798</v>
          </cell>
          <cell r="BR207">
            <v>8.1449661016949175</v>
          </cell>
          <cell r="BS207">
            <v>8.0363559322033904</v>
          </cell>
          <cell r="BT207">
            <v>5.5744067796610182</v>
          </cell>
          <cell r="BU207">
            <v>7.881355932203391</v>
          </cell>
          <cell r="BV207">
            <v>8.1449661016949175</v>
          </cell>
          <cell r="BW207">
            <v>8.1694915254237301</v>
          </cell>
          <cell r="BX207">
            <v>7.9796610169491533</v>
          </cell>
          <cell r="BY207">
            <v>8.6694915254237301</v>
          </cell>
          <cell r="BZ207">
            <v>7.7372881355932215</v>
          </cell>
          <cell r="CA207">
            <v>8.2203389830508478</v>
          </cell>
          <cell r="CB207">
            <v>7.9326271186440698</v>
          </cell>
          <cell r="CC207">
            <v>8.6694915254237301</v>
          </cell>
          <cell r="CD207">
            <v>7.7372881355932215</v>
          </cell>
          <cell r="CE207">
            <v>8.2203389830508478</v>
          </cell>
          <cell r="CF207">
            <v>7.9326271186440698</v>
          </cell>
          <cell r="CG207">
            <v>8.6694915254237301</v>
          </cell>
          <cell r="CH207">
            <v>7.7372881355932215</v>
          </cell>
          <cell r="CI207">
            <v>8.2203389830508478</v>
          </cell>
          <cell r="CJ207">
            <v>7.9326271186440698</v>
          </cell>
          <cell r="CK207">
            <v>8.6694915254237301</v>
          </cell>
          <cell r="CL207">
            <v>7.7372881355932215</v>
          </cell>
          <cell r="CM207">
            <v>8.2203389830508478</v>
          </cell>
          <cell r="CN207">
            <v>7.9326271186440698</v>
          </cell>
          <cell r="CO207">
            <v>8.6694915254237301</v>
          </cell>
          <cell r="CP207">
            <v>7.7372881355932215</v>
          </cell>
          <cell r="CQ207">
            <v>8.2203389830508478</v>
          </cell>
          <cell r="CR207">
            <v>7.9326271186440698</v>
          </cell>
          <cell r="CS207">
            <v>8.6694915254237301</v>
          </cell>
          <cell r="CT207">
            <v>7.7372881355932215</v>
          </cell>
          <cell r="CU207">
            <v>8.2203389830508478</v>
          </cell>
          <cell r="CV207">
            <v>7.9326271186440698</v>
          </cell>
          <cell r="CW207">
            <v>8.6694915254237301</v>
          </cell>
          <cell r="CX207">
            <v>7.7372881355932215</v>
          </cell>
          <cell r="CY207">
            <v>8.2203389830508478</v>
          </cell>
          <cell r="CZ207">
            <v>7.9326271186440698</v>
          </cell>
          <cell r="DA207">
            <v>8.6694915254237301</v>
          </cell>
          <cell r="DB207">
            <v>7.7372881355932215</v>
          </cell>
          <cell r="DC207"/>
          <cell r="DD207">
            <v>0</v>
          </cell>
          <cell r="DE207">
            <v>0</v>
          </cell>
          <cell r="DF207">
            <v>0</v>
          </cell>
          <cell r="DG207">
            <v>0</v>
          </cell>
          <cell r="DH207">
            <v>0</v>
          </cell>
          <cell r="DI207">
            <v>0</v>
          </cell>
          <cell r="DJ207">
            <v>0</v>
          </cell>
          <cell r="DK207">
            <v>0</v>
          </cell>
          <cell r="DL207">
            <v>1.984375</v>
          </cell>
          <cell r="DM207">
            <v>16.833066666666667</v>
          </cell>
          <cell r="DN207">
            <v>25.249600000000004</v>
          </cell>
          <cell r="DO207">
            <v>23.327742863999994</v>
          </cell>
        </row>
        <row r="208">
          <cell r="A208" t="str">
            <v>% of revenue</v>
          </cell>
          <cell r="B208"/>
          <cell r="C208" t="e">
            <v>#DIV/0!</v>
          </cell>
          <cell r="D208" t="e">
            <v>#DIV/0!</v>
          </cell>
          <cell r="E208" t="e">
            <v>#DIV/0!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8.9976282251998379E-4</v>
          </cell>
          <cell r="AL208">
            <v>5.4030037196029926E-3</v>
          </cell>
          <cell r="AM208">
            <v>6.512425021422452E-3</v>
          </cell>
          <cell r="AN208">
            <v>1.2441530786807197E-2</v>
          </cell>
          <cell r="AO208">
            <v>1.2497701927903882E-2</v>
          </cell>
          <cell r="AP208">
            <v>1.5750698478405777E-2</v>
          </cell>
          <cell r="AQ208">
            <v>7.9823039831951517E-3</v>
          </cell>
          <cell r="AR208">
            <v>1.5929339085594674E-2</v>
          </cell>
          <cell r="AS208">
            <v>1.6445512957108797E-2</v>
          </cell>
          <cell r="AT208">
            <v>2.2708848031138068E-2</v>
          </cell>
          <cell r="AU208">
            <v>1.6626112968693263E-2</v>
          </cell>
          <cell r="AV208">
            <v>1.5062745384748543E-2</v>
          </cell>
          <cell r="AW208">
            <v>1.1593175777100654E-2</v>
          </cell>
          <cell r="AX208">
            <v>1.4685088039719831E-2</v>
          </cell>
          <cell r="AY208">
            <v>2.4788671925691331E-2</v>
          </cell>
          <cell r="AZ208">
            <v>2.6600915676881897E-2</v>
          </cell>
          <cell r="BA208">
            <v>1.677676909491713E-2</v>
          </cell>
          <cell r="BB208">
            <v>1.7560832297292866E-2</v>
          </cell>
          <cell r="BC208">
            <v>2.2856293085184394E-2</v>
          </cell>
          <cell r="BD208">
            <v>1.0523936019894877E-2</v>
          </cell>
          <cell r="BE208">
            <v>1.2381627457778221E-2</v>
          </cell>
          <cell r="BF208">
            <v>1.1866852129435588E-2</v>
          </cell>
          <cell r="BG208">
            <v>1.30915800351148E-2</v>
          </cell>
          <cell r="BH208">
            <v>1.4402210627265492E-2</v>
          </cell>
          <cell r="BI208">
            <v>1.3747423692982158E-2</v>
          </cell>
          <cell r="BJ208">
            <v>1.3592262660879251E-2</v>
          </cell>
          <cell r="BK208">
            <v>1.1924523591207598E-2</v>
          </cell>
          <cell r="BL208">
            <v>1.0442614630205203E-2</v>
          </cell>
          <cell r="BM208">
            <v>1.102229621468665E-2</v>
          </cell>
          <cell r="BN208">
            <v>1.0772497939495737E-2</v>
          </cell>
          <cell r="BO208">
            <v>1.1512851694762878E-2</v>
          </cell>
          <cell r="BP208">
            <v>9.7588395568706156E-3</v>
          </cell>
          <cell r="BQ208">
            <v>1.0929878054907919E-2</v>
          </cell>
          <cell r="BR208">
            <v>9.5656238605995869E-3</v>
          </cell>
          <cell r="BS208">
            <v>1.0563005791524459E-2</v>
          </cell>
          <cell r="BT208">
            <v>6.9963524474289194E-3</v>
          </cell>
          <cell r="BU208">
            <v>9.6909463427931573E-3</v>
          </cell>
          <cell r="BV208">
            <v>9.0023200569595771E-3</v>
          </cell>
          <cell r="BW208">
            <v>1.2401072183322223E-2</v>
          </cell>
          <cell r="BX208">
            <v>1.1839488027141701E-2</v>
          </cell>
          <cell r="BY208">
            <v>1.296399704131934E-2</v>
          </cell>
          <cell r="BZ208">
            <v>1.0532884102557667E-2</v>
          </cell>
          <cell r="CA208">
            <v>1.2404744669048192E-2</v>
          </cell>
          <cell r="CB208">
            <v>1.1443044080285489E-2</v>
          </cell>
          <cell r="CC208">
            <v>1.2547659334115469E-2</v>
          </cell>
          <cell r="CD208">
            <v>9.9469287228799389E-3</v>
          </cell>
          <cell r="CE208">
            <v>1.1790638709352442E-2</v>
          </cell>
          <cell r="CF208">
            <v>1.0685615726285682E-2</v>
          </cell>
          <cell r="CG208">
            <v>1.1835871107618174E-2</v>
          </cell>
          <cell r="CH208">
            <v>9.6490555022550051E-3</v>
          </cell>
          <cell r="CI208">
            <v>1.157430549304338E-2</v>
          </cell>
          <cell r="CJ208">
            <v>1.0275599018296198E-2</v>
          </cell>
          <cell r="CK208">
            <v>1.1364887677598969E-2</v>
          </cell>
          <cell r="CL208">
            <v>9.0397120714183436E-3</v>
          </cell>
          <cell r="CM208">
            <v>1.0746915743021666E-2</v>
          </cell>
          <cell r="CN208">
            <v>9.5919093639793753E-3</v>
          </cell>
          <cell r="CO208">
            <v>1.0585568390494635E-2</v>
          </cell>
          <cell r="CP208">
            <v>8.6016326924884638E-3</v>
          </cell>
          <cell r="CQ208">
            <v>9.9808504929356223E-3</v>
          </cell>
          <cell r="CR208">
            <v>8.9703733935579105E-3</v>
          </cell>
          <cell r="CS208">
            <v>9.8884479401828932E-3</v>
          </cell>
          <cell r="CT208">
            <v>8.201799331679107E-3</v>
          </cell>
          <cell r="CU208">
            <v>9.1974696200191747E-3</v>
          </cell>
          <cell r="CV208">
            <v>8.3027551063108128E-3</v>
          </cell>
          <cell r="CW208">
            <v>9.1503773423734971E-3</v>
          </cell>
          <cell r="CX208">
            <v>7.6497836919207215E-3</v>
          </cell>
          <cell r="CY208">
            <v>8.4644472487332492E-3</v>
          </cell>
          <cell r="CZ208">
            <v>7.680278384007924E-3</v>
          </cell>
          <cell r="DA208">
            <v>8.4748892113826815E-3</v>
          </cell>
          <cell r="DB208">
            <v>7.1108779394663457E-3</v>
          </cell>
          <cell r="DC208"/>
          <cell r="DD208"/>
          <cell r="DE208">
            <v>0</v>
          </cell>
          <cell r="DF208">
            <v>0</v>
          </cell>
          <cell r="DG208">
            <v>0</v>
          </cell>
          <cell r="DH208">
            <v>0</v>
          </cell>
          <cell r="DI208">
            <v>0</v>
          </cell>
          <cell r="DJ208">
            <v>0</v>
          </cell>
          <cell r="DK208">
            <v>0</v>
          </cell>
          <cell r="DL208">
            <v>1.7493976562148743E-3</v>
          </cell>
          <cell r="DM208">
            <v>1.2093224190854696E-2</v>
          </cell>
          <cell r="DN208">
            <v>1.5946907640363436E-2</v>
          </cell>
          <cell r="DO208">
            <v>1.4452584285367337E-2</v>
          </cell>
        </row>
        <row r="209">
          <cell r="A209" t="str">
            <v>% growth in revenue y-o-y</v>
          </cell>
          <cell r="B209"/>
          <cell r="C209" t="str">
            <v>NA</v>
          </cell>
          <cell r="D209" t="str">
            <v>NA</v>
          </cell>
          <cell r="E209" t="str">
            <v>NA</v>
          </cell>
          <cell r="F209" t="str">
            <v>NA</v>
          </cell>
          <cell r="G209" t="str">
            <v>NA</v>
          </cell>
          <cell r="H209" t="str">
            <v>NA</v>
          </cell>
          <cell r="I209" t="str">
            <v>NA</v>
          </cell>
          <cell r="J209" t="str">
            <v>NA</v>
          </cell>
          <cell r="K209" t="str">
            <v>NA</v>
          </cell>
          <cell r="L209" t="str">
            <v>NA</v>
          </cell>
          <cell r="M209" t="str">
            <v>NA</v>
          </cell>
          <cell r="N209" t="str">
            <v>NA</v>
          </cell>
          <cell r="O209" t="str">
            <v>NA</v>
          </cell>
          <cell r="P209" t="str">
            <v>NA</v>
          </cell>
          <cell r="Q209" t="str">
            <v>NA</v>
          </cell>
          <cell r="R209" t="str">
            <v>NA</v>
          </cell>
          <cell r="S209" t="str">
            <v>NA</v>
          </cell>
          <cell r="T209" t="str">
            <v>NA</v>
          </cell>
          <cell r="U209" t="str">
            <v>NA</v>
          </cell>
          <cell r="V209" t="str">
            <v>NA</v>
          </cell>
          <cell r="W209" t="str">
            <v>NA</v>
          </cell>
          <cell r="X209" t="str">
            <v>NA</v>
          </cell>
          <cell r="Y209" t="str">
            <v>NA</v>
          </cell>
          <cell r="Z209" t="str">
            <v>NA</v>
          </cell>
          <cell r="AA209" t="str">
            <v>NA</v>
          </cell>
          <cell r="AB209" t="str">
            <v>NA</v>
          </cell>
          <cell r="AC209" t="str">
            <v>NA</v>
          </cell>
          <cell r="AD209" t="str">
            <v>NA</v>
          </cell>
          <cell r="AE209" t="str">
            <v>NA</v>
          </cell>
          <cell r="AF209" t="str">
            <v>NA</v>
          </cell>
          <cell r="AG209" t="str">
            <v>NA</v>
          </cell>
          <cell r="AH209" t="str">
            <v>NA</v>
          </cell>
          <cell r="AI209" t="str">
            <v>NA</v>
          </cell>
          <cell r="AJ209" t="str">
            <v>NA</v>
          </cell>
          <cell r="AK209" t="str">
            <v>NA</v>
          </cell>
          <cell r="AL209" t="str">
            <v>NA</v>
          </cell>
          <cell r="AM209" t="str">
            <v>NA</v>
          </cell>
          <cell r="AN209" t="str">
            <v>NA</v>
          </cell>
          <cell r="AO209">
            <v>16.493333333333332</v>
          </cell>
          <cell r="AP209">
            <v>2.6285885885885891</v>
          </cell>
          <cell r="AQ209">
            <v>0.5</v>
          </cell>
          <cell r="AR209">
            <v>0.5</v>
          </cell>
          <cell r="AS209">
            <v>0.5</v>
          </cell>
          <cell r="AT209">
            <v>0.5</v>
          </cell>
          <cell r="AU209">
            <v>1.0388091440723008</v>
          </cell>
          <cell r="AV209">
            <v>-5.1751900000000295E-2</v>
          </cell>
          <cell r="AW209">
            <v>-0.29125756097560962</v>
          </cell>
          <cell r="AX209">
            <v>-0.2981647966101697</v>
          </cell>
          <cell r="AY209">
            <v>0.67360702346805756</v>
          </cell>
          <cell r="AZ209">
            <v>1.0609425613706431</v>
          </cell>
          <cell r="BA209">
            <v>0.70401095172349248</v>
          </cell>
          <cell r="BB209">
            <v>0.40406711440806875</v>
          </cell>
          <cell r="BC209">
            <v>9.2570251423482963E-2</v>
          </cell>
          <cell r="BD209">
            <v>-0.54193356232900303</v>
          </cell>
          <cell r="BE209">
            <v>-0.11645447219983884</v>
          </cell>
          <cell r="BF209">
            <v>-0.20988941176470555</v>
          </cell>
          <cell r="BG209">
            <v>-0.31216546230440956</v>
          </cell>
          <cell r="BH209">
            <v>0.58617687074829927</v>
          </cell>
          <cell r="BI209">
            <v>0.25971289946009057</v>
          </cell>
          <cell r="BJ209">
            <v>0.36847931935067901</v>
          </cell>
          <cell r="BK209">
            <v>3.9725580382427905E-2</v>
          </cell>
          <cell r="BL209">
            <v>-0.13918870287475171</v>
          </cell>
          <cell r="BM209">
            <v>-0.10909261803946191</v>
          </cell>
          <cell r="BN209">
            <v>-0.14059666654635039</v>
          </cell>
          <cell r="BO209">
            <v>7.7276644642344072E-2</v>
          </cell>
          <cell r="BP209">
            <v>0</v>
          </cell>
          <cell r="BQ209">
            <v>5.5980582524271849E-2</v>
          </cell>
          <cell r="BR209">
            <v>-5.773921568627427E-2</v>
          </cell>
          <cell r="BS209">
            <v>-7.0303921568627414E-2</v>
          </cell>
          <cell r="BT209">
            <v>-0.26913333333333322</v>
          </cell>
          <cell r="BU209">
            <v>-4.9948206853857369E-2</v>
          </cell>
          <cell r="BV209">
            <v>0</v>
          </cell>
          <cell r="BW209">
            <v>1.6566662097037943E-2</v>
          </cell>
          <cell r="BX209">
            <v>0.43148165039982955</v>
          </cell>
          <cell r="BY209">
            <v>0.10000000000000009</v>
          </cell>
          <cell r="BZ209">
            <v>-5.0052751725616185E-2</v>
          </cell>
          <cell r="CA209">
            <v>6.2240663900414717E-3</v>
          </cell>
          <cell r="CB209">
            <v>-5.894222599829968E-3</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cell r="DD209" t="str">
            <v>NA</v>
          </cell>
          <cell r="DE209" t="str">
            <v>NA</v>
          </cell>
          <cell r="DF209" t="str">
            <v>NA</v>
          </cell>
          <cell r="DG209" t="str">
            <v>NA</v>
          </cell>
          <cell r="DH209" t="str">
            <v>NA</v>
          </cell>
          <cell r="DI209" t="str">
            <v>NA</v>
          </cell>
          <cell r="DJ209" t="str">
            <v>NA</v>
          </cell>
          <cell r="DK209" t="str">
            <v>NA</v>
          </cell>
          <cell r="DL209" t="str">
            <v>NA</v>
          </cell>
          <cell r="DM209">
            <v>7.4828052493438317</v>
          </cell>
          <cell r="DN209">
            <v>0.50000000000000022</v>
          </cell>
          <cell r="DO209">
            <v>-7.6114359673024934E-2</v>
          </cell>
        </row>
        <row r="210">
          <cell r="A210" t="str">
            <v>% growth in revenue seq</v>
          </cell>
          <cell r="B210"/>
          <cell r="C210" t="str">
            <v>NA</v>
          </cell>
          <cell r="D210" t="str">
            <v>NA</v>
          </cell>
          <cell r="E210" t="str">
            <v>NA</v>
          </cell>
          <cell r="F210" t="str">
            <v>NA</v>
          </cell>
          <cell r="G210" t="str">
            <v>NA</v>
          </cell>
          <cell r="H210" t="str">
            <v>NA</v>
          </cell>
          <cell r="I210" t="str">
            <v>NA</v>
          </cell>
          <cell r="J210" t="str">
            <v>NA</v>
          </cell>
          <cell r="K210" t="str">
            <v>NA</v>
          </cell>
          <cell r="L210" t="str">
            <v>NA</v>
          </cell>
          <cell r="M210" t="str">
            <v>NA</v>
          </cell>
          <cell r="N210" t="str">
            <v>NA</v>
          </cell>
          <cell r="O210" t="str">
            <v>NA</v>
          </cell>
          <cell r="P210" t="str">
            <v>NA</v>
          </cell>
          <cell r="Q210" t="str">
            <v>NA</v>
          </cell>
          <cell r="R210" t="str">
            <v>NA</v>
          </cell>
          <cell r="S210" t="str">
            <v>NA</v>
          </cell>
          <cell r="T210" t="str">
            <v>NA</v>
          </cell>
          <cell r="U210" t="str">
            <v>NA</v>
          </cell>
          <cell r="V210" t="str">
            <v>NA</v>
          </cell>
          <cell r="W210" t="str">
            <v>NA</v>
          </cell>
          <cell r="X210" t="str">
            <v>NA</v>
          </cell>
          <cell r="Y210" t="str">
            <v>NA</v>
          </cell>
          <cell r="Z210" t="str">
            <v>NA</v>
          </cell>
          <cell r="AA210" t="str">
            <v>NA</v>
          </cell>
          <cell r="AB210" t="str">
            <v>NA</v>
          </cell>
          <cell r="AC210" t="str">
            <v>NA</v>
          </cell>
          <cell r="AD210" t="str">
            <v>NA</v>
          </cell>
          <cell r="AE210" t="str">
            <v>NA</v>
          </cell>
          <cell r="AF210" t="str">
            <v>NA</v>
          </cell>
          <cell r="AG210" t="str">
            <v>NA</v>
          </cell>
          <cell r="AH210" t="str">
            <v>NA</v>
          </cell>
          <cell r="AI210" t="str">
            <v>NA</v>
          </cell>
          <cell r="AJ210" t="str">
            <v>NA</v>
          </cell>
          <cell r="AK210" t="str">
            <v>NA</v>
          </cell>
          <cell r="AL210">
            <v>5.9375</v>
          </cell>
          <cell r="AM210">
            <v>0.15684324324324361</v>
          </cell>
          <cell r="AN210">
            <v>1.073365231259968</v>
          </cell>
          <cell r="AO210">
            <v>5.1282051282050878E-2</v>
          </cell>
          <cell r="AP210">
            <v>0.43902439024390261</v>
          </cell>
          <cell r="AQ210">
            <v>-0.52177966101694906</v>
          </cell>
          <cell r="AR210">
            <v>1.0733652312599684</v>
          </cell>
          <cell r="AS210">
            <v>5.1282051282050878E-2</v>
          </cell>
          <cell r="AT210">
            <v>0.43902439024390283</v>
          </cell>
          <cell r="AU210">
            <v>-0.35000000000000031</v>
          </cell>
          <cell r="AV210">
            <v>-3.5679898305084445E-2</v>
          </cell>
          <cell r="AW210">
            <v>-0.21424761607410003</v>
          </cell>
          <cell r="AX210">
            <v>0.4249999999999996</v>
          </cell>
          <cell r="AY210">
            <v>0.55000000000000004</v>
          </cell>
          <cell r="AZ210">
            <v>0.1875</v>
          </cell>
          <cell r="BA210">
            <v>-0.3503309152574775</v>
          </cell>
          <cell r="BB210">
            <v>0.1741682974559684</v>
          </cell>
          <cell r="BC210">
            <v>0.20612745098039209</v>
          </cell>
          <cell r="BD210">
            <v>-0.50213371266002826</v>
          </cell>
          <cell r="BE210">
            <v>0.25312000000000001</v>
          </cell>
          <cell r="BF210">
            <v>5.0000000000000044E-2</v>
          </cell>
          <cell r="BG210">
            <v>4.99999999999996E-2</v>
          </cell>
          <cell r="BH210">
            <v>0.14810168205523166</v>
          </cell>
          <cell r="BI210">
            <v>-4.7948260481712746E-3</v>
          </cell>
          <cell r="BJ210">
            <v>0.1406593406593406</v>
          </cell>
          <cell r="BK210">
            <v>-0.20224453233275874</v>
          </cell>
          <cell r="BL210">
            <v>-4.9461784139108067E-2</v>
          </cell>
          <cell r="BM210">
            <v>2.9999999999999805E-2</v>
          </cell>
          <cell r="BN210">
            <v>0.10032362459546929</v>
          </cell>
          <cell r="BO210">
            <v>0</v>
          </cell>
          <cell r="BP210">
            <v>-0.11764705882352933</v>
          </cell>
          <cell r="BQ210">
            <v>8.7659999999999849E-2</v>
          </cell>
          <cell r="BR210">
            <v>-1.8171528275788495E-2</v>
          </cell>
          <cell r="BS210">
            <v>-1.3334637386511194E-2</v>
          </cell>
          <cell r="BT210">
            <v>-0.3063514325786415</v>
          </cell>
          <cell r="BU210">
            <v>0.41384657484265253</v>
          </cell>
          <cell r="BV210">
            <v>3.3447311827957016E-2</v>
          </cell>
          <cell r="BW210">
            <v>3.0111142787578871E-3</v>
          </cell>
          <cell r="BX210">
            <v>-2.3236514522821605E-2</v>
          </cell>
          <cell r="BY210">
            <v>8.6448598130841159E-2</v>
          </cell>
          <cell r="BZ210">
            <v>-0.10752688172043012</v>
          </cell>
          <cell r="CA210">
            <v>6.2431544359255131E-2</v>
          </cell>
          <cell r="CB210">
            <v>-3.4999999999999809E-2</v>
          </cell>
          <cell r="CC210">
            <v>9.2890337054644334E-2</v>
          </cell>
          <cell r="CD210">
            <v>-0.10752688172043012</v>
          </cell>
          <cell r="CE210">
            <v>6.2431544359255131E-2</v>
          </cell>
          <cell r="CF210">
            <v>-3.4999999999999809E-2</v>
          </cell>
          <cell r="CG210">
            <v>9.2890337054644334E-2</v>
          </cell>
          <cell r="CH210">
            <v>-0.10752688172043012</v>
          </cell>
          <cell r="CI210">
            <v>6.2431544359255131E-2</v>
          </cell>
          <cell r="CJ210">
            <v>-3.4999999999999809E-2</v>
          </cell>
          <cell r="CK210">
            <v>9.2890337054644334E-2</v>
          </cell>
          <cell r="CL210">
            <v>-0.10752688172043012</v>
          </cell>
          <cell r="CM210">
            <v>6.2431544359255131E-2</v>
          </cell>
          <cell r="CN210">
            <v>-3.4999999999999809E-2</v>
          </cell>
          <cell r="CO210">
            <v>9.2890337054644334E-2</v>
          </cell>
          <cell r="CP210">
            <v>-0.10752688172043012</v>
          </cell>
          <cell r="CQ210">
            <v>6.2431544359255131E-2</v>
          </cell>
          <cell r="CR210">
            <v>-3.4999999999999809E-2</v>
          </cell>
          <cell r="CS210">
            <v>9.2890337054644334E-2</v>
          </cell>
          <cell r="CT210">
            <v>-0.10752688172043012</v>
          </cell>
          <cell r="CU210">
            <v>6.2431544359255131E-2</v>
          </cell>
          <cell r="CV210">
            <v>-3.4999999999999809E-2</v>
          </cell>
          <cell r="CW210">
            <v>9.2890337054644334E-2</v>
          </cell>
          <cell r="CX210">
            <v>-0.10752688172043012</v>
          </cell>
          <cell r="CY210">
            <v>6.2431544359255131E-2</v>
          </cell>
          <cell r="CZ210">
            <v>-3.4999999999999809E-2</v>
          </cell>
          <cell r="DA210">
            <v>9.2890337054644334E-2</v>
          </cell>
          <cell r="DB210">
            <v>-0.10752688172043012</v>
          </cell>
          <cell r="DC210"/>
          <cell r="DD210"/>
          <cell r="DE210"/>
          <cell r="DF210"/>
          <cell r="DG210"/>
          <cell r="DH210"/>
          <cell r="DI210"/>
          <cell r="DJ210"/>
          <cell r="DK210"/>
          <cell r="DL210"/>
          <cell r="DM210"/>
          <cell r="DN210"/>
          <cell r="DO210"/>
        </row>
        <row r="211">
          <cell r="A211"/>
          <cell r="B211"/>
          <cell r="C211"/>
          <cell r="D211"/>
          <cell r="E211"/>
          <cell r="F211"/>
          <cell r="G211"/>
          <cell r="H211"/>
          <cell r="I211"/>
          <cell r="J211"/>
          <cell r="K211"/>
          <cell r="L211"/>
          <cell r="M211"/>
          <cell r="N211"/>
          <cell r="O211"/>
          <cell r="P211"/>
          <cell r="Q211"/>
          <cell r="R211"/>
          <cell r="S211"/>
          <cell r="T211"/>
          <cell r="U211"/>
          <cell r="V211"/>
          <cell r="W211"/>
          <cell r="X211"/>
          <cell r="Y211"/>
          <cell r="Z211"/>
          <cell r="AA211"/>
          <cell r="AB211"/>
          <cell r="AC211"/>
          <cell r="AD211"/>
          <cell r="AE211"/>
          <cell r="AF211"/>
          <cell r="AG211"/>
          <cell r="AH211"/>
          <cell r="AI211"/>
          <cell r="AJ211"/>
          <cell r="AK211"/>
          <cell r="AL211"/>
          <cell r="AM211"/>
          <cell r="AN211"/>
          <cell r="AO211"/>
          <cell r="AP211"/>
          <cell r="AQ211"/>
          <cell r="AR211"/>
          <cell r="AS211"/>
          <cell r="AT211"/>
          <cell r="AU211"/>
          <cell r="AV211"/>
          <cell r="AW211"/>
          <cell r="AX211"/>
          <cell r="AY211"/>
          <cell r="AZ211"/>
          <cell r="BA211"/>
          <cell r="BB211"/>
          <cell r="BC211"/>
          <cell r="BD211"/>
          <cell r="BE211"/>
          <cell r="BF211"/>
          <cell r="BG211"/>
          <cell r="BH211"/>
          <cell r="BI211"/>
          <cell r="BJ211"/>
          <cell r="BK211"/>
          <cell r="BL211"/>
          <cell r="BM211"/>
          <cell r="BN211"/>
          <cell r="BO211"/>
          <cell r="BP211"/>
          <cell r="BQ211"/>
          <cell r="BR211"/>
          <cell r="BS211"/>
          <cell r="BT211"/>
          <cell r="BU211"/>
          <cell r="BV211"/>
          <cell r="BW211"/>
          <cell r="BX211"/>
          <cell r="BY211"/>
          <cell r="BZ211"/>
          <cell r="CA211"/>
          <cell r="CB211"/>
          <cell r="CC211"/>
          <cell r="CD211"/>
          <cell r="CE211"/>
          <cell r="CF211"/>
          <cell r="CG211"/>
          <cell r="CH211"/>
          <cell r="CI211"/>
          <cell r="CJ211"/>
          <cell r="CK211"/>
          <cell r="CL211"/>
          <cell r="CM211"/>
          <cell r="CN211"/>
          <cell r="CO211"/>
          <cell r="CP211"/>
          <cell r="CQ211"/>
          <cell r="CR211"/>
          <cell r="CS211"/>
          <cell r="CT211"/>
          <cell r="CU211"/>
          <cell r="CV211"/>
          <cell r="CW211"/>
          <cell r="CX211"/>
          <cell r="CY211"/>
          <cell r="CZ211"/>
          <cell r="DA211"/>
          <cell r="DB211"/>
          <cell r="DC211"/>
          <cell r="DD211"/>
          <cell r="DE211"/>
          <cell r="DF211"/>
          <cell r="DG211"/>
          <cell r="DH211"/>
          <cell r="DI211"/>
          <cell r="DJ211"/>
          <cell r="DK211"/>
          <cell r="DL211"/>
          <cell r="DM211"/>
          <cell r="DN211"/>
          <cell r="DO211"/>
        </row>
        <row r="212">
          <cell r="A212" t="str">
            <v>Product -- Bytemobile</v>
          </cell>
          <cell r="B212"/>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1</v>
          </cell>
          <cell r="BJ212">
            <v>14.9375</v>
          </cell>
          <cell r="BK212">
            <v>3</v>
          </cell>
          <cell r="BL212">
            <v>13</v>
          </cell>
          <cell r="BM212">
            <v>12</v>
          </cell>
          <cell r="BN212">
            <v>4.9898937500000002</v>
          </cell>
          <cell r="BO212">
            <v>10</v>
          </cell>
          <cell r="BP212">
            <v>14</v>
          </cell>
          <cell r="BQ212">
            <v>14</v>
          </cell>
          <cell r="BR212">
            <v>14</v>
          </cell>
          <cell r="BS212">
            <v>7</v>
          </cell>
          <cell r="BT212">
            <v>10</v>
          </cell>
          <cell r="BU212">
            <v>10</v>
          </cell>
          <cell r="BV212">
            <v>4.8999999999999995</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cell r="DD212">
            <v>0</v>
          </cell>
          <cell r="DE212">
            <v>0</v>
          </cell>
          <cell r="DF212">
            <v>0</v>
          </cell>
          <cell r="DG212">
            <v>0</v>
          </cell>
          <cell r="DH212">
            <v>0</v>
          </cell>
          <cell r="DI212">
            <v>0</v>
          </cell>
          <cell r="DJ212">
            <v>0</v>
          </cell>
          <cell r="DK212">
            <v>0</v>
          </cell>
          <cell r="DL212">
            <v>0</v>
          </cell>
          <cell r="DM212">
            <v>0</v>
          </cell>
          <cell r="DN212">
            <v>0</v>
          </cell>
          <cell r="DO212">
            <v>0</v>
          </cell>
        </row>
        <row r="213">
          <cell r="A213" t="str">
            <v>% of revenue</v>
          </cell>
          <cell r="B213"/>
          <cell r="C213" t="e">
            <v>#DIV/0!</v>
          </cell>
          <cell r="D213" t="e">
            <v>#DIV/0!</v>
          </cell>
          <cell r="E213" t="e">
            <v>#DIV/0!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1.5590360168500612E-3</v>
          </cell>
          <cell r="BJ213">
            <v>2.0185919923891481E-2</v>
          </cell>
          <cell r="BK213">
            <v>4.4583213825551832E-3</v>
          </cell>
          <cell r="BL213">
            <v>1.7798856491927535E-2</v>
          </cell>
          <cell r="BM213">
            <v>1.6836646645087699E-2</v>
          </cell>
          <cell r="BN213">
            <v>6.2185560554323177E-3</v>
          </cell>
          <cell r="BO213">
            <v>1.3318789215509996E-2</v>
          </cell>
          <cell r="BP213">
            <v>1.7912892164389172E-2</v>
          </cell>
          <cell r="BQ213">
            <v>1.8445468607129967E-2</v>
          </cell>
          <cell r="BR213">
            <v>1.6441901952240972E-2</v>
          </cell>
          <cell r="BS213">
            <v>9.200817032552492E-3</v>
          </cell>
          <cell r="BT213">
            <v>1.2550846617358573E-2</v>
          </cell>
          <cell r="BU213">
            <v>1.2296039445694542E-2</v>
          </cell>
          <cell r="BV213">
            <v>5.4157829177364676E-3</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cell r="DD213"/>
          <cell r="DE213">
            <v>0</v>
          </cell>
          <cell r="DF213">
            <v>0</v>
          </cell>
          <cell r="DG213">
            <v>0</v>
          </cell>
          <cell r="DH213">
            <v>0</v>
          </cell>
          <cell r="DI213">
            <v>0</v>
          </cell>
          <cell r="DJ213">
            <v>0</v>
          </cell>
          <cell r="DK213">
            <v>0</v>
          </cell>
          <cell r="DL213">
            <v>0</v>
          </cell>
          <cell r="DM213">
            <v>0</v>
          </cell>
          <cell r="DN213">
            <v>0</v>
          </cell>
          <cell r="DO213">
            <v>0</v>
          </cell>
        </row>
        <row r="214">
          <cell r="A214" t="str">
            <v>% of delivery networking revenue</v>
          </cell>
          <cell r="B214"/>
          <cell r="C214" t="e">
            <v>#DIV/0!</v>
          </cell>
          <cell r="D214" t="e">
            <v>#DIV/0!</v>
          </cell>
          <cell r="E214" t="e">
            <v>#DIV/0!</v>
          </cell>
          <cell r="F214" t="e">
            <v>#DIV/0!</v>
          </cell>
          <cell r="G214" t="e">
            <v>#DIV/0!</v>
          </cell>
          <cell r="H214" t="e">
            <v>#DIV/0!</v>
          </cell>
          <cell r="I214" t="e">
            <v>#DIV/0!</v>
          </cell>
          <cell r="J214" t="e">
            <v>#DIV/0!</v>
          </cell>
          <cell r="K214" t="e">
            <v>#DIV/0!</v>
          </cell>
          <cell r="L214" t="e">
            <v>#DIV/0!</v>
          </cell>
          <cell r="M214" t="e">
            <v>#DIV/0!</v>
          </cell>
          <cell r="N214" t="e">
            <v>#DIV/0!</v>
          </cell>
          <cell r="O214" t="e">
            <v>#DIV/0!</v>
          </cell>
          <cell r="P214" t="e">
            <v>#DIV/0!</v>
          </cell>
          <cell r="Q214" t="e">
            <v>#DIV/0!</v>
          </cell>
          <cell r="R214" t="e">
            <v>#DIV/0!</v>
          </cell>
          <cell r="S214" t="e">
            <v>#DIV/0!</v>
          </cell>
          <cell r="T214" t="e">
            <v>#DIV/0!</v>
          </cell>
          <cell r="U214" t="e">
            <v>#DIV/0!</v>
          </cell>
          <cell r="V214" t="e">
            <v>#DIV/0!</v>
          </cell>
          <cell r="W214" t="e">
            <v>#DIV/0!</v>
          </cell>
          <cell r="X214" t="e">
            <v>#DIV/0!</v>
          </cell>
          <cell r="Y214" t="e">
            <v>#DIV/0!</v>
          </cell>
          <cell r="Z214" t="e">
            <v>#DIV/0!</v>
          </cell>
          <cell r="AA214" t="e">
            <v>#DIV/0!</v>
          </cell>
          <cell r="AB214" t="e">
            <v>#DIV/0!</v>
          </cell>
          <cell r="AC214" t="e">
            <v>#DIV/0!</v>
          </cell>
          <cell r="AD214" t="e">
            <v>#DIV/0!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7.8554595443833461E-3</v>
          </cell>
          <cell r="BJ214">
            <v>9.5569417786308369E-2</v>
          </cell>
          <cell r="BK214">
            <v>2.0215633423180591E-2</v>
          </cell>
          <cell r="BL214">
            <v>7.840772014475271E-2</v>
          </cell>
          <cell r="BM214">
            <v>8.1300813008130079E-2</v>
          </cell>
          <cell r="BN214">
            <v>2.8175571710897799E-2</v>
          </cell>
          <cell r="BO214">
            <v>5.9523809523809521E-2</v>
          </cell>
          <cell r="BP214">
            <v>7.7433628318584066E-2</v>
          </cell>
          <cell r="BQ214">
            <v>8.9171974522292988E-2</v>
          </cell>
          <cell r="BR214">
            <v>7.1355759429153925E-2</v>
          </cell>
          <cell r="BS214">
            <v>4.2944785276073622E-2</v>
          </cell>
          <cell r="BT214">
            <v>5.7045065601825436E-2</v>
          </cell>
          <cell r="BU214">
            <v>5.2714812862414341E-2</v>
          </cell>
          <cell r="BV214">
            <v>2.2082018927444793E-2</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cell r="DD214"/>
          <cell r="DE214" t="e">
            <v>#DIV/0!</v>
          </cell>
          <cell r="DF214" t="e">
            <v>#DIV/0!</v>
          </cell>
          <cell r="DG214" t="e">
            <v>#DIV/0!</v>
          </cell>
          <cell r="DH214" t="e">
            <v>#DIV/0!</v>
          </cell>
          <cell r="DI214" t="e">
            <v>#DIV/0!</v>
          </cell>
          <cell r="DJ214" t="e">
            <v>#DIV/0!</v>
          </cell>
          <cell r="DK214">
            <v>0</v>
          </cell>
          <cell r="DL214">
            <v>0</v>
          </cell>
          <cell r="DM214">
            <v>0</v>
          </cell>
          <cell r="DN214">
            <v>0</v>
          </cell>
          <cell r="DO214">
            <v>0</v>
          </cell>
        </row>
        <row r="215">
          <cell r="A215" t="str">
            <v>% of delivery networking product revenue</v>
          </cell>
          <cell r="B215"/>
          <cell r="C215" t="e">
            <v>#DIV/0!</v>
          </cell>
          <cell r="D215" t="e">
            <v>#DIV/0!</v>
          </cell>
          <cell r="E215" t="e">
            <v>#DIV/0!</v>
          </cell>
          <cell r="F215" t="e">
            <v>#DIV/0!</v>
          </cell>
          <cell r="G215" t="e">
            <v>#DIV/0!</v>
          </cell>
          <cell r="H215" t="e">
            <v>#DIV/0!</v>
          </cell>
          <cell r="I215" t="e">
            <v>#DIV/0!</v>
          </cell>
          <cell r="J215" t="e">
            <v>#DIV/0!</v>
          </cell>
          <cell r="K215" t="e">
            <v>#DIV/0!</v>
          </cell>
          <cell r="L215" t="e">
            <v>#DIV/0!</v>
          </cell>
          <cell r="M215" t="e">
            <v>#DIV/0!</v>
          </cell>
          <cell r="N215" t="e">
            <v>#DIV/0!</v>
          </cell>
          <cell r="O215" t="e">
            <v>#DIV/0!</v>
          </cell>
          <cell r="P215" t="e">
            <v>#DIV/0!</v>
          </cell>
          <cell r="Q215" t="e">
            <v>#DIV/0!</v>
          </cell>
          <cell r="R215" t="e">
            <v>#DIV/0!</v>
          </cell>
          <cell r="S215" t="e">
            <v>#DIV/0!</v>
          </cell>
          <cell r="T215" t="e">
            <v>#DIV/0!</v>
          </cell>
          <cell r="U215" t="e">
            <v>#DIV/0!</v>
          </cell>
          <cell r="V215" t="e">
            <v>#DIV/0!</v>
          </cell>
          <cell r="W215" t="e">
            <v>#DIV/0!</v>
          </cell>
          <cell r="X215" t="e">
            <v>#DIV/0!</v>
          </cell>
          <cell r="Y215" t="e">
            <v>#DIV/0!</v>
          </cell>
          <cell r="Z215" t="e">
            <v>#DIV/0!</v>
          </cell>
          <cell r="AA215" t="e">
            <v>#DIV/0!</v>
          </cell>
          <cell r="AB215" t="e">
            <v>#DIV/0!</v>
          </cell>
          <cell r="AC215" t="e">
            <v>#DIV/0!</v>
          </cell>
          <cell r="AD215" t="e">
            <v>#DIV/0!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1.2714558169103623E-2</v>
          </cell>
          <cell r="BJ215">
            <v>0.14992472398795578</v>
          </cell>
          <cell r="BK215">
            <v>3.4479822918440317E-2</v>
          </cell>
          <cell r="BL215">
            <v>0.12286441294074883</v>
          </cell>
          <cell r="BM215">
            <v>0.13460459899046551</v>
          </cell>
          <cell r="BN215">
            <v>4.3377807157345682E-2</v>
          </cell>
          <cell r="BO215">
            <v>9.3626465080796167E-2</v>
          </cell>
          <cell r="BP215">
            <v>0.11665918851355683</v>
          </cell>
          <cell r="BQ215">
            <v>0.1507808292945611</v>
          </cell>
          <cell r="BR215">
            <v>0.1115241635687732</v>
          </cell>
          <cell r="BS215">
            <v>7.5751503006012022E-2</v>
          </cell>
          <cell r="BT215">
            <v>9.9297280782157049E-2</v>
          </cell>
          <cell r="BU215">
            <v>8.8300220750551883E-2</v>
          </cell>
          <cell r="BV215">
            <v>3.5484961135518737E-2</v>
          </cell>
          <cell r="BW215">
            <v>0</v>
          </cell>
          <cell r="BX215">
            <v>0</v>
          </cell>
          <cell r="BY215">
            <v>0</v>
          </cell>
          <cell r="BZ215">
            <v>0</v>
          </cell>
          <cell r="CA215">
            <v>0</v>
          </cell>
          <cell r="CB215">
            <v>0</v>
          </cell>
          <cell r="CC215">
            <v>0</v>
          </cell>
          <cell r="CD215">
            <v>0</v>
          </cell>
          <cell r="CE215">
            <v>0</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cell r="DD215"/>
          <cell r="DE215" t="e">
            <v>#DIV/0!</v>
          </cell>
          <cell r="DF215" t="e">
            <v>#DIV/0!</v>
          </cell>
          <cell r="DG215" t="e">
            <v>#DIV/0!</v>
          </cell>
          <cell r="DH215" t="e">
            <v>#DIV/0!</v>
          </cell>
          <cell r="DI215" t="e">
            <v>#DIV/0!</v>
          </cell>
          <cell r="DJ215" t="e">
            <v>#DIV/0!</v>
          </cell>
          <cell r="DK215">
            <v>0</v>
          </cell>
          <cell r="DL215">
            <v>0</v>
          </cell>
          <cell r="DM215">
            <v>0</v>
          </cell>
          <cell r="DN215">
            <v>0</v>
          </cell>
          <cell r="DO215">
            <v>0</v>
          </cell>
        </row>
        <row r="216">
          <cell r="A216" t="str">
            <v>% growth in revenue y-o-y</v>
          </cell>
          <cell r="B216"/>
          <cell r="C216" t="str">
            <v>NA</v>
          </cell>
          <cell r="D216" t="str">
            <v>NA</v>
          </cell>
          <cell r="E216" t="str">
            <v>NA</v>
          </cell>
          <cell r="F216" t="str">
            <v>NA</v>
          </cell>
          <cell r="G216" t="str">
            <v>NA</v>
          </cell>
          <cell r="H216" t="str">
            <v>NA</v>
          </cell>
          <cell r="I216" t="str">
            <v>NA</v>
          </cell>
          <cell r="J216" t="str">
            <v>NA</v>
          </cell>
          <cell r="K216" t="str">
            <v>NA</v>
          </cell>
          <cell r="L216" t="str">
            <v>NA</v>
          </cell>
          <cell r="M216" t="str">
            <v>NA</v>
          </cell>
          <cell r="N216" t="str">
            <v>NA</v>
          </cell>
          <cell r="O216" t="str">
            <v>NA</v>
          </cell>
          <cell r="P216" t="str">
            <v>NA</v>
          </cell>
          <cell r="Q216" t="str">
            <v>NA</v>
          </cell>
          <cell r="R216" t="str">
            <v>NA</v>
          </cell>
          <cell r="S216" t="str">
            <v>NA</v>
          </cell>
          <cell r="T216" t="str">
            <v>NA</v>
          </cell>
          <cell r="U216" t="str">
            <v>NA</v>
          </cell>
          <cell r="V216" t="str">
            <v>NA</v>
          </cell>
          <cell r="W216" t="str">
            <v>NA</v>
          </cell>
          <cell r="X216" t="str">
            <v>NA</v>
          </cell>
          <cell r="Y216" t="str">
            <v>NA</v>
          </cell>
          <cell r="Z216" t="str">
            <v>NA</v>
          </cell>
          <cell r="AA216" t="str">
            <v>NA</v>
          </cell>
          <cell r="AB216" t="str">
            <v>NA</v>
          </cell>
          <cell r="AC216" t="str">
            <v>NA</v>
          </cell>
          <cell r="AD216" t="str">
            <v>NA</v>
          </cell>
          <cell r="AE216" t="str">
            <v>NA</v>
          </cell>
          <cell r="AF216" t="str">
            <v>NA</v>
          </cell>
          <cell r="AG216" t="str">
            <v>NA</v>
          </cell>
          <cell r="AH216" t="str">
            <v>NA</v>
          </cell>
          <cell r="AI216" t="str">
            <v>NA</v>
          </cell>
          <cell r="AJ216" t="str">
            <v>NA</v>
          </cell>
          <cell r="AK216" t="str">
            <v>NA</v>
          </cell>
          <cell r="AL216" t="str">
            <v>NA</v>
          </cell>
          <cell r="AM216" t="str">
            <v>NA</v>
          </cell>
          <cell r="AN216" t="str">
            <v>NA</v>
          </cell>
          <cell r="AO216" t="str">
            <v>NA</v>
          </cell>
          <cell r="AP216" t="str">
            <v>NA</v>
          </cell>
          <cell r="AQ216" t="str">
            <v>NA</v>
          </cell>
          <cell r="AR216" t="str">
            <v>NA</v>
          </cell>
          <cell r="AS216" t="str">
            <v>NA</v>
          </cell>
          <cell r="AT216" t="str">
            <v>NA</v>
          </cell>
          <cell r="AU216" t="str">
            <v>NA</v>
          </cell>
          <cell r="AV216" t="str">
            <v>NA</v>
          </cell>
          <cell r="AW216" t="str">
            <v>NA</v>
          </cell>
          <cell r="AX216" t="str">
            <v>NA</v>
          </cell>
          <cell r="AY216" t="str">
            <v>NA</v>
          </cell>
          <cell r="AZ216" t="str">
            <v>NA</v>
          </cell>
          <cell r="BA216" t="str">
            <v>NA</v>
          </cell>
          <cell r="BB216" t="str">
            <v>NA</v>
          </cell>
          <cell r="BC216" t="str">
            <v>NA</v>
          </cell>
          <cell r="BD216" t="str">
            <v>NA</v>
          </cell>
          <cell r="BE216" t="str">
            <v>NA</v>
          </cell>
          <cell r="BF216" t="str">
            <v>NA</v>
          </cell>
          <cell r="BG216" t="str">
            <v>NA</v>
          </cell>
          <cell r="BH216" t="str">
            <v>NA</v>
          </cell>
          <cell r="BI216" t="str">
            <v>NA</v>
          </cell>
          <cell r="BJ216" t="str">
            <v>NA</v>
          </cell>
          <cell r="BK216" t="str">
            <v>NA</v>
          </cell>
          <cell r="BL216" t="str">
            <v>NA</v>
          </cell>
          <cell r="BM216">
            <v>11</v>
          </cell>
          <cell r="BN216">
            <v>-0.66594853556485356</v>
          </cell>
          <cell r="BO216">
            <v>2.3333333333333335</v>
          </cell>
          <cell r="BP216">
            <v>7.6923076923076872E-2</v>
          </cell>
          <cell r="BQ216">
            <v>0.16666666666666674</v>
          </cell>
          <cell r="BR216">
            <v>1.8056709624328171</v>
          </cell>
          <cell r="BS216">
            <v>-0.30000000000000004</v>
          </cell>
          <cell r="BT216">
            <v>-0.2857142857142857</v>
          </cell>
          <cell r="BU216">
            <v>-0.2857142857142857</v>
          </cell>
          <cell r="BV216">
            <v>-0.65</v>
          </cell>
          <cell r="BW216">
            <v>-1</v>
          </cell>
          <cell r="BX216">
            <v>-1</v>
          </cell>
          <cell r="BY216">
            <v>-1</v>
          </cell>
          <cell r="BZ216">
            <v>-1</v>
          </cell>
          <cell r="CA216" t="str">
            <v>NA</v>
          </cell>
          <cell r="CB216" t="str">
            <v>NA</v>
          </cell>
          <cell r="CC216" t="str">
            <v>NA</v>
          </cell>
          <cell r="CD216" t="str">
            <v>NA</v>
          </cell>
          <cell r="CE216" t="str">
            <v>NA</v>
          </cell>
          <cell r="CF216" t="str">
            <v>NA</v>
          </cell>
          <cell r="CG216" t="str">
            <v>NA</v>
          </cell>
          <cell r="CH216" t="str">
            <v>NA</v>
          </cell>
          <cell r="CI216" t="str">
            <v>NA</v>
          </cell>
          <cell r="CJ216" t="str">
            <v>NA</v>
          </cell>
          <cell r="CK216" t="str">
            <v>NA</v>
          </cell>
          <cell r="CL216" t="str">
            <v>NA</v>
          </cell>
          <cell r="CM216" t="str">
            <v>NA</v>
          </cell>
          <cell r="CN216" t="str">
            <v>NA</v>
          </cell>
          <cell r="CO216" t="str">
            <v>NA</v>
          </cell>
          <cell r="CP216" t="str">
            <v>NA</v>
          </cell>
          <cell r="CQ216" t="str">
            <v>NA</v>
          </cell>
          <cell r="CR216" t="str">
            <v>NA</v>
          </cell>
          <cell r="CS216" t="str">
            <v>NA</v>
          </cell>
          <cell r="CT216" t="str">
            <v>NA</v>
          </cell>
          <cell r="CU216" t="str">
            <v>NA</v>
          </cell>
          <cell r="CV216" t="str">
            <v>NA</v>
          </cell>
          <cell r="CW216" t="str">
            <v>NA</v>
          </cell>
          <cell r="CX216" t="str">
            <v>NA</v>
          </cell>
          <cell r="CY216" t="str">
            <v>NA</v>
          </cell>
          <cell r="CZ216" t="str">
            <v>NA</v>
          </cell>
          <cell r="DA216" t="str">
            <v>NA</v>
          </cell>
          <cell r="DB216" t="str">
            <v>NA</v>
          </cell>
          <cell r="DC216"/>
          <cell r="DD216" t="str">
            <v>NA</v>
          </cell>
          <cell r="DE216" t="str">
            <v>NA</v>
          </cell>
          <cell r="DF216" t="str">
            <v>NA</v>
          </cell>
          <cell r="DG216" t="str">
            <v>NA</v>
          </cell>
          <cell r="DH216" t="str">
            <v>NA</v>
          </cell>
          <cell r="DI216" t="str">
            <v>NA</v>
          </cell>
          <cell r="DJ216" t="str">
            <v>NA</v>
          </cell>
          <cell r="DK216" t="str">
            <v>NA</v>
          </cell>
          <cell r="DL216" t="str">
            <v>NA</v>
          </cell>
          <cell r="DM216" t="str">
            <v>NA</v>
          </cell>
          <cell r="DN216" t="str">
            <v>NA</v>
          </cell>
          <cell r="DO216" t="str">
            <v>NA</v>
          </cell>
        </row>
        <row r="217">
          <cell r="A217" t="str">
            <v>% growth in revenue seq</v>
          </cell>
          <cell r="B217"/>
          <cell r="C217" t="str">
            <v>NA</v>
          </cell>
          <cell r="D217" t="str">
            <v>NA</v>
          </cell>
          <cell r="E217" t="str">
            <v>NA</v>
          </cell>
          <cell r="F217" t="str">
            <v>NA</v>
          </cell>
          <cell r="G217" t="str">
            <v>NA</v>
          </cell>
          <cell r="H217" t="str">
            <v>NA</v>
          </cell>
          <cell r="I217" t="str">
            <v>NA</v>
          </cell>
          <cell r="J217" t="str">
            <v>NA</v>
          </cell>
          <cell r="K217" t="str">
            <v>NA</v>
          </cell>
          <cell r="L217" t="str">
            <v>NA</v>
          </cell>
          <cell r="M217" t="str">
            <v>NA</v>
          </cell>
          <cell r="N217" t="str">
            <v>NA</v>
          </cell>
          <cell r="O217" t="str">
            <v>NA</v>
          </cell>
          <cell r="P217" t="str">
            <v>NA</v>
          </cell>
          <cell r="Q217" t="str">
            <v>NA</v>
          </cell>
          <cell r="R217" t="str">
            <v>NA</v>
          </cell>
          <cell r="S217" t="str">
            <v>NA</v>
          </cell>
          <cell r="T217" t="str">
            <v>NA</v>
          </cell>
          <cell r="U217" t="str">
            <v>NA</v>
          </cell>
          <cell r="V217" t="str">
            <v>NA</v>
          </cell>
          <cell r="W217" t="str">
            <v>NA</v>
          </cell>
          <cell r="X217" t="str">
            <v>NA</v>
          </cell>
          <cell r="Y217" t="str">
            <v>NA</v>
          </cell>
          <cell r="Z217" t="str">
            <v>NA</v>
          </cell>
          <cell r="AA217" t="str">
            <v>NA</v>
          </cell>
          <cell r="AB217" t="str">
            <v>NA</v>
          </cell>
          <cell r="AC217" t="str">
            <v>NA</v>
          </cell>
          <cell r="AD217" t="str">
            <v>NA</v>
          </cell>
          <cell r="AE217" t="str">
            <v>NA</v>
          </cell>
          <cell r="AF217" t="str">
            <v>NA</v>
          </cell>
          <cell r="AG217" t="str">
            <v>NA</v>
          </cell>
          <cell r="AH217" t="str">
            <v>NA</v>
          </cell>
          <cell r="AI217" t="str">
            <v>NA</v>
          </cell>
          <cell r="AJ217" t="str">
            <v>NA</v>
          </cell>
          <cell r="AK217" t="str">
            <v>NA</v>
          </cell>
          <cell r="AL217" t="str">
            <v>NA</v>
          </cell>
          <cell r="AM217" t="str">
            <v>NA</v>
          </cell>
          <cell r="AN217" t="str">
            <v>NA</v>
          </cell>
          <cell r="AO217" t="str">
            <v>NA</v>
          </cell>
          <cell r="AP217" t="str">
            <v>NA</v>
          </cell>
          <cell r="AQ217" t="str">
            <v>NA</v>
          </cell>
          <cell r="AR217" t="str">
            <v>NA</v>
          </cell>
          <cell r="AS217" t="str">
            <v>NA</v>
          </cell>
          <cell r="AT217" t="str">
            <v>NA</v>
          </cell>
          <cell r="AU217" t="str">
            <v>NA</v>
          </cell>
          <cell r="AV217" t="str">
            <v>NA</v>
          </cell>
          <cell r="AW217" t="str">
            <v>NA</v>
          </cell>
          <cell r="AX217" t="str">
            <v>NA</v>
          </cell>
          <cell r="AY217" t="str">
            <v>NA</v>
          </cell>
          <cell r="AZ217" t="str">
            <v>NA</v>
          </cell>
          <cell r="BA217" t="str">
            <v>NA</v>
          </cell>
          <cell r="BB217" t="str">
            <v>NA</v>
          </cell>
          <cell r="BC217" t="str">
            <v>NA</v>
          </cell>
          <cell r="BD217" t="str">
            <v>NA</v>
          </cell>
          <cell r="BE217" t="str">
            <v>NA</v>
          </cell>
          <cell r="BF217" t="str">
            <v>NA</v>
          </cell>
          <cell r="BG217" t="str">
            <v>NA</v>
          </cell>
          <cell r="BH217" t="str">
            <v>NA</v>
          </cell>
          <cell r="BI217" t="str">
            <v>NA</v>
          </cell>
          <cell r="BJ217">
            <v>13.9375</v>
          </cell>
          <cell r="BK217">
            <v>-0.79916317991631802</v>
          </cell>
          <cell r="BL217">
            <v>3.333333333333333</v>
          </cell>
          <cell r="BM217">
            <v>-7.6923076923076872E-2</v>
          </cell>
          <cell r="BN217">
            <v>-0.58417552083333324</v>
          </cell>
          <cell r="BO217">
            <v>1.0040506874520121</v>
          </cell>
          <cell r="BP217">
            <v>0.39999999999999991</v>
          </cell>
          <cell r="BQ217">
            <v>0</v>
          </cell>
          <cell r="BR217">
            <v>0</v>
          </cell>
          <cell r="BS217">
            <v>-0.5</v>
          </cell>
          <cell r="BT217">
            <v>0.4285714285714286</v>
          </cell>
          <cell r="BU217">
            <v>0</v>
          </cell>
          <cell r="BV217">
            <v>-0.51</v>
          </cell>
          <cell r="BW217">
            <v>-1</v>
          </cell>
          <cell r="BX217" t="str">
            <v>NA</v>
          </cell>
          <cell r="BY217" t="str">
            <v>NA</v>
          </cell>
          <cell r="BZ217" t="str">
            <v>NA</v>
          </cell>
          <cell r="CA217" t="str">
            <v>NA</v>
          </cell>
          <cell r="CB217" t="str">
            <v>NA</v>
          </cell>
          <cell r="CC217" t="str">
            <v>NA</v>
          </cell>
          <cell r="CD217" t="str">
            <v>NA</v>
          </cell>
          <cell r="CE217" t="str">
            <v>NA</v>
          </cell>
          <cell r="CF217" t="str">
            <v>NA</v>
          </cell>
          <cell r="CG217" t="str">
            <v>NA</v>
          </cell>
          <cell r="CH217" t="str">
            <v>NA</v>
          </cell>
          <cell r="CI217" t="str">
            <v>NA</v>
          </cell>
          <cell r="CJ217" t="str">
            <v>NA</v>
          </cell>
          <cell r="CK217" t="str">
            <v>NA</v>
          </cell>
          <cell r="CL217" t="str">
            <v>NA</v>
          </cell>
          <cell r="CM217" t="str">
            <v>NA</v>
          </cell>
          <cell r="CN217" t="str">
            <v>NA</v>
          </cell>
          <cell r="CO217" t="str">
            <v>NA</v>
          </cell>
          <cell r="CP217" t="str">
            <v>NA</v>
          </cell>
          <cell r="CQ217" t="str">
            <v>NA</v>
          </cell>
          <cell r="CR217" t="str">
            <v>NA</v>
          </cell>
          <cell r="CS217" t="str">
            <v>NA</v>
          </cell>
          <cell r="CT217" t="str">
            <v>NA</v>
          </cell>
          <cell r="CU217" t="str">
            <v>NA</v>
          </cell>
          <cell r="CV217" t="str">
            <v>NA</v>
          </cell>
          <cell r="CW217" t="str">
            <v>NA</v>
          </cell>
          <cell r="CX217" t="str">
            <v>NA</v>
          </cell>
          <cell r="CY217" t="str">
            <v>NA</v>
          </cell>
          <cell r="CZ217" t="str">
            <v>NA</v>
          </cell>
          <cell r="DA217" t="str">
            <v>NA</v>
          </cell>
          <cell r="DB217" t="str">
            <v>NA</v>
          </cell>
          <cell r="DC217"/>
          <cell r="DD217"/>
          <cell r="DE217"/>
          <cell r="DF217"/>
          <cell r="DG217"/>
          <cell r="DH217"/>
          <cell r="DI217"/>
          <cell r="DJ217"/>
          <cell r="DK217"/>
          <cell r="DL217"/>
          <cell r="DM217"/>
          <cell r="DN217"/>
          <cell r="DO217"/>
        </row>
        <row r="218">
          <cell r="A218"/>
          <cell r="B218"/>
          <cell r="C218"/>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cell r="AD218"/>
          <cell r="AE218"/>
          <cell r="AF218"/>
          <cell r="AG218"/>
          <cell r="AH218"/>
          <cell r="AI218"/>
          <cell r="AJ218"/>
          <cell r="AK218"/>
          <cell r="AL218"/>
          <cell r="AM218"/>
          <cell r="AN218"/>
          <cell r="AO218"/>
          <cell r="AP218"/>
          <cell r="AQ218"/>
          <cell r="AR218"/>
          <cell r="AS218"/>
          <cell r="AT218"/>
          <cell r="AU218"/>
          <cell r="AV218"/>
          <cell r="AW218"/>
          <cell r="AX218"/>
          <cell r="AY218"/>
          <cell r="AZ218"/>
          <cell r="BA218"/>
          <cell r="BB218"/>
          <cell r="BC218"/>
          <cell r="BD218"/>
          <cell r="BE218"/>
          <cell r="BF218"/>
          <cell r="BG218"/>
          <cell r="BH218"/>
          <cell r="BI218"/>
          <cell r="BJ218"/>
          <cell r="BK218"/>
          <cell r="BL218"/>
          <cell r="BM218"/>
          <cell r="BN218"/>
          <cell r="BO218"/>
          <cell r="BP218"/>
          <cell r="BQ218"/>
          <cell r="BR218"/>
          <cell r="BS218"/>
          <cell r="BT218"/>
          <cell r="BU218"/>
          <cell r="BV218"/>
          <cell r="BW218"/>
          <cell r="BX218"/>
          <cell r="BY218"/>
          <cell r="BZ218"/>
          <cell r="CA218"/>
          <cell r="CB218"/>
          <cell r="CC218"/>
          <cell r="CD218"/>
          <cell r="CE218"/>
          <cell r="CF218"/>
          <cell r="CG218"/>
          <cell r="CH218"/>
          <cell r="CI218"/>
          <cell r="CJ218"/>
          <cell r="CK218"/>
          <cell r="CL218"/>
          <cell r="CM218"/>
          <cell r="CN218"/>
          <cell r="CO218"/>
          <cell r="CP218"/>
          <cell r="CQ218"/>
          <cell r="CR218"/>
          <cell r="CS218"/>
          <cell r="CT218"/>
          <cell r="CU218"/>
          <cell r="CV218"/>
          <cell r="CW218"/>
          <cell r="CX218"/>
          <cell r="CY218"/>
          <cell r="CZ218"/>
          <cell r="DA218"/>
          <cell r="DB218"/>
          <cell r="DC218"/>
          <cell r="DD218"/>
          <cell r="DE218"/>
          <cell r="DF218"/>
          <cell r="DG218"/>
          <cell r="DH218"/>
          <cell r="DI218"/>
          <cell r="DJ218"/>
          <cell r="DK218"/>
          <cell r="DL218"/>
          <cell r="DM218"/>
          <cell r="DN218"/>
          <cell r="DO218"/>
        </row>
        <row r="219">
          <cell r="A219" t="str">
            <v>Product -- Other</v>
          </cell>
          <cell r="B219"/>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-0.12412300000000087</v>
          </cell>
          <cell r="AL219">
            <v>7.7576874999998324E-3</v>
          </cell>
          <cell r="AM219">
            <v>5.1502999999999659</v>
          </cell>
          <cell r="AN219">
            <v>0.68839192000000082</v>
          </cell>
          <cell r="AO219">
            <v>11.160666666666671</v>
          </cell>
          <cell r="AP219">
            <v>11.643031666666683</v>
          </cell>
          <cell r="AQ219">
            <v>4.6932281472000206</v>
          </cell>
          <cell r="AR219">
            <v>8.8394340216622744</v>
          </cell>
          <cell r="AS219">
            <v>10.362703058077233</v>
          </cell>
          <cell r="AT219">
            <v>10.853606061952839</v>
          </cell>
          <cell r="AU219">
            <v>2.3434224074074095</v>
          </cell>
          <cell r="AV219">
            <v>12.837424163692297</v>
          </cell>
          <cell r="AW219">
            <v>7.7675089280000087</v>
          </cell>
          <cell r="AX219">
            <v>10.56145249621337</v>
          </cell>
          <cell r="AY219">
            <v>2.6227670716474023</v>
          </cell>
          <cell r="AZ219">
            <v>9.3339258271923029</v>
          </cell>
          <cell r="BA219">
            <v>8.1557998559999945</v>
          </cell>
          <cell r="BB219">
            <v>4.3133333333333823</v>
          </cell>
          <cell r="BC219">
            <v>0.80136740740741175</v>
          </cell>
          <cell r="BD219">
            <v>8.9542102496910019</v>
          </cell>
          <cell r="BE219">
            <v>14.069553661503996</v>
          </cell>
          <cell r="BF219">
            <v>2.8425797969607061</v>
          </cell>
          <cell r="BG219">
            <v>-2.8107885345670098</v>
          </cell>
          <cell r="BH219">
            <v>7.2678319262034563</v>
          </cell>
          <cell r="BI219">
            <v>9.8278669117061384</v>
          </cell>
          <cell r="BJ219">
            <v>0.44862250339787124</v>
          </cell>
          <cell r="BK219">
            <v>4.6325061176848266</v>
          </cell>
          <cell r="BL219">
            <v>4.4171389609897176</v>
          </cell>
          <cell r="BM219">
            <v>-8.0946265269771231</v>
          </cell>
          <cell r="BN219">
            <v>5.6752613852380662</v>
          </cell>
          <cell r="BO219">
            <v>0.61539459109401662</v>
          </cell>
          <cell r="BP219">
            <v>5.0390295358821078</v>
          </cell>
          <cell r="BQ219">
            <v>-10.429478919246378</v>
          </cell>
          <cell r="BR219">
            <v>3.8254451127379525</v>
          </cell>
          <cell r="BS219">
            <v>-5.9144326032781436</v>
          </cell>
          <cell r="BT219">
            <v>-8.9128463630497095</v>
          </cell>
          <cell r="BU219">
            <v>-5.5720819668125756</v>
          </cell>
          <cell r="BV219">
            <v>6.5128079536290278</v>
          </cell>
          <cell r="BW219">
            <v>13.449937225360927</v>
          </cell>
          <cell r="BX219">
            <v>12.036092568448467</v>
          </cell>
          <cell r="BY219">
            <v>13.88415254237286</v>
          </cell>
          <cell r="BZ219">
            <v>14.533740112994408</v>
          </cell>
          <cell r="CA219">
            <v>0</v>
          </cell>
          <cell r="CB219">
            <v>0</v>
          </cell>
          <cell r="CC219">
            <v>1.4210854715202004E-14</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cell r="DD219">
            <v>0</v>
          </cell>
          <cell r="DE219">
            <v>0</v>
          </cell>
          <cell r="DF219">
            <v>0</v>
          </cell>
          <cell r="DG219">
            <v>0</v>
          </cell>
          <cell r="DH219">
            <v>0</v>
          </cell>
          <cell r="DI219">
            <v>0</v>
          </cell>
          <cell r="DJ219">
            <v>0</v>
          </cell>
          <cell r="DK219">
            <v>0</v>
          </cell>
          <cell r="DL219">
            <v>-0.11636531250000104</v>
          </cell>
          <cell r="DM219">
            <v>28.642390253333321</v>
          </cell>
          <cell r="DN219">
            <v>34.748971288892363</v>
          </cell>
          <cell r="DO219">
            <v>33.509807995313082</v>
          </cell>
        </row>
        <row r="220">
          <cell r="A220" t="str">
            <v>% of revenue</v>
          </cell>
          <cell r="B220"/>
          <cell r="C220" t="e">
            <v>#DIV/0!</v>
          </cell>
          <cell r="D220" t="e">
            <v>#DIV/0!</v>
          </cell>
          <cell r="E220" t="e">
            <v>#DIV/0!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-4.4672504327859488E-4</v>
          </cell>
          <cell r="AL220">
            <v>2.4167100204982625E-5</v>
          </cell>
          <cell r="AM220">
            <v>1.6716976967619528E-2</v>
          </cell>
          <cell r="AN220">
            <v>2.0588099197282029E-3</v>
          </cell>
          <cell r="AO220">
            <v>3.189390670351204E-2</v>
          </cell>
          <cell r="AP220">
            <v>2.9139705692192347E-2</v>
          </cell>
          <cell r="AQ220">
            <v>1.24477584175433E-2</v>
          </cell>
          <cell r="AR220">
            <v>2.2565118887147458E-2</v>
          </cell>
          <cell r="AS220">
            <v>2.5978653568945142E-2</v>
          </cell>
          <cell r="AT220">
            <v>2.6109416382492149E-2</v>
          </cell>
          <cell r="AU220">
            <v>6.3497401693159601E-3</v>
          </cell>
          <cell r="AV220">
            <v>3.2679503914416229E-2</v>
          </cell>
          <cell r="AW220">
            <v>1.9368317851995574E-2</v>
          </cell>
          <cell r="AX220">
            <v>2.3409549818719233E-2</v>
          </cell>
          <cell r="AY220">
            <v>6.3310266483069151E-3</v>
          </cell>
          <cell r="AZ220">
            <v>2.0360501593891155E-2</v>
          </cell>
          <cell r="BA220">
            <v>1.7270711398822181E-2</v>
          </cell>
          <cell r="BB220">
            <v>8.1426001149155873E-3</v>
          </cell>
          <cell r="BC220">
            <v>1.6324852255655295E-3</v>
          </cell>
          <cell r="BD220">
            <v>1.6869591080636414E-2</v>
          </cell>
          <cell r="BE220">
            <v>2.4886536542985907E-2</v>
          </cell>
          <cell r="BF220">
            <v>4.5894992572416086E-3</v>
          </cell>
          <cell r="BG220">
            <v>-4.7681295593126486E-3</v>
          </cell>
          <cell r="BH220">
            <v>1.1813578983117077E-2</v>
          </cell>
          <cell r="BI220">
            <v>1.532199848415885E-2</v>
          </cell>
          <cell r="BJ220">
            <v>6.0624990323984349E-4</v>
          </cell>
          <cell r="BK220">
            <v>6.8844003597639866E-3</v>
          </cell>
          <cell r="BL220">
            <v>6.047694036273683E-3</v>
          </cell>
          <cell r="BM220">
            <v>-1.1357197213222273E-2</v>
          </cell>
          <cell r="BN220">
            <v>7.0726818688941779E-3</v>
          </cell>
          <cell r="BO220">
            <v>8.1963108431461727E-4</v>
          </cell>
          <cell r="BP220">
            <v>6.4473994778163008E-3</v>
          </cell>
          <cell r="BQ220">
            <v>-1.3741187570977345E-2</v>
          </cell>
          <cell r="BR220">
            <v>4.4926852476654877E-3</v>
          </cell>
          <cell r="BS220">
            <v>-7.7739446048750455E-3</v>
          </cell>
          <cell r="BT220">
            <v>-1.1186376762671911E-2</v>
          </cell>
          <cell r="BU220">
            <v>-6.8514539658570657E-3</v>
          </cell>
          <cell r="BV220">
            <v>7.1983579717882227E-3</v>
          </cell>
          <cell r="BW220">
            <v>2.0416649172569197E-2</v>
          </cell>
          <cell r="BX220">
            <v>1.7858048550563242E-2</v>
          </cell>
          <cell r="BY220">
            <v>2.076178423529294E-2</v>
          </cell>
          <cell r="BZ220">
            <v>1.9784994109583665E-2</v>
          </cell>
          <cell r="CA220">
            <v>0</v>
          </cell>
          <cell r="CB220">
            <v>0</v>
          </cell>
          <cell r="CC220">
            <v>2.0567868748709346E-17</v>
          </cell>
          <cell r="CD220">
            <v>0</v>
          </cell>
          <cell r="CE220">
            <v>0</v>
          </cell>
          <cell r="CF220">
            <v>0</v>
          </cell>
          <cell r="CG220">
            <v>0</v>
          </cell>
          <cell r="CH220">
            <v>0</v>
          </cell>
          <cell r="CI220">
            <v>0</v>
          </cell>
          <cell r="CJ220">
            <v>0</v>
          </cell>
          <cell r="CK220">
            <v>0</v>
          </cell>
          <cell r="CL220">
            <v>0</v>
          </cell>
          <cell r="CM220">
            <v>0</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cell r="DD220"/>
          <cell r="DE220">
            <v>0</v>
          </cell>
          <cell r="DF220">
            <v>0</v>
          </cell>
          <cell r="DG220">
            <v>0</v>
          </cell>
          <cell r="DH220">
            <v>0</v>
          </cell>
          <cell r="DI220">
            <v>0</v>
          </cell>
          <cell r="DJ220">
            <v>0</v>
          </cell>
          <cell r="DK220">
            <v>0</v>
          </cell>
          <cell r="DL220">
            <v>-1.0258605603891061E-4</v>
          </cell>
          <cell r="DM220">
            <v>2.0577287166658756E-2</v>
          </cell>
          <cell r="DN220">
            <v>2.1946432250079494E-2</v>
          </cell>
          <cell r="DO220">
            <v>2.0760830881162044E-2</v>
          </cell>
        </row>
        <row r="221">
          <cell r="A221" t="str">
            <v>% of delivery networking product revenue</v>
          </cell>
          <cell r="B221"/>
          <cell r="C221" t="e">
            <v>#DIV/0!</v>
          </cell>
          <cell r="D221" t="e">
            <v>#DIV/0!</v>
          </cell>
          <cell r="E221" t="e">
            <v>#DIV/0!</v>
          </cell>
          <cell r="F221" t="e">
            <v>#DIV/0!</v>
          </cell>
          <cell r="G221" t="e">
            <v>#DIV/0!</v>
          </cell>
          <cell r="H221" t="e">
            <v>#DIV/0!</v>
          </cell>
          <cell r="I221" t="e">
            <v>#DIV/0!</v>
          </cell>
          <cell r="J221" t="e">
            <v>#DIV/0!</v>
          </cell>
          <cell r="K221" t="e">
            <v>#DIV/0!</v>
          </cell>
          <cell r="L221" t="e">
            <v>#DIV/0!</v>
          </cell>
          <cell r="M221" t="e">
            <v>#DIV/0!</v>
          </cell>
          <cell r="N221" t="e">
            <v>#DIV/0!</v>
          </cell>
          <cell r="O221" t="e">
            <v>#DIV/0!</v>
          </cell>
          <cell r="P221" t="e">
            <v>#DIV/0!</v>
          </cell>
          <cell r="Q221" t="e">
            <v>#DIV/0!</v>
          </cell>
          <cell r="R221" t="e">
            <v>#DIV/0!</v>
          </cell>
          <cell r="S221" t="e">
            <v>#DIV/0!</v>
          </cell>
          <cell r="T221" t="e">
            <v>#DIV/0!</v>
          </cell>
          <cell r="U221" t="e">
            <v>#DIV/0!</v>
          </cell>
          <cell r="V221" t="e">
            <v>#DIV/0!</v>
          </cell>
          <cell r="W221" t="e">
            <v>#DIV/0!</v>
          </cell>
          <cell r="X221" t="e">
            <v>#DIV/0!</v>
          </cell>
          <cell r="Y221" t="e">
            <v>#DIV/0!</v>
          </cell>
          <cell r="Z221" t="e">
            <v>#DIV/0!</v>
          </cell>
          <cell r="AA221" t="e">
            <v>#DIV/0!</v>
          </cell>
          <cell r="AB221" t="e">
            <v>#DIV/0!</v>
          </cell>
          <cell r="AC221" t="e">
            <v>#DIV/0!</v>
          </cell>
          <cell r="AD221" t="e">
            <v>#DIV/0!</v>
          </cell>
          <cell r="AE221">
            <v>0</v>
          </cell>
          <cell r="AF221">
            <v>0</v>
          </cell>
          <cell r="AG221">
            <v>0</v>
          </cell>
          <cell r="AH221">
            <v>0</v>
          </cell>
          <cell r="AI221">
            <v>0</v>
          </cell>
          <cell r="AJ221">
            <v>0</v>
          </cell>
          <cell r="AK221">
            <v>-5.1986781469849624E-3</v>
          </cell>
          <cell r="AL221">
            <v>3.0031874246002677E-4</v>
          </cell>
          <cell r="AM221">
            <v>0.21498369975831283</v>
          </cell>
          <cell r="AN221">
            <v>3.3018945664563315E-2</v>
          </cell>
          <cell r="AO221">
            <v>0.31838496795420412</v>
          </cell>
          <cell r="AP221">
            <v>0.29689216903878468</v>
          </cell>
          <cell r="AQ221">
            <v>0.16627921373489588</v>
          </cell>
          <cell r="AR221">
            <v>0.22147729424179755</v>
          </cell>
          <cell r="AS221">
            <v>0.26555363981804303</v>
          </cell>
          <cell r="AT221">
            <v>0.24213314504678296</v>
          </cell>
          <cell r="AU221">
            <v>7.6563897628267263E-2</v>
          </cell>
          <cell r="AV221">
            <v>0.30927819519644162</v>
          </cell>
          <cell r="AW221">
            <v>0.21078721649932181</v>
          </cell>
          <cell r="AX221">
            <v>0.22943053938189781</v>
          </cell>
          <cell r="AY221">
            <v>7.0113575182653334E-2</v>
          </cell>
          <cell r="AZ221">
            <v>0.19730249716016254</v>
          </cell>
          <cell r="BA221">
            <v>0.14499199743999991</v>
          </cell>
          <cell r="BB221">
            <v>7.7951807228916509E-2</v>
          </cell>
          <cell r="BC221">
            <v>1.6868262259296888E-2</v>
          </cell>
          <cell r="BD221">
            <v>0.1502190389030624</v>
          </cell>
          <cell r="BE221">
            <v>0.18948893820207402</v>
          </cell>
          <cell r="BF221">
            <v>4.4671238296920449E-2</v>
          </cell>
          <cell r="BG221">
            <v>-4.8455682820399228E-2</v>
          </cell>
          <cell r="BH221">
            <v>0.10577901370425991</v>
          </cell>
          <cell r="BI221">
            <v>0.12495698552709647</v>
          </cell>
          <cell r="BJ221">
            <v>4.5027350625413626E-3</v>
          </cell>
          <cell r="BK221">
            <v>5.3242663535454753E-2</v>
          </cell>
          <cell r="BL221">
            <v>4.1746860409208532E-2</v>
          </cell>
          <cell r="BM221">
            <v>-9.0797829803445015E-2</v>
          </cell>
          <cell r="BN221">
            <v>4.9335798770542429E-2</v>
          </cell>
          <cell r="BO221">
            <v>5.7617220193974788E-3</v>
          </cell>
          <cell r="BP221">
            <v>4.1989221182275119E-2</v>
          </cell>
          <cell r="BQ221">
            <v>-0.11232610575386513</v>
          </cell>
          <cell r="BR221">
            <v>3.0473540462596531E-2</v>
          </cell>
          <cell r="BS221">
            <v>-6.4003879875154254E-2</v>
          </cell>
          <cell r="BT221">
            <v>-8.8502140787997424E-2</v>
          </cell>
          <cell r="BU221">
            <v>-4.9201606770971969E-2</v>
          </cell>
          <cell r="BV221">
            <v>4.7164640228086405E-2</v>
          </cell>
          <cell r="BW221">
            <v>0.11644033830372587</v>
          </cell>
          <cell r="BX221">
            <v>0.10303028131803978</v>
          </cell>
          <cell r="BY221">
            <v>0.12509936065569996</v>
          </cell>
          <cell r="BZ221">
            <v>0.13156357221003476</v>
          </cell>
          <cell r="CA221">
            <v>0</v>
          </cell>
          <cell r="CB221">
            <v>0</v>
          </cell>
          <cell r="CC221">
            <v>1.5153020268160343E-16</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cell r="DD221"/>
          <cell r="DE221" t="e">
            <v>#DIV/0!</v>
          </cell>
          <cell r="DF221" t="e">
            <v>#DIV/0!</v>
          </cell>
          <cell r="DG221" t="e">
            <v>#DIV/0!</v>
          </cell>
          <cell r="DH221" t="e">
            <v>#DIV/0!</v>
          </cell>
          <cell r="DI221" t="e">
            <v>#DIV/0!</v>
          </cell>
          <cell r="DJ221" t="e">
            <v>#DIV/0!</v>
          </cell>
          <cell r="DK221">
            <v>0</v>
          </cell>
          <cell r="DL221">
            <v>-1.3352395861001604E-3</v>
          </cell>
          <cell r="DM221">
            <v>0.24053983074426924</v>
          </cell>
          <cell r="DN221">
            <v>0.22863543572474343</v>
          </cell>
          <cell r="DO221">
            <v>0.21619449523623324</v>
          </cell>
        </row>
        <row r="222">
          <cell r="A222" t="str">
            <v>% growth in revenue y-o-y</v>
          </cell>
          <cell r="B222"/>
          <cell r="C222" t="str">
            <v>NA</v>
          </cell>
          <cell r="D222" t="str">
            <v>NA</v>
          </cell>
          <cell r="E222" t="str">
            <v>NA</v>
          </cell>
          <cell r="F222" t="str">
            <v>NA</v>
          </cell>
          <cell r="G222" t="str">
            <v>NA</v>
          </cell>
          <cell r="H222" t="str">
            <v>NA</v>
          </cell>
          <cell r="I222" t="str">
            <v>NA</v>
          </cell>
          <cell r="J222" t="str">
            <v>NA</v>
          </cell>
          <cell r="K222" t="str">
            <v>NA</v>
          </cell>
          <cell r="L222" t="str">
            <v>NA</v>
          </cell>
          <cell r="M222" t="str">
            <v>NA</v>
          </cell>
          <cell r="N222" t="str">
            <v>NA</v>
          </cell>
          <cell r="O222" t="str">
            <v>NA</v>
          </cell>
          <cell r="P222" t="str">
            <v>NA</v>
          </cell>
          <cell r="Q222" t="str">
            <v>NA</v>
          </cell>
          <cell r="R222" t="str">
            <v>NA</v>
          </cell>
          <cell r="S222" t="str">
            <v>NA</v>
          </cell>
          <cell r="T222" t="str">
            <v>NA</v>
          </cell>
          <cell r="U222" t="str">
            <v>NA</v>
          </cell>
          <cell r="V222" t="str">
            <v>NA</v>
          </cell>
          <cell r="W222" t="str">
            <v>NA</v>
          </cell>
          <cell r="X222" t="str">
            <v>NA</v>
          </cell>
          <cell r="Y222" t="str">
            <v>NA</v>
          </cell>
          <cell r="Z222" t="str">
            <v>NA</v>
          </cell>
          <cell r="AA222" t="str">
            <v>NA</v>
          </cell>
          <cell r="AB222" t="str">
            <v>NA</v>
          </cell>
          <cell r="AC222" t="str">
            <v>NA</v>
          </cell>
          <cell r="AD222" t="str">
            <v>NA</v>
          </cell>
          <cell r="AE222" t="str">
            <v>NA</v>
          </cell>
          <cell r="AF222" t="str">
            <v>NA</v>
          </cell>
          <cell r="AG222" t="str">
            <v>NA</v>
          </cell>
          <cell r="AH222" t="str">
            <v>NA</v>
          </cell>
          <cell r="AI222" t="str">
            <v>NA</v>
          </cell>
          <cell r="AJ222" t="str">
            <v>NA</v>
          </cell>
          <cell r="AK222" t="str">
            <v>NA</v>
          </cell>
          <cell r="AL222" t="str">
            <v>NA</v>
          </cell>
          <cell r="AM222" t="str">
            <v>NA</v>
          </cell>
          <cell r="AN222" t="str">
            <v>NA</v>
          </cell>
          <cell r="AO222">
            <v>-90.916185289322627</v>
          </cell>
          <cell r="AP222">
            <v>1499.8379322661469</v>
          </cell>
          <cell r="AQ222">
            <v>-8.8746646370104321E-2</v>
          </cell>
          <cell r="AR222">
            <v>11.840699846770811</v>
          </cell>
          <cell r="AS222">
            <v>-7.1497844387082954E-2</v>
          </cell>
          <cell r="AT222">
            <v>-6.780240982886987E-2</v>
          </cell>
          <cell r="AU222">
            <v>-0.50068005775395874</v>
          </cell>
          <cell r="AV222">
            <v>0.4522902860332898</v>
          </cell>
          <cell r="AW222">
            <v>-0.25043602190785486</v>
          </cell>
          <cell r="AX222">
            <v>-2.6917649679916833E-2</v>
          </cell>
          <cell r="AY222">
            <v>0.1192037181845671</v>
          </cell>
          <cell r="AZ222">
            <v>-0.27291287503055595</v>
          </cell>
          <cell r="BA222">
            <v>4.99891189825723E-2</v>
          </cell>
          <cell r="BB222">
            <v>-0.59159657870166482</v>
          </cell>
          <cell r="BC222">
            <v>-0.69445727145565384</v>
          </cell>
          <cell r="BD222">
            <v>-4.0681229370291838E-2</v>
          </cell>
          <cell r="BE222">
            <v>0.72509795604577243</v>
          </cell>
          <cell r="BF222">
            <v>-0.34097840874172947</v>
          </cell>
          <cell r="BG222">
            <v>-4.5074904576672115</v>
          </cell>
          <cell r="BH222">
            <v>-0.18833356336989526</v>
          </cell>
          <cell r="BI222">
            <v>-0.3014798373742037</v>
          </cell>
          <cell r="BJ222">
            <v>-0.84217769229291661</v>
          </cell>
          <cell r="BK222">
            <v>-2.6481161996764886</v>
          </cell>
          <cell r="BL222">
            <v>-0.39223429960396361</v>
          </cell>
          <cell r="BM222">
            <v>-1.8236402262769225</v>
          </cell>
          <cell r="BN222">
            <v>11.650416201268508</v>
          </cell>
          <cell r="BO222">
            <v>-0.86715730633474686</v>
          </cell>
          <cell r="BP222">
            <v>0.14079035782769389</v>
          </cell>
          <cell r="BQ222">
            <v>0.28844473361282885</v>
          </cell>
          <cell r="BR222">
            <v>-0.32594380186817029</v>
          </cell>
          <cell r="BS222">
            <v>-10.610797184232268</v>
          </cell>
          <cell r="BT222">
            <v>-2.7687624768981376</v>
          </cell>
          <cell r="BU222">
            <v>-0.46573726166415153</v>
          </cell>
          <cell r="BV222">
            <v>0.70249677140647093</v>
          </cell>
          <cell r="BW222">
            <v>-3.2740874953763344</v>
          </cell>
          <cell r="BX222">
            <v>-2.3504207385809885</v>
          </cell>
          <cell r="BY222">
            <v>-3.4917351584321858</v>
          </cell>
          <cell r="BZ222">
            <v>1.231562824587205</v>
          </cell>
          <cell r="CA222">
            <v>-1</v>
          </cell>
          <cell r="CB222">
            <v>-1</v>
          </cell>
          <cell r="CC222">
            <v>-0.999999999999999</v>
          </cell>
          <cell r="CD222">
            <v>-1</v>
          </cell>
          <cell r="CE222" t="str">
            <v>NA</v>
          </cell>
          <cell r="CF222" t="str">
            <v>NA</v>
          </cell>
          <cell r="CG222">
            <v>-1</v>
          </cell>
          <cell r="CH222" t="str">
            <v>NA</v>
          </cell>
          <cell r="CI222" t="str">
            <v>NA</v>
          </cell>
          <cell r="CJ222" t="str">
            <v>NA</v>
          </cell>
          <cell r="CK222" t="str">
            <v>NA</v>
          </cell>
          <cell r="CL222" t="str">
            <v>NA</v>
          </cell>
          <cell r="CM222" t="str">
            <v>NA</v>
          </cell>
          <cell r="CN222" t="str">
            <v>NA</v>
          </cell>
          <cell r="CO222" t="str">
            <v>NA</v>
          </cell>
          <cell r="CP222" t="str">
            <v>NA</v>
          </cell>
          <cell r="CQ222" t="str">
            <v>NA</v>
          </cell>
          <cell r="CR222" t="str">
            <v>NA</v>
          </cell>
          <cell r="CS222" t="str">
            <v>NA</v>
          </cell>
          <cell r="CT222" t="str">
            <v>NA</v>
          </cell>
          <cell r="CU222" t="str">
            <v>NA</v>
          </cell>
          <cell r="CV222" t="str">
            <v>NA</v>
          </cell>
          <cell r="CW222" t="str">
            <v>NA</v>
          </cell>
          <cell r="CX222" t="str">
            <v>NA</v>
          </cell>
          <cell r="CY222" t="str">
            <v>NA</v>
          </cell>
          <cell r="CZ222" t="str">
            <v>NA</v>
          </cell>
          <cell r="DA222" t="str">
            <v>NA</v>
          </cell>
          <cell r="DB222" t="str">
            <v>NA</v>
          </cell>
          <cell r="DC222"/>
          <cell r="DD222" t="str">
            <v>NA</v>
          </cell>
          <cell r="DE222" t="str">
            <v>NA</v>
          </cell>
          <cell r="DF222" t="str">
            <v>NA</v>
          </cell>
          <cell r="DG222" t="str">
            <v>NA</v>
          </cell>
          <cell r="DH222" t="str">
            <v>NA</v>
          </cell>
          <cell r="DI222" t="str">
            <v>NA</v>
          </cell>
          <cell r="DJ222" t="str">
            <v>NA</v>
          </cell>
          <cell r="DK222" t="str">
            <v>NA</v>
          </cell>
          <cell r="DL222" t="str">
            <v>NA</v>
          </cell>
          <cell r="DM222">
            <v>-247.14199573720103</v>
          </cell>
          <cell r="DN222">
            <v>0.21320081814220715</v>
          </cell>
          <cell r="DO222">
            <v>-3.5660431017576211E-2</v>
          </cell>
        </row>
        <row r="223">
          <cell r="A223" t="str">
            <v>% growth in revenue seq</v>
          </cell>
          <cell r="B223"/>
          <cell r="C223" t="str">
            <v>NA</v>
          </cell>
          <cell r="D223" t="str">
            <v>NA</v>
          </cell>
          <cell r="E223" t="str">
            <v>NA</v>
          </cell>
          <cell r="F223" t="str">
            <v>NA</v>
          </cell>
          <cell r="G223" t="str">
            <v>NA</v>
          </cell>
          <cell r="H223" t="str">
            <v>NA</v>
          </cell>
          <cell r="I223" t="str">
            <v>NA</v>
          </cell>
          <cell r="J223" t="str">
            <v>NA</v>
          </cell>
          <cell r="K223" t="str">
            <v>NA</v>
          </cell>
          <cell r="L223" t="str">
            <v>NA</v>
          </cell>
          <cell r="M223" t="str">
            <v>NA</v>
          </cell>
          <cell r="N223" t="str">
            <v>NA</v>
          </cell>
          <cell r="O223" t="str">
            <v>NA</v>
          </cell>
          <cell r="P223" t="str">
            <v>NA</v>
          </cell>
          <cell r="Q223" t="str">
            <v>NA</v>
          </cell>
          <cell r="R223" t="str">
            <v>NA</v>
          </cell>
          <cell r="S223" t="str">
            <v>NA</v>
          </cell>
          <cell r="T223" t="str">
            <v>NA</v>
          </cell>
          <cell r="U223" t="str">
            <v>NA</v>
          </cell>
          <cell r="V223" t="str">
            <v>NA</v>
          </cell>
          <cell r="W223" t="str">
            <v>NA</v>
          </cell>
          <cell r="X223" t="str">
            <v>NA</v>
          </cell>
          <cell r="Y223" t="str">
            <v>NA</v>
          </cell>
          <cell r="Z223" t="str">
            <v>NA</v>
          </cell>
          <cell r="AA223" t="str">
            <v>NA</v>
          </cell>
          <cell r="AB223" t="str">
            <v>NA</v>
          </cell>
          <cell r="AC223" t="str">
            <v>NA</v>
          </cell>
          <cell r="AD223" t="str">
            <v>NA</v>
          </cell>
          <cell r="AE223" t="str">
            <v>NA</v>
          </cell>
          <cell r="AF223" t="str">
            <v>NA</v>
          </cell>
          <cell r="AG223" t="str">
            <v>NA</v>
          </cell>
          <cell r="AH223" t="str">
            <v>NA</v>
          </cell>
          <cell r="AI223" t="str">
            <v>NA</v>
          </cell>
          <cell r="AJ223" t="str">
            <v>NA</v>
          </cell>
          <cell r="AK223" t="str">
            <v>NA</v>
          </cell>
          <cell r="AL223">
            <v>-1.0624999999999982</v>
          </cell>
          <cell r="AM223">
            <v>662.89629641566216</v>
          </cell>
          <cell r="AN223">
            <v>-0.86633945207075214</v>
          </cell>
          <cell r="AO223">
            <v>15.212663662099139</v>
          </cell>
          <cell r="AP223">
            <v>4.3220088405711676E-2</v>
          </cell>
          <cell r="AQ223">
            <v>-0.59690669221174952</v>
          </cell>
          <cell r="AR223">
            <v>0.88344434670960537</v>
          </cell>
          <cell r="AS223">
            <v>0.1723265350114016</v>
          </cell>
          <cell r="AT223">
            <v>4.7372099839623427E-2</v>
          </cell>
          <cell r="AU223">
            <v>-0.78408812757427748</v>
          </cell>
          <cell r="AV223">
            <v>4.4780666614409821</v>
          </cell>
          <cell r="AW223">
            <v>-0.39493243901929942</v>
          </cell>
          <cell r="AX223">
            <v>0.35969621587969658</v>
          </cell>
          <cell r="AY223">
            <v>-0.75166606367942745</v>
          </cell>
          <cell r="AZ223">
            <v>2.5588085301564782</v>
          </cell>
          <cell r="BA223">
            <v>-0.12621977000932472</v>
          </cell>
          <cell r="BB223">
            <v>-0.47113300847369577</v>
          </cell>
          <cell r="BC223">
            <v>-0.81421157478962847</v>
          </cell>
          <cell r="BD223">
            <v>10.173664123251172</v>
          </cell>
          <cell r="BE223">
            <v>0.57127800991600775</v>
          </cell>
          <cell r="BF223">
            <v>-0.79796233303844244</v>
          </cell>
          <cell r="BG223">
            <v>-1.9888160527884962</v>
          </cell>
          <cell r="BH223">
            <v>-3.5856914658729515</v>
          </cell>
          <cell r="BI223">
            <v>0.35224190810917433</v>
          </cell>
          <cell r="BJ223">
            <v>-0.95435199647814628</v>
          </cell>
          <cell r="BK223">
            <v>9.3260672003704226</v>
          </cell>
          <cell r="BL223">
            <v>-4.6490420352157558E-2</v>
          </cell>
          <cell r="BM223">
            <v>-2.8325496658505434</v>
          </cell>
          <cell r="BN223">
            <v>-1.7011146674060884</v>
          </cell>
          <cell r="BO223">
            <v>-0.89156541887309004</v>
          </cell>
          <cell r="BP223">
            <v>7.1882902593017306</v>
          </cell>
          <cell r="BQ223">
            <v>-3.0697395887402048</v>
          </cell>
          <cell r="BR223">
            <v>-1.3667915858843669</v>
          </cell>
          <cell r="BS223">
            <v>-2.5460769737838582</v>
          </cell>
          <cell r="BT223">
            <v>0.50696558079124276</v>
          </cell>
          <cell r="BU223">
            <v>-0.3748257582546306</v>
          </cell>
          <cell r="BV223">
            <v>-2.168828454502183</v>
          </cell>
          <cell r="BW223">
            <v>1.0651518240863274</v>
          </cell>
          <cell r="BX223">
            <v>-0.10511905247011433</v>
          </cell>
          <cell r="BY223">
            <v>0.1535431838376613</v>
          </cell>
          <cell r="BZ223">
            <v>4.6786259992396495E-2</v>
          </cell>
          <cell r="CA223">
            <v>-1</v>
          </cell>
          <cell r="CB223" t="str">
            <v>NA</v>
          </cell>
          <cell r="CC223" t="str">
            <v>NA</v>
          </cell>
          <cell r="CD223">
            <v>-1</v>
          </cell>
          <cell r="CE223" t="str">
            <v>NA</v>
          </cell>
          <cell r="CF223" t="str">
            <v>NA</v>
          </cell>
          <cell r="CG223" t="str">
            <v>NA</v>
          </cell>
          <cell r="CH223" t="str">
            <v>NA</v>
          </cell>
          <cell r="CI223" t="str">
            <v>NA</v>
          </cell>
          <cell r="CJ223" t="str">
            <v>NA</v>
          </cell>
          <cell r="CK223" t="str">
            <v>NA</v>
          </cell>
          <cell r="CL223" t="str">
            <v>NA</v>
          </cell>
          <cell r="CM223" t="str">
            <v>NA</v>
          </cell>
          <cell r="CN223" t="str">
            <v>NA</v>
          </cell>
          <cell r="CO223" t="str">
            <v>NA</v>
          </cell>
          <cell r="CP223" t="str">
            <v>NA</v>
          </cell>
          <cell r="CQ223" t="str">
            <v>NA</v>
          </cell>
          <cell r="CR223" t="str">
            <v>NA</v>
          </cell>
          <cell r="CS223" t="str">
            <v>NA</v>
          </cell>
          <cell r="CT223" t="str">
            <v>NA</v>
          </cell>
          <cell r="CU223" t="str">
            <v>NA</v>
          </cell>
          <cell r="CV223" t="str">
            <v>NA</v>
          </cell>
          <cell r="CW223" t="str">
            <v>NA</v>
          </cell>
          <cell r="CX223" t="str">
            <v>NA</v>
          </cell>
          <cell r="CY223" t="str">
            <v>NA</v>
          </cell>
          <cell r="CZ223" t="str">
            <v>NA</v>
          </cell>
          <cell r="DA223" t="str">
            <v>NA</v>
          </cell>
          <cell r="DB223" t="str">
            <v>NA</v>
          </cell>
          <cell r="DC223"/>
          <cell r="DD223"/>
          <cell r="DE223"/>
          <cell r="DF223"/>
          <cell r="DG223"/>
          <cell r="DH223"/>
          <cell r="DI223"/>
          <cell r="DJ223"/>
          <cell r="DK223"/>
          <cell r="DL223"/>
          <cell r="DM223"/>
          <cell r="DN223"/>
          <cell r="DO223"/>
        </row>
        <row r="224">
          <cell r="A224"/>
          <cell r="B224"/>
          <cell r="C224"/>
          <cell r="D224"/>
          <cell r="E224"/>
          <cell r="F224"/>
          <cell r="G224"/>
          <cell r="H224"/>
          <cell r="I224"/>
          <cell r="J224"/>
          <cell r="K224"/>
          <cell r="L224"/>
          <cell r="M224"/>
          <cell r="N224"/>
          <cell r="O224"/>
          <cell r="P224"/>
          <cell r="Q224"/>
          <cell r="R224"/>
          <cell r="S224"/>
          <cell r="T224"/>
          <cell r="U224"/>
          <cell r="V224"/>
          <cell r="W224"/>
          <cell r="X224"/>
          <cell r="Y224"/>
          <cell r="Z224"/>
          <cell r="AA224"/>
          <cell r="AB224"/>
          <cell r="AC224"/>
          <cell r="AD224"/>
          <cell r="AE224"/>
          <cell r="AF224"/>
          <cell r="AG224"/>
          <cell r="AH224"/>
          <cell r="AI224"/>
          <cell r="AJ224"/>
          <cell r="AK224"/>
          <cell r="AL224"/>
          <cell r="AM224"/>
          <cell r="AN224"/>
          <cell r="AO224"/>
          <cell r="AP224"/>
          <cell r="AQ224"/>
          <cell r="AR224"/>
          <cell r="AS224"/>
          <cell r="AT224"/>
          <cell r="AU224"/>
          <cell r="AV224"/>
          <cell r="AW224"/>
          <cell r="AX224"/>
          <cell r="AY224"/>
          <cell r="AZ224"/>
          <cell r="BA224"/>
          <cell r="BB224"/>
          <cell r="BC224"/>
          <cell r="BD224"/>
          <cell r="BE224"/>
          <cell r="BF224"/>
          <cell r="BG224"/>
          <cell r="BH224"/>
          <cell r="BI224"/>
          <cell r="BJ224"/>
          <cell r="BK224"/>
          <cell r="BL224"/>
          <cell r="BM224"/>
          <cell r="BN224"/>
          <cell r="BO224"/>
          <cell r="BP224"/>
          <cell r="BQ224"/>
          <cell r="BR224"/>
          <cell r="BS224"/>
          <cell r="BT224"/>
          <cell r="BU224"/>
          <cell r="BV224"/>
          <cell r="BW224"/>
          <cell r="BX224"/>
          <cell r="BY224"/>
          <cell r="BZ224"/>
          <cell r="CA224"/>
          <cell r="CB224"/>
          <cell r="CC224"/>
          <cell r="CD224"/>
          <cell r="CE224"/>
          <cell r="CF224"/>
          <cell r="CG224"/>
          <cell r="CH224"/>
          <cell r="CI224"/>
          <cell r="CJ224"/>
          <cell r="CK224"/>
          <cell r="CL224"/>
          <cell r="CM224"/>
          <cell r="CN224"/>
          <cell r="CO224"/>
          <cell r="CP224"/>
          <cell r="CQ224"/>
          <cell r="CR224"/>
          <cell r="CS224"/>
          <cell r="CT224"/>
          <cell r="CU224"/>
          <cell r="CV224"/>
          <cell r="CW224"/>
          <cell r="CX224"/>
          <cell r="CY224"/>
          <cell r="CZ224"/>
          <cell r="DA224"/>
          <cell r="DB224"/>
          <cell r="DC224"/>
          <cell r="DD224"/>
          <cell r="DE224"/>
          <cell r="DF224"/>
          <cell r="DG224"/>
          <cell r="DH224"/>
          <cell r="DI224"/>
          <cell r="DJ224"/>
          <cell r="DK224"/>
          <cell r="DL224"/>
          <cell r="DM224"/>
          <cell r="DN224"/>
          <cell r="DO224"/>
        </row>
        <row r="225">
          <cell r="A225" t="str">
            <v>Updates and maintenance</v>
          </cell>
          <cell r="B225">
            <v>0</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1.8330750000000062E-2</v>
          </cell>
          <cell r="AG225">
            <v>1.6525278906250005</v>
          </cell>
          <cell r="AH225">
            <v>3.4717720849609375</v>
          </cell>
          <cell r="AI225">
            <v>4.4147847046508772</v>
          </cell>
          <cell r="AJ225">
            <v>5.699208491569518</v>
          </cell>
          <cell r="AK225">
            <v>5.7424999999999997</v>
          </cell>
          <cell r="AL225">
            <v>6.2024000000000008</v>
          </cell>
          <cell r="AM225">
            <v>8.1403000000000354</v>
          </cell>
          <cell r="AN225">
            <v>8.901608079999999</v>
          </cell>
          <cell r="AO225">
            <v>10.933999999999997</v>
          </cell>
          <cell r="AP225">
            <v>10.333015999999979</v>
          </cell>
          <cell r="AQ225">
            <v>12.07176599999995</v>
          </cell>
          <cell r="AR225">
            <v>17.282069896449755</v>
          </cell>
          <cell r="AS225">
            <v>12.438231179042404</v>
          </cell>
          <cell r="AT225">
            <v>14.079319771249985</v>
          </cell>
          <cell r="AU225">
            <v>18.692592592592593</v>
          </cell>
          <cell r="AV225">
            <v>20.292307692307702</v>
          </cell>
          <cell r="AW225">
            <v>23.049999999999997</v>
          </cell>
          <cell r="AX225">
            <v>24.366666666666639</v>
          </cell>
          <cell r="AY225">
            <v>20.797319592592594</v>
          </cell>
          <cell r="AZ225">
            <v>23.435712582307694</v>
          </cell>
          <cell r="BA225">
            <v>27.989774999999995</v>
          </cell>
          <cell r="BB225">
            <v>30.128029666666642</v>
          </cell>
          <cell r="BC225">
            <v>30.162592592592596</v>
          </cell>
          <cell r="BD225">
            <v>34.392307692307703</v>
          </cell>
          <cell r="BE225">
            <v>37.549999999999997</v>
          </cell>
          <cell r="BF225">
            <v>40.366666666666632</v>
          </cell>
          <cell r="BG225">
            <v>42.292592592592591</v>
          </cell>
          <cell r="BH225">
            <v>43.992307692307705</v>
          </cell>
          <cell r="BI225">
            <v>48.649999999999991</v>
          </cell>
          <cell r="BJ225">
            <v>56.666666666666643</v>
          </cell>
          <cell r="BK225">
            <v>61.392592592592592</v>
          </cell>
          <cell r="BL225">
            <v>59.992307692307719</v>
          </cell>
          <cell r="BM225">
            <v>58.449999999999989</v>
          </cell>
          <cell r="BN225">
            <v>62.06666666666662</v>
          </cell>
          <cell r="BO225">
            <v>61.19259259259259</v>
          </cell>
          <cell r="BP225">
            <v>60.792307692307716</v>
          </cell>
          <cell r="BQ225">
            <v>64.149999999999991</v>
          </cell>
          <cell r="BR225">
            <v>70.666666666666615</v>
          </cell>
          <cell r="BS225">
            <v>70.592592592592595</v>
          </cell>
          <cell r="BT225">
            <v>74.592307692307713</v>
          </cell>
          <cell r="BU225">
            <v>76.449999999999989</v>
          </cell>
          <cell r="BV225">
            <v>83.813333333333276</v>
          </cell>
          <cell r="BW225">
            <v>79.990740740740748</v>
          </cell>
          <cell r="BX225">
            <v>78.079076923076954</v>
          </cell>
          <cell r="BY225">
            <v>80.214999999999989</v>
          </cell>
          <cell r="BZ225">
            <v>90.730666666666593</v>
          </cell>
          <cell r="CA225">
            <v>88.306574074074064</v>
          </cell>
          <cell r="CB225">
            <v>85.888123076923108</v>
          </cell>
          <cell r="CC225">
            <v>91.756674999999987</v>
          </cell>
          <cell r="CD225">
            <v>96.397813333333261</v>
          </cell>
          <cell r="CE225">
            <v>85.785499932103193</v>
          </cell>
          <cell r="CF225">
            <v>84.670019014319109</v>
          </cell>
          <cell r="CG225">
            <v>89.604527850379725</v>
          </cell>
          <cell r="CH225">
            <v>93.333230366117903</v>
          </cell>
          <cell r="CI225">
            <v>84.643482160326002</v>
          </cell>
          <cell r="CJ225">
            <v>87.060592345428489</v>
          </cell>
          <cell r="CK225">
            <v>91.008199414276959</v>
          </cell>
          <cell r="CL225">
            <v>93.991161426867507</v>
          </cell>
          <cell r="CM225">
            <v>87.105540990260494</v>
          </cell>
          <cell r="CN225">
            <v>89.248244630964905</v>
          </cell>
          <cell r="CO225">
            <v>92.65004544931918</v>
          </cell>
          <cell r="CP225">
            <v>95.261226826667937</v>
          </cell>
          <cell r="CQ225">
            <v>89.964517685899182</v>
          </cell>
          <cell r="CR225">
            <v>91.876200238990918</v>
          </cell>
          <cell r="CS225">
            <v>94.827951722969672</v>
          </cell>
          <cell r="CT225">
            <v>97.129343944924784</v>
          </cell>
          <cell r="CU225">
            <v>93.0918341218688</v>
          </cell>
          <cell r="CV225">
            <v>94.806947386258955</v>
          </cell>
          <cell r="CW225">
            <v>97.384955908394218</v>
          </cell>
          <cell r="CX225">
            <v>99.425876202389901</v>
          </cell>
          <cell r="CY225">
            <v>96.383596102809179</v>
          </cell>
          <cell r="CZ225">
            <v>97.929648429285265</v>
          </cell>
          <cell r="DA225">
            <v>100.19489718580952</v>
          </cell>
          <cell r="DB225">
            <v>102.01474223331843</v>
          </cell>
          <cell r="DC225"/>
          <cell r="DD225"/>
          <cell r="DE225">
            <v>0</v>
          </cell>
          <cell r="DF225">
            <v>0</v>
          </cell>
          <cell r="DG225">
            <v>0</v>
          </cell>
          <cell r="DH225">
            <v>0</v>
          </cell>
          <cell r="DI225">
            <v>0</v>
          </cell>
          <cell r="DJ225">
            <v>0</v>
          </cell>
          <cell r="DK225">
            <v>5.1426307255859385</v>
          </cell>
          <cell r="DL225">
            <v>22.058893196220396</v>
          </cell>
          <cell r="DM225">
            <v>38.308924080000011</v>
          </cell>
          <cell r="DN225">
            <v>55.871386846742098</v>
          </cell>
          <cell r="DO225">
            <v>86.401566951566934</v>
          </cell>
        </row>
        <row r="226">
          <cell r="A226" t="str">
            <v>% of revenue</v>
          </cell>
          <cell r="B226"/>
          <cell r="C226" t="e">
            <v>#DIV/0!</v>
          </cell>
          <cell r="D226" t="e">
            <v>#DIV/0!</v>
          </cell>
          <cell r="E226" t="e">
            <v>#DIV/0!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8.6781407855929173E-5</v>
          </cell>
          <cell r="AG226">
            <v>7.2815586486051831E-3</v>
          </cell>
          <cell r="AH226">
            <v>1.2922741665776821E-2</v>
          </cell>
          <cell r="AI226">
            <v>1.6980071787670973E-2</v>
          </cell>
          <cell r="AJ226">
            <v>2.0689185283116432E-2</v>
          </cell>
          <cell r="AK226">
            <v>2.0667552033284027E-2</v>
          </cell>
          <cell r="AL226">
            <v>1.9321997993781974E-2</v>
          </cell>
          <cell r="AM226">
            <v>2.6421996312741926E-2</v>
          </cell>
          <cell r="AN226">
            <v>2.6622507446973954E-2</v>
          </cell>
          <cell r="AO226">
            <v>3.124615995724871E-2</v>
          </cell>
          <cell r="AP226">
            <v>2.5861051809620051E-2</v>
          </cell>
          <cell r="AQ226">
            <v>3.2017711930488899E-2</v>
          </cell>
          <cell r="AR226">
            <v>4.4117299916906424E-2</v>
          </cell>
          <cell r="AS226">
            <v>3.1181873783301298E-2</v>
          </cell>
          <cell r="AT226">
            <v>3.3869187824906083E-2</v>
          </cell>
          <cell r="AU226">
            <v>5.0649471336734586E-2</v>
          </cell>
          <cell r="AV226">
            <v>5.1656978861760627E-2</v>
          </cell>
          <cell r="AW226">
            <v>5.7475276903665946E-2</v>
          </cell>
          <cell r="AX226">
            <v>5.4008925141117645E-2</v>
          </cell>
          <cell r="AY226">
            <v>5.0202088465048554E-2</v>
          </cell>
          <cell r="AZ226">
            <v>5.1121347246615524E-2</v>
          </cell>
          <cell r="BA226">
            <v>5.9271111929915937E-2</v>
          </cell>
          <cell r="BB226">
            <v>5.6874922216223478E-2</v>
          </cell>
          <cell r="BC226">
            <v>6.1444958101629282E-2</v>
          </cell>
          <cell r="BD226">
            <v>6.4794566009735877E-2</v>
          </cell>
          <cell r="BE226">
            <v>6.6419267424665876E-2</v>
          </cell>
          <cell r="BF226">
            <v>6.5174172729317775E-2</v>
          </cell>
          <cell r="BG226">
            <v>7.1743768127961377E-2</v>
          </cell>
          <cell r="BH226">
            <v>7.1507790335507734E-2</v>
          </cell>
          <cell r="BI226">
            <v>7.5847102219755463E-2</v>
          </cell>
          <cell r="BJ226">
            <v>7.6576990506254952E-2</v>
          </cell>
          <cell r="BK226">
            <v>9.1235969428684824E-2</v>
          </cell>
          <cell r="BL226">
            <v>8.2138036556534261E-2</v>
          </cell>
          <cell r="BM226">
            <v>8.2008499700447976E-2</v>
          </cell>
          <cell r="BN226">
            <v>7.7349351544909933E-2</v>
          </cell>
          <cell r="BO226">
            <v>8.1501124229131916E-2</v>
          </cell>
          <cell r="BP226">
            <v>7.7783289436905323E-2</v>
          </cell>
          <cell r="BQ226">
            <v>8.4519772224813369E-2</v>
          </cell>
          <cell r="BR226">
            <v>8.2992457473216277E-2</v>
          </cell>
          <cell r="BS226">
            <v>9.2787075471137834E-2</v>
          </cell>
          <cell r="BT226">
            <v>9.3619661268097024E-2</v>
          </cell>
          <cell r="BU226">
            <v>9.400322156233476E-2</v>
          </cell>
          <cell r="BV226">
            <v>9.2635677335758948E-2</v>
          </cell>
          <cell r="BW226">
            <v>0.12142382996986938</v>
          </cell>
          <cell r="BX226">
            <v>0.11584656220828733</v>
          </cell>
          <cell r="BY226">
            <v>0.11995017465786198</v>
          </cell>
          <cell r="BZ226">
            <v>0.12351299057244179</v>
          </cell>
          <cell r="CA226">
            <v>0.13325733966030823</v>
          </cell>
          <cell r="CB226">
            <v>0.12389610196504622</v>
          </cell>
          <cell r="CC226">
            <v>0.13280265585989795</v>
          </cell>
          <cell r="CD226">
            <v>0.1239274228210754</v>
          </cell>
          <cell r="CE226">
            <v>0.12304429759966148</v>
          </cell>
          <cell r="CF226">
            <v>0.11405443281178276</v>
          </cell>
          <cell r="CG226">
            <v>0.12233100859329142</v>
          </cell>
          <cell r="CH226">
            <v>0.11639446589362104</v>
          </cell>
          <cell r="CI226">
            <v>0.11917872517648713</v>
          </cell>
          <cell r="CJ226">
            <v>0.11277471181449975</v>
          </cell>
          <cell r="CK226">
            <v>0.11930318647300756</v>
          </cell>
          <cell r="CL226">
            <v>0.10981276923738877</v>
          </cell>
          <cell r="CM226">
            <v>0.1138780178898687</v>
          </cell>
          <cell r="CN226">
            <v>0.10791646456978574</v>
          </cell>
          <cell r="CO226">
            <v>0.11312697977846736</v>
          </cell>
          <cell r="CP226">
            <v>0.10590300744125021</v>
          </cell>
          <cell r="CQ226">
            <v>0.10923179719758622</v>
          </cell>
          <cell r="CR226">
            <v>0.10389544469927361</v>
          </cell>
          <cell r="CS226">
            <v>0.10816104510130786</v>
          </cell>
          <cell r="CT226">
            <v>0.10296054306019919</v>
          </cell>
          <cell r="CU226">
            <v>0.10415742197166476</v>
          </cell>
          <cell r="CV226">
            <v>9.9230539233962092E-2</v>
          </cell>
          <cell r="CW226">
            <v>0.10278677721974687</v>
          </cell>
          <cell r="CX226">
            <v>9.8301424607558099E-2</v>
          </cell>
          <cell r="CY226">
            <v>9.9245769126744238E-2</v>
          </cell>
          <cell r="CZ226">
            <v>9.4814359825033195E-2</v>
          </cell>
          <cell r="DA226">
            <v>9.7945842695095264E-2</v>
          </cell>
          <cell r="DB226">
            <v>9.3755637289786919E-2</v>
          </cell>
          <cell r="DC226"/>
          <cell r="DD226"/>
          <cell r="DE226">
            <v>0</v>
          </cell>
          <cell r="DF226">
            <v>0</v>
          </cell>
          <cell r="DG226">
            <v>0</v>
          </cell>
          <cell r="DH226">
            <v>0</v>
          </cell>
          <cell r="DI226">
            <v>0</v>
          </cell>
          <cell r="DJ226">
            <v>0</v>
          </cell>
          <cell r="DK226">
            <v>5.6591902975672856E-3</v>
          </cell>
          <cell r="DL226">
            <v>1.9446816280270715E-2</v>
          </cell>
          <cell r="DM226">
            <v>2.7521925540000956E-2</v>
          </cell>
          <cell r="DN226">
            <v>3.5286731107978447E-2</v>
          </cell>
          <cell r="DO226">
            <v>5.3529650769702106E-2</v>
          </cell>
        </row>
        <row r="227">
          <cell r="A227" t="str">
            <v>% of delivery networking revenue</v>
          </cell>
          <cell r="B227"/>
          <cell r="C227" t="e">
            <v>#DIV/0!</v>
          </cell>
          <cell r="D227" t="e">
            <v>#DIV/0!</v>
          </cell>
          <cell r="E227" t="e">
            <v>#DIV/0!</v>
          </cell>
          <cell r="F227" t="e">
            <v>#DIV/0!</v>
          </cell>
          <cell r="G227" t="e">
            <v>#DIV/0!</v>
          </cell>
          <cell r="H227" t="e">
            <v>#DIV/0!</v>
          </cell>
          <cell r="I227" t="e">
            <v>#DIV/0!</v>
          </cell>
          <cell r="J227" t="e">
            <v>#DIV/0!</v>
          </cell>
          <cell r="K227" t="e">
            <v>#DIV/0!</v>
          </cell>
          <cell r="L227" t="e">
            <v>#DIV/0!</v>
          </cell>
          <cell r="M227" t="e">
            <v>#DIV/0!</v>
          </cell>
          <cell r="N227" t="e">
            <v>#DIV/0!</v>
          </cell>
          <cell r="O227" t="e">
            <v>#DIV/0!</v>
          </cell>
          <cell r="P227" t="e">
            <v>#DIV/0!</v>
          </cell>
          <cell r="Q227" t="e">
            <v>#DIV/0!</v>
          </cell>
          <cell r="R227" t="e">
            <v>#DIV/0!</v>
          </cell>
          <cell r="S227" t="e">
            <v>#DIV/0!</v>
          </cell>
          <cell r="T227" t="e">
            <v>#DIV/0!</v>
          </cell>
          <cell r="U227" t="e">
            <v>#DIV/0!</v>
          </cell>
          <cell r="V227" t="e">
            <v>#DIV/0!</v>
          </cell>
          <cell r="W227" t="e">
            <v>#DIV/0!</v>
          </cell>
          <cell r="X227" t="e">
            <v>#DIV/0!</v>
          </cell>
          <cell r="Y227" t="e">
            <v>#DIV/0!</v>
          </cell>
          <cell r="Z227" t="e">
            <v>#DIV/0!</v>
          </cell>
          <cell r="AA227" t="e">
            <v>#DIV/0!</v>
          </cell>
          <cell r="AB227" t="e">
            <v>#DIV/0!</v>
          </cell>
          <cell r="AC227" t="e">
            <v>#DIV/0!</v>
          </cell>
          <cell r="AD227" t="e">
            <v>#DIV/0!</v>
          </cell>
          <cell r="AE227">
            <v>0</v>
          </cell>
          <cell r="AF227">
            <v>8.4649628143349236E-3</v>
          </cell>
          <cell r="AG227">
            <v>0.17106143673913241</v>
          </cell>
          <cell r="AH227">
            <v>0.18705694765310218</v>
          </cell>
          <cell r="AI227">
            <v>0.21010603160552763</v>
          </cell>
          <cell r="AJ227">
            <v>0.21470946346107575</v>
          </cell>
          <cell r="AK227">
            <v>0.19388300716139847</v>
          </cell>
          <cell r="AL227">
            <v>0.19361980536065018</v>
          </cell>
          <cell r="AM227">
            <v>0.25361560270430367</v>
          </cell>
          <cell r="AN227">
            <v>0.29921371697478988</v>
          </cell>
          <cell r="AO227">
            <v>0.23775767591545616</v>
          </cell>
          <cell r="AP227">
            <v>0.20853975955824716</v>
          </cell>
          <cell r="AQ227">
            <v>0.29957170243257725</v>
          </cell>
          <cell r="AR227">
            <v>0.30216941703542249</v>
          </cell>
          <cell r="AS227">
            <v>0.24170094312634635</v>
          </cell>
          <cell r="AT227">
            <v>0.23902036105855795</v>
          </cell>
          <cell r="AU227">
            <v>0.37916009315603638</v>
          </cell>
          <cell r="AV227">
            <v>0.32835449340303724</v>
          </cell>
          <cell r="AW227">
            <v>0.38480801335559262</v>
          </cell>
          <cell r="AX227">
            <v>0.34611742424242381</v>
          </cell>
          <cell r="AY227">
            <v>0.35731324008430781</v>
          </cell>
          <cell r="AZ227">
            <v>0.33127770169881199</v>
          </cell>
          <cell r="BA227">
            <v>0.33226317377984443</v>
          </cell>
          <cell r="BB227">
            <v>0.35253392420931362</v>
          </cell>
          <cell r="BC227">
            <v>0.38834289420101192</v>
          </cell>
          <cell r="BD227">
            <v>0.3658756137479543</v>
          </cell>
          <cell r="BE227">
            <v>0.33586762075134169</v>
          </cell>
          <cell r="BF227">
            <v>0.38814102564102532</v>
          </cell>
          <cell r="BG227">
            <v>0.42166094309663599</v>
          </cell>
          <cell r="BH227">
            <v>0.39034878165312958</v>
          </cell>
          <cell r="BI227">
            <v>0.38216810683424973</v>
          </cell>
          <cell r="BJ227">
            <v>0.36255065045851975</v>
          </cell>
          <cell r="BK227">
            <v>0.41369671558350801</v>
          </cell>
          <cell r="BL227">
            <v>0.36183539018279681</v>
          </cell>
          <cell r="BM227">
            <v>0.39600271002710019</v>
          </cell>
          <cell r="BN227">
            <v>0.35046113306982846</v>
          </cell>
          <cell r="BO227">
            <v>0.3642416225749559</v>
          </cell>
          <cell r="BP227">
            <v>0.33624063989108249</v>
          </cell>
          <cell r="BQ227">
            <v>0.40859872611464965</v>
          </cell>
          <cell r="BR227">
            <v>0.36017669045191958</v>
          </cell>
          <cell r="BS227">
            <v>0.43308339013860486</v>
          </cell>
          <cell r="BT227">
            <v>0.42551230856992417</v>
          </cell>
          <cell r="BU227">
            <v>0.40300474433315758</v>
          </cell>
          <cell r="BV227">
            <v>0.3777076761303888</v>
          </cell>
          <cell r="BW227">
            <v>0.40915979918537465</v>
          </cell>
          <cell r="BX227">
            <v>0.40061096420254977</v>
          </cell>
          <cell r="BY227">
            <v>0.41953451882845183</v>
          </cell>
          <cell r="BZ227">
            <v>0.45094764744864113</v>
          </cell>
          <cell r="CA227">
            <v>0.45655347985768829</v>
          </cell>
          <cell r="CB227">
            <v>0.43627264500540014</v>
          </cell>
          <cell r="CC227">
            <v>0.49454117463174857</v>
          </cell>
          <cell r="CD227">
            <v>0.44919763901832832</v>
          </cell>
          <cell r="CE227">
            <v>0.41124400734469413</v>
          </cell>
          <cell r="CF227">
            <v>0.40824502899864562</v>
          </cell>
          <cell r="CG227">
            <v>0.45856974334892386</v>
          </cell>
          <cell r="CH227">
            <v>0.45349975487387795</v>
          </cell>
          <cell r="CI227">
            <v>0.48904328803669289</v>
          </cell>
          <cell r="CJ227">
            <v>0.4149881043893332</v>
          </cell>
          <cell r="CK227">
            <v>0.46243141040551589</v>
          </cell>
          <cell r="CL227">
            <v>0.45524126239241336</v>
          </cell>
          <cell r="CM227">
            <v>0.48512550991711434</v>
          </cell>
          <cell r="CN227">
            <v>0.40992571299018726</v>
          </cell>
          <cell r="CO227">
            <v>0.45572659893083955</v>
          </cell>
          <cell r="CP227">
            <v>0.44729592475922014</v>
          </cell>
          <cell r="CQ227">
            <v>0.4831560900969466</v>
          </cell>
          <cell r="CR227">
            <v>0.4069456045030575</v>
          </cell>
          <cell r="CS227">
            <v>0.45141351345777359</v>
          </cell>
          <cell r="CT227">
            <v>0.44192233246108453</v>
          </cell>
          <cell r="CU227">
            <v>0.48260674758034661</v>
          </cell>
          <cell r="CV227">
            <v>0.40550030413068755</v>
          </cell>
          <cell r="CW227">
            <v>0.44889842618622267</v>
          </cell>
          <cell r="CX227">
            <v>0.43850339300575114</v>
          </cell>
          <cell r="CY227">
            <v>0.48306845787461367</v>
          </cell>
          <cell r="CZ227">
            <v>0.40516630836763945</v>
          </cell>
          <cell r="DA227">
            <v>0.4477106418851497</v>
          </cell>
          <cell r="DB227">
            <v>0.43654522816759384</v>
          </cell>
          <cell r="DC227"/>
          <cell r="DD227"/>
          <cell r="DE227" t="e">
            <v>#DIV/0!</v>
          </cell>
          <cell r="DF227" t="e">
            <v>#DIV/0!</v>
          </cell>
          <cell r="DG227" t="e">
            <v>#DIV/0!</v>
          </cell>
          <cell r="DH227" t="e">
            <v>#DIV/0!</v>
          </cell>
          <cell r="DI227" t="e">
            <v>#DIV/0!</v>
          </cell>
          <cell r="DJ227" t="e">
            <v>#DIV/0!</v>
          </cell>
          <cell r="DK227">
            <v>0.16762604866980299</v>
          </cell>
          <cell r="DL227">
            <v>0.20198919893465217</v>
          </cell>
          <cell r="DM227">
            <v>0.24340994853866729</v>
          </cell>
          <cell r="DN227">
            <v>0.26879907648925438</v>
          </cell>
          <cell r="DO227">
            <v>0.35791867005620104</v>
          </cell>
        </row>
        <row r="228">
          <cell r="A228" t="str">
            <v>% growth in revenue y-o-y</v>
          </cell>
          <cell r="B228"/>
          <cell r="C228" t="str">
            <v>NA</v>
          </cell>
          <cell r="D228" t="str">
            <v>NA</v>
          </cell>
          <cell r="E228" t="str">
            <v>NA</v>
          </cell>
          <cell r="F228" t="str">
            <v>NA</v>
          </cell>
          <cell r="G228" t="str">
            <v>NA</v>
          </cell>
          <cell r="H228" t="str">
            <v>NA</v>
          </cell>
          <cell r="I228" t="str">
            <v>NA</v>
          </cell>
          <cell r="J228" t="str">
            <v>NA</v>
          </cell>
          <cell r="K228" t="str">
            <v>NA</v>
          </cell>
          <cell r="L228" t="str">
            <v>NA</v>
          </cell>
          <cell r="M228" t="str">
            <v>NA</v>
          </cell>
          <cell r="N228" t="str">
            <v>NA</v>
          </cell>
          <cell r="O228" t="str">
            <v>NA</v>
          </cell>
          <cell r="P228" t="str">
            <v>NA</v>
          </cell>
          <cell r="Q228" t="str">
            <v>NA</v>
          </cell>
          <cell r="R228" t="str">
            <v>NA</v>
          </cell>
          <cell r="S228" t="str">
            <v>NA</v>
          </cell>
          <cell r="T228" t="str">
            <v>NA</v>
          </cell>
          <cell r="U228" t="str">
            <v>NA</v>
          </cell>
          <cell r="V228" t="str">
            <v>NA</v>
          </cell>
          <cell r="W228" t="str">
            <v>NA</v>
          </cell>
          <cell r="X228" t="str">
            <v>NA</v>
          </cell>
          <cell r="Y228" t="str">
            <v>NA</v>
          </cell>
          <cell r="Z228" t="str">
            <v>NA</v>
          </cell>
          <cell r="AA228" t="str">
            <v>NA</v>
          </cell>
          <cell r="AB228" t="str">
            <v>NA</v>
          </cell>
          <cell r="AC228" t="str">
            <v>NA</v>
          </cell>
          <cell r="AD228" t="str">
            <v>NA</v>
          </cell>
          <cell r="AE228" t="str">
            <v>NA</v>
          </cell>
          <cell r="AF228" t="str">
            <v>NA</v>
          </cell>
          <cell r="AG228" t="str">
            <v>NA</v>
          </cell>
          <cell r="AH228" t="str">
            <v>NA</v>
          </cell>
          <cell r="AI228" t="str">
            <v>NA</v>
          </cell>
          <cell r="AJ228">
            <v>309.90972772906173</v>
          </cell>
          <cell r="AK228">
            <v>2.4749791713519196</v>
          </cell>
          <cell r="AL228">
            <v>0.78652280397887542</v>
          </cell>
          <cell r="AM228">
            <v>0.843872475009803</v>
          </cell>
          <cell r="AN228">
            <v>0.56190251561556126</v>
          </cell>
          <cell r="AO228">
            <v>0.90404875925119677</v>
          </cell>
          <cell r="AP228">
            <v>0.66597059202888853</v>
          </cell>
          <cell r="AQ228">
            <v>0.482963281451531</v>
          </cell>
          <cell r="AR228">
            <v>0.94145481817817323</v>
          </cell>
          <cell r="AS228">
            <v>0.13757373139220852</v>
          </cell>
          <cell r="AT228">
            <v>0.36255666024808364</v>
          </cell>
          <cell r="AU228">
            <v>0.54845551119800273</v>
          </cell>
          <cell r="AV228">
            <v>0.17418271155565335</v>
          </cell>
          <cell r="AW228">
            <v>0.85315738775121996</v>
          </cell>
          <cell r="AX228">
            <v>0.73067073285908668</v>
          </cell>
          <cell r="AY228">
            <v>0.11259684763225675</v>
          </cell>
          <cell r="AZ228">
            <v>0.15490623036391149</v>
          </cell>
          <cell r="BA228">
            <v>0.21430694143167028</v>
          </cell>
          <cell r="BB228">
            <v>0.23644444596443259</v>
          </cell>
          <cell r="BC228">
            <v>0.45031153934546664</v>
          </cell>
          <cell r="BD228">
            <v>0.46751704568486052</v>
          </cell>
          <cell r="BE228">
            <v>0.34156133802433231</v>
          </cell>
          <cell r="BF228">
            <v>0.33983759022011051</v>
          </cell>
          <cell r="BG228">
            <v>0.40215375925539343</v>
          </cell>
          <cell r="BH228">
            <v>0.27913218519346894</v>
          </cell>
          <cell r="BI228">
            <v>0.29560585885486002</v>
          </cell>
          <cell r="BJ228">
            <v>0.40379851362510388</v>
          </cell>
          <cell r="BK228">
            <v>0.4516157281723443</v>
          </cell>
          <cell r="BL228">
            <v>0.36369994754327695</v>
          </cell>
          <cell r="BM228">
            <v>0.20143884892086339</v>
          </cell>
          <cell r="BN228">
            <v>9.5294117647058529E-2</v>
          </cell>
          <cell r="BO228">
            <v>-3.2577220077220082E-3</v>
          </cell>
          <cell r="BP228">
            <v>1.333504295422494E-2</v>
          </cell>
          <cell r="BQ228">
            <v>9.7519247219846061E-2</v>
          </cell>
          <cell r="BR228">
            <v>0.13856068743286798</v>
          </cell>
          <cell r="BS228">
            <v>0.15361336399951586</v>
          </cell>
          <cell r="BT228">
            <v>0.22700240415032247</v>
          </cell>
          <cell r="BU228">
            <v>0.1917381137957912</v>
          </cell>
          <cell r="BV228">
            <v>0.18603773584905658</v>
          </cell>
          <cell r="BW228">
            <v>0.1331322140608604</v>
          </cell>
          <cell r="BX228">
            <v>4.6744353923894089E-2</v>
          </cell>
          <cell r="BY228">
            <v>4.9247874427730487E-2</v>
          </cell>
          <cell r="BZ228">
            <v>8.2532612153992879E-2</v>
          </cell>
          <cell r="CA228">
            <v>0.10395994906817907</v>
          </cell>
          <cell r="CB228">
            <v>0.10001458087855708</v>
          </cell>
          <cell r="CC228">
            <v>0.14388424858193605</v>
          </cell>
          <cell r="CD228">
            <v>6.2461203856101655E-2</v>
          </cell>
          <cell r="CE228">
            <v>-2.8549110509667353E-2</v>
          </cell>
          <cell r="CF228">
            <v>-1.4182450599287688E-2</v>
          </cell>
          <cell r="CG228">
            <v>-2.3454938287816751E-2</v>
          </cell>
          <cell r="CH228">
            <v>-3.1791000866569052E-2</v>
          </cell>
          <cell r="CI228">
            <v>-1.3312480228955592E-2</v>
          </cell>
          <cell r="CJ228">
            <v>2.8234000168407825E-2</v>
          </cell>
          <cell r="CK228">
            <v>1.5665185650451274E-2</v>
          </cell>
          <cell r="CL228">
            <v>7.0492691420702691E-3</v>
          </cell>
          <cell r="CM228">
            <v>2.9087400082040915E-2</v>
          </cell>
          <cell r="CN228">
            <v>2.5127927878741296E-2</v>
          </cell>
          <cell r="CO228">
            <v>1.8040638597500491E-2</v>
          </cell>
          <cell r="CP228">
            <v>1.35126045951528E-2</v>
          </cell>
          <cell r="CQ228">
            <v>3.2821984263416315E-2</v>
          </cell>
          <cell r="CR228">
            <v>2.9445459895512949E-2</v>
          </cell>
          <cell r="CS228">
            <v>2.3506801999809479E-2</v>
          </cell>
          <cell r="CT228">
            <v>1.9610466718594344E-2</v>
          </cell>
          <cell r="CU228">
            <v>3.4761665114331874E-2</v>
          </cell>
          <cell r="CV228">
            <v>3.1898871956442365E-2</v>
          </cell>
          <cell r="CW228">
            <v>2.6964667473727388E-2</v>
          </cell>
          <cell r="CX228">
            <v>2.3644062280162359E-2</v>
          </cell>
          <cell r="CY228">
            <v>3.5360373033697545E-2</v>
          </cell>
          <cell r="CZ228">
            <v>3.2937470608603414E-2</v>
          </cell>
          <cell r="DA228">
            <v>2.8853956457694396E-2</v>
          </cell>
          <cell r="DB228">
            <v>2.603815153369804E-2</v>
          </cell>
          <cell r="DC228"/>
          <cell r="DD228" t="str">
            <v>NA</v>
          </cell>
          <cell r="DE228" t="str">
            <v>NA</v>
          </cell>
          <cell r="DF228" t="str">
            <v>NA</v>
          </cell>
          <cell r="DG228" t="str">
            <v>NA</v>
          </cell>
          <cell r="DH228" t="str">
            <v>NA</v>
          </cell>
          <cell r="DI228" t="str">
            <v>NA</v>
          </cell>
          <cell r="DJ228" t="str">
            <v>NA</v>
          </cell>
          <cell r="DK228" t="str">
            <v>NA</v>
          </cell>
          <cell r="DL228">
            <v>3.2894180767192962</v>
          </cell>
          <cell r="DM228">
            <v>0.73666574017249054</v>
          </cell>
          <cell r="DN228">
            <v>0.45844312228833761</v>
          </cell>
          <cell r="DO228">
            <v>0.54643676894168736</v>
          </cell>
        </row>
        <row r="229">
          <cell r="A229" t="str">
            <v>% growth in revenue seq</v>
          </cell>
          <cell r="B229"/>
          <cell r="C229" t="str">
            <v>NA</v>
          </cell>
          <cell r="D229" t="str">
            <v>NA</v>
          </cell>
          <cell r="E229" t="str">
            <v>NA</v>
          </cell>
          <cell r="F229" t="str">
            <v>NA</v>
          </cell>
          <cell r="G229" t="str">
            <v>NA</v>
          </cell>
          <cell r="H229" t="str">
            <v>NA</v>
          </cell>
          <cell r="I229" t="str">
            <v>NA</v>
          </cell>
          <cell r="J229" t="str">
            <v>NA</v>
          </cell>
          <cell r="K229" t="str">
            <v>NA</v>
          </cell>
          <cell r="L229" t="str">
            <v>NA</v>
          </cell>
          <cell r="M229" t="str">
            <v>NA</v>
          </cell>
          <cell r="N229" t="str">
            <v>NA</v>
          </cell>
          <cell r="O229" t="str">
            <v>NA</v>
          </cell>
          <cell r="P229" t="str">
            <v>NA</v>
          </cell>
          <cell r="Q229" t="str">
            <v>NA</v>
          </cell>
          <cell r="R229" t="str">
            <v>NA</v>
          </cell>
          <cell r="S229" t="str">
            <v>NA</v>
          </cell>
          <cell r="T229" t="str">
            <v>NA</v>
          </cell>
          <cell r="U229" t="str">
            <v>NA</v>
          </cell>
          <cell r="V229" t="str">
            <v>NA</v>
          </cell>
          <cell r="W229" t="str">
            <v>NA</v>
          </cell>
          <cell r="X229" t="str">
            <v>NA</v>
          </cell>
          <cell r="Y229" t="str">
            <v>NA</v>
          </cell>
          <cell r="Z229" t="str">
            <v>NA</v>
          </cell>
          <cell r="AA229" t="str">
            <v>NA</v>
          </cell>
          <cell r="AB229" t="str">
            <v>NA</v>
          </cell>
          <cell r="AC229" t="str">
            <v>NA</v>
          </cell>
          <cell r="AD229" t="str">
            <v>NA</v>
          </cell>
          <cell r="AE229" t="str">
            <v>NA</v>
          </cell>
          <cell r="AF229" t="str">
            <v>NA</v>
          </cell>
          <cell r="AG229">
            <v>89.150587980578806</v>
          </cell>
          <cell r="AH229">
            <v>1.1008856217536414</v>
          </cell>
          <cell r="AI229">
            <v>0.27162284752933319</v>
          </cell>
          <cell r="AJ229">
            <v>0.29093690244181758</v>
          </cell>
          <cell r="AK229">
            <v>7.5960562759758155E-3</v>
          </cell>
          <cell r="AL229">
            <v>8.0087070091423795E-2</v>
          </cell>
          <cell r="AM229">
            <v>0.31244357023088387</v>
          </cell>
          <cell r="AN229">
            <v>9.3523344348483528E-2</v>
          </cell>
          <cell r="AO229">
            <v>0.22831738959237557</v>
          </cell>
          <cell r="AP229">
            <v>-5.4964697274558105E-2</v>
          </cell>
          <cell r="AQ229">
            <v>0.1682712965894928</v>
          </cell>
          <cell r="AR229">
            <v>0.43161074332039129</v>
          </cell>
          <cell r="AS229">
            <v>-0.28028116692216465</v>
          </cell>
          <cell r="AT229">
            <v>0.13193906501534602</v>
          </cell>
          <cell r="AU229">
            <v>0.32766304738407359</v>
          </cell>
          <cell r="AV229">
            <v>8.5580161863102688E-2</v>
          </cell>
          <cell r="AW229">
            <v>0.13589840788476049</v>
          </cell>
          <cell r="AX229">
            <v>5.7122198120027834E-2</v>
          </cell>
          <cell r="AY229">
            <v>-0.14648483204134266</v>
          </cell>
          <cell r="AZ229">
            <v>0.12686216500009073</v>
          </cell>
          <cell r="BA229">
            <v>0.19432148272420346</v>
          </cell>
          <cell r="BB229">
            <v>7.6394135596540069E-2</v>
          </cell>
          <cell r="BC229">
            <v>1.147201669287945E-3</v>
          </cell>
          <cell r="BD229">
            <v>0.14023048869989552</v>
          </cell>
          <cell r="BE229">
            <v>9.1813911876537313E-2</v>
          </cell>
          <cell r="BF229">
            <v>7.5011096316022208E-2</v>
          </cell>
          <cell r="BG229">
            <v>4.7710799155886718E-2</v>
          </cell>
          <cell r="BH229">
            <v>4.0189427876616168E-2</v>
          </cell>
          <cell r="BI229">
            <v>0.10587515299877559</v>
          </cell>
          <cell r="BJ229">
            <v>0.1647824597464882</v>
          </cell>
          <cell r="BK229">
            <v>8.3398692810457975E-2</v>
          </cell>
          <cell r="BL229">
            <v>-2.2808694683694286E-2</v>
          </cell>
          <cell r="BM229">
            <v>-2.5708424156943854E-2</v>
          </cell>
          <cell r="BN229">
            <v>6.1876247504989434E-2</v>
          </cell>
          <cell r="BO229">
            <v>-1.4082826112900571E-2</v>
          </cell>
          <cell r="BP229">
            <v>-6.5413946905287235E-3</v>
          </cell>
          <cell r="BQ229">
            <v>5.5232190307477724E-2</v>
          </cell>
          <cell r="BR229">
            <v>0.10158482722785078</v>
          </cell>
          <cell r="BS229">
            <v>-1.0482180293492904E-3</v>
          </cell>
          <cell r="BT229">
            <v>5.665913310194548E-2</v>
          </cell>
          <cell r="BU229">
            <v>2.4904609673094269E-2</v>
          </cell>
          <cell r="BV229">
            <v>9.6315674732940337E-2</v>
          </cell>
          <cell r="BW229">
            <v>-4.5608406688584124E-2</v>
          </cell>
          <cell r="BX229">
            <v>-2.3898563758269487E-2</v>
          </cell>
          <cell r="BY229">
            <v>2.7355895600909008E-2</v>
          </cell>
          <cell r="BZ229">
            <v>0.13109351949967718</v>
          </cell>
          <cell r="CA229">
            <v>-2.6717455978785498E-2</v>
          </cell>
          <cell r="CB229">
            <v>-2.7386987010981634E-2</v>
          </cell>
          <cell r="CC229">
            <v>6.832786318803219E-2</v>
          </cell>
          <cell r="CD229">
            <v>5.058093412095932E-2</v>
          </cell>
          <cell r="CE229">
            <v>-0.11008873577384826</v>
          </cell>
          <cell r="CF229">
            <v>-1.3003140608458974E-2</v>
          </cell>
          <cell r="CG229">
            <v>5.827929287728284E-2</v>
          </cell>
          <cell r="CH229">
            <v>4.1612880567422961E-2</v>
          </cell>
          <cell r="CI229">
            <v>-9.3104547776870716E-2</v>
          </cell>
          <cell r="CJ229">
            <v>2.8556365161397368E-2</v>
          </cell>
          <cell r="CK229">
            <v>4.5343213990385323E-2</v>
          </cell>
          <cell r="CL229">
            <v>3.2776849028864463E-2</v>
          </cell>
          <cell r="CM229">
            <v>-7.3258169513785276E-2</v>
          </cell>
          <cell r="CN229">
            <v>2.4598936145106887E-2</v>
          </cell>
          <cell r="CO229">
            <v>3.8116165000448676E-2</v>
          </cell>
          <cell r="CP229">
            <v>2.8183271413257049E-2</v>
          </cell>
          <cell r="CQ229">
            <v>-5.5601941285160605E-2</v>
          </cell>
          <cell r="CR229">
            <v>2.1249294747137437E-2</v>
          </cell>
          <cell r="CS229">
            <v>3.212748760071249E-2</v>
          </cell>
          <cell r="CT229">
            <v>2.4269133521710895E-2</v>
          </cell>
          <cell r="CU229">
            <v>-4.1568383549932864E-2</v>
          </cell>
          <cell r="CV229">
            <v>1.8423885194321699E-2</v>
          </cell>
          <cell r="CW229">
            <v>2.7192189952409684E-2</v>
          </cell>
          <cell r="CX229">
            <v>2.0957244113921414E-2</v>
          </cell>
          <cell r="CY229">
            <v>-3.0598474117420893E-2</v>
          </cell>
          <cell r="CZ229">
            <v>1.6040616754192882E-2</v>
          </cell>
          <cell r="DA229">
            <v>2.3131388633136796E-2</v>
          </cell>
          <cell r="DB229">
            <v>1.8163051199444169E-2</v>
          </cell>
          <cell r="DC229"/>
          <cell r="DD229"/>
          <cell r="DE229"/>
          <cell r="DF229"/>
          <cell r="DG229"/>
          <cell r="DH229"/>
          <cell r="DI229"/>
          <cell r="DJ229"/>
          <cell r="DK229"/>
          <cell r="DL229"/>
          <cell r="DM229"/>
          <cell r="DN229"/>
          <cell r="DO229"/>
        </row>
        <row r="230">
          <cell r="A230"/>
          <cell r="B230"/>
          <cell r="C230"/>
          <cell r="D230"/>
          <cell r="E230"/>
          <cell r="F230"/>
          <cell r="G230"/>
          <cell r="H230"/>
          <cell r="I230"/>
          <cell r="J230"/>
          <cell r="K230"/>
          <cell r="L230"/>
          <cell r="M230"/>
          <cell r="N230"/>
          <cell r="O230"/>
          <cell r="P230"/>
          <cell r="Q230"/>
          <cell r="R230"/>
          <cell r="S230"/>
          <cell r="T230"/>
          <cell r="U230"/>
          <cell r="V230"/>
          <cell r="W230"/>
          <cell r="X230"/>
          <cell r="Y230"/>
          <cell r="Z230"/>
          <cell r="AA230"/>
          <cell r="AB230"/>
          <cell r="AC230"/>
          <cell r="AD230"/>
          <cell r="AE230"/>
          <cell r="AF230"/>
          <cell r="AG230"/>
          <cell r="AH230"/>
          <cell r="AI230"/>
          <cell r="AJ230"/>
          <cell r="AK230"/>
          <cell r="AL230"/>
          <cell r="AM230"/>
          <cell r="AN230"/>
          <cell r="AO230"/>
          <cell r="AP230"/>
          <cell r="AQ230"/>
          <cell r="AR230"/>
          <cell r="AS230"/>
          <cell r="AT230"/>
          <cell r="AU230"/>
          <cell r="AV230"/>
          <cell r="AW230"/>
          <cell r="AX230"/>
          <cell r="AY230"/>
          <cell r="AZ230"/>
          <cell r="BA230"/>
          <cell r="BB230"/>
          <cell r="BC230"/>
          <cell r="BD230"/>
          <cell r="BE230"/>
          <cell r="BF230"/>
          <cell r="BG230"/>
          <cell r="BH230"/>
          <cell r="BI230"/>
          <cell r="BJ230"/>
          <cell r="BK230"/>
          <cell r="BL230"/>
          <cell r="BM230"/>
          <cell r="BN230"/>
          <cell r="BO230"/>
          <cell r="BP230"/>
          <cell r="BQ230"/>
          <cell r="BR230"/>
          <cell r="BS230"/>
          <cell r="BT230"/>
          <cell r="BU230"/>
          <cell r="BV230"/>
          <cell r="BW230"/>
          <cell r="BX230"/>
          <cell r="BY230"/>
          <cell r="BZ230"/>
          <cell r="CA230"/>
          <cell r="CB230"/>
          <cell r="CC230"/>
          <cell r="CD230"/>
          <cell r="CE230"/>
          <cell r="CF230"/>
          <cell r="CG230"/>
          <cell r="CH230"/>
          <cell r="CI230"/>
          <cell r="CJ230"/>
          <cell r="CK230"/>
          <cell r="CL230"/>
          <cell r="CM230"/>
          <cell r="CN230"/>
          <cell r="CO230"/>
          <cell r="CP230"/>
          <cell r="CQ230"/>
          <cell r="CR230"/>
          <cell r="CS230"/>
          <cell r="CT230"/>
          <cell r="CU230"/>
          <cell r="CV230"/>
          <cell r="CW230"/>
          <cell r="CX230"/>
          <cell r="CY230"/>
          <cell r="CZ230"/>
          <cell r="DA230"/>
          <cell r="DB230"/>
          <cell r="DC230"/>
          <cell r="DD230"/>
          <cell r="DE230"/>
          <cell r="DF230"/>
          <cell r="DG230"/>
          <cell r="DH230"/>
          <cell r="DI230"/>
          <cell r="DJ230"/>
          <cell r="DK230"/>
          <cell r="DL230"/>
          <cell r="DM230"/>
          <cell r="DN230"/>
          <cell r="DO230"/>
        </row>
        <row r="231">
          <cell r="A231" t="str">
            <v>Updates and maintenance -- Application Networking</v>
          </cell>
          <cell r="B231">
            <v>0</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1.833075E-2</v>
          </cell>
          <cell r="AG231">
            <v>1.6525278906250001</v>
          </cell>
          <cell r="AH231">
            <v>3.471772084960937</v>
          </cell>
          <cell r="AI231">
            <v>4.4147847046508781</v>
          </cell>
          <cell r="AJ231">
            <v>5.6992084915695189</v>
          </cell>
          <cell r="AK231">
            <v>5.6183769999999988</v>
          </cell>
          <cell r="AL231">
            <v>6.2101576874999989</v>
          </cell>
          <cell r="AM231">
            <v>8.147572832031285</v>
          </cell>
          <cell r="AN231">
            <v>8.586987162031253</v>
          </cell>
          <cell r="AO231">
            <v>10.467697628839653</v>
          </cell>
          <cell r="AP231">
            <v>9.2747332413241192</v>
          </cell>
          <cell r="AQ231">
            <v>10.285752812882956</v>
          </cell>
          <cell r="AR231">
            <v>15.182133672474624</v>
          </cell>
          <cell r="AS231">
            <v>10.016331248397988</v>
          </cell>
          <cell r="AT231">
            <v>11.353164677230108</v>
          </cell>
          <cell r="AU231">
            <v>15.160595108778514</v>
          </cell>
          <cell r="AV231">
            <v>16.973964462624988</v>
          </cell>
          <cell r="AW231">
            <v>18.185029713149209</v>
          </cell>
          <cell r="AX231">
            <v>19.397099082623395</v>
          </cell>
          <cell r="AY231">
            <v>16.603718589563968</v>
          </cell>
          <cell r="AZ231">
            <v>19.145167553010747</v>
          </cell>
          <cell r="BA231">
            <v>22.400204190311225</v>
          </cell>
          <cell r="BB231">
            <v>24.449952746914818</v>
          </cell>
          <cell r="BC231">
            <v>25.027818929390669</v>
          </cell>
          <cell r="BD231">
            <v>29.044761239989505</v>
          </cell>
          <cell r="BE231">
            <v>31.391839517733473</v>
          </cell>
          <cell r="BF231">
            <v>33.788396289182202</v>
          </cell>
          <cell r="BG231">
            <v>36.03284791790422</v>
          </cell>
          <cell r="BH231">
            <v>38.194029739174894</v>
          </cell>
          <cell r="BI231">
            <v>42.047994181010218</v>
          </cell>
          <cell r="BJ231">
            <v>46.674300985627838</v>
          </cell>
          <cell r="BK231">
            <v>49.236167117239354</v>
          </cell>
          <cell r="BL231">
            <v>47.777215817167814</v>
          </cell>
          <cell r="BM231">
            <v>46.480082665807814</v>
          </cell>
          <cell r="BN231">
            <v>50.174181953085537</v>
          </cell>
          <cell r="BO231">
            <v>51.183986588868805</v>
          </cell>
          <cell r="BP231">
            <v>50.129508264092692</v>
          </cell>
          <cell r="BQ231">
            <v>52.945983142805666</v>
          </cell>
          <cell r="BR231">
            <v>58.759373768348659</v>
          </cell>
          <cell r="BS231">
            <v>60.224733426152177</v>
          </cell>
          <cell r="BT231">
            <v>63.303433979261015</v>
          </cell>
          <cell r="BU231">
            <v>64.993475878641874</v>
          </cell>
          <cell r="BV231">
            <v>71.694290870281463</v>
          </cell>
          <cell r="BW231">
            <v>70.044210609550163</v>
          </cell>
          <cell r="BX231">
            <v>72.178136551577481</v>
          </cell>
          <cell r="BY231">
            <v>74.215633513782564</v>
          </cell>
          <cell r="BZ231">
            <v>83.686675510421949</v>
          </cell>
          <cell r="CA231">
            <v>85.992811695040956</v>
          </cell>
          <cell r="CB231">
            <v>82.958062522519569</v>
          </cell>
          <cell r="CC231">
            <v>89.36170337371756</v>
          </cell>
          <cell r="CD231">
            <v>94.603128378676203</v>
          </cell>
          <cell r="CE231">
            <v>75.105499932103186</v>
          </cell>
          <cell r="CF231">
            <v>73.990019014319103</v>
          </cell>
          <cell r="CG231">
            <v>78.924527850379718</v>
          </cell>
          <cell r="CH231">
            <v>82.653230366117896</v>
          </cell>
          <cell r="CI231">
            <v>73.963482160326009</v>
          </cell>
          <cell r="CJ231">
            <v>76.380592345428482</v>
          </cell>
          <cell r="CK231">
            <v>80.328199414276952</v>
          </cell>
          <cell r="CL231">
            <v>83.3111614268675</v>
          </cell>
          <cell r="CM231">
            <v>76.425540990260487</v>
          </cell>
          <cell r="CN231">
            <v>78.568244630964898</v>
          </cell>
          <cell r="CO231">
            <v>81.970045449319173</v>
          </cell>
          <cell r="CP231">
            <v>84.581226826667944</v>
          </cell>
          <cell r="CQ231">
            <v>79.284517685899175</v>
          </cell>
          <cell r="CR231">
            <v>81.196200238990912</v>
          </cell>
          <cell r="CS231">
            <v>84.14795172296968</v>
          </cell>
          <cell r="CT231">
            <v>86.449343944924777</v>
          </cell>
          <cell r="CU231">
            <v>82.411834121868793</v>
          </cell>
          <cell r="CV231">
            <v>84.126947386258962</v>
          </cell>
          <cell r="CW231">
            <v>86.704955908394226</v>
          </cell>
          <cell r="CX231">
            <v>88.745876202389894</v>
          </cell>
          <cell r="CY231">
            <v>85.703596102809172</v>
          </cell>
          <cell r="CZ231">
            <v>87.249648429285259</v>
          </cell>
          <cell r="DA231">
            <v>89.514897185809531</v>
          </cell>
          <cell r="DB231">
            <v>91.334742233318423</v>
          </cell>
          <cell r="DC231"/>
          <cell r="DD231">
            <v>0</v>
          </cell>
          <cell r="DE231">
            <v>0</v>
          </cell>
          <cell r="DF231">
            <v>0</v>
          </cell>
          <cell r="DG231">
            <v>0</v>
          </cell>
          <cell r="DH231">
            <v>0</v>
          </cell>
          <cell r="DI231">
            <v>0</v>
          </cell>
          <cell r="DJ231">
            <v>0</v>
          </cell>
          <cell r="DK231">
            <v>5.1426307255859367</v>
          </cell>
          <cell r="DL231">
            <v>21.942527883720395</v>
          </cell>
          <cell r="DM231">
            <v>36.476990864226309</v>
          </cell>
          <cell r="DN231">
            <v>46.837382410985683</v>
          </cell>
          <cell r="DO231">
            <v>69.716688367176104</v>
          </cell>
        </row>
        <row r="232">
          <cell r="A232" t="str">
            <v>% of revenue</v>
          </cell>
          <cell r="B232"/>
          <cell r="C232" t="e">
            <v>#DIV/0!</v>
          </cell>
          <cell r="D232" t="e">
            <v>#DIV/0!</v>
          </cell>
          <cell r="E232" t="e">
            <v>#DIV/0!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8.6781407855928875E-5</v>
          </cell>
          <cell r="AG232">
            <v>7.2815586486051813E-3</v>
          </cell>
          <cell r="AH232">
            <v>1.2922741665776819E-2</v>
          </cell>
          <cell r="AI232">
            <v>1.6980071787670976E-2</v>
          </cell>
          <cell r="AJ232">
            <v>2.0689185283116435E-2</v>
          </cell>
          <cell r="AK232">
            <v>2.0220826990005429E-2</v>
          </cell>
          <cell r="AL232">
            <v>1.9346165093986949E-2</v>
          </cell>
          <cell r="AM232">
            <v>2.6445602659082097E-2</v>
          </cell>
          <cell r="AN232">
            <v>2.5681554120752393E-2</v>
          </cell>
          <cell r="AO232">
            <v>2.9913604764481152E-2</v>
          </cell>
          <cell r="AP232">
            <v>2.321242480165412E-2</v>
          </cell>
          <cell r="AQ232">
            <v>2.7280703631192296E-2</v>
          </cell>
          <cell r="AR232">
            <v>3.8756627453793741E-2</v>
          </cell>
          <cell r="AS232">
            <v>2.5110320934180315E-2</v>
          </cell>
          <cell r="AT232">
            <v>2.7311153742341436E-2</v>
          </cell>
          <cell r="AU232">
            <v>4.1079166713032952E-2</v>
          </cell>
          <cell r="AV232">
            <v>4.3209660366941738E-2</v>
          </cell>
          <cell r="AW232">
            <v>4.5344451985450923E-2</v>
          </cell>
          <cell r="AX232">
            <v>4.2993836072841997E-2</v>
          </cell>
          <cell r="AY232">
            <v>4.0079268185066741E-2</v>
          </cell>
          <cell r="AZ232">
            <v>4.176219328235696E-2</v>
          </cell>
          <cell r="BA232">
            <v>4.7434643894668997E-2</v>
          </cell>
          <cell r="BB232">
            <v>4.6155994137567317E-2</v>
          </cell>
          <cell r="BC232">
            <v>5.0984784572836714E-2</v>
          </cell>
          <cell r="BD232">
            <v>5.4719872718004312E-2</v>
          </cell>
          <cell r="BE232">
            <v>5.5526577466858421E-2</v>
          </cell>
          <cell r="BF232">
            <v>5.4553198414479004E-2</v>
          </cell>
          <cell r="BG232">
            <v>6.1124942396295505E-2</v>
          </cell>
          <cell r="BH232">
            <v>6.2082914353106908E-2</v>
          </cell>
          <cell r="BI232">
            <v>6.5554337364496715E-2</v>
          </cell>
          <cell r="BJ232">
            <v>6.307372064933843E-2</v>
          </cell>
          <cell r="BK232">
            <v>7.3170218884616195E-2</v>
          </cell>
          <cell r="BL232">
            <v>6.5413831377970785E-2</v>
          </cell>
          <cell r="BM232">
            <v>6.5214060656555994E-2</v>
          </cell>
          <cell r="BN232">
            <v>6.2528578491420378E-2</v>
          </cell>
          <cell r="BO232">
            <v>6.8170872858663412E-2</v>
          </cell>
          <cell r="BP232">
            <v>6.4140319699182019E-2</v>
          </cell>
          <cell r="BQ232">
            <v>6.9758104995303882E-2</v>
          </cell>
          <cell r="BR232">
            <v>6.9008275876733485E-2</v>
          </cell>
          <cell r="BS232">
            <v>7.9159536155467766E-2</v>
          </cell>
          <cell r="BT232">
            <v>7.9451169022578996E-2</v>
          </cell>
          <cell r="BU232">
            <v>7.9916234311657716E-2</v>
          </cell>
          <cell r="BV232">
            <v>7.9240962407040802E-2</v>
          </cell>
          <cell r="BW232">
            <v>0.10632526015721679</v>
          </cell>
          <cell r="BX232">
            <v>0.10709128892927829</v>
          </cell>
          <cell r="BY232">
            <v>0.11097897154300436</v>
          </cell>
          <cell r="BZ232">
            <v>0.1139239018416164</v>
          </cell>
          <cell r="CA232">
            <v>0.12976580097851739</v>
          </cell>
          <cell r="CB232">
            <v>0.1196694048594754</v>
          </cell>
          <cell r="CC232">
            <v>0.12933632937542797</v>
          </cell>
          <cell r="CD232">
            <v>0.12162020574305585</v>
          </cell>
          <cell r="CE232">
            <v>0.10772570530370856</v>
          </cell>
          <cell r="CF232">
            <v>9.9667978709016586E-2</v>
          </cell>
          <cell r="CG232">
            <v>0.10775032608628776</v>
          </cell>
          <cell r="CH232">
            <v>0.10307559874557957</v>
          </cell>
          <cell r="CI232">
            <v>0.10414119656354591</v>
          </cell>
          <cell r="CJ232">
            <v>9.8940278924357541E-2</v>
          </cell>
          <cell r="CK232">
            <v>0.10530271135392903</v>
          </cell>
          <cell r="CL232">
            <v>9.7334996246277852E-2</v>
          </cell>
          <cell r="CM232">
            <v>9.9915447687821665E-2</v>
          </cell>
          <cell r="CN232">
            <v>9.5002509271605751E-2</v>
          </cell>
          <cell r="CO232">
            <v>0.10008655288849964</v>
          </cell>
          <cell r="CP232">
            <v>9.4029927940284544E-2</v>
          </cell>
          <cell r="CQ232">
            <v>9.6264511604578801E-2</v>
          </cell>
          <cell r="CR232">
            <v>9.1818287105664906E-2</v>
          </cell>
          <cell r="CS232">
            <v>9.5979405187196346E-2</v>
          </cell>
          <cell r="CT232">
            <v>9.1639364977225163E-2</v>
          </cell>
          <cell r="CU232">
            <v>9.2207917730496747E-2</v>
          </cell>
          <cell r="CV232">
            <v>8.8052221734707642E-2</v>
          </cell>
          <cell r="CW232">
            <v>9.1514371020379556E-2</v>
          </cell>
          <cell r="CX232">
            <v>8.774220949265539E-2</v>
          </cell>
          <cell r="CY232">
            <v>8.8248619641441567E-2</v>
          </cell>
          <cell r="CZ232">
            <v>8.4474106600673227E-2</v>
          </cell>
          <cell r="DA232">
            <v>8.7505574484193105E-2</v>
          </cell>
          <cell r="DB232">
            <v>8.3940289190736456E-2</v>
          </cell>
          <cell r="DC232"/>
          <cell r="DD232"/>
          <cell r="DE232">
            <v>0</v>
          </cell>
          <cell r="DF232">
            <v>0</v>
          </cell>
          <cell r="DG232">
            <v>0</v>
          </cell>
          <cell r="DH232">
            <v>0</v>
          </cell>
          <cell r="DI232">
            <v>0</v>
          </cell>
          <cell r="DJ232">
            <v>0</v>
          </cell>
          <cell r="DK232">
            <v>5.659190297567283E-3</v>
          </cell>
          <cell r="DL232">
            <v>1.9344230224231804E-2</v>
          </cell>
          <cell r="DM232">
            <v>2.6205826725701438E-2</v>
          </cell>
          <cell r="DN232">
            <v>2.9581118569180165E-2</v>
          </cell>
          <cell r="DO232">
            <v>4.3192619217276941E-2</v>
          </cell>
        </row>
        <row r="233">
          <cell r="A233" t="str">
            <v>% of delivery networking revenue</v>
          </cell>
          <cell r="B233"/>
          <cell r="C233" t="e">
            <v>#DIV/0!</v>
          </cell>
          <cell r="D233" t="e">
            <v>#DIV/0!</v>
          </cell>
          <cell r="E233" t="e">
            <v>#DIV/0!</v>
          </cell>
          <cell r="F233" t="e">
            <v>#DIV/0!</v>
          </cell>
          <cell r="G233" t="e">
            <v>#DIV/0!</v>
          </cell>
          <cell r="H233" t="e">
            <v>#DIV/0!</v>
          </cell>
          <cell r="I233" t="e">
            <v>#DIV/0!</v>
          </cell>
          <cell r="J233" t="e">
            <v>#DIV/0!</v>
          </cell>
          <cell r="K233" t="e">
            <v>#DIV/0!</v>
          </cell>
          <cell r="L233" t="e">
            <v>#DIV/0!</v>
          </cell>
          <cell r="M233" t="e">
            <v>#DIV/0!</v>
          </cell>
          <cell r="N233" t="e">
            <v>#DIV/0!</v>
          </cell>
          <cell r="O233" t="e">
            <v>#DIV/0!</v>
          </cell>
          <cell r="P233" t="e">
            <v>#DIV/0!</v>
          </cell>
          <cell r="Q233" t="e">
            <v>#DIV/0!</v>
          </cell>
          <cell r="R233" t="e">
            <v>#DIV/0!</v>
          </cell>
          <cell r="S233" t="e">
            <v>#DIV/0!</v>
          </cell>
          <cell r="T233" t="e">
            <v>#DIV/0!</v>
          </cell>
          <cell r="U233" t="e">
            <v>#DIV/0!</v>
          </cell>
          <cell r="V233" t="e">
            <v>#DIV/0!</v>
          </cell>
          <cell r="W233" t="e">
            <v>#DIV/0!</v>
          </cell>
          <cell r="X233" t="e">
            <v>#DIV/0!</v>
          </cell>
          <cell r="Y233" t="e">
            <v>#DIV/0!</v>
          </cell>
          <cell r="Z233" t="e">
            <v>#DIV/0!</v>
          </cell>
          <cell r="AA233" t="e">
            <v>#DIV/0!</v>
          </cell>
          <cell r="AB233" t="e">
            <v>#DIV/0!</v>
          </cell>
          <cell r="AC233" t="e">
            <v>#DIV/0!</v>
          </cell>
          <cell r="AD233" t="e">
            <v>#DIV/0!</v>
          </cell>
          <cell r="AE233">
            <v>0</v>
          </cell>
          <cell r="AF233">
            <v>8.4649628143348959E-3</v>
          </cell>
          <cell r="AG233">
            <v>0.17106143673913235</v>
          </cell>
          <cell r="AH233">
            <v>0.18705694765310216</v>
          </cell>
          <cell r="AI233">
            <v>0.21010603160552765</v>
          </cell>
          <cell r="AJ233">
            <v>0.21470946346107581</v>
          </cell>
          <cell r="AK233">
            <v>0.18969226436681522</v>
          </cell>
          <cell r="AL233">
            <v>0.19386197644664888</v>
          </cell>
          <cell r="AM233">
            <v>0.25384219185691137</v>
          </cell>
          <cell r="AN233">
            <v>0.28863822393382366</v>
          </cell>
          <cell r="AO233">
            <v>0.22761802271983242</v>
          </cell>
          <cell r="AP233">
            <v>0.18718161668506253</v>
          </cell>
          <cell r="AQ233">
            <v>0.2552501830267444</v>
          </cell>
          <cell r="AR233">
            <v>0.26545295260655888</v>
          </cell>
          <cell r="AS233">
            <v>0.19463834323025281</v>
          </cell>
          <cell r="AT233">
            <v>0.1927392490829041</v>
          </cell>
          <cell r="AU233">
            <v>0.30751714216589282</v>
          </cell>
          <cell r="AV233">
            <v>0.27465961913632664</v>
          </cell>
          <cell r="AW233">
            <v>0.30358981157177312</v>
          </cell>
          <cell r="AX233">
            <v>0.27552697560544592</v>
          </cell>
          <cell r="AY233">
            <v>0.28526409185913659</v>
          </cell>
          <cell r="AZ233">
            <v>0.27062830214038835</v>
          </cell>
          <cell r="BA233">
            <v>0.26591006671505507</v>
          </cell>
          <cell r="BB233">
            <v>0.28609364382492725</v>
          </cell>
          <cell r="BC233">
            <v>0.32223276592494743</v>
          </cell>
          <cell r="BD233">
            <v>0.30898682170201602</v>
          </cell>
          <cell r="BE233">
            <v>0.2807856844162207</v>
          </cell>
          <cell r="BF233">
            <v>0.3248884258575212</v>
          </cell>
          <cell r="BG233">
            <v>0.35925072699804805</v>
          </cell>
          <cell r="BH233">
            <v>0.33889999768566897</v>
          </cell>
          <cell r="BI233">
            <v>0.33030631721139214</v>
          </cell>
          <cell r="BJ233">
            <v>0.29861996791828427</v>
          </cell>
          <cell r="BK233">
            <v>0.33178010186818968</v>
          </cell>
          <cell r="BL233">
            <v>0.28816173592984207</v>
          </cell>
          <cell r="BM233">
            <v>0.31490570911793914</v>
          </cell>
          <cell r="BN233">
            <v>0.28330989245107591</v>
          </cell>
          <cell r="BO233">
            <v>0.30466658683850478</v>
          </cell>
          <cell r="BP233">
            <v>0.27726497933679584</v>
          </cell>
          <cell r="BQ233">
            <v>0.33723556141914435</v>
          </cell>
          <cell r="BR233">
            <v>0.2994871242015732</v>
          </cell>
          <cell r="BS233">
            <v>0.3694768921849827</v>
          </cell>
          <cell r="BT233">
            <v>0.36111485441677704</v>
          </cell>
          <cell r="BU233">
            <v>0.34261189182204471</v>
          </cell>
          <cell r="BV233">
            <v>0.32309279346679343</v>
          </cell>
          <cell r="BW233">
            <v>0.35828240720997528</v>
          </cell>
          <cell r="BX233">
            <v>0.37033420498500502</v>
          </cell>
          <cell r="BY233">
            <v>0.38815707904697994</v>
          </cell>
          <cell r="BZ233">
            <v>0.41593775104583475</v>
          </cell>
          <cell r="CA233">
            <v>0.44459110585793071</v>
          </cell>
          <cell r="CB233">
            <v>0.42138926855821957</v>
          </cell>
          <cell r="CC233">
            <v>0.48163299022694728</v>
          </cell>
          <cell r="CD233">
            <v>0.44083470819513609</v>
          </cell>
          <cell r="CE233">
            <v>0.36004554138112743</v>
          </cell>
          <cell r="CF233">
            <v>0.35675033275949419</v>
          </cell>
          <cell r="CG233">
            <v>0.40391262973582248</v>
          </cell>
          <cell r="CH233">
            <v>0.40160636853062248</v>
          </cell>
          <cell r="CI233">
            <v>0.42733762349020299</v>
          </cell>
          <cell r="CJ233">
            <v>0.36408019260654823</v>
          </cell>
          <cell r="CK233">
            <v>0.40816413015036845</v>
          </cell>
          <cell r="CL233">
            <v>0.40351324234731606</v>
          </cell>
          <cell r="CM233">
            <v>0.4256443289610819</v>
          </cell>
          <cell r="CN233">
            <v>0.36087145278778276</v>
          </cell>
          <cell r="CO233">
            <v>0.4031938661838948</v>
          </cell>
          <cell r="CP233">
            <v>0.39714833968643232</v>
          </cell>
          <cell r="CQ233">
            <v>0.42579895447319643</v>
          </cell>
          <cell r="CR233">
            <v>0.3596408722134411</v>
          </cell>
          <cell r="CS233">
            <v>0.40057305728285408</v>
          </cell>
          <cell r="CT233">
            <v>0.39333011183041072</v>
          </cell>
          <cell r="CU233">
            <v>0.42723948456766858</v>
          </cell>
          <cell r="CV233">
            <v>0.35982070608950617</v>
          </cell>
          <cell r="CW233">
            <v>0.39966869509532832</v>
          </cell>
          <cell r="CX233">
            <v>0.39140080345684602</v>
          </cell>
          <cell r="CY233">
            <v>0.42954097665677488</v>
          </cell>
          <cell r="CZ233">
            <v>0.36097972909597958</v>
          </cell>
          <cell r="DA233">
            <v>0.39998815511552804</v>
          </cell>
          <cell r="DB233">
            <v>0.39084298028888309</v>
          </cell>
          <cell r="DC233"/>
          <cell r="DD233"/>
          <cell r="DE233" t="e">
            <v>#DIV/0!</v>
          </cell>
          <cell r="DF233" t="e">
            <v>#DIV/0!</v>
          </cell>
          <cell r="DG233" t="e">
            <v>#DIV/0!</v>
          </cell>
          <cell r="DH233" t="e">
            <v>#DIV/0!</v>
          </cell>
          <cell r="DI233" t="e">
            <v>#DIV/0!</v>
          </cell>
          <cell r="DJ233" t="e">
            <v>#DIV/0!</v>
          </cell>
          <cell r="DK233">
            <v>0.16762604866980294</v>
          </cell>
          <cell r="DL233">
            <v>0.20092366332293424</v>
          </cell>
          <cell r="DM233">
            <v>0.23177008183694101</v>
          </cell>
          <cell r="DN233">
            <v>0.22533618454436344</v>
          </cell>
          <cell r="DO233">
            <v>0.28880152596178998</v>
          </cell>
        </row>
        <row r="234">
          <cell r="A234" t="str">
            <v>% of delivery networking updates and maintenance revenue</v>
          </cell>
          <cell r="B234"/>
          <cell r="C234" t="e">
            <v>#DIV/0!</v>
          </cell>
          <cell r="D234" t="e">
            <v>#DIV/0!</v>
          </cell>
          <cell r="E234" t="e">
            <v>#DIV/0!</v>
          </cell>
          <cell r="F234" t="e">
            <v>#DIV/0!</v>
          </cell>
          <cell r="G234" t="e">
            <v>#DIV/0!</v>
          </cell>
          <cell r="H234" t="e">
            <v>#DIV/0!</v>
          </cell>
          <cell r="I234" t="e">
            <v>#DIV/0!</v>
          </cell>
          <cell r="J234" t="e">
            <v>#DIV/0!</v>
          </cell>
          <cell r="K234" t="e">
            <v>#DIV/0!</v>
          </cell>
          <cell r="L234" t="e">
            <v>#DIV/0!</v>
          </cell>
          <cell r="M234" t="e">
            <v>#DIV/0!</v>
          </cell>
          <cell r="N234" t="e">
            <v>#DIV/0!</v>
          </cell>
          <cell r="O234" t="e">
            <v>#DIV/0!</v>
          </cell>
          <cell r="P234" t="e">
            <v>#DIV/0!</v>
          </cell>
          <cell r="Q234" t="e">
            <v>#DIV/0!</v>
          </cell>
          <cell r="R234" t="e">
            <v>#DIV/0!</v>
          </cell>
          <cell r="S234" t="e">
            <v>#DIV/0!</v>
          </cell>
          <cell r="T234" t="e">
            <v>#DIV/0!</v>
          </cell>
          <cell r="U234" t="e">
            <v>#DIV/0!</v>
          </cell>
          <cell r="V234" t="e">
            <v>#DIV/0!</v>
          </cell>
          <cell r="W234" t="e">
            <v>#DIV/0!</v>
          </cell>
          <cell r="X234" t="e">
            <v>#DIV/0!</v>
          </cell>
          <cell r="Y234" t="e">
            <v>#DIV/0!</v>
          </cell>
          <cell r="Z234" t="e">
            <v>#DIV/0!</v>
          </cell>
          <cell r="AA234" t="e">
            <v>#DIV/0!</v>
          </cell>
          <cell r="AB234" t="e">
            <v>#DIV/0!</v>
          </cell>
          <cell r="AC234" t="e">
            <v>#DIV/0!</v>
          </cell>
          <cell r="AD234" t="e">
            <v>#DIV/0!</v>
          </cell>
          <cell r="AE234" t="e">
            <v>#DIV/0!</v>
          </cell>
          <cell r="AF234">
            <v>0.99999999999999656</v>
          </cell>
          <cell r="AG234">
            <v>0.99999999999999978</v>
          </cell>
          <cell r="AH234">
            <v>0.99999999999999989</v>
          </cell>
          <cell r="AI234">
            <v>1.0000000000000002</v>
          </cell>
          <cell r="AJ234">
            <v>1.0000000000000002</v>
          </cell>
          <cell r="AK234">
            <v>0.97838519808445779</v>
          </cell>
          <cell r="AL234">
            <v>1.0012507557558361</v>
          </cell>
          <cell r="AM234">
            <v>1.0008934353809134</v>
          </cell>
          <cell r="AN234">
            <v>0.96465572117518505</v>
          </cell>
          <cell r="AO234">
            <v>0.9573529933089131</v>
          </cell>
          <cell r="AP234">
            <v>0.89758239427134712</v>
          </cell>
          <cell r="AQ234">
            <v>0.85205038044002823</v>
          </cell>
          <cell r="AR234">
            <v>0.8784904680656036</v>
          </cell>
          <cell r="AS234">
            <v>0.80528582434412721</v>
          </cell>
          <cell r="AT234">
            <v>0.80637167574056423</v>
          </cell>
          <cell r="AU234">
            <v>0.81104828202302337</v>
          </cell>
          <cell r="AV234">
            <v>0.83647285069797095</v>
          </cell>
          <cell r="AW234">
            <v>0.78893838234920655</v>
          </cell>
          <cell r="AX234">
            <v>0.79605057794624146</v>
          </cell>
          <cell r="AY234">
            <v>0.79835858249145408</v>
          </cell>
          <cell r="AZ234">
            <v>0.81692278337053825</v>
          </cell>
          <cell r="BA234">
            <v>0.80029954475558407</v>
          </cell>
          <cell r="BB234">
            <v>0.81153507273547354</v>
          </cell>
          <cell r="BC234">
            <v>0.82976351759420919</v>
          </cell>
          <cell r="BD234">
            <v>0.84451329930633734</v>
          </cell>
          <cell r="BE234">
            <v>0.83600105240302203</v>
          </cell>
          <cell r="BF234">
            <v>0.83703706744464657</v>
          </cell>
          <cell r="BG234">
            <v>0.85198957332814962</v>
          </cell>
          <cell r="BH234">
            <v>0.86819791328776619</v>
          </cell>
          <cell r="BI234">
            <v>0.86429587216876103</v>
          </cell>
          <cell r="BJ234">
            <v>0.82366413504049163</v>
          </cell>
          <cell r="BK234">
            <v>0.80198872596854642</v>
          </cell>
          <cell r="BL234">
            <v>0.7963890314440073</v>
          </cell>
          <cell r="BM234">
            <v>0.79521099513785842</v>
          </cell>
          <cell r="BN234">
            <v>0.8083917607908524</v>
          </cell>
          <cell r="BO234">
            <v>0.8364408896619403</v>
          </cell>
          <cell r="BP234">
            <v>0.82460281846539885</v>
          </cell>
          <cell r="BQ234">
            <v>0.82534658055815546</v>
          </cell>
          <cell r="BR234">
            <v>0.83150057219361373</v>
          </cell>
          <cell r="BS234">
            <v>0.85313106112597514</v>
          </cell>
          <cell r="BT234">
            <v>0.84865900972506236</v>
          </cell>
          <cell r="BU234">
            <v>0.8501435693739946</v>
          </cell>
          <cell r="BV234">
            <v>0.85540436132216247</v>
          </cell>
          <cell r="BW234">
            <v>0.87565398145982365</v>
          </cell>
          <cell r="BX234">
            <v>0.92442353823786816</v>
          </cell>
          <cell r="BY234">
            <v>0.92520891994991672</v>
          </cell>
          <cell r="BZ234">
            <v>0.92236372314860848</v>
          </cell>
          <cell r="CA234">
            <v>0.9737985262898744</v>
          </cell>
          <cell r="CB234">
            <v>0.9658851486161909</v>
          </cell>
          <cell r="CC234">
            <v>0.97389866594138874</v>
          </cell>
          <cell r="CD234">
            <v>0.98138251384965314</v>
          </cell>
          <cell r="CE234">
            <v>0.875503435796808</v>
          </cell>
          <cell r="CF234">
            <v>0.87386326205744869</v>
          </cell>
          <cell r="CG234">
            <v>0.88080959460181174</v>
          </cell>
          <cell r="CH234">
            <v>0.8855713023313817</v>
          </cell>
          <cell r="CI234">
            <v>0.87382371651758539</v>
          </cell>
          <cell r="CJ234">
            <v>0.87732681673442792</v>
          </cell>
          <cell r="CK234">
            <v>0.88264793646357342</v>
          </cell>
          <cell r="CL234">
            <v>0.88637229460868106</v>
          </cell>
          <cell r="CM234">
            <v>0.87739011917514909</v>
          </cell>
          <cell r="CN234">
            <v>0.88033378085853631</v>
          </cell>
          <cell r="CO234">
            <v>0.88472752551597922</v>
          </cell>
          <cell r="CP234">
            <v>0.88788723013789517</v>
          </cell>
          <cell r="CQ234">
            <v>0.88128653079330665</v>
          </cell>
          <cell r="CR234">
            <v>0.88375662062406923</v>
          </cell>
          <cell r="CS234">
            <v>0.88737497957141853</v>
          </cell>
          <cell r="CT234">
            <v>0.89004352787499641</v>
          </cell>
          <cell r="CU234">
            <v>0.88527457751000416</v>
          </cell>
          <cell r="CV234">
            <v>0.88735002766740356</v>
          </cell>
          <cell r="CW234">
            <v>0.89033213702898628</v>
          </cell>
          <cell r="CX234">
            <v>0.89258329513475998</v>
          </cell>
          <cell r="CY234">
            <v>0.88919276275386105</v>
          </cell>
          <cell r="CZ234">
            <v>0.89094211843605253</v>
          </cell>
          <cell r="DA234">
            <v>0.89340774530469214</v>
          </cell>
          <cell r="DB234">
            <v>0.89530924877922324</v>
          </cell>
          <cell r="DC234"/>
          <cell r="DD234"/>
          <cell r="DE234" t="e">
            <v>#DIV/0!</v>
          </cell>
          <cell r="DF234" t="e">
            <v>#DIV/0!</v>
          </cell>
          <cell r="DG234" t="e">
            <v>#DIV/0!</v>
          </cell>
          <cell r="DH234" t="e">
            <v>#DIV/0!</v>
          </cell>
          <cell r="DI234" t="e">
            <v>#DIV/0!</v>
          </cell>
          <cell r="DJ234" t="e">
            <v>#DIV/0!</v>
          </cell>
          <cell r="DK234">
            <v>0.99999999999999967</v>
          </cell>
          <cell r="DL234">
            <v>0.99472478916032203</v>
          </cell>
          <cell r="DM234">
            <v>0.95217998782873414</v>
          </cell>
          <cell r="DN234">
            <v>0.83830713813249125</v>
          </cell>
          <cell r="DO234">
            <v>0.80689148156602686</v>
          </cell>
        </row>
        <row r="235">
          <cell r="A235" t="str">
            <v>% growth in revenue y-o-y</v>
          </cell>
          <cell r="B235"/>
          <cell r="C235" t="str">
            <v>NA</v>
          </cell>
          <cell r="D235" t="str">
            <v>NA</v>
          </cell>
          <cell r="E235" t="str">
            <v>NA</v>
          </cell>
          <cell r="F235" t="str">
            <v>NA</v>
          </cell>
          <cell r="G235" t="str">
            <v>NA</v>
          </cell>
          <cell r="H235" t="str">
            <v>NA</v>
          </cell>
          <cell r="I235" t="str">
            <v>NA</v>
          </cell>
          <cell r="J235" t="str">
            <v>NA</v>
          </cell>
          <cell r="K235" t="str">
            <v>NA</v>
          </cell>
          <cell r="L235" t="str">
            <v>NA</v>
          </cell>
          <cell r="M235" t="str">
            <v>NA</v>
          </cell>
          <cell r="N235" t="str">
            <v>NA</v>
          </cell>
          <cell r="O235" t="str">
            <v>NA</v>
          </cell>
          <cell r="P235" t="str">
            <v>NA</v>
          </cell>
          <cell r="Q235" t="str">
            <v>NA</v>
          </cell>
          <cell r="R235" t="str">
            <v>NA</v>
          </cell>
          <cell r="S235" t="str">
            <v>NA</v>
          </cell>
          <cell r="T235" t="str">
            <v>NA</v>
          </cell>
          <cell r="U235" t="str">
            <v>NA</v>
          </cell>
          <cell r="V235" t="str">
            <v>NA</v>
          </cell>
          <cell r="W235" t="str">
            <v>NA</v>
          </cell>
          <cell r="X235" t="str">
            <v>NA</v>
          </cell>
          <cell r="Y235" t="str">
            <v>NA</v>
          </cell>
          <cell r="Z235" t="str">
            <v>NA</v>
          </cell>
          <cell r="AA235" t="str">
            <v>NA</v>
          </cell>
          <cell r="AB235" t="str">
            <v>NA</v>
          </cell>
          <cell r="AC235" t="str">
            <v>NA</v>
          </cell>
          <cell r="AD235" t="str">
            <v>NA</v>
          </cell>
          <cell r="AE235" t="str">
            <v>NA</v>
          </cell>
          <cell r="AF235" t="str">
            <v>NA</v>
          </cell>
          <cell r="AG235" t="str">
            <v>NA</v>
          </cell>
          <cell r="AH235" t="str">
            <v>NA</v>
          </cell>
          <cell r="AI235" t="str">
            <v>NA</v>
          </cell>
          <cell r="AJ235">
            <v>309.90972772906287</v>
          </cell>
          <cell r="AK235">
            <v>2.3998681849025139</v>
          </cell>
          <cell r="AL235">
            <v>0.78875730765888474</v>
          </cell>
          <cell r="AM235">
            <v>0.84551985591686885</v>
          </cell>
          <cell r="AN235">
            <v>0.50669819760646484</v>
          </cell>
          <cell r="AO235">
            <v>0.86311769908634739</v>
          </cell>
          <cell r="AP235">
            <v>0.49347789670342745</v>
          </cell>
          <cell r="AQ235">
            <v>0.26243152714703588</v>
          </cell>
          <cell r="AR235">
            <v>0.76803963788427132</v>
          </cell>
          <cell r="AS235">
            <v>-4.3119929180806871E-2</v>
          </cell>
          <cell r="AT235">
            <v>0.22409608792255242</v>
          </cell>
          <cell r="AU235">
            <v>0.47394122574964026</v>
          </cell>
          <cell r="AV235">
            <v>0.11802232998376061</v>
          </cell>
          <cell r="AW235">
            <v>0.81553797115662707</v>
          </cell>
          <cell r="AX235">
            <v>0.70851913401081834</v>
          </cell>
          <cell r="AY235">
            <v>9.5189105073443692E-2</v>
          </cell>
          <cell r="AZ235">
            <v>0.12791372900341202</v>
          </cell>
          <cell r="BA235">
            <v>0.23179365355197157</v>
          </cell>
          <cell r="BB235">
            <v>0.26049532678924892</v>
          </cell>
          <cell r="BC235">
            <v>0.50736226914382598</v>
          </cell>
          <cell r="BD235">
            <v>0.51708054576006868</v>
          </cell>
          <cell r="BE235">
            <v>0.40140863230663792</v>
          </cell>
          <cell r="BF235">
            <v>0.38194116933194255</v>
          </cell>
          <cell r="BG235">
            <v>0.43971186700532372</v>
          </cell>
          <cell r="BH235">
            <v>0.3150058085720624</v>
          </cell>
          <cell r="BI235">
            <v>0.33945620349062389</v>
          </cell>
          <cell r="BJ235">
            <v>0.38137071041075798</v>
          </cell>
          <cell r="BK235">
            <v>0.36642452546124149</v>
          </cell>
          <cell r="BL235">
            <v>0.25090795978942304</v>
          </cell>
          <cell r="BM235">
            <v>0.1054054675169076</v>
          </cell>
          <cell r="BN235">
            <v>7.498518228554496E-2</v>
          </cell>
          <cell r="BO235">
            <v>3.9560745396597818E-2</v>
          </cell>
          <cell r="BP235">
            <v>4.9234607054679635E-2</v>
          </cell>
          <cell r="BQ235">
            <v>0.13911120863290471</v>
          </cell>
          <cell r="BR235">
            <v>0.17110775863352501</v>
          </cell>
          <cell r="BS235">
            <v>0.17663233053537697</v>
          </cell>
          <cell r="BT235">
            <v>0.26279782450219424</v>
          </cell>
          <cell r="BU235">
            <v>0.22754309242576087</v>
          </cell>
          <cell r="BV235">
            <v>0.22013367863529432</v>
          </cell>
          <cell r="BW235">
            <v>0.16304725027033395</v>
          </cell>
          <cell r="BX235">
            <v>0.14019306717584912</v>
          </cell>
          <cell r="BY235">
            <v>0.14189359024836024</v>
          </cell>
          <cell r="BZ235">
            <v>0.16727112430526225</v>
          </cell>
          <cell r="CA235">
            <v>0.22769335176598138</v>
          </cell>
          <cell r="CB235">
            <v>0.14935168024515155</v>
          </cell>
          <cell r="CC235">
            <v>0.20408193183613021</v>
          </cell>
          <cell r="CD235">
            <v>0.13044433658850241</v>
          </cell>
          <cell r="CE235">
            <v>-0.12660723086422376</v>
          </cell>
          <cell r="CF235">
            <v>-0.10810333842796804</v>
          </cell>
          <cell r="CG235">
            <v>-0.11679696256111827</v>
          </cell>
          <cell r="CH235">
            <v>-0.12631609775868513</v>
          </cell>
          <cell r="CI235">
            <v>-1.5205514546998367E-2</v>
          </cell>
          <cell r="CJ235">
            <v>3.2309402848602398E-2</v>
          </cell>
          <cell r="CK235">
            <v>1.7784985252724317E-2</v>
          </cell>
          <cell r="CL235">
            <v>7.9601372848374652E-3</v>
          </cell>
          <cell r="CM235">
            <v>3.3287492124797868E-2</v>
          </cell>
          <cell r="CN235">
            <v>2.8641467922150055E-2</v>
          </cell>
          <cell r="CO235">
            <v>2.0439223672557683E-2</v>
          </cell>
          <cell r="CP235">
            <v>1.5244840883839261E-2</v>
          </cell>
          <cell r="CQ235">
            <v>3.7408654994055324E-2</v>
          </cell>
          <cell r="CR235">
            <v>3.3448063150316232E-2</v>
          </cell>
          <cell r="CS235">
            <v>2.656953844190646E-2</v>
          </cell>
          <cell r="CT235">
            <v>2.2086663770970905E-2</v>
          </cell>
          <cell r="CU235">
            <v>3.9444226026058127E-2</v>
          </cell>
          <cell r="CV235">
            <v>3.6094634214923316E-2</v>
          </cell>
          <cell r="CW235">
            <v>3.0387004473295676E-2</v>
          </cell>
          <cell r="CX235">
            <v>2.6565062875759882E-2</v>
          </cell>
          <cell r="CY235">
            <v>3.9942831220969977E-2</v>
          </cell>
          <cell r="CZ235">
            <v>3.7118915401610719E-2</v>
          </cell>
          <cell r="DA235">
            <v>3.2408081498640939E-2</v>
          </cell>
          <cell r="DB235">
            <v>2.9171676946706526E-2</v>
          </cell>
          <cell r="DC235"/>
          <cell r="DD235" t="str">
            <v>NA</v>
          </cell>
          <cell r="DE235" t="str">
            <v>NA</v>
          </cell>
          <cell r="DF235" t="str">
            <v>NA</v>
          </cell>
          <cell r="DG235" t="str">
            <v>NA</v>
          </cell>
          <cell r="DH235" t="str">
            <v>NA</v>
          </cell>
          <cell r="DI235" t="str">
            <v>NA</v>
          </cell>
          <cell r="DJ235" t="str">
            <v>NA</v>
          </cell>
          <cell r="DK235" t="str">
            <v>NA</v>
          </cell>
          <cell r="DL235">
            <v>3.2667904919850779</v>
          </cell>
          <cell r="DM235">
            <v>0.66238780953261656</v>
          </cell>
          <cell r="DN235">
            <v>0.28402538974013924</v>
          </cell>
          <cell r="DO235">
            <v>0.48848387289090045</v>
          </cell>
        </row>
        <row r="236">
          <cell r="A236" t="str">
            <v>% growth in revenue seq</v>
          </cell>
          <cell r="B236"/>
          <cell r="C236" t="str">
            <v>NA</v>
          </cell>
          <cell r="D236" t="str">
            <v>NA</v>
          </cell>
          <cell r="E236" t="str">
            <v>NA</v>
          </cell>
          <cell r="F236" t="str">
            <v>NA</v>
          </cell>
          <cell r="G236" t="str">
            <v>NA</v>
          </cell>
          <cell r="H236" t="str">
            <v>NA</v>
          </cell>
          <cell r="I236" t="str">
            <v>NA</v>
          </cell>
          <cell r="J236" t="str">
            <v>NA</v>
          </cell>
          <cell r="K236" t="str">
            <v>NA</v>
          </cell>
          <cell r="L236" t="str">
            <v>NA</v>
          </cell>
          <cell r="M236" t="str">
            <v>NA</v>
          </cell>
          <cell r="N236" t="str">
            <v>NA</v>
          </cell>
          <cell r="O236" t="str">
            <v>NA</v>
          </cell>
          <cell r="P236" t="str">
            <v>NA</v>
          </cell>
          <cell r="Q236" t="str">
            <v>NA</v>
          </cell>
          <cell r="R236" t="str">
            <v>NA</v>
          </cell>
          <cell r="S236" t="str">
            <v>NA</v>
          </cell>
          <cell r="T236" t="str">
            <v>NA</v>
          </cell>
          <cell r="U236" t="str">
            <v>NA</v>
          </cell>
          <cell r="V236" t="str">
            <v>NA</v>
          </cell>
          <cell r="W236" t="str">
            <v>NA</v>
          </cell>
          <cell r="X236" t="str">
            <v>NA</v>
          </cell>
          <cell r="Y236" t="str">
            <v>NA</v>
          </cell>
          <cell r="Z236" t="str">
            <v>NA</v>
          </cell>
          <cell r="AA236" t="str">
            <v>NA</v>
          </cell>
          <cell r="AB236" t="str">
            <v>NA</v>
          </cell>
          <cell r="AC236" t="str">
            <v>NA</v>
          </cell>
          <cell r="AD236" t="str">
            <v>NA</v>
          </cell>
          <cell r="AE236" t="str">
            <v>NA</v>
          </cell>
          <cell r="AF236" t="str">
            <v>NA</v>
          </cell>
          <cell r="AG236">
            <v>89.15058798057909</v>
          </cell>
          <cell r="AH236">
            <v>1.1008856217536418</v>
          </cell>
          <cell r="AI236">
            <v>0.27162284752933363</v>
          </cell>
          <cell r="AJ236">
            <v>0.29093690244181758</v>
          </cell>
          <cell r="AK236">
            <v>-1.4182932891311006E-2</v>
          </cell>
          <cell r="AL236">
            <v>0.10532947281750582</v>
          </cell>
          <cell r="AM236">
            <v>0.31197519322753697</v>
          </cell>
          <cell r="AN236">
            <v>5.3931930288792174E-2</v>
          </cell>
          <cell r="AO236">
            <v>0.21901866525715374</v>
          </cell>
          <cell r="AP236">
            <v>-0.11396626362503892</v>
          </cell>
          <cell r="AQ236">
            <v>0.1090079407409994</v>
          </cell>
          <cell r="AR236">
            <v>0.47603524493208971</v>
          </cell>
          <cell r="AS236">
            <v>-0.34025536433276782</v>
          </cell>
          <cell r="AT236">
            <v>0.13346537726035512</v>
          </cell>
          <cell r="AU236">
            <v>0.335362917723248</v>
          </cell>
          <cell r="AV236">
            <v>0.11961069739250996</v>
          </cell>
          <cell r="AW236">
            <v>7.1348402619250795E-2</v>
          </cell>
          <cell r="AX236">
            <v>6.6652042289365276E-2</v>
          </cell>
          <cell r="AY236">
            <v>-0.14401021931995162</v>
          </cell>
          <cell r="AZ236">
            <v>0.15306504682897781</v>
          </cell>
          <cell r="BA236">
            <v>0.17001870724231893</v>
          </cell>
          <cell r="BB236">
            <v>9.1505797857421856E-2</v>
          </cell>
          <cell r="BC236">
            <v>2.3634654367533203E-2</v>
          </cell>
          <cell r="BD236">
            <v>0.16049909590330547</v>
          </cell>
          <cell r="BE236">
            <v>8.0809005739474138E-2</v>
          </cell>
          <cell r="BF236">
            <v>7.6343304765396081E-2</v>
          </cell>
          <cell r="BG236">
            <v>6.6426698962347874E-2</v>
          </cell>
          <cell r="BH236">
            <v>5.9978101819612606E-2</v>
          </cell>
          <cell r="BI236">
            <v>0.1009048918942006</v>
          </cell>
          <cell r="BJ236">
            <v>0.1100244350468198</v>
          </cell>
          <cell r="BK236">
            <v>5.4888152098954368E-2</v>
          </cell>
          <cell r="BL236">
            <v>-2.9631699327803851E-2</v>
          </cell>
          <cell r="BM236">
            <v>-2.7149617849726249E-2</v>
          </cell>
          <cell r="BN236">
            <v>7.9477037806458428E-2</v>
          </cell>
          <cell r="BO236">
            <v>2.0125981061883014E-2</v>
          </cell>
          <cell r="BP236">
            <v>-2.0601723215624479E-2</v>
          </cell>
          <cell r="BQ236">
            <v>5.6183971801103683E-2</v>
          </cell>
          <cell r="BR236">
            <v>0.1097985206897214</v>
          </cell>
          <cell r="BS236">
            <v>2.4938313052492944E-2</v>
          </cell>
          <cell r="BT236">
            <v>5.1120202248532198E-2</v>
          </cell>
          <cell r="BU236">
            <v>2.6697475842061502E-2</v>
          </cell>
          <cell r="BV236">
            <v>0.10309980965091925</v>
          </cell>
          <cell r="BW236">
            <v>-2.3015504312844604E-2</v>
          </cell>
          <cell r="BX236">
            <v>3.046541496373667E-2</v>
          </cell>
          <cell r="BY236">
            <v>2.8228727694419087E-2</v>
          </cell>
          <cell r="BZ236">
            <v>0.12761518763941448</v>
          </cell>
          <cell r="CA236">
            <v>2.7556790499245087E-2</v>
          </cell>
          <cell r="CB236">
            <v>-3.5290730849499519E-2</v>
          </cell>
          <cell r="CC236">
            <v>7.7191301923904998E-2</v>
          </cell>
          <cell r="CD236">
            <v>5.8654040904285276E-2</v>
          </cell>
          <cell r="CE236">
            <v>-0.20609919334303783</v>
          </cell>
          <cell r="CF236">
            <v>-1.485218684107692E-2</v>
          </cell>
          <cell r="CG236">
            <v>6.6691547073472801E-2</v>
          </cell>
          <cell r="CH236">
            <v>4.7243900182802889E-2</v>
          </cell>
          <cell r="CI236">
            <v>-0.10513501005707915</v>
          </cell>
          <cell r="CJ236">
            <v>3.2679778108108293E-2</v>
          </cell>
          <cell r="CK236">
            <v>5.1683378560296589E-2</v>
          </cell>
          <cell r="CL236">
            <v>3.7134680402911791E-2</v>
          </cell>
          <cell r="CM236">
            <v>-8.2649435185840892E-2</v>
          </cell>
          <cell r="CN236">
            <v>2.8036486401548322E-2</v>
          </cell>
          <cell r="CO236">
            <v>4.3297401314392747E-2</v>
          </cell>
          <cell r="CP236">
            <v>3.1855312059857477E-2</v>
          </cell>
          <cell r="CQ236">
            <v>-6.2622751401127053E-2</v>
          </cell>
          <cell r="CR236">
            <v>2.4111675379867137E-2</v>
          </cell>
          <cell r="CS236">
            <v>3.6353320417589208E-2</v>
          </cell>
          <cell r="CT236">
            <v>2.7349355211065518E-2</v>
          </cell>
          <cell r="CU236">
            <v>-4.6703764757638933E-2</v>
          </cell>
          <cell r="CV236">
            <v>2.0811492459370529E-2</v>
          </cell>
          <cell r="CW236">
            <v>3.0644265627500333E-2</v>
          </cell>
          <cell r="CX236">
            <v>2.3538680950970559E-2</v>
          </cell>
          <cell r="CY236">
            <v>-3.4280805258405822E-2</v>
          </cell>
          <cell r="CZ236">
            <v>1.8039526890113899E-2</v>
          </cell>
          <cell r="DA236">
            <v>2.5962841080789278E-2</v>
          </cell>
          <cell r="DB236">
            <v>2.0330080296370845E-2</v>
          </cell>
          <cell r="DC236"/>
          <cell r="DD236"/>
          <cell r="DE236"/>
          <cell r="DF236"/>
          <cell r="DG236"/>
          <cell r="DH236"/>
          <cell r="DI236"/>
          <cell r="DJ236"/>
          <cell r="DK236"/>
          <cell r="DL236"/>
          <cell r="DM236"/>
          <cell r="DN236"/>
          <cell r="DO236"/>
        </row>
        <row r="237">
          <cell r="A237"/>
          <cell r="B237"/>
          <cell r="C237"/>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cell r="AD237"/>
          <cell r="AE237"/>
          <cell r="AF237"/>
          <cell r="AG237"/>
          <cell r="AH237"/>
          <cell r="AI237"/>
          <cell r="AJ237"/>
          <cell r="AK237"/>
          <cell r="AL237"/>
          <cell r="AM237"/>
          <cell r="AN237"/>
          <cell r="AO237"/>
          <cell r="AP237"/>
          <cell r="AQ237"/>
          <cell r="AR237"/>
          <cell r="AS237"/>
          <cell r="AT237"/>
          <cell r="AU237"/>
          <cell r="AV237"/>
          <cell r="AW237"/>
          <cell r="AX237"/>
          <cell r="AY237"/>
          <cell r="AZ237"/>
          <cell r="BA237"/>
          <cell r="BB237"/>
          <cell r="BC237"/>
          <cell r="BD237"/>
          <cell r="BE237"/>
          <cell r="BF237"/>
          <cell r="BG237"/>
          <cell r="BH237"/>
          <cell r="BI237"/>
          <cell r="BJ237"/>
          <cell r="BK237"/>
          <cell r="BL237"/>
          <cell r="BM237"/>
          <cell r="BN237"/>
          <cell r="BO237"/>
          <cell r="BP237"/>
          <cell r="BQ237"/>
          <cell r="BR237"/>
          <cell r="BS237"/>
          <cell r="BT237"/>
          <cell r="BU237"/>
          <cell r="BV237"/>
          <cell r="BW237"/>
          <cell r="BX237"/>
          <cell r="BY237"/>
          <cell r="BZ237"/>
          <cell r="CA237"/>
          <cell r="CB237"/>
          <cell r="CC237"/>
          <cell r="CD237"/>
          <cell r="CE237"/>
          <cell r="CF237"/>
          <cell r="CG237"/>
          <cell r="CH237"/>
          <cell r="CI237"/>
          <cell r="CJ237"/>
          <cell r="CK237"/>
          <cell r="CL237"/>
          <cell r="CM237"/>
          <cell r="CN237"/>
          <cell r="CO237"/>
          <cell r="CP237"/>
          <cell r="CQ237"/>
          <cell r="CR237"/>
          <cell r="CS237"/>
          <cell r="CT237"/>
          <cell r="CU237"/>
          <cell r="CV237"/>
          <cell r="CW237"/>
          <cell r="CX237"/>
          <cell r="CY237"/>
          <cell r="CZ237"/>
          <cell r="DA237"/>
          <cell r="DB237"/>
          <cell r="DC237"/>
          <cell r="DD237"/>
          <cell r="DE237"/>
          <cell r="DF237"/>
          <cell r="DG237"/>
          <cell r="DH237"/>
          <cell r="DI237"/>
          <cell r="DJ237"/>
          <cell r="DK237"/>
          <cell r="DL237"/>
          <cell r="DM237"/>
          <cell r="DN237"/>
          <cell r="DO237"/>
        </row>
        <row r="238">
          <cell r="A238" t="str">
            <v>Updates and maintenance -- NetScaler</v>
          </cell>
          <cell r="B238">
            <v>0</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1.833075E-2</v>
          </cell>
          <cell r="AG238">
            <v>1.6525278906250001</v>
          </cell>
          <cell r="AH238">
            <v>3.471772084960937</v>
          </cell>
          <cell r="AI238">
            <v>4.4147847046508781</v>
          </cell>
          <cell r="AJ238">
            <v>5.6992084915695189</v>
          </cell>
          <cell r="AK238">
            <v>5.6183769999999988</v>
          </cell>
          <cell r="AL238">
            <v>6.1945326874999989</v>
          </cell>
          <cell r="AM238">
            <v>8.023549394531285</v>
          </cell>
          <cell r="AN238">
            <v>8.3375637245312522</v>
          </cell>
          <cell r="AO238">
            <v>9.9582741913396529</v>
          </cell>
          <cell r="AP238">
            <v>8.4982115740583062</v>
          </cell>
          <cell r="AQ238">
            <v>9.1631515592911423</v>
          </cell>
          <cell r="AR238">
            <v>13.799128725900527</v>
          </cell>
          <cell r="AS238">
            <v>8.6067348743905718</v>
          </cell>
          <cell r="AT238">
            <v>9.6011805198069204</v>
          </cell>
          <cell r="AU238">
            <v>12.727547679831137</v>
          </cell>
          <cell r="AV238">
            <v>14.34864230157341</v>
          </cell>
          <cell r="AW238">
            <v>14.924192654940471</v>
          </cell>
          <cell r="AX238">
            <v>15.927160654167288</v>
          </cell>
          <cell r="AY238">
            <v>13.699656159620453</v>
          </cell>
          <cell r="AZ238">
            <v>15.705148845834536</v>
          </cell>
          <cell r="BA238">
            <v>17.813743843700948</v>
          </cell>
          <cell r="BB238">
            <v>19.510671542829837</v>
          </cell>
          <cell r="BC238">
            <v>20.048615451056897</v>
          </cell>
          <cell r="BD238">
            <v>23.3500188789139</v>
          </cell>
          <cell r="BE238">
            <v>25.351667722797615</v>
          </cell>
          <cell r="BF238">
            <v>27.526615147396424</v>
          </cell>
          <cell r="BG238">
            <v>29.631758120367415</v>
          </cell>
          <cell r="BH238">
            <v>31.825491021499715</v>
          </cell>
          <cell r="BI238">
            <v>34.949486704518634</v>
          </cell>
          <cell r="BJ238">
            <v>38.883624378036465</v>
          </cell>
          <cell r="BK238">
            <v>41.319512835866313</v>
          </cell>
          <cell r="BL238">
            <v>40.627978755559674</v>
          </cell>
          <cell r="BM238">
            <v>39.722380829938707</v>
          </cell>
          <cell r="BN238">
            <v>42.983598559081628</v>
          </cell>
          <cell r="BO238">
            <v>44.176088269372691</v>
          </cell>
          <cell r="BP238">
            <v>43.673283438395437</v>
          </cell>
          <cell r="BQ238">
            <v>46.303976682455762</v>
          </cell>
          <cell r="BR238">
            <v>51.364278233034902</v>
          </cell>
          <cell r="BS238">
            <v>52.935409693060812</v>
          </cell>
          <cell r="BT238">
            <v>55.961935693992771</v>
          </cell>
          <cell r="BU238">
            <v>57.677750163701965</v>
          </cell>
          <cell r="BV238">
            <v>63.645305974165701</v>
          </cell>
          <cell r="BW238">
            <v>62.555349528921653</v>
          </cell>
          <cell r="BX238">
            <v>64.749280542736571</v>
          </cell>
          <cell r="BY238">
            <v>66.654516293556824</v>
          </cell>
          <cell r="BZ238">
            <v>74.98348048500084</v>
          </cell>
          <cell r="CA238">
            <v>77.626574074074057</v>
          </cell>
          <cell r="CB238">
            <v>75.208123076923101</v>
          </cell>
          <cell r="CC238">
            <v>81.076674999999994</v>
          </cell>
          <cell r="CD238">
            <v>85.717813333333254</v>
          </cell>
          <cell r="CE238">
            <v>67.365633157055967</v>
          </cell>
          <cell r="CF238">
            <v>66.712375870799718</v>
          </cell>
          <cell r="CG238">
            <v>71.245568010769503</v>
          </cell>
          <cell r="CH238">
            <v>74.524055522788657</v>
          </cell>
          <cell r="CI238">
            <v>66.693393519718569</v>
          </cell>
          <cell r="CJ238">
            <v>69.093289271290942</v>
          </cell>
          <cell r="CK238">
            <v>72.719842983266744</v>
          </cell>
          <cell r="CL238">
            <v>75.342632992882073</v>
          </cell>
          <cell r="CM238">
            <v>69.144281518452502</v>
          </cell>
          <cell r="CN238">
            <v>71.273213612332825</v>
          </cell>
          <cell r="CO238">
            <v>74.418171745188971</v>
          </cell>
          <cell r="CP238">
            <v>76.741215520157567</v>
          </cell>
          <cell r="CQ238">
            <v>71.994321549130746</v>
          </cell>
          <cell r="CR238">
            <v>73.894986864763226</v>
          </cell>
          <cell r="CS238">
            <v>76.641264200343485</v>
          </cell>
          <cell r="CT238">
            <v>78.71214634039444</v>
          </cell>
          <cell r="CU238">
            <v>75.114488653132014</v>
          </cell>
          <cell r="CV238">
            <v>76.820788127554778</v>
          </cell>
          <cell r="CW238">
            <v>79.23441733097124</v>
          </cell>
          <cell r="CX238">
            <v>81.090929559443595</v>
          </cell>
          <cell r="CY238">
            <v>78.400531168497722</v>
          </cell>
          <cell r="CZ238">
            <v>79.939532462999878</v>
          </cell>
          <cell r="DA238">
            <v>82.073277764549118</v>
          </cell>
          <cell r="DB238">
            <v>83.74559635963935</v>
          </cell>
          <cell r="DC238"/>
          <cell r="DD238">
            <v>0</v>
          </cell>
          <cell r="DE238">
            <v>0</v>
          </cell>
          <cell r="DF238">
            <v>0</v>
          </cell>
          <cell r="DG238">
            <v>0</v>
          </cell>
          <cell r="DH238">
            <v>0</v>
          </cell>
          <cell r="DI238">
            <v>0</v>
          </cell>
          <cell r="DJ238">
            <v>0</v>
          </cell>
          <cell r="DK238">
            <v>5.1426307255859367</v>
          </cell>
          <cell r="DL238">
            <v>21.926902883720395</v>
          </cell>
          <cell r="DM238">
            <v>34.817598884460494</v>
          </cell>
          <cell r="DN238">
            <v>41.17019567938916</v>
          </cell>
          <cell r="DO238">
            <v>57.927543290512304</v>
          </cell>
        </row>
        <row r="239">
          <cell r="A239" t="str">
            <v>% of revenue</v>
          </cell>
          <cell r="B239"/>
          <cell r="C239" t="e">
            <v>#DIV/0!</v>
          </cell>
          <cell r="D239" t="e">
            <v>#DIV/0!</v>
          </cell>
          <cell r="E239" t="e">
            <v>#DIV/0!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8.6781407855928875E-5</v>
          </cell>
          <cell r="AG239">
            <v>7.2815586486051813E-3</v>
          </cell>
          <cell r="AH239">
            <v>1.2922741665776819E-2</v>
          </cell>
          <cell r="AI239">
            <v>1.6980071787670976E-2</v>
          </cell>
          <cell r="AJ239">
            <v>2.0689185283116435E-2</v>
          </cell>
          <cell r="AK239">
            <v>2.0220826990005429E-2</v>
          </cell>
          <cell r="AL239">
            <v>1.9297489384801338E-2</v>
          </cell>
          <cell r="AM239">
            <v>2.6043044177414518E-2</v>
          </cell>
          <cell r="AN239">
            <v>2.493559032829866E-2</v>
          </cell>
          <cell r="AO239">
            <v>2.8457822231638962E-2</v>
          </cell>
          <cell r="AP239">
            <v>2.1268977983372434E-2</v>
          </cell>
          <cell r="AQ239">
            <v>2.4303249996793772E-2</v>
          </cell>
          <cell r="AR239">
            <v>3.5226121884717861E-2</v>
          </cell>
          <cell r="AS239">
            <v>2.1576550288900966E-2</v>
          </cell>
          <cell r="AT239">
            <v>2.3096583616929928E-2</v>
          </cell>
          <cell r="AU239">
            <v>3.4486578477722032E-2</v>
          </cell>
          <cell r="AV239">
            <v>3.6526526371779534E-2</v>
          </cell>
          <cell r="AW239">
            <v>3.7213540364701134E-2</v>
          </cell>
          <cell r="AX239">
            <v>3.5302687858336929E-2</v>
          </cell>
          <cell r="AY239">
            <v>3.3069230263258087E-2</v>
          </cell>
          <cell r="AZ239">
            <v>3.4258329670496093E-2</v>
          </cell>
          <cell r="BA239">
            <v>3.7722361299826458E-2</v>
          </cell>
          <cell r="BB239">
            <v>3.6831745675438496E-2</v>
          </cell>
          <cell r="BC239">
            <v>4.0841526888122946E-2</v>
          </cell>
          <cell r="BD239">
            <v>4.3991067802546961E-2</v>
          </cell>
          <cell r="BE239">
            <v>4.4842588499114912E-2</v>
          </cell>
          <cell r="BF239">
            <v>4.4443213136330414E-2</v>
          </cell>
          <cell r="BG239">
            <v>5.0266343430168899E-2</v>
          </cell>
          <cell r="BH239">
            <v>5.1731101610018884E-2</v>
          </cell>
          <cell r="BI239">
            <v>5.4487508542766905E-2</v>
          </cell>
          <cell r="BJ239">
            <v>5.2545722379629713E-2</v>
          </cell>
          <cell r="BK239">
            <v>6.1405222530968709E-2</v>
          </cell>
          <cell r="BL239">
            <v>5.5625504879022097E-2</v>
          </cell>
          <cell r="BM239">
            <v>5.5732640827940286E-2</v>
          </cell>
          <cell r="BN239">
            <v>5.3567456642508449E-2</v>
          </cell>
          <cell r="BO239">
            <v>5.883720080255387E-2</v>
          </cell>
          <cell r="BP239">
            <v>5.5879629764055784E-2</v>
          </cell>
          <cell r="BQ239">
            <v>6.1007039162965411E-2</v>
          </cell>
          <cell r="BR239">
            <v>6.0323316182513222E-2</v>
          </cell>
          <cell r="BS239">
            <v>6.9578431304151173E-2</v>
          </cell>
          <cell r="BT239">
            <v>7.0236967130578726E-2</v>
          </cell>
          <cell r="BU239">
            <v>7.092078911517942E-2</v>
          </cell>
          <cell r="BV239">
            <v>7.0344726712040284E-2</v>
          </cell>
          <cell r="BW239">
            <v>9.4957366997314191E-2</v>
          </cell>
          <cell r="BX239">
            <v>9.6069034777728018E-2</v>
          </cell>
          <cell r="BY239">
            <v>9.9672391337623262E-2</v>
          </cell>
          <cell r="BZ239">
            <v>0.102076114487929</v>
          </cell>
          <cell r="CA239">
            <v>0.11714089077193575</v>
          </cell>
          <cell r="CB239">
            <v>0.10848989303204158</v>
          </cell>
          <cell r="CC239">
            <v>0.11734511705322574</v>
          </cell>
          <cell r="CD239">
            <v>0.11019739275128107</v>
          </cell>
          <cell r="CE239">
            <v>9.6624219952403306E-2</v>
          </cell>
          <cell r="CF239">
            <v>8.9864656699601572E-2</v>
          </cell>
          <cell r="CG239">
            <v>9.726676097342371E-2</v>
          </cell>
          <cell r="CH239">
            <v>9.2937827232330253E-2</v>
          </cell>
          <cell r="CI239">
            <v>9.3904851436977244E-2</v>
          </cell>
          <cell r="CJ239">
            <v>8.9500606140716851E-2</v>
          </cell>
          <cell r="CK239">
            <v>9.5328871942932825E-2</v>
          </cell>
          <cell r="CL239">
            <v>8.8025119011026678E-2</v>
          </cell>
          <cell r="CM239">
            <v>9.0396243892462216E-2</v>
          </cell>
          <cell r="CN239">
            <v>8.6181563159859406E-2</v>
          </cell>
          <cell r="CO239">
            <v>9.086561122923191E-2</v>
          </cell>
          <cell r="CP239">
            <v>8.5314096710821311E-2</v>
          </cell>
          <cell r="CQ239">
            <v>8.7413008296103573E-2</v>
          </cell>
          <cell r="CR239">
            <v>8.3561929002190075E-2</v>
          </cell>
          <cell r="CS239">
            <v>8.7417254967309996E-2</v>
          </cell>
          <cell r="CT239">
            <v>8.3437661611677608E-2</v>
          </cell>
          <cell r="CU239">
            <v>8.4043155499416392E-2</v>
          </cell>
          <cell r="CV239">
            <v>8.0405164815801941E-2</v>
          </cell>
          <cell r="CW239">
            <v>8.3629451041657116E-2</v>
          </cell>
          <cell r="CX239">
            <v>8.0173836056702932E-2</v>
          </cell>
          <cell r="CY239">
            <v>8.0728685485683585E-2</v>
          </cell>
          <cell r="CZ239">
            <v>7.7396536358086368E-2</v>
          </cell>
          <cell r="DA239">
            <v>8.0230995581438688E-2</v>
          </cell>
          <cell r="DB239">
            <v>7.6965559928130409E-2</v>
          </cell>
          <cell r="DC239"/>
          <cell r="DD239"/>
          <cell r="DE239">
            <v>0</v>
          </cell>
          <cell r="DF239">
            <v>0</v>
          </cell>
          <cell r="DG239">
            <v>0</v>
          </cell>
          <cell r="DH239">
            <v>0</v>
          </cell>
          <cell r="DI239">
            <v>0</v>
          </cell>
          <cell r="DJ239">
            <v>0</v>
          </cell>
          <cell r="DK239">
            <v>5.659190297567283E-3</v>
          </cell>
          <cell r="DL239">
            <v>1.9330455439537198E-2</v>
          </cell>
          <cell r="DM239">
            <v>2.5013685113647332E-2</v>
          </cell>
          <cell r="DN239">
            <v>2.6001889457057087E-2</v>
          </cell>
          <cell r="DO239">
            <v>3.588871442604883E-2</v>
          </cell>
        </row>
        <row r="240">
          <cell r="A240" t="str">
            <v>% growth in revenue y-o-y</v>
          </cell>
          <cell r="B240"/>
          <cell r="C240" t="str">
            <v>NA</v>
          </cell>
          <cell r="D240" t="str">
            <v>NA</v>
          </cell>
          <cell r="E240" t="str">
            <v>NA</v>
          </cell>
          <cell r="F240" t="str">
            <v>NA</v>
          </cell>
          <cell r="G240" t="str">
            <v>NA</v>
          </cell>
          <cell r="H240" t="str">
            <v>NA</v>
          </cell>
          <cell r="I240" t="str">
            <v>NA</v>
          </cell>
          <cell r="J240" t="str">
            <v>NA</v>
          </cell>
          <cell r="K240" t="str">
            <v>NA</v>
          </cell>
          <cell r="L240" t="str">
            <v>NA</v>
          </cell>
          <cell r="M240" t="str">
            <v>NA</v>
          </cell>
          <cell r="N240" t="str">
            <v>NA</v>
          </cell>
          <cell r="O240" t="str">
            <v>NA</v>
          </cell>
          <cell r="P240" t="str">
            <v>NA</v>
          </cell>
          <cell r="Q240" t="str">
            <v>NA</v>
          </cell>
          <cell r="R240" t="str">
            <v>NA</v>
          </cell>
          <cell r="S240" t="str">
            <v>NA</v>
          </cell>
          <cell r="T240" t="str">
            <v>NA</v>
          </cell>
          <cell r="U240" t="str">
            <v>NA</v>
          </cell>
          <cell r="V240" t="str">
            <v>NA</v>
          </cell>
          <cell r="W240" t="str">
            <v>NA</v>
          </cell>
          <cell r="X240" t="str">
            <v>NA</v>
          </cell>
          <cell r="Y240" t="str">
            <v>NA</v>
          </cell>
          <cell r="Z240" t="str">
            <v>NA</v>
          </cell>
          <cell r="AA240" t="str">
            <v>NA</v>
          </cell>
          <cell r="AB240" t="str">
            <v>NA</v>
          </cell>
          <cell r="AC240" t="str">
            <v>NA</v>
          </cell>
          <cell r="AD240" t="str">
            <v>NA</v>
          </cell>
          <cell r="AE240" t="str">
            <v>NA</v>
          </cell>
          <cell r="AF240" t="str">
            <v>NA</v>
          </cell>
          <cell r="AG240" t="str">
            <v>NA</v>
          </cell>
          <cell r="AH240" t="str">
            <v>NA</v>
          </cell>
          <cell r="AI240" t="str">
            <v>NA</v>
          </cell>
          <cell r="AJ240">
            <v>309.90972772906287</v>
          </cell>
          <cell r="AK240">
            <v>2.3998681849025139</v>
          </cell>
          <cell r="AL240">
            <v>0.78425672420535553</v>
          </cell>
          <cell r="AM240">
            <v>0.81742710716530587</v>
          </cell>
          <cell r="AN240">
            <v>0.46293362260118864</v>
          </cell>
          <cell r="AO240">
            <v>0.77244677445811405</v>
          </cell>
          <cell r="AP240">
            <v>0.37188905164822539</v>
          </cell>
          <cell r="AQ240">
            <v>0.14203217413188618</v>
          </cell>
          <cell r="AR240">
            <v>0.6550552633618798</v>
          </cell>
          <cell r="AS240">
            <v>-0.13572023535207189</v>
          </cell>
          <cell r="AT240">
            <v>0.12978836030813157</v>
          </cell>
          <cell r="AU240">
            <v>0.38899237860207725</v>
          </cell>
          <cell r="AV240">
            <v>3.9822338539495128E-2</v>
          </cell>
          <cell r="AW240">
            <v>0.73401328991178283</v>
          </cell>
          <cell r="AX240">
            <v>0.65887524157160438</v>
          </cell>
          <cell r="AY240">
            <v>7.6378301951268934E-2</v>
          </cell>
          <cell r="AZ240">
            <v>9.453901740322701E-2</v>
          </cell>
          <cell r="BA240">
            <v>0.19361524308679612</v>
          </cell>
          <cell r="BB240">
            <v>0.22499370518529527</v>
          </cell>
          <cell r="BC240">
            <v>0.46343931683117079</v>
          </cell>
          <cell r="BD240">
            <v>0.4867747582734312</v>
          </cell>
          <cell r="BE240">
            <v>0.42315214281932789</v>
          </cell>
          <cell r="BF240">
            <v>0.41084919024801292</v>
          </cell>
          <cell r="BG240">
            <v>0.47799523576603531</v>
          </cell>
          <cell r="BH240">
            <v>0.36297495888705855</v>
          </cell>
          <cell r="BI240">
            <v>0.37858728217276738</v>
          </cell>
          <cell r="BJ240">
            <v>0.41258284644976539</v>
          </cell>
          <cell r="BK240">
            <v>0.39443338690947627</v>
          </cell>
          <cell r="BL240">
            <v>0.27658607774860222</v>
          </cell>
          <cell r="BM240">
            <v>0.13656549996778589</v>
          </cell>
          <cell r="BN240">
            <v>0.10544218155139484</v>
          </cell>
          <cell r="BO240">
            <v>6.9133812028558284E-2</v>
          </cell>
          <cell r="BP240">
            <v>7.4955850035218319E-2</v>
          </cell>
          <cell r="BQ240">
            <v>0.16568986337184799</v>
          </cell>
          <cell r="BR240">
            <v>0.1949738959718299</v>
          </cell>
          <cell r="BS240">
            <v>0.19828196127906073</v>
          </cell>
          <cell r="BT240">
            <v>0.28137688051166188</v>
          </cell>
          <cell r="BU240">
            <v>0.24563275761918835</v>
          </cell>
          <cell r="BV240">
            <v>0.23909666724825618</v>
          </cell>
          <cell r="BW240">
            <v>0.18172977014140113</v>
          </cell>
          <cell r="BX240">
            <v>0.15702360434410556</v>
          </cell>
          <cell r="BY240">
            <v>0.15563655143234345</v>
          </cell>
          <cell r="BZ240">
            <v>0.17814628018973511</v>
          </cell>
          <cell r="CA240">
            <v>0.24092623026883442</v>
          </cell>
          <cell r="CB240">
            <v>0.16152832041559706</v>
          </cell>
          <cell r="CC240">
            <v>0.21637181557099217</v>
          </cell>
          <cell r="CD240">
            <v>0.14315596954024601</v>
          </cell>
          <cell r="CE240">
            <v>-0.1321833539533348</v>
          </cell>
          <cell r="CF240">
            <v>-0.11296315954373581</v>
          </cell>
          <cell r="CG240">
            <v>-0.12125690883636375</v>
          </cell>
          <cell r="CH240">
            <v>-0.13058846668212498</v>
          </cell>
          <cell r="CI240">
            <v>-9.9789700746988341E-3</v>
          </cell>
          <cell r="CJ240">
            <v>3.5689231112114417E-2</v>
          </cell>
          <cell r="CK240">
            <v>2.0692865727091725E-2</v>
          </cell>
          <cell r="CL240">
            <v>1.0984070369641996E-2</v>
          </cell>
          <cell r="CM240">
            <v>3.6748587369591634E-2</v>
          </cell>
          <cell r="CN240">
            <v>3.1550449602746999E-2</v>
          </cell>
          <cell r="CO240">
            <v>2.3354406338762512E-2</v>
          </cell>
          <cell r="CP240">
            <v>1.8562963248279774E-2</v>
          </cell>
          <cell r="CQ240">
            <v>4.1218738095031737E-2</v>
          </cell>
          <cell r="CR240">
            <v>3.6784832892349684E-2</v>
          </cell>
          <cell r="CS240">
            <v>2.9872978642454084E-2</v>
          </cell>
          <cell r="CT240">
            <v>2.5682819940728852E-2</v>
          </cell>
          <cell r="CU240">
            <v>4.3339072261025402E-2</v>
          </cell>
          <cell r="CV240">
            <v>3.9594042666874385E-2</v>
          </cell>
          <cell r="CW240">
            <v>3.3834947240029223E-2</v>
          </cell>
          <cell r="CX240">
            <v>3.0221297851058315E-2</v>
          </cell>
          <cell r="CY240">
            <v>4.3747119554260472E-2</v>
          </cell>
          <cell r="CZ240">
            <v>4.0597661277135932E-2</v>
          </cell>
          <cell r="DA240">
            <v>3.5828627624276299E-2</v>
          </cell>
          <cell r="DB240">
            <v>3.273691416066149E-2</v>
          </cell>
          <cell r="DC240"/>
          <cell r="DD240" t="str">
            <v>NA</v>
          </cell>
          <cell r="DE240" t="str">
            <v>NA</v>
          </cell>
          <cell r="DF240" t="str">
            <v>NA</v>
          </cell>
          <cell r="DG240" t="str">
            <v>NA</v>
          </cell>
          <cell r="DH240" t="str">
            <v>NA</v>
          </cell>
          <cell r="DI240" t="str">
            <v>NA</v>
          </cell>
          <cell r="DJ240" t="str">
            <v>NA</v>
          </cell>
          <cell r="DK240" t="str">
            <v>NA</v>
          </cell>
          <cell r="DL240">
            <v>3.2637521637764699</v>
          </cell>
          <cell r="DM240">
            <v>0.58789406187915327</v>
          </cell>
          <cell r="DN240">
            <v>0.18245361536874682</v>
          </cell>
          <cell r="DO240">
            <v>0.40702618325208251</v>
          </cell>
        </row>
        <row r="241">
          <cell r="A241" t="str">
            <v>% growth in revenue seq</v>
          </cell>
          <cell r="B241"/>
          <cell r="C241" t="str">
            <v>NA</v>
          </cell>
          <cell r="D241" t="str">
            <v>NA</v>
          </cell>
          <cell r="E241" t="str">
            <v>NA</v>
          </cell>
          <cell r="F241" t="str">
            <v>NA</v>
          </cell>
          <cell r="G241" t="str">
            <v>NA</v>
          </cell>
          <cell r="H241" t="str">
            <v>NA</v>
          </cell>
          <cell r="I241" t="str">
            <v>NA</v>
          </cell>
          <cell r="J241" t="str">
            <v>NA</v>
          </cell>
          <cell r="K241" t="str">
            <v>NA</v>
          </cell>
          <cell r="L241" t="str">
            <v>NA</v>
          </cell>
          <cell r="M241" t="str">
            <v>NA</v>
          </cell>
          <cell r="N241" t="str">
            <v>NA</v>
          </cell>
          <cell r="O241" t="str">
            <v>NA</v>
          </cell>
          <cell r="P241" t="str">
            <v>NA</v>
          </cell>
          <cell r="Q241" t="str">
            <v>NA</v>
          </cell>
          <cell r="R241" t="str">
            <v>NA</v>
          </cell>
          <cell r="S241" t="str">
            <v>NA</v>
          </cell>
          <cell r="T241" t="str">
            <v>NA</v>
          </cell>
          <cell r="U241" t="str">
            <v>NA</v>
          </cell>
          <cell r="V241" t="str">
            <v>NA</v>
          </cell>
          <cell r="W241" t="str">
            <v>NA</v>
          </cell>
          <cell r="X241" t="str">
            <v>NA</v>
          </cell>
          <cell r="Y241" t="str">
            <v>NA</v>
          </cell>
          <cell r="Z241" t="str">
            <v>NA</v>
          </cell>
          <cell r="AA241" t="str">
            <v>NA</v>
          </cell>
          <cell r="AB241" t="str">
            <v>NA</v>
          </cell>
          <cell r="AC241" t="str">
            <v>NA</v>
          </cell>
          <cell r="AD241" t="str">
            <v>NA</v>
          </cell>
          <cell r="AE241" t="str">
            <v>NA</v>
          </cell>
          <cell r="AF241" t="str">
            <v>NA</v>
          </cell>
          <cell r="AG241">
            <v>89.15058798057909</v>
          </cell>
          <cell r="AH241">
            <v>1.1008856217536418</v>
          </cell>
          <cell r="AI241">
            <v>0.27162284752933363</v>
          </cell>
          <cell r="AJ241">
            <v>0.29093690244181758</v>
          </cell>
          <cell r="AK241">
            <v>-1.4182932891311006E-2</v>
          </cell>
          <cell r="AL241">
            <v>0.10254842056700708</v>
          </cell>
          <cell r="AM241">
            <v>0.29526306491562715</v>
          </cell>
          <cell r="AN241">
            <v>3.9136585887287412E-2</v>
          </cell>
          <cell r="AO241">
            <v>0.19438657626566069</v>
          </cell>
          <cell r="AP241">
            <v>-0.14661803734537759</v>
          </cell>
          <cell r="AQ241">
            <v>7.8244696479743636E-2</v>
          </cell>
          <cell r="AR241">
            <v>0.50593697338866472</v>
          </cell>
          <cell r="AS241">
            <v>-0.37628418102687866</v>
          </cell>
          <cell r="AT241">
            <v>0.11554273019090333</v>
          </cell>
          <cell r="AU241">
            <v>0.32562320368569497</v>
          </cell>
          <cell r="AV241">
            <v>0.12736896867502301</v>
          </cell>
          <cell r="AW241">
            <v>4.0111833668329044E-2</v>
          </cell>
          <cell r="AX241">
            <v>6.7204171268507196E-2</v>
          </cell>
          <cell r="AY241">
            <v>-0.13985571834889576</v>
          </cell>
          <cell r="AZ241">
            <v>0.14639000153341408</v>
          </cell>
          <cell r="BA241">
            <v>0.13426138259273324</v>
          </cell>
          <cell r="BB241">
            <v>9.525946449089262E-2</v>
          </cell>
          <cell r="BC241">
            <v>2.7571778195648822E-2</v>
          </cell>
          <cell r="BD241">
            <v>0.16466989632857487</v>
          </cell>
          <cell r="BE241">
            <v>8.5723649914959621E-2</v>
          </cell>
          <cell r="BF241">
            <v>8.5791098573092084E-2</v>
          </cell>
          <cell r="BG241">
            <v>7.6476637672253212E-2</v>
          </cell>
          <cell r="BH241">
            <v>7.40331671249852E-2</v>
          </cell>
          <cell r="BI241">
            <v>9.8160172325652439E-2</v>
          </cell>
          <cell r="BJ241">
            <v>0.1125663935147061</v>
          </cell>
          <cell r="BK241">
            <v>6.2645612305774812E-2</v>
          </cell>
          <cell r="BL241">
            <v>-1.6736259283927746E-2</v>
          </cell>
          <cell r="BM241">
            <v>-2.2290006871115708E-2</v>
          </cell>
          <cell r="BN241">
            <v>8.2100258368323908E-2</v>
          </cell>
          <cell r="BO241">
            <v>2.7742900786958735E-2</v>
          </cell>
          <cell r="BP241">
            <v>-1.1381832359427135E-2</v>
          </cell>
          <cell r="BQ241">
            <v>6.0235755980452499E-2</v>
          </cell>
          <cell r="BR241">
            <v>0.10928438361313475</v>
          </cell>
          <cell r="BS241">
            <v>3.0588017861320482E-2</v>
          </cell>
          <cell r="BT241">
            <v>5.7173941195144851E-2</v>
          </cell>
          <cell r="BU241">
            <v>3.0660384570889265E-2</v>
          </cell>
          <cell r="BV241">
            <v>0.10346374110513179</v>
          </cell>
          <cell r="BW241">
            <v>-1.7125480482197308E-2</v>
          </cell>
          <cell r="BX241">
            <v>3.5071836866654937E-2</v>
          </cell>
          <cell r="BY241">
            <v>2.942481730839841E-2</v>
          </cell>
          <cell r="BZ241">
            <v>0.1249572370274501</v>
          </cell>
          <cell r="CA241">
            <v>3.5249011808699882E-2</v>
          </cell>
          <cell r="CB241">
            <v>-3.1154936643773334E-2</v>
          </cell>
          <cell r="CC241">
            <v>7.8030825434568074E-2</v>
          </cell>
          <cell r="CD241">
            <v>5.7243816835523376E-2</v>
          </cell>
          <cell r="CE241">
            <v>-0.21409995732054721</v>
          </cell>
          <cell r="CF241">
            <v>-9.6971891399468824E-3</v>
          </cell>
          <cell r="CG241">
            <v>6.7951292107316208E-2</v>
          </cell>
          <cell r="CH241">
            <v>4.6016722212441019E-2</v>
          </cell>
          <cell r="CI241">
            <v>-0.10507562891119837</v>
          </cell>
          <cell r="CJ241">
            <v>3.5984010183299775E-2</v>
          </cell>
          <cell r="CK241">
            <v>5.2487784996547715E-2</v>
          </cell>
          <cell r="CL241">
            <v>3.6067047204967784E-2</v>
          </cell>
          <cell r="CM241">
            <v>-8.2268846046502753E-2</v>
          </cell>
          <cell r="CN241">
            <v>3.078970591822805E-2</v>
          </cell>
          <cell r="CO241">
            <v>4.4125386992680093E-2</v>
          </cell>
          <cell r="CP241">
            <v>3.1216082315523641E-2</v>
          </cell>
          <cell r="CQ241">
            <v>-6.1855861141265844E-2</v>
          </cell>
          <cell r="CR241">
            <v>2.6400211499116866E-2</v>
          </cell>
          <cell r="CS241">
            <v>3.7164596031477481E-2</v>
          </cell>
          <cell r="CT241">
            <v>2.7020459039370559E-2</v>
          </cell>
          <cell r="CU241">
            <v>-4.5706512330437321E-2</v>
          </cell>
          <cell r="CV241">
            <v>2.2715983361109027E-2</v>
          </cell>
          <cell r="CW241">
            <v>3.1418959141747305E-2</v>
          </cell>
          <cell r="CX241">
            <v>2.3430628898518879E-2</v>
          </cell>
          <cell r="CY241">
            <v>-3.3177550258240429E-2</v>
          </cell>
          <cell r="CZ241">
            <v>1.962998555704365E-2</v>
          </cell>
          <cell r="DA241">
            <v>2.6691991256476921E-2</v>
          </cell>
          <cell r="DB241">
            <v>2.037592064846927E-2</v>
          </cell>
          <cell r="DC241"/>
          <cell r="DD241"/>
          <cell r="DE241"/>
          <cell r="DF241"/>
          <cell r="DG241"/>
          <cell r="DH241"/>
          <cell r="DI241"/>
          <cell r="DJ241"/>
          <cell r="DK241"/>
          <cell r="DL241"/>
          <cell r="DM241"/>
          <cell r="DN241"/>
          <cell r="DO241"/>
        </row>
        <row r="242">
          <cell r="A242"/>
          <cell r="B242"/>
          <cell r="C242"/>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cell r="AD242"/>
          <cell r="AE242"/>
          <cell r="AF242"/>
          <cell r="AG242"/>
          <cell r="AH242"/>
          <cell r="AI242"/>
          <cell r="AJ242"/>
          <cell r="AK242"/>
          <cell r="AL242"/>
          <cell r="AM242"/>
          <cell r="AN242"/>
          <cell r="AO242"/>
          <cell r="AP242"/>
          <cell r="AQ242"/>
          <cell r="AR242"/>
          <cell r="AS242"/>
          <cell r="AT242"/>
          <cell r="AU242"/>
          <cell r="AV242"/>
          <cell r="AW242"/>
          <cell r="AX242"/>
          <cell r="AY242"/>
          <cell r="AZ242"/>
          <cell r="BA242"/>
          <cell r="BB242"/>
          <cell r="BC242"/>
          <cell r="BD242"/>
          <cell r="BE242"/>
          <cell r="BF242"/>
          <cell r="BG242"/>
          <cell r="BH242"/>
          <cell r="BI242"/>
          <cell r="BJ242"/>
          <cell r="BK242"/>
          <cell r="BL242"/>
          <cell r="BM242"/>
          <cell r="BN242"/>
          <cell r="BO242"/>
          <cell r="BP242"/>
          <cell r="BQ242"/>
          <cell r="BR242"/>
          <cell r="BS242"/>
          <cell r="BT242"/>
          <cell r="BU242"/>
          <cell r="BV242"/>
          <cell r="BW242"/>
          <cell r="BX242"/>
          <cell r="BY242"/>
          <cell r="BZ242"/>
          <cell r="CA242"/>
          <cell r="CB242"/>
          <cell r="CC242"/>
          <cell r="CD242"/>
          <cell r="CE242"/>
          <cell r="CF242"/>
          <cell r="CG242"/>
          <cell r="CH242"/>
          <cell r="CI242"/>
          <cell r="CJ242"/>
          <cell r="CK242"/>
          <cell r="CL242"/>
          <cell r="CM242"/>
          <cell r="CN242"/>
          <cell r="CO242"/>
          <cell r="CP242"/>
          <cell r="CQ242"/>
          <cell r="CR242"/>
          <cell r="CS242"/>
          <cell r="CT242"/>
          <cell r="CU242"/>
          <cell r="CV242"/>
          <cell r="CW242"/>
          <cell r="CX242"/>
          <cell r="CY242"/>
          <cell r="CZ242"/>
          <cell r="DA242"/>
          <cell r="DB242"/>
          <cell r="DC242"/>
          <cell r="DD242"/>
          <cell r="DE242"/>
          <cell r="DF242"/>
          <cell r="DG242"/>
          <cell r="DH242"/>
          <cell r="DI242"/>
          <cell r="DJ242"/>
          <cell r="DK242"/>
          <cell r="DL242"/>
          <cell r="DM242"/>
          <cell r="DN242"/>
          <cell r="DO242"/>
        </row>
        <row r="243">
          <cell r="A243" t="str">
            <v>Updates and maintenance -- CloudBridge/WANScaler</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1.5625E-2</v>
          </cell>
          <cell r="AM243">
            <v>0.1240234375</v>
          </cell>
          <cell r="AN243">
            <v>0.24942343750000004</v>
          </cell>
          <cell r="AO243">
            <v>0.50942343750000008</v>
          </cell>
          <cell r="AP243">
            <v>0.77652166726581306</v>
          </cell>
          <cell r="AQ243">
            <v>1.1226012535918131</v>
          </cell>
          <cell r="AR243">
            <v>1.3830049465740963</v>
          </cell>
          <cell r="AS243">
            <v>1.4095963740074162</v>
          </cell>
          <cell r="AT243">
            <v>1.751984157423188</v>
          </cell>
          <cell r="AU243">
            <v>2.4330474289473778</v>
          </cell>
          <cell r="AV243">
            <v>2.6253221610515776</v>
          </cell>
          <cell r="AW243">
            <v>3.2608370582087387</v>
          </cell>
          <cell r="AX243">
            <v>3.4699384284561066</v>
          </cell>
          <cell r="AY243">
            <v>2.9040624299435165</v>
          </cell>
          <cell r="AZ243">
            <v>3.4400187071762098</v>
          </cell>
          <cell r="BA243">
            <v>4.5864603466102771</v>
          </cell>
          <cell r="BB243">
            <v>4.9392812040849829</v>
          </cell>
          <cell r="BC243">
            <v>4.9792034783337744</v>
          </cell>
          <cell r="BD243">
            <v>5.6947423610756065</v>
          </cell>
          <cell r="BE243">
            <v>6.0401717949358593</v>
          </cell>
          <cell r="BF243">
            <v>6.2617811417857796</v>
          </cell>
          <cell r="BG243">
            <v>6.4010897975368071</v>
          </cell>
          <cell r="BH243">
            <v>6.3685387176751771</v>
          </cell>
          <cell r="BI243">
            <v>7.0985074764915819</v>
          </cell>
          <cell r="BJ243">
            <v>7.7906766075913714</v>
          </cell>
          <cell r="BK243">
            <v>7.9166542813730443</v>
          </cell>
          <cell r="BL243">
            <v>7.1492370616081393</v>
          </cell>
          <cell r="BM243">
            <v>6.7577018358691081</v>
          </cell>
          <cell r="BN243">
            <v>7.1905833940039052</v>
          </cell>
          <cell r="BO243">
            <v>7.0078983194961157</v>
          </cell>
          <cell r="BP243">
            <v>6.456224825697257</v>
          </cell>
          <cell r="BQ243">
            <v>6.6420064603499043</v>
          </cell>
          <cell r="BR243">
            <v>7.39509553531376</v>
          </cell>
          <cell r="BS243">
            <v>7.2893237330913623</v>
          </cell>
          <cell r="BT243">
            <v>7.3414982852682407</v>
          </cell>
          <cell r="BU243">
            <v>7.3157257149399069</v>
          </cell>
          <cell r="BV243">
            <v>8.0489848961157566</v>
          </cell>
          <cell r="BW243">
            <v>7.488861080628503</v>
          </cell>
          <cell r="BX243">
            <v>7.4288560088409046</v>
          </cell>
          <cell r="BY243">
            <v>7.5611172202257375</v>
          </cell>
          <cell r="BZ243">
            <v>8.7031950254211097</v>
          </cell>
          <cell r="CA243">
            <v>8.3662376209669063</v>
          </cell>
          <cell r="CB243">
            <v>7.7499394455964721</v>
          </cell>
          <cell r="CC243">
            <v>8.2850283737175712</v>
          </cell>
          <cell r="CD243">
            <v>8.8853150453429457</v>
          </cell>
          <cell r="CE243">
            <v>7.7398667750472132</v>
          </cell>
          <cell r="CF243">
            <v>7.2776431435193887</v>
          </cell>
          <cell r="CG243">
            <v>7.6789598396102114</v>
          </cell>
          <cell r="CH243">
            <v>8.1291748433292419</v>
          </cell>
          <cell r="CI243">
            <v>7.2700886406074439</v>
          </cell>
          <cell r="CJ243">
            <v>7.2873030741375437</v>
          </cell>
          <cell r="CK243">
            <v>7.6083564310102023</v>
          </cell>
          <cell r="CL243">
            <v>7.9685284339854272</v>
          </cell>
          <cell r="CM243">
            <v>7.2812594718079886</v>
          </cell>
          <cell r="CN243">
            <v>7.2950310186320682</v>
          </cell>
          <cell r="CO243">
            <v>7.5518737041301955</v>
          </cell>
          <cell r="CP243">
            <v>7.8400113065103758</v>
          </cell>
          <cell r="CQ243">
            <v>7.290196136768424</v>
          </cell>
          <cell r="CR243">
            <v>7.3012133742276877</v>
          </cell>
          <cell r="CS243">
            <v>7.5066875226261889</v>
          </cell>
          <cell r="CT243">
            <v>7.7371976045303352</v>
          </cell>
          <cell r="CU243">
            <v>7.2973454687367729</v>
          </cell>
          <cell r="CV243">
            <v>7.3061592587041835</v>
          </cell>
          <cell r="CW243">
            <v>7.4705385774229844</v>
          </cell>
          <cell r="CX243">
            <v>7.6549466429463013</v>
          </cell>
          <cell r="CY243">
            <v>7.3030649343114522</v>
          </cell>
          <cell r="CZ243">
            <v>7.3101159662853794</v>
          </cell>
          <cell r="DA243">
            <v>7.4416194212604196</v>
          </cell>
          <cell r="DB243">
            <v>7.5891458736790742</v>
          </cell>
          <cell r="DC243"/>
          <cell r="DD243">
            <v>0</v>
          </cell>
          <cell r="DE243">
            <v>0</v>
          </cell>
          <cell r="DF243">
            <v>0</v>
          </cell>
          <cell r="DG243">
            <v>0</v>
          </cell>
          <cell r="DH243">
            <v>0</v>
          </cell>
          <cell r="DI243">
            <v>0</v>
          </cell>
          <cell r="DJ243">
            <v>0</v>
          </cell>
          <cell r="DK243">
            <v>0</v>
          </cell>
          <cell r="DL243">
            <v>1.5625E-2</v>
          </cell>
          <cell r="DM243">
            <v>1.6593919797658132</v>
          </cell>
          <cell r="DN243">
            <v>5.6671867315965141</v>
          </cell>
          <cell r="DO243">
            <v>11.7891450766638</v>
          </cell>
        </row>
        <row r="244">
          <cell r="A244" t="str">
            <v>% of revenue</v>
          </cell>
          <cell r="B244"/>
          <cell r="C244" t="e">
            <v>#DIV/0!</v>
          </cell>
          <cell r="D244" t="e">
            <v>#DIV/0!</v>
          </cell>
          <cell r="E244" t="e">
            <v>#DIV/0!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4.8675709185612549E-5</v>
          </cell>
          <cell r="AM244">
            <v>4.0255848166757547E-4</v>
          </cell>
          <cell r="AN244">
            <v>7.4596379245373326E-4</v>
          </cell>
          <cell r="AO244">
            <v>1.4557825328421891E-3</v>
          </cell>
          <cell r="AP244">
            <v>1.943446818281688E-3</v>
          </cell>
          <cell r="AQ244">
            <v>2.9774536343985239E-3</v>
          </cell>
          <cell r="AR244">
            <v>3.5305055690758847E-3</v>
          </cell>
          <cell r="AS244">
            <v>3.5337706452793515E-3</v>
          </cell>
          <cell r="AT244">
            <v>4.2145701254115093E-3</v>
          </cell>
          <cell r="AU244">
            <v>6.5925882353109208E-3</v>
          </cell>
          <cell r="AV244">
            <v>6.6831339951622026E-3</v>
          </cell>
          <cell r="AW244">
            <v>8.1309116207497947E-3</v>
          </cell>
          <cell r="AX244">
            <v>7.6911482145050674E-3</v>
          </cell>
          <cell r="AY244">
            <v>7.0100379218086583E-3</v>
          </cell>
          <cell r="AZ244">
            <v>7.503863611860861E-3</v>
          </cell>
          <cell r="BA244">
            <v>9.712282594842539E-3</v>
          </cell>
          <cell r="BB244">
            <v>9.324248462128825E-3</v>
          </cell>
          <cell r="BC244">
            <v>1.0143257684713771E-2</v>
          </cell>
          <cell r="BD244">
            <v>1.072880491545735E-2</v>
          </cell>
          <cell r="BE244">
            <v>1.0683988967743514E-2</v>
          </cell>
          <cell r="BF244">
            <v>1.0109985278148591E-2</v>
          </cell>
          <cell r="BG244">
            <v>1.0858598966126612E-2</v>
          </cell>
          <cell r="BH244">
            <v>1.0351812743088015E-2</v>
          </cell>
          <cell r="BI244">
            <v>1.1066828821729815E-2</v>
          </cell>
          <cell r="BJ244">
            <v>1.0527998269708717E-2</v>
          </cell>
          <cell r="BK244">
            <v>1.1764996353647493E-2</v>
          </cell>
          <cell r="BL244">
            <v>9.7883264989486896E-3</v>
          </cell>
          <cell r="BM244">
            <v>9.4814198286157156E-3</v>
          </cell>
          <cell r="BN244">
            <v>8.9611218489119241E-3</v>
          </cell>
          <cell r="BO244">
            <v>9.3336720561095505E-3</v>
          </cell>
          <cell r="BP244">
            <v>8.2606899351262315E-3</v>
          </cell>
          <cell r="BQ244">
            <v>8.7510658323384696E-3</v>
          </cell>
          <cell r="BR244">
            <v>8.6849596942202723E-3</v>
          </cell>
          <cell r="BS244">
            <v>9.5811048513165884E-3</v>
          </cell>
          <cell r="BT244">
            <v>9.214201892000267E-3</v>
          </cell>
          <cell r="BU244">
            <v>8.9954451964783001E-3</v>
          </cell>
          <cell r="BV244">
            <v>8.8962356950005213E-3</v>
          </cell>
          <cell r="BW244">
            <v>1.1367893159902583E-2</v>
          </cell>
          <cell r="BX244">
            <v>1.1022254151550261E-2</v>
          </cell>
          <cell r="BY244">
            <v>1.1306580205381103E-2</v>
          </cell>
          <cell r="BZ244">
            <v>1.1847787353687406E-2</v>
          </cell>
          <cell r="CA244">
            <v>1.2624910206581649E-2</v>
          </cell>
          <cell r="CB244">
            <v>1.1179511827433829E-2</v>
          </cell>
          <cell r="CC244">
            <v>1.1991212322202224E-2</v>
          </cell>
          <cell r="CD244">
            <v>1.1422812991774767E-2</v>
          </cell>
          <cell r="CE244">
            <v>1.1101485351305255E-2</v>
          </cell>
          <cell r="CF244">
            <v>9.8033220094150293E-3</v>
          </cell>
          <cell r="CG244">
            <v>1.0483565112864055E-2</v>
          </cell>
          <cell r="CH244">
            <v>1.0137771513249332E-2</v>
          </cell>
          <cell r="CI244">
            <v>1.0236345126568673E-2</v>
          </cell>
          <cell r="CJ244">
            <v>9.4396727836407041E-3</v>
          </cell>
          <cell r="CK244">
            <v>9.9738394109961954E-3</v>
          </cell>
          <cell r="CL244">
            <v>9.309877235251179E-3</v>
          </cell>
          <cell r="CM244">
            <v>9.519203795359454E-3</v>
          </cell>
          <cell r="CN244">
            <v>8.8209461117463341E-3</v>
          </cell>
          <cell r="CO244">
            <v>9.2209416592677323E-3</v>
          </cell>
          <cell r="CP244">
            <v>8.7158312294632438E-3</v>
          </cell>
          <cell r="CQ244">
            <v>8.8515033084752316E-3</v>
          </cell>
          <cell r="CR244">
            <v>8.2563581034748399E-3</v>
          </cell>
          <cell r="CS244">
            <v>8.562150219886341E-3</v>
          </cell>
          <cell r="CT244">
            <v>8.2017033655475552E-3</v>
          </cell>
          <cell r="CU244">
            <v>8.1647622310803553E-3</v>
          </cell>
          <cell r="CV244">
            <v>7.6470569189057069E-3</v>
          </cell>
          <cell r="CW244">
            <v>7.8849199787224353E-3</v>
          </cell>
          <cell r="CX244">
            <v>7.5683734359524623E-3</v>
          </cell>
          <cell r="CY244">
            <v>7.5199341557579749E-3</v>
          </cell>
          <cell r="CZ244">
            <v>7.0775702425868578E-3</v>
          </cell>
          <cell r="DA244">
            <v>7.2745789027544271E-3</v>
          </cell>
          <cell r="DB244">
            <v>6.97472926260604E-3</v>
          </cell>
          <cell r="DC244"/>
          <cell r="DD244"/>
          <cell r="DE244">
            <v>0</v>
          </cell>
          <cell r="DF244">
            <v>0</v>
          </cell>
          <cell r="DG244">
            <v>0</v>
          </cell>
          <cell r="DH244">
            <v>0</v>
          </cell>
          <cell r="DI244">
            <v>0</v>
          </cell>
          <cell r="DJ244">
            <v>0</v>
          </cell>
          <cell r="DK244">
            <v>0</v>
          </cell>
          <cell r="DL244">
            <v>1.377478469460531E-5</v>
          </cell>
          <cell r="DM244">
            <v>1.1921416120541037E-3</v>
          </cell>
          <cell r="DN244">
            <v>3.5792291121230723E-3</v>
          </cell>
          <cell r="DO244">
            <v>7.3039047912281116E-3</v>
          </cell>
        </row>
        <row r="245">
          <cell r="A245" t="str">
            <v>% growth in revenue y-o-y</v>
          </cell>
          <cell r="B245"/>
          <cell r="C245" t="str">
            <v>NA</v>
          </cell>
          <cell r="D245" t="str">
            <v>NA</v>
          </cell>
          <cell r="E245" t="str">
            <v>NA</v>
          </cell>
          <cell r="F245" t="str">
            <v>NA</v>
          </cell>
          <cell r="G245" t="str">
            <v>NA</v>
          </cell>
          <cell r="H245" t="str">
            <v>NA</v>
          </cell>
          <cell r="I245" t="str">
            <v>NA</v>
          </cell>
          <cell r="J245" t="str">
            <v>NA</v>
          </cell>
          <cell r="K245" t="str">
            <v>NA</v>
          </cell>
          <cell r="L245" t="str">
            <v>NA</v>
          </cell>
          <cell r="M245" t="str">
            <v>NA</v>
          </cell>
          <cell r="N245" t="str">
            <v>NA</v>
          </cell>
          <cell r="O245" t="str">
            <v>NA</v>
          </cell>
          <cell r="P245" t="str">
            <v>NA</v>
          </cell>
          <cell r="Q245" t="str">
            <v>NA</v>
          </cell>
          <cell r="R245" t="str">
            <v>NA</v>
          </cell>
          <cell r="S245" t="str">
            <v>NA</v>
          </cell>
          <cell r="T245" t="str">
            <v>NA</v>
          </cell>
          <cell r="U245" t="str">
            <v>NA</v>
          </cell>
          <cell r="V245" t="str">
            <v>NA</v>
          </cell>
          <cell r="W245" t="str">
            <v>NA</v>
          </cell>
          <cell r="X245" t="str">
            <v>NA</v>
          </cell>
          <cell r="Y245" t="str">
            <v>NA</v>
          </cell>
          <cell r="Z245" t="str">
            <v>NA</v>
          </cell>
          <cell r="AA245" t="str">
            <v>NA</v>
          </cell>
          <cell r="AB245" t="str">
            <v>NA</v>
          </cell>
          <cell r="AC245" t="str">
            <v>NA</v>
          </cell>
          <cell r="AD245" t="str">
            <v>NA</v>
          </cell>
          <cell r="AE245" t="str">
            <v>NA</v>
          </cell>
          <cell r="AF245" t="str">
            <v>NA</v>
          </cell>
          <cell r="AG245" t="str">
            <v>NA</v>
          </cell>
          <cell r="AH245" t="str">
            <v>NA</v>
          </cell>
          <cell r="AI245" t="str">
            <v>NA</v>
          </cell>
          <cell r="AJ245" t="str">
            <v>NA</v>
          </cell>
          <cell r="AK245" t="str">
            <v>NA</v>
          </cell>
          <cell r="AL245" t="str">
            <v>NA</v>
          </cell>
          <cell r="AM245" t="str">
            <v>NA</v>
          </cell>
          <cell r="AN245" t="str">
            <v>NA</v>
          </cell>
          <cell r="AO245" t="str">
            <v>NA</v>
          </cell>
          <cell r="AP245">
            <v>48.697386705012036</v>
          </cell>
          <cell r="AQ245">
            <v>8.0515250683308395</v>
          </cell>
          <cell r="AR245">
            <v>4.544807498590008</v>
          </cell>
          <cell r="AS245">
            <v>1.7670426412357911</v>
          </cell>
          <cell r="AT245">
            <v>1.2561948124281535</v>
          </cell>
          <cell r="AU245">
            <v>1.1673300481027731</v>
          </cell>
          <cell r="AV245">
            <v>0.89827387642747114</v>
          </cell>
          <cell r="AW245">
            <v>1.3133126037621197</v>
          </cell>
          <cell r="AX245">
            <v>0.98057637322456137</v>
          </cell>
          <cell r="AY245">
            <v>0.19359055454168295</v>
          </cell>
          <cell r="AZ245">
            <v>0.31032250373352421</v>
          </cell>
          <cell r="BA245">
            <v>0.40652852771789139</v>
          </cell>
          <cell r="BB245">
            <v>0.42344923574987958</v>
          </cell>
          <cell r="BC245">
            <v>0.71456488916824656</v>
          </cell>
          <cell r="BD245">
            <v>0.65543935827901922</v>
          </cell>
          <cell r="BE245">
            <v>0.31695716052575906</v>
          </cell>
          <cell r="BF245">
            <v>0.26775149724357394</v>
          </cell>
          <cell r="BG245">
            <v>0.28556501564761283</v>
          </cell>
          <cell r="BH245">
            <v>0.11831902373759107</v>
          </cell>
          <cell r="BI245">
            <v>0.17521615568004911</v>
          </cell>
          <cell r="BJ245">
            <v>0.24416303144213214</v>
          </cell>
          <cell r="BK245">
            <v>0.23676663377218032</v>
          </cell>
          <cell r="BL245">
            <v>0.12258673120196639</v>
          </cell>
          <cell r="BM245">
            <v>-4.8010887042259753E-2</v>
          </cell>
          <cell r="BN245">
            <v>-7.702709839126487E-2</v>
          </cell>
          <cell r="BO245">
            <v>-0.11479040634818727</v>
          </cell>
          <cell r="BP245">
            <v>-9.6935131670539021E-2</v>
          </cell>
          <cell r="BQ245">
            <v>-1.7120520900331226E-2</v>
          </cell>
          <cell r="BR245">
            <v>2.8441661837952381E-2</v>
          </cell>
          <cell r="BS245">
            <v>4.0158318623475964E-2</v>
          </cell>
          <cell r="BT245">
            <v>0.13711936673075442</v>
          </cell>
          <cell r="BU245">
            <v>0.10143309233615394</v>
          </cell>
          <cell r="BV245">
            <v>8.8422030206301239E-2</v>
          </cell>
          <cell r="BW245">
            <v>2.7373917642222523E-2</v>
          </cell>
          <cell r="BX245">
            <v>1.1899168286664263E-2</v>
          </cell>
          <cell r="BY245">
            <v>3.3543016079006449E-2</v>
          </cell>
          <cell r="BZ245">
            <v>8.1278588262857721E-2</v>
          </cell>
          <cell r="CA245">
            <v>0.11715753983044497</v>
          </cell>
          <cell r="CB245">
            <v>4.3221114579883313E-2</v>
          </cell>
          <cell r="CC245">
            <v>9.5741294891632522E-2</v>
          </cell>
          <cell r="CD245">
            <v>2.0925650797193773E-2</v>
          </cell>
          <cell r="CE245">
            <v>-7.4868880648324421E-2</v>
          </cell>
          <cell r="CF245">
            <v>-6.09419345005906E-2</v>
          </cell>
          <cell r="CG245">
            <v>-7.3152258117784918E-2</v>
          </cell>
          <cell r="CH245">
            <v>-8.5099987806287025E-2</v>
          </cell>
          <cell r="CI245">
            <v>-6.0695894140491036E-2</v>
          </cell>
          <cell r="CJ245">
            <v>1.3273432658973405E-3</v>
          </cell>
          <cell r="CK245">
            <v>-9.1943974281278873E-3</v>
          </cell>
          <cell r="CL245">
            <v>-1.9761711666915427E-2</v>
          </cell>
          <cell r="CM245">
            <v>1.536546767552327E-3</v>
          </cell>
          <cell r="CN245">
            <v>1.0604670089748858E-3</v>
          </cell>
          <cell r="CO245">
            <v>-7.4237750810141057E-3</v>
          </cell>
          <cell r="CP245">
            <v>-1.612808795748677E-2</v>
          </cell>
          <cell r="CQ245">
            <v>1.2273515310141647E-3</v>
          </cell>
          <cell r="CR245">
            <v>8.4747488802028315E-4</v>
          </cell>
          <cell r="CS245">
            <v>-5.983439775918642E-3</v>
          </cell>
          <cell r="CT245">
            <v>-1.3113973687086888E-2</v>
          </cell>
          <cell r="CU245">
            <v>9.8067758867159682E-4</v>
          </cell>
          <cell r="CV245">
            <v>6.7740582598974086E-4</v>
          </cell>
          <cell r="CW245">
            <v>-4.8155654666917069E-3</v>
          </cell>
          <cell r="CX245">
            <v>-1.0630588203650593E-2</v>
          </cell>
          <cell r="CY245">
            <v>7.8377344188829134E-4</v>
          </cell>
          <cell r="CZ245">
            <v>5.4155780637854534E-4</v>
          </cell>
          <cell r="DA245">
            <v>-3.8710938793573568E-3</v>
          </cell>
          <cell r="DB245">
            <v>-8.5958494992071088E-3</v>
          </cell>
          <cell r="DC245"/>
          <cell r="DD245" t="str">
            <v>NA</v>
          </cell>
          <cell r="DE245" t="str">
            <v>NA</v>
          </cell>
          <cell r="DF245" t="str">
            <v>NA</v>
          </cell>
          <cell r="DG245" t="str">
            <v>NA</v>
          </cell>
          <cell r="DH245" t="str">
            <v>NA</v>
          </cell>
          <cell r="DI245" t="str">
            <v>NA</v>
          </cell>
          <cell r="DJ245" t="str">
            <v>NA</v>
          </cell>
          <cell r="DK245" t="str">
            <v>NA</v>
          </cell>
          <cell r="DL245" t="str">
            <v>NA</v>
          </cell>
          <cell r="DM245">
            <v>105.20108670501205</v>
          </cell>
          <cell r="DN245">
            <v>2.415218827558943</v>
          </cell>
          <cell r="DO245">
            <v>1.0802464494305903</v>
          </cell>
        </row>
        <row r="246">
          <cell r="A246" t="str">
            <v>% growth in revenue seq</v>
          </cell>
          <cell r="B246"/>
          <cell r="C246" t="str">
            <v>NA</v>
          </cell>
          <cell r="D246" t="str">
            <v>NA</v>
          </cell>
          <cell r="E246" t="str">
            <v>NA</v>
          </cell>
          <cell r="F246" t="str">
            <v>NA</v>
          </cell>
          <cell r="G246" t="str">
            <v>NA</v>
          </cell>
          <cell r="H246" t="str">
            <v>NA</v>
          </cell>
          <cell r="I246" t="str">
            <v>NA</v>
          </cell>
          <cell r="J246" t="str">
            <v>NA</v>
          </cell>
          <cell r="K246" t="str">
            <v>NA</v>
          </cell>
          <cell r="L246" t="str">
            <v>NA</v>
          </cell>
          <cell r="M246" t="str">
            <v>NA</v>
          </cell>
          <cell r="N246" t="str">
            <v>NA</v>
          </cell>
          <cell r="O246" t="str">
            <v>NA</v>
          </cell>
          <cell r="P246" t="str">
            <v>NA</v>
          </cell>
          <cell r="Q246" t="str">
            <v>NA</v>
          </cell>
          <cell r="R246" t="str">
            <v>NA</v>
          </cell>
          <cell r="S246" t="str">
            <v>NA</v>
          </cell>
          <cell r="T246" t="str">
            <v>NA</v>
          </cell>
          <cell r="U246" t="str">
            <v>NA</v>
          </cell>
          <cell r="V246" t="str">
            <v>NA</v>
          </cell>
          <cell r="W246" t="str">
            <v>NA</v>
          </cell>
          <cell r="X246" t="str">
            <v>NA</v>
          </cell>
          <cell r="Y246" t="str">
            <v>NA</v>
          </cell>
          <cell r="Z246" t="str">
            <v>NA</v>
          </cell>
          <cell r="AA246" t="str">
            <v>NA</v>
          </cell>
          <cell r="AB246" t="str">
            <v>NA</v>
          </cell>
          <cell r="AC246" t="str">
            <v>NA</v>
          </cell>
          <cell r="AD246" t="str">
            <v>NA</v>
          </cell>
          <cell r="AE246" t="str">
            <v>NA</v>
          </cell>
          <cell r="AF246" t="str">
            <v>NA</v>
          </cell>
          <cell r="AG246" t="str">
            <v>NA</v>
          </cell>
          <cell r="AH246" t="str">
            <v>NA</v>
          </cell>
          <cell r="AI246" t="str">
            <v>NA</v>
          </cell>
          <cell r="AJ246" t="str">
            <v>NA</v>
          </cell>
          <cell r="AK246" t="str">
            <v>NA</v>
          </cell>
          <cell r="AL246" t="str">
            <v>NA</v>
          </cell>
          <cell r="AM246">
            <v>6.9375</v>
          </cell>
          <cell r="AN246">
            <v>1.0110992125984257</v>
          </cell>
          <cell r="AO246">
            <v>1.0424040443272298</v>
          </cell>
          <cell r="AP246">
            <v>0.52431476470065808</v>
          </cell>
          <cell r="AQ246">
            <v>0.44567923976232415</v>
          </cell>
          <cell r="AR246">
            <v>0.23196454854215598</v>
          </cell>
          <cell r="AS246">
            <v>1.9227282953101943E-2</v>
          </cell>
          <cell r="AT246">
            <v>0.24289774699290656</v>
          </cell>
          <cell r="AU246">
            <v>0.38873825921228367</v>
          </cell>
          <cell r="AV246">
            <v>7.902629838473163E-2</v>
          </cell>
          <cell r="AW246">
            <v>0.24207120428321249</v>
          </cell>
          <cell r="AX246">
            <v>6.4125059460110601E-2</v>
          </cell>
          <cell r="AY246">
            <v>-0.16307955030901444</v>
          </cell>
          <cell r="AZ246">
            <v>0.18455397917982008</v>
          </cell>
          <cell r="BA246">
            <v>0.33326610609485341</v>
          </cell>
          <cell r="BB246">
            <v>7.6926612422467677E-2</v>
          </cell>
          <cell r="BC246">
            <v>8.0826080960472169E-3</v>
          </cell>
          <cell r="BD246">
            <v>0.1437054914215472</v>
          </cell>
          <cell r="BE246">
            <v>6.0657605201126064E-2</v>
          </cell>
          <cell r="BF246">
            <v>3.6689245666111647E-2</v>
          </cell>
          <cell r="BG246">
            <v>2.2247448864253672E-2</v>
          </cell>
          <cell r="BH246">
            <v>-5.085240309260497E-3</v>
          </cell>
          <cell r="BI246">
            <v>0.1146210757564301</v>
          </cell>
          <cell r="BJ246">
            <v>9.7509107850076049E-2</v>
          </cell>
          <cell r="BK246">
            <v>1.6170312301105882E-2</v>
          </cell>
          <cell r="BL246">
            <v>-9.6937063624282227E-2</v>
          </cell>
          <cell r="BM246">
            <v>-5.4766015221624165E-2</v>
          </cell>
          <cell r="BN246">
            <v>6.4057510770467951E-2</v>
          </cell>
          <cell r="BO246">
            <v>-2.5406154757919519E-2</v>
          </cell>
          <cell r="BP246">
            <v>-7.8721674979799872E-2</v>
          </cell>
          <cell r="BQ246">
            <v>2.8775583203545452E-2</v>
          </cell>
          <cell r="BR246">
            <v>0.11338276761088584</v>
          </cell>
          <cell r="BS246">
            <v>-1.4302966299394759E-2</v>
          </cell>
          <cell r="BT246">
            <v>7.1576670329540626E-3</v>
          </cell>
          <cell r="BU246">
            <v>-3.510532772315722E-3</v>
          </cell>
          <cell r="BV246">
            <v>0.10023054577872093</v>
          </cell>
          <cell r="BW246">
            <v>-6.9589373407515698E-2</v>
          </cell>
          <cell r="BX246">
            <v>-8.0125764307223957E-3</v>
          </cell>
          <cell r="BY246">
            <v>1.7803711799963873E-2</v>
          </cell>
          <cell r="BZ246">
            <v>0.15104617107910356</v>
          </cell>
          <cell r="CA246">
            <v>-3.8716517723662025E-2</v>
          </cell>
          <cell r="CB246">
            <v>-7.366491406195641E-2</v>
          </cell>
          <cell r="CC246">
            <v>6.9044272136234319E-2</v>
          </cell>
          <cell r="CD246">
            <v>7.2454389357271554E-2</v>
          </cell>
          <cell r="CE246">
            <v>-0.12891476154197767</v>
          </cell>
          <cell r="CF246">
            <v>-5.9719843372240122E-2</v>
          </cell>
          <cell r="CG246">
            <v>5.5143772259318435E-2</v>
          </cell>
          <cell r="CH246">
            <v>5.8629685936980147E-2</v>
          </cell>
          <cell r="CI246">
            <v>-0.10567938558078371</v>
          </cell>
          <cell r="CJ246">
            <v>2.3678436922967006E-3</v>
          </cell>
          <cell r="CK246">
            <v>4.4056539656223359E-2</v>
          </cell>
          <cell r="CL246">
            <v>4.7339002351050929E-2</v>
          </cell>
          <cell r="CM246">
            <v>-8.6247914890567046E-2</v>
          </cell>
          <cell r="CN246">
            <v>1.8913687772563748E-3</v>
          </cell>
          <cell r="CO246">
            <v>3.520789491396692E-2</v>
          </cell>
          <cell r="CP246">
            <v>3.8154451950460411E-2</v>
          </cell>
          <cell r="CQ246">
            <v>-7.0129384798894745E-2</v>
          </cell>
          <cell r="CR246">
            <v>1.511240198833308E-3</v>
          </cell>
          <cell r="CS246">
            <v>2.8142465898038038E-2</v>
          </cell>
          <cell r="CT246">
            <v>3.0707296821581798E-2</v>
          </cell>
          <cell r="CU246">
            <v>-5.6849024449888264E-2</v>
          </cell>
          <cell r="CV246">
            <v>1.2078076891344214E-3</v>
          </cell>
          <cell r="CW246">
            <v>2.2498731946332562E-2</v>
          </cell>
          <cell r="CX246">
            <v>2.4684708286043078E-2</v>
          </cell>
          <cell r="CY246">
            <v>-4.5967885218258564E-2</v>
          </cell>
          <cell r="CZ246">
            <v>9.6548942633667423E-4</v>
          </cell>
          <cell r="DA246">
            <v>1.7989243341903327E-2</v>
          </cell>
          <cell r="DB246">
            <v>1.9824509164924065E-2</v>
          </cell>
          <cell r="DC246"/>
          <cell r="DD246"/>
          <cell r="DE246"/>
          <cell r="DF246"/>
          <cell r="DG246"/>
          <cell r="DH246"/>
          <cell r="DI246"/>
          <cell r="DJ246"/>
          <cell r="DK246"/>
          <cell r="DL246"/>
          <cell r="DM246"/>
          <cell r="DN246"/>
          <cell r="DO246"/>
        </row>
        <row r="247">
          <cell r="A247"/>
          <cell r="B247"/>
          <cell r="C247"/>
          <cell r="D247"/>
          <cell r="E247"/>
          <cell r="F247"/>
          <cell r="G247"/>
          <cell r="H247"/>
          <cell r="I247"/>
          <cell r="J247"/>
          <cell r="K247"/>
          <cell r="L247"/>
          <cell r="M247"/>
          <cell r="N247"/>
          <cell r="O247"/>
          <cell r="P247"/>
          <cell r="Q247"/>
          <cell r="R247"/>
          <cell r="S247"/>
          <cell r="T247"/>
          <cell r="U247"/>
          <cell r="V247"/>
          <cell r="W247"/>
          <cell r="X247"/>
          <cell r="Y247"/>
          <cell r="Z247"/>
          <cell r="AA247"/>
          <cell r="AB247"/>
          <cell r="AC247"/>
          <cell r="AD247"/>
          <cell r="AE247"/>
          <cell r="AF247"/>
          <cell r="AG247"/>
          <cell r="AH247"/>
          <cell r="AI247"/>
          <cell r="AJ247"/>
          <cell r="AK247"/>
          <cell r="AL247"/>
          <cell r="AM247"/>
          <cell r="AN247"/>
          <cell r="AO247"/>
          <cell r="AP247"/>
          <cell r="AQ247"/>
          <cell r="AR247"/>
          <cell r="AS247"/>
          <cell r="AT247"/>
          <cell r="AU247"/>
          <cell r="AV247"/>
          <cell r="AW247"/>
          <cell r="AX247"/>
          <cell r="AY247"/>
          <cell r="AZ247"/>
          <cell r="BA247"/>
          <cell r="BB247"/>
          <cell r="BC247"/>
          <cell r="BD247"/>
          <cell r="BE247"/>
          <cell r="BF247"/>
          <cell r="BG247"/>
          <cell r="BH247"/>
          <cell r="BI247"/>
          <cell r="BJ247"/>
          <cell r="BK247"/>
          <cell r="BL247"/>
          <cell r="BM247"/>
          <cell r="BN247"/>
          <cell r="BO247"/>
          <cell r="BP247"/>
          <cell r="BQ247"/>
          <cell r="BR247"/>
          <cell r="BS247"/>
          <cell r="BT247"/>
          <cell r="BU247"/>
          <cell r="BV247"/>
          <cell r="BW247"/>
          <cell r="BX247"/>
          <cell r="BY247"/>
          <cell r="BZ247"/>
          <cell r="CA247"/>
          <cell r="CB247"/>
          <cell r="CC247"/>
          <cell r="CD247"/>
          <cell r="CE247"/>
          <cell r="CF247"/>
          <cell r="CG247"/>
          <cell r="CH247"/>
          <cell r="CI247"/>
          <cell r="CJ247"/>
          <cell r="CK247"/>
          <cell r="CL247"/>
          <cell r="CM247"/>
          <cell r="CN247"/>
          <cell r="CO247"/>
          <cell r="CP247"/>
          <cell r="CQ247"/>
          <cell r="CR247"/>
          <cell r="CS247"/>
          <cell r="CT247"/>
          <cell r="CU247"/>
          <cell r="CV247"/>
          <cell r="CW247"/>
          <cell r="CX247"/>
          <cell r="CY247"/>
          <cell r="CZ247"/>
          <cell r="DA247"/>
          <cell r="DB247"/>
          <cell r="DC247"/>
          <cell r="DD247"/>
          <cell r="DE247"/>
          <cell r="DF247"/>
          <cell r="DG247"/>
          <cell r="DH247"/>
          <cell r="DI247"/>
          <cell r="DJ247"/>
          <cell r="DK247"/>
          <cell r="DL247"/>
          <cell r="DM247"/>
          <cell r="DN247"/>
          <cell r="DO247"/>
        </row>
        <row r="248">
          <cell r="A248" t="str">
            <v>Updates and maintenance -- Bytemobile</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6.25E-2</v>
          </cell>
          <cell r="BK248">
            <v>1</v>
          </cell>
          <cell r="BL248">
            <v>1.25</v>
          </cell>
          <cell r="BM248">
            <v>1.8912499999999999</v>
          </cell>
          <cell r="BN248">
            <v>2.5101062499999998</v>
          </cell>
          <cell r="BO248">
            <v>2.7476062499999996</v>
          </cell>
          <cell r="BP248">
            <v>3.1962485312499997</v>
          </cell>
          <cell r="BQ248">
            <v>3.7809547151562501</v>
          </cell>
          <cell r="BR248">
            <v>4.3300870523382811</v>
          </cell>
          <cell r="BS248">
            <v>4.8801803446935041</v>
          </cell>
          <cell r="BT248">
            <v>5.0951636070797113</v>
          </cell>
          <cell r="BU248">
            <v>5.3963504978826737</v>
          </cell>
          <cell r="BV248">
            <v>5.6561775650535662</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cell r="DD248">
            <v>0</v>
          </cell>
          <cell r="DE248">
            <v>0</v>
          </cell>
          <cell r="DF248">
            <v>0</v>
          </cell>
          <cell r="DG248">
            <v>0</v>
          </cell>
          <cell r="DH248">
            <v>0</v>
          </cell>
          <cell r="DI248">
            <v>0</v>
          </cell>
          <cell r="DJ248">
            <v>0</v>
          </cell>
          <cell r="DK248">
            <v>0</v>
          </cell>
          <cell r="DL248">
            <v>0</v>
          </cell>
          <cell r="DM248">
            <v>0</v>
          </cell>
          <cell r="DN248">
            <v>0</v>
          </cell>
          <cell r="DO248">
            <v>0</v>
          </cell>
        </row>
        <row r="249">
          <cell r="A249" t="str">
            <v>% of revenue</v>
          </cell>
          <cell r="B249"/>
          <cell r="C249" t="e">
            <v>#DIV/0!</v>
          </cell>
          <cell r="D249" t="e">
            <v>#DIV/0!</v>
          </cell>
          <cell r="E249" t="e">
            <v>#DIV/0!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8.4459915999545948E-5</v>
          </cell>
          <cell r="BK249">
            <v>1.4861071275183942E-3</v>
          </cell>
          <cell r="BL249">
            <v>1.7114285088391859E-3</v>
          </cell>
          <cell r="BM249">
            <v>2.6535256639601754E-3</v>
          </cell>
          <cell r="BN249">
            <v>3.1281700979536899E-3</v>
          </cell>
          <cell r="BO249">
            <v>3.6594788490967858E-3</v>
          </cell>
          <cell r="BP249">
            <v>4.0895753764906085E-3</v>
          </cell>
          <cell r="BQ249">
            <v>4.9815343930996172E-3</v>
          </cell>
          <cell r="BR249">
            <v>5.0853476256581534E-3</v>
          </cell>
          <cell r="BS249">
            <v>6.4145209196262692E-3</v>
          </cell>
          <cell r="BT249">
            <v>6.3948616922804907E-3</v>
          </cell>
          <cell r="BU249">
            <v>6.6353738584758737E-3</v>
          </cell>
          <cell r="BV249">
            <v>6.251557109490072E-3</v>
          </cell>
          <cell r="BW249">
            <v>0</v>
          </cell>
          <cell r="BX249">
            <v>0</v>
          </cell>
          <cell r="BY249">
            <v>0</v>
          </cell>
          <cell r="BZ249">
            <v>0</v>
          </cell>
          <cell r="CA249">
            <v>0</v>
          </cell>
          <cell r="CB249">
            <v>0</v>
          </cell>
          <cell r="CC249">
            <v>0</v>
          </cell>
          <cell r="CD249">
            <v>0</v>
          </cell>
          <cell r="CE249">
            <v>0</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cell r="DD249"/>
          <cell r="DE249">
            <v>0</v>
          </cell>
          <cell r="DF249">
            <v>0</v>
          </cell>
          <cell r="DG249">
            <v>0</v>
          </cell>
          <cell r="DH249">
            <v>0</v>
          </cell>
          <cell r="DI249">
            <v>0</v>
          </cell>
          <cell r="DJ249">
            <v>0</v>
          </cell>
          <cell r="DK249">
            <v>0</v>
          </cell>
          <cell r="DL249">
            <v>0</v>
          </cell>
          <cell r="DM249">
            <v>0</v>
          </cell>
          <cell r="DN249">
            <v>0</v>
          </cell>
          <cell r="DO249">
            <v>0</v>
          </cell>
        </row>
        <row r="250">
          <cell r="A250" t="str">
            <v>% of delivery networking revenue</v>
          </cell>
          <cell r="B250"/>
          <cell r="C250" t="e">
            <v>#DIV/0!</v>
          </cell>
          <cell r="D250" t="e">
            <v>#DIV/0!</v>
          </cell>
          <cell r="E250" t="e">
            <v>#DIV/0!</v>
          </cell>
          <cell r="F250" t="e">
            <v>#DIV/0!</v>
          </cell>
          <cell r="G250" t="e">
            <v>#DIV/0!</v>
          </cell>
          <cell r="H250" t="e">
            <v>#DIV/0!</v>
          </cell>
          <cell r="I250" t="e">
            <v>#DIV/0!</v>
          </cell>
          <cell r="J250" t="e">
            <v>#DIV/0!</v>
          </cell>
          <cell r="K250" t="e">
            <v>#DIV/0!</v>
          </cell>
          <cell r="L250" t="e">
            <v>#DIV/0!</v>
          </cell>
          <cell r="M250" t="e">
            <v>#DIV/0!</v>
          </cell>
          <cell r="N250" t="e">
            <v>#DIV/0!</v>
          </cell>
          <cell r="O250" t="e">
            <v>#DIV/0!</v>
          </cell>
          <cell r="P250" t="e">
            <v>#DIV/0!</v>
          </cell>
          <cell r="Q250" t="e">
            <v>#DIV/0!</v>
          </cell>
          <cell r="R250" t="e">
            <v>#DIV/0!</v>
          </cell>
          <cell r="S250" t="e">
            <v>#DIV/0!</v>
          </cell>
          <cell r="T250" t="e">
            <v>#DIV/0!</v>
          </cell>
          <cell r="U250" t="e">
            <v>#DIV/0!</v>
          </cell>
          <cell r="V250" t="e">
            <v>#DIV/0!</v>
          </cell>
          <cell r="W250" t="e">
            <v>#DIV/0!</v>
          </cell>
          <cell r="X250" t="e">
            <v>#DIV/0!</v>
          </cell>
          <cell r="Y250" t="e">
            <v>#DIV/0!</v>
          </cell>
          <cell r="Z250" t="e">
            <v>#DIV/0!</v>
          </cell>
          <cell r="AA250" t="e">
            <v>#DIV/0!</v>
          </cell>
          <cell r="AB250" t="e">
            <v>#DIV/0!</v>
          </cell>
          <cell r="AC250" t="e">
            <v>#DIV/0!</v>
          </cell>
          <cell r="AD250" t="e">
            <v>#DIV/0!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3.9987204094689698E-4</v>
          </cell>
          <cell r="BK250">
            <v>6.7385444743935305E-3</v>
          </cell>
          <cell r="BL250">
            <v>7.5392038600723757E-3</v>
          </cell>
          <cell r="BM250">
            <v>1.2813346883468834E-2</v>
          </cell>
          <cell r="BN250">
            <v>1.4173383681535855E-2</v>
          </cell>
          <cell r="BO250">
            <v>1.6354799107142853E-2</v>
          </cell>
          <cell r="BP250">
            <v>1.767836577018805E-2</v>
          </cell>
          <cell r="BQ250">
            <v>2.408251410927548E-2</v>
          </cell>
          <cell r="BR250">
            <v>2.2069760715281762E-2</v>
          </cell>
          <cell r="BS250">
            <v>2.9939756715911068E-2</v>
          </cell>
          <cell r="BT250">
            <v>2.9065394221789567E-2</v>
          </cell>
          <cell r="BU250">
            <v>2.8446760663588162E-2</v>
          </cell>
          <cell r="BV250">
            <v>2.5489759193571725E-2</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0</v>
          </cell>
          <cell r="CO250">
            <v>0</v>
          </cell>
          <cell r="CP250">
            <v>0</v>
          </cell>
          <cell r="CQ250">
            <v>0</v>
          </cell>
          <cell r="CR250">
            <v>0</v>
          </cell>
          <cell r="CS250">
            <v>0</v>
          </cell>
          <cell r="CT250">
            <v>0</v>
          </cell>
          <cell r="CU250">
            <v>0</v>
          </cell>
          <cell r="CV250">
            <v>0</v>
          </cell>
          <cell r="CW250">
            <v>0</v>
          </cell>
          <cell r="CX250">
            <v>0</v>
          </cell>
          <cell r="CY250">
            <v>0</v>
          </cell>
          <cell r="CZ250">
            <v>0</v>
          </cell>
          <cell r="DA250">
            <v>0</v>
          </cell>
          <cell r="DB250">
            <v>0</v>
          </cell>
          <cell r="DC250"/>
          <cell r="DD250"/>
          <cell r="DE250" t="e">
            <v>#DIV/0!</v>
          </cell>
          <cell r="DF250" t="e">
            <v>#DIV/0!</v>
          </cell>
          <cell r="DG250" t="e">
            <v>#DIV/0!</v>
          </cell>
          <cell r="DH250" t="e">
            <v>#DIV/0!</v>
          </cell>
          <cell r="DI250" t="e">
            <v>#DIV/0!</v>
          </cell>
          <cell r="DJ250" t="e">
            <v>#DIV/0!</v>
          </cell>
          <cell r="DK250">
            <v>0</v>
          </cell>
          <cell r="DL250">
            <v>0</v>
          </cell>
          <cell r="DM250">
            <v>0</v>
          </cell>
          <cell r="DN250">
            <v>0</v>
          </cell>
          <cell r="DO250">
            <v>0</v>
          </cell>
        </row>
        <row r="251">
          <cell r="A251" t="str">
            <v>% of delivery networking updates and maintenance revenue</v>
          </cell>
          <cell r="B251"/>
          <cell r="C251" t="e">
            <v>#DIV/0!</v>
          </cell>
          <cell r="D251" t="e">
            <v>#DIV/0!</v>
          </cell>
          <cell r="E251" t="e">
            <v>#DIV/0!</v>
          </cell>
          <cell r="F251" t="e">
            <v>#DIV/0!</v>
          </cell>
          <cell r="G251" t="e">
            <v>#DIV/0!</v>
          </cell>
          <cell r="H251" t="e">
            <v>#DIV/0!</v>
          </cell>
          <cell r="I251" t="e">
            <v>#DIV/0!</v>
          </cell>
          <cell r="J251" t="e">
            <v>#DIV/0!</v>
          </cell>
          <cell r="K251" t="e">
            <v>#DIV/0!</v>
          </cell>
          <cell r="L251" t="e">
            <v>#DIV/0!</v>
          </cell>
          <cell r="M251" t="e">
            <v>#DIV/0!</v>
          </cell>
          <cell r="N251" t="e">
            <v>#DIV/0!</v>
          </cell>
          <cell r="O251" t="e">
            <v>#DIV/0!</v>
          </cell>
          <cell r="P251" t="e">
            <v>#DIV/0!</v>
          </cell>
          <cell r="Q251" t="e">
            <v>#DIV/0!</v>
          </cell>
          <cell r="R251" t="e">
            <v>#DIV/0!</v>
          </cell>
          <cell r="S251" t="e">
            <v>#DIV/0!</v>
          </cell>
          <cell r="T251" t="e">
            <v>#DIV/0!</v>
          </cell>
          <cell r="U251" t="e">
            <v>#DIV/0!</v>
          </cell>
          <cell r="V251" t="e">
            <v>#DIV/0!</v>
          </cell>
          <cell r="W251" t="e">
            <v>#DIV/0!</v>
          </cell>
          <cell r="X251" t="e">
            <v>#DIV/0!</v>
          </cell>
          <cell r="Y251" t="e">
            <v>#DIV/0!</v>
          </cell>
          <cell r="Z251" t="e">
            <v>#DIV/0!</v>
          </cell>
          <cell r="AA251" t="e">
            <v>#DIV/0!</v>
          </cell>
          <cell r="AB251" t="e">
            <v>#DIV/0!</v>
          </cell>
          <cell r="AC251" t="e">
            <v>#DIV/0!</v>
          </cell>
          <cell r="AD251" t="e">
            <v>#DIV/0!</v>
          </cell>
          <cell r="AE251" t="e">
            <v>#DIV/0!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1.1029411764705887E-3</v>
          </cell>
          <cell r="BK251">
            <v>1.6288610038610037E-2</v>
          </cell>
          <cell r="BL251">
            <v>2.0836004615976397E-2</v>
          </cell>
          <cell r="BM251">
            <v>3.2356715141146283E-2</v>
          </cell>
          <cell r="BN251">
            <v>4.044209854994632E-2</v>
          </cell>
          <cell r="BO251">
            <v>4.4900961596658996E-2</v>
          </cell>
          <cell r="BP251">
            <v>5.257652904751358E-2</v>
          </cell>
          <cell r="BQ251">
            <v>5.893927849035465E-2</v>
          </cell>
          <cell r="BR251">
            <v>6.1274816778371946E-2</v>
          </cell>
          <cell r="BS251">
            <v>6.9131620832489304E-2</v>
          </cell>
          <cell r="BT251">
            <v>6.8306823648588463E-2</v>
          </cell>
          <cell r="BU251">
            <v>7.0586664458896983E-2</v>
          </cell>
          <cell r="BV251">
            <v>6.7485414791444126E-2</v>
          </cell>
          <cell r="BW251">
            <v>0</v>
          </cell>
          <cell r="BX251">
            <v>0</v>
          </cell>
          <cell r="BY251">
            <v>0</v>
          </cell>
          <cell r="BZ251">
            <v>0</v>
          </cell>
          <cell r="CA251">
            <v>0</v>
          </cell>
          <cell r="CB251">
            <v>0</v>
          </cell>
          <cell r="CC251">
            <v>0</v>
          </cell>
          <cell r="CD251">
            <v>0</v>
          </cell>
          <cell r="CE251">
            <v>0</v>
          </cell>
          <cell r="CF251">
            <v>0</v>
          </cell>
          <cell r="CG251">
            <v>0</v>
          </cell>
          <cell r="CH251">
            <v>0</v>
          </cell>
          <cell r="CI251">
            <v>0</v>
          </cell>
          <cell r="CJ251">
            <v>0</v>
          </cell>
          <cell r="CK251">
            <v>0</v>
          </cell>
          <cell r="CL251">
            <v>0</v>
          </cell>
          <cell r="CM251">
            <v>0</v>
          </cell>
          <cell r="CN251">
            <v>0</v>
          </cell>
          <cell r="CO251">
            <v>0</v>
          </cell>
          <cell r="CP251">
            <v>0</v>
          </cell>
          <cell r="CQ251">
            <v>0</v>
          </cell>
          <cell r="CR251">
            <v>0</v>
          </cell>
          <cell r="CS251">
            <v>0</v>
          </cell>
          <cell r="CT251">
            <v>0</v>
          </cell>
          <cell r="CU251">
            <v>0</v>
          </cell>
          <cell r="CV251">
            <v>0</v>
          </cell>
          <cell r="CW251">
            <v>0</v>
          </cell>
          <cell r="CX251">
            <v>0</v>
          </cell>
          <cell r="CY251">
            <v>0</v>
          </cell>
          <cell r="CZ251">
            <v>0</v>
          </cell>
          <cell r="DA251">
            <v>0</v>
          </cell>
          <cell r="DB251">
            <v>0</v>
          </cell>
          <cell r="DC251"/>
          <cell r="DD251"/>
          <cell r="DE251" t="e">
            <v>#DIV/0!</v>
          </cell>
          <cell r="DF251" t="e">
            <v>#DIV/0!</v>
          </cell>
          <cell r="DG251" t="e">
            <v>#DIV/0!</v>
          </cell>
          <cell r="DH251" t="e">
            <v>#DIV/0!</v>
          </cell>
          <cell r="DI251" t="e">
            <v>#DIV/0!</v>
          </cell>
          <cell r="DJ251" t="e">
            <v>#DIV/0!</v>
          </cell>
          <cell r="DK251">
            <v>0</v>
          </cell>
          <cell r="DL251">
            <v>0</v>
          </cell>
          <cell r="DM251">
            <v>0</v>
          </cell>
          <cell r="DN251">
            <v>0</v>
          </cell>
          <cell r="DO251">
            <v>0</v>
          </cell>
        </row>
        <row r="252">
          <cell r="A252" t="str">
            <v>% growth in revenue y-o-y</v>
          </cell>
          <cell r="B252"/>
          <cell r="C252" t="str">
            <v>NA</v>
          </cell>
          <cell r="D252" t="str">
            <v>NA</v>
          </cell>
          <cell r="E252" t="str">
            <v>NA</v>
          </cell>
          <cell r="F252" t="str">
            <v>NA</v>
          </cell>
          <cell r="G252" t="str">
            <v>NA</v>
          </cell>
          <cell r="H252" t="str">
            <v>NA</v>
          </cell>
          <cell r="I252" t="str">
            <v>NA</v>
          </cell>
          <cell r="J252" t="str">
            <v>NA</v>
          </cell>
          <cell r="K252" t="str">
            <v>NA</v>
          </cell>
          <cell r="L252" t="str">
            <v>NA</v>
          </cell>
          <cell r="M252" t="str">
            <v>NA</v>
          </cell>
          <cell r="N252" t="str">
            <v>NA</v>
          </cell>
          <cell r="O252" t="str">
            <v>NA</v>
          </cell>
          <cell r="P252" t="str">
            <v>NA</v>
          </cell>
          <cell r="Q252" t="str">
            <v>NA</v>
          </cell>
          <cell r="R252" t="str">
            <v>NA</v>
          </cell>
          <cell r="S252" t="str">
            <v>NA</v>
          </cell>
          <cell r="T252" t="str">
            <v>NA</v>
          </cell>
          <cell r="U252" t="str">
            <v>NA</v>
          </cell>
          <cell r="V252" t="str">
            <v>NA</v>
          </cell>
          <cell r="W252" t="str">
            <v>NA</v>
          </cell>
          <cell r="X252" t="str">
            <v>NA</v>
          </cell>
          <cell r="Y252" t="str">
            <v>NA</v>
          </cell>
          <cell r="Z252" t="str">
            <v>NA</v>
          </cell>
          <cell r="AA252" t="str">
            <v>NA</v>
          </cell>
          <cell r="AB252" t="str">
            <v>NA</v>
          </cell>
          <cell r="AC252" t="str">
            <v>NA</v>
          </cell>
          <cell r="AD252" t="str">
            <v>NA</v>
          </cell>
          <cell r="AE252" t="str">
            <v>NA</v>
          </cell>
          <cell r="AF252" t="str">
            <v>NA</v>
          </cell>
          <cell r="AG252" t="str">
            <v>NA</v>
          </cell>
          <cell r="AH252" t="str">
            <v>NA</v>
          </cell>
          <cell r="AI252" t="str">
            <v>NA</v>
          </cell>
          <cell r="AJ252" t="str">
            <v>NA</v>
          </cell>
          <cell r="AK252" t="str">
            <v>NA</v>
          </cell>
          <cell r="AL252" t="str">
            <v>NA</v>
          </cell>
          <cell r="AM252" t="str">
            <v>NA</v>
          </cell>
          <cell r="AN252" t="str">
            <v>NA</v>
          </cell>
          <cell r="AO252" t="str">
            <v>NA</v>
          </cell>
          <cell r="AP252" t="str">
            <v>NA</v>
          </cell>
          <cell r="AQ252" t="str">
            <v>NA</v>
          </cell>
          <cell r="AR252" t="str">
            <v>NA</v>
          </cell>
          <cell r="AS252" t="str">
            <v>NA</v>
          </cell>
          <cell r="AT252" t="str">
            <v>NA</v>
          </cell>
          <cell r="AU252" t="str">
            <v>NA</v>
          </cell>
          <cell r="AV252" t="str">
            <v>NA</v>
          </cell>
          <cell r="AW252" t="str">
            <v>NA</v>
          </cell>
          <cell r="AX252" t="str">
            <v>NA</v>
          </cell>
          <cell r="AY252" t="str">
            <v>NA</v>
          </cell>
          <cell r="AZ252" t="str">
            <v>NA</v>
          </cell>
          <cell r="BA252" t="str">
            <v>NA</v>
          </cell>
          <cell r="BB252" t="str">
            <v>NA</v>
          </cell>
          <cell r="BC252" t="str">
            <v>NA</v>
          </cell>
          <cell r="BD252" t="str">
            <v>NA</v>
          </cell>
          <cell r="BE252" t="str">
            <v>NA</v>
          </cell>
          <cell r="BF252" t="str">
            <v>NA</v>
          </cell>
          <cell r="BG252" t="str">
            <v>NA</v>
          </cell>
          <cell r="BH252" t="str">
            <v>NA</v>
          </cell>
          <cell r="BI252" t="str">
            <v>NA</v>
          </cell>
          <cell r="BJ252" t="str">
            <v>NA</v>
          </cell>
          <cell r="BK252" t="str">
            <v>NA</v>
          </cell>
          <cell r="BL252" t="str">
            <v>NA</v>
          </cell>
          <cell r="BM252" t="str">
            <v>NA</v>
          </cell>
          <cell r="BN252">
            <v>39.161699999999996</v>
          </cell>
          <cell r="BO252">
            <v>1.7476062499999996</v>
          </cell>
          <cell r="BP252">
            <v>1.556998825</v>
          </cell>
          <cell r="BQ252">
            <v>0.99918292936219455</v>
          </cell>
          <cell r="BR252">
            <v>0.72506126078857469</v>
          </cell>
          <cell r="BS252">
            <v>0.77615709845379222</v>
          </cell>
          <cell r="BT252">
            <v>0.59410745355495798</v>
          </cell>
          <cell r="BU252">
            <v>0.42724547222186615</v>
          </cell>
          <cell r="BV252">
            <v>0.30625031245022805</v>
          </cell>
          <cell r="BW252">
            <v>-1</v>
          </cell>
          <cell r="BX252">
            <v>-1</v>
          </cell>
          <cell r="BY252">
            <v>-1</v>
          </cell>
          <cell r="BZ252">
            <v>-1</v>
          </cell>
          <cell r="CA252" t="str">
            <v>NA</v>
          </cell>
          <cell r="CB252" t="str">
            <v>NA</v>
          </cell>
          <cell r="CC252" t="str">
            <v>NA</v>
          </cell>
          <cell r="CD252" t="str">
            <v>NA</v>
          </cell>
          <cell r="CE252" t="str">
            <v>NA</v>
          </cell>
          <cell r="CF252" t="str">
            <v>NA</v>
          </cell>
          <cell r="CG252" t="str">
            <v>NA</v>
          </cell>
          <cell r="CH252" t="str">
            <v>NA</v>
          </cell>
          <cell r="CI252" t="str">
            <v>NA</v>
          </cell>
          <cell r="CJ252" t="str">
            <v>NA</v>
          </cell>
          <cell r="CK252" t="str">
            <v>NA</v>
          </cell>
          <cell r="CL252" t="str">
            <v>NA</v>
          </cell>
          <cell r="CM252" t="str">
            <v>NA</v>
          </cell>
          <cell r="CN252" t="str">
            <v>NA</v>
          </cell>
          <cell r="CO252" t="str">
            <v>NA</v>
          </cell>
          <cell r="CP252" t="str">
            <v>NA</v>
          </cell>
          <cell r="CQ252" t="str">
            <v>NA</v>
          </cell>
          <cell r="CR252" t="str">
            <v>NA</v>
          </cell>
          <cell r="CS252" t="str">
            <v>NA</v>
          </cell>
          <cell r="CT252" t="str">
            <v>NA</v>
          </cell>
          <cell r="CU252" t="str">
            <v>NA</v>
          </cell>
          <cell r="CV252" t="str">
            <v>NA</v>
          </cell>
          <cell r="CW252" t="str">
            <v>NA</v>
          </cell>
          <cell r="CX252" t="str">
            <v>NA</v>
          </cell>
          <cell r="CY252" t="str">
            <v>NA</v>
          </cell>
          <cell r="CZ252" t="str">
            <v>NA</v>
          </cell>
          <cell r="DA252" t="str">
            <v>NA</v>
          </cell>
          <cell r="DB252" t="str">
            <v>NA</v>
          </cell>
          <cell r="DC252"/>
          <cell r="DD252" t="str">
            <v>NA</v>
          </cell>
          <cell r="DE252" t="str">
            <v>NA</v>
          </cell>
          <cell r="DF252" t="str">
            <v>NA</v>
          </cell>
          <cell r="DG252" t="str">
            <v>NA</v>
          </cell>
          <cell r="DH252" t="str">
            <v>NA</v>
          </cell>
          <cell r="DI252" t="str">
            <v>NA</v>
          </cell>
          <cell r="DJ252" t="str">
            <v>NA</v>
          </cell>
          <cell r="DK252" t="str">
            <v>NA</v>
          </cell>
          <cell r="DL252" t="str">
            <v>NA</v>
          </cell>
          <cell r="DM252" t="str">
            <v>NA</v>
          </cell>
          <cell r="DN252" t="str">
            <v>NA</v>
          </cell>
          <cell r="DO252" t="str">
            <v>NA</v>
          </cell>
        </row>
        <row r="253">
          <cell r="A253" t="str">
            <v>% growth in revenue seq</v>
          </cell>
          <cell r="B253"/>
          <cell r="C253" t="str">
            <v>NA</v>
          </cell>
          <cell r="D253" t="str">
            <v>NA</v>
          </cell>
          <cell r="E253" t="str">
            <v>NA</v>
          </cell>
          <cell r="F253" t="str">
            <v>NA</v>
          </cell>
          <cell r="G253" t="str">
            <v>NA</v>
          </cell>
          <cell r="H253" t="str">
            <v>NA</v>
          </cell>
          <cell r="I253" t="str">
            <v>NA</v>
          </cell>
          <cell r="J253" t="str">
            <v>NA</v>
          </cell>
          <cell r="K253" t="str">
            <v>NA</v>
          </cell>
          <cell r="L253" t="str">
            <v>NA</v>
          </cell>
          <cell r="M253" t="str">
            <v>NA</v>
          </cell>
          <cell r="N253" t="str">
            <v>NA</v>
          </cell>
          <cell r="O253" t="str">
            <v>NA</v>
          </cell>
          <cell r="P253" t="str">
            <v>NA</v>
          </cell>
          <cell r="Q253" t="str">
            <v>NA</v>
          </cell>
          <cell r="R253" t="str">
            <v>NA</v>
          </cell>
          <cell r="S253" t="str">
            <v>NA</v>
          </cell>
          <cell r="T253" t="str">
            <v>NA</v>
          </cell>
          <cell r="U253" t="str">
            <v>NA</v>
          </cell>
          <cell r="V253" t="str">
            <v>NA</v>
          </cell>
          <cell r="W253" t="str">
            <v>NA</v>
          </cell>
          <cell r="X253" t="str">
            <v>NA</v>
          </cell>
          <cell r="Y253" t="str">
            <v>NA</v>
          </cell>
          <cell r="Z253" t="str">
            <v>NA</v>
          </cell>
          <cell r="AA253" t="str">
            <v>NA</v>
          </cell>
          <cell r="AB253" t="str">
            <v>NA</v>
          </cell>
          <cell r="AC253" t="str">
            <v>NA</v>
          </cell>
          <cell r="AD253" t="str">
            <v>NA</v>
          </cell>
          <cell r="AE253" t="str">
            <v>NA</v>
          </cell>
          <cell r="AF253" t="str">
            <v>NA</v>
          </cell>
          <cell r="AG253" t="str">
            <v>NA</v>
          </cell>
          <cell r="AH253" t="str">
            <v>NA</v>
          </cell>
          <cell r="AI253" t="str">
            <v>NA</v>
          </cell>
          <cell r="AJ253" t="str">
            <v>NA</v>
          </cell>
          <cell r="AK253" t="str">
            <v>NA</v>
          </cell>
          <cell r="AL253" t="str">
            <v>NA</v>
          </cell>
          <cell r="AM253" t="str">
            <v>NA</v>
          </cell>
          <cell r="AN253" t="str">
            <v>NA</v>
          </cell>
          <cell r="AO253" t="str">
            <v>NA</v>
          </cell>
          <cell r="AP253" t="str">
            <v>NA</v>
          </cell>
          <cell r="AQ253" t="str">
            <v>NA</v>
          </cell>
          <cell r="AR253" t="str">
            <v>NA</v>
          </cell>
          <cell r="AS253" t="str">
            <v>NA</v>
          </cell>
          <cell r="AT253" t="str">
            <v>NA</v>
          </cell>
          <cell r="AU253" t="str">
            <v>NA</v>
          </cell>
          <cell r="AV253" t="str">
            <v>NA</v>
          </cell>
          <cell r="AW253" t="str">
            <v>NA</v>
          </cell>
          <cell r="AX253" t="str">
            <v>NA</v>
          </cell>
          <cell r="AY253" t="str">
            <v>NA</v>
          </cell>
          <cell r="AZ253" t="str">
            <v>NA</v>
          </cell>
          <cell r="BA253" t="str">
            <v>NA</v>
          </cell>
          <cell r="BB253" t="str">
            <v>NA</v>
          </cell>
          <cell r="BC253" t="str">
            <v>NA</v>
          </cell>
          <cell r="BD253" t="str">
            <v>NA</v>
          </cell>
          <cell r="BE253" t="str">
            <v>NA</v>
          </cell>
          <cell r="BF253" t="str">
            <v>NA</v>
          </cell>
          <cell r="BG253" t="str">
            <v>NA</v>
          </cell>
          <cell r="BH253" t="str">
            <v>NA</v>
          </cell>
          <cell r="BI253" t="str">
            <v>NA</v>
          </cell>
          <cell r="BJ253" t="str">
            <v>NA</v>
          </cell>
          <cell r="BK253">
            <v>15</v>
          </cell>
          <cell r="BL253">
            <v>0.25</v>
          </cell>
          <cell r="BM253">
            <v>0.5129999999999999</v>
          </cell>
          <cell r="BN253">
            <v>0.32722075346992718</v>
          </cell>
          <cell r="BO253">
            <v>9.461750872099528E-2</v>
          </cell>
          <cell r="BP253">
            <v>0.16328477970597133</v>
          </cell>
          <cell r="BQ253">
            <v>0.18293514355643103</v>
          </cell>
          <cell r="BR253">
            <v>0.14523642268996007</v>
          </cell>
          <cell r="BS253">
            <v>0.12703977673108646</v>
          </cell>
          <cell r="BT253">
            <v>4.4052319218073732E-2</v>
          </cell>
          <cell r="BU253">
            <v>5.9112310031509852E-2</v>
          </cell>
          <cell r="BV253">
            <v>4.8148664041158806E-2</v>
          </cell>
          <cell r="BW253">
            <v>-1</v>
          </cell>
          <cell r="BX253" t="str">
            <v>NA</v>
          </cell>
          <cell r="BY253" t="str">
            <v>NA</v>
          </cell>
          <cell r="BZ253" t="str">
            <v>NA</v>
          </cell>
          <cell r="CA253" t="str">
            <v>NA</v>
          </cell>
          <cell r="CB253" t="str">
            <v>NA</v>
          </cell>
          <cell r="CC253" t="str">
            <v>NA</v>
          </cell>
          <cell r="CD253" t="str">
            <v>NA</v>
          </cell>
          <cell r="CE253" t="str">
            <v>NA</v>
          </cell>
          <cell r="CF253" t="str">
            <v>NA</v>
          </cell>
          <cell r="CG253" t="str">
            <v>NA</v>
          </cell>
          <cell r="CH253" t="str">
            <v>NA</v>
          </cell>
          <cell r="CI253" t="str">
            <v>NA</v>
          </cell>
          <cell r="CJ253" t="str">
            <v>NA</v>
          </cell>
          <cell r="CK253" t="str">
            <v>NA</v>
          </cell>
          <cell r="CL253" t="str">
            <v>NA</v>
          </cell>
          <cell r="CM253" t="str">
            <v>NA</v>
          </cell>
          <cell r="CN253" t="str">
            <v>NA</v>
          </cell>
          <cell r="CO253" t="str">
            <v>NA</v>
          </cell>
          <cell r="CP253" t="str">
            <v>NA</v>
          </cell>
          <cell r="CQ253" t="str">
            <v>NA</v>
          </cell>
          <cell r="CR253" t="str">
            <v>NA</v>
          </cell>
          <cell r="CS253" t="str">
            <v>NA</v>
          </cell>
          <cell r="CT253" t="str">
            <v>NA</v>
          </cell>
          <cell r="CU253" t="str">
            <v>NA</v>
          </cell>
          <cell r="CV253" t="str">
            <v>NA</v>
          </cell>
          <cell r="CW253" t="str">
            <v>NA</v>
          </cell>
          <cell r="CX253" t="str">
            <v>NA</v>
          </cell>
          <cell r="CY253" t="str">
            <v>NA</v>
          </cell>
          <cell r="CZ253" t="str">
            <v>NA</v>
          </cell>
          <cell r="DA253" t="str">
            <v>NA</v>
          </cell>
          <cell r="DB253" t="str">
            <v>NA</v>
          </cell>
          <cell r="DC253"/>
          <cell r="DD253"/>
          <cell r="DE253"/>
          <cell r="DF253"/>
          <cell r="DG253"/>
          <cell r="DH253"/>
          <cell r="DI253"/>
          <cell r="DJ253"/>
          <cell r="DK253"/>
          <cell r="DL253"/>
          <cell r="DM253"/>
          <cell r="DN253"/>
          <cell r="DO253"/>
        </row>
        <row r="254">
          <cell r="A254"/>
          <cell r="B254"/>
          <cell r="C254"/>
          <cell r="D254"/>
          <cell r="E254"/>
          <cell r="F254"/>
          <cell r="G254"/>
          <cell r="H254"/>
          <cell r="I254"/>
          <cell r="J254"/>
          <cell r="K254"/>
          <cell r="L254"/>
          <cell r="M254"/>
          <cell r="N254"/>
          <cell r="O254"/>
          <cell r="P254"/>
          <cell r="Q254"/>
          <cell r="R254"/>
          <cell r="S254"/>
          <cell r="T254"/>
          <cell r="U254"/>
          <cell r="V254"/>
          <cell r="W254"/>
          <cell r="X254"/>
          <cell r="Y254"/>
          <cell r="Z254"/>
          <cell r="AA254"/>
          <cell r="AB254"/>
          <cell r="AC254"/>
          <cell r="AD254"/>
          <cell r="AE254"/>
          <cell r="AF254"/>
          <cell r="AG254"/>
          <cell r="AH254"/>
          <cell r="AI254"/>
          <cell r="AJ254"/>
          <cell r="AK254"/>
          <cell r="AL254"/>
          <cell r="AM254"/>
          <cell r="AN254"/>
          <cell r="AO254"/>
          <cell r="AP254"/>
          <cell r="AQ254"/>
          <cell r="AR254"/>
          <cell r="AS254"/>
          <cell r="AT254"/>
          <cell r="AU254"/>
          <cell r="AV254"/>
          <cell r="AW254"/>
          <cell r="AX254"/>
          <cell r="AY254"/>
          <cell r="AZ254"/>
          <cell r="BA254"/>
          <cell r="BB254"/>
          <cell r="BC254"/>
          <cell r="BD254"/>
          <cell r="BE254"/>
          <cell r="BF254"/>
          <cell r="BG254"/>
          <cell r="BH254"/>
          <cell r="BI254"/>
          <cell r="BJ254"/>
          <cell r="BK254"/>
          <cell r="BL254"/>
          <cell r="BM254"/>
          <cell r="BN254"/>
          <cell r="BO254"/>
          <cell r="BP254"/>
          <cell r="BQ254"/>
          <cell r="BR254"/>
          <cell r="BS254"/>
          <cell r="BT254"/>
          <cell r="BU254"/>
          <cell r="BV254"/>
          <cell r="BW254"/>
          <cell r="BX254"/>
          <cell r="BY254"/>
          <cell r="BZ254"/>
          <cell r="CA254"/>
          <cell r="CB254"/>
          <cell r="CC254"/>
          <cell r="CD254"/>
          <cell r="CE254"/>
          <cell r="CF254"/>
          <cell r="CG254"/>
          <cell r="CH254"/>
          <cell r="CI254"/>
          <cell r="CJ254"/>
          <cell r="CK254"/>
          <cell r="CL254"/>
          <cell r="CM254"/>
          <cell r="CN254"/>
          <cell r="CO254"/>
          <cell r="CP254"/>
          <cell r="CQ254"/>
          <cell r="CR254"/>
          <cell r="CS254"/>
          <cell r="CT254"/>
          <cell r="CU254"/>
          <cell r="CV254"/>
          <cell r="CW254"/>
          <cell r="CX254"/>
          <cell r="CY254"/>
          <cell r="CZ254"/>
          <cell r="DA254"/>
          <cell r="DB254"/>
          <cell r="DC254"/>
          <cell r="DD254"/>
          <cell r="DE254"/>
          <cell r="DF254"/>
          <cell r="DG254"/>
          <cell r="DH254"/>
          <cell r="DI254"/>
          <cell r="DJ254"/>
          <cell r="DK254"/>
          <cell r="DL254"/>
          <cell r="DM254"/>
          <cell r="DN254"/>
          <cell r="DO254"/>
        </row>
        <row r="255">
          <cell r="A255" t="str">
            <v>Updates and maintenance -- Other</v>
          </cell>
          <cell r="B255"/>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6.2450045135165055E-17</v>
          </cell>
          <cell r="AG255">
            <v>4.4408920985006262E-16</v>
          </cell>
          <cell r="AH255">
            <v>4.4408920985006262E-16</v>
          </cell>
          <cell r="AI255">
            <v>-8.8817841970012523E-16</v>
          </cell>
          <cell r="AJ255">
            <v>-8.8817841970012523E-16</v>
          </cell>
          <cell r="AK255">
            <v>0.12412300000000087</v>
          </cell>
          <cell r="AL255">
            <v>-7.7576874999980561E-3</v>
          </cell>
          <cell r="AM255">
            <v>-7.2728320312496209E-3</v>
          </cell>
          <cell r="AN255">
            <v>0.3146209179687468</v>
          </cell>
          <cell r="AO255">
            <v>0.46630237116034456</v>
          </cell>
          <cell r="AP255">
            <v>-0.94171724132413992</v>
          </cell>
          <cell r="AQ255">
            <v>-2.1139868128830051</v>
          </cell>
          <cell r="AR255">
            <v>-1.9000637760248678</v>
          </cell>
          <cell r="AS255">
            <v>-1.578100069355584</v>
          </cell>
          <cell r="AT255">
            <v>-1.6078449059801252</v>
          </cell>
          <cell r="AU255">
            <v>-0.36800251618592128</v>
          </cell>
          <cell r="AV255">
            <v>-1.8816567703172855</v>
          </cell>
          <cell r="AW255">
            <v>-0.63502971314921286</v>
          </cell>
          <cell r="AX255">
            <v>-0.53043241595675639</v>
          </cell>
          <cell r="AY255">
            <v>1.1936010030286237</v>
          </cell>
          <cell r="AZ255">
            <v>1.1900691792969491</v>
          </cell>
          <cell r="BA255">
            <v>1.1895708096887692</v>
          </cell>
          <cell r="BB255">
            <v>0.20802369875182336</v>
          </cell>
          <cell r="BC255">
            <v>-1.8652263367980755</v>
          </cell>
          <cell r="BD255">
            <v>-2.7024535486818042</v>
          </cell>
          <cell r="BE255">
            <v>-2.8418395177334768</v>
          </cell>
          <cell r="BF255">
            <v>-2.5917296225155733</v>
          </cell>
          <cell r="BG255">
            <v>-3.2402553253116313</v>
          </cell>
          <cell r="BH255">
            <v>-3.8617220468671878</v>
          </cell>
          <cell r="BI255">
            <v>-2.997994181010224</v>
          </cell>
          <cell r="BJ255">
            <v>0.48986568103880579</v>
          </cell>
          <cell r="BK255">
            <v>1.8564254753532339</v>
          </cell>
          <cell r="BL255">
            <v>2.165091875139904</v>
          </cell>
          <cell r="BM255">
            <v>1.778667334192173</v>
          </cell>
          <cell r="BN255">
            <v>1.1823784635810881</v>
          </cell>
          <cell r="BO255">
            <v>-1.7390002462762171</v>
          </cell>
          <cell r="BP255">
            <v>-2.2034491030349788</v>
          </cell>
          <cell r="BQ255">
            <v>-0.37693785796192447</v>
          </cell>
          <cell r="BR255">
            <v>-1.3927941540203284</v>
          </cell>
          <cell r="BS255">
            <v>-4.3123211782530833</v>
          </cell>
          <cell r="BT255">
            <v>-3.96628989403301</v>
          </cell>
          <cell r="BU255">
            <v>-5.4398263765245574</v>
          </cell>
          <cell r="BV255">
            <v>-5.1971351020017487</v>
          </cell>
          <cell r="BW255">
            <v>-0.55346986880940818</v>
          </cell>
          <cell r="BX255">
            <v>-4.7790596285005211</v>
          </cell>
          <cell r="BY255">
            <v>-4.6806335137825723</v>
          </cell>
          <cell r="BZ255">
            <v>-3.6360088437553557</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cell r="DD255">
            <v>0</v>
          </cell>
          <cell r="DE255">
            <v>0</v>
          </cell>
          <cell r="DF255">
            <v>0</v>
          </cell>
          <cell r="DG255">
            <v>0</v>
          </cell>
          <cell r="DH255">
            <v>0</v>
          </cell>
          <cell r="DI255">
            <v>0</v>
          </cell>
          <cell r="DJ255">
            <v>0</v>
          </cell>
          <cell r="DK255">
            <v>9.5062846483529029E-16</v>
          </cell>
          <cell r="DL255">
            <v>0.11636531250000104</v>
          </cell>
          <cell r="DM255">
            <v>-0.16806678422629817</v>
          </cell>
          <cell r="DN255">
            <v>-7.1999955642435811</v>
          </cell>
          <cell r="DO255">
            <v>-3.415121415609176</v>
          </cell>
        </row>
        <row r="256">
          <cell r="A256" t="str">
            <v>% of revenue</v>
          </cell>
          <cell r="B256"/>
          <cell r="C256" t="e">
            <v>#DIV/0!</v>
          </cell>
          <cell r="D256" t="e">
            <v>#DIV/0!</v>
          </cell>
          <cell r="E256" t="e">
            <v>#DIV/0!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2.9565090558192796E-19</v>
          </cell>
          <cell r="AG256">
            <v>1.9567970048075658E-18</v>
          </cell>
          <cell r="AH256">
            <v>1.653003133561367E-18</v>
          </cell>
          <cell r="AI256">
            <v>-3.4160971226706562E-18</v>
          </cell>
          <cell r="AJ256">
            <v>-3.2242526162753028E-18</v>
          </cell>
          <cell r="AK256">
            <v>4.4672504327859488E-4</v>
          </cell>
          <cell r="AL256">
            <v>-2.4167100204977089E-5</v>
          </cell>
          <cell r="AM256">
            <v>-2.3606346340167809E-5</v>
          </cell>
          <cell r="AN256">
            <v>9.4095332622156345E-4</v>
          </cell>
          <cell r="AO256">
            <v>1.3325551927675587E-3</v>
          </cell>
          <cell r="AP256">
            <v>-2.3568915762731909E-3</v>
          </cell>
          <cell r="AQ256">
            <v>-5.606886415768883E-3</v>
          </cell>
          <cell r="AR256">
            <v>-4.8504423353454363E-3</v>
          </cell>
          <cell r="AS256">
            <v>-3.9561989539941391E-3</v>
          </cell>
          <cell r="AT256">
            <v>-3.867828985968446E-3</v>
          </cell>
          <cell r="AU256">
            <v>-9.9714005978984678E-4</v>
          </cell>
          <cell r="AV256">
            <v>-4.7900271119097563E-3</v>
          </cell>
          <cell r="AW256">
            <v>-1.5834493971933435E-3</v>
          </cell>
          <cell r="AX256">
            <v>-1.175707988200985E-3</v>
          </cell>
          <cell r="AY256">
            <v>2.8812012470758913E-3</v>
          </cell>
          <cell r="AZ256">
            <v>2.5959500718686244E-3</v>
          </cell>
          <cell r="BA256">
            <v>2.5190336331615305E-3</v>
          </cell>
          <cell r="BB256">
            <v>3.9270180680720478E-4</v>
          </cell>
          <cell r="BC256">
            <v>-3.7996983768152316E-3</v>
          </cell>
          <cell r="BD256">
            <v>-5.0913799217803734E-3</v>
          </cell>
          <cell r="BE256">
            <v>-5.0267083596890359E-3</v>
          </cell>
          <cell r="BF256">
            <v>-4.1844880450582905E-3</v>
          </cell>
          <cell r="BG256">
            <v>-5.496662949323796E-3</v>
          </cell>
          <cell r="BH256">
            <v>-6.277079447452396E-3</v>
          </cell>
          <cell r="BI256">
            <v>-4.6739809065018409E-3</v>
          </cell>
          <cell r="BJ256">
            <v>6.6198422834556642E-4</v>
          </cell>
          <cell r="BK256">
            <v>2.7588471306291642E-3</v>
          </cell>
          <cell r="BL256">
            <v>2.964319967496418E-3</v>
          </cell>
          <cell r="BM256">
            <v>2.4955661170794775E-3</v>
          </cell>
          <cell r="BN256">
            <v>1.4735156945004963E-3</v>
          </cell>
          <cell r="BO256">
            <v>-2.3161377725872908E-3</v>
          </cell>
          <cell r="BP256">
            <v>-2.8192961551704015E-3</v>
          </cell>
          <cell r="BQ256">
            <v>-4.9662824470539228E-4</v>
          </cell>
          <cell r="BR256">
            <v>-1.6357274942897608E-3</v>
          </cell>
          <cell r="BS256">
            <v>-5.6681254495296856E-3</v>
          </cell>
          <cell r="BT256">
            <v>-4.9780296099987704E-3</v>
          </cell>
          <cell r="BU256">
            <v>-6.6888319703475568E-3</v>
          </cell>
          <cell r="BV256">
            <v>-5.7441950013448258E-3</v>
          </cell>
          <cell r="BW256">
            <v>-8.4015263043477539E-4</v>
          </cell>
          <cell r="BX256">
            <v>-7.0907296854398104E-3</v>
          </cell>
          <cell r="BY256">
            <v>-6.9992246772755951E-3</v>
          </cell>
          <cell r="BZ256">
            <v>-4.9497523002888103E-3</v>
          </cell>
          <cell r="CA256">
            <v>0</v>
          </cell>
          <cell r="CB256">
            <v>0</v>
          </cell>
          <cell r="CC256">
            <v>0</v>
          </cell>
          <cell r="CD256">
            <v>0</v>
          </cell>
          <cell r="CE256">
            <v>0</v>
          </cell>
          <cell r="CF256">
            <v>0</v>
          </cell>
          <cell r="CG256">
            <v>0</v>
          </cell>
          <cell r="CH256">
            <v>0</v>
          </cell>
          <cell r="CI256">
            <v>0</v>
          </cell>
          <cell r="CJ256">
            <v>0</v>
          </cell>
          <cell r="CK256">
            <v>0</v>
          </cell>
          <cell r="CL256">
            <v>0</v>
          </cell>
          <cell r="CM256">
            <v>0</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cell r="DD256"/>
          <cell r="DE256">
            <v>0</v>
          </cell>
          <cell r="DF256">
            <v>0</v>
          </cell>
          <cell r="DG256">
            <v>0</v>
          </cell>
          <cell r="DH256">
            <v>0</v>
          </cell>
          <cell r="DI256">
            <v>0</v>
          </cell>
          <cell r="DJ256">
            <v>0</v>
          </cell>
          <cell r="DK256">
            <v>1.0461158251206533E-18</v>
          </cell>
          <cell r="DL256">
            <v>1.0258605603891061E-4</v>
          </cell>
          <cell r="DM256">
            <v>-1.2074266329078236E-4</v>
          </cell>
          <cell r="DN256">
            <v>-4.5473062652089061E-3</v>
          </cell>
          <cell r="DO256">
            <v>-2.1158210801450576E-3</v>
          </cell>
        </row>
        <row r="257">
          <cell r="A257" t="str">
            <v>% of delivery networking revenue</v>
          </cell>
          <cell r="B257"/>
          <cell r="C257" t="e">
            <v>#DIV/0!</v>
          </cell>
          <cell r="D257" t="e">
            <v>#DIV/0!</v>
          </cell>
          <cell r="E257" t="e">
            <v>#DIV/0!</v>
          </cell>
          <cell r="F257" t="e">
            <v>#DIV/0!</v>
          </cell>
          <cell r="G257" t="e">
            <v>#DIV/0!</v>
          </cell>
          <cell r="H257" t="e">
            <v>#DIV/0!</v>
          </cell>
          <cell r="I257" t="e">
            <v>#DIV/0!</v>
          </cell>
          <cell r="J257" t="e">
            <v>#DIV/0!</v>
          </cell>
          <cell r="K257" t="e">
            <v>#DIV/0!</v>
          </cell>
          <cell r="L257" t="e">
            <v>#DIV/0!</v>
          </cell>
          <cell r="M257" t="e">
            <v>#DIV/0!</v>
          </cell>
          <cell r="N257" t="e">
            <v>#DIV/0!</v>
          </cell>
          <cell r="O257" t="e">
            <v>#DIV/0!</v>
          </cell>
          <cell r="P257" t="e">
            <v>#DIV/0!</v>
          </cell>
          <cell r="Q257" t="e">
            <v>#DIV/0!</v>
          </cell>
          <cell r="R257" t="e">
            <v>#DIV/0!</v>
          </cell>
          <cell r="S257" t="e">
            <v>#DIV/0!</v>
          </cell>
          <cell r="T257" t="e">
            <v>#DIV/0!</v>
          </cell>
          <cell r="U257" t="e">
            <v>#DIV/0!</v>
          </cell>
          <cell r="V257" t="e">
            <v>#DIV/0!</v>
          </cell>
          <cell r="W257" t="e">
            <v>#DIV/0!</v>
          </cell>
          <cell r="X257" t="e">
            <v>#DIV/0!</v>
          </cell>
          <cell r="Y257" t="e">
            <v>#DIV/0!</v>
          </cell>
          <cell r="Z257" t="e">
            <v>#DIV/0!</v>
          </cell>
          <cell r="AA257" t="e">
            <v>#DIV/0!</v>
          </cell>
          <cell r="AB257" t="e">
            <v>#DIV/0!</v>
          </cell>
          <cell r="AC257" t="e">
            <v>#DIV/0!</v>
          </cell>
          <cell r="AD257" t="e">
            <v>#DIV/0!</v>
          </cell>
          <cell r="AE257">
            <v>0</v>
          </cell>
          <cell r="AF257">
            <v>2.8838826006721385E-17</v>
          </cell>
          <cell r="AG257">
            <v>4.596989782034273E-17</v>
          </cell>
          <cell r="AH257">
            <v>2.3927253877083159E-17</v>
          </cell>
          <cell r="AI257">
            <v>-4.2269704097749293E-17</v>
          </cell>
          <cell r="AJ257">
            <v>-3.3460841489412273E-17</v>
          </cell>
          <cell r="AK257">
            <v>4.1907427945832706E-3</v>
          </cell>
          <cell r="AL257">
            <v>-2.421710859987057E-4</v>
          </cell>
          <cell r="AM257">
            <v>-2.2658915260770853E-4</v>
          </cell>
          <cell r="AN257">
            <v>1.0575493040966279E-2</v>
          </cell>
          <cell r="AO257">
            <v>1.013965319562374E-2</v>
          </cell>
          <cell r="AP257">
            <v>-1.900563079333201E-2</v>
          </cell>
          <cell r="AQ257">
            <v>-5.2460479142437205E-2</v>
          </cell>
          <cell r="AR257">
            <v>-3.3221782284858323E-2</v>
          </cell>
          <cell r="AS257">
            <v>-3.0665797219919712E-2</v>
          </cell>
          <cell r="AT257">
            <v>-2.7295897543167545E-2</v>
          </cell>
          <cell r="AU257">
            <v>-7.4645540808503308E-3</v>
          </cell>
          <cell r="AV257">
            <v>-3.0447520555295881E-2</v>
          </cell>
          <cell r="AW257">
            <v>-1.0601497715345791E-2</v>
          </cell>
          <cell r="AX257">
            <v>-7.5345513630221067E-3</v>
          </cell>
          <cell r="AY257">
            <v>2.0506942726982016E-2</v>
          </cell>
          <cell r="AZ257">
            <v>1.6822333914340227E-2</v>
          </cell>
          <cell r="BA257">
            <v>1.4121248658235011E-2</v>
          </cell>
          <cell r="BB257">
            <v>2.4341256849814501E-3</v>
          </cell>
          <cell r="BC257">
            <v>-2.4014759067826387E-2</v>
          </cell>
          <cell r="BD257">
            <v>-2.874950583704047E-2</v>
          </cell>
          <cell r="BE257">
            <v>-2.5418958119261866E-2</v>
          </cell>
          <cell r="BF257">
            <v>-2.4920477139572818E-2</v>
          </cell>
          <cell r="BG257">
            <v>-3.2305636344084059E-2</v>
          </cell>
          <cell r="BH257">
            <v>-3.4265501746825092E-2</v>
          </cell>
          <cell r="BI257">
            <v>-2.3550622003222499E-2</v>
          </cell>
          <cell r="BJ257">
            <v>3.1341374346692628E-3</v>
          </cell>
          <cell r="BK257">
            <v>1.2509605629064918E-2</v>
          </cell>
          <cell r="BL257">
            <v>1.3058455217972881E-2</v>
          </cell>
          <cell r="BM257">
            <v>1.2050591695068924E-2</v>
          </cell>
          <cell r="BN257">
            <v>6.6763323748226322E-3</v>
          </cell>
          <cell r="BO257">
            <v>-1.0351191942120339E-2</v>
          </cell>
          <cell r="BP257">
            <v>-1.2187218490237713E-2</v>
          </cell>
          <cell r="BQ257">
            <v>-2.4008780761906015E-3</v>
          </cell>
          <cell r="BR257">
            <v>-7.09884889918618E-3</v>
          </cell>
          <cell r="BS257">
            <v>-2.6455958148791921E-2</v>
          </cell>
          <cell r="BT257">
            <v>-2.2625726720097033E-2</v>
          </cell>
          <cell r="BU257">
            <v>-2.8675942944251753E-2</v>
          </cell>
          <cell r="BV257">
            <v>-2.342106850834497E-2</v>
          </cell>
          <cell r="BW257">
            <v>-2.8310479222987631E-3</v>
          </cell>
          <cell r="BX257">
            <v>-2.4520572747565524E-2</v>
          </cell>
          <cell r="BY257">
            <v>-2.448030080430216E-2</v>
          </cell>
          <cell r="BZ257">
            <v>-1.8071614531587257E-2</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cell r="DD257"/>
          <cell r="DE257" t="e">
            <v>#DIV/0!</v>
          </cell>
          <cell r="DF257" t="e">
            <v>#DIV/0!</v>
          </cell>
          <cell r="DG257" t="e">
            <v>#DIV/0!</v>
          </cell>
          <cell r="DH257" t="e">
            <v>#DIV/0!</v>
          </cell>
          <cell r="DI257" t="e">
            <v>#DIV/0!</v>
          </cell>
          <cell r="DJ257" t="e">
            <v>#DIV/0!</v>
          </cell>
          <cell r="DK257">
            <v>3.0986104547731163E-17</v>
          </cell>
          <cell r="DL257">
            <v>1.0655356117179524E-3</v>
          </cell>
          <cell r="DM257">
            <v>-1.0678746083850478E-3</v>
          </cell>
          <cell r="DN257">
            <v>-3.4639415049856674E-2</v>
          </cell>
          <cell r="DO257">
            <v>-1.4147147537734781E-2</v>
          </cell>
        </row>
        <row r="258">
          <cell r="A258" t="str">
            <v>% of delivery networking updates and maintenance revenue</v>
          </cell>
          <cell r="B258"/>
          <cell r="C258" t="e">
            <v>#DIV/0!</v>
          </cell>
          <cell r="D258" t="e">
            <v>#DIV/0!</v>
          </cell>
          <cell r="E258" t="e">
            <v>#DIV/0!</v>
          </cell>
          <cell r="F258" t="e">
            <v>#DIV/0!</v>
          </cell>
          <cell r="G258" t="e">
            <v>#DIV/0!</v>
          </cell>
          <cell r="H258" t="e">
            <v>#DIV/0!</v>
          </cell>
          <cell r="I258" t="e">
            <v>#DIV/0!</v>
          </cell>
          <cell r="J258" t="e">
            <v>#DIV/0!</v>
          </cell>
          <cell r="K258" t="e">
            <v>#DIV/0!</v>
          </cell>
          <cell r="L258" t="e">
            <v>#DIV/0!</v>
          </cell>
          <cell r="M258" t="e">
            <v>#DIV/0!</v>
          </cell>
          <cell r="N258" t="e">
            <v>#DIV/0!</v>
          </cell>
          <cell r="O258" t="e">
            <v>#DIV/0!</v>
          </cell>
          <cell r="P258" t="e">
            <v>#DIV/0!</v>
          </cell>
          <cell r="Q258" t="e">
            <v>#DIV/0!</v>
          </cell>
          <cell r="R258" t="e">
            <v>#DIV/0!</v>
          </cell>
          <cell r="S258" t="e">
            <v>#DIV/0!</v>
          </cell>
          <cell r="T258" t="e">
            <v>#DIV/0!</v>
          </cell>
          <cell r="U258" t="e">
            <v>#DIV/0!</v>
          </cell>
          <cell r="V258" t="e">
            <v>#DIV/0!</v>
          </cell>
          <cell r="W258" t="e">
            <v>#DIV/0!</v>
          </cell>
          <cell r="X258" t="e">
            <v>#DIV/0!</v>
          </cell>
          <cell r="Y258" t="e">
            <v>#DIV/0!</v>
          </cell>
          <cell r="Z258" t="e">
            <v>#DIV/0!</v>
          </cell>
          <cell r="AA258" t="e">
            <v>#DIV/0!</v>
          </cell>
          <cell r="AB258" t="e">
            <v>#DIV/0!</v>
          </cell>
          <cell r="AC258" t="e">
            <v>#DIV/0!</v>
          </cell>
          <cell r="AD258" t="e">
            <v>#DIV/0!</v>
          </cell>
          <cell r="AE258" t="e">
            <v>#DIV/0!</v>
          </cell>
          <cell r="AF258">
            <v>3.4068461538761284E-15</v>
          </cell>
          <cell r="AG258">
            <v>2.6873326155003909E-16</v>
          </cell>
          <cell r="AH258">
            <v>1.27914275183493E-16</v>
          </cell>
          <cell r="AI258">
            <v>-2.0118272557310644E-16</v>
          </cell>
          <cell r="AJ258">
            <v>-1.5584241583966475E-16</v>
          </cell>
          <cell r="AK258">
            <v>2.1614801915542166E-2</v>
          </cell>
          <cell r="AL258">
            <v>-1.2507557558361368E-3</v>
          </cell>
          <cell r="AM258">
            <v>-8.9343538091342942E-4</v>
          </cell>
          <cell r="AN258">
            <v>3.5344278824815084E-2</v>
          </cell>
          <cell r="AO258">
            <v>4.2647006691086946E-2</v>
          </cell>
          <cell r="AP258">
            <v>-9.1136725359192497E-2</v>
          </cell>
          <cell r="AQ258">
            <v>-0.17511827290911816</v>
          </cell>
          <cell r="AR258">
            <v>-0.10994422470280581</v>
          </cell>
          <cell r="AS258">
            <v>-0.12687495887796152</v>
          </cell>
          <cell r="AT258">
            <v>-0.11419904740450242</v>
          </cell>
          <cell r="AU258">
            <v>-1.9687077346978155E-2</v>
          </cell>
          <cell r="AV258">
            <v>-9.2727589136181579E-2</v>
          </cell>
          <cell r="AW258">
            <v>-2.7550096015150235E-2</v>
          </cell>
          <cell r="AX258">
            <v>-2.1768772200687701E-2</v>
          </cell>
          <cell r="AY258">
            <v>5.7392059477402557E-2</v>
          </cell>
          <cell r="AZ258">
            <v>5.0780157638362883E-2</v>
          </cell>
          <cell r="BA258">
            <v>4.2500191933974793E-2</v>
          </cell>
          <cell r="BB258">
            <v>6.9046565956478317E-3</v>
          </cell>
          <cell r="BC258">
            <v>-6.1839058796827114E-2</v>
          </cell>
          <cell r="BD258">
            <v>-7.8577267127853817E-2</v>
          </cell>
          <cell r="BE258">
            <v>-7.5681478501557306E-2</v>
          </cell>
          <cell r="BF258">
            <v>-6.4204697502450267E-2</v>
          </cell>
          <cell r="BG258">
            <v>-7.6615197288216169E-2</v>
          </cell>
          <cell r="BH258">
            <v>-8.7781756617019452E-2</v>
          </cell>
          <cell r="BI258">
            <v>-6.1623724172872034E-2</v>
          </cell>
          <cell r="BJ258">
            <v>8.6446884889201051E-3</v>
          </cell>
          <cell r="BK258">
            <v>3.0238590633770098E-2</v>
          </cell>
          <cell r="BL258">
            <v>3.6089491443542426E-2</v>
          </cell>
          <cell r="BM258">
            <v>3.0430578857008953E-2</v>
          </cell>
          <cell r="BN258">
            <v>1.9050136362745794E-2</v>
          </cell>
          <cell r="BO258">
            <v>-2.841847636451874E-2</v>
          </cell>
          <cell r="BP258">
            <v>-3.6245524913899423E-2</v>
          </cell>
          <cell r="BQ258">
            <v>-5.8758824312069293E-3</v>
          </cell>
          <cell r="BR258">
            <v>-1.9709351236136735E-2</v>
          </cell>
          <cell r="BS258">
            <v>-6.10874458619272E-2</v>
          </cell>
          <cell r="BT258">
            <v>-5.3172907726543379E-2</v>
          </cell>
          <cell r="BU258">
            <v>-7.1155348286782966E-2</v>
          </cell>
          <cell r="BV258">
            <v>-6.200845253740557E-2</v>
          </cell>
          <cell r="BW258">
            <v>-6.9191741904637205E-3</v>
          </cell>
          <cell r="BX258">
            <v>-6.1207942214901216E-2</v>
          </cell>
          <cell r="BY258">
            <v>-5.8351100340118096E-2</v>
          </cell>
          <cell r="BZ258">
            <v>-4.0074750658601561E-2</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cell r="DD258"/>
          <cell r="DE258" t="e">
            <v>#DIV/0!</v>
          </cell>
          <cell r="DF258" t="e">
            <v>#DIV/0!</v>
          </cell>
          <cell r="DG258" t="e">
            <v>#DIV/0!</v>
          </cell>
          <cell r="DH258" t="e">
            <v>#DIV/0!</v>
          </cell>
          <cell r="DI258" t="e">
            <v>#DIV/0!</v>
          </cell>
          <cell r="DJ258" t="e">
            <v>#DIV/0!</v>
          </cell>
          <cell r="DK258">
            <v>1.8485256195932249E-16</v>
          </cell>
          <cell r="DL258">
            <v>5.2752108396779962E-3</v>
          </cell>
          <cell r="DM258">
            <v>-4.3871444647029653E-3</v>
          </cell>
          <cell r="DN258">
            <v>-0.12886731421207631</v>
          </cell>
          <cell r="DO258">
            <v>-3.9526151389401867E-2</v>
          </cell>
        </row>
        <row r="259">
          <cell r="A259" t="str">
            <v>% growth in revenue y-o-y</v>
          </cell>
          <cell r="B259"/>
          <cell r="C259" t="str">
            <v>NA</v>
          </cell>
          <cell r="D259" t="str">
            <v>NA</v>
          </cell>
          <cell r="E259" t="str">
            <v>NA</v>
          </cell>
          <cell r="F259" t="str">
            <v>NA</v>
          </cell>
          <cell r="G259" t="str">
            <v>NA</v>
          </cell>
          <cell r="H259" t="str">
            <v>NA</v>
          </cell>
          <cell r="I259" t="str">
            <v>NA</v>
          </cell>
          <cell r="J259" t="str">
            <v>NA</v>
          </cell>
          <cell r="K259" t="str">
            <v>NA</v>
          </cell>
          <cell r="L259" t="str">
            <v>NA</v>
          </cell>
          <cell r="M259" t="str">
            <v>NA</v>
          </cell>
          <cell r="N259" t="str">
            <v>NA</v>
          </cell>
          <cell r="O259" t="str">
            <v>NA</v>
          </cell>
          <cell r="P259" t="str">
            <v>NA</v>
          </cell>
          <cell r="Q259" t="str">
            <v>NA</v>
          </cell>
          <cell r="R259" t="str">
            <v>NA</v>
          </cell>
          <cell r="S259" t="str">
            <v>NA</v>
          </cell>
          <cell r="T259" t="str">
            <v>NA</v>
          </cell>
          <cell r="U259" t="str">
            <v>NA</v>
          </cell>
          <cell r="V259" t="str">
            <v>NA</v>
          </cell>
          <cell r="W259" t="str">
            <v>NA</v>
          </cell>
          <cell r="X259" t="str">
            <v>NA</v>
          </cell>
          <cell r="Y259" t="str">
            <v>NA</v>
          </cell>
          <cell r="Z259" t="str">
            <v>NA</v>
          </cell>
          <cell r="AA259" t="str">
            <v>NA</v>
          </cell>
          <cell r="AB259" t="str">
            <v>NA</v>
          </cell>
          <cell r="AC259" t="str">
            <v>NA</v>
          </cell>
          <cell r="AD259" t="str">
            <v>NA</v>
          </cell>
          <cell r="AE259" t="str">
            <v>NA</v>
          </cell>
          <cell r="AF259" t="str">
            <v>NA</v>
          </cell>
          <cell r="AG259" t="str">
            <v>NA</v>
          </cell>
          <cell r="AH259" t="str">
            <v>NA</v>
          </cell>
          <cell r="AI259" t="str">
            <v>NA</v>
          </cell>
          <cell r="AJ259">
            <v>-15.222222222222221</v>
          </cell>
          <cell r="AK259">
            <v>279500148274055</v>
          </cell>
          <cell r="AL259">
            <v>-17468759267125</v>
          </cell>
          <cell r="AM259">
            <v>8188480906465</v>
          </cell>
          <cell r="AN259">
            <v>-354231662231753.88</v>
          </cell>
          <cell r="AO259">
            <v>2.7567765133000433</v>
          </cell>
          <cell r="AP259">
            <v>120.39148958041632</v>
          </cell>
          <cell r="AQ259">
            <v>289.66899988886161</v>
          </cell>
          <cell r="AR259">
            <v>-7.0392162997045622</v>
          </cell>
          <cell r="AS259">
            <v>-4.384284891000334</v>
          </cell>
          <cell r="AT259">
            <v>0.70735421995603409</v>
          </cell>
          <cell r="AU259">
            <v>-0.82592014579123685</v>
          </cell>
          <cell r="AV259">
            <v>-9.6875725645860777E-3</v>
          </cell>
          <cell r="AW259">
            <v>-0.59759857725085408</v>
          </cell>
          <cell r="AX259">
            <v>-0.6700972749399543</v>
          </cell>
          <cell r="AY259">
            <v>-4.2434588094653023</v>
          </cell>
          <cell r="AZ259">
            <v>-1.6324581603138384</v>
          </cell>
          <cell r="BA259">
            <v>-2.8732522038842863</v>
          </cell>
          <cell r="BB259">
            <v>-1.3921775753026047</v>
          </cell>
          <cell r="BC259">
            <v>-2.5626883121455837</v>
          </cell>
          <cell r="BD259">
            <v>-3.2708373560924571</v>
          </cell>
          <cell r="BE259">
            <v>-3.3889620479818223</v>
          </cell>
          <cell r="BF259">
            <v>-13.458819057955321</v>
          </cell>
          <cell r="BG259">
            <v>0.73719149327152822</v>
          </cell>
          <cell r="BH259">
            <v>0.42896888967836233</v>
          </cell>
          <cell r="BI259">
            <v>5.4948445294788817E-2</v>
          </cell>
          <cell r="BJ259">
            <v>-1.1890111054730064</v>
          </cell>
          <cell r="BK259">
            <v>-1.5729256768290913</v>
          </cell>
          <cell r="BL259">
            <v>-1.56065450823845</v>
          </cell>
          <cell r="BM259">
            <v>-1.593285786029385</v>
          </cell>
          <cell r="BN259">
            <v>1.413678911071591</v>
          </cell>
          <cell r="BO259">
            <v>-1.9367465968141415</v>
          </cell>
          <cell r="BP259">
            <v>-2.0177162125707007</v>
          </cell>
          <cell r="BQ259">
            <v>-1.2119215047782503</v>
          </cell>
          <cell r="BR259">
            <v>-2.1779596778191905</v>
          </cell>
          <cell r="BS259">
            <v>1.479770309111347</v>
          </cell>
          <cell r="BT259">
            <v>0.80003699135593198</v>
          </cell>
          <cell r="BU259">
            <v>13.431626491266497</v>
          </cell>
          <cell r="BV259">
            <v>2.7314452297204963</v>
          </cell>
          <cell r="BW259">
            <v>-0.87165383886512404</v>
          </cell>
          <cell r="BX259">
            <v>0.20491939726600994</v>
          </cell>
          <cell r="BY259">
            <v>-0.13956196580432489</v>
          </cell>
          <cell r="BZ259">
            <v>-0.30038208120568266</v>
          </cell>
          <cell r="CA259">
            <v>-1</v>
          </cell>
          <cell r="CB259">
            <v>-1</v>
          </cell>
          <cell r="CC259">
            <v>-1</v>
          </cell>
          <cell r="CD259">
            <v>-1</v>
          </cell>
          <cell r="CE259" t="str">
            <v>NA</v>
          </cell>
          <cell r="CF259" t="str">
            <v>NA</v>
          </cell>
          <cell r="CG259" t="str">
            <v>NA</v>
          </cell>
          <cell r="CH259" t="str">
            <v>NA</v>
          </cell>
          <cell r="CI259" t="str">
            <v>NA</v>
          </cell>
          <cell r="CJ259" t="str">
            <v>NA</v>
          </cell>
          <cell r="CK259" t="str">
            <v>NA</v>
          </cell>
          <cell r="CL259" t="str">
            <v>NA</v>
          </cell>
          <cell r="CM259" t="str">
            <v>NA</v>
          </cell>
          <cell r="CN259" t="str">
            <v>NA</v>
          </cell>
          <cell r="CO259" t="str">
            <v>NA</v>
          </cell>
          <cell r="CP259" t="str">
            <v>NA</v>
          </cell>
          <cell r="CQ259" t="str">
            <v>NA</v>
          </cell>
          <cell r="CR259" t="str">
            <v>NA</v>
          </cell>
          <cell r="CS259" t="str">
            <v>NA</v>
          </cell>
          <cell r="CT259" t="str">
            <v>NA</v>
          </cell>
          <cell r="CU259" t="str">
            <v>NA</v>
          </cell>
          <cell r="CV259" t="str">
            <v>NA</v>
          </cell>
          <cell r="CW259" t="str">
            <v>NA</v>
          </cell>
          <cell r="CX259" t="str">
            <v>NA</v>
          </cell>
          <cell r="CY259" t="str">
            <v>NA</v>
          </cell>
          <cell r="CZ259" t="str">
            <v>NA</v>
          </cell>
          <cell r="DA259" t="str">
            <v>NA</v>
          </cell>
          <cell r="DB259" t="str">
            <v>NA</v>
          </cell>
          <cell r="DC259"/>
          <cell r="DD259" t="str">
            <v>NA</v>
          </cell>
          <cell r="DE259" t="str">
            <v>NA</v>
          </cell>
          <cell r="DF259" t="str">
            <v>NA</v>
          </cell>
          <cell r="DG259" t="str">
            <v>NA</v>
          </cell>
          <cell r="DH259" t="str">
            <v>NA</v>
          </cell>
          <cell r="DI259" t="str">
            <v>NA</v>
          </cell>
          <cell r="DJ259" t="str">
            <v>NA</v>
          </cell>
          <cell r="DK259" t="str">
            <v>NA</v>
          </cell>
          <cell r="DL259">
            <v>122408824061629.59</v>
          </cell>
          <cell r="DM259">
            <v>-2.4443031227737793</v>
          </cell>
          <cell r="DN259">
            <v>41.840086441762033</v>
          </cell>
          <cell r="DO259">
            <v>-0.52567728894594634</v>
          </cell>
        </row>
        <row r="260">
          <cell r="A260" t="str">
            <v>% growth in revenue seq</v>
          </cell>
          <cell r="B260"/>
          <cell r="C260" t="str">
            <v>NA</v>
          </cell>
          <cell r="D260" t="str">
            <v>NA</v>
          </cell>
          <cell r="E260" t="str">
            <v>NA</v>
          </cell>
          <cell r="F260" t="str">
            <v>NA</v>
          </cell>
          <cell r="G260" t="str">
            <v>NA</v>
          </cell>
          <cell r="H260" t="str">
            <v>NA</v>
          </cell>
          <cell r="I260" t="str">
            <v>NA</v>
          </cell>
          <cell r="J260" t="str">
            <v>NA</v>
          </cell>
          <cell r="K260" t="str">
            <v>NA</v>
          </cell>
          <cell r="L260" t="str">
            <v>NA</v>
          </cell>
          <cell r="M260" t="str">
            <v>NA</v>
          </cell>
          <cell r="N260" t="str">
            <v>NA</v>
          </cell>
          <cell r="O260" t="str">
            <v>NA</v>
          </cell>
          <cell r="P260" t="str">
            <v>NA</v>
          </cell>
          <cell r="Q260" t="str">
            <v>NA</v>
          </cell>
          <cell r="R260" t="str">
            <v>NA</v>
          </cell>
          <cell r="S260" t="str">
            <v>NA</v>
          </cell>
          <cell r="T260" t="str">
            <v>NA</v>
          </cell>
          <cell r="U260" t="str">
            <v>NA</v>
          </cell>
          <cell r="V260" t="str">
            <v>NA</v>
          </cell>
          <cell r="W260" t="str">
            <v>NA</v>
          </cell>
          <cell r="X260" t="str">
            <v>NA</v>
          </cell>
          <cell r="Y260" t="str">
            <v>NA</v>
          </cell>
          <cell r="Z260" t="str">
            <v>NA</v>
          </cell>
          <cell r="AA260" t="str">
            <v>NA</v>
          </cell>
          <cell r="AB260" t="str">
            <v>NA</v>
          </cell>
          <cell r="AC260" t="str">
            <v>NA</v>
          </cell>
          <cell r="AD260" t="str">
            <v>NA</v>
          </cell>
          <cell r="AE260" t="str">
            <v>NA</v>
          </cell>
          <cell r="AF260" t="str">
            <v>NA</v>
          </cell>
          <cell r="AG260">
            <v>6.1111111111111107</v>
          </cell>
          <cell r="AH260">
            <v>0</v>
          </cell>
          <cell r="AI260">
            <v>-3</v>
          </cell>
          <cell r="AJ260">
            <v>0</v>
          </cell>
          <cell r="AK260">
            <v>-139750074137029</v>
          </cell>
          <cell r="AL260">
            <v>-1.062499999999984</v>
          </cell>
          <cell r="AM260">
            <v>-6.2499999999813927E-2</v>
          </cell>
          <cell r="AN260">
            <v>-44.259753094378631</v>
          </cell>
          <cell r="AO260">
            <v>0.48210860921416931</v>
          </cell>
          <cell r="AP260">
            <v>-3.019542038743606</v>
          </cell>
          <cell r="AQ260">
            <v>1.2448211842341843</v>
          </cell>
          <cell r="AR260">
            <v>-0.10119412077428913</v>
          </cell>
          <cell r="AS260">
            <v>-0.16944889468019098</v>
          </cell>
          <cell r="AT260">
            <v>1.8848511068558116E-2</v>
          </cell>
          <cell r="AU260">
            <v>-0.77112063805582609</v>
          </cell>
          <cell r="AV260">
            <v>4.1131627843724843</v>
          </cell>
          <cell r="AW260">
            <v>-0.66251564941775543</v>
          </cell>
          <cell r="AX260">
            <v>-0.1647124457747684</v>
          </cell>
          <cell r="AY260">
            <v>-3.2502414391015129</v>
          </cell>
          <cell r="AZ260">
            <v>-2.9589651170810471E-3</v>
          </cell>
          <cell r="BA260">
            <v>-4.1877364513742688E-4</v>
          </cell>
          <cell r="BB260">
            <v>-0.82512709873382883</v>
          </cell>
          <cell r="BC260">
            <v>-9.9664127115792205</v>
          </cell>
          <cell r="BD260">
            <v>0.44886092125470811</v>
          </cell>
          <cell r="BE260">
            <v>5.1577563329316733E-2</v>
          </cell>
          <cell r="BF260">
            <v>-8.8009858986470846E-2</v>
          </cell>
          <cell r="BG260">
            <v>0.25022891939113179</v>
          </cell>
          <cell r="BH260">
            <v>0.19179560224803804</v>
          </cell>
          <cell r="BI260">
            <v>-0.22366391350140302</v>
          </cell>
          <cell r="BJ260">
            <v>-1.1633978091557662</v>
          </cell>
          <cell r="BK260">
            <v>2.7896622425488364</v>
          </cell>
          <cell r="BL260">
            <v>0.16626921138751238</v>
          </cell>
          <cell r="BM260">
            <v>-0.1784795118326149</v>
          </cell>
          <cell r="BN260">
            <v>-0.33524474146926675</v>
          </cell>
          <cell r="BO260">
            <v>-2.470764480105025</v>
          </cell>
          <cell r="BP260">
            <v>0.26707808567209956</v>
          </cell>
          <cell r="BQ260">
            <v>-0.82893280473656539</v>
          </cell>
          <cell r="BR260">
            <v>2.6950232633863438</v>
          </cell>
          <cell r="BS260">
            <v>2.0961654784416499</v>
          </cell>
          <cell r="BT260">
            <v>-8.0242465696919618E-2</v>
          </cell>
          <cell r="BU260">
            <v>0.37151507374899007</v>
          </cell>
          <cell r="BV260">
            <v>-4.4613790537532116E-2</v>
          </cell>
          <cell r="BW260">
            <v>-0.89350481410494187</v>
          </cell>
          <cell r="BX260">
            <v>7.634724124695266</v>
          </cell>
          <cell r="BY260">
            <v>-2.0595289108964576E-2</v>
          </cell>
          <cell r="BZ260">
            <v>-0.22318018852602317</v>
          </cell>
          <cell r="CA260">
            <v>-1</v>
          </cell>
          <cell r="CB260" t="str">
            <v>NA</v>
          </cell>
          <cell r="CC260" t="str">
            <v>NA</v>
          </cell>
          <cell r="CD260" t="str">
            <v>NA</v>
          </cell>
          <cell r="CE260" t="str">
            <v>NA</v>
          </cell>
          <cell r="CF260" t="str">
            <v>NA</v>
          </cell>
          <cell r="CG260" t="str">
            <v>NA</v>
          </cell>
          <cell r="CH260" t="str">
            <v>NA</v>
          </cell>
          <cell r="CI260" t="str">
            <v>NA</v>
          </cell>
          <cell r="CJ260" t="str">
            <v>NA</v>
          </cell>
          <cell r="CK260" t="str">
            <v>NA</v>
          </cell>
          <cell r="CL260" t="str">
            <v>NA</v>
          </cell>
          <cell r="CM260" t="str">
            <v>NA</v>
          </cell>
          <cell r="CN260" t="str">
            <v>NA</v>
          </cell>
          <cell r="CO260" t="str">
            <v>NA</v>
          </cell>
          <cell r="CP260" t="str">
            <v>NA</v>
          </cell>
          <cell r="CQ260" t="str">
            <v>NA</v>
          </cell>
          <cell r="CR260" t="str">
            <v>NA</v>
          </cell>
          <cell r="CS260" t="str">
            <v>NA</v>
          </cell>
          <cell r="CT260" t="str">
            <v>NA</v>
          </cell>
          <cell r="CU260" t="str">
            <v>NA</v>
          </cell>
          <cell r="CV260" t="str">
            <v>NA</v>
          </cell>
          <cell r="CW260" t="str">
            <v>NA</v>
          </cell>
          <cell r="CX260" t="str">
            <v>NA</v>
          </cell>
          <cell r="CY260" t="str">
            <v>NA</v>
          </cell>
          <cell r="CZ260" t="str">
            <v>NA</v>
          </cell>
          <cell r="DA260" t="str">
            <v>NA</v>
          </cell>
          <cell r="DB260" t="str">
            <v>NA</v>
          </cell>
          <cell r="DC260"/>
          <cell r="DD260"/>
          <cell r="DE260"/>
          <cell r="DF260"/>
          <cell r="DG260"/>
          <cell r="DH260"/>
          <cell r="DI260"/>
          <cell r="DJ260"/>
          <cell r="DK260"/>
          <cell r="DL260"/>
          <cell r="DM260"/>
          <cell r="DN260"/>
          <cell r="DO260"/>
        </row>
        <row r="261">
          <cell r="A261"/>
          <cell r="B261"/>
          <cell r="C261"/>
          <cell r="D261"/>
          <cell r="E261"/>
          <cell r="F261"/>
          <cell r="G261"/>
          <cell r="H261"/>
          <cell r="I261"/>
          <cell r="J261"/>
          <cell r="K261"/>
          <cell r="L261"/>
          <cell r="M261"/>
          <cell r="N261"/>
          <cell r="O261"/>
          <cell r="P261"/>
          <cell r="Q261"/>
          <cell r="R261"/>
          <cell r="S261"/>
          <cell r="T261"/>
          <cell r="U261"/>
          <cell r="V261"/>
          <cell r="W261"/>
          <cell r="X261"/>
          <cell r="Y261"/>
          <cell r="Z261"/>
          <cell r="AA261"/>
          <cell r="AB261"/>
          <cell r="AC261"/>
          <cell r="AD261"/>
          <cell r="AE261"/>
          <cell r="AF261"/>
          <cell r="AG261"/>
          <cell r="AH261"/>
          <cell r="AI261"/>
          <cell r="AJ261"/>
          <cell r="AK261"/>
          <cell r="AL261"/>
          <cell r="AM261"/>
          <cell r="AN261"/>
          <cell r="AO261"/>
          <cell r="AP261"/>
          <cell r="AQ261"/>
          <cell r="AR261"/>
          <cell r="AS261"/>
          <cell r="AT261"/>
          <cell r="AU261"/>
          <cell r="AV261"/>
          <cell r="AW261"/>
          <cell r="AX261"/>
          <cell r="AY261"/>
          <cell r="AZ261"/>
          <cell r="BA261"/>
          <cell r="BB261"/>
          <cell r="BC261"/>
          <cell r="BD261"/>
          <cell r="BE261"/>
          <cell r="BF261"/>
          <cell r="BG261"/>
          <cell r="BH261"/>
          <cell r="BI261"/>
          <cell r="BJ261"/>
          <cell r="BK261"/>
          <cell r="BL261"/>
          <cell r="BM261"/>
          <cell r="BN261"/>
          <cell r="BO261"/>
          <cell r="BP261"/>
          <cell r="BQ261"/>
          <cell r="BR261"/>
          <cell r="BS261"/>
          <cell r="BT261"/>
          <cell r="BU261"/>
          <cell r="BV261"/>
          <cell r="BW261"/>
          <cell r="BX261"/>
          <cell r="BY261"/>
          <cell r="BZ261"/>
          <cell r="CA261"/>
          <cell r="CB261"/>
          <cell r="CC261"/>
          <cell r="CD261"/>
          <cell r="CE261"/>
          <cell r="CF261"/>
          <cell r="CG261"/>
          <cell r="CH261"/>
          <cell r="CI261"/>
          <cell r="CJ261"/>
          <cell r="CK261"/>
          <cell r="CL261"/>
          <cell r="CM261"/>
          <cell r="CN261"/>
          <cell r="CO261"/>
          <cell r="CP261"/>
          <cell r="CQ261"/>
          <cell r="CR261"/>
          <cell r="CS261"/>
          <cell r="CT261"/>
          <cell r="CU261"/>
          <cell r="CV261"/>
          <cell r="CW261"/>
          <cell r="CX261"/>
          <cell r="CY261"/>
          <cell r="CZ261"/>
          <cell r="DA261"/>
          <cell r="DB261"/>
          <cell r="DC261"/>
          <cell r="DD261"/>
          <cell r="DE261"/>
          <cell r="DF261"/>
          <cell r="DG261"/>
          <cell r="DH261"/>
          <cell r="DI261"/>
          <cell r="DJ261"/>
          <cell r="DK261"/>
          <cell r="DL261"/>
          <cell r="DM261"/>
          <cell r="DN261"/>
          <cell r="DO261"/>
        </row>
        <row r="262">
          <cell r="A262" t="str">
            <v>Updates and maintenance -- XenServer</v>
          </cell>
          <cell r="B262">
            <v>0</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2</v>
          </cell>
          <cell r="AQ262">
            <v>3.9</v>
          </cell>
          <cell r="AR262">
            <v>4</v>
          </cell>
          <cell r="AS262">
            <v>4</v>
          </cell>
          <cell r="AT262">
            <v>4.3340000000000014</v>
          </cell>
          <cell r="AU262">
            <v>3.9</v>
          </cell>
          <cell r="AV262">
            <v>5.2</v>
          </cell>
          <cell r="AW262">
            <v>5.5</v>
          </cell>
          <cell r="AX262">
            <v>5.5</v>
          </cell>
          <cell r="AY262">
            <v>3</v>
          </cell>
          <cell r="AZ262">
            <v>3.1004758499999996</v>
          </cell>
          <cell r="BA262">
            <v>4.4000000000000004</v>
          </cell>
          <cell r="BB262">
            <v>5.4700532209999988</v>
          </cell>
          <cell r="BC262">
            <v>7</v>
          </cell>
          <cell r="BD262">
            <v>8.0500000010000008</v>
          </cell>
          <cell r="BE262">
            <v>9</v>
          </cell>
          <cell r="BF262">
            <v>9.1700000000000017</v>
          </cell>
          <cell r="BG262">
            <v>9.5</v>
          </cell>
          <cell r="BH262">
            <v>9.66</v>
          </cell>
          <cell r="BI262">
            <v>9.6</v>
          </cell>
          <cell r="BJ262">
            <v>9.44</v>
          </cell>
          <cell r="BK262">
            <v>9.3000000000000007</v>
          </cell>
          <cell r="BL262">
            <v>8.8000000000000007</v>
          </cell>
          <cell r="BM262">
            <v>8.3000000000000007</v>
          </cell>
          <cell r="BN262">
            <v>8.1999999999999993</v>
          </cell>
          <cell r="BO262">
            <v>9</v>
          </cell>
          <cell r="BP262">
            <v>9.6700000000000017</v>
          </cell>
          <cell r="BQ262">
            <v>7.8</v>
          </cell>
          <cell r="BR262">
            <v>8.9699999999999989</v>
          </cell>
          <cell r="BS262">
            <v>9.8000000000000007</v>
          </cell>
          <cell r="BT262">
            <v>10.16</v>
          </cell>
          <cell r="BU262">
            <v>11.5</v>
          </cell>
          <cell r="BV262">
            <v>11.66</v>
          </cell>
          <cell r="BW262">
            <v>10.5</v>
          </cell>
          <cell r="BX262">
            <v>10.68</v>
          </cell>
          <cell r="BY262">
            <v>10.68</v>
          </cell>
          <cell r="BZ262">
            <v>10.68</v>
          </cell>
          <cell r="CA262">
            <v>10.68</v>
          </cell>
          <cell r="CB262">
            <v>10.68</v>
          </cell>
          <cell r="CC262">
            <v>10.68</v>
          </cell>
          <cell r="CD262">
            <v>10.68</v>
          </cell>
          <cell r="CE262">
            <v>10.68</v>
          </cell>
          <cell r="CF262">
            <v>10.68</v>
          </cell>
          <cell r="CG262">
            <v>10.68</v>
          </cell>
          <cell r="CH262">
            <v>10.68</v>
          </cell>
          <cell r="CI262">
            <v>10.68</v>
          </cell>
          <cell r="CJ262">
            <v>10.68</v>
          </cell>
          <cell r="CK262">
            <v>10.68</v>
          </cell>
          <cell r="CL262">
            <v>10.68</v>
          </cell>
          <cell r="CM262">
            <v>10.68</v>
          </cell>
          <cell r="CN262">
            <v>10.68</v>
          </cell>
          <cell r="CO262">
            <v>10.68</v>
          </cell>
          <cell r="CP262">
            <v>10.68</v>
          </cell>
          <cell r="CQ262">
            <v>10.68</v>
          </cell>
          <cell r="CR262">
            <v>10.68</v>
          </cell>
          <cell r="CS262">
            <v>10.68</v>
          </cell>
          <cell r="CT262">
            <v>10.68</v>
          </cell>
          <cell r="CU262">
            <v>10.68</v>
          </cell>
          <cell r="CV262">
            <v>10.68</v>
          </cell>
          <cell r="CW262">
            <v>10.68</v>
          </cell>
          <cell r="CX262">
            <v>10.68</v>
          </cell>
          <cell r="CY262">
            <v>10.68</v>
          </cell>
          <cell r="CZ262">
            <v>10.68</v>
          </cell>
          <cell r="DA262">
            <v>10.68</v>
          </cell>
          <cell r="DB262">
            <v>10.68</v>
          </cell>
          <cell r="DC262"/>
          <cell r="DD262">
            <v>0</v>
          </cell>
          <cell r="DE262">
            <v>0</v>
          </cell>
          <cell r="DF262">
            <v>0</v>
          </cell>
          <cell r="DG262">
            <v>0</v>
          </cell>
          <cell r="DH262">
            <v>0</v>
          </cell>
          <cell r="DI262">
            <v>0</v>
          </cell>
          <cell r="DJ262">
            <v>0</v>
          </cell>
          <cell r="DK262">
            <v>0</v>
          </cell>
          <cell r="DL262">
            <v>0</v>
          </cell>
          <cell r="DM262">
            <v>2</v>
          </cell>
          <cell r="DN262">
            <v>16.234000000000002</v>
          </cell>
          <cell r="DO262">
            <v>20.100000000000001</v>
          </cell>
        </row>
        <row r="263">
          <cell r="A263" t="str">
            <v>% of revenue</v>
          </cell>
          <cell r="B263"/>
          <cell r="C263" t="e">
            <v>#DIV/0!</v>
          </cell>
          <cell r="D263" t="e">
            <v>#DIV/0!</v>
          </cell>
          <cell r="E263" t="e">
            <v>#DIV/0!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5.0055185842391237E-3</v>
          </cell>
          <cell r="AQ263">
            <v>1.0343894715065485E-2</v>
          </cell>
          <cell r="AR263">
            <v>1.0211114798458121E-2</v>
          </cell>
          <cell r="AS263">
            <v>1.0027751803115121E-2</v>
          </cell>
          <cell r="AT263">
            <v>1.0425863068533093E-2</v>
          </cell>
          <cell r="AU263">
            <v>1.0567444683491484E-2</v>
          </cell>
          <cell r="AV263">
            <v>1.3237345606728646E-2</v>
          </cell>
          <cell r="AW263">
            <v>1.3714274315408363E-2</v>
          </cell>
          <cell r="AX263">
            <v>1.2190797056476637E-2</v>
          </cell>
          <cell r="AY263">
            <v>7.2416190329059171E-3</v>
          </cell>
          <cell r="AZ263">
            <v>6.7632038923899447E-3</v>
          </cell>
          <cell r="BA263">
            <v>9.3174344020854113E-3</v>
          </cell>
          <cell r="BB263">
            <v>1.0326226271848949E-2</v>
          </cell>
          <cell r="BC263">
            <v>1.4259871905607796E-2</v>
          </cell>
          <cell r="BD263">
            <v>1.5166073213511938E-2</v>
          </cell>
          <cell r="BE263">
            <v>1.5919398317496482E-2</v>
          </cell>
          <cell r="BF263">
            <v>1.4805462359897058E-2</v>
          </cell>
          <cell r="BG263">
            <v>1.6115488680989661E-2</v>
          </cell>
          <cell r="BH263">
            <v>1.5701955429853223E-2</v>
          </cell>
          <cell r="BI263">
            <v>1.4966745761760587E-2</v>
          </cell>
          <cell r="BJ263">
            <v>1.275682571257142E-2</v>
          </cell>
          <cell r="BK263">
            <v>1.3820796285921068E-2</v>
          </cell>
          <cell r="BL263">
            <v>1.204845670222787E-2</v>
          </cell>
          <cell r="BM263">
            <v>1.1645347262852325E-2</v>
          </cell>
          <cell r="BN263">
            <v>1.0219087261035367E-2</v>
          </cell>
          <cell r="BO263">
            <v>1.1986910293958998E-2</v>
          </cell>
          <cell r="BP263">
            <v>1.2372690516403094E-2</v>
          </cell>
          <cell r="BQ263">
            <v>1.0276761081115266E-2</v>
          </cell>
          <cell r="BR263">
            <v>1.0534561465114394E-2</v>
          </cell>
          <cell r="BS263">
            <v>1.2881143845573489E-2</v>
          </cell>
          <cell r="BT263">
            <v>1.2751660163236311E-2</v>
          </cell>
          <cell r="BU263">
            <v>1.4140445362548723E-2</v>
          </cell>
          <cell r="BV263">
            <v>1.2887352820572901E-2</v>
          </cell>
          <cell r="BW263">
            <v>1.5938722443087378E-2</v>
          </cell>
          <cell r="BX263">
            <v>1.5846002964448869E-2</v>
          </cell>
          <cell r="BY263">
            <v>1.5970427792133219E-2</v>
          </cell>
          <cell r="BZ263">
            <v>1.4538841031114207E-2</v>
          </cell>
          <cell r="CA263">
            <v>1.6116448888372468E-2</v>
          </cell>
          <cell r="CB263">
            <v>1.5406208933004626E-2</v>
          </cell>
          <cell r="CC263">
            <v>1.5457538806672215E-2</v>
          </cell>
          <cell r="CD263">
            <v>1.3730030069794317E-2</v>
          </cell>
          <cell r="CE263">
            <v>1.5318592295952907E-2</v>
          </cell>
          <cell r="CF263">
            <v>1.4386454102766158E-2</v>
          </cell>
          <cell r="CG263">
            <v>1.4580682507003642E-2</v>
          </cell>
          <cell r="CH263">
            <v>1.3318867148041452E-2</v>
          </cell>
          <cell r="CI263">
            <v>1.5037528612941225E-2</v>
          </cell>
          <cell r="CJ263">
            <v>1.383443289014219E-2</v>
          </cell>
          <cell r="CK263">
            <v>1.4000475119078516E-2</v>
          </cell>
          <cell r="CL263">
            <v>1.24777729911109E-2</v>
          </cell>
          <cell r="CM263">
            <v>1.3962570202047036E-2</v>
          </cell>
          <cell r="CN263">
            <v>1.2913955298179973E-2</v>
          </cell>
          <cell r="CO263">
            <v>1.3040426889967699E-2</v>
          </cell>
          <cell r="CP263">
            <v>1.1873079500965672E-2</v>
          </cell>
          <cell r="CQ263">
            <v>1.2967285593007411E-2</v>
          </cell>
          <cell r="CR263">
            <v>1.2077157593608695E-2</v>
          </cell>
          <cell r="CS263">
            <v>1.2181639914111524E-2</v>
          </cell>
          <cell r="CT263">
            <v>1.1321178082974014E-2</v>
          </cell>
          <cell r="CU263">
            <v>1.1949504241168005E-2</v>
          </cell>
          <cell r="CV263">
            <v>1.1178317499254457E-2</v>
          </cell>
          <cell r="CW263">
            <v>1.1272406199367325E-2</v>
          </cell>
          <cell r="CX263">
            <v>1.0559215114902704E-2</v>
          </cell>
          <cell r="CY263">
            <v>1.0997149485302671E-2</v>
          </cell>
          <cell r="CZ263">
            <v>1.0340253224359964E-2</v>
          </cell>
          <cell r="DA263">
            <v>1.0440268210902159E-2</v>
          </cell>
          <cell r="DB263">
            <v>9.8153480990504551E-3</v>
          </cell>
          <cell r="DC263"/>
          <cell r="DD263"/>
          <cell r="DE263">
            <v>0</v>
          </cell>
          <cell r="DF263">
            <v>0</v>
          </cell>
          <cell r="DG263">
            <v>0</v>
          </cell>
          <cell r="DH263">
            <v>0</v>
          </cell>
          <cell r="DI263">
            <v>0</v>
          </cell>
          <cell r="DJ263">
            <v>0</v>
          </cell>
          <cell r="DK263">
            <v>0</v>
          </cell>
          <cell r="DL263">
            <v>0</v>
          </cell>
          <cell r="DM263">
            <v>1.4368414775903018E-3</v>
          </cell>
          <cell r="DN263">
            <v>1.0252918804007192E-2</v>
          </cell>
          <cell r="DO263">
            <v>1.2452852632570221E-2</v>
          </cell>
        </row>
        <row r="264">
          <cell r="A264" t="str">
            <v>% of delivery networking revenue</v>
          </cell>
          <cell r="B264"/>
          <cell r="C264" t="e">
            <v>#DIV/0!</v>
          </cell>
          <cell r="D264" t="e">
            <v>#DIV/0!</v>
          </cell>
          <cell r="E264" t="e">
            <v>#DIV/0!</v>
          </cell>
          <cell r="F264" t="e">
            <v>#DIV/0!</v>
          </cell>
          <cell r="G264" t="e">
            <v>#DIV/0!</v>
          </cell>
          <cell r="H264" t="e">
            <v>#DIV/0!</v>
          </cell>
          <cell r="I264" t="e">
            <v>#DIV/0!</v>
          </cell>
          <cell r="J264" t="e">
            <v>#DIV/0!</v>
          </cell>
          <cell r="K264" t="e">
            <v>#DIV/0!</v>
          </cell>
          <cell r="L264" t="e">
            <v>#DIV/0!</v>
          </cell>
          <cell r="M264" t="e">
            <v>#DIV/0!</v>
          </cell>
          <cell r="N264" t="e">
            <v>#DIV/0!</v>
          </cell>
          <cell r="O264" t="e">
            <v>#DIV/0!</v>
          </cell>
          <cell r="P264" t="e">
            <v>#DIV/0!</v>
          </cell>
          <cell r="Q264" t="e">
            <v>#DIV/0!</v>
          </cell>
          <cell r="R264" t="e">
            <v>#DIV/0!</v>
          </cell>
          <cell r="S264" t="e">
            <v>#DIV/0!</v>
          </cell>
          <cell r="T264" t="e">
            <v>#DIV/0!</v>
          </cell>
          <cell r="U264" t="e">
            <v>#DIV/0!</v>
          </cell>
          <cell r="V264" t="e">
            <v>#DIV/0!</v>
          </cell>
          <cell r="W264" t="e">
            <v>#DIV/0!</v>
          </cell>
          <cell r="X264" t="e">
            <v>#DIV/0!</v>
          </cell>
          <cell r="Y264" t="e">
            <v>#DIV/0!</v>
          </cell>
          <cell r="Z264" t="e">
            <v>#DIV/0!</v>
          </cell>
          <cell r="AA264" t="e">
            <v>#DIV/0!</v>
          </cell>
          <cell r="AB264" t="e">
            <v>#DIV/0!</v>
          </cell>
          <cell r="AC264" t="e">
            <v>#DIV/0!</v>
          </cell>
          <cell r="AD264" t="e">
            <v>#DIV/0!</v>
          </cell>
          <cell r="AE264">
            <v>0</v>
          </cell>
          <cell r="AF264">
            <v>0</v>
          </cell>
          <cell r="AG264">
            <v>0</v>
          </cell>
          <cell r="AH264">
            <v>0</v>
          </cell>
          <cell r="AI264">
            <v>0</v>
          </cell>
          <cell r="AJ264">
            <v>0</v>
          </cell>
          <cell r="AK264">
            <v>0</v>
          </cell>
          <cell r="AL264">
            <v>0</v>
          </cell>
          <cell r="AM264">
            <v>0</v>
          </cell>
          <cell r="AN264">
            <v>0</v>
          </cell>
          <cell r="AO264">
            <v>0</v>
          </cell>
          <cell r="AP264">
            <v>4.0363773666516646E-2</v>
          </cell>
          <cell r="AQ264">
            <v>9.6781998548270076E-2</v>
          </cell>
          <cell r="AR264">
            <v>6.9938246713721938E-2</v>
          </cell>
          <cell r="AS264">
            <v>7.7728397116013231E-2</v>
          </cell>
          <cell r="AT264">
            <v>7.3577009518821401E-2</v>
          </cell>
          <cell r="AU264">
            <v>7.9107505070993914E-2</v>
          </cell>
          <cell r="AV264">
            <v>8.4142394822006472E-2</v>
          </cell>
          <cell r="AW264">
            <v>9.1819699499165283E-2</v>
          </cell>
          <cell r="AX264">
            <v>7.8125E-2</v>
          </cell>
          <cell r="AY264">
            <v>5.1542205498189178E-2</v>
          </cell>
          <cell r="AZ264">
            <v>4.3827065644083389E-2</v>
          </cell>
          <cell r="BA264">
            <v>5.2231858406554393E-2</v>
          </cell>
          <cell r="BB264">
            <v>6.4006154699404905E-2</v>
          </cell>
          <cell r="BC264">
            <v>9.0124887343890819E-2</v>
          </cell>
          <cell r="BD264">
            <v>8.5638297882978734E-2</v>
          </cell>
          <cell r="BE264">
            <v>8.0500894454382826E-2</v>
          </cell>
          <cell r="BF264">
            <v>8.8173076923076937E-2</v>
          </cell>
          <cell r="BG264">
            <v>9.4715852442671986E-2</v>
          </cell>
          <cell r="BH264">
            <v>8.5714285714285715E-2</v>
          </cell>
          <cell r="BI264">
            <v>7.5412411626080131E-2</v>
          </cell>
          <cell r="BJ264">
            <v>6.0396673064619315E-2</v>
          </cell>
          <cell r="BK264">
            <v>6.2668463611859834E-2</v>
          </cell>
          <cell r="BL264">
            <v>5.3075995174909532E-2</v>
          </cell>
          <cell r="BM264">
            <v>5.6233062330623314E-2</v>
          </cell>
          <cell r="BN264">
            <v>4.6301524562394128E-2</v>
          </cell>
          <cell r="BO264">
            <v>5.3571428571428568E-2</v>
          </cell>
          <cell r="BP264">
            <v>5.3484513274336287E-2</v>
          </cell>
          <cell r="BQ264">
            <v>4.9681528662420378E-2</v>
          </cell>
          <cell r="BR264">
            <v>4.5718654434250765E-2</v>
          </cell>
          <cell r="BS264">
            <v>6.0122699386503074E-2</v>
          </cell>
          <cell r="BT264">
            <v>5.7957786651454644E-2</v>
          </cell>
          <cell r="BU264">
            <v>6.062203479177649E-2</v>
          </cell>
          <cell r="BV264">
            <v>5.2546191978368635E-2</v>
          </cell>
          <cell r="BW264">
            <v>5.3708439897698211E-2</v>
          </cell>
          <cell r="BX264">
            <v>5.4797331965110309E-2</v>
          </cell>
          <cell r="BY264">
            <v>5.5857740585774057E-2</v>
          </cell>
          <cell r="BZ264">
            <v>5.3081510934393637E-2</v>
          </cell>
          <cell r="CA264">
            <v>5.5216627029262749E-2</v>
          </cell>
          <cell r="CB264">
            <v>5.4249547920433995E-2</v>
          </cell>
          <cell r="CC264">
            <v>5.7562022000765344E-2</v>
          </cell>
          <cell r="CD264">
            <v>4.9767008387698042E-2</v>
          </cell>
          <cell r="CE264">
            <v>5.1198465963566635E-2</v>
          </cell>
          <cell r="CF264">
            <v>5.1494696239151393E-2</v>
          </cell>
          <cell r="CG264">
            <v>5.4657113613101327E-2</v>
          </cell>
          <cell r="CH264">
            <v>5.1893386343255438E-2</v>
          </cell>
          <cell r="CI264">
            <v>6.1705664546489916E-2</v>
          </cell>
          <cell r="CJ264">
            <v>5.0907911782784976E-2</v>
          </cell>
          <cell r="CK264">
            <v>5.4267280255147404E-2</v>
          </cell>
          <cell r="CL264">
            <v>5.1728020045097259E-2</v>
          </cell>
          <cell r="CM264">
            <v>5.9481180956032387E-2</v>
          </cell>
          <cell r="CN264">
            <v>4.905426020240447E-2</v>
          </cell>
          <cell r="CO264">
            <v>5.253273274694472E-2</v>
          </cell>
          <cell r="CP264">
            <v>5.0147585072787854E-2</v>
          </cell>
          <cell r="CQ264">
            <v>5.7357135623750166E-2</v>
          </cell>
          <cell r="CR264">
            <v>4.7304732289616382E-2</v>
          </cell>
          <cell r="CS264">
            <v>5.0840456174919502E-2</v>
          </cell>
          <cell r="CT264">
            <v>4.8592220630673776E-2</v>
          </cell>
          <cell r="CU264">
            <v>5.5367263012677997E-2</v>
          </cell>
          <cell r="CV264">
            <v>4.56795980411814E-2</v>
          </cell>
          <cell r="CW264">
            <v>4.922973109089443E-2</v>
          </cell>
          <cell r="CX264">
            <v>4.7102589548905095E-2</v>
          </cell>
          <cell r="CY264">
            <v>5.3527481217838742E-2</v>
          </cell>
          <cell r="CZ264">
            <v>4.4186579271659809E-2</v>
          </cell>
          <cell r="DA264">
            <v>4.7722486769621673E-2</v>
          </cell>
          <cell r="DB264">
            <v>4.5702247878710758E-2</v>
          </cell>
          <cell r="DC264"/>
          <cell r="DD264"/>
          <cell r="DE264" t="e">
            <v>#DIV/0!</v>
          </cell>
          <cell r="DF264" t="e">
            <v>#DIV/0!</v>
          </cell>
          <cell r="DG264" t="e">
            <v>#DIV/0!</v>
          </cell>
          <cell r="DH264" t="e">
            <v>#DIV/0!</v>
          </cell>
          <cell r="DI264" t="e">
            <v>#DIV/0!</v>
          </cell>
          <cell r="DJ264" t="e">
            <v>#DIV/0!</v>
          </cell>
          <cell r="DK264">
            <v>0</v>
          </cell>
          <cell r="DL264">
            <v>0</v>
          </cell>
          <cell r="DM264">
            <v>1.2707741310111324E-2</v>
          </cell>
          <cell r="DN264">
            <v>7.8102306994747628E-2</v>
          </cell>
          <cell r="DO264">
            <v>8.3264291632145826E-2</v>
          </cell>
        </row>
        <row r="265">
          <cell r="A265" t="str">
            <v>% of delivery networking updates and maintenance revenue</v>
          </cell>
          <cell r="B265"/>
          <cell r="C265" t="e">
            <v>#DIV/0!</v>
          </cell>
          <cell r="D265" t="e">
            <v>#DIV/0!</v>
          </cell>
          <cell r="E265" t="e">
            <v>#DIV/0!</v>
          </cell>
          <cell r="F265" t="e">
            <v>#DIV/0!</v>
          </cell>
          <cell r="G265" t="e">
            <v>#DIV/0!</v>
          </cell>
          <cell r="H265" t="e">
            <v>#DIV/0!</v>
          </cell>
          <cell r="I265" t="e">
            <v>#DIV/0!</v>
          </cell>
          <cell r="J265" t="e">
            <v>#DIV/0!</v>
          </cell>
          <cell r="K265" t="e">
            <v>#DIV/0!</v>
          </cell>
          <cell r="L265" t="e">
            <v>#DIV/0!</v>
          </cell>
          <cell r="M265" t="e">
            <v>#DIV/0!</v>
          </cell>
          <cell r="N265" t="e">
            <v>#DIV/0!</v>
          </cell>
          <cell r="O265" t="e">
            <v>#DIV/0!</v>
          </cell>
          <cell r="P265" t="e">
            <v>#DIV/0!</v>
          </cell>
          <cell r="Q265" t="e">
            <v>#DIV/0!</v>
          </cell>
          <cell r="R265" t="e">
            <v>#DIV/0!</v>
          </cell>
          <cell r="S265" t="e">
            <v>#DIV/0!</v>
          </cell>
          <cell r="T265" t="e">
            <v>#DIV/0!</v>
          </cell>
          <cell r="U265" t="e">
            <v>#DIV/0!</v>
          </cell>
          <cell r="V265" t="e">
            <v>#DIV/0!</v>
          </cell>
          <cell r="W265" t="e">
            <v>#DIV/0!</v>
          </cell>
          <cell r="X265" t="e">
            <v>#DIV/0!</v>
          </cell>
          <cell r="Y265" t="e">
            <v>#DIV/0!</v>
          </cell>
          <cell r="Z265" t="e">
            <v>#DIV/0!</v>
          </cell>
          <cell r="AA265" t="e">
            <v>#DIV/0!</v>
          </cell>
          <cell r="AB265" t="e">
            <v>#DIV/0!</v>
          </cell>
          <cell r="AC265" t="e">
            <v>#DIV/0!</v>
          </cell>
          <cell r="AD265" t="e">
            <v>#DIV/0!</v>
          </cell>
          <cell r="AE265" t="e">
            <v>#DIV/0!</v>
          </cell>
          <cell r="AF265">
            <v>0</v>
          </cell>
          <cell r="AG265">
            <v>0</v>
          </cell>
          <cell r="AH265">
            <v>0</v>
          </cell>
          <cell r="AI265">
            <v>0</v>
          </cell>
          <cell r="AJ265">
            <v>0</v>
          </cell>
          <cell r="AK265">
            <v>0</v>
          </cell>
          <cell r="AL265">
            <v>0</v>
          </cell>
          <cell r="AM265">
            <v>0</v>
          </cell>
          <cell r="AN265">
            <v>0</v>
          </cell>
          <cell r="AO265">
            <v>0</v>
          </cell>
          <cell r="AP265">
            <v>0.19355433108784539</v>
          </cell>
          <cell r="AQ265">
            <v>0.32306789246908996</v>
          </cell>
          <cell r="AR265">
            <v>0.23145375663720222</v>
          </cell>
          <cell r="AS265">
            <v>0.32158913453383431</v>
          </cell>
          <cell r="AT265">
            <v>0.30782737166393814</v>
          </cell>
          <cell r="AU265">
            <v>0.20863879532395482</v>
          </cell>
          <cell r="AV265">
            <v>0.25625473843821067</v>
          </cell>
          <cell r="AW265">
            <v>0.23861171366594364</v>
          </cell>
          <cell r="AX265">
            <v>0.22571819425444622</v>
          </cell>
          <cell r="AY265">
            <v>0.14424935803114328</v>
          </cell>
          <cell r="AZ265">
            <v>0.13229705899109889</v>
          </cell>
          <cell r="BA265">
            <v>0.1572002633104411</v>
          </cell>
          <cell r="BB265">
            <v>0.18156027066887856</v>
          </cell>
          <cell r="BC265">
            <v>0.23207554120261789</v>
          </cell>
          <cell r="BD265">
            <v>0.23406396782151639</v>
          </cell>
          <cell r="BE265">
            <v>0.23968042609853529</v>
          </cell>
          <cell r="BF265">
            <v>0.22716763005780372</v>
          </cell>
          <cell r="BG265">
            <v>0.22462562396006658</v>
          </cell>
          <cell r="BH265">
            <v>0.21958384332925332</v>
          </cell>
          <cell r="BI265">
            <v>0.19732785200411102</v>
          </cell>
          <cell r="BJ265">
            <v>0.1665882352941177</v>
          </cell>
          <cell r="BK265">
            <v>0.15148407335907338</v>
          </cell>
          <cell r="BL265">
            <v>0.14668547249647385</v>
          </cell>
          <cell r="BM265">
            <v>0.14200171086398636</v>
          </cell>
          <cell r="BN265">
            <v>0.13211600429645551</v>
          </cell>
          <cell r="BO265">
            <v>0.1470766251059194</v>
          </cell>
          <cell r="BP265">
            <v>0.15906617740098694</v>
          </cell>
          <cell r="BQ265">
            <v>0.12159002338269682</v>
          </cell>
          <cell r="BR265">
            <v>0.12693396226415102</v>
          </cell>
          <cell r="BS265">
            <v>0.13882476390346277</v>
          </cell>
          <cell r="BT265">
            <v>0.13620707435289262</v>
          </cell>
          <cell r="BU265">
            <v>0.15042511445389145</v>
          </cell>
          <cell r="BV265">
            <v>0.13911867642379902</v>
          </cell>
          <cell r="BW265">
            <v>0.13126519273064011</v>
          </cell>
          <cell r="BX265">
            <v>0.13678440397703309</v>
          </cell>
          <cell r="BY265">
            <v>0.13314218039020134</v>
          </cell>
          <cell r="BZ265">
            <v>0.11771102750999304</v>
          </cell>
          <cell r="CA265">
            <v>0.12094229803368108</v>
          </cell>
          <cell r="CB265">
            <v>0.12434780988792571</v>
          </cell>
          <cell r="CC265">
            <v>0.11639480179507378</v>
          </cell>
          <cell r="CD265">
            <v>0.11079089484187478</v>
          </cell>
          <cell r="CE265">
            <v>0.1244965642031919</v>
          </cell>
          <cell r="CF265">
            <v>0.12613673794255123</v>
          </cell>
          <cell r="CG265">
            <v>0.11919040539818815</v>
          </cell>
          <cell r="CH265">
            <v>0.11442869766861818</v>
          </cell>
          <cell r="CI265">
            <v>0.12617628348241464</v>
          </cell>
          <cell r="CJ265">
            <v>0.12267318326557196</v>
          </cell>
          <cell r="CK265">
            <v>0.11735206353642647</v>
          </cell>
          <cell r="CL265">
            <v>0.11362770539131892</v>
          </cell>
          <cell r="CM265">
            <v>0.12260988082485084</v>
          </cell>
          <cell r="CN265">
            <v>0.11966621914146361</v>
          </cell>
          <cell r="CO265">
            <v>0.11527247448402066</v>
          </cell>
          <cell r="CP265">
            <v>0.11211276986210494</v>
          </cell>
          <cell r="CQ265">
            <v>0.11871346920669322</v>
          </cell>
          <cell r="CR265">
            <v>0.11624337937593074</v>
          </cell>
          <cell r="CS265">
            <v>0.1126250204285815</v>
          </cell>
          <cell r="CT265">
            <v>0.10995647212500351</v>
          </cell>
          <cell r="CU265">
            <v>0.11472542248999575</v>
          </cell>
          <cell r="CV265">
            <v>0.11264997233259647</v>
          </cell>
          <cell r="CW265">
            <v>0.10966786297101382</v>
          </cell>
          <cell r="CX265">
            <v>0.10741670486523995</v>
          </cell>
          <cell r="CY265">
            <v>0.11080723724613885</v>
          </cell>
          <cell r="CZ265">
            <v>0.1090578815639474</v>
          </cell>
          <cell r="DA265">
            <v>0.10659225469530792</v>
          </cell>
          <cell r="DB265">
            <v>0.10469075122077667</v>
          </cell>
          <cell r="DC265"/>
          <cell r="DD265"/>
          <cell r="DE265" t="e">
            <v>#DIV/0!</v>
          </cell>
          <cell r="DF265" t="e">
            <v>#DIV/0!</v>
          </cell>
          <cell r="DG265" t="e">
            <v>#DIV/0!</v>
          </cell>
          <cell r="DH265" t="e">
            <v>#DIV/0!</v>
          </cell>
          <cell r="DI265" t="e">
            <v>#DIV/0!</v>
          </cell>
          <cell r="DJ265" t="e">
            <v>#DIV/0!</v>
          </cell>
          <cell r="DK265">
            <v>0</v>
          </cell>
          <cell r="DL265">
            <v>0</v>
          </cell>
          <cell r="DM265">
            <v>5.2207156635968865E-2</v>
          </cell>
          <cell r="DN265">
            <v>0.29056017607958518</v>
          </cell>
          <cell r="DO265">
            <v>0.23263466982337497</v>
          </cell>
        </row>
        <row r="266">
          <cell r="A266" t="str">
            <v>% growth in revenue y-o-y</v>
          </cell>
          <cell r="B266"/>
          <cell r="C266" t="str">
            <v>NA</v>
          </cell>
          <cell r="D266" t="str">
            <v>NA</v>
          </cell>
          <cell r="E266" t="str">
            <v>NA</v>
          </cell>
          <cell r="F266" t="str">
            <v>NA</v>
          </cell>
          <cell r="G266" t="str">
            <v>NA</v>
          </cell>
          <cell r="H266" t="str">
            <v>NA</v>
          </cell>
          <cell r="I266" t="str">
            <v>NA</v>
          </cell>
          <cell r="J266" t="str">
            <v>NA</v>
          </cell>
          <cell r="K266" t="str">
            <v>NA</v>
          </cell>
          <cell r="L266" t="str">
            <v>NA</v>
          </cell>
          <cell r="M266" t="str">
            <v>NA</v>
          </cell>
          <cell r="N266" t="str">
            <v>NA</v>
          </cell>
          <cell r="O266" t="str">
            <v>NA</v>
          </cell>
          <cell r="P266" t="str">
            <v>NA</v>
          </cell>
          <cell r="Q266" t="str">
            <v>NA</v>
          </cell>
          <cell r="R266" t="str">
            <v>NA</v>
          </cell>
          <cell r="S266" t="str">
            <v>NA</v>
          </cell>
          <cell r="T266" t="str">
            <v>NA</v>
          </cell>
          <cell r="U266" t="str">
            <v>NA</v>
          </cell>
          <cell r="V266" t="str">
            <v>NA</v>
          </cell>
          <cell r="W266" t="str">
            <v>NA</v>
          </cell>
          <cell r="X266" t="str">
            <v>NA</v>
          </cell>
          <cell r="Y266" t="str">
            <v>NA</v>
          </cell>
          <cell r="Z266" t="str">
            <v>NA</v>
          </cell>
          <cell r="AA266" t="str">
            <v>NA</v>
          </cell>
          <cell r="AB266" t="str">
            <v>NA</v>
          </cell>
          <cell r="AC266" t="str">
            <v>NA</v>
          </cell>
          <cell r="AD266" t="str">
            <v>NA</v>
          </cell>
          <cell r="AE266" t="str">
            <v>NA</v>
          </cell>
          <cell r="AF266" t="str">
            <v>NA</v>
          </cell>
          <cell r="AG266" t="str">
            <v>NA</v>
          </cell>
          <cell r="AH266" t="str">
            <v>NA</v>
          </cell>
          <cell r="AI266" t="str">
            <v>NA</v>
          </cell>
          <cell r="AJ266" t="str">
            <v>NA</v>
          </cell>
          <cell r="AK266" t="str">
            <v>NA</v>
          </cell>
          <cell r="AL266" t="str">
            <v>NA</v>
          </cell>
          <cell r="AM266" t="str">
            <v>NA</v>
          </cell>
          <cell r="AN266" t="str">
            <v>NA</v>
          </cell>
          <cell r="AO266" t="str">
            <v>NA</v>
          </cell>
          <cell r="AP266" t="str">
            <v>NA</v>
          </cell>
          <cell r="AQ266" t="str">
            <v>NA</v>
          </cell>
          <cell r="AR266" t="str">
            <v>NA</v>
          </cell>
          <cell r="AS266" t="str">
            <v>NA</v>
          </cell>
          <cell r="AT266">
            <v>1.1670000000000007</v>
          </cell>
          <cell r="AU266">
            <v>0</v>
          </cell>
          <cell r="AV266">
            <v>0.30000000000000004</v>
          </cell>
          <cell r="AW266">
            <v>0.375</v>
          </cell>
          <cell r="AX266">
            <v>0.26903553299492344</v>
          </cell>
          <cell r="AY266">
            <v>-0.23076923076923073</v>
          </cell>
          <cell r="AZ266">
            <v>-0.40375464423076934</v>
          </cell>
          <cell r="BA266">
            <v>-0.19999999999999996</v>
          </cell>
          <cell r="BB266">
            <v>-5.4448689090911273E-3</v>
          </cell>
          <cell r="BC266">
            <v>1.3333333333333335</v>
          </cell>
          <cell r="BD266">
            <v>1.5963756502086612</v>
          </cell>
          <cell r="BE266">
            <v>1.0454545454545454</v>
          </cell>
          <cell r="BF266">
            <v>0.67640050827944287</v>
          </cell>
          <cell r="BG266">
            <v>0.35714285714285721</v>
          </cell>
          <cell r="BH266">
            <v>0.19999999985093164</v>
          </cell>
          <cell r="BI266">
            <v>6.6666666666666652E-2</v>
          </cell>
          <cell r="BJ266">
            <v>2.9443838604143791E-2</v>
          </cell>
          <cell r="BK266">
            <v>-2.1052631578947323E-2</v>
          </cell>
          <cell r="BL266">
            <v>-8.9026915113871619E-2</v>
          </cell>
          <cell r="BM266">
            <v>-0.13541666666666652</v>
          </cell>
          <cell r="BN266">
            <v>-0.13135593220338981</v>
          </cell>
          <cell r="BO266">
            <v>-3.2258064516129115E-2</v>
          </cell>
          <cell r="BP266">
            <v>9.8863636363636376E-2</v>
          </cell>
          <cell r="BQ266">
            <v>-6.024096385542177E-2</v>
          </cell>
          <cell r="BR266">
            <v>9.3902439024390105E-2</v>
          </cell>
          <cell r="BS266">
            <v>8.8888888888889017E-2</v>
          </cell>
          <cell r="BT266">
            <v>5.0672182006204602E-2</v>
          </cell>
          <cell r="BU266">
            <v>0.47435897435897445</v>
          </cell>
          <cell r="BV266">
            <v>0.2998885172798218</v>
          </cell>
          <cell r="BW266">
            <v>7.1428571428571397E-2</v>
          </cell>
          <cell r="BX266">
            <v>5.1181102362204633E-2</v>
          </cell>
          <cell r="BY266">
            <v>-7.1304347826086967E-2</v>
          </cell>
          <cell r="BZ266">
            <v>-8.4048027444253881E-2</v>
          </cell>
          <cell r="CA266">
            <v>1.7142857142857126E-2</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cell r="DD266" t="str">
            <v>NA</v>
          </cell>
          <cell r="DE266" t="str">
            <v>NA</v>
          </cell>
          <cell r="DF266" t="str">
            <v>NA</v>
          </cell>
          <cell r="DG266" t="str">
            <v>NA</v>
          </cell>
          <cell r="DH266" t="str">
            <v>NA</v>
          </cell>
          <cell r="DI266" t="str">
            <v>NA</v>
          </cell>
          <cell r="DJ266" t="str">
            <v>NA</v>
          </cell>
          <cell r="DK266" t="str">
            <v>NA</v>
          </cell>
          <cell r="DL266" t="str">
            <v>NA</v>
          </cell>
          <cell r="DM266" t="str">
            <v>NA</v>
          </cell>
          <cell r="DN266">
            <v>7.1170000000000009</v>
          </cell>
          <cell r="DO266">
            <v>0.23814217075274113</v>
          </cell>
        </row>
        <row r="267">
          <cell r="A267" t="str">
            <v>% growth in revenue seq</v>
          </cell>
          <cell r="B267"/>
          <cell r="C267" t="str">
            <v>NA</v>
          </cell>
          <cell r="D267" t="str">
            <v>NA</v>
          </cell>
          <cell r="E267" t="str">
            <v>NA</v>
          </cell>
          <cell r="F267" t="str">
            <v>NA</v>
          </cell>
          <cell r="G267" t="str">
            <v>NA</v>
          </cell>
          <cell r="H267" t="str">
            <v>NA</v>
          </cell>
          <cell r="I267" t="str">
            <v>NA</v>
          </cell>
          <cell r="J267" t="str">
            <v>NA</v>
          </cell>
          <cell r="K267" t="str">
            <v>NA</v>
          </cell>
          <cell r="L267" t="str">
            <v>NA</v>
          </cell>
          <cell r="M267" t="str">
            <v>NA</v>
          </cell>
          <cell r="N267" t="str">
            <v>NA</v>
          </cell>
          <cell r="O267" t="str">
            <v>NA</v>
          </cell>
          <cell r="P267" t="str">
            <v>NA</v>
          </cell>
          <cell r="Q267" t="str">
            <v>NA</v>
          </cell>
          <cell r="R267" t="str">
            <v>NA</v>
          </cell>
          <cell r="S267" t="str">
            <v>NA</v>
          </cell>
          <cell r="T267" t="str">
            <v>NA</v>
          </cell>
          <cell r="U267" t="str">
            <v>NA</v>
          </cell>
          <cell r="V267" t="str">
            <v>NA</v>
          </cell>
          <cell r="W267" t="str">
            <v>NA</v>
          </cell>
          <cell r="X267" t="str">
            <v>NA</v>
          </cell>
          <cell r="Y267" t="str">
            <v>NA</v>
          </cell>
          <cell r="Z267" t="str">
            <v>NA</v>
          </cell>
          <cell r="AA267" t="str">
            <v>NA</v>
          </cell>
          <cell r="AB267" t="str">
            <v>NA</v>
          </cell>
          <cell r="AC267" t="str">
            <v>NA</v>
          </cell>
          <cell r="AD267" t="str">
            <v>NA</v>
          </cell>
          <cell r="AE267" t="str">
            <v>NA</v>
          </cell>
          <cell r="AF267" t="str">
            <v>NA</v>
          </cell>
          <cell r="AG267" t="str">
            <v>NA</v>
          </cell>
          <cell r="AH267" t="str">
            <v>NA</v>
          </cell>
          <cell r="AI267" t="str">
            <v>NA</v>
          </cell>
          <cell r="AJ267" t="str">
            <v>NA</v>
          </cell>
          <cell r="AK267" t="str">
            <v>NA</v>
          </cell>
          <cell r="AL267" t="str">
            <v>NA</v>
          </cell>
          <cell r="AM267" t="str">
            <v>NA</v>
          </cell>
          <cell r="AN267" t="str">
            <v>NA</v>
          </cell>
          <cell r="AO267" t="str">
            <v>NA</v>
          </cell>
          <cell r="AP267" t="str">
            <v>NA</v>
          </cell>
          <cell r="AQ267">
            <v>0.95</v>
          </cell>
          <cell r="AR267">
            <v>2.5641025641025772E-2</v>
          </cell>
          <cell r="AS267">
            <v>0</v>
          </cell>
          <cell r="AT267">
            <v>8.3500000000000352E-2</v>
          </cell>
          <cell r="AU267">
            <v>-0.10013844023996343</v>
          </cell>
          <cell r="AV267">
            <v>0.33333333333333348</v>
          </cell>
          <cell r="AW267">
            <v>5.7692307692307709E-2</v>
          </cell>
          <cell r="AX267">
            <v>0</v>
          </cell>
          <cell r="AY267">
            <v>-0.45454545454545459</v>
          </cell>
          <cell r="AZ267">
            <v>3.3491949999999937E-2</v>
          </cell>
          <cell r="BA267">
            <v>0.41913700117999664</v>
          </cell>
          <cell r="BB267">
            <v>0.24319391386363609</v>
          </cell>
          <cell r="BC267">
            <v>0.2796950444881241</v>
          </cell>
          <cell r="BD267">
            <v>0.15000000014285719</v>
          </cell>
          <cell r="BE267">
            <v>0.11801242222136477</v>
          </cell>
          <cell r="BF267">
            <v>1.8888888888889177E-2</v>
          </cell>
          <cell r="BG267">
            <v>3.5986913849509028E-2</v>
          </cell>
          <cell r="BH267">
            <v>1.6842105263157992E-2</v>
          </cell>
          <cell r="BI267">
            <v>-6.2111801242236142E-3</v>
          </cell>
          <cell r="BJ267">
            <v>-1.6666666666666718E-2</v>
          </cell>
          <cell r="BK267">
            <v>-1.4830508474576121E-2</v>
          </cell>
          <cell r="BL267">
            <v>-5.3763440860215006E-2</v>
          </cell>
          <cell r="BM267">
            <v>-5.6818181818181768E-2</v>
          </cell>
          <cell r="BN267">
            <v>-1.2048192771084487E-2</v>
          </cell>
          <cell r="BO267">
            <v>9.7560975609756184E-2</v>
          </cell>
          <cell r="BP267">
            <v>7.4444444444444535E-2</v>
          </cell>
          <cell r="BQ267">
            <v>-0.19338159255429177</v>
          </cell>
          <cell r="BR267">
            <v>0.14999999999999991</v>
          </cell>
          <cell r="BS267">
            <v>9.2530657748049361E-2</v>
          </cell>
          <cell r="BT267">
            <v>3.6734693877551017E-2</v>
          </cell>
          <cell r="BU267">
            <v>0.13188976377952755</v>
          </cell>
          <cell r="BV267">
            <v>1.3913043478260834E-2</v>
          </cell>
          <cell r="BW267">
            <v>-9.9485420240137179E-2</v>
          </cell>
          <cell r="BX267">
            <v>1.7142857142857126E-2</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cell r="DD267"/>
          <cell r="DE267"/>
          <cell r="DF267"/>
          <cell r="DG267"/>
          <cell r="DH267"/>
          <cell r="DI267"/>
          <cell r="DJ267"/>
          <cell r="DK267"/>
          <cell r="DL267"/>
          <cell r="DM267"/>
          <cell r="DN267"/>
          <cell r="DO267"/>
        </row>
        <row r="268">
          <cell r="A268"/>
          <cell r="B268"/>
          <cell r="C268"/>
          <cell r="D268"/>
          <cell r="E268"/>
          <cell r="F268"/>
          <cell r="G268"/>
          <cell r="H268"/>
          <cell r="I268"/>
          <cell r="J268"/>
          <cell r="K268"/>
          <cell r="L268"/>
          <cell r="M268"/>
          <cell r="N268"/>
          <cell r="O268"/>
          <cell r="P268"/>
          <cell r="Q268"/>
          <cell r="R268"/>
          <cell r="S268"/>
          <cell r="T268"/>
          <cell r="U268"/>
          <cell r="V268"/>
          <cell r="W268"/>
          <cell r="X268"/>
          <cell r="Y268"/>
          <cell r="Z268"/>
          <cell r="AA268"/>
          <cell r="AB268"/>
          <cell r="AC268"/>
          <cell r="AD268"/>
          <cell r="AE268"/>
          <cell r="AF268"/>
          <cell r="AG268"/>
          <cell r="AH268"/>
          <cell r="AI268"/>
          <cell r="AJ268"/>
          <cell r="AK268"/>
          <cell r="AL268"/>
          <cell r="AM268"/>
          <cell r="AN268"/>
          <cell r="AO268"/>
          <cell r="AP268"/>
          <cell r="AQ268"/>
          <cell r="AR268"/>
          <cell r="AS268"/>
          <cell r="AT268"/>
          <cell r="AU268"/>
          <cell r="AV268"/>
          <cell r="AW268"/>
          <cell r="AX268"/>
          <cell r="AY268"/>
          <cell r="AZ268"/>
          <cell r="BA268"/>
          <cell r="BB268"/>
          <cell r="BC268"/>
          <cell r="BD268"/>
          <cell r="BE268"/>
          <cell r="BF268"/>
          <cell r="BG268"/>
          <cell r="BH268"/>
          <cell r="BI268"/>
          <cell r="BJ268"/>
          <cell r="BK268"/>
          <cell r="BL268"/>
          <cell r="BM268"/>
          <cell r="BN268"/>
          <cell r="BO268"/>
          <cell r="BP268"/>
          <cell r="BQ268"/>
          <cell r="BR268"/>
          <cell r="BS268"/>
          <cell r="BT268"/>
          <cell r="BU268"/>
          <cell r="BV268"/>
          <cell r="BW268"/>
          <cell r="BX268"/>
          <cell r="BY268"/>
          <cell r="BZ268"/>
          <cell r="CA268"/>
          <cell r="CB268"/>
          <cell r="CC268"/>
          <cell r="CD268"/>
          <cell r="CE268"/>
          <cell r="CF268"/>
          <cell r="CG268"/>
          <cell r="CH268"/>
          <cell r="CI268"/>
          <cell r="CJ268"/>
          <cell r="CK268"/>
          <cell r="CL268"/>
          <cell r="CM268"/>
          <cell r="CN268"/>
          <cell r="CO268"/>
          <cell r="CP268"/>
          <cell r="CQ268"/>
          <cell r="CR268"/>
          <cell r="CS268"/>
          <cell r="CT268"/>
          <cell r="CU268"/>
          <cell r="CV268"/>
          <cell r="CW268"/>
          <cell r="CX268"/>
          <cell r="CY268"/>
          <cell r="CZ268"/>
          <cell r="DA268"/>
          <cell r="DB268"/>
          <cell r="DC268"/>
          <cell r="DD268"/>
          <cell r="DE268"/>
          <cell r="DF268"/>
          <cell r="DG268"/>
          <cell r="DH268"/>
          <cell r="DI268"/>
          <cell r="DJ268"/>
          <cell r="DK268"/>
          <cell r="DL268"/>
          <cell r="DM268"/>
          <cell r="DN268"/>
          <cell r="DO268"/>
        </row>
        <row r="269">
          <cell r="A269" t="str">
            <v>Services</v>
          </cell>
          <cell r="B269"/>
          <cell r="C269">
            <v>0</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0</v>
          </cell>
          <cell r="CM269">
            <v>0</v>
          </cell>
          <cell r="CN269">
            <v>0</v>
          </cell>
          <cell r="CO269">
            <v>0</v>
          </cell>
          <cell r="CP269">
            <v>0</v>
          </cell>
          <cell r="CQ269">
            <v>0</v>
          </cell>
          <cell r="CR269">
            <v>0</v>
          </cell>
          <cell r="CS269">
            <v>0</v>
          </cell>
          <cell r="CT269">
            <v>0</v>
          </cell>
          <cell r="CU269">
            <v>0</v>
          </cell>
          <cell r="CV269">
            <v>0</v>
          </cell>
          <cell r="CW269">
            <v>0</v>
          </cell>
          <cell r="CX269">
            <v>0</v>
          </cell>
          <cell r="CY269">
            <v>0</v>
          </cell>
          <cell r="CZ269">
            <v>0</v>
          </cell>
          <cell r="DA269">
            <v>0</v>
          </cell>
          <cell r="DB269">
            <v>0</v>
          </cell>
          <cell r="DC269"/>
          <cell r="DD269">
            <v>0</v>
          </cell>
          <cell r="DE269">
            <v>0</v>
          </cell>
          <cell r="DF269">
            <v>0</v>
          </cell>
          <cell r="DG269">
            <v>0</v>
          </cell>
          <cell r="DH269">
            <v>0</v>
          </cell>
          <cell r="DI269">
            <v>0</v>
          </cell>
          <cell r="DJ269">
            <v>0</v>
          </cell>
          <cell r="DK269">
            <v>0</v>
          </cell>
          <cell r="DL269">
            <v>0</v>
          </cell>
          <cell r="DM269">
            <v>0</v>
          </cell>
          <cell r="DN269">
            <v>0</v>
          </cell>
          <cell r="DO269">
            <v>0</v>
          </cell>
        </row>
        <row r="270">
          <cell r="A270" t="str">
            <v>% of revenue</v>
          </cell>
          <cell r="B270"/>
          <cell r="C270" t="e">
            <v>#DIV/0!</v>
          </cell>
          <cell r="D270" t="e">
            <v>#DIV/0!</v>
          </cell>
          <cell r="E270" t="e">
            <v>#DIV/0!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cell r="DD270"/>
          <cell r="DE270">
            <v>0</v>
          </cell>
          <cell r="DF270">
            <v>0</v>
          </cell>
          <cell r="DG270">
            <v>0</v>
          </cell>
          <cell r="DH270">
            <v>0</v>
          </cell>
          <cell r="DI270">
            <v>0</v>
          </cell>
          <cell r="DJ270">
            <v>0</v>
          </cell>
          <cell r="DK270">
            <v>0</v>
          </cell>
          <cell r="DL270">
            <v>0</v>
          </cell>
          <cell r="DM270">
            <v>0</v>
          </cell>
          <cell r="DN270">
            <v>0</v>
          </cell>
          <cell r="DO270">
            <v>0</v>
          </cell>
        </row>
        <row r="271">
          <cell r="A271" t="str">
            <v>% growth in revenue y-o-y</v>
          </cell>
          <cell r="B271"/>
          <cell r="C271" t="str">
            <v>NA</v>
          </cell>
          <cell r="D271" t="str">
            <v>NA</v>
          </cell>
          <cell r="E271" t="str">
            <v>NA</v>
          </cell>
          <cell r="F271" t="str">
            <v>NA</v>
          </cell>
          <cell r="G271" t="str">
            <v>NA</v>
          </cell>
          <cell r="H271" t="str">
            <v>NA</v>
          </cell>
          <cell r="I271" t="str">
            <v>NA</v>
          </cell>
          <cell r="J271" t="str">
            <v>NA</v>
          </cell>
          <cell r="K271" t="str">
            <v>NA</v>
          </cell>
          <cell r="L271" t="str">
            <v>NA</v>
          </cell>
          <cell r="M271" t="str">
            <v>NA</v>
          </cell>
          <cell r="N271" t="str">
            <v>NA</v>
          </cell>
          <cell r="O271" t="str">
            <v>NA</v>
          </cell>
          <cell r="P271" t="str">
            <v>NA</v>
          </cell>
          <cell r="Q271" t="str">
            <v>NA</v>
          </cell>
          <cell r="R271" t="str">
            <v>NA</v>
          </cell>
          <cell r="S271" t="str">
            <v>NA</v>
          </cell>
          <cell r="T271" t="str">
            <v>NA</v>
          </cell>
          <cell r="U271" t="str">
            <v>NA</v>
          </cell>
          <cell r="V271" t="str">
            <v>NA</v>
          </cell>
          <cell r="W271" t="str">
            <v>NA</v>
          </cell>
          <cell r="X271" t="str">
            <v>NA</v>
          </cell>
          <cell r="Y271" t="str">
            <v>NA</v>
          </cell>
          <cell r="Z271" t="str">
            <v>NA</v>
          </cell>
          <cell r="AA271" t="str">
            <v>NA</v>
          </cell>
          <cell r="AB271" t="str">
            <v>NA</v>
          </cell>
          <cell r="AC271" t="str">
            <v>NA</v>
          </cell>
          <cell r="AD271" t="str">
            <v>NA</v>
          </cell>
          <cell r="AE271" t="str">
            <v>NA</v>
          </cell>
          <cell r="AF271" t="str">
            <v>NA</v>
          </cell>
          <cell r="AG271" t="str">
            <v>NA</v>
          </cell>
          <cell r="AH271" t="str">
            <v>NA</v>
          </cell>
          <cell r="AI271" t="str">
            <v>NA</v>
          </cell>
          <cell r="AJ271" t="str">
            <v>NA</v>
          </cell>
          <cell r="AK271" t="str">
            <v>NA</v>
          </cell>
          <cell r="AL271" t="str">
            <v>NA</v>
          </cell>
          <cell r="AM271" t="str">
            <v>NA</v>
          </cell>
          <cell r="AN271" t="str">
            <v>NA</v>
          </cell>
          <cell r="AO271" t="str">
            <v>NA</v>
          </cell>
          <cell r="AP271" t="str">
            <v>NA</v>
          </cell>
          <cell r="AQ271" t="str">
            <v>NA</v>
          </cell>
          <cell r="AR271" t="str">
            <v>NA</v>
          </cell>
          <cell r="AS271" t="str">
            <v>NA</v>
          </cell>
          <cell r="AT271" t="str">
            <v>NA</v>
          </cell>
          <cell r="AU271" t="str">
            <v>NA</v>
          </cell>
          <cell r="AV271" t="str">
            <v>NA</v>
          </cell>
          <cell r="AW271" t="str">
            <v>NA</v>
          </cell>
          <cell r="AX271" t="str">
            <v>NA</v>
          </cell>
          <cell r="AY271" t="str">
            <v>NA</v>
          </cell>
          <cell r="AZ271" t="str">
            <v>NA</v>
          </cell>
          <cell r="BA271" t="str">
            <v>NA</v>
          </cell>
          <cell r="BB271" t="str">
            <v>NA</v>
          </cell>
          <cell r="BC271" t="str">
            <v>NA</v>
          </cell>
          <cell r="BD271" t="str">
            <v>NA</v>
          </cell>
          <cell r="BE271" t="str">
            <v>NA</v>
          </cell>
          <cell r="BF271" t="str">
            <v>NA</v>
          </cell>
          <cell r="BG271" t="str">
            <v>NA</v>
          </cell>
          <cell r="BH271" t="str">
            <v>NA</v>
          </cell>
          <cell r="BI271" t="str">
            <v>NA</v>
          </cell>
          <cell r="BJ271" t="str">
            <v>NA</v>
          </cell>
          <cell r="BK271" t="str">
            <v>NA</v>
          </cell>
          <cell r="BL271" t="str">
            <v>NA</v>
          </cell>
          <cell r="BM271" t="str">
            <v>NA</v>
          </cell>
          <cell r="BN271" t="str">
            <v>NA</v>
          </cell>
          <cell r="BO271" t="str">
            <v>NA</v>
          </cell>
          <cell r="BP271" t="str">
            <v>NA</v>
          </cell>
          <cell r="BQ271" t="str">
            <v>NA</v>
          </cell>
          <cell r="BR271" t="str">
            <v>NA</v>
          </cell>
          <cell r="BS271" t="str">
            <v>NA</v>
          </cell>
          <cell r="BT271" t="str">
            <v>NA</v>
          </cell>
          <cell r="BU271" t="str">
            <v>NA</v>
          </cell>
          <cell r="BV271" t="str">
            <v>NA</v>
          </cell>
          <cell r="BW271" t="str">
            <v>NA</v>
          </cell>
          <cell r="BX271" t="str">
            <v>NA</v>
          </cell>
          <cell r="BY271" t="str">
            <v>NA</v>
          </cell>
          <cell r="BZ271" t="str">
            <v>NA</v>
          </cell>
          <cell r="CA271" t="str">
            <v>NA</v>
          </cell>
          <cell r="CB271" t="str">
            <v>NA</v>
          </cell>
          <cell r="CC271" t="str">
            <v>NA</v>
          </cell>
          <cell r="CD271" t="str">
            <v>NA</v>
          </cell>
          <cell r="CE271" t="str">
            <v>NA</v>
          </cell>
          <cell r="CF271" t="str">
            <v>NA</v>
          </cell>
          <cell r="CG271" t="str">
            <v>NA</v>
          </cell>
          <cell r="CH271" t="str">
            <v>NA</v>
          </cell>
          <cell r="CI271" t="str">
            <v>NA</v>
          </cell>
          <cell r="CJ271" t="str">
            <v>NA</v>
          </cell>
          <cell r="CK271" t="str">
            <v>NA</v>
          </cell>
          <cell r="CL271" t="str">
            <v>NA</v>
          </cell>
          <cell r="CM271" t="str">
            <v>NA</v>
          </cell>
          <cell r="CN271" t="str">
            <v>NA</v>
          </cell>
          <cell r="CO271" t="str">
            <v>NA</v>
          </cell>
          <cell r="CP271" t="str">
            <v>NA</v>
          </cell>
          <cell r="CQ271" t="str">
            <v>NA</v>
          </cell>
          <cell r="CR271" t="str">
            <v>NA</v>
          </cell>
          <cell r="CS271" t="str">
            <v>NA</v>
          </cell>
          <cell r="CT271" t="str">
            <v>NA</v>
          </cell>
          <cell r="CU271" t="str">
            <v>NA</v>
          </cell>
          <cell r="CV271" t="str">
            <v>NA</v>
          </cell>
          <cell r="CW271" t="str">
            <v>NA</v>
          </cell>
          <cell r="CX271" t="str">
            <v>NA</v>
          </cell>
          <cell r="CY271" t="str">
            <v>NA</v>
          </cell>
          <cell r="CZ271" t="str">
            <v>NA</v>
          </cell>
          <cell r="DA271" t="str">
            <v>NA</v>
          </cell>
          <cell r="DB271" t="str">
            <v>NA</v>
          </cell>
          <cell r="DC271"/>
          <cell r="DD271" t="str">
            <v>NA</v>
          </cell>
          <cell r="DE271" t="str">
            <v>NA</v>
          </cell>
          <cell r="DF271" t="str">
            <v>NA</v>
          </cell>
          <cell r="DG271" t="str">
            <v>NA</v>
          </cell>
          <cell r="DH271" t="str">
            <v>NA</v>
          </cell>
          <cell r="DI271" t="str">
            <v>NA</v>
          </cell>
          <cell r="DJ271" t="str">
            <v>NA</v>
          </cell>
          <cell r="DK271" t="str">
            <v>NA</v>
          </cell>
          <cell r="DL271" t="str">
            <v>NA</v>
          </cell>
          <cell r="DM271" t="str">
            <v>NA</v>
          </cell>
          <cell r="DN271" t="str">
            <v>NA</v>
          </cell>
          <cell r="DO271" t="str">
            <v>NA</v>
          </cell>
        </row>
        <row r="272">
          <cell r="A272" t="str">
            <v>% growth in revenue seq</v>
          </cell>
          <cell r="B272"/>
          <cell r="C272" t="str">
            <v>NA</v>
          </cell>
          <cell r="D272" t="str">
            <v>NA</v>
          </cell>
          <cell r="E272" t="str">
            <v>NA</v>
          </cell>
          <cell r="F272" t="str">
            <v>NA</v>
          </cell>
          <cell r="G272" t="str">
            <v>NA</v>
          </cell>
          <cell r="H272" t="str">
            <v>NA</v>
          </cell>
          <cell r="I272" t="str">
            <v>NA</v>
          </cell>
          <cell r="J272" t="str">
            <v>NA</v>
          </cell>
          <cell r="K272" t="str">
            <v>NA</v>
          </cell>
          <cell r="L272" t="str">
            <v>NA</v>
          </cell>
          <cell r="M272" t="str">
            <v>NA</v>
          </cell>
          <cell r="N272" t="str">
            <v>NA</v>
          </cell>
          <cell r="O272" t="str">
            <v>NA</v>
          </cell>
          <cell r="P272" t="str">
            <v>NA</v>
          </cell>
          <cell r="Q272" t="str">
            <v>NA</v>
          </cell>
          <cell r="R272" t="str">
            <v>NA</v>
          </cell>
          <cell r="S272" t="str">
            <v>NA</v>
          </cell>
          <cell r="T272" t="str">
            <v>NA</v>
          </cell>
          <cell r="U272" t="str">
            <v>NA</v>
          </cell>
          <cell r="V272" t="str">
            <v>NA</v>
          </cell>
          <cell r="W272" t="str">
            <v>NA</v>
          </cell>
          <cell r="X272" t="str">
            <v>NA</v>
          </cell>
          <cell r="Y272" t="str">
            <v>NA</v>
          </cell>
          <cell r="Z272" t="str">
            <v>NA</v>
          </cell>
          <cell r="AA272" t="str">
            <v>NA</v>
          </cell>
          <cell r="AB272" t="str">
            <v>NA</v>
          </cell>
          <cell r="AC272" t="str">
            <v>NA</v>
          </cell>
          <cell r="AD272" t="str">
            <v>NA</v>
          </cell>
          <cell r="AE272" t="str">
            <v>NA</v>
          </cell>
          <cell r="AF272" t="str">
            <v>NA</v>
          </cell>
          <cell r="AG272" t="str">
            <v>NA</v>
          </cell>
          <cell r="AH272" t="str">
            <v>NA</v>
          </cell>
          <cell r="AI272" t="str">
            <v>NA</v>
          </cell>
          <cell r="AJ272" t="str">
            <v>NA</v>
          </cell>
          <cell r="AK272" t="str">
            <v>NA</v>
          </cell>
          <cell r="AL272" t="str">
            <v>NA</v>
          </cell>
          <cell r="AM272" t="str">
            <v>NA</v>
          </cell>
          <cell r="AN272" t="str">
            <v>NA</v>
          </cell>
          <cell r="AO272" t="str">
            <v>NA</v>
          </cell>
          <cell r="AP272" t="str">
            <v>NA</v>
          </cell>
          <cell r="AQ272" t="str">
            <v>NA</v>
          </cell>
          <cell r="AR272" t="str">
            <v>NA</v>
          </cell>
          <cell r="AS272" t="str">
            <v>NA</v>
          </cell>
          <cell r="AT272" t="str">
            <v>NA</v>
          </cell>
          <cell r="AU272" t="str">
            <v>NA</v>
          </cell>
          <cell r="AV272" t="str">
            <v>NA</v>
          </cell>
          <cell r="AW272" t="str">
            <v>NA</v>
          </cell>
          <cell r="AX272" t="str">
            <v>NA</v>
          </cell>
          <cell r="AY272" t="str">
            <v>NA</v>
          </cell>
          <cell r="AZ272" t="str">
            <v>NA</v>
          </cell>
          <cell r="BA272" t="str">
            <v>NA</v>
          </cell>
          <cell r="BB272" t="str">
            <v>NA</v>
          </cell>
          <cell r="BC272" t="str">
            <v>NA</v>
          </cell>
          <cell r="BD272" t="str">
            <v>NA</v>
          </cell>
          <cell r="BE272" t="str">
            <v>NA</v>
          </cell>
          <cell r="BF272" t="str">
            <v>NA</v>
          </cell>
          <cell r="BG272" t="str">
            <v>NA</v>
          </cell>
          <cell r="BH272" t="str">
            <v>NA</v>
          </cell>
          <cell r="BI272" t="str">
            <v>NA</v>
          </cell>
          <cell r="BJ272" t="str">
            <v>NA</v>
          </cell>
          <cell r="BK272" t="str">
            <v>NA</v>
          </cell>
          <cell r="BL272" t="str">
            <v>NA</v>
          </cell>
          <cell r="BM272" t="str">
            <v>NA</v>
          </cell>
          <cell r="BN272" t="str">
            <v>NA</v>
          </cell>
          <cell r="BO272" t="str">
            <v>NA</v>
          </cell>
          <cell r="BP272" t="str">
            <v>NA</v>
          </cell>
          <cell r="BQ272" t="str">
            <v>NA</v>
          </cell>
          <cell r="BR272" t="str">
            <v>NA</v>
          </cell>
          <cell r="BS272" t="str">
            <v>NA</v>
          </cell>
          <cell r="BT272" t="str">
            <v>NA</v>
          </cell>
          <cell r="BU272" t="str">
            <v>NA</v>
          </cell>
          <cell r="BV272" t="str">
            <v>NA</v>
          </cell>
          <cell r="BW272" t="str">
            <v>NA</v>
          </cell>
          <cell r="BX272" t="str">
            <v>NA</v>
          </cell>
          <cell r="BY272" t="str">
            <v>NA</v>
          </cell>
          <cell r="BZ272" t="str">
            <v>NA</v>
          </cell>
          <cell r="CA272" t="str">
            <v>NA</v>
          </cell>
          <cell r="CB272" t="str">
            <v>NA</v>
          </cell>
          <cell r="CC272" t="str">
            <v>NA</v>
          </cell>
          <cell r="CD272" t="str">
            <v>NA</v>
          </cell>
          <cell r="CE272" t="str">
            <v>NA</v>
          </cell>
          <cell r="CF272" t="str">
            <v>NA</v>
          </cell>
          <cell r="CG272" t="str">
            <v>NA</v>
          </cell>
          <cell r="CH272" t="str">
            <v>NA</v>
          </cell>
          <cell r="CI272" t="str">
            <v>NA</v>
          </cell>
          <cell r="CJ272" t="str">
            <v>NA</v>
          </cell>
          <cell r="CK272" t="str">
            <v>NA</v>
          </cell>
          <cell r="CL272" t="str">
            <v>NA</v>
          </cell>
          <cell r="CM272" t="str">
            <v>NA</v>
          </cell>
          <cell r="CN272" t="str">
            <v>NA</v>
          </cell>
          <cell r="CO272" t="str">
            <v>NA</v>
          </cell>
          <cell r="CP272" t="str">
            <v>NA</v>
          </cell>
          <cell r="CQ272" t="str">
            <v>NA</v>
          </cell>
          <cell r="CR272" t="str">
            <v>NA</v>
          </cell>
          <cell r="CS272" t="str">
            <v>NA</v>
          </cell>
          <cell r="CT272" t="str">
            <v>NA</v>
          </cell>
          <cell r="CU272" t="str">
            <v>NA</v>
          </cell>
          <cell r="CV272" t="str">
            <v>NA</v>
          </cell>
          <cell r="CW272" t="str">
            <v>NA</v>
          </cell>
          <cell r="CX272" t="str">
            <v>NA</v>
          </cell>
          <cell r="CY272" t="str">
            <v>NA</v>
          </cell>
          <cell r="CZ272" t="str">
            <v>NA</v>
          </cell>
          <cell r="DA272" t="str">
            <v>NA</v>
          </cell>
          <cell r="DB272" t="str">
            <v>NA</v>
          </cell>
          <cell r="DC272"/>
          <cell r="DD272"/>
          <cell r="DE272"/>
          <cell r="DF272"/>
          <cell r="DG272"/>
          <cell r="DH272"/>
          <cell r="DI272"/>
          <cell r="DJ272"/>
          <cell r="DK272"/>
          <cell r="DL272"/>
          <cell r="DM272"/>
          <cell r="DN272"/>
          <cell r="DO272"/>
        </row>
        <row r="273">
          <cell r="A273"/>
          <cell r="B273"/>
          <cell r="C273"/>
          <cell r="D273"/>
          <cell r="E273"/>
          <cell r="F273"/>
          <cell r="G273"/>
          <cell r="H273"/>
          <cell r="I273"/>
          <cell r="J273"/>
          <cell r="K273"/>
          <cell r="L273"/>
          <cell r="M273"/>
          <cell r="N273"/>
          <cell r="O273"/>
          <cell r="P273"/>
          <cell r="Q273"/>
          <cell r="R273"/>
          <cell r="S273"/>
          <cell r="T273"/>
          <cell r="U273"/>
          <cell r="V273"/>
          <cell r="W273"/>
          <cell r="X273"/>
          <cell r="Y273"/>
          <cell r="Z273"/>
          <cell r="AA273"/>
          <cell r="AB273"/>
          <cell r="AC273"/>
          <cell r="AD273"/>
          <cell r="AE273"/>
          <cell r="AF273"/>
          <cell r="AG273"/>
          <cell r="AH273"/>
          <cell r="AI273"/>
          <cell r="AJ273"/>
          <cell r="AK273"/>
          <cell r="AL273"/>
          <cell r="AM273"/>
          <cell r="AN273"/>
          <cell r="AO273"/>
          <cell r="AP273"/>
          <cell r="AQ273"/>
          <cell r="AR273"/>
          <cell r="AS273"/>
          <cell r="AT273"/>
          <cell r="AU273"/>
          <cell r="AV273"/>
          <cell r="AW273"/>
          <cell r="AX273"/>
          <cell r="AY273"/>
          <cell r="AZ273"/>
          <cell r="BA273"/>
          <cell r="BB273"/>
          <cell r="BC273"/>
          <cell r="BD273"/>
          <cell r="BE273"/>
          <cell r="BF273"/>
          <cell r="BG273"/>
          <cell r="BH273"/>
          <cell r="BI273"/>
          <cell r="BJ273"/>
          <cell r="BK273"/>
          <cell r="BL273"/>
          <cell r="BM273"/>
          <cell r="BN273"/>
          <cell r="BO273"/>
          <cell r="BP273"/>
          <cell r="BQ273"/>
          <cell r="BR273"/>
          <cell r="BS273"/>
          <cell r="BT273"/>
          <cell r="BU273"/>
          <cell r="BV273"/>
          <cell r="BW273"/>
          <cell r="BX273"/>
          <cell r="BY273"/>
          <cell r="BZ273"/>
          <cell r="CA273"/>
          <cell r="CB273"/>
          <cell r="CC273"/>
          <cell r="CD273"/>
          <cell r="CE273"/>
          <cell r="CF273"/>
          <cell r="CG273"/>
          <cell r="CH273"/>
          <cell r="CI273"/>
          <cell r="CJ273"/>
          <cell r="CK273"/>
          <cell r="CL273"/>
          <cell r="CM273"/>
          <cell r="CN273"/>
          <cell r="CO273"/>
          <cell r="CP273"/>
          <cell r="CQ273"/>
          <cell r="CR273"/>
          <cell r="CS273"/>
          <cell r="CT273"/>
          <cell r="CU273"/>
          <cell r="CV273"/>
          <cell r="CW273"/>
          <cell r="CX273"/>
          <cell r="CY273"/>
          <cell r="CZ273"/>
          <cell r="DA273"/>
          <cell r="DB273"/>
          <cell r="DC273"/>
          <cell r="DD273"/>
          <cell r="DE273"/>
          <cell r="DF273"/>
          <cell r="DG273"/>
          <cell r="DH273"/>
          <cell r="DI273"/>
          <cell r="DJ273"/>
          <cell r="DK273"/>
          <cell r="DL273"/>
          <cell r="DM273"/>
          <cell r="DN273"/>
          <cell r="DO273"/>
        </row>
        <row r="274">
          <cell r="A274" t="str">
            <v>Professional Services</v>
          </cell>
          <cell r="B274">
            <v>0</v>
          </cell>
          <cell r="C274">
            <v>0</v>
          </cell>
          <cell r="D274">
            <v>0</v>
          </cell>
          <cell r="E274">
            <v>0</v>
          </cell>
          <cell r="F274">
            <v>0</v>
          </cell>
          <cell r="G274">
            <v>9.8730000000000047</v>
          </cell>
          <cell r="H274">
            <v>9.9399999999999977</v>
          </cell>
          <cell r="I274">
            <v>10.009</v>
          </cell>
          <cell r="J274">
            <v>10.007999999999996</v>
          </cell>
          <cell r="K274">
            <v>9.9410000000000025</v>
          </cell>
          <cell r="L274">
            <v>9.9399999999999977</v>
          </cell>
          <cell r="M274">
            <v>10.009</v>
          </cell>
          <cell r="N274">
            <v>10.00800000000001</v>
          </cell>
          <cell r="O274">
            <v>9.8719999999999999</v>
          </cell>
          <cell r="P274">
            <v>9.9399999999999977</v>
          </cell>
          <cell r="Q274">
            <v>10.009000000000015</v>
          </cell>
          <cell r="R274">
            <v>10.008999999999986</v>
          </cell>
          <cell r="S274">
            <v>9.8720000000000141</v>
          </cell>
          <cell r="T274">
            <v>4.2099999999999937</v>
          </cell>
          <cell r="U274">
            <v>0</v>
          </cell>
          <cell r="V274">
            <v>0</v>
          </cell>
          <cell r="W274">
            <v>0</v>
          </cell>
          <cell r="X274">
            <v>0</v>
          </cell>
          <cell r="Y274">
            <v>0</v>
          </cell>
          <cell r="Z274">
            <v>0</v>
          </cell>
          <cell r="AA274">
            <v>-7.5495165674510645E-15</v>
          </cell>
          <cell r="AB274">
            <v>0</v>
          </cell>
          <cell r="AC274">
            <v>0</v>
          </cell>
          <cell r="AD274">
            <v>0</v>
          </cell>
          <cell r="AE274">
            <v>0.56802899999998502</v>
          </cell>
          <cell r="AF274">
            <v>0.39760599999997837</v>
          </cell>
          <cell r="AG274">
            <v>0.72075500000001469</v>
          </cell>
          <cell r="AH274">
            <v>0.46693200000001767</v>
          </cell>
          <cell r="AI274">
            <v>0.53064499999998205</v>
          </cell>
          <cell r="AJ274">
            <v>0.95724600000000493</v>
          </cell>
          <cell r="AK274">
            <v>1.7642049999999969</v>
          </cell>
          <cell r="AL274">
            <v>1.4084365000000005</v>
          </cell>
          <cell r="AM274">
            <v>4.650000000000027</v>
          </cell>
          <cell r="AN274">
            <v>6.2629999999999768</v>
          </cell>
          <cell r="AO274">
            <v>5.3269999999999698</v>
          </cell>
          <cell r="AP274">
            <v>6.4306190000000072</v>
          </cell>
          <cell r="AQ274">
            <v>7.051249999999996</v>
          </cell>
          <cell r="AR274">
            <v>5.949687499999996</v>
          </cell>
          <cell r="AS274">
            <v>9.3827561250000002</v>
          </cell>
          <cell r="AT274">
            <v>11.248730468749997</v>
          </cell>
          <cell r="AU274">
            <v>4.7775960000000026</v>
          </cell>
          <cell r="AV274">
            <v>4.1787179999999609</v>
          </cell>
          <cell r="AW274">
            <v>3.0629029999999773</v>
          </cell>
          <cell r="AX274">
            <v>6.3919599999999832</v>
          </cell>
          <cell r="AY274">
            <v>15.206458999999995</v>
          </cell>
          <cell r="AZ274">
            <v>18.710459999999983</v>
          </cell>
          <cell r="BA274">
            <v>19.243640999999997</v>
          </cell>
          <cell r="BB274">
            <v>24.90973500000004</v>
          </cell>
          <cell r="BC274">
            <v>22.046000000000049</v>
          </cell>
          <cell r="BD274">
            <v>23.810999999999964</v>
          </cell>
          <cell r="BE274">
            <v>26.089999999999961</v>
          </cell>
          <cell r="BF274">
            <v>29.062000000000012</v>
          </cell>
          <cell r="BG274">
            <v>28.062000000000012</v>
          </cell>
          <cell r="BH274">
            <v>31.89999999999992</v>
          </cell>
          <cell r="BI274">
            <v>32.862999999999985</v>
          </cell>
          <cell r="BJ274">
            <v>34.575000000000003</v>
          </cell>
          <cell r="BK274">
            <v>28.398999999999972</v>
          </cell>
          <cell r="BL274">
            <v>38.28400000000002</v>
          </cell>
          <cell r="BM274">
            <v>35.930999999999983</v>
          </cell>
          <cell r="BN274">
            <v>43.919999999999987</v>
          </cell>
          <cell r="BO274">
            <v>44.718999999999966</v>
          </cell>
          <cell r="BP274">
            <v>44.559999999999917</v>
          </cell>
          <cell r="BQ274">
            <v>44.693999999999903</v>
          </cell>
          <cell r="BR274">
            <v>51.08299999999997</v>
          </cell>
          <cell r="BS274">
            <v>38.90199999999993</v>
          </cell>
          <cell r="BT274">
            <v>39.458999999999975</v>
          </cell>
          <cell r="BU274">
            <v>38.569999999999993</v>
          </cell>
          <cell r="BV274">
            <v>38.863000000000028</v>
          </cell>
          <cell r="BW274">
            <v>32.622999999999898</v>
          </cell>
          <cell r="BX274">
            <v>34.886999999999958</v>
          </cell>
          <cell r="BY274">
            <v>29.935999999999993</v>
          </cell>
          <cell r="BZ274">
            <v>34.084000000000046</v>
          </cell>
          <cell r="CA274">
            <v>29.717999999999932</v>
          </cell>
          <cell r="CB274">
            <v>31.829000000000114</v>
          </cell>
          <cell r="CC274">
            <v>32.161999999999985</v>
          </cell>
          <cell r="CD274">
            <v>38.557000000000066</v>
          </cell>
          <cell r="CE274">
            <v>31.291999999999987</v>
          </cell>
          <cell r="CF274">
            <v>33.865000000000023</v>
          </cell>
          <cell r="CG274">
            <v>28.375999999999969</v>
          </cell>
          <cell r="CH274">
            <v>38.85942708999999</v>
          </cell>
          <cell r="CI274">
            <v>30.830500000000001</v>
          </cell>
          <cell r="CJ274">
            <v>33.391500000000001</v>
          </cell>
          <cell r="CK274">
            <v>32.891500000000001</v>
          </cell>
          <cell r="CL274">
            <v>36.891500000000001</v>
          </cell>
          <cell r="CM274">
            <v>31.601262499999997</v>
          </cell>
          <cell r="CN274">
            <v>34.217939625</v>
          </cell>
          <cell r="CO274">
            <v>33.697423978750003</v>
          </cell>
          <cell r="CP274">
            <v>37.786394638962499</v>
          </cell>
          <cell r="CQ274">
            <v>32.360163666711564</v>
          </cell>
          <cell r="CR274">
            <v>35.031462627786347</v>
          </cell>
          <cell r="CS274">
            <v>34.490560372798562</v>
          </cell>
          <cell r="CT274">
            <v>38.666879365595385</v>
          </cell>
          <cell r="CU274">
            <v>33.106667900068494</v>
          </cell>
          <cell r="CV274">
            <v>35.831508760662878</v>
          </cell>
          <cell r="CW274">
            <v>35.27037648675276</v>
          </cell>
          <cell r="CX274">
            <v>39.532377772316003</v>
          </cell>
          <cell r="CY274">
            <v>33.84029913955726</v>
          </cell>
          <cell r="CZ274">
            <v>36.617581316244213</v>
          </cell>
          <cell r="DA274">
            <v>36.036401283944052</v>
          </cell>
          <cell r="DB274">
            <v>40.382381566863906</v>
          </cell>
          <cell r="DC274"/>
          <cell r="DD274"/>
          <cell r="DE274">
            <v>39.83</v>
          </cell>
          <cell r="DF274">
            <v>39.89800000000001</v>
          </cell>
          <cell r="DG274">
            <v>39.83</v>
          </cell>
          <cell r="DH274">
            <v>14.082000000000008</v>
          </cell>
          <cell r="DI274">
            <v>0</v>
          </cell>
          <cell r="DJ274">
            <v>-7.5495165674510645E-15</v>
          </cell>
          <cell r="DK274">
            <v>2.1533219999999957</v>
          </cell>
          <cell r="DL274">
            <v>4.6605324999999844</v>
          </cell>
          <cell r="DM274">
            <v>22.670618999999981</v>
          </cell>
          <cell r="DN274">
            <v>33.632424093749989</v>
          </cell>
          <cell r="DO274">
            <v>18.411176999999924</v>
          </cell>
        </row>
        <row r="275">
          <cell r="A275" t="str">
            <v>% of revenue</v>
          </cell>
          <cell r="B275"/>
          <cell r="C275" t="e">
            <v>#DIV/0!</v>
          </cell>
          <cell r="D275" t="e">
            <v>#DIV/0!</v>
          </cell>
          <cell r="E275" t="e">
            <v>#DIV/0!</v>
          </cell>
          <cell r="F275">
            <v>0</v>
          </cell>
          <cell r="G275">
            <v>0.11609967191523894</v>
          </cell>
          <cell r="H275">
            <v>0.10527988137478152</v>
          </cell>
          <cell r="I275">
            <v>9.4620911325392326E-2</v>
          </cell>
          <cell r="J275">
            <v>8.4776918450500172E-2</v>
          </cell>
          <cell r="K275">
            <v>7.7959455750303899E-2</v>
          </cell>
          <cell r="L275">
            <v>9.3697566125596196E-2</v>
          </cell>
          <cell r="M275">
            <v>8.8192015225876941E-2</v>
          </cell>
          <cell r="N275">
            <v>8.1132350795272229E-2</v>
          </cell>
          <cell r="O275">
            <v>7.4330632774146907E-2</v>
          </cell>
          <cell r="P275">
            <v>6.7493243885546658E-2</v>
          </cell>
          <cell r="Q275">
            <v>6.5207335743835401E-2</v>
          </cell>
          <cell r="R275">
            <v>6.3328461426519531E-2</v>
          </cell>
          <cell r="S275">
            <v>6.9369685896985556E-2</v>
          </cell>
          <cell r="T275">
            <v>3.584320937202011E-2</v>
          </cell>
          <cell r="U275">
            <v>0</v>
          </cell>
          <cell r="V275">
            <v>0</v>
          </cell>
          <cell r="W275">
            <v>0</v>
          </cell>
          <cell r="X275">
            <v>0</v>
          </cell>
          <cell r="Y275">
            <v>0</v>
          </cell>
          <cell r="Z275">
            <v>0</v>
          </cell>
          <cell r="AA275">
            <v>-4.6801292960455422E-17</v>
          </cell>
          <cell r="AB275">
            <v>0</v>
          </cell>
          <cell r="AC275">
            <v>0</v>
          </cell>
          <cell r="AD275">
            <v>0</v>
          </cell>
          <cell r="AE275">
            <v>2.8135568874138642E-3</v>
          </cell>
          <cell r="AF275">
            <v>1.8823457006375943E-3</v>
          </cell>
          <cell r="AG275">
            <v>3.1758736621326331E-3</v>
          </cell>
          <cell r="AH275">
            <v>1.7380293014115362E-3</v>
          </cell>
          <cell r="AI275">
            <v>2.0409580073692184E-3</v>
          </cell>
          <cell r="AJ275">
            <v>3.4749807600157E-3</v>
          </cell>
          <cell r="AK275">
            <v>6.3494642812154606E-3</v>
          </cell>
          <cell r="AL275">
            <v>4.3876253107457287E-3</v>
          </cell>
          <cell r="AM275">
            <v>1.509309028589243E-2</v>
          </cell>
          <cell r="AN275">
            <v>1.8731083489849316E-2</v>
          </cell>
          <cell r="AO275">
            <v>1.5223001105932226E-2</v>
          </cell>
          <cell r="AP275">
            <v>1.6094291456330623E-2</v>
          </cell>
          <cell r="AQ275">
            <v>1.8701894258873194E-2</v>
          </cell>
          <cell r="AR275">
            <v>1.5188235519362816E-2</v>
          </cell>
          <cell r="AS275">
            <v>2.3521987412664553E-2</v>
          </cell>
          <cell r="AT275">
            <v>2.7059926987084336E-2</v>
          </cell>
          <cell r="AU275">
            <v>1.2945379858992362E-2</v>
          </cell>
          <cell r="AV275">
            <v>1.0637525838280268E-2</v>
          </cell>
          <cell r="AW275">
            <v>7.637362171543074E-3</v>
          </cell>
          <cell r="AX275">
            <v>1.416783402783931E-2</v>
          </cell>
          <cell r="AY275">
            <v>3.6706460972501145E-2</v>
          </cell>
          <cell r="AZ275">
            <v>4.0813946639966986E-2</v>
          </cell>
          <cell r="BA275">
            <v>4.0750309698813929E-2</v>
          </cell>
          <cell r="BB275">
            <v>4.7023959290613961E-2</v>
          </cell>
          <cell r="BC275">
            <v>4.4910448004432883E-2</v>
          </cell>
          <cell r="BD275">
            <v>4.4859548974170514E-2</v>
          </cell>
          <cell r="BE275">
            <v>4.6148566900386954E-2</v>
          </cell>
          <cell r="BF275">
            <v>4.6922175256633419E-2</v>
          </cell>
          <cell r="BG275">
            <v>4.7603457196413901E-2</v>
          </cell>
          <cell r="BH275">
            <v>5.1852213065457203E-2</v>
          </cell>
          <cell r="BI275">
            <v>5.1234600621743537E-2</v>
          </cell>
          <cell r="BJ275">
            <v>4.672322553094882E-2</v>
          </cell>
          <cell r="BK275">
            <v>4.2203956314394837E-2</v>
          </cell>
          <cell r="BL275">
            <v>5.2416263225919545E-2</v>
          </cell>
          <cell r="BM275">
            <v>5.0413129217053813E-2</v>
          </cell>
          <cell r="BN275">
            <v>5.4734428354228447E-2</v>
          </cell>
          <cell r="BO275">
            <v>5.956029349283911E-2</v>
          </cell>
          <cell r="BP275">
            <v>5.7014176774655714E-2</v>
          </cell>
          <cell r="BQ275">
            <v>5.8885840994790349E-2</v>
          </cell>
          <cell r="BR275">
            <v>5.9992976959023225E-2</v>
          </cell>
          <cell r="BS275">
            <v>5.1132883457193773E-2</v>
          </cell>
          <cell r="BT275">
            <v>4.9524385667435167E-2</v>
          </cell>
          <cell r="BU275">
            <v>4.742582414204384E-2</v>
          </cell>
          <cell r="BV275">
            <v>4.2953790108569895E-2</v>
          </cell>
          <cell r="BW275">
            <v>4.9520851643889328E-2</v>
          </cell>
          <cell r="BX275">
            <v>5.1762125975723508E-2</v>
          </cell>
          <cell r="BY275">
            <v>4.4765049287013102E-2</v>
          </cell>
          <cell r="BZ275">
            <v>4.6399050346863042E-2</v>
          </cell>
          <cell r="CA275">
            <v>4.48453771596116E-2</v>
          </cell>
          <cell r="CB275">
            <v>4.591425319556236E-2</v>
          </cell>
          <cell r="CC275">
            <v>4.6549191301516066E-2</v>
          </cell>
          <cell r="CD275">
            <v>4.9568236835305285E-2</v>
          </cell>
          <cell r="CE275">
            <v>4.4882901697093462E-2</v>
          </cell>
          <cell r="CF275">
            <v>4.5617721740653212E-2</v>
          </cell>
          <cell r="CG275">
            <v>3.8739835844450836E-2</v>
          </cell>
          <cell r="CH275">
            <v>4.8461006260366382E-2</v>
          </cell>
          <cell r="CI275">
            <v>4.3409599803491059E-2</v>
          </cell>
          <cell r="CJ275">
            <v>4.3253976203294284E-2</v>
          </cell>
          <cell r="CK275">
            <v>4.311766173962276E-2</v>
          </cell>
          <cell r="CL275">
            <v>4.3101475870933312E-2</v>
          </cell>
          <cell r="CM275">
            <v>4.1314124169435057E-2</v>
          </cell>
          <cell r="CN275">
            <v>4.1375369167890565E-2</v>
          </cell>
          <cell r="CO275">
            <v>4.114501814373913E-2</v>
          </cell>
          <cell r="CP275">
            <v>4.2007571872964874E-2</v>
          </cell>
          <cell r="CQ275">
            <v>3.9290588399130216E-2</v>
          </cell>
          <cell r="CR275">
            <v>3.961427854778924E-2</v>
          </cell>
          <cell r="CS275">
            <v>3.9340036226344209E-2</v>
          </cell>
          <cell r="CT275">
            <v>4.098826097479201E-2</v>
          </cell>
          <cell r="CU275">
            <v>3.7041972704382878E-2</v>
          </cell>
          <cell r="CV275">
            <v>3.7503369045319035E-2</v>
          </cell>
          <cell r="CW275">
            <v>3.7226780015289451E-2</v>
          </cell>
          <cell r="CX275">
            <v>3.9085288473921613E-2</v>
          </cell>
          <cell r="CY275">
            <v>3.484520863905155E-2</v>
          </cell>
          <cell r="CZ275">
            <v>3.5452721280295633E-2</v>
          </cell>
          <cell r="DA275">
            <v>3.5227499509370305E-2</v>
          </cell>
          <cell r="DB275">
            <v>3.7113027354629943E-2</v>
          </cell>
          <cell r="DC275"/>
          <cell r="DD275"/>
          <cell r="DE275">
            <v>9.8763901459265765E-2</v>
          </cell>
          <cell r="DF275">
            <v>8.4808883485033376E-2</v>
          </cell>
          <cell r="DG275">
            <v>6.7322481956628294E-2</v>
          </cell>
          <cell r="DH275">
            <v>2.6698366474041058E-2</v>
          </cell>
          <cell r="DI275">
            <v>0</v>
          </cell>
          <cell r="DJ275">
            <v>-1.0186123274085067E-17</v>
          </cell>
          <cell r="DK275">
            <v>2.3696157900876128E-3</v>
          </cell>
          <cell r="DL275">
            <v>4.1086612319814657E-3</v>
          </cell>
          <cell r="DM275">
            <v>1.6287042850923372E-2</v>
          </cell>
          <cell r="DN275">
            <v>2.1241253752319438E-2</v>
          </cell>
          <cell r="DO275">
            <v>1.1406550943938573E-2</v>
          </cell>
        </row>
        <row r="276">
          <cell r="A276" t="str">
            <v>% of license revenue</v>
          </cell>
          <cell r="B276"/>
          <cell r="C276" t="e">
            <v>#DIV/0!</v>
          </cell>
          <cell r="D276" t="e">
            <v>#DIV/0!</v>
          </cell>
          <cell r="E276" t="e">
            <v>#DIV/0!</v>
          </cell>
          <cell r="F276">
            <v>0</v>
          </cell>
          <cell r="G276" t="e">
            <v>#DIV/0!</v>
          </cell>
          <cell r="H276" t="e">
            <v>#DIV/0!</v>
          </cell>
          <cell r="I276" t="e">
            <v>#DIV/0!</v>
          </cell>
          <cell r="J276" t="e">
            <v>#DIV/0!</v>
          </cell>
          <cell r="K276" t="e">
            <v>#DIV/0!</v>
          </cell>
          <cell r="L276" t="e">
            <v>#DIV/0!</v>
          </cell>
          <cell r="M276" t="e">
            <v>#DIV/0!</v>
          </cell>
          <cell r="N276" t="e">
            <v>#DIV/0!</v>
          </cell>
          <cell r="O276" t="e">
            <v>#DIV/0!</v>
          </cell>
          <cell r="P276" t="e">
            <v>#DIV/0!</v>
          </cell>
          <cell r="Q276" t="e">
            <v>#DIV/0!</v>
          </cell>
          <cell r="R276" t="e">
            <v>#DIV/0!</v>
          </cell>
          <cell r="S276" t="e">
            <v>#DIV/0!</v>
          </cell>
          <cell r="T276" t="e">
            <v>#DIV/0!</v>
          </cell>
          <cell r="U276" t="e">
            <v>#DIV/0!</v>
          </cell>
          <cell r="V276" t="e">
            <v>#DIV/0!</v>
          </cell>
          <cell r="W276">
            <v>0</v>
          </cell>
          <cell r="X276">
            <v>0</v>
          </cell>
          <cell r="Y276">
            <v>0</v>
          </cell>
          <cell r="Z276">
            <v>0</v>
          </cell>
          <cell r="AA276">
            <v>-8.6353219493641069E-17</v>
          </cell>
          <cell r="AB276">
            <v>0</v>
          </cell>
          <cell r="AC276">
            <v>0</v>
          </cell>
          <cell r="AD276">
            <v>0</v>
          </cell>
          <cell r="AE276">
            <v>6.3070884501785999E-3</v>
          </cell>
          <cell r="AF276">
            <v>4.3227440747986342E-3</v>
          </cell>
          <cell r="AG276">
            <v>7.4104480681048577E-3</v>
          </cell>
          <cell r="AH276">
            <v>3.5881688452407009E-3</v>
          </cell>
          <cell r="AI276">
            <v>4.6472391294826998E-3</v>
          </cell>
          <cell r="AJ276">
            <v>8.1260961468264149E-3</v>
          </cell>
          <cell r="AK276">
            <v>1.556024484251931E-2</v>
          </cell>
          <cell r="AL276">
            <v>9.8406731226069744E-3</v>
          </cell>
          <cell r="AM276">
            <v>3.793226685639902E-2</v>
          </cell>
          <cell r="AN276">
            <v>4.5853558537781614E-2</v>
          </cell>
          <cell r="AO276">
            <v>3.7925388010821369E-2</v>
          </cell>
          <cell r="AP276">
            <v>3.612098522720894E-2</v>
          </cell>
          <cell r="AQ276">
            <v>4.7980743059335841E-2</v>
          </cell>
          <cell r="AR276">
            <v>3.8770787446728072E-2</v>
          </cell>
          <cell r="AS276">
            <v>5.9559063108983921E-2</v>
          </cell>
          <cell r="AT276">
            <v>6.9325344932515701E-2</v>
          </cell>
          <cell r="AU276">
            <v>4.2695227882037556E-2</v>
          </cell>
          <cell r="AV276">
            <v>3.2220321993646182E-2</v>
          </cell>
          <cell r="AW276">
            <v>2.3732395784906067E-2</v>
          </cell>
          <cell r="AX276">
            <v>3.7974370703944098E-2</v>
          </cell>
          <cell r="AY276">
            <v>0.12392596124068908</v>
          </cell>
          <cell r="AZ276">
            <v>0.12579898206853882</v>
          </cell>
          <cell r="BA276">
            <v>0.12680478788597632</v>
          </cell>
          <cell r="BB276">
            <v>0.1269253522203258</v>
          </cell>
          <cell r="BC276">
            <v>0.14671902036470152</v>
          </cell>
          <cell r="BD276">
            <v>0.13898065675962765</v>
          </cell>
          <cell r="BE276">
            <v>0.13456777388075078</v>
          </cell>
          <cell r="BF276">
            <v>0.1268822556069279</v>
          </cell>
          <cell r="BG276">
            <v>0.15732995447511836</v>
          </cell>
          <cell r="BH276">
            <v>0.1697557964420458</v>
          </cell>
          <cell r="BI276">
            <v>0.16793397720885067</v>
          </cell>
          <cell r="BJ276">
            <v>0.1286875544339981</v>
          </cell>
          <cell r="BK276">
            <v>0.14708182491467386</v>
          </cell>
          <cell r="BL276">
            <v>0.16849239706885558</v>
          </cell>
          <cell r="BM276">
            <v>0.17836807434361077</v>
          </cell>
          <cell r="BN276">
            <v>0.16273356824472276</v>
          </cell>
          <cell r="BO276">
            <v>0.21559221690836144</v>
          </cell>
          <cell r="BP276">
            <v>0.19224131980396181</v>
          </cell>
          <cell r="BQ276">
            <v>0.23139169466692158</v>
          </cell>
          <cell r="BR276">
            <v>0.19105948004054341</v>
          </cell>
          <cell r="BS276">
            <v>0.23</v>
          </cell>
          <cell r="BT276">
            <v>0.19250734239464506</v>
          </cell>
          <cell r="BU276">
            <v>0.18700424723154196</v>
          </cell>
          <cell r="BV276">
            <v>0.13815499466761474</v>
          </cell>
          <cell r="BW276">
            <v>0.16147362064613158</v>
          </cell>
          <cell r="BX276">
            <v>0.15893342809113128</v>
          </cell>
          <cell r="BY276">
            <v>0.14529147111497223</v>
          </cell>
          <cell r="BZ276">
            <v>0.13349679026465158</v>
          </cell>
          <cell r="CA276">
            <v>0.15510681273715105</v>
          </cell>
          <cell r="CB276">
            <v>0.15084190721722826</v>
          </cell>
          <cell r="CC276">
            <v>0.16742147400859952</v>
          </cell>
          <cell r="CD276">
            <v>0.14685863375802269</v>
          </cell>
          <cell r="CE276">
            <v>0.1617773250889907</v>
          </cell>
          <cell r="CF276">
            <v>0.15051871032562772</v>
          </cell>
          <cell r="CG276">
            <v>0.14201925453098316</v>
          </cell>
          <cell r="CH276">
            <v>0.16031450439338252</v>
          </cell>
          <cell r="CI276">
            <v>0.19284689872322761</v>
          </cell>
          <cell r="CJ276">
            <v>0.16216576578736513</v>
          </cell>
          <cell r="CK276">
            <v>0.18103000349260859</v>
          </cell>
          <cell r="CL276">
            <v>0.14600705884134124</v>
          </cell>
          <cell r="CM276">
            <v>0.19731110137693983</v>
          </cell>
          <cell r="CN276">
            <v>0.16650558840690241</v>
          </cell>
          <cell r="CO276">
            <v>0.18378306651139648</v>
          </cell>
          <cell r="CP276">
            <v>0.15888632479105316</v>
          </cell>
          <cell r="CQ276">
            <v>0.19997018146207826</v>
          </cell>
          <cell r="CR276">
            <v>0.17012082807585188</v>
          </cell>
          <cell r="CS276">
            <v>0.18528962064214283</v>
          </cell>
          <cell r="CT276">
            <v>0.17403811542314673</v>
          </cell>
          <cell r="CU276">
            <v>0.19034251259679924</v>
          </cell>
          <cell r="CV276">
            <v>0.16412429092312797</v>
          </cell>
          <cell r="CW276">
            <v>0.17764570111135194</v>
          </cell>
          <cell r="CX276">
            <v>0.17318616880651724</v>
          </cell>
          <cell r="CY276">
            <v>0.17798131897185199</v>
          </cell>
          <cell r="CZ276">
            <v>0.15519604775790899</v>
          </cell>
          <cell r="DA276">
            <v>0.167484599235039</v>
          </cell>
          <cell r="DB276">
            <v>0.16417459508818857</v>
          </cell>
          <cell r="DC276"/>
          <cell r="DD276">
            <v>0</v>
          </cell>
          <cell r="DE276">
            <v>0.1230271182285973</v>
          </cell>
          <cell r="DF276">
            <v>0.1104353763444313</v>
          </cell>
          <cell r="DG276">
            <v>8.8359917474543553E-2</v>
          </cell>
          <cell r="DH276">
            <v>3.8777898635531285E-2</v>
          </cell>
          <cell r="DI276">
            <v>0</v>
          </cell>
          <cell r="DJ276">
            <v>-2.0413698786594411E-17</v>
          </cell>
          <cell r="DK276">
            <v>5.2592523843833471E-3</v>
          </cell>
          <cell r="DL276">
            <v>9.5407503167944784E-3</v>
          </cell>
          <cell r="DM276">
            <v>3.9245343130178766E-2</v>
          </cell>
          <cell r="DN276">
            <v>5.4227040774167012E-2</v>
          </cell>
          <cell r="DO276">
            <v>3.4159612226912051E-2</v>
          </cell>
        </row>
        <row r="277">
          <cell r="A277" t="str">
            <v>% growth in revenue y-o-y</v>
          </cell>
          <cell r="B277"/>
          <cell r="C277" t="str">
            <v>NA</v>
          </cell>
          <cell r="D277" t="str">
            <v>NA</v>
          </cell>
          <cell r="E277" t="str">
            <v>NA</v>
          </cell>
          <cell r="F277" t="str">
            <v>NA</v>
          </cell>
          <cell r="G277" t="str">
            <v>NA</v>
          </cell>
          <cell r="H277" t="str">
            <v>NA</v>
          </cell>
          <cell r="I277" t="str">
            <v>NA</v>
          </cell>
          <cell r="J277" t="str">
            <v>NA</v>
          </cell>
          <cell r="K277">
            <v>6.8874708801780482E-3</v>
          </cell>
          <cell r="L277">
            <v>0</v>
          </cell>
          <cell r="M277">
            <v>0</v>
          </cell>
          <cell r="N277">
            <v>1.3322676295501878E-15</v>
          </cell>
          <cell r="O277">
            <v>-6.9409516145260142E-3</v>
          </cell>
          <cell r="P277">
            <v>0</v>
          </cell>
          <cell r="Q277">
            <v>1.3322676295501878E-15</v>
          </cell>
          <cell r="R277">
            <v>9.9920063946434823E-5</v>
          </cell>
          <cell r="S277">
            <v>1.3322676295501878E-15</v>
          </cell>
          <cell r="T277">
            <v>-0.57645875251509104</v>
          </cell>
          <cell r="U277">
            <v>-1</v>
          </cell>
          <cell r="V277">
            <v>-1</v>
          </cell>
          <cell r="W277">
            <v>-1</v>
          </cell>
          <cell r="X277">
            <v>-1</v>
          </cell>
          <cell r="Y277" t="str">
            <v>NA</v>
          </cell>
          <cell r="Z277" t="str">
            <v>NA</v>
          </cell>
          <cell r="AA277" t="str">
            <v>NA</v>
          </cell>
          <cell r="AB277" t="str">
            <v>NA</v>
          </cell>
          <cell r="AC277" t="str">
            <v>NA</v>
          </cell>
          <cell r="AD277" t="str">
            <v>NA</v>
          </cell>
          <cell r="AE277">
            <v>-75240446845164.766</v>
          </cell>
          <cell r="AF277" t="str">
            <v>NA</v>
          </cell>
          <cell r="AG277" t="str">
            <v>NA</v>
          </cell>
          <cell r="AH277" t="str">
            <v>NA</v>
          </cell>
          <cell r="AI277">
            <v>-6.5813541210050786E-2</v>
          </cell>
          <cell r="AJ277">
            <v>1.4075240313276383</v>
          </cell>
          <cell r="AK277">
            <v>1.4477180179117188</v>
          </cell>
          <cell r="AL277">
            <v>2.0163631963539599</v>
          </cell>
          <cell r="AM277">
            <v>7.7629205966327479</v>
          </cell>
          <cell r="AN277">
            <v>5.5427277836626576</v>
          </cell>
          <cell r="AO277">
            <v>2.0194903653486862</v>
          </cell>
          <cell r="AP277">
            <v>3.5657855359471338</v>
          </cell>
          <cell r="AQ277">
            <v>0.51639784946235601</v>
          </cell>
          <cell r="AR277">
            <v>-5.0025946032250079E-2</v>
          </cell>
          <cell r="AS277">
            <v>0.76135838652150434</v>
          </cell>
          <cell r="AT277">
            <v>0.74924536327684543</v>
          </cell>
          <cell r="AU277">
            <v>-0.32244694203155388</v>
          </cell>
          <cell r="AV277">
            <v>-0.29765756604864313</v>
          </cell>
          <cell r="AW277">
            <v>-0.67356041666275568</v>
          </cell>
          <cell r="AX277">
            <v>-0.43176165365883434</v>
          </cell>
          <cell r="AY277">
            <v>2.1828683295950486</v>
          </cell>
          <cell r="AZ277">
            <v>3.4775598640540375</v>
          </cell>
          <cell r="BA277">
            <v>5.2828111108971259</v>
          </cell>
          <cell r="BB277">
            <v>2.8970417524515337</v>
          </cell>
          <cell r="BC277">
            <v>0.4497786762848639</v>
          </cell>
          <cell r="BD277">
            <v>0.27260366661215096</v>
          </cell>
          <cell r="BE277">
            <v>0.35577253805555631</v>
          </cell>
          <cell r="BF277">
            <v>0.16669245979533565</v>
          </cell>
          <cell r="BG277">
            <v>0.27288396988115537</v>
          </cell>
          <cell r="BH277">
            <v>0.33971693754987053</v>
          </cell>
          <cell r="BI277">
            <v>0.25960137983902021</v>
          </cell>
          <cell r="BJ277">
            <v>0.18969788727547954</v>
          </cell>
          <cell r="BK277">
            <v>1.2009122656972515E-2</v>
          </cell>
          <cell r="BL277">
            <v>0.20012539184953337</v>
          </cell>
          <cell r="BM277">
            <v>9.3357271095152683E-2</v>
          </cell>
          <cell r="BN277">
            <v>0.27028199566160471</v>
          </cell>
          <cell r="BO277">
            <v>0.57466812211697627</v>
          </cell>
          <cell r="BP277">
            <v>0.16393271340507498</v>
          </cell>
          <cell r="BQ277">
            <v>0.24388411121315645</v>
          </cell>
          <cell r="BR277">
            <v>0.16309198542805059</v>
          </cell>
          <cell r="BS277">
            <v>-0.1300789373644321</v>
          </cell>
          <cell r="BT277">
            <v>-0.11447486535008866</v>
          </cell>
          <cell r="BU277">
            <v>-0.13702062916722435</v>
          </cell>
          <cell r="BV277">
            <v>-0.2392185267114294</v>
          </cell>
          <cell r="BW277">
            <v>-0.16140558326050181</v>
          </cell>
          <cell r="BX277">
            <v>-0.1158671025621536</v>
          </cell>
          <cell r="BY277">
            <v>-0.22385273528649219</v>
          </cell>
          <cell r="BZ277">
            <v>-0.12297043460360702</v>
          </cell>
          <cell r="CA277">
            <v>-8.9047604450846807E-2</v>
          </cell>
          <cell r="CB277">
            <v>-8.7654427150510084E-2</v>
          </cell>
          <cell r="CC277">
            <v>7.4358631747728277E-2</v>
          </cell>
          <cell r="CD277">
            <v>0.13123459687830108</v>
          </cell>
          <cell r="CE277">
            <v>5.2964533279495907E-2</v>
          </cell>
          <cell r="CF277">
            <v>6.3966822708847237E-2</v>
          </cell>
          <cell r="CG277">
            <v>-0.11771655991542873</v>
          </cell>
          <cell r="CH277">
            <v>7.8436364343679177E-3</v>
          </cell>
          <cell r="CI277">
            <v>-1.4748178448165228E-2</v>
          </cell>
          <cell r="CJ277">
            <v>-1.3981987302525423E-2</v>
          </cell>
          <cell r="CK277">
            <v>0.15913095573724401</v>
          </cell>
          <cell r="CL277">
            <v>-5.0642205440707855E-2</v>
          </cell>
          <cell r="CM277">
            <v>2.4999999999999911E-2</v>
          </cell>
          <cell r="CN277">
            <v>2.475000000000005E-2</v>
          </cell>
          <cell r="CO277">
            <v>2.4502500000000094E-2</v>
          </cell>
          <cell r="CP277">
            <v>2.4257474999999973E-2</v>
          </cell>
          <cell r="CQ277">
            <v>2.4014900250000082E-2</v>
          </cell>
          <cell r="CR277">
            <v>2.3774751247499948E-2</v>
          </cell>
          <cell r="CS277">
            <v>2.3537003735025097E-2</v>
          </cell>
          <cell r="CT277">
            <v>2.3301633697674795E-2</v>
          </cell>
          <cell r="CU277">
            <v>2.3068617360697985E-2</v>
          </cell>
          <cell r="CV277">
            <v>2.2837931187090987E-2</v>
          </cell>
          <cell r="CW277">
            <v>2.2609551875220069E-2</v>
          </cell>
          <cell r="CX277">
            <v>2.238345635646799E-2</v>
          </cell>
          <cell r="CY277">
            <v>2.2159621792903206E-2</v>
          </cell>
          <cell r="CZ277">
            <v>2.1938025574974152E-2</v>
          </cell>
          <cell r="DA277">
            <v>2.1718645319224406E-2</v>
          </cell>
          <cell r="DB277">
            <v>2.1501458866032275E-2</v>
          </cell>
          <cell r="DC277"/>
          <cell r="DD277" t="str">
            <v>NA</v>
          </cell>
          <cell r="DE277" t="str">
            <v>NA</v>
          </cell>
          <cell r="DF277">
            <v>1.7072558373087965E-3</v>
          </cell>
          <cell r="DG277">
            <v>-1.7043460825106882E-3</v>
          </cell>
          <cell r="DH277">
            <v>-0.64644740145618851</v>
          </cell>
          <cell r="DI277">
            <v>-1</v>
          </cell>
          <cell r="DJ277" t="str">
            <v>NA</v>
          </cell>
          <cell r="DK277">
            <v>-285226475200256.06</v>
          </cell>
          <cell r="DL277">
            <v>1.1643453696195896</v>
          </cell>
          <cell r="DM277">
            <v>3.8643838445499643</v>
          </cell>
          <cell r="DN277">
            <v>0.48352473718295985</v>
          </cell>
          <cell r="DO277">
            <v>-0.4525765687100346</v>
          </cell>
        </row>
        <row r="278">
          <cell r="A278" t="str">
            <v>% growth in revenue seq</v>
          </cell>
          <cell r="B278"/>
          <cell r="C278" t="str">
            <v>NA</v>
          </cell>
          <cell r="D278" t="str">
            <v>NA</v>
          </cell>
          <cell r="E278" t="str">
            <v>NA</v>
          </cell>
          <cell r="F278" t="str">
            <v>NA</v>
          </cell>
          <cell r="G278" t="str">
            <v>NA</v>
          </cell>
          <cell r="H278">
            <v>6.7861845437042767E-3</v>
          </cell>
          <cell r="I278">
            <v>6.9416498993966069E-3</v>
          </cell>
          <cell r="J278">
            <v>-9.9910080927689826E-5</v>
          </cell>
          <cell r="K278">
            <v>-6.6946442845716714E-3</v>
          </cell>
          <cell r="L278">
            <v>-1.0059350166025105E-4</v>
          </cell>
          <cell r="M278">
            <v>6.9416498993966069E-3</v>
          </cell>
          <cell r="N278">
            <v>-9.9910080926246536E-5</v>
          </cell>
          <cell r="O278">
            <v>-1.3589128697043318E-2</v>
          </cell>
          <cell r="P278">
            <v>6.8881685575361562E-3</v>
          </cell>
          <cell r="Q278">
            <v>6.9416498993981612E-3</v>
          </cell>
          <cell r="R278">
            <v>-2.886579864025407E-15</v>
          </cell>
          <cell r="S278">
            <v>-1.3687681087018899E-2</v>
          </cell>
          <cell r="T278">
            <v>-0.57354132901134647</v>
          </cell>
          <cell r="U278">
            <v>-1</v>
          </cell>
          <cell r="V278" t="str">
            <v>NA</v>
          </cell>
          <cell r="W278" t="str">
            <v>NA</v>
          </cell>
          <cell r="X278" t="str">
            <v>NA</v>
          </cell>
          <cell r="Y278" t="str">
            <v>NA</v>
          </cell>
          <cell r="Z278" t="str">
            <v>NA</v>
          </cell>
          <cell r="AA278" t="str">
            <v>NA</v>
          </cell>
          <cell r="AB278">
            <v>-1</v>
          </cell>
          <cell r="AC278" t="str">
            <v>NA</v>
          </cell>
          <cell r="AD278" t="str">
            <v>NA</v>
          </cell>
          <cell r="AE278" t="str">
            <v>NA</v>
          </cell>
          <cell r="AF278">
            <v>-0.30002517477102608</v>
          </cell>
          <cell r="AG278">
            <v>0.81273672932514573</v>
          </cell>
          <cell r="AH278">
            <v>-0.35216266276334096</v>
          </cell>
          <cell r="AI278">
            <v>0.13645027541475407</v>
          </cell>
          <cell r="AJ278">
            <v>0.80392918052565721</v>
          </cell>
          <cell r="AK278">
            <v>0.84300064978071232</v>
          </cell>
          <cell r="AL278">
            <v>-0.20165938765619473</v>
          </cell>
          <cell r="AM278">
            <v>2.3015332959633077</v>
          </cell>
          <cell r="AN278">
            <v>0.34688172043009469</v>
          </cell>
          <cell r="AO278">
            <v>-0.14944914577678592</v>
          </cell>
          <cell r="AP278">
            <v>0.20717458231650898</v>
          </cell>
          <cell r="AQ278">
            <v>9.6511859900265895E-2</v>
          </cell>
          <cell r="AR278">
            <v>-0.1562223010104592</v>
          </cell>
          <cell r="AS278">
            <v>0.5770166290246348</v>
          </cell>
          <cell r="AT278">
            <v>0.19887273194474053</v>
          </cell>
          <cell r="AU278">
            <v>-0.57527687117469817</v>
          </cell>
          <cell r="AV278">
            <v>-0.12535132732027598</v>
          </cell>
          <cell r="AW278">
            <v>-0.26702328321748292</v>
          </cell>
          <cell r="AX278">
            <v>1.0868959937680138</v>
          </cell>
          <cell r="AY278">
            <v>1.3789978347799479</v>
          </cell>
          <cell r="AZ278">
            <v>0.23042846464124156</v>
          </cell>
          <cell r="BA278">
            <v>2.8496413236233309E-2</v>
          </cell>
          <cell r="BB278">
            <v>0.29443981001308672</v>
          </cell>
          <cell r="BC278">
            <v>-0.11496449079044746</v>
          </cell>
          <cell r="BD278">
            <v>8.0059874807217213E-2</v>
          </cell>
          <cell r="BE278">
            <v>9.5712065851917272E-2</v>
          </cell>
          <cell r="BF278">
            <v>0.11391337677271207</v>
          </cell>
          <cell r="BG278">
            <v>-3.4409194136673316E-2</v>
          </cell>
          <cell r="BH278">
            <v>0.13676858385004298</v>
          </cell>
          <cell r="BI278">
            <v>3.0188087774296823E-2</v>
          </cell>
          <cell r="BJ278">
            <v>5.2095061315157398E-2</v>
          </cell>
          <cell r="BK278">
            <v>-0.17862617498192424</v>
          </cell>
          <cell r="BL278">
            <v>0.34807563646607487</v>
          </cell>
          <cell r="BM278">
            <v>-6.1461707240623609E-2</v>
          </cell>
          <cell r="BN278">
            <v>0.22234282374551251</v>
          </cell>
          <cell r="BO278">
            <v>1.8192167577413043E-2</v>
          </cell>
          <cell r="BP278">
            <v>-3.5555356783480985E-3</v>
          </cell>
          <cell r="BQ278">
            <v>3.007181328545494E-3</v>
          </cell>
          <cell r="BR278">
            <v>0.14294983666711603</v>
          </cell>
          <cell r="BS278">
            <v>-0.23845506332830979</v>
          </cell>
          <cell r="BT278">
            <v>1.4318029921341902E-2</v>
          </cell>
          <cell r="BU278">
            <v>-2.2529714387084843E-2</v>
          </cell>
          <cell r="BV278">
            <v>7.5965776510249494E-3</v>
          </cell>
          <cell r="BW278">
            <v>-0.16056403262743801</v>
          </cell>
          <cell r="BX278">
            <v>6.9398890353433718E-2</v>
          </cell>
          <cell r="BY278">
            <v>-0.14191532662596296</v>
          </cell>
          <cell r="BZ278">
            <v>0.13856226616782652</v>
          </cell>
          <cell r="CA278">
            <v>-0.12809529397958297</v>
          </cell>
          <cell r="CB278">
            <v>7.1034389932034037E-2</v>
          </cell>
          <cell r="CC278">
            <v>1.0462157152278495E-2</v>
          </cell>
          <cell r="CD278">
            <v>0.19883713699397076</v>
          </cell>
          <cell r="CE278">
            <v>-0.18842233576263889</v>
          </cell>
          <cell r="CF278">
            <v>8.2225488942861968E-2</v>
          </cell>
          <cell r="CG278">
            <v>-0.16208474826517205</v>
          </cell>
          <cell r="CH278">
            <v>0.36944696539329125</v>
          </cell>
          <cell r="CI278">
            <v>-0.20661465418429026</v>
          </cell>
          <cell r="CJ278">
            <v>8.3067092651757157E-2</v>
          </cell>
          <cell r="CK278">
            <v>-1.4973870595810346E-2</v>
          </cell>
          <cell r="CL278">
            <v>0.12161196661751505</v>
          </cell>
          <cell r="CM278">
            <v>-0.14339990241654588</v>
          </cell>
          <cell r="CN278">
            <v>8.2802929946232506E-2</v>
          </cell>
          <cell r="CO278">
            <v>-1.5211776394324583E-2</v>
          </cell>
          <cell r="CP278">
            <v>0.12134371644524067</v>
          </cell>
          <cell r="CQ278">
            <v>-0.14360277089404583</v>
          </cell>
          <cell r="CR278">
            <v>8.2548994145623222E-2</v>
          </cell>
          <cell r="CS278">
            <v>-1.5440470206309675E-2</v>
          </cell>
          <cell r="CT278">
            <v>0.12108585501819014</v>
          </cell>
          <cell r="CU278">
            <v>-0.14379778137653898</v>
          </cell>
          <cell r="CV278">
            <v>8.2304896065627409E-2</v>
          </cell>
          <cell r="CW278">
            <v>-1.5660302714524565E-2</v>
          </cell>
          <cell r="CX278">
            <v>0.12083798672135004</v>
          </cell>
          <cell r="CY278">
            <v>-0.1439852332066105</v>
          </cell>
          <cell r="CZ278">
            <v>8.207026082226565E-2</v>
          </cell>
          <cell r="DA278">
            <v>-1.5871611706979039E-2</v>
          </cell>
          <cell r="DB278">
            <v>0.12059973049684625</v>
          </cell>
          <cell r="DC278"/>
          <cell r="DD278"/>
          <cell r="DE278"/>
          <cell r="DF278"/>
          <cell r="DG278"/>
          <cell r="DH278"/>
          <cell r="DI278"/>
          <cell r="DJ278"/>
          <cell r="DK278"/>
          <cell r="DL278"/>
          <cell r="DM278"/>
          <cell r="DN278"/>
          <cell r="DO278"/>
        </row>
        <row r="279">
          <cell r="A279"/>
          <cell r="B279"/>
          <cell r="C279"/>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cell r="AD279"/>
          <cell r="AE279"/>
          <cell r="AF279"/>
          <cell r="AG279"/>
          <cell r="AH279"/>
          <cell r="AI279"/>
          <cell r="AJ279"/>
          <cell r="AK279"/>
          <cell r="AL279"/>
          <cell r="AM279"/>
          <cell r="AN279"/>
          <cell r="AO279"/>
          <cell r="AP279"/>
          <cell r="AQ279"/>
          <cell r="AR279"/>
          <cell r="AS279"/>
          <cell r="AT279"/>
          <cell r="AU279"/>
          <cell r="AV279"/>
          <cell r="AW279"/>
          <cell r="AX279"/>
          <cell r="AY279"/>
          <cell r="AZ279"/>
          <cell r="BA279"/>
          <cell r="BB279"/>
          <cell r="BC279"/>
          <cell r="BD279"/>
          <cell r="BE279"/>
          <cell r="BF279"/>
          <cell r="BG279"/>
          <cell r="BH279"/>
          <cell r="BI279"/>
          <cell r="BJ279"/>
          <cell r="BK279"/>
          <cell r="BL279"/>
          <cell r="BM279"/>
          <cell r="BN279"/>
          <cell r="BO279"/>
          <cell r="BP279"/>
          <cell r="BQ279"/>
          <cell r="BR279"/>
          <cell r="BS279"/>
          <cell r="BT279"/>
          <cell r="BU279"/>
          <cell r="BV279"/>
          <cell r="BW279"/>
          <cell r="BX279"/>
          <cell r="BY279"/>
          <cell r="BZ279"/>
          <cell r="CA279"/>
          <cell r="CB279"/>
          <cell r="CC279"/>
          <cell r="CD279"/>
          <cell r="CE279"/>
          <cell r="CF279"/>
          <cell r="CG279"/>
          <cell r="CH279"/>
          <cell r="CI279"/>
          <cell r="CJ279"/>
          <cell r="CK279"/>
          <cell r="CL279"/>
          <cell r="CM279"/>
          <cell r="CN279"/>
          <cell r="CO279"/>
          <cell r="CP279"/>
          <cell r="CQ279"/>
          <cell r="CR279"/>
          <cell r="CS279"/>
          <cell r="CT279"/>
          <cell r="CU279"/>
          <cell r="CV279"/>
          <cell r="CW279"/>
          <cell r="CX279"/>
          <cell r="CY279"/>
          <cell r="CZ279"/>
          <cell r="DA279"/>
          <cell r="DB279"/>
          <cell r="DC279"/>
          <cell r="DD279"/>
          <cell r="DE279"/>
          <cell r="DF279"/>
          <cell r="DG279"/>
          <cell r="DH279"/>
          <cell r="DI279"/>
          <cell r="DJ279"/>
          <cell r="DK279"/>
          <cell r="DL279"/>
          <cell r="DM279"/>
          <cell r="DN279"/>
          <cell r="DO279"/>
        </row>
        <row r="280">
          <cell r="A280" t="str">
            <v>Software licenses</v>
          </cell>
          <cell r="B280"/>
          <cell r="C280">
            <v>0</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-6.106226635438361E-15</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cell r="DD280"/>
          <cell r="DE280">
            <v>0</v>
          </cell>
          <cell r="DF280">
            <v>0</v>
          </cell>
          <cell r="DG280">
            <v>0</v>
          </cell>
          <cell r="DH280">
            <v>0</v>
          </cell>
          <cell r="DI280">
            <v>0</v>
          </cell>
          <cell r="DJ280">
            <v>0</v>
          </cell>
          <cell r="DK280">
            <v>-6.106226635438361E-15</v>
          </cell>
          <cell r="DL280">
            <v>0</v>
          </cell>
          <cell r="DM280">
            <v>0</v>
          </cell>
          <cell r="DN280">
            <v>0</v>
          </cell>
          <cell r="DO280">
            <v>0</v>
          </cell>
        </row>
        <row r="281">
          <cell r="A281" t="str">
            <v>% of revenue</v>
          </cell>
          <cell r="B281"/>
          <cell r="C281" t="e">
            <v>#DIV/0!</v>
          </cell>
          <cell r="D281" t="e">
            <v>#DIV/0!</v>
          </cell>
          <cell r="E281" t="e">
            <v>#DIV/0!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-3.0245314950905745E-17</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0</v>
          </cell>
          <cell r="CN281">
            <v>0</v>
          </cell>
          <cell r="CO281">
            <v>0</v>
          </cell>
          <cell r="CP281">
            <v>0</v>
          </cell>
          <cell r="CQ281">
            <v>0</v>
          </cell>
          <cell r="CR281">
            <v>0</v>
          </cell>
          <cell r="CS281">
            <v>0</v>
          </cell>
          <cell r="CT281">
            <v>0</v>
          </cell>
          <cell r="CU281">
            <v>0</v>
          </cell>
          <cell r="CV281">
            <v>0</v>
          </cell>
          <cell r="CW281">
            <v>0</v>
          </cell>
          <cell r="CX281">
            <v>0</v>
          </cell>
          <cell r="CY281">
            <v>0</v>
          </cell>
          <cell r="CZ281">
            <v>0</v>
          </cell>
          <cell r="DA281">
            <v>0</v>
          </cell>
          <cell r="DB281">
            <v>0</v>
          </cell>
          <cell r="DC281"/>
          <cell r="DD281"/>
          <cell r="DE281">
            <v>0</v>
          </cell>
          <cell r="DF281">
            <v>0</v>
          </cell>
          <cell r="DG281">
            <v>0</v>
          </cell>
          <cell r="DH281">
            <v>0</v>
          </cell>
          <cell r="DI281">
            <v>0</v>
          </cell>
          <cell r="DJ281">
            <v>0</v>
          </cell>
          <cell r="DK281">
            <v>-6.7195761029647803E-18</v>
          </cell>
          <cell r="DL281">
            <v>0</v>
          </cell>
          <cell r="DM281">
            <v>0</v>
          </cell>
          <cell r="DN281">
            <v>0</v>
          </cell>
          <cell r="DO281">
            <v>0</v>
          </cell>
        </row>
        <row r="282">
          <cell r="A282" t="str">
            <v>% growth in revenue y-o-y</v>
          </cell>
          <cell r="B282"/>
          <cell r="C282" t="str">
            <v>NA</v>
          </cell>
          <cell r="D282" t="str">
            <v>NA</v>
          </cell>
          <cell r="E282" t="str">
            <v>NA</v>
          </cell>
          <cell r="F282" t="str">
            <v>NA</v>
          </cell>
          <cell r="G282" t="str">
            <v>NA</v>
          </cell>
          <cell r="H282" t="str">
            <v>NA</v>
          </cell>
          <cell r="I282" t="str">
            <v>NA</v>
          </cell>
          <cell r="J282" t="str">
            <v>NA</v>
          </cell>
          <cell r="K282" t="str">
            <v>NA</v>
          </cell>
          <cell r="L282" t="str">
            <v>NA</v>
          </cell>
          <cell r="M282" t="str">
            <v>NA</v>
          </cell>
          <cell r="N282" t="str">
            <v>NA</v>
          </cell>
          <cell r="O282" t="str">
            <v>NA</v>
          </cell>
          <cell r="P282" t="str">
            <v>NA</v>
          </cell>
          <cell r="Q282" t="str">
            <v>NA</v>
          </cell>
          <cell r="R282" t="str">
            <v>NA</v>
          </cell>
          <cell r="S282" t="str">
            <v>NA</v>
          </cell>
          <cell r="T282" t="str">
            <v>NA</v>
          </cell>
          <cell r="U282" t="str">
            <v>NA</v>
          </cell>
          <cell r="V282" t="str">
            <v>NA</v>
          </cell>
          <cell r="W282" t="str">
            <v>NA</v>
          </cell>
          <cell r="X282" t="str">
            <v>NA</v>
          </cell>
          <cell r="Y282" t="str">
            <v>NA</v>
          </cell>
          <cell r="Z282" t="str">
            <v>NA</v>
          </cell>
          <cell r="AA282" t="str">
            <v>NA</v>
          </cell>
          <cell r="AB282" t="str">
            <v>NA</v>
          </cell>
          <cell r="AC282" t="str">
            <v>NA</v>
          </cell>
          <cell r="AD282" t="str">
            <v>NA</v>
          </cell>
          <cell r="AE282" t="str">
            <v>NA</v>
          </cell>
          <cell r="AF282" t="str">
            <v>NA</v>
          </cell>
          <cell r="AG282" t="str">
            <v>NA</v>
          </cell>
          <cell r="AH282" t="str">
            <v>NA</v>
          </cell>
          <cell r="AI282">
            <v>-1</v>
          </cell>
          <cell r="AJ282" t="str">
            <v>NA</v>
          </cell>
          <cell r="AK282" t="str">
            <v>NA</v>
          </cell>
          <cell r="AL282" t="str">
            <v>NA</v>
          </cell>
          <cell r="AM282" t="str">
            <v>NA</v>
          </cell>
          <cell r="AN282" t="str">
            <v>NA</v>
          </cell>
          <cell r="AO282" t="str">
            <v>NA</v>
          </cell>
          <cell r="AP282" t="str">
            <v>NA</v>
          </cell>
          <cell r="AQ282" t="str">
            <v>NA</v>
          </cell>
          <cell r="AR282" t="str">
            <v>NA</v>
          </cell>
          <cell r="AS282" t="str">
            <v>NA</v>
          </cell>
          <cell r="AT282" t="str">
            <v>NA</v>
          </cell>
          <cell r="AU282" t="str">
            <v>NA</v>
          </cell>
          <cell r="AV282" t="str">
            <v>NA</v>
          </cell>
          <cell r="AW282" t="str">
            <v>NA</v>
          </cell>
          <cell r="AX282" t="str">
            <v>NA</v>
          </cell>
          <cell r="AY282" t="str">
            <v>NA</v>
          </cell>
          <cell r="AZ282" t="str">
            <v>NA</v>
          </cell>
          <cell r="BA282" t="str">
            <v>NA</v>
          </cell>
          <cell r="BB282" t="str">
            <v>NA</v>
          </cell>
          <cell r="BC282" t="str">
            <v>NA</v>
          </cell>
          <cell r="BD282" t="str">
            <v>NA</v>
          </cell>
          <cell r="BE282" t="str">
            <v>NA</v>
          </cell>
          <cell r="BF282" t="str">
            <v>NA</v>
          </cell>
          <cell r="BG282" t="str">
            <v>NA</v>
          </cell>
          <cell r="BH282" t="str">
            <v>NA</v>
          </cell>
          <cell r="BI282" t="str">
            <v>NA</v>
          </cell>
          <cell r="BJ282" t="str">
            <v>NA</v>
          </cell>
          <cell r="BK282" t="str">
            <v>NA</v>
          </cell>
          <cell r="BL282" t="str">
            <v>NA</v>
          </cell>
          <cell r="BM282" t="str">
            <v>NA</v>
          </cell>
          <cell r="BN282" t="str">
            <v>NA</v>
          </cell>
          <cell r="BO282" t="str">
            <v>NA</v>
          </cell>
          <cell r="BP282" t="str">
            <v>NA</v>
          </cell>
          <cell r="BQ282" t="str">
            <v>NA</v>
          </cell>
          <cell r="BR282" t="str">
            <v>NA</v>
          </cell>
          <cell r="BS282" t="str">
            <v>NA</v>
          </cell>
          <cell r="BT282" t="str">
            <v>NA</v>
          </cell>
          <cell r="BU282" t="str">
            <v>NA</v>
          </cell>
          <cell r="BV282" t="str">
            <v>NA</v>
          </cell>
          <cell r="BW282" t="str">
            <v>NA</v>
          </cell>
          <cell r="BX282" t="str">
            <v>NA</v>
          </cell>
          <cell r="BY282" t="str">
            <v>NA</v>
          </cell>
          <cell r="BZ282" t="str">
            <v>NA</v>
          </cell>
          <cell r="CA282" t="str">
            <v>NA</v>
          </cell>
          <cell r="CB282" t="str">
            <v>NA</v>
          </cell>
          <cell r="CC282" t="str">
            <v>NA</v>
          </cell>
          <cell r="CD282" t="str">
            <v>NA</v>
          </cell>
          <cell r="CE282" t="str">
            <v>NA</v>
          </cell>
          <cell r="CF282" t="str">
            <v>NA</v>
          </cell>
          <cell r="CG282" t="str">
            <v>NA</v>
          </cell>
          <cell r="CH282" t="str">
            <v>NA</v>
          </cell>
          <cell r="CI282" t="str">
            <v>NA</v>
          </cell>
          <cell r="CJ282" t="str">
            <v>NA</v>
          </cell>
          <cell r="CK282" t="str">
            <v>NA</v>
          </cell>
          <cell r="CL282" t="str">
            <v>NA</v>
          </cell>
          <cell r="CM282" t="str">
            <v>NA</v>
          </cell>
          <cell r="CN282" t="str">
            <v>NA</v>
          </cell>
          <cell r="CO282" t="str">
            <v>NA</v>
          </cell>
          <cell r="CP282" t="str">
            <v>NA</v>
          </cell>
          <cell r="CQ282" t="str">
            <v>NA</v>
          </cell>
          <cell r="CR282" t="str">
            <v>NA</v>
          </cell>
          <cell r="CS282" t="str">
            <v>NA</v>
          </cell>
          <cell r="CT282" t="str">
            <v>NA</v>
          </cell>
          <cell r="CU282" t="str">
            <v>NA</v>
          </cell>
          <cell r="CV282" t="str">
            <v>NA</v>
          </cell>
          <cell r="CW282" t="str">
            <v>NA</v>
          </cell>
          <cell r="CX282" t="str">
            <v>NA</v>
          </cell>
          <cell r="CY282" t="str">
            <v>NA</v>
          </cell>
          <cell r="CZ282" t="str">
            <v>NA</v>
          </cell>
          <cell r="DA282" t="str">
            <v>NA</v>
          </cell>
          <cell r="DB282" t="str">
            <v>NA</v>
          </cell>
          <cell r="DC282"/>
          <cell r="DD282" t="str">
            <v>NA</v>
          </cell>
          <cell r="DE282" t="str">
            <v>NA</v>
          </cell>
          <cell r="DF282" t="str">
            <v>NA</v>
          </cell>
          <cell r="DG282" t="str">
            <v>NA</v>
          </cell>
          <cell r="DH282" t="str">
            <v>NA</v>
          </cell>
          <cell r="DI282" t="str">
            <v>NA</v>
          </cell>
          <cell r="DJ282" t="str">
            <v>NA</v>
          </cell>
          <cell r="DK282" t="str">
            <v>NA</v>
          </cell>
          <cell r="DL282">
            <v>-1</v>
          </cell>
          <cell r="DM282" t="str">
            <v>NA</v>
          </cell>
          <cell r="DN282" t="str">
            <v>NA</v>
          </cell>
          <cell r="DO282" t="str">
            <v>NA</v>
          </cell>
        </row>
        <row r="283">
          <cell r="A283" t="str">
            <v>% growth in revenue seq</v>
          </cell>
          <cell r="B283"/>
          <cell r="C283" t="str">
            <v>NA</v>
          </cell>
          <cell r="D283" t="str">
            <v>NA</v>
          </cell>
          <cell r="E283" t="str">
            <v>NA</v>
          </cell>
          <cell r="F283" t="str">
            <v>NA</v>
          </cell>
          <cell r="G283" t="str">
            <v>NA</v>
          </cell>
          <cell r="H283" t="str">
            <v>NA</v>
          </cell>
          <cell r="I283" t="str">
            <v>NA</v>
          </cell>
          <cell r="J283" t="str">
            <v>NA</v>
          </cell>
          <cell r="K283" t="str">
            <v>NA</v>
          </cell>
          <cell r="L283" t="str">
            <v>NA</v>
          </cell>
          <cell r="M283" t="str">
            <v>NA</v>
          </cell>
          <cell r="N283" t="str">
            <v>NA</v>
          </cell>
          <cell r="O283" t="str">
            <v>NA</v>
          </cell>
          <cell r="P283" t="str">
            <v>NA</v>
          </cell>
          <cell r="Q283" t="str">
            <v>NA</v>
          </cell>
          <cell r="R283" t="str">
            <v>NA</v>
          </cell>
          <cell r="S283" t="str">
            <v>NA</v>
          </cell>
          <cell r="T283" t="str">
            <v>NA</v>
          </cell>
          <cell r="U283" t="str">
            <v>NA</v>
          </cell>
          <cell r="V283" t="str">
            <v>NA</v>
          </cell>
          <cell r="W283" t="str">
            <v>NA</v>
          </cell>
          <cell r="X283" t="str">
            <v>NA</v>
          </cell>
          <cell r="Y283" t="str">
            <v>NA</v>
          </cell>
          <cell r="Z283" t="str">
            <v>NA</v>
          </cell>
          <cell r="AA283" t="str">
            <v>NA</v>
          </cell>
          <cell r="AB283" t="str">
            <v>NA</v>
          </cell>
          <cell r="AC283" t="str">
            <v>NA</v>
          </cell>
          <cell r="AD283" t="str">
            <v>NA</v>
          </cell>
          <cell r="AE283" t="str">
            <v>NA</v>
          </cell>
          <cell r="AF283">
            <v>-1</v>
          </cell>
          <cell r="AG283" t="str">
            <v>NA</v>
          </cell>
          <cell r="AH283" t="str">
            <v>NA</v>
          </cell>
          <cell r="AI283" t="str">
            <v>NA</v>
          </cell>
          <cell r="AJ283" t="str">
            <v>NA</v>
          </cell>
          <cell r="AK283" t="str">
            <v>NA</v>
          </cell>
          <cell r="AL283" t="str">
            <v>NA</v>
          </cell>
          <cell r="AM283" t="str">
            <v>NA</v>
          </cell>
          <cell r="AN283" t="str">
            <v>NA</v>
          </cell>
          <cell r="AO283" t="str">
            <v>NA</v>
          </cell>
          <cell r="AP283" t="str">
            <v>NA</v>
          </cell>
          <cell r="AQ283" t="str">
            <v>NA</v>
          </cell>
          <cell r="AR283" t="str">
            <v>NA</v>
          </cell>
          <cell r="AS283" t="str">
            <v>NA</v>
          </cell>
          <cell r="AT283" t="str">
            <v>NA</v>
          </cell>
          <cell r="AU283" t="str">
            <v>NA</v>
          </cell>
          <cell r="AV283" t="str">
            <v>NA</v>
          </cell>
          <cell r="AW283" t="str">
            <v>NA</v>
          </cell>
          <cell r="AX283" t="str">
            <v>NA</v>
          </cell>
          <cell r="AY283" t="str">
            <v>NA</v>
          </cell>
          <cell r="AZ283" t="str">
            <v>NA</v>
          </cell>
          <cell r="BA283" t="str">
            <v>NA</v>
          </cell>
          <cell r="BB283" t="str">
            <v>NA</v>
          </cell>
          <cell r="BC283" t="str">
            <v>NA</v>
          </cell>
          <cell r="BD283" t="str">
            <v>NA</v>
          </cell>
          <cell r="BE283" t="str">
            <v>NA</v>
          </cell>
          <cell r="BF283" t="str">
            <v>NA</v>
          </cell>
          <cell r="BG283" t="str">
            <v>NA</v>
          </cell>
          <cell r="BH283" t="str">
            <v>NA</v>
          </cell>
          <cell r="BI283" t="str">
            <v>NA</v>
          </cell>
          <cell r="BJ283" t="str">
            <v>NA</v>
          </cell>
          <cell r="BK283" t="str">
            <v>NA</v>
          </cell>
          <cell r="BL283" t="str">
            <v>NA</v>
          </cell>
          <cell r="BM283" t="str">
            <v>NA</v>
          </cell>
          <cell r="BN283" t="str">
            <v>NA</v>
          </cell>
          <cell r="BO283" t="str">
            <v>NA</v>
          </cell>
          <cell r="BP283" t="str">
            <v>NA</v>
          </cell>
          <cell r="BQ283" t="str">
            <v>NA</v>
          </cell>
          <cell r="BR283" t="str">
            <v>NA</v>
          </cell>
          <cell r="BS283" t="str">
            <v>NA</v>
          </cell>
          <cell r="BT283" t="str">
            <v>NA</v>
          </cell>
          <cell r="BU283" t="str">
            <v>NA</v>
          </cell>
          <cell r="BV283" t="str">
            <v>NA</v>
          </cell>
          <cell r="BW283" t="str">
            <v>NA</v>
          </cell>
          <cell r="BX283" t="str">
            <v>NA</v>
          </cell>
          <cell r="BY283" t="str">
            <v>NA</v>
          </cell>
          <cell r="BZ283" t="str">
            <v>NA</v>
          </cell>
          <cell r="CA283" t="str">
            <v>NA</v>
          </cell>
          <cell r="CB283" t="str">
            <v>NA</v>
          </cell>
          <cell r="CC283" t="str">
            <v>NA</v>
          </cell>
          <cell r="CD283" t="str">
            <v>NA</v>
          </cell>
          <cell r="CE283" t="str">
            <v>NA</v>
          </cell>
          <cell r="CF283" t="str">
            <v>NA</v>
          </cell>
          <cell r="CG283" t="str">
            <v>NA</v>
          </cell>
          <cell r="CH283" t="str">
            <v>NA</v>
          </cell>
          <cell r="CI283" t="str">
            <v>NA</v>
          </cell>
          <cell r="CJ283" t="str">
            <v>NA</v>
          </cell>
          <cell r="CK283" t="str">
            <v>NA</v>
          </cell>
          <cell r="CL283" t="str">
            <v>NA</v>
          </cell>
          <cell r="CM283" t="str">
            <v>NA</v>
          </cell>
          <cell r="CN283" t="str">
            <v>NA</v>
          </cell>
          <cell r="CO283" t="str">
            <v>NA</v>
          </cell>
          <cell r="CP283" t="str">
            <v>NA</v>
          </cell>
          <cell r="CQ283" t="str">
            <v>NA</v>
          </cell>
          <cell r="CR283" t="str">
            <v>NA</v>
          </cell>
          <cell r="CS283" t="str">
            <v>NA</v>
          </cell>
          <cell r="CT283" t="str">
            <v>NA</v>
          </cell>
          <cell r="CU283" t="str">
            <v>NA</v>
          </cell>
          <cell r="CV283" t="str">
            <v>NA</v>
          </cell>
          <cell r="CW283" t="str">
            <v>NA</v>
          </cell>
          <cell r="CX283" t="str">
            <v>NA</v>
          </cell>
          <cell r="CY283" t="str">
            <v>NA</v>
          </cell>
          <cell r="CZ283" t="str">
            <v>NA</v>
          </cell>
          <cell r="DA283" t="str">
            <v>NA</v>
          </cell>
          <cell r="DB283" t="str">
            <v>NA</v>
          </cell>
          <cell r="DC283"/>
          <cell r="DD283"/>
          <cell r="DE283"/>
          <cell r="DF283"/>
          <cell r="DG283"/>
          <cell r="DH283"/>
          <cell r="DI283"/>
          <cell r="DJ283"/>
          <cell r="DK283"/>
          <cell r="DL283"/>
          <cell r="DM283"/>
          <cell r="DN283"/>
          <cell r="DO283"/>
        </row>
        <row r="284">
          <cell r="A284"/>
          <cell r="B284"/>
          <cell r="C284"/>
          <cell r="D284"/>
          <cell r="E284"/>
          <cell r="F284"/>
          <cell r="G284"/>
          <cell r="H284"/>
          <cell r="I284"/>
          <cell r="J284"/>
          <cell r="K284"/>
          <cell r="L284"/>
          <cell r="M284"/>
          <cell r="N284"/>
          <cell r="O284"/>
          <cell r="P284"/>
          <cell r="Q284"/>
          <cell r="R284"/>
          <cell r="S284"/>
          <cell r="T284"/>
          <cell r="U284"/>
          <cell r="V284"/>
          <cell r="W284"/>
          <cell r="X284"/>
          <cell r="Y284"/>
          <cell r="Z284"/>
          <cell r="AA284"/>
          <cell r="AB284"/>
          <cell r="AC284"/>
          <cell r="AD284"/>
          <cell r="AE284"/>
          <cell r="AF284"/>
          <cell r="AG284"/>
          <cell r="AH284"/>
          <cell r="AI284"/>
          <cell r="AJ284"/>
          <cell r="AK284"/>
          <cell r="AL284"/>
          <cell r="AM284"/>
          <cell r="AN284"/>
          <cell r="AO284"/>
          <cell r="AP284"/>
          <cell r="AQ284"/>
          <cell r="AR284"/>
          <cell r="AS284"/>
          <cell r="AT284"/>
          <cell r="AU284"/>
          <cell r="AV284"/>
          <cell r="AW284"/>
          <cell r="AX284"/>
          <cell r="AY284"/>
          <cell r="AZ284"/>
          <cell r="BA284"/>
          <cell r="BB284"/>
          <cell r="BC284"/>
          <cell r="BD284"/>
          <cell r="BE284"/>
          <cell r="BF284"/>
          <cell r="BG284"/>
          <cell r="BH284"/>
          <cell r="BI284"/>
          <cell r="BJ284"/>
          <cell r="BK284"/>
          <cell r="BL284"/>
          <cell r="BM284"/>
          <cell r="BN284"/>
          <cell r="BO284"/>
          <cell r="BP284"/>
          <cell r="BQ284"/>
          <cell r="BR284"/>
          <cell r="BS284"/>
          <cell r="BT284"/>
          <cell r="BU284"/>
          <cell r="BV284"/>
          <cell r="BW284"/>
          <cell r="BX284"/>
          <cell r="BY284"/>
          <cell r="BZ284"/>
          <cell r="CA284"/>
          <cell r="CB284"/>
          <cell r="CC284"/>
          <cell r="CD284"/>
          <cell r="CE284"/>
          <cell r="CF284"/>
          <cell r="CG284"/>
          <cell r="CH284"/>
          <cell r="CI284"/>
          <cell r="CJ284"/>
          <cell r="CK284"/>
          <cell r="CL284"/>
          <cell r="CM284"/>
          <cell r="CN284"/>
          <cell r="CO284"/>
          <cell r="CP284"/>
          <cell r="CQ284"/>
          <cell r="CR284"/>
          <cell r="CS284"/>
          <cell r="CT284"/>
          <cell r="CU284"/>
          <cell r="CV284"/>
          <cell r="CW284"/>
          <cell r="CX284"/>
          <cell r="CY284"/>
          <cell r="CZ284"/>
          <cell r="DA284"/>
          <cell r="DB284"/>
          <cell r="DC284"/>
          <cell r="DD284"/>
          <cell r="DE284"/>
          <cell r="DF284"/>
          <cell r="DG284"/>
          <cell r="DH284"/>
          <cell r="DI284"/>
          <cell r="DJ284"/>
          <cell r="DK284"/>
          <cell r="DL284"/>
          <cell r="DM284"/>
          <cell r="DN284"/>
          <cell r="DO284"/>
        </row>
        <row r="285">
          <cell r="A285" t="str">
            <v>Software licenses updates</v>
          </cell>
          <cell r="B285"/>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2.5689999999999884</v>
          </cell>
          <cell r="BD285">
            <v>2.5079999999999814</v>
          </cell>
          <cell r="BE285">
            <v>2.8790000000000191</v>
          </cell>
          <cell r="BF285">
            <v>1.5580000000000496</v>
          </cell>
          <cell r="BG285">
            <v>2.188999999999993</v>
          </cell>
          <cell r="BH285">
            <v>2.6539999999999679</v>
          </cell>
          <cell r="BI285">
            <v>1.8409999999999798</v>
          </cell>
          <cell r="BJ285">
            <v>1.6549999999999727</v>
          </cell>
          <cell r="BK285">
            <v>2.6209999999999809</v>
          </cell>
          <cell r="BL285">
            <v>2.6100000000000136</v>
          </cell>
          <cell r="BM285">
            <v>3.2270000000000323</v>
          </cell>
          <cell r="BN285">
            <v>2.9250000000000682</v>
          </cell>
          <cell r="BO285">
            <v>2.9820000000000277</v>
          </cell>
          <cell r="BP285">
            <v>4.0330000000000155</v>
          </cell>
          <cell r="BQ285">
            <v>3.6190000000000282</v>
          </cell>
          <cell r="BR285">
            <v>2.6190000000000282</v>
          </cell>
          <cell r="BS285">
            <v>2.0419999999999305</v>
          </cell>
          <cell r="BT285">
            <v>2.4189999999999756</v>
          </cell>
          <cell r="BU285">
            <v>1.8939999999999912</v>
          </cell>
          <cell r="BV285">
            <v>1.9510000000000289</v>
          </cell>
          <cell r="BW285">
            <v>1.5999999999898762E-2</v>
          </cell>
          <cell r="BX285">
            <v>3.4999999999961062E-2</v>
          </cell>
          <cell r="BY285">
            <v>8.4999999999993747E-2</v>
          </cell>
          <cell r="BZ285">
            <v>0.16500000000004889</v>
          </cell>
          <cell r="CA285">
            <v>0.12299999999993361</v>
          </cell>
          <cell r="CB285">
            <v>0.15200000000011471</v>
          </cell>
          <cell r="CC285">
            <v>9.999999999998721E-2</v>
          </cell>
          <cell r="CD285">
            <v>0.15600000000006276</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cell r="DD285"/>
          <cell r="DE285">
            <v>0</v>
          </cell>
          <cell r="DF285">
            <v>0</v>
          </cell>
          <cell r="DG285">
            <v>0</v>
          </cell>
          <cell r="DH285">
            <v>0</v>
          </cell>
          <cell r="DI285">
            <v>0</v>
          </cell>
          <cell r="DJ285">
            <v>0</v>
          </cell>
          <cell r="DK285">
            <v>0</v>
          </cell>
          <cell r="DL285">
            <v>0</v>
          </cell>
          <cell r="DM285">
            <v>0</v>
          </cell>
          <cell r="DN285">
            <v>0</v>
          </cell>
          <cell r="DO285">
            <v>0</v>
          </cell>
        </row>
        <row r="286">
          <cell r="A286" t="str">
            <v>% of revenue</v>
          </cell>
          <cell r="B286"/>
          <cell r="C286" t="e">
            <v>#DIV/0!</v>
          </cell>
          <cell r="D286" t="e">
            <v>#DIV/0!</v>
          </cell>
          <cell r="E286" t="e">
            <v>#DIV/0!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5.2333729893580374E-3</v>
          </cell>
          <cell r="BD286">
            <v>4.7250324987282762E-3</v>
          </cell>
          <cell r="BE286">
            <v>5.0924386395636307E-3</v>
          </cell>
          <cell r="BF286">
            <v>2.5154755023686312E-3</v>
          </cell>
          <cell r="BG286">
            <v>3.7133478655459215E-3</v>
          </cell>
          <cell r="BH286">
            <v>4.3139740901480279E-3</v>
          </cell>
          <cell r="BI286">
            <v>2.8701853070209312E-3</v>
          </cell>
          <cell r="BJ286">
            <v>2.2364985756679399E-3</v>
          </cell>
          <cell r="BK286">
            <v>3.895086781225683E-3</v>
          </cell>
          <cell r="BL286">
            <v>3.5734627264562388E-3</v>
          </cell>
          <cell r="BM286">
            <v>4.5276548936415452E-3</v>
          </cell>
          <cell r="BN286">
            <v>3.6452231998206279E-3</v>
          </cell>
          <cell r="BO286">
            <v>3.9716629440651177E-3</v>
          </cell>
          <cell r="BP286">
            <v>5.1601924356415576E-3</v>
          </cell>
          <cell r="BQ286">
            <v>4.7681536349431335E-3</v>
          </cell>
          <cell r="BR286">
            <v>3.0758100866371124E-3</v>
          </cell>
          <cell r="BS286">
            <v>2.6840097686387926E-3</v>
          </cell>
          <cell r="BT286">
            <v>3.0360497967390084E-3</v>
          </cell>
          <cell r="BU286">
            <v>2.3288698710145356E-3</v>
          </cell>
          <cell r="BV286">
            <v>2.1563658107151031E-3</v>
          </cell>
          <cell r="BW286">
            <v>2.428757705597947E-5</v>
          </cell>
          <cell r="BX286">
            <v>5.1929784995795265E-5</v>
          </cell>
          <cell r="BY286">
            <v>1.2710546463775503E-4</v>
          </cell>
          <cell r="BZ286">
            <v>2.2461692604256134E-4</v>
          </cell>
          <cell r="CA286">
            <v>1.8561078775924565E-4</v>
          </cell>
          <cell r="CB286">
            <v>2.1926439679948226E-4</v>
          </cell>
          <cell r="CC286">
            <v>1.4473350942575131E-4</v>
          </cell>
          <cell r="CD286">
            <v>2.0055100101954825E-4</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cell r="DD286"/>
          <cell r="DE286">
            <v>0</v>
          </cell>
          <cell r="DF286">
            <v>0</v>
          </cell>
          <cell r="DG286">
            <v>0</v>
          </cell>
          <cell r="DH286">
            <v>0</v>
          </cell>
          <cell r="DI286">
            <v>0</v>
          </cell>
          <cell r="DJ286">
            <v>0</v>
          </cell>
          <cell r="DK286">
            <v>0</v>
          </cell>
          <cell r="DL286">
            <v>0</v>
          </cell>
          <cell r="DM286">
            <v>0</v>
          </cell>
          <cell r="DN286">
            <v>0</v>
          </cell>
          <cell r="DO286">
            <v>0</v>
          </cell>
        </row>
        <row r="287">
          <cell r="A287" t="str">
            <v>% growth in revenue y-o-y</v>
          </cell>
          <cell r="B287"/>
          <cell r="C287" t="str">
            <v>NA</v>
          </cell>
          <cell r="D287" t="str">
            <v>NA</v>
          </cell>
          <cell r="E287" t="str">
            <v>NA</v>
          </cell>
          <cell r="F287" t="str">
            <v>NA</v>
          </cell>
          <cell r="G287" t="str">
            <v>NA</v>
          </cell>
          <cell r="H287" t="str">
            <v>NA</v>
          </cell>
          <cell r="I287" t="str">
            <v>NA</v>
          </cell>
          <cell r="J287" t="str">
            <v>NA</v>
          </cell>
          <cell r="K287" t="str">
            <v>NA</v>
          </cell>
          <cell r="L287" t="str">
            <v>NA</v>
          </cell>
          <cell r="M287" t="str">
            <v>NA</v>
          </cell>
          <cell r="N287" t="str">
            <v>NA</v>
          </cell>
          <cell r="O287" t="str">
            <v>NA</v>
          </cell>
          <cell r="P287" t="str">
            <v>NA</v>
          </cell>
          <cell r="Q287" t="str">
            <v>NA</v>
          </cell>
          <cell r="R287" t="str">
            <v>NA</v>
          </cell>
          <cell r="S287" t="str">
            <v>NA</v>
          </cell>
          <cell r="T287" t="str">
            <v>NA</v>
          </cell>
          <cell r="U287" t="str">
            <v>NA</v>
          </cell>
          <cell r="V287" t="str">
            <v>NA</v>
          </cell>
          <cell r="W287" t="str">
            <v>NA</v>
          </cell>
          <cell r="X287" t="str">
            <v>NA</v>
          </cell>
          <cell r="Y287" t="str">
            <v>NA</v>
          </cell>
          <cell r="Z287" t="str">
            <v>NA</v>
          </cell>
          <cell r="AA287" t="str">
            <v>NA</v>
          </cell>
          <cell r="AB287" t="str">
            <v>NA</v>
          </cell>
          <cell r="AC287" t="str">
            <v>NA</v>
          </cell>
          <cell r="AD287" t="str">
            <v>NA</v>
          </cell>
          <cell r="AE287" t="str">
            <v>NA</v>
          </cell>
          <cell r="AF287" t="str">
            <v>NA</v>
          </cell>
          <cell r="AG287" t="str">
            <v>NA</v>
          </cell>
          <cell r="AH287" t="str">
            <v>NA</v>
          </cell>
          <cell r="AI287" t="str">
            <v>NA</v>
          </cell>
          <cell r="AJ287" t="str">
            <v>NA</v>
          </cell>
          <cell r="AK287" t="str">
            <v>NA</v>
          </cell>
          <cell r="AL287" t="str">
            <v>NA</v>
          </cell>
          <cell r="AM287" t="str">
            <v>NA</v>
          </cell>
          <cell r="AN287" t="str">
            <v>NA</v>
          </cell>
          <cell r="AO287" t="str">
            <v>NA</v>
          </cell>
          <cell r="AP287" t="str">
            <v>NA</v>
          </cell>
          <cell r="AQ287" t="str">
            <v>NA</v>
          </cell>
          <cell r="AR287" t="str">
            <v>NA</v>
          </cell>
          <cell r="AS287" t="str">
            <v>NA</v>
          </cell>
          <cell r="AT287" t="str">
            <v>NA</v>
          </cell>
          <cell r="AU287" t="str">
            <v>NA</v>
          </cell>
          <cell r="AV287" t="str">
            <v>NA</v>
          </cell>
          <cell r="AW287" t="str">
            <v>NA</v>
          </cell>
          <cell r="AX287" t="str">
            <v>NA</v>
          </cell>
          <cell r="AY287" t="str">
            <v>NA</v>
          </cell>
          <cell r="AZ287" t="str">
            <v>NA</v>
          </cell>
          <cell r="BA287" t="str">
            <v>NA</v>
          </cell>
          <cell r="BB287" t="str">
            <v>NA</v>
          </cell>
          <cell r="BC287" t="str">
            <v>NA</v>
          </cell>
          <cell r="BD287" t="str">
            <v>NA</v>
          </cell>
          <cell r="BE287" t="str">
            <v>NA</v>
          </cell>
          <cell r="BF287" t="str">
            <v>NA</v>
          </cell>
          <cell r="BG287">
            <v>-0.14791747761774898</v>
          </cell>
          <cell r="BH287">
            <v>5.8213716108447944E-2</v>
          </cell>
          <cell r="BI287">
            <v>-0.36054185481070944</v>
          </cell>
          <cell r="BJ287">
            <v>6.225930680354308E-2</v>
          </cell>
          <cell r="BK287">
            <v>0.19735038830515728</v>
          </cell>
          <cell r="BL287">
            <v>-1.6578749058008602E-2</v>
          </cell>
          <cell r="BM287">
            <v>0.75285171102665283</v>
          </cell>
          <cell r="BN287">
            <v>0.76737160120852965</v>
          </cell>
          <cell r="BO287">
            <v>0.13773368943153352</v>
          </cell>
          <cell r="BP287">
            <v>0.54521072796934655</v>
          </cell>
          <cell r="BQ287">
            <v>0.12147505422993254</v>
          </cell>
          <cell r="BR287">
            <v>-0.10461538461539588</v>
          </cell>
          <cell r="BS287">
            <v>-0.31522468142189419</v>
          </cell>
          <cell r="BT287">
            <v>-0.40019836350112414</v>
          </cell>
          <cell r="BU287">
            <v>-0.4766510085659087</v>
          </cell>
          <cell r="BV287">
            <v>-0.25505918289423146</v>
          </cell>
          <cell r="BW287">
            <v>-0.99216454456420211</v>
          </cell>
          <cell r="BX287">
            <v>-0.98553121124433174</v>
          </cell>
          <cell r="BY287">
            <v>-0.95512143611404743</v>
          </cell>
          <cell r="BZ287">
            <v>-0.91542798564836159</v>
          </cell>
          <cell r="CA287">
            <v>6.6875000000444924</v>
          </cell>
          <cell r="CB287">
            <v>3.3428571428652516</v>
          </cell>
          <cell r="CC287">
            <v>0.17647058823523021</v>
          </cell>
          <cell r="CD287">
            <v>-5.454545454535431E-2</v>
          </cell>
          <cell r="CE287">
            <v>-1</v>
          </cell>
          <cell r="CF287">
            <v>-1</v>
          </cell>
          <cell r="CG287">
            <v>-1</v>
          </cell>
          <cell r="CH287">
            <v>-1</v>
          </cell>
          <cell r="CI287" t="str">
            <v>NA</v>
          </cell>
          <cell r="CJ287" t="str">
            <v>NA</v>
          </cell>
          <cell r="CK287" t="str">
            <v>NA</v>
          </cell>
          <cell r="CL287" t="str">
            <v>NA</v>
          </cell>
          <cell r="CM287" t="str">
            <v>NA</v>
          </cell>
          <cell r="CN287" t="str">
            <v>NA</v>
          </cell>
          <cell r="CO287" t="str">
            <v>NA</v>
          </cell>
          <cell r="CP287" t="str">
            <v>NA</v>
          </cell>
          <cell r="CQ287" t="str">
            <v>NA</v>
          </cell>
          <cell r="CR287" t="str">
            <v>NA</v>
          </cell>
          <cell r="CS287" t="str">
            <v>NA</v>
          </cell>
          <cell r="CT287" t="str">
            <v>NA</v>
          </cell>
          <cell r="CU287" t="str">
            <v>NA</v>
          </cell>
          <cell r="CV287" t="str">
            <v>NA</v>
          </cell>
          <cell r="CW287" t="str">
            <v>NA</v>
          </cell>
          <cell r="CX287" t="str">
            <v>NA</v>
          </cell>
          <cell r="CY287" t="str">
            <v>NA</v>
          </cell>
          <cell r="CZ287" t="str">
            <v>NA</v>
          </cell>
          <cell r="DA287" t="str">
            <v>NA</v>
          </cell>
          <cell r="DB287" t="str">
            <v>NA</v>
          </cell>
          <cell r="DC287"/>
          <cell r="DD287" t="str">
            <v>NA</v>
          </cell>
          <cell r="DE287" t="str">
            <v>NA</v>
          </cell>
          <cell r="DF287" t="str">
            <v>NA</v>
          </cell>
          <cell r="DG287" t="str">
            <v>NA</v>
          </cell>
          <cell r="DH287" t="str">
            <v>NA</v>
          </cell>
          <cell r="DI287" t="str">
            <v>NA</v>
          </cell>
          <cell r="DJ287" t="str">
            <v>NA</v>
          </cell>
          <cell r="DK287" t="str">
            <v>NA</v>
          </cell>
          <cell r="DL287" t="str">
            <v>NA</v>
          </cell>
          <cell r="DM287" t="str">
            <v>NA</v>
          </cell>
          <cell r="DN287" t="str">
            <v>NA</v>
          </cell>
          <cell r="DO287" t="str">
            <v>NA</v>
          </cell>
        </row>
        <row r="288">
          <cell r="A288" t="str">
            <v>% growth in revenue seq</v>
          </cell>
          <cell r="B288"/>
          <cell r="C288" t="str">
            <v>NA</v>
          </cell>
          <cell r="D288" t="str">
            <v>NA</v>
          </cell>
          <cell r="E288" t="str">
            <v>NA</v>
          </cell>
          <cell r="F288" t="str">
            <v>NA</v>
          </cell>
          <cell r="G288" t="str">
            <v>NA</v>
          </cell>
          <cell r="H288" t="str">
            <v>NA</v>
          </cell>
          <cell r="I288" t="str">
            <v>NA</v>
          </cell>
          <cell r="J288" t="str">
            <v>NA</v>
          </cell>
          <cell r="K288" t="str">
            <v>NA</v>
          </cell>
          <cell r="L288" t="str">
            <v>NA</v>
          </cell>
          <cell r="M288" t="str">
            <v>NA</v>
          </cell>
          <cell r="N288" t="str">
            <v>NA</v>
          </cell>
          <cell r="O288" t="str">
            <v>NA</v>
          </cell>
          <cell r="P288" t="str">
            <v>NA</v>
          </cell>
          <cell r="Q288" t="str">
            <v>NA</v>
          </cell>
          <cell r="R288" t="str">
            <v>NA</v>
          </cell>
          <cell r="S288" t="str">
            <v>NA</v>
          </cell>
          <cell r="T288" t="str">
            <v>NA</v>
          </cell>
          <cell r="U288" t="str">
            <v>NA</v>
          </cell>
          <cell r="V288" t="str">
            <v>NA</v>
          </cell>
          <cell r="W288" t="str">
            <v>NA</v>
          </cell>
          <cell r="X288" t="str">
            <v>NA</v>
          </cell>
          <cell r="Y288" t="str">
            <v>NA</v>
          </cell>
          <cell r="Z288" t="str">
            <v>NA</v>
          </cell>
          <cell r="AA288" t="str">
            <v>NA</v>
          </cell>
          <cell r="AB288" t="str">
            <v>NA</v>
          </cell>
          <cell r="AC288" t="str">
            <v>NA</v>
          </cell>
          <cell r="AD288" t="str">
            <v>NA</v>
          </cell>
          <cell r="AE288" t="str">
            <v>NA</v>
          </cell>
          <cell r="AF288" t="str">
            <v>NA</v>
          </cell>
          <cell r="AG288" t="str">
            <v>NA</v>
          </cell>
          <cell r="AH288" t="str">
            <v>NA</v>
          </cell>
          <cell r="AI288" t="str">
            <v>NA</v>
          </cell>
          <cell r="AJ288" t="str">
            <v>NA</v>
          </cell>
          <cell r="AK288" t="str">
            <v>NA</v>
          </cell>
          <cell r="AL288" t="str">
            <v>NA</v>
          </cell>
          <cell r="AM288" t="str">
            <v>NA</v>
          </cell>
          <cell r="AN288" t="str">
            <v>NA</v>
          </cell>
          <cell r="AO288" t="str">
            <v>NA</v>
          </cell>
          <cell r="AP288" t="str">
            <v>NA</v>
          </cell>
          <cell r="AQ288" t="str">
            <v>NA</v>
          </cell>
          <cell r="AR288" t="str">
            <v>NA</v>
          </cell>
          <cell r="AS288" t="str">
            <v>NA</v>
          </cell>
          <cell r="AT288" t="str">
            <v>NA</v>
          </cell>
          <cell r="AU288" t="str">
            <v>NA</v>
          </cell>
          <cell r="AV288" t="str">
            <v>NA</v>
          </cell>
          <cell r="AW288" t="str">
            <v>NA</v>
          </cell>
          <cell r="AX288" t="str">
            <v>NA</v>
          </cell>
          <cell r="AY288" t="str">
            <v>NA</v>
          </cell>
          <cell r="AZ288" t="str">
            <v>NA</v>
          </cell>
          <cell r="BA288" t="str">
            <v>NA</v>
          </cell>
          <cell r="BB288" t="str">
            <v>NA</v>
          </cell>
          <cell r="BC288" t="str">
            <v>NA</v>
          </cell>
          <cell r="BD288">
            <v>-2.374464772285223E-2</v>
          </cell>
          <cell r="BE288">
            <v>0.14792663476875623</v>
          </cell>
          <cell r="BF288">
            <v>-0.45883987495656853</v>
          </cell>
          <cell r="BG288">
            <v>0.40500641848518826</v>
          </cell>
          <cell r="BH288">
            <v>0.21242576518957357</v>
          </cell>
          <cell r="BI288">
            <v>-0.30633006782215444</v>
          </cell>
          <cell r="BJ288">
            <v>-0.10103204780011354</v>
          </cell>
          <cell r="BK288">
            <v>0.58368580060424424</v>
          </cell>
          <cell r="BL288">
            <v>-4.1968714231085391E-3</v>
          </cell>
          <cell r="BM288">
            <v>0.23639846743295601</v>
          </cell>
          <cell r="BN288">
            <v>-9.3585373411825601E-2</v>
          </cell>
          <cell r="BO288">
            <v>1.9487179487165163E-2</v>
          </cell>
          <cell r="BP288">
            <v>0.35244802146209864</v>
          </cell>
          <cell r="BQ288">
            <v>-0.10265311182742021</v>
          </cell>
          <cell r="BR288">
            <v>-0.27631942525559328</v>
          </cell>
          <cell r="BS288">
            <v>-0.22031309660179133</v>
          </cell>
          <cell r="BT288">
            <v>0.18462291870717817</v>
          </cell>
          <cell r="BU288">
            <v>-0.21703183133525827</v>
          </cell>
          <cell r="BV288">
            <v>3.0095036958837307E-2</v>
          </cell>
          <cell r="BW288">
            <v>-0.99179907739625905</v>
          </cell>
          <cell r="BX288">
            <v>1.1875000000114078</v>
          </cell>
          <cell r="BY288">
            <v>1.4285714285739517</v>
          </cell>
          <cell r="BZ288">
            <v>0.94117647058895315</v>
          </cell>
          <cell r="CA288">
            <v>-0.2545454545460778</v>
          </cell>
          <cell r="CB288">
            <v>0.23577235772517691</v>
          </cell>
          <cell r="CC288">
            <v>-0.34210526315847534</v>
          </cell>
          <cell r="CD288">
            <v>0.56000000000082717</v>
          </cell>
          <cell r="CE288">
            <v>-1</v>
          </cell>
          <cell r="CF288" t="str">
            <v>NA</v>
          </cell>
          <cell r="CG288" t="str">
            <v>NA</v>
          </cell>
          <cell r="CH288" t="str">
            <v>NA</v>
          </cell>
          <cell r="CI288" t="str">
            <v>NA</v>
          </cell>
          <cell r="CJ288" t="str">
            <v>NA</v>
          </cell>
          <cell r="CK288" t="str">
            <v>NA</v>
          </cell>
          <cell r="CL288" t="str">
            <v>NA</v>
          </cell>
          <cell r="CM288" t="str">
            <v>NA</v>
          </cell>
          <cell r="CN288" t="str">
            <v>NA</v>
          </cell>
          <cell r="CO288" t="str">
            <v>NA</v>
          </cell>
          <cell r="CP288" t="str">
            <v>NA</v>
          </cell>
          <cell r="CQ288" t="str">
            <v>NA</v>
          </cell>
          <cell r="CR288" t="str">
            <v>NA</v>
          </cell>
          <cell r="CS288" t="str">
            <v>NA</v>
          </cell>
          <cell r="CT288" t="str">
            <v>NA</v>
          </cell>
          <cell r="CU288" t="str">
            <v>NA</v>
          </cell>
          <cell r="CV288" t="str">
            <v>NA</v>
          </cell>
          <cell r="CW288" t="str">
            <v>NA</v>
          </cell>
          <cell r="CX288" t="str">
            <v>NA</v>
          </cell>
          <cell r="CY288" t="str">
            <v>NA</v>
          </cell>
          <cell r="CZ288" t="str">
            <v>NA</v>
          </cell>
          <cell r="DA288" t="str">
            <v>NA</v>
          </cell>
          <cell r="DB288" t="str">
            <v>NA</v>
          </cell>
          <cell r="DC288"/>
          <cell r="DD288"/>
          <cell r="DE288"/>
          <cell r="DF288"/>
          <cell r="DG288"/>
          <cell r="DH288"/>
          <cell r="DI288"/>
          <cell r="DJ288"/>
          <cell r="DK288"/>
          <cell r="DL288"/>
          <cell r="DM288"/>
          <cell r="DN288"/>
          <cell r="DO288"/>
        </row>
        <row r="289">
          <cell r="A289"/>
          <cell r="B289"/>
          <cell r="C289"/>
          <cell r="D289"/>
          <cell r="E289"/>
          <cell r="F289"/>
          <cell r="G289"/>
          <cell r="H289"/>
          <cell r="I289"/>
          <cell r="J289"/>
          <cell r="K289"/>
          <cell r="L289"/>
          <cell r="M289"/>
          <cell r="N289"/>
          <cell r="O289"/>
          <cell r="P289"/>
          <cell r="Q289"/>
          <cell r="R289"/>
          <cell r="S289"/>
          <cell r="T289"/>
          <cell r="U289"/>
          <cell r="V289"/>
          <cell r="W289"/>
          <cell r="X289"/>
          <cell r="Y289"/>
          <cell r="Z289"/>
          <cell r="AA289"/>
          <cell r="AB289"/>
          <cell r="AC289"/>
          <cell r="AD289"/>
          <cell r="AE289"/>
          <cell r="AF289"/>
          <cell r="AG289"/>
          <cell r="AH289"/>
          <cell r="AI289"/>
          <cell r="AJ289"/>
          <cell r="AK289"/>
          <cell r="AL289"/>
          <cell r="AM289"/>
          <cell r="AN289"/>
          <cell r="AO289"/>
          <cell r="AP289"/>
          <cell r="AQ289"/>
          <cell r="AR289"/>
          <cell r="AS289"/>
          <cell r="AT289"/>
          <cell r="AU289"/>
          <cell r="AV289"/>
          <cell r="AW289"/>
          <cell r="AX289"/>
          <cell r="AY289"/>
          <cell r="AZ289"/>
          <cell r="BA289"/>
          <cell r="BB289"/>
          <cell r="BC289"/>
          <cell r="BD289"/>
          <cell r="BE289"/>
          <cell r="BF289"/>
          <cell r="BG289"/>
          <cell r="BH289"/>
          <cell r="BI289"/>
          <cell r="BJ289"/>
          <cell r="BK289"/>
          <cell r="BL289"/>
          <cell r="BM289"/>
          <cell r="BN289"/>
          <cell r="BO289"/>
          <cell r="BP289"/>
          <cell r="BQ289"/>
          <cell r="BR289"/>
          <cell r="BS289"/>
          <cell r="BT289"/>
          <cell r="BU289"/>
          <cell r="BV289"/>
          <cell r="BW289"/>
          <cell r="BX289"/>
          <cell r="BY289"/>
          <cell r="BZ289"/>
          <cell r="CA289"/>
          <cell r="CB289"/>
          <cell r="CC289"/>
          <cell r="CD289"/>
          <cell r="CE289"/>
          <cell r="CF289"/>
          <cell r="CG289"/>
          <cell r="CH289"/>
          <cell r="CI289"/>
          <cell r="CJ289"/>
          <cell r="CK289"/>
          <cell r="CL289"/>
          <cell r="CM289"/>
          <cell r="CN289"/>
          <cell r="CO289"/>
          <cell r="CP289"/>
          <cell r="CQ289"/>
          <cell r="CR289"/>
          <cell r="CS289"/>
          <cell r="CT289"/>
          <cell r="CU289"/>
          <cell r="CV289"/>
          <cell r="CW289"/>
          <cell r="CX289"/>
          <cell r="CY289"/>
          <cell r="CZ289"/>
          <cell r="DA289"/>
          <cell r="DB289"/>
          <cell r="DC289"/>
          <cell r="DD289"/>
          <cell r="DE289"/>
          <cell r="DF289"/>
          <cell r="DG289"/>
          <cell r="DH289"/>
          <cell r="DI289"/>
          <cell r="DJ289"/>
          <cell r="DK289"/>
          <cell r="DL289"/>
          <cell r="DM289"/>
          <cell r="DN289"/>
          <cell r="DO289"/>
        </row>
        <row r="290">
          <cell r="A290" t="str">
            <v>Services</v>
          </cell>
          <cell r="B290"/>
          <cell r="C290">
            <v>0</v>
          </cell>
          <cell r="D290">
            <v>0</v>
          </cell>
          <cell r="E290">
            <v>0</v>
          </cell>
          <cell r="F290">
            <v>0</v>
          </cell>
          <cell r="G290">
            <v>9.8730000000000047</v>
          </cell>
          <cell r="H290">
            <v>9.9399999999999977</v>
          </cell>
          <cell r="I290">
            <v>10.009</v>
          </cell>
          <cell r="J290">
            <v>10.007999999999996</v>
          </cell>
          <cell r="K290">
            <v>9.9410000000000025</v>
          </cell>
          <cell r="L290">
            <v>9.9399999999999977</v>
          </cell>
          <cell r="M290">
            <v>10.009</v>
          </cell>
          <cell r="N290">
            <v>10.00800000000001</v>
          </cell>
          <cell r="O290">
            <v>9.8719999999999999</v>
          </cell>
          <cell r="P290">
            <v>9.9399999999999977</v>
          </cell>
          <cell r="Q290">
            <v>10.009000000000015</v>
          </cell>
          <cell r="R290">
            <v>10.008999999999986</v>
          </cell>
          <cell r="S290">
            <v>9.8720000000000141</v>
          </cell>
          <cell r="T290">
            <v>4.2099999999999937</v>
          </cell>
          <cell r="U290">
            <v>0</v>
          </cell>
          <cell r="V290">
            <v>0</v>
          </cell>
          <cell r="W290">
            <v>0</v>
          </cell>
          <cell r="X290">
            <v>0</v>
          </cell>
          <cell r="Y290">
            <v>0</v>
          </cell>
          <cell r="Z290">
            <v>0</v>
          </cell>
          <cell r="AA290">
            <v>-7.5495165674510645E-15</v>
          </cell>
          <cell r="AB290">
            <v>0</v>
          </cell>
          <cell r="AC290">
            <v>0</v>
          </cell>
          <cell r="AD290">
            <v>0</v>
          </cell>
          <cell r="AE290">
            <v>0.56802899999999112</v>
          </cell>
          <cell r="AF290">
            <v>0.39760599999997837</v>
          </cell>
          <cell r="AG290">
            <v>0.72075500000001469</v>
          </cell>
          <cell r="AH290">
            <v>0.46693200000001767</v>
          </cell>
          <cell r="AI290">
            <v>0.53064499999998205</v>
          </cell>
          <cell r="AJ290">
            <v>0.95724600000000493</v>
          </cell>
          <cell r="AK290">
            <v>1.7642049999999969</v>
          </cell>
          <cell r="AL290">
            <v>1.4084365000000005</v>
          </cell>
          <cell r="AM290">
            <v>4.650000000000027</v>
          </cell>
          <cell r="AN290">
            <v>6.2629999999999768</v>
          </cell>
          <cell r="AO290">
            <v>5.3269999999999698</v>
          </cell>
          <cell r="AP290">
            <v>6.4306190000000072</v>
          </cell>
          <cell r="AQ290">
            <v>7.051249999999996</v>
          </cell>
          <cell r="AR290">
            <v>5.949687499999996</v>
          </cell>
          <cell r="AS290">
            <v>9.3827561250000002</v>
          </cell>
          <cell r="AT290">
            <v>11.248730468749997</v>
          </cell>
          <cell r="AU290">
            <v>4.7775960000000026</v>
          </cell>
          <cell r="AV290">
            <v>4.1787179999999609</v>
          </cell>
          <cell r="AW290">
            <v>3.0629029999999773</v>
          </cell>
          <cell r="AX290">
            <v>6.3919599999999832</v>
          </cell>
          <cell r="AY290">
            <v>15.206458999999995</v>
          </cell>
          <cell r="AZ290">
            <v>18.710459999999983</v>
          </cell>
          <cell r="BA290">
            <v>19.243640999999997</v>
          </cell>
          <cell r="BB290">
            <v>24.90973500000004</v>
          </cell>
          <cell r="BC290">
            <v>19.477</v>
          </cell>
          <cell r="BD290">
            <v>21.303000000000001</v>
          </cell>
          <cell r="BE290">
            <v>23.210999999999999</v>
          </cell>
          <cell r="BF290">
            <v>27.504000000000001</v>
          </cell>
          <cell r="BG290">
            <v>25.873000000000001</v>
          </cell>
          <cell r="BH290">
            <v>29.245999999999999</v>
          </cell>
          <cell r="BI290">
            <v>31.021999999999998</v>
          </cell>
          <cell r="BJ290">
            <v>32.92</v>
          </cell>
          <cell r="BK290">
            <v>26.512</v>
          </cell>
          <cell r="BL290">
            <v>36.415999999999997</v>
          </cell>
          <cell r="BM290">
            <v>33.725000000000001</v>
          </cell>
          <cell r="BN290">
            <v>42.225999999999999</v>
          </cell>
          <cell r="BO290">
            <v>42.505000000000003</v>
          </cell>
          <cell r="BP290">
            <v>41.948</v>
          </cell>
          <cell r="BQ290">
            <v>42.322000000000003</v>
          </cell>
          <cell r="BR290">
            <v>48.765999999999998</v>
          </cell>
          <cell r="BS290">
            <v>36.86</v>
          </cell>
          <cell r="BT290">
            <v>37.04</v>
          </cell>
          <cell r="BU290">
            <v>36.676000000000002</v>
          </cell>
          <cell r="BV290">
            <v>36.911999999999999</v>
          </cell>
          <cell r="BW290">
            <v>32.606999999999999</v>
          </cell>
          <cell r="BX290">
            <v>34.851999999999997</v>
          </cell>
          <cell r="BY290">
            <v>29.850999999999999</v>
          </cell>
          <cell r="BZ290">
            <v>33.918999999999997</v>
          </cell>
          <cell r="CA290">
            <v>29.594999999999999</v>
          </cell>
          <cell r="CB290">
            <v>31.677</v>
          </cell>
          <cell r="CC290">
            <v>32.061999999999998</v>
          </cell>
          <cell r="CD290">
            <v>38.401000000000003</v>
          </cell>
          <cell r="CE290">
            <v>31.3</v>
          </cell>
          <cell r="CF290">
            <v>33.9</v>
          </cell>
          <cell r="CG290">
            <v>28.3</v>
          </cell>
          <cell r="CH290">
            <v>38.860249020000005</v>
          </cell>
          <cell r="CI290">
            <v>30.830500000000001</v>
          </cell>
          <cell r="CJ290">
            <v>33.391500000000001</v>
          </cell>
          <cell r="CK290">
            <v>32.891500000000001</v>
          </cell>
          <cell r="CL290">
            <v>36.891500000000001</v>
          </cell>
          <cell r="CM290">
            <v>31.601262499999997</v>
          </cell>
          <cell r="CN290">
            <v>34.217939625</v>
          </cell>
          <cell r="CO290">
            <v>33.697423978750003</v>
          </cell>
          <cell r="CP290">
            <v>37.786394638962499</v>
          </cell>
          <cell r="CQ290">
            <v>32.360163666711564</v>
          </cell>
          <cell r="CR290">
            <v>35.031462627786347</v>
          </cell>
          <cell r="CS290">
            <v>34.490560372798562</v>
          </cell>
          <cell r="CT290">
            <v>38.666879365595385</v>
          </cell>
          <cell r="CU290">
            <v>33.106667900068494</v>
          </cell>
          <cell r="CV290">
            <v>35.831508760662878</v>
          </cell>
          <cell r="CW290">
            <v>35.27037648675276</v>
          </cell>
          <cell r="CX290">
            <v>39.532377772316003</v>
          </cell>
          <cell r="CY290">
            <v>33.84029913955726</v>
          </cell>
          <cell r="CZ290">
            <v>36.617581316244213</v>
          </cell>
          <cell r="DA290">
            <v>36.036401283944052</v>
          </cell>
          <cell r="DB290">
            <v>40.382381566863906</v>
          </cell>
          <cell r="DC290"/>
          <cell r="DD290"/>
          <cell r="DE290">
            <v>39.83</v>
          </cell>
          <cell r="DF290">
            <v>39.89800000000001</v>
          </cell>
          <cell r="DG290">
            <v>39.83</v>
          </cell>
          <cell r="DH290">
            <v>14.082000000000008</v>
          </cell>
          <cell r="DI290">
            <v>0</v>
          </cell>
          <cell r="DJ290">
            <v>-7.5495165674510645E-15</v>
          </cell>
          <cell r="DK290">
            <v>2.153322000000002</v>
          </cell>
          <cell r="DL290">
            <v>4.6605324999999844</v>
          </cell>
          <cell r="DM290">
            <v>22.670618999999981</v>
          </cell>
          <cell r="DN290">
            <v>33.632424093749989</v>
          </cell>
          <cell r="DO290">
            <v>18.411176999999924</v>
          </cell>
        </row>
        <row r="291">
          <cell r="A291" t="str">
            <v>% of revenue</v>
          </cell>
          <cell r="B291"/>
          <cell r="C291" t="e">
            <v>#DIV/0!</v>
          </cell>
          <cell r="D291" t="e">
            <v>#DIV/0!</v>
          </cell>
          <cell r="E291" t="e">
            <v>#DIV/0!</v>
          </cell>
          <cell r="F291">
            <v>0</v>
          </cell>
          <cell r="G291">
            <v>0.11609967191523894</v>
          </cell>
          <cell r="H291">
            <v>0.10527988137478152</v>
          </cell>
          <cell r="I291">
            <v>9.4620911325392326E-2</v>
          </cell>
          <cell r="J291">
            <v>8.4776918450500172E-2</v>
          </cell>
          <cell r="K291">
            <v>7.7959455750303899E-2</v>
          </cell>
          <cell r="L291">
            <v>9.3697566125596196E-2</v>
          </cell>
          <cell r="M291">
            <v>8.8192015225876941E-2</v>
          </cell>
          <cell r="N291">
            <v>8.1132350795272229E-2</v>
          </cell>
          <cell r="O291">
            <v>7.4330632774146907E-2</v>
          </cell>
          <cell r="P291">
            <v>6.7493243885546658E-2</v>
          </cell>
          <cell r="Q291">
            <v>6.5207335743835401E-2</v>
          </cell>
          <cell r="R291">
            <v>6.3328461426519531E-2</v>
          </cell>
          <cell r="S291">
            <v>6.9369685896985556E-2</v>
          </cell>
          <cell r="T291">
            <v>3.584320937202011E-2</v>
          </cell>
          <cell r="U291">
            <v>0</v>
          </cell>
          <cell r="V291">
            <v>0</v>
          </cell>
          <cell r="W291">
            <v>0</v>
          </cell>
          <cell r="X291">
            <v>0</v>
          </cell>
          <cell r="Y291">
            <v>0</v>
          </cell>
          <cell r="Z291">
            <v>0</v>
          </cell>
          <cell r="AA291">
            <v>-4.6801292960455422E-17</v>
          </cell>
          <cell r="AB291">
            <v>0</v>
          </cell>
          <cell r="AC291">
            <v>0</v>
          </cell>
          <cell r="AD291">
            <v>0</v>
          </cell>
          <cell r="AE291">
            <v>2.8135568874138946E-3</v>
          </cell>
          <cell r="AF291">
            <v>1.8823457006375943E-3</v>
          </cell>
          <cell r="AG291">
            <v>3.1758736621326331E-3</v>
          </cell>
          <cell r="AH291">
            <v>1.7380293014115362E-3</v>
          </cell>
          <cell r="AI291">
            <v>2.0409580073692184E-3</v>
          </cell>
          <cell r="AJ291">
            <v>3.4749807600157E-3</v>
          </cell>
          <cell r="AK291">
            <v>6.3494642812154606E-3</v>
          </cell>
          <cell r="AL291">
            <v>4.3876253107457287E-3</v>
          </cell>
          <cell r="AM291">
            <v>1.509309028589243E-2</v>
          </cell>
          <cell r="AN291">
            <v>1.8731083489849316E-2</v>
          </cell>
          <cell r="AO291">
            <v>1.5223001105932226E-2</v>
          </cell>
          <cell r="AP291">
            <v>1.6094291456330623E-2</v>
          </cell>
          <cell r="AQ291">
            <v>1.8701894258873194E-2</v>
          </cell>
          <cell r="AR291">
            <v>1.5188235519362816E-2</v>
          </cell>
          <cell r="AS291">
            <v>2.3521987412664553E-2</v>
          </cell>
          <cell r="AT291">
            <v>2.7059926987084336E-2</v>
          </cell>
          <cell r="AU291">
            <v>1.2945379858992362E-2</v>
          </cell>
          <cell r="AV291">
            <v>1.0637525838280268E-2</v>
          </cell>
          <cell r="AW291">
            <v>7.637362171543074E-3</v>
          </cell>
          <cell r="AX291">
            <v>1.416783402783931E-2</v>
          </cell>
          <cell r="AY291">
            <v>3.6706460972501145E-2</v>
          </cell>
          <cell r="AZ291">
            <v>4.0813946639966986E-2</v>
          </cell>
          <cell r="BA291">
            <v>4.0750309698813929E-2</v>
          </cell>
          <cell r="BB291">
            <v>4.7023959290613961E-2</v>
          </cell>
          <cell r="BC291">
            <v>3.9677075015074718E-2</v>
          </cell>
          <cell r="BD291">
            <v>4.0134516475442271E-2</v>
          </cell>
          <cell r="BE291">
            <v>4.1056128260823423E-2</v>
          </cell>
          <cell r="BF291">
            <v>4.4406699754264846E-2</v>
          </cell>
          <cell r="BG291">
            <v>4.3890109330867948E-2</v>
          </cell>
          <cell r="BH291">
            <v>4.7538238975309247E-2</v>
          </cell>
          <cell r="BI291">
            <v>4.8364415314722596E-2</v>
          </cell>
          <cell r="BJ291">
            <v>4.4486726955280845E-2</v>
          </cell>
          <cell r="BK291">
            <v>3.9399672164767668E-2</v>
          </cell>
          <cell r="BL291">
            <v>4.9858704462310229E-2</v>
          </cell>
          <cell r="BM291">
            <v>4.7317992342131888E-2</v>
          </cell>
          <cell r="BN291">
            <v>5.2623314473717007E-2</v>
          </cell>
          <cell r="BO291">
            <v>5.6611513560525246E-2</v>
          </cell>
          <cell r="BP291">
            <v>5.3672142893699787E-2</v>
          </cell>
          <cell r="BQ291">
            <v>5.5760651599353894E-2</v>
          </cell>
          <cell r="BR291">
            <v>5.7271842185927381E-2</v>
          </cell>
          <cell r="BS291">
            <v>4.844887368855498E-2</v>
          </cell>
          <cell r="BT291">
            <v>4.6488335870696153E-2</v>
          </cell>
          <cell r="BU291">
            <v>4.5096954271029305E-2</v>
          </cell>
          <cell r="BV291">
            <v>4.0797424297854795E-2</v>
          </cell>
          <cell r="BW291">
            <v>4.9496564066833344E-2</v>
          </cell>
          <cell r="BX291">
            <v>5.1710196190727711E-2</v>
          </cell>
          <cell r="BY291">
            <v>4.4637943822375348E-2</v>
          </cell>
          <cell r="BZ291">
            <v>4.6174433420820483E-2</v>
          </cell>
          <cell r="CA291">
            <v>4.4659766371852358E-2</v>
          </cell>
          <cell r="CB291">
            <v>4.5694988798762881E-2</v>
          </cell>
          <cell r="CC291">
            <v>4.6404457792090313E-2</v>
          </cell>
          <cell r="CD291">
            <v>4.9367685834285732E-2</v>
          </cell>
          <cell r="CE291">
            <v>4.4894376298064233E-2</v>
          </cell>
          <cell r="CF291">
            <v>4.5664868359903819E-2</v>
          </cell>
          <cell r="CG291">
            <v>3.8636078178670701E-2</v>
          </cell>
          <cell r="CH291">
            <v>4.8462031276890277E-2</v>
          </cell>
          <cell r="CI291">
            <v>4.3409599803491059E-2</v>
          </cell>
          <cell r="CJ291">
            <v>4.3253976203294284E-2</v>
          </cell>
          <cell r="CK291">
            <v>4.311766173962276E-2</v>
          </cell>
          <cell r="CL291">
            <v>4.3101475870933312E-2</v>
          </cell>
          <cell r="CM291">
            <v>4.1314124169435057E-2</v>
          </cell>
          <cell r="CN291">
            <v>4.1375369167890565E-2</v>
          </cell>
          <cell r="CO291">
            <v>4.114501814373913E-2</v>
          </cell>
          <cell r="CP291">
            <v>4.2007571872964874E-2</v>
          </cell>
          <cell r="CQ291">
            <v>3.9290588399130216E-2</v>
          </cell>
          <cell r="CR291">
            <v>3.961427854778924E-2</v>
          </cell>
          <cell r="CS291">
            <v>3.9340036226344209E-2</v>
          </cell>
          <cell r="CT291">
            <v>4.098826097479201E-2</v>
          </cell>
          <cell r="CU291">
            <v>3.7041972704382878E-2</v>
          </cell>
          <cell r="CV291">
            <v>3.7503369045319035E-2</v>
          </cell>
          <cell r="CW291">
            <v>3.7226780015289451E-2</v>
          </cell>
          <cell r="CX291">
            <v>3.9085288473921613E-2</v>
          </cell>
          <cell r="CY291">
            <v>3.484520863905155E-2</v>
          </cell>
          <cell r="CZ291">
            <v>3.5452721280295633E-2</v>
          </cell>
          <cell r="DA291">
            <v>3.5227499509370305E-2</v>
          </cell>
          <cell r="DB291">
            <v>3.7113027354629943E-2</v>
          </cell>
          <cell r="DC291"/>
          <cell r="DD291"/>
          <cell r="DE291">
            <v>9.8763901459265765E-2</v>
          </cell>
          <cell r="DF291">
            <v>8.4808883485033376E-2</v>
          </cell>
          <cell r="DG291">
            <v>6.7322481956628294E-2</v>
          </cell>
          <cell r="DH291">
            <v>2.6698366474041058E-2</v>
          </cell>
          <cell r="DI291">
            <v>0</v>
          </cell>
          <cell r="DJ291">
            <v>-1.0186123274085067E-17</v>
          </cell>
          <cell r="DK291">
            <v>2.3696157900876197E-3</v>
          </cell>
          <cell r="DL291">
            <v>4.1086612319814657E-3</v>
          </cell>
          <cell r="DM291">
            <v>1.6287042850923372E-2</v>
          </cell>
          <cell r="DN291">
            <v>2.1241253752319438E-2</v>
          </cell>
          <cell r="DO291">
            <v>1.1406550943938573E-2</v>
          </cell>
        </row>
        <row r="292">
          <cell r="A292" t="str">
            <v>% of license revenue</v>
          </cell>
          <cell r="B292"/>
          <cell r="C292" t="e">
            <v>#DIV/0!</v>
          </cell>
          <cell r="D292" t="e">
            <v>#DIV/0!</v>
          </cell>
          <cell r="E292" t="e">
            <v>#DIV/0!</v>
          </cell>
          <cell r="F292">
            <v>0</v>
          </cell>
          <cell r="G292" t="e">
            <v>#DIV/0!</v>
          </cell>
          <cell r="H292" t="e">
            <v>#DIV/0!</v>
          </cell>
          <cell r="I292" t="e">
            <v>#DIV/0!</v>
          </cell>
          <cell r="J292" t="e">
            <v>#DIV/0!</v>
          </cell>
          <cell r="K292" t="e">
            <v>#DIV/0!</v>
          </cell>
          <cell r="L292" t="e">
            <v>#DIV/0!</v>
          </cell>
          <cell r="M292" t="e">
            <v>#DIV/0!</v>
          </cell>
          <cell r="N292" t="e">
            <v>#DIV/0!</v>
          </cell>
          <cell r="O292" t="e">
            <v>#DIV/0!</v>
          </cell>
          <cell r="P292" t="e">
            <v>#DIV/0!</v>
          </cell>
          <cell r="Q292" t="e">
            <v>#DIV/0!</v>
          </cell>
          <cell r="R292" t="e">
            <v>#DIV/0!</v>
          </cell>
          <cell r="S292" t="e">
            <v>#DIV/0!</v>
          </cell>
          <cell r="T292" t="e">
            <v>#DIV/0!</v>
          </cell>
          <cell r="U292" t="e">
            <v>#DIV/0!</v>
          </cell>
          <cell r="V292" t="e">
            <v>#DIV/0!</v>
          </cell>
          <cell r="W292">
            <v>0</v>
          </cell>
          <cell r="X292">
            <v>0</v>
          </cell>
          <cell r="Y292">
            <v>0</v>
          </cell>
          <cell r="Z292">
            <v>0</v>
          </cell>
          <cell r="AA292">
            <v>-8.6353219493641069E-17</v>
          </cell>
          <cell r="AB292">
            <v>0</v>
          </cell>
          <cell r="AC292">
            <v>0</v>
          </cell>
          <cell r="AD292">
            <v>0</v>
          </cell>
          <cell r="AE292">
            <v>6.3070884501786675E-3</v>
          </cell>
          <cell r="AF292">
            <v>4.3227440747986342E-3</v>
          </cell>
          <cell r="AG292">
            <v>7.4104480681048577E-3</v>
          </cell>
          <cell r="AH292">
            <v>3.5881688452407009E-3</v>
          </cell>
          <cell r="AI292">
            <v>4.6472391294826998E-3</v>
          </cell>
          <cell r="AJ292">
            <v>8.1260961468264149E-3</v>
          </cell>
          <cell r="AK292">
            <v>1.556024484251931E-2</v>
          </cell>
          <cell r="AL292">
            <v>9.8406731226069744E-3</v>
          </cell>
          <cell r="AM292">
            <v>3.793226685639902E-2</v>
          </cell>
          <cell r="AN292">
            <v>4.5853558537781614E-2</v>
          </cell>
          <cell r="AO292">
            <v>3.7925388010821369E-2</v>
          </cell>
          <cell r="AP292">
            <v>3.612098522720894E-2</v>
          </cell>
          <cell r="AQ292">
            <v>4.7980743059335841E-2</v>
          </cell>
          <cell r="AR292">
            <v>3.8770787446728072E-2</v>
          </cell>
          <cell r="AS292">
            <v>5.9559063108983921E-2</v>
          </cell>
          <cell r="AT292">
            <v>6.9325344932515701E-2</v>
          </cell>
          <cell r="AU292">
            <v>4.2695227882037556E-2</v>
          </cell>
          <cell r="AV292">
            <v>3.2220321993646182E-2</v>
          </cell>
          <cell r="AW292">
            <v>2.3732395784906067E-2</v>
          </cell>
          <cell r="AX292">
            <v>3.7974370703944098E-2</v>
          </cell>
          <cell r="AY292">
            <v>0.12392596124068908</v>
          </cell>
          <cell r="AZ292">
            <v>0.12579898206853882</v>
          </cell>
          <cell r="BA292">
            <v>0.12680478788597632</v>
          </cell>
          <cell r="BB292">
            <v>0.1269253522203258</v>
          </cell>
          <cell r="BC292">
            <v>0.1296219885531745</v>
          </cell>
          <cell r="BD292">
            <v>0.12434189790224486</v>
          </cell>
          <cell r="BE292">
            <v>0.11971838250464205</v>
          </cell>
          <cell r="BF292">
            <v>0.12008015822080186</v>
          </cell>
          <cell r="BG292">
            <v>0.14505729855800498</v>
          </cell>
          <cell r="BH292">
            <v>0.15563253989793366</v>
          </cell>
          <cell r="BI292">
            <v>0.15852624048239561</v>
          </cell>
          <cell r="BJ292">
            <v>0.12252767294192964</v>
          </cell>
          <cell r="BK292">
            <v>0.13730882573815406</v>
          </cell>
          <cell r="BL292">
            <v>0.16027110886165083</v>
          </cell>
          <cell r="BM292">
            <v>0.16741708572648342</v>
          </cell>
          <cell r="BN292">
            <v>0.15645691376825285</v>
          </cell>
          <cell r="BO292">
            <v>0.2049184279543351</v>
          </cell>
          <cell r="BP292">
            <v>0.18097259612065991</v>
          </cell>
          <cell r="BQ292">
            <v>0.21911127448188744</v>
          </cell>
          <cell r="BR292">
            <v>0.18239348909925307</v>
          </cell>
          <cell r="BS292">
            <v>0.23</v>
          </cell>
          <cell r="BT292">
            <v>0.18070584561944442</v>
          </cell>
          <cell r="BU292">
            <v>0.17782130597521478</v>
          </cell>
          <cell r="BV292">
            <v>0.13121933878421613</v>
          </cell>
          <cell r="BW292">
            <v>0.16139442566313425</v>
          </cell>
          <cell r="BX292">
            <v>0.1587739798730792</v>
          </cell>
          <cell r="BY292">
            <v>0.14487893186307579</v>
          </cell>
          <cell r="BZ292">
            <v>0.13285053482533477</v>
          </cell>
          <cell r="CA292">
            <v>0.15446484026367843</v>
          </cell>
          <cell r="CB292">
            <v>0.15012155879607031</v>
          </cell>
          <cell r="CC292">
            <v>0.16690091722105962</v>
          </cell>
          <cell r="CD292">
            <v>0.146264449903826</v>
          </cell>
          <cell r="CE292">
            <v>0.16181868449716896</v>
          </cell>
          <cell r="CF292">
            <v>0.15067427373508863</v>
          </cell>
          <cell r="CG292">
            <v>0.14163888156282872</v>
          </cell>
          <cell r="CH292">
            <v>0.16031789526428478</v>
          </cell>
          <cell r="CI292">
            <v>0.19284689872322761</v>
          </cell>
          <cell r="CJ292">
            <v>0.16216576578736513</v>
          </cell>
          <cell r="CK292">
            <v>0.18103000349260859</v>
          </cell>
          <cell r="CL292">
            <v>0.14600705884134124</v>
          </cell>
          <cell r="CM292">
            <v>0.19731110137693983</v>
          </cell>
          <cell r="CN292">
            <v>0.16650558840690241</v>
          </cell>
          <cell r="CO292">
            <v>0.18378306651139648</v>
          </cell>
          <cell r="CP292">
            <v>0.15888632479105316</v>
          </cell>
          <cell r="CQ292">
            <v>0.19997018146207826</v>
          </cell>
          <cell r="CR292">
            <v>0.17012082807585188</v>
          </cell>
          <cell r="CS292">
            <v>0.18528962064214283</v>
          </cell>
          <cell r="CT292">
            <v>0.17403811542314673</v>
          </cell>
          <cell r="CU292">
            <v>0.19034251259679924</v>
          </cell>
          <cell r="CV292">
            <v>0.16412429092312797</v>
          </cell>
          <cell r="CW292">
            <v>0.17764570111135194</v>
          </cell>
          <cell r="CX292">
            <v>0.17318616880651724</v>
          </cell>
          <cell r="CY292">
            <v>0.17798131897185199</v>
          </cell>
          <cell r="CZ292">
            <v>0.15519604775790899</v>
          </cell>
          <cell r="DA292">
            <v>0.167484599235039</v>
          </cell>
          <cell r="DB292">
            <v>0.16417459508818857</v>
          </cell>
          <cell r="DC292"/>
          <cell r="DD292">
            <v>0</v>
          </cell>
          <cell r="DE292">
            <v>0.1230271182285973</v>
          </cell>
          <cell r="DF292">
            <v>0.1104353763444313</v>
          </cell>
          <cell r="DG292">
            <v>8.8359917474543553E-2</v>
          </cell>
          <cell r="DH292">
            <v>3.8777898635531285E-2</v>
          </cell>
          <cell r="DI292">
            <v>0</v>
          </cell>
          <cell r="DJ292">
            <v>-2.0413698786594411E-17</v>
          </cell>
          <cell r="DK292">
            <v>5.2592523843833627E-3</v>
          </cell>
          <cell r="DL292">
            <v>9.5407503167944784E-3</v>
          </cell>
          <cell r="DM292">
            <v>3.9245343130178766E-2</v>
          </cell>
          <cell r="DN292">
            <v>5.4227040774167012E-2</v>
          </cell>
          <cell r="DO292">
            <v>3.4159612226912051E-2</v>
          </cell>
        </row>
        <row r="293">
          <cell r="A293" t="str">
            <v>% growth in revenue y-o-y</v>
          </cell>
          <cell r="B293"/>
          <cell r="C293" t="str">
            <v>NA</v>
          </cell>
          <cell r="D293" t="str">
            <v>NA</v>
          </cell>
          <cell r="E293" t="str">
            <v>NA</v>
          </cell>
          <cell r="F293" t="str">
            <v>NA</v>
          </cell>
          <cell r="G293" t="str">
            <v>NA</v>
          </cell>
          <cell r="H293" t="str">
            <v>NA</v>
          </cell>
          <cell r="I293" t="str">
            <v>NA</v>
          </cell>
          <cell r="J293" t="str">
            <v>NA</v>
          </cell>
          <cell r="K293">
            <v>6.8874708801780482E-3</v>
          </cell>
          <cell r="L293">
            <v>0</v>
          </cell>
          <cell r="M293">
            <v>0</v>
          </cell>
          <cell r="N293">
            <v>1.3322676295501878E-15</v>
          </cell>
          <cell r="O293">
            <v>-6.9409516145260142E-3</v>
          </cell>
          <cell r="P293">
            <v>0</v>
          </cell>
          <cell r="Q293">
            <v>1.3322676295501878E-15</v>
          </cell>
          <cell r="R293">
            <v>9.9920063946434823E-5</v>
          </cell>
          <cell r="S293">
            <v>1.3322676295501878E-15</v>
          </cell>
          <cell r="T293">
            <v>-0.57645875251509104</v>
          </cell>
          <cell r="U293">
            <v>-1</v>
          </cell>
          <cell r="V293">
            <v>-1</v>
          </cell>
          <cell r="W293">
            <v>-1</v>
          </cell>
          <cell r="X293">
            <v>-1</v>
          </cell>
          <cell r="Y293" t="str">
            <v>NA</v>
          </cell>
          <cell r="Z293" t="str">
            <v>NA</v>
          </cell>
          <cell r="AA293" t="str">
            <v>NA</v>
          </cell>
          <cell r="AB293" t="str">
            <v>NA</v>
          </cell>
          <cell r="AC293" t="str">
            <v>NA</v>
          </cell>
          <cell r="AD293" t="str">
            <v>NA</v>
          </cell>
          <cell r="AE293">
            <v>-75240446845165.578</v>
          </cell>
          <cell r="AF293" t="str">
            <v>NA</v>
          </cell>
          <cell r="AG293" t="str">
            <v>NA</v>
          </cell>
          <cell r="AH293" t="str">
            <v>NA</v>
          </cell>
          <cell r="AI293">
            <v>-6.5813541210060889E-2</v>
          </cell>
          <cell r="AJ293">
            <v>1.4075240313276383</v>
          </cell>
          <cell r="AK293">
            <v>1.4477180179117188</v>
          </cell>
          <cell r="AL293">
            <v>2.0163631963539599</v>
          </cell>
          <cell r="AM293">
            <v>7.7629205966327479</v>
          </cell>
          <cell r="AN293">
            <v>5.5427277836626576</v>
          </cell>
          <cell r="AO293">
            <v>2.0194903653486862</v>
          </cell>
          <cell r="AP293">
            <v>3.5657855359471338</v>
          </cell>
          <cell r="AQ293">
            <v>0.51639784946235601</v>
          </cell>
          <cell r="AR293">
            <v>-5.0025946032250079E-2</v>
          </cell>
          <cell r="AS293">
            <v>0.76135838652150434</v>
          </cell>
          <cell r="AT293">
            <v>0.74924536327684543</v>
          </cell>
          <cell r="AU293">
            <v>-0.32244694203155388</v>
          </cell>
          <cell r="AV293">
            <v>-0.29765756604864313</v>
          </cell>
          <cell r="AW293">
            <v>-0.67356041666275568</v>
          </cell>
          <cell r="AX293">
            <v>-0.43176165365883434</v>
          </cell>
          <cell r="AY293">
            <v>2.1828683295950486</v>
          </cell>
          <cell r="AZ293">
            <v>3.4775598640540375</v>
          </cell>
          <cell r="BA293">
            <v>5.2828111108971259</v>
          </cell>
          <cell r="BB293">
            <v>2.8970417524515337</v>
          </cell>
          <cell r="BC293">
            <v>0.28083730735735424</v>
          </cell>
          <cell r="BD293">
            <v>0.13856099743138439</v>
          </cell>
          <cell r="BE293">
            <v>0.2061646753854951</v>
          </cell>
          <cell r="BF293">
            <v>0.10414663182887973</v>
          </cell>
          <cell r="BG293">
            <v>0.32838732864404174</v>
          </cell>
          <cell r="BH293">
            <v>0.37285828287095701</v>
          </cell>
          <cell r="BI293">
            <v>0.33652147688595924</v>
          </cell>
          <cell r="BJ293">
            <v>0.19691681210005818</v>
          </cell>
          <cell r="BK293">
            <v>2.4697561164148008E-2</v>
          </cell>
          <cell r="BL293">
            <v>0.24516173151884013</v>
          </cell>
          <cell r="BM293">
            <v>8.7131712977886799E-2</v>
          </cell>
          <cell r="BN293">
            <v>0.28268529769137296</v>
          </cell>
          <cell r="BO293">
            <v>0.60323627036813532</v>
          </cell>
          <cell r="BP293">
            <v>0.15191124780316345</v>
          </cell>
          <cell r="BQ293">
            <v>0.25491475166790223</v>
          </cell>
          <cell r="BR293">
            <v>0.1548808790792402</v>
          </cell>
          <cell r="BS293">
            <v>-0.13280790495235861</v>
          </cell>
          <cell r="BT293">
            <v>-0.11700200247926007</v>
          </cell>
          <cell r="BU293">
            <v>-0.13340579367704741</v>
          </cell>
          <cell r="BV293">
            <v>-0.24307919452077265</v>
          </cell>
          <cell r="BW293">
            <v>-0.11538252848616382</v>
          </cell>
          <cell r="BX293">
            <v>-5.9071274298056253E-2</v>
          </cell>
          <cell r="BY293">
            <v>-0.18608899552841107</v>
          </cell>
          <cell r="BZ293">
            <v>-8.1084742089293504E-2</v>
          </cell>
          <cell r="CA293">
            <v>-9.2372803385776026E-2</v>
          </cell>
          <cell r="CB293">
            <v>-9.109950648456322E-2</v>
          </cell>
          <cell r="CC293">
            <v>7.4067870423101256E-2</v>
          </cell>
          <cell r="CD293">
            <v>0.13213832954980997</v>
          </cell>
          <cell r="CE293">
            <v>5.761108295320172E-2</v>
          </cell>
          <cell r="CF293">
            <v>7.0177100104176438E-2</v>
          </cell>
          <cell r="CG293">
            <v>-0.11733516312145209</v>
          </cell>
          <cell r="CH293">
            <v>1.1959298455769485E-2</v>
          </cell>
          <cell r="CI293">
            <v>-1.5000000000000013E-2</v>
          </cell>
          <cell r="CJ293">
            <v>-1.4999999999999902E-2</v>
          </cell>
          <cell r="CK293">
            <v>0.16224381625441686</v>
          </cell>
          <cell r="CL293">
            <v>-5.0662285231027671E-2</v>
          </cell>
          <cell r="CM293">
            <v>2.4999999999999911E-2</v>
          </cell>
          <cell r="CN293">
            <v>2.475000000000005E-2</v>
          </cell>
          <cell r="CO293">
            <v>2.4502500000000094E-2</v>
          </cell>
          <cell r="CP293">
            <v>2.4257474999999973E-2</v>
          </cell>
          <cell r="CQ293">
            <v>2.4014900250000082E-2</v>
          </cell>
          <cell r="CR293">
            <v>2.3774751247499948E-2</v>
          </cell>
          <cell r="CS293">
            <v>2.3537003735025097E-2</v>
          </cell>
          <cell r="CT293">
            <v>2.3301633697674795E-2</v>
          </cell>
          <cell r="CU293">
            <v>2.3068617360697985E-2</v>
          </cell>
          <cell r="CV293">
            <v>2.2837931187090987E-2</v>
          </cell>
          <cell r="CW293">
            <v>2.2609551875220069E-2</v>
          </cell>
          <cell r="CX293">
            <v>2.238345635646799E-2</v>
          </cell>
          <cell r="CY293">
            <v>2.2159621792903206E-2</v>
          </cell>
          <cell r="CZ293">
            <v>2.1938025574974152E-2</v>
          </cell>
          <cell r="DA293">
            <v>2.1718645319224406E-2</v>
          </cell>
          <cell r="DB293">
            <v>2.1501458866032275E-2</v>
          </cell>
          <cell r="DC293"/>
          <cell r="DD293" t="str">
            <v>NA</v>
          </cell>
          <cell r="DE293" t="str">
            <v>NA</v>
          </cell>
          <cell r="DF293">
            <v>1.7072558373087965E-3</v>
          </cell>
          <cell r="DG293">
            <v>-1.7043460825106882E-3</v>
          </cell>
          <cell r="DH293">
            <v>-0.64644740145618851</v>
          </cell>
          <cell r="DI293">
            <v>-1</v>
          </cell>
          <cell r="DJ293" t="str">
            <v>NA</v>
          </cell>
          <cell r="DK293">
            <v>-285226475200256.88</v>
          </cell>
          <cell r="DL293">
            <v>1.1643453696195833</v>
          </cell>
          <cell r="DM293">
            <v>3.8643838445499643</v>
          </cell>
          <cell r="DN293">
            <v>0.48352473718295985</v>
          </cell>
          <cell r="DO293">
            <v>-0.4525765687100346</v>
          </cell>
        </row>
        <row r="294">
          <cell r="A294" t="str">
            <v>% growth in revenue seq</v>
          </cell>
          <cell r="B294"/>
          <cell r="C294" t="str">
            <v>NA</v>
          </cell>
          <cell r="D294" t="str">
            <v>NA</v>
          </cell>
          <cell r="E294" t="str">
            <v>NA</v>
          </cell>
          <cell r="F294" t="str">
            <v>NA</v>
          </cell>
          <cell r="G294" t="str">
            <v>NA</v>
          </cell>
          <cell r="H294">
            <v>6.7861845437042767E-3</v>
          </cell>
          <cell r="I294">
            <v>6.9416498993966069E-3</v>
          </cell>
          <cell r="J294">
            <v>-9.9910080927689826E-5</v>
          </cell>
          <cell r="K294">
            <v>-6.6946442845716714E-3</v>
          </cell>
          <cell r="L294">
            <v>-1.0059350166025105E-4</v>
          </cell>
          <cell r="M294">
            <v>6.9416498993966069E-3</v>
          </cell>
          <cell r="N294">
            <v>-9.9910080926246536E-5</v>
          </cell>
          <cell r="O294">
            <v>-1.3589128697043318E-2</v>
          </cell>
          <cell r="P294">
            <v>6.8881685575361562E-3</v>
          </cell>
          <cell r="Q294">
            <v>6.9416498993981612E-3</v>
          </cell>
          <cell r="R294">
            <v>-2.886579864025407E-15</v>
          </cell>
          <cell r="S294">
            <v>-1.3687681087018899E-2</v>
          </cell>
          <cell r="T294">
            <v>-0.57354132901134647</v>
          </cell>
          <cell r="U294">
            <v>-1</v>
          </cell>
          <cell r="V294" t="str">
            <v>NA</v>
          </cell>
          <cell r="W294" t="str">
            <v>NA</v>
          </cell>
          <cell r="X294" t="str">
            <v>NA</v>
          </cell>
          <cell r="Y294" t="str">
            <v>NA</v>
          </cell>
          <cell r="Z294" t="str">
            <v>NA</v>
          </cell>
          <cell r="AA294" t="str">
            <v>NA</v>
          </cell>
          <cell r="AB294">
            <v>-1</v>
          </cell>
          <cell r="AC294" t="str">
            <v>NA</v>
          </cell>
          <cell r="AD294" t="str">
            <v>NA</v>
          </cell>
          <cell r="AE294" t="str">
            <v>NA</v>
          </cell>
          <cell r="AF294">
            <v>-0.30002517477103352</v>
          </cell>
          <cell r="AG294">
            <v>0.81273672932514573</v>
          </cell>
          <cell r="AH294">
            <v>-0.35216266276334096</v>
          </cell>
          <cell r="AI294">
            <v>0.13645027541475407</v>
          </cell>
          <cell r="AJ294">
            <v>0.80392918052565721</v>
          </cell>
          <cell r="AK294">
            <v>0.84300064978071232</v>
          </cell>
          <cell r="AL294">
            <v>-0.20165938765619473</v>
          </cell>
          <cell r="AM294">
            <v>2.3015332959633077</v>
          </cell>
          <cell r="AN294">
            <v>0.34688172043009469</v>
          </cell>
          <cell r="AO294">
            <v>-0.14944914577678592</v>
          </cell>
          <cell r="AP294">
            <v>0.20717458231650898</v>
          </cell>
          <cell r="AQ294">
            <v>9.6511859900265895E-2</v>
          </cell>
          <cell r="AR294">
            <v>-0.1562223010104592</v>
          </cell>
          <cell r="AS294">
            <v>0.5770166290246348</v>
          </cell>
          <cell r="AT294">
            <v>0.19887273194474053</v>
          </cell>
          <cell r="AU294">
            <v>-0.57527687117469817</v>
          </cell>
          <cell r="AV294">
            <v>-0.12535132732027598</v>
          </cell>
          <cell r="AW294">
            <v>-0.26702328321748292</v>
          </cell>
          <cell r="AX294">
            <v>1.0868959937680138</v>
          </cell>
          <cell r="AY294">
            <v>1.3789978347799479</v>
          </cell>
          <cell r="AZ294">
            <v>0.23042846464124156</v>
          </cell>
          <cell r="BA294">
            <v>2.8496413236233309E-2</v>
          </cell>
          <cell r="BB294">
            <v>0.29443981001308672</v>
          </cell>
          <cell r="BC294">
            <v>-0.21809686052461141</v>
          </cell>
          <cell r="BD294">
            <v>9.3751604456538518E-2</v>
          </cell>
          <cell r="BE294">
            <v>8.9564850021123688E-2</v>
          </cell>
          <cell r="BF294">
            <v>0.18495540907328434</v>
          </cell>
          <cell r="BG294">
            <v>-5.9300465386852852E-2</v>
          </cell>
          <cell r="BH294">
            <v>0.13036756464267762</v>
          </cell>
          <cell r="BI294">
            <v>6.072625316282565E-2</v>
          </cell>
          <cell r="BJ294">
            <v>6.118238669331455E-2</v>
          </cell>
          <cell r="BK294">
            <v>-0.19465370595382747</v>
          </cell>
          <cell r="BL294">
            <v>0.37356668678334315</v>
          </cell>
          <cell r="BM294">
            <v>-7.3896089630931305E-2</v>
          </cell>
          <cell r="BN294">
            <v>0.25206819866567831</v>
          </cell>
          <cell r="BO294">
            <v>6.6073035570501926E-3</v>
          </cell>
          <cell r="BP294">
            <v>-1.3104340665804126E-2</v>
          </cell>
          <cell r="BQ294">
            <v>8.9158005149232444E-3</v>
          </cell>
          <cell r="BR294">
            <v>0.15226123529133773</v>
          </cell>
          <cell r="BS294">
            <v>-0.24414551121683137</v>
          </cell>
          <cell r="BT294">
            <v>4.8833423765599626E-3</v>
          </cell>
          <cell r="BU294">
            <v>-9.8272138228940875E-3</v>
          </cell>
          <cell r="BV294">
            <v>6.4347257061838636E-3</v>
          </cell>
          <cell r="BW294">
            <v>-0.11662873862158651</v>
          </cell>
          <cell r="BX294">
            <v>6.8850246879504251E-2</v>
          </cell>
          <cell r="BY294">
            <v>-0.14349248249741764</v>
          </cell>
          <cell r="BZ294">
            <v>0.13627684164684584</v>
          </cell>
          <cell r="CA294">
            <v>-0.12748017335416728</v>
          </cell>
          <cell r="CB294">
            <v>7.0349721236695473E-2</v>
          </cell>
          <cell r="CC294">
            <v>1.2153928717997253E-2</v>
          </cell>
          <cell r="CD294">
            <v>0.19771068554675342</v>
          </cell>
          <cell r="CE294">
            <v>-0.18491705945157688</v>
          </cell>
          <cell r="CF294">
            <v>8.3067092651757157E-2</v>
          </cell>
          <cell r="CG294">
            <v>-0.16519174041297935</v>
          </cell>
          <cell r="CH294">
            <v>0.37315367561837465</v>
          </cell>
          <cell r="CI294">
            <v>-0.20663143501389747</v>
          </cell>
          <cell r="CJ294">
            <v>8.3067092651757157E-2</v>
          </cell>
          <cell r="CK294">
            <v>-1.4973870595810346E-2</v>
          </cell>
          <cell r="CL294">
            <v>0.12161196661751505</v>
          </cell>
          <cell r="CM294">
            <v>-0.14339990241654588</v>
          </cell>
          <cell r="CN294">
            <v>8.2802929946232506E-2</v>
          </cell>
          <cell r="CO294">
            <v>-1.5211776394324583E-2</v>
          </cell>
          <cell r="CP294">
            <v>0.12134371644524067</v>
          </cell>
          <cell r="CQ294">
            <v>-0.14360277089404583</v>
          </cell>
          <cell r="CR294">
            <v>8.2548994145623222E-2</v>
          </cell>
          <cell r="CS294">
            <v>-1.5440470206309675E-2</v>
          </cell>
          <cell r="CT294">
            <v>0.12108585501819014</v>
          </cell>
          <cell r="CU294">
            <v>-0.14379778137653898</v>
          </cell>
          <cell r="CV294">
            <v>8.2304896065627409E-2</v>
          </cell>
          <cell r="CW294">
            <v>-1.5660302714524565E-2</v>
          </cell>
          <cell r="CX294">
            <v>0.12083798672135004</v>
          </cell>
          <cell r="CY294">
            <v>-0.1439852332066105</v>
          </cell>
          <cell r="CZ294">
            <v>8.207026082226565E-2</v>
          </cell>
          <cell r="DA294">
            <v>-1.5871611706979039E-2</v>
          </cell>
          <cell r="DB294">
            <v>0.12059973049684625</v>
          </cell>
          <cell r="DC294"/>
          <cell r="DD294"/>
          <cell r="DE294"/>
          <cell r="DF294"/>
          <cell r="DG294"/>
          <cell r="DH294"/>
          <cell r="DI294"/>
          <cell r="DJ294"/>
          <cell r="DK294"/>
          <cell r="DL294"/>
          <cell r="DM294"/>
          <cell r="DN294"/>
          <cell r="DO294"/>
        </row>
        <row r="295">
          <cell r="A295" t="str">
            <v>Δ as % of Δ license revenue</v>
          </cell>
          <cell r="B295"/>
          <cell r="C295" t="e">
            <v>#DIV/0!</v>
          </cell>
          <cell r="D295" t="e">
            <v>#DIV/0!</v>
          </cell>
          <cell r="E295" t="e">
            <v>#DIV/0!</v>
          </cell>
          <cell r="F295">
            <v>0</v>
          </cell>
          <cell r="G295">
            <v>-4.7844733590172293E-2</v>
          </cell>
          <cell r="H295" t="e">
            <v>#DIV/0!</v>
          </cell>
          <cell r="I295" t="e">
            <v>#DIV/0!</v>
          </cell>
          <cell r="J295" t="e">
            <v>#DIV/0!</v>
          </cell>
          <cell r="K295" t="e">
            <v>#DIV/0!</v>
          </cell>
          <cell r="L295" t="e">
            <v>#DIV/0!</v>
          </cell>
          <cell r="M295" t="e">
            <v>#DIV/0!</v>
          </cell>
          <cell r="N295" t="e">
            <v>#DIV/0!</v>
          </cell>
          <cell r="O295" t="e">
            <v>#DIV/0!</v>
          </cell>
          <cell r="P295" t="e">
            <v>#DIV/0!</v>
          </cell>
          <cell r="Q295" t="e">
            <v>#DIV/0!</v>
          </cell>
          <cell r="R295" t="e">
            <v>#DIV/0!</v>
          </cell>
          <cell r="S295" t="e">
            <v>#DIV/0!</v>
          </cell>
          <cell r="T295" t="e">
            <v>#DIV/0!</v>
          </cell>
          <cell r="U295" t="e">
            <v>#DIV/0!</v>
          </cell>
          <cell r="V295" t="e">
            <v>#DIV/0!</v>
          </cell>
          <cell r="W295">
            <v>0</v>
          </cell>
          <cell r="X295">
            <v>0</v>
          </cell>
          <cell r="Y295">
            <v>0</v>
          </cell>
          <cell r="Z295">
            <v>0</v>
          </cell>
          <cell r="AA295">
            <v>9.5879052164732897E-16</v>
          </cell>
          <cell r="AB295">
            <v>2.6032815749831973E-14</v>
          </cell>
          <cell r="AC295">
            <v>0</v>
          </cell>
          <cell r="AD295">
            <v>0</v>
          </cell>
          <cell r="AE295">
            <v>-3.5135089998143819E-2</v>
          </cell>
          <cell r="AF295">
            <v>-8.8854535974980289E-2</v>
          </cell>
          <cell r="AG295">
            <v>6.117928814843554E-2</v>
          </cell>
          <cell r="AH295">
            <v>-7.7222610970822669E-3</v>
          </cell>
          <cell r="AI295">
            <v>-3.9955474727181983E-3</v>
          </cell>
          <cell r="AJ295">
            <v>0.11804122855562324</v>
          </cell>
          <cell r="AK295">
            <v>-0.18256990950226057</v>
          </cell>
          <cell r="AL295">
            <v>-1.196061522945021E-2</v>
          </cell>
          <cell r="AM295">
            <v>-0.15783959979100801</v>
          </cell>
          <cell r="AN295">
            <v>0.11521367886737617</v>
          </cell>
          <cell r="AO295">
            <v>-0.24167312161115478</v>
          </cell>
          <cell r="AP295">
            <v>2.9375006654246409E-2</v>
          </cell>
          <cell r="AQ295">
            <v>-1.9975249436755358E-2</v>
          </cell>
          <cell r="AR295">
            <v>-0.16952331486611291</v>
          </cell>
          <cell r="AS295">
            <v>0.84164467393969056</v>
          </cell>
          <cell r="AT295">
            <v>0.39508243568706392</v>
          </cell>
          <cell r="AU295">
            <v>0.12849750732227952</v>
          </cell>
          <cell r="AV295">
            <v>-3.3659959532376445E-2</v>
          </cell>
          <cell r="AW295">
            <v>1.7655300632910993</v>
          </cell>
          <cell r="AX295">
            <v>8.4788655986552358E-2</v>
          </cell>
          <cell r="AY295">
            <v>-0.19322837977069976</v>
          </cell>
          <cell r="AZ295">
            <v>0.13462946171283621</v>
          </cell>
          <cell r="BA295">
            <v>0.17625818181818587</v>
          </cell>
          <cell r="BB295">
            <v>0.12733653954199262</v>
          </cell>
          <cell r="BC295">
            <v>0.11811577345363712</v>
          </cell>
          <cell r="BD295">
            <v>8.6679958226526174E-2</v>
          </cell>
          <cell r="BE295">
            <v>8.4596967278531415E-2</v>
          </cell>
          <cell r="BF295">
            <v>0.12207467227798796</v>
          </cell>
          <cell r="BG295">
            <v>3.2180415523942948E-2</v>
          </cell>
          <cell r="BH295">
            <v>0.3530828012142781</v>
          </cell>
          <cell r="BI295">
            <v>0.22848321111539954</v>
          </cell>
          <cell r="BJ295">
            <v>2.6005699879425678E-2</v>
          </cell>
          <cell r="BK295">
            <v>8.4771996666269833E-2</v>
          </cell>
          <cell r="BL295">
            <v>0.29016758467127607</v>
          </cell>
          <cell r="BM295">
            <v>0.10441564488592256</v>
          </cell>
          <cell r="BN295">
            <v>0.12420009934839141</v>
          </cell>
          <cell r="BO295">
            <v>-4.4665012406948446E-3</v>
          </cell>
          <cell r="BP295">
            <v>-2.2857846355876652E-2</v>
          </cell>
          <cell r="BQ295">
            <v>-9.6793395274205399E-3</v>
          </cell>
          <cell r="BR295">
            <v>8.6829978171234445E-2</v>
          </cell>
          <cell r="BS295">
            <v>0.14159313084223291</v>
          </cell>
          <cell r="BT295">
            <v>8.2976075231641477E-3</v>
          </cell>
          <cell r="BU295">
            <v>-0.28482003129889788</v>
          </cell>
          <cell r="BV295">
            <v>3.1446540880502756E-3</v>
          </cell>
          <cell r="BW295">
            <v>5.4310116441898877E-2</v>
          </cell>
          <cell r="BX295">
            <v>0.12847659379649737</v>
          </cell>
          <cell r="BY295">
            <v>0.37137977127580535</v>
          </cell>
          <cell r="BZ295">
            <v>8.2555402224206445E-2</v>
          </cell>
          <cell r="CA295">
            <v>6.7859384808537315E-2</v>
          </cell>
          <cell r="CB295">
            <v>0.10725324541520725</v>
          </cell>
          <cell r="CC295">
            <v>-2.0362828582006578E-2</v>
          </cell>
          <cell r="CD295">
            <v>8.9987649589029495E-2</v>
          </cell>
          <cell r="CE295">
            <v>0.10273640449601909</v>
          </cell>
          <cell r="CF295">
            <v>8.2376824770080279E-2</v>
          </cell>
          <cell r="CG295">
            <v>0.22235680975730585</v>
          </cell>
          <cell r="CH295">
            <v>0.24794519359899522</v>
          </cell>
          <cell r="CI295">
            <v>9.7301264390155157E-2</v>
          </cell>
          <cell r="CJ295">
            <v>5.5626352028543304E-2</v>
          </cell>
          <cell r="CK295">
            <v>2.064512059231843E-2</v>
          </cell>
          <cell r="CL295">
            <v>5.6355161505353107E-2</v>
          </cell>
          <cell r="CM295">
            <v>5.7185751381949236E-2</v>
          </cell>
          <cell r="CN295">
            <v>5.7703834752137077E-2</v>
          </cell>
          <cell r="CO295">
            <v>2.3497554459126491E-2</v>
          </cell>
          <cell r="CP295">
            <v>7.5073872626412436E-2</v>
          </cell>
          <cell r="CQ295">
            <v>7.1402133008858282E-2</v>
          </cell>
          <cell r="CR295">
            <v>6.0578998489410306E-2</v>
          </cell>
          <cell r="CS295">
            <v>2.7350040646505404E-2</v>
          </cell>
          <cell r="CT295">
            <v>0.11590993011560917</v>
          </cell>
          <cell r="CU295">
            <v>0.11525497423859858</v>
          </cell>
          <cell r="CV295">
            <v>6.1387879272973636E-2</v>
          </cell>
          <cell r="CW295">
            <v>2.837443619148684E-2</v>
          </cell>
          <cell r="CX295">
            <v>0.14339627239854649</v>
          </cell>
          <cell r="CY295">
            <v>0.14927607399833653</v>
          </cell>
          <cell r="CZ295">
            <v>6.0626061699415312E-2</v>
          </cell>
          <cell r="DA295">
            <v>2.7966147421042788E-2</v>
          </cell>
          <cell r="DB295">
            <v>0.14105886077032034</v>
          </cell>
          <cell r="DC295"/>
          <cell r="DD295">
            <v>0</v>
          </cell>
          <cell r="DE295">
            <v>0.30363508292599634</v>
          </cell>
          <cell r="DF295">
            <v>1.8119127937033907E-3</v>
          </cell>
          <cell r="DG295">
            <v>-7.5985430464181646E-4</v>
          </cell>
          <cell r="DH295">
            <v>0.29384308131241071</v>
          </cell>
          <cell r="DI295">
            <v>-1.2430046782593343</v>
          </cell>
          <cell r="DJ295">
            <v>1.6242505523775871E-15</v>
          </cell>
          <cell r="DK295">
            <v>5.4364462622131522E-2</v>
          </cell>
          <cell r="DL295">
            <v>3.1715965440469354E-2</v>
          </cell>
          <cell r="DM295">
            <v>0.20195904092377723</v>
          </cell>
          <cell r="DN295">
            <v>0.25761524046913536</v>
          </cell>
          <cell r="DO295">
            <v>0.18736148564438804</v>
          </cell>
        </row>
        <row r="296">
          <cell r="A296"/>
          <cell r="B296"/>
          <cell r="C296"/>
          <cell r="D296"/>
          <cell r="E296"/>
          <cell r="F296"/>
          <cell r="G296"/>
          <cell r="H296"/>
          <cell r="I296"/>
          <cell r="J296"/>
          <cell r="K296"/>
          <cell r="L296"/>
          <cell r="M296"/>
          <cell r="N296"/>
          <cell r="O296"/>
          <cell r="P296"/>
          <cell r="Q296"/>
          <cell r="R296"/>
          <cell r="S296"/>
          <cell r="T296"/>
          <cell r="U296"/>
          <cell r="V296"/>
          <cell r="W296"/>
          <cell r="X296"/>
          <cell r="Y296"/>
          <cell r="Z296"/>
          <cell r="AA296"/>
          <cell r="AB296"/>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cell r="BL296"/>
          <cell r="BM296"/>
          <cell r="BN296"/>
          <cell r="BO296"/>
          <cell r="BP296"/>
          <cell r="BQ296"/>
          <cell r="BR296"/>
          <cell r="BS296"/>
          <cell r="BT296"/>
          <cell r="BU296"/>
          <cell r="BV296"/>
          <cell r="BW296"/>
          <cell r="BX296"/>
          <cell r="BY296"/>
          <cell r="BZ296"/>
          <cell r="CA296"/>
          <cell r="CB296"/>
          <cell r="CC296"/>
          <cell r="CD296"/>
          <cell r="CE296"/>
          <cell r="CF296"/>
          <cell r="CG296"/>
          <cell r="CH296"/>
          <cell r="CI296"/>
          <cell r="CJ296"/>
          <cell r="CK296"/>
          <cell r="CL296"/>
          <cell r="CM296"/>
          <cell r="CN296"/>
          <cell r="CO296"/>
          <cell r="CP296"/>
          <cell r="CQ296"/>
          <cell r="CR296"/>
          <cell r="CS296"/>
          <cell r="CT296"/>
          <cell r="CU296"/>
          <cell r="CV296"/>
          <cell r="CW296"/>
          <cell r="CX296"/>
          <cell r="CY296"/>
          <cell r="CZ296"/>
          <cell r="DA296"/>
          <cell r="DB296"/>
          <cell r="DC296"/>
          <cell r="DD296"/>
          <cell r="DE296"/>
          <cell r="DF296"/>
          <cell r="DG296"/>
          <cell r="DH296"/>
          <cell r="DI296"/>
          <cell r="DJ296"/>
          <cell r="DK296"/>
          <cell r="DL296"/>
          <cell r="DM296"/>
          <cell r="DN296"/>
          <cell r="DO296"/>
        </row>
        <row r="297">
          <cell r="A297" t="str">
            <v>Content Collaboration</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2.7959999999999998</v>
          </cell>
          <cell r="AB297">
            <v>10.455</v>
          </cell>
          <cell r="AC297">
            <v>14.087999999999999</v>
          </cell>
          <cell r="AD297">
            <v>16.762</v>
          </cell>
          <cell r="AE297">
            <v>20.364999999999998</v>
          </cell>
          <cell r="AF297">
            <v>23.844000000000001</v>
          </cell>
          <cell r="AG297">
            <v>26.163</v>
          </cell>
          <cell r="AH297">
            <v>28.725000000000001</v>
          </cell>
          <cell r="AI297">
            <v>31.638000000000002</v>
          </cell>
          <cell r="AJ297">
            <v>35.128</v>
          </cell>
          <cell r="AK297">
            <v>39.055</v>
          </cell>
          <cell r="AL297">
            <v>42.973999999999997</v>
          </cell>
          <cell r="AM297">
            <v>47.210999999999999</v>
          </cell>
          <cell r="AN297">
            <v>51.81</v>
          </cell>
          <cell r="AO297">
            <v>55.744</v>
          </cell>
          <cell r="AP297">
            <v>58.978999999999999</v>
          </cell>
          <cell r="AQ297">
            <v>61.984999999999999</v>
          </cell>
          <cell r="AR297">
            <v>63.686999999999998</v>
          </cell>
          <cell r="AS297">
            <v>64.948999999999998</v>
          </cell>
          <cell r="AT297">
            <v>69.444000000000003</v>
          </cell>
          <cell r="AU297">
            <v>71.980403999999993</v>
          </cell>
          <cell r="AV297">
            <v>75.349282000000002</v>
          </cell>
          <cell r="AW297">
            <v>78.879097000000002</v>
          </cell>
          <cell r="AX297">
            <v>81.968040000000002</v>
          </cell>
          <cell r="AY297">
            <v>84.950411000000003</v>
          </cell>
          <cell r="AZ297">
            <v>89.210601999999994</v>
          </cell>
          <cell r="BA297">
            <v>91.659755000000004</v>
          </cell>
          <cell r="BB297">
            <v>94.796323000000001</v>
          </cell>
          <cell r="BC297">
            <v>99.772000000000006</v>
          </cell>
          <cell r="BD297">
            <v>106.479</v>
          </cell>
          <cell r="BE297">
            <v>109.55800000000001</v>
          </cell>
          <cell r="BF297">
            <v>114.404</v>
          </cell>
          <cell r="BG297">
            <v>120.733</v>
          </cell>
          <cell r="BH297">
            <v>125.50999999999999</v>
          </cell>
          <cell r="BI297">
            <v>129.65899999999999</v>
          </cell>
          <cell r="BJ297">
            <v>135.42099999999999</v>
          </cell>
          <cell r="BK297">
            <v>138.30000000000001</v>
          </cell>
          <cell r="BL297">
            <v>144.6</v>
          </cell>
          <cell r="BM297">
            <v>149.20000000000002</v>
          </cell>
          <cell r="BN297">
            <v>154.5</v>
          </cell>
          <cell r="BO297">
            <v>157.9</v>
          </cell>
          <cell r="BP297">
            <v>162.20000000000002</v>
          </cell>
          <cell r="BQ297">
            <v>166.5</v>
          </cell>
          <cell r="BR297">
            <v>168.7</v>
          </cell>
          <cell r="BS297">
            <v>169.5</v>
          </cell>
          <cell r="BT297">
            <v>177.70000000000002</v>
          </cell>
          <cell r="BU297">
            <v>190.5</v>
          </cell>
          <cell r="BV297">
            <v>193.10000000000002</v>
          </cell>
          <cell r="BW297">
            <v>31.1</v>
          </cell>
          <cell r="BX297">
            <v>33.700000000000003</v>
          </cell>
          <cell r="BY297">
            <v>34.799999999999997</v>
          </cell>
          <cell r="BZ297">
            <v>37.200000000000003</v>
          </cell>
          <cell r="CA297">
            <v>38.911000000000001</v>
          </cell>
          <cell r="CB297">
            <v>41.021999999999998</v>
          </cell>
          <cell r="CC297">
            <v>41.631999999999998</v>
          </cell>
          <cell r="CD297">
            <v>45.6</v>
          </cell>
          <cell r="CE297">
            <v>44.7</v>
          </cell>
          <cell r="CF297">
            <v>46.2</v>
          </cell>
          <cell r="CG297">
            <v>46.6</v>
          </cell>
          <cell r="CH297">
            <v>47.427</v>
          </cell>
          <cell r="CI297">
            <v>46.576615394209185</v>
          </cell>
          <cell r="CJ297">
            <v>47.973980386850542</v>
          </cell>
          <cell r="CK297">
            <v>48.230794223009099</v>
          </cell>
          <cell r="CL297">
            <v>48.939942659716465</v>
          </cell>
          <cell r="CM297">
            <v>48.058628341920802</v>
          </cell>
          <cell r="CN297">
            <v>49.388536306889371</v>
          </cell>
          <cell r="CO297">
            <v>49.541295512144941</v>
          </cell>
          <cell r="CP297">
            <v>50.165999681490227</v>
          </cell>
          <cell r="CQ297">
            <v>49.233063175162876</v>
          </cell>
          <cell r="CR297">
            <v>50.515515010452489</v>
          </cell>
          <cell r="CS297">
            <v>50.589162476648909</v>
          </cell>
          <cell r="CT297">
            <v>51.15055187125904</v>
          </cell>
          <cell r="CU297">
            <v>50.164029114080776</v>
          </cell>
          <cell r="CV297">
            <v>51.411499065043557</v>
          </cell>
          <cell r="CW297">
            <v>51.42335717808907</v>
          </cell>
          <cell r="CX297">
            <v>51.935915780379403</v>
          </cell>
          <cell r="CY297">
            <v>50.900158745988371</v>
          </cell>
          <cell r="CZ297">
            <v>52.121112581875614</v>
          </cell>
          <cell r="DA297">
            <v>52.084014255542009</v>
          </cell>
          <cell r="DB297">
            <v>52.55831651061856</v>
          </cell>
          <cell r="DC297"/>
          <cell r="DD297"/>
          <cell r="DE297">
            <v>0</v>
          </cell>
          <cell r="DF297">
            <v>0</v>
          </cell>
          <cell r="DG297">
            <v>0</v>
          </cell>
          <cell r="DH297">
            <v>0</v>
          </cell>
          <cell r="DI297">
            <v>0</v>
          </cell>
          <cell r="DJ297">
            <v>44.100999999999999</v>
          </cell>
          <cell r="DK297">
            <v>99.097000000000008</v>
          </cell>
          <cell r="DL297">
            <v>148.79499999999999</v>
          </cell>
          <cell r="DM297">
            <v>213.74399999999997</v>
          </cell>
          <cell r="DN297">
            <v>260.065</v>
          </cell>
          <cell r="DO297">
            <v>308.17682300000001</v>
          </cell>
        </row>
        <row r="298">
          <cell r="A298" t="str">
            <v>% of revenue</v>
          </cell>
          <cell r="B298"/>
          <cell r="C298" t="e">
            <v>#DIV/0!</v>
          </cell>
          <cell r="D298" t="e">
            <v>#DIV/0!</v>
          </cell>
          <cell r="E298" t="e">
            <v>#DIV/0!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1.7333085363585642E-2</v>
          </cell>
          <cell r="AB298">
            <v>5.863647070700273E-2</v>
          </cell>
          <cell r="AC298">
            <v>7.5104756421328731E-2</v>
          </cell>
          <cell r="AD298">
            <v>7.8339183145064425E-2</v>
          </cell>
          <cell r="AE298">
            <v>0.10087176185051265</v>
          </cell>
          <cell r="AF298">
            <v>0.11288222734567697</v>
          </cell>
          <cell r="AG298">
            <v>0.11528242276831155</v>
          </cell>
          <cell r="AH298">
            <v>0.10692111845631588</v>
          </cell>
          <cell r="AI298">
            <v>0.12168555142731868</v>
          </cell>
          <cell r="AJ298">
            <v>0.12752116398274935</v>
          </cell>
          <cell r="AK298">
            <v>0.14056094813407186</v>
          </cell>
          <cell r="AL298">
            <v>0.13387455529872086</v>
          </cell>
          <cell r="AM298">
            <v>0.15323868505102436</v>
          </cell>
          <cell r="AN298">
            <v>0.15495089184242325</v>
          </cell>
          <cell r="AO298">
            <v>0.15929997628103826</v>
          </cell>
          <cell r="AP298">
            <v>0.14761024028991962</v>
          </cell>
          <cell r="AQ298">
            <v>0.16440161895213695</v>
          </cell>
          <cell r="AR298">
            <v>0.16257881704235058</v>
          </cell>
          <cell r="AS298">
            <v>0.16282311296513099</v>
          </cell>
          <cell r="AT298">
            <v>0.16705436892736777</v>
          </cell>
          <cell r="AU298">
            <v>0.19503818911932541</v>
          </cell>
          <cell r="AV298">
            <v>0.1918124013563188</v>
          </cell>
          <cell r="AW298">
            <v>0.19668537709267361</v>
          </cell>
          <cell r="AX298">
            <v>0.18168286195584715</v>
          </cell>
          <cell r="AY298">
            <v>0.20505950438359341</v>
          </cell>
          <cell r="AZ298">
            <v>0.19459899701810296</v>
          </cell>
          <cell r="BA298">
            <v>0.19409858057357279</v>
          </cell>
          <cell r="BB298">
            <v>0.17895406890727197</v>
          </cell>
          <cell r="BC298">
            <v>0.20324799139518587</v>
          </cell>
          <cell r="BD298">
            <v>0.20060475894421523</v>
          </cell>
          <cell r="BE298">
            <v>0.19378860454091995</v>
          </cell>
          <cell r="BF298">
            <v>0.18471146301217697</v>
          </cell>
          <cell r="BG298">
            <v>0.20480750472862366</v>
          </cell>
          <cell r="BH298">
            <v>0.20401163830236832</v>
          </cell>
          <cell r="BI298">
            <v>0.20214305090876208</v>
          </cell>
          <cell r="BJ298">
            <v>0.18300234055319217</v>
          </cell>
          <cell r="BK298">
            <v>0.20552861573579395</v>
          </cell>
          <cell r="BL298">
            <v>0.19797804990251702</v>
          </cell>
          <cell r="BM298">
            <v>0.20933563995392374</v>
          </cell>
          <cell r="BN298">
            <v>0.19254255875975176</v>
          </cell>
          <cell r="BO298">
            <v>0.21030368171290287</v>
          </cell>
          <cell r="BP298">
            <v>0.20753365064742313</v>
          </cell>
          <cell r="BQ298">
            <v>0.21936932307765281</v>
          </cell>
          <cell r="BR298">
            <v>0.19812491852450373</v>
          </cell>
          <cell r="BS298">
            <v>0.22279121243109248</v>
          </cell>
          <cell r="BT298">
            <v>0.22302854439046188</v>
          </cell>
          <cell r="BU298">
            <v>0.23423955144048103</v>
          </cell>
          <cell r="BV298">
            <v>0.21342605743161472</v>
          </cell>
          <cell r="BW298">
            <v>4.7208977902858808E-2</v>
          </cell>
          <cell r="BX298">
            <v>5.0000964410292788E-2</v>
          </cell>
          <cell r="BY298">
            <v>5.2038472581108233E-2</v>
          </cell>
          <cell r="BZ298">
            <v>5.064090696230792E-2</v>
          </cell>
          <cell r="CA298">
            <v>5.8717897256129317E-2</v>
          </cell>
          <cell r="CB298">
            <v>5.9175421615141929E-2</v>
          </cell>
          <cell r="CC298">
            <v>6.0255454644136487E-2</v>
          </cell>
          <cell r="CD298">
            <v>5.8622600297998213E-2</v>
          </cell>
          <cell r="CE298">
            <v>6.4114332924072565E-2</v>
          </cell>
          <cell r="CF298">
            <v>6.2233537410842379E-2</v>
          </cell>
          <cell r="CG298">
            <v>6.3619831912581443E-2</v>
          </cell>
          <cell r="CH298">
            <v>5.9145497399827898E-2</v>
          </cell>
          <cell r="CI298">
            <v>6.5580260925503689E-2</v>
          </cell>
          <cell r="CJ298">
            <v>6.2143521735475798E-2</v>
          </cell>
          <cell r="CK298">
            <v>6.3226033192194261E-2</v>
          </cell>
          <cell r="CL298">
            <v>5.7178042575461253E-2</v>
          </cell>
          <cell r="CM298">
            <v>6.2829772662748737E-2</v>
          </cell>
          <cell r="CN298">
            <v>5.9719227538362167E-2</v>
          </cell>
          <cell r="CO298">
            <v>6.0490603198540362E-2</v>
          </cell>
          <cell r="CP298">
            <v>5.577012195353484E-2</v>
          </cell>
          <cell r="CQ298">
            <v>5.9777077791284008E-2</v>
          </cell>
          <cell r="CR298">
            <v>5.7123954653889544E-2</v>
          </cell>
          <cell r="CS298">
            <v>5.7702149892043003E-2</v>
          </cell>
          <cell r="CT298">
            <v>5.4221395765629531E-2</v>
          </cell>
          <cell r="CU298">
            <v>5.6126898750260626E-2</v>
          </cell>
          <cell r="CV298">
            <v>5.3810305211767849E-2</v>
          </cell>
          <cell r="CW298">
            <v>5.4275746277768863E-2</v>
          </cell>
          <cell r="CX298">
            <v>5.1348549336563305E-2</v>
          </cell>
          <cell r="CY298">
            <v>5.2411671774838041E-2</v>
          </cell>
          <cell r="CZ298">
            <v>5.0463062025465168E-2</v>
          </cell>
          <cell r="DA298">
            <v>5.0914894974560872E-2</v>
          </cell>
          <cell r="DB298">
            <v>4.8303199630317609E-2</v>
          </cell>
          <cell r="DC298"/>
          <cell r="DD298"/>
          <cell r="DE298">
            <v>0</v>
          </cell>
          <cell r="DF298">
            <v>0</v>
          </cell>
          <cell r="DG298">
            <v>0</v>
          </cell>
          <cell r="DH298">
            <v>0</v>
          </cell>
          <cell r="DI298">
            <v>0</v>
          </cell>
          <cell r="DJ298">
            <v>5.9502912338411436E-2</v>
          </cell>
          <cell r="DK298">
            <v>0.10905095287667736</v>
          </cell>
          <cell r="DL298">
            <v>0.131175621672563</v>
          </cell>
          <cell r="DM298">
            <v>0.15355812239303071</v>
          </cell>
          <cell r="DN298">
            <v>0.16424943506000556</v>
          </cell>
          <cell r="DO298">
            <v>0.19092938117376501</v>
          </cell>
        </row>
        <row r="299">
          <cell r="A299" t="str">
            <v>% growth in revenue y-o-y</v>
          </cell>
          <cell r="B299"/>
          <cell r="C299" t="str">
            <v>NA</v>
          </cell>
          <cell r="D299" t="str">
            <v>NA</v>
          </cell>
          <cell r="E299" t="str">
            <v>NA</v>
          </cell>
          <cell r="F299" t="str">
            <v>NA</v>
          </cell>
          <cell r="G299" t="str">
            <v>NA</v>
          </cell>
          <cell r="H299" t="str">
            <v>NA</v>
          </cell>
          <cell r="I299" t="str">
            <v>NA</v>
          </cell>
          <cell r="J299" t="str">
            <v>NA</v>
          </cell>
          <cell r="K299" t="str">
            <v>NA</v>
          </cell>
          <cell r="L299" t="str">
            <v>NA</v>
          </cell>
          <cell r="M299" t="str">
            <v>NA</v>
          </cell>
          <cell r="N299" t="str">
            <v>NA</v>
          </cell>
          <cell r="O299" t="str">
            <v>NA</v>
          </cell>
          <cell r="P299" t="str">
            <v>NA</v>
          </cell>
          <cell r="Q299" t="str">
            <v>NA</v>
          </cell>
          <cell r="R299" t="str">
            <v>NA</v>
          </cell>
          <cell r="S299" t="str">
            <v>NA</v>
          </cell>
          <cell r="T299" t="str">
            <v>NA</v>
          </cell>
          <cell r="U299" t="str">
            <v>NA</v>
          </cell>
          <cell r="V299" t="str">
            <v>NA</v>
          </cell>
          <cell r="W299" t="str">
            <v>NA</v>
          </cell>
          <cell r="X299" t="str">
            <v>NA</v>
          </cell>
          <cell r="Y299" t="str">
            <v>NA</v>
          </cell>
          <cell r="Z299" t="str">
            <v>NA</v>
          </cell>
          <cell r="AA299" t="str">
            <v>NA</v>
          </cell>
          <cell r="AB299" t="str">
            <v>NA</v>
          </cell>
          <cell r="AC299" t="str">
            <v>NA</v>
          </cell>
          <cell r="AD299" t="str">
            <v>NA</v>
          </cell>
          <cell r="AE299">
            <v>6.2836194563662371</v>
          </cell>
          <cell r="AF299">
            <v>1.2806312769010044</v>
          </cell>
          <cell r="AG299">
            <v>0.85711243611584331</v>
          </cell>
          <cell r="AH299">
            <v>0.71369764944517367</v>
          </cell>
          <cell r="AI299">
            <v>0.55354775349864993</v>
          </cell>
          <cell r="AJ299">
            <v>0.47324274450595527</v>
          </cell>
          <cell r="AK299">
            <v>0.49275694683331417</v>
          </cell>
          <cell r="AL299">
            <v>0.49604873803307203</v>
          </cell>
          <cell r="AM299">
            <v>0.49222454010999428</v>
          </cell>
          <cell r="AN299">
            <v>0.47489182418583464</v>
          </cell>
          <cell r="AO299">
            <v>0.42732044552554083</v>
          </cell>
          <cell r="AP299">
            <v>0.37243449527621353</v>
          </cell>
          <cell r="AQ299">
            <v>0.31293554468238338</v>
          </cell>
          <cell r="AR299">
            <v>0.22924145917776473</v>
          </cell>
          <cell r="AS299">
            <v>0.16512987944890933</v>
          </cell>
          <cell r="AT299">
            <v>0.1774360365553842</v>
          </cell>
          <cell r="AU299">
            <v>0.16125520690489625</v>
          </cell>
          <cell r="AV299">
            <v>0.1831187212460943</v>
          </cell>
          <cell r="AW299">
            <v>0.21447746693559577</v>
          </cell>
          <cell r="AX299">
            <v>0.18034733022291349</v>
          </cell>
          <cell r="AY299">
            <v>0.18018802728587091</v>
          </cell>
          <cell r="AZ299">
            <v>0.18396087702600794</v>
          </cell>
          <cell r="BA299">
            <v>0.16202845222733719</v>
          </cell>
          <cell r="BB299">
            <v>0.15650347379295626</v>
          </cell>
          <cell r="BC299">
            <v>0.17447342308914782</v>
          </cell>
          <cell r="BD299">
            <v>0.19356889890732942</v>
          </cell>
          <cell r="BE299">
            <v>0.19526830504838255</v>
          </cell>
          <cell r="BF299">
            <v>0.20684005855374776</v>
          </cell>
          <cell r="BG299">
            <v>0.21008900292667287</v>
          </cell>
          <cell r="BH299">
            <v>0.17873007823138831</v>
          </cell>
          <cell r="BI299">
            <v>0.1834735938954708</v>
          </cell>
          <cell r="BJ299">
            <v>0.18370861158700746</v>
          </cell>
          <cell r="BK299">
            <v>0.1455028865347503</v>
          </cell>
          <cell r="BL299">
            <v>0.15209943430802331</v>
          </cell>
          <cell r="BM299">
            <v>0.15071071040190054</v>
          </cell>
          <cell r="BN299">
            <v>0.14088656855288328</v>
          </cell>
          <cell r="BO299">
            <v>0.1417208966015906</v>
          </cell>
          <cell r="BP299">
            <v>0.12171507607192278</v>
          </cell>
          <cell r="BQ299">
            <v>0.11595174262734576</v>
          </cell>
          <cell r="BR299">
            <v>9.1909385113268627E-2</v>
          </cell>
          <cell r="BS299">
            <v>7.3464217859404712E-2</v>
          </cell>
          <cell r="BT299">
            <v>9.5561035758322976E-2</v>
          </cell>
          <cell r="BU299">
            <v>0.14414414414414423</v>
          </cell>
          <cell r="BV299">
            <v>0.14463544754001201</v>
          </cell>
          <cell r="BW299">
            <v>-0.81651917404129792</v>
          </cell>
          <cell r="BX299">
            <v>-0.81035453010692182</v>
          </cell>
          <cell r="BY299">
            <v>-0.81732283464566935</v>
          </cell>
          <cell r="BZ299">
            <v>-0.80735370274469187</v>
          </cell>
          <cell r="CA299">
            <v>0.2511575562700965</v>
          </cell>
          <cell r="CB299">
            <v>0.21727002967359033</v>
          </cell>
          <cell r="CC299">
            <v>0.19632183908045975</v>
          </cell>
          <cell r="CD299">
            <v>0.17368451122664685</v>
          </cell>
          <cell r="CE299">
            <v>0.23109569319563747</v>
          </cell>
          <cell r="CF299">
            <v>0.20534370048852787</v>
          </cell>
          <cell r="CG299">
            <v>0.23322868836847416</v>
          </cell>
          <cell r="CH299">
            <v>0.19566001274943023</v>
          </cell>
          <cell r="CI299">
            <v>0.29133993389006929</v>
          </cell>
          <cell r="CJ299">
            <v>0.23298555821995579</v>
          </cell>
          <cell r="CK299">
            <v>0.26545523453301378</v>
          </cell>
          <cell r="CL299">
            <v>0.19369169287258822</v>
          </cell>
          <cell r="CM299">
            <v>0.30006715360848035</v>
          </cell>
          <cell r="CN299">
            <v>0.24032619697318428</v>
          </cell>
          <cell r="CO299">
            <v>0.27019427995181206</v>
          </cell>
          <cell r="CP299">
            <v>0.21094077365725561</v>
          </cell>
          <cell r="CQ299">
            <v>0.30423655079343254</v>
          </cell>
          <cell r="CR299">
            <v>0.24531494261503933</v>
          </cell>
          <cell r="CS299">
            <v>0.27177426584505865</v>
          </cell>
          <cell r="CT299">
            <v>0.23022663831642678</v>
          </cell>
          <cell r="CU299">
            <v>0.28841160857306841</v>
          </cell>
          <cell r="CV299">
            <v>0.23548759516955464</v>
          </cell>
          <cell r="CW299">
            <v>0.25900314227811494</v>
          </cell>
          <cell r="CX299">
            <v>0.22752444412186704</v>
          </cell>
          <cell r="CY299">
            <v>0.26770677623525824</v>
          </cell>
          <cell r="CZ299">
            <v>0.22090455968657052</v>
          </cell>
          <cell r="DA299">
            <v>0.24206829603787733</v>
          </cell>
          <cell r="DB299">
            <v>0.21367586548506198</v>
          </cell>
          <cell r="DC299"/>
          <cell r="DD299">
            <v>0</v>
          </cell>
          <cell r="DE299">
            <v>0</v>
          </cell>
          <cell r="DF299">
            <v>0</v>
          </cell>
          <cell r="DG299">
            <v>0</v>
          </cell>
          <cell r="DH299">
            <v>0</v>
          </cell>
          <cell r="DI299">
            <v>0</v>
          </cell>
          <cell r="DJ299">
            <v>0.11924797066728679</v>
          </cell>
          <cell r="DK299">
            <v>0.24203353401638847</v>
          </cell>
          <cell r="DL299">
            <v>0.30460380726610942</v>
          </cell>
          <cell r="DM299">
            <v>0.37001445006935785</v>
          </cell>
          <cell r="DN299">
            <v>0.41931427005151445</v>
          </cell>
          <cell r="DO299">
            <v>0.57178314949672993</v>
          </cell>
        </row>
        <row r="300">
          <cell r="A300" t="str">
            <v>% growth in revenue seq</v>
          </cell>
          <cell r="B300"/>
          <cell r="C300" t="str">
            <v>NA</v>
          </cell>
          <cell r="D300" t="str">
            <v>NA</v>
          </cell>
          <cell r="E300" t="str">
            <v>NA</v>
          </cell>
          <cell r="F300" t="str">
            <v>NA</v>
          </cell>
          <cell r="G300" t="str">
            <v>NA</v>
          </cell>
          <cell r="H300" t="str">
            <v>NA</v>
          </cell>
          <cell r="I300" t="str">
            <v>NA</v>
          </cell>
          <cell r="J300" t="str">
            <v>NA</v>
          </cell>
          <cell r="K300" t="str">
            <v>NA</v>
          </cell>
          <cell r="L300" t="str">
            <v>NA</v>
          </cell>
          <cell r="M300" t="str">
            <v>NA</v>
          </cell>
          <cell r="N300" t="str">
            <v>NA</v>
          </cell>
          <cell r="O300" t="str">
            <v>NA</v>
          </cell>
          <cell r="P300" t="str">
            <v>NA</v>
          </cell>
          <cell r="Q300" t="str">
            <v>NA</v>
          </cell>
          <cell r="R300" t="str">
            <v>NA</v>
          </cell>
          <cell r="S300" t="str">
            <v>NA</v>
          </cell>
          <cell r="T300" t="str">
            <v>NA</v>
          </cell>
          <cell r="U300" t="str">
            <v>NA</v>
          </cell>
          <cell r="V300" t="str">
            <v>NA</v>
          </cell>
          <cell r="W300" t="str">
            <v>NA</v>
          </cell>
          <cell r="X300" t="str">
            <v>NA</v>
          </cell>
          <cell r="Y300" t="str">
            <v>NA</v>
          </cell>
          <cell r="Z300" t="str">
            <v>NA</v>
          </cell>
          <cell r="AA300" t="str">
            <v>NA</v>
          </cell>
          <cell r="AB300">
            <v>2.7392703862660945</v>
          </cell>
          <cell r="AC300">
            <v>0.34748923959827827</v>
          </cell>
          <cell r="AD300">
            <v>0.18980692788188547</v>
          </cell>
          <cell r="AE300">
            <v>0.21495048323589061</v>
          </cell>
          <cell r="AF300">
            <v>0.17083231033636159</v>
          </cell>
          <cell r="AG300">
            <v>9.7257171615500626E-2</v>
          </cell>
          <cell r="AH300">
            <v>9.7924549936933891E-2</v>
          </cell>
          <cell r="AI300">
            <v>0.10140992167101825</v>
          </cell>
          <cell r="AJ300">
            <v>0.11031038624438971</v>
          </cell>
          <cell r="AK300">
            <v>0.11179116374402187</v>
          </cell>
          <cell r="AL300">
            <v>0.10034566636794251</v>
          </cell>
          <cell r="AM300">
            <v>9.8594498999394986E-2</v>
          </cell>
          <cell r="AN300">
            <v>9.7413738323695931E-2</v>
          </cell>
          <cell r="AO300">
            <v>7.5931287396255431E-2</v>
          </cell>
          <cell r="AP300">
            <v>5.8033151549942597E-2</v>
          </cell>
          <cell r="AQ300">
            <v>5.0967293443429096E-2</v>
          </cell>
          <cell r="AR300">
            <v>2.7458256029684547E-2</v>
          </cell>
          <cell r="AS300">
            <v>1.9815660966916226E-2</v>
          </cell>
          <cell r="AT300">
            <v>6.9208147931453912E-2</v>
          </cell>
          <cell r="AU300">
            <v>3.652445135648863E-2</v>
          </cell>
          <cell r="AV300">
            <v>4.680271035989203E-2</v>
          </cell>
          <cell r="AW300">
            <v>4.6846033649000196E-2</v>
          </cell>
          <cell r="AX300">
            <v>3.9160476190542637E-2</v>
          </cell>
          <cell r="AY300">
            <v>3.6384559152567331E-2</v>
          </cell>
          <cell r="AZ300">
            <v>5.0149151132417691E-2</v>
          </cell>
          <cell r="BA300">
            <v>2.7453609157351178E-2</v>
          </cell>
          <cell r="BB300">
            <v>3.4219685618841034E-2</v>
          </cell>
          <cell r="BC300">
            <v>5.248808015475448E-2</v>
          </cell>
          <cell r="BD300">
            <v>6.7223269053441781E-2</v>
          </cell>
          <cell r="BE300">
            <v>2.8916499967129639E-2</v>
          </cell>
          <cell r="BF300">
            <v>4.4232278792968094E-2</v>
          </cell>
          <cell r="BG300">
            <v>5.5321492255515636E-2</v>
          </cell>
          <cell r="BH300">
            <v>3.9566647064182892E-2</v>
          </cell>
          <cell r="BI300">
            <v>3.3057126922157565E-2</v>
          </cell>
          <cell r="BJ300">
            <v>4.4439645531741068E-2</v>
          </cell>
          <cell r="BK300">
            <v>2.1259627384231594E-2</v>
          </cell>
          <cell r="BL300">
            <v>4.5553145336225453E-2</v>
          </cell>
          <cell r="BM300">
            <v>3.1811894882434411E-2</v>
          </cell>
          <cell r="BN300">
            <v>3.5522788203753208E-2</v>
          </cell>
          <cell r="BO300">
            <v>2.2006472491909346E-2</v>
          </cell>
          <cell r="BP300">
            <v>2.7232425585813846E-2</v>
          </cell>
          <cell r="BQ300">
            <v>2.6510480887792731E-2</v>
          </cell>
          <cell r="BR300">
            <v>1.3213213213213226E-2</v>
          </cell>
          <cell r="BS300">
            <v>4.7421458209839784E-3</v>
          </cell>
          <cell r="BT300">
            <v>4.8377581120944146E-2</v>
          </cell>
          <cell r="BU300">
            <v>7.2031513787281787E-2</v>
          </cell>
          <cell r="BV300">
            <v>1.3648293963254732E-2</v>
          </cell>
          <cell r="BW300">
            <v>-0.83894355256343867</v>
          </cell>
          <cell r="BX300">
            <v>8.3601286173633493E-2</v>
          </cell>
          <cell r="BY300">
            <v>3.2640949554896048E-2</v>
          </cell>
          <cell r="BZ300">
            <v>6.8965517241379448E-2</v>
          </cell>
          <cell r="CA300">
            <v>4.5994623655913891E-2</v>
          </cell>
          <cell r="CB300">
            <v>5.4252010999460198E-2</v>
          </cell>
          <cell r="CC300">
            <v>1.4870069718687429E-2</v>
          </cell>
          <cell r="CD300">
            <v>0.22580645161290325</v>
          </cell>
          <cell r="CE300">
            <v>0.14877541055228605</v>
          </cell>
          <cell r="CF300">
            <v>0.12622495246453136</v>
          </cell>
          <cell r="CG300">
            <v>0.11933128362797851</v>
          </cell>
          <cell r="CH300">
            <v>4.0065789473684221E-2</v>
          </cell>
          <cell r="CI300">
            <v>4.1982447297744585E-2</v>
          </cell>
          <cell r="CJ300">
            <v>3.8397843871223802E-2</v>
          </cell>
          <cell r="CK300">
            <v>3.4995584184744466E-2</v>
          </cell>
          <cell r="CL300">
            <v>3.1900450370389466E-2</v>
          </cell>
          <cell r="CM300">
            <v>3.1818820134703829E-2</v>
          </cell>
          <cell r="CN300">
            <v>2.9485898577357839E-2</v>
          </cell>
          <cell r="CO300">
            <v>2.7171464004435819E-2</v>
          </cell>
          <cell r="CP300">
            <v>2.5052277447455085E-2</v>
          </cell>
          <cell r="CQ300">
            <v>2.4437543761889557E-2</v>
          </cell>
          <cell r="CR300">
            <v>2.2818629338604568E-2</v>
          </cell>
          <cell r="CS300">
            <v>2.1151383985246852E-2</v>
          </cell>
          <cell r="CT300">
            <v>1.9625885978946878E-2</v>
          </cell>
          <cell r="CU300">
            <v>1.8909364538332252E-2</v>
          </cell>
          <cell r="CV300">
            <v>1.7736809263563469E-2</v>
          </cell>
          <cell r="CW300">
            <v>1.6489593039323625E-2</v>
          </cell>
          <cell r="CX300">
            <v>1.5353967462502505E-2</v>
          </cell>
          <cell r="CY300">
            <v>1.4674451891284912E-2</v>
          </cell>
          <cell r="CZ300">
            <v>1.3802622559872857E-2</v>
          </cell>
          <cell r="DA300">
            <v>1.2847412415431192E-2</v>
          </cell>
          <cell r="DB300">
            <v>1.1984013777115221E-2</v>
          </cell>
          <cell r="DC300"/>
          <cell r="DD300" t="str">
            <v>NA</v>
          </cell>
          <cell r="DE300" t="str">
            <v>NA</v>
          </cell>
          <cell r="DF300" t="str">
            <v>NA</v>
          </cell>
          <cell r="DG300" t="str">
            <v>NA</v>
          </cell>
          <cell r="DH300" t="str">
            <v>NA</v>
          </cell>
          <cell r="DI300" t="str">
            <v>NA</v>
          </cell>
          <cell r="DJ300" t="str">
            <v>NA</v>
          </cell>
          <cell r="DK300">
            <v>1.2470465522323759</v>
          </cell>
          <cell r="DL300">
            <v>0.50150862286446585</v>
          </cell>
          <cell r="DM300">
            <v>0.43649988238852111</v>
          </cell>
          <cell r="DN300">
            <v>0.21671251590687945</v>
          </cell>
          <cell r="DO300">
            <v>0.1849992232711053</v>
          </cell>
        </row>
        <row r="301">
          <cell r="A301"/>
          <cell r="B301"/>
          <cell r="C301"/>
          <cell r="D301"/>
          <cell r="E301"/>
          <cell r="F301"/>
          <cell r="G301"/>
          <cell r="H301"/>
          <cell r="I301"/>
          <cell r="J301"/>
          <cell r="K301"/>
          <cell r="L301"/>
          <cell r="M301"/>
          <cell r="N301"/>
          <cell r="O301"/>
          <cell r="P301"/>
          <cell r="Q301"/>
          <cell r="R301"/>
          <cell r="S301"/>
          <cell r="T301"/>
          <cell r="U301"/>
          <cell r="V301"/>
          <cell r="W301"/>
          <cell r="X301"/>
          <cell r="Y301"/>
          <cell r="Z301"/>
          <cell r="AA301"/>
          <cell r="AB301"/>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cell r="BL301"/>
          <cell r="BM301"/>
          <cell r="BN301"/>
          <cell r="BO301"/>
          <cell r="BP301"/>
          <cell r="BQ301"/>
          <cell r="BR301"/>
          <cell r="BS301"/>
          <cell r="BT301"/>
          <cell r="BU301"/>
          <cell r="BV301"/>
          <cell r="BW301"/>
          <cell r="BX301"/>
          <cell r="BY301"/>
          <cell r="BZ301"/>
          <cell r="CA301"/>
          <cell r="CB301"/>
          <cell r="CC301"/>
          <cell r="CD301"/>
          <cell r="CE301"/>
          <cell r="CF301"/>
          <cell r="CG301"/>
          <cell r="CH301"/>
          <cell r="CI301"/>
          <cell r="CJ301"/>
          <cell r="CK301"/>
          <cell r="CL301"/>
          <cell r="CM301"/>
          <cell r="CN301"/>
          <cell r="CO301"/>
          <cell r="CP301"/>
          <cell r="CQ301"/>
          <cell r="CR301"/>
          <cell r="CS301"/>
          <cell r="CT301"/>
          <cell r="CU301"/>
          <cell r="CV301"/>
          <cell r="CW301"/>
          <cell r="CX301"/>
          <cell r="CY301"/>
          <cell r="CZ301"/>
          <cell r="DA301"/>
          <cell r="DB301"/>
          <cell r="DC301"/>
          <cell r="DD301"/>
          <cell r="DE301"/>
          <cell r="DF301"/>
          <cell r="DG301"/>
          <cell r="DH301"/>
          <cell r="DI301"/>
          <cell r="DJ301"/>
          <cell r="DK301"/>
          <cell r="DL301"/>
          <cell r="DM301"/>
          <cell r="DN301"/>
          <cell r="DO301"/>
        </row>
        <row r="302">
          <cell r="A302" t="str">
            <v>Content Collaboration</v>
          </cell>
          <cell r="B302"/>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4.78494623655914</v>
          </cell>
          <cell r="BH302">
            <v>6.0571428571428569</v>
          </cell>
          <cell r="BI302">
            <v>7.2352941176470598</v>
          </cell>
          <cell r="BJ302">
            <v>8.6666666666666679</v>
          </cell>
          <cell r="BK302">
            <v>8.9</v>
          </cell>
          <cell r="BL302">
            <v>10.6</v>
          </cell>
          <cell r="BM302">
            <v>12.3</v>
          </cell>
          <cell r="BN302">
            <v>14.3</v>
          </cell>
          <cell r="BO302">
            <v>15.9</v>
          </cell>
          <cell r="BP302">
            <v>17.8</v>
          </cell>
          <cell r="BQ302">
            <v>20.100000000000001</v>
          </cell>
          <cell r="BR302">
            <v>21.7</v>
          </cell>
          <cell r="BS302">
            <v>21.8</v>
          </cell>
          <cell r="BT302">
            <v>24.9</v>
          </cell>
          <cell r="BU302">
            <v>26.4</v>
          </cell>
          <cell r="BV302">
            <v>28.3</v>
          </cell>
          <cell r="BW302">
            <v>31.1</v>
          </cell>
          <cell r="BX302">
            <v>33.700000000000003</v>
          </cell>
          <cell r="BY302">
            <v>34.799999999999997</v>
          </cell>
          <cell r="BZ302">
            <v>37.200000000000003</v>
          </cell>
          <cell r="CA302">
            <v>38.911000000000001</v>
          </cell>
          <cell r="CB302">
            <v>41.021999999999998</v>
          </cell>
          <cell r="CC302">
            <v>41.631999999999998</v>
          </cell>
          <cell r="CD302">
            <v>45.6</v>
          </cell>
          <cell r="CE302">
            <v>44.7</v>
          </cell>
          <cell r="CF302">
            <v>46.2</v>
          </cell>
          <cell r="CG302">
            <v>46.6</v>
          </cell>
          <cell r="CH302">
            <v>47.427</v>
          </cell>
          <cell r="CI302">
            <v>46.576615394209185</v>
          </cell>
          <cell r="CJ302">
            <v>47.973980386850542</v>
          </cell>
          <cell r="CK302">
            <v>48.230794223009099</v>
          </cell>
          <cell r="CL302">
            <v>48.939942659716465</v>
          </cell>
          <cell r="CM302">
            <v>48.058628341920802</v>
          </cell>
          <cell r="CN302">
            <v>49.388536306889371</v>
          </cell>
          <cell r="CO302">
            <v>49.541295512144941</v>
          </cell>
          <cell r="CP302">
            <v>50.165999681490227</v>
          </cell>
          <cell r="CQ302">
            <v>49.233063175162876</v>
          </cell>
          <cell r="CR302">
            <v>50.515515010452489</v>
          </cell>
          <cell r="CS302">
            <v>50.589162476648909</v>
          </cell>
          <cell r="CT302">
            <v>51.15055187125904</v>
          </cell>
          <cell r="CU302">
            <v>50.164029114080776</v>
          </cell>
          <cell r="CV302">
            <v>51.411499065043557</v>
          </cell>
          <cell r="CW302">
            <v>51.42335717808907</v>
          </cell>
          <cell r="CX302">
            <v>51.935915780379403</v>
          </cell>
          <cell r="CY302">
            <v>50.900158745988371</v>
          </cell>
          <cell r="CZ302">
            <v>52.121112581875614</v>
          </cell>
          <cell r="DA302">
            <v>52.084014255542009</v>
          </cell>
          <cell r="DB302">
            <v>52.55831651061856</v>
          </cell>
          <cell r="DC302"/>
          <cell r="DD302"/>
          <cell r="DE302">
            <v>0</v>
          </cell>
          <cell r="DF302">
            <v>0</v>
          </cell>
          <cell r="DG302">
            <v>0</v>
          </cell>
          <cell r="DH302">
            <v>0</v>
          </cell>
          <cell r="DI302">
            <v>0</v>
          </cell>
          <cell r="DJ302">
            <v>0</v>
          </cell>
          <cell r="DK302">
            <v>0</v>
          </cell>
          <cell r="DL302">
            <v>0</v>
          </cell>
          <cell r="DM302">
            <v>0</v>
          </cell>
          <cell r="DN302">
            <v>0</v>
          </cell>
          <cell r="DO302">
            <v>0</v>
          </cell>
        </row>
        <row r="303">
          <cell r="A303" t="str">
            <v>% of revenue</v>
          </cell>
          <cell r="B303"/>
          <cell r="C303" t="e">
            <v>#DIV/0!</v>
          </cell>
          <cell r="D303" t="e">
            <v>#DIV/0!</v>
          </cell>
          <cell r="E303" t="e">
            <v>#DIV/0!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8.117025990990831E-3</v>
          </cell>
          <cell r="BH303">
            <v>9.8456508462847776E-3</v>
          </cell>
          <cell r="BI303">
            <v>1.1280084121915151E-2</v>
          </cell>
          <cell r="BJ303">
            <v>1.1711775018603706E-2</v>
          </cell>
          <cell r="BK303">
            <v>1.3226353434913709E-2</v>
          </cell>
          <cell r="BL303">
            <v>1.4512913754956296E-2</v>
          </cell>
          <cell r="BM303">
            <v>1.7257562811214891E-2</v>
          </cell>
          <cell r="BN303">
            <v>1.7821091199122657E-2</v>
          </cell>
          <cell r="BO303">
            <v>2.1176874852660895E-2</v>
          </cell>
          <cell r="BP303">
            <v>2.2774962894723375E-2</v>
          </cell>
          <cell r="BQ303">
            <v>2.6482422785950883E-2</v>
          </cell>
          <cell r="BR303">
            <v>2.5484948025973508E-2</v>
          </cell>
          <cell r="BS303">
            <v>2.8653973044234903E-2</v>
          </cell>
          <cell r="BT303">
            <v>3.1251608077222846E-2</v>
          </cell>
          <cell r="BU303">
            <v>3.2461544136633588E-2</v>
          </cell>
          <cell r="BV303">
            <v>3.1278909504477967E-2</v>
          </cell>
          <cell r="BW303">
            <v>4.7208977902858808E-2</v>
          </cell>
          <cell r="BX303">
            <v>5.0000964410292788E-2</v>
          </cell>
          <cell r="BY303">
            <v>5.2038472581108233E-2</v>
          </cell>
          <cell r="BZ303">
            <v>5.064090696230792E-2</v>
          </cell>
          <cell r="CA303">
            <v>5.8717897256129317E-2</v>
          </cell>
          <cell r="CB303">
            <v>5.9175421615141929E-2</v>
          </cell>
          <cell r="CC303">
            <v>6.0255454644136487E-2</v>
          </cell>
          <cell r="CD303">
            <v>5.8622600297998213E-2</v>
          </cell>
          <cell r="CE303">
            <v>6.4114332924072565E-2</v>
          </cell>
          <cell r="CF303">
            <v>6.2233537410842379E-2</v>
          </cell>
          <cell r="CG303">
            <v>6.3619831912581443E-2</v>
          </cell>
          <cell r="CH303">
            <v>5.9145497399827898E-2</v>
          </cell>
          <cell r="CI303">
            <v>6.5580260925503689E-2</v>
          </cell>
          <cell r="CJ303">
            <v>6.2143521735475798E-2</v>
          </cell>
          <cell r="CK303">
            <v>6.3226033192194261E-2</v>
          </cell>
          <cell r="CL303">
            <v>5.7178042575461253E-2</v>
          </cell>
          <cell r="CM303">
            <v>6.2829772662748737E-2</v>
          </cell>
          <cell r="CN303">
            <v>5.9719227538362167E-2</v>
          </cell>
          <cell r="CO303">
            <v>6.0490603198540362E-2</v>
          </cell>
          <cell r="CP303">
            <v>5.577012195353484E-2</v>
          </cell>
          <cell r="CQ303">
            <v>5.9777077791284008E-2</v>
          </cell>
          <cell r="CR303">
            <v>5.7123954653889544E-2</v>
          </cell>
          <cell r="CS303">
            <v>5.7702149892043003E-2</v>
          </cell>
          <cell r="CT303">
            <v>5.4221395765629531E-2</v>
          </cell>
          <cell r="CU303">
            <v>5.6126898750260626E-2</v>
          </cell>
          <cell r="CV303">
            <v>5.3810305211767849E-2</v>
          </cell>
          <cell r="CW303">
            <v>5.4275746277768863E-2</v>
          </cell>
          <cell r="CX303">
            <v>5.1348549336563305E-2</v>
          </cell>
          <cell r="CY303">
            <v>5.2411671774838041E-2</v>
          </cell>
          <cell r="CZ303">
            <v>5.0463062025465168E-2</v>
          </cell>
          <cell r="DA303">
            <v>5.0914894974560872E-2</v>
          </cell>
          <cell r="DB303">
            <v>4.8303199630317609E-2</v>
          </cell>
          <cell r="DC303"/>
          <cell r="DD303"/>
          <cell r="DE303">
            <v>0</v>
          </cell>
          <cell r="DF303">
            <v>0</v>
          </cell>
          <cell r="DG303">
            <v>0</v>
          </cell>
          <cell r="DH303">
            <v>0</v>
          </cell>
          <cell r="DI303">
            <v>0</v>
          </cell>
          <cell r="DJ303">
            <v>0</v>
          </cell>
          <cell r="DK303">
            <v>0</v>
          </cell>
          <cell r="DL303">
            <v>0</v>
          </cell>
          <cell r="DM303">
            <v>0</v>
          </cell>
          <cell r="DN303">
            <v>0</v>
          </cell>
          <cell r="DO303">
            <v>0</v>
          </cell>
        </row>
        <row r="304">
          <cell r="A304" t="str">
            <v>% growth in revenue y-o-y</v>
          </cell>
          <cell r="B304"/>
          <cell r="C304" t="str">
            <v>NA</v>
          </cell>
          <cell r="D304" t="str">
            <v>NA</v>
          </cell>
          <cell r="E304" t="str">
            <v>NA</v>
          </cell>
          <cell r="F304" t="str">
            <v>NA</v>
          </cell>
          <cell r="G304" t="str">
            <v>NA</v>
          </cell>
          <cell r="H304" t="str">
            <v>NA</v>
          </cell>
          <cell r="I304" t="str">
            <v>NA</v>
          </cell>
          <cell r="J304" t="str">
            <v>NA</v>
          </cell>
          <cell r="K304" t="str">
            <v>NA</v>
          </cell>
          <cell r="L304" t="str">
            <v>NA</v>
          </cell>
          <cell r="M304" t="str">
            <v>NA</v>
          </cell>
          <cell r="N304" t="str">
            <v>NA</v>
          </cell>
          <cell r="O304" t="str">
            <v>NA</v>
          </cell>
          <cell r="P304" t="str">
            <v>NA</v>
          </cell>
          <cell r="Q304" t="str">
            <v>NA</v>
          </cell>
          <cell r="R304" t="str">
            <v>NA</v>
          </cell>
          <cell r="S304" t="str">
            <v>NA</v>
          </cell>
          <cell r="T304" t="str">
            <v>NA</v>
          </cell>
          <cell r="U304" t="str">
            <v>NA</v>
          </cell>
          <cell r="V304" t="str">
            <v>NA</v>
          </cell>
          <cell r="W304" t="str">
            <v>NA</v>
          </cell>
          <cell r="X304" t="str">
            <v>NA</v>
          </cell>
          <cell r="Y304" t="str">
            <v>NA</v>
          </cell>
          <cell r="Z304" t="str">
            <v>NA</v>
          </cell>
          <cell r="AA304" t="str">
            <v>NA</v>
          </cell>
          <cell r="AB304" t="str">
            <v>NA</v>
          </cell>
          <cell r="AC304" t="str">
            <v>NA</v>
          </cell>
          <cell r="AD304" t="str">
            <v>NA</v>
          </cell>
          <cell r="AE304" t="str">
            <v>NA</v>
          </cell>
          <cell r="AF304" t="str">
            <v>NA</v>
          </cell>
          <cell r="AG304" t="str">
            <v>NA</v>
          </cell>
          <cell r="AH304" t="str">
            <v>NA</v>
          </cell>
          <cell r="AI304" t="str">
            <v>NA</v>
          </cell>
          <cell r="AJ304" t="str">
            <v>NA</v>
          </cell>
          <cell r="AK304" t="str">
            <v>NA</v>
          </cell>
          <cell r="AL304" t="str">
            <v>NA</v>
          </cell>
          <cell r="AM304" t="str">
            <v>NA</v>
          </cell>
          <cell r="AN304" t="str">
            <v>NA</v>
          </cell>
          <cell r="AO304" t="str">
            <v>NA</v>
          </cell>
          <cell r="AP304" t="str">
            <v>NA</v>
          </cell>
          <cell r="AQ304" t="str">
            <v>NA</v>
          </cell>
          <cell r="AR304" t="str">
            <v>NA</v>
          </cell>
          <cell r="AS304" t="str">
            <v>NA</v>
          </cell>
          <cell r="AT304" t="str">
            <v>NA</v>
          </cell>
          <cell r="AU304" t="str">
            <v>NA</v>
          </cell>
          <cell r="AV304" t="str">
            <v>NA</v>
          </cell>
          <cell r="AW304" t="str">
            <v>NA</v>
          </cell>
          <cell r="AX304" t="str">
            <v>NA</v>
          </cell>
          <cell r="AY304" t="str">
            <v>NA</v>
          </cell>
          <cell r="AZ304" t="str">
            <v>NA</v>
          </cell>
          <cell r="BA304" t="str">
            <v>NA</v>
          </cell>
          <cell r="BB304" t="str">
            <v>NA</v>
          </cell>
          <cell r="BC304" t="str">
            <v>NA</v>
          </cell>
          <cell r="BD304" t="str">
            <v>NA</v>
          </cell>
          <cell r="BE304" t="str">
            <v>NA</v>
          </cell>
          <cell r="BF304" t="str">
            <v>NA</v>
          </cell>
          <cell r="BG304" t="str">
            <v>NA</v>
          </cell>
          <cell r="BH304" t="str">
            <v>NA</v>
          </cell>
          <cell r="BI304" t="str">
            <v>NA</v>
          </cell>
          <cell r="BJ304" t="str">
            <v>NA</v>
          </cell>
          <cell r="BK304">
            <v>0.8600000000000001</v>
          </cell>
          <cell r="BL304">
            <v>0.75</v>
          </cell>
          <cell r="BM304">
            <v>0.7</v>
          </cell>
          <cell r="BN304">
            <v>0.64999999999999991</v>
          </cell>
          <cell r="BO304">
            <v>0.78651685393258419</v>
          </cell>
          <cell r="BP304">
            <v>0.679245283018868</v>
          </cell>
          <cell r="BQ304">
            <v>0.63414634146341475</v>
          </cell>
          <cell r="BR304">
            <v>0.51748251748251728</v>
          </cell>
          <cell r="BS304">
            <v>0.37106918238993702</v>
          </cell>
          <cell r="BT304">
            <v>0.398876404494382</v>
          </cell>
          <cell r="BU304">
            <v>0.31343283582089532</v>
          </cell>
          <cell r="BV304">
            <v>0.30414746543778803</v>
          </cell>
          <cell r="BW304">
            <v>0.42660550458715596</v>
          </cell>
          <cell r="BX304">
            <v>0.35341365461847407</v>
          </cell>
          <cell r="BY304">
            <v>0.31818181818181812</v>
          </cell>
          <cell r="BZ304">
            <v>0.31448763250883394</v>
          </cell>
          <cell r="CA304">
            <v>0.2511575562700965</v>
          </cell>
          <cell r="CB304">
            <v>0.21727002967359033</v>
          </cell>
          <cell r="CC304">
            <v>0.19632183908045975</v>
          </cell>
          <cell r="CD304">
            <v>0.22580645161290325</v>
          </cell>
          <cell r="CE304">
            <v>0.14877541055228605</v>
          </cell>
          <cell r="CF304">
            <v>0.12622495246453136</v>
          </cell>
          <cell r="CG304">
            <v>0.11933128362797851</v>
          </cell>
          <cell r="CH304">
            <v>4.0065789473684221E-2</v>
          </cell>
          <cell r="CI304">
            <v>4.1982447297744585E-2</v>
          </cell>
          <cell r="CJ304">
            <v>3.8397843871223802E-2</v>
          </cell>
          <cell r="CK304">
            <v>3.4995584184744466E-2</v>
          </cell>
          <cell r="CL304">
            <v>3.1900450370389466E-2</v>
          </cell>
          <cell r="CM304">
            <v>3.1818820134703829E-2</v>
          </cell>
          <cell r="CN304">
            <v>2.9485898577357839E-2</v>
          </cell>
          <cell r="CO304">
            <v>2.7171464004435819E-2</v>
          </cell>
          <cell r="CP304">
            <v>2.5052277447455085E-2</v>
          </cell>
          <cell r="CQ304">
            <v>2.4437543761889557E-2</v>
          </cell>
          <cell r="CR304">
            <v>2.2818629338604568E-2</v>
          </cell>
          <cell r="CS304">
            <v>2.1151383985246852E-2</v>
          </cell>
          <cell r="CT304">
            <v>1.9625885978946878E-2</v>
          </cell>
          <cell r="CU304">
            <v>1.8909364538332252E-2</v>
          </cell>
          <cell r="CV304">
            <v>1.7736809263563469E-2</v>
          </cell>
          <cell r="CW304">
            <v>1.6489593039323625E-2</v>
          </cell>
          <cell r="CX304">
            <v>1.5353967462502505E-2</v>
          </cell>
          <cell r="CY304">
            <v>1.4674451891284912E-2</v>
          </cell>
          <cell r="CZ304">
            <v>1.3802622559872857E-2</v>
          </cell>
          <cell r="DA304">
            <v>1.2847412415431192E-2</v>
          </cell>
          <cell r="DB304">
            <v>1.1984013777115221E-2</v>
          </cell>
          <cell r="DC304"/>
          <cell r="DD304" t="str">
            <v>NA</v>
          </cell>
          <cell r="DE304" t="str">
            <v>NA</v>
          </cell>
          <cell r="DF304" t="str">
            <v>NA</v>
          </cell>
          <cell r="DG304" t="str">
            <v>NA</v>
          </cell>
          <cell r="DH304" t="str">
            <v>NA</v>
          </cell>
          <cell r="DI304" t="str">
            <v>NA</v>
          </cell>
          <cell r="DJ304" t="str">
            <v>NA</v>
          </cell>
          <cell r="DK304" t="str">
            <v>NA</v>
          </cell>
          <cell r="DL304" t="str">
            <v>NA</v>
          </cell>
          <cell r="DM304" t="str">
            <v>NA</v>
          </cell>
          <cell r="DN304" t="str">
            <v>NA</v>
          </cell>
          <cell r="DO304" t="str">
            <v>NA</v>
          </cell>
        </row>
        <row r="305">
          <cell r="A305" t="str">
            <v>% growth in revenue seq</v>
          </cell>
          <cell r="B305"/>
          <cell r="C305" t="str">
            <v>NA</v>
          </cell>
          <cell r="D305" t="str">
            <v>NA</v>
          </cell>
          <cell r="E305" t="str">
            <v>NA</v>
          </cell>
          <cell r="F305" t="str">
            <v>NA</v>
          </cell>
          <cell r="G305" t="str">
            <v>NA</v>
          </cell>
          <cell r="H305" t="str">
            <v>NA</v>
          </cell>
          <cell r="I305" t="str">
            <v>NA</v>
          </cell>
          <cell r="J305" t="str">
            <v>NA</v>
          </cell>
          <cell r="K305" t="str">
            <v>NA</v>
          </cell>
          <cell r="L305" t="str">
            <v>NA</v>
          </cell>
          <cell r="M305" t="str">
            <v>NA</v>
          </cell>
          <cell r="N305" t="str">
            <v>NA</v>
          </cell>
          <cell r="O305" t="str">
            <v>NA</v>
          </cell>
          <cell r="P305" t="str">
            <v>NA</v>
          </cell>
          <cell r="Q305" t="str">
            <v>NA</v>
          </cell>
          <cell r="R305" t="str">
            <v>NA</v>
          </cell>
          <cell r="S305" t="str">
            <v>NA</v>
          </cell>
          <cell r="T305" t="str">
            <v>NA</v>
          </cell>
          <cell r="U305" t="str">
            <v>NA</v>
          </cell>
          <cell r="V305" t="str">
            <v>NA</v>
          </cell>
          <cell r="W305" t="str">
            <v>NA</v>
          </cell>
          <cell r="X305" t="str">
            <v>NA</v>
          </cell>
          <cell r="Y305" t="str">
            <v>NA</v>
          </cell>
          <cell r="Z305" t="str">
            <v>NA</v>
          </cell>
          <cell r="AA305" t="str">
            <v>NA</v>
          </cell>
          <cell r="AB305" t="str">
            <v>NA</v>
          </cell>
          <cell r="AC305" t="str">
            <v>NA</v>
          </cell>
          <cell r="AD305" t="str">
            <v>NA</v>
          </cell>
          <cell r="AE305" t="str">
            <v>NA</v>
          </cell>
          <cell r="AF305" t="str">
            <v>NA</v>
          </cell>
          <cell r="AG305" t="str">
            <v>NA</v>
          </cell>
          <cell r="AH305" t="str">
            <v>NA</v>
          </cell>
          <cell r="AI305" t="str">
            <v>NA</v>
          </cell>
          <cell r="AJ305" t="str">
            <v>NA</v>
          </cell>
          <cell r="AK305" t="str">
            <v>NA</v>
          </cell>
          <cell r="AL305" t="str">
            <v>NA</v>
          </cell>
          <cell r="AM305" t="str">
            <v>NA</v>
          </cell>
          <cell r="AN305" t="str">
            <v>NA</v>
          </cell>
          <cell r="AO305" t="str">
            <v>NA</v>
          </cell>
          <cell r="AP305" t="str">
            <v>NA</v>
          </cell>
          <cell r="AQ305" t="str">
            <v>NA</v>
          </cell>
          <cell r="AR305" t="str">
            <v>NA</v>
          </cell>
          <cell r="AS305" t="str">
            <v>NA</v>
          </cell>
          <cell r="AT305" t="str">
            <v>NA</v>
          </cell>
          <cell r="AU305" t="str">
            <v>NA</v>
          </cell>
          <cell r="AV305" t="str">
            <v>NA</v>
          </cell>
          <cell r="AW305" t="str">
            <v>NA</v>
          </cell>
          <cell r="AX305" t="str">
            <v>NA</v>
          </cell>
          <cell r="AY305" t="str">
            <v>NA</v>
          </cell>
          <cell r="AZ305" t="str">
            <v>NA</v>
          </cell>
          <cell r="BA305" t="str">
            <v>NA</v>
          </cell>
          <cell r="BB305" t="str">
            <v>NA</v>
          </cell>
          <cell r="BC305" t="str">
            <v>NA</v>
          </cell>
          <cell r="BD305" t="str">
            <v>NA</v>
          </cell>
          <cell r="BE305" t="str">
            <v>NA</v>
          </cell>
          <cell r="BF305" t="str">
            <v>NA</v>
          </cell>
          <cell r="BG305" t="str">
            <v>NA</v>
          </cell>
          <cell r="BH305">
            <v>0.26587479935794534</v>
          </cell>
          <cell r="BI305">
            <v>0.19450610432852411</v>
          </cell>
          <cell r="BJ305">
            <v>0.19783197831978327</v>
          </cell>
          <cell r="BK305">
            <v>2.6923076923076827E-2</v>
          </cell>
          <cell r="BL305">
            <v>0.1910112359550562</v>
          </cell>
          <cell r="BM305">
            <v>0.16037735849056611</v>
          </cell>
          <cell r="BN305">
            <v>0.16260162601626016</v>
          </cell>
          <cell r="BO305">
            <v>0.11188811188811187</v>
          </cell>
          <cell r="BP305">
            <v>0.11949685534591192</v>
          </cell>
          <cell r="BQ305">
            <v>0.1292134831460674</v>
          </cell>
          <cell r="BR305">
            <v>7.9601990049751103E-2</v>
          </cell>
          <cell r="BS305">
            <v>4.6082949308756671E-3</v>
          </cell>
          <cell r="BT305">
            <v>0.14220183486238525</v>
          </cell>
          <cell r="BU305">
            <v>6.024096385542177E-2</v>
          </cell>
          <cell r="BV305">
            <v>7.1969696969697017E-2</v>
          </cell>
          <cell r="BW305">
            <v>9.8939929328621945E-2</v>
          </cell>
          <cell r="BX305">
            <v>8.3601286173633493E-2</v>
          </cell>
          <cell r="BY305">
            <v>3.2640949554896048E-2</v>
          </cell>
          <cell r="BZ305">
            <v>6.8965517241379448E-2</v>
          </cell>
          <cell r="CA305">
            <v>4.5994623655913891E-2</v>
          </cell>
          <cell r="CB305">
            <v>5.4252010999460198E-2</v>
          </cell>
          <cell r="CC305">
            <v>1.4870069718687429E-2</v>
          </cell>
          <cell r="CD305">
            <v>9.5311299000768734E-2</v>
          </cell>
          <cell r="CE305">
            <v>-1.9736842105263164E-2</v>
          </cell>
          <cell r="CF305">
            <v>3.3557046979865834E-2</v>
          </cell>
          <cell r="CG305">
            <v>8.6580086580085869E-3</v>
          </cell>
          <cell r="CH305">
            <v>1.7746781115879795E-2</v>
          </cell>
          <cell r="CI305">
            <v>-1.7930389984414208E-2</v>
          </cell>
          <cell r="CJ305">
            <v>3.0001428416696285E-2</v>
          </cell>
          <cell r="CK305">
            <v>5.353190085285231E-3</v>
          </cell>
          <cell r="CL305">
            <v>1.4703229505788507E-2</v>
          </cell>
          <cell r="CM305">
            <v>-1.8008078266938621E-2</v>
          </cell>
          <cell r="CN305">
            <v>2.7672615945397494E-2</v>
          </cell>
          <cell r="CO305">
            <v>3.0930093636782896E-3</v>
          </cell>
          <cell r="CP305">
            <v>1.260976651674639E-2</v>
          </cell>
          <cell r="CQ305">
            <v>-1.8596988244043211E-2</v>
          </cell>
          <cell r="CR305">
            <v>2.6048589150889701E-2</v>
          </cell>
          <cell r="CS305">
            <v>1.4579177542024535E-3</v>
          </cell>
          <cell r="CT305">
            <v>1.1097028832395939E-2</v>
          </cell>
          <cell r="CU305">
            <v>-1.9286649333935757E-2</v>
          </cell>
          <cell r="CV305">
            <v>2.4867818095827943E-2</v>
          </cell>
          <cell r="CW305">
            <v>2.3065098783670024E-4</v>
          </cell>
          <cell r="CX305">
            <v>9.9674278463626198E-3</v>
          </cell>
          <cell r="CY305">
            <v>-1.994298201596989E-2</v>
          </cell>
          <cell r="CZ305">
            <v>2.3987230412782834E-2</v>
          </cell>
          <cell r="DA305">
            <v>-7.1177157385748924E-4</v>
          </cell>
          <cell r="DB305">
            <v>9.10648424196836E-3</v>
          </cell>
          <cell r="DC305"/>
          <cell r="DD305"/>
          <cell r="DE305"/>
          <cell r="DF305"/>
          <cell r="DG305"/>
          <cell r="DH305"/>
          <cell r="DI305"/>
          <cell r="DJ305"/>
          <cell r="DK305"/>
          <cell r="DL305"/>
          <cell r="DM305"/>
          <cell r="DN305"/>
          <cell r="DO305"/>
        </row>
        <row r="306">
          <cell r="A306"/>
          <cell r="B306"/>
          <cell r="C306"/>
          <cell r="D306"/>
          <cell r="E306"/>
          <cell r="F306"/>
          <cell r="G306"/>
          <cell r="H306"/>
          <cell r="I306"/>
          <cell r="J306"/>
          <cell r="K306"/>
          <cell r="L306"/>
          <cell r="M306"/>
          <cell r="N306"/>
          <cell r="O306"/>
          <cell r="P306"/>
          <cell r="Q306"/>
          <cell r="R306"/>
          <cell r="S306"/>
          <cell r="T306"/>
          <cell r="U306"/>
          <cell r="V306"/>
          <cell r="W306"/>
          <cell r="X306"/>
          <cell r="Y306"/>
          <cell r="Z306"/>
          <cell r="AA306"/>
          <cell r="AB306"/>
          <cell r="AC306"/>
          <cell r="AD306"/>
          <cell r="AE306"/>
          <cell r="AF306"/>
          <cell r="AG306"/>
          <cell r="AH306"/>
          <cell r="AI306"/>
          <cell r="AJ306"/>
          <cell r="AK306"/>
          <cell r="AL306"/>
          <cell r="AM306"/>
          <cell r="AN306"/>
          <cell r="AO306"/>
          <cell r="AP306"/>
          <cell r="AQ306"/>
          <cell r="AR306"/>
          <cell r="AS306"/>
          <cell r="AT306"/>
          <cell r="AU306"/>
          <cell r="AV306"/>
          <cell r="AW306"/>
          <cell r="AX306"/>
          <cell r="AY306"/>
          <cell r="AZ306"/>
          <cell r="BA306"/>
          <cell r="BB306"/>
          <cell r="BC306"/>
          <cell r="BD306"/>
          <cell r="BE306"/>
          <cell r="BF306"/>
          <cell r="BG306"/>
          <cell r="BH306"/>
          <cell r="BI306"/>
          <cell r="BJ306"/>
          <cell r="BK306"/>
          <cell r="BL306"/>
          <cell r="BM306"/>
          <cell r="BN306"/>
          <cell r="BO306"/>
          <cell r="BP306"/>
          <cell r="BQ306"/>
          <cell r="BR306"/>
          <cell r="BS306"/>
          <cell r="BT306"/>
          <cell r="BU306"/>
          <cell r="BV306"/>
          <cell r="BW306"/>
          <cell r="BX306"/>
          <cell r="BY306"/>
          <cell r="BZ306"/>
          <cell r="CA306"/>
          <cell r="CB306"/>
          <cell r="CC306"/>
          <cell r="CD306"/>
          <cell r="CE306"/>
          <cell r="CF306"/>
          <cell r="CG306"/>
          <cell r="CH306"/>
          <cell r="CI306"/>
          <cell r="CJ306"/>
          <cell r="CK306"/>
          <cell r="CL306"/>
          <cell r="CM306"/>
          <cell r="CN306"/>
          <cell r="CO306"/>
          <cell r="CP306"/>
          <cell r="CQ306"/>
          <cell r="CR306"/>
          <cell r="CS306"/>
          <cell r="CT306"/>
          <cell r="CU306"/>
          <cell r="CV306"/>
          <cell r="CW306"/>
          <cell r="CX306"/>
          <cell r="CY306"/>
          <cell r="CZ306"/>
          <cell r="DA306"/>
          <cell r="DB306"/>
          <cell r="DC306"/>
          <cell r="DD306"/>
          <cell r="DE306"/>
          <cell r="DF306"/>
          <cell r="DG306"/>
          <cell r="DH306"/>
          <cell r="DI306"/>
          <cell r="DJ306"/>
          <cell r="DK306"/>
          <cell r="DL306"/>
          <cell r="DM306"/>
          <cell r="DN306"/>
          <cell r="DO306"/>
        </row>
        <row r="307">
          <cell r="A307" t="str">
            <v>Software licenses</v>
          </cell>
          <cell r="B307"/>
          <cell r="C307"/>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cell r="AD307"/>
          <cell r="AE307"/>
          <cell r="AF307"/>
          <cell r="AG307"/>
          <cell r="AH307"/>
          <cell r="AI307"/>
          <cell r="AJ307"/>
          <cell r="AK307"/>
          <cell r="AL307"/>
          <cell r="AM307"/>
          <cell r="AN307"/>
          <cell r="AO307"/>
          <cell r="AP307"/>
          <cell r="AQ307"/>
          <cell r="AR307"/>
          <cell r="AS307"/>
          <cell r="AT307"/>
          <cell r="AU307"/>
          <cell r="AV307"/>
          <cell r="AW307"/>
          <cell r="AX307"/>
          <cell r="AY307"/>
          <cell r="AZ307"/>
          <cell r="BA307"/>
          <cell r="BB307"/>
          <cell r="BC307"/>
          <cell r="BD307"/>
          <cell r="BE307"/>
          <cell r="BF307"/>
          <cell r="BG307"/>
          <cell r="BH307"/>
          <cell r="BI307"/>
          <cell r="BJ307"/>
          <cell r="BK307"/>
          <cell r="BL307"/>
          <cell r="BM307"/>
          <cell r="BN307"/>
          <cell r="BO307"/>
          <cell r="BP307"/>
          <cell r="BQ307"/>
          <cell r="BR307"/>
          <cell r="BS307"/>
          <cell r="BT307"/>
          <cell r="BU307"/>
          <cell r="BV307"/>
          <cell r="BW307">
            <v>1.800312090983045</v>
          </cell>
          <cell r="BX307">
            <v>2.4194275902779054</v>
          </cell>
          <cell r="BY307">
            <v>1.4041065477512049</v>
          </cell>
          <cell r="BZ307">
            <v>2.1147958015393442</v>
          </cell>
          <cell r="CA307">
            <v>2.1936439789966045</v>
          </cell>
          <cell r="CB307">
            <v>1.781683548822464</v>
          </cell>
          <cell r="CC307">
            <v>-1.8805630629035903</v>
          </cell>
          <cell r="CD307">
            <v>1.6345064790213115</v>
          </cell>
          <cell r="CE307">
            <v>0.92500000000000004</v>
          </cell>
          <cell r="CF307">
            <v>0.92500000000000004</v>
          </cell>
          <cell r="CG307">
            <v>0.92500000000000004</v>
          </cell>
          <cell r="CH307">
            <v>0.92500000000000004</v>
          </cell>
          <cell r="CI307">
            <v>0.54355225020992526</v>
          </cell>
          <cell r="CJ307">
            <v>0.56262463769942894</v>
          </cell>
          <cell r="CK307">
            <v>0.5807434058144576</v>
          </cell>
          <cell r="CL307">
            <v>0.59795623552373467</v>
          </cell>
          <cell r="CM307">
            <v>0.36098240654150487</v>
          </cell>
          <cell r="CN307">
            <v>0.38309750391668812</v>
          </cell>
          <cell r="CO307">
            <v>0.40470021019714209</v>
          </cell>
          <cell r="CP307">
            <v>0.42575829196963516</v>
          </cell>
          <cell r="CQ307">
            <v>0.26222533511360729</v>
          </cell>
          <cell r="CR307">
            <v>0.28353057896709327</v>
          </cell>
          <cell r="CS307">
            <v>0.30477782153203709</v>
          </cell>
          <cell r="CT307">
            <v>0.32589265011213681</v>
          </cell>
          <cell r="CU307">
            <v>0.20379326978093407</v>
          </cell>
          <cell r="CV307">
            <v>0.22351001138350607</v>
          </cell>
          <cell r="CW307">
            <v>0.24348534646007339</v>
          </cell>
          <cell r="CX307">
            <v>0.26363080743247541</v>
          </cell>
          <cell r="CY307">
            <v>0.1668052699809604</v>
          </cell>
          <cell r="CZ307">
            <v>0.18497179639745487</v>
          </cell>
          <cell r="DA307">
            <v>0.20360204977344573</v>
          </cell>
          <cell r="DB307">
            <v>0.22260680919866657</v>
          </cell>
          <cell r="DC307"/>
          <cell r="DD307"/>
          <cell r="DE307">
            <v>0</v>
          </cell>
          <cell r="DF307">
            <v>0</v>
          </cell>
          <cell r="DG307">
            <v>0</v>
          </cell>
          <cell r="DH307">
            <v>0</v>
          </cell>
          <cell r="DI307">
            <v>0</v>
          </cell>
          <cell r="DJ307">
            <v>0</v>
          </cell>
          <cell r="DK307">
            <v>0</v>
          </cell>
          <cell r="DL307">
            <v>0</v>
          </cell>
          <cell r="DM307">
            <v>0</v>
          </cell>
          <cell r="DN307">
            <v>0</v>
          </cell>
          <cell r="DO307">
            <v>0</v>
          </cell>
        </row>
        <row r="308">
          <cell r="A308" t="str">
            <v>% of revenue</v>
          </cell>
          <cell r="B308"/>
          <cell r="C308"/>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cell r="AD308"/>
          <cell r="AE308"/>
          <cell r="AF308"/>
          <cell r="AG308"/>
          <cell r="AH308"/>
          <cell r="AI308"/>
          <cell r="AJ308"/>
          <cell r="AK308"/>
          <cell r="AL308"/>
          <cell r="AM308"/>
          <cell r="AN308"/>
          <cell r="AO308"/>
          <cell r="AP308"/>
          <cell r="AQ308"/>
          <cell r="AR308"/>
          <cell r="AS308"/>
          <cell r="AT308"/>
          <cell r="AU308"/>
          <cell r="AV308"/>
          <cell r="AW308"/>
          <cell r="AX308"/>
          <cell r="AY308"/>
          <cell r="AZ308"/>
          <cell r="BA308"/>
          <cell r="BB308"/>
          <cell r="BC308"/>
          <cell r="BD308"/>
          <cell r="BE308"/>
          <cell r="BF308"/>
          <cell r="BG308"/>
          <cell r="BH308"/>
          <cell r="BI308"/>
          <cell r="BJ308"/>
          <cell r="BK308"/>
          <cell r="BL308"/>
          <cell r="BM308"/>
          <cell r="BN308"/>
          <cell r="BO308"/>
          <cell r="BP308"/>
          <cell r="BQ308"/>
          <cell r="BR308"/>
          <cell r="BS308"/>
          <cell r="BT308"/>
          <cell r="BU308"/>
          <cell r="BV308"/>
          <cell r="BW308">
            <v>2.7328261646774308E-3</v>
          </cell>
          <cell r="BX308">
            <v>3.5897244164618983E-3</v>
          </cell>
          <cell r="BY308">
            <v>2.0996425312099316E-3</v>
          </cell>
          <cell r="BZ308">
            <v>2.8789026190869172E-3</v>
          </cell>
          <cell r="CA308">
            <v>3.31027631711468E-3</v>
          </cell>
          <cell r="CB308">
            <v>2.5701300567093663E-3</v>
          </cell>
          <cell r="CC308">
            <v>-2.7218049179051134E-3</v>
          </cell>
          <cell r="CD308">
            <v>2.1012942983367269E-3</v>
          </cell>
          <cell r="CE308">
            <v>1.3267507372431125E-3</v>
          </cell>
          <cell r="CF308">
            <v>1.2460177944811515E-3</v>
          </cell>
          <cell r="CG308">
            <v>1.2628400111402969E-3</v>
          </cell>
          <cell r="CH308">
            <v>1.1535535685335528E-3</v>
          </cell>
          <cell r="CI308">
            <v>7.6532607819853368E-4</v>
          </cell>
          <cell r="CJ308">
            <v>7.2880082327652751E-4</v>
          </cell>
          <cell r="CK308">
            <v>7.6129996289084573E-4</v>
          </cell>
          <cell r="CL308">
            <v>6.9861068965209781E-4</v>
          </cell>
          <cell r="CM308">
            <v>4.7193278961045362E-4</v>
          </cell>
          <cell r="CN308">
            <v>4.6323071539554659E-4</v>
          </cell>
          <cell r="CO308">
            <v>4.9414452279310792E-4</v>
          </cell>
          <cell r="CP308">
            <v>4.7332041654970348E-4</v>
          </cell>
          <cell r="CQ308">
            <v>3.1838490731649999E-4</v>
          </cell>
          <cell r="CR308">
            <v>3.2062204913789331E-4</v>
          </cell>
          <cell r="CS308">
            <v>3.4763049398039525E-4</v>
          </cell>
          <cell r="CT308">
            <v>3.4545774605354329E-4</v>
          </cell>
          <cell r="CU308">
            <v>2.2801765370494075E-4</v>
          </cell>
          <cell r="CV308">
            <v>2.3393875201374616E-4</v>
          </cell>
          <cell r="CW308">
            <v>2.5699117311719401E-4</v>
          </cell>
          <cell r="CX308">
            <v>2.6064928900702231E-4</v>
          </cell>
          <cell r="CY308">
            <v>1.7175866001094492E-4</v>
          </cell>
          <cell r="CZ308">
            <v>1.790875668646477E-4</v>
          </cell>
          <cell r="DA308">
            <v>1.9903183594796109E-4</v>
          </cell>
          <cell r="DB308">
            <v>2.0458458066515163E-4</v>
          </cell>
          <cell r="DC308"/>
          <cell r="DD308"/>
          <cell r="DE308">
            <v>0</v>
          </cell>
          <cell r="DF308">
            <v>0</v>
          </cell>
          <cell r="DG308">
            <v>0</v>
          </cell>
          <cell r="DH308">
            <v>0</v>
          </cell>
          <cell r="DI308">
            <v>0</v>
          </cell>
          <cell r="DJ308">
            <v>0</v>
          </cell>
          <cell r="DK308">
            <v>0</v>
          </cell>
          <cell r="DL308">
            <v>0</v>
          </cell>
          <cell r="DM308">
            <v>0</v>
          </cell>
          <cell r="DN308">
            <v>0</v>
          </cell>
          <cell r="DO308">
            <v>0</v>
          </cell>
        </row>
        <row r="309">
          <cell r="A309" t="str">
            <v>% growth in revenue y-o-y</v>
          </cell>
          <cell r="B309"/>
          <cell r="C309"/>
          <cell r="D309"/>
          <cell r="E309"/>
          <cell r="F309"/>
          <cell r="G309"/>
          <cell r="H309"/>
          <cell r="I309"/>
          <cell r="J309"/>
          <cell r="K309"/>
          <cell r="L309"/>
          <cell r="M309"/>
          <cell r="N309"/>
          <cell r="O309"/>
          <cell r="P309"/>
          <cell r="Q309"/>
          <cell r="R309"/>
          <cell r="S309"/>
          <cell r="T309"/>
          <cell r="U309"/>
          <cell r="V309"/>
          <cell r="W309"/>
          <cell r="X309"/>
          <cell r="Y309"/>
          <cell r="Z309"/>
          <cell r="AA309"/>
          <cell r="AB309"/>
          <cell r="AC309"/>
          <cell r="AD309"/>
          <cell r="AE309"/>
          <cell r="AF309"/>
          <cell r="AG309"/>
          <cell r="AH309"/>
          <cell r="AI309"/>
          <cell r="AJ309"/>
          <cell r="AK309"/>
          <cell r="AL309"/>
          <cell r="AM309"/>
          <cell r="AN309"/>
          <cell r="AO309"/>
          <cell r="AP309"/>
          <cell r="AQ309"/>
          <cell r="AR309"/>
          <cell r="AS309"/>
          <cell r="AT309"/>
          <cell r="AU309"/>
          <cell r="AV309"/>
          <cell r="AW309"/>
          <cell r="AX309"/>
          <cell r="AY309"/>
          <cell r="AZ309"/>
          <cell r="BA309"/>
          <cell r="BB309"/>
          <cell r="BC309"/>
          <cell r="BD309"/>
          <cell r="BE309"/>
          <cell r="BF309"/>
          <cell r="BG309"/>
          <cell r="BH309"/>
          <cell r="BI309"/>
          <cell r="BJ309"/>
          <cell r="BK309"/>
          <cell r="BL309"/>
          <cell r="BM309"/>
          <cell r="BN309"/>
          <cell r="BO309"/>
          <cell r="BP309"/>
          <cell r="BQ309"/>
          <cell r="BR309"/>
          <cell r="BS309"/>
          <cell r="BT309"/>
          <cell r="BU309"/>
          <cell r="BV309"/>
          <cell r="BW309" t="str">
            <v>NA</v>
          </cell>
          <cell r="BX309" t="str">
            <v>NA</v>
          </cell>
          <cell r="BY309" t="str">
            <v>NA</v>
          </cell>
          <cell r="BZ309" t="str">
            <v>NA</v>
          </cell>
          <cell r="CA309">
            <v>0.21847983468176557</v>
          </cell>
          <cell r="CB309">
            <v>-0.26359294405756006</v>
          </cell>
          <cell r="CC309">
            <v>-2.3393307409010169</v>
          </cell>
          <cell r="CD309">
            <v>-0.22710907699383254</v>
          </cell>
          <cell r="CE309">
            <v>-0.57832719946510891</v>
          </cell>
          <cell r="CF309">
            <v>-0.48082811865701758</v>
          </cell>
          <cell r="CG309">
            <v>-1.4918739595851678</v>
          </cell>
          <cell r="CH309">
            <v>-0.43407994286210505</v>
          </cell>
          <cell r="CI309">
            <v>-0.41237594571899977</v>
          </cell>
          <cell r="CJ309">
            <v>-0.39175714843304976</v>
          </cell>
          <cell r="CK309">
            <v>-0.37216929101139723</v>
          </cell>
          <cell r="CL309">
            <v>-0.35356082646082737</v>
          </cell>
          <cell r="CM309">
            <v>-0.33588278513778597</v>
          </cell>
          <cell r="CN309">
            <v>-0.31908864588089664</v>
          </cell>
          <cell r="CO309">
            <v>-0.30313421358685178</v>
          </cell>
          <cell r="CP309">
            <v>-0.28797750290750918</v>
          </cell>
          <cell r="CQ309">
            <v>-0.27357862776213371</v>
          </cell>
          <cell r="CR309">
            <v>-0.25989969637402699</v>
          </cell>
          <cell r="CS309">
            <v>-0.24690471155532562</v>
          </cell>
          <cell r="CT309">
            <v>-0.23455947597755933</v>
          </cell>
          <cell r="CU309">
            <v>-0.22283150217868136</v>
          </cell>
          <cell r="CV309">
            <v>-0.21168992706974729</v>
          </cell>
          <cell r="CW309">
            <v>-0.20110543071625991</v>
          </cell>
          <cell r="CX309">
            <v>-0.1910501591804469</v>
          </cell>
          <cell r="CY309">
            <v>-0.18149765122142456</v>
          </cell>
          <cell r="CZ309">
            <v>-0.17242276866035333</v>
          </cell>
          <cell r="DA309">
            <v>-0.16380163022733565</v>
          </cell>
          <cell r="DB309">
            <v>-0.15561154871596886</v>
          </cell>
          <cell r="DC309"/>
          <cell r="DD309" t="str">
            <v>NA</v>
          </cell>
          <cell r="DE309" t="str">
            <v>NA</v>
          </cell>
          <cell r="DF309" t="str">
            <v>NA</v>
          </cell>
          <cell r="DG309" t="str">
            <v>NA</v>
          </cell>
          <cell r="DH309" t="str">
            <v>NA</v>
          </cell>
          <cell r="DI309" t="str">
            <v>NA</v>
          </cell>
          <cell r="DJ309" t="str">
            <v>NA</v>
          </cell>
          <cell r="DK309" t="str">
            <v>NA</v>
          </cell>
          <cell r="DL309" t="str">
            <v>NA</v>
          </cell>
          <cell r="DM309" t="str">
            <v>NA</v>
          </cell>
          <cell r="DN309" t="str">
            <v>NA</v>
          </cell>
          <cell r="DO309" t="str">
            <v>NA</v>
          </cell>
        </row>
        <row r="310">
          <cell r="A310" t="str">
            <v>% growth in revenue seq</v>
          </cell>
          <cell r="B310"/>
          <cell r="C310"/>
          <cell r="D310"/>
          <cell r="E310"/>
          <cell r="F310"/>
          <cell r="G310"/>
          <cell r="H310"/>
          <cell r="I310"/>
          <cell r="J310"/>
          <cell r="K310"/>
          <cell r="L310"/>
          <cell r="M310"/>
          <cell r="N310"/>
          <cell r="O310"/>
          <cell r="P310"/>
          <cell r="Q310"/>
          <cell r="R310"/>
          <cell r="S310"/>
          <cell r="T310"/>
          <cell r="U310"/>
          <cell r="V310"/>
          <cell r="W310"/>
          <cell r="X310"/>
          <cell r="Y310"/>
          <cell r="Z310"/>
          <cell r="AA310"/>
          <cell r="AB310"/>
          <cell r="AC310"/>
          <cell r="AD310"/>
          <cell r="AE310"/>
          <cell r="AF310"/>
          <cell r="AG310"/>
          <cell r="AH310"/>
          <cell r="AI310"/>
          <cell r="AJ310"/>
          <cell r="AK310"/>
          <cell r="AL310"/>
          <cell r="AM310"/>
          <cell r="AN310"/>
          <cell r="AO310"/>
          <cell r="AP310"/>
          <cell r="AQ310"/>
          <cell r="AR310"/>
          <cell r="AS310"/>
          <cell r="AT310"/>
          <cell r="AU310"/>
          <cell r="AV310"/>
          <cell r="AW310"/>
          <cell r="AX310"/>
          <cell r="AY310"/>
          <cell r="AZ310"/>
          <cell r="BA310"/>
          <cell r="BB310"/>
          <cell r="BC310"/>
          <cell r="BD310"/>
          <cell r="BE310"/>
          <cell r="BF310"/>
          <cell r="BG310"/>
          <cell r="BH310"/>
          <cell r="BI310"/>
          <cell r="BJ310"/>
          <cell r="BK310"/>
          <cell r="BL310"/>
          <cell r="BM310"/>
          <cell r="BN310"/>
          <cell r="BO310"/>
          <cell r="BP310"/>
          <cell r="BQ310"/>
          <cell r="BR310"/>
          <cell r="BS310"/>
          <cell r="BT310"/>
          <cell r="BU310"/>
          <cell r="BV310"/>
          <cell r="BW310" t="str">
            <v>NA</v>
          </cell>
          <cell r="BX310">
            <v>0.34389342958686542</v>
          </cell>
          <cell r="BY310">
            <v>-0.41965341166092784</v>
          </cell>
          <cell r="BZ310">
            <v>0.50615051608894501</v>
          </cell>
          <cell r="CA310">
            <v>3.7284061846475813E-2</v>
          </cell>
          <cell r="CB310">
            <v>-0.18779730627144675</v>
          </cell>
          <cell r="CC310">
            <v>-2.0554977982181386</v>
          </cell>
          <cell r="CD310">
            <v>-1.8691580257338631</v>
          </cell>
          <cell r="CE310">
            <v>-0.43407994286210505</v>
          </cell>
          <cell r="CF310">
            <v>0</v>
          </cell>
          <cell r="CG310">
            <v>0</v>
          </cell>
          <cell r="CH310">
            <v>0</v>
          </cell>
          <cell r="CI310">
            <v>-0.41237594571899971</v>
          </cell>
          <cell r="CJ310">
            <v>3.5088416030174985E-2</v>
          </cell>
          <cell r="CK310">
            <v>3.2204007611746688E-2</v>
          </cell>
          <cell r="CL310">
            <v>2.9639302895117847E-2</v>
          </cell>
          <cell r="CM310">
            <v>-0.39630630956573343</v>
          </cell>
          <cell r="CN310">
            <v>6.126364325359579E-2</v>
          </cell>
          <cell r="CO310">
            <v>5.6389577221447773E-2</v>
          </cell>
          <cell r="CP310">
            <v>5.2033780170845478E-2</v>
          </cell>
          <cell r="CQ310">
            <v>-0.38409811374311631</v>
          </cell>
          <cell r="CR310">
            <v>8.1247846796556278E-2</v>
          </cell>
          <cell r="CS310">
            <v>7.4938098889890004E-2</v>
          </cell>
          <cell r="CT310">
            <v>6.9279413029337489E-2</v>
          </cell>
          <cell r="CU310">
            <v>-0.37466135026116554</v>
          </cell>
          <cell r="CV310">
            <v>9.674873769760084E-2</v>
          </cell>
          <cell r="CW310">
            <v>8.9371097754959106E-2</v>
          </cell>
          <cell r="CX310">
            <v>8.2737878337600268E-2</v>
          </cell>
          <cell r="CY310">
            <v>-0.36727702044578092</v>
          </cell>
          <cell r="CZ310">
            <v>0.10890858795149594</v>
          </cell>
          <cell r="DA310">
            <v>0.10071942717126148</v>
          </cell>
          <cell r="DB310">
            <v>9.3342672366845125E-2</v>
          </cell>
          <cell r="DC310"/>
          <cell r="DD310"/>
          <cell r="DE310"/>
          <cell r="DF310"/>
          <cell r="DG310"/>
          <cell r="DH310"/>
          <cell r="DI310"/>
          <cell r="DJ310"/>
          <cell r="DK310"/>
          <cell r="DL310"/>
          <cell r="DM310"/>
          <cell r="DN310"/>
          <cell r="DO310"/>
        </row>
        <row r="311">
          <cell r="A311"/>
          <cell r="B311"/>
          <cell r="C311"/>
          <cell r="D311"/>
          <cell r="E311"/>
          <cell r="F311"/>
          <cell r="G311"/>
          <cell r="H311"/>
          <cell r="I311"/>
          <cell r="J311"/>
          <cell r="K311"/>
          <cell r="L311"/>
          <cell r="M311"/>
          <cell r="N311"/>
          <cell r="O311"/>
          <cell r="P311"/>
          <cell r="Q311"/>
          <cell r="R311"/>
          <cell r="S311"/>
          <cell r="T311"/>
          <cell r="U311"/>
          <cell r="V311"/>
          <cell r="W311"/>
          <cell r="X311"/>
          <cell r="Y311"/>
          <cell r="Z311"/>
          <cell r="AA311"/>
          <cell r="AB311"/>
          <cell r="AC311"/>
          <cell r="AD311"/>
          <cell r="AE311"/>
          <cell r="AF311"/>
          <cell r="AG311"/>
          <cell r="AH311"/>
          <cell r="AI311"/>
          <cell r="AJ311"/>
          <cell r="AK311"/>
          <cell r="AL311"/>
          <cell r="AM311"/>
          <cell r="AN311"/>
          <cell r="AO311"/>
          <cell r="AP311"/>
          <cell r="AQ311"/>
          <cell r="AR311"/>
          <cell r="AS311"/>
          <cell r="AT311"/>
          <cell r="AU311"/>
          <cell r="AV311"/>
          <cell r="AW311"/>
          <cell r="AX311"/>
          <cell r="AY311"/>
          <cell r="AZ311"/>
          <cell r="BA311"/>
          <cell r="BB311"/>
          <cell r="BC311"/>
          <cell r="BD311"/>
          <cell r="BE311"/>
          <cell r="BF311"/>
          <cell r="BG311"/>
          <cell r="BH311"/>
          <cell r="BI311"/>
          <cell r="BJ311"/>
          <cell r="BK311"/>
          <cell r="BL311"/>
          <cell r="BM311"/>
          <cell r="BN311"/>
          <cell r="BO311"/>
          <cell r="BP311"/>
          <cell r="BQ311"/>
          <cell r="BR311"/>
          <cell r="BS311"/>
          <cell r="BT311"/>
          <cell r="BU311"/>
          <cell r="BV311"/>
          <cell r="BW311"/>
          <cell r="BX311"/>
          <cell r="BY311"/>
          <cell r="BZ311"/>
          <cell r="CA311"/>
          <cell r="CB311"/>
          <cell r="CC311"/>
          <cell r="CD311"/>
          <cell r="CE311"/>
          <cell r="CF311"/>
          <cell r="CG311"/>
          <cell r="CH311"/>
          <cell r="CI311"/>
          <cell r="CJ311"/>
          <cell r="CK311"/>
          <cell r="CL311"/>
          <cell r="CM311"/>
          <cell r="CN311"/>
          <cell r="CO311"/>
          <cell r="CP311"/>
          <cell r="CQ311"/>
          <cell r="CR311"/>
          <cell r="CS311"/>
          <cell r="CT311"/>
          <cell r="CU311"/>
          <cell r="CV311"/>
          <cell r="CW311"/>
          <cell r="CX311"/>
          <cell r="CY311"/>
          <cell r="CZ311"/>
          <cell r="DA311"/>
          <cell r="DB311"/>
          <cell r="DC311"/>
          <cell r="DD311"/>
          <cell r="DE311"/>
          <cell r="DF311"/>
          <cell r="DG311"/>
          <cell r="DH311"/>
          <cell r="DI311"/>
          <cell r="DJ311"/>
          <cell r="DK311"/>
          <cell r="DL311"/>
          <cell r="DM311"/>
          <cell r="DN311"/>
          <cell r="DO311"/>
        </row>
        <row r="312">
          <cell r="A312" t="str">
            <v>Software licenses updates</v>
          </cell>
          <cell r="B312"/>
          <cell r="C312"/>
          <cell r="D312"/>
          <cell r="E312"/>
          <cell r="F312"/>
          <cell r="G312"/>
          <cell r="H312"/>
          <cell r="I312"/>
          <cell r="J312"/>
          <cell r="K312"/>
          <cell r="L312"/>
          <cell r="M312"/>
          <cell r="N312"/>
          <cell r="O312"/>
          <cell r="P312"/>
          <cell r="Q312"/>
          <cell r="R312"/>
          <cell r="S312"/>
          <cell r="T312"/>
          <cell r="U312"/>
          <cell r="V312"/>
          <cell r="W312"/>
          <cell r="X312"/>
          <cell r="Y312"/>
          <cell r="Z312"/>
          <cell r="AA312"/>
          <cell r="AB312"/>
          <cell r="AC312"/>
          <cell r="AD312"/>
          <cell r="AE312"/>
          <cell r="AF312"/>
          <cell r="AG312"/>
          <cell r="AH312"/>
          <cell r="AI312"/>
          <cell r="AJ312"/>
          <cell r="AK312"/>
          <cell r="AL312"/>
          <cell r="AM312"/>
          <cell r="AN312"/>
          <cell r="AO312"/>
          <cell r="AP312"/>
          <cell r="AQ312"/>
          <cell r="AR312"/>
          <cell r="AS312"/>
          <cell r="AT312"/>
          <cell r="AU312"/>
          <cell r="AV312"/>
          <cell r="AW312"/>
          <cell r="AX312"/>
          <cell r="AY312"/>
          <cell r="AZ312"/>
          <cell r="BA312"/>
          <cell r="BB312"/>
          <cell r="BC312"/>
          <cell r="BD312"/>
          <cell r="BE312"/>
          <cell r="BF312"/>
          <cell r="BG312"/>
          <cell r="BH312"/>
          <cell r="BI312"/>
          <cell r="BJ312"/>
          <cell r="BK312"/>
          <cell r="BL312"/>
          <cell r="BM312"/>
          <cell r="BN312"/>
          <cell r="BO312"/>
          <cell r="BP312"/>
          <cell r="BQ312"/>
          <cell r="BR312"/>
          <cell r="BS312"/>
          <cell r="BT312"/>
          <cell r="BU312"/>
          <cell r="BV312"/>
          <cell r="BW312">
            <v>0.8</v>
          </cell>
          <cell r="BX312">
            <v>1.1350624181966091</v>
          </cell>
          <cell r="BY312">
            <v>1.5834772356835463</v>
          </cell>
          <cell r="BZ312">
            <v>1.8148148816186764</v>
          </cell>
          <cell r="CA312">
            <v>2.1810610768759617</v>
          </cell>
          <cell r="CB312">
            <v>2.5516317140229088</v>
          </cell>
          <cell r="CC312">
            <v>2.8282299327241858</v>
          </cell>
          <cell r="CD312">
            <v>2.3637351347458369</v>
          </cell>
          <cell r="CE312">
            <v>2.6167697075892917</v>
          </cell>
          <cell r="CF312">
            <v>2.7199956542271266</v>
          </cell>
          <cell r="CG312">
            <v>2.8199957900325288</v>
          </cell>
          <cell r="CH312">
            <v>2.9168709215940121</v>
          </cell>
          <cell r="CI312">
            <v>3.0107187052941993</v>
          </cell>
          <cell r="CJ312">
            <v>3.0253441957957405</v>
          </cell>
          <cell r="CK312">
            <v>3.0433271172170095</v>
          </cell>
          <cell r="CL312">
            <v>3.0643718259668695</v>
          </cell>
          <cell r="CM312">
            <v>3.0882014535101519</v>
          </cell>
          <cell r="CN312">
            <v>3.0638916393962607</v>
          </cell>
          <cell r="CO312">
            <v>3.0447645264484651</v>
          </cell>
          <cell r="CP312">
            <v>3.0305556770363791</v>
          </cell>
          <cell r="CQ312">
            <v>3.0210024705229195</v>
          </cell>
          <cell r="CR312">
            <v>2.9790412103418</v>
          </cell>
          <cell r="CS312">
            <v>2.9426522883120372</v>
          </cell>
          <cell r="CT312">
            <v>2.9116499686086934</v>
          </cell>
          <cell r="CU312">
            <v>2.8858394371120988</v>
          </cell>
          <cell r="CV312">
            <v>2.8364156086585326</v>
          </cell>
          <cell r="CW312">
            <v>2.7924796231646547</v>
          </cell>
          <cell r="CX312">
            <v>2.7539117042327739</v>
          </cell>
          <cell r="CY312">
            <v>2.7205781249619947</v>
          </cell>
          <cell r="CZ312">
            <v>2.6689211125531247</v>
          </cell>
          <cell r="DA312">
            <v>2.6225116870653307</v>
          </cell>
          <cell r="DB312">
            <v>2.5812786067992284</v>
          </cell>
          <cell r="DC312"/>
          <cell r="DD312"/>
          <cell r="DE312">
            <v>0</v>
          </cell>
          <cell r="DF312">
            <v>0</v>
          </cell>
          <cell r="DG312">
            <v>0</v>
          </cell>
          <cell r="DH312">
            <v>0</v>
          </cell>
          <cell r="DI312">
            <v>0</v>
          </cell>
          <cell r="DJ312">
            <v>0</v>
          </cell>
          <cell r="DK312">
            <v>0</v>
          </cell>
          <cell r="DL312">
            <v>0</v>
          </cell>
          <cell r="DM312">
            <v>0</v>
          </cell>
          <cell r="DN312">
            <v>0</v>
          </cell>
          <cell r="DO312">
            <v>0</v>
          </cell>
        </row>
        <row r="313">
          <cell r="A313" t="str">
            <v>% of revenue</v>
          </cell>
          <cell r="B313"/>
          <cell r="C313"/>
          <cell r="D313"/>
          <cell r="E313"/>
          <cell r="F313"/>
          <cell r="G313"/>
          <cell r="H313"/>
          <cell r="I313"/>
          <cell r="J313"/>
          <cell r="K313"/>
          <cell r="L313"/>
          <cell r="M313"/>
          <cell r="N313"/>
          <cell r="O313"/>
          <cell r="P313"/>
          <cell r="Q313"/>
          <cell r="R313"/>
          <cell r="S313"/>
          <cell r="T313"/>
          <cell r="U313"/>
          <cell r="V313"/>
          <cell r="W313"/>
          <cell r="X313"/>
          <cell r="Y313"/>
          <cell r="Z313"/>
          <cell r="AA313"/>
          <cell r="AB313"/>
          <cell r="AC313"/>
          <cell r="AD313"/>
          <cell r="AE313"/>
          <cell r="AF313"/>
          <cell r="AG313"/>
          <cell r="AH313"/>
          <cell r="AI313"/>
          <cell r="AJ313"/>
          <cell r="AK313"/>
          <cell r="AL313"/>
          <cell r="AM313"/>
          <cell r="AN313"/>
          <cell r="AO313"/>
          <cell r="AP313"/>
          <cell r="AQ313"/>
          <cell r="AR313"/>
          <cell r="AS313"/>
          <cell r="AT313"/>
          <cell r="AU313"/>
          <cell r="AV313"/>
          <cell r="AW313"/>
          <cell r="AX313"/>
          <cell r="AY313"/>
          <cell r="AZ313"/>
          <cell r="BA313"/>
          <cell r="BB313"/>
          <cell r="BC313"/>
          <cell r="BD313"/>
          <cell r="BE313"/>
          <cell r="BF313"/>
          <cell r="BG313"/>
          <cell r="BH313"/>
          <cell r="BI313"/>
          <cell r="BJ313"/>
          <cell r="BK313"/>
          <cell r="BL313"/>
          <cell r="BM313"/>
          <cell r="BN313"/>
          <cell r="BO313"/>
          <cell r="BP313"/>
          <cell r="BQ313"/>
          <cell r="BR313"/>
          <cell r="BS313"/>
          <cell r="BT313"/>
          <cell r="BU313"/>
          <cell r="BV313"/>
          <cell r="BW313">
            <v>1.2143788528066574E-3</v>
          </cell>
          <cell r="BX313">
            <v>1.684101352394941E-3</v>
          </cell>
          <cell r="BY313">
            <v>2.3678659974691752E-3</v>
          </cell>
          <cell r="BZ313">
            <v>2.4705341820930979E-3</v>
          </cell>
          <cell r="CA313">
            <v>3.2912883303267836E-3</v>
          </cell>
          <cell r="CB313">
            <v>3.6808025567713152E-3</v>
          </cell>
          <cell r="CC313">
            <v>4.0933964362618027E-3</v>
          </cell>
          <cell r="CD313">
            <v>3.0387785090907923E-3</v>
          </cell>
          <cell r="CE313">
            <v>3.7532985283670662E-3</v>
          </cell>
          <cell r="CF313">
            <v>3.6639599849496228E-3</v>
          </cell>
          <cell r="CG313">
            <v>3.8499497458381283E-3</v>
          </cell>
          <cell r="CH313">
            <v>3.637585795196244E-3</v>
          </cell>
          <cell r="CI313">
            <v>4.2391169172639404E-3</v>
          </cell>
          <cell r="CJ313">
            <v>3.918906483737581E-3</v>
          </cell>
          <cell r="CK313">
            <v>3.9895155041024056E-3</v>
          </cell>
          <cell r="CL313">
            <v>3.5802000004466848E-3</v>
          </cell>
          <cell r="CM313">
            <v>4.0373810480055419E-3</v>
          </cell>
          <cell r="CN313">
            <v>3.7047715046470663E-3</v>
          </cell>
          <cell r="CO313">
            <v>3.7176993637002185E-3</v>
          </cell>
          <cell r="CP313">
            <v>3.3691037907823762E-3</v>
          </cell>
          <cell r="CQ313">
            <v>3.6679964243868583E-3</v>
          </cell>
          <cell r="CR313">
            <v>3.3687593796959464E-3</v>
          </cell>
          <cell r="CS313">
            <v>3.3563979933196181E-3</v>
          </cell>
          <cell r="CT313">
            <v>3.0864520421259099E-3</v>
          </cell>
          <cell r="CU313">
            <v>3.2288717783802352E-3</v>
          </cell>
          <cell r="CV313">
            <v>2.9687597596840974E-3</v>
          </cell>
          <cell r="CW313">
            <v>2.9473749640232384E-3</v>
          </cell>
          <cell r="CX313">
            <v>2.7227664880563832E-3</v>
          </cell>
          <cell r="CY313">
            <v>2.801367446315684E-3</v>
          </cell>
          <cell r="CZ313">
            <v>2.5840187396666504E-3</v>
          </cell>
          <cell r="DA313">
            <v>2.5636447002984611E-3</v>
          </cell>
          <cell r="DB313">
            <v>2.3722985080867429E-3</v>
          </cell>
          <cell r="DC313"/>
          <cell r="DD313"/>
          <cell r="DE313">
            <v>0</v>
          </cell>
          <cell r="DF313">
            <v>0</v>
          </cell>
          <cell r="DG313">
            <v>0</v>
          </cell>
          <cell r="DH313">
            <v>0</v>
          </cell>
          <cell r="DI313">
            <v>0</v>
          </cell>
          <cell r="DJ313">
            <v>0</v>
          </cell>
          <cell r="DK313">
            <v>0</v>
          </cell>
          <cell r="DL313">
            <v>0</v>
          </cell>
          <cell r="DM313">
            <v>0</v>
          </cell>
          <cell r="DN313">
            <v>0</v>
          </cell>
          <cell r="DO313">
            <v>0</v>
          </cell>
        </row>
        <row r="314">
          <cell r="A314" t="str">
            <v>% growth in revenue y-o-y</v>
          </cell>
          <cell r="B314"/>
          <cell r="C314"/>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cell r="AD314"/>
          <cell r="AE314"/>
          <cell r="AF314"/>
          <cell r="AG314"/>
          <cell r="AH314"/>
          <cell r="AI314"/>
          <cell r="AJ314"/>
          <cell r="AK314"/>
          <cell r="AL314"/>
          <cell r="AM314"/>
          <cell r="AN314"/>
          <cell r="AO314"/>
          <cell r="AP314"/>
          <cell r="AQ314"/>
          <cell r="AR314"/>
          <cell r="AS314"/>
          <cell r="AT314"/>
          <cell r="AU314"/>
          <cell r="AV314"/>
          <cell r="AW314"/>
          <cell r="AX314"/>
          <cell r="AY314"/>
          <cell r="AZ314"/>
          <cell r="BA314"/>
          <cell r="BB314"/>
          <cell r="BC314"/>
          <cell r="BD314"/>
          <cell r="BE314"/>
          <cell r="BF314"/>
          <cell r="BG314"/>
          <cell r="BH314"/>
          <cell r="BI314"/>
          <cell r="BJ314"/>
          <cell r="BK314"/>
          <cell r="BL314"/>
          <cell r="BM314"/>
          <cell r="BN314"/>
          <cell r="BO314"/>
          <cell r="BP314"/>
          <cell r="BQ314"/>
          <cell r="BR314"/>
          <cell r="BS314"/>
          <cell r="BT314"/>
          <cell r="BU314"/>
          <cell r="BV314"/>
          <cell r="BW314" t="str">
            <v>NA</v>
          </cell>
          <cell r="BX314" t="str">
            <v>NA</v>
          </cell>
          <cell r="BY314" t="str">
            <v>NA</v>
          </cell>
          <cell r="BZ314" t="str">
            <v>NA</v>
          </cell>
          <cell r="CA314">
            <v>1.7263263460949521</v>
          </cell>
          <cell r="CB314">
            <v>1.2480100416653293</v>
          </cell>
          <cell r="CC314">
            <v>0.78608815396282727</v>
          </cell>
          <cell r="CD314">
            <v>0.30246625079334</v>
          </cell>
          <cell r="CE314">
            <v>0.1997691102430823</v>
          </cell>
          <cell r="CF314">
            <v>6.5982852963829552E-2</v>
          </cell>
          <cell r="CG314">
            <v>-2.9114120448211489E-3</v>
          </cell>
          <cell r="CH314">
            <v>0.23400920801883829</v>
          </cell>
          <cell r="CI314">
            <v>0.15054782870741601</v>
          </cell>
          <cell r="CJ314">
            <v>0.11226067258382333</v>
          </cell>
          <cell r="CK314">
            <v>7.9195624324639446E-2</v>
          </cell>
          <cell r="CL314">
            <v>5.0568197338074494E-2</v>
          </cell>
          <cell r="CM314">
            <v>2.5735631854182595E-2</v>
          </cell>
          <cell r="CN314">
            <v>1.2741506785934886E-2</v>
          </cell>
          <cell r="CO314">
            <v>4.7231506048883709E-4</v>
          </cell>
          <cell r="CP314">
            <v>-1.1035262967744042E-2</v>
          </cell>
          <cell r="CQ314">
            <v>-2.1759909124727583E-2</v>
          </cell>
          <cell r="CR314">
            <v>-2.7693678184774306E-2</v>
          </cell>
          <cell r="CS314">
            <v>-3.3536990216953111E-2</v>
          </cell>
          <cell r="CT314">
            <v>-3.9235612573851553E-2</v>
          </cell>
          <cell r="CU314">
            <v>-4.4741119787109818E-2</v>
          </cell>
          <cell r="CV314">
            <v>-4.7876343968703661E-2</v>
          </cell>
          <cell r="CW314">
            <v>-5.1033098862497406E-2</v>
          </cell>
          <cell r="CX314">
            <v>-5.4174872006092611E-2</v>
          </cell>
          <cell r="CY314">
            <v>-5.7266287938556815E-2</v>
          </cell>
          <cell r="CZ314">
            <v>-5.9051464670448417E-2</v>
          </cell>
          <cell r="DA314">
            <v>-6.0866312036577441E-2</v>
          </cell>
          <cell r="DB314">
            <v>-6.2686504134539911E-2</v>
          </cell>
          <cell r="DC314"/>
          <cell r="DD314" t="str">
            <v>NA</v>
          </cell>
          <cell r="DE314" t="str">
            <v>NA</v>
          </cell>
          <cell r="DF314" t="str">
            <v>NA</v>
          </cell>
          <cell r="DG314" t="str">
            <v>NA</v>
          </cell>
          <cell r="DH314" t="str">
            <v>NA</v>
          </cell>
          <cell r="DI314" t="str">
            <v>NA</v>
          </cell>
          <cell r="DJ314" t="str">
            <v>NA</v>
          </cell>
          <cell r="DK314" t="str">
            <v>NA</v>
          </cell>
          <cell r="DL314" t="str">
            <v>NA</v>
          </cell>
          <cell r="DM314" t="str">
            <v>NA</v>
          </cell>
          <cell r="DN314" t="str">
            <v>NA</v>
          </cell>
          <cell r="DO314" t="str">
            <v>NA</v>
          </cell>
        </row>
        <row r="315">
          <cell r="A315" t="str">
            <v>% growth in revenue seq</v>
          </cell>
          <cell r="B315"/>
          <cell r="C315"/>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cell r="AD315"/>
          <cell r="AE315"/>
          <cell r="AF315"/>
          <cell r="AG315"/>
          <cell r="AH315"/>
          <cell r="AI315"/>
          <cell r="AJ315"/>
          <cell r="AK315"/>
          <cell r="AL315"/>
          <cell r="AM315"/>
          <cell r="AN315"/>
          <cell r="AO315"/>
          <cell r="AP315"/>
          <cell r="AQ315"/>
          <cell r="AR315"/>
          <cell r="AS315"/>
          <cell r="AT315"/>
          <cell r="AU315"/>
          <cell r="AV315"/>
          <cell r="AW315"/>
          <cell r="AX315"/>
          <cell r="AY315"/>
          <cell r="AZ315"/>
          <cell r="BA315"/>
          <cell r="BB315"/>
          <cell r="BC315"/>
          <cell r="BD315"/>
          <cell r="BE315"/>
          <cell r="BF315"/>
          <cell r="BG315"/>
          <cell r="BH315"/>
          <cell r="BI315"/>
          <cell r="BJ315"/>
          <cell r="BK315"/>
          <cell r="BL315"/>
          <cell r="BM315"/>
          <cell r="BN315"/>
          <cell r="BO315"/>
          <cell r="BP315"/>
          <cell r="BQ315"/>
          <cell r="BR315"/>
          <cell r="BS315"/>
          <cell r="BT315"/>
          <cell r="BU315"/>
          <cell r="BV315"/>
          <cell r="BW315" t="str">
            <v>NA</v>
          </cell>
          <cell r="BX315">
            <v>0.41882802274576125</v>
          </cell>
          <cell r="BY315">
            <v>0.39505740856029758</v>
          </cell>
          <cell r="BZ315">
            <v>0.14609470898725463</v>
          </cell>
          <cell r="CA315">
            <v>0.2018091205702599</v>
          </cell>
          <cell r="CB315">
            <v>0.16990383308189294</v>
          </cell>
          <cell r="CC315">
            <v>0.1084005255073397</v>
          </cell>
          <cell r="CD315">
            <v>-0.16423516087001522</v>
          </cell>
          <cell r="CE315">
            <v>0.1070486151870238</v>
          </cell>
          <cell r="CF315">
            <v>3.9447852953377494E-2</v>
          </cell>
          <cell r="CG315">
            <v>3.6764814550344083E-2</v>
          </cell>
          <cell r="CH315">
            <v>3.43529348178091E-2</v>
          </cell>
          <cell r="CI315">
            <v>3.2174129820218944E-2</v>
          </cell>
          <cell r="CJ315">
            <v>4.857807033192163E-3</v>
          </cell>
          <cell r="CK315">
            <v>5.9440910711117123E-3</v>
          </cell>
          <cell r="CL315">
            <v>6.9150334286458559E-3</v>
          </cell>
          <cell r="CM315">
            <v>7.7763499002814207E-3</v>
          </cell>
          <cell r="CN315">
            <v>-7.8718355909909166E-3</v>
          </cell>
          <cell r="CO315">
            <v>-6.2427511149071302E-3</v>
          </cell>
          <cell r="CP315">
            <v>-4.6666496829755877E-3</v>
          </cell>
          <cell r="CQ315">
            <v>-3.1522953317927316E-3</v>
          </cell>
          <cell r="CR315">
            <v>-1.3889846364096514E-2</v>
          </cell>
          <cell r="CS315">
            <v>-1.2214977726201948E-2</v>
          </cell>
          <cell r="CT315">
            <v>-1.0535502215631265E-2</v>
          </cell>
          <cell r="CU315">
            <v>-8.8645722442137753E-3</v>
          </cell>
          <cell r="CV315">
            <v>-1.7126326509358858E-2</v>
          </cell>
          <cell r="CW315">
            <v>-1.5489967464484944E-2</v>
          </cell>
          <cell r="CX315">
            <v>-1.3811351965452356E-2</v>
          </cell>
          <cell r="CY315">
            <v>-1.2104084244801805E-2</v>
          </cell>
          <cell r="CZ315">
            <v>-1.898751296090484E-2</v>
          </cell>
          <cell r="DA315">
            <v>-1.7388833738663068E-2</v>
          </cell>
          <cell r="DB315">
            <v>-1.5722744142369627E-2</v>
          </cell>
          <cell r="DC315"/>
          <cell r="DD315"/>
          <cell r="DE315"/>
          <cell r="DF315"/>
          <cell r="DG315"/>
          <cell r="DH315"/>
          <cell r="DI315"/>
          <cell r="DJ315"/>
          <cell r="DK315"/>
          <cell r="DL315"/>
          <cell r="DM315"/>
          <cell r="DN315"/>
          <cell r="DO315"/>
        </row>
        <row r="316">
          <cell r="A316"/>
          <cell r="B316"/>
          <cell r="C316"/>
          <cell r="D316"/>
          <cell r="E316"/>
          <cell r="F316"/>
          <cell r="G316"/>
          <cell r="H316"/>
          <cell r="I316"/>
          <cell r="J316"/>
          <cell r="K316"/>
          <cell r="L316"/>
          <cell r="M316"/>
          <cell r="N316"/>
          <cell r="O316"/>
          <cell r="P316"/>
          <cell r="Q316"/>
          <cell r="R316"/>
          <cell r="S316"/>
          <cell r="T316"/>
          <cell r="U316"/>
          <cell r="V316"/>
          <cell r="W316"/>
          <cell r="X316"/>
          <cell r="Y316"/>
          <cell r="Z316"/>
          <cell r="AA316"/>
          <cell r="AB316"/>
          <cell r="AC316"/>
          <cell r="AD316"/>
          <cell r="AE316"/>
          <cell r="AF316"/>
          <cell r="AG316"/>
          <cell r="AH316"/>
          <cell r="AI316"/>
          <cell r="AJ316"/>
          <cell r="AK316"/>
          <cell r="AL316"/>
          <cell r="AM316"/>
          <cell r="AN316"/>
          <cell r="AO316"/>
          <cell r="AP316"/>
          <cell r="AQ316"/>
          <cell r="AR316"/>
          <cell r="AS316"/>
          <cell r="AT316"/>
          <cell r="AU316"/>
          <cell r="AV316"/>
          <cell r="AW316"/>
          <cell r="AX316"/>
          <cell r="AY316"/>
          <cell r="AZ316"/>
          <cell r="BA316"/>
          <cell r="BB316"/>
          <cell r="BC316"/>
          <cell r="BD316"/>
          <cell r="BE316"/>
          <cell r="BF316"/>
          <cell r="BG316"/>
          <cell r="BH316"/>
          <cell r="BI316"/>
          <cell r="BJ316"/>
          <cell r="BK316"/>
          <cell r="BL316"/>
          <cell r="BM316"/>
          <cell r="BN316"/>
          <cell r="BO316"/>
          <cell r="BP316"/>
          <cell r="BQ316"/>
          <cell r="BR316"/>
          <cell r="BS316"/>
          <cell r="BT316"/>
          <cell r="BU316"/>
          <cell r="BV316"/>
          <cell r="BW316"/>
          <cell r="BX316"/>
          <cell r="BY316"/>
          <cell r="BZ316"/>
          <cell r="CA316"/>
          <cell r="CB316"/>
          <cell r="CC316"/>
          <cell r="CD316"/>
          <cell r="CE316"/>
          <cell r="CF316"/>
          <cell r="CG316"/>
          <cell r="CH316"/>
          <cell r="CI316"/>
          <cell r="CJ316"/>
          <cell r="CK316"/>
          <cell r="CL316"/>
          <cell r="CM316"/>
          <cell r="CN316"/>
          <cell r="CO316"/>
          <cell r="CP316"/>
          <cell r="CQ316"/>
          <cell r="CR316"/>
          <cell r="CS316"/>
          <cell r="CT316"/>
          <cell r="CU316"/>
          <cell r="CV316"/>
          <cell r="CW316"/>
          <cell r="CX316"/>
          <cell r="CY316"/>
          <cell r="CZ316"/>
          <cell r="DA316"/>
          <cell r="DB316"/>
          <cell r="DC316"/>
          <cell r="DD316"/>
          <cell r="DE316"/>
          <cell r="DF316"/>
          <cell r="DG316"/>
          <cell r="DH316"/>
          <cell r="DI316"/>
          <cell r="DJ316"/>
          <cell r="DK316"/>
          <cell r="DL316"/>
          <cell r="DM316"/>
          <cell r="DN316"/>
          <cell r="DO316"/>
        </row>
        <row r="317">
          <cell r="A317" t="str">
            <v>Software as a Service</v>
          </cell>
          <cell r="B317"/>
          <cell r="C317"/>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cell r="AD317"/>
          <cell r="AE317"/>
          <cell r="AF317"/>
          <cell r="AG317"/>
          <cell r="AH317"/>
          <cell r="AI317"/>
          <cell r="AJ317"/>
          <cell r="AK317"/>
          <cell r="AL317"/>
          <cell r="AM317"/>
          <cell r="AN317"/>
          <cell r="AO317"/>
          <cell r="AP317"/>
          <cell r="AQ317"/>
          <cell r="AR317"/>
          <cell r="AS317"/>
          <cell r="AT317"/>
          <cell r="AU317"/>
          <cell r="AV317"/>
          <cell r="AW317"/>
          <cell r="AX317"/>
          <cell r="AY317"/>
          <cell r="AZ317"/>
          <cell r="BA317"/>
          <cell r="BB317"/>
          <cell r="BC317"/>
          <cell r="BD317"/>
          <cell r="BE317"/>
          <cell r="BF317"/>
          <cell r="BG317"/>
          <cell r="BH317"/>
          <cell r="BI317"/>
          <cell r="BJ317"/>
          <cell r="BK317"/>
          <cell r="BL317"/>
          <cell r="BM317"/>
          <cell r="BN317"/>
          <cell r="BO317"/>
          <cell r="BP317"/>
          <cell r="BQ317"/>
          <cell r="BR317"/>
          <cell r="BS317"/>
          <cell r="BT317"/>
          <cell r="BU317"/>
          <cell r="BV317"/>
          <cell r="BW317">
            <v>28.499687909016956</v>
          </cell>
          <cell r="BX317">
            <v>30.145509991525486</v>
          </cell>
          <cell r="BY317">
            <v>31.812416216565246</v>
          </cell>
          <cell r="BZ317">
            <v>33.270389316841985</v>
          </cell>
          <cell r="CA317">
            <v>34.536294944127434</v>
          </cell>
          <cell r="CB317">
            <v>36.688684737154624</v>
          </cell>
          <cell r="CC317">
            <v>40.684333130179404</v>
          </cell>
          <cell r="CD317">
            <v>41.601758386232852</v>
          </cell>
          <cell r="CE317">
            <v>41.158230292410714</v>
          </cell>
          <cell r="CF317">
            <v>42.555004345772879</v>
          </cell>
          <cell r="CG317">
            <v>42.855004209967476</v>
          </cell>
          <cell r="CH317">
            <v>43.585129078405991</v>
          </cell>
          <cell r="CI317">
            <v>43.022344438705062</v>
          </cell>
          <cell r="CJ317">
            <v>44.386011553355374</v>
          </cell>
          <cell r="CK317">
            <v>44.606723699977628</v>
          </cell>
          <cell r="CL317">
            <v>45.27761459822586</v>
          </cell>
          <cell r="CM317">
            <v>44.609444481869147</v>
          </cell>
          <cell r="CN317">
            <v>45.941547163576423</v>
          </cell>
          <cell r="CO317">
            <v>46.091830775499332</v>
          </cell>
          <cell r="CP317">
            <v>46.709685712484216</v>
          </cell>
          <cell r="CQ317">
            <v>45.949835369526348</v>
          </cell>
          <cell r="CR317">
            <v>47.252943221143596</v>
          </cell>
          <cell r="CS317">
            <v>47.341732366804834</v>
          </cell>
          <cell r="CT317">
            <v>47.91300925253821</v>
          </cell>
          <cell r="CU317">
            <v>47.074396407187741</v>
          </cell>
          <cell r="CV317">
            <v>48.35157344500152</v>
          </cell>
          <cell r="CW317">
            <v>48.387392208464341</v>
          </cell>
          <cell r="CX317">
            <v>48.918373268714156</v>
          </cell>
          <cell r="CY317">
            <v>48.012775351045413</v>
          </cell>
          <cell r="CZ317">
            <v>49.267219672925037</v>
          </cell>
          <cell r="DA317">
            <v>49.257900518703231</v>
          </cell>
          <cell r="DB317">
            <v>49.754431094620664</v>
          </cell>
          <cell r="DC317"/>
          <cell r="DD317"/>
          <cell r="DE317">
            <v>0</v>
          </cell>
          <cell r="DF317">
            <v>0</v>
          </cell>
          <cell r="DG317">
            <v>0</v>
          </cell>
          <cell r="DH317">
            <v>0</v>
          </cell>
          <cell r="DI317">
            <v>0</v>
          </cell>
          <cell r="DJ317">
            <v>0</v>
          </cell>
          <cell r="DK317">
            <v>0</v>
          </cell>
          <cell r="DL317">
            <v>0</v>
          </cell>
          <cell r="DM317">
            <v>0</v>
          </cell>
          <cell r="DN317">
            <v>0</v>
          </cell>
          <cell r="DO317">
            <v>0</v>
          </cell>
        </row>
        <row r="318">
          <cell r="A318" t="str">
            <v>% of revenue</v>
          </cell>
          <cell r="B318"/>
          <cell r="C318"/>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cell r="AD318"/>
          <cell r="AE318"/>
          <cell r="AF318"/>
          <cell r="AG318"/>
          <cell r="AH318"/>
          <cell r="AI318"/>
          <cell r="AJ318"/>
          <cell r="AK318"/>
          <cell r="AL318"/>
          <cell r="AM318"/>
          <cell r="AN318"/>
          <cell r="AO318"/>
          <cell r="AP318"/>
          <cell r="AQ318"/>
          <cell r="AR318"/>
          <cell r="AS318"/>
          <cell r="AT318"/>
          <cell r="AU318"/>
          <cell r="AV318"/>
          <cell r="AW318"/>
          <cell r="AX318"/>
          <cell r="AY318"/>
          <cell r="AZ318"/>
          <cell r="BA318"/>
          <cell r="BB318"/>
          <cell r="BC318"/>
          <cell r="BD318"/>
          <cell r="BE318"/>
          <cell r="BF318"/>
          <cell r="BG318"/>
          <cell r="BH318"/>
          <cell r="BI318"/>
          <cell r="BJ318"/>
          <cell r="BK318"/>
          <cell r="BL318"/>
          <cell r="BM318"/>
          <cell r="BN318"/>
          <cell r="BO318"/>
          <cell r="BP318"/>
          <cell r="BQ318"/>
          <cell r="BR318"/>
          <cell r="BS318"/>
          <cell r="BT318"/>
          <cell r="BU318"/>
          <cell r="BV318"/>
          <cell r="BW318">
            <v>4.3261772885374722E-2</v>
          </cell>
          <cell r="BX318">
            <v>4.4727138641435946E-2</v>
          </cell>
          <cell r="BY318">
            <v>4.7570964052429131E-2</v>
          </cell>
          <cell r="BZ318">
            <v>4.529147016112791E-2</v>
          </cell>
          <cell r="CA318">
            <v>5.2116332608687851E-2</v>
          </cell>
          <cell r="CB318">
            <v>5.2924489001661246E-2</v>
          </cell>
          <cell r="CC318">
            <v>5.8883863125779798E-2</v>
          </cell>
          <cell r="CD318">
            <v>5.348252749057069E-2</v>
          </cell>
          <cell r="CE318">
            <v>5.9034283658462396E-2</v>
          </cell>
          <cell r="CF318">
            <v>5.7323559631411607E-2</v>
          </cell>
          <cell r="CG318">
            <v>5.8507042155603019E-2</v>
          </cell>
          <cell r="CH318">
            <v>5.4354358036098109E-2</v>
          </cell>
          <cell r="CI318">
            <v>6.0575817930041215E-2</v>
          </cell>
          <cell r="CJ318">
            <v>5.7495814428461689E-2</v>
          </cell>
          <cell r="CK318">
            <v>5.8475217725201013E-2</v>
          </cell>
          <cell r="CL318">
            <v>5.2899231885362476E-2</v>
          </cell>
          <cell r="CM318">
            <v>5.8320458825132745E-2</v>
          </cell>
          <cell r="CN318">
            <v>5.5551225318319561E-2</v>
          </cell>
          <cell r="CO318">
            <v>5.6278759312047032E-2</v>
          </cell>
          <cell r="CP318">
            <v>5.1927697746202761E-2</v>
          </cell>
          <cell r="CQ318">
            <v>5.5790696459580652E-2</v>
          </cell>
          <cell r="CR318">
            <v>5.3434573225055702E-2</v>
          </cell>
          <cell r="CS318">
            <v>5.3998121404742992E-2</v>
          </cell>
          <cell r="CT318">
            <v>5.0789485977450075E-2</v>
          </cell>
          <cell r="CU318">
            <v>5.2670009318175448E-2</v>
          </cell>
          <cell r="CV318">
            <v>5.0607606700070001E-2</v>
          </cell>
          <cell r="CW318">
            <v>5.1071380140628432E-2</v>
          </cell>
          <cell r="CX318">
            <v>4.8365133559499895E-2</v>
          </cell>
          <cell r="CY318">
            <v>4.9438545668511406E-2</v>
          </cell>
          <cell r="CZ318">
            <v>4.7699955718933873E-2</v>
          </cell>
          <cell r="DA318">
            <v>4.8152218438314451E-2</v>
          </cell>
          <cell r="DB318">
            <v>4.5726316541565712E-2</v>
          </cell>
          <cell r="DC318"/>
          <cell r="DD318"/>
          <cell r="DE318">
            <v>0</v>
          </cell>
          <cell r="DF318">
            <v>0</v>
          </cell>
          <cell r="DG318">
            <v>0</v>
          </cell>
          <cell r="DH318">
            <v>0</v>
          </cell>
          <cell r="DI318">
            <v>0</v>
          </cell>
          <cell r="DJ318">
            <v>0</v>
          </cell>
          <cell r="DK318">
            <v>0</v>
          </cell>
          <cell r="DL318">
            <v>0</v>
          </cell>
          <cell r="DM318">
            <v>0</v>
          </cell>
          <cell r="DN318">
            <v>0</v>
          </cell>
          <cell r="DO318">
            <v>0</v>
          </cell>
        </row>
        <row r="319">
          <cell r="A319" t="str">
            <v>% growth in revenue y-o-y</v>
          </cell>
          <cell r="B319"/>
          <cell r="C319"/>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cell r="AD319"/>
          <cell r="AE319"/>
          <cell r="AF319"/>
          <cell r="AG319"/>
          <cell r="AH319"/>
          <cell r="AI319"/>
          <cell r="AJ319"/>
          <cell r="AK319"/>
          <cell r="AL319"/>
          <cell r="AM319"/>
          <cell r="AN319"/>
          <cell r="AO319"/>
          <cell r="AP319"/>
          <cell r="AQ319"/>
          <cell r="AR319"/>
          <cell r="AS319"/>
          <cell r="AT319"/>
          <cell r="AU319"/>
          <cell r="AV319"/>
          <cell r="AW319"/>
          <cell r="AX319"/>
          <cell r="AY319"/>
          <cell r="AZ319"/>
          <cell r="BA319"/>
          <cell r="BB319"/>
          <cell r="BC319"/>
          <cell r="BD319"/>
          <cell r="BE319"/>
          <cell r="BF319"/>
          <cell r="BG319"/>
          <cell r="BH319"/>
          <cell r="BI319"/>
          <cell r="BJ319"/>
          <cell r="BK319"/>
          <cell r="BL319"/>
          <cell r="BM319"/>
          <cell r="BN319"/>
          <cell r="BO319"/>
          <cell r="BP319"/>
          <cell r="BQ319"/>
          <cell r="BR319"/>
          <cell r="BS319"/>
          <cell r="BT319"/>
          <cell r="BU319"/>
          <cell r="BV319"/>
          <cell r="BW319" t="str">
            <v>NA</v>
          </cell>
          <cell r="BX319" t="str">
            <v>NA</v>
          </cell>
          <cell r="BY319" t="str">
            <v>NA</v>
          </cell>
          <cell r="BZ319" t="str">
            <v>NA</v>
          </cell>
          <cell r="CA319">
            <v>0.21181309263392212</v>
          </cell>
          <cell r="CB319">
            <v>0.21705304529492309</v>
          </cell>
          <cell r="CC319">
            <v>0.27888220917323481</v>
          </cell>
          <cell r="CD319">
            <v>0.25041393384517452</v>
          </cell>
          <cell r="CE319">
            <v>0.19173844093572279</v>
          </cell>
          <cell r="CF319">
            <v>0.15989451926788312</v>
          </cell>
          <cell r="CG319">
            <v>5.3353979598055101E-2</v>
          </cell>
          <cell r="CH319">
            <v>4.7675164923545399E-2</v>
          </cell>
          <cell r="CI319">
            <v>4.5291406677368126E-2</v>
          </cell>
          <cell r="CJ319">
            <v>4.3026836343499721E-2</v>
          </cell>
          <cell r="CK319">
            <v>4.0875494526324732E-2</v>
          </cell>
          <cell r="CL319">
            <v>3.8831719800008491E-2</v>
          </cell>
          <cell r="CM319">
            <v>3.6890133810008066E-2</v>
          </cell>
          <cell r="CN319">
            <v>3.5045627119507664E-2</v>
          </cell>
          <cell r="CO319">
            <v>3.3293345763532281E-2</v>
          </cell>
          <cell r="CP319">
            <v>3.1628678475355665E-2</v>
          </cell>
          <cell r="CQ319">
            <v>3.004724455158788E-2</v>
          </cell>
          <cell r="CR319">
            <v>2.8544882324008484E-2</v>
          </cell>
          <cell r="CS319">
            <v>2.7117638207808058E-2</v>
          </cell>
          <cell r="CT319">
            <v>2.5761756297417653E-2</v>
          </cell>
          <cell r="CU319">
            <v>2.447366848254677E-2</v>
          </cell>
          <cell r="CV319">
            <v>2.324998505841943E-2</v>
          </cell>
          <cell r="CW319">
            <v>2.2087485805498457E-2</v>
          </cell>
          <cell r="CX319">
            <v>2.0983111515223533E-2</v>
          </cell>
          <cell r="CY319">
            <v>1.9933955939462355E-2</v>
          </cell>
          <cell r="CZ319">
            <v>1.8937258142489238E-2</v>
          </cell>
          <cell r="DA319">
            <v>1.7990395235364776E-2</v>
          </cell>
          <cell r="DB319">
            <v>1.7090875473596535E-2</v>
          </cell>
          <cell r="DC319"/>
          <cell r="DD319" t="str">
            <v>NA</v>
          </cell>
          <cell r="DE319" t="str">
            <v>NA</v>
          </cell>
          <cell r="DF319" t="str">
            <v>NA</v>
          </cell>
          <cell r="DG319" t="str">
            <v>NA</v>
          </cell>
          <cell r="DH319" t="str">
            <v>NA</v>
          </cell>
          <cell r="DI319" t="str">
            <v>NA</v>
          </cell>
          <cell r="DJ319" t="str">
            <v>NA</v>
          </cell>
          <cell r="DK319" t="str">
            <v>NA</v>
          </cell>
          <cell r="DL319" t="str">
            <v>NA</v>
          </cell>
          <cell r="DM319" t="str">
            <v>NA</v>
          </cell>
          <cell r="DN319" t="str">
            <v>NA</v>
          </cell>
          <cell r="DO319" t="str">
            <v>NA</v>
          </cell>
        </row>
        <row r="320">
          <cell r="A320" t="str">
            <v>% growth in revenue seq</v>
          </cell>
          <cell r="B320"/>
          <cell r="C320"/>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cell r="AD320"/>
          <cell r="AE320"/>
          <cell r="AF320"/>
          <cell r="AG320"/>
          <cell r="AH320"/>
          <cell r="AI320"/>
          <cell r="AJ320"/>
          <cell r="AK320"/>
          <cell r="AL320"/>
          <cell r="AM320"/>
          <cell r="AN320"/>
          <cell r="AO320"/>
          <cell r="AP320"/>
          <cell r="AQ320"/>
          <cell r="AR320"/>
          <cell r="AS320"/>
          <cell r="AT320"/>
          <cell r="AU320"/>
          <cell r="AV320"/>
          <cell r="AW320"/>
          <cell r="AX320"/>
          <cell r="AY320"/>
          <cell r="AZ320"/>
          <cell r="BA320"/>
          <cell r="BB320"/>
          <cell r="BC320"/>
          <cell r="BD320"/>
          <cell r="BE320"/>
          <cell r="BF320"/>
          <cell r="BG320"/>
          <cell r="BH320"/>
          <cell r="BI320"/>
          <cell r="BJ320"/>
          <cell r="BK320"/>
          <cell r="BL320"/>
          <cell r="BM320"/>
          <cell r="BN320"/>
          <cell r="BO320"/>
          <cell r="BP320"/>
          <cell r="BQ320"/>
          <cell r="BR320"/>
          <cell r="BS320"/>
          <cell r="BT320"/>
          <cell r="BU320"/>
          <cell r="BV320"/>
          <cell r="BW320" t="str">
            <v>NA</v>
          </cell>
          <cell r="BX320">
            <v>5.7748775627392446E-2</v>
          </cell>
          <cell r="BY320">
            <v>5.5295340019404504E-2</v>
          </cell>
          <cell r="BZ320">
            <v>4.5830316388151271E-2</v>
          </cell>
          <cell r="CA320">
            <v>3.8049017558223319E-2</v>
          </cell>
          <cell r="CB320">
            <v>6.2322544920041745E-2</v>
          </cell>
          <cell r="CC320">
            <v>0.10890683112928246</v>
          </cell>
          <cell r="CD320">
            <v>2.2549841314048802E-2</v>
          </cell>
          <cell r="CE320">
            <v>-1.0661282383893522E-2</v>
          </cell>
          <cell r="CF320">
            <v>3.3936688808986926E-2</v>
          </cell>
          <cell r="CG320">
            <v>7.0496964765178749E-3</v>
          </cell>
          <cell r="CH320">
            <v>1.7037097111489707E-2</v>
          </cell>
          <cell r="CI320">
            <v>-1.2912308661252925E-2</v>
          </cell>
          <cell r="CJ320">
            <v>3.1696717890238757E-2</v>
          </cell>
          <cell r="CK320">
            <v>4.9725609239961166E-3</v>
          </cell>
          <cell r="CL320">
            <v>1.5040129437898342E-2</v>
          </cell>
          <cell r="CM320">
            <v>-1.4757184588582439E-2</v>
          </cell>
          <cell r="CN320">
            <v>2.9861449681326757E-2</v>
          </cell>
          <cell r="CO320">
            <v>3.2711917904684196E-3</v>
          </cell>
          <cell r="CP320">
            <v>1.340486864134971E-2</v>
          </cell>
          <cell r="CQ320">
            <v>-1.6267511360171349E-2</v>
          </cell>
          <cell r="CR320">
            <v>2.8359358442477944E-2</v>
          </cell>
          <cell r="CS320">
            <v>1.879018313117653E-3</v>
          </cell>
          <cell r="CT320">
            <v>1.2067088743333398E-2</v>
          </cell>
          <cell r="CU320">
            <v>-1.7502821434786875E-2</v>
          </cell>
          <cell r="CV320">
            <v>2.7131033752750833E-2</v>
          </cell>
          <cell r="CW320">
            <v>7.4079830108453315E-4</v>
          </cell>
          <cell r="CX320">
            <v>1.0973541577984358E-2</v>
          </cell>
          <cell r="CY320">
            <v>-1.8512429117260143E-2</v>
          </cell>
          <cell r="CZ320">
            <v>2.6127302841957301E-2</v>
          </cell>
          <cell r="DA320">
            <v>-1.8915526964324858E-4</v>
          </cell>
          <cell r="DB320">
            <v>1.008022206973469E-2</v>
          </cell>
          <cell r="DC320"/>
          <cell r="DD320"/>
          <cell r="DE320"/>
          <cell r="DF320"/>
          <cell r="DG320"/>
          <cell r="DH320"/>
          <cell r="DI320"/>
          <cell r="DJ320"/>
          <cell r="DK320"/>
          <cell r="DL320"/>
          <cell r="DM320"/>
          <cell r="DN320"/>
          <cell r="DO320"/>
        </row>
        <row r="321">
          <cell r="A321"/>
          <cell r="B321"/>
          <cell r="C321"/>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cell r="AD321"/>
          <cell r="AE321"/>
          <cell r="AF321"/>
          <cell r="AG321"/>
          <cell r="AH321"/>
          <cell r="AI321"/>
          <cell r="AJ321"/>
          <cell r="AK321"/>
          <cell r="AL321"/>
          <cell r="AM321"/>
          <cell r="AN321"/>
          <cell r="AO321"/>
          <cell r="AP321"/>
          <cell r="AQ321"/>
          <cell r="AR321"/>
          <cell r="AS321"/>
          <cell r="AT321"/>
          <cell r="AU321"/>
          <cell r="AV321"/>
          <cell r="AW321"/>
          <cell r="AX321"/>
          <cell r="AY321"/>
          <cell r="AZ321"/>
          <cell r="BA321"/>
          <cell r="BB321"/>
          <cell r="BC321"/>
          <cell r="BD321"/>
          <cell r="BE321"/>
          <cell r="BF321"/>
          <cell r="BG321"/>
          <cell r="BH321"/>
          <cell r="BI321"/>
          <cell r="BJ321"/>
          <cell r="BK321"/>
          <cell r="BL321"/>
          <cell r="BM321"/>
          <cell r="BN321"/>
          <cell r="BO321"/>
          <cell r="BP321"/>
          <cell r="BQ321"/>
          <cell r="BR321"/>
          <cell r="BS321"/>
          <cell r="BT321"/>
          <cell r="BU321"/>
          <cell r="BV321"/>
          <cell r="BW321"/>
          <cell r="BX321"/>
          <cell r="BY321"/>
          <cell r="BZ321"/>
          <cell r="CA321"/>
          <cell r="CB321"/>
          <cell r="CC321"/>
          <cell r="CD321"/>
          <cell r="CE321"/>
          <cell r="CF321"/>
          <cell r="CG321"/>
          <cell r="CH321"/>
          <cell r="CI321"/>
          <cell r="CJ321"/>
          <cell r="CK321"/>
          <cell r="CL321"/>
          <cell r="CM321"/>
          <cell r="CN321"/>
          <cell r="CO321"/>
          <cell r="CP321"/>
          <cell r="CQ321"/>
          <cell r="CR321"/>
          <cell r="CS321"/>
          <cell r="CT321"/>
          <cell r="CU321"/>
          <cell r="CV321"/>
          <cell r="CW321"/>
          <cell r="CX321"/>
          <cell r="CY321"/>
          <cell r="CZ321"/>
          <cell r="DA321"/>
          <cell r="DB321"/>
          <cell r="DC321"/>
          <cell r="DD321"/>
          <cell r="DE321"/>
          <cell r="DF321"/>
          <cell r="DG321"/>
          <cell r="DH321"/>
          <cell r="DI321"/>
          <cell r="DJ321"/>
          <cell r="DK321"/>
          <cell r="DL321"/>
          <cell r="DM321"/>
          <cell r="DN321"/>
          <cell r="DO321"/>
        </row>
        <row r="322">
          <cell r="A322" t="str">
            <v>GoTo (OLD)</v>
          </cell>
          <cell r="B322">
            <v>0</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2.7959999999999998</v>
          </cell>
          <cell r="AB322">
            <v>10.455</v>
          </cell>
          <cell r="AC322">
            <v>14.087999999999999</v>
          </cell>
          <cell r="AD322">
            <v>16.762</v>
          </cell>
          <cell r="AE322">
            <v>20.364999999999998</v>
          </cell>
          <cell r="AF322">
            <v>23.844000000000001</v>
          </cell>
          <cell r="AG322">
            <v>26.163</v>
          </cell>
          <cell r="AH322">
            <v>28.725000000000001</v>
          </cell>
          <cell r="AI322">
            <v>31.638000000000002</v>
          </cell>
          <cell r="AJ322">
            <v>35.128</v>
          </cell>
          <cell r="AK322">
            <v>39.055</v>
          </cell>
          <cell r="AL322">
            <v>42.973999999999997</v>
          </cell>
          <cell r="AM322">
            <v>47.210999999999999</v>
          </cell>
          <cell r="AN322">
            <v>51.81</v>
          </cell>
          <cell r="AO322">
            <v>55.744</v>
          </cell>
          <cell r="AP322">
            <v>58.978999999999999</v>
          </cell>
          <cell r="AQ322">
            <v>61.984999999999999</v>
          </cell>
          <cell r="AR322">
            <v>63.686999999999998</v>
          </cell>
          <cell r="AS322">
            <v>64.948999999999998</v>
          </cell>
          <cell r="AT322">
            <v>69.444000000000003</v>
          </cell>
          <cell r="AU322">
            <v>71.980403999999993</v>
          </cell>
          <cell r="AV322">
            <v>75.349282000000002</v>
          </cell>
          <cell r="AW322">
            <v>78.879097000000002</v>
          </cell>
          <cell r="AX322">
            <v>81.968040000000002</v>
          </cell>
          <cell r="AY322">
            <v>84.950411000000003</v>
          </cell>
          <cell r="AZ322">
            <v>89.210601999999994</v>
          </cell>
          <cell r="BA322">
            <v>91.659755000000004</v>
          </cell>
          <cell r="BB322">
            <v>94.796323000000001</v>
          </cell>
          <cell r="BC322">
            <v>99.772000000000006</v>
          </cell>
          <cell r="BD322">
            <v>106.479</v>
          </cell>
          <cell r="BE322">
            <v>109.55800000000001</v>
          </cell>
          <cell r="BF322">
            <v>114.404</v>
          </cell>
          <cell r="BG322">
            <v>115.94805376344087</v>
          </cell>
          <cell r="BH322">
            <v>119.45285714285714</v>
          </cell>
          <cell r="BI322">
            <v>122.42370588235293</v>
          </cell>
          <cell r="BJ322">
            <v>126.75433333333332</v>
          </cell>
          <cell r="BK322">
            <v>129.4</v>
          </cell>
          <cell r="BL322">
            <v>134</v>
          </cell>
          <cell r="BM322">
            <v>136.9</v>
          </cell>
          <cell r="BN322">
            <v>140.19999999999999</v>
          </cell>
          <cell r="BO322">
            <v>142</v>
          </cell>
          <cell r="BP322">
            <v>144.4</v>
          </cell>
          <cell r="BQ322">
            <v>146.4</v>
          </cell>
          <cell r="BR322">
            <v>147</v>
          </cell>
          <cell r="BS322">
            <v>147.69999999999999</v>
          </cell>
          <cell r="BT322">
            <v>152.80000000000001</v>
          </cell>
          <cell r="BU322">
            <v>164.1</v>
          </cell>
          <cell r="BV322">
            <v>164.8</v>
          </cell>
          <cell r="BW322">
            <v>166.9</v>
          </cell>
          <cell r="BX322">
            <v>169</v>
          </cell>
          <cell r="BY322">
            <v>172.5</v>
          </cell>
          <cell r="BZ322">
            <v>173.8</v>
          </cell>
          <cell r="CA322">
            <v>0</v>
          </cell>
          <cell r="CB322">
            <v>0</v>
          </cell>
          <cell r="CC322">
            <v>0</v>
          </cell>
          <cell r="CD322">
            <v>0</v>
          </cell>
          <cell r="CE322">
            <v>0</v>
          </cell>
          <cell r="CF322">
            <v>0</v>
          </cell>
          <cell r="CG322">
            <v>0</v>
          </cell>
          <cell r="CH322">
            <v>0</v>
          </cell>
          <cell r="CI322">
            <v>0</v>
          </cell>
          <cell r="CJ322">
            <v>0</v>
          </cell>
          <cell r="CK322">
            <v>0</v>
          </cell>
          <cell r="CL322">
            <v>0</v>
          </cell>
          <cell r="CM322">
            <v>0</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cell r="DD322"/>
          <cell r="DE322">
            <v>0</v>
          </cell>
          <cell r="DF322">
            <v>0</v>
          </cell>
          <cell r="DG322">
            <v>0</v>
          </cell>
          <cell r="DH322">
            <v>0</v>
          </cell>
          <cell r="DI322">
            <v>0</v>
          </cell>
          <cell r="DJ322">
            <v>44.100999999999999</v>
          </cell>
          <cell r="DK322">
            <v>99.097000000000008</v>
          </cell>
          <cell r="DL322">
            <v>148.79499999999999</v>
          </cell>
          <cell r="DM322">
            <v>213.74399999999997</v>
          </cell>
          <cell r="DN322">
            <v>260.065</v>
          </cell>
          <cell r="DO322">
            <v>308.17682300000001</v>
          </cell>
        </row>
        <row r="323">
          <cell r="A323" t="str">
            <v>% of revenue</v>
          </cell>
          <cell r="B323"/>
          <cell r="C323" t="e">
            <v>#DIV/0!</v>
          </cell>
          <cell r="D323" t="e">
            <v>#DIV/0!</v>
          </cell>
          <cell r="E323" t="e">
            <v>#DIV/0!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1.7333085363585642E-2</v>
          </cell>
          <cell r="AB323">
            <v>5.863647070700273E-2</v>
          </cell>
          <cell r="AC323">
            <v>7.5104756421328731E-2</v>
          </cell>
          <cell r="AD323">
            <v>7.8339183145064425E-2</v>
          </cell>
          <cell r="AE323">
            <v>0.10087176185051265</v>
          </cell>
          <cell r="AF323">
            <v>0.11288222734567697</v>
          </cell>
          <cell r="AG323">
            <v>0.11528242276831155</v>
          </cell>
          <cell r="AH323">
            <v>0.10692111845631588</v>
          </cell>
          <cell r="AI323">
            <v>0.12168555142731868</v>
          </cell>
          <cell r="AJ323">
            <v>0.12752116398274935</v>
          </cell>
          <cell r="AK323">
            <v>0.14056094813407186</v>
          </cell>
          <cell r="AL323">
            <v>0.13387455529872086</v>
          </cell>
          <cell r="AM323">
            <v>0.15323868505102436</v>
          </cell>
          <cell r="AN323">
            <v>0.15495089184242325</v>
          </cell>
          <cell r="AO323">
            <v>0.15929997628103826</v>
          </cell>
          <cell r="AP323">
            <v>0.14761024028991962</v>
          </cell>
          <cell r="AQ323">
            <v>0.16440161895213695</v>
          </cell>
          <cell r="AR323">
            <v>0.16257881704235058</v>
          </cell>
          <cell r="AS323">
            <v>0.16282311296513099</v>
          </cell>
          <cell r="AT323">
            <v>0.16705436892736777</v>
          </cell>
          <cell r="AU323">
            <v>0.19503818911932541</v>
          </cell>
          <cell r="AV323">
            <v>0.1918124013563188</v>
          </cell>
          <cell r="AW323">
            <v>0.19668537709267361</v>
          </cell>
          <cell r="AX323">
            <v>0.18168286195584715</v>
          </cell>
          <cell r="AY323">
            <v>0.20505950438359341</v>
          </cell>
          <cell r="AZ323">
            <v>0.19459899701810296</v>
          </cell>
          <cell r="BA323">
            <v>0.19409858057357279</v>
          </cell>
          <cell r="BB323">
            <v>0.17895406890727197</v>
          </cell>
          <cell r="BC323">
            <v>0.20324799139518587</v>
          </cell>
          <cell r="BD323">
            <v>0.20060475894421523</v>
          </cell>
          <cell r="BE323">
            <v>0.19378860454091995</v>
          </cell>
          <cell r="BF323">
            <v>0.18471146301217697</v>
          </cell>
          <cell r="BG323">
            <v>0.19669047873763285</v>
          </cell>
          <cell r="BH323">
            <v>0.19416598745608354</v>
          </cell>
          <cell r="BI323">
            <v>0.19086296678684692</v>
          </cell>
          <cell r="BJ323">
            <v>0.17129056553458846</v>
          </cell>
          <cell r="BK323">
            <v>0.19230226230088024</v>
          </cell>
          <cell r="BL323">
            <v>0.18346513614756074</v>
          </cell>
          <cell r="BM323">
            <v>0.19207807714270883</v>
          </cell>
          <cell r="BN323">
            <v>0.17472146756062909</v>
          </cell>
          <cell r="BO323">
            <v>0.18912680686024197</v>
          </cell>
          <cell r="BP323">
            <v>0.18475868775269974</v>
          </cell>
          <cell r="BQ323">
            <v>0.19288690029170194</v>
          </cell>
          <cell r="BR323">
            <v>0.17263997049853022</v>
          </cell>
          <cell r="BS323">
            <v>0.19413723938685756</v>
          </cell>
          <cell r="BT323">
            <v>0.19177693631323903</v>
          </cell>
          <cell r="BU323">
            <v>0.20177800730384743</v>
          </cell>
          <cell r="BV323">
            <v>0.18214714792713674</v>
          </cell>
          <cell r="BW323">
            <v>0.25334978816678888</v>
          </cell>
          <cell r="BX323">
            <v>0.25074667612283325</v>
          </cell>
          <cell r="BY323">
            <v>0.25794932529428655</v>
          </cell>
          <cell r="BZ323">
            <v>0.23659649543142786</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cell r="DD323"/>
          <cell r="DE323">
            <v>0</v>
          </cell>
          <cell r="DF323">
            <v>0</v>
          </cell>
          <cell r="DG323">
            <v>0</v>
          </cell>
          <cell r="DH323">
            <v>0</v>
          </cell>
          <cell r="DI323">
            <v>0</v>
          </cell>
          <cell r="DJ323">
            <v>5.9502912338411436E-2</v>
          </cell>
          <cell r="DK323">
            <v>0.10905095287667736</v>
          </cell>
          <cell r="DL323">
            <v>0.131175621672563</v>
          </cell>
          <cell r="DM323">
            <v>0.15355812239303071</v>
          </cell>
          <cell r="DN323">
            <v>0.16424943506000556</v>
          </cell>
          <cell r="DO323">
            <v>0.19092938117376501</v>
          </cell>
        </row>
        <row r="324">
          <cell r="A324" t="str">
            <v>% growth in revenue y-o-y</v>
          </cell>
          <cell r="B324"/>
          <cell r="C324" t="str">
            <v>NA</v>
          </cell>
          <cell r="D324" t="str">
            <v>NA</v>
          </cell>
          <cell r="E324" t="str">
            <v>NA</v>
          </cell>
          <cell r="F324" t="str">
            <v>NA</v>
          </cell>
          <cell r="G324" t="str">
            <v>NA</v>
          </cell>
          <cell r="H324" t="str">
            <v>NA</v>
          </cell>
          <cell r="I324" t="str">
            <v>NA</v>
          </cell>
          <cell r="J324" t="str">
            <v>NA</v>
          </cell>
          <cell r="K324" t="str">
            <v>NA</v>
          </cell>
          <cell r="L324" t="str">
            <v>NA</v>
          </cell>
          <cell r="M324" t="str">
            <v>NA</v>
          </cell>
          <cell r="N324" t="str">
            <v>NA</v>
          </cell>
          <cell r="O324" t="str">
            <v>NA</v>
          </cell>
          <cell r="P324" t="str">
            <v>NA</v>
          </cell>
          <cell r="Q324" t="str">
            <v>NA</v>
          </cell>
          <cell r="R324" t="str">
            <v>NA</v>
          </cell>
          <cell r="S324" t="str">
            <v>NA</v>
          </cell>
          <cell r="T324" t="str">
            <v>NA</v>
          </cell>
          <cell r="U324" t="str">
            <v>NA</v>
          </cell>
          <cell r="V324" t="str">
            <v>NA</v>
          </cell>
          <cell r="W324" t="str">
            <v>NA</v>
          </cell>
          <cell r="X324" t="str">
            <v>NA</v>
          </cell>
          <cell r="Y324" t="str">
            <v>NA</v>
          </cell>
          <cell r="Z324" t="str">
            <v>NA</v>
          </cell>
          <cell r="AA324" t="str">
            <v>NA</v>
          </cell>
          <cell r="AB324" t="str">
            <v>NA</v>
          </cell>
          <cell r="AC324" t="str">
            <v>NA</v>
          </cell>
          <cell r="AD324" t="str">
            <v>NA</v>
          </cell>
          <cell r="AE324">
            <v>6.2836194563662371</v>
          </cell>
          <cell r="AF324">
            <v>1.2806312769010044</v>
          </cell>
          <cell r="AG324">
            <v>0.85711243611584331</v>
          </cell>
          <cell r="AH324">
            <v>0.71369764944517367</v>
          </cell>
          <cell r="AI324">
            <v>0.55354775349864993</v>
          </cell>
          <cell r="AJ324">
            <v>0.47324274450595527</v>
          </cell>
          <cell r="AK324">
            <v>0.49275694683331417</v>
          </cell>
          <cell r="AL324">
            <v>0.49604873803307203</v>
          </cell>
          <cell r="AM324">
            <v>0.49222454010999428</v>
          </cell>
          <cell r="AN324">
            <v>0.47489182418583464</v>
          </cell>
          <cell r="AO324">
            <v>0.42732044552554083</v>
          </cell>
          <cell r="AP324">
            <v>0.37243449527621353</v>
          </cell>
          <cell r="AQ324">
            <v>0.31293554468238338</v>
          </cell>
          <cell r="AR324">
            <v>0.22924145917776473</v>
          </cell>
          <cell r="AS324">
            <v>0.16512987944890933</v>
          </cell>
          <cell r="AT324">
            <v>0.1774360365553842</v>
          </cell>
          <cell r="AU324">
            <v>0.16125520690489625</v>
          </cell>
          <cell r="AV324">
            <v>0.1831187212460943</v>
          </cell>
          <cell r="AW324">
            <v>0.21447746693559577</v>
          </cell>
          <cell r="AX324">
            <v>0.18034733022291349</v>
          </cell>
          <cell r="AY324">
            <v>0.18018802728587091</v>
          </cell>
          <cell r="AZ324">
            <v>0.18396087702600794</v>
          </cell>
          <cell r="BA324">
            <v>0.16202845222733719</v>
          </cell>
          <cell r="BB324">
            <v>0.15650347379295626</v>
          </cell>
          <cell r="BC324">
            <v>0.17447342308914782</v>
          </cell>
          <cell r="BD324">
            <v>0.19356889890732942</v>
          </cell>
          <cell r="BE324">
            <v>0.19526830504838255</v>
          </cell>
          <cell r="BF324">
            <v>0.20684005855374776</v>
          </cell>
          <cell r="BG324">
            <v>0.16213019447781796</v>
          </cell>
          <cell r="BH324">
            <v>0.12184428049528218</v>
          </cell>
          <cell r="BI324">
            <v>0.11743282902529195</v>
          </cell>
          <cell r="BJ324">
            <v>0.1079536846031024</v>
          </cell>
          <cell r="BK324">
            <v>0.11601700761622125</v>
          </cell>
          <cell r="BL324">
            <v>0.12178145592403467</v>
          </cell>
          <cell r="BM324">
            <v>0.11824747513817746</v>
          </cell>
          <cell r="BN324">
            <v>0.10607658383802798</v>
          </cell>
          <cell r="BO324">
            <v>9.7372488408037139E-2</v>
          </cell>
          <cell r="BP324">
            <v>7.7611940298507598E-2</v>
          </cell>
          <cell r="BQ324">
            <v>6.9393718042366714E-2</v>
          </cell>
          <cell r="BR324">
            <v>4.8502139800285393E-2</v>
          </cell>
          <cell r="BS324">
            <v>4.0140845070422371E-2</v>
          </cell>
          <cell r="BT324">
            <v>5.8171745152354681E-2</v>
          </cell>
          <cell r="BU324">
            <v>0.12090163934426212</v>
          </cell>
          <cell r="BV324">
            <v>0.12108843537414971</v>
          </cell>
          <cell r="BW324">
            <v>0.12999322951929604</v>
          </cell>
          <cell r="BX324">
            <v>0.10602094240837689</v>
          </cell>
          <cell r="BY324">
            <v>5.1188299817184646E-2</v>
          </cell>
          <cell r="BZ324">
            <v>5.4611650485436813E-2</v>
          </cell>
          <cell r="CA324">
            <v>-1</v>
          </cell>
          <cell r="CB324">
            <v>-1</v>
          </cell>
          <cell r="CC324">
            <v>-1</v>
          </cell>
          <cell r="CD324">
            <v>-1</v>
          </cell>
          <cell r="CE324" t="str">
            <v>NA</v>
          </cell>
          <cell r="CF324" t="str">
            <v>NA</v>
          </cell>
          <cell r="CG324" t="str">
            <v>NA</v>
          </cell>
          <cell r="CH324" t="str">
            <v>NA</v>
          </cell>
          <cell r="CI324" t="str">
            <v>NA</v>
          </cell>
          <cell r="CJ324" t="str">
            <v>NA</v>
          </cell>
          <cell r="CK324" t="str">
            <v>NA</v>
          </cell>
          <cell r="CL324" t="str">
            <v>NA</v>
          </cell>
          <cell r="CM324" t="str">
            <v>NA</v>
          </cell>
          <cell r="CN324" t="str">
            <v>NA</v>
          </cell>
          <cell r="CO324" t="str">
            <v>NA</v>
          </cell>
          <cell r="CP324" t="str">
            <v>NA</v>
          </cell>
          <cell r="CQ324" t="str">
            <v>NA</v>
          </cell>
          <cell r="CR324" t="str">
            <v>NA</v>
          </cell>
          <cell r="CS324" t="str">
            <v>NA</v>
          </cell>
          <cell r="CT324" t="str">
            <v>NA</v>
          </cell>
          <cell r="CU324" t="str">
            <v>NA</v>
          </cell>
          <cell r="CV324" t="str">
            <v>NA</v>
          </cell>
          <cell r="CW324" t="str">
            <v>NA</v>
          </cell>
          <cell r="CX324" t="str">
            <v>NA</v>
          </cell>
          <cell r="CY324" t="str">
            <v>NA</v>
          </cell>
          <cell r="CZ324" t="str">
            <v>NA</v>
          </cell>
          <cell r="DA324" t="str">
            <v>NA</v>
          </cell>
          <cell r="DB324" t="str">
            <v>NA</v>
          </cell>
          <cell r="DC324"/>
          <cell r="DD324" t="str">
            <v>NA</v>
          </cell>
          <cell r="DE324" t="str">
            <v>NA</v>
          </cell>
          <cell r="DF324" t="str">
            <v>NA</v>
          </cell>
          <cell r="DG324" t="str">
            <v>NA</v>
          </cell>
          <cell r="DH324" t="str">
            <v>NA</v>
          </cell>
          <cell r="DI324" t="str">
            <v>NA</v>
          </cell>
          <cell r="DJ324" t="str">
            <v>NA</v>
          </cell>
          <cell r="DK324">
            <v>1.2470465522323759</v>
          </cell>
          <cell r="DL324">
            <v>0.50150862286446585</v>
          </cell>
          <cell r="DM324">
            <v>0.43649988238852111</v>
          </cell>
          <cell r="DN324">
            <v>0.21671251590687945</v>
          </cell>
          <cell r="DO324">
            <v>0.1849992232711053</v>
          </cell>
        </row>
        <row r="325">
          <cell r="A325" t="str">
            <v>% growth in revenue seq</v>
          </cell>
          <cell r="B325"/>
          <cell r="C325" t="str">
            <v>NA</v>
          </cell>
          <cell r="D325" t="str">
            <v>NA</v>
          </cell>
          <cell r="E325" t="str">
            <v>NA</v>
          </cell>
          <cell r="F325" t="str">
            <v>NA</v>
          </cell>
          <cell r="G325" t="str">
            <v>NA</v>
          </cell>
          <cell r="H325" t="str">
            <v>NA</v>
          </cell>
          <cell r="I325" t="str">
            <v>NA</v>
          </cell>
          <cell r="J325" t="str">
            <v>NA</v>
          </cell>
          <cell r="K325" t="str">
            <v>NA</v>
          </cell>
          <cell r="L325" t="str">
            <v>NA</v>
          </cell>
          <cell r="M325" t="str">
            <v>NA</v>
          </cell>
          <cell r="N325" t="str">
            <v>NA</v>
          </cell>
          <cell r="O325" t="str">
            <v>NA</v>
          </cell>
          <cell r="P325" t="str">
            <v>NA</v>
          </cell>
          <cell r="Q325" t="str">
            <v>NA</v>
          </cell>
          <cell r="R325" t="str">
            <v>NA</v>
          </cell>
          <cell r="S325" t="str">
            <v>NA</v>
          </cell>
          <cell r="T325" t="str">
            <v>NA</v>
          </cell>
          <cell r="U325" t="str">
            <v>NA</v>
          </cell>
          <cell r="V325" t="str">
            <v>NA</v>
          </cell>
          <cell r="W325" t="str">
            <v>NA</v>
          </cell>
          <cell r="X325" t="str">
            <v>NA</v>
          </cell>
          <cell r="Y325" t="str">
            <v>NA</v>
          </cell>
          <cell r="Z325" t="str">
            <v>NA</v>
          </cell>
          <cell r="AA325" t="str">
            <v>NA</v>
          </cell>
          <cell r="AB325">
            <v>2.7392703862660945</v>
          </cell>
          <cell r="AC325">
            <v>0.34748923959827827</v>
          </cell>
          <cell r="AD325">
            <v>0.18980692788188547</v>
          </cell>
          <cell r="AE325">
            <v>0.21495048323589061</v>
          </cell>
          <cell r="AF325">
            <v>0.17083231033636159</v>
          </cell>
          <cell r="AG325">
            <v>9.7257171615500626E-2</v>
          </cell>
          <cell r="AH325">
            <v>9.7924549936933891E-2</v>
          </cell>
          <cell r="AI325">
            <v>0.10140992167101825</v>
          </cell>
          <cell r="AJ325">
            <v>0.11031038624438971</v>
          </cell>
          <cell r="AK325">
            <v>0.11179116374402187</v>
          </cell>
          <cell r="AL325">
            <v>0.10034566636794251</v>
          </cell>
          <cell r="AM325">
            <v>9.8594498999394986E-2</v>
          </cell>
          <cell r="AN325">
            <v>9.7413738323695931E-2</v>
          </cell>
          <cell r="AO325">
            <v>7.5931287396255431E-2</v>
          </cell>
          <cell r="AP325">
            <v>5.8033151549942597E-2</v>
          </cell>
          <cell r="AQ325">
            <v>5.0967293443429096E-2</v>
          </cell>
          <cell r="AR325">
            <v>2.7458256029684547E-2</v>
          </cell>
          <cell r="AS325">
            <v>1.9815660966916226E-2</v>
          </cell>
          <cell r="AT325">
            <v>6.9208147931453912E-2</v>
          </cell>
          <cell r="AU325">
            <v>3.652445135648863E-2</v>
          </cell>
          <cell r="AV325">
            <v>4.680271035989203E-2</v>
          </cell>
          <cell r="AW325">
            <v>4.6846033649000196E-2</v>
          </cell>
          <cell r="AX325">
            <v>3.9160476190542637E-2</v>
          </cell>
          <cell r="AY325">
            <v>3.6384559152567331E-2</v>
          </cell>
          <cell r="AZ325">
            <v>5.0149151132417691E-2</v>
          </cell>
          <cell r="BA325">
            <v>2.7453609157351178E-2</v>
          </cell>
          <cell r="BB325">
            <v>3.4219685618841034E-2</v>
          </cell>
          <cell r="BC325">
            <v>5.248808015475448E-2</v>
          </cell>
          <cell r="BD325">
            <v>6.7223269053441781E-2</v>
          </cell>
          <cell r="BE325">
            <v>2.8916499967129639E-2</v>
          </cell>
          <cell r="BF325">
            <v>4.4232278792968094E-2</v>
          </cell>
          <cell r="BG325">
            <v>1.3496501551002238E-2</v>
          </cell>
          <cell r="BH325">
            <v>3.0227358421788031E-2</v>
          </cell>
          <cell r="BI325">
            <v>2.4870470330758732E-2</v>
          </cell>
          <cell r="BJ325">
            <v>3.5374092131650103E-2</v>
          </cell>
          <cell r="BK325">
            <v>2.0872396209991706E-2</v>
          </cell>
          <cell r="BL325">
            <v>3.5548686244204042E-2</v>
          </cell>
          <cell r="BM325">
            <v>2.1641791044776149E-2</v>
          </cell>
          <cell r="BN325">
            <v>2.4105186267348255E-2</v>
          </cell>
          <cell r="BO325">
            <v>1.2838801711840375E-2</v>
          </cell>
          <cell r="BP325">
            <v>1.6901408450704203E-2</v>
          </cell>
          <cell r="BQ325">
            <v>1.3850415512465464E-2</v>
          </cell>
          <cell r="BR325">
            <v>4.098360655737654E-3</v>
          </cell>
          <cell r="BS325">
            <v>4.761904761904745E-3</v>
          </cell>
          <cell r="BT325">
            <v>3.4529451591063021E-2</v>
          </cell>
          <cell r="BU325">
            <v>7.3952879581151709E-2</v>
          </cell>
          <cell r="BV325">
            <v>4.2656916514320908E-3</v>
          </cell>
          <cell r="BW325">
            <v>1.2742718446601797E-2</v>
          </cell>
          <cell r="BX325">
            <v>1.2582384661473878E-2</v>
          </cell>
          <cell r="BY325">
            <v>2.0710059171597628E-2</v>
          </cell>
          <cell r="BZ325">
            <v>7.5362318840579423E-3</v>
          </cell>
          <cell r="CA325">
            <v>-1</v>
          </cell>
          <cell r="CB325" t="str">
            <v>NA</v>
          </cell>
          <cell r="CC325" t="str">
            <v>NA</v>
          </cell>
          <cell r="CD325" t="str">
            <v>NA</v>
          </cell>
          <cell r="CE325" t="str">
            <v>NA</v>
          </cell>
          <cell r="CF325" t="str">
            <v>NA</v>
          </cell>
          <cell r="CG325" t="str">
            <v>NA</v>
          </cell>
          <cell r="CH325" t="str">
            <v>NA</v>
          </cell>
          <cell r="CI325" t="str">
            <v>NA</v>
          </cell>
          <cell r="CJ325" t="str">
            <v>NA</v>
          </cell>
          <cell r="CK325" t="str">
            <v>NA</v>
          </cell>
          <cell r="CL325" t="str">
            <v>NA</v>
          </cell>
          <cell r="CM325" t="str">
            <v>NA</v>
          </cell>
          <cell r="CN325" t="str">
            <v>NA</v>
          </cell>
          <cell r="CO325" t="str">
            <v>NA</v>
          </cell>
          <cell r="CP325" t="str">
            <v>NA</v>
          </cell>
          <cell r="CQ325" t="str">
            <v>NA</v>
          </cell>
          <cell r="CR325" t="str">
            <v>NA</v>
          </cell>
          <cell r="CS325" t="str">
            <v>NA</v>
          </cell>
          <cell r="CT325" t="str">
            <v>NA</v>
          </cell>
          <cell r="CU325" t="str">
            <v>NA</v>
          </cell>
          <cell r="CV325" t="str">
            <v>NA</v>
          </cell>
          <cell r="CW325" t="str">
            <v>NA</v>
          </cell>
          <cell r="CX325" t="str">
            <v>NA</v>
          </cell>
          <cell r="CY325" t="str">
            <v>NA</v>
          </cell>
          <cell r="CZ325" t="str">
            <v>NA</v>
          </cell>
          <cell r="DA325" t="str">
            <v>NA</v>
          </cell>
          <cell r="DB325" t="str">
            <v>NA</v>
          </cell>
          <cell r="DC325"/>
          <cell r="DD325"/>
          <cell r="DE325"/>
          <cell r="DF325"/>
          <cell r="DG325"/>
          <cell r="DH325"/>
          <cell r="DI325"/>
          <cell r="DJ325"/>
          <cell r="DK325"/>
          <cell r="DL325"/>
          <cell r="DM325"/>
          <cell r="DN325"/>
          <cell r="DO325"/>
        </row>
        <row r="326">
          <cell r="A326"/>
          <cell r="B326"/>
          <cell r="C326"/>
          <cell r="D326"/>
          <cell r="E326"/>
          <cell r="F326"/>
          <cell r="G326"/>
          <cell r="H326"/>
          <cell r="I326"/>
          <cell r="J326"/>
          <cell r="K326"/>
          <cell r="L326"/>
          <cell r="M326"/>
          <cell r="N326"/>
          <cell r="O326"/>
          <cell r="P326"/>
          <cell r="Q326"/>
          <cell r="R326"/>
          <cell r="S326"/>
          <cell r="T326"/>
          <cell r="U326"/>
          <cell r="V326"/>
          <cell r="W326"/>
          <cell r="X326"/>
          <cell r="Y326"/>
          <cell r="Z326"/>
          <cell r="AA326"/>
          <cell r="AB326"/>
          <cell r="AC326"/>
          <cell r="AD326"/>
          <cell r="AE326"/>
          <cell r="AF326"/>
          <cell r="AG326"/>
          <cell r="AH326"/>
          <cell r="AI326"/>
          <cell r="AJ326"/>
          <cell r="AK326"/>
          <cell r="AL326"/>
          <cell r="AM326"/>
          <cell r="AN326"/>
          <cell r="AO326"/>
          <cell r="AP326"/>
          <cell r="AQ326"/>
          <cell r="AR326"/>
          <cell r="AS326"/>
          <cell r="AT326"/>
          <cell r="AU326"/>
          <cell r="AV326"/>
          <cell r="AW326"/>
          <cell r="AX326"/>
          <cell r="AY326"/>
          <cell r="AZ326"/>
          <cell r="BA326"/>
          <cell r="BB326"/>
          <cell r="BC326"/>
          <cell r="BD326"/>
          <cell r="BE326"/>
          <cell r="BF326"/>
          <cell r="BG326"/>
          <cell r="BH326"/>
          <cell r="BI326"/>
          <cell r="BJ326"/>
          <cell r="BK326"/>
          <cell r="BL326"/>
          <cell r="BM326"/>
          <cell r="BN326"/>
          <cell r="BO326"/>
          <cell r="BP326"/>
          <cell r="BQ326"/>
          <cell r="BR326"/>
          <cell r="BS326"/>
          <cell r="BT326"/>
          <cell r="BU326"/>
          <cell r="BV326"/>
          <cell r="BW326"/>
          <cell r="BX326"/>
          <cell r="BY326"/>
          <cell r="BZ326"/>
          <cell r="CA326"/>
          <cell r="CB326"/>
          <cell r="CC326"/>
          <cell r="CD326"/>
          <cell r="CE326"/>
          <cell r="CF326"/>
          <cell r="CG326"/>
          <cell r="CH326"/>
          <cell r="CI326"/>
          <cell r="CJ326"/>
          <cell r="CK326"/>
          <cell r="CL326"/>
          <cell r="CM326"/>
          <cell r="CN326"/>
          <cell r="CO326"/>
          <cell r="CP326"/>
          <cell r="CQ326"/>
          <cell r="CR326"/>
          <cell r="CS326"/>
          <cell r="CT326"/>
          <cell r="CU326"/>
          <cell r="CV326"/>
          <cell r="CW326"/>
          <cell r="CX326"/>
          <cell r="CY326"/>
          <cell r="CZ326"/>
          <cell r="DA326"/>
          <cell r="DB326"/>
          <cell r="DC326"/>
          <cell r="DD326"/>
          <cell r="DE326"/>
          <cell r="DF326"/>
          <cell r="DG326"/>
          <cell r="DH326"/>
          <cell r="DI326"/>
          <cell r="DJ326"/>
          <cell r="DK326"/>
          <cell r="DL326"/>
          <cell r="DM326"/>
          <cell r="DN326"/>
          <cell r="DO326"/>
        </row>
        <row r="327">
          <cell r="A327"/>
          <cell r="B327">
            <v>0</v>
          </cell>
          <cell r="C327" t="str">
            <v>NA</v>
          </cell>
          <cell r="D327" t="str">
            <v>NA</v>
          </cell>
          <cell r="E327" t="str">
            <v>NA</v>
          </cell>
          <cell r="F327" t="str">
            <v>NA</v>
          </cell>
          <cell r="G327" t="str">
            <v>NA</v>
          </cell>
          <cell r="H327" t="str">
            <v>NA</v>
          </cell>
          <cell r="I327" t="str">
            <v>NA</v>
          </cell>
          <cell r="J327" t="str">
            <v>NA</v>
          </cell>
          <cell r="K327" t="str">
            <v>NA</v>
          </cell>
          <cell r="L327" t="str">
            <v>NA</v>
          </cell>
          <cell r="M327" t="str">
            <v>NA</v>
          </cell>
          <cell r="N327" t="str">
            <v>NA</v>
          </cell>
          <cell r="O327" t="str">
            <v>NA</v>
          </cell>
          <cell r="P327" t="str">
            <v>NA</v>
          </cell>
          <cell r="Q327" t="str">
            <v>NA</v>
          </cell>
          <cell r="R327" t="str">
            <v>NA</v>
          </cell>
          <cell r="S327" t="str">
            <v>NA</v>
          </cell>
          <cell r="T327" t="str">
            <v>NA</v>
          </cell>
          <cell r="U327" t="str">
            <v>NA</v>
          </cell>
          <cell r="V327" t="str">
            <v>NA</v>
          </cell>
          <cell r="W327" t="str">
            <v>NA</v>
          </cell>
          <cell r="X327" t="str">
            <v>NA</v>
          </cell>
          <cell r="Y327" t="str">
            <v>NA</v>
          </cell>
          <cell r="Z327" t="str">
            <v>NA</v>
          </cell>
          <cell r="AA327" t="str">
            <v>NA</v>
          </cell>
          <cell r="AB327" t="str">
            <v>NA</v>
          </cell>
          <cell r="AC327" t="str">
            <v>NA</v>
          </cell>
          <cell r="AD327" t="str">
            <v>NA</v>
          </cell>
          <cell r="AE327" t="str">
            <v>NA</v>
          </cell>
          <cell r="AF327" t="str">
            <v>NA</v>
          </cell>
          <cell r="AG327" t="str">
            <v>NA</v>
          </cell>
          <cell r="AH327" t="str">
            <v>NA</v>
          </cell>
          <cell r="AI327" t="str">
            <v>NA</v>
          </cell>
          <cell r="AJ327" t="str">
            <v>NA</v>
          </cell>
          <cell r="AK327" t="str">
            <v>NA</v>
          </cell>
          <cell r="AL327" t="str">
            <v>NA</v>
          </cell>
          <cell r="AM327" t="str">
            <v>NA</v>
          </cell>
          <cell r="AN327" t="str">
            <v>NA</v>
          </cell>
          <cell r="AO327" t="str">
            <v>NA</v>
          </cell>
          <cell r="AP327" t="str">
            <v>NA</v>
          </cell>
          <cell r="AQ327" t="str">
            <v>NA</v>
          </cell>
          <cell r="AR327" t="str">
            <v>NA</v>
          </cell>
          <cell r="AS327" t="str">
            <v>NA</v>
          </cell>
          <cell r="AT327"/>
          <cell r="AU327" t="str">
            <v>NA</v>
          </cell>
          <cell r="AV327" t="str">
            <v>NA</v>
          </cell>
          <cell r="AW327" t="str">
            <v>NA</v>
          </cell>
          <cell r="AX327"/>
          <cell r="AY327" t="str">
            <v>NA</v>
          </cell>
          <cell r="AZ327" t="str">
            <v>NA</v>
          </cell>
          <cell r="BA327" t="str">
            <v>NA</v>
          </cell>
          <cell r="BB327" t="str">
            <v>NA</v>
          </cell>
          <cell r="BC327" t="str">
            <v>NA</v>
          </cell>
          <cell r="BD327" t="str">
            <v>NA</v>
          </cell>
          <cell r="BE327" t="str">
            <v>NA</v>
          </cell>
          <cell r="BF327" t="str">
            <v>NA</v>
          </cell>
          <cell r="BG327" t="str">
            <v>NA</v>
          </cell>
          <cell r="BH327" t="str">
            <v>NA</v>
          </cell>
          <cell r="BI327" t="str">
            <v>NA</v>
          </cell>
          <cell r="BJ327" t="str">
            <v>NA</v>
          </cell>
          <cell r="BK327" t="str">
            <v>NA</v>
          </cell>
          <cell r="BL327" t="str">
            <v>NA</v>
          </cell>
          <cell r="BM327" t="str">
            <v>NA</v>
          </cell>
          <cell r="BN327" t="str">
            <v>NA</v>
          </cell>
          <cell r="BO327" t="str">
            <v>NA</v>
          </cell>
          <cell r="BP327" t="str">
            <v>NA</v>
          </cell>
          <cell r="BQ327" t="str">
            <v>NA</v>
          </cell>
          <cell r="BR327" t="str">
            <v>NA</v>
          </cell>
          <cell r="BS327">
            <v>1.3019204839035288</v>
          </cell>
          <cell r="BT327">
            <v>0.81805758197906808</v>
          </cell>
          <cell r="BU327">
            <v>0.77922834790622131</v>
          </cell>
          <cell r="BV327">
            <v>0.89585065783337747</v>
          </cell>
          <cell r="BW327">
            <v>0.87949254317364645</v>
          </cell>
          <cell r="BX327">
            <v>0.88466532826460098</v>
          </cell>
          <cell r="BY327">
            <v>0.87196642514672584</v>
          </cell>
          <cell r="BZ327">
            <v>0.90489366607677812</v>
          </cell>
          <cell r="CA327">
            <v>0.77126096944414468</v>
          </cell>
          <cell r="CB327">
            <v>0.79709667364210246</v>
          </cell>
          <cell r="CC327">
            <v>0.71441368787114301</v>
          </cell>
          <cell r="CD327">
            <v>0.71872112980017799</v>
          </cell>
          <cell r="CE327">
            <v>0.57620022623853662</v>
          </cell>
          <cell r="CF327">
            <v>0.62209667364210242</v>
          </cell>
          <cell r="CG327">
            <v>0.55713643710132166</v>
          </cell>
          <cell r="CH327">
            <v>0.56567979141487745</v>
          </cell>
          <cell r="CI327">
            <v>0.35120022623853675</v>
          </cell>
          <cell r="CJ327">
            <v>0.39709667364210233</v>
          </cell>
          <cell r="CK327">
            <v>0.33213643710132157</v>
          </cell>
          <cell r="CL327">
            <v>0.34067979141487748</v>
          </cell>
          <cell r="CM327">
            <v>0.1862002262385366</v>
          </cell>
          <cell r="CN327">
            <v>0.21623264215277693</v>
          </cell>
          <cell r="CO327">
            <v>0.15713643710132152</v>
          </cell>
          <cell r="CP327">
            <v>0.16567979141487743</v>
          </cell>
          <cell r="CQ327">
            <v>9.9999999999999978E-2</v>
          </cell>
          <cell r="CR327">
            <v>9.9999999999999978E-2</v>
          </cell>
          <cell r="CS327">
            <v>9.9999999999999978E-2</v>
          </cell>
          <cell r="CT327">
            <v>9.9999999999999978E-2</v>
          </cell>
          <cell r="CU327">
            <v>9.9999999999999978E-2</v>
          </cell>
          <cell r="CV327">
            <v>9.9999999999999978E-2</v>
          </cell>
          <cell r="CW327">
            <v>9.9999999999999978E-2</v>
          </cell>
          <cell r="CX327">
            <v>9.9999999999999978E-2</v>
          </cell>
          <cell r="CY327">
            <v>9.9999999999999978E-2</v>
          </cell>
          <cell r="CZ327">
            <v>9.9999999999999978E-2</v>
          </cell>
          <cell r="DA327">
            <v>9.9999999999999978E-2</v>
          </cell>
          <cell r="DB327">
            <v>9.9999999999999978E-2</v>
          </cell>
          <cell r="DC327"/>
          <cell r="DD327"/>
          <cell r="DE327"/>
          <cell r="DF327"/>
          <cell r="DG327"/>
          <cell r="DH327"/>
          <cell r="DI327"/>
          <cell r="DJ327"/>
          <cell r="DK327"/>
          <cell r="DL327"/>
          <cell r="DM327"/>
          <cell r="DN327"/>
          <cell r="DO327"/>
        </row>
        <row r="328">
          <cell r="A328" t="str">
            <v>(US$ in millions, unless otherwise stated)</v>
          </cell>
          <cell r="B328"/>
          <cell r="C328" t="str">
            <v>Fiscal 1998 by Quarter</v>
          </cell>
          <cell r="D328"/>
          <cell r="E328"/>
          <cell r="F328"/>
          <cell r="G328" t="str">
            <v>Fiscal 1999 by Quarter</v>
          </cell>
          <cell r="H328"/>
          <cell r="I328"/>
          <cell r="J328"/>
          <cell r="K328" t="str">
            <v>Fiscal 2000 by Quarter</v>
          </cell>
          <cell r="L328"/>
          <cell r="M328"/>
          <cell r="N328"/>
          <cell r="O328" t="str">
            <v>Fiscal 2001 by Quarter</v>
          </cell>
          <cell r="P328"/>
          <cell r="Q328"/>
          <cell r="R328"/>
          <cell r="S328" t="str">
            <v>Fiscal 2002 by Quarter</v>
          </cell>
          <cell r="T328"/>
          <cell r="U328"/>
          <cell r="V328"/>
          <cell r="W328" t="str">
            <v>Fiscal 2003 by Quarter</v>
          </cell>
          <cell r="X328"/>
          <cell r="Y328"/>
          <cell r="Z328"/>
          <cell r="AA328" t="str">
            <v>Fiscal 2004 by Quarter</v>
          </cell>
          <cell r="AB328"/>
          <cell r="AC328"/>
          <cell r="AD328"/>
          <cell r="AE328" t="str">
            <v>Fiscal 2005 by Quarter</v>
          </cell>
          <cell r="AF328"/>
          <cell r="AG328"/>
          <cell r="AH328"/>
          <cell r="AI328" t="str">
            <v>Fiscal 2006 by Quarter</v>
          </cell>
          <cell r="AJ328"/>
          <cell r="AK328"/>
          <cell r="AL328"/>
          <cell r="AM328" t="str">
            <v>Fiscal 2007 by Quarter</v>
          </cell>
          <cell r="AN328"/>
          <cell r="AO328"/>
          <cell r="AP328"/>
          <cell r="AQ328" t="str">
            <v>Fiscal 2008 by Quarter</v>
          </cell>
          <cell r="AR328"/>
          <cell r="AS328"/>
          <cell r="AT328"/>
          <cell r="AU328" t="str">
            <v>Fiscal 2009 by Quarter</v>
          </cell>
          <cell r="AV328"/>
          <cell r="AW328"/>
          <cell r="AX328"/>
          <cell r="AY328" t="str">
            <v>Fiscal 2010 by Quarter</v>
          </cell>
          <cell r="AZ328"/>
          <cell r="BA328"/>
          <cell r="BB328"/>
          <cell r="BC328" t="str">
            <v>Fiscal 2011 by Quarter</v>
          </cell>
          <cell r="BD328"/>
          <cell r="BE328"/>
          <cell r="BF328"/>
          <cell r="BG328" t="str">
            <v>Fiscal 2012 by Quarter</v>
          </cell>
          <cell r="BH328"/>
          <cell r="BI328"/>
          <cell r="BJ328"/>
          <cell r="BK328" t="str">
            <v>Fiscal 2013 by Quarter</v>
          </cell>
          <cell r="BL328"/>
          <cell r="BM328"/>
          <cell r="BN328"/>
          <cell r="BO328" t="str">
            <v>Fiscal 2014 by Quarter</v>
          </cell>
          <cell r="BP328"/>
          <cell r="BQ328"/>
          <cell r="BR328"/>
          <cell r="BS328" t="str">
            <v>Fiscal 2015 by Quarter</v>
          </cell>
          <cell r="BT328"/>
          <cell r="BU328"/>
          <cell r="BV328"/>
          <cell r="BW328" t="str">
            <v>Fiscal 2016 by Quarter</v>
          </cell>
          <cell r="BX328"/>
          <cell r="BY328"/>
          <cell r="BZ328"/>
          <cell r="CA328" t="str">
            <v>Fiscal 2017 by Quarter</v>
          </cell>
          <cell r="CB328"/>
          <cell r="CC328"/>
          <cell r="CD328"/>
          <cell r="CE328" t="str">
            <v>Fiscal 2018 by Quarter</v>
          </cell>
          <cell r="CF328"/>
          <cell r="CG328"/>
          <cell r="CH328"/>
          <cell r="CI328" t="str">
            <v>Fiscal 2019 by Quarter</v>
          </cell>
          <cell r="CJ328"/>
          <cell r="CK328"/>
          <cell r="CL328"/>
          <cell r="CM328" t="str">
            <v>Fiscal 2020 by Quarter</v>
          </cell>
          <cell r="CN328"/>
          <cell r="CO328"/>
          <cell r="CP328"/>
          <cell r="CQ328" t="str">
            <v>Fiscal 2021 by Quarter</v>
          </cell>
          <cell r="CR328"/>
          <cell r="CS328"/>
          <cell r="CT328"/>
          <cell r="CU328" t="str">
            <v>Fiscal 2022 by Quarter</v>
          </cell>
          <cell r="CV328"/>
          <cell r="CW328"/>
          <cell r="CX328"/>
          <cell r="CY328" t="str">
            <v>Fiscal 2023 by Quarter</v>
          </cell>
          <cell r="CZ328"/>
          <cell r="DA328"/>
          <cell r="DB328"/>
          <cell r="DC328"/>
          <cell r="DD328" t="str">
            <v xml:space="preserve"> Fiscal Year Ends December</v>
          </cell>
          <cell r="DE328"/>
          <cell r="DF328"/>
          <cell r="DG328"/>
          <cell r="DH328"/>
          <cell r="DI328"/>
          <cell r="DJ328"/>
          <cell r="DK328"/>
          <cell r="DL328"/>
          <cell r="DM328"/>
          <cell r="DN328"/>
          <cell r="DO328"/>
        </row>
        <row r="329">
          <cell r="A329"/>
          <cell r="B329"/>
          <cell r="C329">
            <v>35855</v>
          </cell>
          <cell r="D329">
            <v>35947</v>
          </cell>
          <cell r="E329">
            <v>36039</v>
          </cell>
          <cell r="F329">
            <v>36130</v>
          </cell>
          <cell r="G329">
            <v>36220</v>
          </cell>
          <cell r="H329">
            <v>36312</v>
          </cell>
          <cell r="I329">
            <v>36404</v>
          </cell>
          <cell r="J329">
            <v>36495</v>
          </cell>
          <cell r="K329">
            <v>36586</v>
          </cell>
          <cell r="L329">
            <v>36678</v>
          </cell>
          <cell r="M329">
            <v>36770</v>
          </cell>
          <cell r="N329">
            <v>36861</v>
          </cell>
          <cell r="O329">
            <v>36951</v>
          </cell>
          <cell r="P329">
            <v>37043</v>
          </cell>
          <cell r="Q329">
            <v>37135</v>
          </cell>
          <cell r="R329">
            <v>37226</v>
          </cell>
          <cell r="S329">
            <v>37317</v>
          </cell>
          <cell r="T329">
            <v>37409</v>
          </cell>
          <cell r="U329">
            <v>37501</v>
          </cell>
          <cell r="V329">
            <v>37592</v>
          </cell>
          <cell r="W329">
            <v>37683</v>
          </cell>
          <cell r="X329">
            <v>37775</v>
          </cell>
          <cell r="Y329">
            <v>37867</v>
          </cell>
          <cell r="Z329">
            <v>37958</v>
          </cell>
          <cell r="AA329">
            <v>38050</v>
          </cell>
          <cell r="AB329">
            <v>38142</v>
          </cell>
          <cell r="AC329">
            <v>38234</v>
          </cell>
          <cell r="AD329">
            <v>38325</v>
          </cell>
          <cell r="AE329">
            <v>38416</v>
          </cell>
          <cell r="AF329">
            <v>38508</v>
          </cell>
          <cell r="AG329">
            <v>38600</v>
          </cell>
          <cell r="AH329">
            <v>38691</v>
          </cell>
          <cell r="AI329">
            <v>38782</v>
          </cell>
          <cell r="AJ329">
            <v>38874</v>
          </cell>
          <cell r="AK329">
            <v>38966</v>
          </cell>
          <cell r="AL329">
            <v>39057</v>
          </cell>
          <cell r="AM329">
            <v>39148</v>
          </cell>
          <cell r="AN329">
            <v>39240</v>
          </cell>
          <cell r="AO329">
            <v>39332</v>
          </cell>
          <cell r="AP329">
            <v>39423</v>
          </cell>
          <cell r="AQ329">
            <v>39515</v>
          </cell>
          <cell r="AR329">
            <v>39607</v>
          </cell>
          <cell r="AS329">
            <v>39699</v>
          </cell>
          <cell r="AT329">
            <v>39790</v>
          </cell>
          <cell r="AU329">
            <v>39880</v>
          </cell>
          <cell r="AV329">
            <v>39972</v>
          </cell>
          <cell r="AW329">
            <v>40065</v>
          </cell>
          <cell r="AX329">
            <v>40155</v>
          </cell>
          <cell r="AY329">
            <v>40247</v>
          </cell>
          <cell r="AZ329">
            <v>40339</v>
          </cell>
          <cell r="BA329">
            <v>40431</v>
          </cell>
          <cell r="BB329">
            <v>40522</v>
          </cell>
          <cell r="BC329">
            <v>40613</v>
          </cell>
          <cell r="BD329">
            <v>40705</v>
          </cell>
          <cell r="BE329">
            <v>40797</v>
          </cell>
          <cell r="BF329">
            <v>40888</v>
          </cell>
          <cell r="BG329">
            <v>40979</v>
          </cell>
          <cell r="BH329">
            <v>41071</v>
          </cell>
          <cell r="BI329">
            <v>41163</v>
          </cell>
          <cell r="BJ329">
            <v>41254</v>
          </cell>
          <cell r="BK329">
            <v>41344</v>
          </cell>
          <cell r="BL329">
            <v>41436</v>
          </cell>
          <cell r="BM329">
            <v>41530</v>
          </cell>
          <cell r="BN329">
            <v>41621</v>
          </cell>
          <cell r="BO329">
            <v>41712</v>
          </cell>
          <cell r="BP329">
            <v>41804</v>
          </cell>
          <cell r="BQ329">
            <v>41896</v>
          </cell>
          <cell r="BR329">
            <v>41987</v>
          </cell>
          <cell r="BS329">
            <v>42078</v>
          </cell>
          <cell r="BT329">
            <v>42170</v>
          </cell>
          <cell r="BU329">
            <v>42262</v>
          </cell>
          <cell r="BV329">
            <v>42353</v>
          </cell>
          <cell r="BW329">
            <v>42445</v>
          </cell>
          <cell r="BX329">
            <v>42537</v>
          </cell>
          <cell r="BY329">
            <v>42629</v>
          </cell>
          <cell r="BZ329">
            <v>42720</v>
          </cell>
          <cell r="CA329">
            <v>42811</v>
          </cell>
          <cell r="CB329">
            <v>42903</v>
          </cell>
          <cell r="CC329">
            <v>42995</v>
          </cell>
          <cell r="CD329">
            <v>43086</v>
          </cell>
          <cell r="CE329">
            <v>43177</v>
          </cell>
          <cell r="CF329">
            <v>43269</v>
          </cell>
          <cell r="CG329">
            <v>43361</v>
          </cell>
          <cell r="CH329">
            <v>43451</v>
          </cell>
          <cell r="CI329" t="str">
            <v>Mar-19E</v>
          </cell>
          <cell r="CJ329" t="str">
            <v>Jun-19E</v>
          </cell>
          <cell r="CK329" t="str">
            <v>Sep-19E</v>
          </cell>
          <cell r="CL329" t="str">
            <v>Dec-19E</v>
          </cell>
          <cell r="CM329" t="str">
            <v>Mar-20E</v>
          </cell>
          <cell r="CN329" t="str">
            <v>Jun-20E</v>
          </cell>
          <cell r="CO329" t="str">
            <v>Sep-20E</v>
          </cell>
          <cell r="CP329" t="str">
            <v>Dec-20E</v>
          </cell>
          <cell r="CQ329" t="str">
            <v>Mar-21E</v>
          </cell>
          <cell r="CR329" t="str">
            <v>Jun-21E</v>
          </cell>
          <cell r="CS329" t="str">
            <v>Sep-21E</v>
          </cell>
          <cell r="CT329" t="str">
            <v>Dec-21E</v>
          </cell>
          <cell r="CU329" t="str">
            <v>Mar-22E</v>
          </cell>
          <cell r="CV329" t="str">
            <v>Jun-22E</v>
          </cell>
          <cell r="CW329" t="str">
            <v>Sep-22E</v>
          </cell>
          <cell r="CX329" t="str">
            <v>Dec-22E</v>
          </cell>
          <cell r="CY329" t="str">
            <v>Mar-23E</v>
          </cell>
          <cell r="CZ329" t="str">
            <v>Jun-23E</v>
          </cell>
          <cell r="DA329" t="str">
            <v>Sep-23E</v>
          </cell>
          <cell r="DB329" t="str">
            <v>Dec-23E</v>
          </cell>
          <cell r="DC329"/>
          <cell r="DD329">
            <v>1998</v>
          </cell>
          <cell r="DE329">
            <v>1999</v>
          </cell>
          <cell r="DF329">
            <v>2000</v>
          </cell>
          <cell r="DG329">
            <v>2001</v>
          </cell>
          <cell r="DH329">
            <v>2002</v>
          </cell>
          <cell r="DI329">
            <v>2003</v>
          </cell>
          <cell r="DJ329">
            <v>2004</v>
          </cell>
          <cell r="DK329">
            <v>2005</v>
          </cell>
          <cell r="DL329">
            <v>2006</v>
          </cell>
          <cell r="DM329">
            <v>2007</v>
          </cell>
          <cell r="DN329">
            <v>2008</v>
          </cell>
          <cell r="DO329">
            <v>2009</v>
          </cell>
        </row>
        <row r="330">
          <cell r="A330" t="str">
            <v>Product bookings</v>
          </cell>
          <cell r="B330"/>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0.293292</v>
          </cell>
          <cell r="AF330">
            <v>2.1471542499999998</v>
          </cell>
          <cell r="AG330">
            <v>8.0079071093749992</v>
          </cell>
          <cell r="AH330">
            <v>15.088201915039063</v>
          </cell>
          <cell r="AI330">
            <v>16.597390295349122</v>
          </cell>
          <cell r="AJ330">
            <v>20.844607508430482</v>
          </cell>
          <cell r="AK330">
            <v>23.875876999999999</v>
          </cell>
          <cell r="AL330">
            <v>25.831512999999998</v>
          </cell>
          <cell r="AM330">
            <v>23.956699999999966</v>
          </cell>
          <cell r="AN330">
            <v>20.848391920000001</v>
          </cell>
          <cell r="AO330">
            <v>35.054000000000002</v>
          </cell>
          <cell r="AP330">
            <v>39.216365000000017</v>
          </cell>
          <cell r="AQ330">
            <v>28.224984000000024</v>
          </cell>
          <cell r="AR330">
            <v>39.911242603550292</v>
          </cell>
          <cell r="AS330">
            <v>39.023012695957554</v>
          </cell>
          <cell r="AT330">
            <v>44.824949759999996</v>
          </cell>
          <cell r="AU330">
            <v>30.607407407407404</v>
          </cell>
          <cell r="AV330">
            <v>41.507692307692302</v>
          </cell>
          <cell r="AW330">
            <v>36.85</v>
          </cell>
          <cell r="AX330">
            <v>46.033333333333367</v>
          </cell>
          <cell r="AY330">
            <v>37.407407407407405</v>
          </cell>
          <cell r="AZ330">
            <v>47.307692307692299</v>
          </cell>
          <cell r="BA330">
            <v>56.25</v>
          </cell>
          <cell r="BB330">
            <v>55.333333333333364</v>
          </cell>
          <cell r="BC330">
            <v>47.507407407407406</v>
          </cell>
          <cell r="BD330">
            <v>59.607692307692297</v>
          </cell>
          <cell r="BE330">
            <v>74.25</v>
          </cell>
          <cell r="BF330">
            <v>63.633333333333368</v>
          </cell>
          <cell r="BG330">
            <v>58.007407407407406</v>
          </cell>
          <cell r="BH330">
            <v>68.707692307692298</v>
          </cell>
          <cell r="BI330">
            <v>78.650000000000006</v>
          </cell>
          <cell r="BJ330">
            <v>99.633333333333368</v>
          </cell>
          <cell r="BK330">
            <v>87.007407407407413</v>
          </cell>
          <cell r="BL330">
            <v>105.80769230769229</v>
          </cell>
          <cell r="BM330">
            <v>89.15</v>
          </cell>
          <cell r="BN330">
            <v>115.03333333333337</v>
          </cell>
          <cell r="BO330">
            <v>198.80607895409184</v>
          </cell>
          <cell r="BP330">
            <v>126.88375154614191</v>
          </cell>
          <cell r="BQ330">
            <v>107.9866120196244</v>
          </cell>
          <cell r="BR330">
            <v>135.73930247911275</v>
          </cell>
          <cell r="BS330">
            <v>184.55253786253186</v>
          </cell>
          <cell r="BT330">
            <v>199.47639923418936</v>
          </cell>
          <cell r="BU330">
            <v>215.45493932671542</v>
          </cell>
          <cell r="BV330">
            <v>295.47384682769285</v>
          </cell>
          <cell r="BW330">
            <v>176.29399623176937</v>
          </cell>
          <cell r="BX330">
            <v>186.19453269837214</v>
          </cell>
          <cell r="BY330">
            <v>180.80788644295765</v>
          </cell>
          <cell r="BZ330">
            <v>221.51191784983712</v>
          </cell>
          <cell r="CA330">
            <v>170.47003695844725</v>
          </cell>
          <cell r="CB330">
            <v>186.92461589651899</v>
          </cell>
          <cell r="CC330">
            <v>167.48339435352321</v>
          </cell>
          <cell r="CD330">
            <v>273.28438062202588</v>
          </cell>
          <cell r="CE330">
            <v>208.03391470578677</v>
          </cell>
          <cell r="CF330">
            <v>283.70472526306622</v>
          </cell>
          <cell r="CG330">
            <v>281.4900663263528</v>
          </cell>
          <cell r="CH330">
            <v>409.5425421686495</v>
          </cell>
          <cell r="CI330">
            <v>201.46020034242392</v>
          </cell>
          <cell r="CJ330">
            <v>283.94923911578127</v>
          </cell>
          <cell r="CK330">
            <v>255.64113422983485</v>
          </cell>
          <cell r="CL330">
            <v>479.14361695562064</v>
          </cell>
          <cell r="CM330">
            <v>243.43090712294725</v>
          </cell>
          <cell r="CN330">
            <v>332.09979365862176</v>
          </cell>
          <cell r="CO330">
            <v>295.33171518417964</v>
          </cell>
          <cell r="CP330">
            <v>555.06188785847223</v>
          </cell>
          <cell r="CQ330">
            <v>290.19639954237397</v>
          </cell>
          <cell r="CR330">
            <v>385.69823907686111</v>
          </cell>
          <cell r="CS330">
            <v>340.83643245868041</v>
          </cell>
          <cell r="CT330">
            <v>639.47958920110921</v>
          </cell>
          <cell r="CU330">
            <v>335.21777091983142</v>
          </cell>
          <cell r="CV330">
            <v>435.74234671644774</v>
          </cell>
          <cell r="CW330">
            <v>383.46157262427027</v>
          </cell>
          <cell r="CX330">
            <v>712.55115093236657</v>
          </cell>
          <cell r="CY330">
            <v>368.87464472550266</v>
          </cell>
          <cell r="CZ330">
            <v>471.89821354990039</v>
          </cell>
          <cell r="DA330">
            <v>414.87362326232386</v>
          </cell>
          <cell r="DB330">
            <v>758.65787254348197</v>
          </cell>
          <cell r="DC330"/>
          <cell r="DD330"/>
          <cell r="DE330">
            <v>0</v>
          </cell>
          <cell r="DF330">
            <v>0</v>
          </cell>
          <cell r="DG330">
            <v>0</v>
          </cell>
          <cell r="DH330">
            <v>0</v>
          </cell>
          <cell r="DI330">
            <v>0</v>
          </cell>
          <cell r="DJ330">
            <v>0</v>
          </cell>
          <cell r="DK330">
            <v>25.536555274414063</v>
          </cell>
          <cell r="DL330">
            <v>87.149387803779604</v>
          </cell>
          <cell r="DM330">
            <v>119.07545691999999</v>
          </cell>
          <cell r="DN330">
            <v>151.98418905950786</v>
          </cell>
          <cell r="DO330">
            <v>154.99843304843307</v>
          </cell>
        </row>
        <row r="331">
          <cell r="A331" t="str">
            <v>% growth y-o-y</v>
          </cell>
          <cell r="B331"/>
          <cell r="C331" t="str">
            <v>NA</v>
          </cell>
          <cell r="D331" t="str">
            <v>NA</v>
          </cell>
          <cell r="E331" t="str">
            <v>NA</v>
          </cell>
          <cell r="F331" t="str">
            <v>NA</v>
          </cell>
          <cell r="G331" t="str">
            <v>NA</v>
          </cell>
          <cell r="H331" t="str">
            <v>NA</v>
          </cell>
          <cell r="I331" t="str">
            <v>NA</v>
          </cell>
          <cell r="J331" t="str">
            <v>NA</v>
          </cell>
          <cell r="K331" t="str">
            <v>NA</v>
          </cell>
          <cell r="L331" t="str">
            <v>NA</v>
          </cell>
          <cell r="M331" t="str">
            <v>NA</v>
          </cell>
          <cell r="N331" t="str">
            <v>NA</v>
          </cell>
          <cell r="O331" t="str">
            <v>NA</v>
          </cell>
          <cell r="P331" t="str">
            <v>NA</v>
          </cell>
          <cell r="Q331" t="str">
            <v>NA</v>
          </cell>
          <cell r="R331" t="str">
            <v>NA</v>
          </cell>
          <cell r="S331" t="str">
            <v>NA</v>
          </cell>
          <cell r="T331" t="str">
            <v>NA</v>
          </cell>
          <cell r="U331" t="str">
            <v>NA</v>
          </cell>
          <cell r="V331" t="str">
            <v>NA</v>
          </cell>
          <cell r="W331" t="str">
            <v>NA</v>
          </cell>
          <cell r="X331" t="str">
            <v>NA</v>
          </cell>
          <cell r="Y331" t="str">
            <v>NA</v>
          </cell>
          <cell r="Z331" t="str">
            <v>NA</v>
          </cell>
          <cell r="AA331" t="str">
            <v>NA</v>
          </cell>
          <cell r="AB331" t="str">
            <v>NA</v>
          </cell>
          <cell r="AC331" t="str">
            <v>NA</v>
          </cell>
          <cell r="AD331" t="str">
            <v>NA</v>
          </cell>
          <cell r="AE331" t="str">
            <v>NA</v>
          </cell>
          <cell r="AF331" t="str">
            <v>NA</v>
          </cell>
          <cell r="AG331" t="str">
            <v>NA</v>
          </cell>
          <cell r="AH331" t="str">
            <v>NA</v>
          </cell>
          <cell r="AI331">
            <v>55.589986414048532</v>
          </cell>
          <cell r="AJ331">
            <v>8.708015857934047</v>
          </cell>
          <cell r="AK331">
            <v>1.9815377069057263</v>
          </cell>
          <cell r="AL331">
            <v>0.71203388882624985</v>
          </cell>
          <cell r="AM331">
            <v>0.44340161758520868</v>
          </cell>
          <cell r="AN331">
            <v>1.8155350576831708E-4</v>
          </cell>
          <cell r="AO331">
            <v>0.46817643599018388</v>
          </cell>
          <cell r="AP331">
            <v>0.51815981510645637</v>
          </cell>
          <cell r="AQ331">
            <v>0.17816660892360225</v>
          </cell>
          <cell r="AR331">
            <v>0.91435592522909026</v>
          </cell>
          <cell r="AS331">
            <v>0.11322567170529907</v>
          </cell>
          <cell r="AT331">
            <v>0.14301643612303128</v>
          </cell>
          <cell r="AU331">
            <v>8.4408317376101216E-2</v>
          </cell>
          <cell r="AV331">
            <v>4.0000000000000036E-2</v>
          </cell>
          <cell r="AW331">
            <v>-5.5685416010503364E-2</v>
          </cell>
          <cell r="AX331">
            <v>2.6957834415950233E-2</v>
          </cell>
          <cell r="AY331">
            <v>0.2221684414327203</v>
          </cell>
          <cell r="AZ331">
            <v>0.1397331356560414</v>
          </cell>
          <cell r="BA331">
            <v>0.52645861601085486</v>
          </cell>
          <cell r="BB331">
            <v>0.20202751629254134</v>
          </cell>
          <cell r="BC331">
            <v>0.27</v>
          </cell>
          <cell r="BD331">
            <v>0.26</v>
          </cell>
          <cell r="BE331">
            <v>0.32000000000000006</v>
          </cell>
          <cell r="BF331">
            <v>0.14999999999999991</v>
          </cell>
          <cell r="BG331">
            <v>0.22101816480860692</v>
          </cell>
          <cell r="BH331">
            <v>0.15266485998193313</v>
          </cell>
          <cell r="BI331">
            <v>5.9259259259259345E-2</v>
          </cell>
          <cell r="BJ331">
            <v>0.56574122577265551</v>
          </cell>
          <cell r="BK331">
            <v>0.49993615119397283</v>
          </cell>
          <cell r="BL331">
            <v>0.53996865203761746</v>
          </cell>
          <cell r="BM331">
            <v>0.13350286077558793</v>
          </cell>
          <cell r="BN331">
            <v>0.15456674473067911</v>
          </cell>
          <cell r="BO331">
            <v>1.2849327991488506</v>
          </cell>
          <cell r="BP331">
            <v>0.19919212657204288</v>
          </cell>
          <cell r="BQ331">
            <v>0.21129121727004363</v>
          </cell>
          <cell r="BR331">
            <v>0.17999973178017425</v>
          </cell>
          <cell r="BS331">
            <v>-7.1695700486358871E-2</v>
          </cell>
          <cell r="BT331">
            <v>0.57211933603372978</v>
          </cell>
          <cell r="BU331">
            <v>0.99520047251376687</v>
          </cell>
          <cell r="BV331">
            <v>1.1767744598006882</v>
          </cell>
          <cell r="BW331">
            <v>-4.4749000617450463E-2</v>
          </cell>
          <cell r="BX331">
            <v>-6.658364892692914E-2</v>
          </cell>
          <cell r="BY331">
            <v>-0.16080881223715671</v>
          </cell>
          <cell r="BZ331">
            <v>-0.25031633009803078</v>
          </cell>
          <cell r="CA331">
            <v>-3.3035494105343788E-2</v>
          </cell>
          <cell r="CB331">
            <v>3.9210775287883415E-3</v>
          </cell>
          <cell r="CC331">
            <v>-7.3694197479810319E-2</v>
          </cell>
          <cell r="CD331">
            <v>0.23372314805781835</v>
          </cell>
          <cell r="CE331">
            <v>0.22035472284490587</v>
          </cell>
          <cell r="CF331">
            <v>0.51774940877837339</v>
          </cell>
          <cell r="CG331">
            <v>0.68070433139290709</v>
          </cell>
          <cell r="CH331">
            <v>0.49859476504469358</v>
          </cell>
          <cell r="CI331">
            <v>-3.1599243674569899E-2</v>
          </cell>
          <cell r="CJ331">
            <v>8.618603461338914E-4</v>
          </cell>
          <cell r="CK331">
            <v>-9.1828931776758771E-2</v>
          </cell>
          <cell r="CL331">
            <v>0.16994833898918715</v>
          </cell>
          <cell r="CM331">
            <v>0.20833249797818776</v>
          </cell>
          <cell r="CN331">
            <v>0.16957451512383503</v>
          </cell>
          <cell r="CO331">
            <v>0.15525897690103685</v>
          </cell>
          <cell r="CP331">
            <v>0.15844575241390157</v>
          </cell>
          <cell r="CQ331">
            <v>0.19210992134128357</v>
          </cell>
          <cell r="CR331">
            <v>0.16139258873895979</v>
          </cell>
          <cell r="CS331">
            <v>0.15408002234410323</v>
          </cell>
          <cell r="CT331">
            <v>0.15208700721343971</v>
          </cell>
          <cell r="CU331">
            <v>0.15514104051068189</v>
          </cell>
          <cell r="CV331">
            <v>0.12974938065406616</v>
          </cell>
          <cell r="CW331">
            <v>0.12506039879042952</v>
          </cell>
          <cell r="CX331">
            <v>0.11426723067509381</v>
          </cell>
          <cell r="CY331">
            <v>0.10040301178937328</v>
          </cell>
          <cell r="CZ331">
            <v>8.2975334176047966E-2</v>
          </cell>
          <cell r="DA331">
            <v>8.1917075609639456E-2</v>
          </cell>
          <cell r="DB331">
            <v>6.470654289279465E-2</v>
          </cell>
          <cell r="DC331"/>
          <cell r="DD331" t="str">
            <v>NA</v>
          </cell>
          <cell r="DE331" t="str">
            <v>NA</v>
          </cell>
          <cell r="DF331" t="str">
            <v>NA</v>
          </cell>
          <cell r="DG331" t="str">
            <v>NA</v>
          </cell>
          <cell r="DH331" t="str">
            <v>NA</v>
          </cell>
          <cell r="DI331" t="str">
            <v>NA</v>
          </cell>
          <cell r="DJ331" t="str">
            <v>NA</v>
          </cell>
          <cell r="DK331" t="str">
            <v>NA</v>
          </cell>
          <cell r="DL331">
            <v>2.4127307644777569</v>
          </cell>
          <cell r="DM331">
            <v>0.36633727351135548</v>
          </cell>
          <cell r="DN331">
            <v>0.27636872442670835</v>
          </cell>
          <cell r="DO331">
            <v>1.9832615534402853E-2</v>
          </cell>
        </row>
        <row r="332">
          <cell r="A332" t="str">
            <v>% growth seq</v>
          </cell>
          <cell r="B332"/>
          <cell r="C332" t="str">
            <v>NA</v>
          </cell>
          <cell r="D332" t="str">
            <v>NA</v>
          </cell>
          <cell r="E332" t="str">
            <v>NA</v>
          </cell>
          <cell r="F332" t="str">
            <v>NA</v>
          </cell>
          <cell r="G332" t="str">
            <v>NA</v>
          </cell>
          <cell r="H332" t="str">
            <v>NA</v>
          </cell>
          <cell r="I332" t="str">
            <v>NA</v>
          </cell>
          <cell r="J332" t="str">
            <v>NA</v>
          </cell>
          <cell r="K332" t="str">
            <v>NA</v>
          </cell>
          <cell r="L332" t="str">
            <v>NA</v>
          </cell>
          <cell r="M332" t="str">
            <v>NA</v>
          </cell>
          <cell r="N332" t="str">
            <v>NA</v>
          </cell>
          <cell r="O332" t="str">
            <v>NA</v>
          </cell>
          <cell r="P332" t="str">
            <v>NA</v>
          </cell>
          <cell r="Q332" t="str">
            <v>NA</v>
          </cell>
          <cell r="R332" t="str">
            <v>NA</v>
          </cell>
          <cell r="S332" t="str">
            <v>NA</v>
          </cell>
          <cell r="T332" t="str">
            <v>NA</v>
          </cell>
          <cell r="U332" t="str">
            <v>NA</v>
          </cell>
          <cell r="V332" t="str">
            <v>NA</v>
          </cell>
          <cell r="W332" t="str">
            <v>NA</v>
          </cell>
          <cell r="X332" t="str">
            <v>NA</v>
          </cell>
          <cell r="Y332" t="str">
            <v>NA</v>
          </cell>
          <cell r="Z332" t="str">
            <v>NA</v>
          </cell>
          <cell r="AA332" t="str">
            <v>NA</v>
          </cell>
          <cell r="AB332" t="str">
            <v>NA</v>
          </cell>
          <cell r="AC332" t="str">
            <v>NA</v>
          </cell>
          <cell r="AD332" t="str">
            <v>NA</v>
          </cell>
          <cell r="AE332" t="str">
            <v>NA</v>
          </cell>
          <cell r="AF332">
            <v>6.3208756120180567</v>
          </cell>
          <cell r="AG332">
            <v>2.7295444001636118</v>
          </cell>
          <cell r="AH332">
            <v>0.88416295406012346</v>
          </cell>
          <cell r="AI332">
            <v>0.10002440243100041</v>
          </cell>
          <cell r="AJ332">
            <v>0.25589668842525826</v>
          </cell>
          <cell r="AK332">
            <v>0.14542223883772043</v>
          </cell>
          <cell r="AL332">
            <v>8.1908446755694087E-2</v>
          </cell>
          <cell r="AM332">
            <v>-7.2578520661953916E-2</v>
          </cell>
          <cell r="AN332">
            <v>-0.12974692173796765</v>
          </cell>
          <cell r="AO332">
            <v>0.6813766804898016</v>
          </cell>
          <cell r="AP332">
            <v>0.11874151309408387</v>
          </cell>
          <cell r="AQ332">
            <v>-0.28027536463412628</v>
          </cell>
          <cell r="AR332">
            <v>0.41403951207023737</v>
          </cell>
          <cell r="AS332">
            <v>-2.2255130375563037E-2</v>
          </cell>
          <cell r="AT332">
            <v>0.14867988561640377</v>
          </cell>
          <cell r="AU332">
            <v>-0.31717921444899777</v>
          </cell>
          <cell r="AV332">
            <v>0.3561322510983691</v>
          </cell>
          <cell r="AW332">
            <v>-0.11221275018532229</v>
          </cell>
          <cell r="AX332">
            <v>0.2492085029398472</v>
          </cell>
          <cell r="AY332">
            <v>-0.1873843430686305</v>
          </cell>
          <cell r="AZ332">
            <v>0.26466108149276457</v>
          </cell>
          <cell r="BA332">
            <v>0.18902439024390261</v>
          </cell>
          <cell r="BB332">
            <v>-1.6296296296295698E-2</v>
          </cell>
          <cell r="BC332">
            <v>-0.14143239625167381</v>
          </cell>
          <cell r="BD332">
            <v>0.25470312022116781</v>
          </cell>
          <cell r="BE332">
            <v>0.2456445993031362</v>
          </cell>
          <cell r="BF332">
            <v>-0.14298540965207585</v>
          </cell>
          <cell r="BG332">
            <v>-8.8411617484431049E-2</v>
          </cell>
          <cell r="BH332">
            <v>0.18446411205956581</v>
          </cell>
          <cell r="BI332">
            <v>0.14470443349753714</v>
          </cell>
          <cell r="BJ332">
            <v>0.26679381224835796</v>
          </cell>
          <cell r="BK332">
            <v>-0.1267239136091598</v>
          </cell>
          <cell r="BL332">
            <v>0.2160768313926833</v>
          </cell>
          <cell r="BM332">
            <v>-0.15743366048709539</v>
          </cell>
          <cell r="BN332">
            <v>0.29033464198915726</v>
          </cell>
          <cell r="BO332">
            <v>0.72824757131925622</v>
          </cell>
          <cell r="BP332">
            <v>-0.3617712686972625</v>
          </cell>
          <cell r="BQ332">
            <v>-0.14893269860203862</v>
          </cell>
          <cell r="BR332">
            <v>0.25700121469173287</v>
          </cell>
          <cell r="BS332">
            <v>0.35961018284244073</v>
          </cell>
          <cell r="BT332">
            <v>8.0865110523562045E-2</v>
          </cell>
          <cell r="BU332">
            <v>8.0102408875783571E-2</v>
          </cell>
          <cell r="BV332">
            <v>0.37139509426440642</v>
          </cell>
          <cell r="BW332">
            <v>-0.40335160582054441</v>
          </cell>
          <cell r="BX332">
            <v>5.6159237853947053E-2</v>
          </cell>
          <cell r="BY332">
            <v>-2.8930206367233424E-2</v>
          </cell>
          <cell r="BZ332">
            <v>0.22512309726999113</v>
          </cell>
          <cell r="CA332">
            <v>-0.23042498745368245</v>
          </cell>
          <cell r="CB332">
            <v>9.6524757263252159E-2</v>
          </cell>
          <cell r="CC332">
            <v>-0.10400567870503685</v>
          </cell>
          <cell r="CD332">
            <v>0.63171030582995247</v>
          </cell>
          <cell r="CE332">
            <v>-0.23876397826952911</v>
          </cell>
          <cell r="CF332">
            <v>0.36374266505678832</v>
          </cell>
          <cell r="CG332">
            <v>-7.8062109633876275E-3</v>
          </cell>
          <cell r="CH332">
            <v>0.45490939525317287</v>
          </cell>
          <cell r="CI332">
            <v>-0.50808480292271407</v>
          </cell>
          <cell r="CJ332">
            <v>0.40945575668618361</v>
          </cell>
          <cell r="CK332">
            <v>-9.9694244556167599E-2</v>
          </cell>
          <cell r="CL332">
            <v>0.87428215885181171</v>
          </cell>
          <cell r="CM332">
            <v>-0.49194584147931086</v>
          </cell>
          <cell r="CN332">
            <v>0.36424662580290756</v>
          </cell>
          <cell r="CO332">
            <v>-0.11071394555648972</v>
          </cell>
          <cell r="CP332">
            <v>0.87945235584439474</v>
          </cell>
          <cell r="CQ332">
            <v>-0.47718190369365221</v>
          </cell>
          <cell r="CR332">
            <v>0.32909381262169024</v>
          </cell>
          <cell r="CS332">
            <v>-0.11631322643721154</v>
          </cell>
          <cell r="CT332">
            <v>0.87620667364728777</v>
          </cell>
          <cell r="CU332">
            <v>-0.47579598069953544</v>
          </cell>
          <cell r="CV332">
            <v>0.29987842088675287</v>
          </cell>
          <cell r="CW332">
            <v>-0.11998093480273642</v>
          </cell>
          <cell r="CX332">
            <v>0.8582074497215666</v>
          </cell>
          <cell r="CY332">
            <v>-0.48231836515479121</v>
          </cell>
          <cell r="CZ332">
            <v>0.27929154334004846</v>
          </cell>
          <cell r="DA332">
            <v>-0.12084086917516279</v>
          </cell>
          <cell r="DB332">
            <v>0.82864812319915537</v>
          </cell>
          <cell r="DC332"/>
          <cell r="DD332"/>
          <cell r="DE332"/>
          <cell r="DF332"/>
          <cell r="DG332"/>
          <cell r="DH332"/>
          <cell r="DI332"/>
          <cell r="DJ332"/>
          <cell r="DK332"/>
          <cell r="DL332"/>
          <cell r="DM332"/>
          <cell r="DN332"/>
          <cell r="DO332"/>
        </row>
        <row r="333">
          <cell r="A333"/>
          <cell r="B333"/>
          <cell r="C333"/>
          <cell r="D333"/>
          <cell r="E333"/>
          <cell r="F333"/>
          <cell r="G333"/>
          <cell r="H333"/>
          <cell r="I333"/>
          <cell r="J333"/>
          <cell r="K333"/>
          <cell r="L333"/>
          <cell r="M333"/>
          <cell r="N333"/>
          <cell r="O333"/>
          <cell r="P333"/>
          <cell r="Q333"/>
          <cell r="R333"/>
          <cell r="S333"/>
          <cell r="T333"/>
          <cell r="U333"/>
          <cell r="V333"/>
          <cell r="W333"/>
          <cell r="X333"/>
          <cell r="Y333"/>
          <cell r="Z333"/>
          <cell r="AA333"/>
          <cell r="AB333"/>
          <cell r="AC333"/>
          <cell r="AD333"/>
          <cell r="AE333"/>
          <cell r="AF333"/>
          <cell r="AG333"/>
          <cell r="AH333"/>
          <cell r="AI333"/>
          <cell r="AJ333"/>
          <cell r="AK333"/>
          <cell r="AL333"/>
          <cell r="AM333"/>
          <cell r="AN333"/>
          <cell r="AO333"/>
          <cell r="AP333"/>
          <cell r="AQ333"/>
          <cell r="AR333"/>
          <cell r="AS333"/>
          <cell r="AT333"/>
          <cell r="AU333"/>
          <cell r="AV333"/>
          <cell r="AW333"/>
          <cell r="AX333"/>
          <cell r="AY333"/>
          <cell r="AZ333"/>
          <cell r="BA333"/>
          <cell r="BB333"/>
          <cell r="BC333"/>
          <cell r="BD333"/>
          <cell r="BE333"/>
          <cell r="BF333"/>
          <cell r="BG333"/>
          <cell r="BH333"/>
          <cell r="BI333"/>
          <cell r="BJ333"/>
          <cell r="BK333"/>
          <cell r="BL333"/>
          <cell r="BM333"/>
          <cell r="BN333"/>
          <cell r="BO333"/>
          <cell r="BP333"/>
          <cell r="BQ333"/>
          <cell r="BR333"/>
          <cell r="BS333"/>
          <cell r="BT333"/>
          <cell r="BU333"/>
          <cell r="BV333"/>
          <cell r="BW333"/>
          <cell r="BX333"/>
          <cell r="BY333"/>
          <cell r="BZ333"/>
          <cell r="CA333"/>
          <cell r="CB333"/>
          <cell r="CC333"/>
          <cell r="CD333"/>
          <cell r="CE333"/>
          <cell r="CF333"/>
          <cell r="CG333"/>
          <cell r="CH333"/>
          <cell r="CI333"/>
          <cell r="CJ333"/>
          <cell r="CK333"/>
          <cell r="CL333"/>
          <cell r="CM333"/>
          <cell r="CN333"/>
          <cell r="CO333"/>
          <cell r="CP333"/>
          <cell r="CQ333"/>
          <cell r="CR333"/>
          <cell r="CS333"/>
          <cell r="CT333"/>
          <cell r="CU333"/>
          <cell r="CV333"/>
          <cell r="CW333"/>
          <cell r="CX333"/>
          <cell r="CY333"/>
          <cell r="CZ333"/>
          <cell r="DA333"/>
          <cell r="DB333"/>
          <cell r="DC333"/>
          <cell r="DD333"/>
          <cell r="DE333"/>
          <cell r="DF333"/>
          <cell r="DG333"/>
          <cell r="DH333"/>
          <cell r="DI333"/>
          <cell r="DJ333"/>
          <cell r="DK333"/>
          <cell r="DL333"/>
          <cell r="DM333"/>
          <cell r="DN333"/>
          <cell r="DO333"/>
        </row>
        <row r="334">
          <cell r="A334" t="str">
            <v>Subscriptions bookings</v>
          </cell>
          <cell r="B334"/>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91.998671546684449</v>
          </cell>
          <cell r="BP334">
            <v>6.8760592384496153</v>
          </cell>
          <cell r="BQ334">
            <v>15.136612019624387</v>
          </cell>
          <cell r="BR334">
            <v>10.20596914577939</v>
          </cell>
          <cell r="BS334">
            <v>14.741984257027296</v>
          </cell>
          <cell r="BT334">
            <v>8.9785875832459663</v>
          </cell>
          <cell r="BU334">
            <v>24.008847306307267</v>
          </cell>
          <cell r="BV334">
            <v>31.705169997335744</v>
          </cell>
          <cell r="BW334">
            <v>19.700180710786306</v>
          </cell>
          <cell r="BX334">
            <v>14.412362339897616</v>
          </cell>
          <cell r="BY334">
            <v>25.003132479522904</v>
          </cell>
          <cell r="BZ334">
            <v>18.445572726679117</v>
          </cell>
          <cell r="CA334">
            <v>34.108136582574673</v>
          </cell>
          <cell r="CB334">
            <v>33.236899483673618</v>
          </cell>
          <cell r="CC334">
            <v>39.467727483702596</v>
          </cell>
          <cell r="CD334">
            <v>78.086139008258726</v>
          </cell>
          <cell r="CE334">
            <v>55.765779574076134</v>
          </cell>
          <cell r="CF334">
            <v>101.2710891485436</v>
          </cell>
          <cell r="CG334">
            <v>124.54117708742595</v>
          </cell>
          <cell r="CH334">
            <v>210.73271617395704</v>
          </cell>
          <cell r="CI334">
            <v>117.31948688038014</v>
          </cell>
          <cell r="CJ334">
            <v>156.55222049087405</v>
          </cell>
          <cell r="CK334">
            <v>153.81471311362887</v>
          </cell>
          <cell r="CL334">
            <v>310.87097820571898</v>
          </cell>
          <cell r="CM334">
            <v>168.50404408219515</v>
          </cell>
          <cell r="CN334">
            <v>215.25317918825704</v>
          </cell>
          <cell r="CO334">
            <v>202.3405430151067</v>
          </cell>
          <cell r="CP334">
            <v>413.35039051514536</v>
          </cell>
          <cell r="CQ334">
            <v>225.62767874877977</v>
          </cell>
          <cell r="CR334">
            <v>280.97863843040398</v>
          </cell>
          <cell r="CS334">
            <v>257.93924306805309</v>
          </cell>
          <cell r="CT334">
            <v>527.56859500558505</v>
          </cell>
          <cell r="CU334">
            <v>272.49145108161036</v>
          </cell>
          <cell r="CV334">
            <v>332.44462201029478</v>
          </cell>
          <cell r="CW334">
            <v>301.78708647658755</v>
          </cell>
          <cell r="CX334">
            <v>608.17108756085884</v>
          </cell>
          <cell r="CY334">
            <v>303.32438344324805</v>
          </cell>
          <cell r="CZ334">
            <v>364.1951251767282</v>
          </cell>
          <cell r="DA334">
            <v>329.58938126327564</v>
          </cell>
          <cell r="DB334">
            <v>649.60342133594918</v>
          </cell>
          <cell r="DC334"/>
          <cell r="DD334"/>
          <cell r="DE334">
            <v>0</v>
          </cell>
          <cell r="DF334">
            <v>0</v>
          </cell>
          <cell r="DG334">
            <v>0</v>
          </cell>
          <cell r="DH334">
            <v>0</v>
          </cell>
          <cell r="DI334">
            <v>0</v>
          </cell>
          <cell r="DJ334">
            <v>0</v>
          </cell>
          <cell r="DK334">
            <v>0</v>
          </cell>
          <cell r="DL334">
            <v>0</v>
          </cell>
          <cell r="DM334">
            <v>0</v>
          </cell>
          <cell r="DN334">
            <v>0</v>
          </cell>
          <cell r="DO334">
            <v>0</v>
          </cell>
        </row>
        <row r="335">
          <cell r="A335" t="str">
            <v>% of total product bookings</v>
          </cell>
          <cell r="B335"/>
          <cell r="C335" t="e">
            <v>#DIV/0!</v>
          </cell>
          <cell r="D335" t="e">
            <v>#DIV/0!</v>
          </cell>
          <cell r="E335" t="e">
            <v>#DIV/0!</v>
          </cell>
          <cell r="F335" t="e">
            <v>#DIV/0!</v>
          </cell>
          <cell r="G335" t="e">
            <v>#DIV/0!</v>
          </cell>
          <cell r="H335" t="e">
            <v>#DIV/0!</v>
          </cell>
          <cell r="I335" t="e">
            <v>#DIV/0!</v>
          </cell>
          <cell r="J335" t="e">
            <v>#DIV/0!</v>
          </cell>
          <cell r="K335" t="e">
            <v>#DIV/0!</v>
          </cell>
          <cell r="L335" t="e">
            <v>#DIV/0!</v>
          </cell>
          <cell r="M335" t="e">
            <v>#DIV/0!</v>
          </cell>
          <cell r="N335" t="e">
            <v>#DIV/0!</v>
          </cell>
          <cell r="O335" t="e">
            <v>#DIV/0!</v>
          </cell>
          <cell r="P335" t="e">
            <v>#DIV/0!</v>
          </cell>
          <cell r="Q335" t="e">
            <v>#DIV/0!</v>
          </cell>
          <cell r="R335" t="e">
            <v>#DIV/0!</v>
          </cell>
          <cell r="S335" t="e">
            <v>#DIV/0!</v>
          </cell>
          <cell r="T335" t="e">
            <v>#DIV/0!</v>
          </cell>
          <cell r="U335" t="e">
            <v>#DIV/0!</v>
          </cell>
          <cell r="V335" t="e">
            <v>#DIV/0!</v>
          </cell>
          <cell r="W335" t="e">
            <v>#DIV/0!</v>
          </cell>
          <cell r="X335" t="e">
            <v>#DIV/0!</v>
          </cell>
          <cell r="Y335" t="e">
            <v>#DIV/0!</v>
          </cell>
          <cell r="Z335" t="e">
            <v>#DIV/0!</v>
          </cell>
          <cell r="AA335" t="e">
            <v>#DIV/0!</v>
          </cell>
          <cell r="AB335" t="e">
            <v>#DIV/0!</v>
          </cell>
          <cell r="AC335" t="e">
            <v>#DIV/0!</v>
          </cell>
          <cell r="AD335" t="e">
            <v>#DIV/0!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0.46275582734031345</v>
          </cell>
          <cell r="BP335">
            <v>5.4191802769554008E-2</v>
          </cell>
          <cell r="BQ335">
            <v>0.14017119100721126</v>
          </cell>
          <cell r="BR335">
            <v>7.5188018203864435E-2</v>
          </cell>
          <cell r="BS335">
            <v>7.9879607334406841E-2</v>
          </cell>
          <cell r="BT335">
            <v>4.5010776300934335E-2</v>
          </cell>
          <cell r="BU335">
            <v>0.1114332647992827</v>
          </cell>
          <cell r="BV335">
            <v>0.10730279629731421</v>
          </cell>
          <cell r="BW335">
            <v>0.11174618042515165</v>
          </cell>
          <cell r="BX335">
            <v>7.7404863241849739E-2</v>
          </cell>
          <cell r="BY335">
            <v>0.13828562996565441</v>
          </cell>
          <cell r="BZ335">
            <v>8.3271242945868795E-2</v>
          </cell>
          <cell r="CA335">
            <v>0.20008288372043156</v>
          </cell>
          <cell r="CB335">
            <v>0.17780910943304271</v>
          </cell>
          <cell r="CC335">
            <v>0.23565158585450144</v>
          </cell>
          <cell r="CD335">
            <v>0.28573216965611398</v>
          </cell>
          <cell r="CE335">
            <v>0.2680610017503311</v>
          </cell>
          <cell r="CF335">
            <v>0.35695947275689405</v>
          </cell>
          <cell r="CG335">
            <v>0.44243542485451659</v>
          </cell>
          <cell r="CH335">
            <v>0.5145563512353678</v>
          </cell>
          <cell r="CI335">
            <v>0.58234572725020151</v>
          </cell>
          <cell r="CJ335">
            <v>0.55133875680871025</v>
          </cell>
          <cell r="CK335">
            <v>0.6016821728514995</v>
          </cell>
          <cell r="CL335">
            <v>0.64880542535644914</v>
          </cell>
          <cell r="CM335">
            <v>0.69220480699720877</v>
          </cell>
          <cell r="CN335">
            <v>0.64815812384853244</v>
          </cell>
          <cell r="CO335">
            <v>0.68512974601769316</v>
          </cell>
          <cell r="CP335">
            <v>0.74469243800889462</v>
          </cell>
          <cell r="CQ335">
            <v>0.77749992454966355</v>
          </cell>
          <cell r="CR335">
            <v>0.72849344374219749</v>
          </cell>
          <cell r="CS335">
            <v>0.756783073943608</v>
          </cell>
          <cell r="CT335">
            <v>0.82499676911450348</v>
          </cell>
          <cell r="CU335">
            <v>0.81287889461796381</v>
          </cell>
          <cell r="CV335">
            <v>0.7629385220771937</v>
          </cell>
          <cell r="CW335">
            <v>0.78700737706588819</v>
          </cell>
          <cell r="CX335">
            <v>0.85351218191855083</v>
          </cell>
          <cell r="CY335">
            <v>0.82229664678895531</v>
          </cell>
          <cell r="CZ335">
            <v>0.77176627230061923</v>
          </cell>
          <cell r="DA335">
            <v>0.7944332027463622</v>
          </cell>
          <cell r="DB335">
            <v>0.85625345079209947</v>
          </cell>
          <cell r="DC335"/>
          <cell r="DD335" t="e">
            <v>#DIV/0!</v>
          </cell>
          <cell r="DE335" t="e">
            <v>#DIV/0!</v>
          </cell>
          <cell r="DF335" t="e">
            <v>#DIV/0!</v>
          </cell>
          <cell r="DG335" t="e">
            <v>#DIV/0!</v>
          </cell>
          <cell r="DH335" t="e">
            <v>#DIV/0!</v>
          </cell>
          <cell r="DI335" t="e">
            <v>#DIV/0!</v>
          </cell>
          <cell r="DJ335" t="e">
            <v>#DIV/0!</v>
          </cell>
          <cell r="DK335">
            <v>0</v>
          </cell>
          <cell r="DL335">
            <v>0</v>
          </cell>
          <cell r="DM335">
            <v>0</v>
          </cell>
          <cell r="DN335">
            <v>0</v>
          </cell>
          <cell r="DO335">
            <v>0</v>
          </cell>
        </row>
        <row r="336">
          <cell r="A336" t="str">
            <v>Actual</v>
          </cell>
          <cell r="B336"/>
          <cell r="C336"/>
          <cell r="D336"/>
          <cell r="E336"/>
          <cell r="F336"/>
          <cell r="G336"/>
          <cell r="H336"/>
          <cell r="I336"/>
          <cell r="J336"/>
          <cell r="K336"/>
          <cell r="L336"/>
          <cell r="M336"/>
          <cell r="N336"/>
          <cell r="O336"/>
          <cell r="P336"/>
          <cell r="Q336"/>
          <cell r="R336"/>
          <cell r="S336"/>
          <cell r="T336"/>
          <cell r="U336"/>
          <cell r="V336"/>
          <cell r="W336"/>
          <cell r="X336"/>
          <cell r="Y336"/>
          <cell r="Z336"/>
          <cell r="AA336"/>
          <cell r="AB336"/>
          <cell r="AC336"/>
          <cell r="AD336"/>
          <cell r="AE336"/>
          <cell r="AF336"/>
          <cell r="AG336"/>
          <cell r="AH336"/>
          <cell r="AI336"/>
          <cell r="AJ336"/>
          <cell r="AK336"/>
          <cell r="AL336"/>
          <cell r="AM336"/>
          <cell r="AN336"/>
          <cell r="AO336"/>
          <cell r="AP336"/>
          <cell r="AQ336"/>
          <cell r="AR336"/>
          <cell r="AS336"/>
          <cell r="AT336"/>
          <cell r="AU336"/>
          <cell r="AV336"/>
          <cell r="AW336"/>
          <cell r="AX336"/>
          <cell r="AY336"/>
          <cell r="AZ336"/>
          <cell r="BA336"/>
          <cell r="BB336"/>
          <cell r="BC336"/>
          <cell r="BD336"/>
          <cell r="BE336"/>
          <cell r="BF336"/>
          <cell r="BG336"/>
          <cell r="BH336"/>
          <cell r="BI336"/>
          <cell r="BJ336"/>
          <cell r="BK336"/>
          <cell r="BL336"/>
          <cell r="BM336"/>
          <cell r="BN336"/>
          <cell r="BO336"/>
          <cell r="BP336"/>
          <cell r="BQ336"/>
          <cell r="BR336"/>
          <cell r="BS336"/>
          <cell r="BT336"/>
          <cell r="BU336"/>
          <cell r="BV336"/>
          <cell r="BW336"/>
          <cell r="BX336"/>
          <cell r="BY336"/>
          <cell r="BZ336">
            <v>0.17</v>
          </cell>
          <cell r="CA336"/>
          <cell r="CB336"/>
          <cell r="CC336">
            <v>0.25</v>
          </cell>
          <cell r="CD336">
            <v>0.3</v>
          </cell>
          <cell r="CE336">
            <v>0.3</v>
          </cell>
          <cell r="CF336">
            <v>0.42</v>
          </cell>
          <cell r="CG336">
            <v>0.42</v>
          </cell>
          <cell r="CH336">
            <v>0.51</v>
          </cell>
          <cell r="CI336"/>
          <cell r="CJ336"/>
          <cell r="CK336"/>
          <cell r="CL336"/>
          <cell r="CM336"/>
          <cell r="CN336"/>
          <cell r="CO336"/>
          <cell r="CP336"/>
          <cell r="CQ336"/>
          <cell r="CR336"/>
          <cell r="CS336"/>
          <cell r="CT336"/>
          <cell r="CU336"/>
          <cell r="CV336"/>
          <cell r="CW336"/>
          <cell r="CX336"/>
          <cell r="CY336"/>
          <cell r="CZ336"/>
          <cell r="DA336"/>
          <cell r="DB336"/>
          <cell r="DC336"/>
          <cell r="DD336"/>
          <cell r="DE336"/>
          <cell r="DF336"/>
          <cell r="DG336"/>
          <cell r="DH336"/>
          <cell r="DI336"/>
          <cell r="DJ336"/>
          <cell r="DK336"/>
          <cell r="DL336"/>
          <cell r="DM336"/>
          <cell r="DN336"/>
          <cell r="DO336"/>
        </row>
        <row r="337">
          <cell r="A337" t="str">
            <v>% growth y-o-y</v>
          </cell>
          <cell r="B337"/>
          <cell r="C337" t="str">
            <v>NA</v>
          </cell>
          <cell r="D337" t="str">
            <v>NA</v>
          </cell>
          <cell r="E337" t="str">
            <v>NA</v>
          </cell>
          <cell r="F337" t="str">
            <v>NA</v>
          </cell>
          <cell r="G337" t="str">
            <v>NA</v>
          </cell>
          <cell r="H337" t="str">
            <v>NA</v>
          </cell>
          <cell r="I337" t="str">
            <v>NA</v>
          </cell>
          <cell r="J337" t="str">
            <v>NA</v>
          </cell>
          <cell r="K337" t="str">
            <v>NA</v>
          </cell>
          <cell r="L337" t="str">
            <v>NA</v>
          </cell>
          <cell r="M337" t="str">
            <v>NA</v>
          </cell>
          <cell r="N337" t="str">
            <v>NA</v>
          </cell>
          <cell r="O337" t="str">
            <v>NA</v>
          </cell>
          <cell r="P337" t="str">
            <v>NA</v>
          </cell>
          <cell r="Q337" t="str">
            <v>NA</v>
          </cell>
          <cell r="R337" t="str">
            <v>NA</v>
          </cell>
          <cell r="S337" t="str">
            <v>NA</v>
          </cell>
          <cell r="T337" t="str">
            <v>NA</v>
          </cell>
          <cell r="U337" t="str">
            <v>NA</v>
          </cell>
          <cell r="V337" t="str">
            <v>NA</v>
          </cell>
          <cell r="W337" t="str">
            <v>NA</v>
          </cell>
          <cell r="X337" t="str">
            <v>NA</v>
          </cell>
          <cell r="Y337" t="str">
            <v>NA</v>
          </cell>
          <cell r="Z337" t="str">
            <v>NA</v>
          </cell>
          <cell r="AA337" t="str">
            <v>NA</v>
          </cell>
          <cell r="AB337" t="str">
            <v>NA</v>
          </cell>
          <cell r="AC337" t="str">
            <v>NA</v>
          </cell>
          <cell r="AD337" t="str">
            <v>NA</v>
          </cell>
          <cell r="AE337" t="str">
            <v>NA</v>
          </cell>
          <cell r="AF337" t="str">
            <v>NA</v>
          </cell>
          <cell r="AG337" t="str">
            <v>NA</v>
          </cell>
          <cell r="AH337" t="str">
            <v>NA</v>
          </cell>
          <cell r="AI337" t="str">
            <v>NA</v>
          </cell>
          <cell r="AJ337" t="str">
            <v>NA</v>
          </cell>
          <cell r="AK337" t="str">
            <v>NA</v>
          </cell>
          <cell r="AL337" t="str">
            <v>NA</v>
          </cell>
          <cell r="AM337" t="str">
            <v>NA</v>
          </cell>
          <cell r="AN337" t="str">
            <v>NA</v>
          </cell>
          <cell r="AO337" t="str">
            <v>NA</v>
          </cell>
          <cell r="AP337" t="str">
            <v>NA</v>
          </cell>
          <cell r="AQ337" t="str">
            <v>NA</v>
          </cell>
          <cell r="AR337" t="str">
            <v>NA</v>
          </cell>
          <cell r="AS337" t="str">
            <v>NA</v>
          </cell>
          <cell r="AT337" t="str">
            <v>NA</v>
          </cell>
          <cell r="AU337" t="str">
            <v>NA</v>
          </cell>
          <cell r="AV337" t="str">
            <v>NA</v>
          </cell>
          <cell r="AW337" t="str">
            <v>NA</v>
          </cell>
          <cell r="AX337" t="str">
            <v>NA</v>
          </cell>
          <cell r="AY337" t="str">
            <v>NA</v>
          </cell>
          <cell r="AZ337" t="str">
            <v>NA</v>
          </cell>
          <cell r="BA337" t="str">
            <v>NA</v>
          </cell>
          <cell r="BB337" t="str">
            <v>NA</v>
          </cell>
          <cell r="BC337" t="str">
            <v>NA</v>
          </cell>
          <cell r="BD337" t="str">
            <v>NA</v>
          </cell>
          <cell r="BE337" t="str">
            <v>NA</v>
          </cell>
          <cell r="BF337" t="str">
            <v>NA</v>
          </cell>
          <cell r="BG337" t="str">
            <v>NA</v>
          </cell>
          <cell r="BH337" t="str">
            <v>NA</v>
          </cell>
          <cell r="BI337" t="str">
            <v>NA</v>
          </cell>
          <cell r="BJ337" t="str">
            <v>NA</v>
          </cell>
          <cell r="BK337" t="str">
            <v>NA</v>
          </cell>
          <cell r="BL337" t="str">
            <v>NA</v>
          </cell>
          <cell r="BM337" t="str">
            <v>NA</v>
          </cell>
          <cell r="BN337" t="str">
            <v>NA</v>
          </cell>
          <cell r="BO337" t="str">
            <v>NA</v>
          </cell>
          <cell r="BP337" t="str">
            <v>NA</v>
          </cell>
          <cell r="BQ337" t="str">
            <v>NA</v>
          </cell>
          <cell r="BR337" t="str">
            <v>NA</v>
          </cell>
          <cell r="BS337">
            <v>-0.83975872684697928</v>
          </cell>
          <cell r="BT337">
            <v>0.30577519359336125</v>
          </cell>
          <cell r="BU337">
            <v>0.58614406415254372</v>
          </cell>
          <cell r="BV337">
            <v>2.1065320249814006</v>
          </cell>
          <cell r="BW337">
            <v>0.3363316882797176</v>
          </cell>
          <cell r="BX337">
            <v>0.60519259920024249</v>
          </cell>
          <cell r="BY337">
            <v>4.1413282384216377E-2</v>
          </cell>
          <cell r="BZ337">
            <v>-0.41821561820267361</v>
          </cell>
          <cell r="CA337">
            <v>0.73136160948511897</v>
          </cell>
          <cell r="CB337">
            <v>1.3061382096718592</v>
          </cell>
          <cell r="CC337">
            <v>0.57851131317349624</v>
          </cell>
          <cell r="CD337">
            <v>3.2333268890760598</v>
          </cell>
          <cell r="CE337">
            <v>0.63496998550680206</v>
          </cell>
          <cell r="CF337">
            <v>2.0469475408886808</v>
          </cell>
          <cell r="CG337">
            <v>2.1555193325699515</v>
          </cell>
          <cell r="CH337">
            <v>1.6987211667831219</v>
          </cell>
          <cell r="CI337">
            <v>1.1037899546358805</v>
          </cell>
          <cell r="CJ337">
            <v>0.54587278370478032</v>
          </cell>
          <cell r="CK337">
            <v>0.23505106271521226</v>
          </cell>
          <cell r="CL337">
            <v>0.47519086665735921</v>
          </cell>
          <cell r="CM337">
            <v>0.43628350722334108</v>
          </cell>
          <cell r="CN337">
            <v>0.3749608821473398</v>
          </cell>
          <cell r="CO337">
            <v>0.31548236783843908</v>
          </cell>
          <cell r="CP337">
            <v>0.32965255522054737</v>
          </cell>
          <cell r="CQ337">
            <v>0.33900453237027417</v>
          </cell>
          <cell r="CR337">
            <v>0.30534024858543196</v>
          </cell>
          <cell r="CS337">
            <v>0.27477785333805005</v>
          </cell>
          <cell r="CT337">
            <v>0.27632296257926159</v>
          </cell>
          <cell r="CU337">
            <v>0.20770400419272161</v>
          </cell>
          <cell r="CV337">
            <v>0.18316689079066228</v>
          </cell>
          <cell r="CW337">
            <v>0.16999291339691935</v>
          </cell>
          <cell r="CX337">
            <v>0.15278106642117417</v>
          </cell>
          <cell r="CY337">
            <v>0.11315192546133601</v>
          </cell>
          <cell r="CZ337">
            <v>9.55061416678602E-2</v>
          </cell>
          <cell r="DA337">
            <v>9.2125528336166829E-2</v>
          </cell>
          <cell r="DB337">
            <v>6.8126115533146292E-2</v>
          </cell>
          <cell r="DC337"/>
          <cell r="DD337" t="str">
            <v>NA</v>
          </cell>
          <cell r="DE337" t="str">
            <v>NA</v>
          </cell>
          <cell r="DF337" t="str">
            <v>NA</v>
          </cell>
          <cell r="DG337" t="str">
            <v>NA</v>
          </cell>
          <cell r="DH337" t="str">
            <v>NA</v>
          </cell>
          <cell r="DI337" t="str">
            <v>NA</v>
          </cell>
          <cell r="DJ337" t="str">
            <v>NA</v>
          </cell>
          <cell r="DK337" t="str">
            <v>NA</v>
          </cell>
          <cell r="DL337" t="str">
            <v>NA</v>
          </cell>
          <cell r="DM337" t="str">
            <v>NA</v>
          </cell>
          <cell r="DN337" t="str">
            <v>NA</v>
          </cell>
          <cell r="DO337" t="str">
            <v>NA</v>
          </cell>
        </row>
        <row r="338">
          <cell r="A338" t="str">
            <v>% growth seq</v>
          </cell>
          <cell r="B338"/>
          <cell r="C338" t="str">
            <v>NA</v>
          </cell>
          <cell r="D338" t="str">
            <v>NA</v>
          </cell>
          <cell r="E338" t="str">
            <v>NA</v>
          </cell>
          <cell r="F338" t="str">
            <v>NA</v>
          </cell>
          <cell r="G338" t="str">
            <v>NA</v>
          </cell>
          <cell r="H338" t="str">
            <v>NA</v>
          </cell>
          <cell r="I338" t="str">
            <v>NA</v>
          </cell>
          <cell r="J338" t="str">
            <v>NA</v>
          </cell>
          <cell r="K338" t="str">
            <v>NA</v>
          </cell>
          <cell r="L338" t="str">
            <v>NA</v>
          </cell>
          <cell r="M338" t="str">
            <v>NA</v>
          </cell>
          <cell r="N338" t="str">
            <v>NA</v>
          </cell>
          <cell r="O338" t="str">
            <v>NA</v>
          </cell>
          <cell r="P338" t="str">
            <v>NA</v>
          </cell>
          <cell r="Q338" t="str">
            <v>NA</v>
          </cell>
          <cell r="R338" t="str">
            <v>NA</v>
          </cell>
          <cell r="S338" t="str">
            <v>NA</v>
          </cell>
          <cell r="T338" t="str">
            <v>NA</v>
          </cell>
          <cell r="U338" t="str">
            <v>NA</v>
          </cell>
          <cell r="V338" t="str">
            <v>NA</v>
          </cell>
          <cell r="W338" t="str">
            <v>NA</v>
          </cell>
          <cell r="X338" t="str">
            <v>NA</v>
          </cell>
          <cell r="Y338" t="str">
            <v>NA</v>
          </cell>
          <cell r="Z338" t="str">
            <v>NA</v>
          </cell>
          <cell r="AA338" t="str">
            <v>NA</v>
          </cell>
          <cell r="AB338" t="str">
            <v>NA</v>
          </cell>
          <cell r="AC338" t="str">
            <v>NA</v>
          </cell>
          <cell r="AD338" t="str">
            <v>NA</v>
          </cell>
          <cell r="AE338" t="str">
            <v>NA</v>
          </cell>
          <cell r="AF338" t="str">
            <v>NA</v>
          </cell>
          <cell r="AG338" t="str">
            <v>NA</v>
          </cell>
          <cell r="AH338" t="str">
            <v>NA</v>
          </cell>
          <cell r="AI338" t="str">
            <v>NA</v>
          </cell>
          <cell r="AJ338" t="str">
            <v>NA</v>
          </cell>
          <cell r="AK338" t="str">
            <v>NA</v>
          </cell>
          <cell r="AL338" t="str">
            <v>NA</v>
          </cell>
          <cell r="AM338" t="str">
            <v>NA</v>
          </cell>
          <cell r="AN338" t="str">
            <v>NA</v>
          </cell>
          <cell r="AO338" t="str">
            <v>NA</v>
          </cell>
          <cell r="AP338" t="str">
            <v>NA</v>
          </cell>
          <cell r="AQ338" t="str">
            <v>NA</v>
          </cell>
          <cell r="AR338" t="str">
            <v>NA</v>
          </cell>
          <cell r="AS338" t="str">
            <v>NA</v>
          </cell>
          <cell r="AT338" t="str">
            <v>NA</v>
          </cell>
          <cell r="AU338" t="str">
            <v>NA</v>
          </cell>
          <cell r="AV338" t="str">
            <v>NA</v>
          </cell>
          <cell r="AW338" t="str">
            <v>NA</v>
          </cell>
          <cell r="AX338" t="str">
            <v>NA</v>
          </cell>
          <cell r="AY338" t="str">
            <v>NA</v>
          </cell>
          <cell r="AZ338" t="str">
            <v>NA</v>
          </cell>
          <cell r="BA338" t="str">
            <v>NA</v>
          </cell>
          <cell r="BB338" t="str">
            <v>NA</v>
          </cell>
          <cell r="BC338" t="str">
            <v>NA</v>
          </cell>
          <cell r="BD338" t="str">
            <v>NA</v>
          </cell>
          <cell r="BE338" t="str">
            <v>NA</v>
          </cell>
          <cell r="BF338" t="str">
            <v>NA</v>
          </cell>
          <cell r="BG338" t="str">
            <v>NA</v>
          </cell>
          <cell r="BH338" t="str">
            <v>NA</v>
          </cell>
          <cell r="BI338" t="str">
            <v>NA</v>
          </cell>
          <cell r="BJ338" t="str">
            <v>NA</v>
          </cell>
          <cell r="BK338" t="str">
            <v>NA</v>
          </cell>
          <cell r="BL338" t="str">
            <v>NA</v>
          </cell>
          <cell r="BM338" t="str">
            <v>NA</v>
          </cell>
          <cell r="BN338" t="str">
            <v>NA</v>
          </cell>
          <cell r="BO338" t="str">
            <v>NA</v>
          </cell>
          <cell r="BP338">
            <v>-0.92525914643277885</v>
          </cell>
          <cell r="BQ338">
            <v>1.201349856758553</v>
          </cell>
          <cell r="BR338">
            <v>-0.32574283250786196</v>
          </cell>
          <cell r="BS338">
            <v>0.44444726869703932</v>
          </cell>
          <cell r="BT338">
            <v>-0.39095121615219464</v>
          </cell>
          <cell r="BU338">
            <v>1.6740115952210286</v>
          </cell>
          <cell r="BV338">
            <v>0.32056194088945733</v>
          </cell>
          <cell r="BW338">
            <v>-0.3786445329754814</v>
          </cell>
          <cell r="BX338">
            <v>-0.26841471398247052</v>
          </cell>
          <cell r="BY338">
            <v>0.73483929211985966</v>
          </cell>
          <cell r="BZ338">
            <v>-0.26226952795671921</v>
          </cell>
          <cell r="CA338">
            <v>0.84912320630964722</v>
          </cell>
          <cell r="CB338">
            <v>-2.5543380148951189E-2</v>
          </cell>
          <cell r="CC338">
            <v>0.18746718547226826</v>
          </cell>
          <cell r="CD338">
            <v>0.9784807483659359</v>
          </cell>
          <cell r="CE338">
            <v>-0.28584278487404657</v>
          </cell>
          <cell r="CF338">
            <v>0.81600777254482315</v>
          </cell>
          <cell r="CG338">
            <v>0.22978016860024075</v>
          </cell>
          <cell r="CH338">
            <v>0.69207262290467986</v>
          </cell>
          <cell r="CI338">
            <v>-0.44327824834026019</v>
          </cell>
          <cell r="CJ338">
            <v>0.33440935222036816</v>
          </cell>
          <cell r="CK338">
            <v>-1.7486225162834823E-2</v>
          </cell>
          <cell r="CL338">
            <v>1.0210743947236476</v>
          </cell>
          <cell r="CM338">
            <v>-0.45796148275157567</v>
          </cell>
          <cell r="CN338">
            <v>0.27743627970885942</v>
          </cell>
          <cell r="CO338">
            <v>-5.9988132216421963E-2</v>
          </cell>
          <cell r="CP338">
            <v>1.0428451182138256</v>
          </cell>
          <cell r="CQ338">
            <v>-0.45414910950589105</v>
          </cell>
          <cell r="CR338">
            <v>0.24531990041546958</v>
          </cell>
          <cell r="CS338">
            <v>-8.1996964221383473E-2</v>
          </cell>
          <cell r="CT338">
            <v>1.0453211722668918</v>
          </cell>
          <cell r="CU338">
            <v>-0.48349569390360381</v>
          </cell>
          <cell r="CV338">
            <v>0.22001853889621148</v>
          </cell>
          <cell r="CW338">
            <v>-9.2218473405648482E-2</v>
          </cell>
          <cell r="CX338">
            <v>1.0152323105052421</v>
          </cell>
          <cell r="CY338">
            <v>-0.50125155626886853</v>
          </cell>
          <cell r="CZ338">
            <v>0.20067869599698396</v>
          </cell>
          <cell r="DA338">
            <v>-9.5019788902061419E-2</v>
          </cell>
          <cell r="DB338">
            <v>0.97094766477639238</v>
          </cell>
          <cell r="DC338"/>
          <cell r="DD338"/>
          <cell r="DE338"/>
          <cell r="DF338"/>
          <cell r="DG338"/>
          <cell r="DH338"/>
          <cell r="DI338"/>
          <cell r="DJ338"/>
          <cell r="DK338"/>
          <cell r="DL338"/>
          <cell r="DM338"/>
          <cell r="DN338"/>
          <cell r="DO338"/>
        </row>
        <row r="339">
          <cell r="A339"/>
          <cell r="B339"/>
          <cell r="C339"/>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cell r="AD339"/>
          <cell r="AE339"/>
          <cell r="AF339"/>
          <cell r="AG339"/>
          <cell r="AH339"/>
          <cell r="AI339"/>
          <cell r="AJ339"/>
          <cell r="AK339"/>
          <cell r="AL339"/>
          <cell r="AM339"/>
          <cell r="AN339"/>
          <cell r="AO339"/>
          <cell r="AP339"/>
          <cell r="AQ339"/>
          <cell r="AR339"/>
          <cell r="AS339"/>
          <cell r="AT339"/>
          <cell r="AU339"/>
          <cell r="AV339"/>
          <cell r="AW339"/>
          <cell r="AX339"/>
          <cell r="AY339"/>
          <cell r="AZ339"/>
          <cell r="BA339"/>
          <cell r="BB339"/>
          <cell r="BC339"/>
          <cell r="BD339"/>
          <cell r="BE339"/>
          <cell r="BF339"/>
          <cell r="BG339"/>
          <cell r="BH339"/>
          <cell r="BI339"/>
          <cell r="BJ339"/>
          <cell r="BK339"/>
          <cell r="BL339"/>
          <cell r="BM339"/>
          <cell r="BN339"/>
          <cell r="BO339"/>
          <cell r="BP339"/>
          <cell r="BQ339"/>
          <cell r="BR339"/>
          <cell r="BS339"/>
          <cell r="BT339"/>
          <cell r="BU339"/>
          <cell r="BV339"/>
          <cell r="BW339"/>
          <cell r="BX339"/>
          <cell r="BY339"/>
          <cell r="BZ339"/>
          <cell r="CA339"/>
          <cell r="CB339"/>
          <cell r="CC339"/>
          <cell r="CD339"/>
          <cell r="CE339"/>
          <cell r="CF339"/>
          <cell r="CG339"/>
          <cell r="CH339"/>
          <cell r="CI339"/>
          <cell r="CJ339"/>
          <cell r="CK339"/>
          <cell r="CL339"/>
          <cell r="CM339"/>
          <cell r="CN339"/>
          <cell r="CO339"/>
          <cell r="CP339"/>
          <cell r="CQ339"/>
          <cell r="CR339"/>
          <cell r="CS339"/>
          <cell r="CT339"/>
          <cell r="CU339"/>
          <cell r="CV339"/>
          <cell r="CW339"/>
          <cell r="CX339"/>
          <cell r="CY339"/>
          <cell r="CZ339"/>
          <cell r="DA339"/>
          <cell r="DB339"/>
          <cell r="DC339"/>
          <cell r="DD339"/>
          <cell r="DE339"/>
          <cell r="DF339"/>
          <cell r="DG339"/>
          <cell r="DH339"/>
          <cell r="DI339"/>
          <cell r="DJ339"/>
          <cell r="DK339"/>
          <cell r="DL339"/>
          <cell r="DM339"/>
          <cell r="DN339"/>
          <cell r="DO339"/>
        </row>
        <row r="340">
          <cell r="A340" t="str">
            <v>Deliver Networking &amp; Data</v>
          </cell>
          <cell r="B340"/>
          <cell r="C340">
            <v>7.5000000000000011E-2</v>
          </cell>
          <cell r="D340">
            <v>7.5000000000000011E-2</v>
          </cell>
          <cell r="E340">
            <v>7.5000000000000011E-2</v>
          </cell>
          <cell r="F340">
            <v>7.5000000000000011E-2</v>
          </cell>
          <cell r="G340">
            <v>7.5000000000000011E-2</v>
          </cell>
          <cell r="H340">
            <v>7.5000000000000011E-2</v>
          </cell>
          <cell r="I340">
            <v>7.5000000000000011E-2</v>
          </cell>
          <cell r="J340">
            <v>7.5000000000000011E-2</v>
          </cell>
          <cell r="K340">
            <v>7.5000000000000011E-2</v>
          </cell>
          <cell r="L340">
            <v>7.5000000000000011E-2</v>
          </cell>
          <cell r="M340">
            <v>7.5000000000000011E-2</v>
          </cell>
          <cell r="N340">
            <v>7.5000000000000011E-2</v>
          </cell>
          <cell r="O340">
            <v>7.5000000000000011E-2</v>
          </cell>
          <cell r="P340">
            <v>7.5000000000000011E-2</v>
          </cell>
          <cell r="Q340">
            <v>7.5000000000000011E-2</v>
          </cell>
          <cell r="R340">
            <v>7.5000000000000011E-2</v>
          </cell>
          <cell r="S340">
            <v>7.5000000000000011E-2</v>
          </cell>
          <cell r="T340">
            <v>7.5000000000000011E-2</v>
          </cell>
          <cell r="U340">
            <v>7.5000000000000011E-2</v>
          </cell>
          <cell r="V340">
            <v>7.5000000000000011E-2</v>
          </cell>
          <cell r="W340">
            <v>7.5000000000000011E-2</v>
          </cell>
          <cell r="X340">
            <v>7.5000000000000011E-2</v>
          </cell>
          <cell r="Y340">
            <v>7.5000000000000011E-2</v>
          </cell>
          <cell r="Z340">
            <v>7.5000000000000011E-2</v>
          </cell>
          <cell r="AA340">
            <v>7.5000000000000011E-2</v>
          </cell>
          <cell r="AB340">
            <v>7.5000000000000011E-2</v>
          </cell>
          <cell r="AC340">
            <v>7.5000000000000011E-2</v>
          </cell>
          <cell r="AD340">
            <v>7.5000000000000011E-2</v>
          </cell>
          <cell r="AE340">
            <v>7.5000000000000011E-2</v>
          </cell>
          <cell r="AF340">
            <v>7.5000000000000011E-2</v>
          </cell>
          <cell r="AG340">
            <v>7.5000000000000011E-2</v>
          </cell>
          <cell r="AH340">
            <v>7.5000000000000011E-2</v>
          </cell>
          <cell r="AI340">
            <v>7.5000000000000011E-2</v>
          </cell>
          <cell r="AJ340">
            <v>7.5000000000000011E-2</v>
          </cell>
          <cell r="AK340">
            <v>7.5000000000000011E-2</v>
          </cell>
          <cell r="AL340">
            <v>7.5000000000000011E-2</v>
          </cell>
          <cell r="AM340">
            <v>7.5000000000000011E-2</v>
          </cell>
          <cell r="AN340">
            <v>7.5000000000000011E-2</v>
          </cell>
          <cell r="AO340">
            <v>7.5000000000000011E-2</v>
          </cell>
          <cell r="AP340">
            <v>7.5000000000000011E-2</v>
          </cell>
          <cell r="AQ340">
            <v>7.5000000000000011E-2</v>
          </cell>
          <cell r="AR340">
            <v>7.5000000000000011E-2</v>
          </cell>
          <cell r="AS340">
            <v>7.5000000000000011E-2</v>
          </cell>
          <cell r="AT340">
            <v>7.5000000000000011E-2</v>
          </cell>
          <cell r="AU340">
            <v>7.5000000000000011E-2</v>
          </cell>
          <cell r="AV340">
            <v>7.5000000000000011E-2</v>
          </cell>
          <cell r="AW340">
            <v>7.5000000000000011E-2</v>
          </cell>
          <cell r="AX340">
            <v>7.5000000000000011E-2</v>
          </cell>
          <cell r="AY340">
            <v>7.5000000000000011E-2</v>
          </cell>
          <cell r="AZ340">
            <v>7.5000000000000011E-2</v>
          </cell>
          <cell r="BA340">
            <v>7.5000000000000011E-2</v>
          </cell>
          <cell r="BB340">
            <v>7.5000000000000011E-2</v>
          </cell>
          <cell r="BC340">
            <v>7.5000000000000011E-2</v>
          </cell>
          <cell r="BD340">
            <v>7.5000000000000011E-2</v>
          </cell>
          <cell r="BE340">
            <v>7.5000000000000011E-2</v>
          </cell>
          <cell r="BF340">
            <v>7.5000000000000011E-2</v>
          </cell>
          <cell r="BG340">
            <v>7.5000000000000011E-2</v>
          </cell>
          <cell r="BH340">
            <v>7.5000000000000011E-2</v>
          </cell>
          <cell r="BI340">
            <v>7.5000000000000011E-2</v>
          </cell>
          <cell r="BJ340">
            <v>7.5000000000000011E-2</v>
          </cell>
          <cell r="BK340">
            <v>7.5000000000000011E-2</v>
          </cell>
          <cell r="BL340">
            <v>7.5000000000000011E-2</v>
          </cell>
          <cell r="BM340">
            <v>7.5000000000000011E-2</v>
          </cell>
          <cell r="BN340">
            <v>7.5000000000000011E-2</v>
          </cell>
          <cell r="BO340">
            <v>0.19250412148197932</v>
          </cell>
          <cell r="BP340">
            <v>0.12194547298600539</v>
          </cell>
          <cell r="BQ340">
            <v>0.11154853369456748</v>
          </cell>
          <cell r="BR340">
            <v>9.6958344763943702E-2</v>
          </cell>
          <cell r="BS340">
            <v>59.566196244372584</v>
          </cell>
          <cell r="BT340">
            <v>109.86488973666683</v>
          </cell>
          <cell r="BU340">
            <v>100.46488177955634</v>
          </cell>
          <cell r="BV340">
            <v>140.4010947260378</v>
          </cell>
          <cell r="BW340">
            <v>77.241057880422161</v>
          </cell>
          <cell r="BX340">
            <v>93.597748691411937</v>
          </cell>
          <cell r="BY340">
            <v>86.399800757178426</v>
          </cell>
          <cell r="BZ340">
            <v>79.31373981803074</v>
          </cell>
          <cell r="CA340">
            <v>82.621883416387689</v>
          </cell>
          <cell r="CB340">
            <v>96.79546629163147</v>
          </cell>
          <cell r="CC340">
            <v>98.390395860439142</v>
          </cell>
          <cell r="CD340">
            <v>159.97153639711371</v>
          </cell>
          <cell r="CE340">
            <v>154.61720229970777</v>
          </cell>
          <cell r="CF340">
            <v>131.29249595853048</v>
          </cell>
          <cell r="CG340">
            <v>84.838612110413862</v>
          </cell>
          <cell r="CH340">
            <v>212.83422722750288</v>
          </cell>
          <cell r="CI340">
            <v>85.09400589767688</v>
          </cell>
          <cell r="CJ340">
            <v>107.89681798247651</v>
          </cell>
          <cell r="CK340">
            <v>89.176989783933379</v>
          </cell>
          <cell r="CL340">
            <v>223.42230826077571</v>
          </cell>
          <cell r="CM340">
            <v>89.355291723403369</v>
          </cell>
          <cell r="CN340">
            <v>113.26837403381622</v>
          </cell>
          <cell r="CO340">
            <v>93.602769508909276</v>
          </cell>
          <cell r="CP340">
            <v>234.45088495620018</v>
          </cell>
          <cell r="CQ340">
            <v>93.73308204936454</v>
          </cell>
          <cell r="CR340">
            <v>118.79661814187565</v>
          </cell>
          <cell r="CS340">
            <v>98.156607963613624</v>
          </cell>
          <cell r="CT340">
            <v>245.79656422614852</v>
          </cell>
          <cell r="CU340">
            <v>98.214191434186148</v>
          </cell>
          <cell r="CV340">
            <v>124.46876640494945</v>
          </cell>
          <cell r="CW340">
            <v>102.82611590737145</v>
          </cell>
          <cell r="CX340">
            <v>257.42454278283509</v>
          </cell>
          <cell r="CY340">
            <v>102.82303574946083</v>
          </cell>
          <cell r="CZ340">
            <v>130.29495900804247</v>
          </cell>
          <cell r="DA340">
            <v>107.61819784808901</v>
          </cell>
          <cell r="DB340">
            <v>269.35697540828892</v>
          </cell>
          <cell r="DC340"/>
          <cell r="DD340"/>
          <cell r="DE340">
            <v>0.30000000000000004</v>
          </cell>
          <cell r="DF340">
            <v>0.30000000000000004</v>
          </cell>
          <cell r="DG340">
            <v>0.30000000000000004</v>
          </cell>
          <cell r="DH340">
            <v>0.30000000000000004</v>
          </cell>
          <cell r="DI340">
            <v>0.30000000000000004</v>
          </cell>
          <cell r="DJ340">
            <v>0.30000000000000004</v>
          </cell>
          <cell r="DK340">
            <v>0.30000000000000004</v>
          </cell>
          <cell r="DL340">
            <v>0.30000000000000004</v>
          </cell>
          <cell r="DM340">
            <v>0.30000000000000004</v>
          </cell>
          <cell r="DN340">
            <v>0.30000000000000004</v>
          </cell>
          <cell r="DO340">
            <v>0.30000000000000004</v>
          </cell>
        </row>
        <row r="341">
          <cell r="A341" t="str">
            <v>% growth y-o-y</v>
          </cell>
          <cell r="B341"/>
          <cell r="C341" t="str">
            <v>NA</v>
          </cell>
          <cell r="D341" t="str">
            <v>NA</v>
          </cell>
          <cell r="E341" t="str">
            <v>NA</v>
          </cell>
          <cell r="F341" t="str">
            <v>NA</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1.5667216197597238</v>
          </cell>
          <cell r="BP341">
            <v>0.62593963981340495</v>
          </cell>
          <cell r="BQ341">
            <v>0.48731378259423286</v>
          </cell>
          <cell r="BR341">
            <v>0.29277793018591591</v>
          </cell>
          <cell r="BS341">
            <v>308.42816073654137</v>
          </cell>
          <cell r="BT341">
            <v>899.93454924132402</v>
          </cell>
          <cell r="BU341">
            <v>899.6383002275993</v>
          </cell>
          <cell r="BV341">
            <v>1447.0558127086481</v>
          </cell>
          <cell r="BW341">
            <v>0.29672637755041098</v>
          </cell>
          <cell r="BX341">
            <v>-0.14806496492414734</v>
          </cell>
          <cell r="BY341">
            <v>-0.13999997584469381</v>
          </cell>
          <cell r="BZ341">
            <v>-0.43509172793278961</v>
          </cell>
          <cell r="CA341">
            <v>6.9662763349197743E-2</v>
          </cell>
          <cell r="CB341">
            <v>3.4164471313965938E-2</v>
          </cell>
          <cell r="CC341">
            <v>0.13878035595197247</v>
          </cell>
          <cell r="CD341">
            <v>1.0169460772387722</v>
          </cell>
          <cell r="CE341">
            <v>0.87138317242765884</v>
          </cell>
          <cell r="CF341">
            <v>0.35639096528513226</v>
          </cell>
          <cell r="CG341">
            <v>-0.13773482291145234</v>
          </cell>
          <cell r="CH341">
            <v>0.33045060403222415</v>
          </cell>
          <cell r="CI341">
            <v>-0.44964722791496459</v>
          </cell>
          <cell r="CJ341">
            <v>-0.17819508879961909</v>
          </cell>
          <cell r="CK341">
            <v>5.1136829865548794E-2</v>
          </cell>
          <cell r="CL341">
            <v>4.9748018310772135E-2</v>
          </cell>
          <cell r="CM341">
            <v>5.0077391242463909E-2</v>
          </cell>
          <cell r="CN341">
            <v>4.9784193378271002E-2</v>
          </cell>
          <cell r="CO341">
            <v>4.9629167072123614E-2</v>
          </cell>
          <cell r="CP341">
            <v>4.9362021103783738E-2</v>
          </cell>
          <cell r="CQ341">
            <v>4.8993072950984207E-2</v>
          </cell>
          <cell r="CR341">
            <v>4.8806598975358995E-2</v>
          </cell>
          <cell r="CS341">
            <v>4.8650680728746121E-2</v>
          </cell>
          <cell r="CT341">
            <v>4.8392563210277073E-2</v>
          </cell>
          <cell r="CU341">
            <v>4.7807127290038665E-2</v>
          </cell>
          <cell r="CV341">
            <v>4.7746714946882651E-2</v>
          </cell>
          <cell r="CW341">
            <v>4.7572018233237978E-2</v>
          </cell>
          <cell r="CX341">
            <v>4.7307327477482897E-2</v>
          </cell>
          <cell r="CY341">
            <v>4.6926459893151806E-2</v>
          </cell>
          <cell r="CZ341">
            <v>4.6808470682017989E-2</v>
          </cell>
          <cell r="DA341">
            <v>4.6603743595979186E-2</v>
          </cell>
          <cell r="DB341">
            <v>4.6353127392053217E-2</v>
          </cell>
          <cell r="DC341"/>
          <cell r="DD341" t="str">
            <v>NA</v>
          </cell>
          <cell r="DE341" t="str">
            <v>NA</v>
          </cell>
          <cell r="DF341">
            <v>0</v>
          </cell>
          <cell r="DG341">
            <v>0</v>
          </cell>
          <cell r="DH341">
            <v>0</v>
          </cell>
          <cell r="DI341">
            <v>0</v>
          </cell>
          <cell r="DJ341">
            <v>0</v>
          </cell>
          <cell r="DK341">
            <v>0</v>
          </cell>
          <cell r="DL341">
            <v>0</v>
          </cell>
          <cell r="DM341">
            <v>0</v>
          </cell>
          <cell r="DN341">
            <v>0</v>
          </cell>
          <cell r="DO341">
            <v>0</v>
          </cell>
        </row>
        <row r="342">
          <cell r="A342" t="str">
            <v>% growth seq</v>
          </cell>
          <cell r="B342"/>
          <cell r="C342" t="str">
            <v>NA</v>
          </cell>
          <cell r="D342" t="str">
            <v>NA</v>
          </cell>
          <cell r="E342" t="str">
            <v>NA</v>
          </cell>
          <cell r="F342" t="str">
            <v>NA</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cell r="BM342">
            <v>0</v>
          </cell>
          <cell r="BN342">
            <v>0</v>
          </cell>
          <cell r="BO342">
            <v>1.5667216197597238</v>
          </cell>
          <cell r="BP342">
            <v>-0.36653058621697643</v>
          </cell>
          <cell r="BQ342">
            <v>-8.5258919719234494E-2</v>
          </cell>
          <cell r="BR342">
            <v>-0.13079677919006416</v>
          </cell>
          <cell r="BS342">
            <v>613.34832029562153</v>
          </cell>
          <cell r="BT342">
            <v>0.84441674412013712</v>
          </cell>
          <cell r="BU342">
            <v>-8.5559708653430544E-2</v>
          </cell>
          <cell r="BV342">
            <v>0.39751415857046379</v>
          </cell>
          <cell r="BW342">
            <v>-0.44985430468942367</v>
          </cell>
          <cell r="BX342">
            <v>0.21176161046773556</v>
          </cell>
          <cell r="BY342">
            <v>-7.6903002848549895E-2</v>
          </cell>
          <cell r="BZ342">
            <v>-8.2014783333385743E-2</v>
          </cell>
          <cell r="CA342">
            <v>4.1709590367908778E-2</v>
          </cell>
          <cell r="CB342">
            <v>0.17154756450919284</v>
          </cell>
          <cell r="CC342">
            <v>1.6477316861126301E-2</v>
          </cell>
          <cell r="CD342">
            <v>0.62588568729841998</v>
          </cell>
          <cell r="CE342">
            <v>-3.3470542435213746E-2</v>
          </cell>
          <cell r="CF342">
            <v>-0.15085453619814571</v>
          </cell>
          <cell r="CG342">
            <v>-0.35381979380443307</v>
          </cell>
          <cell r="CH342">
            <v>1.5086952972604992</v>
          </cell>
          <cell r="CI342">
            <v>-0.60018645963969819</v>
          </cell>
          <cell r="CJ342">
            <v>0.26797201335449361</v>
          </cell>
          <cell r="CK342">
            <v>-0.17349750019118648</v>
          </cell>
          <cell r="CL342">
            <v>1.5053806907152265</v>
          </cell>
          <cell r="CM342">
            <v>-0.60006101262229827</v>
          </cell>
          <cell r="CN342">
            <v>0.267617975938516</v>
          </cell>
          <cell r="CO342">
            <v>-0.17361955349545133</v>
          </cell>
          <cell r="CP342">
            <v>1.5047430347013901</v>
          </cell>
          <cell r="CQ342">
            <v>-0.60020162829892643</v>
          </cell>
          <cell r="CR342">
            <v>0.26739263816494807</v>
          </cell>
          <cell r="CS342">
            <v>-0.17374240530662421</v>
          </cell>
          <cell r="CT342">
            <v>1.5041265109452908</v>
          </cell>
          <cell r="CU342">
            <v>-0.60042488086276569</v>
          </cell>
          <cell r="CV342">
            <v>0.2673195654047269</v>
          </cell>
          <cell r="CW342">
            <v>-0.1738801718911982</v>
          </cell>
          <cell r="CX342">
            <v>1.5034937915454289</v>
          </cell>
          <cell r="CY342">
            <v>-0.60057019180100879</v>
          </cell>
          <cell r="CZ342">
            <v>0.26717673776448181</v>
          </cell>
          <cell r="DA342">
            <v>-0.17404173831893011</v>
          </cell>
          <cell r="DB342">
            <v>1.5028943133623747</v>
          </cell>
          <cell r="DC342"/>
          <cell r="DD342"/>
          <cell r="DE342"/>
          <cell r="DF342"/>
          <cell r="DG342"/>
          <cell r="DH342"/>
          <cell r="DI342"/>
          <cell r="DJ342"/>
          <cell r="DK342"/>
          <cell r="DL342"/>
          <cell r="DM342"/>
          <cell r="DN342"/>
          <cell r="DO342"/>
        </row>
        <row r="343">
          <cell r="A343"/>
          <cell r="B343"/>
          <cell r="C343"/>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cell r="AD343"/>
          <cell r="AE343"/>
          <cell r="AF343"/>
          <cell r="AG343"/>
          <cell r="AH343"/>
          <cell r="AI343"/>
          <cell r="AJ343"/>
          <cell r="AK343"/>
          <cell r="AL343"/>
          <cell r="AM343"/>
          <cell r="AN343"/>
          <cell r="AO343"/>
          <cell r="AP343"/>
          <cell r="AQ343"/>
          <cell r="AR343"/>
          <cell r="AS343"/>
          <cell r="AT343"/>
          <cell r="AU343"/>
          <cell r="AV343"/>
          <cell r="AW343"/>
          <cell r="AX343"/>
          <cell r="AY343"/>
          <cell r="AZ343"/>
          <cell r="BA343"/>
          <cell r="BB343"/>
          <cell r="BC343"/>
          <cell r="BD343"/>
          <cell r="BE343"/>
          <cell r="BF343"/>
          <cell r="BG343"/>
          <cell r="BH343"/>
          <cell r="BI343"/>
          <cell r="BJ343"/>
          <cell r="BK343"/>
          <cell r="BL343"/>
          <cell r="BM343"/>
          <cell r="BN343"/>
          <cell r="BO343"/>
          <cell r="BP343"/>
          <cell r="BQ343"/>
          <cell r="BR343"/>
          <cell r="BS343"/>
          <cell r="BT343"/>
          <cell r="BU343"/>
          <cell r="BV343"/>
          <cell r="BW343"/>
          <cell r="BX343"/>
          <cell r="BY343"/>
          <cell r="BZ343"/>
          <cell r="CA343"/>
          <cell r="CB343"/>
          <cell r="CC343"/>
          <cell r="CD343"/>
          <cell r="CE343"/>
          <cell r="CF343"/>
          <cell r="CG343"/>
          <cell r="CH343"/>
          <cell r="CI343"/>
          <cell r="CJ343"/>
          <cell r="CK343"/>
          <cell r="CL343"/>
          <cell r="CM343"/>
          <cell r="CN343"/>
          <cell r="CO343"/>
          <cell r="CP343"/>
          <cell r="CQ343"/>
          <cell r="CR343"/>
          <cell r="CS343"/>
          <cell r="CT343"/>
          <cell r="CU343"/>
          <cell r="CV343"/>
          <cell r="CW343"/>
          <cell r="CX343"/>
          <cell r="CY343"/>
          <cell r="CZ343"/>
          <cell r="DA343"/>
          <cell r="DB343"/>
          <cell r="DC343"/>
          <cell r="DD343"/>
          <cell r="DE343"/>
          <cell r="DF343"/>
          <cell r="DG343"/>
          <cell r="DH343"/>
          <cell r="DI343"/>
          <cell r="DJ343"/>
          <cell r="DK343"/>
          <cell r="DL343"/>
          <cell r="DM343"/>
          <cell r="DN343"/>
          <cell r="DO343"/>
        </row>
        <row r="344">
          <cell r="A344" t="str">
            <v>WS product</v>
          </cell>
          <cell r="B344"/>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cell r="BM344">
            <v>0</v>
          </cell>
          <cell r="BN344">
            <v>0</v>
          </cell>
          <cell r="BO344">
            <v>91.998671546684449</v>
          </cell>
          <cell r="BP344">
            <v>6.8760592384496153</v>
          </cell>
          <cell r="BQ344">
            <v>15.136612019624387</v>
          </cell>
          <cell r="BR344">
            <v>10.20596914577939</v>
          </cell>
          <cell r="BS344">
            <v>92.145130455124459</v>
          </cell>
          <cell r="BT344">
            <v>98.76870692649706</v>
          </cell>
          <cell r="BU344">
            <v>102.2049393267154</v>
          </cell>
          <cell r="BV344">
            <v>157.38718016102612</v>
          </cell>
          <cell r="BW344">
            <v>87.484112790544003</v>
          </cell>
          <cell r="BX344">
            <v>97.099692022696658</v>
          </cell>
          <cell r="BY344">
            <v>100.23119611177169</v>
          </cell>
          <cell r="BZ344">
            <v>142.19817803180638</v>
          </cell>
          <cell r="CA344">
            <v>97.699261997652172</v>
          </cell>
          <cell r="CB344">
            <v>110.85174016177427</v>
          </cell>
          <cell r="CC344">
            <v>116.26596554660618</v>
          </cell>
          <cell r="CD344">
            <v>195.04944586257068</v>
          </cell>
          <cell r="CE344">
            <v>125.45264493030075</v>
          </cell>
          <cell r="CF344">
            <v>202.60474862315823</v>
          </cell>
          <cell r="CG344">
            <v>217.62459838669992</v>
          </cell>
          <cell r="CH344">
            <v>339.72932870317334</v>
          </cell>
          <cell r="CI344">
            <v>155.5027407884761</v>
          </cell>
          <cell r="CJ344">
            <v>205.04264504575627</v>
          </cell>
          <cell r="CK344">
            <v>193.87164237437764</v>
          </cell>
          <cell r="CL344">
            <v>411.34993277444062</v>
          </cell>
          <cell r="CM344">
            <v>195.23232181786233</v>
          </cell>
          <cell r="CN344">
            <v>249.18839463924877</v>
          </cell>
          <cell r="CO344">
            <v>230.36707456865162</v>
          </cell>
          <cell r="CP344">
            <v>483.63567001469028</v>
          </cell>
          <cell r="CQ344">
            <v>239.64676031849285</v>
          </cell>
          <cell r="CR344">
            <v>298.77362806978738</v>
          </cell>
          <cell r="CS344">
            <v>272.63241323862974</v>
          </cell>
          <cell r="CT344">
            <v>564.40778196844713</v>
          </cell>
          <cell r="CU344">
            <v>282.28643993279707</v>
          </cell>
          <cell r="CV344">
            <v>344.87494994132601</v>
          </cell>
          <cell r="CW344">
            <v>312.04836069023509</v>
          </cell>
          <cell r="CX344">
            <v>633.89264331273046</v>
          </cell>
          <cell r="CY344">
            <v>313.58053153922231</v>
          </cell>
          <cell r="CZ344">
            <v>377.20776095155423</v>
          </cell>
          <cell r="DA344">
            <v>340.32894892120026</v>
          </cell>
          <cell r="DB344">
            <v>676.51790293507918</v>
          </cell>
          <cell r="DC344"/>
          <cell r="DD344"/>
          <cell r="DE344">
            <v>0</v>
          </cell>
          <cell r="DF344">
            <v>0</v>
          </cell>
          <cell r="DG344">
            <v>0</v>
          </cell>
          <cell r="DH344">
            <v>0</v>
          </cell>
          <cell r="DI344">
            <v>0</v>
          </cell>
          <cell r="DJ344">
            <v>0</v>
          </cell>
          <cell r="DK344">
            <v>0</v>
          </cell>
          <cell r="DL344">
            <v>0</v>
          </cell>
          <cell r="DM344">
            <v>0</v>
          </cell>
          <cell r="DN344">
            <v>0</v>
          </cell>
          <cell r="DO344">
            <v>0</v>
          </cell>
        </row>
        <row r="345">
          <cell r="A345" t="str">
            <v>% growth y-o-y</v>
          </cell>
          <cell r="B345"/>
          <cell r="C345" t="str">
            <v>NA</v>
          </cell>
          <cell r="D345" t="str">
            <v>NA</v>
          </cell>
          <cell r="E345" t="str">
            <v>NA</v>
          </cell>
          <cell r="F345" t="str">
            <v>NA</v>
          </cell>
          <cell r="G345" t="str">
            <v>NA</v>
          </cell>
          <cell r="H345" t="str">
            <v>NA</v>
          </cell>
          <cell r="I345" t="str">
            <v>NA</v>
          </cell>
          <cell r="J345" t="str">
            <v>NA</v>
          </cell>
          <cell r="K345" t="str">
            <v>NA</v>
          </cell>
          <cell r="L345" t="str">
            <v>NA</v>
          </cell>
          <cell r="M345" t="str">
            <v>NA</v>
          </cell>
          <cell r="N345" t="str">
            <v>NA</v>
          </cell>
          <cell r="O345" t="str">
            <v>NA</v>
          </cell>
          <cell r="P345" t="str">
            <v>NA</v>
          </cell>
          <cell r="Q345" t="str">
            <v>NA</v>
          </cell>
          <cell r="R345" t="str">
            <v>NA</v>
          </cell>
          <cell r="S345" t="str">
            <v>NA</v>
          </cell>
          <cell r="T345" t="str">
            <v>NA</v>
          </cell>
          <cell r="U345" t="str">
            <v>NA</v>
          </cell>
          <cell r="V345" t="str">
            <v>NA</v>
          </cell>
          <cell r="W345" t="str">
            <v>NA</v>
          </cell>
          <cell r="X345" t="str">
            <v>NA</v>
          </cell>
          <cell r="Y345" t="str">
            <v>NA</v>
          </cell>
          <cell r="Z345" t="str">
            <v>NA</v>
          </cell>
          <cell r="AA345" t="str">
            <v>NA</v>
          </cell>
          <cell r="AB345" t="str">
            <v>NA</v>
          </cell>
          <cell r="AC345" t="str">
            <v>NA</v>
          </cell>
          <cell r="AD345" t="str">
            <v>NA</v>
          </cell>
          <cell r="AE345" t="str">
            <v>NA</v>
          </cell>
          <cell r="AF345" t="str">
            <v>NA</v>
          </cell>
          <cell r="AG345" t="str">
            <v>NA</v>
          </cell>
          <cell r="AH345" t="str">
            <v>NA</v>
          </cell>
          <cell r="AI345" t="str">
            <v>NA</v>
          </cell>
          <cell r="AJ345" t="str">
            <v>NA</v>
          </cell>
          <cell r="AK345" t="str">
            <v>NA</v>
          </cell>
          <cell r="AL345" t="str">
            <v>NA</v>
          </cell>
          <cell r="AM345" t="str">
            <v>NA</v>
          </cell>
          <cell r="AN345" t="str">
            <v>NA</v>
          </cell>
          <cell r="AO345" t="str">
            <v>NA</v>
          </cell>
          <cell r="AP345" t="str">
            <v>NA</v>
          </cell>
          <cell r="AQ345" t="str">
            <v>NA</v>
          </cell>
          <cell r="AR345" t="str">
            <v>NA</v>
          </cell>
          <cell r="AS345" t="str">
            <v>NA</v>
          </cell>
          <cell r="AT345" t="str">
            <v>NA</v>
          </cell>
          <cell r="AU345" t="str">
            <v>NA</v>
          </cell>
          <cell r="AV345" t="str">
            <v>NA</v>
          </cell>
          <cell r="AW345" t="str">
            <v>NA</v>
          </cell>
          <cell r="AX345" t="str">
            <v>NA</v>
          </cell>
          <cell r="AY345" t="str">
            <v>NA</v>
          </cell>
          <cell r="AZ345" t="str">
            <v>NA</v>
          </cell>
          <cell r="BA345" t="str">
            <v>NA</v>
          </cell>
          <cell r="BB345" t="str">
            <v>NA</v>
          </cell>
          <cell r="BC345" t="str">
            <v>NA</v>
          </cell>
          <cell r="BD345" t="str">
            <v>NA</v>
          </cell>
          <cell r="BE345" t="str">
            <v>NA</v>
          </cell>
          <cell r="BF345" t="str">
            <v>NA</v>
          </cell>
          <cell r="BG345" t="str">
            <v>NA</v>
          </cell>
          <cell r="BH345" t="str">
            <v>NA</v>
          </cell>
          <cell r="BI345" t="str">
            <v>NA</v>
          </cell>
          <cell r="BJ345" t="str">
            <v>NA</v>
          </cell>
          <cell r="BK345" t="str">
            <v>NA</v>
          </cell>
          <cell r="BL345" t="str">
            <v>NA</v>
          </cell>
          <cell r="BM345" t="str">
            <v>NA</v>
          </cell>
          <cell r="BN345" t="str">
            <v>NA</v>
          </cell>
          <cell r="BO345" t="str">
            <v>NA</v>
          </cell>
          <cell r="BP345" t="str">
            <v>NA</v>
          </cell>
          <cell r="BQ345" t="str">
            <v>NA</v>
          </cell>
          <cell r="BR345" t="str">
            <v>NA</v>
          </cell>
          <cell r="BS345">
            <v>1.5919676445077524E-3</v>
          </cell>
          <cell r="BT345">
            <v>13.364144272376427</v>
          </cell>
          <cell r="BU345">
            <v>5.7521674727612924</v>
          </cell>
          <cell r="BV345">
            <v>14.421091119613322</v>
          </cell>
          <cell r="BW345">
            <v>-5.0583439857957768E-2</v>
          </cell>
          <cell r="BX345">
            <v>-1.6898215596185429E-2</v>
          </cell>
          <cell r="BY345">
            <v>-1.9311622588359501E-2</v>
          </cell>
          <cell r="BZ345">
            <v>-9.6507238478251933E-2</v>
          </cell>
          <cell r="CA345">
            <v>0.11676576330568111</v>
          </cell>
          <cell r="CB345">
            <v>0.14162813344313308</v>
          </cell>
          <cell r="CC345">
            <v>0.15997783182147707</v>
          </cell>
          <cell r="CD345">
            <v>0.37167331229056066</v>
          </cell>
          <cell r="CE345">
            <v>0.28406952483751136</v>
          </cell>
          <cell r="CF345">
            <v>0.82770922971061966</v>
          </cell>
          <cell r="CG345">
            <v>0.87178248908502187</v>
          </cell>
          <cell r="CH345">
            <v>0.74176003013380631</v>
          </cell>
          <cell r="CI345">
            <v>0.23953337831076138</v>
          </cell>
          <cell r="CJ345">
            <v>1.2032770402299331E-2</v>
          </cell>
          <cell r="CK345">
            <v>-0.10914646684431939</v>
          </cell>
          <cell r="CL345">
            <v>0.21081666497461371</v>
          </cell>
          <cell r="CM345">
            <v>0.25549119473996096</v>
          </cell>
          <cell r="CN345">
            <v>0.21530033219987565</v>
          </cell>
          <cell r="CO345">
            <v>0.18824533463124604</v>
          </cell>
          <cell r="CP345">
            <v>0.17572808813338692</v>
          </cell>
          <cell r="CQ345">
            <v>0.22749531474642803</v>
          </cell>
          <cell r="CR345">
            <v>0.19898692915584371</v>
          </cell>
          <cell r="CS345">
            <v>0.18346952900763891</v>
          </cell>
          <cell r="CT345">
            <v>0.16701024544220111</v>
          </cell>
          <cell r="CU345">
            <v>0.17792721068974893</v>
          </cell>
          <cell r="CV345">
            <v>0.15430184440766737</v>
          </cell>
          <cell r="CW345">
            <v>0.14457542660969436</v>
          </cell>
          <cell r="CX345">
            <v>0.12311109726720226</v>
          </cell>
          <cell r="CY345">
            <v>0.11085935128118551</v>
          </cell>
          <cell r="CZ345">
            <v>9.3752274601936358E-2</v>
          </cell>
          <cell r="DA345">
            <v>9.0628863322370856E-2</v>
          </cell>
          <cell r="DB345">
            <v>6.7243657221810693E-2</v>
          </cell>
          <cell r="DC345"/>
          <cell r="DD345" t="str">
            <v>NA</v>
          </cell>
          <cell r="DE345" t="str">
            <v>NA</v>
          </cell>
          <cell r="DF345" t="str">
            <v>NA</v>
          </cell>
          <cell r="DG345" t="str">
            <v>NA</v>
          </cell>
          <cell r="DH345" t="str">
            <v>NA</v>
          </cell>
          <cell r="DI345" t="str">
            <v>NA</v>
          </cell>
          <cell r="DJ345" t="str">
            <v>NA</v>
          </cell>
          <cell r="DK345" t="str">
            <v>NA</v>
          </cell>
          <cell r="DL345" t="str">
            <v>NA</v>
          </cell>
          <cell r="DM345" t="str">
            <v>NA</v>
          </cell>
          <cell r="DN345" t="str">
            <v>NA</v>
          </cell>
          <cell r="DO345" t="str">
            <v>NA</v>
          </cell>
        </row>
        <row r="346">
          <cell r="A346" t="str">
            <v>% growth seq</v>
          </cell>
          <cell r="B346"/>
          <cell r="C346" t="str">
            <v>NA</v>
          </cell>
          <cell r="D346" t="str">
            <v>NA</v>
          </cell>
          <cell r="E346" t="str">
            <v>NA</v>
          </cell>
          <cell r="F346" t="str">
            <v>NA</v>
          </cell>
          <cell r="G346" t="str">
            <v>NA</v>
          </cell>
          <cell r="H346" t="str">
            <v>NA</v>
          </cell>
          <cell r="I346" t="str">
            <v>NA</v>
          </cell>
          <cell r="J346" t="str">
            <v>NA</v>
          </cell>
          <cell r="K346" t="str">
            <v>NA</v>
          </cell>
          <cell r="L346" t="str">
            <v>NA</v>
          </cell>
          <cell r="M346" t="str">
            <v>NA</v>
          </cell>
          <cell r="N346" t="str">
            <v>NA</v>
          </cell>
          <cell r="O346" t="str">
            <v>NA</v>
          </cell>
          <cell r="P346" t="str">
            <v>NA</v>
          </cell>
          <cell r="Q346" t="str">
            <v>NA</v>
          </cell>
          <cell r="R346" t="str">
            <v>NA</v>
          </cell>
          <cell r="S346" t="str">
            <v>NA</v>
          </cell>
          <cell r="T346" t="str">
            <v>NA</v>
          </cell>
          <cell r="U346" t="str">
            <v>NA</v>
          </cell>
          <cell r="V346" t="str">
            <v>NA</v>
          </cell>
          <cell r="W346" t="str">
            <v>NA</v>
          </cell>
          <cell r="X346" t="str">
            <v>NA</v>
          </cell>
          <cell r="Y346" t="str">
            <v>NA</v>
          </cell>
          <cell r="Z346" t="str">
            <v>NA</v>
          </cell>
          <cell r="AA346" t="str">
            <v>NA</v>
          </cell>
          <cell r="AB346" t="str">
            <v>NA</v>
          </cell>
          <cell r="AC346" t="str">
            <v>NA</v>
          </cell>
          <cell r="AD346" t="str">
            <v>NA</v>
          </cell>
          <cell r="AE346" t="str">
            <v>NA</v>
          </cell>
          <cell r="AF346" t="str">
            <v>NA</v>
          </cell>
          <cell r="AG346" t="str">
            <v>NA</v>
          </cell>
          <cell r="AH346" t="str">
            <v>NA</v>
          </cell>
          <cell r="AI346" t="str">
            <v>NA</v>
          </cell>
          <cell r="AJ346" t="str">
            <v>NA</v>
          </cell>
          <cell r="AK346" t="str">
            <v>NA</v>
          </cell>
          <cell r="AL346" t="str">
            <v>NA</v>
          </cell>
          <cell r="AM346" t="str">
            <v>NA</v>
          </cell>
          <cell r="AN346" t="str">
            <v>NA</v>
          </cell>
          <cell r="AO346" t="str">
            <v>NA</v>
          </cell>
          <cell r="AP346" t="str">
            <v>NA</v>
          </cell>
          <cell r="AQ346" t="str">
            <v>NA</v>
          </cell>
          <cell r="AR346" t="str">
            <v>NA</v>
          </cell>
          <cell r="AS346" t="str">
            <v>NA</v>
          </cell>
          <cell r="AT346" t="str">
            <v>NA</v>
          </cell>
          <cell r="AU346" t="str">
            <v>NA</v>
          </cell>
          <cell r="AV346" t="str">
            <v>NA</v>
          </cell>
          <cell r="AW346" t="str">
            <v>NA</v>
          </cell>
          <cell r="AX346" t="str">
            <v>NA</v>
          </cell>
          <cell r="AY346" t="str">
            <v>NA</v>
          </cell>
          <cell r="AZ346" t="str">
            <v>NA</v>
          </cell>
          <cell r="BA346" t="str">
            <v>NA</v>
          </cell>
          <cell r="BB346" t="str">
            <v>NA</v>
          </cell>
          <cell r="BC346" t="str">
            <v>NA</v>
          </cell>
          <cell r="BD346" t="str">
            <v>NA</v>
          </cell>
          <cell r="BE346" t="str">
            <v>NA</v>
          </cell>
          <cell r="BF346" t="str">
            <v>NA</v>
          </cell>
          <cell r="BG346" t="str">
            <v>NA</v>
          </cell>
          <cell r="BH346" t="str">
            <v>NA</v>
          </cell>
          <cell r="BI346" t="str">
            <v>NA</v>
          </cell>
          <cell r="BJ346" t="str">
            <v>NA</v>
          </cell>
          <cell r="BK346" t="str">
            <v>NA</v>
          </cell>
          <cell r="BL346" t="str">
            <v>NA</v>
          </cell>
          <cell r="BM346" t="str">
            <v>NA</v>
          </cell>
          <cell r="BN346" t="str">
            <v>NA</v>
          </cell>
          <cell r="BO346" t="str">
            <v>NA</v>
          </cell>
          <cell r="BP346">
            <v>-0.92525914643277885</v>
          </cell>
          <cell r="BQ346">
            <v>1.201349856758553</v>
          </cell>
          <cell r="BR346">
            <v>-0.32574283250786196</v>
          </cell>
          <cell r="BS346">
            <v>8.0285527164493207</v>
          </cell>
          <cell r="BT346">
            <v>7.1882002213869978E-2</v>
          </cell>
          <cell r="BU346">
            <v>3.4790699475042874E-2</v>
          </cell>
          <cell r="BV346">
            <v>0.53991755386607432</v>
          </cell>
          <cell r="BW346">
            <v>-0.44414714908141073</v>
          </cell>
          <cell r="BX346">
            <v>0.10991229064841113</v>
          </cell>
          <cell r="BY346">
            <v>3.2250401868865408E-2</v>
          </cell>
          <cell r="BZ346">
            <v>0.4187017969259359</v>
          </cell>
          <cell r="CA346">
            <v>-0.31293590853323627</v>
          </cell>
          <cell r="CB346">
            <v>0.13462208306586976</v>
          </cell>
          <cell r="CC346">
            <v>4.8842042325456747E-2</v>
          </cell>
          <cell r="CD346">
            <v>0.67761429534065565</v>
          </cell>
          <cell r="CE346">
            <v>-0.35681619409114829</v>
          </cell>
          <cell r="CF346">
            <v>0.61498985322885624</v>
          </cell>
          <cell r="CG346">
            <v>7.4133749902764556E-2</v>
          </cell>
          <cell r="CH346">
            <v>0.56107963539812711</v>
          </cell>
          <cell r="CI346">
            <v>-0.54227460613404621</v>
          </cell>
          <cell r="CJ346">
            <v>0.31857897813304303</v>
          </cell>
          <cell r="CK346">
            <v>-5.4481362493571828E-2</v>
          </cell>
          <cell r="CL346">
            <v>1.1217643165166957</v>
          </cell>
          <cell r="CM346">
            <v>-0.5253862799950525</v>
          </cell>
          <cell r="CN346">
            <v>0.27636854553071166</v>
          </cell>
          <cell r="CO346">
            <v>-7.5530484065459258E-2</v>
          </cell>
          <cell r="CP346">
            <v>1.0994131688318252</v>
          </cell>
          <cell r="CQ346">
            <v>-0.50448907064440962</v>
          </cell>
          <cell r="CR346">
            <v>0.2467250868432953</v>
          </cell>
          <cell r="CS346">
            <v>-8.7495054366215963E-2</v>
          </cell>
          <cell r="CT346">
            <v>1.0702152589407343</v>
          </cell>
          <cell r="CU346">
            <v>-0.49985374236286106</v>
          </cell>
          <cell r="CV346">
            <v>0.2217198602363939</v>
          </cell>
          <cell r="CW346">
            <v>-9.5184034841254039E-2</v>
          </cell>
          <cell r="CX346">
            <v>1.0313923198013031</v>
          </cell>
          <cell r="CY346">
            <v>-0.50530971632602206</v>
          </cell>
          <cell r="CZ346">
            <v>0.20290554742035538</v>
          </cell>
          <cell r="DA346">
            <v>-9.7767903654268684E-2</v>
          </cell>
          <cell r="DB346">
            <v>0.98783531368564259</v>
          </cell>
          <cell r="DC346"/>
          <cell r="DD346"/>
          <cell r="DE346"/>
          <cell r="DF346"/>
          <cell r="DG346"/>
          <cell r="DH346"/>
          <cell r="DI346"/>
          <cell r="DJ346"/>
          <cell r="DK346"/>
          <cell r="DL346"/>
          <cell r="DM346"/>
          <cell r="DN346"/>
          <cell r="DO346"/>
        </row>
        <row r="347">
          <cell r="A347"/>
          <cell r="B347"/>
          <cell r="C347"/>
          <cell r="D347"/>
          <cell r="E347"/>
          <cell r="F347"/>
          <cell r="G347"/>
          <cell r="H347"/>
          <cell r="I347"/>
          <cell r="J347"/>
          <cell r="K347"/>
          <cell r="L347"/>
          <cell r="M347"/>
          <cell r="N347"/>
          <cell r="O347"/>
          <cell r="P347"/>
          <cell r="Q347"/>
          <cell r="R347"/>
          <cell r="S347"/>
          <cell r="T347"/>
          <cell r="U347"/>
          <cell r="V347"/>
          <cell r="W347"/>
          <cell r="X347"/>
          <cell r="Y347"/>
          <cell r="Z347"/>
          <cell r="AA347"/>
          <cell r="AB347"/>
          <cell r="AC347"/>
          <cell r="AD347"/>
          <cell r="AE347"/>
          <cell r="AF347"/>
          <cell r="AG347"/>
          <cell r="AH347"/>
          <cell r="AI347"/>
          <cell r="AJ347"/>
          <cell r="AK347"/>
          <cell r="AL347"/>
          <cell r="AM347"/>
          <cell r="AN347"/>
          <cell r="AO347"/>
          <cell r="AP347"/>
          <cell r="AQ347"/>
          <cell r="AR347"/>
          <cell r="AS347"/>
          <cell r="AT347"/>
          <cell r="AU347"/>
          <cell r="AV347"/>
          <cell r="AW347"/>
          <cell r="AX347"/>
          <cell r="AY347"/>
          <cell r="AZ347"/>
          <cell r="BA347"/>
          <cell r="BB347"/>
          <cell r="BC347"/>
          <cell r="BD347"/>
          <cell r="BE347"/>
          <cell r="BF347"/>
          <cell r="BG347"/>
          <cell r="BH347"/>
          <cell r="BI347"/>
          <cell r="BJ347"/>
          <cell r="BK347"/>
          <cell r="BL347"/>
          <cell r="BM347"/>
          <cell r="BN347"/>
          <cell r="BO347"/>
          <cell r="BP347"/>
          <cell r="BQ347"/>
          <cell r="BR347"/>
          <cell r="BS347"/>
          <cell r="BT347"/>
          <cell r="BU347"/>
          <cell r="BV347"/>
          <cell r="BW347"/>
          <cell r="BX347"/>
          <cell r="BY347"/>
          <cell r="BZ347"/>
          <cell r="CA347"/>
          <cell r="CB347"/>
          <cell r="CC347"/>
          <cell r="CD347"/>
          <cell r="CE347"/>
          <cell r="CF347"/>
          <cell r="CG347"/>
          <cell r="CH347"/>
          <cell r="CI347"/>
          <cell r="CJ347"/>
          <cell r="CK347"/>
          <cell r="CL347"/>
          <cell r="CM347"/>
          <cell r="CN347"/>
          <cell r="CO347"/>
          <cell r="CP347"/>
          <cell r="CQ347"/>
          <cell r="CR347"/>
          <cell r="CS347"/>
          <cell r="CT347"/>
          <cell r="CU347"/>
          <cell r="CV347"/>
          <cell r="CW347"/>
          <cell r="CX347"/>
          <cell r="CY347"/>
          <cell r="CZ347"/>
          <cell r="DA347"/>
          <cell r="DB347"/>
          <cell r="DC347"/>
          <cell r="DD347"/>
          <cell r="DE347"/>
          <cell r="DF347"/>
          <cell r="DG347"/>
          <cell r="DH347"/>
          <cell r="DI347"/>
          <cell r="DJ347"/>
          <cell r="DK347"/>
          <cell r="DL347"/>
          <cell r="DM347"/>
          <cell r="DN347"/>
          <cell r="DO347"/>
        </row>
        <row r="348">
          <cell r="A348" t="str">
            <v>WS subscriptions bookings</v>
          </cell>
          <cell r="B348"/>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0</v>
          </cell>
          <cell r="BN348">
            <v>0</v>
          </cell>
          <cell r="BO348">
            <v>91.998671546684449</v>
          </cell>
          <cell r="BP348">
            <v>6.8760592384496153</v>
          </cell>
          <cell r="BQ348">
            <v>15.136612019624387</v>
          </cell>
          <cell r="BR348">
            <v>10.20596914577939</v>
          </cell>
          <cell r="BS348">
            <v>14.741984257027296</v>
          </cell>
          <cell r="BT348">
            <v>8.9785875832459663</v>
          </cell>
          <cell r="BU348">
            <v>24.008847306307267</v>
          </cell>
          <cell r="BV348">
            <v>31.705169997335744</v>
          </cell>
          <cell r="BW348">
            <v>19.700180710786306</v>
          </cell>
          <cell r="BX348">
            <v>14.412362339897616</v>
          </cell>
          <cell r="BY348">
            <v>25.003132479522904</v>
          </cell>
          <cell r="BZ348">
            <v>18.445572726679117</v>
          </cell>
          <cell r="CA348">
            <v>34.108136582574673</v>
          </cell>
          <cell r="CB348">
            <v>33.236899483673618</v>
          </cell>
          <cell r="CC348">
            <v>39.467727483702596</v>
          </cell>
          <cell r="CD348">
            <v>78.086139008258726</v>
          </cell>
          <cell r="CE348">
            <v>55.765779574076134</v>
          </cell>
          <cell r="CF348">
            <v>101.2710891485436</v>
          </cell>
          <cell r="CG348">
            <v>124.54117708742595</v>
          </cell>
          <cell r="CH348">
            <v>210.73271617395704</v>
          </cell>
          <cell r="CI348">
            <v>117.31948688038014</v>
          </cell>
          <cell r="CJ348">
            <v>156.55222049087405</v>
          </cell>
          <cell r="CK348">
            <v>153.81471311362887</v>
          </cell>
          <cell r="CL348">
            <v>310.87097820571898</v>
          </cell>
          <cell r="CM348">
            <v>168.50404408219515</v>
          </cell>
          <cell r="CN348">
            <v>215.25317918825704</v>
          </cell>
          <cell r="CO348">
            <v>202.3405430151067</v>
          </cell>
          <cell r="CP348">
            <v>413.35039051514536</v>
          </cell>
          <cell r="CQ348">
            <v>225.62767874877977</v>
          </cell>
          <cell r="CR348">
            <v>280.97863843040398</v>
          </cell>
          <cell r="CS348">
            <v>257.93924306805309</v>
          </cell>
          <cell r="CT348">
            <v>527.56859500558505</v>
          </cell>
          <cell r="CU348">
            <v>272.49145108161036</v>
          </cell>
          <cell r="CV348">
            <v>332.44462201029478</v>
          </cell>
          <cell r="CW348">
            <v>301.78708647658755</v>
          </cell>
          <cell r="CX348">
            <v>608.17108756085884</v>
          </cell>
          <cell r="CY348">
            <v>303.32438344324805</v>
          </cell>
          <cell r="CZ348">
            <v>364.1951251767282</v>
          </cell>
          <cell r="DA348">
            <v>329.58938126327564</v>
          </cell>
          <cell r="DB348">
            <v>649.60342133594918</v>
          </cell>
          <cell r="DC348"/>
          <cell r="DD348"/>
          <cell r="DE348">
            <v>0</v>
          </cell>
          <cell r="DF348">
            <v>0</v>
          </cell>
          <cell r="DG348">
            <v>0</v>
          </cell>
          <cell r="DH348">
            <v>0</v>
          </cell>
          <cell r="DI348">
            <v>0</v>
          </cell>
          <cell r="DJ348">
            <v>0</v>
          </cell>
          <cell r="DK348">
            <v>0</v>
          </cell>
          <cell r="DL348">
            <v>0</v>
          </cell>
          <cell r="DM348">
            <v>0</v>
          </cell>
          <cell r="DN348">
            <v>0</v>
          </cell>
          <cell r="DO348">
            <v>0</v>
          </cell>
        </row>
        <row r="349">
          <cell r="A349" t="str">
            <v>% of total product bookings</v>
          </cell>
          <cell r="B349"/>
          <cell r="C349" t="e">
            <v>#DIV/0!</v>
          </cell>
          <cell r="D349" t="e">
            <v>#DIV/0!</v>
          </cell>
          <cell r="E349" t="e">
            <v>#DIV/0!</v>
          </cell>
          <cell r="F349" t="e">
            <v>#DIV/0!</v>
          </cell>
          <cell r="G349" t="e">
            <v>#DIV/0!</v>
          </cell>
          <cell r="H349" t="e">
            <v>#DIV/0!</v>
          </cell>
          <cell r="I349" t="e">
            <v>#DIV/0!</v>
          </cell>
          <cell r="J349" t="e">
            <v>#DIV/0!</v>
          </cell>
          <cell r="K349" t="e">
            <v>#DIV/0!</v>
          </cell>
          <cell r="L349" t="e">
            <v>#DIV/0!</v>
          </cell>
          <cell r="M349" t="e">
            <v>#DIV/0!</v>
          </cell>
          <cell r="N349" t="e">
            <v>#DIV/0!</v>
          </cell>
          <cell r="O349" t="e">
            <v>#DIV/0!</v>
          </cell>
          <cell r="P349" t="e">
            <v>#DIV/0!</v>
          </cell>
          <cell r="Q349" t="e">
            <v>#DIV/0!</v>
          </cell>
          <cell r="R349" t="e">
            <v>#DIV/0!</v>
          </cell>
          <cell r="S349" t="e">
            <v>#DIV/0!</v>
          </cell>
          <cell r="T349" t="e">
            <v>#DIV/0!</v>
          </cell>
          <cell r="U349" t="e">
            <v>#DIV/0!</v>
          </cell>
          <cell r="V349" t="e">
            <v>#DIV/0!</v>
          </cell>
          <cell r="W349" t="e">
            <v>#DIV/0!</v>
          </cell>
          <cell r="X349" t="e">
            <v>#DIV/0!</v>
          </cell>
          <cell r="Y349" t="e">
            <v>#DIV/0!</v>
          </cell>
          <cell r="Z349" t="e">
            <v>#DIV/0!</v>
          </cell>
          <cell r="AA349" t="e">
            <v>#DIV/0!</v>
          </cell>
          <cell r="AB349" t="e">
            <v>#DIV/0!</v>
          </cell>
          <cell r="AC349" t="e">
            <v>#DIV/0!</v>
          </cell>
          <cell r="AD349" t="e">
            <v>#DIV/0!</v>
          </cell>
          <cell r="AE349" t="e">
            <v>#DIV/0!</v>
          </cell>
          <cell r="AF349" t="e">
            <v>#DIV/0!</v>
          </cell>
          <cell r="AG349" t="e">
            <v>#DIV/0!</v>
          </cell>
          <cell r="AH349" t="e">
            <v>#DIV/0!</v>
          </cell>
          <cell r="AI349" t="e">
            <v>#DIV/0!</v>
          </cell>
          <cell r="AJ349" t="e">
            <v>#DIV/0!</v>
          </cell>
          <cell r="AK349" t="e">
            <v>#DIV/0!</v>
          </cell>
          <cell r="AL349" t="e">
            <v>#DIV/0!</v>
          </cell>
          <cell r="AM349" t="e">
            <v>#DIV/0!</v>
          </cell>
          <cell r="AN349" t="e">
            <v>#DIV/0!</v>
          </cell>
          <cell r="AO349" t="e">
            <v>#DIV/0!</v>
          </cell>
          <cell r="AP349" t="e">
            <v>#DIV/0!</v>
          </cell>
          <cell r="AQ349" t="e">
            <v>#DIV/0!</v>
          </cell>
          <cell r="AR349" t="e">
            <v>#DIV/0!</v>
          </cell>
          <cell r="AS349" t="e">
            <v>#DIV/0!</v>
          </cell>
          <cell r="AT349" t="e">
            <v>#DIV/0!</v>
          </cell>
          <cell r="AU349" t="e">
            <v>#DIV/0!</v>
          </cell>
          <cell r="AV349" t="e">
            <v>#DIV/0!</v>
          </cell>
          <cell r="AW349" t="e">
            <v>#DIV/0!</v>
          </cell>
          <cell r="AX349" t="e">
            <v>#DIV/0!</v>
          </cell>
          <cell r="AY349" t="e">
            <v>#DIV/0!</v>
          </cell>
          <cell r="AZ349" t="e">
            <v>#DIV/0!</v>
          </cell>
          <cell r="BA349" t="e">
            <v>#DIV/0!</v>
          </cell>
          <cell r="BB349" t="e">
            <v>#DIV/0!</v>
          </cell>
          <cell r="BC349" t="e">
            <v>#DIV/0!</v>
          </cell>
          <cell r="BD349" t="e">
            <v>#DIV/0!</v>
          </cell>
          <cell r="BE349" t="e">
            <v>#DIV/0!</v>
          </cell>
          <cell r="BF349" t="e">
            <v>#DIV/0!</v>
          </cell>
          <cell r="BG349" t="e">
            <v>#DIV/0!</v>
          </cell>
          <cell r="BH349" t="e">
            <v>#DIV/0!</v>
          </cell>
          <cell r="BI349" t="e">
            <v>#DIV/0!</v>
          </cell>
          <cell r="BJ349" t="e">
            <v>#DIV/0!</v>
          </cell>
          <cell r="BK349" t="e">
            <v>#DIV/0!</v>
          </cell>
          <cell r="BL349" t="e">
            <v>#DIV/0!</v>
          </cell>
          <cell r="BM349" t="e">
            <v>#DIV/0!</v>
          </cell>
          <cell r="BN349" t="e">
            <v>#DIV/0!</v>
          </cell>
          <cell r="BO349">
            <v>1</v>
          </cell>
          <cell r="BP349">
            <v>1</v>
          </cell>
          <cell r="BQ349">
            <v>1</v>
          </cell>
          <cell r="BR349">
            <v>1</v>
          </cell>
          <cell r="BS349">
            <v>0.15998657969459146</v>
          </cell>
          <cell r="BT349">
            <v>9.0905185079802303E-2</v>
          </cell>
          <cell r="BU349">
            <v>0.23490887489849116</v>
          </cell>
          <cell r="BV349">
            <v>0.20144696642317067</v>
          </cell>
          <cell r="BW349">
            <v>0.22518580897028498</v>
          </cell>
          <cell r="BX349">
            <v>0.14842850723490231</v>
          </cell>
          <cell r="BY349">
            <v>0.2494545954698669</v>
          </cell>
          <cell r="BZ349">
            <v>0.12971736334450978</v>
          </cell>
          <cell r="CA349">
            <v>0.34911355403477184</v>
          </cell>
          <cell r="CB349">
            <v>0.29983200475850458</v>
          </cell>
          <cell r="CC349">
            <v>0.3394607123258408</v>
          </cell>
          <cell r="CD349">
            <v>0.4003402248231826</v>
          </cell>
          <cell r="CE349">
            <v>0.44451657121345356</v>
          </cell>
          <cell r="CF349">
            <v>0.49984558524295147</v>
          </cell>
          <cell r="CG349">
            <v>0.5722752759140175</v>
          </cell>
          <cell r="CH349">
            <v>0.62029591904347303</v>
          </cell>
          <cell r="CI349">
            <v>0.7544528558500776</v>
          </cell>
          <cell r="CJ349">
            <v>0.76351053926337442</v>
          </cell>
          <cell r="CK349">
            <v>0.79338427853519455</v>
          </cell>
          <cell r="CL349">
            <v>0.7557336307532152</v>
          </cell>
          <cell r="CM349">
            <v>0.86309501681487588</v>
          </cell>
          <cell r="CN349">
            <v>0.86381703088492579</v>
          </cell>
          <cell r="CO349">
            <v>0.87833968197919388</v>
          </cell>
          <cell r="CP349">
            <v>0.85467308584288249</v>
          </cell>
          <cell r="CQ349">
            <v>0.94150105951325369</v>
          </cell>
          <cell r="CR349">
            <v>0.94043989171886733</v>
          </cell>
          <cell r="CS349">
            <v>0.94610629750133191</v>
          </cell>
          <cell r="CT349">
            <v>0.93472948435547698</v>
          </cell>
          <cell r="CU349">
            <v>0.96530124205215606</v>
          </cell>
          <cell r="CV349">
            <v>0.96395699968018544</v>
          </cell>
          <cell r="CW349">
            <v>0.96711639762839929</v>
          </cell>
          <cell r="CX349">
            <v>0.95942285176642772</v>
          </cell>
          <cell r="CY349">
            <v>0.9672934156797568</v>
          </cell>
          <cell r="CZ349">
            <v>0.96550273583449076</v>
          </cell>
          <cell r="DA349">
            <v>0.96844356704897516</v>
          </cell>
          <cell r="DB349">
            <v>0.96021615764732715</v>
          </cell>
          <cell r="DC349"/>
          <cell r="DD349" t="e">
            <v>#DIV/0!</v>
          </cell>
          <cell r="DE349" t="e">
            <v>#DIV/0!</v>
          </cell>
          <cell r="DF349" t="e">
            <v>#DIV/0!</v>
          </cell>
          <cell r="DG349" t="e">
            <v>#DIV/0!</v>
          </cell>
          <cell r="DH349" t="e">
            <v>#DIV/0!</v>
          </cell>
          <cell r="DI349" t="e">
            <v>#DIV/0!</v>
          </cell>
          <cell r="DJ349" t="e">
            <v>#DIV/0!</v>
          </cell>
          <cell r="DK349" t="e">
            <v>#DIV/0!</v>
          </cell>
          <cell r="DL349" t="e">
            <v>#DIV/0!</v>
          </cell>
          <cell r="DM349" t="e">
            <v>#DIV/0!</v>
          </cell>
          <cell r="DN349" t="e">
            <v>#DIV/0!</v>
          </cell>
          <cell r="DO349" t="e">
            <v>#DIV/0!</v>
          </cell>
        </row>
        <row r="350">
          <cell r="A350" t="str">
            <v>Actual</v>
          </cell>
          <cell r="B350"/>
          <cell r="C350"/>
          <cell r="D350"/>
          <cell r="E350"/>
          <cell r="F350"/>
          <cell r="G350"/>
          <cell r="H350"/>
          <cell r="I350"/>
          <cell r="J350"/>
          <cell r="K350"/>
          <cell r="L350"/>
          <cell r="M350"/>
          <cell r="N350"/>
          <cell r="O350"/>
          <cell r="P350"/>
          <cell r="Q350"/>
          <cell r="R350"/>
          <cell r="S350"/>
          <cell r="T350"/>
          <cell r="U350"/>
          <cell r="V350"/>
          <cell r="W350"/>
          <cell r="X350"/>
          <cell r="Y350"/>
          <cell r="Z350"/>
          <cell r="AA350"/>
          <cell r="AB350"/>
          <cell r="AC350"/>
          <cell r="AD350"/>
          <cell r="AE350"/>
          <cell r="AF350"/>
          <cell r="AG350"/>
          <cell r="AH350"/>
          <cell r="AI350"/>
          <cell r="AJ350"/>
          <cell r="AK350"/>
          <cell r="AL350"/>
          <cell r="AM350"/>
          <cell r="AN350"/>
          <cell r="AO350"/>
          <cell r="AP350"/>
          <cell r="AQ350"/>
          <cell r="AR350"/>
          <cell r="AS350"/>
          <cell r="AT350"/>
          <cell r="AU350"/>
          <cell r="AV350"/>
          <cell r="AW350"/>
          <cell r="AX350"/>
          <cell r="AY350"/>
          <cell r="AZ350"/>
          <cell r="BA350"/>
          <cell r="BB350"/>
          <cell r="BC350"/>
          <cell r="BD350"/>
          <cell r="BE350"/>
          <cell r="BF350"/>
          <cell r="BG350"/>
          <cell r="BH350"/>
          <cell r="BI350"/>
          <cell r="BJ350"/>
          <cell r="BK350"/>
          <cell r="BL350"/>
          <cell r="BM350"/>
          <cell r="BN350"/>
          <cell r="BO350"/>
          <cell r="BP350"/>
          <cell r="BQ350"/>
          <cell r="BR350"/>
          <cell r="BS350"/>
          <cell r="BT350"/>
          <cell r="BU350"/>
          <cell r="BV350"/>
          <cell r="BW350"/>
          <cell r="BX350"/>
          <cell r="BY350"/>
          <cell r="BZ350"/>
          <cell r="CA350"/>
          <cell r="CB350">
            <v>0.3</v>
          </cell>
          <cell r="CC350">
            <v>0.34</v>
          </cell>
          <cell r="CD350">
            <v>0.4</v>
          </cell>
          <cell r="CE350">
            <v>0.42</v>
          </cell>
          <cell r="CF350">
            <v>0.5</v>
          </cell>
          <cell r="CG350">
            <v>0.56999999999999995</v>
          </cell>
          <cell r="CH350">
            <v>0.62</v>
          </cell>
          <cell r="CI350"/>
          <cell r="CJ350"/>
          <cell r="CK350"/>
          <cell r="CL350"/>
          <cell r="CM350"/>
          <cell r="CN350"/>
          <cell r="CO350"/>
          <cell r="CP350"/>
          <cell r="CQ350"/>
          <cell r="CR350"/>
          <cell r="CS350"/>
          <cell r="CT350"/>
          <cell r="CU350"/>
          <cell r="CV350"/>
          <cell r="CW350"/>
          <cell r="CX350"/>
          <cell r="CY350"/>
          <cell r="CZ350"/>
          <cell r="DA350"/>
          <cell r="DB350"/>
          <cell r="DC350"/>
          <cell r="DD350"/>
          <cell r="DE350"/>
          <cell r="DF350"/>
          <cell r="DG350"/>
          <cell r="DH350"/>
          <cell r="DI350"/>
          <cell r="DJ350"/>
          <cell r="DK350"/>
          <cell r="DL350"/>
          <cell r="DM350"/>
          <cell r="DN350"/>
          <cell r="DO350"/>
        </row>
        <row r="351">
          <cell r="A351" t="str">
            <v>% growth y-o-y</v>
          </cell>
          <cell r="B351"/>
          <cell r="C351" t="str">
            <v>NA</v>
          </cell>
          <cell r="D351" t="str">
            <v>NA</v>
          </cell>
          <cell r="E351" t="str">
            <v>NA</v>
          </cell>
          <cell r="F351" t="str">
            <v>NA</v>
          </cell>
          <cell r="G351" t="str">
            <v>NA</v>
          </cell>
          <cell r="H351" t="str">
            <v>NA</v>
          </cell>
          <cell r="I351" t="str">
            <v>NA</v>
          </cell>
          <cell r="J351" t="str">
            <v>NA</v>
          </cell>
          <cell r="K351" t="str">
            <v>NA</v>
          </cell>
          <cell r="L351" t="str">
            <v>NA</v>
          </cell>
          <cell r="M351" t="str">
            <v>NA</v>
          </cell>
          <cell r="N351" t="str">
            <v>NA</v>
          </cell>
          <cell r="O351" t="str">
            <v>NA</v>
          </cell>
          <cell r="P351" t="str">
            <v>NA</v>
          </cell>
          <cell r="Q351" t="str">
            <v>NA</v>
          </cell>
          <cell r="R351" t="str">
            <v>NA</v>
          </cell>
          <cell r="S351" t="str">
            <v>NA</v>
          </cell>
          <cell r="T351" t="str">
            <v>NA</v>
          </cell>
          <cell r="U351" t="str">
            <v>NA</v>
          </cell>
          <cell r="V351" t="str">
            <v>NA</v>
          </cell>
          <cell r="W351" t="str">
            <v>NA</v>
          </cell>
          <cell r="X351" t="str">
            <v>NA</v>
          </cell>
          <cell r="Y351" t="str">
            <v>NA</v>
          </cell>
          <cell r="Z351" t="str">
            <v>NA</v>
          </cell>
          <cell r="AA351" t="str">
            <v>NA</v>
          </cell>
          <cell r="AB351" t="str">
            <v>NA</v>
          </cell>
          <cell r="AC351" t="str">
            <v>NA</v>
          </cell>
          <cell r="AD351" t="str">
            <v>NA</v>
          </cell>
          <cell r="AE351" t="str">
            <v>NA</v>
          </cell>
          <cell r="AF351" t="str">
            <v>NA</v>
          </cell>
          <cell r="AG351" t="str">
            <v>NA</v>
          </cell>
          <cell r="AH351" t="str">
            <v>NA</v>
          </cell>
          <cell r="AI351" t="str">
            <v>NA</v>
          </cell>
          <cell r="AJ351" t="str">
            <v>NA</v>
          </cell>
          <cell r="AK351" t="str">
            <v>NA</v>
          </cell>
          <cell r="AL351" t="str">
            <v>NA</v>
          </cell>
          <cell r="AM351" t="str">
            <v>NA</v>
          </cell>
          <cell r="AN351" t="str">
            <v>NA</v>
          </cell>
          <cell r="AO351" t="str">
            <v>NA</v>
          </cell>
          <cell r="AP351" t="str">
            <v>NA</v>
          </cell>
          <cell r="AQ351" t="str">
            <v>NA</v>
          </cell>
          <cell r="AR351" t="str">
            <v>NA</v>
          </cell>
          <cell r="AS351" t="str">
            <v>NA</v>
          </cell>
          <cell r="AT351" t="str">
            <v>NA</v>
          </cell>
          <cell r="AU351" t="str">
            <v>NA</v>
          </cell>
          <cell r="AV351" t="str">
            <v>NA</v>
          </cell>
          <cell r="AW351" t="str">
            <v>NA</v>
          </cell>
          <cell r="AX351" t="str">
            <v>NA</v>
          </cell>
          <cell r="AY351" t="str">
            <v>NA</v>
          </cell>
          <cell r="AZ351" t="str">
            <v>NA</v>
          </cell>
          <cell r="BA351" t="str">
            <v>NA</v>
          </cell>
          <cell r="BB351" t="str">
            <v>NA</v>
          </cell>
          <cell r="BC351" t="str">
            <v>NA</v>
          </cell>
          <cell r="BD351" t="str">
            <v>NA</v>
          </cell>
          <cell r="BE351" t="str">
            <v>NA</v>
          </cell>
          <cell r="BF351" t="str">
            <v>NA</v>
          </cell>
          <cell r="BG351" t="str">
            <v>NA</v>
          </cell>
          <cell r="BH351" t="str">
            <v>NA</v>
          </cell>
          <cell r="BI351" t="str">
            <v>NA</v>
          </cell>
          <cell r="BJ351" t="str">
            <v>NA</v>
          </cell>
          <cell r="BK351" t="str">
            <v>NA</v>
          </cell>
          <cell r="BL351" t="str">
            <v>NA</v>
          </cell>
          <cell r="BM351" t="str">
            <v>NA</v>
          </cell>
          <cell r="BN351" t="str">
            <v>NA</v>
          </cell>
          <cell r="BO351" t="str">
            <v>NA</v>
          </cell>
          <cell r="BP351" t="str">
            <v>NA</v>
          </cell>
          <cell r="BQ351" t="str">
            <v>NA</v>
          </cell>
          <cell r="BR351" t="str">
            <v>NA</v>
          </cell>
          <cell r="BS351">
            <v>-0.83975872684697928</v>
          </cell>
          <cell r="BT351">
            <v>0.30577519359336125</v>
          </cell>
          <cell r="BU351">
            <v>0.58614406415254372</v>
          </cell>
          <cell r="BV351">
            <v>2.1065320249814006</v>
          </cell>
          <cell r="BW351">
            <v>0.3363316882797176</v>
          </cell>
          <cell r="BX351">
            <v>0.60519259920024249</v>
          </cell>
          <cell r="BY351">
            <v>4.1413282384216377E-2</v>
          </cell>
          <cell r="BZ351">
            <v>-0.41821561820267361</v>
          </cell>
          <cell r="CA351">
            <v>0.73136160948511897</v>
          </cell>
          <cell r="CB351">
            <v>1.3061382096718592</v>
          </cell>
          <cell r="CC351">
            <v>0.57851131317349624</v>
          </cell>
          <cell r="CD351">
            <v>3.2333268890760598</v>
          </cell>
          <cell r="CE351">
            <v>0.63496998550680206</v>
          </cell>
          <cell r="CF351">
            <v>2.0469475408886808</v>
          </cell>
          <cell r="CG351">
            <v>2.1555193325699515</v>
          </cell>
          <cell r="CH351">
            <v>1.6987211667831219</v>
          </cell>
          <cell r="CI351">
            <v>1.1037899546358805</v>
          </cell>
          <cell r="CJ351">
            <v>0.54587278370478032</v>
          </cell>
          <cell r="CK351">
            <v>0.23505106271521226</v>
          </cell>
          <cell r="CL351">
            <v>0.47519086665735921</v>
          </cell>
          <cell r="CM351">
            <v>0.43628350722334108</v>
          </cell>
          <cell r="CN351">
            <v>0.3749608821473398</v>
          </cell>
          <cell r="CO351">
            <v>0.31548236783843908</v>
          </cell>
          <cell r="CP351">
            <v>0.32965255522054737</v>
          </cell>
          <cell r="CQ351">
            <v>0.33900453237027417</v>
          </cell>
          <cell r="CR351">
            <v>0.30534024858543196</v>
          </cell>
          <cell r="CS351">
            <v>0.27477785333805005</v>
          </cell>
          <cell r="CT351">
            <v>0.27632296257926159</v>
          </cell>
          <cell r="CU351">
            <v>0.20770400419272161</v>
          </cell>
          <cell r="CV351">
            <v>0.18316689079066228</v>
          </cell>
          <cell r="CW351">
            <v>0.16999291339691935</v>
          </cell>
          <cell r="CX351">
            <v>0.15278106642117417</v>
          </cell>
          <cell r="CY351">
            <v>0.11315192546133601</v>
          </cell>
          <cell r="CZ351">
            <v>9.55061416678602E-2</v>
          </cell>
          <cell r="DA351">
            <v>9.2125528336166829E-2</v>
          </cell>
          <cell r="DB351">
            <v>6.8126115533146292E-2</v>
          </cell>
          <cell r="DC351"/>
          <cell r="DD351" t="str">
            <v>NA</v>
          </cell>
          <cell r="DE351" t="str">
            <v>NA</v>
          </cell>
          <cell r="DF351" t="str">
            <v>NA</v>
          </cell>
          <cell r="DG351" t="str">
            <v>NA</v>
          </cell>
          <cell r="DH351" t="str">
            <v>NA</v>
          </cell>
          <cell r="DI351" t="str">
            <v>NA</v>
          </cell>
          <cell r="DJ351" t="str">
            <v>NA</v>
          </cell>
          <cell r="DK351" t="str">
            <v>NA</v>
          </cell>
          <cell r="DL351" t="str">
            <v>NA</v>
          </cell>
          <cell r="DM351" t="str">
            <v>NA</v>
          </cell>
          <cell r="DN351" t="str">
            <v>NA</v>
          </cell>
          <cell r="DO351" t="str">
            <v>NA</v>
          </cell>
        </row>
        <row r="352">
          <cell r="A352" t="str">
            <v>% growth seq</v>
          </cell>
          <cell r="B352"/>
          <cell r="C352" t="str">
            <v>NA</v>
          </cell>
          <cell r="D352" t="str">
            <v>NA</v>
          </cell>
          <cell r="E352" t="str">
            <v>NA</v>
          </cell>
          <cell r="F352" t="str">
            <v>NA</v>
          </cell>
          <cell r="G352" t="str">
            <v>NA</v>
          </cell>
          <cell r="H352" t="str">
            <v>NA</v>
          </cell>
          <cell r="I352" t="str">
            <v>NA</v>
          </cell>
          <cell r="J352" t="str">
            <v>NA</v>
          </cell>
          <cell r="K352" t="str">
            <v>NA</v>
          </cell>
          <cell r="L352" t="str">
            <v>NA</v>
          </cell>
          <cell r="M352" t="str">
            <v>NA</v>
          </cell>
          <cell r="N352" t="str">
            <v>NA</v>
          </cell>
          <cell r="O352" t="str">
            <v>NA</v>
          </cell>
          <cell r="P352" t="str">
            <v>NA</v>
          </cell>
          <cell r="Q352" t="str">
            <v>NA</v>
          </cell>
          <cell r="R352" t="str">
            <v>NA</v>
          </cell>
          <cell r="S352" t="str">
            <v>NA</v>
          </cell>
          <cell r="T352" t="str">
            <v>NA</v>
          </cell>
          <cell r="U352" t="str">
            <v>NA</v>
          </cell>
          <cell r="V352" t="str">
            <v>NA</v>
          </cell>
          <cell r="W352" t="str">
            <v>NA</v>
          </cell>
          <cell r="X352" t="str">
            <v>NA</v>
          </cell>
          <cell r="Y352" t="str">
            <v>NA</v>
          </cell>
          <cell r="Z352" t="str">
            <v>NA</v>
          </cell>
          <cell r="AA352" t="str">
            <v>NA</v>
          </cell>
          <cell r="AB352" t="str">
            <v>NA</v>
          </cell>
          <cell r="AC352" t="str">
            <v>NA</v>
          </cell>
          <cell r="AD352" t="str">
            <v>NA</v>
          </cell>
          <cell r="AE352" t="str">
            <v>NA</v>
          </cell>
          <cell r="AF352" t="str">
            <v>NA</v>
          </cell>
          <cell r="AG352" t="str">
            <v>NA</v>
          </cell>
          <cell r="AH352" t="str">
            <v>NA</v>
          </cell>
          <cell r="AI352" t="str">
            <v>NA</v>
          </cell>
          <cell r="AJ352" t="str">
            <v>NA</v>
          </cell>
          <cell r="AK352" t="str">
            <v>NA</v>
          </cell>
          <cell r="AL352" t="str">
            <v>NA</v>
          </cell>
          <cell r="AM352" t="str">
            <v>NA</v>
          </cell>
          <cell r="AN352" t="str">
            <v>NA</v>
          </cell>
          <cell r="AO352" t="str">
            <v>NA</v>
          </cell>
          <cell r="AP352" t="str">
            <v>NA</v>
          </cell>
          <cell r="AQ352" t="str">
            <v>NA</v>
          </cell>
          <cell r="AR352" t="str">
            <v>NA</v>
          </cell>
          <cell r="AS352" t="str">
            <v>NA</v>
          </cell>
          <cell r="AT352" t="str">
            <v>NA</v>
          </cell>
          <cell r="AU352" t="str">
            <v>NA</v>
          </cell>
          <cell r="AV352" t="str">
            <v>NA</v>
          </cell>
          <cell r="AW352" t="str">
            <v>NA</v>
          </cell>
          <cell r="AX352" t="str">
            <v>NA</v>
          </cell>
          <cell r="AY352" t="str">
            <v>NA</v>
          </cell>
          <cell r="AZ352" t="str">
            <v>NA</v>
          </cell>
          <cell r="BA352" t="str">
            <v>NA</v>
          </cell>
          <cell r="BB352" t="str">
            <v>NA</v>
          </cell>
          <cell r="BC352" t="str">
            <v>NA</v>
          </cell>
          <cell r="BD352" t="str">
            <v>NA</v>
          </cell>
          <cell r="BE352" t="str">
            <v>NA</v>
          </cell>
          <cell r="BF352" t="str">
            <v>NA</v>
          </cell>
          <cell r="BG352" t="str">
            <v>NA</v>
          </cell>
          <cell r="BH352" t="str">
            <v>NA</v>
          </cell>
          <cell r="BI352" t="str">
            <v>NA</v>
          </cell>
          <cell r="BJ352" t="str">
            <v>NA</v>
          </cell>
          <cell r="BK352" t="str">
            <v>NA</v>
          </cell>
          <cell r="BL352" t="str">
            <v>NA</v>
          </cell>
          <cell r="BM352" t="str">
            <v>NA</v>
          </cell>
          <cell r="BN352" t="str">
            <v>NA</v>
          </cell>
          <cell r="BO352" t="str">
            <v>NA</v>
          </cell>
          <cell r="BP352">
            <v>-0.92525914643277885</v>
          </cell>
          <cell r="BQ352">
            <v>1.201349856758553</v>
          </cell>
          <cell r="BR352">
            <v>-0.32574283250786196</v>
          </cell>
          <cell r="BS352">
            <v>0.44444726869703932</v>
          </cell>
          <cell r="BT352">
            <v>-0.39095121615219464</v>
          </cell>
          <cell r="BU352">
            <v>1.6740115952210286</v>
          </cell>
          <cell r="BV352">
            <v>0.32056194088945733</v>
          </cell>
          <cell r="BW352">
            <v>-0.3786445329754814</v>
          </cell>
          <cell r="BX352">
            <v>-0.26841471398247052</v>
          </cell>
          <cell r="BY352">
            <v>0.73483929211985966</v>
          </cell>
          <cell r="BZ352">
            <v>-0.26226952795671921</v>
          </cell>
          <cell r="CA352">
            <v>0.84912320630964722</v>
          </cell>
          <cell r="CB352">
            <v>-2.5543380148951189E-2</v>
          </cell>
          <cell r="CC352">
            <v>0.18746718547226826</v>
          </cell>
          <cell r="CD352">
            <v>0.9784807483659359</v>
          </cell>
          <cell r="CE352">
            <v>-0.28584278487404657</v>
          </cell>
          <cell r="CF352">
            <v>0.81600777254482315</v>
          </cell>
          <cell r="CG352">
            <v>0.22978016860024075</v>
          </cell>
          <cell r="CH352">
            <v>0.69207262290467986</v>
          </cell>
          <cell r="CI352">
            <v>-0.44327824834026019</v>
          </cell>
          <cell r="CJ352">
            <v>0.33440935222036816</v>
          </cell>
          <cell r="CK352">
            <v>-1.7486225162834823E-2</v>
          </cell>
          <cell r="CL352">
            <v>1.0210743947236476</v>
          </cell>
          <cell r="CM352">
            <v>-0.45796148275157567</v>
          </cell>
          <cell r="CN352">
            <v>0.27743627970885942</v>
          </cell>
          <cell r="CO352">
            <v>-5.9988132216421963E-2</v>
          </cell>
          <cell r="CP352">
            <v>1.0428451182138256</v>
          </cell>
          <cell r="CQ352">
            <v>-0.45414910950589105</v>
          </cell>
          <cell r="CR352">
            <v>0.24531990041546958</v>
          </cell>
          <cell r="CS352">
            <v>-8.1996964221383473E-2</v>
          </cell>
          <cell r="CT352">
            <v>1.0453211722668918</v>
          </cell>
          <cell r="CU352">
            <v>-0.48349569390360381</v>
          </cell>
          <cell r="CV352">
            <v>0.22001853889621148</v>
          </cell>
          <cell r="CW352">
            <v>-9.2218473405648482E-2</v>
          </cell>
          <cell r="CX352">
            <v>1.0152323105052421</v>
          </cell>
          <cell r="CY352">
            <v>-0.50125155626886853</v>
          </cell>
          <cell r="CZ352">
            <v>0.20067869599698396</v>
          </cell>
          <cell r="DA352">
            <v>-9.5019788902061419E-2</v>
          </cell>
          <cell r="DB352">
            <v>0.97094766477639238</v>
          </cell>
          <cell r="DC352"/>
          <cell r="DD352"/>
          <cell r="DE352"/>
          <cell r="DF352"/>
          <cell r="DG352"/>
          <cell r="DH352"/>
          <cell r="DI352"/>
          <cell r="DJ352"/>
          <cell r="DK352"/>
          <cell r="DL352"/>
          <cell r="DM352"/>
          <cell r="DN352"/>
          <cell r="DO352"/>
        </row>
        <row r="353">
          <cell r="A353" t="str">
            <v>% churn</v>
          </cell>
          <cell r="B353">
            <v>0</v>
          </cell>
          <cell r="C353">
            <v>2.5000000000000001E-2</v>
          </cell>
          <cell r="D353">
            <v>2.5000000000000001E-2</v>
          </cell>
          <cell r="E353">
            <v>2.5000000000000001E-2</v>
          </cell>
          <cell r="F353">
            <v>2.5000000000000001E-2</v>
          </cell>
          <cell r="G353">
            <v>2.5000000000000001E-2</v>
          </cell>
          <cell r="H353">
            <v>2.5000000000000001E-2</v>
          </cell>
          <cell r="I353">
            <v>2.5000000000000001E-2</v>
          </cell>
          <cell r="J353">
            <v>2.5000000000000001E-2</v>
          </cell>
          <cell r="K353">
            <v>2.5000000000000001E-2</v>
          </cell>
          <cell r="L353">
            <v>2.5000000000000001E-2</v>
          </cell>
          <cell r="M353">
            <v>2.5000000000000001E-2</v>
          </cell>
          <cell r="N353">
            <v>2.5000000000000001E-2</v>
          </cell>
          <cell r="O353">
            <v>2.5000000000000001E-2</v>
          </cell>
          <cell r="P353">
            <v>2.5000000000000001E-2</v>
          </cell>
          <cell r="Q353">
            <v>2.5000000000000001E-2</v>
          </cell>
          <cell r="R353">
            <v>2.5000000000000001E-2</v>
          </cell>
          <cell r="S353">
            <v>2.5000000000000001E-2</v>
          </cell>
          <cell r="T353">
            <v>2.5000000000000001E-2</v>
          </cell>
          <cell r="U353">
            <v>2.5000000000000001E-2</v>
          </cell>
          <cell r="V353">
            <v>2.5000000000000001E-2</v>
          </cell>
          <cell r="W353">
            <v>2.5000000000000001E-2</v>
          </cell>
          <cell r="X353">
            <v>2.5000000000000001E-2</v>
          </cell>
          <cell r="Y353">
            <v>2.5000000000000001E-2</v>
          </cell>
          <cell r="Z353">
            <v>2.5000000000000001E-2</v>
          </cell>
          <cell r="AA353">
            <v>2.5000000000000001E-2</v>
          </cell>
          <cell r="AB353">
            <v>2.5000000000000001E-2</v>
          </cell>
          <cell r="AC353">
            <v>2.5000000000000001E-2</v>
          </cell>
          <cell r="AD353">
            <v>2.5000000000000001E-2</v>
          </cell>
          <cell r="AE353">
            <v>2.5000000000000001E-2</v>
          </cell>
          <cell r="AF353">
            <v>2.5000000000000001E-2</v>
          </cell>
          <cell r="AG353">
            <v>2.5000000000000001E-2</v>
          </cell>
          <cell r="AH353">
            <v>2.5000000000000001E-2</v>
          </cell>
          <cell r="AI353">
            <v>2.5000000000000001E-2</v>
          </cell>
          <cell r="AJ353">
            <v>2.5000000000000001E-2</v>
          </cell>
          <cell r="AK353">
            <v>2.5000000000000001E-2</v>
          </cell>
          <cell r="AL353">
            <v>2.5000000000000001E-2</v>
          </cell>
          <cell r="AM353">
            <v>2.5000000000000001E-2</v>
          </cell>
          <cell r="AN353">
            <v>2.5000000000000001E-2</v>
          </cell>
          <cell r="AO353">
            <v>2.5000000000000001E-2</v>
          </cell>
          <cell r="AP353">
            <v>2.5000000000000001E-2</v>
          </cell>
          <cell r="AQ353">
            <v>2.5000000000000001E-2</v>
          </cell>
          <cell r="AR353">
            <v>2.5000000000000001E-2</v>
          </cell>
          <cell r="AS353">
            <v>2.5000000000000001E-2</v>
          </cell>
          <cell r="AT353"/>
          <cell r="AU353">
            <v>2.5000000000000001E-2</v>
          </cell>
          <cell r="AV353">
            <v>2.5000000000000001E-2</v>
          </cell>
          <cell r="AW353">
            <v>2.5000000000000001E-2</v>
          </cell>
          <cell r="AX353"/>
          <cell r="AY353">
            <v>2.5000000000000001E-2</v>
          </cell>
          <cell r="AZ353">
            <v>2.5000000000000001E-2</v>
          </cell>
          <cell r="BA353">
            <v>2.5000000000000001E-2</v>
          </cell>
          <cell r="BB353">
            <v>2.5000000000000001E-2</v>
          </cell>
          <cell r="BC353">
            <v>2.5000000000000001E-2</v>
          </cell>
          <cell r="BD353">
            <v>2.5000000000000001E-2</v>
          </cell>
          <cell r="BE353">
            <v>2.5000000000000001E-2</v>
          </cell>
          <cell r="BF353">
            <v>2.5000000000000001E-2</v>
          </cell>
          <cell r="BG353">
            <v>2.5000000000000001E-2</v>
          </cell>
          <cell r="BH353">
            <v>2.5000000000000001E-2</v>
          </cell>
          <cell r="BI353">
            <v>2.5000000000000001E-2</v>
          </cell>
          <cell r="BJ353">
            <v>2.5000000000000001E-2</v>
          </cell>
          <cell r="BK353">
            <v>2.5000000000000001E-2</v>
          </cell>
          <cell r="BL353">
            <v>2.5000000000000001E-2</v>
          </cell>
          <cell r="BM353">
            <v>2.5000000000000001E-2</v>
          </cell>
          <cell r="BN353">
            <v>2.5000000000000001E-2</v>
          </cell>
          <cell r="BO353">
            <v>2.5000000000000001E-2</v>
          </cell>
          <cell r="BP353">
            <v>2.5000000000000001E-2</v>
          </cell>
          <cell r="BQ353">
            <v>2.5000000000000001E-2</v>
          </cell>
          <cell r="BR353">
            <v>2.5000000000000001E-2</v>
          </cell>
          <cell r="BS353"/>
          <cell r="BT353"/>
          <cell r="BU353"/>
          <cell r="BV353"/>
          <cell r="BW353"/>
          <cell r="BX353"/>
          <cell r="BY353"/>
          <cell r="BZ353"/>
          <cell r="CA353"/>
          <cell r="CB353"/>
          <cell r="CC353"/>
          <cell r="CD353"/>
          <cell r="CE353"/>
          <cell r="CF353"/>
          <cell r="CG353"/>
          <cell r="CH353"/>
          <cell r="CI353"/>
          <cell r="CJ353"/>
          <cell r="CK353"/>
          <cell r="CL353"/>
          <cell r="CM353"/>
          <cell r="CN353"/>
          <cell r="CO353"/>
          <cell r="CP353"/>
          <cell r="CQ353"/>
          <cell r="CR353"/>
          <cell r="CS353"/>
          <cell r="CT353"/>
          <cell r="CU353"/>
          <cell r="CV353"/>
          <cell r="CW353"/>
          <cell r="CX353"/>
          <cell r="CY353"/>
          <cell r="CZ353"/>
          <cell r="DA353"/>
          <cell r="DB353"/>
          <cell r="DC353"/>
          <cell r="DD353"/>
          <cell r="DE353"/>
          <cell r="DF353"/>
          <cell r="DG353"/>
          <cell r="DH353"/>
          <cell r="DI353"/>
          <cell r="DJ353"/>
          <cell r="DK353"/>
          <cell r="DL353"/>
          <cell r="DM353"/>
          <cell r="DN353"/>
          <cell r="DO353"/>
        </row>
        <row r="354">
          <cell r="A354" t="str">
            <v>% growth y-o-y</v>
          </cell>
          <cell r="B354">
            <v>0</v>
          </cell>
          <cell r="C354" t="str">
            <v>NA</v>
          </cell>
          <cell r="D354" t="str">
            <v>NA</v>
          </cell>
          <cell r="E354" t="str">
            <v>NA</v>
          </cell>
          <cell r="F354" t="str">
            <v>NA</v>
          </cell>
          <cell r="G354" t="str">
            <v>NA</v>
          </cell>
          <cell r="H354" t="str">
            <v>NA</v>
          </cell>
          <cell r="I354" t="str">
            <v>NA</v>
          </cell>
          <cell r="J354" t="str">
            <v>NA</v>
          </cell>
          <cell r="K354" t="str">
            <v>NA</v>
          </cell>
          <cell r="L354" t="str">
            <v>NA</v>
          </cell>
          <cell r="M354" t="str">
            <v>NA</v>
          </cell>
          <cell r="N354" t="str">
            <v>NA</v>
          </cell>
          <cell r="O354" t="str">
            <v>NA</v>
          </cell>
          <cell r="P354" t="str">
            <v>NA</v>
          </cell>
          <cell r="Q354" t="str">
            <v>NA</v>
          </cell>
          <cell r="R354" t="str">
            <v>NA</v>
          </cell>
          <cell r="S354" t="str">
            <v>NA</v>
          </cell>
          <cell r="T354" t="str">
            <v>NA</v>
          </cell>
          <cell r="U354" t="str">
            <v>NA</v>
          </cell>
          <cell r="V354" t="str">
            <v>NA</v>
          </cell>
          <cell r="W354" t="str">
            <v>NA</v>
          </cell>
          <cell r="X354" t="str">
            <v>NA</v>
          </cell>
          <cell r="Y354" t="str">
            <v>NA</v>
          </cell>
          <cell r="Z354" t="str">
            <v>NA</v>
          </cell>
          <cell r="AA354" t="str">
            <v>NA</v>
          </cell>
          <cell r="AB354" t="str">
            <v>NA</v>
          </cell>
          <cell r="AC354" t="str">
            <v>NA</v>
          </cell>
          <cell r="AD354" t="str">
            <v>NA</v>
          </cell>
          <cell r="AE354" t="str">
            <v>NA</v>
          </cell>
          <cell r="AF354" t="str">
            <v>NA</v>
          </cell>
          <cell r="AG354" t="str">
            <v>NA</v>
          </cell>
          <cell r="AH354" t="str">
            <v>NA</v>
          </cell>
          <cell r="AI354" t="str">
            <v>NA</v>
          </cell>
          <cell r="AJ354" t="str">
            <v>NA</v>
          </cell>
          <cell r="AK354" t="str">
            <v>NA</v>
          </cell>
          <cell r="AL354" t="str">
            <v>NA</v>
          </cell>
          <cell r="AM354" t="str">
            <v>NA</v>
          </cell>
          <cell r="AN354" t="str">
            <v>NA</v>
          </cell>
          <cell r="AO354" t="str">
            <v>NA</v>
          </cell>
          <cell r="AP354" t="str">
            <v>NA</v>
          </cell>
          <cell r="AQ354" t="str">
            <v>NA</v>
          </cell>
          <cell r="AR354" t="str">
            <v>NA</v>
          </cell>
          <cell r="AS354" t="str">
            <v>NA</v>
          </cell>
          <cell r="AT354"/>
          <cell r="AU354" t="str">
            <v>NA</v>
          </cell>
          <cell r="AV354" t="str">
            <v>NA</v>
          </cell>
          <cell r="AW354" t="str">
            <v>NA</v>
          </cell>
          <cell r="AX354"/>
          <cell r="AY354" t="str">
            <v>NA</v>
          </cell>
          <cell r="AZ354" t="str">
            <v>NA</v>
          </cell>
          <cell r="BA354" t="str">
            <v>NA</v>
          </cell>
          <cell r="BB354" t="str">
            <v>NA</v>
          </cell>
          <cell r="BC354" t="str">
            <v>NA</v>
          </cell>
          <cell r="BD354" t="str">
            <v>NA</v>
          </cell>
          <cell r="BE354" t="str">
            <v>NA</v>
          </cell>
          <cell r="BF354" t="str">
            <v>NA</v>
          </cell>
          <cell r="BG354" t="str">
            <v>NA</v>
          </cell>
          <cell r="BH354" t="str">
            <v>NA</v>
          </cell>
          <cell r="BI354" t="str">
            <v>NA</v>
          </cell>
          <cell r="BJ354" t="str">
            <v>NA</v>
          </cell>
          <cell r="BK354" t="str">
            <v>NA</v>
          </cell>
          <cell r="BL354" t="str">
            <v>NA</v>
          </cell>
          <cell r="BM354" t="str">
            <v>NA</v>
          </cell>
          <cell r="BN354" t="str">
            <v>NA</v>
          </cell>
          <cell r="BO354" t="str">
            <v>NA</v>
          </cell>
          <cell r="BP354" t="str">
            <v>NA</v>
          </cell>
          <cell r="BQ354" t="str">
            <v>NA</v>
          </cell>
          <cell r="BR354" t="str">
            <v>NA</v>
          </cell>
          <cell r="BS354" t="str">
            <v>NA</v>
          </cell>
          <cell r="BT354" t="str">
            <v>NA</v>
          </cell>
          <cell r="BU354" t="str">
            <v>NA</v>
          </cell>
          <cell r="BV354" t="str">
            <v>NA</v>
          </cell>
          <cell r="BW354" t="str">
            <v>NA</v>
          </cell>
          <cell r="BX354" t="str">
            <v>NA</v>
          </cell>
          <cell r="BY354" t="str">
            <v>NA</v>
          </cell>
          <cell r="BZ354" t="str">
            <v>NA</v>
          </cell>
          <cell r="CA354" t="str">
            <v>NA</v>
          </cell>
          <cell r="CB354" t="str">
            <v>NA</v>
          </cell>
          <cell r="CC354">
            <v>4.7191846668695128</v>
          </cell>
          <cell r="CD354">
            <v>0.46566447652953857</v>
          </cell>
          <cell r="CE354">
            <v>0.60365894174601165</v>
          </cell>
          <cell r="CF354">
            <v>0.90958228808389241</v>
          </cell>
          <cell r="CG354">
            <v>1.6227514713579771</v>
          </cell>
          <cell r="CH354">
            <v>2.844369583957123</v>
          </cell>
          <cell r="CI354">
            <v>2.6590464439177279</v>
          </cell>
          <cell r="CJ354">
            <v>3.0212869937652185</v>
          </cell>
          <cell r="CK354">
            <v>2.5794449471880534</v>
          </cell>
          <cell r="CL354">
            <v>2.3448763640030084</v>
          </cell>
          <cell r="CM354">
            <v>1.8809941525979097</v>
          </cell>
          <cell r="CN354">
            <v>1.6283894155052097</v>
          </cell>
          <cell r="CO354">
            <v>1.3734674222297758</v>
          </cell>
          <cell r="CP354">
            <v>1.1761318857881151</v>
          </cell>
          <cell r="CQ354">
            <v>1.042741176939729</v>
          </cell>
          <cell r="CR354">
            <v>0.94206439945761544</v>
          </cell>
          <cell r="CS354">
            <v>0.84354938982872052</v>
          </cell>
          <cell r="CT354">
            <v>0.75096278763465207</v>
          </cell>
          <cell r="CU354">
            <v>0.67852696010938862</v>
          </cell>
          <cell r="CV354">
            <v>0.62180850673086563</v>
          </cell>
          <cell r="CW354">
            <v>0.55120345306042218</v>
          </cell>
          <cell r="CX354">
            <v>0.47874454733504934</v>
          </cell>
          <cell r="CY354">
            <v>0.43537130969011884</v>
          </cell>
          <cell r="CZ354">
            <v>0.3900411316399377</v>
          </cell>
          <cell r="DA354">
            <v>0.35049430698843476</v>
          </cell>
          <cell r="DB354">
            <v>0.30410641371753933</v>
          </cell>
          <cell r="DC354"/>
          <cell r="DD354"/>
          <cell r="DE354"/>
          <cell r="DF354"/>
          <cell r="DG354"/>
          <cell r="DH354"/>
          <cell r="DI354"/>
          <cell r="DJ354"/>
          <cell r="DK354"/>
          <cell r="DL354"/>
          <cell r="DM354"/>
          <cell r="DN354"/>
          <cell r="DO354"/>
        </row>
        <row r="355">
          <cell r="A355" t="str">
            <v>WORKSPACE SERVICES</v>
          </cell>
          <cell r="B355"/>
          <cell r="C355" t="str">
            <v>Fiscal 1998 by Quarter</v>
          </cell>
          <cell r="D355"/>
          <cell r="E355"/>
          <cell r="F355"/>
          <cell r="G355" t="str">
            <v>Fiscal 1999 by Quarter</v>
          </cell>
          <cell r="H355"/>
          <cell r="I355"/>
          <cell r="J355"/>
          <cell r="K355" t="str">
            <v>Fiscal 2000 by Quarter</v>
          </cell>
          <cell r="L355"/>
          <cell r="M355"/>
          <cell r="N355"/>
          <cell r="O355" t="str">
            <v>Fiscal 2001 by Quarter</v>
          </cell>
          <cell r="P355"/>
          <cell r="Q355"/>
          <cell r="R355"/>
          <cell r="S355" t="str">
            <v>Fiscal 2002 by Quarter</v>
          </cell>
          <cell r="T355"/>
          <cell r="U355"/>
          <cell r="V355"/>
          <cell r="W355" t="str">
            <v>Fiscal 2003 by Quarter</v>
          </cell>
          <cell r="X355"/>
          <cell r="Y355"/>
          <cell r="Z355"/>
          <cell r="AA355" t="str">
            <v>Fiscal 2004 by Quarter</v>
          </cell>
          <cell r="AB355"/>
          <cell r="AC355"/>
          <cell r="AD355"/>
          <cell r="AE355" t="str">
            <v>Fiscal 2005 by Quarter</v>
          </cell>
          <cell r="AF355"/>
          <cell r="AG355"/>
          <cell r="AH355"/>
          <cell r="AI355" t="str">
            <v>Fiscal 2006 by Quarter</v>
          </cell>
          <cell r="AJ355"/>
          <cell r="AK355"/>
          <cell r="AL355"/>
          <cell r="AM355" t="str">
            <v>Fiscal 2007 by Quarter</v>
          </cell>
          <cell r="AN355"/>
          <cell r="AO355"/>
          <cell r="AP355"/>
          <cell r="AQ355" t="str">
            <v>Fiscal 2008 by Quarter</v>
          </cell>
          <cell r="AR355"/>
          <cell r="AS355"/>
          <cell r="AT355"/>
          <cell r="AU355" t="str">
            <v>Fiscal 2009 by Quarter</v>
          </cell>
          <cell r="AV355"/>
          <cell r="AW355"/>
          <cell r="AX355"/>
          <cell r="AY355" t="str">
            <v>Fiscal 2010 by Quarter</v>
          </cell>
          <cell r="AZ355"/>
          <cell r="BA355"/>
          <cell r="BB355"/>
          <cell r="BC355" t="str">
            <v>Fiscal 2011 by Quarter</v>
          </cell>
          <cell r="BD355"/>
          <cell r="BE355"/>
          <cell r="BF355"/>
          <cell r="BG355" t="str">
            <v>Fiscal 2012 by Quarter</v>
          </cell>
          <cell r="BH355"/>
          <cell r="BI355"/>
          <cell r="BJ355"/>
          <cell r="BK355" t="str">
            <v>Fiscal 2013 by Quarter</v>
          </cell>
          <cell r="BL355"/>
          <cell r="BM355"/>
          <cell r="BN355"/>
          <cell r="BO355" t="str">
            <v>Fiscal 2014 by Quarter</v>
          </cell>
          <cell r="BP355"/>
          <cell r="BQ355"/>
          <cell r="BR355"/>
          <cell r="BS355" t="str">
            <v>Fiscal 2015 by Quarter</v>
          </cell>
          <cell r="BT355"/>
          <cell r="BU355"/>
          <cell r="BV355"/>
          <cell r="BW355" t="str">
            <v>Fiscal 2016 by Quarter</v>
          </cell>
          <cell r="BX355"/>
          <cell r="BY355"/>
          <cell r="BZ355"/>
          <cell r="CA355" t="str">
            <v>Fiscal 2017 by Quarter</v>
          </cell>
          <cell r="CB355"/>
          <cell r="CC355"/>
          <cell r="CD355"/>
          <cell r="CE355" t="str">
            <v>Fiscal 2018 by Quarter</v>
          </cell>
          <cell r="CF355"/>
          <cell r="CG355"/>
          <cell r="CH355"/>
          <cell r="CI355" t="str">
            <v>Fiscal 2019 by Quarter</v>
          </cell>
          <cell r="CJ355"/>
          <cell r="CK355"/>
          <cell r="CL355"/>
          <cell r="CM355" t="str">
            <v>Fiscal 2020 by Quarter</v>
          </cell>
          <cell r="CN355"/>
          <cell r="CO355"/>
          <cell r="CP355"/>
          <cell r="CQ355" t="str">
            <v>Fiscal 2021 by Quarter</v>
          </cell>
          <cell r="CR355"/>
          <cell r="CS355"/>
          <cell r="CT355"/>
          <cell r="CU355" t="str">
            <v>Fiscal 2022 by Quarter</v>
          </cell>
          <cell r="CV355"/>
          <cell r="CW355"/>
          <cell r="CX355"/>
          <cell r="CY355" t="str">
            <v>Fiscal 2023 by Quarter</v>
          </cell>
          <cell r="CZ355"/>
          <cell r="DA355"/>
          <cell r="DB355"/>
          <cell r="DC355"/>
          <cell r="DD355" t="str">
            <v xml:space="preserve"> Fiscal Year Ends December</v>
          </cell>
          <cell r="DE355"/>
          <cell r="DF355"/>
          <cell r="DG355"/>
          <cell r="DH355"/>
          <cell r="DI355"/>
          <cell r="DJ355"/>
          <cell r="DK355"/>
          <cell r="DL355"/>
          <cell r="DM355"/>
          <cell r="DN355"/>
          <cell r="DO355"/>
        </row>
        <row r="356">
          <cell r="A356"/>
          <cell r="B356"/>
          <cell r="C356">
            <v>35855</v>
          </cell>
          <cell r="D356">
            <v>35947</v>
          </cell>
          <cell r="E356">
            <v>36039</v>
          </cell>
          <cell r="F356">
            <v>36130</v>
          </cell>
          <cell r="G356">
            <v>36220</v>
          </cell>
          <cell r="H356">
            <v>36312</v>
          </cell>
          <cell r="I356">
            <v>36404</v>
          </cell>
          <cell r="J356">
            <v>36495</v>
          </cell>
          <cell r="K356">
            <v>36586</v>
          </cell>
          <cell r="L356">
            <v>36678</v>
          </cell>
          <cell r="M356">
            <v>36770</v>
          </cell>
          <cell r="N356">
            <v>36861</v>
          </cell>
          <cell r="O356">
            <v>36951</v>
          </cell>
          <cell r="P356">
            <v>37043</v>
          </cell>
          <cell r="Q356">
            <v>37135</v>
          </cell>
          <cell r="R356">
            <v>37226</v>
          </cell>
          <cell r="S356">
            <v>37317</v>
          </cell>
          <cell r="T356">
            <v>37409</v>
          </cell>
          <cell r="U356">
            <v>37501</v>
          </cell>
          <cell r="V356">
            <v>37592</v>
          </cell>
          <cell r="W356">
            <v>37683</v>
          </cell>
          <cell r="X356">
            <v>37775</v>
          </cell>
          <cell r="Y356">
            <v>37867</v>
          </cell>
          <cell r="Z356">
            <v>37958</v>
          </cell>
          <cell r="AA356">
            <v>38050</v>
          </cell>
          <cell r="AB356">
            <v>38142</v>
          </cell>
          <cell r="AC356">
            <v>38234</v>
          </cell>
          <cell r="AD356">
            <v>38325</v>
          </cell>
          <cell r="AE356">
            <v>38416</v>
          </cell>
          <cell r="AF356">
            <v>38508</v>
          </cell>
          <cell r="AG356">
            <v>38600</v>
          </cell>
          <cell r="AH356">
            <v>38691</v>
          </cell>
          <cell r="AI356">
            <v>38782</v>
          </cell>
          <cell r="AJ356">
            <v>38874</v>
          </cell>
          <cell r="AK356">
            <v>38966</v>
          </cell>
          <cell r="AL356">
            <v>39057</v>
          </cell>
          <cell r="AM356">
            <v>39148</v>
          </cell>
          <cell r="AN356">
            <v>39240</v>
          </cell>
          <cell r="AO356">
            <v>39332</v>
          </cell>
          <cell r="AP356">
            <v>39423</v>
          </cell>
          <cell r="AQ356">
            <v>39515</v>
          </cell>
          <cell r="AR356">
            <v>39607</v>
          </cell>
          <cell r="AS356">
            <v>39699</v>
          </cell>
          <cell r="AT356">
            <v>39790</v>
          </cell>
          <cell r="AU356">
            <v>39880</v>
          </cell>
          <cell r="AV356">
            <v>39972</v>
          </cell>
          <cell r="AW356">
            <v>40065</v>
          </cell>
          <cell r="AX356">
            <v>40155</v>
          </cell>
          <cell r="AY356">
            <v>40247</v>
          </cell>
          <cell r="AZ356">
            <v>40339</v>
          </cell>
          <cell r="BA356">
            <v>40431</v>
          </cell>
          <cell r="BB356">
            <v>40522</v>
          </cell>
          <cell r="BC356">
            <v>40613</v>
          </cell>
          <cell r="BD356">
            <v>40705</v>
          </cell>
          <cell r="BE356">
            <v>40797</v>
          </cell>
          <cell r="BF356">
            <v>40888</v>
          </cell>
          <cell r="BG356">
            <v>40979</v>
          </cell>
          <cell r="BH356">
            <v>41071</v>
          </cell>
          <cell r="BI356">
            <v>41163</v>
          </cell>
          <cell r="BJ356">
            <v>41254</v>
          </cell>
          <cell r="BK356">
            <v>41344</v>
          </cell>
          <cell r="BL356">
            <v>41436</v>
          </cell>
          <cell r="BM356">
            <v>41530</v>
          </cell>
          <cell r="BN356">
            <v>41621</v>
          </cell>
          <cell r="BO356">
            <v>41712</v>
          </cell>
          <cell r="BP356">
            <v>41804</v>
          </cell>
          <cell r="BQ356">
            <v>41896</v>
          </cell>
          <cell r="BR356">
            <v>41987</v>
          </cell>
          <cell r="BS356">
            <v>42078</v>
          </cell>
          <cell r="BT356">
            <v>42170</v>
          </cell>
          <cell r="BU356">
            <v>42262</v>
          </cell>
          <cell r="BV356">
            <v>42353</v>
          </cell>
          <cell r="BW356">
            <v>42445</v>
          </cell>
          <cell r="BX356">
            <v>42537</v>
          </cell>
          <cell r="BY356">
            <v>42629</v>
          </cell>
          <cell r="BZ356">
            <v>42720</v>
          </cell>
          <cell r="CA356">
            <v>42811</v>
          </cell>
          <cell r="CB356">
            <v>42903</v>
          </cell>
          <cell r="CC356">
            <v>42995</v>
          </cell>
          <cell r="CD356">
            <v>43086</v>
          </cell>
          <cell r="CE356">
            <v>43177</v>
          </cell>
          <cell r="CF356">
            <v>43269</v>
          </cell>
          <cell r="CG356">
            <v>43361</v>
          </cell>
          <cell r="CH356">
            <v>43451</v>
          </cell>
          <cell r="CI356" t="str">
            <v>Mar-19E</v>
          </cell>
          <cell r="CJ356" t="str">
            <v>Jun-19E</v>
          </cell>
          <cell r="CK356" t="str">
            <v>Sep-19E</v>
          </cell>
          <cell r="CL356" t="str">
            <v>Dec-19E</v>
          </cell>
          <cell r="CM356" t="str">
            <v>Mar-20E</v>
          </cell>
          <cell r="CN356" t="str">
            <v>Jun-20E</v>
          </cell>
          <cell r="CO356" t="str">
            <v>Sep-20E</v>
          </cell>
          <cell r="CP356" t="str">
            <v>Dec-20E</v>
          </cell>
          <cell r="CQ356" t="str">
            <v>Mar-21E</v>
          </cell>
          <cell r="CR356" t="str">
            <v>Jun-21E</v>
          </cell>
          <cell r="CS356" t="str">
            <v>Sep-21E</v>
          </cell>
          <cell r="CT356" t="str">
            <v>Dec-21E</v>
          </cell>
          <cell r="CU356" t="str">
            <v>Mar-22E</v>
          </cell>
          <cell r="CV356" t="str">
            <v>Jun-22E</v>
          </cell>
          <cell r="CW356" t="str">
            <v>Sep-22E</v>
          </cell>
          <cell r="CX356" t="str">
            <v>Dec-22E</v>
          </cell>
          <cell r="CY356" t="str">
            <v>Mar-23E</v>
          </cell>
          <cell r="CZ356" t="str">
            <v>Jun-23E</v>
          </cell>
          <cell r="DA356" t="str">
            <v>Sep-23E</v>
          </cell>
          <cell r="DB356" t="str">
            <v>Dec-23E</v>
          </cell>
          <cell r="DC356"/>
          <cell r="DD356">
            <v>1998</v>
          </cell>
          <cell r="DE356">
            <v>1999</v>
          </cell>
          <cell r="DF356">
            <v>2000</v>
          </cell>
          <cell r="DG356">
            <v>2001</v>
          </cell>
          <cell r="DH356">
            <v>2002</v>
          </cell>
          <cell r="DI356">
            <v>2003</v>
          </cell>
          <cell r="DJ356">
            <v>2004</v>
          </cell>
          <cell r="DK356">
            <v>2005</v>
          </cell>
          <cell r="DL356">
            <v>2006</v>
          </cell>
          <cell r="DM356">
            <v>2007</v>
          </cell>
          <cell r="DN356">
            <v>2008</v>
          </cell>
          <cell r="DO356">
            <v>2009</v>
          </cell>
        </row>
        <row r="357">
          <cell r="A357" t="str">
            <v>Perpetual License Equivalent Value</v>
          </cell>
          <cell r="B357"/>
          <cell r="C357"/>
          <cell r="D357"/>
          <cell r="E357"/>
          <cell r="F357"/>
          <cell r="G357"/>
          <cell r="H357"/>
          <cell r="I357"/>
          <cell r="J357"/>
          <cell r="K357"/>
          <cell r="L357"/>
          <cell r="M357"/>
          <cell r="N357"/>
          <cell r="O357"/>
          <cell r="P357"/>
          <cell r="Q357"/>
          <cell r="R357"/>
          <cell r="S357"/>
          <cell r="T357"/>
          <cell r="U357"/>
          <cell r="V357"/>
          <cell r="W357"/>
          <cell r="X357"/>
          <cell r="Y357"/>
          <cell r="Z357"/>
          <cell r="AA357"/>
          <cell r="AB357"/>
          <cell r="AC357"/>
          <cell r="AD357"/>
          <cell r="AE357"/>
          <cell r="AF357"/>
          <cell r="AG357"/>
          <cell r="AH357"/>
          <cell r="AI357"/>
          <cell r="AJ357"/>
          <cell r="AK357"/>
          <cell r="AL357"/>
          <cell r="AM357"/>
          <cell r="AN357"/>
          <cell r="AO357"/>
          <cell r="AP357"/>
          <cell r="AQ357"/>
          <cell r="AR357"/>
          <cell r="AS357"/>
          <cell r="AT357"/>
          <cell r="AU357"/>
          <cell r="AV357"/>
          <cell r="AW357"/>
          <cell r="AX357"/>
          <cell r="AY357"/>
          <cell r="AZ357"/>
          <cell r="BA357"/>
          <cell r="BB357"/>
          <cell r="BC357"/>
          <cell r="BD357"/>
          <cell r="BE357"/>
          <cell r="BF357"/>
          <cell r="BG357"/>
          <cell r="BH357"/>
          <cell r="BI357"/>
          <cell r="BJ357"/>
          <cell r="BK357"/>
          <cell r="BL357"/>
          <cell r="BM357"/>
          <cell r="BN357"/>
          <cell r="BO357"/>
          <cell r="BP357"/>
          <cell r="BQ357"/>
          <cell r="BR357"/>
          <cell r="BS357">
            <v>59.453051975970496</v>
          </cell>
          <cell r="BT357">
            <v>109.76014564406125</v>
          </cell>
          <cell r="BU357">
            <v>100.35067670538457</v>
          </cell>
          <cell r="BV357">
            <v>140.29348425959009</v>
          </cell>
          <cell r="BW357">
            <v>77.071639328696946</v>
          </cell>
          <cell r="BX357">
            <v>93.467356570876589</v>
          </cell>
          <cell r="BY357">
            <v>86.274037007319592</v>
          </cell>
          <cell r="BZ357">
            <v>136.75927895668033</v>
          </cell>
          <cell r="CA357">
            <v>82.450853776391966</v>
          </cell>
          <cell r="CB357">
            <v>96.664225605680372</v>
          </cell>
          <cell r="CC357">
            <v>98.249093869584186</v>
          </cell>
          <cell r="CD357">
            <v>159.85245296186125</v>
          </cell>
          <cell r="CE357">
            <v>154.27577336604426</v>
          </cell>
          <cell r="CF357">
            <v>131.15650133750785</v>
          </cell>
          <cell r="CG357">
            <v>84.776569864018512</v>
          </cell>
          <cell r="CH357">
            <v>212.70451603550384</v>
          </cell>
          <cell r="CI357">
            <v>84.851675351324346</v>
          </cell>
          <cell r="CJ357">
            <v>107.75649901084937</v>
          </cell>
          <cell r="CK357">
            <v>89.015398357219439</v>
          </cell>
          <cell r="CL357">
            <v>223.28656570827016</v>
          </cell>
          <cell r="CM357">
            <v>89.094259118890562</v>
          </cell>
          <cell r="CN357">
            <v>113.11738483663912</v>
          </cell>
          <cell r="CO357">
            <v>93.421771845149749</v>
          </cell>
          <cell r="CP357">
            <v>234.28426499848285</v>
          </cell>
          <cell r="CQ357">
            <v>93.460543798087301</v>
          </cell>
          <cell r="CR357">
            <v>118.6332642625561</v>
          </cell>
          <cell r="CS357">
            <v>97.954467803844082</v>
          </cell>
          <cell r="CT357">
            <v>245.59457975241386</v>
          </cell>
          <cell r="CU357">
            <v>97.949888511867286</v>
          </cell>
          <cell r="CV357">
            <v>124.30327931031188</v>
          </cell>
          <cell r="CW357">
            <v>102.61274213647506</v>
          </cell>
          <cell r="CX357">
            <v>257.21555751871659</v>
          </cell>
          <cell r="CY357">
            <v>102.56148095974201</v>
          </cell>
          <cell r="CZ357">
            <v>130.12635774826055</v>
          </cell>
          <cell r="DA357">
            <v>107.39567657924647</v>
          </cell>
          <cell r="DB357">
            <v>269.14481599129999</v>
          </cell>
          <cell r="DC357"/>
          <cell r="DD357"/>
          <cell r="DE357">
            <v>0</v>
          </cell>
          <cell r="DF357">
            <v>0</v>
          </cell>
          <cell r="DG357">
            <v>0</v>
          </cell>
          <cell r="DH357">
            <v>0</v>
          </cell>
          <cell r="DI357">
            <v>0</v>
          </cell>
          <cell r="DJ357">
            <v>0</v>
          </cell>
          <cell r="DK357">
            <v>0</v>
          </cell>
          <cell r="DL357">
            <v>0</v>
          </cell>
          <cell r="DM357">
            <v>0</v>
          </cell>
          <cell r="DN357">
            <v>0</v>
          </cell>
          <cell r="DO357">
            <v>0</v>
          </cell>
        </row>
        <row r="358">
          <cell r="A358" t="str">
            <v>% growth y-o-y</v>
          </cell>
          <cell r="B358"/>
          <cell r="C358" t="str">
            <v>NA</v>
          </cell>
          <cell r="D358" t="str">
            <v>NA</v>
          </cell>
          <cell r="E358" t="str">
            <v>NA</v>
          </cell>
          <cell r="F358" t="str">
            <v>NA</v>
          </cell>
          <cell r="G358" t="str">
            <v>NA</v>
          </cell>
          <cell r="H358" t="str">
            <v>NA</v>
          </cell>
          <cell r="I358" t="str">
            <v>NA</v>
          </cell>
          <cell r="J358" t="str">
            <v>NA</v>
          </cell>
          <cell r="K358" t="str">
            <v>NA</v>
          </cell>
          <cell r="L358" t="str">
            <v>NA</v>
          </cell>
          <cell r="M358" t="str">
            <v>NA</v>
          </cell>
          <cell r="N358" t="str">
            <v>NA</v>
          </cell>
          <cell r="O358" t="str">
            <v>NA</v>
          </cell>
          <cell r="P358" t="str">
            <v>NA</v>
          </cell>
          <cell r="Q358" t="str">
            <v>NA</v>
          </cell>
          <cell r="R358" t="str">
            <v>NA</v>
          </cell>
          <cell r="S358" t="str">
            <v>NA</v>
          </cell>
          <cell r="T358" t="str">
            <v>NA</v>
          </cell>
          <cell r="U358" t="str">
            <v>NA</v>
          </cell>
          <cell r="V358" t="str">
            <v>NA</v>
          </cell>
          <cell r="W358" t="str">
            <v>NA</v>
          </cell>
          <cell r="X358" t="str">
            <v>NA</v>
          </cell>
          <cell r="Y358" t="str">
            <v>NA</v>
          </cell>
          <cell r="Z358" t="str">
            <v>NA</v>
          </cell>
          <cell r="AA358" t="str">
            <v>NA</v>
          </cell>
          <cell r="AB358" t="str">
            <v>NA</v>
          </cell>
          <cell r="AC358" t="str">
            <v>NA</v>
          </cell>
          <cell r="AD358" t="str">
            <v>NA</v>
          </cell>
          <cell r="AE358" t="str">
            <v>NA</v>
          </cell>
          <cell r="AF358" t="str">
            <v>NA</v>
          </cell>
          <cell r="AG358" t="str">
            <v>NA</v>
          </cell>
          <cell r="AH358" t="str">
            <v>NA</v>
          </cell>
          <cell r="AI358" t="str">
            <v>NA</v>
          </cell>
          <cell r="AJ358" t="str">
            <v>NA</v>
          </cell>
          <cell r="AK358" t="str">
            <v>NA</v>
          </cell>
          <cell r="AL358" t="str">
            <v>NA</v>
          </cell>
          <cell r="AM358" t="str">
            <v>NA</v>
          </cell>
          <cell r="AN358" t="str">
            <v>NA</v>
          </cell>
          <cell r="AO358" t="str">
            <v>NA</v>
          </cell>
          <cell r="AP358" t="str">
            <v>NA</v>
          </cell>
          <cell r="AQ358" t="str">
            <v>NA</v>
          </cell>
          <cell r="AR358" t="str">
            <v>NA</v>
          </cell>
          <cell r="AS358" t="str">
            <v>NA</v>
          </cell>
          <cell r="AT358" t="str">
            <v>NA</v>
          </cell>
          <cell r="AU358" t="str">
            <v>NA</v>
          </cell>
          <cell r="AV358" t="str">
            <v>NA</v>
          </cell>
          <cell r="AW358" t="str">
            <v>NA</v>
          </cell>
          <cell r="AX358" t="str">
            <v>NA</v>
          </cell>
          <cell r="AY358" t="str">
            <v>NA</v>
          </cell>
          <cell r="AZ358" t="str">
            <v>NA</v>
          </cell>
          <cell r="BA358" t="str">
            <v>NA</v>
          </cell>
          <cell r="BB358" t="str">
            <v>NA</v>
          </cell>
          <cell r="BC358" t="str">
            <v>NA</v>
          </cell>
          <cell r="BD358" t="str">
            <v>NA</v>
          </cell>
          <cell r="BE358" t="str">
            <v>NA</v>
          </cell>
          <cell r="BF358" t="str">
            <v>NA</v>
          </cell>
          <cell r="BG358" t="str">
            <v>NA</v>
          </cell>
          <cell r="BH358" t="str">
            <v>NA</v>
          </cell>
          <cell r="BI358" t="str">
            <v>NA</v>
          </cell>
          <cell r="BJ358" t="str">
            <v>NA</v>
          </cell>
          <cell r="BK358" t="str">
            <v>NA</v>
          </cell>
          <cell r="BL358" t="str">
            <v>NA</v>
          </cell>
          <cell r="BM358" t="str">
            <v>NA</v>
          </cell>
          <cell r="BN358" t="str">
            <v>NA</v>
          </cell>
          <cell r="BO358" t="str">
            <v>NA</v>
          </cell>
          <cell r="BP358" t="str">
            <v>NA</v>
          </cell>
          <cell r="BQ358" t="str">
            <v>NA</v>
          </cell>
          <cell r="BR358" t="str">
            <v>NA</v>
          </cell>
          <cell r="BS358" t="str">
            <v>NA</v>
          </cell>
          <cell r="BT358" t="str">
            <v>NA</v>
          </cell>
          <cell r="BU358" t="str">
            <v>NA</v>
          </cell>
          <cell r="BV358" t="str">
            <v>NA</v>
          </cell>
          <cell r="BW358">
            <v>0.29634454022389733</v>
          </cell>
          <cell r="BX358">
            <v>-0.1484399367145538</v>
          </cell>
          <cell r="BY358">
            <v>-0.14027448703103429</v>
          </cell>
          <cell r="BZ358">
            <v>-2.519151421437571E-2</v>
          </cell>
          <cell r="CA358">
            <v>6.9794991965249631E-2</v>
          </cell>
          <cell r="CB358">
            <v>3.4203053901279201E-2</v>
          </cell>
          <cell r="CC358">
            <v>0.13880255610675341</v>
          </cell>
          <cell r="CD358">
            <v>0.16886001579823962</v>
          </cell>
          <cell r="CE358">
            <v>0.87112402479715523</v>
          </cell>
          <cell r="CF358">
            <v>0.35682565618981776</v>
          </cell>
          <cell r="CG358">
            <v>-0.13712619093921719</v>
          </cell>
          <cell r="CH358">
            <v>0.33063029121143628</v>
          </cell>
          <cell r="CI358">
            <v>-0.45</v>
          </cell>
          <cell r="CJ358">
            <v>-0.17841282809490888</v>
          </cell>
          <cell r="CK358">
            <v>0.05</v>
          </cell>
          <cell r="CL358">
            <v>4.9750000000000003E-2</v>
          </cell>
          <cell r="CM358">
            <v>0.05</v>
          </cell>
          <cell r="CN358">
            <v>4.9750000000000003E-2</v>
          </cell>
          <cell r="CO358">
            <v>4.9501250000000004E-2</v>
          </cell>
          <cell r="CP358">
            <v>4.9253743750000002E-2</v>
          </cell>
          <cell r="CQ358">
            <v>4.9007475031250004E-2</v>
          </cell>
          <cell r="CR358">
            <v>4.8762437656093754E-2</v>
          </cell>
          <cell r="CS358">
            <v>4.8518625467813284E-2</v>
          </cell>
          <cell r="CT358">
            <v>4.8276032340474215E-2</v>
          </cell>
          <cell r="CU358">
            <v>4.8034652178771842E-2</v>
          </cell>
          <cell r="CV358">
            <v>4.7794478917877983E-2</v>
          </cell>
          <cell r="CW358">
            <v>4.755550652328859E-2</v>
          </cell>
          <cell r="CX358">
            <v>4.7317728990672145E-2</v>
          </cell>
          <cell r="CY358">
            <v>4.708114034571878E-2</v>
          </cell>
          <cell r="CZ358">
            <v>4.6845734643990188E-2</v>
          </cell>
          <cell r="DA358">
            <v>4.6611505970770239E-2</v>
          </cell>
          <cell r="DB358">
            <v>4.6378448440916389E-2</v>
          </cell>
          <cell r="DC358"/>
          <cell r="DD358" t="str">
            <v>NA</v>
          </cell>
          <cell r="DE358" t="str">
            <v>NA</v>
          </cell>
          <cell r="DF358" t="str">
            <v>NA</v>
          </cell>
          <cell r="DG358" t="str">
            <v>NA</v>
          </cell>
          <cell r="DH358" t="str">
            <v>NA</v>
          </cell>
          <cell r="DI358" t="str">
            <v>NA</v>
          </cell>
          <cell r="DJ358" t="str">
            <v>NA</v>
          </cell>
          <cell r="DK358" t="str">
            <v>NA</v>
          </cell>
          <cell r="DL358" t="str">
            <v>NA</v>
          </cell>
          <cell r="DM358" t="str">
            <v>NA</v>
          </cell>
          <cell r="DN358" t="str">
            <v>NA</v>
          </cell>
          <cell r="DO358" t="str">
            <v>NA</v>
          </cell>
        </row>
        <row r="359">
          <cell r="A359" t="str">
            <v>% growth seq</v>
          </cell>
          <cell r="B359"/>
          <cell r="C359" t="str">
            <v>NA</v>
          </cell>
          <cell r="D359" t="str">
            <v>NA</v>
          </cell>
          <cell r="E359" t="str">
            <v>NA</v>
          </cell>
          <cell r="F359" t="str">
            <v>NA</v>
          </cell>
          <cell r="G359" t="str">
            <v>NA</v>
          </cell>
          <cell r="H359" t="str">
            <v>NA</v>
          </cell>
          <cell r="I359" t="str">
            <v>NA</v>
          </cell>
          <cell r="J359" t="str">
            <v>NA</v>
          </cell>
          <cell r="K359" t="str">
            <v>NA</v>
          </cell>
          <cell r="L359" t="str">
            <v>NA</v>
          </cell>
          <cell r="M359" t="str">
            <v>NA</v>
          </cell>
          <cell r="N359" t="str">
            <v>NA</v>
          </cell>
          <cell r="O359" t="str">
            <v>NA</v>
          </cell>
          <cell r="P359" t="str">
            <v>NA</v>
          </cell>
          <cell r="Q359" t="str">
            <v>NA</v>
          </cell>
          <cell r="R359" t="str">
            <v>NA</v>
          </cell>
          <cell r="S359" t="str">
            <v>NA</v>
          </cell>
          <cell r="T359" t="str">
            <v>NA</v>
          </cell>
          <cell r="U359" t="str">
            <v>NA</v>
          </cell>
          <cell r="V359" t="str">
            <v>NA</v>
          </cell>
          <cell r="W359" t="str">
            <v>NA</v>
          </cell>
          <cell r="X359" t="str">
            <v>NA</v>
          </cell>
          <cell r="Y359" t="str">
            <v>NA</v>
          </cell>
          <cell r="Z359" t="str">
            <v>NA</v>
          </cell>
          <cell r="AA359" t="str">
            <v>NA</v>
          </cell>
          <cell r="AB359" t="str">
            <v>NA</v>
          </cell>
          <cell r="AC359" t="str">
            <v>NA</v>
          </cell>
          <cell r="AD359" t="str">
            <v>NA</v>
          </cell>
          <cell r="AE359" t="str">
            <v>NA</v>
          </cell>
          <cell r="AF359" t="str">
            <v>NA</v>
          </cell>
          <cell r="AG359" t="str">
            <v>NA</v>
          </cell>
          <cell r="AH359" t="str">
            <v>NA</v>
          </cell>
          <cell r="AI359" t="str">
            <v>NA</v>
          </cell>
          <cell r="AJ359" t="str">
            <v>NA</v>
          </cell>
          <cell r="AK359" t="str">
            <v>NA</v>
          </cell>
          <cell r="AL359" t="str">
            <v>NA</v>
          </cell>
          <cell r="AM359" t="str">
            <v>NA</v>
          </cell>
          <cell r="AN359" t="str">
            <v>NA</v>
          </cell>
          <cell r="AO359" t="str">
            <v>NA</v>
          </cell>
          <cell r="AP359" t="str">
            <v>NA</v>
          </cell>
          <cell r="AQ359" t="str">
            <v>NA</v>
          </cell>
          <cell r="AR359" t="str">
            <v>NA</v>
          </cell>
          <cell r="AS359" t="str">
            <v>NA</v>
          </cell>
          <cell r="AT359" t="str">
            <v>NA</v>
          </cell>
          <cell r="AU359" t="str">
            <v>NA</v>
          </cell>
          <cell r="AV359" t="str">
            <v>NA</v>
          </cell>
          <cell r="AW359" t="str">
            <v>NA</v>
          </cell>
          <cell r="AX359" t="str">
            <v>NA</v>
          </cell>
          <cell r="AY359" t="str">
            <v>NA</v>
          </cell>
          <cell r="AZ359" t="str">
            <v>NA</v>
          </cell>
          <cell r="BA359" t="str">
            <v>NA</v>
          </cell>
          <cell r="BB359" t="str">
            <v>NA</v>
          </cell>
          <cell r="BC359" t="str">
            <v>NA</v>
          </cell>
          <cell r="BD359" t="str">
            <v>NA</v>
          </cell>
          <cell r="BE359" t="str">
            <v>NA</v>
          </cell>
          <cell r="BF359" t="str">
            <v>NA</v>
          </cell>
          <cell r="BG359" t="str">
            <v>NA</v>
          </cell>
          <cell r="BH359" t="str">
            <v>NA</v>
          </cell>
          <cell r="BI359" t="str">
            <v>NA</v>
          </cell>
          <cell r="BJ359" t="str">
            <v>NA</v>
          </cell>
          <cell r="BK359" t="str">
            <v>NA</v>
          </cell>
          <cell r="BL359" t="str">
            <v>NA</v>
          </cell>
          <cell r="BM359" t="str">
            <v>NA</v>
          </cell>
          <cell r="BN359" t="str">
            <v>NA</v>
          </cell>
          <cell r="BO359" t="str">
            <v>NA</v>
          </cell>
          <cell r="BP359" t="str">
            <v>NA</v>
          </cell>
          <cell r="BQ359" t="str">
            <v>NA</v>
          </cell>
          <cell r="BR359" t="str">
            <v>NA</v>
          </cell>
          <cell r="BS359" t="str">
            <v>NA</v>
          </cell>
          <cell r="BT359">
            <v>0.84616503267861987</v>
          </cell>
          <cell r="BU359">
            <v>-8.5727555147297685E-2</v>
          </cell>
          <cell r="BV359">
            <v>0.39803226909442735</v>
          </cell>
          <cell r="BW359">
            <v>-0.45063992290555333</v>
          </cell>
          <cell r="BX359">
            <v>0.2127334696003389</v>
          </cell>
          <cell r="BY359">
            <v>-7.6960768202557261E-2</v>
          </cell>
          <cell r="BZ359">
            <v>0.58517305669928854</v>
          </cell>
          <cell r="CA359">
            <v>-0.39710961913956144</v>
          </cell>
          <cell r="CB359">
            <v>0.17238598726746113</v>
          </cell>
          <cell r="CC359">
            <v>1.6395602964522915E-2</v>
          </cell>
          <cell r="CD359">
            <v>0.62701198215679566</v>
          </cell>
          <cell r="CE359">
            <v>-3.4886418647247841E-2</v>
          </cell>
          <cell r="CF359">
            <v>-0.14985678907395394</v>
          </cell>
          <cell r="CG359">
            <v>-0.35362281702024712</v>
          </cell>
          <cell r="CH359">
            <v>1.5090012060724036</v>
          </cell>
          <cell r="CI359">
            <v>-0.60108192842900798</v>
          </cell>
          <cell r="CJ359">
            <v>0.26993955705280626</v>
          </cell>
          <cell r="CK359">
            <v>-0.17392083842426054</v>
          </cell>
          <cell r="CL359">
            <v>1.5084038248328628</v>
          </cell>
          <cell r="CM359">
            <v>-0.60098692531598796</v>
          </cell>
          <cell r="CN359">
            <v>0.26963719049160328</v>
          </cell>
          <cell r="CO359">
            <v>-0.17411658711818001</v>
          </cell>
          <cell r="CP359">
            <v>1.5078122622938284</v>
          </cell>
          <cell r="CQ359">
            <v>-0.6010805770558576</v>
          </cell>
          <cell r="CR359">
            <v>0.26934061628029982</v>
          </cell>
          <cell r="CS359">
            <v>-0.17430858526278292</v>
          </cell>
          <cell r="CT359">
            <v>1.5072320360539577</v>
          </cell>
          <cell r="CU359">
            <v>-0.60117243381099272</v>
          </cell>
          <cell r="CV359">
            <v>0.26904972735371424</v>
          </cell>
          <cell r="CW359">
            <v>-0.1744969022071281</v>
          </cell>
          <cell r="CX359">
            <v>1.5066629364277158</v>
          </cell>
          <cell r="CY359">
            <v>-0.60126252879443731</v>
          </cell>
          <cell r="CZ359">
            <v>0.26876441847927723</v>
          </cell>
          <cell r="DA359">
            <v>-0.17468160611233219</v>
          </cell>
          <cell r="DB359">
            <v>1.5061047573241928</v>
          </cell>
          <cell r="DC359"/>
          <cell r="DD359"/>
          <cell r="DE359"/>
          <cell r="DF359"/>
          <cell r="DG359"/>
          <cell r="DH359"/>
          <cell r="DI359"/>
          <cell r="DJ359"/>
          <cell r="DK359"/>
          <cell r="DL359"/>
          <cell r="DM359"/>
          <cell r="DN359"/>
          <cell r="DO359"/>
        </row>
        <row r="360">
          <cell r="A360"/>
          <cell r="B360"/>
          <cell r="C360"/>
          <cell r="D360"/>
          <cell r="E360"/>
          <cell r="F360"/>
          <cell r="G360"/>
          <cell r="H360"/>
          <cell r="I360"/>
          <cell r="J360"/>
          <cell r="K360"/>
          <cell r="L360"/>
          <cell r="M360"/>
          <cell r="N360"/>
          <cell r="O360"/>
          <cell r="P360"/>
          <cell r="Q360"/>
          <cell r="R360"/>
          <cell r="S360"/>
          <cell r="T360"/>
          <cell r="U360"/>
          <cell r="V360"/>
          <cell r="W360"/>
          <cell r="X360"/>
          <cell r="Y360"/>
          <cell r="Z360"/>
          <cell r="AA360"/>
          <cell r="AB360"/>
          <cell r="AC360"/>
          <cell r="AD360"/>
          <cell r="AE360"/>
          <cell r="AF360"/>
          <cell r="AG360"/>
          <cell r="AH360"/>
          <cell r="AI360"/>
          <cell r="AJ360"/>
          <cell r="AK360"/>
          <cell r="AL360"/>
          <cell r="AM360"/>
          <cell r="AN360"/>
          <cell r="AO360"/>
          <cell r="AP360"/>
          <cell r="AQ360"/>
          <cell r="AR360"/>
          <cell r="AS360"/>
          <cell r="AT360"/>
          <cell r="AU360"/>
          <cell r="AV360"/>
          <cell r="AW360"/>
          <cell r="AX360"/>
          <cell r="AY360"/>
          <cell r="AZ360"/>
          <cell r="BA360"/>
          <cell r="BB360"/>
          <cell r="BC360"/>
          <cell r="BD360"/>
          <cell r="BE360"/>
          <cell r="BF360"/>
          <cell r="BG360"/>
          <cell r="BH360"/>
          <cell r="BI360"/>
          <cell r="BJ360"/>
          <cell r="BK360"/>
          <cell r="BL360"/>
          <cell r="BM360"/>
          <cell r="BN360"/>
          <cell r="BO360"/>
          <cell r="BP360"/>
          <cell r="BQ360"/>
          <cell r="BR360"/>
          <cell r="BS360"/>
          <cell r="BT360"/>
          <cell r="BU360"/>
          <cell r="BV360"/>
          <cell r="BW360"/>
          <cell r="BX360"/>
          <cell r="BY360"/>
          <cell r="BZ360"/>
          <cell r="CA360"/>
          <cell r="CB360"/>
          <cell r="CC360"/>
          <cell r="CD360"/>
          <cell r="CE360"/>
          <cell r="CF360"/>
          <cell r="CG360"/>
          <cell r="CH360"/>
          <cell r="CI360"/>
          <cell r="CJ360"/>
          <cell r="CK360"/>
          <cell r="CL360"/>
          <cell r="CM360"/>
          <cell r="CN360"/>
          <cell r="CO360"/>
          <cell r="CP360"/>
          <cell r="CQ360"/>
          <cell r="CR360"/>
          <cell r="CS360"/>
          <cell r="CT360"/>
          <cell r="CU360"/>
          <cell r="CV360"/>
          <cell r="CW360"/>
          <cell r="CX360"/>
          <cell r="CY360"/>
          <cell r="CZ360"/>
          <cell r="DA360"/>
          <cell r="DB360"/>
          <cell r="DC360"/>
          <cell r="DD360"/>
          <cell r="DE360"/>
          <cell r="DF360"/>
          <cell r="DG360"/>
          <cell r="DH360"/>
          <cell r="DI360"/>
          <cell r="DJ360"/>
          <cell r="DK360"/>
          <cell r="DL360"/>
          <cell r="DM360"/>
          <cell r="DN360"/>
          <cell r="DO360"/>
        </row>
        <row r="361">
          <cell r="A361" t="str">
            <v>Workspace Services Perpetual License</v>
          </cell>
          <cell r="B361"/>
          <cell r="C361"/>
          <cell r="D361"/>
          <cell r="E361"/>
          <cell r="F361"/>
          <cell r="G361"/>
          <cell r="H361"/>
          <cell r="I361"/>
          <cell r="J361"/>
          <cell r="K361"/>
          <cell r="L361"/>
          <cell r="M361"/>
          <cell r="N361"/>
          <cell r="O361"/>
          <cell r="P361"/>
          <cell r="Q361"/>
          <cell r="R361"/>
          <cell r="S361"/>
          <cell r="T361"/>
          <cell r="U361"/>
          <cell r="V361"/>
          <cell r="W361"/>
          <cell r="X361"/>
          <cell r="Y361"/>
          <cell r="Z361"/>
          <cell r="AA361"/>
          <cell r="AB361"/>
          <cell r="AC361"/>
          <cell r="AD361"/>
          <cell r="AE361"/>
          <cell r="AF361"/>
          <cell r="AG361"/>
          <cell r="AH361"/>
          <cell r="AI361"/>
          <cell r="AJ361"/>
          <cell r="AK361"/>
          <cell r="AL361"/>
          <cell r="AM361"/>
          <cell r="AN361"/>
          <cell r="AO361"/>
          <cell r="AP361"/>
          <cell r="AQ361"/>
          <cell r="AR361"/>
          <cell r="AS361"/>
          <cell r="AT361"/>
          <cell r="AU361"/>
          <cell r="AV361"/>
          <cell r="AW361"/>
          <cell r="AX361"/>
          <cell r="AY361"/>
          <cell r="AZ361"/>
          <cell r="BA361"/>
          <cell r="BB361"/>
          <cell r="BC361"/>
          <cell r="BD361"/>
          <cell r="BE361"/>
          <cell r="BF361"/>
          <cell r="BG361"/>
          <cell r="BH361"/>
          <cell r="BI361"/>
          <cell r="BJ361"/>
          <cell r="BK361"/>
          <cell r="BL361"/>
          <cell r="BM361"/>
          <cell r="BN361"/>
          <cell r="BO361"/>
          <cell r="BP361"/>
          <cell r="BQ361"/>
          <cell r="BR361"/>
          <cell r="BS361">
            <v>77.403146198097161</v>
          </cell>
          <cell r="BT361">
            <v>89.790119343251092</v>
          </cell>
          <cell r="BU361">
            <v>78.196092020408145</v>
          </cell>
          <cell r="BV361">
            <v>125.68201016369036</v>
          </cell>
          <cell r="BW361">
            <v>67.783932079757705</v>
          </cell>
          <cell r="BX361">
            <v>82.687329682799046</v>
          </cell>
          <cell r="BY361">
            <v>75.228063632248791</v>
          </cell>
          <cell r="BZ361">
            <v>123.75260530512725</v>
          </cell>
          <cell r="CA361">
            <v>63.591125415077485</v>
          </cell>
          <cell r="CB361">
            <v>77.614840678100649</v>
          </cell>
          <cell r="CC361">
            <v>76.798238062903579</v>
          </cell>
          <cell r="CD361">
            <v>116.96330685431195</v>
          </cell>
          <cell r="CE361">
            <v>69.686865356224615</v>
          </cell>
          <cell r="CF361">
            <v>101.33365947461459</v>
          </cell>
          <cell r="CG361">
            <v>93.083421299273979</v>
          </cell>
          <cell r="CH361">
            <v>128.99661252921626</v>
          </cell>
          <cell r="CI361">
            <v>38.183253908095963</v>
          </cell>
          <cell r="CJ361">
            <v>48.490424554882225</v>
          </cell>
          <cell r="CK361">
            <v>40.056929260748753</v>
          </cell>
          <cell r="CL361">
            <v>100.47895456872159</v>
          </cell>
          <cell r="CM361">
            <v>26.728277735667174</v>
          </cell>
          <cell r="CN361">
            <v>33.935215450991741</v>
          </cell>
          <cell r="CO361">
            <v>28.026531553544928</v>
          </cell>
          <cell r="CP361">
            <v>70.28527949954487</v>
          </cell>
          <cell r="CQ361">
            <v>14.019081569713098</v>
          </cell>
          <cell r="CR361">
            <v>17.794989639383417</v>
          </cell>
          <cell r="CS361">
            <v>14.693170170576614</v>
          </cell>
          <cell r="CT361">
            <v>36.839186962862087</v>
          </cell>
          <cell r="CU361">
            <v>9.7949888511867265</v>
          </cell>
          <cell r="CV361">
            <v>12.430327931031185</v>
          </cell>
          <cell r="CW361">
            <v>10.261274213647503</v>
          </cell>
          <cell r="CX361">
            <v>25.721555751871655</v>
          </cell>
          <cell r="CY361">
            <v>10.256148095974199</v>
          </cell>
          <cell r="CZ361">
            <v>13.012635774826052</v>
          </cell>
          <cell r="DA361">
            <v>10.739567657924644</v>
          </cell>
          <cell r="DB361">
            <v>26.914481599129992</v>
          </cell>
          <cell r="DC361"/>
          <cell r="DD361"/>
          <cell r="DE361">
            <v>0</v>
          </cell>
          <cell r="DF361">
            <v>0</v>
          </cell>
          <cell r="DG361">
            <v>0</v>
          </cell>
          <cell r="DH361">
            <v>0</v>
          </cell>
          <cell r="DI361">
            <v>0</v>
          </cell>
          <cell r="DJ361">
            <v>0</v>
          </cell>
          <cell r="DK361">
            <v>0</v>
          </cell>
          <cell r="DL361">
            <v>0</v>
          </cell>
          <cell r="DM361">
            <v>0</v>
          </cell>
          <cell r="DN361">
            <v>0</v>
          </cell>
          <cell r="DO361">
            <v>0</v>
          </cell>
        </row>
        <row r="362">
          <cell r="A362" t="str">
            <v>% of perpetual equivalent total</v>
          </cell>
          <cell r="B362"/>
          <cell r="C362" t="str">
            <v>NA</v>
          </cell>
          <cell r="D362" t="str">
            <v>NA</v>
          </cell>
          <cell r="E362" t="str">
            <v>NA</v>
          </cell>
          <cell r="F362" t="str">
            <v>NA</v>
          </cell>
          <cell r="G362" t="str">
            <v>NA</v>
          </cell>
          <cell r="H362" t="str">
            <v>NA</v>
          </cell>
          <cell r="I362" t="str">
            <v>NA</v>
          </cell>
          <cell r="J362" t="str">
            <v>NA</v>
          </cell>
          <cell r="K362" t="str">
            <v>NA</v>
          </cell>
          <cell r="L362" t="str">
            <v>NA</v>
          </cell>
          <cell r="M362" t="str">
            <v>NA</v>
          </cell>
          <cell r="N362" t="str">
            <v>NA</v>
          </cell>
          <cell r="O362" t="str">
            <v>NA</v>
          </cell>
          <cell r="P362" t="str">
            <v>NA</v>
          </cell>
          <cell r="Q362" t="str">
            <v>NA</v>
          </cell>
          <cell r="R362" t="str">
            <v>NA</v>
          </cell>
          <cell r="S362" t="str">
            <v>NA</v>
          </cell>
          <cell r="T362" t="str">
            <v>NA</v>
          </cell>
          <cell r="U362" t="str">
            <v>NA</v>
          </cell>
          <cell r="V362" t="str">
            <v>NA</v>
          </cell>
          <cell r="W362" t="str">
            <v>NA</v>
          </cell>
          <cell r="X362" t="str">
            <v>NA</v>
          </cell>
          <cell r="Y362" t="str">
            <v>NA</v>
          </cell>
          <cell r="Z362" t="str">
            <v>NA</v>
          </cell>
          <cell r="AA362" t="str">
            <v>NA</v>
          </cell>
          <cell r="AB362" t="str">
            <v>NA</v>
          </cell>
          <cell r="AC362" t="str">
            <v>NA</v>
          </cell>
          <cell r="AD362" t="str">
            <v>NA</v>
          </cell>
          <cell r="AE362" t="str">
            <v>NA</v>
          </cell>
          <cell r="AF362" t="str">
            <v>NA</v>
          </cell>
          <cell r="AG362" t="str">
            <v>NA</v>
          </cell>
          <cell r="AH362" t="str">
            <v>NA</v>
          </cell>
          <cell r="AI362" t="str">
            <v>NA</v>
          </cell>
          <cell r="AJ362" t="str">
            <v>NA</v>
          </cell>
          <cell r="AK362" t="str">
            <v>NA</v>
          </cell>
          <cell r="AL362" t="str">
            <v>NA</v>
          </cell>
          <cell r="AM362" t="str">
            <v>NA</v>
          </cell>
          <cell r="AN362" t="str">
            <v>NA</v>
          </cell>
          <cell r="AO362" t="str">
            <v>NA</v>
          </cell>
          <cell r="AP362" t="str">
            <v>NA</v>
          </cell>
          <cell r="AQ362" t="str">
            <v>NA</v>
          </cell>
          <cell r="AR362" t="str">
            <v>NA</v>
          </cell>
          <cell r="AS362" t="str">
            <v>NA</v>
          </cell>
          <cell r="AT362" t="str">
            <v>NA</v>
          </cell>
          <cell r="AU362" t="str">
            <v>NA</v>
          </cell>
          <cell r="AV362" t="str">
            <v>NA</v>
          </cell>
          <cell r="AW362" t="str">
            <v>NA</v>
          </cell>
          <cell r="AX362" t="str">
            <v>NA</v>
          </cell>
          <cell r="AY362" t="str">
            <v>NA</v>
          </cell>
          <cell r="AZ362" t="str">
            <v>NA</v>
          </cell>
          <cell r="BA362" t="str">
            <v>NA</v>
          </cell>
          <cell r="BB362" t="str">
            <v>NA</v>
          </cell>
          <cell r="BC362" t="str">
            <v>NA</v>
          </cell>
          <cell r="BD362" t="str">
            <v>NA</v>
          </cell>
          <cell r="BE362" t="str">
            <v>NA</v>
          </cell>
          <cell r="BF362" t="str">
            <v>NA</v>
          </cell>
          <cell r="BG362" t="str">
            <v>NA</v>
          </cell>
          <cell r="BH362" t="str">
            <v>NA</v>
          </cell>
          <cell r="BI362" t="str">
            <v>NA</v>
          </cell>
          <cell r="BJ362" t="str">
            <v>NA</v>
          </cell>
          <cell r="BK362" t="str">
            <v>NA</v>
          </cell>
          <cell r="BL362" t="str">
            <v>NA</v>
          </cell>
          <cell r="BM362" t="str">
            <v>NA</v>
          </cell>
          <cell r="BN362" t="str">
            <v>NA</v>
          </cell>
          <cell r="BO362" t="str">
            <v>NA</v>
          </cell>
          <cell r="BP362" t="str">
            <v>NA</v>
          </cell>
          <cell r="BQ362" t="str">
            <v>NA</v>
          </cell>
          <cell r="BR362" t="str">
            <v>NA</v>
          </cell>
          <cell r="BS362">
            <v>1.3019204839035288</v>
          </cell>
          <cell r="BT362">
            <v>0.81805758197906808</v>
          </cell>
          <cell r="BU362">
            <v>0.77922834790622131</v>
          </cell>
          <cell r="BV362">
            <v>0.89585065783337747</v>
          </cell>
          <cell r="BW362">
            <v>0.87949254317364645</v>
          </cell>
          <cell r="BX362">
            <v>0.88466532826460098</v>
          </cell>
          <cell r="BY362">
            <v>0.87196642514672584</v>
          </cell>
          <cell r="BZ362">
            <v>0.90489366607677812</v>
          </cell>
          <cell r="CA362">
            <v>0.77126096944414468</v>
          </cell>
          <cell r="CB362">
            <v>0.80293242088042649</v>
          </cell>
          <cell r="CC362">
            <v>0.78166866520769684</v>
          </cell>
          <cell r="CD362">
            <v>0.73169541465977939</v>
          </cell>
          <cell r="CE362">
            <v>0.45170323140031349</v>
          </cell>
          <cell r="CF362">
            <v>0.7726163662588903</v>
          </cell>
          <cell r="CG362">
            <v>1.09798522691564</v>
          </cell>
          <cell r="CH362">
            <v>0.60645920892288263</v>
          </cell>
          <cell r="CI362">
            <v>0.45000000000000007</v>
          </cell>
          <cell r="CJ362">
            <v>0.45000000000000007</v>
          </cell>
          <cell r="CK362">
            <v>0.45000000000000007</v>
          </cell>
          <cell r="CL362">
            <v>0.45000000000000007</v>
          </cell>
          <cell r="CM362">
            <v>0.30000000000000004</v>
          </cell>
          <cell r="CN362">
            <v>0.30000000000000004</v>
          </cell>
          <cell r="CO362">
            <v>0.30000000000000004</v>
          </cell>
          <cell r="CP362">
            <v>0.30000000000000004</v>
          </cell>
          <cell r="CQ362">
            <v>0.15000000000000002</v>
          </cell>
          <cell r="CR362">
            <v>0.15000000000000002</v>
          </cell>
          <cell r="CS362">
            <v>0.15000000000000002</v>
          </cell>
          <cell r="CT362">
            <v>0.15000000000000002</v>
          </cell>
          <cell r="CU362">
            <v>9.9999999999999978E-2</v>
          </cell>
          <cell r="CV362">
            <v>9.9999999999999978E-2</v>
          </cell>
          <cell r="CW362">
            <v>9.9999999999999978E-2</v>
          </cell>
          <cell r="CX362">
            <v>9.9999999999999978E-2</v>
          </cell>
          <cell r="CY362">
            <v>9.9999999999999978E-2</v>
          </cell>
          <cell r="CZ362">
            <v>9.9999999999999978E-2</v>
          </cell>
          <cell r="DA362">
            <v>9.9999999999999978E-2</v>
          </cell>
          <cell r="DB362">
            <v>9.9999999999999978E-2</v>
          </cell>
          <cell r="DC362"/>
          <cell r="DD362" t="str">
            <v>NA</v>
          </cell>
          <cell r="DE362" t="str">
            <v>NA</v>
          </cell>
          <cell r="DF362" t="str">
            <v>NA</v>
          </cell>
          <cell r="DG362" t="str">
            <v>NA</v>
          </cell>
          <cell r="DH362" t="str">
            <v>NA</v>
          </cell>
          <cell r="DI362" t="str">
            <v>NA</v>
          </cell>
          <cell r="DJ362" t="str">
            <v>NA</v>
          </cell>
          <cell r="DK362" t="str">
            <v>NA</v>
          </cell>
          <cell r="DL362" t="str">
            <v>NA</v>
          </cell>
          <cell r="DM362" t="str">
            <v>NA</v>
          </cell>
          <cell r="DN362" t="str">
            <v>NA</v>
          </cell>
          <cell r="DO362" t="str">
            <v>NA</v>
          </cell>
        </row>
        <row r="363">
          <cell r="A363" t="str">
            <v>% growth y-o-y</v>
          </cell>
          <cell r="B363"/>
          <cell r="C363" t="str">
            <v>NA</v>
          </cell>
          <cell r="D363" t="str">
            <v>NA</v>
          </cell>
          <cell r="E363" t="str">
            <v>NA</v>
          </cell>
          <cell r="F363" t="str">
            <v>NA</v>
          </cell>
          <cell r="G363" t="str">
            <v>NA</v>
          </cell>
          <cell r="H363" t="str">
            <v>NA</v>
          </cell>
          <cell r="I363" t="str">
            <v>NA</v>
          </cell>
          <cell r="J363" t="str">
            <v>NA</v>
          </cell>
          <cell r="K363" t="str">
            <v>NA</v>
          </cell>
          <cell r="L363" t="str">
            <v>NA</v>
          </cell>
          <cell r="M363" t="str">
            <v>NA</v>
          </cell>
          <cell r="N363" t="str">
            <v>NA</v>
          </cell>
          <cell r="O363" t="str">
            <v>NA</v>
          </cell>
          <cell r="P363" t="str">
            <v>NA</v>
          </cell>
          <cell r="Q363" t="str">
            <v>NA</v>
          </cell>
          <cell r="R363" t="str">
            <v>NA</v>
          </cell>
          <cell r="S363" t="str">
            <v>NA</v>
          </cell>
          <cell r="T363" t="str">
            <v>NA</v>
          </cell>
          <cell r="U363" t="str">
            <v>NA</v>
          </cell>
          <cell r="V363" t="str">
            <v>NA</v>
          </cell>
          <cell r="W363" t="str">
            <v>NA</v>
          </cell>
          <cell r="X363" t="str">
            <v>NA</v>
          </cell>
          <cell r="Y363" t="str">
            <v>NA</v>
          </cell>
          <cell r="Z363" t="str">
            <v>NA</v>
          </cell>
          <cell r="AA363" t="str">
            <v>NA</v>
          </cell>
          <cell r="AB363" t="str">
            <v>NA</v>
          </cell>
          <cell r="AC363" t="str">
            <v>NA</v>
          </cell>
          <cell r="AD363" t="str">
            <v>NA</v>
          </cell>
          <cell r="AE363" t="str">
            <v>NA</v>
          </cell>
          <cell r="AF363" t="str">
            <v>NA</v>
          </cell>
          <cell r="AG363" t="str">
            <v>NA</v>
          </cell>
          <cell r="AH363" t="str">
            <v>NA</v>
          </cell>
          <cell r="AI363" t="str">
            <v>NA</v>
          </cell>
          <cell r="AJ363" t="str">
            <v>NA</v>
          </cell>
          <cell r="AK363" t="str">
            <v>NA</v>
          </cell>
          <cell r="AL363" t="str">
            <v>NA</v>
          </cell>
          <cell r="AM363" t="str">
            <v>NA</v>
          </cell>
          <cell r="AN363" t="str">
            <v>NA</v>
          </cell>
          <cell r="AO363" t="str">
            <v>NA</v>
          </cell>
          <cell r="AP363" t="str">
            <v>NA</v>
          </cell>
          <cell r="AQ363" t="str">
            <v>NA</v>
          </cell>
          <cell r="AR363" t="str">
            <v>NA</v>
          </cell>
          <cell r="AS363" t="str">
            <v>NA</v>
          </cell>
          <cell r="AT363" t="str">
            <v>NA</v>
          </cell>
          <cell r="AU363" t="str">
            <v>NA</v>
          </cell>
          <cell r="AV363" t="str">
            <v>NA</v>
          </cell>
          <cell r="AW363" t="str">
            <v>NA</v>
          </cell>
          <cell r="AX363" t="str">
            <v>NA</v>
          </cell>
          <cell r="AY363" t="str">
            <v>NA</v>
          </cell>
          <cell r="AZ363" t="str">
            <v>NA</v>
          </cell>
          <cell r="BA363" t="str">
            <v>NA</v>
          </cell>
          <cell r="BB363" t="str">
            <v>NA</v>
          </cell>
          <cell r="BC363" t="str">
            <v>NA</v>
          </cell>
          <cell r="BD363" t="str">
            <v>NA</v>
          </cell>
          <cell r="BE363" t="str">
            <v>NA</v>
          </cell>
          <cell r="BF363" t="str">
            <v>NA</v>
          </cell>
          <cell r="BG363" t="str">
            <v>NA</v>
          </cell>
          <cell r="BH363" t="str">
            <v>NA</v>
          </cell>
          <cell r="BI363" t="str">
            <v>NA</v>
          </cell>
          <cell r="BJ363" t="str">
            <v>NA</v>
          </cell>
          <cell r="BK363" t="str">
            <v>NA</v>
          </cell>
          <cell r="BL363" t="str">
            <v>NA</v>
          </cell>
          <cell r="BM363" t="str">
            <v>NA</v>
          </cell>
          <cell r="BN363" t="str">
            <v>NA</v>
          </cell>
          <cell r="BO363" t="str">
            <v>NA</v>
          </cell>
          <cell r="BP363" t="str">
            <v>NA</v>
          </cell>
          <cell r="BQ363" t="str">
            <v>NA</v>
          </cell>
          <cell r="BR363" t="str">
            <v>NA</v>
          </cell>
          <cell r="BS363" t="str">
            <v>NA</v>
          </cell>
          <cell r="BT363" t="str">
            <v>NA</v>
          </cell>
          <cell r="BU363" t="str">
            <v>NA</v>
          </cell>
          <cell r="BV363" t="str">
            <v>NA</v>
          </cell>
          <cell r="BW363">
            <v>-0.12427420060834593</v>
          </cell>
          <cell r="BX363">
            <v>-7.9104357054024965E-2</v>
          </cell>
          <cell r="BY363">
            <v>-3.7956224044863207E-2</v>
          </cell>
          <cell r="BZ363">
            <v>-1.5351479945699742E-2</v>
          </cell>
          <cell r="CA363">
            <v>-6.1855465388858999E-2</v>
          </cell>
          <cell r="CB363">
            <v>-6.1345420442977416E-2</v>
          </cell>
          <cell r="CC363">
            <v>2.0872189909480587E-2</v>
          </cell>
          <cell r="CD363">
            <v>-5.4861862779175041E-2</v>
          </cell>
          <cell r="CE363">
            <v>9.5858343461583617E-2</v>
          </cell>
          <cell r="CF363">
            <v>0.30559643734740427</v>
          </cell>
          <cell r="CG363">
            <v>0.21205152158610208</v>
          </cell>
          <cell r="CH363">
            <v>0.10288103165459273</v>
          </cell>
          <cell r="CI363">
            <v>-0.45207387772557728</v>
          </cell>
          <cell r="CJ363">
            <v>-0.52147761359561173</v>
          </cell>
          <cell r="CK363">
            <v>-0.56966634120633486</v>
          </cell>
          <cell r="CL363">
            <v>-0.22107292122911948</v>
          </cell>
          <cell r="CM363">
            <v>-0.30000000000000004</v>
          </cell>
          <cell r="CN363">
            <v>-0.30016666666666669</v>
          </cell>
          <cell r="CO363">
            <v>-0.3003325</v>
          </cell>
          <cell r="CP363">
            <v>-0.30049750416666665</v>
          </cell>
          <cell r="CQ363">
            <v>-0.47549626248437504</v>
          </cell>
          <cell r="CR363">
            <v>-0.47561878117195311</v>
          </cell>
          <cell r="CS363">
            <v>-0.47574068726609331</v>
          </cell>
          <cell r="CT363">
            <v>-0.47586198382976286</v>
          </cell>
          <cell r="CU363">
            <v>-0.30131023188081918</v>
          </cell>
          <cell r="CV363">
            <v>-0.30147034738808165</v>
          </cell>
          <cell r="CW363">
            <v>-0.30162966231780786</v>
          </cell>
          <cell r="CX363">
            <v>-0.30178818067288549</v>
          </cell>
          <cell r="CY363">
            <v>4.7081140345718753E-2</v>
          </cell>
          <cell r="CZ363">
            <v>4.6845734643990333E-2</v>
          </cell>
          <cell r="DA363">
            <v>4.6611505970770128E-2</v>
          </cell>
          <cell r="DB363">
            <v>4.6378448440916431E-2</v>
          </cell>
          <cell r="DC363"/>
          <cell r="DD363" t="str">
            <v>NA</v>
          </cell>
          <cell r="DE363" t="str">
            <v>NA</v>
          </cell>
          <cell r="DF363" t="str">
            <v>NA</v>
          </cell>
          <cell r="DG363" t="str">
            <v>NA</v>
          </cell>
          <cell r="DH363" t="str">
            <v>NA</v>
          </cell>
          <cell r="DI363" t="str">
            <v>NA</v>
          </cell>
          <cell r="DJ363" t="str">
            <v>NA</v>
          </cell>
          <cell r="DK363" t="str">
            <v>NA</v>
          </cell>
          <cell r="DL363" t="str">
            <v>NA</v>
          </cell>
          <cell r="DM363" t="str">
            <v>NA</v>
          </cell>
          <cell r="DN363" t="str">
            <v>NA</v>
          </cell>
          <cell r="DO363" t="str">
            <v>NA</v>
          </cell>
        </row>
        <row r="364">
          <cell r="A364" t="str">
            <v>% growth seq</v>
          </cell>
          <cell r="B364"/>
          <cell r="C364" t="str">
            <v>NA</v>
          </cell>
          <cell r="D364" t="str">
            <v>NA</v>
          </cell>
          <cell r="E364" t="str">
            <v>NA</v>
          </cell>
          <cell r="F364" t="str">
            <v>NA</v>
          </cell>
          <cell r="G364" t="str">
            <v>NA</v>
          </cell>
          <cell r="H364" t="str">
            <v>NA</v>
          </cell>
          <cell r="I364" t="str">
            <v>NA</v>
          </cell>
          <cell r="J364" t="str">
            <v>NA</v>
          </cell>
          <cell r="K364" t="str">
            <v>NA</v>
          </cell>
          <cell r="L364" t="str">
            <v>NA</v>
          </cell>
          <cell r="M364" t="str">
            <v>NA</v>
          </cell>
          <cell r="N364" t="str">
            <v>NA</v>
          </cell>
          <cell r="O364" t="str">
            <v>NA</v>
          </cell>
          <cell r="P364" t="str">
            <v>NA</v>
          </cell>
          <cell r="Q364" t="str">
            <v>NA</v>
          </cell>
          <cell r="R364" t="str">
            <v>NA</v>
          </cell>
          <cell r="S364" t="str">
            <v>NA</v>
          </cell>
          <cell r="T364" t="str">
            <v>NA</v>
          </cell>
          <cell r="U364" t="str">
            <v>NA</v>
          </cell>
          <cell r="V364" t="str">
            <v>NA</v>
          </cell>
          <cell r="W364" t="str">
            <v>NA</v>
          </cell>
          <cell r="X364" t="str">
            <v>NA</v>
          </cell>
          <cell r="Y364" t="str">
            <v>NA</v>
          </cell>
          <cell r="Z364" t="str">
            <v>NA</v>
          </cell>
          <cell r="AA364" t="str">
            <v>NA</v>
          </cell>
          <cell r="AB364" t="str">
            <v>NA</v>
          </cell>
          <cell r="AC364" t="str">
            <v>NA</v>
          </cell>
          <cell r="AD364" t="str">
            <v>NA</v>
          </cell>
          <cell r="AE364" t="str">
            <v>NA</v>
          </cell>
          <cell r="AF364" t="str">
            <v>NA</v>
          </cell>
          <cell r="AG364" t="str">
            <v>NA</v>
          </cell>
          <cell r="AH364" t="str">
            <v>NA</v>
          </cell>
          <cell r="AI364" t="str">
            <v>NA</v>
          </cell>
          <cell r="AJ364" t="str">
            <v>NA</v>
          </cell>
          <cell r="AK364" t="str">
            <v>NA</v>
          </cell>
          <cell r="AL364" t="str">
            <v>NA</v>
          </cell>
          <cell r="AM364" t="str">
            <v>NA</v>
          </cell>
          <cell r="AN364" t="str">
            <v>NA</v>
          </cell>
          <cell r="AO364" t="str">
            <v>NA</v>
          </cell>
          <cell r="AP364" t="str">
            <v>NA</v>
          </cell>
          <cell r="AQ364" t="str">
            <v>NA</v>
          </cell>
          <cell r="AR364" t="str">
            <v>NA</v>
          </cell>
          <cell r="AS364" t="str">
            <v>NA</v>
          </cell>
          <cell r="AT364" t="str">
            <v>NA</v>
          </cell>
          <cell r="AU364" t="str">
            <v>NA</v>
          </cell>
          <cell r="AV364" t="str">
            <v>NA</v>
          </cell>
          <cell r="AW364" t="str">
            <v>NA</v>
          </cell>
          <cell r="AX364" t="str">
            <v>NA</v>
          </cell>
          <cell r="AY364" t="str">
            <v>NA</v>
          </cell>
          <cell r="AZ364" t="str">
            <v>NA</v>
          </cell>
          <cell r="BA364" t="str">
            <v>NA</v>
          </cell>
          <cell r="BB364" t="str">
            <v>NA</v>
          </cell>
          <cell r="BC364" t="str">
            <v>NA</v>
          </cell>
          <cell r="BD364" t="str">
            <v>NA</v>
          </cell>
          <cell r="BE364" t="str">
            <v>NA</v>
          </cell>
          <cell r="BF364" t="str">
            <v>NA</v>
          </cell>
          <cell r="BG364" t="str">
            <v>NA</v>
          </cell>
          <cell r="BH364" t="str">
            <v>NA</v>
          </cell>
          <cell r="BI364" t="str">
            <v>NA</v>
          </cell>
          <cell r="BJ364" t="str">
            <v>NA</v>
          </cell>
          <cell r="BK364" t="str">
            <v>NA</v>
          </cell>
          <cell r="BL364" t="str">
            <v>NA</v>
          </cell>
          <cell r="BM364" t="str">
            <v>NA</v>
          </cell>
          <cell r="BN364" t="str">
            <v>NA</v>
          </cell>
          <cell r="BO364" t="str">
            <v>NA</v>
          </cell>
          <cell r="BP364" t="str">
            <v>NA</v>
          </cell>
          <cell r="BQ364" t="str">
            <v>NA</v>
          </cell>
          <cell r="BR364" t="str">
            <v>NA</v>
          </cell>
          <cell r="BS364" t="str">
            <v>NA</v>
          </cell>
          <cell r="BT364">
            <v>0.16003190766241038</v>
          </cell>
          <cell r="BU364">
            <v>-0.12912364308728796</v>
          </cell>
          <cell r="BV364">
            <v>0.60726715256932562</v>
          </cell>
          <cell r="BW364">
            <v>-0.46067116533643304</v>
          </cell>
          <cell r="BX364">
            <v>0.21986623003081784</v>
          </cell>
          <cell r="BY364">
            <v>-9.0210508419671043E-2</v>
          </cell>
          <cell r="BZ364">
            <v>0.64503244307988461</v>
          </cell>
          <cell r="CA364">
            <v>-0.48614313809163245</v>
          </cell>
          <cell r="CB364">
            <v>0.22052943978403206</v>
          </cell>
          <cell r="CC364">
            <v>-1.0521217438090757E-2</v>
          </cell>
          <cell r="CD364">
            <v>0.52299466504049397</v>
          </cell>
          <cell r="CE364">
            <v>-0.4041989130571888</v>
          </cell>
          <cell r="CF364">
            <v>0.45412853565185074</v>
          </cell>
          <cell r="CG364">
            <v>-8.1416562059592912E-2</v>
          </cell>
          <cell r="CH364">
            <v>0.3858172672282556</v>
          </cell>
          <cell r="CI364">
            <v>-0.70399801080475743</v>
          </cell>
          <cell r="CJ364">
            <v>0.26993955705280626</v>
          </cell>
          <cell r="CK364">
            <v>-0.17392083842426065</v>
          </cell>
          <cell r="CL364">
            <v>1.5084038248328628</v>
          </cell>
          <cell r="CM364">
            <v>-0.7339912835439919</v>
          </cell>
          <cell r="CN364">
            <v>0.26963719049160328</v>
          </cell>
          <cell r="CO364">
            <v>-0.17411658711818001</v>
          </cell>
          <cell r="CP364">
            <v>1.5078122622938284</v>
          </cell>
          <cell r="CQ364">
            <v>-0.8005402885279288</v>
          </cell>
          <cell r="CR364">
            <v>0.26934061628029982</v>
          </cell>
          <cell r="CS364">
            <v>-0.17430858526278292</v>
          </cell>
          <cell r="CT364">
            <v>1.5072320360539582</v>
          </cell>
          <cell r="CU364">
            <v>-0.73411495587399522</v>
          </cell>
          <cell r="CV364">
            <v>0.26904972735371402</v>
          </cell>
          <cell r="CW364">
            <v>-0.1744969022071281</v>
          </cell>
          <cell r="CX364">
            <v>1.5066629364277162</v>
          </cell>
          <cell r="CY364">
            <v>-0.60126252879443731</v>
          </cell>
          <cell r="CZ364">
            <v>0.26876441847927723</v>
          </cell>
          <cell r="DA364">
            <v>-0.1746816061123323</v>
          </cell>
          <cell r="DB364">
            <v>1.5061047573241932</v>
          </cell>
          <cell r="DC364"/>
          <cell r="DD364"/>
          <cell r="DE364"/>
          <cell r="DF364"/>
          <cell r="DG364"/>
          <cell r="DH364"/>
          <cell r="DI364"/>
          <cell r="DJ364"/>
          <cell r="DK364"/>
          <cell r="DL364"/>
          <cell r="DM364"/>
          <cell r="DN364"/>
          <cell r="DO364"/>
        </row>
        <row r="365">
          <cell r="A365"/>
          <cell r="B365"/>
          <cell r="C365"/>
          <cell r="D365"/>
          <cell r="E365"/>
          <cell r="F365"/>
          <cell r="G365"/>
          <cell r="H365"/>
          <cell r="I365"/>
          <cell r="J365"/>
          <cell r="K365"/>
          <cell r="L365"/>
          <cell r="M365"/>
          <cell r="N365"/>
          <cell r="O365"/>
          <cell r="P365"/>
          <cell r="Q365"/>
          <cell r="R365"/>
          <cell r="S365"/>
          <cell r="T365"/>
          <cell r="U365"/>
          <cell r="V365"/>
          <cell r="W365"/>
          <cell r="X365"/>
          <cell r="Y365"/>
          <cell r="Z365"/>
          <cell r="AA365"/>
          <cell r="AB365"/>
          <cell r="AC365"/>
          <cell r="AD365"/>
          <cell r="AE365"/>
          <cell r="AF365"/>
          <cell r="AG365"/>
          <cell r="AH365"/>
          <cell r="AI365"/>
          <cell r="AJ365"/>
          <cell r="AK365"/>
          <cell r="AL365"/>
          <cell r="AM365"/>
          <cell r="AN365"/>
          <cell r="AO365"/>
          <cell r="AP365"/>
          <cell r="AQ365"/>
          <cell r="AR365"/>
          <cell r="AS365"/>
          <cell r="AT365"/>
          <cell r="AU365"/>
          <cell r="AV365"/>
          <cell r="AW365"/>
          <cell r="AX365"/>
          <cell r="AY365"/>
          <cell r="AZ365"/>
          <cell r="BA365"/>
          <cell r="BB365"/>
          <cell r="BC365"/>
          <cell r="BD365"/>
          <cell r="BE365"/>
          <cell r="BF365"/>
          <cell r="BG365"/>
          <cell r="BH365"/>
          <cell r="BI365"/>
          <cell r="BJ365"/>
          <cell r="BK365"/>
          <cell r="BL365"/>
          <cell r="BM365"/>
          <cell r="BN365"/>
          <cell r="BO365"/>
          <cell r="BP365"/>
          <cell r="BQ365"/>
          <cell r="BR365"/>
          <cell r="BS365"/>
          <cell r="BT365"/>
          <cell r="BU365"/>
          <cell r="BV365"/>
          <cell r="BW365"/>
          <cell r="BX365"/>
          <cell r="BY365"/>
          <cell r="BZ365"/>
          <cell r="CA365"/>
          <cell r="CB365"/>
          <cell r="CC365"/>
          <cell r="CD365"/>
          <cell r="CE365"/>
          <cell r="CF365"/>
          <cell r="CG365"/>
          <cell r="CH365"/>
          <cell r="CI365"/>
          <cell r="CJ365"/>
          <cell r="CK365"/>
          <cell r="CL365"/>
          <cell r="CM365"/>
          <cell r="CN365"/>
          <cell r="CO365"/>
          <cell r="CP365"/>
          <cell r="CQ365"/>
          <cell r="CR365"/>
          <cell r="CS365"/>
          <cell r="CT365"/>
          <cell r="CU365"/>
          <cell r="CV365"/>
          <cell r="CW365"/>
          <cell r="CX365"/>
          <cell r="CY365"/>
          <cell r="CZ365"/>
          <cell r="DA365"/>
          <cell r="DB365"/>
          <cell r="DC365"/>
          <cell r="DD365"/>
          <cell r="DE365"/>
          <cell r="DF365"/>
          <cell r="DG365"/>
          <cell r="DH365"/>
          <cell r="DI365"/>
          <cell r="DJ365"/>
          <cell r="DK365"/>
          <cell r="DL365"/>
          <cell r="DM365"/>
          <cell r="DN365"/>
          <cell r="DO365"/>
        </row>
        <row r="366">
          <cell r="A366" t="str">
            <v>Term + CSP Perpetual License Equivalent</v>
          </cell>
          <cell r="B366"/>
          <cell r="C366" t="e">
            <v>#REF!</v>
          </cell>
          <cell r="D366" t="e">
            <v>#REF!</v>
          </cell>
          <cell r="E366" t="e">
            <v>#VALUE!</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-17.950094222126669</v>
          </cell>
          <cell r="BT366">
            <v>19.970026300810169</v>
          </cell>
          <cell r="BU366">
            <v>20.272927880242708</v>
          </cell>
          <cell r="BV366">
            <v>9.1462431973095093</v>
          </cell>
          <cell r="BW366">
            <v>6.793112658859541</v>
          </cell>
          <cell r="BX366">
            <v>10.767747882606693</v>
          </cell>
          <cell r="BY366">
            <v>10.091150507883141</v>
          </cell>
          <cell r="BZ366">
            <v>12.816471885100206</v>
          </cell>
          <cell r="CA366">
            <v>13.599382543941177</v>
          </cell>
          <cell r="CB366">
            <v>16.43172055147058</v>
          </cell>
          <cell r="CC366">
            <v>20.083659908823499</v>
          </cell>
          <cell r="CD366">
            <v>31.395580174405946</v>
          </cell>
          <cell r="CE366">
            <v>71.554066282801017</v>
          </cell>
          <cell r="CF366">
            <v>7.1261947167923028</v>
          </cell>
          <cell r="CG366">
            <v>-33.767001226278538</v>
          </cell>
          <cell r="CH366">
            <v>32.775193963944744</v>
          </cell>
          <cell r="CI366">
            <v>16.97033507026487</v>
          </cell>
          <cell r="CJ366">
            <v>21.551299802169876</v>
          </cell>
          <cell r="CK366">
            <v>17.803079671443889</v>
          </cell>
          <cell r="CL366">
            <v>44.657313141654036</v>
          </cell>
          <cell r="CM366">
            <v>22.273564779722641</v>
          </cell>
          <cell r="CN366">
            <v>28.27934620915978</v>
          </cell>
          <cell r="CO366">
            <v>23.355442961287437</v>
          </cell>
          <cell r="CP366">
            <v>58.571066249620714</v>
          </cell>
          <cell r="CQ366">
            <v>28.038163139426189</v>
          </cell>
          <cell r="CR366">
            <v>35.589979278766826</v>
          </cell>
          <cell r="CS366">
            <v>29.386340341153222</v>
          </cell>
          <cell r="CT366">
            <v>73.678373925724159</v>
          </cell>
          <cell r="CU366">
            <v>29.384966553560183</v>
          </cell>
          <cell r="CV366">
            <v>37.290983793093559</v>
          </cell>
          <cell r="CW366">
            <v>30.783822640942518</v>
          </cell>
          <cell r="CX366">
            <v>77.164667255614972</v>
          </cell>
          <cell r="CY366">
            <v>30.768444287922602</v>
          </cell>
          <cell r="CZ366">
            <v>39.037907324478162</v>
          </cell>
          <cell r="DA366">
            <v>32.218702973773937</v>
          </cell>
          <cell r="DB366">
            <v>80.743444797389998</v>
          </cell>
          <cell r="DC366"/>
          <cell r="DD366"/>
          <cell r="DE366">
            <v>0</v>
          </cell>
          <cell r="DF366">
            <v>0</v>
          </cell>
          <cell r="DG366">
            <v>0</v>
          </cell>
          <cell r="DH366">
            <v>0</v>
          </cell>
          <cell r="DI366">
            <v>0</v>
          </cell>
          <cell r="DJ366">
            <v>0</v>
          </cell>
          <cell r="DK366">
            <v>0</v>
          </cell>
          <cell r="DL366">
            <v>0</v>
          </cell>
          <cell r="DM366">
            <v>0</v>
          </cell>
          <cell r="DN366">
            <v>0</v>
          </cell>
          <cell r="DO366">
            <v>0</v>
          </cell>
        </row>
        <row r="367">
          <cell r="A367" t="str">
            <v>% of perpetual equivalent total</v>
          </cell>
          <cell r="B367"/>
          <cell r="C367" t="str">
            <v>NA</v>
          </cell>
          <cell r="D367" t="str">
            <v>NA</v>
          </cell>
          <cell r="E367" t="str">
            <v>NA</v>
          </cell>
          <cell r="F367" t="str">
            <v>NA</v>
          </cell>
          <cell r="G367" t="str">
            <v>NA</v>
          </cell>
          <cell r="H367" t="str">
            <v>NA</v>
          </cell>
          <cell r="I367" t="str">
            <v>NA</v>
          </cell>
          <cell r="J367" t="str">
            <v>NA</v>
          </cell>
          <cell r="K367" t="str">
            <v>NA</v>
          </cell>
          <cell r="L367" t="str">
            <v>NA</v>
          </cell>
          <cell r="M367" t="str">
            <v>NA</v>
          </cell>
          <cell r="N367" t="str">
            <v>NA</v>
          </cell>
          <cell r="O367" t="str">
            <v>NA</v>
          </cell>
          <cell r="P367" t="str">
            <v>NA</v>
          </cell>
          <cell r="Q367" t="str">
            <v>NA</v>
          </cell>
          <cell r="R367" t="str">
            <v>NA</v>
          </cell>
          <cell r="S367" t="str">
            <v>NA</v>
          </cell>
          <cell r="T367" t="str">
            <v>NA</v>
          </cell>
          <cell r="U367" t="str">
            <v>NA</v>
          </cell>
          <cell r="V367" t="str">
            <v>NA</v>
          </cell>
          <cell r="W367" t="str">
            <v>NA</v>
          </cell>
          <cell r="X367" t="str">
            <v>NA</v>
          </cell>
          <cell r="Y367" t="str">
            <v>NA</v>
          </cell>
          <cell r="Z367" t="str">
            <v>NA</v>
          </cell>
          <cell r="AA367" t="str">
            <v>NA</v>
          </cell>
          <cell r="AB367" t="str">
            <v>NA</v>
          </cell>
          <cell r="AC367" t="str">
            <v>NA</v>
          </cell>
          <cell r="AD367" t="str">
            <v>NA</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-0.11820123747163787</v>
          </cell>
          <cell r="BT367">
            <v>9.4883980826505107E-2</v>
          </cell>
          <cell r="BU367">
            <v>9.491041036449889E-2</v>
          </cell>
          <cell r="BV367">
            <v>3.2855227525659177E-2</v>
          </cell>
          <cell r="BW367">
            <v>3.5274072915164885E-2</v>
          </cell>
          <cell r="BX367">
            <v>5.1204698144095367E-2</v>
          </cell>
          <cell r="BY367">
            <v>5.1156847670855723E-2</v>
          </cell>
          <cell r="BZ367">
            <v>5.1840568801420649E-2</v>
          </cell>
          <cell r="CA367">
            <v>7.250518363904189E-2</v>
          </cell>
          <cell r="CB367">
            <v>7.913405847486038E-2</v>
          </cell>
          <cell r="CC367">
            <v>0.10458528102874184</v>
          </cell>
          <cell r="CD367">
            <v>0.11291154938593878</v>
          </cell>
          <cell r="CE367">
            <v>0.25823377124011421</v>
          </cell>
          <cell r="CF367">
            <v>2.8068429053741042E-2</v>
          </cell>
          <cell r="CG367">
            <v>-0.17718759199663661</v>
          </cell>
          <cell r="CH367">
            <v>0.10079159173730552</v>
          </cell>
          <cell r="CI367">
            <v>9.7931433279146482E-2</v>
          </cell>
          <cell r="CJ367">
            <v>9.3503531324242134E-2</v>
          </cell>
          <cell r="CK367">
            <v>9.1386479743792437E-2</v>
          </cell>
          <cell r="CL367">
            <v>0.13300370903162401</v>
          </cell>
          <cell r="CM367">
            <v>0.1226914425660374</v>
          </cell>
          <cell r="CN367">
            <v>0.1170564594727448</v>
          </cell>
          <cell r="CO367">
            <v>0.11444620706327487</v>
          </cell>
          <cell r="CP367">
            <v>0.16639771695776312</v>
          </cell>
          <cell r="CQ367">
            <v>0.14780437182573236</v>
          </cell>
          <cell r="CR367">
            <v>0.14093518198792213</v>
          </cell>
          <cell r="CS367">
            <v>0.1378375640907844</v>
          </cell>
          <cell r="CT367">
            <v>0.20007514716887728</v>
          </cell>
          <cell r="CU367">
            <v>0.14859517430392027</v>
          </cell>
          <cell r="CV367">
            <v>0.1416299366309548</v>
          </cell>
          <cell r="CW367">
            <v>0.13855985016029379</v>
          </cell>
          <cell r="CX367">
            <v>0.20067330647423864</v>
          </cell>
          <cell r="CY367">
            <v>0.14957807639204623</v>
          </cell>
          <cell r="CZ367">
            <v>0.14252662122217152</v>
          </cell>
          <cell r="DA367">
            <v>0.13947813535488052</v>
          </cell>
          <cell r="DB367">
            <v>0.20144735224553514</v>
          </cell>
          <cell r="DC367"/>
          <cell r="DD367" t="str">
            <v>NA</v>
          </cell>
          <cell r="DE367" t="str">
            <v>NA</v>
          </cell>
          <cell r="DF367" t="str">
            <v>NA</v>
          </cell>
          <cell r="DG367" t="str">
            <v>NA</v>
          </cell>
          <cell r="DH367" t="str">
            <v>NA</v>
          </cell>
          <cell r="DI367" t="str">
            <v>NA</v>
          </cell>
          <cell r="DJ367" t="str">
            <v>NA</v>
          </cell>
          <cell r="DK367">
            <v>0</v>
          </cell>
          <cell r="DL367">
            <v>0</v>
          </cell>
          <cell r="DM367">
            <v>0</v>
          </cell>
          <cell r="DN367">
            <v>0</v>
          </cell>
          <cell r="DO367">
            <v>0</v>
          </cell>
        </row>
        <row r="368">
          <cell r="A368" t="str">
            <v xml:space="preserve">% of WS perpetual equivalent </v>
          </cell>
          <cell r="B368"/>
          <cell r="C368" t="str">
            <v>NA</v>
          </cell>
          <cell r="D368" t="str">
            <v>NA</v>
          </cell>
          <cell r="E368" t="str">
            <v>NA</v>
          </cell>
          <cell r="F368" t="str">
            <v>NA</v>
          </cell>
          <cell r="G368" t="str">
            <v>NA</v>
          </cell>
          <cell r="H368" t="str">
            <v>NA</v>
          </cell>
          <cell r="I368" t="str">
            <v>NA</v>
          </cell>
          <cell r="J368" t="str">
            <v>NA</v>
          </cell>
          <cell r="K368" t="str">
            <v>NA</v>
          </cell>
          <cell r="L368" t="str">
            <v>NA</v>
          </cell>
          <cell r="M368" t="str">
            <v>NA</v>
          </cell>
          <cell r="N368" t="str">
            <v>NA</v>
          </cell>
          <cell r="O368" t="str">
            <v>NA</v>
          </cell>
          <cell r="P368" t="str">
            <v>NA</v>
          </cell>
          <cell r="Q368" t="str">
            <v>NA</v>
          </cell>
          <cell r="R368" t="str">
            <v>NA</v>
          </cell>
          <cell r="S368" t="str">
            <v>NA</v>
          </cell>
          <cell r="T368" t="str">
            <v>NA</v>
          </cell>
          <cell r="U368" t="str">
            <v>NA</v>
          </cell>
          <cell r="V368" t="str">
            <v>NA</v>
          </cell>
          <cell r="W368" t="str">
            <v>NA</v>
          </cell>
          <cell r="X368" t="str">
            <v>NA</v>
          </cell>
          <cell r="Y368" t="str">
            <v>NA</v>
          </cell>
          <cell r="Z368" t="str">
            <v>NA</v>
          </cell>
          <cell r="AA368" t="str">
            <v>NA</v>
          </cell>
          <cell r="AB368" t="str">
            <v>NA</v>
          </cell>
          <cell r="AC368" t="str">
            <v>NA</v>
          </cell>
          <cell r="AD368" t="str">
            <v>NA</v>
          </cell>
          <cell r="AE368" t="str">
            <v>NA</v>
          </cell>
          <cell r="AF368" t="str">
            <v>NA</v>
          </cell>
          <cell r="AG368" t="str">
            <v>NA</v>
          </cell>
          <cell r="AH368" t="str">
            <v>NA</v>
          </cell>
          <cell r="AI368" t="str">
            <v>NA</v>
          </cell>
          <cell r="AJ368" t="str">
            <v>NA</v>
          </cell>
          <cell r="AK368" t="str">
            <v>NA</v>
          </cell>
          <cell r="AL368" t="str">
            <v>NA</v>
          </cell>
          <cell r="AM368" t="str">
            <v>NA</v>
          </cell>
          <cell r="AN368" t="str">
            <v>NA</v>
          </cell>
          <cell r="AO368" t="str">
            <v>NA</v>
          </cell>
          <cell r="AP368" t="str">
            <v>NA</v>
          </cell>
          <cell r="AQ368" t="str">
            <v>NA</v>
          </cell>
          <cell r="AR368" t="str">
            <v>NA</v>
          </cell>
          <cell r="AS368" t="str">
            <v>NA</v>
          </cell>
          <cell r="AT368" t="str">
            <v>NA</v>
          </cell>
          <cell r="AU368" t="str">
            <v>NA</v>
          </cell>
          <cell r="AV368" t="str">
            <v>NA</v>
          </cell>
          <cell r="AW368" t="str">
            <v>NA</v>
          </cell>
          <cell r="AX368" t="str">
            <v>NA</v>
          </cell>
          <cell r="AY368" t="str">
            <v>NA</v>
          </cell>
          <cell r="AZ368" t="str">
            <v>NA</v>
          </cell>
          <cell r="BA368" t="str">
            <v>NA</v>
          </cell>
          <cell r="BB368" t="str">
            <v>NA</v>
          </cell>
          <cell r="BC368" t="str">
            <v>NA</v>
          </cell>
          <cell r="BD368" t="str">
            <v>NA</v>
          </cell>
          <cell r="BE368" t="str">
            <v>NA</v>
          </cell>
          <cell r="BF368" t="str">
            <v>NA</v>
          </cell>
          <cell r="BG368" t="str">
            <v>NA</v>
          </cell>
          <cell r="BH368" t="str">
            <v>NA</v>
          </cell>
          <cell r="BI368" t="str">
            <v>NA</v>
          </cell>
          <cell r="BJ368" t="str">
            <v>NA</v>
          </cell>
          <cell r="BK368" t="str">
            <v>NA</v>
          </cell>
          <cell r="BL368" t="str">
            <v>NA</v>
          </cell>
          <cell r="BM368" t="str">
            <v>NA</v>
          </cell>
          <cell r="BN368" t="str">
            <v>NA</v>
          </cell>
          <cell r="BO368" t="str">
            <v>NA</v>
          </cell>
          <cell r="BP368" t="str">
            <v>NA</v>
          </cell>
          <cell r="BQ368" t="str">
            <v>NA</v>
          </cell>
          <cell r="BR368" t="str">
            <v>NA</v>
          </cell>
          <cell r="BS368">
            <v>-0.30192048390352894</v>
          </cell>
          <cell r="BT368">
            <v>0.18194241802093197</v>
          </cell>
          <cell r="BU368">
            <v>0.20202083878080029</v>
          </cell>
          <cell r="BV368">
            <v>6.5193642068122615E-2</v>
          </cell>
          <cell r="BW368">
            <v>8.8140238329278475E-2</v>
          </cell>
          <cell r="BX368">
            <v>0.11520329960804526</v>
          </cell>
          <cell r="BY368">
            <v>0.11696624915125967</v>
          </cell>
          <cell r="BZ368">
            <v>9.3715556142701897E-2</v>
          </cell>
          <cell r="CA368">
            <v>0.16493925679439198</v>
          </cell>
          <cell r="CB368">
            <v>0.16998760863713977</v>
          </cell>
          <cell r="CC368">
            <v>0.20441572657639512</v>
          </cell>
          <cell r="CD368">
            <v>0.19640349330076612</v>
          </cell>
          <cell r="CE368">
            <v>0.46380623944776739</v>
          </cell>
          <cell r="CF368">
            <v>5.4333522502665058E-2</v>
          </cell>
          <cell r="CG368">
            <v>-0.39830582058746605</v>
          </cell>
          <cell r="CH368">
            <v>0.15408790830973251</v>
          </cell>
          <cell r="CI368">
            <v>0.2</v>
          </cell>
          <cell r="CJ368">
            <v>0.2</v>
          </cell>
          <cell r="CK368">
            <v>0.2</v>
          </cell>
          <cell r="CL368">
            <v>0.2</v>
          </cell>
          <cell r="CM368">
            <v>0.25</v>
          </cell>
          <cell r="CN368">
            <v>0.25</v>
          </cell>
          <cell r="CO368">
            <v>0.25</v>
          </cell>
          <cell r="CP368">
            <v>0.25</v>
          </cell>
          <cell r="CQ368">
            <v>0.3</v>
          </cell>
          <cell r="CR368">
            <v>0.3</v>
          </cell>
          <cell r="CS368">
            <v>0.3</v>
          </cell>
          <cell r="CT368">
            <v>0.3</v>
          </cell>
          <cell r="CU368">
            <v>0.3</v>
          </cell>
          <cell r="CV368">
            <v>0.3</v>
          </cell>
          <cell r="CW368">
            <v>0.3</v>
          </cell>
          <cell r="CX368">
            <v>0.3</v>
          </cell>
          <cell r="CY368">
            <v>0.3</v>
          </cell>
          <cell r="CZ368">
            <v>0.3</v>
          </cell>
          <cell r="DA368">
            <v>0.3</v>
          </cell>
          <cell r="DB368">
            <v>0.3</v>
          </cell>
          <cell r="DC368"/>
          <cell r="DD368" t="str">
            <v>NA</v>
          </cell>
          <cell r="DE368" t="str">
            <v>NA</v>
          </cell>
          <cell r="DF368" t="str">
            <v>NA</v>
          </cell>
          <cell r="DG368" t="str">
            <v>NA</v>
          </cell>
          <cell r="DH368" t="str">
            <v>NA</v>
          </cell>
          <cell r="DI368" t="str">
            <v>NA</v>
          </cell>
          <cell r="DJ368" t="str">
            <v>NA</v>
          </cell>
          <cell r="DK368" t="str">
            <v>NA</v>
          </cell>
          <cell r="DL368" t="str">
            <v>NA</v>
          </cell>
          <cell r="DM368" t="str">
            <v>NA</v>
          </cell>
          <cell r="DN368" t="str">
            <v>NA</v>
          </cell>
          <cell r="DO368" t="str">
            <v>NA</v>
          </cell>
        </row>
        <row r="369">
          <cell r="A369" t="str">
            <v>% growth y-o-y</v>
          </cell>
          <cell r="B369"/>
          <cell r="C369" t="str">
            <v>NA</v>
          </cell>
          <cell r="D369" t="str">
            <v>NA</v>
          </cell>
          <cell r="E369" t="str">
            <v>NA</v>
          </cell>
          <cell r="F369" t="str">
            <v>NA</v>
          </cell>
          <cell r="G369" t="str">
            <v>NA</v>
          </cell>
          <cell r="H369" t="str">
            <v>NA</v>
          </cell>
          <cell r="I369" t="str">
            <v>NA</v>
          </cell>
          <cell r="J369" t="str">
            <v>NA</v>
          </cell>
          <cell r="K369" t="str">
            <v>NA</v>
          </cell>
          <cell r="L369" t="str">
            <v>NA</v>
          </cell>
          <cell r="M369" t="str">
            <v>NA</v>
          </cell>
          <cell r="N369" t="str">
            <v>NA</v>
          </cell>
          <cell r="O369" t="str">
            <v>NA</v>
          </cell>
          <cell r="P369" t="str">
            <v>NA</v>
          </cell>
          <cell r="Q369" t="str">
            <v>NA</v>
          </cell>
          <cell r="R369" t="str">
            <v>NA</v>
          </cell>
          <cell r="S369" t="str">
            <v>NA</v>
          </cell>
          <cell r="T369" t="str">
            <v>NA</v>
          </cell>
          <cell r="U369" t="str">
            <v>NA</v>
          </cell>
          <cell r="V369" t="str">
            <v>NA</v>
          </cell>
          <cell r="W369" t="str">
            <v>NA</v>
          </cell>
          <cell r="X369" t="str">
            <v>NA</v>
          </cell>
          <cell r="Y369" t="str">
            <v>NA</v>
          </cell>
          <cell r="Z369" t="str">
            <v>NA</v>
          </cell>
          <cell r="AA369" t="str">
            <v>NA</v>
          </cell>
          <cell r="AB369" t="str">
            <v>NA</v>
          </cell>
          <cell r="AC369" t="str">
            <v>NA</v>
          </cell>
          <cell r="AD369" t="str">
            <v>NA</v>
          </cell>
          <cell r="AE369" t="str">
            <v>NA</v>
          </cell>
          <cell r="AF369" t="str">
            <v>NA</v>
          </cell>
          <cell r="AG369" t="str">
            <v>NA</v>
          </cell>
          <cell r="AH369" t="str">
            <v>NA</v>
          </cell>
          <cell r="AI369" t="str">
            <v>NA</v>
          </cell>
          <cell r="AJ369" t="str">
            <v>NA</v>
          </cell>
          <cell r="AK369" t="str">
            <v>NA</v>
          </cell>
          <cell r="AL369" t="str">
            <v>NA</v>
          </cell>
          <cell r="AM369" t="str">
            <v>NA</v>
          </cell>
          <cell r="AN369" t="str">
            <v>NA</v>
          </cell>
          <cell r="AO369" t="str">
            <v>NA</v>
          </cell>
          <cell r="AP369" t="str">
            <v>NA</v>
          </cell>
          <cell r="AQ369" t="str">
            <v>NA</v>
          </cell>
          <cell r="AR369" t="str">
            <v>NA</v>
          </cell>
          <cell r="AS369" t="str">
            <v>NA</v>
          </cell>
          <cell r="AT369" t="str">
            <v>NA</v>
          </cell>
          <cell r="AU369" t="str">
            <v>NA</v>
          </cell>
          <cell r="AV369" t="str">
            <v>NA</v>
          </cell>
          <cell r="AW369" t="str">
            <v>NA</v>
          </cell>
          <cell r="AX369" t="str">
            <v>NA</v>
          </cell>
          <cell r="AY369" t="str">
            <v>NA</v>
          </cell>
          <cell r="AZ369" t="str">
            <v>NA</v>
          </cell>
          <cell r="BA369" t="str">
            <v>NA</v>
          </cell>
          <cell r="BB369" t="str">
            <v>NA</v>
          </cell>
          <cell r="BC369" t="str">
            <v>NA</v>
          </cell>
          <cell r="BD369" t="str">
            <v>NA</v>
          </cell>
          <cell r="BE369" t="str">
            <v>NA</v>
          </cell>
          <cell r="BF369" t="str">
            <v>NA</v>
          </cell>
          <cell r="BG369" t="str">
            <v>NA</v>
          </cell>
          <cell r="BH369" t="str">
            <v>NA</v>
          </cell>
          <cell r="BI369" t="str">
            <v>NA</v>
          </cell>
          <cell r="BJ369" t="str">
            <v>NA</v>
          </cell>
          <cell r="BK369" t="str">
            <v>NA</v>
          </cell>
          <cell r="BL369" t="str">
            <v>NA</v>
          </cell>
          <cell r="BM369" t="str">
            <v>NA</v>
          </cell>
          <cell r="BN369" t="str">
            <v>NA</v>
          </cell>
          <cell r="BO369" t="str">
            <v>NA</v>
          </cell>
          <cell r="BP369" t="str">
            <v>NA</v>
          </cell>
          <cell r="BQ369" t="str">
            <v>NA</v>
          </cell>
          <cell r="BR369" t="str">
            <v>NA</v>
          </cell>
          <cell r="BS369" t="str">
            <v>NA</v>
          </cell>
          <cell r="BT369" t="str">
            <v>NA</v>
          </cell>
          <cell r="BU369" t="str">
            <v>NA</v>
          </cell>
          <cell r="BV369" t="str">
            <v>NA</v>
          </cell>
          <cell r="BW369">
            <v>-1.3784444011712109</v>
          </cell>
          <cell r="BX369">
            <v>-0.4608045217161354</v>
          </cell>
          <cell r="BY369">
            <v>-0.50223516960677272</v>
          </cell>
          <cell r="BZ369">
            <v>0.40128264781657497</v>
          </cell>
          <cell r="CA369">
            <v>1.0019368479344939</v>
          </cell>
          <cell r="CB369">
            <v>0.52601274942673837</v>
          </cell>
          <cell r="CC369">
            <v>0.99022498902719525</v>
          </cell>
          <cell r="CD369">
            <v>1.4496273589071644</v>
          </cell>
          <cell r="CE369">
            <v>4.2615672845146868</v>
          </cell>
          <cell r="CF369">
            <v>-0.56631475721180435</v>
          </cell>
          <cell r="CG369">
            <v>-2.681317119468023</v>
          </cell>
          <cell r="CH369">
            <v>4.3942930242884204E-2</v>
          </cell>
          <cell r="CI369">
            <v>-0.76283199611335128</v>
          </cell>
          <cell r="CJ369">
            <v>2.024236729230255</v>
          </cell>
          <cell r="CK369">
            <v>-1.5272330685257587</v>
          </cell>
          <cell r="CL369">
            <v>0.36253390874758962</v>
          </cell>
          <cell r="CM369">
            <v>0.3125</v>
          </cell>
          <cell r="CN369">
            <v>0.31218749999999984</v>
          </cell>
          <cell r="CO369">
            <v>0.31187656249999995</v>
          </cell>
          <cell r="CP369">
            <v>0.31156717968749992</v>
          </cell>
          <cell r="CQ369">
            <v>0.25880897003749981</v>
          </cell>
          <cell r="CR369">
            <v>0.25851492518731245</v>
          </cell>
          <cell r="CS369">
            <v>0.25822235056137588</v>
          </cell>
          <cell r="CT369">
            <v>0.25793123880856927</v>
          </cell>
          <cell r="CU369">
            <v>4.8034652178771786E-2</v>
          </cell>
          <cell r="CV369">
            <v>4.7794478917877914E-2</v>
          </cell>
          <cell r="CW369">
            <v>4.755550652328866E-2</v>
          </cell>
          <cell r="CX369">
            <v>4.7317728990672103E-2</v>
          </cell>
          <cell r="CY369">
            <v>4.7081140345718753E-2</v>
          </cell>
          <cell r="CZ369">
            <v>4.6845734643990333E-2</v>
          </cell>
          <cell r="DA369">
            <v>4.6611505970770128E-2</v>
          </cell>
          <cell r="DB369">
            <v>4.6378448440916653E-2</v>
          </cell>
          <cell r="DC369"/>
          <cell r="DD369" t="str">
            <v>NA</v>
          </cell>
          <cell r="DE369" t="str">
            <v>NA</v>
          </cell>
          <cell r="DF369" t="str">
            <v>NA</v>
          </cell>
          <cell r="DG369" t="str">
            <v>NA</v>
          </cell>
          <cell r="DH369" t="str">
            <v>NA</v>
          </cell>
          <cell r="DI369" t="str">
            <v>NA</v>
          </cell>
          <cell r="DJ369" t="str">
            <v>NA</v>
          </cell>
          <cell r="DK369" t="str">
            <v>NA</v>
          </cell>
          <cell r="DL369" t="str">
            <v>NA</v>
          </cell>
          <cell r="DM369" t="str">
            <v>NA</v>
          </cell>
          <cell r="DN369" t="str">
            <v>NA</v>
          </cell>
          <cell r="DO369" t="str">
            <v>NA</v>
          </cell>
        </row>
        <row r="370">
          <cell r="A370" t="str">
            <v>% growth seq</v>
          </cell>
          <cell r="B370"/>
          <cell r="C370" t="str">
            <v>NA</v>
          </cell>
          <cell r="D370" t="str">
            <v>NA</v>
          </cell>
          <cell r="E370" t="str">
            <v>NA</v>
          </cell>
          <cell r="F370" t="str">
            <v>NA</v>
          </cell>
          <cell r="G370" t="str">
            <v>NA</v>
          </cell>
          <cell r="H370" t="str">
            <v>NA</v>
          </cell>
          <cell r="I370" t="str">
            <v>NA</v>
          </cell>
          <cell r="J370" t="str">
            <v>NA</v>
          </cell>
          <cell r="K370" t="str">
            <v>NA</v>
          </cell>
          <cell r="L370" t="str">
            <v>NA</v>
          </cell>
          <cell r="M370" t="str">
            <v>NA</v>
          </cell>
          <cell r="N370" t="str">
            <v>NA</v>
          </cell>
          <cell r="O370" t="str">
            <v>NA</v>
          </cell>
          <cell r="P370" t="str">
            <v>NA</v>
          </cell>
          <cell r="Q370" t="str">
            <v>NA</v>
          </cell>
          <cell r="R370" t="str">
            <v>NA</v>
          </cell>
          <cell r="S370" t="str">
            <v>NA</v>
          </cell>
          <cell r="T370" t="str">
            <v>NA</v>
          </cell>
          <cell r="U370" t="str">
            <v>NA</v>
          </cell>
          <cell r="V370" t="str">
            <v>NA</v>
          </cell>
          <cell r="W370" t="str">
            <v>NA</v>
          </cell>
          <cell r="X370" t="str">
            <v>NA</v>
          </cell>
          <cell r="Y370" t="str">
            <v>NA</v>
          </cell>
          <cell r="Z370" t="str">
            <v>NA</v>
          </cell>
          <cell r="AA370" t="str">
            <v>NA</v>
          </cell>
          <cell r="AB370" t="str">
            <v>NA</v>
          </cell>
          <cell r="AC370" t="str">
            <v>NA</v>
          </cell>
          <cell r="AD370" t="str">
            <v>NA</v>
          </cell>
          <cell r="AE370" t="str">
            <v>NA</v>
          </cell>
          <cell r="AF370" t="str">
            <v>NA</v>
          </cell>
          <cell r="AG370" t="str">
            <v>NA</v>
          </cell>
          <cell r="AH370" t="str">
            <v>NA</v>
          </cell>
          <cell r="AI370" t="str">
            <v>NA</v>
          </cell>
          <cell r="AJ370" t="str">
            <v>NA</v>
          </cell>
          <cell r="AK370" t="str">
            <v>NA</v>
          </cell>
          <cell r="AL370" t="str">
            <v>NA</v>
          </cell>
          <cell r="AM370" t="str">
            <v>NA</v>
          </cell>
          <cell r="AN370" t="str">
            <v>NA</v>
          </cell>
          <cell r="AO370" t="str">
            <v>NA</v>
          </cell>
          <cell r="AP370" t="str">
            <v>NA</v>
          </cell>
          <cell r="AQ370" t="str">
            <v>NA</v>
          </cell>
          <cell r="AR370" t="str">
            <v>NA</v>
          </cell>
          <cell r="AS370" t="str">
            <v>NA</v>
          </cell>
          <cell r="AT370" t="str">
            <v>NA</v>
          </cell>
          <cell r="AU370" t="str">
            <v>NA</v>
          </cell>
          <cell r="AV370" t="str">
            <v>NA</v>
          </cell>
          <cell r="AW370" t="str">
            <v>NA</v>
          </cell>
          <cell r="AX370" t="str">
            <v>NA</v>
          </cell>
          <cell r="AY370" t="str">
            <v>NA</v>
          </cell>
          <cell r="AZ370" t="str">
            <v>NA</v>
          </cell>
          <cell r="BA370" t="str">
            <v>NA</v>
          </cell>
          <cell r="BB370" t="str">
            <v>NA</v>
          </cell>
          <cell r="BC370" t="str">
            <v>NA</v>
          </cell>
          <cell r="BD370" t="str">
            <v>NA</v>
          </cell>
          <cell r="BE370" t="str">
            <v>NA</v>
          </cell>
          <cell r="BF370" t="str">
            <v>NA</v>
          </cell>
          <cell r="BG370" t="str">
            <v>NA</v>
          </cell>
          <cell r="BH370" t="str">
            <v>NA</v>
          </cell>
          <cell r="BI370" t="str">
            <v>NA</v>
          </cell>
          <cell r="BJ370" t="str">
            <v>NA</v>
          </cell>
          <cell r="BK370" t="str">
            <v>NA</v>
          </cell>
          <cell r="BL370" t="str">
            <v>NA</v>
          </cell>
          <cell r="BM370" t="str">
            <v>NA</v>
          </cell>
          <cell r="BN370" t="str">
            <v>NA</v>
          </cell>
          <cell r="BO370" t="str">
            <v>NA</v>
          </cell>
          <cell r="BP370" t="str">
            <v>NA</v>
          </cell>
          <cell r="BQ370" t="str">
            <v>NA</v>
          </cell>
          <cell r="BR370" t="str">
            <v>NA</v>
          </cell>
          <cell r="BS370" t="str">
            <v>NA</v>
          </cell>
          <cell r="BT370">
            <v>-2.1125304443356949</v>
          </cell>
          <cell r="BU370">
            <v>1.516781074145368E-2</v>
          </cell>
          <cell r="BV370">
            <v>-0.54884448603878666</v>
          </cell>
          <cell r="BW370">
            <v>-0.25727836967446627</v>
          </cell>
          <cell r="BX370">
            <v>0.58509779291875197</v>
          </cell>
          <cell r="BY370">
            <v>-6.2835551324197603E-2</v>
          </cell>
          <cell r="BZ370">
            <v>0.27007043201744563</v>
          </cell>
          <cell r="CA370">
            <v>6.1086285356826142E-2</v>
          </cell>
          <cell r="CB370">
            <v>0.20826960329836974</v>
          </cell>
          <cell r="CC370">
            <v>0.22224935884916097</v>
          </cell>
          <cell r="CD370">
            <v>0.56323998299795441</v>
          </cell>
          <cell r="CE370">
            <v>1.2791127249539649</v>
          </cell>
          <cell r="CF370">
            <v>-0.9004082494958755</v>
          </cell>
          <cell r="CG370">
            <v>-5.7384337038545024</v>
          </cell>
          <cell r="CH370">
            <v>-1.9706279140487626</v>
          </cell>
          <cell r="CI370">
            <v>-0.48222014829466597</v>
          </cell>
          <cell r="CJ370">
            <v>0.26993955705280648</v>
          </cell>
          <cell r="CK370">
            <v>-0.17392083842426065</v>
          </cell>
          <cell r="CL370">
            <v>1.5084038248328628</v>
          </cell>
          <cell r="CM370">
            <v>-0.50123365664498498</v>
          </cell>
          <cell r="CN370">
            <v>0.26963719049160328</v>
          </cell>
          <cell r="CO370">
            <v>-0.17411658711818001</v>
          </cell>
          <cell r="CP370">
            <v>1.5078122622938284</v>
          </cell>
          <cell r="CQ370">
            <v>-0.52129669246702925</v>
          </cell>
          <cell r="CR370">
            <v>0.26934061628029982</v>
          </cell>
          <cell r="CS370">
            <v>-0.17430858526278292</v>
          </cell>
          <cell r="CT370">
            <v>1.5072320360539582</v>
          </cell>
          <cell r="CU370">
            <v>-0.60117243381099272</v>
          </cell>
          <cell r="CV370">
            <v>0.26904972735371424</v>
          </cell>
          <cell r="CW370">
            <v>-0.17449690220712799</v>
          </cell>
          <cell r="CX370">
            <v>1.5066629364277158</v>
          </cell>
          <cell r="CY370">
            <v>-0.60126252879443731</v>
          </cell>
          <cell r="CZ370">
            <v>0.26876441847927723</v>
          </cell>
          <cell r="DA370">
            <v>-0.1746816061123323</v>
          </cell>
          <cell r="DB370">
            <v>1.5061047573241932</v>
          </cell>
          <cell r="DC370"/>
          <cell r="DD370"/>
          <cell r="DE370"/>
          <cell r="DF370"/>
          <cell r="DG370"/>
          <cell r="DH370"/>
          <cell r="DI370"/>
          <cell r="DJ370"/>
          <cell r="DK370"/>
          <cell r="DL370"/>
          <cell r="DM370"/>
          <cell r="DN370"/>
          <cell r="DO370"/>
        </row>
        <row r="371">
          <cell r="A371"/>
          <cell r="B371"/>
          <cell r="C371"/>
          <cell r="D371"/>
          <cell r="E371"/>
          <cell r="F371"/>
          <cell r="G371"/>
          <cell r="H371"/>
          <cell r="I371"/>
          <cell r="J371"/>
          <cell r="K371"/>
          <cell r="L371"/>
          <cell r="M371"/>
          <cell r="N371"/>
          <cell r="O371"/>
          <cell r="P371"/>
          <cell r="Q371"/>
          <cell r="R371"/>
          <cell r="S371"/>
          <cell r="T371"/>
          <cell r="U371"/>
          <cell r="V371"/>
          <cell r="W371"/>
          <cell r="X371"/>
          <cell r="Y371"/>
          <cell r="Z371"/>
          <cell r="AA371"/>
          <cell r="AB371"/>
          <cell r="AC371"/>
          <cell r="AD371"/>
          <cell r="AE371"/>
          <cell r="AF371"/>
          <cell r="AG371"/>
          <cell r="AH371"/>
          <cell r="AI371"/>
          <cell r="AJ371"/>
          <cell r="AK371"/>
          <cell r="AL371"/>
          <cell r="AM371"/>
          <cell r="AN371"/>
          <cell r="AO371"/>
          <cell r="AP371"/>
          <cell r="AQ371"/>
          <cell r="AR371"/>
          <cell r="AS371"/>
          <cell r="AT371"/>
          <cell r="AU371"/>
          <cell r="AV371"/>
          <cell r="AW371"/>
          <cell r="AX371"/>
          <cell r="AY371"/>
          <cell r="AZ371"/>
          <cell r="BA371"/>
          <cell r="BB371"/>
          <cell r="BC371"/>
          <cell r="BD371"/>
          <cell r="BE371"/>
          <cell r="BF371"/>
          <cell r="BG371"/>
          <cell r="BH371"/>
          <cell r="BI371"/>
          <cell r="BJ371"/>
          <cell r="BK371"/>
          <cell r="BL371"/>
          <cell r="BM371"/>
          <cell r="BN371"/>
          <cell r="BO371"/>
          <cell r="BP371"/>
          <cell r="BQ371"/>
          <cell r="BR371"/>
          <cell r="BS371"/>
          <cell r="BT371"/>
          <cell r="BU371"/>
          <cell r="BV371"/>
          <cell r="BW371"/>
          <cell r="BX371"/>
          <cell r="BY371"/>
          <cell r="BZ371"/>
          <cell r="CA371"/>
          <cell r="CB371"/>
          <cell r="CC371"/>
          <cell r="CD371"/>
          <cell r="CE371"/>
          <cell r="CF371"/>
          <cell r="CG371"/>
          <cell r="CH371"/>
          <cell r="CI371"/>
          <cell r="CJ371"/>
          <cell r="CK371"/>
          <cell r="CL371"/>
          <cell r="CM371"/>
          <cell r="CN371"/>
          <cell r="CO371"/>
          <cell r="CP371"/>
          <cell r="CQ371"/>
          <cell r="CR371"/>
          <cell r="CS371"/>
          <cell r="CT371"/>
          <cell r="CU371"/>
          <cell r="CV371"/>
          <cell r="CW371"/>
          <cell r="CX371"/>
          <cell r="CY371"/>
          <cell r="CZ371"/>
          <cell r="DA371"/>
          <cell r="DB371"/>
          <cell r="DC371"/>
          <cell r="DD371"/>
          <cell r="DE371"/>
          <cell r="DF371"/>
          <cell r="DG371"/>
          <cell r="DH371"/>
          <cell r="DI371"/>
          <cell r="DJ371"/>
          <cell r="DK371"/>
          <cell r="DL371"/>
          <cell r="DM371"/>
          <cell r="DN371"/>
          <cell r="DO371"/>
        </row>
        <row r="372">
          <cell r="A372" t="str">
            <v>Term + CSP ARR Churn</v>
          </cell>
          <cell r="B372"/>
          <cell r="C372" t="e">
            <v>#REF!</v>
          </cell>
          <cell r="D372" t="e">
            <v>#REF!</v>
          </cell>
          <cell r="E372" t="e">
            <v>#VALUE!</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1.9064220581441171</v>
          </cell>
          <cell r="BT372">
            <v>2.088190010984075</v>
          </cell>
          <cell r="BU372">
            <v>2.1777032443823194</v>
          </cell>
          <cell r="BV372">
            <v>2.2434471338366286</v>
          </cell>
          <cell r="BW372">
            <v>1.9079077127828812</v>
          </cell>
          <cell r="BX372">
            <v>2.1759769692193855</v>
          </cell>
          <cell r="BY372">
            <v>2.4466662503401353</v>
          </cell>
          <cell r="BZ372">
            <v>2.5372651044039003</v>
          </cell>
          <cell r="CA372">
            <v>2.5985135580000005</v>
          </cell>
          <cell r="CB372">
            <v>2.7168044300000003</v>
          </cell>
          <cell r="CC372">
            <v>2.8174769800000004</v>
          </cell>
          <cell r="CD372">
            <v>2.9595925430000003</v>
          </cell>
          <cell r="CE372">
            <v>3.1127330090000003</v>
          </cell>
          <cell r="CF372">
            <v>3.3083404920000001</v>
          </cell>
          <cell r="CG372">
            <v>3.5599999999999996</v>
          </cell>
          <cell r="CH372">
            <v>3.9895242080900006</v>
          </cell>
          <cell r="CI372">
            <v>5.0592710968344505</v>
          </cell>
          <cell r="CJ372">
            <v>5.0908506130113089</v>
          </cell>
          <cell r="CK372">
            <v>4.4603043669294831</v>
          </cell>
          <cell r="CL372">
            <v>4.886206164922573</v>
          </cell>
          <cell r="CM372">
            <v>5.0318901386286017</v>
          </cell>
          <cell r="CN372">
            <v>5.2502529267343458</v>
          </cell>
          <cell r="CO372">
            <v>5.4242664066314354</v>
          </cell>
          <cell r="CP372">
            <v>6.0183134444028221</v>
          </cell>
          <cell r="CQ372">
            <v>6.2497337392911501</v>
          </cell>
          <cell r="CR372">
            <v>6.5720141006093158</v>
          </cell>
          <cell r="CS372">
            <v>6.8109758652943668</v>
          </cell>
          <cell r="CT372">
            <v>7.5998653180933076</v>
          </cell>
          <cell r="CU372">
            <v>7.8932906287339009</v>
          </cell>
          <cell r="CV372">
            <v>8.2997729627649299</v>
          </cell>
          <cell r="CW372">
            <v>8.6007889300944615</v>
          </cell>
          <cell r="CX372">
            <v>9.5924265959509132</v>
          </cell>
          <cell r="CY372">
            <v>9.8663626617519284</v>
          </cell>
          <cell r="CZ372">
            <v>10.256931285307891</v>
          </cell>
          <cell r="DA372">
            <v>10.535614377995174</v>
          </cell>
          <cell r="DB372">
            <v>11.533350263422301</v>
          </cell>
          <cell r="DC372"/>
          <cell r="DD372"/>
          <cell r="DE372">
            <v>0</v>
          </cell>
          <cell r="DF372">
            <v>0</v>
          </cell>
          <cell r="DG372">
            <v>0</v>
          </cell>
          <cell r="DH372">
            <v>0</v>
          </cell>
          <cell r="DI372">
            <v>0</v>
          </cell>
          <cell r="DJ372">
            <v>0</v>
          </cell>
          <cell r="DK372">
            <v>0</v>
          </cell>
          <cell r="DL372">
            <v>0</v>
          </cell>
          <cell r="DM372">
            <v>0</v>
          </cell>
          <cell r="DN372">
            <v>0</v>
          </cell>
          <cell r="DO372">
            <v>0</v>
          </cell>
        </row>
        <row r="373">
          <cell r="A373" t="str">
            <v>% churn</v>
          </cell>
          <cell r="B373"/>
          <cell r="C373">
            <v>2.5000000000000001E-2</v>
          </cell>
          <cell r="D373">
            <v>2.5000000000000001E-2</v>
          </cell>
          <cell r="E373">
            <v>2.5000000000000001E-2</v>
          </cell>
          <cell r="F373">
            <v>2.5000000000000001E-2</v>
          </cell>
          <cell r="G373">
            <v>2.5000000000000001E-2</v>
          </cell>
          <cell r="H373">
            <v>2.5000000000000001E-2</v>
          </cell>
          <cell r="I373">
            <v>2.5000000000000001E-2</v>
          </cell>
          <cell r="J373">
            <v>2.5000000000000001E-2</v>
          </cell>
          <cell r="K373">
            <v>2.5000000000000001E-2</v>
          </cell>
          <cell r="L373">
            <v>2.5000000000000001E-2</v>
          </cell>
          <cell r="M373">
            <v>2.5000000000000001E-2</v>
          </cell>
          <cell r="N373">
            <v>2.5000000000000001E-2</v>
          </cell>
          <cell r="O373">
            <v>2.5000000000000001E-2</v>
          </cell>
          <cell r="P373">
            <v>2.5000000000000001E-2</v>
          </cell>
          <cell r="Q373">
            <v>2.5000000000000001E-2</v>
          </cell>
          <cell r="R373">
            <v>2.5000000000000001E-2</v>
          </cell>
          <cell r="S373">
            <v>2.5000000000000001E-2</v>
          </cell>
          <cell r="T373">
            <v>2.5000000000000001E-2</v>
          </cell>
          <cell r="U373">
            <v>2.5000000000000001E-2</v>
          </cell>
          <cell r="V373">
            <v>2.5000000000000001E-2</v>
          </cell>
          <cell r="W373">
            <v>2.5000000000000001E-2</v>
          </cell>
          <cell r="X373">
            <v>2.5000000000000001E-2</v>
          </cell>
          <cell r="Y373">
            <v>2.5000000000000001E-2</v>
          </cell>
          <cell r="Z373">
            <v>2.5000000000000001E-2</v>
          </cell>
          <cell r="AA373">
            <v>2.5000000000000001E-2</v>
          </cell>
          <cell r="AB373">
            <v>2.5000000000000001E-2</v>
          </cell>
          <cell r="AC373">
            <v>2.5000000000000001E-2</v>
          </cell>
          <cell r="AD373">
            <v>2.5000000000000001E-2</v>
          </cell>
          <cell r="AE373">
            <v>2.5000000000000001E-2</v>
          </cell>
          <cell r="AF373">
            <v>2.5000000000000001E-2</v>
          </cell>
          <cell r="AG373">
            <v>2.5000000000000001E-2</v>
          </cell>
          <cell r="AH373">
            <v>2.5000000000000001E-2</v>
          </cell>
          <cell r="AI373">
            <v>2.5000000000000001E-2</v>
          </cell>
          <cell r="AJ373">
            <v>2.5000000000000001E-2</v>
          </cell>
          <cell r="AK373">
            <v>2.5000000000000001E-2</v>
          </cell>
          <cell r="AL373">
            <v>2.5000000000000001E-2</v>
          </cell>
          <cell r="AM373">
            <v>2.5000000000000001E-2</v>
          </cell>
          <cell r="AN373">
            <v>2.5000000000000001E-2</v>
          </cell>
          <cell r="AO373">
            <v>2.5000000000000001E-2</v>
          </cell>
          <cell r="AP373">
            <v>2.5000000000000001E-2</v>
          </cell>
          <cell r="AQ373">
            <v>2.5000000000000001E-2</v>
          </cell>
          <cell r="AR373">
            <v>2.5000000000000001E-2</v>
          </cell>
          <cell r="AS373">
            <v>2.5000000000000001E-2</v>
          </cell>
          <cell r="AT373">
            <v>2.5000000000000001E-2</v>
          </cell>
          <cell r="AU373">
            <v>2.5000000000000001E-2</v>
          </cell>
          <cell r="AV373">
            <v>2.5000000000000001E-2</v>
          </cell>
          <cell r="AW373">
            <v>2.5000000000000001E-2</v>
          </cell>
          <cell r="AX373">
            <v>2.5000000000000001E-2</v>
          </cell>
          <cell r="AY373">
            <v>2.5000000000000001E-2</v>
          </cell>
          <cell r="AZ373">
            <v>2.5000000000000001E-2</v>
          </cell>
          <cell r="BA373">
            <v>2.5000000000000001E-2</v>
          </cell>
          <cell r="BB373">
            <v>2.5000000000000001E-2</v>
          </cell>
          <cell r="BC373">
            <v>2.5000000000000001E-2</v>
          </cell>
          <cell r="BD373">
            <v>2.5000000000000001E-2</v>
          </cell>
          <cell r="BE373">
            <v>2.5000000000000001E-2</v>
          </cell>
          <cell r="BF373">
            <v>2.5000000000000001E-2</v>
          </cell>
          <cell r="BG373">
            <v>2.5000000000000001E-2</v>
          </cell>
          <cell r="BH373">
            <v>2.5000000000000001E-2</v>
          </cell>
          <cell r="BI373">
            <v>2.5000000000000001E-2</v>
          </cell>
          <cell r="BJ373">
            <v>2.5000000000000001E-2</v>
          </cell>
          <cell r="BK373">
            <v>2.5000000000000001E-2</v>
          </cell>
          <cell r="BL373">
            <v>2.5000000000000001E-2</v>
          </cell>
          <cell r="BM373">
            <v>2.5000000000000001E-2</v>
          </cell>
          <cell r="BN373">
            <v>2.5000000000000001E-2</v>
          </cell>
          <cell r="BO373">
            <v>2.5000000000000001E-2</v>
          </cell>
          <cell r="BP373">
            <v>2.5000000000000001E-2</v>
          </cell>
          <cell r="BQ373">
            <v>2.5000000000000001E-2</v>
          </cell>
          <cell r="BR373">
            <v>2.5000000000000001E-2</v>
          </cell>
          <cell r="BS373">
            <v>2.5000000000000001E-2</v>
          </cell>
          <cell r="BT373">
            <v>2.5000000000000001E-2</v>
          </cell>
          <cell r="BU373">
            <v>2.5000000000000001E-2</v>
          </cell>
          <cell r="BV373">
            <v>2.5000000000000001E-2</v>
          </cell>
          <cell r="BW373">
            <v>2.5000000000000001E-2</v>
          </cell>
          <cell r="BX373">
            <v>2.5000000000000001E-2</v>
          </cell>
          <cell r="BY373">
            <v>2.5000000000000001E-2</v>
          </cell>
          <cell r="BZ373">
            <v>2.5000000000000001E-2</v>
          </cell>
          <cell r="CA373">
            <v>2.5000000000000001E-2</v>
          </cell>
          <cell r="CB373">
            <v>2.5000000000000001E-2</v>
          </cell>
          <cell r="CC373">
            <v>2.5000000000000001E-2</v>
          </cell>
          <cell r="CD373">
            <v>2.5000000000000001E-2</v>
          </cell>
          <cell r="CE373">
            <v>2.5000000000000001E-2</v>
          </cell>
          <cell r="CF373">
            <v>2.5000000000000001E-2</v>
          </cell>
          <cell r="CG373">
            <v>2.5000000000000001E-2</v>
          </cell>
          <cell r="CH373">
            <v>2.5000000000000001E-2</v>
          </cell>
          <cell r="CI373">
            <v>2.5000000000000001E-2</v>
          </cell>
          <cell r="CJ373">
            <v>2.5000000000000001E-2</v>
          </cell>
          <cell r="CK373">
            <v>2.5000000000000001E-2</v>
          </cell>
          <cell r="CL373">
            <v>2.5000000000000001E-2</v>
          </cell>
          <cell r="CM373">
            <v>2.5000000000000001E-2</v>
          </cell>
          <cell r="CN373">
            <v>2.5000000000000001E-2</v>
          </cell>
          <cell r="CO373">
            <v>2.5000000000000001E-2</v>
          </cell>
          <cell r="CP373">
            <v>2.5000000000000001E-2</v>
          </cell>
          <cell r="CQ373">
            <v>2.5000000000000001E-2</v>
          </cell>
          <cell r="CR373">
            <v>2.5000000000000001E-2</v>
          </cell>
          <cell r="CS373">
            <v>2.5000000000000001E-2</v>
          </cell>
          <cell r="CT373">
            <v>2.5000000000000001E-2</v>
          </cell>
          <cell r="CU373">
            <v>2.5000000000000001E-2</v>
          </cell>
          <cell r="CV373">
            <v>2.5000000000000001E-2</v>
          </cell>
          <cell r="CW373">
            <v>2.5000000000000001E-2</v>
          </cell>
          <cell r="CX373">
            <v>2.5000000000000001E-2</v>
          </cell>
          <cell r="CY373">
            <v>2.5000000000000001E-2</v>
          </cell>
          <cell r="CZ373">
            <v>2.5000000000000001E-2</v>
          </cell>
          <cell r="DA373">
            <v>2.5000000000000001E-2</v>
          </cell>
          <cell r="DB373">
            <v>2.5000000000000001E-2</v>
          </cell>
          <cell r="DC373"/>
          <cell r="DD373"/>
          <cell r="DE373"/>
          <cell r="DF373">
            <v>2.5000000000000001E-2</v>
          </cell>
          <cell r="DG373">
            <v>2.5000000000000001E-2</v>
          </cell>
          <cell r="DH373">
            <v>2.5000000000000001E-2</v>
          </cell>
          <cell r="DI373">
            <v>2.5000000000000001E-2</v>
          </cell>
          <cell r="DJ373">
            <v>2.5000000000000001E-2</v>
          </cell>
          <cell r="DK373">
            <v>2.5000000000000001E-2</v>
          </cell>
          <cell r="DL373">
            <v>2.5000000000000001E-2</v>
          </cell>
          <cell r="DM373">
            <v>2.5000000000000001E-2</v>
          </cell>
          <cell r="DN373">
            <v>2.5000000000000001E-2</v>
          </cell>
          <cell r="DO373">
            <v>2.5000000000000001E-2</v>
          </cell>
        </row>
        <row r="374">
          <cell r="A374" t="str">
            <v>% growth y-o-y</v>
          </cell>
          <cell r="B374"/>
          <cell r="C374" t="str">
            <v>NA</v>
          </cell>
          <cell r="D374" t="str">
            <v>NA</v>
          </cell>
          <cell r="E374" t="str">
            <v>NA</v>
          </cell>
          <cell r="F374" t="str">
            <v>NA</v>
          </cell>
          <cell r="G374" t="str">
            <v>NA</v>
          </cell>
          <cell r="H374" t="str">
            <v>NA</v>
          </cell>
          <cell r="I374" t="str">
            <v>NA</v>
          </cell>
          <cell r="J374" t="str">
            <v>NA</v>
          </cell>
          <cell r="K374" t="str">
            <v>NA</v>
          </cell>
          <cell r="L374" t="str">
            <v>NA</v>
          </cell>
          <cell r="M374" t="str">
            <v>NA</v>
          </cell>
          <cell r="N374" t="str">
            <v>NA</v>
          </cell>
          <cell r="O374" t="str">
            <v>NA</v>
          </cell>
          <cell r="P374" t="str">
            <v>NA</v>
          </cell>
          <cell r="Q374" t="str">
            <v>NA</v>
          </cell>
          <cell r="R374" t="str">
            <v>NA</v>
          </cell>
          <cell r="S374" t="str">
            <v>NA</v>
          </cell>
          <cell r="T374" t="str">
            <v>NA</v>
          </cell>
          <cell r="U374" t="str">
            <v>NA</v>
          </cell>
          <cell r="V374" t="str">
            <v>NA</v>
          </cell>
          <cell r="W374" t="str">
            <v>NA</v>
          </cell>
          <cell r="X374" t="str">
            <v>NA</v>
          </cell>
          <cell r="Y374" t="str">
            <v>NA</v>
          </cell>
          <cell r="Z374" t="str">
            <v>NA</v>
          </cell>
          <cell r="AA374" t="str">
            <v>NA</v>
          </cell>
          <cell r="AB374" t="str">
            <v>NA</v>
          </cell>
          <cell r="AC374" t="str">
            <v>NA</v>
          </cell>
          <cell r="AD374" t="str">
            <v>NA</v>
          </cell>
          <cell r="AE374" t="str">
            <v>NA</v>
          </cell>
          <cell r="AF374" t="str">
            <v>NA</v>
          </cell>
          <cell r="AG374" t="str">
            <v>NA</v>
          </cell>
          <cell r="AH374" t="str">
            <v>NA</v>
          </cell>
          <cell r="AI374" t="str">
            <v>NA</v>
          </cell>
          <cell r="AJ374" t="str">
            <v>NA</v>
          </cell>
          <cell r="AK374" t="str">
            <v>NA</v>
          </cell>
          <cell r="AL374" t="str">
            <v>NA</v>
          </cell>
          <cell r="AM374" t="str">
            <v>NA</v>
          </cell>
          <cell r="AN374" t="str">
            <v>NA</v>
          </cell>
          <cell r="AO374" t="str">
            <v>NA</v>
          </cell>
          <cell r="AP374" t="str">
            <v>NA</v>
          </cell>
          <cell r="AQ374" t="str">
            <v>NA</v>
          </cell>
          <cell r="AR374" t="str">
            <v>NA</v>
          </cell>
          <cell r="AS374" t="str">
            <v>NA</v>
          </cell>
          <cell r="AT374" t="str">
            <v>NA</v>
          </cell>
          <cell r="AU374" t="str">
            <v>NA</v>
          </cell>
          <cell r="AV374" t="str">
            <v>NA</v>
          </cell>
          <cell r="AW374" t="str">
            <v>NA</v>
          </cell>
          <cell r="AX374" t="str">
            <v>NA</v>
          </cell>
          <cell r="AY374" t="str">
            <v>NA</v>
          </cell>
          <cell r="AZ374" t="str">
            <v>NA</v>
          </cell>
          <cell r="BA374" t="str">
            <v>NA</v>
          </cell>
          <cell r="BB374" t="str">
            <v>NA</v>
          </cell>
          <cell r="BC374" t="str">
            <v>NA</v>
          </cell>
          <cell r="BD374" t="str">
            <v>NA</v>
          </cell>
          <cell r="BE374" t="str">
            <v>NA</v>
          </cell>
          <cell r="BF374" t="str">
            <v>NA</v>
          </cell>
          <cell r="BG374" t="str">
            <v>NA</v>
          </cell>
          <cell r="BH374" t="str">
            <v>NA</v>
          </cell>
          <cell r="BI374" t="str">
            <v>NA</v>
          </cell>
          <cell r="BJ374" t="str">
            <v>NA</v>
          </cell>
          <cell r="BK374" t="str">
            <v>NA</v>
          </cell>
          <cell r="BL374" t="str">
            <v>NA</v>
          </cell>
          <cell r="BM374" t="str">
            <v>NA</v>
          </cell>
          <cell r="BN374" t="str">
            <v>NA</v>
          </cell>
          <cell r="BO374" t="str">
            <v>NA</v>
          </cell>
          <cell r="BP374" t="str">
            <v>NA</v>
          </cell>
          <cell r="BQ374" t="str">
            <v>NA</v>
          </cell>
          <cell r="BR374" t="str">
            <v>NA</v>
          </cell>
          <cell r="BS374" t="str">
            <v>NA</v>
          </cell>
          <cell r="BT374" t="str">
            <v>NA</v>
          </cell>
          <cell r="BU374" t="str">
            <v>NA</v>
          </cell>
          <cell r="BV374" t="str">
            <v>NA</v>
          </cell>
          <cell r="BW374">
            <v>7.7928947182370756E-4</v>
          </cell>
          <cell r="BX374">
            <v>4.2039736697112362E-2</v>
          </cell>
          <cell r="BY374">
            <v>0.12350764809284387</v>
          </cell>
          <cell r="BZ374">
            <v>0.1309671915757602</v>
          </cell>
          <cell r="CA374">
            <v>0.36197025704655239</v>
          </cell>
          <cell r="CB374">
            <v>0.24854466220505644</v>
          </cell>
          <cell r="CC374">
            <v>0.15155754472368876</v>
          </cell>
          <cell r="CD374">
            <v>0.1664498667731138</v>
          </cell>
          <cell r="CE374">
            <v>0.19788984722318692</v>
          </cell>
          <cell r="CF374">
            <v>0.21773229440736741</v>
          </cell>
          <cell r="CG374">
            <v>0.26354182315271268</v>
          </cell>
          <cell r="CH374">
            <v>0.34799779027893041</v>
          </cell>
          <cell r="CI374">
            <v>0.62534694823048675</v>
          </cell>
          <cell r="CJ374">
            <v>0.53879282538228801</v>
          </cell>
          <cell r="CK374">
            <v>0.25289448509255164</v>
          </cell>
          <cell r="CL374">
            <v>0.22475912165522671</v>
          </cell>
          <cell r="CM374">
            <v>-5.4120361771048398E-3</v>
          </cell>
          <cell r="CN374">
            <v>3.1311528434095681E-2</v>
          </cell>
          <cell r="CO374">
            <v>0.21612023763426569</v>
          </cell>
          <cell r="CP374">
            <v>0.23169453790294336</v>
          </cell>
          <cell r="CQ374">
            <v>0.24202507747803526</v>
          </cell>
          <cell r="CR374">
            <v>0.2517519045881671</v>
          </cell>
          <cell r="CS374">
            <v>0.25564921681715513</v>
          </cell>
          <cell r="CT374">
            <v>0.26278988096928835</v>
          </cell>
          <cell r="CU374">
            <v>0.26298030572245867</v>
          </cell>
          <cell r="CV374">
            <v>0.26289640218444243</v>
          </cell>
          <cell r="CW374">
            <v>0.2627836451337564</v>
          </cell>
          <cell r="CX374">
            <v>0.26218376174559754</v>
          </cell>
          <cell r="CY374">
            <v>0.2499682484559056</v>
          </cell>
          <cell r="CZ374">
            <v>0.23580865781790816</v>
          </cell>
          <cell r="DA374">
            <v>0.22495906638642071</v>
          </cell>
          <cell r="DB374">
            <v>0.20233917331102402</v>
          </cell>
          <cell r="DC374"/>
          <cell r="DD374" t="str">
            <v>NA</v>
          </cell>
          <cell r="DE374" t="str">
            <v>NA</v>
          </cell>
          <cell r="DF374" t="str">
            <v>NA</v>
          </cell>
          <cell r="DG374" t="str">
            <v>NA</v>
          </cell>
          <cell r="DH374" t="str">
            <v>NA</v>
          </cell>
          <cell r="DI374" t="str">
            <v>NA</v>
          </cell>
          <cell r="DJ374" t="str">
            <v>NA</v>
          </cell>
          <cell r="DK374" t="str">
            <v>NA</v>
          </cell>
          <cell r="DL374" t="str">
            <v>NA</v>
          </cell>
          <cell r="DM374" t="str">
            <v>NA</v>
          </cell>
          <cell r="DN374" t="str">
            <v>NA</v>
          </cell>
          <cell r="DO374" t="str">
            <v>NA</v>
          </cell>
        </row>
        <row r="375">
          <cell r="A375" t="str">
            <v>% growth seq</v>
          </cell>
          <cell r="B375"/>
          <cell r="C375" t="str">
            <v>NA</v>
          </cell>
          <cell r="D375" t="str">
            <v>NA</v>
          </cell>
          <cell r="E375" t="str">
            <v>NA</v>
          </cell>
          <cell r="F375" t="str">
            <v>NA</v>
          </cell>
          <cell r="G375" t="str">
            <v>NA</v>
          </cell>
          <cell r="H375" t="str">
            <v>NA</v>
          </cell>
          <cell r="I375" t="str">
            <v>NA</v>
          </cell>
          <cell r="J375" t="str">
            <v>NA</v>
          </cell>
          <cell r="K375" t="str">
            <v>NA</v>
          </cell>
          <cell r="L375" t="str">
            <v>NA</v>
          </cell>
          <cell r="M375" t="str">
            <v>NA</v>
          </cell>
          <cell r="N375" t="str">
            <v>NA</v>
          </cell>
          <cell r="O375" t="str">
            <v>NA</v>
          </cell>
          <cell r="P375" t="str">
            <v>NA</v>
          </cell>
          <cell r="Q375" t="str">
            <v>NA</v>
          </cell>
          <cell r="R375" t="str">
            <v>NA</v>
          </cell>
          <cell r="S375" t="str">
            <v>NA</v>
          </cell>
          <cell r="T375" t="str">
            <v>NA</v>
          </cell>
          <cell r="U375" t="str">
            <v>NA</v>
          </cell>
          <cell r="V375" t="str">
            <v>NA</v>
          </cell>
          <cell r="W375" t="str">
            <v>NA</v>
          </cell>
          <cell r="X375" t="str">
            <v>NA</v>
          </cell>
          <cell r="Y375" t="str">
            <v>NA</v>
          </cell>
          <cell r="Z375" t="str">
            <v>NA</v>
          </cell>
          <cell r="AA375" t="str">
            <v>NA</v>
          </cell>
          <cell r="AB375" t="str">
            <v>NA</v>
          </cell>
          <cell r="AC375" t="str">
            <v>NA</v>
          </cell>
          <cell r="AD375" t="str">
            <v>NA</v>
          </cell>
          <cell r="AE375" t="str">
            <v>NA</v>
          </cell>
          <cell r="AF375" t="str">
            <v>NA</v>
          </cell>
          <cell r="AG375" t="str">
            <v>NA</v>
          </cell>
          <cell r="AH375" t="str">
            <v>NA</v>
          </cell>
          <cell r="AI375" t="str">
            <v>NA</v>
          </cell>
          <cell r="AJ375" t="str">
            <v>NA</v>
          </cell>
          <cell r="AK375" t="str">
            <v>NA</v>
          </cell>
          <cell r="AL375" t="str">
            <v>NA</v>
          </cell>
          <cell r="AM375" t="str">
            <v>NA</v>
          </cell>
          <cell r="AN375" t="str">
            <v>NA</v>
          </cell>
          <cell r="AO375" t="str">
            <v>NA</v>
          </cell>
          <cell r="AP375" t="str">
            <v>NA</v>
          </cell>
          <cell r="AQ375" t="str">
            <v>NA</v>
          </cell>
          <cell r="AR375" t="str">
            <v>NA</v>
          </cell>
          <cell r="AS375" t="str">
            <v>NA</v>
          </cell>
          <cell r="AT375" t="str">
            <v>NA</v>
          </cell>
          <cell r="AU375" t="str">
            <v>NA</v>
          </cell>
          <cell r="AV375" t="str">
            <v>NA</v>
          </cell>
          <cell r="AW375" t="str">
            <v>NA</v>
          </cell>
          <cell r="AX375" t="str">
            <v>NA</v>
          </cell>
          <cell r="AY375" t="str">
            <v>NA</v>
          </cell>
          <cell r="AZ375" t="str">
            <v>NA</v>
          </cell>
          <cell r="BA375" t="str">
            <v>NA</v>
          </cell>
          <cell r="BB375" t="str">
            <v>NA</v>
          </cell>
          <cell r="BC375" t="str">
            <v>NA</v>
          </cell>
          <cell r="BD375" t="str">
            <v>NA</v>
          </cell>
          <cell r="BE375" t="str">
            <v>NA</v>
          </cell>
          <cell r="BF375" t="str">
            <v>NA</v>
          </cell>
          <cell r="BG375" t="str">
            <v>NA</v>
          </cell>
          <cell r="BH375" t="str">
            <v>NA</v>
          </cell>
          <cell r="BI375" t="str">
            <v>NA</v>
          </cell>
          <cell r="BJ375" t="str">
            <v>NA</v>
          </cell>
          <cell r="BK375" t="str">
            <v>NA</v>
          </cell>
          <cell r="BL375" t="str">
            <v>NA</v>
          </cell>
          <cell r="BM375" t="str">
            <v>NA</v>
          </cell>
          <cell r="BN375" t="str">
            <v>NA</v>
          </cell>
          <cell r="BO375" t="str">
            <v>NA</v>
          </cell>
          <cell r="BP375" t="str">
            <v>NA</v>
          </cell>
          <cell r="BQ375" t="str">
            <v>NA</v>
          </cell>
          <cell r="BR375" t="str">
            <v>NA</v>
          </cell>
          <cell r="BS375" t="str">
            <v>NA</v>
          </cell>
          <cell r="BT375">
            <v>9.5345074330973167E-2</v>
          </cell>
          <cell r="BU375">
            <v>4.2866421603109162E-2</v>
          </cell>
          <cell r="BV375">
            <v>3.0189553890735299E-2</v>
          </cell>
          <cell r="BW375">
            <v>-0.14956422016503013</v>
          </cell>
          <cell r="BX375">
            <v>0.14050430984709306</v>
          </cell>
          <cell r="BY375">
            <v>0.12439896421231755</v>
          </cell>
          <cell r="BZ375">
            <v>3.7029510686702682E-2</v>
          </cell>
          <cell r="CA375">
            <v>2.4139556205534873E-2</v>
          </cell>
          <cell r="CB375">
            <v>4.5522514837692318E-2</v>
          </cell>
          <cell r="CC375">
            <v>3.7055501267715396E-2</v>
          </cell>
          <cell r="CD375">
            <v>5.0440718418931052E-2</v>
          </cell>
          <cell r="CE375">
            <v>5.1743766675654834E-2</v>
          </cell>
          <cell r="CF375">
            <v>6.2841073241562961E-2</v>
          </cell>
          <cell r="CG375">
            <v>7.60682005399822E-2</v>
          </cell>
          <cell r="CH375">
            <v>0.12065286744101145</v>
          </cell>
          <cell r="CI375">
            <v>0.26813896418405125</v>
          </cell>
          <cell r="CJ375">
            <v>6.2419102618591626E-3</v>
          </cell>
          <cell r="CK375">
            <v>-0.12385872106917883</v>
          </cell>
          <cell r="CL375">
            <v>9.5487160282356376E-2</v>
          </cell>
          <cell r="CM375">
            <v>2.9815355469827498E-2</v>
          </cell>
          <cell r="CN375">
            <v>4.3395778144960984E-2</v>
          </cell>
          <cell r="CO375">
            <v>3.3143827987983432E-2</v>
          </cell>
          <cell r="CP375">
            <v>0.10951656744682281</v>
          </cell>
          <cell r="CQ375">
            <v>3.8452682304799923E-2</v>
          </cell>
          <cell r="CR375">
            <v>5.1567054655790701E-2</v>
          </cell>
          <cell r="CS375">
            <v>3.6360506996309772E-2</v>
          </cell>
          <cell r="CT375">
            <v>0.11582620000443145</v>
          </cell>
          <cell r="CU375">
            <v>3.86092777120699E-2</v>
          </cell>
          <cell r="CV375">
            <v>5.1497195928820183E-2</v>
          </cell>
          <cell r="CW375">
            <v>3.6267976085607723E-2</v>
          </cell>
          <cell r="CX375">
            <v>0.11529612851987059</v>
          </cell>
          <cell r="CY375">
            <v>2.855753578731024E-2</v>
          </cell>
          <cell r="CZ375">
            <v>3.9585877485534438E-2</v>
          </cell>
          <cell r="DA375">
            <v>2.7170221281141993E-2</v>
          </cell>
          <cell r="DB375">
            <v>9.4701253256859186E-2</v>
          </cell>
          <cell r="DC375"/>
          <cell r="DD375"/>
          <cell r="DE375"/>
          <cell r="DF375"/>
          <cell r="DG375"/>
          <cell r="DH375"/>
          <cell r="DI375"/>
          <cell r="DJ375"/>
          <cell r="DK375"/>
          <cell r="DL375"/>
          <cell r="DM375"/>
          <cell r="DN375"/>
          <cell r="DO375"/>
        </row>
        <row r="376">
          <cell r="A376"/>
          <cell r="B376"/>
          <cell r="C376"/>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cell r="AD376"/>
          <cell r="AE376"/>
          <cell r="AF376"/>
          <cell r="AG376"/>
          <cell r="AH376"/>
          <cell r="AI376"/>
          <cell r="AJ376"/>
          <cell r="AK376"/>
          <cell r="AL376"/>
          <cell r="AM376"/>
          <cell r="AN376"/>
          <cell r="AO376"/>
          <cell r="AP376"/>
          <cell r="AQ376"/>
          <cell r="AR376"/>
          <cell r="AS376"/>
          <cell r="AT376"/>
          <cell r="AU376"/>
          <cell r="AV376"/>
          <cell r="AW376"/>
          <cell r="AX376"/>
          <cell r="AY376"/>
          <cell r="AZ376"/>
          <cell r="BA376"/>
          <cell r="BB376"/>
          <cell r="BC376"/>
          <cell r="BD376"/>
          <cell r="BE376"/>
          <cell r="BF376"/>
          <cell r="BG376"/>
          <cell r="BH376"/>
          <cell r="BI376"/>
          <cell r="BJ376"/>
          <cell r="BK376"/>
          <cell r="BL376"/>
          <cell r="BM376"/>
          <cell r="BN376"/>
          <cell r="BO376"/>
          <cell r="BP376"/>
          <cell r="BQ376"/>
          <cell r="BR376"/>
          <cell r="BS376"/>
          <cell r="BT376"/>
          <cell r="BU376"/>
          <cell r="BV376"/>
          <cell r="BW376"/>
          <cell r="BX376"/>
          <cell r="BY376"/>
          <cell r="BZ376"/>
          <cell r="CA376"/>
          <cell r="CB376"/>
          <cell r="CC376"/>
          <cell r="CD376"/>
          <cell r="CE376"/>
          <cell r="CF376"/>
          <cell r="CG376"/>
          <cell r="CH376"/>
          <cell r="CI376"/>
          <cell r="CJ376"/>
          <cell r="CK376"/>
          <cell r="CL376"/>
          <cell r="CM376"/>
          <cell r="CN376"/>
          <cell r="CO376"/>
          <cell r="CP376"/>
          <cell r="CQ376"/>
          <cell r="CR376"/>
          <cell r="CS376"/>
          <cell r="CT376"/>
          <cell r="CU376"/>
          <cell r="CV376"/>
          <cell r="CW376"/>
          <cell r="CX376"/>
          <cell r="CY376"/>
          <cell r="CZ376"/>
          <cell r="DA376"/>
          <cell r="DB376"/>
          <cell r="DC376"/>
          <cell r="DD376"/>
          <cell r="DE376"/>
          <cell r="DF376"/>
          <cell r="DG376"/>
          <cell r="DH376"/>
          <cell r="DI376"/>
          <cell r="DJ376"/>
          <cell r="DK376"/>
          <cell r="DL376"/>
          <cell r="DM376"/>
          <cell r="DN376"/>
          <cell r="DO376"/>
        </row>
        <row r="377">
          <cell r="A377" t="str">
            <v>Term + CSP Incremental ARR</v>
          </cell>
          <cell r="B377"/>
          <cell r="C377"/>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cell r="AD377"/>
          <cell r="AE377"/>
          <cell r="AF377"/>
          <cell r="AG377"/>
          <cell r="AH377"/>
          <cell r="AI377"/>
          <cell r="AJ377"/>
          <cell r="AK377"/>
          <cell r="AL377"/>
          <cell r="AM377"/>
          <cell r="AN377"/>
          <cell r="AO377"/>
          <cell r="AP377"/>
          <cell r="AQ377"/>
          <cell r="AR377"/>
          <cell r="AS377"/>
          <cell r="AT377"/>
          <cell r="AU377"/>
          <cell r="AV377"/>
          <cell r="AW377"/>
          <cell r="AX377"/>
          <cell r="AY377"/>
          <cell r="AZ377"/>
          <cell r="BA377"/>
          <cell r="BB377"/>
          <cell r="BC377"/>
          <cell r="BD377"/>
          <cell r="BE377"/>
          <cell r="BF377"/>
          <cell r="BG377"/>
          <cell r="BH377"/>
          <cell r="BI377"/>
          <cell r="BJ377"/>
          <cell r="BK377"/>
          <cell r="BL377"/>
          <cell r="BM377"/>
          <cell r="BN377"/>
          <cell r="BO377"/>
          <cell r="BP377"/>
          <cell r="BQ377"/>
          <cell r="BR377"/>
          <cell r="BS377">
            <v>-13.421576842149904</v>
          </cell>
          <cell r="BT377">
            <v>10.722770257460184</v>
          </cell>
          <cell r="BU377">
            <v>10.827571244829983</v>
          </cell>
          <cell r="BV377">
            <v>3.6239541625506035</v>
          </cell>
          <cell r="BW377">
            <v>2.449938143843994</v>
          </cell>
          <cell r="BX377">
            <v>4.7316348800000014</v>
          </cell>
          <cell r="BY377">
            <v>4.0269019999999927</v>
          </cell>
          <cell r="BZ377">
            <v>5.6846225200000049</v>
          </cell>
          <cell r="CA377">
            <v>6.125618639999999</v>
          </cell>
          <cell r="CB377">
            <v>7.8242993199999944</v>
          </cell>
          <cell r="CC377">
            <v>10.066380319999979</v>
          </cell>
          <cell r="CD377">
            <v>17.180968323600041</v>
          </cell>
          <cell r="CE377">
            <v>42.789875549778003</v>
          </cell>
          <cell r="CF377">
            <v>1.2631806470743072</v>
          </cell>
          <cell r="CG377">
            <v>-25.22184984327302</v>
          </cell>
          <cell r="CH377">
            <v>17.036071919723611</v>
          </cell>
          <cell r="CI377">
            <v>10.886630045075576</v>
          </cell>
          <cell r="CJ377">
            <v>13.825362137241052</v>
          </cell>
          <cell r="CK377">
            <v>11.42084356281306</v>
          </cell>
          <cell r="CL377">
            <v>28.648087675778061</v>
          </cell>
          <cell r="CM377">
            <v>14.288701934161693</v>
          </cell>
          <cell r="CN377">
            <v>18.141467379460991</v>
          </cell>
          <cell r="CO377">
            <v>14.98273699403345</v>
          </cell>
          <cell r="CP377">
            <v>37.573891556360458</v>
          </cell>
          <cell r="CQ377">
            <v>17.986746164914912</v>
          </cell>
          <cell r="CR377">
            <v>22.831307461850415</v>
          </cell>
          <cell r="CS377">
            <v>18.851614558475649</v>
          </cell>
          <cell r="CT377">
            <v>47.265371952351344</v>
          </cell>
          <cell r="CU377">
            <v>18.850733260774454</v>
          </cell>
          <cell r="CV377">
            <v>23.922517905003414</v>
          </cell>
          <cell r="CW377">
            <v>19.748112637585766</v>
          </cell>
          <cell r="CX377">
            <v>49.501862013036018</v>
          </cell>
          <cell r="CY377">
            <v>19.738247279044685</v>
          </cell>
          <cell r="CZ377">
            <v>25.043185830797309</v>
          </cell>
          <cell r="DA377">
            <v>20.668601907704033</v>
          </cell>
          <cell r="DB377">
            <v>51.79768156813698</v>
          </cell>
          <cell r="DC377"/>
          <cell r="DD377"/>
          <cell r="DE377">
            <v>0</v>
          </cell>
          <cell r="DF377">
            <v>0</v>
          </cell>
          <cell r="DG377">
            <v>0</v>
          </cell>
          <cell r="DH377">
            <v>0</v>
          </cell>
          <cell r="DI377">
            <v>0</v>
          </cell>
          <cell r="DJ377">
            <v>0</v>
          </cell>
          <cell r="DK377">
            <v>0</v>
          </cell>
          <cell r="DL377">
            <v>0</v>
          </cell>
          <cell r="DM377">
            <v>0</v>
          </cell>
          <cell r="DN377">
            <v>0</v>
          </cell>
          <cell r="DO377">
            <v>0</v>
          </cell>
        </row>
        <row r="378">
          <cell r="A378" t="str">
            <v>% growth y-o-y</v>
          </cell>
          <cell r="B378"/>
          <cell r="C378" t="str">
            <v>NA</v>
          </cell>
          <cell r="D378" t="str">
            <v>NA</v>
          </cell>
          <cell r="E378" t="str">
            <v>NA</v>
          </cell>
          <cell r="F378" t="str">
            <v>NA</v>
          </cell>
          <cell r="G378" t="str">
            <v>NA</v>
          </cell>
          <cell r="H378" t="str">
            <v>NA</v>
          </cell>
          <cell r="I378" t="str">
            <v>NA</v>
          </cell>
          <cell r="J378" t="str">
            <v>NA</v>
          </cell>
          <cell r="K378" t="str">
            <v>NA</v>
          </cell>
          <cell r="L378" t="str">
            <v>NA</v>
          </cell>
          <cell r="M378" t="str">
            <v>NA</v>
          </cell>
          <cell r="N378" t="str">
            <v>NA</v>
          </cell>
          <cell r="O378" t="str">
            <v>NA</v>
          </cell>
          <cell r="P378" t="str">
            <v>NA</v>
          </cell>
          <cell r="Q378" t="str">
            <v>NA</v>
          </cell>
          <cell r="R378" t="str">
            <v>NA</v>
          </cell>
          <cell r="S378" t="str">
            <v>NA</v>
          </cell>
          <cell r="T378" t="str">
            <v>NA</v>
          </cell>
          <cell r="U378" t="str">
            <v>NA</v>
          </cell>
          <cell r="V378" t="str">
            <v>NA</v>
          </cell>
          <cell r="W378" t="str">
            <v>NA</v>
          </cell>
          <cell r="X378" t="str">
            <v>NA</v>
          </cell>
          <cell r="Y378" t="str">
            <v>NA</v>
          </cell>
          <cell r="Z378" t="str">
            <v>NA</v>
          </cell>
          <cell r="AA378" t="str">
            <v>NA</v>
          </cell>
          <cell r="AB378" t="str">
            <v>NA</v>
          </cell>
          <cell r="AC378" t="str">
            <v>NA</v>
          </cell>
          <cell r="AD378" t="str">
            <v>NA</v>
          </cell>
          <cell r="AE378" t="str">
            <v>NA</v>
          </cell>
          <cell r="AF378" t="str">
            <v>NA</v>
          </cell>
          <cell r="AG378" t="str">
            <v>NA</v>
          </cell>
          <cell r="AH378" t="str">
            <v>NA</v>
          </cell>
          <cell r="AI378" t="str">
            <v>NA</v>
          </cell>
          <cell r="AJ378" t="str">
            <v>NA</v>
          </cell>
          <cell r="AK378" t="str">
            <v>NA</v>
          </cell>
          <cell r="AL378" t="str">
            <v>NA</v>
          </cell>
          <cell r="AM378" t="str">
            <v>NA</v>
          </cell>
          <cell r="AN378" t="str">
            <v>NA</v>
          </cell>
          <cell r="AO378" t="str">
            <v>NA</v>
          </cell>
          <cell r="AP378" t="str">
            <v>NA</v>
          </cell>
          <cell r="AQ378" t="str">
            <v>NA</v>
          </cell>
          <cell r="AR378" t="str">
            <v>NA</v>
          </cell>
          <cell r="AS378" t="str">
            <v>NA</v>
          </cell>
          <cell r="AT378" t="str">
            <v>NA</v>
          </cell>
          <cell r="AU378" t="str">
            <v>NA</v>
          </cell>
          <cell r="AV378" t="str">
            <v>NA</v>
          </cell>
          <cell r="AW378" t="str">
            <v>NA</v>
          </cell>
          <cell r="AX378" t="str">
            <v>NA</v>
          </cell>
          <cell r="AY378" t="str">
            <v>NA</v>
          </cell>
          <cell r="AZ378" t="str">
            <v>NA</v>
          </cell>
          <cell r="BA378" t="str">
            <v>NA</v>
          </cell>
          <cell r="BB378" t="str">
            <v>NA</v>
          </cell>
          <cell r="BC378" t="str">
            <v>NA</v>
          </cell>
          <cell r="BD378" t="str">
            <v>NA</v>
          </cell>
          <cell r="BE378" t="str">
            <v>NA</v>
          </cell>
          <cell r="BF378" t="str">
            <v>NA</v>
          </cell>
          <cell r="BG378" t="str">
            <v>NA</v>
          </cell>
          <cell r="BH378" t="str">
            <v>NA</v>
          </cell>
          <cell r="BI378" t="str">
            <v>NA</v>
          </cell>
          <cell r="BJ378" t="str">
            <v>NA</v>
          </cell>
          <cell r="BK378" t="str">
            <v>NA</v>
          </cell>
          <cell r="BL378" t="str">
            <v>NA</v>
          </cell>
          <cell r="BM378" t="str">
            <v>NA</v>
          </cell>
          <cell r="BN378" t="str">
            <v>NA</v>
          </cell>
          <cell r="BO378" t="str">
            <v>NA</v>
          </cell>
          <cell r="BP378" t="str">
            <v>NA</v>
          </cell>
          <cell r="BQ378" t="str">
            <v>NA</v>
          </cell>
          <cell r="BR378" t="str">
            <v>NA</v>
          </cell>
          <cell r="BS378" t="str">
            <v>NA</v>
          </cell>
          <cell r="BT378" t="str">
            <v>NA</v>
          </cell>
          <cell r="BU378" t="str">
            <v>NA</v>
          </cell>
          <cell r="BV378" t="str">
            <v>NA</v>
          </cell>
          <cell r="BW378">
            <v>-1.1825372810257335</v>
          </cell>
          <cell r="BX378">
            <v>-0.55873018199676083</v>
          </cell>
          <cell r="BY378">
            <v>-0.6280881548645747</v>
          </cell>
          <cell r="BZ378">
            <v>0.56862428855862412</v>
          </cell>
          <cell r="CA378">
            <v>1.5003156326178915</v>
          </cell>
          <cell r="CB378">
            <v>0.65361434650680228</v>
          </cell>
          <cell r="CC378">
            <v>1.4997827908402037</v>
          </cell>
          <cell r="CD378">
            <v>2.0223586989554456</v>
          </cell>
          <cell r="CE378">
            <v>5.9853965884134785</v>
          </cell>
          <cell r="CF378">
            <v>-0.83855670707210261</v>
          </cell>
          <cell r="CG378">
            <v>-3.5055530430498449</v>
          </cell>
          <cell r="CH378">
            <v>-8.43354118041173E-3</v>
          </cell>
          <cell r="CI378">
            <v>-0.74557930105660108</v>
          </cell>
          <cell r="CJ378">
            <v>9.9448812165246618</v>
          </cell>
          <cell r="CK378">
            <v>-1.4528154609507811</v>
          </cell>
          <cell r="CL378">
            <v>0.68161345002368612</v>
          </cell>
          <cell r="CM378">
            <v>0.3125</v>
          </cell>
          <cell r="CN378">
            <v>0.31218749999999984</v>
          </cell>
          <cell r="CO378">
            <v>0.31187656249999995</v>
          </cell>
          <cell r="CP378">
            <v>0.31156717968749992</v>
          </cell>
          <cell r="CQ378">
            <v>0.25880897003749981</v>
          </cell>
          <cell r="CR378">
            <v>0.25851492518731223</v>
          </cell>
          <cell r="CS378">
            <v>0.25822235056137588</v>
          </cell>
          <cell r="CT378">
            <v>0.25793123880856905</v>
          </cell>
          <cell r="CU378">
            <v>4.8034652178771564E-2</v>
          </cell>
          <cell r="CV378">
            <v>4.7794478917877914E-2</v>
          </cell>
          <cell r="CW378">
            <v>4.7555506523288882E-2</v>
          </cell>
          <cell r="CX378">
            <v>4.7317728990672103E-2</v>
          </cell>
          <cell r="CY378">
            <v>4.7081140345718753E-2</v>
          </cell>
          <cell r="CZ378">
            <v>4.6845734643990333E-2</v>
          </cell>
          <cell r="DA378">
            <v>4.6611505970769906E-2</v>
          </cell>
          <cell r="DB378">
            <v>4.6378448440916653E-2</v>
          </cell>
          <cell r="DC378"/>
          <cell r="DD378" t="str">
            <v>NA</v>
          </cell>
          <cell r="DE378" t="str">
            <v>NA</v>
          </cell>
          <cell r="DF378" t="str">
            <v>NA</v>
          </cell>
          <cell r="DG378" t="str">
            <v>NA</v>
          </cell>
          <cell r="DH378" t="str">
            <v>NA</v>
          </cell>
          <cell r="DI378" t="str">
            <v>NA</v>
          </cell>
          <cell r="DJ378" t="str">
            <v>NA</v>
          </cell>
          <cell r="DK378" t="str">
            <v>NA</v>
          </cell>
          <cell r="DL378" t="str">
            <v>NA</v>
          </cell>
          <cell r="DM378" t="str">
            <v>NA</v>
          </cell>
          <cell r="DN378" t="str">
            <v>NA</v>
          </cell>
          <cell r="DO378" t="str">
            <v>NA</v>
          </cell>
        </row>
        <row r="379">
          <cell r="A379" t="str">
            <v>% growth seq</v>
          </cell>
          <cell r="B379"/>
          <cell r="C379" t="str">
            <v>NA</v>
          </cell>
          <cell r="D379" t="str">
            <v>NA</v>
          </cell>
          <cell r="E379" t="str">
            <v>NA</v>
          </cell>
          <cell r="F379" t="str">
            <v>NA</v>
          </cell>
          <cell r="G379" t="str">
            <v>NA</v>
          </cell>
          <cell r="H379" t="str">
            <v>NA</v>
          </cell>
          <cell r="I379" t="str">
            <v>NA</v>
          </cell>
          <cell r="J379" t="str">
            <v>NA</v>
          </cell>
          <cell r="K379" t="str">
            <v>NA</v>
          </cell>
          <cell r="L379" t="str">
            <v>NA</v>
          </cell>
          <cell r="M379" t="str">
            <v>NA</v>
          </cell>
          <cell r="N379" t="str">
            <v>NA</v>
          </cell>
          <cell r="O379" t="str">
            <v>NA</v>
          </cell>
          <cell r="P379" t="str">
            <v>NA</v>
          </cell>
          <cell r="Q379" t="str">
            <v>NA</v>
          </cell>
          <cell r="R379" t="str">
            <v>NA</v>
          </cell>
          <cell r="S379" t="str">
            <v>NA</v>
          </cell>
          <cell r="T379" t="str">
            <v>NA</v>
          </cell>
          <cell r="U379" t="str">
            <v>NA</v>
          </cell>
          <cell r="V379" t="str">
            <v>NA</v>
          </cell>
          <cell r="W379" t="str">
            <v>NA</v>
          </cell>
          <cell r="X379" t="str">
            <v>NA</v>
          </cell>
          <cell r="Y379" t="str">
            <v>NA</v>
          </cell>
          <cell r="Z379" t="str">
            <v>NA</v>
          </cell>
          <cell r="AA379" t="str">
            <v>NA</v>
          </cell>
          <cell r="AB379" t="str">
            <v>NA</v>
          </cell>
          <cell r="AC379" t="str">
            <v>NA</v>
          </cell>
          <cell r="AD379" t="str">
            <v>NA</v>
          </cell>
          <cell r="AE379" t="str">
            <v>NA</v>
          </cell>
          <cell r="AF379" t="str">
            <v>NA</v>
          </cell>
          <cell r="AG379" t="str">
            <v>NA</v>
          </cell>
          <cell r="AH379" t="str">
            <v>NA</v>
          </cell>
          <cell r="AI379" t="str">
            <v>NA</v>
          </cell>
          <cell r="AJ379" t="str">
            <v>NA</v>
          </cell>
          <cell r="AK379" t="str">
            <v>NA</v>
          </cell>
          <cell r="AL379" t="str">
            <v>NA</v>
          </cell>
          <cell r="AM379" t="str">
            <v>NA</v>
          </cell>
          <cell r="AN379" t="str">
            <v>NA</v>
          </cell>
          <cell r="AO379" t="str">
            <v>NA</v>
          </cell>
          <cell r="AP379" t="str">
            <v>NA</v>
          </cell>
          <cell r="AQ379" t="str">
            <v>NA</v>
          </cell>
          <cell r="AR379" t="str">
            <v>NA</v>
          </cell>
          <cell r="AS379" t="str">
            <v>NA</v>
          </cell>
          <cell r="AT379" t="str">
            <v>NA</v>
          </cell>
          <cell r="AU379" t="str">
            <v>NA</v>
          </cell>
          <cell r="AV379" t="str">
            <v>NA</v>
          </cell>
          <cell r="AW379" t="str">
            <v>NA</v>
          </cell>
          <cell r="AX379" t="str">
            <v>NA</v>
          </cell>
          <cell r="AY379" t="str">
            <v>NA</v>
          </cell>
          <cell r="AZ379" t="str">
            <v>NA</v>
          </cell>
          <cell r="BA379" t="str">
            <v>NA</v>
          </cell>
          <cell r="BB379" t="str">
            <v>NA</v>
          </cell>
          <cell r="BC379" t="str">
            <v>NA</v>
          </cell>
          <cell r="BD379" t="str">
            <v>NA</v>
          </cell>
          <cell r="BE379" t="str">
            <v>NA</v>
          </cell>
          <cell r="BF379" t="str">
            <v>NA</v>
          </cell>
          <cell r="BG379" t="str">
            <v>NA</v>
          </cell>
          <cell r="BH379" t="str">
            <v>NA</v>
          </cell>
          <cell r="BI379" t="str">
            <v>NA</v>
          </cell>
          <cell r="BJ379" t="str">
            <v>NA</v>
          </cell>
          <cell r="BK379" t="str">
            <v>NA</v>
          </cell>
          <cell r="BL379" t="str">
            <v>NA</v>
          </cell>
          <cell r="BM379" t="str">
            <v>NA</v>
          </cell>
          <cell r="BN379" t="str">
            <v>NA</v>
          </cell>
          <cell r="BO379" t="str">
            <v>NA</v>
          </cell>
          <cell r="BP379" t="str">
            <v>NA</v>
          </cell>
          <cell r="BQ379" t="str">
            <v>NA</v>
          </cell>
          <cell r="BR379" t="str">
            <v>NA</v>
          </cell>
          <cell r="BS379" t="str">
            <v>NA</v>
          </cell>
          <cell r="BT379">
            <v>-1.7989203044895419</v>
          </cell>
          <cell r="BU379">
            <v>9.7736857969967783E-3</v>
          </cell>
          <cell r="BV379">
            <v>-0.66530313395250185</v>
          </cell>
          <cell r="BW379">
            <v>-0.3239599525950726</v>
          </cell>
          <cell r="BX379">
            <v>0.93132830389586374</v>
          </cell>
          <cell r="BY379">
            <v>-0.14894067227774099</v>
          </cell>
          <cell r="BZ379">
            <v>0.41166150057786743</v>
          </cell>
          <cell r="CA379">
            <v>7.7577027929023101E-2</v>
          </cell>
          <cell r="CB379">
            <v>0.27730761247650837</v>
          </cell>
          <cell r="CC379">
            <v>0.2865535824107488</v>
          </cell>
          <cell r="CD379">
            <v>0.70676725669352392</v>
          </cell>
          <cell r="CE379">
            <v>1.4905392259527757</v>
          </cell>
          <cell r="CF379">
            <v>-0.97047945031752114</v>
          </cell>
          <cell r="CG379">
            <v>-20.966938142766949</v>
          </cell>
          <cell r="CH379">
            <v>-1.6754489470671139</v>
          </cell>
          <cell r="CI379">
            <v>-0.36096594940577142</v>
          </cell>
          <cell r="CJ379">
            <v>0.2699395570528067</v>
          </cell>
          <cell r="CK379">
            <v>-0.17392083842426065</v>
          </cell>
          <cell r="CL379">
            <v>1.5084038248328628</v>
          </cell>
          <cell r="CM379">
            <v>-0.50123365664498509</v>
          </cell>
          <cell r="CN379">
            <v>0.26963719049160328</v>
          </cell>
          <cell r="CO379">
            <v>-0.17411658711818001</v>
          </cell>
          <cell r="CP379">
            <v>1.5078122622938284</v>
          </cell>
          <cell r="CQ379">
            <v>-0.52129669246702925</v>
          </cell>
          <cell r="CR379">
            <v>0.26934061628029982</v>
          </cell>
          <cell r="CS379">
            <v>-0.17430858526278292</v>
          </cell>
          <cell r="CT379">
            <v>1.5072320360539582</v>
          </cell>
          <cell r="CU379">
            <v>-0.60117243381099272</v>
          </cell>
          <cell r="CV379">
            <v>0.26904972735371424</v>
          </cell>
          <cell r="CW379">
            <v>-0.17449690220712788</v>
          </cell>
          <cell r="CX379">
            <v>1.5066629364277158</v>
          </cell>
          <cell r="CY379">
            <v>-0.60126252879443731</v>
          </cell>
          <cell r="CZ379">
            <v>0.26876441847927746</v>
          </cell>
          <cell r="DA379">
            <v>-0.1746816061123323</v>
          </cell>
          <cell r="DB379">
            <v>1.5061047573241937</v>
          </cell>
          <cell r="DC379"/>
          <cell r="DD379"/>
          <cell r="DE379"/>
          <cell r="DF379"/>
          <cell r="DG379"/>
          <cell r="DH379"/>
          <cell r="DI379"/>
          <cell r="DJ379"/>
          <cell r="DK379"/>
          <cell r="DL379"/>
          <cell r="DM379"/>
          <cell r="DN379"/>
          <cell r="DO379"/>
        </row>
        <row r="380">
          <cell r="A380"/>
          <cell r="B380"/>
          <cell r="C380"/>
          <cell r="D380"/>
          <cell r="E380"/>
          <cell r="F380"/>
          <cell r="G380"/>
          <cell r="H380"/>
          <cell r="I380"/>
          <cell r="J380"/>
          <cell r="K380"/>
          <cell r="L380"/>
          <cell r="M380"/>
          <cell r="N380"/>
          <cell r="O380"/>
          <cell r="P380"/>
          <cell r="Q380"/>
          <cell r="R380"/>
          <cell r="S380"/>
          <cell r="T380"/>
          <cell r="U380"/>
          <cell r="V380"/>
          <cell r="W380"/>
          <cell r="X380"/>
          <cell r="Y380"/>
          <cell r="Z380"/>
          <cell r="AA380"/>
          <cell r="AB380"/>
          <cell r="AC380"/>
          <cell r="AD380"/>
          <cell r="AE380"/>
          <cell r="AF380"/>
          <cell r="AG380"/>
          <cell r="AH380"/>
          <cell r="AI380"/>
          <cell r="AJ380"/>
          <cell r="AK380"/>
          <cell r="AL380"/>
          <cell r="AM380"/>
          <cell r="AN380"/>
          <cell r="AO380"/>
          <cell r="AP380"/>
          <cell r="AQ380"/>
          <cell r="AR380"/>
          <cell r="AS380"/>
          <cell r="AT380"/>
          <cell r="AU380"/>
          <cell r="AV380"/>
          <cell r="AW380"/>
          <cell r="AX380"/>
          <cell r="AY380"/>
          <cell r="AZ380"/>
          <cell r="BA380"/>
          <cell r="BB380"/>
          <cell r="BC380"/>
          <cell r="BD380"/>
          <cell r="BE380"/>
          <cell r="BF380"/>
          <cell r="BG380"/>
          <cell r="BH380"/>
          <cell r="BI380"/>
          <cell r="BJ380"/>
          <cell r="BK380"/>
          <cell r="BL380"/>
          <cell r="BM380"/>
          <cell r="BN380"/>
          <cell r="BO380"/>
          <cell r="BP380"/>
          <cell r="BQ380"/>
          <cell r="BR380"/>
          <cell r="BS380"/>
          <cell r="BT380"/>
          <cell r="BU380"/>
          <cell r="BV380"/>
          <cell r="BW380"/>
          <cell r="BX380"/>
          <cell r="BY380"/>
          <cell r="BZ380"/>
          <cell r="CA380"/>
          <cell r="CB380"/>
          <cell r="CC380"/>
          <cell r="CD380"/>
          <cell r="CE380"/>
          <cell r="CF380"/>
          <cell r="CG380"/>
          <cell r="CH380"/>
          <cell r="CI380"/>
          <cell r="CJ380"/>
          <cell r="CK380"/>
          <cell r="CL380"/>
          <cell r="CM380"/>
          <cell r="CN380"/>
          <cell r="CO380"/>
          <cell r="CP380"/>
          <cell r="CQ380"/>
          <cell r="CR380"/>
          <cell r="CS380"/>
          <cell r="CT380"/>
          <cell r="CU380"/>
          <cell r="CV380"/>
          <cell r="CW380"/>
          <cell r="CX380"/>
          <cell r="CY380"/>
          <cell r="CZ380"/>
          <cell r="DA380"/>
          <cell r="DB380"/>
          <cell r="DC380"/>
          <cell r="DD380"/>
          <cell r="DE380"/>
          <cell r="DF380"/>
          <cell r="DG380"/>
          <cell r="DH380"/>
          <cell r="DI380"/>
          <cell r="DJ380"/>
          <cell r="DK380"/>
          <cell r="DL380"/>
          <cell r="DM380"/>
          <cell r="DN380"/>
          <cell r="DO380"/>
        </row>
        <row r="381">
          <cell r="A381" t="str">
            <v>Citrix Cloud Perpetual License Equivalent</v>
          </cell>
          <cell r="B381"/>
          <cell r="C381" t="e">
            <v>#REF!</v>
          </cell>
          <cell r="D381" t="e">
            <v>#REF!</v>
          </cell>
          <cell r="E381" t="e">
            <v>#VALUE!</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1.8816568047337283</v>
          </cell>
          <cell r="BV381">
            <v>5.4652308985902209</v>
          </cell>
          <cell r="BW381">
            <v>2.4945945900797044</v>
          </cell>
          <cell r="BX381">
            <v>1.227900547084897E-2</v>
          </cell>
          <cell r="BY381">
            <v>0.95482286718765974</v>
          </cell>
          <cell r="BZ381">
            <v>0.19020176645287917</v>
          </cell>
          <cell r="CA381">
            <v>5.260345817373306</v>
          </cell>
          <cell r="CB381">
            <v>2.61766437610915</v>
          </cell>
          <cell r="CC381">
            <v>1.3671958978571062</v>
          </cell>
          <cell r="CD381">
            <v>11.493565933143344</v>
          </cell>
          <cell r="CE381">
            <v>13.034841727018643</v>
          </cell>
          <cell r="CF381">
            <v>22.696647146100947</v>
          </cell>
          <cell r="CG381">
            <v>25.460149791023078</v>
          </cell>
          <cell r="CH381">
            <v>50.932709542342828</v>
          </cell>
          <cell r="CI381">
            <v>29.69808637296352</v>
          </cell>
          <cell r="CJ381">
            <v>37.714774653797278</v>
          </cell>
          <cell r="CK381">
            <v>31.155389425026801</v>
          </cell>
          <cell r="CL381">
            <v>78.150297997894555</v>
          </cell>
          <cell r="CM381">
            <v>40.092416603500752</v>
          </cell>
          <cell r="CN381">
            <v>50.902823176487601</v>
          </cell>
          <cell r="CO381">
            <v>42.039797330317384</v>
          </cell>
          <cell r="CP381">
            <v>105.42791924931727</v>
          </cell>
          <cell r="CQ381">
            <v>51.40329908894801</v>
          </cell>
          <cell r="CR381">
            <v>65.248295344405847</v>
          </cell>
          <cell r="CS381">
            <v>53.874957292114239</v>
          </cell>
          <cell r="CT381">
            <v>135.07701886382762</v>
          </cell>
          <cell r="CU381">
            <v>58.769933107120366</v>
          </cell>
          <cell r="CV381">
            <v>74.581967586187119</v>
          </cell>
          <cell r="CW381">
            <v>61.567645281885035</v>
          </cell>
          <cell r="CX381">
            <v>154.32933451122994</v>
          </cell>
          <cell r="CY381">
            <v>61.536888575845204</v>
          </cell>
          <cell r="CZ381">
            <v>78.075814648956325</v>
          </cell>
          <cell r="DA381">
            <v>64.437405947547873</v>
          </cell>
          <cell r="DB381">
            <v>161.48688959478</v>
          </cell>
          <cell r="DC381"/>
          <cell r="DD381"/>
          <cell r="DE381">
            <v>0</v>
          </cell>
          <cell r="DF381">
            <v>0</v>
          </cell>
          <cell r="DG381">
            <v>0</v>
          </cell>
          <cell r="DH381">
            <v>0</v>
          </cell>
          <cell r="DI381">
            <v>0</v>
          </cell>
          <cell r="DJ381">
            <v>0</v>
          </cell>
          <cell r="DK381">
            <v>0</v>
          </cell>
          <cell r="DL381">
            <v>0</v>
          </cell>
          <cell r="DM381">
            <v>0</v>
          </cell>
          <cell r="DN381">
            <v>0</v>
          </cell>
          <cell r="DO381">
            <v>0</v>
          </cell>
        </row>
        <row r="382">
          <cell r="A382" t="str">
            <v>% of perpetual equivalent total</v>
          </cell>
          <cell r="B382"/>
          <cell r="C382" t="str">
            <v>NA</v>
          </cell>
          <cell r="D382" t="str">
            <v>NA</v>
          </cell>
          <cell r="E382" t="str">
            <v>NA</v>
          </cell>
          <cell r="F382" t="str">
            <v>NA</v>
          </cell>
          <cell r="G382" t="str">
            <v>NA</v>
          </cell>
          <cell r="H382" t="str">
            <v>NA</v>
          </cell>
          <cell r="I382" t="str">
            <v>NA</v>
          </cell>
          <cell r="J382" t="str">
            <v>NA</v>
          </cell>
          <cell r="K382" t="str">
            <v>NA</v>
          </cell>
          <cell r="L382" t="str">
            <v>NA</v>
          </cell>
          <cell r="M382" t="str">
            <v>NA</v>
          </cell>
          <cell r="N382" t="str">
            <v>NA</v>
          </cell>
          <cell r="O382" t="str">
            <v>NA</v>
          </cell>
          <cell r="P382" t="str">
            <v>NA</v>
          </cell>
          <cell r="Q382" t="str">
            <v>NA</v>
          </cell>
          <cell r="R382" t="str">
            <v>NA</v>
          </cell>
          <cell r="S382" t="str">
            <v>NA</v>
          </cell>
          <cell r="T382" t="str">
            <v>NA</v>
          </cell>
          <cell r="U382" t="str">
            <v>NA</v>
          </cell>
          <cell r="V382" t="str">
            <v>NA</v>
          </cell>
          <cell r="W382" t="str">
            <v>NA</v>
          </cell>
          <cell r="X382" t="str">
            <v>NA</v>
          </cell>
          <cell r="Y382" t="str">
            <v>NA</v>
          </cell>
          <cell r="Z382" t="str">
            <v>NA</v>
          </cell>
          <cell r="AA382" t="str">
            <v>NA</v>
          </cell>
          <cell r="AB382" t="str">
            <v>NA</v>
          </cell>
          <cell r="AC382" t="str">
            <v>NA</v>
          </cell>
          <cell r="AD382" t="str">
            <v>NA</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8.8092267953301592E-3</v>
          </cell>
          <cell r="BV382">
            <v>1.9632257833059247E-2</v>
          </cell>
          <cell r="BW382">
            <v>1.2953489200489761E-2</v>
          </cell>
          <cell r="BX382">
            <v>5.8391297372418503E-5</v>
          </cell>
          <cell r="BY382">
            <v>4.8404518326439442E-3</v>
          </cell>
          <cell r="BZ382">
            <v>7.693355744348931E-4</v>
          </cell>
          <cell r="CA382">
            <v>2.8045562970315928E-2</v>
          </cell>
          <cell r="CB382">
            <v>1.2606495172414646E-2</v>
          </cell>
          <cell r="CC382">
            <v>7.1196469093717457E-3</v>
          </cell>
          <cell r="CD382">
            <v>4.1335638018838231E-2</v>
          </cell>
          <cell r="CE382">
            <v>4.7041859555298257E-2</v>
          </cell>
          <cell r="CF382">
            <v>8.9396831758883868E-2</v>
          </cell>
          <cell r="CG382">
            <v>0.13359855686072222</v>
          </cell>
          <cell r="CH382">
            <v>0.15663031230002572</v>
          </cell>
          <cell r="CI382">
            <v>0.17138000823850633</v>
          </cell>
          <cell r="CJ382">
            <v>0.16363117981742373</v>
          </cell>
          <cell r="CK382">
            <v>0.15992633955163674</v>
          </cell>
          <cell r="CL382">
            <v>0.232756490805342</v>
          </cell>
          <cell r="CM382">
            <v>0.22084459661886732</v>
          </cell>
          <cell r="CN382">
            <v>0.21070162705094064</v>
          </cell>
          <cell r="CO382">
            <v>0.20600317271389476</v>
          </cell>
          <cell r="CP382">
            <v>0.29951589052397354</v>
          </cell>
          <cell r="CQ382">
            <v>0.27097468168050931</v>
          </cell>
          <cell r="CR382">
            <v>0.25838116697785724</v>
          </cell>
          <cell r="CS382">
            <v>0.25270220083310474</v>
          </cell>
          <cell r="CT382">
            <v>0.36680443647627498</v>
          </cell>
          <cell r="CU382">
            <v>0.29719034860784055</v>
          </cell>
          <cell r="CV382">
            <v>0.2832598732619096</v>
          </cell>
          <cell r="CW382">
            <v>0.27711970032058758</v>
          </cell>
          <cell r="CX382">
            <v>0.40134661294847729</v>
          </cell>
          <cell r="CY382">
            <v>0.29915615278409247</v>
          </cell>
          <cell r="CZ382">
            <v>0.28505324244434305</v>
          </cell>
          <cell r="DA382">
            <v>0.27895627070976103</v>
          </cell>
          <cell r="DB382">
            <v>0.40289470449107029</v>
          </cell>
          <cell r="DC382"/>
          <cell r="DD382" t="str">
            <v>NA</v>
          </cell>
          <cell r="DE382" t="str">
            <v>NA</v>
          </cell>
          <cell r="DF382" t="str">
            <v>NA</v>
          </cell>
          <cell r="DG382" t="str">
            <v>NA</v>
          </cell>
          <cell r="DH382" t="str">
            <v>NA</v>
          </cell>
          <cell r="DI382" t="str">
            <v>NA</v>
          </cell>
          <cell r="DJ382" t="str">
            <v>NA</v>
          </cell>
          <cell r="DK382">
            <v>0</v>
          </cell>
          <cell r="DL382">
            <v>0</v>
          </cell>
          <cell r="DM382">
            <v>0</v>
          </cell>
          <cell r="DN382">
            <v>0</v>
          </cell>
          <cell r="DO382">
            <v>0</v>
          </cell>
        </row>
        <row r="383">
          <cell r="A383" t="str">
            <v xml:space="preserve">% of WS perpetual equivalent </v>
          </cell>
          <cell r="B383"/>
          <cell r="C383" t="str">
            <v>NA</v>
          </cell>
          <cell r="D383" t="str">
            <v>NA</v>
          </cell>
          <cell r="E383" t="str">
            <v>NA</v>
          </cell>
          <cell r="F383" t="str">
            <v>NA</v>
          </cell>
          <cell r="G383" t="str">
            <v>NA</v>
          </cell>
          <cell r="H383" t="str">
            <v>NA</v>
          </cell>
          <cell r="I383" t="str">
            <v>NA</v>
          </cell>
          <cell r="J383" t="str">
            <v>NA</v>
          </cell>
          <cell r="K383" t="str">
            <v>NA</v>
          </cell>
          <cell r="L383" t="str">
            <v>NA</v>
          </cell>
          <cell r="M383" t="str">
            <v>NA</v>
          </cell>
          <cell r="N383" t="str">
            <v>NA</v>
          </cell>
          <cell r="O383" t="str">
            <v>NA</v>
          </cell>
          <cell r="P383" t="str">
            <v>NA</v>
          </cell>
          <cell r="Q383" t="str">
            <v>NA</v>
          </cell>
          <cell r="R383" t="str">
            <v>NA</v>
          </cell>
          <cell r="S383" t="str">
            <v>NA</v>
          </cell>
          <cell r="T383" t="str">
            <v>NA</v>
          </cell>
          <cell r="U383" t="str">
            <v>NA</v>
          </cell>
          <cell r="V383" t="str">
            <v>NA</v>
          </cell>
          <cell r="W383" t="str">
            <v>NA</v>
          </cell>
          <cell r="X383" t="str">
            <v>NA</v>
          </cell>
          <cell r="Y383" t="str">
            <v>NA</v>
          </cell>
          <cell r="Z383" t="str">
            <v>NA</v>
          </cell>
          <cell r="AA383" t="str">
            <v>NA</v>
          </cell>
          <cell r="AB383" t="str">
            <v>NA</v>
          </cell>
          <cell r="AC383" t="str">
            <v>NA</v>
          </cell>
          <cell r="AD383" t="str">
            <v>NA</v>
          </cell>
          <cell r="AE383" t="str">
            <v>NA</v>
          </cell>
          <cell r="AF383" t="str">
            <v>NA</v>
          </cell>
          <cell r="AG383" t="str">
            <v>NA</v>
          </cell>
          <cell r="AH383" t="str">
            <v>NA</v>
          </cell>
          <cell r="AI383" t="str">
            <v>NA</v>
          </cell>
          <cell r="AJ383" t="str">
            <v>NA</v>
          </cell>
          <cell r="AK383" t="str">
            <v>NA</v>
          </cell>
          <cell r="AL383" t="str">
            <v>NA</v>
          </cell>
          <cell r="AM383" t="str">
            <v>NA</v>
          </cell>
          <cell r="AN383" t="str">
            <v>NA</v>
          </cell>
          <cell r="AO383" t="str">
            <v>NA</v>
          </cell>
          <cell r="AP383" t="str">
            <v>NA</v>
          </cell>
          <cell r="AQ383" t="str">
            <v>NA</v>
          </cell>
          <cell r="AR383" t="str">
            <v>NA</v>
          </cell>
          <cell r="AS383" t="str">
            <v>NA</v>
          </cell>
          <cell r="AT383" t="str">
            <v>NA</v>
          </cell>
          <cell r="AU383" t="str">
            <v>NA</v>
          </cell>
          <cell r="AV383" t="str">
            <v>NA</v>
          </cell>
          <cell r="AW383" t="str">
            <v>NA</v>
          </cell>
          <cell r="AX383" t="str">
            <v>NA</v>
          </cell>
          <cell r="AY383" t="str">
            <v>NA</v>
          </cell>
          <cell r="AZ383" t="str">
            <v>NA</v>
          </cell>
          <cell r="BA383" t="str">
            <v>NA</v>
          </cell>
          <cell r="BB383" t="str">
            <v>NA</v>
          </cell>
          <cell r="BC383" t="str">
            <v>NA</v>
          </cell>
          <cell r="BD383" t="str">
            <v>NA</v>
          </cell>
          <cell r="BE383" t="str">
            <v>NA</v>
          </cell>
          <cell r="BF383" t="str">
            <v>NA</v>
          </cell>
          <cell r="BG383" t="str">
            <v>NA</v>
          </cell>
          <cell r="BH383" t="str">
            <v>NA</v>
          </cell>
          <cell r="BI383" t="str">
            <v>NA</v>
          </cell>
          <cell r="BJ383" t="str">
            <v>NA</v>
          </cell>
          <cell r="BK383" t="str">
            <v>NA</v>
          </cell>
          <cell r="BL383" t="str">
            <v>NA</v>
          </cell>
          <cell r="BM383" t="str">
            <v>NA</v>
          </cell>
          <cell r="BN383" t="str">
            <v>NA</v>
          </cell>
          <cell r="BO383" t="str">
            <v>NA</v>
          </cell>
          <cell r="BP383" t="str">
            <v>NA</v>
          </cell>
          <cell r="BQ383" t="str">
            <v>NA</v>
          </cell>
          <cell r="BR383" t="str">
            <v>NA</v>
          </cell>
          <cell r="BS383">
            <v>0</v>
          </cell>
          <cell r="BT383">
            <v>0</v>
          </cell>
          <cell r="BU383">
            <v>1.875081331297852E-2</v>
          </cell>
          <cell r="BV383">
            <v>3.8955700098499996E-2</v>
          </cell>
          <cell r="BW383">
            <v>3.2367218497075148E-2</v>
          </cell>
          <cell r="BX383">
            <v>1.3137212735376508E-4</v>
          </cell>
          <cell r="BY383">
            <v>1.1067325702014517E-2</v>
          </cell>
          <cell r="BZ383">
            <v>1.3907777805199396E-3</v>
          </cell>
          <cell r="CA383">
            <v>6.3799773761463383E-2</v>
          </cell>
          <cell r="CB383">
            <v>2.7079970482433841E-2</v>
          </cell>
          <cell r="CC383">
            <v>1.3915608215908043E-2</v>
          </cell>
          <cell r="CD383">
            <v>7.1901092039454426E-2</v>
          </cell>
          <cell r="CE383">
            <v>8.4490529151919208E-2</v>
          </cell>
          <cell r="CF383">
            <v>0.17305011123844463</v>
          </cell>
          <cell r="CG383">
            <v>0.30032059367182606</v>
          </cell>
          <cell r="CH383">
            <v>0.23945288276738483</v>
          </cell>
          <cell r="CI383">
            <v>0.35</v>
          </cell>
          <cell r="CJ383">
            <v>0.35</v>
          </cell>
          <cell r="CK383">
            <v>0.35</v>
          </cell>
          <cell r="CL383">
            <v>0.35</v>
          </cell>
          <cell r="CM383">
            <v>0.44999999999999996</v>
          </cell>
          <cell r="CN383">
            <v>0.44999999999999996</v>
          </cell>
          <cell r="CO383">
            <v>0.44999999999999996</v>
          </cell>
          <cell r="CP383">
            <v>0.44999999999999996</v>
          </cell>
          <cell r="CQ383">
            <v>0.54999999999999993</v>
          </cell>
          <cell r="CR383">
            <v>0.54999999999999993</v>
          </cell>
          <cell r="CS383">
            <v>0.54999999999999993</v>
          </cell>
          <cell r="CT383">
            <v>0.54999999999999993</v>
          </cell>
          <cell r="CU383">
            <v>0.6</v>
          </cell>
          <cell r="CV383">
            <v>0.6</v>
          </cell>
          <cell r="CW383">
            <v>0.6</v>
          </cell>
          <cell r="CX383">
            <v>0.6</v>
          </cell>
          <cell r="CY383">
            <v>0.6</v>
          </cell>
          <cell r="CZ383">
            <v>0.6</v>
          </cell>
          <cell r="DA383">
            <v>0.6</v>
          </cell>
          <cell r="DB383">
            <v>0.6</v>
          </cell>
          <cell r="DC383"/>
          <cell r="DD383" t="str">
            <v>NA</v>
          </cell>
          <cell r="DE383" t="str">
            <v>NA</v>
          </cell>
          <cell r="DF383" t="str">
            <v>NA</v>
          </cell>
          <cell r="DG383" t="str">
            <v>NA</v>
          </cell>
          <cell r="DH383" t="str">
            <v>NA</v>
          </cell>
          <cell r="DI383" t="str">
            <v>NA</v>
          </cell>
          <cell r="DJ383" t="str">
            <v>NA</v>
          </cell>
          <cell r="DK383" t="str">
            <v>NA</v>
          </cell>
          <cell r="DL383" t="str">
            <v>NA</v>
          </cell>
          <cell r="DM383" t="str">
            <v>NA</v>
          </cell>
          <cell r="DN383" t="str">
            <v>NA</v>
          </cell>
          <cell r="DO383" t="str">
            <v>NA</v>
          </cell>
        </row>
        <row r="384">
          <cell r="A384" t="str">
            <v>% growth y-o-y</v>
          </cell>
          <cell r="B384"/>
          <cell r="C384" t="str">
            <v>NA</v>
          </cell>
          <cell r="D384" t="str">
            <v>NA</v>
          </cell>
          <cell r="E384" t="str">
            <v>NA</v>
          </cell>
          <cell r="F384" t="str">
            <v>NA</v>
          </cell>
          <cell r="G384" t="str">
            <v>NA</v>
          </cell>
          <cell r="H384" t="str">
            <v>NA</v>
          </cell>
          <cell r="I384" t="str">
            <v>NA</v>
          </cell>
          <cell r="J384" t="str">
            <v>NA</v>
          </cell>
          <cell r="K384" t="str">
            <v>NA</v>
          </cell>
          <cell r="L384" t="str">
            <v>NA</v>
          </cell>
          <cell r="M384" t="str">
            <v>NA</v>
          </cell>
          <cell r="N384" t="str">
            <v>NA</v>
          </cell>
          <cell r="O384" t="str">
            <v>NA</v>
          </cell>
          <cell r="P384" t="str">
            <v>NA</v>
          </cell>
          <cell r="Q384" t="str">
            <v>NA</v>
          </cell>
          <cell r="R384" t="str">
            <v>NA</v>
          </cell>
          <cell r="S384" t="str">
            <v>NA</v>
          </cell>
          <cell r="T384" t="str">
            <v>NA</v>
          </cell>
          <cell r="U384" t="str">
            <v>NA</v>
          </cell>
          <cell r="V384" t="str">
            <v>NA</v>
          </cell>
          <cell r="W384" t="str">
            <v>NA</v>
          </cell>
          <cell r="X384" t="str">
            <v>NA</v>
          </cell>
          <cell r="Y384" t="str">
            <v>NA</v>
          </cell>
          <cell r="Z384" t="str">
            <v>NA</v>
          </cell>
          <cell r="AA384" t="str">
            <v>NA</v>
          </cell>
          <cell r="AB384" t="str">
            <v>NA</v>
          </cell>
          <cell r="AC384" t="str">
            <v>NA</v>
          </cell>
          <cell r="AD384" t="str">
            <v>NA</v>
          </cell>
          <cell r="AE384" t="str">
            <v>NA</v>
          </cell>
          <cell r="AF384" t="str">
            <v>NA</v>
          </cell>
          <cell r="AG384" t="str">
            <v>NA</v>
          </cell>
          <cell r="AH384" t="str">
            <v>NA</v>
          </cell>
          <cell r="AI384" t="str">
            <v>NA</v>
          </cell>
          <cell r="AJ384" t="str">
            <v>NA</v>
          </cell>
          <cell r="AK384" t="str">
            <v>NA</v>
          </cell>
          <cell r="AL384" t="str">
            <v>NA</v>
          </cell>
          <cell r="AM384" t="str">
            <v>NA</v>
          </cell>
          <cell r="AN384" t="str">
            <v>NA</v>
          </cell>
          <cell r="AO384" t="str">
            <v>NA</v>
          </cell>
          <cell r="AP384" t="str">
            <v>NA</v>
          </cell>
          <cell r="AQ384" t="str">
            <v>NA</v>
          </cell>
          <cell r="AR384" t="str">
            <v>NA</v>
          </cell>
          <cell r="AS384" t="str">
            <v>NA</v>
          </cell>
          <cell r="AT384" t="str">
            <v>NA</v>
          </cell>
          <cell r="AU384" t="str">
            <v>NA</v>
          </cell>
          <cell r="AV384" t="str">
            <v>NA</v>
          </cell>
          <cell r="AW384" t="str">
            <v>NA</v>
          </cell>
          <cell r="AX384" t="str">
            <v>NA</v>
          </cell>
          <cell r="AY384" t="str">
            <v>NA</v>
          </cell>
          <cell r="AZ384" t="str">
            <v>NA</v>
          </cell>
          <cell r="BA384" t="str">
            <v>NA</v>
          </cell>
          <cell r="BB384" t="str">
            <v>NA</v>
          </cell>
          <cell r="BC384" t="str">
            <v>NA</v>
          </cell>
          <cell r="BD384" t="str">
            <v>NA</v>
          </cell>
          <cell r="BE384" t="str">
            <v>NA</v>
          </cell>
          <cell r="BF384" t="str">
            <v>NA</v>
          </cell>
          <cell r="BG384" t="str">
            <v>NA</v>
          </cell>
          <cell r="BH384" t="str">
            <v>NA</v>
          </cell>
          <cell r="BI384" t="str">
            <v>NA</v>
          </cell>
          <cell r="BJ384" t="str">
            <v>NA</v>
          </cell>
          <cell r="BK384" t="str">
            <v>NA</v>
          </cell>
          <cell r="BL384" t="str">
            <v>NA</v>
          </cell>
          <cell r="BM384" t="str">
            <v>NA</v>
          </cell>
          <cell r="BN384" t="str">
            <v>NA</v>
          </cell>
          <cell r="BO384" t="str">
            <v>NA</v>
          </cell>
          <cell r="BP384" t="str">
            <v>NA</v>
          </cell>
          <cell r="BQ384" t="str">
            <v>NA</v>
          </cell>
          <cell r="BR384" t="str">
            <v>NA</v>
          </cell>
          <cell r="BS384" t="str">
            <v>NA</v>
          </cell>
          <cell r="BT384" t="str">
            <v>NA</v>
          </cell>
          <cell r="BU384" t="str">
            <v>NA</v>
          </cell>
          <cell r="BV384" t="str">
            <v>NA</v>
          </cell>
          <cell r="BW384" t="str">
            <v>NA</v>
          </cell>
          <cell r="BX384" t="str">
            <v>NA</v>
          </cell>
          <cell r="BY384">
            <v>-0.49256269007951425</v>
          </cell>
          <cell r="BZ384">
            <v>-0.96519785348832332</v>
          </cell>
          <cell r="CA384">
            <v>1.108697677086373</v>
          </cell>
          <cell r="CB384">
            <v>212.1821166073774</v>
          </cell>
          <cell r="CC384">
            <v>0.43188432623534889</v>
          </cell>
          <cell r="CD384">
            <v>59.428281753054982</v>
          </cell>
          <cell r="CE384">
            <v>1.4779438804134446</v>
          </cell>
          <cell r="CF384">
            <v>7.6705718858568268</v>
          </cell>
          <cell r="CG384">
            <v>17.622166604601727</v>
          </cell>
          <cell r="CH384">
            <v>3.4314105681919882</v>
          </cell>
          <cell r="CI384">
            <v>1.2783618700490451</v>
          </cell>
          <cell r="CJ384">
            <v>0.66168925352819308</v>
          </cell>
          <cell r="CK384">
            <v>0.22369230663410278</v>
          </cell>
          <cell r="CL384">
            <v>0.53438328139453151</v>
          </cell>
          <cell r="CM384">
            <v>0.35000000000000009</v>
          </cell>
          <cell r="CN384">
            <v>0.34967857142857128</v>
          </cell>
          <cell r="CO384">
            <v>0.34935874999999994</v>
          </cell>
          <cell r="CP384">
            <v>0.3490405276785713</v>
          </cell>
          <cell r="CQ384">
            <v>0.28212024726041651</v>
          </cell>
          <cell r="CR384">
            <v>0.28182075713522559</v>
          </cell>
          <cell r="CS384">
            <v>0.28152276446066082</v>
          </cell>
          <cell r="CT384">
            <v>0.28122626174946874</v>
          </cell>
          <cell r="CU384">
            <v>0.14331052964956914</v>
          </cell>
          <cell r="CV384">
            <v>0.14304852245586686</v>
          </cell>
          <cell r="CW384">
            <v>0.14278782529813316</v>
          </cell>
          <cell r="CX384">
            <v>0.14252843162618767</v>
          </cell>
          <cell r="CY384">
            <v>4.7081140345718753E-2</v>
          </cell>
          <cell r="CZ384">
            <v>4.6845734643990333E-2</v>
          </cell>
          <cell r="DA384">
            <v>4.6611505970770128E-2</v>
          </cell>
          <cell r="DB384">
            <v>4.6378448440916653E-2</v>
          </cell>
          <cell r="DC384"/>
          <cell r="DD384" t="str">
            <v>NA</v>
          </cell>
          <cell r="DE384" t="str">
            <v>NA</v>
          </cell>
          <cell r="DF384" t="str">
            <v>NA</v>
          </cell>
          <cell r="DG384" t="str">
            <v>NA</v>
          </cell>
          <cell r="DH384" t="str">
            <v>NA</v>
          </cell>
          <cell r="DI384" t="str">
            <v>NA</v>
          </cell>
          <cell r="DJ384" t="str">
            <v>NA</v>
          </cell>
          <cell r="DK384" t="str">
            <v>NA</v>
          </cell>
          <cell r="DL384" t="str">
            <v>NA</v>
          </cell>
          <cell r="DM384" t="str">
            <v>NA</v>
          </cell>
          <cell r="DN384" t="str">
            <v>NA</v>
          </cell>
          <cell r="DO384" t="str">
            <v>NA</v>
          </cell>
        </row>
        <row r="385">
          <cell r="A385" t="str">
            <v>% growth seq</v>
          </cell>
          <cell r="B385"/>
          <cell r="C385" t="str">
            <v>NA</v>
          </cell>
          <cell r="D385" t="str">
            <v>NA</v>
          </cell>
          <cell r="E385" t="str">
            <v>NA</v>
          </cell>
          <cell r="F385" t="str">
            <v>NA</v>
          </cell>
          <cell r="G385" t="str">
            <v>NA</v>
          </cell>
          <cell r="H385" t="str">
            <v>NA</v>
          </cell>
          <cell r="I385" t="str">
            <v>NA</v>
          </cell>
          <cell r="J385" t="str">
            <v>NA</v>
          </cell>
          <cell r="K385" t="str">
            <v>NA</v>
          </cell>
          <cell r="L385" t="str">
            <v>NA</v>
          </cell>
          <cell r="M385" t="str">
            <v>NA</v>
          </cell>
          <cell r="N385" t="str">
            <v>NA</v>
          </cell>
          <cell r="O385" t="str">
            <v>NA</v>
          </cell>
          <cell r="P385" t="str">
            <v>NA</v>
          </cell>
          <cell r="Q385" t="str">
            <v>NA</v>
          </cell>
          <cell r="R385" t="str">
            <v>NA</v>
          </cell>
          <cell r="S385" t="str">
            <v>NA</v>
          </cell>
          <cell r="T385" t="str">
            <v>NA</v>
          </cell>
          <cell r="U385" t="str">
            <v>NA</v>
          </cell>
          <cell r="V385" t="str">
            <v>NA</v>
          </cell>
          <cell r="W385" t="str">
            <v>NA</v>
          </cell>
          <cell r="X385" t="str">
            <v>NA</v>
          </cell>
          <cell r="Y385" t="str">
            <v>NA</v>
          </cell>
          <cell r="Z385" t="str">
            <v>NA</v>
          </cell>
          <cell r="AA385" t="str">
            <v>NA</v>
          </cell>
          <cell r="AB385" t="str">
            <v>NA</v>
          </cell>
          <cell r="AC385" t="str">
            <v>NA</v>
          </cell>
          <cell r="AD385" t="str">
            <v>NA</v>
          </cell>
          <cell r="AE385" t="str">
            <v>NA</v>
          </cell>
          <cell r="AF385" t="str">
            <v>NA</v>
          </cell>
          <cell r="AG385" t="str">
            <v>NA</v>
          </cell>
          <cell r="AH385" t="str">
            <v>NA</v>
          </cell>
          <cell r="AI385" t="str">
            <v>NA</v>
          </cell>
          <cell r="AJ385" t="str">
            <v>NA</v>
          </cell>
          <cell r="AK385" t="str">
            <v>NA</v>
          </cell>
          <cell r="AL385" t="str">
            <v>NA</v>
          </cell>
          <cell r="AM385" t="str">
            <v>NA</v>
          </cell>
          <cell r="AN385" t="str">
            <v>NA</v>
          </cell>
          <cell r="AO385" t="str">
            <v>NA</v>
          </cell>
          <cell r="AP385" t="str">
            <v>NA</v>
          </cell>
          <cell r="AQ385" t="str">
            <v>NA</v>
          </cell>
          <cell r="AR385" t="str">
            <v>NA</v>
          </cell>
          <cell r="AS385" t="str">
            <v>NA</v>
          </cell>
          <cell r="AT385" t="str">
            <v>NA</v>
          </cell>
          <cell r="AU385" t="str">
            <v>NA</v>
          </cell>
          <cell r="AV385" t="str">
            <v>NA</v>
          </cell>
          <cell r="AW385" t="str">
            <v>NA</v>
          </cell>
          <cell r="AX385" t="str">
            <v>NA</v>
          </cell>
          <cell r="AY385" t="str">
            <v>NA</v>
          </cell>
          <cell r="AZ385" t="str">
            <v>NA</v>
          </cell>
          <cell r="BA385" t="str">
            <v>NA</v>
          </cell>
          <cell r="BB385" t="str">
            <v>NA</v>
          </cell>
          <cell r="BC385" t="str">
            <v>NA</v>
          </cell>
          <cell r="BD385" t="str">
            <v>NA</v>
          </cell>
          <cell r="BE385" t="str">
            <v>NA</v>
          </cell>
          <cell r="BF385" t="str">
            <v>NA</v>
          </cell>
          <cell r="BG385" t="str">
            <v>NA</v>
          </cell>
          <cell r="BH385" t="str">
            <v>NA</v>
          </cell>
          <cell r="BI385" t="str">
            <v>NA</v>
          </cell>
          <cell r="BJ385" t="str">
            <v>NA</v>
          </cell>
          <cell r="BK385" t="str">
            <v>NA</v>
          </cell>
          <cell r="BL385" t="str">
            <v>NA</v>
          </cell>
          <cell r="BM385" t="str">
            <v>NA</v>
          </cell>
          <cell r="BN385" t="str">
            <v>NA</v>
          </cell>
          <cell r="BO385" t="str">
            <v>NA</v>
          </cell>
          <cell r="BP385" t="str">
            <v>NA</v>
          </cell>
          <cell r="BQ385" t="str">
            <v>NA</v>
          </cell>
          <cell r="BR385" t="str">
            <v>NA</v>
          </cell>
          <cell r="BS385" t="str">
            <v>NA</v>
          </cell>
          <cell r="BT385" t="str">
            <v>NA</v>
          </cell>
          <cell r="BU385" t="str">
            <v>NA</v>
          </cell>
          <cell r="BV385">
            <v>1.9044780561690162</v>
          </cell>
          <cell r="BW385">
            <v>-0.54355183955298292</v>
          </cell>
          <cell r="BX385">
            <v>-0.9950777551111194</v>
          </cell>
          <cell r="BY385">
            <v>76.7606027991812</v>
          </cell>
          <cell r="BZ385">
            <v>-0.80079889894855527</v>
          </cell>
          <cell r="CA385">
            <v>26.656661215480934</v>
          </cell>
          <cell r="CB385">
            <v>-0.50237789168464764</v>
          </cell>
          <cell r="CC385">
            <v>-0.47770389881330699</v>
          </cell>
          <cell r="CD385">
            <v>7.4066708736896789</v>
          </cell>
          <cell r="CE385">
            <v>0.13409900833568189</v>
          </cell>
          <cell r="CF385">
            <v>0.7412292087179928</v>
          </cell>
          <cell r="CG385">
            <v>0.12175818864932531</v>
          </cell>
          <cell r="CH385">
            <v>1.000487426837569</v>
          </cell>
          <cell r="CI385">
            <v>-0.4169152468066899</v>
          </cell>
          <cell r="CJ385">
            <v>0.26993955705280648</v>
          </cell>
          <cell r="CK385">
            <v>-0.17392083842426065</v>
          </cell>
          <cell r="CL385">
            <v>1.5084038248328628</v>
          </cell>
          <cell r="CM385">
            <v>-0.48698318969198451</v>
          </cell>
          <cell r="CN385">
            <v>0.26963719049160328</v>
          </cell>
          <cell r="CO385">
            <v>-0.17411658711818001</v>
          </cell>
          <cell r="CP385">
            <v>1.5078122622938279</v>
          </cell>
          <cell r="CQ385">
            <v>-0.51243181640160373</v>
          </cell>
          <cell r="CR385">
            <v>0.26934061628029982</v>
          </cell>
          <cell r="CS385">
            <v>-0.17430858526278292</v>
          </cell>
          <cell r="CT385">
            <v>1.5072320360539582</v>
          </cell>
          <cell r="CU385">
            <v>-0.56491538233926475</v>
          </cell>
          <cell r="CV385">
            <v>0.26904972735371424</v>
          </cell>
          <cell r="CW385">
            <v>-0.17449690220712799</v>
          </cell>
          <cell r="CX385">
            <v>1.5066629364277158</v>
          </cell>
          <cell r="CY385">
            <v>-0.60126252879443731</v>
          </cell>
          <cell r="CZ385">
            <v>0.26876441847927723</v>
          </cell>
          <cell r="DA385">
            <v>-0.1746816061123323</v>
          </cell>
          <cell r="DB385">
            <v>1.5061047573241932</v>
          </cell>
          <cell r="DC385"/>
          <cell r="DD385"/>
          <cell r="DE385"/>
          <cell r="DF385"/>
          <cell r="DG385"/>
          <cell r="DH385"/>
          <cell r="DI385"/>
          <cell r="DJ385"/>
          <cell r="DK385"/>
          <cell r="DL385"/>
          <cell r="DM385"/>
          <cell r="DN385"/>
          <cell r="DO385"/>
        </row>
        <row r="386">
          <cell r="A386"/>
          <cell r="B386"/>
          <cell r="C386"/>
          <cell r="D386"/>
          <cell r="E386"/>
          <cell r="F386"/>
          <cell r="G386"/>
          <cell r="H386"/>
          <cell r="I386"/>
          <cell r="J386"/>
          <cell r="K386"/>
          <cell r="L386"/>
          <cell r="M386"/>
          <cell r="N386"/>
          <cell r="O386"/>
          <cell r="P386"/>
          <cell r="Q386"/>
          <cell r="R386"/>
          <cell r="S386"/>
          <cell r="T386"/>
          <cell r="U386"/>
          <cell r="V386"/>
          <cell r="W386"/>
          <cell r="X386"/>
          <cell r="Y386"/>
          <cell r="Z386"/>
          <cell r="AA386"/>
          <cell r="AB386"/>
          <cell r="AC386"/>
          <cell r="AD386"/>
          <cell r="AE386"/>
          <cell r="AF386"/>
          <cell r="AG386"/>
          <cell r="AH386"/>
          <cell r="AI386"/>
          <cell r="AJ386"/>
          <cell r="AK386"/>
          <cell r="AL386"/>
          <cell r="AM386"/>
          <cell r="AN386"/>
          <cell r="AO386"/>
          <cell r="AP386"/>
          <cell r="AQ386"/>
          <cell r="AR386"/>
          <cell r="AS386"/>
          <cell r="AT386"/>
          <cell r="AU386"/>
          <cell r="AV386"/>
          <cell r="AW386"/>
          <cell r="AX386"/>
          <cell r="AY386"/>
          <cell r="AZ386"/>
          <cell r="BA386"/>
          <cell r="BB386"/>
          <cell r="BC386"/>
          <cell r="BD386"/>
          <cell r="BE386"/>
          <cell r="BF386"/>
          <cell r="BG386"/>
          <cell r="BH386"/>
          <cell r="BI386"/>
          <cell r="BJ386"/>
          <cell r="BK386"/>
          <cell r="BL386"/>
          <cell r="BM386"/>
          <cell r="BN386"/>
          <cell r="BO386"/>
          <cell r="BP386"/>
          <cell r="BQ386"/>
          <cell r="BR386"/>
          <cell r="BS386"/>
          <cell r="BT386"/>
          <cell r="BU386"/>
          <cell r="BV386"/>
          <cell r="BW386"/>
          <cell r="BX386"/>
          <cell r="BY386"/>
          <cell r="BZ386"/>
          <cell r="CA386"/>
          <cell r="CB386"/>
          <cell r="CC386"/>
          <cell r="CD386"/>
          <cell r="CE386"/>
          <cell r="CF386"/>
          <cell r="CG386"/>
          <cell r="CH386"/>
          <cell r="CI386"/>
          <cell r="CJ386"/>
          <cell r="CK386"/>
          <cell r="CL386"/>
          <cell r="CM386"/>
          <cell r="CN386"/>
          <cell r="CO386"/>
          <cell r="CP386"/>
          <cell r="CQ386"/>
          <cell r="CR386"/>
          <cell r="CS386"/>
          <cell r="CT386"/>
          <cell r="CU386"/>
          <cell r="CV386"/>
          <cell r="CW386"/>
          <cell r="CX386"/>
          <cell r="CY386"/>
          <cell r="CZ386"/>
          <cell r="DA386"/>
          <cell r="DB386"/>
          <cell r="DC386"/>
          <cell r="DD386"/>
          <cell r="DE386"/>
          <cell r="DF386"/>
          <cell r="DG386"/>
          <cell r="DH386"/>
          <cell r="DI386"/>
          <cell r="DJ386"/>
          <cell r="DK386"/>
          <cell r="DL386"/>
          <cell r="DM386"/>
          <cell r="DN386"/>
          <cell r="DO386"/>
        </row>
        <row r="387">
          <cell r="A387" t="str">
            <v>Citrix Cloud ARR Churn</v>
          </cell>
          <cell r="B387"/>
          <cell r="C387" t="e">
            <v>#REF!</v>
          </cell>
          <cell r="D387" t="e">
            <v>#REF!</v>
          </cell>
          <cell r="E387" t="e">
            <v>#VALUE!</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0.05</v>
          </cell>
          <cell r="BZ387">
            <v>0.19522390280845081</v>
          </cell>
          <cell r="CA387">
            <v>0.26151108609830459</v>
          </cell>
          <cell r="CB387">
            <v>0.26183736784745137</v>
          </cell>
          <cell r="CC387">
            <v>0.28595923334347567</v>
          </cell>
          <cell r="CD387">
            <v>0.28613273931580158</v>
          </cell>
          <cell r="CE387">
            <v>0.41937459158725726</v>
          </cell>
          <cell r="CF387">
            <v>0.48238609128453735</v>
          </cell>
          <cell r="CG387">
            <v>0.51156668698205909</v>
          </cell>
          <cell r="CH387">
            <v>0.80982416137671509</v>
          </cell>
          <cell r="CI387">
            <v>1.1457058739244788</v>
          </cell>
          <cell r="CJ387">
            <v>1.7367489524113997</v>
          </cell>
          <cell r="CK387">
            <v>2.4004952120737819</v>
          </cell>
          <cell r="CL387">
            <v>3.7336502232368383</v>
          </cell>
          <cell r="CM387">
            <v>4.4941548400728193</v>
          </cell>
          <cell r="CN387">
            <v>5.4529054427549468</v>
          </cell>
          <cell r="CO387">
            <v>6.2207642594388766</v>
          </cell>
          <cell r="CP387">
            <v>8.2040582808460325</v>
          </cell>
          <cell r="CQ387">
            <v>9.1570532158177382</v>
          </cell>
          <cell r="CR387">
            <v>10.373337044658676</v>
          </cell>
          <cell r="CS387">
            <v>11.334913181698433</v>
          </cell>
          <cell r="CT387">
            <v>13.931276874541215</v>
          </cell>
          <cell r="CU387">
            <v>15.068255818679138</v>
          </cell>
          <cell r="CV387">
            <v>16.542721435519365</v>
          </cell>
          <cell r="CW387">
            <v>17.690931590625851</v>
          </cell>
          <cell r="CX387">
            <v>20.931960390143903</v>
          </cell>
          <cell r="CY387">
            <v>22.116907877554809</v>
          </cell>
          <cell r="CZ387">
            <v>23.685156275953869</v>
          </cell>
          <cell r="DA387">
            <v>24.878878591949004</v>
          </cell>
          <cell r="DB387">
            <v>28.456469131314563</v>
          </cell>
          <cell r="DC387"/>
          <cell r="DD387"/>
          <cell r="DE387">
            <v>0</v>
          </cell>
          <cell r="DF387">
            <v>0</v>
          </cell>
          <cell r="DG387">
            <v>0</v>
          </cell>
          <cell r="DH387">
            <v>0</v>
          </cell>
          <cell r="DI387">
            <v>0</v>
          </cell>
          <cell r="DJ387">
            <v>0</v>
          </cell>
          <cell r="DK387">
            <v>0</v>
          </cell>
          <cell r="DL387">
            <v>0</v>
          </cell>
          <cell r="DM387">
            <v>0</v>
          </cell>
          <cell r="DN387">
            <v>0</v>
          </cell>
          <cell r="DO387">
            <v>0</v>
          </cell>
        </row>
        <row r="388">
          <cell r="A388" t="str">
            <v>% churn</v>
          </cell>
          <cell r="B388"/>
          <cell r="C388">
            <v>2.5000000000000001E-2</v>
          </cell>
          <cell r="D388">
            <v>2.5000000000000001E-2</v>
          </cell>
          <cell r="E388">
            <v>2.5000000000000001E-2</v>
          </cell>
          <cell r="F388">
            <v>2.5000000000000001E-2</v>
          </cell>
          <cell r="G388">
            <v>2.5000000000000001E-2</v>
          </cell>
          <cell r="H388">
            <v>2.5000000000000001E-2</v>
          </cell>
          <cell r="I388">
            <v>2.5000000000000001E-2</v>
          </cell>
          <cell r="J388">
            <v>2.5000000000000001E-2</v>
          </cell>
          <cell r="K388">
            <v>2.5000000000000001E-2</v>
          </cell>
          <cell r="L388">
            <v>2.5000000000000001E-2</v>
          </cell>
          <cell r="M388">
            <v>2.5000000000000001E-2</v>
          </cell>
          <cell r="N388">
            <v>2.5000000000000001E-2</v>
          </cell>
          <cell r="O388">
            <v>2.5000000000000001E-2</v>
          </cell>
          <cell r="P388">
            <v>2.5000000000000001E-2</v>
          </cell>
          <cell r="Q388">
            <v>2.5000000000000001E-2</v>
          </cell>
          <cell r="R388">
            <v>2.5000000000000001E-2</v>
          </cell>
          <cell r="S388">
            <v>2.5000000000000001E-2</v>
          </cell>
          <cell r="T388">
            <v>2.5000000000000001E-2</v>
          </cell>
          <cell r="U388">
            <v>2.5000000000000001E-2</v>
          </cell>
          <cell r="V388">
            <v>2.5000000000000001E-2</v>
          </cell>
          <cell r="W388">
            <v>2.5000000000000001E-2</v>
          </cell>
          <cell r="X388">
            <v>2.5000000000000001E-2</v>
          </cell>
          <cell r="Y388">
            <v>2.5000000000000001E-2</v>
          </cell>
          <cell r="Z388">
            <v>2.5000000000000001E-2</v>
          </cell>
          <cell r="AA388">
            <v>2.5000000000000001E-2</v>
          </cell>
          <cell r="AB388">
            <v>2.5000000000000001E-2</v>
          </cell>
          <cell r="AC388">
            <v>2.5000000000000001E-2</v>
          </cell>
          <cell r="AD388">
            <v>2.5000000000000001E-2</v>
          </cell>
          <cell r="AE388">
            <v>2.5000000000000001E-2</v>
          </cell>
          <cell r="AF388">
            <v>2.5000000000000001E-2</v>
          </cell>
          <cell r="AG388">
            <v>2.5000000000000001E-2</v>
          </cell>
          <cell r="AH388">
            <v>2.5000000000000001E-2</v>
          </cell>
          <cell r="AI388">
            <v>2.5000000000000001E-2</v>
          </cell>
          <cell r="AJ388">
            <v>2.5000000000000001E-2</v>
          </cell>
          <cell r="AK388">
            <v>2.5000000000000001E-2</v>
          </cell>
          <cell r="AL388">
            <v>2.5000000000000001E-2</v>
          </cell>
          <cell r="AM388">
            <v>2.5000000000000001E-2</v>
          </cell>
          <cell r="AN388">
            <v>2.5000000000000001E-2</v>
          </cell>
          <cell r="AO388">
            <v>2.5000000000000001E-2</v>
          </cell>
          <cell r="AP388">
            <v>2.5000000000000001E-2</v>
          </cell>
          <cell r="AQ388">
            <v>2.5000000000000001E-2</v>
          </cell>
          <cell r="AR388">
            <v>2.5000000000000001E-2</v>
          </cell>
          <cell r="AS388">
            <v>2.5000000000000001E-2</v>
          </cell>
          <cell r="AT388">
            <v>2.5000000000000001E-2</v>
          </cell>
          <cell r="AU388">
            <v>2.5000000000000001E-2</v>
          </cell>
          <cell r="AV388">
            <v>2.5000000000000001E-2</v>
          </cell>
          <cell r="AW388">
            <v>2.5000000000000001E-2</v>
          </cell>
          <cell r="AX388">
            <v>2.5000000000000001E-2</v>
          </cell>
          <cell r="AY388">
            <v>2.5000000000000001E-2</v>
          </cell>
          <cell r="AZ388">
            <v>2.5000000000000001E-2</v>
          </cell>
          <cell r="BA388">
            <v>2.5000000000000001E-2</v>
          </cell>
          <cell r="BB388">
            <v>2.5000000000000001E-2</v>
          </cell>
          <cell r="BC388">
            <v>2.5000000000000001E-2</v>
          </cell>
          <cell r="BD388">
            <v>2.5000000000000001E-2</v>
          </cell>
          <cell r="BE388">
            <v>2.5000000000000001E-2</v>
          </cell>
          <cell r="BF388">
            <v>2.5000000000000001E-2</v>
          </cell>
          <cell r="BG388">
            <v>2.5000000000000001E-2</v>
          </cell>
          <cell r="BH388">
            <v>2.5000000000000001E-2</v>
          </cell>
          <cell r="BI388">
            <v>2.5000000000000001E-2</v>
          </cell>
          <cell r="BJ388">
            <v>2.5000000000000001E-2</v>
          </cell>
          <cell r="BK388">
            <v>2.5000000000000001E-2</v>
          </cell>
          <cell r="BL388">
            <v>2.5000000000000001E-2</v>
          </cell>
          <cell r="BM388">
            <v>2.5000000000000001E-2</v>
          </cell>
          <cell r="BN388">
            <v>2.5000000000000001E-2</v>
          </cell>
          <cell r="BO388">
            <v>2.5000000000000001E-2</v>
          </cell>
          <cell r="BP388">
            <v>2.5000000000000001E-2</v>
          </cell>
          <cell r="BQ388">
            <v>2.5000000000000001E-2</v>
          </cell>
          <cell r="BR388">
            <v>2.5000000000000001E-2</v>
          </cell>
          <cell r="BS388">
            <v>2.5000000000000001E-2</v>
          </cell>
          <cell r="BT388">
            <v>2.5000000000000001E-2</v>
          </cell>
          <cell r="BU388">
            <v>2.5000000000000001E-2</v>
          </cell>
          <cell r="BV388">
            <v>2.5000000000000001E-2</v>
          </cell>
          <cell r="BW388">
            <v>2.5000000000000001E-2</v>
          </cell>
          <cell r="BX388">
            <v>2.5000000000000001E-2</v>
          </cell>
          <cell r="BY388">
            <v>2.5000000000000001E-2</v>
          </cell>
          <cell r="BZ388">
            <v>2.5000000000000001E-2</v>
          </cell>
          <cell r="CA388">
            <v>2.5000000000000001E-2</v>
          </cell>
          <cell r="CB388">
            <v>2.5000000000000001E-2</v>
          </cell>
          <cell r="CC388">
            <v>2.5000000000000001E-2</v>
          </cell>
          <cell r="CD388">
            <v>2.5000000000000001E-2</v>
          </cell>
          <cell r="CE388">
            <v>2.5000000000000001E-2</v>
          </cell>
          <cell r="CF388">
            <v>2.5000000000000001E-2</v>
          </cell>
          <cell r="CG388">
            <v>2.5000000000000001E-2</v>
          </cell>
          <cell r="CH388">
            <v>2.5000000000000001E-2</v>
          </cell>
          <cell r="CI388">
            <v>2.5000000000000001E-2</v>
          </cell>
          <cell r="CJ388">
            <v>2.5000000000000001E-2</v>
          </cell>
          <cell r="CK388">
            <v>2.5000000000000001E-2</v>
          </cell>
          <cell r="CL388">
            <v>2.5000000000000001E-2</v>
          </cell>
          <cell r="CM388">
            <v>2.5000000000000001E-2</v>
          </cell>
          <cell r="CN388">
            <v>2.5000000000000001E-2</v>
          </cell>
          <cell r="CO388">
            <v>2.5000000000000001E-2</v>
          </cell>
          <cell r="CP388">
            <v>2.5000000000000001E-2</v>
          </cell>
          <cell r="CQ388">
            <v>2.5000000000000001E-2</v>
          </cell>
          <cell r="CR388">
            <v>2.5000000000000001E-2</v>
          </cell>
          <cell r="CS388">
            <v>2.5000000000000001E-2</v>
          </cell>
          <cell r="CT388">
            <v>2.5000000000000001E-2</v>
          </cell>
          <cell r="CU388">
            <v>2.5000000000000001E-2</v>
          </cell>
          <cell r="CV388">
            <v>2.5000000000000001E-2</v>
          </cell>
          <cell r="CW388">
            <v>2.5000000000000001E-2</v>
          </cell>
          <cell r="CX388">
            <v>2.5000000000000001E-2</v>
          </cell>
          <cell r="CY388">
            <v>2.5000000000000001E-2</v>
          </cell>
          <cell r="CZ388">
            <v>2.5000000000000001E-2</v>
          </cell>
          <cell r="DA388">
            <v>2.5000000000000001E-2</v>
          </cell>
          <cell r="DB388">
            <v>2.5000000000000001E-2</v>
          </cell>
          <cell r="DC388"/>
          <cell r="DD388"/>
          <cell r="DE388"/>
          <cell r="DF388">
            <v>2.5000000000000001E-2</v>
          </cell>
          <cell r="DG388">
            <v>2.5000000000000001E-2</v>
          </cell>
          <cell r="DH388">
            <v>2.5000000000000001E-2</v>
          </cell>
          <cell r="DI388">
            <v>2.5000000000000001E-2</v>
          </cell>
          <cell r="DJ388">
            <v>2.5000000000000001E-2</v>
          </cell>
          <cell r="DK388">
            <v>2.5000000000000001E-2</v>
          </cell>
          <cell r="DL388">
            <v>2.5000000000000001E-2</v>
          </cell>
          <cell r="DM388">
            <v>2.5000000000000001E-2</v>
          </cell>
          <cell r="DN388">
            <v>2.5000000000000001E-2</v>
          </cell>
          <cell r="DO388">
            <v>2.5000000000000001E-2</v>
          </cell>
        </row>
        <row r="389">
          <cell r="A389" t="str">
            <v>% growth y-o-y</v>
          </cell>
          <cell r="B389"/>
          <cell r="C389" t="str">
            <v>NA</v>
          </cell>
          <cell r="D389" t="str">
            <v>NA</v>
          </cell>
          <cell r="E389" t="str">
            <v>NA</v>
          </cell>
          <cell r="F389" t="str">
            <v>NA</v>
          </cell>
          <cell r="G389" t="str">
            <v>NA</v>
          </cell>
          <cell r="H389" t="str">
            <v>NA</v>
          </cell>
          <cell r="I389" t="str">
            <v>NA</v>
          </cell>
          <cell r="J389" t="str">
            <v>NA</v>
          </cell>
          <cell r="K389" t="str">
            <v>NA</v>
          </cell>
          <cell r="L389" t="str">
            <v>NA</v>
          </cell>
          <cell r="M389" t="str">
            <v>NA</v>
          </cell>
          <cell r="N389" t="str">
            <v>NA</v>
          </cell>
          <cell r="O389" t="str">
            <v>NA</v>
          </cell>
          <cell r="P389" t="str">
            <v>NA</v>
          </cell>
          <cell r="Q389" t="str">
            <v>NA</v>
          </cell>
          <cell r="R389" t="str">
            <v>NA</v>
          </cell>
          <cell r="S389" t="str">
            <v>NA</v>
          </cell>
          <cell r="T389" t="str">
            <v>NA</v>
          </cell>
          <cell r="U389" t="str">
            <v>NA</v>
          </cell>
          <cell r="V389" t="str">
            <v>NA</v>
          </cell>
          <cell r="W389" t="str">
            <v>NA</v>
          </cell>
          <cell r="X389" t="str">
            <v>NA</v>
          </cell>
          <cell r="Y389" t="str">
            <v>NA</v>
          </cell>
          <cell r="Z389" t="str">
            <v>NA</v>
          </cell>
          <cell r="AA389" t="str">
            <v>NA</v>
          </cell>
          <cell r="AB389" t="str">
            <v>NA</v>
          </cell>
          <cell r="AC389" t="str">
            <v>NA</v>
          </cell>
          <cell r="AD389" t="str">
            <v>NA</v>
          </cell>
          <cell r="AE389" t="str">
            <v>NA</v>
          </cell>
          <cell r="AF389" t="str">
            <v>NA</v>
          </cell>
          <cell r="AG389" t="str">
            <v>NA</v>
          </cell>
          <cell r="AH389" t="str">
            <v>NA</v>
          </cell>
          <cell r="AI389" t="str">
            <v>NA</v>
          </cell>
          <cell r="AJ389" t="str">
            <v>NA</v>
          </cell>
          <cell r="AK389" t="str">
            <v>NA</v>
          </cell>
          <cell r="AL389" t="str">
            <v>NA</v>
          </cell>
          <cell r="AM389" t="str">
            <v>NA</v>
          </cell>
          <cell r="AN389" t="str">
            <v>NA</v>
          </cell>
          <cell r="AO389" t="str">
            <v>NA</v>
          </cell>
          <cell r="AP389" t="str">
            <v>NA</v>
          </cell>
          <cell r="AQ389" t="str">
            <v>NA</v>
          </cell>
          <cell r="AR389" t="str">
            <v>NA</v>
          </cell>
          <cell r="AS389" t="str">
            <v>NA</v>
          </cell>
          <cell r="AT389" t="str">
            <v>NA</v>
          </cell>
          <cell r="AU389" t="str">
            <v>NA</v>
          </cell>
          <cell r="AV389" t="str">
            <v>NA</v>
          </cell>
          <cell r="AW389" t="str">
            <v>NA</v>
          </cell>
          <cell r="AX389" t="str">
            <v>NA</v>
          </cell>
          <cell r="AY389" t="str">
            <v>NA</v>
          </cell>
          <cell r="AZ389" t="str">
            <v>NA</v>
          </cell>
          <cell r="BA389" t="str">
            <v>NA</v>
          </cell>
          <cell r="BB389" t="str">
            <v>NA</v>
          </cell>
          <cell r="BC389" t="str">
            <v>NA</v>
          </cell>
          <cell r="BD389" t="str">
            <v>NA</v>
          </cell>
          <cell r="BE389" t="str">
            <v>NA</v>
          </cell>
          <cell r="BF389" t="str">
            <v>NA</v>
          </cell>
          <cell r="BG389" t="str">
            <v>NA</v>
          </cell>
          <cell r="BH389" t="str">
            <v>NA</v>
          </cell>
          <cell r="BI389" t="str">
            <v>NA</v>
          </cell>
          <cell r="BJ389" t="str">
            <v>NA</v>
          </cell>
          <cell r="BK389" t="str">
            <v>NA</v>
          </cell>
          <cell r="BL389" t="str">
            <v>NA</v>
          </cell>
          <cell r="BM389" t="str">
            <v>NA</v>
          </cell>
          <cell r="BN389" t="str">
            <v>NA</v>
          </cell>
          <cell r="BO389" t="str">
            <v>NA</v>
          </cell>
          <cell r="BP389" t="str">
            <v>NA</v>
          </cell>
          <cell r="BQ389" t="str">
            <v>NA</v>
          </cell>
          <cell r="BR389" t="str">
            <v>NA</v>
          </cell>
          <cell r="BS389" t="str">
            <v>NA</v>
          </cell>
          <cell r="BT389" t="str">
            <v>NA</v>
          </cell>
          <cell r="BU389" t="str">
            <v>NA</v>
          </cell>
          <cell r="BV389" t="str">
            <v>NA</v>
          </cell>
          <cell r="BW389" t="str">
            <v>NA</v>
          </cell>
          <cell r="BX389" t="str">
            <v>NA</v>
          </cell>
          <cell r="BY389" t="str">
            <v>NA</v>
          </cell>
          <cell r="BZ389" t="str">
            <v>NA</v>
          </cell>
          <cell r="CA389" t="str">
            <v>NA</v>
          </cell>
          <cell r="CB389" t="str">
            <v>NA</v>
          </cell>
          <cell r="CC389">
            <v>4.7191846668695128</v>
          </cell>
          <cell r="CD389">
            <v>0.46566447652953857</v>
          </cell>
          <cell r="CE389">
            <v>0.60365894174601165</v>
          </cell>
          <cell r="CF389">
            <v>0.8423118718699445</v>
          </cell>
          <cell r="CG389">
            <v>0.78894970797322839</v>
          </cell>
          <cell r="CH389">
            <v>1.8302394312274801</v>
          </cell>
          <cell r="CI389">
            <v>1.7319391706306968</v>
          </cell>
          <cell r="CJ389">
            <v>2.6003296608047752</v>
          </cell>
          <cell r="CK389">
            <v>3.6924384897603169</v>
          </cell>
          <cell r="CL389">
            <v>3.6104455773331932</v>
          </cell>
          <cell r="CM389">
            <v>2.9226078371044988</v>
          </cell>
          <cell r="CN389">
            <v>2.1397200126039095</v>
          </cell>
          <cell r="CO389">
            <v>1.5914503924649672</v>
          </cell>
          <cell r="CP389">
            <v>1.1973290989571148</v>
          </cell>
          <cell r="CQ389">
            <v>1.0375473346328596</v>
          </cell>
          <cell r="CR389">
            <v>0.90235043566385453</v>
          </cell>
          <cell r="CS389">
            <v>0.82210942401486542</v>
          </cell>
          <cell r="CT389">
            <v>0.69809579571935587</v>
          </cell>
          <cell r="CU389">
            <v>0.64553546468972001</v>
          </cell>
          <cell r="CV389">
            <v>0.5947347863373782</v>
          </cell>
          <cell r="CW389">
            <v>0.56074698650449029</v>
          </cell>
          <cell r="CX389">
            <v>0.5025155682890865</v>
          </cell>
          <cell r="CY389">
            <v>0.46778154974897057</v>
          </cell>
          <cell r="CZ389">
            <v>0.43175694327408376</v>
          </cell>
          <cell r="DA389">
            <v>0.40630686770231672</v>
          </cell>
          <cell r="DB389">
            <v>0.35947463118235579</v>
          </cell>
          <cell r="DC389"/>
          <cell r="DD389" t="str">
            <v>NA</v>
          </cell>
          <cell r="DE389" t="str">
            <v>NA</v>
          </cell>
          <cell r="DF389" t="str">
            <v>NA</v>
          </cell>
          <cell r="DG389" t="str">
            <v>NA</v>
          </cell>
          <cell r="DH389" t="str">
            <v>NA</v>
          </cell>
          <cell r="DI389" t="str">
            <v>NA</v>
          </cell>
          <cell r="DJ389" t="str">
            <v>NA</v>
          </cell>
          <cell r="DK389" t="str">
            <v>NA</v>
          </cell>
          <cell r="DL389" t="str">
            <v>NA</v>
          </cell>
          <cell r="DM389" t="str">
            <v>NA</v>
          </cell>
          <cell r="DN389" t="str">
            <v>NA</v>
          </cell>
          <cell r="DO389" t="str">
            <v>NA</v>
          </cell>
        </row>
        <row r="390">
          <cell r="A390" t="str">
            <v>% growth seq</v>
          </cell>
          <cell r="B390"/>
          <cell r="C390" t="str">
            <v>NA</v>
          </cell>
          <cell r="D390" t="str">
            <v>NA</v>
          </cell>
          <cell r="E390" t="str">
            <v>NA</v>
          </cell>
          <cell r="F390" t="str">
            <v>NA</v>
          </cell>
          <cell r="G390" t="str">
            <v>NA</v>
          </cell>
          <cell r="H390" t="str">
            <v>NA</v>
          </cell>
          <cell r="I390" t="str">
            <v>NA</v>
          </cell>
          <cell r="J390" t="str">
            <v>NA</v>
          </cell>
          <cell r="K390" t="str">
            <v>NA</v>
          </cell>
          <cell r="L390" t="str">
            <v>NA</v>
          </cell>
          <cell r="M390" t="str">
            <v>NA</v>
          </cell>
          <cell r="N390" t="str">
            <v>NA</v>
          </cell>
          <cell r="O390" t="str">
            <v>NA</v>
          </cell>
          <cell r="P390" t="str">
            <v>NA</v>
          </cell>
          <cell r="Q390" t="str">
            <v>NA</v>
          </cell>
          <cell r="R390" t="str">
            <v>NA</v>
          </cell>
          <cell r="S390" t="str">
            <v>NA</v>
          </cell>
          <cell r="T390" t="str">
            <v>NA</v>
          </cell>
          <cell r="U390" t="str">
            <v>NA</v>
          </cell>
          <cell r="V390" t="str">
            <v>NA</v>
          </cell>
          <cell r="W390" t="str">
            <v>NA</v>
          </cell>
          <cell r="X390" t="str">
            <v>NA</v>
          </cell>
          <cell r="Y390" t="str">
            <v>NA</v>
          </cell>
          <cell r="Z390" t="str">
            <v>NA</v>
          </cell>
          <cell r="AA390" t="str">
            <v>NA</v>
          </cell>
          <cell r="AB390" t="str">
            <v>NA</v>
          </cell>
          <cell r="AC390" t="str">
            <v>NA</v>
          </cell>
          <cell r="AD390" t="str">
            <v>NA</v>
          </cell>
          <cell r="AE390" t="str">
            <v>NA</v>
          </cell>
          <cell r="AF390" t="str">
            <v>NA</v>
          </cell>
          <cell r="AG390" t="str">
            <v>NA</v>
          </cell>
          <cell r="AH390" t="str">
            <v>NA</v>
          </cell>
          <cell r="AI390" t="str">
            <v>NA</v>
          </cell>
          <cell r="AJ390" t="str">
            <v>NA</v>
          </cell>
          <cell r="AK390" t="str">
            <v>NA</v>
          </cell>
          <cell r="AL390" t="str">
            <v>NA</v>
          </cell>
          <cell r="AM390" t="str">
            <v>NA</v>
          </cell>
          <cell r="AN390" t="str">
            <v>NA</v>
          </cell>
          <cell r="AO390" t="str">
            <v>NA</v>
          </cell>
          <cell r="AP390" t="str">
            <v>NA</v>
          </cell>
          <cell r="AQ390" t="str">
            <v>NA</v>
          </cell>
          <cell r="AR390" t="str">
            <v>NA</v>
          </cell>
          <cell r="AS390" t="str">
            <v>NA</v>
          </cell>
          <cell r="AT390" t="str">
            <v>NA</v>
          </cell>
          <cell r="AU390" t="str">
            <v>NA</v>
          </cell>
          <cell r="AV390" t="str">
            <v>NA</v>
          </cell>
          <cell r="AW390" t="str">
            <v>NA</v>
          </cell>
          <cell r="AX390" t="str">
            <v>NA</v>
          </cell>
          <cell r="AY390" t="str">
            <v>NA</v>
          </cell>
          <cell r="AZ390" t="str">
            <v>NA</v>
          </cell>
          <cell r="BA390" t="str">
            <v>NA</v>
          </cell>
          <cell r="BB390" t="str">
            <v>NA</v>
          </cell>
          <cell r="BC390" t="str">
            <v>NA</v>
          </cell>
          <cell r="BD390" t="str">
            <v>NA</v>
          </cell>
          <cell r="BE390" t="str">
            <v>NA</v>
          </cell>
          <cell r="BF390" t="str">
            <v>NA</v>
          </cell>
          <cell r="BG390" t="str">
            <v>NA</v>
          </cell>
          <cell r="BH390" t="str">
            <v>NA</v>
          </cell>
          <cell r="BI390" t="str">
            <v>NA</v>
          </cell>
          <cell r="BJ390" t="str">
            <v>NA</v>
          </cell>
          <cell r="BK390" t="str">
            <v>NA</v>
          </cell>
          <cell r="BL390" t="str">
            <v>NA</v>
          </cell>
          <cell r="BM390" t="str">
            <v>NA</v>
          </cell>
          <cell r="BN390" t="str">
            <v>NA</v>
          </cell>
          <cell r="BO390" t="str">
            <v>NA</v>
          </cell>
          <cell r="BP390" t="str">
            <v>NA</v>
          </cell>
          <cell r="BQ390" t="str">
            <v>NA</v>
          </cell>
          <cell r="BR390" t="str">
            <v>NA</v>
          </cell>
          <cell r="BS390" t="str">
            <v>NA</v>
          </cell>
          <cell r="BT390" t="str">
            <v>NA</v>
          </cell>
          <cell r="BU390" t="str">
            <v>NA</v>
          </cell>
          <cell r="BV390" t="str">
            <v>NA</v>
          </cell>
          <cell r="BW390" t="str">
            <v>NA</v>
          </cell>
          <cell r="BX390" t="str">
            <v>NA</v>
          </cell>
          <cell r="BY390" t="str">
            <v>NA</v>
          </cell>
          <cell r="BZ390">
            <v>2.9044780561690162</v>
          </cell>
          <cell r="CA390">
            <v>0.33954440176771405</v>
          </cell>
          <cell r="CB390">
            <v>1.2476784598880464E-3</v>
          </cell>
          <cell r="CC390">
            <v>9.2125374213499978E-2</v>
          </cell>
          <cell r="CD390">
            <v>6.0675072560956167E-4</v>
          </cell>
          <cell r="CE390">
            <v>0.46566447652953857</v>
          </cell>
          <cell r="CF390">
            <v>0.15025111430521565</v>
          </cell>
          <cell r="CG390">
            <v>6.0492199557033777E-2</v>
          </cell>
          <cell r="CH390">
            <v>0.58302755434330322</v>
          </cell>
          <cell r="CI390">
            <v>0.4147588187252389</v>
          </cell>
          <cell r="CJ390">
            <v>0.51587679869561409</v>
          </cell>
          <cell r="CK390">
            <v>0.38217743487957745</v>
          </cell>
          <cell r="CL390">
            <v>0.55536666120293865</v>
          </cell>
          <cell r="CM390">
            <v>0.20368930439784783</v>
          </cell>
          <cell r="CN390">
            <v>0.21333279266065364</v>
          </cell>
          <cell r="CO390">
            <v>0.14081645551073185</v>
          </cell>
          <cell r="CP390">
            <v>0.31881838608461477</v>
          </cell>
          <cell r="CQ390">
            <v>0.11616140480092119</v>
          </cell>
          <cell r="CR390">
            <v>0.13282480730153989</v>
          </cell>
          <cell r="CS390">
            <v>9.269689521318325E-2</v>
          </cell>
          <cell r="CT390">
            <v>0.22905898362194077</v>
          </cell>
          <cell r="CU390">
            <v>8.1613405172909825E-2</v>
          </cell>
          <cell r="CV390">
            <v>9.7852441223650333E-2</v>
          </cell>
          <cell r="CW390">
            <v>6.9408782562289328E-2</v>
          </cell>
          <cell r="CX390">
            <v>0.18320283377475843</v>
          </cell>
          <cell r="CY390">
            <v>5.6609484507187169E-2</v>
          </cell>
          <cell r="CZ390">
            <v>7.0907217549637025E-2</v>
          </cell>
          <cell r="DA390">
            <v>5.0399596358460697E-2</v>
          </cell>
          <cell r="DB390">
            <v>0.14380031343226607</v>
          </cell>
          <cell r="DC390"/>
          <cell r="DD390"/>
          <cell r="DE390"/>
          <cell r="DF390"/>
          <cell r="DG390"/>
          <cell r="DH390"/>
          <cell r="DI390"/>
          <cell r="DJ390"/>
          <cell r="DK390"/>
          <cell r="DL390"/>
          <cell r="DM390"/>
          <cell r="DN390"/>
          <cell r="DO390"/>
        </row>
        <row r="391">
          <cell r="A391"/>
          <cell r="B391"/>
          <cell r="C391"/>
          <cell r="D391"/>
          <cell r="E391"/>
          <cell r="F391"/>
          <cell r="G391"/>
          <cell r="H391"/>
          <cell r="I391"/>
          <cell r="J391"/>
          <cell r="K391"/>
          <cell r="L391"/>
          <cell r="M391"/>
          <cell r="N391"/>
          <cell r="O391"/>
          <cell r="P391"/>
          <cell r="Q391"/>
          <cell r="R391"/>
          <cell r="S391"/>
          <cell r="T391"/>
          <cell r="U391"/>
          <cell r="V391"/>
          <cell r="W391"/>
          <cell r="X391"/>
          <cell r="Y391"/>
          <cell r="Z391"/>
          <cell r="AA391"/>
          <cell r="AB391"/>
          <cell r="AC391"/>
          <cell r="AD391"/>
          <cell r="AE391"/>
          <cell r="AF391"/>
          <cell r="AG391"/>
          <cell r="AH391"/>
          <cell r="AI391"/>
          <cell r="AJ391"/>
          <cell r="AK391"/>
          <cell r="AL391"/>
          <cell r="AM391"/>
          <cell r="AN391"/>
          <cell r="AO391"/>
          <cell r="AP391"/>
          <cell r="AQ391"/>
          <cell r="AR391"/>
          <cell r="AS391"/>
          <cell r="AT391"/>
          <cell r="AU391"/>
          <cell r="AV391"/>
          <cell r="AW391"/>
          <cell r="AX391"/>
          <cell r="AY391"/>
          <cell r="AZ391"/>
          <cell r="BA391"/>
          <cell r="BB391"/>
          <cell r="BC391"/>
          <cell r="BD391"/>
          <cell r="BE391"/>
          <cell r="BF391"/>
          <cell r="BG391"/>
          <cell r="BH391"/>
          <cell r="BI391"/>
          <cell r="BJ391"/>
          <cell r="BK391"/>
          <cell r="BL391"/>
          <cell r="BM391"/>
          <cell r="BN391"/>
          <cell r="BO391"/>
          <cell r="BP391"/>
          <cell r="BQ391"/>
          <cell r="BR391"/>
          <cell r="BS391"/>
          <cell r="BT391"/>
          <cell r="BU391"/>
          <cell r="BV391"/>
          <cell r="BW391"/>
          <cell r="BX391"/>
          <cell r="BY391"/>
          <cell r="BZ391"/>
          <cell r="CA391"/>
          <cell r="CB391"/>
          <cell r="CC391"/>
          <cell r="CD391"/>
          <cell r="CE391"/>
          <cell r="CF391"/>
          <cell r="CG391"/>
          <cell r="CH391"/>
          <cell r="CI391"/>
          <cell r="CJ391"/>
          <cell r="CK391"/>
          <cell r="CL391"/>
          <cell r="CM391"/>
          <cell r="CN391"/>
          <cell r="CO391"/>
          <cell r="CP391"/>
          <cell r="CQ391"/>
          <cell r="CR391"/>
          <cell r="CS391"/>
          <cell r="CT391"/>
          <cell r="CU391"/>
          <cell r="CV391"/>
          <cell r="CW391"/>
          <cell r="CX391"/>
          <cell r="CY391"/>
          <cell r="CZ391"/>
          <cell r="DA391"/>
          <cell r="DB391"/>
          <cell r="DC391"/>
          <cell r="DD391"/>
          <cell r="DE391"/>
          <cell r="DF391"/>
          <cell r="DG391"/>
          <cell r="DH391"/>
          <cell r="DI391"/>
          <cell r="DJ391"/>
          <cell r="DK391"/>
          <cell r="DL391"/>
          <cell r="DM391"/>
          <cell r="DN391"/>
          <cell r="DO391"/>
        </row>
        <row r="392">
          <cell r="A392" t="str">
            <v>Citrix Cloud Incremental ARR</v>
          </cell>
          <cell r="B392"/>
          <cell r="C392"/>
          <cell r="D392"/>
          <cell r="E392"/>
          <cell r="F392"/>
          <cell r="G392"/>
          <cell r="H392"/>
          <cell r="I392"/>
          <cell r="J392"/>
          <cell r="K392"/>
          <cell r="L392"/>
          <cell r="M392"/>
          <cell r="N392"/>
          <cell r="O392"/>
          <cell r="P392"/>
          <cell r="Q392"/>
          <cell r="R392"/>
          <cell r="S392"/>
          <cell r="T392"/>
          <cell r="U392"/>
          <cell r="V392"/>
          <cell r="W392"/>
          <cell r="X392"/>
          <cell r="Y392"/>
          <cell r="Z392"/>
          <cell r="AA392"/>
          <cell r="AB392"/>
          <cell r="AC392"/>
          <cell r="AD392"/>
          <cell r="AE392"/>
          <cell r="AF392"/>
          <cell r="AG392"/>
          <cell r="AH392"/>
          <cell r="AI392"/>
          <cell r="AJ392"/>
          <cell r="AK392"/>
          <cell r="AL392"/>
          <cell r="AM392"/>
          <cell r="AN392"/>
          <cell r="AO392"/>
          <cell r="AP392"/>
          <cell r="AQ392"/>
          <cell r="AR392"/>
          <cell r="AS392"/>
          <cell r="AT392"/>
          <cell r="AU392"/>
          <cell r="AV392"/>
          <cell r="AW392"/>
          <cell r="AX392"/>
          <cell r="AY392"/>
          <cell r="AZ392"/>
          <cell r="BA392"/>
          <cell r="BB392"/>
          <cell r="BC392"/>
          <cell r="BD392"/>
          <cell r="BE392"/>
          <cell r="BF392"/>
          <cell r="BG392"/>
          <cell r="BH392"/>
          <cell r="BI392"/>
          <cell r="BJ392"/>
          <cell r="BK392"/>
          <cell r="BL392"/>
          <cell r="BM392"/>
          <cell r="BN392"/>
          <cell r="BO392"/>
          <cell r="BP392"/>
          <cell r="BQ392"/>
          <cell r="BR392"/>
          <cell r="BS392">
            <v>0</v>
          </cell>
          <cell r="BT392">
            <v>0</v>
          </cell>
          <cell r="BU392">
            <v>2</v>
          </cell>
          <cell r="BV392">
            <v>5.8089561123380324</v>
          </cell>
          <cell r="BW392">
            <v>2.6514873315941507</v>
          </cell>
          <cell r="BX392">
            <v>1.3051269965870915E-2</v>
          </cell>
          <cell r="BY392">
            <v>0.96487461984097145</v>
          </cell>
          <cell r="BZ392">
            <v>6.9402388930370762E-3</v>
          </cell>
          <cell r="CA392">
            <v>5.3296740908582265</v>
          </cell>
          <cell r="CB392">
            <v>2.5204599878912042</v>
          </cell>
          <cell r="CC392">
            <v>1.1672238279008695</v>
          </cell>
          <cell r="CD392">
            <v>11.93029897578624</v>
          </cell>
          <cell r="CE392">
            <v>13.435268501910542</v>
          </cell>
          <cell r="CF392">
            <v>23.641723139476838</v>
          </cell>
          <cell r="CG392">
            <v>26.549850386495294</v>
          </cell>
          <cell r="CH392">
            <v>53.32620044652225</v>
          </cell>
          <cell r="CI392">
            <v>31.565890547363733</v>
          </cell>
          <cell r="CJ392">
            <v>40.086773059696469</v>
          </cell>
          <cell r="CK392">
            <v>33.114847879430997</v>
          </cell>
          <cell r="CL392">
            <v>83.06541107952313</v>
          </cell>
          <cell r="CM392">
            <v>42.613952238941039</v>
          </cell>
          <cell r="CN392">
            <v>54.104258596392469</v>
          </cell>
          <cell r="CO392">
            <v>44.683809741029158</v>
          </cell>
          <cell r="CP392">
            <v>112.05860599455733</v>
          </cell>
          <cell r="CQ392">
            <v>54.636210981334663</v>
          </cell>
          <cell r="CR392">
            <v>69.35196171826783</v>
          </cell>
          <cell r="CS392">
            <v>57.263319385957892</v>
          </cell>
          <cell r="CT392">
            <v>143.5724288552633</v>
          </cell>
          <cell r="CU392">
            <v>62.466155315115344</v>
          </cell>
          <cell r="CV392">
            <v>79.272657371481884</v>
          </cell>
          <cell r="CW392">
            <v>65.439824230431256</v>
          </cell>
          <cell r="CX392">
            <v>164.03558196476638</v>
          </cell>
          <cell r="CY392">
            <v>65.407133140363754</v>
          </cell>
          <cell r="CZ392">
            <v>82.986243243230291</v>
          </cell>
          <cell r="DA392">
            <v>68.490072988274136</v>
          </cell>
          <cell r="DB392">
            <v>171.64329774539505</v>
          </cell>
          <cell r="DC392"/>
          <cell r="DD392"/>
          <cell r="DE392">
            <v>0</v>
          </cell>
          <cell r="DF392">
            <v>0</v>
          </cell>
          <cell r="DG392">
            <v>0</v>
          </cell>
          <cell r="DH392">
            <v>0</v>
          </cell>
          <cell r="DI392">
            <v>0</v>
          </cell>
          <cell r="DJ392">
            <v>0</v>
          </cell>
          <cell r="DK392">
            <v>0</v>
          </cell>
          <cell r="DL392">
            <v>0</v>
          </cell>
          <cell r="DM392">
            <v>0</v>
          </cell>
          <cell r="DN392">
            <v>0</v>
          </cell>
          <cell r="DO392">
            <v>0</v>
          </cell>
        </row>
        <row r="393">
          <cell r="A393" t="str">
            <v>% growth y-o-y</v>
          </cell>
          <cell r="B393"/>
          <cell r="C393" t="str">
            <v>NA</v>
          </cell>
          <cell r="D393" t="str">
            <v>NA</v>
          </cell>
          <cell r="E393" t="str">
            <v>NA</v>
          </cell>
          <cell r="F393" t="str">
            <v>NA</v>
          </cell>
          <cell r="G393" t="str">
            <v>NA</v>
          </cell>
          <cell r="H393" t="str">
            <v>NA</v>
          </cell>
          <cell r="I393" t="str">
            <v>NA</v>
          </cell>
          <cell r="J393" t="str">
            <v>NA</v>
          </cell>
          <cell r="K393" t="str">
            <v>NA</v>
          </cell>
          <cell r="L393" t="str">
            <v>NA</v>
          </cell>
          <cell r="M393" t="str">
            <v>NA</v>
          </cell>
          <cell r="N393" t="str">
            <v>NA</v>
          </cell>
          <cell r="O393" t="str">
            <v>NA</v>
          </cell>
          <cell r="P393" t="str">
            <v>NA</v>
          </cell>
          <cell r="Q393" t="str">
            <v>NA</v>
          </cell>
          <cell r="R393" t="str">
            <v>NA</v>
          </cell>
          <cell r="S393" t="str">
            <v>NA</v>
          </cell>
          <cell r="T393" t="str">
            <v>NA</v>
          </cell>
          <cell r="U393" t="str">
            <v>NA</v>
          </cell>
          <cell r="V393" t="str">
            <v>NA</v>
          </cell>
          <cell r="W393" t="str">
            <v>NA</v>
          </cell>
          <cell r="X393" t="str">
            <v>NA</v>
          </cell>
          <cell r="Y393" t="str">
            <v>NA</v>
          </cell>
          <cell r="Z393" t="str">
            <v>NA</v>
          </cell>
          <cell r="AA393" t="str">
            <v>NA</v>
          </cell>
          <cell r="AB393" t="str">
            <v>NA</v>
          </cell>
          <cell r="AC393" t="str">
            <v>NA</v>
          </cell>
          <cell r="AD393" t="str">
            <v>NA</v>
          </cell>
          <cell r="AE393" t="str">
            <v>NA</v>
          </cell>
          <cell r="AF393" t="str">
            <v>NA</v>
          </cell>
          <cell r="AG393" t="str">
            <v>NA</v>
          </cell>
          <cell r="AH393" t="str">
            <v>NA</v>
          </cell>
          <cell r="AI393" t="str">
            <v>NA</v>
          </cell>
          <cell r="AJ393" t="str">
            <v>NA</v>
          </cell>
          <cell r="AK393" t="str">
            <v>NA</v>
          </cell>
          <cell r="AL393" t="str">
            <v>NA</v>
          </cell>
          <cell r="AM393" t="str">
            <v>NA</v>
          </cell>
          <cell r="AN393" t="str">
            <v>NA</v>
          </cell>
          <cell r="AO393" t="str">
            <v>NA</v>
          </cell>
          <cell r="AP393" t="str">
            <v>NA</v>
          </cell>
          <cell r="AQ393" t="str">
            <v>NA</v>
          </cell>
          <cell r="AR393" t="str">
            <v>NA</v>
          </cell>
          <cell r="AS393" t="str">
            <v>NA</v>
          </cell>
          <cell r="AT393" t="str">
            <v>NA</v>
          </cell>
          <cell r="AU393" t="str">
            <v>NA</v>
          </cell>
          <cell r="AV393" t="str">
            <v>NA</v>
          </cell>
          <cell r="AW393" t="str">
            <v>NA</v>
          </cell>
          <cell r="AX393" t="str">
            <v>NA</v>
          </cell>
          <cell r="AY393" t="str">
            <v>NA</v>
          </cell>
          <cell r="AZ393" t="str">
            <v>NA</v>
          </cell>
          <cell r="BA393" t="str">
            <v>NA</v>
          </cell>
          <cell r="BB393" t="str">
            <v>NA</v>
          </cell>
          <cell r="BC393" t="str">
            <v>NA</v>
          </cell>
          <cell r="BD393" t="str">
            <v>NA</v>
          </cell>
          <cell r="BE393" t="str">
            <v>NA</v>
          </cell>
          <cell r="BF393" t="str">
            <v>NA</v>
          </cell>
          <cell r="BG393" t="str">
            <v>NA</v>
          </cell>
          <cell r="BH393" t="str">
            <v>NA</v>
          </cell>
          <cell r="BI393" t="str">
            <v>NA</v>
          </cell>
          <cell r="BJ393" t="str">
            <v>NA</v>
          </cell>
          <cell r="BK393" t="str">
            <v>NA</v>
          </cell>
          <cell r="BL393" t="str">
            <v>NA</v>
          </cell>
          <cell r="BM393" t="str">
            <v>NA</v>
          </cell>
          <cell r="BN393" t="str">
            <v>NA</v>
          </cell>
          <cell r="BO393" t="str">
            <v>NA</v>
          </cell>
          <cell r="BP393" t="str">
            <v>NA</v>
          </cell>
          <cell r="BQ393" t="str">
            <v>NA</v>
          </cell>
          <cell r="BR393" t="str">
            <v>NA</v>
          </cell>
          <cell r="BS393" t="str">
            <v>NA</v>
          </cell>
          <cell r="BT393" t="str">
            <v>NA</v>
          </cell>
          <cell r="BU393" t="str">
            <v>NA</v>
          </cell>
          <cell r="BV393" t="str">
            <v>NA</v>
          </cell>
          <cell r="BW393" t="str">
            <v>NA</v>
          </cell>
          <cell r="BX393" t="str">
            <v>NA</v>
          </cell>
          <cell r="BY393">
            <v>-0.51756269007951428</v>
          </cell>
          <cell r="BZ393">
            <v>-0.99880525196630487</v>
          </cell>
          <cell r="CA393">
            <v>1.0100696040866515</v>
          </cell>
          <cell r="CB393">
            <v>192.11990285100299</v>
          </cell>
          <cell r="CC393">
            <v>0.20971554635072565</v>
          </cell>
          <cell r="CD393">
            <v>1718.004080357455</v>
          </cell>
          <cell r="CE393">
            <v>1.5208424141647821</v>
          </cell>
          <cell r="CF393">
            <v>8.3799240031805393</v>
          </cell>
          <cell r="CG393">
            <v>21.746151810696354</v>
          </cell>
          <cell r="CH393">
            <v>3.4698125801166606</v>
          </cell>
          <cell r="CI393">
            <v>1.3494796953909001</v>
          </cell>
          <cell r="CJ393">
            <v>0.69559438722805123</v>
          </cell>
          <cell r="CK393">
            <v>0.24727060218294183</v>
          </cell>
          <cell r="CL393">
            <v>0.55768478503966556</v>
          </cell>
          <cell r="CM393">
            <v>0.35000000000000009</v>
          </cell>
          <cell r="CN393">
            <v>0.34967857142857128</v>
          </cell>
          <cell r="CO393">
            <v>0.34935874999999994</v>
          </cell>
          <cell r="CP393">
            <v>0.3490405276785713</v>
          </cell>
          <cell r="CQ393">
            <v>0.28212024726041651</v>
          </cell>
          <cell r="CR393">
            <v>0.28182075713522559</v>
          </cell>
          <cell r="CS393">
            <v>0.28152276446066082</v>
          </cell>
          <cell r="CT393">
            <v>0.28122626174946874</v>
          </cell>
          <cell r="CU393">
            <v>0.14331052964956914</v>
          </cell>
          <cell r="CV393">
            <v>0.14304852245586686</v>
          </cell>
          <cell r="CW393">
            <v>0.14278782529813316</v>
          </cell>
          <cell r="CX393">
            <v>0.14252843162618767</v>
          </cell>
          <cell r="CY393">
            <v>4.7081140345718753E-2</v>
          </cell>
          <cell r="CZ393">
            <v>4.6845734643990333E-2</v>
          </cell>
          <cell r="DA393">
            <v>4.6611505970769906E-2</v>
          </cell>
          <cell r="DB393">
            <v>4.6378448440916653E-2</v>
          </cell>
          <cell r="DC393"/>
          <cell r="DD393" t="str">
            <v>NA</v>
          </cell>
          <cell r="DE393" t="str">
            <v>NA</v>
          </cell>
          <cell r="DF393" t="str">
            <v>NA</v>
          </cell>
          <cell r="DG393" t="str">
            <v>NA</v>
          </cell>
          <cell r="DH393" t="str">
            <v>NA</v>
          </cell>
          <cell r="DI393" t="str">
            <v>NA</v>
          </cell>
          <cell r="DJ393" t="str">
            <v>NA</v>
          </cell>
          <cell r="DK393" t="str">
            <v>NA</v>
          </cell>
          <cell r="DL393" t="str">
            <v>NA</v>
          </cell>
          <cell r="DM393" t="str">
            <v>NA</v>
          </cell>
          <cell r="DN393" t="str">
            <v>NA</v>
          </cell>
          <cell r="DO393" t="str">
            <v>NA</v>
          </cell>
        </row>
        <row r="394">
          <cell r="A394" t="str">
            <v>% growth seq</v>
          </cell>
          <cell r="B394"/>
          <cell r="C394" t="str">
            <v>NA</v>
          </cell>
          <cell r="D394" t="str">
            <v>NA</v>
          </cell>
          <cell r="E394" t="str">
            <v>NA</v>
          </cell>
          <cell r="F394" t="str">
            <v>NA</v>
          </cell>
          <cell r="G394" t="str">
            <v>NA</v>
          </cell>
          <cell r="H394" t="str">
            <v>NA</v>
          </cell>
          <cell r="I394" t="str">
            <v>NA</v>
          </cell>
          <cell r="J394" t="str">
            <v>NA</v>
          </cell>
          <cell r="K394" t="str">
            <v>NA</v>
          </cell>
          <cell r="L394" t="str">
            <v>NA</v>
          </cell>
          <cell r="M394" t="str">
            <v>NA</v>
          </cell>
          <cell r="N394" t="str">
            <v>NA</v>
          </cell>
          <cell r="O394" t="str">
            <v>NA</v>
          </cell>
          <cell r="P394" t="str">
            <v>NA</v>
          </cell>
          <cell r="Q394" t="str">
            <v>NA</v>
          </cell>
          <cell r="R394" t="str">
            <v>NA</v>
          </cell>
          <cell r="S394" t="str">
            <v>NA</v>
          </cell>
          <cell r="T394" t="str">
            <v>NA</v>
          </cell>
          <cell r="U394" t="str">
            <v>NA</v>
          </cell>
          <cell r="V394" t="str">
            <v>NA</v>
          </cell>
          <cell r="W394" t="str">
            <v>NA</v>
          </cell>
          <cell r="X394" t="str">
            <v>NA</v>
          </cell>
          <cell r="Y394" t="str">
            <v>NA</v>
          </cell>
          <cell r="Z394" t="str">
            <v>NA</v>
          </cell>
          <cell r="AA394" t="str">
            <v>NA</v>
          </cell>
          <cell r="AB394" t="str">
            <v>NA</v>
          </cell>
          <cell r="AC394" t="str">
            <v>NA</v>
          </cell>
          <cell r="AD394" t="str">
            <v>NA</v>
          </cell>
          <cell r="AE394" t="str">
            <v>NA</v>
          </cell>
          <cell r="AF394" t="str">
            <v>NA</v>
          </cell>
          <cell r="AG394" t="str">
            <v>NA</v>
          </cell>
          <cell r="AH394" t="str">
            <v>NA</v>
          </cell>
          <cell r="AI394" t="str">
            <v>NA</v>
          </cell>
          <cell r="AJ394" t="str">
            <v>NA</v>
          </cell>
          <cell r="AK394" t="str">
            <v>NA</v>
          </cell>
          <cell r="AL394" t="str">
            <v>NA</v>
          </cell>
          <cell r="AM394" t="str">
            <v>NA</v>
          </cell>
          <cell r="AN394" t="str">
            <v>NA</v>
          </cell>
          <cell r="AO394" t="str">
            <v>NA</v>
          </cell>
          <cell r="AP394" t="str">
            <v>NA</v>
          </cell>
          <cell r="AQ394" t="str">
            <v>NA</v>
          </cell>
          <cell r="AR394" t="str">
            <v>NA</v>
          </cell>
          <cell r="AS394" t="str">
            <v>NA</v>
          </cell>
          <cell r="AT394" t="str">
            <v>NA</v>
          </cell>
          <cell r="AU394" t="str">
            <v>NA</v>
          </cell>
          <cell r="AV394" t="str">
            <v>NA</v>
          </cell>
          <cell r="AW394" t="str">
            <v>NA</v>
          </cell>
          <cell r="AX394" t="str">
            <v>NA</v>
          </cell>
          <cell r="AY394" t="str">
            <v>NA</v>
          </cell>
          <cell r="AZ394" t="str">
            <v>NA</v>
          </cell>
          <cell r="BA394" t="str">
            <v>NA</v>
          </cell>
          <cell r="BB394" t="str">
            <v>NA</v>
          </cell>
          <cell r="BC394" t="str">
            <v>NA</v>
          </cell>
          <cell r="BD394" t="str">
            <v>NA</v>
          </cell>
          <cell r="BE394" t="str">
            <v>NA</v>
          </cell>
          <cell r="BF394" t="str">
            <v>NA</v>
          </cell>
          <cell r="BG394" t="str">
            <v>NA</v>
          </cell>
          <cell r="BH394" t="str">
            <v>NA</v>
          </cell>
          <cell r="BI394" t="str">
            <v>NA</v>
          </cell>
          <cell r="BJ394" t="str">
            <v>NA</v>
          </cell>
          <cell r="BK394" t="str">
            <v>NA</v>
          </cell>
          <cell r="BL394" t="str">
            <v>NA</v>
          </cell>
          <cell r="BM394" t="str">
            <v>NA</v>
          </cell>
          <cell r="BN394" t="str">
            <v>NA</v>
          </cell>
          <cell r="BO394" t="str">
            <v>NA</v>
          </cell>
          <cell r="BP394" t="str">
            <v>NA</v>
          </cell>
          <cell r="BQ394" t="str">
            <v>NA</v>
          </cell>
          <cell r="BR394" t="str">
            <v>NA</v>
          </cell>
          <cell r="BS394" t="str">
            <v>NA</v>
          </cell>
          <cell r="BT394" t="str">
            <v>NA</v>
          </cell>
          <cell r="BU394" t="str">
            <v>NA</v>
          </cell>
          <cell r="BV394">
            <v>1.9044780561690162</v>
          </cell>
          <cell r="BW394">
            <v>-0.54355183955298292</v>
          </cell>
          <cell r="BX394">
            <v>-0.9950777551111194</v>
          </cell>
          <cell r="BY394">
            <v>72.929557994288643</v>
          </cell>
          <cell r="BZ394">
            <v>-0.99280710804251338</v>
          </cell>
          <cell r="CA394">
            <v>766.93813195757878</v>
          </cell>
          <cell r="CB394">
            <v>-0.52708928446216874</v>
          </cell>
          <cell r="CC394">
            <v>-0.53690047312456968</v>
          </cell>
          <cell r="CD394">
            <v>9.2210892980497494</v>
          </cell>
          <cell r="CE394">
            <v>0.12614684084437378</v>
          </cell>
          <cell r="CF394">
            <v>0.75967626818287282</v>
          </cell>
          <cell r="CG394">
            <v>0.12300826085567684</v>
          </cell>
          <cell r="CH394">
            <v>1.008531109224136</v>
          </cell>
          <cell r="CI394">
            <v>-0.40806038526935118</v>
          </cell>
          <cell r="CJ394">
            <v>0.26993955705280648</v>
          </cell>
          <cell r="CK394">
            <v>-0.17392083842426065</v>
          </cell>
          <cell r="CL394">
            <v>1.5084038248328628</v>
          </cell>
          <cell r="CM394">
            <v>-0.48698318969198462</v>
          </cell>
          <cell r="CN394">
            <v>0.26963719049160328</v>
          </cell>
          <cell r="CO394">
            <v>-0.17411658711818001</v>
          </cell>
          <cell r="CP394">
            <v>1.5078122622938279</v>
          </cell>
          <cell r="CQ394">
            <v>-0.51243181640160385</v>
          </cell>
          <cell r="CR394">
            <v>0.26934061628029982</v>
          </cell>
          <cell r="CS394">
            <v>-0.17430858526278281</v>
          </cell>
          <cell r="CT394">
            <v>1.5072320360539582</v>
          </cell>
          <cell r="CU394">
            <v>-0.56491538233926475</v>
          </cell>
          <cell r="CV394">
            <v>0.26904972735371402</v>
          </cell>
          <cell r="CW394">
            <v>-0.17449690220712788</v>
          </cell>
          <cell r="CX394">
            <v>1.5066629364277153</v>
          </cell>
          <cell r="CY394">
            <v>-0.60126252879443731</v>
          </cell>
          <cell r="CZ394">
            <v>0.26876441847927746</v>
          </cell>
          <cell r="DA394">
            <v>-0.1746816061123323</v>
          </cell>
          <cell r="DB394">
            <v>1.5061047573241932</v>
          </cell>
          <cell r="DC394"/>
          <cell r="DD394"/>
          <cell r="DE394"/>
          <cell r="DF394"/>
          <cell r="DG394"/>
          <cell r="DH394"/>
          <cell r="DI394"/>
          <cell r="DJ394"/>
          <cell r="DK394"/>
          <cell r="DL394"/>
          <cell r="DM394"/>
          <cell r="DN394"/>
          <cell r="DO394"/>
        </row>
        <row r="395">
          <cell r="A395"/>
          <cell r="B395"/>
          <cell r="C395"/>
          <cell r="D395"/>
          <cell r="E395"/>
          <cell r="F395"/>
          <cell r="G395"/>
          <cell r="H395"/>
          <cell r="I395"/>
          <cell r="J395"/>
          <cell r="K395"/>
          <cell r="L395"/>
          <cell r="M395"/>
          <cell r="N395"/>
          <cell r="O395"/>
          <cell r="P395"/>
          <cell r="Q395"/>
          <cell r="R395"/>
          <cell r="S395"/>
          <cell r="T395"/>
          <cell r="U395"/>
          <cell r="V395"/>
          <cell r="W395"/>
          <cell r="X395"/>
          <cell r="Y395"/>
          <cell r="Z395"/>
          <cell r="AA395"/>
          <cell r="AB395"/>
          <cell r="AC395"/>
          <cell r="AD395"/>
          <cell r="AE395"/>
          <cell r="AF395"/>
          <cell r="AG395"/>
          <cell r="AH395"/>
          <cell r="AI395"/>
          <cell r="AJ395"/>
          <cell r="AK395"/>
          <cell r="AL395"/>
          <cell r="AM395"/>
          <cell r="AN395"/>
          <cell r="AO395"/>
          <cell r="AP395"/>
          <cell r="AQ395"/>
          <cell r="AR395"/>
          <cell r="AS395"/>
          <cell r="AT395"/>
          <cell r="AU395"/>
          <cell r="AV395"/>
          <cell r="AW395"/>
          <cell r="AX395"/>
          <cell r="AY395"/>
          <cell r="AZ395"/>
          <cell r="BA395"/>
          <cell r="BB395"/>
          <cell r="BC395"/>
          <cell r="BD395"/>
          <cell r="BE395"/>
          <cell r="BF395"/>
          <cell r="BG395"/>
          <cell r="BH395"/>
          <cell r="BI395"/>
          <cell r="BJ395"/>
          <cell r="BK395"/>
          <cell r="BL395"/>
          <cell r="BM395"/>
          <cell r="BN395"/>
          <cell r="BO395"/>
          <cell r="BP395"/>
          <cell r="BQ395"/>
          <cell r="BR395"/>
          <cell r="BS395"/>
          <cell r="BT395"/>
          <cell r="BU395"/>
          <cell r="BV395"/>
          <cell r="BW395"/>
          <cell r="BX395"/>
          <cell r="BY395"/>
          <cell r="BZ395"/>
          <cell r="CA395"/>
          <cell r="CB395"/>
          <cell r="CC395"/>
          <cell r="CD395"/>
          <cell r="CE395"/>
          <cell r="CF395"/>
          <cell r="CG395"/>
          <cell r="CH395"/>
          <cell r="CI395"/>
          <cell r="CJ395"/>
          <cell r="CK395"/>
          <cell r="CL395"/>
          <cell r="CM395"/>
          <cell r="CN395"/>
          <cell r="CO395"/>
          <cell r="CP395"/>
          <cell r="CQ395"/>
          <cell r="CR395"/>
          <cell r="CS395"/>
          <cell r="CT395"/>
          <cell r="CU395"/>
          <cell r="CV395"/>
          <cell r="CW395"/>
          <cell r="CX395"/>
          <cell r="CY395"/>
          <cell r="CZ395"/>
          <cell r="DA395"/>
          <cell r="DB395"/>
          <cell r="DC395"/>
          <cell r="DD395"/>
          <cell r="DE395"/>
          <cell r="DF395"/>
          <cell r="DG395"/>
          <cell r="DH395"/>
          <cell r="DI395"/>
          <cell r="DJ395"/>
          <cell r="DK395"/>
          <cell r="DL395"/>
          <cell r="DM395"/>
          <cell r="DN395"/>
          <cell r="DO395"/>
        </row>
        <row r="396">
          <cell r="A396" t="str">
            <v>LUM</v>
          </cell>
          <cell r="B396"/>
          <cell r="C396"/>
          <cell r="D396"/>
          <cell r="E396"/>
          <cell r="F396"/>
          <cell r="G396"/>
          <cell r="H396"/>
          <cell r="I396"/>
          <cell r="J396"/>
          <cell r="K396"/>
          <cell r="L396"/>
          <cell r="M396"/>
          <cell r="N396"/>
          <cell r="O396"/>
          <cell r="P396"/>
          <cell r="Q396"/>
          <cell r="R396"/>
          <cell r="S396"/>
          <cell r="T396"/>
          <cell r="U396"/>
          <cell r="V396"/>
          <cell r="W396"/>
          <cell r="X396"/>
          <cell r="Y396"/>
          <cell r="Z396"/>
          <cell r="AA396"/>
          <cell r="AB396"/>
          <cell r="AC396"/>
          <cell r="AD396"/>
          <cell r="AE396"/>
          <cell r="AF396"/>
          <cell r="AG396"/>
          <cell r="AH396"/>
          <cell r="AI396"/>
          <cell r="AJ396"/>
          <cell r="AK396"/>
          <cell r="AL396"/>
          <cell r="AM396"/>
          <cell r="AN396"/>
          <cell r="AO396"/>
          <cell r="AP396"/>
          <cell r="AQ396"/>
          <cell r="AR396"/>
          <cell r="AS396"/>
          <cell r="AT396"/>
          <cell r="AU396"/>
          <cell r="AV396"/>
          <cell r="AW396"/>
          <cell r="AX396"/>
          <cell r="AY396"/>
          <cell r="AZ396"/>
          <cell r="BA396"/>
          <cell r="BB396"/>
          <cell r="BC396"/>
          <cell r="BD396"/>
          <cell r="BE396"/>
          <cell r="BF396"/>
          <cell r="BG396"/>
          <cell r="BH396"/>
          <cell r="BI396"/>
          <cell r="BJ396"/>
          <cell r="BK396"/>
          <cell r="BL396"/>
          <cell r="BM396"/>
          <cell r="BN396"/>
          <cell r="BO396"/>
          <cell r="BP396"/>
          <cell r="BQ396"/>
          <cell r="BR396"/>
          <cell r="BS396">
            <v>292.91777667407399</v>
          </cell>
          <cell r="BT396">
            <v>292.75011096455506</v>
          </cell>
          <cell r="BU396">
            <v>291.3372454761905</v>
          </cell>
          <cell r="BV396">
            <v>297.8930997641861</v>
          </cell>
          <cell r="BW396">
            <v>303.16624821925927</v>
          </cell>
          <cell r="BX396">
            <v>298.02594401872648</v>
          </cell>
          <cell r="BY396">
            <v>306.53797196431651</v>
          </cell>
          <cell r="BZ396">
            <v>305.88976739171471</v>
          </cell>
          <cell r="CA396">
            <v>301.71573642904997</v>
          </cell>
          <cell r="CB396">
            <v>307.98631755905393</v>
          </cell>
          <cell r="CC396">
            <v>314.12509506727577</v>
          </cell>
          <cell r="CD396">
            <v>314.09145153192094</v>
          </cell>
          <cell r="CE396">
            <v>313.58973036030744</v>
          </cell>
          <cell r="CF396">
            <v>318.22098533145385</v>
          </cell>
          <cell r="CG396">
            <v>329.26047635958776</v>
          </cell>
          <cell r="CH396">
            <v>326.18870241228797</v>
          </cell>
          <cell r="CI396">
            <v>329.84680547321062</v>
          </cell>
          <cell r="CJ396">
            <v>328.89673746509027</v>
          </cell>
          <cell r="CK396">
            <v>332.0221234087627</v>
          </cell>
          <cell r="CL396">
            <v>324.58567642299295</v>
          </cell>
          <cell r="CM396">
            <v>328.34270971902737</v>
          </cell>
          <cell r="CN396">
            <v>325.74600281310455</v>
          </cell>
          <cell r="CO396">
            <v>326.41510020447936</v>
          </cell>
          <cell r="CP396">
            <v>316.44974217959123</v>
          </cell>
          <cell r="CQ396">
            <v>315.4647608867113</v>
          </cell>
          <cell r="CR396">
            <v>310.03947470961981</v>
          </cell>
          <cell r="CS396">
            <v>307.21765428713127</v>
          </cell>
          <cell r="CT396">
            <v>294.91350745686657</v>
          </cell>
          <cell r="CU396">
            <v>291.05840122508846</v>
          </cell>
          <cell r="CV396">
            <v>285.58437075699908</v>
          </cell>
          <cell r="CW396">
            <v>282.44029299031132</v>
          </cell>
          <cell r="CX396">
            <v>270.62918578428179</v>
          </cell>
          <cell r="CY396">
            <v>266.33913189918195</v>
          </cell>
          <cell r="CZ396">
            <v>260.54637470442873</v>
          </cell>
          <cell r="DA396">
            <v>257.98788339853263</v>
          </cell>
          <cell r="DB396">
            <v>246.34459969572822</v>
          </cell>
          <cell r="DC396"/>
          <cell r="DD396"/>
          <cell r="DE396">
            <v>0</v>
          </cell>
          <cell r="DF396">
            <v>0</v>
          </cell>
          <cell r="DG396">
            <v>0</v>
          </cell>
          <cell r="DH396">
            <v>0</v>
          </cell>
          <cell r="DI396">
            <v>0</v>
          </cell>
          <cell r="DJ396">
            <v>0</v>
          </cell>
          <cell r="DK396">
            <v>0</v>
          </cell>
          <cell r="DL396">
            <v>0</v>
          </cell>
          <cell r="DM396">
            <v>0</v>
          </cell>
          <cell r="DN396">
            <v>0</v>
          </cell>
          <cell r="DO396">
            <v>0</v>
          </cell>
        </row>
        <row r="397">
          <cell r="A397" t="str">
            <v>% growth y-o-y</v>
          </cell>
          <cell r="B397"/>
          <cell r="C397" t="str">
            <v>NA</v>
          </cell>
          <cell r="D397" t="str">
            <v>NA</v>
          </cell>
          <cell r="E397" t="str">
            <v>NA</v>
          </cell>
          <cell r="F397" t="str">
            <v>NA</v>
          </cell>
          <cell r="G397" t="str">
            <v>NA</v>
          </cell>
          <cell r="H397" t="str">
            <v>NA</v>
          </cell>
          <cell r="I397" t="str">
            <v>NA</v>
          </cell>
          <cell r="J397" t="str">
            <v>NA</v>
          </cell>
          <cell r="K397" t="str">
            <v>NA</v>
          </cell>
          <cell r="L397" t="str">
            <v>NA</v>
          </cell>
          <cell r="M397" t="str">
            <v>NA</v>
          </cell>
          <cell r="N397" t="str">
            <v>NA</v>
          </cell>
          <cell r="O397" t="str">
            <v>NA</v>
          </cell>
          <cell r="P397" t="str">
            <v>NA</v>
          </cell>
          <cell r="Q397" t="str">
            <v>NA</v>
          </cell>
          <cell r="R397" t="str">
            <v>NA</v>
          </cell>
          <cell r="S397" t="str">
            <v>NA</v>
          </cell>
          <cell r="T397" t="str">
            <v>NA</v>
          </cell>
          <cell r="U397" t="str">
            <v>NA</v>
          </cell>
          <cell r="V397" t="str">
            <v>NA</v>
          </cell>
          <cell r="W397" t="str">
            <v>NA</v>
          </cell>
          <cell r="X397" t="str">
            <v>NA</v>
          </cell>
          <cell r="Y397" t="str">
            <v>NA</v>
          </cell>
          <cell r="Z397" t="str">
            <v>NA</v>
          </cell>
          <cell r="AA397" t="str">
            <v>NA</v>
          </cell>
          <cell r="AB397" t="str">
            <v>NA</v>
          </cell>
          <cell r="AC397" t="str">
            <v>NA</v>
          </cell>
          <cell r="AD397" t="str">
            <v>NA</v>
          </cell>
          <cell r="AE397" t="str">
            <v>NA</v>
          </cell>
          <cell r="AF397" t="str">
            <v>NA</v>
          </cell>
          <cell r="AG397" t="str">
            <v>NA</v>
          </cell>
          <cell r="AH397" t="str">
            <v>NA</v>
          </cell>
          <cell r="AI397" t="str">
            <v>NA</v>
          </cell>
          <cell r="AJ397" t="str">
            <v>NA</v>
          </cell>
          <cell r="AK397" t="str">
            <v>NA</v>
          </cell>
          <cell r="AL397" t="str">
            <v>NA</v>
          </cell>
          <cell r="AM397" t="str">
            <v>NA</v>
          </cell>
          <cell r="AN397" t="str">
            <v>NA</v>
          </cell>
          <cell r="AO397" t="str">
            <v>NA</v>
          </cell>
          <cell r="AP397" t="str">
            <v>NA</v>
          </cell>
          <cell r="AQ397" t="str">
            <v>NA</v>
          </cell>
          <cell r="AR397" t="str">
            <v>NA</v>
          </cell>
          <cell r="AS397" t="str">
            <v>NA</v>
          </cell>
          <cell r="AT397" t="str">
            <v>NA</v>
          </cell>
          <cell r="AU397" t="str">
            <v>NA</v>
          </cell>
          <cell r="AV397" t="str">
            <v>NA</v>
          </cell>
          <cell r="AW397" t="str">
            <v>NA</v>
          </cell>
          <cell r="AX397" t="str">
            <v>NA</v>
          </cell>
          <cell r="AY397" t="str">
            <v>NA</v>
          </cell>
          <cell r="AZ397" t="str">
            <v>NA</v>
          </cell>
          <cell r="BA397" t="str">
            <v>NA</v>
          </cell>
          <cell r="BB397" t="str">
            <v>NA</v>
          </cell>
          <cell r="BC397" t="str">
            <v>NA</v>
          </cell>
          <cell r="BD397" t="str">
            <v>NA</v>
          </cell>
          <cell r="BE397" t="str">
            <v>NA</v>
          </cell>
          <cell r="BF397" t="str">
            <v>NA</v>
          </cell>
          <cell r="BG397" t="str">
            <v>NA</v>
          </cell>
          <cell r="BH397" t="str">
            <v>NA</v>
          </cell>
          <cell r="BI397" t="str">
            <v>NA</v>
          </cell>
          <cell r="BJ397" t="str">
            <v>NA</v>
          </cell>
          <cell r="BK397" t="str">
            <v>NA</v>
          </cell>
          <cell r="BL397" t="str">
            <v>NA</v>
          </cell>
          <cell r="BM397" t="str">
            <v>NA</v>
          </cell>
          <cell r="BN397" t="str">
            <v>NA</v>
          </cell>
          <cell r="BO397" t="str">
            <v>NA</v>
          </cell>
          <cell r="BP397" t="str">
            <v>NA</v>
          </cell>
          <cell r="BQ397" t="str">
            <v>NA</v>
          </cell>
          <cell r="BR397" t="str">
            <v>NA</v>
          </cell>
          <cell r="BS397" t="str">
            <v>NA</v>
          </cell>
          <cell r="BT397" t="str">
            <v>NA</v>
          </cell>
          <cell r="BU397" t="str">
            <v>NA</v>
          </cell>
          <cell r="BV397" t="str">
            <v>NA</v>
          </cell>
          <cell r="BW397">
            <v>3.4987536985809697E-2</v>
          </cell>
          <cell r="BX397">
            <v>1.8021626146574432E-2</v>
          </cell>
          <cell r="BY397">
            <v>5.2175706073147143E-2</v>
          </cell>
          <cell r="BZ397">
            <v>2.6844084786988409E-2</v>
          </cell>
          <cell r="CA397">
            <v>-4.7845424704410222E-3</v>
          </cell>
          <cell r="CB397">
            <v>3.3421162621001921E-2</v>
          </cell>
          <cell r="CC397">
            <v>2.4751005737855047E-2</v>
          </cell>
          <cell r="CD397">
            <v>2.6812548226575306E-2</v>
          </cell>
          <cell r="CE397">
            <v>3.935490429432642E-2</v>
          </cell>
          <cell r="CF397">
            <v>3.3230917053441722E-2</v>
          </cell>
          <cell r="CG397">
            <v>4.8182655668024488E-2</v>
          </cell>
          <cell r="CH397">
            <v>3.8515059296790888E-2</v>
          </cell>
          <cell r="CI397">
            <v>5.184186068282326E-2</v>
          </cell>
          <cell r="CJ397">
            <v>3.3548234169775926E-2</v>
          </cell>
          <cell r="CK397">
            <v>8.3874234761140976E-3</v>
          </cell>
          <cell r="CL397">
            <v>-4.9144129684444149E-3</v>
          </cell>
          <cell r="CM397">
            <v>-4.5599827835998141E-3</v>
          </cell>
          <cell r="CN397">
            <v>-9.5797078325233764E-3</v>
          </cell>
          <cell r="CO397">
            <v>-1.6887498780857935E-2</v>
          </cell>
          <cell r="CP397">
            <v>-2.506559849794221E-2</v>
          </cell>
          <cell r="CQ397">
            <v>-3.9221059128543234E-2</v>
          </cell>
          <cell r="CR397">
            <v>-4.821710156945902E-2</v>
          </cell>
          <cell r="CS397">
            <v>-5.8812983545559194E-2</v>
          </cell>
          <cell r="CT397">
            <v>-6.805578217378494E-2</v>
          </cell>
          <cell r="CU397">
            <v>-7.7366358109289934E-2</v>
          </cell>
          <cell r="CV397">
            <v>-7.8877388034298446E-2</v>
          </cell>
          <cell r="CW397">
            <v>-8.0650838098199173E-2</v>
          </cell>
          <cell r="CX397">
            <v>-8.2343877301505275E-2</v>
          </cell>
          <cell r="CY397">
            <v>-8.492889819314986E-2</v>
          </cell>
          <cell r="CZ397">
            <v>-8.7672851235528371E-2</v>
          </cell>
          <cell r="DA397">
            <v>-8.6575500021229268E-2</v>
          </cell>
          <cell r="DB397">
            <v>-8.973380316752233E-2</v>
          </cell>
          <cell r="DC397"/>
          <cell r="DD397" t="str">
            <v>NA</v>
          </cell>
          <cell r="DE397" t="str">
            <v>NA</v>
          </cell>
          <cell r="DF397" t="str">
            <v>NA</v>
          </cell>
          <cell r="DG397" t="str">
            <v>NA</v>
          </cell>
          <cell r="DH397" t="str">
            <v>NA</v>
          </cell>
          <cell r="DI397" t="str">
            <v>NA</v>
          </cell>
          <cell r="DJ397" t="str">
            <v>NA</v>
          </cell>
          <cell r="DK397" t="str">
            <v>NA</v>
          </cell>
          <cell r="DL397" t="str">
            <v>NA</v>
          </cell>
          <cell r="DM397" t="str">
            <v>NA</v>
          </cell>
          <cell r="DN397" t="str">
            <v>NA</v>
          </cell>
          <cell r="DO397" t="str">
            <v>NA</v>
          </cell>
        </row>
        <row r="398">
          <cell r="A398" t="str">
            <v>% growth seq</v>
          </cell>
          <cell r="B398"/>
          <cell r="C398" t="str">
            <v>NA</v>
          </cell>
          <cell r="D398" t="str">
            <v>NA</v>
          </cell>
          <cell r="E398" t="str">
            <v>NA</v>
          </cell>
          <cell r="F398" t="str">
            <v>NA</v>
          </cell>
          <cell r="G398" t="str">
            <v>NA</v>
          </cell>
          <cell r="H398" t="str">
            <v>NA</v>
          </cell>
          <cell r="I398" t="str">
            <v>NA</v>
          </cell>
          <cell r="J398" t="str">
            <v>NA</v>
          </cell>
          <cell r="K398" t="str">
            <v>NA</v>
          </cell>
          <cell r="L398" t="str">
            <v>NA</v>
          </cell>
          <cell r="M398" t="str">
            <v>NA</v>
          </cell>
          <cell r="N398" t="str">
            <v>NA</v>
          </cell>
          <cell r="O398" t="str">
            <v>NA</v>
          </cell>
          <cell r="P398" t="str">
            <v>NA</v>
          </cell>
          <cell r="Q398" t="str">
            <v>NA</v>
          </cell>
          <cell r="R398" t="str">
            <v>NA</v>
          </cell>
          <cell r="S398" t="str">
            <v>NA</v>
          </cell>
          <cell r="T398" t="str">
            <v>NA</v>
          </cell>
          <cell r="U398" t="str">
            <v>NA</v>
          </cell>
          <cell r="V398" t="str">
            <v>NA</v>
          </cell>
          <cell r="W398" t="str">
            <v>NA</v>
          </cell>
          <cell r="X398" t="str">
            <v>NA</v>
          </cell>
          <cell r="Y398" t="str">
            <v>NA</v>
          </cell>
          <cell r="Z398" t="str">
            <v>NA</v>
          </cell>
          <cell r="AA398" t="str">
            <v>NA</v>
          </cell>
          <cell r="AB398" t="str">
            <v>NA</v>
          </cell>
          <cell r="AC398" t="str">
            <v>NA</v>
          </cell>
          <cell r="AD398" t="str">
            <v>NA</v>
          </cell>
          <cell r="AE398" t="str">
            <v>NA</v>
          </cell>
          <cell r="AF398" t="str">
            <v>NA</v>
          </cell>
          <cell r="AG398" t="str">
            <v>NA</v>
          </cell>
          <cell r="AH398" t="str">
            <v>NA</v>
          </cell>
          <cell r="AI398" t="str">
            <v>NA</v>
          </cell>
          <cell r="AJ398" t="str">
            <v>NA</v>
          </cell>
          <cell r="AK398" t="str">
            <v>NA</v>
          </cell>
          <cell r="AL398" t="str">
            <v>NA</v>
          </cell>
          <cell r="AM398" t="str">
            <v>NA</v>
          </cell>
          <cell r="AN398" t="str">
            <v>NA</v>
          </cell>
          <cell r="AO398" t="str">
            <v>NA</v>
          </cell>
          <cell r="AP398" t="str">
            <v>NA</v>
          </cell>
          <cell r="AQ398" t="str">
            <v>NA</v>
          </cell>
          <cell r="AR398" t="str">
            <v>NA</v>
          </cell>
          <cell r="AS398" t="str">
            <v>NA</v>
          </cell>
          <cell r="AT398" t="str">
            <v>NA</v>
          </cell>
          <cell r="AU398" t="str">
            <v>NA</v>
          </cell>
          <cell r="AV398" t="str">
            <v>NA</v>
          </cell>
          <cell r="AW398" t="str">
            <v>NA</v>
          </cell>
          <cell r="AX398" t="str">
            <v>NA</v>
          </cell>
          <cell r="AY398" t="str">
            <v>NA</v>
          </cell>
          <cell r="AZ398" t="str">
            <v>NA</v>
          </cell>
          <cell r="BA398" t="str">
            <v>NA</v>
          </cell>
          <cell r="BB398" t="str">
            <v>NA</v>
          </cell>
          <cell r="BC398" t="str">
            <v>NA</v>
          </cell>
          <cell r="BD398" t="str">
            <v>NA</v>
          </cell>
          <cell r="BE398" t="str">
            <v>NA</v>
          </cell>
          <cell r="BF398" t="str">
            <v>NA</v>
          </cell>
          <cell r="BG398" t="str">
            <v>NA</v>
          </cell>
          <cell r="BH398" t="str">
            <v>NA</v>
          </cell>
          <cell r="BI398" t="str">
            <v>NA</v>
          </cell>
          <cell r="BJ398" t="str">
            <v>NA</v>
          </cell>
          <cell r="BK398" t="str">
            <v>NA</v>
          </cell>
          <cell r="BL398" t="str">
            <v>NA</v>
          </cell>
          <cell r="BM398" t="str">
            <v>NA</v>
          </cell>
          <cell r="BN398" t="str">
            <v>NA</v>
          </cell>
          <cell r="BO398" t="str">
            <v>NA</v>
          </cell>
          <cell r="BP398" t="str">
            <v>NA</v>
          </cell>
          <cell r="BQ398" t="str">
            <v>NA</v>
          </cell>
          <cell r="BR398" t="str">
            <v>NA</v>
          </cell>
          <cell r="BS398" t="str">
            <v>NA</v>
          </cell>
          <cell r="BT398">
            <v>-5.723985461814074E-4</v>
          </cell>
          <cell r="BU398">
            <v>-4.8261825886570797E-3</v>
          </cell>
          <cell r="BV398">
            <v>2.2502630164159321E-2</v>
          </cell>
          <cell r="BW398">
            <v>1.7701479017967925E-2</v>
          </cell>
          <cell r="BX398">
            <v>-1.695539734626117E-2</v>
          </cell>
          <cell r="BY398">
            <v>2.8561365600624278E-2</v>
          </cell>
          <cell r="BZ398">
            <v>-2.11459796790614E-3</v>
          </cell>
          <cell r="CA398">
            <v>-1.3645539693126096E-2</v>
          </cell>
          <cell r="CB398">
            <v>2.0783076163740422E-2</v>
          </cell>
          <cell r="CC398">
            <v>1.9931981254474929E-2</v>
          </cell>
          <cell r="CD398">
            <v>-1.0710234834188093E-4</v>
          </cell>
          <cell r="CE398">
            <v>-1.5973728962264122E-3</v>
          </cell>
          <cell r="CF398">
            <v>1.4768516066598236E-2</v>
          </cell>
          <cell r="CG398">
            <v>3.4691272848129007E-2</v>
          </cell>
          <cell r="CH398">
            <v>-9.3293127109039808E-3</v>
          </cell>
          <cell r="CI398">
            <v>1.1214683506417078E-2</v>
          </cell>
          <cell r="CJ398">
            <v>-2.8803310881163613E-3</v>
          </cell>
          <cell r="CK398">
            <v>9.5026358964844793E-3</v>
          </cell>
          <cell r="CL398">
            <v>-2.2397444210711548E-2</v>
          </cell>
          <cell r="CM398">
            <v>1.1574858562576784E-2</v>
          </cell>
          <cell r="CN398">
            <v>-7.9085261498417214E-3</v>
          </cell>
          <cell r="CO398">
            <v>2.0540463600369208E-3</v>
          </cell>
          <cell r="CP398">
            <v>-3.052970900747376E-2</v>
          </cell>
          <cell r="CQ398">
            <v>-3.1125994481642216E-3</v>
          </cell>
          <cell r="CR398">
            <v>-1.7197756611046056E-2</v>
          </cell>
          <cell r="CS398">
            <v>-9.1014875609999324E-3</v>
          </cell>
          <cell r="CT398">
            <v>-4.0050259672788857E-2</v>
          </cell>
          <cell r="CU398">
            <v>-1.3071989360616043E-2</v>
          </cell>
          <cell r="CV398">
            <v>-1.8807326794377799E-2</v>
          </cell>
          <cell r="CW398">
            <v>-1.1009278128049305E-2</v>
          </cell>
          <cell r="CX398">
            <v>-4.1818067390387181E-2</v>
          </cell>
          <cell r="CY398">
            <v>-1.5852147922136628E-2</v>
          </cell>
          <cell r="CZ398">
            <v>-2.1749553486364759E-2</v>
          </cell>
          <cell r="DA398">
            <v>-9.8197156218293724E-3</v>
          </cell>
          <cell r="DB398">
            <v>-4.5131126118889031E-2</v>
          </cell>
          <cell r="DC398"/>
          <cell r="DD398"/>
          <cell r="DE398"/>
          <cell r="DF398"/>
          <cell r="DG398"/>
          <cell r="DH398"/>
          <cell r="DI398"/>
          <cell r="DJ398"/>
          <cell r="DK398"/>
          <cell r="DL398"/>
          <cell r="DM398"/>
          <cell r="DN398"/>
          <cell r="DO398"/>
        </row>
        <row r="399">
          <cell r="A399"/>
          <cell r="B399"/>
          <cell r="C399"/>
          <cell r="D399"/>
          <cell r="E399"/>
          <cell r="F399"/>
          <cell r="G399"/>
          <cell r="H399"/>
          <cell r="I399"/>
          <cell r="J399"/>
          <cell r="K399"/>
          <cell r="L399"/>
          <cell r="M399"/>
          <cell r="N399"/>
          <cell r="O399"/>
          <cell r="P399"/>
          <cell r="Q399"/>
          <cell r="R399"/>
          <cell r="S399"/>
          <cell r="T399"/>
          <cell r="U399"/>
          <cell r="V399"/>
          <cell r="W399"/>
          <cell r="X399"/>
          <cell r="Y399"/>
          <cell r="Z399"/>
          <cell r="AA399"/>
          <cell r="AB399"/>
          <cell r="AC399"/>
          <cell r="AD399"/>
          <cell r="AE399"/>
          <cell r="AF399"/>
          <cell r="AG399"/>
          <cell r="AH399"/>
          <cell r="AI399"/>
          <cell r="AJ399"/>
          <cell r="AK399"/>
          <cell r="AL399"/>
          <cell r="AM399"/>
          <cell r="AN399"/>
          <cell r="AO399"/>
          <cell r="AP399"/>
          <cell r="AQ399"/>
          <cell r="AR399"/>
          <cell r="AS399"/>
          <cell r="AT399"/>
          <cell r="AU399"/>
          <cell r="AV399"/>
          <cell r="AW399"/>
          <cell r="AX399"/>
          <cell r="AY399"/>
          <cell r="AZ399"/>
          <cell r="BA399"/>
          <cell r="BB399"/>
          <cell r="BC399"/>
          <cell r="BD399"/>
          <cell r="BE399"/>
          <cell r="BF399"/>
          <cell r="BG399"/>
          <cell r="BH399"/>
          <cell r="BI399"/>
          <cell r="BJ399"/>
          <cell r="BK399"/>
          <cell r="BL399"/>
          <cell r="BM399"/>
          <cell r="BN399"/>
          <cell r="BO399"/>
          <cell r="BP399"/>
          <cell r="BQ399"/>
          <cell r="BR399"/>
          <cell r="BS399"/>
          <cell r="BT399"/>
          <cell r="BU399"/>
          <cell r="BV399"/>
          <cell r="BW399"/>
          <cell r="BX399"/>
          <cell r="BY399"/>
          <cell r="BZ399"/>
          <cell r="CA399"/>
          <cell r="CB399"/>
          <cell r="CC399"/>
          <cell r="CD399"/>
          <cell r="CE399"/>
          <cell r="CF399"/>
          <cell r="CG399"/>
          <cell r="CH399"/>
          <cell r="CI399"/>
          <cell r="CJ399"/>
          <cell r="CK399"/>
          <cell r="CL399"/>
          <cell r="CM399"/>
          <cell r="CN399"/>
          <cell r="CO399"/>
          <cell r="CP399"/>
          <cell r="CQ399"/>
          <cell r="CR399"/>
          <cell r="CS399"/>
          <cell r="CT399"/>
          <cell r="CU399"/>
          <cell r="CV399"/>
          <cell r="CW399"/>
          <cell r="CX399"/>
          <cell r="CY399"/>
          <cell r="CZ399"/>
          <cell r="DA399"/>
          <cell r="DB399"/>
          <cell r="DC399"/>
          <cell r="DD399"/>
          <cell r="DE399"/>
          <cell r="DF399"/>
          <cell r="DG399"/>
          <cell r="DH399"/>
          <cell r="DI399"/>
          <cell r="DJ399"/>
          <cell r="DK399"/>
          <cell r="DL399"/>
          <cell r="DM399"/>
          <cell r="DN399"/>
          <cell r="DO399"/>
        </row>
        <row r="400">
          <cell r="A400">
            <v>0</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cell r="AU400">
            <v>0</v>
          </cell>
          <cell r="AV400">
            <v>0</v>
          </cell>
          <cell r="AW400">
            <v>0</v>
          </cell>
          <cell r="AX400"/>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cell r="BY400">
            <v>0</v>
          </cell>
          <cell r="BZ400">
            <v>0</v>
          </cell>
          <cell r="CA400">
            <v>0</v>
          </cell>
          <cell r="CB400">
            <v>0</v>
          </cell>
          <cell r="CC400">
            <v>0</v>
          </cell>
          <cell r="CD400">
            <v>0</v>
          </cell>
          <cell r="CE400">
            <v>0</v>
          </cell>
          <cell r="CF400">
            <v>0</v>
          </cell>
          <cell r="CG400">
            <v>0</v>
          </cell>
          <cell r="CH400">
            <v>0</v>
          </cell>
          <cell r="CI400">
            <v>0</v>
          </cell>
          <cell r="CJ400">
            <v>0</v>
          </cell>
          <cell r="CK400">
            <v>0</v>
          </cell>
          <cell r="CL400">
            <v>0</v>
          </cell>
          <cell r="CM400">
            <v>0</v>
          </cell>
          <cell r="CN400">
            <v>0</v>
          </cell>
          <cell r="CO400">
            <v>0</v>
          </cell>
          <cell r="CP400">
            <v>0</v>
          </cell>
          <cell r="CQ400">
            <v>0</v>
          </cell>
          <cell r="CR400">
            <v>0</v>
          </cell>
          <cell r="CS400">
            <v>0</v>
          </cell>
          <cell r="CT400">
            <v>0</v>
          </cell>
          <cell r="CU400">
            <v>0</v>
          </cell>
          <cell r="CV400">
            <v>0</v>
          </cell>
          <cell r="CW400">
            <v>0</v>
          </cell>
          <cell r="CX400">
            <v>0</v>
          </cell>
          <cell r="CY400">
            <v>0</v>
          </cell>
          <cell r="CZ400">
            <v>0</v>
          </cell>
          <cell r="DA400">
            <v>0</v>
          </cell>
          <cell r="DB400">
            <v>0</v>
          </cell>
          <cell r="DC400"/>
          <cell r="DD400"/>
          <cell r="DE400"/>
          <cell r="DF400"/>
          <cell r="DG400"/>
          <cell r="DH400"/>
          <cell r="DI400"/>
          <cell r="DJ400"/>
          <cell r="DK400"/>
          <cell r="DL400"/>
          <cell r="DM400"/>
          <cell r="DN400"/>
          <cell r="DO400"/>
        </row>
        <row r="401">
          <cell r="A401"/>
          <cell r="B401"/>
          <cell r="C401" t="str">
            <v>Fiscal 1998 by Quarter</v>
          </cell>
          <cell r="D401"/>
          <cell r="E401"/>
          <cell r="F401"/>
          <cell r="G401" t="str">
            <v>Fiscal 1999 by Quarter</v>
          </cell>
          <cell r="H401"/>
          <cell r="I401"/>
          <cell r="J401"/>
          <cell r="K401" t="str">
            <v>Fiscal 2000 by Quarter</v>
          </cell>
          <cell r="L401"/>
          <cell r="M401"/>
          <cell r="N401"/>
          <cell r="O401" t="str">
            <v>Fiscal 2001 by Quarter</v>
          </cell>
          <cell r="P401"/>
          <cell r="Q401"/>
          <cell r="R401"/>
          <cell r="S401" t="str">
            <v>Fiscal 2002 by Quarter</v>
          </cell>
          <cell r="T401"/>
          <cell r="U401"/>
          <cell r="V401"/>
          <cell r="W401" t="str">
            <v>Fiscal 2003 by Quarter</v>
          </cell>
          <cell r="X401"/>
          <cell r="Y401"/>
          <cell r="Z401"/>
          <cell r="AA401" t="str">
            <v>Fiscal 2004 by Quarter</v>
          </cell>
          <cell r="AB401"/>
          <cell r="AC401"/>
          <cell r="AD401"/>
          <cell r="AE401" t="str">
            <v>Fiscal 2005 by Quarter</v>
          </cell>
          <cell r="AF401"/>
          <cell r="AG401"/>
          <cell r="AH401"/>
          <cell r="AI401" t="str">
            <v>Fiscal 2006 by Quarter</v>
          </cell>
          <cell r="AJ401"/>
          <cell r="AK401"/>
          <cell r="AL401"/>
          <cell r="AM401" t="str">
            <v>Fiscal 2007 by Quarter</v>
          </cell>
          <cell r="AN401"/>
          <cell r="AO401"/>
          <cell r="AP401"/>
          <cell r="AQ401" t="str">
            <v>Fiscal 2008 by Quarter</v>
          </cell>
          <cell r="AR401"/>
          <cell r="AS401"/>
          <cell r="AT401"/>
          <cell r="AU401" t="str">
            <v>Fiscal 2009 by Quarter</v>
          </cell>
          <cell r="AV401"/>
          <cell r="AW401"/>
          <cell r="AX401"/>
          <cell r="AY401" t="str">
            <v>Fiscal 2010 by Quarter</v>
          </cell>
          <cell r="AZ401"/>
          <cell r="BA401"/>
          <cell r="BB401"/>
          <cell r="BC401" t="str">
            <v>Fiscal 2011 by Quarter</v>
          </cell>
          <cell r="BD401"/>
          <cell r="BE401"/>
          <cell r="BF401"/>
          <cell r="BG401" t="str">
            <v>Fiscal 2012 by Quarter</v>
          </cell>
          <cell r="BH401"/>
          <cell r="BI401"/>
          <cell r="BJ401"/>
          <cell r="BK401" t="str">
            <v>Fiscal 2013 by Quarter</v>
          </cell>
          <cell r="BL401"/>
          <cell r="BM401"/>
          <cell r="BN401"/>
          <cell r="BO401" t="str">
            <v>Fiscal 2014 by Quarter</v>
          </cell>
          <cell r="BP401"/>
          <cell r="BQ401"/>
          <cell r="BR401"/>
          <cell r="BS401" t="str">
            <v>Fiscal 2015 by Quarter</v>
          </cell>
          <cell r="BT401"/>
          <cell r="BU401"/>
          <cell r="BV401"/>
          <cell r="BW401" t="str">
            <v>Fiscal 2016 by Quarter</v>
          </cell>
          <cell r="BX401"/>
          <cell r="BY401"/>
          <cell r="BZ401"/>
          <cell r="CA401" t="str">
            <v>Fiscal 2017 by Quarter</v>
          </cell>
          <cell r="CB401"/>
          <cell r="CC401"/>
          <cell r="CD401"/>
          <cell r="CE401" t="str">
            <v>Fiscal 2018 by Quarter</v>
          </cell>
          <cell r="CF401"/>
          <cell r="CG401"/>
          <cell r="CH401"/>
          <cell r="CI401" t="str">
            <v>Fiscal 2019 by Quarter</v>
          </cell>
          <cell r="CJ401"/>
          <cell r="CK401"/>
          <cell r="CL401"/>
          <cell r="CM401" t="str">
            <v>Fiscal 2020 by Quarter</v>
          </cell>
          <cell r="CN401"/>
          <cell r="CO401"/>
          <cell r="CP401"/>
          <cell r="CQ401" t="str">
            <v>Fiscal 2021 by Quarter</v>
          </cell>
          <cell r="CR401"/>
          <cell r="CS401"/>
          <cell r="CT401"/>
          <cell r="CU401" t="str">
            <v>Fiscal 2022 by Quarter</v>
          </cell>
          <cell r="CV401"/>
          <cell r="CW401"/>
          <cell r="CX401"/>
          <cell r="CY401" t="str">
            <v>Fiscal 2023 by Quarter</v>
          </cell>
          <cell r="CZ401"/>
          <cell r="DA401"/>
          <cell r="DB401"/>
          <cell r="DC401"/>
          <cell r="DD401" t="str">
            <v xml:space="preserve"> Fiscal Year Ends December</v>
          </cell>
          <cell r="DE401"/>
          <cell r="DF401"/>
          <cell r="DG401"/>
          <cell r="DH401"/>
          <cell r="DI401"/>
          <cell r="DJ401"/>
          <cell r="DK401"/>
          <cell r="DL401"/>
          <cell r="DM401"/>
          <cell r="DN401"/>
          <cell r="DO401"/>
        </row>
        <row r="402">
          <cell r="A402"/>
          <cell r="B402"/>
          <cell r="C402">
            <v>35855</v>
          </cell>
          <cell r="D402">
            <v>35947</v>
          </cell>
          <cell r="E402">
            <v>36039</v>
          </cell>
          <cell r="F402">
            <v>36130</v>
          </cell>
          <cell r="G402">
            <v>36220</v>
          </cell>
          <cell r="H402">
            <v>36312</v>
          </cell>
          <cell r="I402">
            <v>36404</v>
          </cell>
          <cell r="J402">
            <v>36495</v>
          </cell>
          <cell r="K402">
            <v>36586</v>
          </cell>
          <cell r="L402">
            <v>36678</v>
          </cell>
          <cell r="M402">
            <v>36770</v>
          </cell>
          <cell r="N402">
            <v>36861</v>
          </cell>
          <cell r="O402">
            <v>36951</v>
          </cell>
          <cell r="P402">
            <v>37043</v>
          </cell>
          <cell r="Q402">
            <v>37135</v>
          </cell>
          <cell r="R402">
            <v>37226</v>
          </cell>
          <cell r="S402">
            <v>37317</v>
          </cell>
          <cell r="T402">
            <v>37409</v>
          </cell>
          <cell r="U402">
            <v>37501</v>
          </cell>
          <cell r="V402">
            <v>37592</v>
          </cell>
          <cell r="W402">
            <v>37683</v>
          </cell>
          <cell r="X402">
            <v>37775</v>
          </cell>
          <cell r="Y402">
            <v>37867</v>
          </cell>
          <cell r="Z402">
            <v>37958</v>
          </cell>
          <cell r="AA402">
            <v>38050</v>
          </cell>
          <cell r="AB402">
            <v>38142</v>
          </cell>
          <cell r="AC402">
            <v>38234</v>
          </cell>
          <cell r="AD402">
            <v>38325</v>
          </cell>
          <cell r="AE402">
            <v>38416</v>
          </cell>
          <cell r="AF402">
            <v>38508</v>
          </cell>
          <cell r="AG402">
            <v>38600</v>
          </cell>
          <cell r="AH402">
            <v>38691</v>
          </cell>
          <cell r="AI402">
            <v>38782</v>
          </cell>
          <cell r="AJ402">
            <v>38874</v>
          </cell>
          <cell r="AK402">
            <v>38966</v>
          </cell>
          <cell r="AL402">
            <v>39057</v>
          </cell>
          <cell r="AM402">
            <v>39148</v>
          </cell>
          <cell r="AN402">
            <v>39240</v>
          </cell>
          <cell r="AO402">
            <v>39332</v>
          </cell>
          <cell r="AP402">
            <v>39423</v>
          </cell>
          <cell r="AQ402">
            <v>39515</v>
          </cell>
          <cell r="AR402">
            <v>39607</v>
          </cell>
          <cell r="AS402">
            <v>39699</v>
          </cell>
          <cell r="AT402">
            <v>39790</v>
          </cell>
          <cell r="AU402">
            <v>39880</v>
          </cell>
          <cell r="AV402">
            <v>39972</v>
          </cell>
          <cell r="AW402">
            <v>40065</v>
          </cell>
          <cell r="AX402">
            <v>40155</v>
          </cell>
          <cell r="AY402">
            <v>40247</v>
          </cell>
          <cell r="AZ402">
            <v>40339</v>
          </cell>
          <cell r="BA402">
            <v>40431</v>
          </cell>
          <cell r="BB402">
            <v>40522</v>
          </cell>
          <cell r="BC402">
            <v>40613</v>
          </cell>
          <cell r="BD402">
            <v>40705</v>
          </cell>
          <cell r="BE402">
            <v>40797</v>
          </cell>
          <cell r="BF402">
            <v>40888</v>
          </cell>
          <cell r="BG402">
            <v>40979</v>
          </cell>
          <cell r="BH402">
            <v>41071</v>
          </cell>
          <cell r="BI402">
            <v>41163</v>
          </cell>
          <cell r="BJ402">
            <v>41254</v>
          </cell>
          <cell r="BK402">
            <v>41344</v>
          </cell>
          <cell r="BL402">
            <v>41436</v>
          </cell>
          <cell r="BM402">
            <v>41530</v>
          </cell>
          <cell r="BN402">
            <v>41621</v>
          </cell>
          <cell r="BO402">
            <v>41712</v>
          </cell>
          <cell r="BP402">
            <v>41804</v>
          </cell>
          <cell r="BQ402">
            <v>41896</v>
          </cell>
          <cell r="BR402">
            <v>41987</v>
          </cell>
          <cell r="BS402">
            <v>42078</v>
          </cell>
          <cell r="BT402">
            <v>42170</v>
          </cell>
          <cell r="BU402">
            <v>42262</v>
          </cell>
          <cell r="BV402">
            <v>42353</v>
          </cell>
          <cell r="BW402">
            <v>42445</v>
          </cell>
          <cell r="BX402">
            <v>42537</v>
          </cell>
          <cell r="BY402">
            <v>42629</v>
          </cell>
          <cell r="BZ402">
            <v>42720</v>
          </cell>
          <cell r="CA402">
            <v>42811</v>
          </cell>
          <cell r="CB402">
            <v>42903</v>
          </cell>
          <cell r="CC402">
            <v>42995</v>
          </cell>
          <cell r="CD402">
            <v>43086</v>
          </cell>
          <cell r="CE402">
            <v>43177</v>
          </cell>
          <cell r="CF402">
            <v>43269</v>
          </cell>
          <cell r="CG402">
            <v>43361</v>
          </cell>
          <cell r="CH402">
            <v>43451</v>
          </cell>
          <cell r="CI402" t="str">
            <v>Mar-19E</v>
          </cell>
          <cell r="CJ402" t="str">
            <v>Jun-19E</v>
          </cell>
          <cell r="CK402" t="str">
            <v>Sep-19E</v>
          </cell>
          <cell r="CL402" t="str">
            <v>Dec-19E</v>
          </cell>
          <cell r="CM402" t="str">
            <v>Mar-20E</v>
          </cell>
          <cell r="CN402" t="str">
            <v>Jun-20E</v>
          </cell>
          <cell r="CO402" t="str">
            <v>Sep-20E</v>
          </cell>
          <cell r="CP402" t="str">
            <v>Dec-20E</v>
          </cell>
          <cell r="CQ402" t="str">
            <v>Mar-21E</v>
          </cell>
          <cell r="CR402" t="str">
            <v>Jun-21E</v>
          </cell>
          <cell r="CS402" t="str">
            <v>Sep-21E</v>
          </cell>
          <cell r="CT402" t="str">
            <v>Dec-21E</v>
          </cell>
          <cell r="CU402" t="str">
            <v>Mar-22E</v>
          </cell>
          <cell r="CV402" t="str">
            <v>Jun-22E</v>
          </cell>
          <cell r="CW402" t="str">
            <v>Sep-22E</v>
          </cell>
          <cell r="CX402" t="str">
            <v>Dec-22E</v>
          </cell>
          <cell r="CY402" t="str">
            <v>Mar-23E</v>
          </cell>
          <cell r="CZ402" t="str">
            <v>Jun-23E</v>
          </cell>
          <cell r="DA402" t="str">
            <v>Sep-23E</v>
          </cell>
          <cell r="DB402" t="str">
            <v>Dec-23E</v>
          </cell>
          <cell r="DC402"/>
          <cell r="DD402">
            <v>1998</v>
          </cell>
          <cell r="DE402">
            <v>1999</v>
          </cell>
          <cell r="DF402">
            <v>2000</v>
          </cell>
          <cell r="DG402">
            <v>2001</v>
          </cell>
          <cell r="DH402">
            <v>2002</v>
          </cell>
          <cell r="DI402">
            <v>2003</v>
          </cell>
          <cell r="DJ402">
            <v>2004</v>
          </cell>
          <cell r="DK402">
            <v>2005</v>
          </cell>
          <cell r="DL402">
            <v>2006</v>
          </cell>
          <cell r="DM402">
            <v>2007</v>
          </cell>
          <cell r="DN402">
            <v>2008</v>
          </cell>
          <cell r="DO402">
            <v>2009</v>
          </cell>
        </row>
        <row r="403">
          <cell r="A403" t="str">
            <v>Workspace Services Recurring Revenue</v>
          </cell>
          <cell r="B403"/>
          <cell r="C403" t="e">
            <v>#DIV/0!</v>
          </cell>
          <cell r="D403" t="e">
            <v>#DIV/0!</v>
          </cell>
          <cell r="E403">
            <v>0</v>
          </cell>
          <cell r="F403">
            <v>44.678166560234622</v>
          </cell>
          <cell r="G403">
            <v>76.161369287124529</v>
          </cell>
          <cell r="H403">
            <v>85.150682759556958</v>
          </cell>
          <cell r="I403">
            <v>96.762715879171395</v>
          </cell>
          <cell r="J403">
            <v>109.34373929550863</v>
          </cell>
          <cell r="K403">
            <v>117.25099599166613</v>
          </cell>
          <cell r="L403">
            <v>93.509148677852565</v>
          </cell>
          <cell r="M403">
            <v>101.3265862080107</v>
          </cell>
          <cell r="N403">
            <v>110.7565419418754</v>
          </cell>
          <cell r="O403">
            <v>119.80186030604864</v>
          </cell>
          <cell r="P403">
            <v>134.35573528616055</v>
          </cell>
          <cell r="Q403">
            <v>140.00905926376882</v>
          </cell>
          <cell r="R403">
            <v>145.96142822935153</v>
          </cell>
          <cell r="S403">
            <v>128.62632919147043</v>
          </cell>
          <cell r="T403">
            <v>107.81258668923678</v>
          </cell>
          <cell r="U403">
            <v>114.57015806060218</v>
          </cell>
          <cell r="V403">
            <v>144.3985747409622</v>
          </cell>
          <cell r="W403">
            <v>37.23796952727394</v>
          </cell>
          <cell r="X403">
            <v>41.739494787948885</v>
          </cell>
          <cell r="Y403">
            <v>45.860609463214743</v>
          </cell>
          <cell r="Z403">
            <v>53.468821171397849</v>
          </cell>
          <cell r="AA403">
            <v>62.236228469008282</v>
          </cell>
          <cell r="AB403">
            <v>70.778559503584944</v>
          </cell>
          <cell r="AC403">
            <v>74.397743545324801</v>
          </cell>
          <cell r="AD403">
            <v>79.530116360136674</v>
          </cell>
          <cell r="AE403">
            <v>80.950285234811474</v>
          </cell>
          <cell r="AF403">
            <v>84.596333660753729</v>
          </cell>
          <cell r="AG403">
            <v>88.540822644518002</v>
          </cell>
          <cell r="AH403">
            <v>93.511333925326483</v>
          </cell>
          <cell r="AI403">
            <v>98.632386355134216</v>
          </cell>
          <cell r="AJ403">
            <v>104.39391495367389</v>
          </cell>
          <cell r="AK403">
            <v>106.8211891523373</v>
          </cell>
          <cell r="AL403">
            <v>113.98851397394782</v>
          </cell>
          <cell r="AM403">
            <v>113.74072956596437</v>
          </cell>
          <cell r="AN403">
            <v>118.2442902980122</v>
          </cell>
          <cell r="AO403">
            <v>125.43827714652755</v>
          </cell>
          <cell r="AP403">
            <v>130.21917277103887</v>
          </cell>
          <cell r="AQ403">
            <v>134.07650334950947</v>
          </cell>
          <cell r="AR403">
            <v>138.77516847085224</v>
          </cell>
          <cell r="AS403">
            <v>139.34465513712752</v>
          </cell>
          <cell r="AT403">
            <v>143.31680277730001</v>
          </cell>
          <cell r="AU403">
            <v>170.87558199124587</v>
          </cell>
          <cell r="AV403">
            <v>172.57505032575165</v>
          </cell>
          <cell r="AW403">
            <v>176.45767682631868</v>
          </cell>
          <cell r="AX403">
            <v>179.75492079855496</v>
          </cell>
          <cell r="AY403">
            <v>180.28482965221542</v>
          </cell>
          <cell r="AZ403">
            <v>188.45458551361432</v>
          </cell>
          <cell r="BA403">
            <v>191.87680519320836</v>
          </cell>
          <cell r="BB403">
            <v>194.04663159694783</v>
          </cell>
          <cell r="BC403">
            <v>199.34297413269761</v>
          </cell>
          <cell r="BD403">
            <v>205.82504888265294</v>
          </cell>
          <cell r="BE403">
            <v>209.51112991409187</v>
          </cell>
          <cell r="BF403">
            <v>218.19329706200878</v>
          </cell>
          <cell r="BG403">
            <v>232.51900396465817</v>
          </cell>
          <cell r="BH403">
            <v>238.69780694235681</v>
          </cell>
          <cell r="BI403">
            <v>247.85863031547586</v>
          </cell>
          <cell r="BJ403">
            <v>258.5305561642968</v>
          </cell>
          <cell r="BK403">
            <v>265.99619217673444</v>
          </cell>
          <cell r="BL403">
            <v>275.05026516248381</v>
          </cell>
          <cell r="BM403">
            <v>282.88493496702375</v>
          </cell>
          <cell r="BN403">
            <v>287.46817805715699</v>
          </cell>
          <cell r="BO403">
            <v>295.43468800705006</v>
          </cell>
          <cell r="BP403">
            <v>299.85440252398888</v>
          </cell>
          <cell r="BQ403">
            <v>308.93567472600472</v>
          </cell>
          <cell r="BR403">
            <v>312.7260253440412</v>
          </cell>
          <cell r="BS403">
            <v>314.17485380190283</v>
          </cell>
          <cell r="BT403">
            <v>317.04488065674889</v>
          </cell>
          <cell r="BU403">
            <v>318.44090797959188</v>
          </cell>
          <cell r="BV403">
            <v>328.63422886439417</v>
          </cell>
          <cell r="BW403">
            <v>331.78229343024231</v>
          </cell>
          <cell r="BX403">
            <v>327.84724566720104</v>
          </cell>
          <cell r="BY403">
            <v>337.65634264775122</v>
          </cell>
          <cell r="BZ403">
            <v>338.51373692487277</v>
          </cell>
          <cell r="CA403">
            <v>337.15985329492253</v>
          </cell>
          <cell r="CB403">
            <v>346.04512904189932</v>
          </cell>
          <cell r="CC403">
            <v>354.93076193709641</v>
          </cell>
          <cell r="CD403">
            <v>362.23193522658806</v>
          </cell>
          <cell r="CE403">
            <v>375.63950006789673</v>
          </cell>
          <cell r="CF403">
            <v>386.49698098568086</v>
          </cell>
          <cell r="CG403">
            <v>397.8684721496204</v>
          </cell>
          <cell r="CH403">
            <v>412.38726629388213</v>
          </cell>
          <cell r="CI403">
            <v>422.09653655493065</v>
          </cell>
          <cell r="CJ403">
            <v>432.90297696418742</v>
          </cell>
          <cell r="CK403">
            <v>445.42910295224874</v>
          </cell>
          <cell r="CL403">
            <v>463.74502184951461</v>
          </cell>
          <cell r="CM403">
            <v>479.32237781660615</v>
          </cell>
          <cell r="CN403">
            <v>492.13562262638823</v>
          </cell>
          <cell r="CO403">
            <v>504.82922614795888</v>
          </cell>
          <cell r="CP403">
            <v>528.73060842890004</v>
          </cell>
          <cell r="CQ403">
            <v>542.05922289031878</v>
          </cell>
          <cell r="CR403">
            <v>555.48537748212095</v>
          </cell>
          <cell r="CS403">
            <v>567.19220720602232</v>
          </cell>
          <cell r="CT403">
            <v>597.24572734920605</v>
          </cell>
          <cell r="CU403">
            <v>608.00526718104368</v>
          </cell>
          <cell r="CV403">
            <v>622.16883076095814</v>
          </cell>
          <cell r="CW403">
            <v>633.7927430665884</v>
          </cell>
          <cell r="CX403">
            <v>667.77346802741772</v>
          </cell>
          <cell r="CY403">
            <v>676.80727519161405</v>
          </cell>
          <cell r="CZ403">
            <v>689.58801038746105</v>
          </cell>
          <cell r="DA403">
            <v>700.51197398856129</v>
          </cell>
          <cell r="DB403">
            <v>734.77271334572174</v>
          </cell>
          <cell r="DC403"/>
          <cell r="DD403"/>
          <cell r="DE403">
            <v>367.41850722136149</v>
          </cell>
          <cell r="DF403">
            <v>422.84327281940477</v>
          </cell>
          <cell r="DG403">
            <v>540.12808308532954</v>
          </cell>
          <cell r="DH403">
            <v>495.4076486822716</v>
          </cell>
          <cell r="DI403">
            <v>178.3068949498354</v>
          </cell>
          <cell r="DJ403">
            <v>286.94264787805469</v>
          </cell>
          <cell r="DK403">
            <v>347.59877546540969</v>
          </cell>
          <cell r="DL403">
            <v>423.83600443509323</v>
          </cell>
          <cell r="DM403">
            <v>487.64246978154301</v>
          </cell>
          <cell r="DN403">
            <v>555.51312973478923</v>
          </cell>
          <cell r="DO403">
            <v>699.66322994187112</v>
          </cell>
        </row>
        <row r="404">
          <cell r="A404" t="str">
            <v>% growth in revenue y-o-y</v>
          </cell>
          <cell r="B404"/>
          <cell r="C404" t="str">
            <v>NA</v>
          </cell>
          <cell r="D404" t="str">
            <v>NA</v>
          </cell>
          <cell r="E404" t="str">
            <v>NA</v>
          </cell>
          <cell r="F404" t="str">
            <v>NA</v>
          </cell>
          <cell r="G404" t="str">
            <v>NA</v>
          </cell>
          <cell r="H404" t="str">
            <v>NA</v>
          </cell>
          <cell r="I404" t="str">
            <v>NA</v>
          </cell>
          <cell r="J404">
            <v>1.4473640642368926</v>
          </cell>
          <cell r="K404">
            <v>0.53950745750953844</v>
          </cell>
          <cell r="L404">
            <v>9.8160879600903694E-2</v>
          </cell>
          <cell r="M404">
            <v>4.7165587358443339E-2</v>
          </cell>
          <cell r="N404">
            <v>1.2920745672951428E-2</v>
          </cell>
          <cell r="O404">
            <v>2.1755587599134873E-2</v>
          </cell>
          <cell r="P404">
            <v>0.43681914749355877</v>
          </cell>
          <cell r="Q404">
            <v>0.38176035040150169</v>
          </cell>
          <cell r="R404">
            <v>0.31785830137195425</v>
          </cell>
          <cell r="S404">
            <v>7.3658863584243228E-2</v>
          </cell>
          <cell r="T404">
            <v>-0.19755873123235312</v>
          </cell>
          <cell r="U404">
            <v>-0.18169467987954435</v>
          </cell>
          <cell r="V404">
            <v>-1.0707304712951893E-2</v>
          </cell>
          <cell r="W404">
            <v>-0.7104949681659477</v>
          </cell>
          <cell r="X404">
            <v>-0.61285137413259139</v>
          </cell>
          <cell r="Y404">
            <v>-0.59971592743237156</v>
          </cell>
          <cell r="Z404">
            <v>-0.62971365010135316</v>
          </cell>
          <cell r="AA404">
            <v>0.67131101021566297</v>
          </cell>
          <cell r="AB404">
            <v>0.69572151898734247</v>
          </cell>
          <cell r="AC404">
            <v>0.62225806451612864</v>
          </cell>
          <cell r="AD404">
            <v>0.48741106719367577</v>
          </cell>
          <cell r="AE404">
            <v>0.30069394026860441</v>
          </cell>
          <cell r="AF404">
            <v>0.19522542213463545</v>
          </cell>
          <cell r="AG404">
            <v>0.19010091469477053</v>
          </cell>
          <cell r="AH404">
            <v>0.17579777579952971</v>
          </cell>
          <cell r="AI404">
            <v>0.21843160983352305</v>
          </cell>
          <cell r="AJ404">
            <v>0.23402410525628636</v>
          </cell>
          <cell r="AK404">
            <v>0.20646257807218515</v>
          </cell>
          <cell r="AL404">
            <v>0.21898072874218011</v>
          </cell>
          <cell r="AM404">
            <v>0.15317831970962659</v>
          </cell>
          <cell r="AN404">
            <v>0.13267416353227679</v>
          </cell>
          <cell r="AO404">
            <v>0.17428272557086499</v>
          </cell>
          <cell r="AP404">
            <v>0.14238854627757136</v>
          </cell>
          <cell r="AQ404">
            <v>0.17879060439603811</v>
          </cell>
          <cell r="AR404">
            <v>0.17363103217158193</v>
          </cell>
          <cell r="AS404">
            <v>0.11086231656670131</v>
          </cell>
          <cell r="AT404">
            <v>0.10058142535807968</v>
          </cell>
          <cell r="AU404">
            <v>0.27446329313801443</v>
          </cell>
          <cell r="AV404">
            <v>0.24355857195012942</v>
          </cell>
          <cell r="AW404">
            <v>0.26633975772281082</v>
          </cell>
          <cell r="AX404">
            <v>0.25424875042653672</v>
          </cell>
          <cell r="AY404">
            <v>5.5064904834978723E-2</v>
          </cell>
          <cell r="AZ404">
            <v>9.2015242979147649E-2</v>
          </cell>
          <cell r="BA404">
            <v>8.7381453979280321E-2</v>
          </cell>
          <cell r="BB404">
            <v>7.9506645686818755E-2</v>
          </cell>
          <cell r="BC404">
            <v>0.10571130425808395</v>
          </cell>
          <cell r="BD404">
            <v>9.2173206195525159E-2</v>
          </cell>
          <cell r="BE404">
            <v>9.1904410765682787E-2</v>
          </cell>
          <cell r="BF404">
            <v>0.12443743684876596</v>
          </cell>
          <cell r="BG404">
            <v>0.16642688299551556</v>
          </cell>
          <cell r="BH404">
            <v>0.15971213532151585</v>
          </cell>
          <cell r="BI404">
            <v>0.18303323750441347</v>
          </cell>
          <cell r="BJ404">
            <v>0.18486937795721792</v>
          </cell>
          <cell r="BK404">
            <v>0.14397613804145082</v>
          </cell>
          <cell r="BL404">
            <v>0.15229489824724607</v>
          </cell>
          <cell r="BM404">
            <v>0.14131565484311048</v>
          </cell>
          <cell r="BN404">
            <v>0.11193114780006996</v>
          </cell>
          <cell r="BO404">
            <v>0.11067262124848742</v>
          </cell>
          <cell r="BP404">
            <v>9.0180379745688377E-2</v>
          </cell>
          <cell r="BQ404">
            <v>9.2089526655131815E-2</v>
          </cell>
          <cell r="BR404">
            <v>8.786310699705413E-2</v>
          </cell>
          <cell r="BS404">
            <v>6.3432516747679912E-2</v>
          </cell>
          <cell r="BT404">
            <v>5.732941717067086E-2</v>
          </cell>
          <cell r="BU404">
            <v>3.0767677646867275E-2</v>
          </cell>
          <cell r="BV404">
            <v>5.0869458347292174E-2</v>
          </cell>
          <cell r="BW404">
            <v>5.6043440190288285E-2</v>
          </cell>
          <cell r="BX404">
            <v>3.4072037334510474E-2</v>
          </cell>
          <cell r="BY404">
            <v>6.0342230494427662E-2</v>
          </cell>
          <cell r="BZ404">
            <v>3.0062322158642907E-2</v>
          </cell>
          <cell r="CA404">
            <v>1.6208097813426248E-2</v>
          </cell>
          <cell r="CB404">
            <v>5.5507202257148114E-2</v>
          </cell>
          <cell r="CC404">
            <v>5.1159765440467853E-2</v>
          </cell>
          <cell r="CD404">
            <v>7.0065689260282893E-2</v>
          </cell>
          <cell r="CE404">
            <v>0.11412879201639425</v>
          </cell>
          <cell r="CF404">
            <v>0.11689761984450198</v>
          </cell>
          <cell r="CG404">
            <v>0.12097489092854041</v>
          </cell>
          <cell r="CH404">
            <v>0.13846192505340604</v>
          </cell>
          <cell r="CI404">
            <v>0.12367452432088966</v>
          </cell>
          <cell r="CJ404">
            <v>0.12006819784247114</v>
          </cell>
          <cell r="CK404">
            <v>0.11953857651918431</v>
          </cell>
          <cell r="CL404">
            <v>0.12453768521318276</v>
          </cell>
          <cell r="CM404">
            <v>0.13557524477395999</v>
          </cell>
          <cell r="CN404">
            <v>0.13682660737881913</v>
          </cell>
          <cell r="CO404">
            <v>0.13335483200808729</v>
          </cell>
          <cell r="CP404">
            <v>0.14013214917156191</v>
          </cell>
          <cell r="CQ404">
            <v>0.13088653477746948</v>
          </cell>
          <cell r="CR404">
            <v>0.12872418078100711</v>
          </cell>
          <cell r="CS404">
            <v>0.12353282620722461</v>
          </cell>
          <cell r="CT404">
            <v>0.12958417354330165</v>
          </cell>
          <cell r="CU404">
            <v>0.12165837514781774</v>
          </cell>
          <cell r="CV404">
            <v>0.12004538009820687</v>
          </cell>
          <cell r="CW404">
            <v>0.11742145786635372</v>
          </cell>
          <cell r="CX404">
            <v>0.11808831348403181</v>
          </cell>
          <cell r="CY404">
            <v>0.11316021706450674</v>
          </cell>
          <cell r="CZ404">
            <v>0.10836155122725177</v>
          </cell>
          <cell r="DA404">
            <v>0.10526979308591278</v>
          </cell>
          <cell r="DB404">
            <v>0.10033229609468863</v>
          </cell>
          <cell r="DC404"/>
          <cell r="DD404" t="str">
            <v>NA</v>
          </cell>
          <cell r="DE404" t="str">
            <v>NA</v>
          </cell>
          <cell r="DF404">
            <v>0.15084913935663868</v>
          </cell>
          <cell r="DG404">
            <v>0.27737182498825463</v>
          </cell>
          <cell r="DH404">
            <v>-8.2795980811819714E-2</v>
          </cell>
          <cell r="DI404">
            <v>-0.64008045611707531</v>
          </cell>
          <cell r="DJ404">
            <v>0.60926277112717786</v>
          </cell>
          <cell r="DK404">
            <v>0.21138763455313447</v>
          </cell>
          <cell r="DL404">
            <v>0.21932536691939553</v>
          </cell>
          <cell r="DM404">
            <v>0.15054517473449147</v>
          </cell>
          <cell r="DN404">
            <v>0.13918119146523744</v>
          </cell>
          <cell r="DO404">
            <v>0.25948999670971129</v>
          </cell>
        </row>
        <row r="405">
          <cell r="A405" t="str">
            <v>% growth in revenue seq</v>
          </cell>
          <cell r="B405"/>
          <cell r="C405" t="str">
            <v>NA</v>
          </cell>
          <cell r="D405" t="str">
            <v>NA</v>
          </cell>
          <cell r="E405" t="str">
            <v>NA</v>
          </cell>
          <cell r="F405" t="str">
            <v>NA</v>
          </cell>
          <cell r="G405">
            <v>0.70466639861876579</v>
          </cell>
          <cell r="H405">
            <v>0.11802983003815459</v>
          </cell>
          <cell r="I405">
            <v>0.13637040530143207</v>
          </cell>
          <cell r="J405">
            <v>0.1300193292636318</v>
          </cell>
          <cell r="K405">
            <v>7.2315587038665585E-2</v>
          </cell>
          <cell r="L405">
            <v>-0.20248738284066314</v>
          </cell>
          <cell r="M405">
            <v>8.3600777471409815E-2</v>
          </cell>
          <cell r="N405">
            <v>9.3064970278443848E-2</v>
          </cell>
          <cell r="O405">
            <v>8.1668479401606708E-2</v>
          </cell>
          <cell r="P405">
            <v>0.1214828796725882</v>
          </cell>
          <cell r="Q405">
            <v>4.2077280627934588E-2</v>
          </cell>
          <cell r="R405">
            <v>4.2514170132154083E-2</v>
          </cell>
          <cell r="S405">
            <v>-0.11876493158618706</v>
          </cell>
          <cell r="T405">
            <v>-0.16181556787841433</v>
          </cell>
          <cell r="U405">
            <v>6.2678872466381819E-2</v>
          </cell>
          <cell r="V405">
            <v>0.26035066360458536</v>
          </cell>
          <cell r="W405">
            <v>-0.74211677924054698</v>
          </cell>
          <cell r="X405">
            <v>0.12088535754823915</v>
          </cell>
          <cell r="Y405">
            <v>9.87341772151904E-2</v>
          </cell>
          <cell r="Z405">
            <v>0.16589861751152113</v>
          </cell>
          <cell r="AA405">
            <v>0.16397233201581018</v>
          </cell>
          <cell r="AB405">
            <v>0.1372565665483807</v>
          </cell>
          <cell r="AC405">
            <v>5.1133903644316803E-2</v>
          </cell>
          <cell r="AD405">
            <v>6.8985597818368216E-2</v>
          </cell>
          <cell r="AE405">
            <v>1.7856994804884341E-2</v>
          </cell>
          <cell r="AF405">
            <v>4.504058775538855E-2</v>
          </cell>
          <cell r="AG405">
            <v>4.6627185991090059E-2</v>
          </cell>
          <cell r="AH405">
            <v>5.6138074306860242E-2</v>
          </cell>
          <cell r="AI405">
            <v>5.4763975818130861E-2</v>
          </cell>
          <cell r="AJ405">
            <v>5.8414166091397268E-2</v>
          </cell>
          <cell r="AK405">
            <v>2.325110807215669E-2</v>
          </cell>
          <cell r="AL405">
            <v>6.7096471013716519E-2</v>
          </cell>
          <cell r="AM405">
            <v>-2.1737664554525304E-3</v>
          </cell>
          <cell r="AN405">
            <v>3.9594969622873455E-2</v>
          </cell>
          <cell r="AO405">
            <v>6.0840035746202004E-2</v>
          </cell>
          <cell r="AP405">
            <v>3.8113530680325303E-2</v>
          </cell>
          <cell r="AQ405">
            <v>2.9621832917437141E-2</v>
          </cell>
          <cell r="AR405">
            <v>3.5044657370682852E-2</v>
          </cell>
          <cell r="AS405">
            <v>4.1036640239777711E-3</v>
          </cell>
          <cell r="AT405">
            <v>2.8505920347382974E-2</v>
          </cell>
          <cell r="AU405">
            <v>0.19229272967224542</v>
          </cell>
          <cell r="AV405">
            <v>9.9456476735970689E-3</v>
          </cell>
          <cell r="AW405">
            <v>2.2498191327414929E-2</v>
          </cell>
          <cell r="AX405">
            <v>1.868574964568781E-2</v>
          </cell>
          <cell r="AY405">
            <v>2.947951863049747E-3</v>
          </cell>
          <cell r="AZ405">
            <v>4.5315825392292064E-2</v>
          </cell>
          <cell r="BA405">
            <v>1.8159386624990503E-2</v>
          </cell>
          <cell r="BB405">
            <v>1.1308435126145655E-2</v>
          </cell>
          <cell r="BC405">
            <v>2.7294174045498165E-2</v>
          </cell>
          <cell r="BD405">
            <v>3.2517196947409621E-2</v>
          </cell>
          <cell r="BE405">
            <v>1.7908806782504394E-2</v>
          </cell>
          <cell r="BF405">
            <v>4.1440123736991685E-2</v>
          </cell>
          <cell r="BG405">
            <v>6.5656035705707882E-2</v>
          </cell>
          <cell r="BH405">
            <v>2.6573324641618434E-2</v>
          </cell>
          <cell r="BI405">
            <v>3.8378330703856545E-2</v>
          </cell>
          <cell r="BJ405">
            <v>4.3056502955889142E-2</v>
          </cell>
          <cell r="BK405">
            <v>2.8877190082294169E-2</v>
          </cell>
          <cell r="BL405">
            <v>3.403835563079638E-2</v>
          </cell>
          <cell r="BM405">
            <v>2.8484501914265214E-2</v>
          </cell>
          <cell r="BN405">
            <v>1.6201792756010525E-2</v>
          </cell>
          <cell r="BO405">
            <v>2.7712667202799413E-2</v>
          </cell>
          <cell r="BP405">
            <v>1.4960039211215914E-2</v>
          </cell>
          <cell r="BQ405">
            <v>3.0285605699217122E-2</v>
          </cell>
          <cell r="BR405">
            <v>1.2269060934442688E-2</v>
          </cell>
          <cell r="BS405">
            <v>4.6329001760174737E-3</v>
          </cell>
          <cell r="BT405">
            <v>9.1351259342216107E-3</v>
          </cell>
          <cell r="BU405">
            <v>4.4032482718256993E-3</v>
          </cell>
          <cell r="BV405">
            <v>3.2010086108206881E-2</v>
          </cell>
          <cell r="BW405">
            <v>9.5792351780470408E-3</v>
          </cell>
          <cell r="BX405">
            <v>-1.1860330828259324E-2</v>
          </cell>
          <cell r="BY405">
            <v>2.9919717521456501E-2</v>
          </cell>
          <cell r="BZ405">
            <v>2.539251211448379E-3</v>
          </cell>
          <cell r="CA405">
            <v>-3.9994939119729622E-3</v>
          </cell>
          <cell r="CB405">
            <v>2.6353302921877209E-2</v>
          </cell>
          <cell r="CC405">
            <v>2.5677670770280381E-2</v>
          </cell>
          <cell r="CD405">
            <v>2.0570697365436041E-2</v>
          </cell>
          <cell r="CE405">
            <v>3.7013757036418626E-2</v>
          </cell>
          <cell r="CF405">
            <v>2.8903991502016169E-2</v>
          </cell>
          <cell r="CG405">
            <v>2.9421940463645768E-2</v>
          </cell>
          <cell r="CH405">
            <v>3.6491441671210989E-2</v>
          </cell>
          <cell r="CI405">
            <v>2.3544059321485733E-2</v>
          </cell>
          <cell r="CJ405">
            <v>2.5601822032127464E-2</v>
          </cell>
          <cell r="CK405">
            <v>2.8935180986518372E-2</v>
          </cell>
          <cell r="CL405">
            <v>4.1119717539492173E-2</v>
          </cell>
          <cell r="CM405">
            <v>3.3590346490331546E-2</v>
          </cell>
          <cell r="CN405">
            <v>2.6731997926215278E-2</v>
          </cell>
          <cell r="CO405">
            <v>2.5792897197379316E-2</v>
          </cell>
          <cell r="CP405">
            <v>4.7345480497074099E-2</v>
          </cell>
          <cell r="CQ405">
            <v>2.5208706000630743E-2</v>
          </cell>
          <cell r="CR405">
            <v>2.4768796516757785E-2</v>
          </cell>
          <cell r="CS405">
            <v>2.1074955702642617E-2</v>
          </cell>
          <cell r="CT405">
            <v>5.298648282074736E-2</v>
          </cell>
          <cell r="CU405">
            <v>1.8015264637542661E-2</v>
          </cell>
          <cell r="CV405">
            <v>2.3295133026696391E-2</v>
          </cell>
          <cell r="CW405">
            <v>1.8682890770039595E-2</v>
          </cell>
          <cell r="CX405">
            <v>5.3614884885577085E-2</v>
          </cell>
          <cell r="CY405">
            <v>1.3528251116178502E-2</v>
          </cell>
          <cell r="CZ405">
            <v>1.8883862015562025E-2</v>
          </cell>
          <cell r="DA405">
            <v>1.5841289924635404E-2</v>
          </cell>
          <cell r="DB405">
            <v>4.8908142372052987E-2</v>
          </cell>
          <cell r="DC405"/>
          <cell r="DD405"/>
          <cell r="DE405"/>
          <cell r="DF405"/>
          <cell r="DG405"/>
          <cell r="DH405"/>
          <cell r="DI405"/>
          <cell r="DJ405"/>
          <cell r="DK405"/>
          <cell r="DL405"/>
          <cell r="DM405"/>
          <cell r="DN405"/>
          <cell r="DO405"/>
        </row>
        <row r="406">
          <cell r="A406"/>
          <cell r="B406"/>
          <cell r="C406"/>
          <cell r="D406"/>
          <cell r="E406"/>
          <cell r="F406"/>
          <cell r="G406"/>
          <cell r="H406"/>
          <cell r="I406"/>
          <cell r="J406"/>
          <cell r="K406"/>
          <cell r="L406"/>
          <cell r="M406"/>
          <cell r="N406"/>
          <cell r="O406"/>
          <cell r="P406"/>
          <cell r="Q406"/>
          <cell r="R406"/>
          <cell r="S406"/>
          <cell r="T406"/>
          <cell r="U406"/>
          <cell r="V406"/>
          <cell r="W406"/>
          <cell r="X406"/>
          <cell r="Y406"/>
          <cell r="Z406"/>
          <cell r="AA406"/>
          <cell r="AB406"/>
          <cell r="AC406"/>
          <cell r="AD406"/>
          <cell r="AE406"/>
          <cell r="AF406"/>
          <cell r="AG406"/>
          <cell r="AH406"/>
          <cell r="AI406"/>
          <cell r="AJ406"/>
          <cell r="AK406"/>
          <cell r="AL406"/>
          <cell r="AM406"/>
          <cell r="AN406"/>
          <cell r="AO406"/>
          <cell r="AP406"/>
          <cell r="AQ406"/>
          <cell r="AR406"/>
          <cell r="AS406"/>
          <cell r="AT406"/>
          <cell r="AU406"/>
          <cell r="AV406"/>
          <cell r="AW406"/>
          <cell r="AX406"/>
          <cell r="AY406"/>
          <cell r="AZ406"/>
          <cell r="BA406"/>
          <cell r="BB406"/>
          <cell r="BC406"/>
          <cell r="BD406"/>
          <cell r="BE406"/>
          <cell r="BF406"/>
          <cell r="BG406"/>
          <cell r="BH406"/>
          <cell r="BI406"/>
          <cell r="BJ406"/>
          <cell r="BK406"/>
          <cell r="BL406"/>
          <cell r="BM406"/>
          <cell r="BN406"/>
          <cell r="BO406"/>
          <cell r="BP406"/>
          <cell r="BQ406"/>
          <cell r="BR406"/>
          <cell r="BS406"/>
          <cell r="BT406"/>
          <cell r="BU406"/>
          <cell r="BV406"/>
          <cell r="BW406"/>
          <cell r="BX406"/>
          <cell r="BY406"/>
          <cell r="BZ406"/>
          <cell r="CA406"/>
          <cell r="CB406"/>
          <cell r="CC406"/>
          <cell r="CD406"/>
          <cell r="CE406"/>
          <cell r="CF406"/>
          <cell r="CG406"/>
          <cell r="CH406"/>
          <cell r="CI406"/>
          <cell r="CJ406"/>
          <cell r="CK406"/>
          <cell r="CL406"/>
          <cell r="CM406"/>
          <cell r="CN406"/>
          <cell r="CO406"/>
          <cell r="CP406"/>
          <cell r="CQ406"/>
          <cell r="CR406"/>
          <cell r="CS406"/>
          <cell r="CT406"/>
          <cell r="CU406"/>
          <cell r="CV406"/>
          <cell r="CW406"/>
          <cell r="CX406"/>
          <cell r="CY406"/>
          <cell r="CZ406"/>
          <cell r="DA406"/>
          <cell r="DB406"/>
          <cell r="DC406"/>
          <cell r="DD406"/>
          <cell r="DE406"/>
          <cell r="DF406"/>
          <cell r="DG406"/>
          <cell r="DH406"/>
          <cell r="DI406"/>
          <cell r="DJ406"/>
          <cell r="DK406"/>
          <cell r="DL406"/>
          <cell r="DM406"/>
          <cell r="DN406"/>
          <cell r="DO406"/>
        </row>
        <row r="407">
          <cell r="A407" t="str">
            <v>LUM</v>
          </cell>
          <cell r="B407"/>
          <cell r="C407" t="e">
            <v>#DIV/0!</v>
          </cell>
          <cell r="D407" t="e">
            <v>#DIV/0!</v>
          </cell>
          <cell r="E407">
            <v>0</v>
          </cell>
          <cell r="F407">
            <v>41.795111668392146</v>
          </cell>
          <cell r="G407">
            <v>71.246722487627196</v>
          </cell>
          <cell r="H407">
            <v>79.655961033617402</v>
          </cell>
          <cell r="I407">
            <v>90.518676724446877</v>
          </cell>
          <cell r="J407">
            <v>102.28785435799097</v>
          </cell>
          <cell r="K407">
            <v>109.6848605928146</v>
          </cell>
          <cell r="L407">
            <v>87.475060234132584</v>
          </cell>
          <cell r="M407">
            <v>94.788043279064468</v>
          </cell>
          <cell r="N407">
            <v>103.60948970958246</v>
          </cell>
          <cell r="O407">
            <v>112.07111918574049</v>
          </cell>
          <cell r="P407">
            <v>125.68584147255407</v>
          </cell>
          <cell r="Q407">
            <v>130.97435989515282</v>
          </cell>
          <cell r="R407">
            <v>136.54262611468533</v>
          </cell>
          <cell r="S407">
            <v>120.32615046557639</v>
          </cell>
          <cell r="T407">
            <v>100.85550609736562</v>
          </cell>
          <cell r="U407">
            <v>107.17701550157479</v>
          </cell>
          <cell r="V407">
            <v>135.08062261056872</v>
          </cell>
          <cell r="W407">
            <v>34.83502602100566</v>
          </cell>
          <cell r="X407">
            <v>39.046070596757147</v>
          </cell>
          <cell r="Y407">
            <v>42.901252250614199</v>
          </cell>
          <cell r="Z407">
            <v>50.018510688504129</v>
          </cell>
          <cell r="AA407">
            <v>58.22016253005588</v>
          </cell>
          <cell r="AB407">
            <v>66.211262142820033</v>
          </cell>
          <cell r="AC407">
            <v>69.596902441399607</v>
          </cell>
          <cell r="AD407">
            <v>74.398086362626202</v>
          </cell>
          <cell r="AE407">
            <v>75.726612604296946</v>
          </cell>
          <cell r="AF407">
            <v>79.137383744719088</v>
          </cell>
          <cell r="AG407">
            <v>82.827337255432369</v>
          </cell>
          <cell r="AH407">
            <v>87.477104468917204</v>
          </cell>
          <cell r="AI407">
            <v>92.267698502693079</v>
          </cell>
          <cell r="AJ407">
            <v>97.657439167900364</v>
          </cell>
          <cell r="AK407">
            <v>99.928082840043288</v>
          </cell>
          <cell r="AL407">
            <v>106.6329045537765</v>
          </cell>
          <cell r="AM407">
            <v>106.40110952281003</v>
          </cell>
          <cell r="AN407">
            <v>110.61405822220574</v>
          </cell>
          <cell r="AO407">
            <v>117.34382147847721</v>
          </cell>
          <cell r="AP407">
            <v>121.81620881854374</v>
          </cell>
          <cell r="AQ407">
            <v>125.4246282028023</v>
          </cell>
          <cell r="AR407">
            <v>129.82009132401478</v>
          </cell>
          <cell r="AS407">
            <v>130.35282936237064</v>
          </cell>
          <cell r="AT407">
            <v>134.06865673323037</v>
          </cell>
          <cell r="AU407">
            <v>159.84908469995449</v>
          </cell>
          <cell r="AV407">
            <v>161.43888737732723</v>
          </cell>
          <cell r="AW407">
            <v>165.07097035322732</v>
          </cell>
          <cell r="AX407">
            <v>168.1554451790185</v>
          </cell>
          <cell r="AY407">
            <v>168.65115933691595</v>
          </cell>
          <cell r="AZ407">
            <v>176.29372582563525</v>
          </cell>
          <cell r="BA407">
            <v>179.495111752463</v>
          </cell>
          <cell r="BB407">
            <v>181.52492057917598</v>
          </cell>
          <cell r="BC407">
            <v>186.47949335505928</v>
          </cell>
          <cell r="BD407">
            <v>192.54328376713892</v>
          </cell>
          <cell r="BE407">
            <v>195.9915042333935</v>
          </cell>
          <cell r="BF407">
            <v>204.11341642022447</v>
          </cell>
          <cell r="BG407">
            <v>217.51469417672476</v>
          </cell>
          <cell r="BH407">
            <v>223.29478275940522</v>
          </cell>
          <cell r="BI407">
            <v>231.86446377659146</v>
          </cell>
          <cell r="BJ407">
            <v>241.84773674655395</v>
          </cell>
          <cell r="BK407">
            <v>248.83161981155681</v>
          </cell>
          <cell r="BL407">
            <v>257.30143897888973</v>
          </cell>
          <cell r="BM407">
            <v>264.63054231002712</v>
          </cell>
          <cell r="BN407">
            <v>268.91803151344487</v>
          </cell>
          <cell r="BO407">
            <v>276.37046742560887</v>
          </cell>
          <cell r="BP407">
            <v>278.97250241414815</v>
          </cell>
          <cell r="BQ407">
            <v>287.15864228218152</v>
          </cell>
          <cell r="BR407">
            <v>290.29155400567493</v>
          </cell>
          <cell r="BS407">
            <v>295.09577667407405</v>
          </cell>
          <cell r="BT407">
            <v>295.28511096455503</v>
          </cell>
          <cell r="BU407">
            <v>293.4742454761905</v>
          </cell>
          <cell r="BV407">
            <v>301.30933879227064</v>
          </cell>
          <cell r="BW407">
            <v>303.18204698925922</v>
          </cell>
          <cell r="BX407">
            <v>298.06082768872648</v>
          </cell>
          <cell r="BY407">
            <v>306.62198051431648</v>
          </cell>
          <cell r="BZ407">
            <v>306.05648410171472</v>
          </cell>
          <cell r="CA407">
            <v>301.83877728904997</v>
          </cell>
          <cell r="CB407">
            <v>308.13786320905393</v>
          </cell>
          <cell r="CC407">
            <v>314.21509506727585</v>
          </cell>
          <cell r="CD407">
            <v>314.23845153192093</v>
          </cell>
          <cell r="CE407">
            <v>313.58973036030744</v>
          </cell>
          <cell r="CF407">
            <v>318.22098533145379</v>
          </cell>
          <cell r="CG407">
            <v>329.26047635958776</v>
          </cell>
          <cell r="CH407">
            <v>326.18870241228802</v>
          </cell>
          <cell r="CI407">
            <v>326.83608676791641</v>
          </cell>
          <cell r="CJ407">
            <v>325.87139326929451</v>
          </cell>
          <cell r="CK407">
            <v>328.97879629154568</v>
          </cell>
          <cell r="CL407">
            <v>321.52130459702607</v>
          </cell>
          <cell r="CM407">
            <v>325.2545082655173</v>
          </cell>
          <cell r="CN407">
            <v>322.68211117370828</v>
          </cell>
          <cell r="CO407">
            <v>323.37033567803087</v>
          </cell>
          <cell r="CP407">
            <v>313.41918650255485</v>
          </cell>
          <cell r="CQ407">
            <v>312.44375841618836</v>
          </cell>
          <cell r="CR407">
            <v>307.06043349927802</v>
          </cell>
          <cell r="CS407">
            <v>304.27500199881922</v>
          </cell>
          <cell r="CT407">
            <v>292.00185748825788</v>
          </cell>
          <cell r="CU407">
            <v>288.17256178797635</v>
          </cell>
          <cell r="CV407">
            <v>282.74795514834057</v>
          </cell>
          <cell r="CW407">
            <v>279.64781336714668</v>
          </cell>
          <cell r="CX407">
            <v>267.87527408004905</v>
          </cell>
          <cell r="CY407">
            <v>263.61855377421995</v>
          </cell>
          <cell r="CZ407">
            <v>257.87745359187556</v>
          </cell>
          <cell r="DA407">
            <v>255.3653717114673</v>
          </cell>
          <cell r="DB407">
            <v>243.76332108892899</v>
          </cell>
          <cell r="DC407"/>
          <cell r="DD407"/>
          <cell r="DE407">
            <v>343.70921460368243</v>
          </cell>
          <cell r="DF407">
            <v>395.55745381559416</v>
          </cell>
          <cell r="DG407">
            <v>505.27394666813274</v>
          </cell>
          <cell r="DH407">
            <v>463.43929467508553</v>
          </cell>
          <cell r="DI407">
            <v>166.80085955688114</v>
          </cell>
          <cell r="DJ407">
            <v>268.42641347690176</v>
          </cell>
          <cell r="DK407">
            <v>325.16843807336562</v>
          </cell>
          <cell r="DL407">
            <v>396.48612506441322</v>
          </cell>
          <cell r="DM407">
            <v>456.17519804203675</v>
          </cell>
          <cell r="DN407">
            <v>519.66620562241803</v>
          </cell>
          <cell r="DO407">
            <v>654.5143876095276</v>
          </cell>
        </row>
        <row r="408">
          <cell r="A408" t="str">
            <v>% of WS recurring revenue</v>
          </cell>
          <cell r="B408"/>
          <cell r="C408" t="str">
            <v>NA</v>
          </cell>
          <cell r="D408" t="str">
            <v>NA</v>
          </cell>
          <cell r="E408" t="str">
            <v>NA</v>
          </cell>
          <cell r="F408">
            <v>0.93547060871543208</v>
          </cell>
          <cell r="G408">
            <v>0.93547060871543208</v>
          </cell>
          <cell r="H408">
            <v>0.93547060871543219</v>
          </cell>
          <cell r="I408">
            <v>0.93547060871543219</v>
          </cell>
          <cell r="J408">
            <v>0.93547060871543208</v>
          </cell>
          <cell r="K408">
            <v>0.93547060871543208</v>
          </cell>
          <cell r="L408">
            <v>0.93547060871543208</v>
          </cell>
          <cell r="M408">
            <v>0.93547060871543208</v>
          </cell>
          <cell r="N408">
            <v>0.93547060871543208</v>
          </cell>
          <cell r="O408">
            <v>0.93547060871543208</v>
          </cell>
          <cell r="P408">
            <v>0.93547060871543208</v>
          </cell>
          <cell r="Q408">
            <v>0.93547060871543208</v>
          </cell>
          <cell r="R408">
            <v>0.93547060871543219</v>
          </cell>
          <cell r="S408">
            <v>0.93547060871543208</v>
          </cell>
          <cell r="T408">
            <v>0.93547060871543208</v>
          </cell>
          <cell r="U408">
            <v>0.93547060871543208</v>
          </cell>
          <cell r="V408">
            <v>0.93547060871543208</v>
          </cell>
          <cell r="W408">
            <v>0.93547060871543197</v>
          </cell>
          <cell r="X408">
            <v>0.93547060871543208</v>
          </cell>
          <cell r="Y408">
            <v>0.93547060871543208</v>
          </cell>
          <cell r="Z408">
            <v>0.93547060871543208</v>
          </cell>
          <cell r="AA408">
            <v>0.93547060871543208</v>
          </cell>
          <cell r="AB408">
            <v>0.93547060871543197</v>
          </cell>
          <cell r="AC408">
            <v>0.93547060871543219</v>
          </cell>
          <cell r="AD408">
            <v>0.93547060871543208</v>
          </cell>
          <cell r="AE408">
            <v>0.93547060871543208</v>
          </cell>
          <cell r="AF408">
            <v>0.93547060871543208</v>
          </cell>
          <cell r="AG408">
            <v>0.93547060871543208</v>
          </cell>
          <cell r="AH408">
            <v>0.93547060871543208</v>
          </cell>
          <cell r="AI408">
            <v>0.93547060871543208</v>
          </cell>
          <cell r="AJ408">
            <v>0.93547060871543219</v>
          </cell>
          <cell r="AK408">
            <v>0.93547060871543219</v>
          </cell>
          <cell r="AL408">
            <v>0.93547060871543208</v>
          </cell>
          <cell r="AM408">
            <v>0.93547060871543208</v>
          </cell>
          <cell r="AN408">
            <v>0.93547060871543208</v>
          </cell>
          <cell r="AO408">
            <v>0.93547060871543208</v>
          </cell>
          <cell r="AP408">
            <v>0.93547060871543197</v>
          </cell>
          <cell r="AQ408">
            <v>0.93547060871543219</v>
          </cell>
          <cell r="AR408">
            <v>0.93547060871543208</v>
          </cell>
          <cell r="AS408">
            <v>0.93547060871543208</v>
          </cell>
          <cell r="AT408">
            <v>0.93547060871543208</v>
          </cell>
          <cell r="AU408">
            <v>0.93547060871543208</v>
          </cell>
          <cell r="AV408">
            <v>0.93547060871543219</v>
          </cell>
          <cell r="AW408">
            <v>0.93547060871543208</v>
          </cell>
          <cell r="AX408">
            <v>0.93547060871543208</v>
          </cell>
          <cell r="AY408">
            <v>0.93547060871543219</v>
          </cell>
          <cell r="AZ408">
            <v>0.93547060871543219</v>
          </cell>
          <cell r="BA408">
            <v>0.93547060871543208</v>
          </cell>
          <cell r="BB408">
            <v>0.93547060871543208</v>
          </cell>
          <cell r="BC408">
            <v>0.93547060871543219</v>
          </cell>
          <cell r="BD408">
            <v>0.93547060871543208</v>
          </cell>
          <cell r="BE408">
            <v>0.93547060871543208</v>
          </cell>
          <cell r="BF408">
            <v>0.93547060871543219</v>
          </cell>
          <cell r="BG408">
            <v>0.93547060871543219</v>
          </cell>
          <cell r="BH408">
            <v>0.93547060871543208</v>
          </cell>
          <cell r="BI408">
            <v>0.93547060871543208</v>
          </cell>
          <cell r="BJ408">
            <v>0.93547060871543219</v>
          </cell>
          <cell r="BK408">
            <v>0.93547060871543208</v>
          </cell>
          <cell r="BL408">
            <v>0.93547060871543208</v>
          </cell>
          <cell r="BM408">
            <v>0.93547060871543208</v>
          </cell>
          <cell r="BN408">
            <v>0.93547060871543208</v>
          </cell>
          <cell r="BO408">
            <v>0.93547060871543208</v>
          </cell>
          <cell r="BP408">
            <v>0.93035986820913819</v>
          </cell>
          <cell r="BQ408">
            <v>0.92950949266983407</v>
          </cell>
          <cell r="BR408">
            <v>0.92826157876152038</v>
          </cell>
          <cell r="BS408">
            <v>0.93927242458475446</v>
          </cell>
          <cell r="BT408">
            <v>0.93136691042883535</v>
          </cell>
          <cell r="BU408">
            <v>0.9215971884334615</v>
          </cell>
          <cell r="BV408">
            <v>0.91685318304625318</v>
          </cell>
          <cell r="BW408">
            <v>0.91379815316456503</v>
          </cell>
          <cell r="BX408">
            <v>0.90914543778503831</v>
          </cell>
          <cell r="BY408">
            <v>0.90808891108019163</v>
          </cell>
          <cell r="BZ408">
            <v>0.90411835833308773</v>
          </cell>
          <cell r="CA408">
            <v>0.89523937781828289</v>
          </cell>
          <cell r="CB408">
            <v>0.89045571617262798</v>
          </cell>
          <cell r="CC408">
            <v>0.88528560712064597</v>
          </cell>
          <cell r="CD408">
            <v>0.86750620520345445</v>
          </cell>
          <cell r="CE408">
            <v>0.83481564186840362</v>
          </cell>
          <cell r="CF408">
            <v>0.82334662620105536</v>
          </cell>
          <cell r="CG408">
            <v>0.82756111480923711</v>
          </cell>
          <cell r="CH408">
            <v>0.79097665973961984</v>
          </cell>
          <cell r="CI408">
            <v>0.77431596438930439</v>
          </cell>
          <cell r="CJ408">
            <v>0.75275849465052935</v>
          </cell>
          <cell r="CK408">
            <v>0.7385660122140989</v>
          </cell>
          <cell r="CL408">
            <v>0.69331483778463032</v>
          </cell>
          <cell r="CM408">
            <v>0.67857150702436664</v>
          </cell>
          <cell r="CN408">
            <v>0.65567720835091226</v>
          </cell>
          <cell r="CO408">
            <v>0.64055391195448586</v>
          </cell>
          <cell r="CP408">
            <v>0.59277670236241153</v>
          </cell>
          <cell r="CQ408">
            <v>0.57640151707078102</v>
          </cell>
          <cell r="CR408">
            <v>0.55277860758658981</v>
          </cell>
          <cell r="CS408">
            <v>0.53645836126288104</v>
          </cell>
          <cell r="CT408">
            <v>0.48891410037250232</v>
          </cell>
          <cell r="CU408">
            <v>0.47396392324701386</v>
          </cell>
          <cell r="CV408">
            <v>0.45445535225948086</v>
          </cell>
          <cell r="CW408">
            <v>0.44122911855077196</v>
          </cell>
          <cell r="CX408">
            <v>0.40114692617444708</v>
          </cell>
          <cell r="CY408">
            <v>0.38950313248270813</v>
          </cell>
          <cell r="CZ408">
            <v>0.37395872565559996</v>
          </cell>
          <cell r="DA408">
            <v>0.36454105167892131</v>
          </cell>
          <cell r="DB408">
            <v>0.33175336626066931</v>
          </cell>
          <cell r="DC408"/>
          <cell r="DD408" t="str">
            <v>NA</v>
          </cell>
          <cell r="DE408">
            <v>0.93547060871543208</v>
          </cell>
          <cell r="DF408">
            <v>0.93547060871543219</v>
          </cell>
          <cell r="DG408">
            <v>0.93547060871543219</v>
          </cell>
          <cell r="DH408">
            <v>0.93547060871543208</v>
          </cell>
          <cell r="DI408">
            <v>0.93547060871543219</v>
          </cell>
          <cell r="DJ408">
            <v>0.93547060871543231</v>
          </cell>
          <cell r="DK408">
            <v>0.93547060871543219</v>
          </cell>
          <cell r="DL408">
            <v>0.93547060871543208</v>
          </cell>
          <cell r="DM408">
            <v>0.93547060871543208</v>
          </cell>
          <cell r="DN408">
            <v>0.93547060871543197</v>
          </cell>
          <cell r="DO408">
            <v>0.93547060871543219</v>
          </cell>
        </row>
        <row r="409">
          <cell r="A409" t="str">
            <v>% growth in revenue y-o-y</v>
          </cell>
          <cell r="B409"/>
          <cell r="C409" t="str">
            <v>NA</v>
          </cell>
          <cell r="D409" t="str">
            <v>NA</v>
          </cell>
          <cell r="E409" t="str">
            <v>NA</v>
          </cell>
          <cell r="F409" t="str">
            <v>NA</v>
          </cell>
          <cell r="G409" t="str">
            <v>NA</v>
          </cell>
          <cell r="H409" t="str">
            <v>NA</v>
          </cell>
          <cell r="I409" t="str">
            <v>NA</v>
          </cell>
          <cell r="J409">
            <v>1.4473640642368926</v>
          </cell>
          <cell r="K409">
            <v>0.53950745750953844</v>
          </cell>
          <cell r="L409">
            <v>9.8160879600903472E-2</v>
          </cell>
          <cell r="M409">
            <v>4.7165587358443339E-2</v>
          </cell>
          <cell r="N409">
            <v>1.2920745672951428E-2</v>
          </cell>
          <cell r="O409">
            <v>2.1755587599134873E-2</v>
          </cell>
          <cell r="P409">
            <v>0.43681914749355877</v>
          </cell>
          <cell r="Q409">
            <v>0.38176035040150169</v>
          </cell>
          <cell r="R409">
            <v>0.31785830137195448</v>
          </cell>
          <cell r="S409">
            <v>7.3658863584243006E-2</v>
          </cell>
          <cell r="T409">
            <v>-0.19755873123235312</v>
          </cell>
          <cell r="U409">
            <v>-0.18169467987954435</v>
          </cell>
          <cell r="V409">
            <v>-1.0707304712952004E-2</v>
          </cell>
          <cell r="W409">
            <v>-0.7104949681659477</v>
          </cell>
          <cell r="X409">
            <v>-0.61285137413259139</v>
          </cell>
          <cell r="Y409">
            <v>-0.59971592743237156</v>
          </cell>
          <cell r="Z409">
            <v>-0.62971365010135305</v>
          </cell>
          <cell r="AA409">
            <v>0.67131101021566297</v>
          </cell>
          <cell r="AB409">
            <v>0.69572151898734225</v>
          </cell>
          <cell r="AC409">
            <v>0.62225806451612886</v>
          </cell>
          <cell r="AD409">
            <v>0.48741106719367577</v>
          </cell>
          <cell r="AE409">
            <v>0.30069394026860441</v>
          </cell>
          <cell r="AF409">
            <v>0.19522542213463545</v>
          </cell>
          <cell r="AG409">
            <v>0.19010091469477031</v>
          </cell>
          <cell r="AH409">
            <v>0.17579777579952971</v>
          </cell>
          <cell r="AI409">
            <v>0.21843160983352305</v>
          </cell>
          <cell r="AJ409">
            <v>0.23402410525628659</v>
          </cell>
          <cell r="AK409">
            <v>0.20646257807218515</v>
          </cell>
          <cell r="AL409">
            <v>0.21898072874217989</v>
          </cell>
          <cell r="AM409">
            <v>0.15317831970962659</v>
          </cell>
          <cell r="AN409">
            <v>0.13267416353227679</v>
          </cell>
          <cell r="AO409">
            <v>0.17428272557086499</v>
          </cell>
          <cell r="AP409">
            <v>0.14238854627757136</v>
          </cell>
          <cell r="AQ409">
            <v>0.17879060439603833</v>
          </cell>
          <cell r="AR409">
            <v>0.17363103217158193</v>
          </cell>
          <cell r="AS409">
            <v>0.11086231656670131</v>
          </cell>
          <cell r="AT409">
            <v>0.1005814253580799</v>
          </cell>
          <cell r="AU409">
            <v>0.27446329313801443</v>
          </cell>
          <cell r="AV409">
            <v>0.24355857195012964</v>
          </cell>
          <cell r="AW409">
            <v>0.2663397577228106</v>
          </cell>
          <cell r="AX409">
            <v>0.25424875042653694</v>
          </cell>
          <cell r="AY409">
            <v>5.5064904834978723E-2</v>
          </cell>
          <cell r="AZ409">
            <v>9.2015242979147649E-2</v>
          </cell>
          <cell r="BA409">
            <v>8.7381453979280321E-2</v>
          </cell>
          <cell r="BB409">
            <v>7.9506645686818755E-2</v>
          </cell>
          <cell r="BC409">
            <v>0.10571130425808395</v>
          </cell>
          <cell r="BD409">
            <v>9.2173206195525159E-2</v>
          </cell>
          <cell r="BE409">
            <v>9.1904410765682787E-2</v>
          </cell>
          <cell r="BF409">
            <v>0.12443743684876596</v>
          </cell>
          <cell r="BG409">
            <v>0.16642688299551556</v>
          </cell>
          <cell r="BH409">
            <v>0.15971213532151585</v>
          </cell>
          <cell r="BI409">
            <v>0.18303323750441347</v>
          </cell>
          <cell r="BJ409">
            <v>0.18486937795721792</v>
          </cell>
          <cell r="BK409">
            <v>0.1439761380414506</v>
          </cell>
          <cell r="BL409">
            <v>0.15229489824724607</v>
          </cell>
          <cell r="BM409">
            <v>0.14131565484311026</v>
          </cell>
          <cell r="BN409">
            <v>0.11193114780006996</v>
          </cell>
          <cell r="BO409">
            <v>0.11067262124848742</v>
          </cell>
          <cell r="BP409">
            <v>8.4224416005059366E-2</v>
          </cell>
          <cell r="BQ409">
            <v>8.5130385085186777E-2</v>
          </cell>
          <cell r="BR409">
            <v>7.9479692648134925E-2</v>
          </cell>
          <cell r="BS409">
            <v>6.7754378472097532E-2</v>
          </cell>
          <cell r="BT409">
            <v>5.8473894054941633E-2</v>
          </cell>
          <cell r="BU409">
            <v>2.1993428941633031E-2</v>
          </cell>
          <cell r="BV409">
            <v>3.7954203746418003E-2</v>
          </cell>
          <cell r="BW409">
            <v>2.7402189236060304E-2</v>
          </cell>
          <cell r="BX409">
            <v>9.4001242226691151E-3</v>
          </cell>
          <cell r="BY409">
            <v>4.4800302720916729E-2</v>
          </cell>
          <cell r="BZ409">
            <v>1.5755055347676628E-2</v>
          </cell>
          <cell r="CA409">
            <v>-4.430571379633319E-3</v>
          </cell>
          <cell r="CB409">
            <v>3.380865442288572E-2</v>
          </cell>
          <cell r="CC409">
            <v>2.4763764620602036E-2</v>
          </cell>
          <cell r="CD409">
            <v>2.6733520951926604E-2</v>
          </cell>
          <cell r="CE409">
            <v>3.8931224068683434E-2</v>
          </cell>
          <cell r="CF409">
            <v>3.2722762523861082E-2</v>
          </cell>
          <cell r="CG409">
            <v>4.7882426810496037E-2</v>
          </cell>
          <cell r="CH409">
            <v>3.8029244422855601E-2</v>
          </cell>
          <cell r="CI409">
            <v>4.2241040203673696E-2</v>
          </cell>
          <cell r="CJ409">
            <v>2.4041179841964855E-2</v>
          </cell>
          <cell r="CK409">
            <v>-8.5549310733079587E-4</v>
          </cell>
          <cell r="CL409">
            <v>-1.4308888630246153E-2</v>
          </cell>
          <cell r="CM409">
            <v>-4.8390571495312562E-3</v>
          </cell>
          <cell r="CN409">
            <v>-9.7869348505551512E-3</v>
          </cell>
          <cell r="CO409">
            <v>-1.7048091478043204E-2</v>
          </cell>
          <cell r="CP409">
            <v>-2.5199319543150911E-2</v>
          </cell>
          <cell r="CQ409">
            <v>-3.9386847910716893E-2</v>
          </cell>
          <cell r="CR409">
            <v>-4.8411973064167446E-2</v>
          </cell>
          <cell r="CS409">
            <v>-5.9050975220634516E-2</v>
          </cell>
          <cell r="CT409">
            <v>-6.8334454100570485E-2</v>
          </cell>
          <cell r="CU409">
            <v>-7.7681809843939131E-2</v>
          </cell>
          <cell r="CV409">
            <v>-7.9178154195482242E-2</v>
          </cell>
          <cell r="CW409">
            <v>-8.0937272105475522E-2</v>
          </cell>
          <cell r="CX409">
            <v>-8.2624760046874135E-2</v>
          </cell>
          <cell r="CY409">
            <v>-8.5205919194423774E-2</v>
          </cell>
          <cell r="CZ409">
            <v>-8.7959969660671655E-2</v>
          </cell>
          <cell r="DA409">
            <v>-8.6832224301354399E-2</v>
          </cell>
          <cell r="DB409">
            <v>-9.0011864939481878E-2</v>
          </cell>
          <cell r="DC409"/>
          <cell r="DD409" t="str">
            <v>NA</v>
          </cell>
          <cell r="DE409" t="str">
            <v>NA</v>
          </cell>
          <cell r="DF409">
            <v>0.15084913935663868</v>
          </cell>
          <cell r="DG409">
            <v>0.27737182498825463</v>
          </cell>
          <cell r="DH409">
            <v>-8.2795980811819825E-2</v>
          </cell>
          <cell r="DI409">
            <v>-0.6400804561170752</v>
          </cell>
          <cell r="DJ409">
            <v>0.60926277112717786</v>
          </cell>
          <cell r="DK409">
            <v>0.21138763455313447</v>
          </cell>
          <cell r="DL409">
            <v>0.2193253669193953</v>
          </cell>
          <cell r="DM409">
            <v>0.15054517473449147</v>
          </cell>
          <cell r="DN409">
            <v>0.13918119146523744</v>
          </cell>
          <cell r="DO409">
            <v>0.25948999670971151</v>
          </cell>
        </row>
        <row r="410">
          <cell r="A410" t="str">
            <v>% growth in revenue seq</v>
          </cell>
          <cell r="B410"/>
          <cell r="C410" t="str">
            <v>NA</v>
          </cell>
          <cell r="D410" t="str">
            <v>NA</v>
          </cell>
          <cell r="E410" t="str">
            <v>NA</v>
          </cell>
          <cell r="F410" t="str">
            <v>NA</v>
          </cell>
          <cell r="G410">
            <v>0.70466639861876579</v>
          </cell>
          <cell r="H410">
            <v>0.11802983003815459</v>
          </cell>
          <cell r="I410">
            <v>0.13637040530143185</v>
          </cell>
          <cell r="J410">
            <v>0.13001932926363158</v>
          </cell>
          <cell r="K410">
            <v>7.2315587038665585E-2</v>
          </cell>
          <cell r="L410">
            <v>-0.20248738284066314</v>
          </cell>
          <cell r="M410">
            <v>8.3600777471409815E-2</v>
          </cell>
          <cell r="N410">
            <v>9.306497027844407E-2</v>
          </cell>
          <cell r="O410">
            <v>8.1668479401606708E-2</v>
          </cell>
          <cell r="P410">
            <v>0.12148287967258797</v>
          </cell>
          <cell r="Q410">
            <v>4.2077280627934366E-2</v>
          </cell>
          <cell r="R410">
            <v>4.2514170132154083E-2</v>
          </cell>
          <cell r="S410">
            <v>-0.11876493158618717</v>
          </cell>
          <cell r="T410">
            <v>-0.16181556787841433</v>
          </cell>
          <cell r="U410">
            <v>6.2678872466381819E-2</v>
          </cell>
          <cell r="V410">
            <v>0.26035066360458536</v>
          </cell>
          <cell r="W410">
            <v>-0.74211677924054698</v>
          </cell>
          <cell r="X410">
            <v>0.12088535754823915</v>
          </cell>
          <cell r="Y410">
            <v>9.87341772151904E-2</v>
          </cell>
          <cell r="Z410">
            <v>0.16589861751152113</v>
          </cell>
          <cell r="AA410">
            <v>0.16397233201581018</v>
          </cell>
          <cell r="AB410">
            <v>0.1372565665483807</v>
          </cell>
          <cell r="AC410">
            <v>5.1133903644317025E-2</v>
          </cell>
          <cell r="AD410">
            <v>6.8985597818368216E-2</v>
          </cell>
          <cell r="AE410">
            <v>1.7856994804884119E-2</v>
          </cell>
          <cell r="AF410">
            <v>4.504058775538855E-2</v>
          </cell>
          <cell r="AG410">
            <v>4.6627185991090059E-2</v>
          </cell>
          <cell r="AH410">
            <v>5.6138074306860242E-2</v>
          </cell>
          <cell r="AI410">
            <v>5.4763975818130639E-2</v>
          </cell>
          <cell r="AJ410">
            <v>5.8414166091397268E-2</v>
          </cell>
          <cell r="AK410">
            <v>2.325110807215669E-2</v>
          </cell>
          <cell r="AL410">
            <v>6.7096471013716297E-2</v>
          </cell>
          <cell r="AM410">
            <v>-2.1737664554525304E-3</v>
          </cell>
          <cell r="AN410">
            <v>3.9594969622873677E-2</v>
          </cell>
          <cell r="AO410">
            <v>6.0840035746202004E-2</v>
          </cell>
          <cell r="AP410">
            <v>3.8113530680325081E-2</v>
          </cell>
          <cell r="AQ410">
            <v>2.9621832917437363E-2</v>
          </cell>
          <cell r="AR410">
            <v>3.5044657370682852E-2</v>
          </cell>
          <cell r="AS410">
            <v>4.1036640239777711E-3</v>
          </cell>
          <cell r="AT410">
            <v>2.8505920347382974E-2</v>
          </cell>
          <cell r="AU410">
            <v>0.19229272967224542</v>
          </cell>
          <cell r="AV410">
            <v>9.945647673597291E-3</v>
          </cell>
          <cell r="AW410">
            <v>2.2498191327414929E-2</v>
          </cell>
          <cell r="AX410">
            <v>1.868574964568781E-2</v>
          </cell>
          <cell r="AY410">
            <v>2.947951863049747E-3</v>
          </cell>
          <cell r="AZ410">
            <v>4.5315825392292064E-2</v>
          </cell>
          <cell r="BA410">
            <v>1.8159386624990281E-2</v>
          </cell>
          <cell r="BB410">
            <v>1.1308435126145655E-2</v>
          </cell>
          <cell r="BC410">
            <v>2.7294174045498387E-2</v>
          </cell>
          <cell r="BD410">
            <v>3.2517196947409621E-2</v>
          </cell>
          <cell r="BE410">
            <v>1.7908806782504172E-2</v>
          </cell>
          <cell r="BF410">
            <v>4.1440123736991685E-2</v>
          </cell>
          <cell r="BG410">
            <v>6.5656035705707882E-2</v>
          </cell>
          <cell r="BH410">
            <v>2.6573324641618434E-2</v>
          </cell>
          <cell r="BI410">
            <v>3.8378330703856545E-2</v>
          </cell>
          <cell r="BJ410">
            <v>4.3056502955889142E-2</v>
          </cell>
          <cell r="BK410">
            <v>2.8877190082294169E-2</v>
          </cell>
          <cell r="BL410">
            <v>3.4038355630796602E-2</v>
          </cell>
          <cell r="BM410">
            <v>2.8484501914265214E-2</v>
          </cell>
          <cell r="BN410">
            <v>1.6201792756010525E-2</v>
          </cell>
          <cell r="BO410">
            <v>2.771266720279919E-2</v>
          </cell>
          <cell r="BP410">
            <v>9.4150254648308618E-3</v>
          </cell>
          <cell r="BQ410">
            <v>2.9343895176739077E-2</v>
          </cell>
          <cell r="BR410">
            <v>1.0910038084156914E-2</v>
          </cell>
          <cell r="BS410">
            <v>1.6549646733108991E-2</v>
          </cell>
          <cell r="BT410">
            <v>6.4160284709902093E-4</v>
          </cell>
          <cell r="BU410">
            <v>-6.1326000571084727E-3</v>
          </cell>
          <cell r="BV410">
            <v>2.6697720283314519E-2</v>
          </cell>
          <cell r="BW410">
            <v>6.215234497858324E-3</v>
          </cell>
          <cell r="BX410">
            <v>-1.6891565154958488E-2</v>
          </cell>
          <cell r="BY410">
            <v>2.8722837858219608E-2</v>
          </cell>
          <cell r="BZ410">
            <v>-1.8442787814925143E-3</v>
          </cell>
          <cell r="CA410">
            <v>-1.3780811816628713E-2</v>
          </cell>
          <cell r="CB410">
            <v>2.086904133583789E-2</v>
          </cell>
          <cell r="CC410">
            <v>1.9722444346603529E-2</v>
          </cell>
          <cell r="CD410">
            <v>7.4332726249348724E-5</v>
          </cell>
          <cell r="CE410">
            <v>-2.0644232698161513E-3</v>
          </cell>
          <cell r="CF410">
            <v>1.4768516066598014E-2</v>
          </cell>
          <cell r="CG410">
            <v>3.4691272848129229E-2</v>
          </cell>
          <cell r="CH410">
            <v>-9.3293127109037588E-3</v>
          </cell>
          <cell r="CI410">
            <v>1.9846927586417706E-3</v>
          </cell>
          <cell r="CJ410">
            <v>-2.95161255956089E-3</v>
          </cell>
          <cell r="CK410">
            <v>9.5356729262923157E-3</v>
          </cell>
          <cell r="CL410">
            <v>-2.2668608975973892E-2</v>
          </cell>
          <cell r="CM410">
            <v>1.1611061584768656E-2</v>
          </cell>
          <cell r="CN410">
            <v>-7.9088745165342145E-3</v>
          </cell>
          <cell r="CO410">
            <v>2.1328250947016958E-3</v>
          </cell>
          <cell r="CP410">
            <v>-3.0773228331568592E-2</v>
          </cell>
          <cell r="CQ410">
            <v>-3.1122156152956215E-3</v>
          </cell>
          <cell r="CR410">
            <v>-1.7229740623397327E-2</v>
          </cell>
          <cell r="CS410">
            <v>-9.0712810788282638E-3</v>
          </cell>
          <cell r="CT410">
            <v>-4.0335697740325638E-2</v>
          </cell>
          <cell r="CU410">
            <v>-1.3113942949611324E-2</v>
          </cell>
          <cell r="CV410">
            <v>-1.8824160794416511E-2</v>
          </cell>
          <cell r="CW410">
            <v>-1.0964329625540281E-2</v>
          </cell>
          <cell r="CX410">
            <v>-4.2097734093996197E-2</v>
          </cell>
          <cell r="CY410">
            <v>-1.5890680169895255E-2</v>
          </cell>
          <cell r="CZ410">
            <v>-2.1778058107630116E-2</v>
          </cell>
          <cell r="DA410">
            <v>-9.7413784936156711E-3</v>
          </cell>
          <cell r="DB410">
            <v>-4.5433139758852104E-2</v>
          </cell>
          <cell r="DC410"/>
          <cell r="DD410"/>
          <cell r="DE410"/>
          <cell r="DF410"/>
          <cell r="DG410"/>
          <cell r="DH410"/>
          <cell r="DI410"/>
          <cell r="DJ410"/>
          <cell r="DK410"/>
          <cell r="DL410"/>
          <cell r="DM410"/>
          <cell r="DN410"/>
          <cell r="DO410"/>
        </row>
        <row r="411">
          <cell r="A411"/>
          <cell r="B411"/>
          <cell r="C411"/>
          <cell r="D411"/>
          <cell r="E411"/>
          <cell r="F411"/>
          <cell r="G411"/>
          <cell r="H411"/>
          <cell r="I411"/>
          <cell r="J411"/>
          <cell r="K411"/>
          <cell r="L411"/>
          <cell r="M411"/>
          <cell r="N411"/>
          <cell r="O411"/>
          <cell r="P411"/>
          <cell r="Q411"/>
          <cell r="R411"/>
          <cell r="S411"/>
          <cell r="T411"/>
          <cell r="U411"/>
          <cell r="V411"/>
          <cell r="W411"/>
          <cell r="X411"/>
          <cell r="Y411"/>
          <cell r="Z411"/>
          <cell r="AA411"/>
          <cell r="AB411"/>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cell r="BL411"/>
          <cell r="BM411"/>
          <cell r="BN411"/>
          <cell r="BO411"/>
          <cell r="BP411"/>
          <cell r="BQ411"/>
          <cell r="BR411"/>
          <cell r="BS411"/>
          <cell r="BT411"/>
          <cell r="BU411"/>
          <cell r="BV411"/>
          <cell r="BW411"/>
          <cell r="BX411"/>
          <cell r="BY411"/>
          <cell r="BZ411"/>
          <cell r="CA411"/>
          <cell r="CB411"/>
          <cell r="CC411"/>
          <cell r="CD411"/>
          <cell r="CE411"/>
          <cell r="CF411"/>
          <cell r="CG411"/>
          <cell r="CH411"/>
          <cell r="CI411"/>
          <cell r="CJ411"/>
          <cell r="CK411"/>
          <cell r="CL411"/>
          <cell r="CM411"/>
          <cell r="CN411"/>
          <cell r="CO411"/>
          <cell r="CP411"/>
          <cell r="CQ411"/>
          <cell r="CR411"/>
          <cell r="CS411"/>
          <cell r="CT411"/>
          <cell r="CU411"/>
          <cell r="CV411"/>
          <cell r="CW411"/>
          <cell r="CX411"/>
          <cell r="CY411"/>
          <cell r="CZ411"/>
          <cell r="DA411"/>
          <cell r="DB411"/>
          <cell r="DC411"/>
          <cell r="DD411"/>
          <cell r="DE411"/>
          <cell r="DF411"/>
          <cell r="DG411"/>
          <cell r="DH411"/>
          <cell r="DI411"/>
          <cell r="DJ411"/>
          <cell r="DK411"/>
          <cell r="DL411"/>
          <cell r="DM411"/>
          <cell r="DN411"/>
          <cell r="DO411"/>
        </row>
        <row r="412">
          <cell r="A412" t="str">
            <v>CSP + Term Based</v>
          </cell>
          <cell r="B412"/>
          <cell r="C412" t="e">
            <v>#DIV/0!</v>
          </cell>
          <cell r="D412" t="e">
            <v>#DIV/0!</v>
          </cell>
          <cell r="E412">
            <v>0</v>
          </cell>
          <cell r="F412">
            <v>2.8830548918424772</v>
          </cell>
          <cell r="G412">
            <v>4.9146467994973317</v>
          </cell>
          <cell r="H412">
            <v>5.494721725939562</v>
          </cell>
          <cell r="I412">
            <v>6.2440391547245238</v>
          </cell>
          <cell r="J412">
            <v>7.0558849375176598</v>
          </cell>
          <cell r="K412">
            <v>7.566135398851527</v>
          </cell>
          <cell r="L412">
            <v>6.034088443719984</v>
          </cell>
          <cell r="M412">
            <v>6.5385429289462236</v>
          </cell>
          <cell r="N412">
            <v>7.1470522322929337</v>
          </cell>
          <cell r="O412">
            <v>7.7307411203081573</v>
          </cell>
          <cell r="P412">
            <v>8.6698938136064818</v>
          </cell>
          <cell r="Q412">
            <v>9.0346993686159944</v>
          </cell>
          <cell r="R412">
            <v>9.4188021146662013</v>
          </cell>
          <cell r="S412">
            <v>8.3001787258940336</v>
          </cell>
          <cell r="T412">
            <v>6.9570805918711578</v>
          </cell>
          <cell r="U412">
            <v>7.3931425590273898</v>
          </cell>
          <cell r="V412">
            <v>9.3179521303934738</v>
          </cell>
          <cell r="W412">
            <v>2.4029435062682762</v>
          </cell>
          <cell r="X412">
            <v>2.693424191191736</v>
          </cell>
          <cell r="Y412">
            <v>2.9593572126005419</v>
          </cell>
          <cell r="Z412">
            <v>3.4503104828937206</v>
          </cell>
          <cell r="AA412">
            <v>4.0160659389523996</v>
          </cell>
          <cell r="AB412">
            <v>4.5672973607649041</v>
          </cell>
          <cell r="AC412">
            <v>4.8008411039252001</v>
          </cell>
          <cell r="AD412">
            <v>5.1320299975104744</v>
          </cell>
          <cell r="AE412">
            <v>5.2236726305145291</v>
          </cell>
          <cell r="AF412">
            <v>5.4589499160346389</v>
          </cell>
          <cell r="AG412">
            <v>5.7134853890856316</v>
          </cell>
          <cell r="AH412">
            <v>6.0342294564092809</v>
          </cell>
          <cell r="AI412">
            <v>6.364687852441131</v>
          </cell>
          <cell r="AJ412">
            <v>6.7364757857735258</v>
          </cell>
          <cell r="AK412">
            <v>6.8931063122940133</v>
          </cell>
          <cell r="AL412">
            <v>7.355609420171314</v>
          </cell>
          <cell r="AM412">
            <v>7.3396200431543352</v>
          </cell>
          <cell r="AN412">
            <v>7.6302320758064646</v>
          </cell>
          <cell r="AO412">
            <v>8.0944556680503474</v>
          </cell>
          <cell r="AP412">
            <v>8.4029639524951154</v>
          </cell>
          <cell r="AQ412">
            <v>8.6518751467071748</v>
          </cell>
          <cell r="AR412">
            <v>8.9550771468374535</v>
          </cell>
          <cell r="AS412">
            <v>8.9918257747568759</v>
          </cell>
          <cell r="AT412">
            <v>9.2481460440696388</v>
          </cell>
          <cell r="AU412">
            <v>11.026497291291367</v>
          </cell>
          <cell r="AV412">
            <v>11.136162948424426</v>
          </cell>
          <cell r="AW412">
            <v>11.386706473091346</v>
          </cell>
          <cell r="AX412">
            <v>11.599475619536465</v>
          </cell>
          <cell r="AY412">
            <v>11.633670315299478</v>
          </cell>
          <cell r="AZ412">
            <v>12.16085968797908</v>
          </cell>
          <cell r="BA412">
            <v>12.381693440745352</v>
          </cell>
          <cell r="BB412">
            <v>12.521711017771842</v>
          </cell>
          <cell r="BC412">
            <v>12.86348077763834</v>
          </cell>
          <cell r="BD412">
            <v>13.281765115514025</v>
          </cell>
          <cell r="BE412">
            <v>13.519625680698372</v>
          </cell>
          <cell r="BF412">
            <v>14.079880641784325</v>
          </cell>
          <cell r="BG412">
            <v>15.004309787933421</v>
          </cell>
          <cell r="BH412">
            <v>15.40302418295159</v>
          </cell>
          <cell r="BI412">
            <v>15.994166538884404</v>
          </cell>
          <cell r="BJ412">
            <v>16.682819417742866</v>
          </cell>
          <cell r="BK412">
            <v>17.164572365177612</v>
          </cell>
          <cell r="BL412">
            <v>17.748826183594073</v>
          </cell>
          <cell r="BM412">
            <v>18.254392656996618</v>
          </cell>
          <cell r="BN412">
            <v>18.550146543712117</v>
          </cell>
          <cell r="BO412">
            <v>19.06422058144117</v>
          </cell>
          <cell r="BP412">
            <v>20.88190010984075</v>
          </cell>
          <cell r="BQ412">
            <v>21.777032443823195</v>
          </cell>
          <cell r="BR412">
            <v>22.434471338366286</v>
          </cell>
          <cell r="BS412">
            <v>19.07907712782881</v>
          </cell>
          <cell r="BT412">
            <v>21.759769692193856</v>
          </cell>
          <cell r="BU412">
            <v>24.466662503401352</v>
          </cell>
          <cell r="BV412">
            <v>25.372651044039003</v>
          </cell>
          <cell r="BW412">
            <v>25.985135580000001</v>
          </cell>
          <cell r="BX412">
            <v>27.168044300000002</v>
          </cell>
          <cell r="BY412">
            <v>28.1747698</v>
          </cell>
          <cell r="BZ412">
            <v>29.595925430000001</v>
          </cell>
          <cell r="CA412">
            <v>31.127330090000001</v>
          </cell>
          <cell r="CB412">
            <v>33.08340492</v>
          </cell>
          <cell r="CC412">
            <v>35.599999999999994</v>
          </cell>
          <cell r="CD412">
            <v>39.895242080900005</v>
          </cell>
          <cell r="CE412">
            <v>50.592710968344505</v>
          </cell>
          <cell r="CF412">
            <v>50.908506130113082</v>
          </cell>
          <cell r="CG412">
            <v>44.603043669294827</v>
          </cell>
          <cell r="CH412">
            <v>48.86206164922573</v>
          </cell>
          <cell r="CI412">
            <v>50.318901386286015</v>
          </cell>
          <cell r="CJ412">
            <v>52.502529267343455</v>
          </cell>
          <cell r="CK412">
            <v>54.242664066314347</v>
          </cell>
          <cell r="CL412">
            <v>60.183134444028219</v>
          </cell>
          <cell r="CM412">
            <v>62.497337392911497</v>
          </cell>
          <cell r="CN412">
            <v>65.720141006093158</v>
          </cell>
          <cell r="CO412">
            <v>68.109758652943668</v>
          </cell>
          <cell r="CP412">
            <v>75.998653180933076</v>
          </cell>
          <cell r="CQ412">
            <v>78.932906287339009</v>
          </cell>
          <cell r="CR412">
            <v>82.997729627649292</v>
          </cell>
          <cell r="CS412">
            <v>86.007889300944612</v>
          </cell>
          <cell r="CT412">
            <v>95.924265959509128</v>
          </cell>
          <cell r="CU412">
            <v>98.66362661751927</v>
          </cell>
          <cell r="CV412">
            <v>102.5693128530789</v>
          </cell>
          <cell r="CW412">
            <v>105.35614377995174</v>
          </cell>
          <cell r="CX412">
            <v>115.33350263422301</v>
          </cell>
          <cell r="CY412">
            <v>117.8014737885462</v>
          </cell>
          <cell r="CZ412">
            <v>121.49803742491856</v>
          </cell>
          <cell r="DA412">
            <v>124.03128430734579</v>
          </cell>
          <cell r="DB412">
            <v>134.09736713352444</v>
          </cell>
          <cell r="DC412"/>
          <cell r="DD412"/>
          <cell r="DE412">
            <v>23.709292617679075</v>
          </cell>
          <cell r="DF412">
            <v>27.285819003810666</v>
          </cell>
          <cell r="DG412">
            <v>34.854136417196834</v>
          </cell>
          <cell r="DH412">
            <v>31.968354007186058</v>
          </cell>
          <cell r="DI412">
            <v>11.506035392954274</v>
          </cell>
          <cell r="DJ412">
            <v>18.516234401152978</v>
          </cell>
          <cell r="DK412">
            <v>22.430337392044084</v>
          </cell>
          <cell r="DL412">
            <v>27.349879370679986</v>
          </cell>
          <cell r="DM412">
            <v>31.467271739506259</v>
          </cell>
          <cell r="DN412">
            <v>35.846924112371141</v>
          </cell>
          <cell r="DO412">
            <v>45.148842332343598</v>
          </cell>
        </row>
        <row r="413">
          <cell r="A413" t="str">
            <v>% of WS recurring revenue</v>
          </cell>
          <cell r="B413"/>
          <cell r="C413" t="str">
            <v>NA</v>
          </cell>
          <cell r="D413" t="str">
            <v>NA</v>
          </cell>
          <cell r="E413" t="str">
            <v>NA</v>
          </cell>
          <cell r="F413">
            <v>6.4529391284567902E-2</v>
          </cell>
          <cell r="G413">
            <v>6.4529391284567916E-2</v>
          </cell>
          <cell r="H413">
            <v>6.4529391284567916E-2</v>
          </cell>
          <cell r="I413">
            <v>6.4529391284567916E-2</v>
          </cell>
          <cell r="J413">
            <v>6.4529391284567902E-2</v>
          </cell>
          <cell r="K413">
            <v>6.4529391284567902E-2</v>
          </cell>
          <cell r="L413">
            <v>6.4529391284567902E-2</v>
          </cell>
          <cell r="M413">
            <v>6.4529391284567902E-2</v>
          </cell>
          <cell r="N413">
            <v>6.4529391284567902E-2</v>
          </cell>
          <cell r="O413">
            <v>6.4529391284567916E-2</v>
          </cell>
          <cell r="P413">
            <v>6.4529391284567902E-2</v>
          </cell>
          <cell r="Q413">
            <v>6.4529391284567902E-2</v>
          </cell>
          <cell r="R413">
            <v>6.4529391284567916E-2</v>
          </cell>
          <cell r="S413">
            <v>6.4529391284567902E-2</v>
          </cell>
          <cell r="T413">
            <v>6.4529391284567902E-2</v>
          </cell>
          <cell r="U413">
            <v>6.4529391284567902E-2</v>
          </cell>
          <cell r="V413">
            <v>6.4529391284567902E-2</v>
          </cell>
          <cell r="W413">
            <v>6.4529391284567902E-2</v>
          </cell>
          <cell r="X413">
            <v>6.4529391284567902E-2</v>
          </cell>
          <cell r="Y413">
            <v>6.4529391284567902E-2</v>
          </cell>
          <cell r="Z413">
            <v>6.4529391284567916E-2</v>
          </cell>
          <cell r="AA413">
            <v>6.4529391284567902E-2</v>
          </cell>
          <cell r="AB413">
            <v>6.4529391284567889E-2</v>
          </cell>
          <cell r="AC413">
            <v>6.4529391284567902E-2</v>
          </cell>
          <cell r="AD413">
            <v>6.4529391284567902E-2</v>
          </cell>
          <cell r="AE413">
            <v>6.4529391284567902E-2</v>
          </cell>
          <cell r="AF413">
            <v>6.4529391284567889E-2</v>
          </cell>
          <cell r="AG413">
            <v>6.4529391284567889E-2</v>
          </cell>
          <cell r="AH413">
            <v>6.4529391284567889E-2</v>
          </cell>
          <cell r="AI413">
            <v>6.4529391284567889E-2</v>
          </cell>
          <cell r="AJ413">
            <v>6.4529391284567902E-2</v>
          </cell>
          <cell r="AK413">
            <v>6.4529391284567902E-2</v>
          </cell>
          <cell r="AL413">
            <v>6.4529391284567889E-2</v>
          </cell>
          <cell r="AM413">
            <v>6.4529391284567889E-2</v>
          </cell>
          <cell r="AN413">
            <v>6.4529391284567889E-2</v>
          </cell>
          <cell r="AO413">
            <v>6.4529391284567902E-2</v>
          </cell>
          <cell r="AP413">
            <v>6.4529391284567889E-2</v>
          </cell>
          <cell r="AQ413">
            <v>6.4529391284567902E-2</v>
          </cell>
          <cell r="AR413">
            <v>6.4529391284567889E-2</v>
          </cell>
          <cell r="AS413">
            <v>6.4529391284567902E-2</v>
          </cell>
          <cell r="AT413">
            <v>6.4529391284567889E-2</v>
          </cell>
          <cell r="AU413">
            <v>6.4529391284567889E-2</v>
          </cell>
          <cell r="AV413">
            <v>6.4529391284567902E-2</v>
          </cell>
          <cell r="AW413">
            <v>6.4529391284567889E-2</v>
          </cell>
          <cell r="AX413">
            <v>6.4529391284567889E-2</v>
          </cell>
          <cell r="AY413">
            <v>6.4529391284567902E-2</v>
          </cell>
          <cell r="AZ413">
            <v>6.4529391284567902E-2</v>
          </cell>
          <cell r="BA413">
            <v>6.4529391284567902E-2</v>
          </cell>
          <cell r="BB413">
            <v>6.4529391284567889E-2</v>
          </cell>
          <cell r="BC413">
            <v>6.4529391284567902E-2</v>
          </cell>
          <cell r="BD413">
            <v>6.4529391284567889E-2</v>
          </cell>
          <cell r="BE413">
            <v>6.4529391284567902E-2</v>
          </cell>
          <cell r="BF413">
            <v>6.4529391284567902E-2</v>
          </cell>
          <cell r="BG413">
            <v>6.4529391284567902E-2</v>
          </cell>
          <cell r="BH413">
            <v>6.4529391284567902E-2</v>
          </cell>
          <cell r="BI413">
            <v>6.4529391284567889E-2</v>
          </cell>
          <cell r="BJ413">
            <v>6.4529391284567902E-2</v>
          </cell>
          <cell r="BK413">
            <v>6.4529391284567889E-2</v>
          </cell>
          <cell r="BL413">
            <v>6.4529391284567902E-2</v>
          </cell>
          <cell r="BM413">
            <v>6.4529391284567889E-2</v>
          </cell>
          <cell r="BN413">
            <v>6.4529391284567889E-2</v>
          </cell>
          <cell r="BO413">
            <v>6.4529391284567889E-2</v>
          </cell>
          <cell r="BP413">
            <v>6.9640131790861939E-2</v>
          </cell>
          <cell r="BQ413">
            <v>7.049050733016593E-2</v>
          </cell>
          <cell r="BR413">
            <v>7.1738421238479635E-2</v>
          </cell>
          <cell r="BS413">
            <v>6.0727575415245587E-2</v>
          </cell>
          <cell r="BT413">
            <v>6.8633089571164665E-2</v>
          </cell>
          <cell r="BU413">
            <v>7.6832661540361391E-2</v>
          </cell>
          <cell r="BV413">
            <v>7.7206355320062037E-2</v>
          </cell>
          <cell r="BW413">
            <v>7.8319838323329366E-2</v>
          </cell>
          <cell r="BX413">
            <v>8.2867996175201616E-2</v>
          </cell>
          <cell r="BY413">
            <v>8.3442145878457247E-2</v>
          </cell>
          <cell r="BZ413">
            <v>8.7429023409375847E-2</v>
          </cell>
          <cell r="CA413">
            <v>9.2322172363659541E-2</v>
          </cell>
          <cell r="CB413">
            <v>9.5604307483242293E-2</v>
          </cell>
          <cell r="CC413">
            <v>0.10030125257587366</v>
          </cell>
          <cell r="CD413">
            <v>0.1101372855376327</v>
          </cell>
          <cell r="CE413">
            <v>0.13468421441089098</v>
          </cell>
          <cell r="CF413">
            <v>0.13171773295688219</v>
          </cell>
          <cell r="CG413">
            <v>0.11210499647863939</v>
          </cell>
          <cell r="CH413">
            <v>0.11848586424199832</v>
          </cell>
          <cell r="CI413">
            <v>0.1192118319590562</v>
          </cell>
          <cell r="CJ413">
            <v>0.12128012987003971</v>
          </cell>
          <cell r="CK413">
            <v>0.12177620121092382</v>
          </cell>
          <cell r="CL413">
            <v>0.12977634607053024</v>
          </cell>
          <cell r="CM413">
            <v>0.13038685503814229</v>
          </cell>
          <cell r="CN413">
            <v>0.13354071110594151</v>
          </cell>
          <cell r="CO413">
            <v>0.13491643337024545</v>
          </cell>
          <cell r="CP413">
            <v>0.14373794890891556</v>
          </cell>
          <cell r="CQ413">
            <v>0.14561675727323697</v>
          </cell>
          <cell r="CR413">
            <v>0.14941478748523976</v>
          </cell>
          <cell r="CS413">
            <v>0.15163799538893136</v>
          </cell>
          <cell r="CT413">
            <v>0.16061105432307726</v>
          </cell>
          <cell r="CU413">
            <v>0.16227429587076345</v>
          </cell>
          <cell r="CV413">
            <v>0.16485768457354108</v>
          </cell>
          <cell r="CW413">
            <v>0.16623122453278494</v>
          </cell>
          <cell r="CX413">
            <v>0.17271351462182921</v>
          </cell>
          <cell r="CY413">
            <v>0.1740546801232225</v>
          </cell>
          <cell r="CZ413">
            <v>0.17618931245143324</v>
          </cell>
          <cell r="DA413">
            <v>0.17705805027305802</v>
          </cell>
          <cell r="DB413">
            <v>0.18250183314908919</v>
          </cell>
          <cell r="DC413"/>
          <cell r="DD413" t="str">
            <v>NA</v>
          </cell>
          <cell r="DE413">
            <v>6.4529391284567902E-2</v>
          </cell>
          <cell r="DF413">
            <v>6.4529391284567902E-2</v>
          </cell>
          <cell r="DG413">
            <v>6.4529391284567902E-2</v>
          </cell>
          <cell r="DH413">
            <v>6.4529391284567916E-2</v>
          </cell>
          <cell r="DI413">
            <v>6.4529391284567916E-2</v>
          </cell>
          <cell r="DJ413">
            <v>6.4529391284567902E-2</v>
          </cell>
          <cell r="DK413">
            <v>6.4529391284567902E-2</v>
          </cell>
          <cell r="DL413">
            <v>6.4529391284567902E-2</v>
          </cell>
          <cell r="DM413">
            <v>6.4529391284567889E-2</v>
          </cell>
          <cell r="DN413">
            <v>6.4529391284567889E-2</v>
          </cell>
          <cell r="DO413">
            <v>6.4529391284567889E-2</v>
          </cell>
        </row>
        <row r="414">
          <cell r="A414" t="str">
            <v>% growth in revenue y-o-y</v>
          </cell>
          <cell r="B414"/>
          <cell r="C414" t="str">
            <v>NA</v>
          </cell>
          <cell r="D414" t="str">
            <v>NA</v>
          </cell>
          <cell r="E414" t="str">
            <v>NA</v>
          </cell>
          <cell r="F414" t="str">
            <v>NA</v>
          </cell>
          <cell r="G414" t="str">
            <v>NA</v>
          </cell>
          <cell r="H414" t="str">
            <v>NA</v>
          </cell>
          <cell r="I414" t="str">
            <v>NA</v>
          </cell>
          <cell r="J414">
            <v>1.4473640642368926</v>
          </cell>
          <cell r="K414">
            <v>0.53950745750953844</v>
          </cell>
          <cell r="L414">
            <v>9.8160879600903472E-2</v>
          </cell>
          <cell r="M414">
            <v>4.7165587358443339E-2</v>
          </cell>
          <cell r="N414">
            <v>1.2920745672951428E-2</v>
          </cell>
          <cell r="O414">
            <v>2.1755587599134873E-2</v>
          </cell>
          <cell r="P414">
            <v>0.43681914749355877</v>
          </cell>
          <cell r="Q414">
            <v>0.38176035040150169</v>
          </cell>
          <cell r="R414">
            <v>0.31785830137195448</v>
          </cell>
          <cell r="S414">
            <v>7.3658863584243006E-2</v>
          </cell>
          <cell r="T414">
            <v>-0.19755873123235312</v>
          </cell>
          <cell r="U414">
            <v>-0.18169467987954435</v>
          </cell>
          <cell r="V414">
            <v>-1.0707304712952004E-2</v>
          </cell>
          <cell r="W414">
            <v>-0.71049496816594759</v>
          </cell>
          <cell r="X414">
            <v>-0.61285137413259139</v>
          </cell>
          <cell r="Y414">
            <v>-0.59971592743237156</v>
          </cell>
          <cell r="Z414">
            <v>-0.62971365010135305</v>
          </cell>
          <cell r="AA414">
            <v>0.67131101021566275</v>
          </cell>
          <cell r="AB414">
            <v>0.69572151898734225</v>
          </cell>
          <cell r="AC414">
            <v>0.62225806451612864</v>
          </cell>
          <cell r="AD414">
            <v>0.48741106719367533</v>
          </cell>
          <cell r="AE414">
            <v>0.30069394026860441</v>
          </cell>
          <cell r="AF414">
            <v>0.19522542213463545</v>
          </cell>
          <cell r="AG414">
            <v>0.19010091469477031</v>
          </cell>
          <cell r="AH414">
            <v>0.17579777579952949</v>
          </cell>
          <cell r="AI414">
            <v>0.21843160983352283</v>
          </cell>
          <cell r="AJ414">
            <v>0.23402410525628659</v>
          </cell>
          <cell r="AK414">
            <v>0.20646257807218515</v>
          </cell>
          <cell r="AL414">
            <v>0.21898072874218011</v>
          </cell>
          <cell r="AM414">
            <v>0.15317831970962659</v>
          </cell>
          <cell r="AN414">
            <v>0.13267416353227657</v>
          </cell>
          <cell r="AO414">
            <v>0.17428272557086499</v>
          </cell>
          <cell r="AP414">
            <v>0.14238854627757114</v>
          </cell>
          <cell r="AQ414">
            <v>0.17879060439603811</v>
          </cell>
          <cell r="AR414">
            <v>0.17363103217158193</v>
          </cell>
          <cell r="AS414">
            <v>0.11086231656670154</v>
          </cell>
          <cell r="AT414">
            <v>0.1005814253580799</v>
          </cell>
          <cell r="AU414">
            <v>0.27446329313801443</v>
          </cell>
          <cell r="AV414">
            <v>0.24355857195012964</v>
          </cell>
          <cell r="AW414">
            <v>0.2663397577228106</v>
          </cell>
          <cell r="AX414">
            <v>0.25424875042653694</v>
          </cell>
          <cell r="AY414">
            <v>5.5064904834978723E-2</v>
          </cell>
          <cell r="AZ414">
            <v>9.2015242979147649E-2</v>
          </cell>
          <cell r="BA414">
            <v>8.7381453979280321E-2</v>
          </cell>
          <cell r="BB414">
            <v>7.9506645686818755E-2</v>
          </cell>
          <cell r="BC414">
            <v>0.10571130425808395</v>
          </cell>
          <cell r="BD414">
            <v>9.2173206195525159E-2</v>
          </cell>
          <cell r="BE414">
            <v>9.1904410765682787E-2</v>
          </cell>
          <cell r="BF414">
            <v>0.12443743684876618</v>
          </cell>
          <cell r="BG414">
            <v>0.16642688299551556</v>
          </cell>
          <cell r="BH414">
            <v>0.15971213532151585</v>
          </cell>
          <cell r="BI414">
            <v>0.18303323750441347</v>
          </cell>
          <cell r="BJ414">
            <v>0.18486937795721792</v>
          </cell>
          <cell r="BK414">
            <v>0.1439761380414506</v>
          </cell>
          <cell r="BL414">
            <v>0.15229489824724607</v>
          </cell>
          <cell r="BM414">
            <v>0.14131565484311048</v>
          </cell>
          <cell r="BN414">
            <v>0.11193114780006974</v>
          </cell>
          <cell r="BO414">
            <v>0.11067262124848742</v>
          </cell>
          <cell r="BP414">
            <v>0.17652288065915589</v>
          </cell>
          <cell r="BQ414">
            <v>0.19297491036911629</v>
          </cell>
          <cell r="BR414">
            <v>0.20939590884099113</v>
          </cell>
          <cell r="BS414">
            <v>7.7928947182370756E-4</v>
          </cell>
          <cell r="BT414">
            <v>4.2039736697112362E-2</v>
          </cell>
          <cell r="BU414">
            <v>0.12350764809284387</v>
          </cell>
          <cell r="BV414">
            <v>0.1309671915757602</v>
          </cell>
          <cell r="BW414">
            <v>0.36197025704655239</v>
          </cell>
          <cell r="BX414">
            <v>0.24854466220505644</v>
          </cell>
          <cell r="BY414">
            <v>0.15155754472368876</v>
          </cell>
          <cell r="BZ414">
            <v>0.1664498667731138</v>
          </cell>
          <cell r="CA414">
            <v>0.19788984722318692</v>
          </cell>
          <cell r="CB414">
            <v>0.21773229440736741</v>
          </cell>
          <cell r="CC414">
            <v>0.26354182315271291</v>
          </cell>
          <cell r="CD414">
            <v>0.34799779027893041</v>
          </cell>
          <cell r="CE414">
            <v>0.62534694823048675</v>
          </cell>
          <cell r="CF414">
            <v>0.53879282538228779</v>
          </cell>
          <cell r="CG414">
            <v>0.25289448509255141</v>
          </cell>
          <cell r="CH414">
            <v>0.22475912165522671</v>
          </cell>
          <cell r="CI414">
            <v>-5.4120361771048398E-3</v>
          </cell>
          <cell r="CJ414">
            <v>3.1311528434095681E-2</v>
          </cell>
          <cell r="CK414">
            <v>0.21612023763426547</v>
          </cell>
          <cell r="CL414">
            <v>0.23169453790294336</v>
          </cell>
          <cell r="CM414">
            <v>0.24202507747803503</v>
          </cell>
          <cell r="CN414">
            <v>0.2517519045881671</v>
          </cell>
          <cell r="CO414">
            <v>0.25564921681715536</v>
          </cell>
          <cell r="CP414">
            <v>0.26278988096928835</v>
          </cell>
          <cell r="CQ414">
            <v>0.26298030572245867</v>
          </cell>
          <cell r="CR414">
            <v>0.26289640218444243</v>
          </cell>
          <cell r="CS414">
            <v>0.2627836451337564</v>
          </cell>
          <cell r="CT414">
            <v>0.26218376174559754</v>
          </cell>
          <cell r="CU414">
            <v>0.2499682484559056</v>
          </cell>
          <cell r="CV414">
            <v>0.23580865781790816</v>
          </cell>
          <cell r="CW414">
            <v>0.22495906638642071</v>
          </cell>
          <cell r="CX414">
            <v>0.20233917331102402</v>
          </cell>
          <cell r="CY414">
            <v>0.19397064376334927</v>
          </cell>
          <cell r="CZ414">
            <v>0.18454568959580842</v>
          </cell>
          <cell r="DA414">
            <v>0.17725725199661069</v>
          </cell>
          <cell r="DB414">
            <v>0.16269222793666915</v>
          </cell>
          <cell r="DC414"/>
          <cell r="DD414" t="str">
            <v>NA</v>
          </cell>
          <cell r="DE414" t="str">
            <v>NA</v>
          </cell>
          <cell r="DF414">
            <v>0.15084913935663846</v>
          </cell>
          <cell r="DG414">
            <v>0.27737182498825486</v>
          </cell>
          <cell r="DH414">
            <v>-8.2795980811819714E-2</v>
          </cell>
          <cell r="DI414">
            <v>-0.64008045611707531</v>
          </cell>
          <cell r="DJ414">
            <v>0.60926277112717742</v>
          </cell>
          <cell r="DK414">
            <v>0.2113876345531347</v>
          </cell>
          <cell r="DL414">
            <v>0.2193253669193953</v>
          </cell>
          <cell r="DM414">
            <v>0.15054517473449125</v>
          </cell>
          <cell r="DN414">
            <v>0.13918119146523766</v>
          </cell>
          <cell r="DO414">
            <v>0.25948999670971129</v>
          </cell>
        </row>
        <row r="415">
          <cell r="A415" t="str">
            <v>% growth in revenue seq</v>
          </cell>
          <cell r="B415"/>
          <cell r="C415" t="str">
            <v>NA</v>
          </cell>
          <cell r="D415" t="str">
            <v>NA</v>
          </cell>
          <cell r="E415" t="str">
            <v>NA</v>
          </cell>
          <cell r="F415" t="str">
            <v>NA</v>
          </cell>
          <cell r="G415">
            <v>0.70466639861876601</v>
          </cell>
          <cell r="H415">
            <v>0.11802983003815459</v>
          </cell>
          <cell r="I415">
            <v>0.13637040530143185</v>
          </cell>
          <cell r="J415">
            <v>0.13001932926363158</v>
          </cell>
          <cell r="K415">
            <v>7.2315587038665585E-2</v>
          </cell>
          <cell r="L415">
            <v>-0.20248738284066314</v>
          </cell>
          <cell r="M415">
            <v>8.3600777471409815E-2</v>
          </cell>
          <cell r="N415">
            <v>9.3064970278443848E-2</v>
          </cell>
          <cell r="O415">
            <v>8.166847940160693E-2</v>
          </cell>
          <cell r="P415">
            <v>0.12148287967258797</v>
          </cell>
          <cell r="Q415">
            <v>4.2077280627934366E-2</v>
          </cell>
          <cell r="R415">
            <v>4.2514170132154305E-2</v>
          </cell>
          <cell r="S415">
            <v>-0.11876493158618728</v>
          </cell>
          <cell r="T415">
            <v>-0.16181556787841422</v>
          </cell>
          <cell r="U415">
            <v>6.2678872466381819E-2</v>
          </cell>
          <cell r="V415">
            <v>0.26035066360458536</v>
          </cell>
          <cell r="W415">
            <v>-0.74211677924054698</v>
          </cell>
          <cell r="X415">
            <v>0.12088535754823915</v>
          </cell>
          <cell r="Y415">
            <v>9.87341772151904E-2</v>
          </cell>
          <cell r="Z415">
            <v>0.16589861751152113</v>
          </cell>
          <cell r="AA415">
            <v>0.16397233201580996</v>
          </cell>
          <cell r="AB415">
            <v>0.13725656654838048</v>
          </cell>
          <cell r="AC415">
            <v>5.1133903644317025E-2</v>
          </cell>
          <cell r="AD415">
            <v>6.8985597818368216E-2</v>
          </cell>
          <cell r="AE415">
            <v>1.7856994804884341E-2</v>
          </cell>
          <cell r="AF415">
            <v>4.5040587755388328E-2</v>
          </cell>
          <cell r="AG415">
            <v>4.6627185991090059E-2</v>
          </cell>
          <cell r="AH415">
            <v>5.6138074306860242E-2</v>
          </cell>
          <cell r="AI415">
            <v>5.4763975818130861E-2</v>
          </cell>
          <cell r="AJ415">
            <v>5.8414166091397268E-2</v>
          </cell>
          <cell r="AK415">
            <v>2.325110807215669E-2</v>
          </cell>
          <cell r="AL415">
            <v>6.7096471013716297E-2</v>
          </cell>
          <cell r="AM415">
            <v>-2.1737664554525304E-3</v>
          </cell>
          <cell r="AN415">
            <v>3.9594969622873455E-2</v>
          </cell>
          <cell r="AO415">
            <v>6.0840035746202004E-2</v>
          </cell>
          <cell r="AP415">
            <v>3.8113530680325081E-2</v>
          </cell>
          <cell r="AQ415">
            <v>2.9621832917437363E-2</v>
          </cell>
          <cell r="AR415">
            <v>3.5044657370682852E-2</v>
          </cell>
          <cell r="AS415">
            <v>4.1036640239777711E-3</v>
          </cell>
          <cell r="AT415">
            <v>2.8505920347382752E-2</v>
          </cell>
          <cell r="AU415">
            <v>0.19229272967224542</v>
          </cell>
          <cell r="AV415">
            <v>9.945647673597291E-3</v>
          </cell>
          <cell r="AW415">
            <v>2.2498191327414707E-2</v>
          </cell>
          <cell r="AX415">
            <v>1.868574964568781E-2</v>
          </cell>
          <cell r="AY415">
            <v>2.947951863049747E-3</v>
          </cell>
          <cell r="AZ415">
            <v>4.5315825392292064E-2</v>
          </cell>
          <cell r="BA415">
            <v>1.8159386624990281E-2</v>
          </cell>
          <cell r="BB415">
            <v>1.1308435126145655E-2</v>
          </cell>
          <cell r="BC415">
            <v>2.7294174045498165E-2</v>
          </cell>
          <cell r="BD415">
            <v>3.2517196947409621E-2</v>
          </cell>
          <cell r="BE415">
            <v>1.7908806782504394E-2</v>
          </cell>
          <cell r="BF415">
            <v>4.1440123736991907E-2</v>
          </cell>
          <cell r="BG415">
            <v>6.5656035705707882E-2</v>
          </cell>
          <cell r="BH415">
            <v>2.6573324641618434E-2</v>
          </cell>
          <cell r="BI415">
            <v>3.8378330703856323E-2</v>
          </cell>
          <cell r="BJ415">
            <v>4.3056502955889364E-2</v>
          </cell>
          <cell r="BK415">
            <v>2.8877190082293946E-2</v>
          </cell>
          <cell r="BL415">
            <v>3.4038355630796602E-2</v>
          </cell>
          <cell r="BM415">
            <v>2.8484501914265214E-2</v>
          </cell>
          <cell r="BN415">
            <v>1.6201792756010525E-2</v>
          </cell>
          <cell r="BO415">
            <v>2.7712667202799413E-2</v>
          </cell>
          <cell r="BP415">
            <v>9.5345074330973389E-2</v>
          </cell>
          <cell r="BQ415">
            <v>4.2866421603109162E-2</v>
          </cell>
          <cell r="BR415">
            <v>3.0189553890735299E-2</v>
          </cell>
          <cell r="BS415">
            <v>-0.14956422016503024</v>
          </cell>
          <cell r="BT415">
            <v>0.14050430984709306</v>
          </cell>
          <cell r="BU415">
            <v>0.12439896421231755</v>
          </cell>
          <cell r="BV415">
            <v>3.7029510686702682E-2</v>
          </cell>
          <cell r="BW415">
            <v>2.4139556205534651E-2</v>
          </cell>
          <cell r="BX415">
            <v>4.552251483769254E-2</v>
          </cell>
          <cell r="BY415">
            <v>3.7055501267715396E-2</v>
          </cell>
          <cell r="BZ415">
            <v>5.0440718418931052E-2</v>
          </cell>
          <cell r="CA415">
            <v>5.1743766675654834E-2</v>
          </cell>
          <cell r="CB415">
            <v>6.2841073241562961E-2</v>
          </cell>
          <cell r="CC415">
            <v>7.60682005399822E-2</v>
          </cell>
          <cell r="CD415">
            <v>0.12065286744101145</v>
          </cell>
          <cell r="CE415">
            <v>0.26813896418405125</v>
          </cell>
          <cell r="CF415">
            <v>6.2419102618589406E-3</v>
          </cell>
          <cell r="CG415">
            <v>-0.12385872106917883</v>
          </cell>
          <cell r="CH415">
            <v>9.5487160282356598E-2</v>
          </cell>
          <cell r="CI415">
            <v>2.9815355469827276E-2</v>
          </cell>
          <cell r="CJ415">
            <v>4.3395778144960984E-2</v>
          </cell>
          <cell r="CK415">
            <v>3.3143827987983432E-2</v>
          </cell>
          <cell r="CL415">
            <v>0.10951656744682281</v>
          </cell>
          <cell r="CM415">
            <v>3.8452682304799923E-2</v>
          </cell>
          <cell r="CN415">
            <v>5.1567054655790701E-2</v>
          </cell>
          <cell r="CO415">
            <v>3.6360506996309772E-2</v>
          </cell>
          <cell r="CP415">
            <v>0.11582620000443145</v>
          </cell>
          <cell r="CQ415">
            <v>3.86092777120699E-2</v>
          </cell>
          <cell r="CR415">
            <v>5.1497195928819961E-2</v>
          </cell>
          <cell r="CS415">
            <v>3.6267976085607723E-2</v>
          </cell>
          <cell r="CT415">
            <v>0.11529612851987059</v>
          </cell>
          <cell r="CU415">
            <v>2.855753578731024E-2</v>
          </cell>
          <cell r="CV415">
            <v>3.9585877485534438E-2</v>
          </cell>
          <cell r="CW415">
            <v>2.7170221281141993E-2</v>
          </cell>
          <cell r="CX415">
            <v>9.4701253256859186E-2</v>
          </cell>
          <cell r="CY415">
            <v>2.1398562412088484E-2</v>
          </cell>
          <cell r="CZ415">
            <v>3.1379604324880406E-2</v>
          </cell>
          <cell r="DA415">
            <v>2.085010536892562E-2</v>
          </cell>
          <cell r="DB415">
            <v>8.1157611826667919E-2</v>
          </cell>
          <cell r="DC415"/>
          <cell r="DD415"/>
          <cell r="DE415"/>
          <cell r="DF415"/>
          <cell r="DG415"/>
          <cell r="DH415"/>
          <cell r="DI415"/>
          <cell r="DJ415"/>
          <cell r="DK415"/>
          <cell r="DL415"/>
          <cell r="DM415"/>
          <cell r="DN415"/>
          <cell r="DO415"/>
        </row>
        <row r="416">
          <cell r="A416"/>
          <cell r="B416"/>
          <cell r="C416"/>
          <cell r="D416"/>
          <cell r="E416"/>
          <cell r="F416"/>
          <cell r="G416"/>
          <cell r="H416"/>
          <cell r="I416"/>
          <cell r="J416"/>
          <cell r="K416"/>
          <cell r="L416"/>
          <cell r="M416"/>
          <cell r="N416"/>
          <cell r="O416"/>
          <cell r="P416"/>
          <cell r="Q416"/>
          <cell r="R416"/>
          <cell r="S416"/>
          <cell r="T416"/>
          <cell r="U416"/>
          <cell r="V416"/>
          <cell r="W416"/>
          <cell r="X416"/>
          <cell r="Y416"/>
          <cell r="Z416"/>
          <cell r="AA416"/>
          <cell r="AB416"/>
          <cell r="AC416"/>
          <cell r="AD416"/>
          <cell r="AE416"/>
          <cell r="AF416"/>
          <cell r="AG416"/>
          <cell r="AH416"/>
          <cell r="AI416"/>
          <cell r="AJ416"/>
          <cell r="AK416"/>
          <cell r="AL416"/>
          <cell r="AM416"/>
          <cell r="AN416"/>
          <cell r="AO416"/>
          <cell r="AP416"/>
          <cell r="AQ416"/>
          <cell r="AR416"/>
          <cell r="AS416"/>
          <cell r="AT416"/>
          <cell r="AU416"/>
          <cell r="AV416"/>
          <cell r="AW416"/>
          <cell r="AX416"/>
          <cell r="AY416"/>
          <cell r="AZ416"/>
          <cell r="BA416"/>
          <cell r="BB416"/>
          <cell r="BC416"/>
          <cell r="BD416"/>
          <cell r="BE416"/>
          <cell r="BF416"/>
          <cell r="BG416"/>
          <cell r="BH416"/>
          <cell r="BI416"/>
          <cell r="BJ416"/>
          <cell r="BK416"/>
          <cell r="BL416"/>
          <cell r="BM416"/>
          <cell r="BN416"/>
          <cell r="BO416"/>
          <cell r="BP416"/>
          <cell r="BQ416"/>
          <cell r="BR416"/>
          <cell r="BS416"/>
          <cell r="BT416"/>
          <cell r="BU416"/>
          <cell r="BV416"/>
          <cell r="BW416"/>
          <cell r="BX416"/>
          <cell r="BY416"/>
          <cell r="BZ416"/>
          <cell r="CA416"/>
          <cell r="CB416"/>
          <cell r="CC416"/>
          <cell r="CD416"/>
          <cell r="CE416"/>
          <cell r="CF416"/>
          <cell r="CG416"/>
          <cell r="CH416"/>
          <cell r="CI416"/>
          <cell r="CJ416"/>
          <cell r="CK416"/>
          <cell r="CL416"/>
          <cell r="CM416"/>
          <cell r="CN416"/>
          <cell r="CO416"/>
          <cell r="CP416"/>
          <cell r="CQ416"/>
          <cell r="CR416"/>
          <cell r="CS416"/>
          <cell r="CT416"/>
          <cell r="CU416"/>
          <cell r="CV416"/>
          <cell r="CW416"/>
          <cell r="CX416"/>
          <cell r="CY416"/>
          <cell r="CZ416"/>
          <cell r="DA416"/>
          <cell r="DB416"/>
          <cell r="DC416"/>
          <cell r="DD416"/>
          <cell r="DE416"/>
          <cell r="DF416"/>
          <cell r="DG416"/>
          <cell r="DH416"/>
          <cell r="DI416"/>
          <cell r="DJ416"/>
          <cell r="DK416"/>
          <cell r="DL416"/>
          <cell r="DM416"/>
          <cell r="DN416"/>
          <cell r="DO416"/>
        </row>
        <row r="417">
          <cell r="A417" t="str">
            <v>Citrix Cloud</v>
          </cell>
          <cell r="B417"/>
          <cell r="C417" t="e">
            <v>#DIV/0!</v>
          </cell>
          <cell r="D417" t="e">
            <v>#DIV/0!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0.5</v>
          </cell>
          <cell r="BV417">
            <v>1.9522390280845081</v>
          </cell>
          <cell r="BW417">
            <v>2.6151108609830458</v>
          </cell>
          <cell r="BX417">
            <v>2.6183736784745135</v>
          </cell>
          <cell r="BY417">
            <v>2.8595923334347564</v>
          </cell>
          <cell r="BZ417">
            <v>2.8613273931580157</v>
          </cell>
          <cell r="CA417">
            <v>4.1937459158725723</v>
          </cell>
          <cell r="CB417">
            <v>4.8238609128453733</v>
          </cell>
          <cell r="CC417">
            <v>5.1156668698205907</v>
          </cell>
          <cell r="CD417">
            <v>8.0982416137671507</v>
          </cell>
          <cell r="CE417">
            <v>11.457058739244786</v>
          </cell>
          <cell r="CF417">
            <v>17.367489524113996</v>
          </cell>
          <cell r="CG417">
            <v>24.004952120737819</v>
          </cell>
          <cell r="CH417">
            <v>37.336502232368382</v>
          </cell>
          <cell r="CI417">
            <v>44.941548400728195</v>
          </cell>
          <cell r="CJ417">
            <v>54.529054427549461</v>
          </cell>
          <cell r="CK417">
            <v>62.207642594388759</v>
          </cell>
          <cell r="CL417">
            <v>82.040582808460329</v>
          </cell>
          <cell r="CM417">
            <v>91.570532158177372</v>
          </cell>
          <cell r="CN417">
            <v>103.73337044658675</v>
          </cell>
          <cell r="CO417">
            <v>113.34913181698433</v>
          </cell>
          <cell r="CP417">
            <v>139.31276874541214</v>
          </cell>
          <cell r="CQ417">
            <v>150.68255818679137</v>
          </cell>
          <cell r="CR417">
            <v>165.42721435519366</v>
          </cell>
          <cell r="CS417">
            <v>176.90931590625851</v>
          </cell>
          <cell r="CT417">
            <v>209.31960390143902</v>
          </cell>
          <cell r="CU417">
            <v>221.16907877554806</v>
          </cell>
          <cell r="CV417">
            <v>236.85156275953867</v>
          </cell>
          <cell r="CW417">
            <v>248.78878591949001</v>
          </cell>
          <cell r="CX417">
            <v>284.5646913131456</v>
          </cell>
          <cell r="CY417">
            <v>295.38724762884783</v>
          </cell>
          <cell r="CZ417">
            <v>310.21251937066694</v>
          </cell>
          <cell r="DA417">
            <v>321.11531796974822</v>
          </cell>
          <cell r="DB417">
            <v>356.91202512326834</v>
          </cell>
          <cell r="DC417"/>
          <cell r="DD417"/>
          <cell r="DE417">
            <v>0</v>
          </cell>
          <cell r="DF417">
            <v>0</v>
          </cell>
          <cell r="DG417">
            <v>0</v>
          </cell>
          <cell r="DH417">
            <v>0</v>
          </cell>
          <cell r="DI417">
            <v>0</v>
          </cell>
          <cell r="DJ417">
            <v>0</v>
          </cell>
          <cell r="DK417">
            <v>0</v>
          </cell>
          <cell r="DL417">
            <v>0</v>
          </cell>
          <cell r="DM417">
            <v>0</v>
          </cell>
          <cell r="DN417">
            <v>0</v>
          </cell>
          <cell r="DO417">
            <v>0</v>
          </cell>
        </row>
        <row r="418">
          <cell r="A418" t="str">
            <v>% of WS recurring revenue</v>
          </cell>
          <cell r="B418"/>
          <cell r="C418" t="str">
            <v>NA</v>
          </cell>
          <cell r="D418" t="str">
            <v>NA</v>
          </cell>
          <cell r="E418" t="str">
            <v>NA</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R418">
            <v>0</v>
          </cell>
          <cell r="BS418">
            <v>0</v>
          </cell>
          <cell r="BT418">
            <v>0</v>
          </cell>
          <cell r="BU418">
            <v>1.5701500261770507E-3</v>
          </cell>
          <cell r="BV418">
            <v>5.9404616336847533E-3</v>
          </cell>
          <cell r="BW418">
            <v>7.8820085121054737E-3</v>
          </cell>
          <cell r="BX418">
            <v>7.9865660397599753E-3</v>
          </cell>
          <cell r="BY418">
            <v>8.4689430413511617E-3</v>
          </cell>
          <cell r="BZ418">
            <v>8.4526182575362877E-3</v>
          </cell>
          <cell r="CA418">
            <v>1.2438449818057648E-2</v>
          </cell>
          <cell r="CB418">
            <v>1.3939976344129664E-2</v>
          </cell>
          <cell r="CC418">
            <v>1.4413140303480454E-2</v>
          </cell>
          <cell r="CD418">
            <v>2.2356509258912891E-2</v>
          </cell>
          <cell r="CE418">
            <v>3.0500143720705426E-2</v>
          </cell>
          <cell r="CF418">
            <v>4.4935640842062453E-2</v>
          </cell>
          <cell r="CG418">
            <v>6.0333888712123536E-2</v>
          </cell>
          <cell r="CH418">
            <v>9.0537476018381802E-2</v>
          </cell>
          <cell r="CI418">
            <v>0.10647220365163931</v>
          </cell>
          <cell r="CJ418">
            <v>0.12596137547943095</v>
          </cell>
          <cell r="CK418">
            <v>0.13965778657497732</v>
          </cell>
          <cell r="CL418">
            <v>0.17690881614483944</v>
          </cell>
          <cell r="CM418">
            <v>0.19104163793749107</v>
          </cell>
          <cell r="CN418">
            <v>0.21078208054314615</v>
          </cell>
          <cell r="CO418">
            <v>0.22452965467526867</v>
          </cell>
          <cell r="CP418">
            <v>0.26348534872867291</v>
          </cell>
          <cell r="CQ418">
            <v>0.27798172565598195</v>
          </cell>
          <cell r="CR418">
            <v>0.29780660492817052</v>
          </cell>
          <cell r="CS418">
            <v>0.3119036433481876</v>
          </cell>
          <cell r="CT418">
            <v>0.35047484530442036</v>
          </cell>
          <cell r="CU418">
            <v>0.36376178088222266</v>
          </cell>
          <cell r="CV418">
            <v>0.38068696316697803</v>
          </cell>
          <cell r="CW418">
            <v>0.39253965691644316</v>
          </cell>
          <cell r="CX418">
            <v>0.42613955920372359</v>
          </cell>
          <cell r="CY418">
            <v>0.43644218739406926</v>
          </cell>
          <cell r="CZ418">
            <v>0.44985196189296683</v>
          </cell>
          <cell r="DA418">
            <v>0.4584008980480207</v>
          </cell>
          <cell r="DB418">
            <v>0.48574480059024155</v>
          </cell>
          <cell r="DC418"/>
          <cell r="DD418" t="str">
            <v>NA</v>
          </cell>
          <cell r="DE418">
            <v>0</v>
          </cell>
          <cell r="DF418">
            <v>0</v>
          </cell>
          <cell r="DG418">
            <v>0</v>
          </cell>
          <cell r="DH418">
            <v>0</v>
          </cell>
          <cell r="DI418">
            <v>0</v>
          </cell>
          <cell r="DJ418">
            <v>0</v>
          </cell>
          <cell r="DK418">
            <v>0</v>
          </cell>
          <cell r="DL418">
            <v>0</v>
          </cell>
          <cell r="DM418">
            <v>0</v>
          </cell>
          <cell r="DN418">
            <v>0</v>
          </cell>
          <cell r="DO418">
            <v>0</v>
          </cell>
        </row>
        <row r="419">
          <cell r="A419" t="str">
            <v>% growth in revenue y-o-y</v>
          </cell>
          <cell r="B419"/>
          <cell r="C419" t="str">
            <v>NA</v>
          </cell>
          <cell r="D419" t="str">
            <v>NA</v>
          </cell>
          <cell r="E419" t="str">
            <v>NA</v>
          </cell>
          <cell r="F419" t="str">
            <v>NA</v>
          </cell>
          <cell r="G419" t="str">
            <v>NA</v>
          </cell>
          <cell r="H419" t="str">
            <v>NA</v>
          </cell>
          <cell r="I419" t="str">
            <v>NA</v>
          </cell>
          <cell r="J419" t="str">
            <v>NA</v>
          </cell>
          <cell r="K419" t="str">
            <v>NA</v>
          </cell>
          <cell r="L419" t="str">
            <v>NA</v>
          </cell>
          <cell r="M419" t="str">
            <v>NA</v>
          </cell>
          <cell r="N419" t="str">
            <v>NA</v>
          </cell>
          <cell r="O419" t="str">
            <v>NA</v>
          </cell>
          <cell r="P419" t="str">
            <v>NA</v>
          </cell>
          <cell r="Q419" t="str">
            <v>NA</v>
          </cell>
          <cell r="R419" t="str">
            <v>NA</v>
          </cell>
          <cell r="S419" t="str">
            <v>NA</v>
          </cell>
          <cell r="T419" t="str">
            <v>NA</v>
          </cell>
          <cell r="U419" t="str">
            <v>NA</v>
          </cell>
          <cell r="V419" t="str">
            <v>NA</v>
          </cell>
          <cell r="W419" t="str">
            <v>NA</v>
          </cell>
          <cell r="X419" t="str">
            <v>NA</v>
          </cell>
          <cell r="Y419" t="str">
            <v>NA</v>
          </cell>
          <cell r="Z419" t="str">
            <v>NA</v>
          </cell>
          <cell r="AA419" t="str">
            <v>NA</v>
          </cell>
          <cell r="AB419" t="str">
            <v>NA</v>
          </cell>
          <cell r="AC419" t="str">
            <v>NA</v>
          </cell>
          <cell r="AD419" t="str">
            <v>NA</v>
          </cell>
          <cell r="AE419" t="str">
            <v>NA</v>
          </cell>
          <cell r="AF419" t="str">
            <v>NA</v>
          </cell>
          <cell r="AG419" t="str">
            <v>NA</v>
          </cell>
          <cell r="AH419" t="str">
            <v>NA</v>
          </cell>
          <cell r="AI419" t="str">
            <v>NA</v>
          </cell>
          <cell r="AJ419" t="str">
            <v>NA</v>
          </cell>
          <cell r="AK419" t="str">
            <v>NA</v>
          </cell>
          <cell r="AL419" t="str">
            <v>NA</v>
          </cell>
          <cell r="AM419" t="str">
            <v>NA</v>
          </cell>
          <cell r="AN419" t="str">
            <v>NA</v>
          </cell>
          <cell r="AO419" t="str">
            <v>NA</v>
          </cell>
          <cell r="AP419" t="str">
            <v>NA</v>
          </cell>
          <cell r="AQ419" t="str">
            <v>NA</v>
          </cell>
          <cell r="AR419" t="str">
            <v>NA</v>
          </cell>
          <cell r="AS419" t="str">
            <v>NA</v>
          </cell>
          <cell r="AT419" t="str">
            <v>NA</v>
          </cell>
          <cell r="AU419" t="str">
            <v>NA</v>
          </cell>
          <cell r="AV419" t="str">
            <v>NA</v>
          </cell>
          <cell r="AW419" t="str">
            <v>NA</v>
          </cell>
          <cell r="AX419" t="str">
            <v>NA</v>
          </cell>
          <cell r="AY419" t="str">
            <v>NA</v>
          </cell>
          <cell r="AZ419" t="str">
            <v>NA</v>
          </cell>
          <cell r="BA419" t="str">
            <v>NA</v>
          </cell>
          <cell r="BB419" t="str">
            <v>NA</v>
          </cell>
          <cell r="BC419" t="str">
            <v>NA</v>
          </cell>
          <cell r="BD419" t="str">
            <v>NA</v>
          </cell>
          <cell r="BE419" t="str">
            <v>NA</v>
          </cell>
          <cell r="BF419" t="str">
            <v>NA</v>
          </cell>
          <cell r="BG419" t="str">
            <v>NA</v>
          </cell>
          <cell r="BH419" t="str">
            <v>NA</v>
          </cell>
          <cell r="BI419" t="str">
            <v>NA</v>
          </cell>
          <cell r="BJ419" t="str">
            <v>NA</v>
          </cell>
          <cell r="BK419" t="str">
            <v>NA</v>
          </cell>
          <cell r="BL419" t="str">
            <v>NA</v>
          </cell>
          <cell r="BM419" t="str">
            <v>NA</v>
          </cell>
          <cell r="BN419" t="str">
            <v>NA</v>
          </cell>
          <cell r="BO419" t="str">
            <v>NA</v>
          </cell>
          <cell r="BP419" t="str">
            <v>NA</v>
          </cell>
          <cell r="BQ419" t="str">
            <v>NA</v>
          </cell>
          <cell r="BR419" t="str">
            <v>NA</v>
          </cell>
          <cell r="BS419" t="str">
            <v>NA</v>
          </cell>
          <cell r="BT419" t="str">
            <v>NA</v>
          </cell>
          <cell r="BU419" t="str">
            <v>NA</v>
          </cell>
          <cell r="BV419" t="str">
            <v>NA</v>
          </cell>
          <cell r="BW419" t="str">
            <v>NA</v>
          </cell>
          <cell r="BX419" t="str">
            <v>NA</v>
          </cell>
          <cell r="BY419">
            <v>4.7191846668695128</v>
          </cell>
          <cell r="BZ419">
            <v>0.46566447652953857</v>
          </cell>
          <cell r="CA419">
            <v>0.60365894174601142</v>
          </cell>
          <cell r="CB419">
            <v>0.8423118718699445</v>
          </cell>
          <cell r="CC419">
            <v>0.78894970797322861</v>
          </cell>
          <cell r="CD419">
            <v>1.8302394312274801</v>
          </cell>
          <cell r="CE419">
            <v>1.7319391706306968</v>
          </cell>
          <cell r="CF419">
            <v>2.6003296608047752</v>
          </cell>
          <cell r="CG419">
            <v>3.6924384897603169</v>
          </cell>
          <cell r="CH419">
            <v>3.6104455773331932</v>
          </cell>
          <cell r="CI419">
            <v>2.9226078371044997</v>
          </cell>
          <cell r="CJ419">
            <v>2.1397200126039095</v>
          </cell>
          <cell r="CK419">
            <v>1.5914503924649668</v>
          </cell>
          <cell r="CL419">
            <v>1.1973290989571148</v>
          </cell>
          <cell r="CM419">
            <v>1.0375473346328592</v>
          </cell>
          <cell r="CN419">
            <v>0.90235043566385431</v>
          </cell>
          <cell r="CO419">
            <v>0.82210942401486564</v>
          </cell>
          <cell r="CP419">
            <v>0.69809579571935587</v>
          </cell>
          <cell r="CQ419">
            <v>0.64553546468972023</v>
          </cell>
          <cell r="CR419">
            <v>0.59473478633737864</v>
          </cell>
          <cell r="CS419">
            <v>0.56074698650449029</v>
          </cell>
          <cell r="CT419">
            <v>0.5025155682890865</v>
          </cell>
          <cell r="CU419">
            <v>0.46778154974897057</v>
          </cell>
          <cell r="CV419">
            <v>0.43175694327408354</v>
          </cell>
          <cell r="CW419">
            <v>0.4063068677023165</v>
          </cell>
          <cell r="CX419">
            <v>0.35947463118235579</v>
          </cell>
          <cell r="CY419">
            <v>0.33557208477872069</v>
          </cell>
          <cell r="CZ419">
            <v>0.30973389306114596</v>
          </cell>
          <cell r="DA419">
            <v>0.29071459866227101</v>
          </cell>
          <cell r="DB419">
            <v>0.2542386178561733</v>
          </cell>
          <cell r="DC419"/>
          <cell r="DD419" t="str">
            <v>NA</v>
          </cell>
          <cell r="DE419" t="str">
            <v>NA</v>
          </cell>
          <cell r="DF419" t="str">
            <v>NA</v>
          </cell>
          <cell r="DG419" t="str">
            <v>NA</v>
          </cell>
          <cell r="DH419" t="str">
            <v>NA</v>
          </cell>
          <cell r="DI419" t="str">
            <v>NA</v>
          </cell>
          <cell r="DJ419" t="str">
            <v>NA</v>
          </cell>
          <cell r="DK419" t="str">
            <v>NA</v>
          </cell>
          <cell r="DL419" t="str">
            <v>NA</v>
          </cell>
          <cell r="DM419" t="str">
            <v>NA</v>
          </cell>
          <cell r="DN419" t="str">
            <v>NA</v>
          </cell>
          <cell r="DO419" t="str">
            <v>NA</v>
          </cell>
        </row>
        <row r="420">
          <cell r="A420" t="str">
            <v>% growth in revenue seq</v>
          </cell>
          <cell r="B420"/>
          <cell r="C420" t="str">
            <v>NA</v>
          </cell>
          <cell r="D420" t="str">
            <v>NA</v>
          </cell>
          <cell r="E420" t="str">
            <v>NA</v>
          </cell>
          <cell r="F420" t="str">
            <v>NA</v>
          </cell>
          <cell r="G420" t="str">
            <v>NA</v>
          </cell>
          <cell r="H420" t="str">
            <v>NA</v>
          </cell>
          <cell r="I420" t="str">
            <v>NA</v>
          </cell>
          <cell r="J420" t="str">
            <v>NA</v>
          </cell>
          <cell r="K420" t="str">
            <v>NA</v>
          </cell>
          <cell r="L420" t="str">
            <v>NA</v>
          </cell>
          <cell r="M420" t="str">
            <v>NA</v>
          </cell>
          <cell r="N420" t="str">
            <v>NA</v>
          </cell>
          <cell r="O420" t="str">
            <v>NA</v>
          </cell>
          <cell r="P420" t="str">
            <v>NA</v>
          </cell>
          <cell r="Q420" t="str">
            <v>NA</v>
          </cell>
          <cell r="R420" t="str">
            <v>NA</v>
          </cell>
          <cell r="S420" t="str">
            <v>NA</v>
          </cell>
          <cell r="T420" t="str">
            <v>NA</v>
          </cell>
          <cell r="U420" t="str">
            <v>NA</v>
          </cell>
          <cell r="V420" t="str">
            <v>NA</v>
          </cell>
          <cell r="W420" t="str">
            <v>NA</v>
          </cell>
          <cell r="X420" t="str">
            <v>NA</v>
          </cell>
          <cell r="Y420" t="str">
            <v>NA</v>
          </cell>
          <cell r="Z420" t="str">
            <v>NA</v>
          </cell>
          <cell r="AA420" t="str">
            <v>NA</v>
          </cell>
          <cell r="AB420" t="str">
            <v>NA</v>
          </cell>
          <cell r="AC420" t="str">
            <v>NA</v>
          </cell>
          <cell r="AD420" t="str">
            <v>NA</v>
          </cell>
          <cell r="AE420" t="str">
            <v>NA</v>
          </cell>
          <cell r="AF420" t="str">
            <v>NA</v>
          </cell>
          <cell r="AG420" t="str">
            <v>NA</v>
          </cell>
          <cell r="AH420" t="str">
            <v>NA</v>
          </cell>
          <cell r="AI420" t="str">
            <v>NA</v>
          </cell>
          <cell r="AJ420" t="str">
            <v>NA</v>
          </cell>
          <cell r="AK420" t="str">
            <v>NA</v>
          </cell>
          <cell r="AL420" t="str">
            <v>NA</v>
          </cell>
          <cell r="AM420" t="str">
            <v>NA</v>
          </cell>
          <cell r="AN420" t="str">
            <v>NA</v>
          </cell>
          <cell r="AO420" t="str">
            <v>NA</v>
          </cell>
          <cell r="AP420" t="str">
            <v>NA</v>
          </cell>
          <cell r="AQ420" t="str">
            <v>NA</v>
          </cell>
          <cell r="AR420" t="str">
            <v>NA</v>
          </cell>
          <cell r="AS420" t="str">
            <v>NA</v>
          </cell>
          <cell r="AT420" t="str">
            <v>NA</v>
          </cell>
          <cell r="AU420" t="str">
            <v>NA</v>
          </cell>
          <cell r="AV420" t="str">
            <v>NA</v>
          </cell>
          <cell r="AW420" t="str">
            <v>NA</v>
          </cell>
          <cell r="AX420" t="str">
            <v>NA</v>
          </cell>
          <cell r="AY420" t="str">
            <v>NA</v>
          </cell>
          <cell r="AZ420" t="str">
            <v>NA</v>
          </cell>
          <cell r="BA420" t="str">
            <v>NA</v>
          </cell>
          <cell r="BB420" t="str">
            <v>NA</v>
          </cell>
          <cell r="BC420" t="str">
            <v>NA</v>
          </cell>
          <cell r="BD420" t="str">
            <v>NA</v>
          </cell>
          <cell r="BE420" t="str">
            <v>NA</v>
          </cell>
          <cell r="BF420" t="str">
            <v>NA</v>
          </cell>
          <cell r="BG420" t="str">
            <v>NA</v>
          </cell>
          <cell r="BH420" t="str">
            <v>NA</v>
          </cell>
          <cell r="BI420" t="str">
            <v>NA</v>
          </cell>
          <cell r="BJ420" t="str">
            <v>NA</v>
          </cell>
          <cell r="BK420" t="str">
            <v>NA</v>
          </cell>
          <cell r="BL420" t="str">
            <v>NA</v>
          </cell>
          <cell r="BM420" t="str">
            <v>NA</v>
          </cell>
          <cell r="BN420" t="str">
            <v>NA</v>
          </cell>
          <cell r="BO420" t="str">
            <v>NA</v>
          </cell>
          <cell r="BP420" t="str">
            <v>NA</v>
          </cell>
          <cell r="BQ420" t="str">
            <v>NA</v>
          </cell>
          <cell r="BR420" t="str">
            <v>NA</v>
          </cell>
          <cell r="BS420" t="str">
            <v>NA</v>
          </cell>
          <cell r="BT420" t="str">
            <v>NA</v>
          </cell>
          <cell r="BU420" t="str">
            <v>NA</v>
          </cell>
          <cell r="BV420">
            <v>2.9044780561690162</v>
          </cell>
          <cell r="BW420">
            <v>0.33954440176771405</v>
          </cell>
          <cell r="BX420">
            <v>1.2476784598880464E-3</v>
          </cell>
          <cell r="BY420">
            <v>9.2125374213499978E-2</v>
          </cell>
          <cell r="BZ420">
            <v>6.0675072560956167E-4</v>
          </cell>
          <cell r="CA420">
            <v>0.46566447652953857</v>
          </cell>
          <cell r="CB420">
            <v>0.15025111430521565</v>
          </cell>
          <cell r="CC420">
            <v>6.0492199557033777E-2</v>
          </cell>
          <cell r="CD420">
            <v>0.58302755434330322</v>
          </cell>
          <cell r="CE420">
            <v>0.4147588187252389</v>
          </cell>
          <cell r="CF420">
            <v>0.51587679869561409</v>
          </cell>
          <cell r="CG420">
            <v>0.38217743487957767</v>
          </cell>
          <cell r="CH420">
            <v>0.55536666120293865</v>
          </cell>
          <cell r="CI420">
            <v>0.20368930439784805</v>
          </cell>
          <cell r="CJ420">
            <v>0.21333279266065341</v>
          </cell>
          <cell r="CK420">
            <v>0.14081645551073185</v>
          </cell>
          <cell r="CL420">
            <v>0.31881838608461499</v>
          </cell>
          <cell r="CM420">
            <v>0.11616140480092096</v>
          </cell>
          <cell r="CN420">
            <v>0.13282480730153989</v>
          </cell>
          <cell r="CO420">
            <v>9.269689521318325E-2</v>
          </cell>
          <cell r="CP420">
            <v>0.22905898362194077</v>
          </cell>
          <cell r="CQ420">
            <v>8.1613405172910047E-2</v>
          </cell>
          <cell r="CR420">
            <v>9.7852441223650333E-2</v>
          </cell>
          <cell r="CS420">
            <v>6.9408782562289328E-2</v>
          </cell>
          <cell r="CT420">
            <v>0.18320283377475843</v>
          </cell>
          <cell r="CU420">
            <v>5.6609484507186947E-2</v>
          </cell>
          <cell r="CV420">
            <v>7.0907217549637025E-2</v>
          </cell>
          <cell r="CW420">
            <v>5.0399596358460697E-2</v>
          </cell>
          <cell r="CX420">
            <v>0.14380031343226607</v>
          </cell>
          <cell r="CY420">
            <v>3.8031971801423037E-2</v>
          </cell>
          <cell r="CZ420">
            <v>5.0189274793768224E-2</v>
          </cell>
          <cell r="DA420">
            <v>3.5146223695935896E-2</v>
          </cell>
          <cell r="DB420">
            <v>0.1114761742910455</v>
          </cell>
          <cell r="DC420"/>
          <cell r="DD420"/>
          <cell r="DE420"/>
          <cell r="DF420"/>
          <cell r="DG420"/>
          <cell r="DH420"/>
          <cell r="DI420"/>
          <cell r="DJ420"/>
          <cell r="DK420"/>
          <cell r="DL420"/>
          <cell r="DM420"/>
          <cell r="DN420"/>
          <cell r="DO420"/>
        </row>
        <row r="421">
          <cell r="A421"/>
          <cell r="B421"/>
          <cell r="C421"/>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cell r="AD421"/>
          <cell r="AE421"/>
          <cell r="AF421"/>
          <cell r="AG421"/>
          <cell r="AH421"/>
          <cell r="AI421"/>
          <cell r="AJ421"/>
          <cell r="AK421"/>
          <cell r="AL421"/>
          <cell r="AM421"/>
          <cell r="AN421"/>
          <cell r="AO421"/>
          <cell r="AP421"/>
          <cell r="AQ421"/>
          <cell r="AR421"/>
          <cell r="AS421"/>
          <cell r="AT421"/>
          <cell r="AU421"/>
          <cell r="AV421"/>
          <cell r="AW421"/>
          <cell r="AX421"/>
          <cell r="AY421"/>
          <cell r="AZ421"/>
          <cell r="BA421"/>
          <cell r="BB421"/>
          <cell r="BC421"/>
          <cell r="BD421"/>
          <cell r="BE421"/>
          <cell r="BF421"/>
          <cell r="BG421"/>
          <cell r="BH421"/>
          <cell r="BI421"/>
          <cell r="BJ421"/>
          <cell r="BK421"/>
          <cell r="BL421"/>
          <cell r="BM421"/>
          <cell r="BN421"/>
          <cell r="BO421"/>
          <cell r="BP421"/>
          <cell r="BQ421"/>
          <cell r="BR421"/>
          <cell r="BS421"/>
          <cell r="BT421"/>
          <cell r="BU421"/>
          <cell r="BV421"/>
          <cell r="BW421"/>
          <cell r="BX421"/>
          <cell r="BY421"/>
          <cell r="BZ421"/>
          <cell r="CA421"/>
          <cell r="CB421"/>
          <cell r="CC421"/>
          <cell r="CD421"/>
          <cell r="CE421"/>
          <cell r="CF421"/>
          <cell r="CG421"/>
          <cell r="CH421"/>
          <cell r="CI421"/>
          <cell r="CJ421"/>
          <cell r="CK421"/>
          <cell r="CL421"/>
          <cell r="CM421"/>
          <cell r="CN421"/>
          <cell r="CO421"/>
          <cell r="CP421"/>
          <cell r="CQ421"/>
          <cell r="CR421"/>
          <cell r="CS421"/>
          <cell r="CT421"/>
          <cell r="CU421"/>
          <cell r="CV421"/>
          <cell r="CW421"/>
          <cell r="CX421"/>
          <cell r="CY421"/>
          <cell r="CZ421"/>
          <cell r="DA421"/>
          <cell r="DB421"/>
          <cell r="DC421"/>
          <cell r="DD421"/>
          <cell r="DE421"/>
          <cell r="DF421"/>
          <cell r="DG421"/>
          <cell r="DH421"/>
          <cell r="DI421"/>
          <cell r="DJ421"/>
          <cell r="DK421"/>
          <cell r="DL421"/>
          <cell r="DM421"/>
          <cell r="DN421"/>
          <cell r="DO421"/>
        </row>
        <row r="422">
          <cell r="A422" t="str">
            <v>Active users (in millions)</v>
          </cell>
          <cell r="B422"/>
          <cell r="C422" t="e">
            <v>#DIV/0!</v>
          </cell>
          <cell r="D422" t="e">
            <v>#DIV/0!</v>
          </cell>
          <cell r="E422">
            <v>0</v>
          </cell>
          <cell r="F422">
            <v>3.1125703635551245</v>
          </cell>
          <cell r="G422">
            <v>5.3058941120890166</v>
          </cell>
          <cell r="H422">
            <v>5.9321478923393292</v>
          </cell>
          <cell r="I422">
            <v>6.7411173047256785</v>
          </cell>
          <cell r="J422">
            <v>7.6175928551735712</v>
          </cell>
          <cell r="K422">
            <v>8.1684635543169914</v>
          </cell>
          <cell r="L422">
            <v>6.5144527473740039</v>
          </cell>
          <cell r="M422">
            <v>7.0590660618552317</v>
          </cell>
          <cell r="N422">
            <v>7.7160178350953608</v>
          </cell>
          <cell r="O422">
            <v>8.3461732787232776</v>
          </cell>
          <cell r="P422">
            <v>9.3600904428689855</v>
          </cell>
          <cell r="Q422">
            <v>9.7539375951364331</v>
          </cell>
          <cell r="R422">
            <v>10.168618157514477</v>
          </cell>
          <cell r="S422">
            <v>8.9609429177112094</v>
          </cell>
          <cell r="T422">
            <v>7.5109228507557155</v>
          </cell>
          <cell r="U422">
            <v>7.9816990262230654</v>
          </cell>
          <cell r="V422">
            <v>10.059739664392314</v>
          </cell>
          <cell r="W422">
            <v>2.5942380646551095</v>
          </cell>
          <cell r="X422">
            <v>2.9078434606661943</v>
          </cell>
          <cell r="Y422">
            <v>3.1949469922256424</v>
          </cell>
          <cell r="Z422">
            <v>3.7249842812584695</v>
          </cell>
          <cell r="AA422">
            <v>4.335778640578658</v>
          </cell>
          <cell r="AB422">
            <v>4.9308927300982894</v>
          </cell>
          <cell r="AC422">
            <v>5.1830285238395986</v>
          </cell>
          <cell r="AD422">
            <v>5.5405828450663268</v>
          </cell>
          <cell r="AE422">
            <v>5.6395210041467072</v>
          </cell>
          <cell r="AF422">
            <v>5.8935283448323332</v>
          </cell>
          <cell r="AG422">
            <v>6.168326987110591</v>
          </cell>
          <cell r="AH422">
            <v>6.5146049858620172</v>
          </cell>
          <cell r="AI422">
            <v>6.8713706557724379</v>
          </cell>
          <cell r="AJ422">
            <v>7.272756042534283</v>
          </cell>
          <cell r="AK422">
            <v>7.4418556792616783</v>
          </cell>
          <cell r="AL422">
            <v>7.9411779331335204</v>
          </cell>
          <cell r="AM422">
            <v>7.9239156669256952</v>
          </cell>
          <cell r="AN422">
            <v>8.2376628670518297</v>
          </cell>
          <cell r="AO422">
            <v>8.7388425703484245</v>
          </cell>
          <cell r="AP422">
            <v>9.0719107147639306</v>
          </cell>
          <cell r="AQ422">
            <v>9.3406373381985777</v>
          </cell>
          <cell r="AR422">
            <v>9.6679767733395519</v>
          </cell>
          <cell r="AS422">
            <v>9.7076509018089574</v>
          </cell>
          <cell r="AT422">
            <v>9.9843764251761229</v>
          </cell>
          <cell r="AU422">
            <v>11.904299422048453</v>
          </cell>
          <cell r="AV422">
            <v>12.022695389901155</v>
          </cell>
          <cell r="AW422">
            <v>12.293184291054379</v>
          </cell>
          <cell r="AX422">
            <v>12.492274352180811</v>
          </cell>
          <cell r="AY422">
            <v>12.424487279016223</v>
          </cell>
          <cell r="AZ422">
            <v>12.802010678801826</v>
          </cell>
          <cell r="BA422">
            <v>12.760093955249157</v>
          </cell>
          <cell r="BB422">
            <v>12</v>
          </cell>
          <cell r="BC422">
            <v>22.256364324320067</v>
          </cell>
          <cell r="BD422">
            <v>22.382197487863223</v>
          </cell>
          <cell r="BE422">
            <v>22.225241247204437</v>
          </cell>
          <cell r="BF422">
            <v>22.579039796568424</v>
          </cell>
          <cell r="BG422">
            <v>23.535237848136827</v>
          </cell>
          <cell r="BH422">
            <v>23.684247374683494</v>
          </cell>
          <cell r="BI422">
            <v>24.169418500460019</v>
          </cell>
          <cell r="BJ422">
            <v>24.838082625977727</v>
          </cell>
          <cell r="BK422">
            <v>25.239766937169534</v>
          </cell>
          <cell r="BL422">
            <v>25.819039926872463</v>
          </cell>
          <cell r="BM422">
            <v>26.313152042714727</v>
          </cell>
          <cell r="BN422">
            <v>26.551392888931368</v>
          </cell>
          <cell r="BO422">
            <v>27.157013601922785</v>
          </cell>
          <cell r="BP422">
            <v>27.395649465073557</v>
          </cell>
          <cell r="BQ422">
            <v>28.113582409609865</v>
          </cell>
          <cell r="BR422">
            <v>28.332853602677073</v>
          </cell>
          <cell r="BS422">
            <v>28.445728799969938</v>
          </cell>
          <cell r="BT422">
            <v>28.439924833609552</v>
          </cell>
          <cell r="BU422">
            <v>28.256003983651837</v>
          </cell>
          <cell r="BV422">
            <v>28.898778417818097</v>
          </cell>
          <cell r="BW422">
            <v>28.975229312701682</v>
          </cell>
          <cell r="BX422">
            <v>28.450595940013063</v>
          </cell>
          <cell r="BY422">
            <v>29.170382473278771</v>
          </cell>
          <cell r="BZ422">
            <v>29.0863992537315</v>
          </cell>
          <cell r="CA422">
            <v>28.730464785481573</v>
          </cell>
          <cell r="CB422">
            <v>29.314092205473145</v>
          </cell>
          <cell r="CC422">
            <v>30</v>
          </cell>
          <cell r="CD422">
            <v>30.158081443148813</v>
          </cell>
          <cell r="CE422">
            <v>30.717284602712425</v>
          </cell>
          <cell r="CF422">
            <v>31.213833364706446</v>
          </cell>
          <cell r="CG422">
            <v>31.914749386862013</v>
          </cell>
          <cell r="CH422">
            <v>32.246848160351199</v>
          </cell>
          <cell r="CI422">
            <v>32.548054930199363</v>
          </cell>
          <cell r="CJ422">
            <v>32.821981937630738</v>
          </cell>
          <cell r="CK422">
            <v>33.340750804500871</v>
          </cell>
          <cell r="CL422">
            <v>33.604367593075352</v>
          </cell>
          <cell r="CM422">
            <v>34.264754472912642</v>
          </cell>
          <cell r="CN422">
            <v>34.54318722687335</v>
          </cell>
          <cell r="CO422">
            <v>34.980498041357123</v>
          </cell>
          <cell r="CP422">
            <v>35.425100951877894</v>
          </cell>
          <cell r="CQ422">
            <v>35.862063818156273</v>
          </cell>
          <cell r="CR422">
            <v>36.134791929942864</v>
          </cell>
          <cell r="CS422">
            <v>36.465557202342836</v>
          </cell>
          <cell r="CT422">
            <v>37.118701815056539</v>
          </cell>
          <cell r="CU422">
            <v>37.362322790945875</v>
          </cell>
          <cell r="CV422">
            <v>37.670970594646619</v>
          </cell>
          <cell r="CW422">
            <v>37.981417305863651</v>
          </cell>
          <cell r="CX422">
            <v>38.796837076057145</v>
          </cell>
          <cell r="CY422">
            <v>38.95391452824061</v>
          </cell>
          <cell r="CZ422">
            <v>39.194631593683006</v>
          </cell>
          <cell r="DA422">
            <v>39.504222061087717</v>
          </cell>
          <cell r="DB422">
            <v>40.339688887851857</v>
          </cell>
          <cell r="DC422"/>
          <cell r="DD422">
            <v>0</v>
          </cell>
          <cell r="DE422">
            <v>7.6175928551735712</v>
          </cell>
          <cell r="DF422">
            <v>7.7160178350953608</v>
          </cell>
          <cell r="DG422">
            <v>10.168618157514477</v>
          </cell>
          <cell r="DH422">
            <v>10.059739664392314</v>
          </cell>
          <cell r="DI422">
            <v>3.7249842812584695</v>
          </cell>
          <cell r="DJ422">
            <v>5.5405828450663268</v>
          </cell>
          <cell r="DK422">
            <v>6.5146049858620172</v>
          </cell>
          <cell r="DL422">
            <v>7.9411779331335204</v>
          </cell>
          <cell r="DM422">
            <v>9.0719107147639306</v>
          </cell>
          <cell r="DN422">
            <v>9.9843764251761229</v>
          </cell>
          <cell r="DO422">
            <v>12.492274352180811</v>
          </cell>
        </row>
        <row r="423">
          <cell r="A423" t="str">
            <v>% growth in revenue y-o-y</v>
          </cell>
          <cell r="B423"/>
          <cell r="C423" t="str">
            <v>NA</v>
          </cell>
          <cell r="D423" t="str">
            <v>NA</v>
          </cell>
          <cell r="E423" t="str">
            <v>NA</v>
          </cell>
          <cell r="F423" t="str">
            <v>NA</v>
          </cell>
          <cell r="G423" t="str">
            <v>NA</v>
          </cell>
          <cell r="H423" t="str">
            <v>NA</v>
          </cell>
          <cell r="I423" t="str">
            <v>NA</v>
          </cell>
          <cell r="J423">
            <v>1.4473640642368926</v>
          </cell>
          <cell r="K423">
            <v>0.53950745750953844</v>
          </cell>
          <cell r="L423">
            <v>9.8160879600903472E-2</v>
          </cell>
          <cell r="M423">
            <v>4.7165587358443339E-2</v>
          </cell>
          <cell r="N423">
            <v>1.2920745672951428E-2</v>
          </cell>
          <cell r="O423">
            <v>2.1755587599135096E-2</v>
          </cell>
          <cell r="P423">
            <v>0.43681914749355832</v>
          </cell>
          <cell r="Q423">
            <v>0.38176035040150169</v>
          </cell>
          <cell r="R423">
            <v>0.31785830137195425</v>
          </cell>
          <cell r="S423">
            <v>7.3658863584243006E-2</v>
          </cell>
          <cell r="T423">
            <v>-0.19755873123235301</v>
          </cell>
          <cell r="U423">
            <v>-0.18169467987954446</v>
          </cell>
          <cell r="V423">
            <v>-1.0707304712951893E-2</v>
          </cell>
          <cell r="W423">
            <v>-0.71049496816594759</v>
          </cell>
          <cell r="X423">
            <v>-0.61285137413259139</v>
          </cell>
          <cell r="Y423">
            <v>-0.59971592743237156</v>
          </cell>
          <cell r="Z423">
            <v>-0.62971365010135305</v>
          </cell>
          <cell r="AA423">
            <v>0.6713110102156632</v>
          </cell>
          <cell r="AB423">
            <v>0.69572151898734247</v>
          </cell>
          <cell r="AC423">
            <v>0.62225806451612908</v>
          </cell>
          <cell r="AD423">
            <v>0.48741106719367555</v>
          </cell>
          <cell r="AE423">
            <v>0.30069394026860419</v>
          </cell>
          <cell r="AF423">
            <v>0.19522542213463545</v>
          </cell>
          <cell r="AG423">
            <v>0.19010091469477031</v>
          </cell>
          <cell r="AH423">
            <v>0.17579777579952971</v>
          </cell>
          <cell r="AI423">
            <v>0.21843160983352283</v>
          </cell>
          <cell r="AJ423">
            <v>0.23402410525628636</v>
          </cell>
          <cell r="AK423">
            <v>0.20646257807218515</v>
          </cell>
          <cell r="AL423">
            <v>0.21898072874217989</v>
          </cell>
          <cell r="AM423">
            <v>0.15317831970962659</v>
          </cell>
          <cell r="AN423">
            <v>0.13267416353227657</v>
          </cell>
          <cell r="AO423">
            <v>0.17428272557086499</v>
          </cell>
          <cell r="AP423">
            <v>0.14238854627757136</v>
          </cell>
          <cell r="AQ423">
            <v>0.17879060439603833</v>
          </cell>
          <cell r="AR423">
            <v>0.17363103217158193</v>
          </cell>
          <cell r="AS423">
            <v>0.11086231656670131</v>
          </cell>
          <cell r="AT423">
            <v>0.10058142535807968</v>
          </cell>
          <cell r="AU423">
            <v>0.27446329313801399</v>
          </cell>
          <cell r="AV423">
            <v>0.24355857195012964</v>
          </cell>
          <cell r="AW423">
            <v>0.2663397577228106</v>
          </cell>
          <cell r="AX423">
            <v>0.25118222913560162</v>
          </cell>
          <cell r="AY423">
            <v>4.3697477568844345E-2</v>
          </cell>
          <cell r="AZ423">
            <v>6.4820347154040059E-2</v>
          </cell>
          <cell r="BA423">
            <v>3.7981181534433084E-2</v>
          </cell>
          <cell r="BB423">
            <v>-3.9406303312164548E-2</v>
          </cell>
          <cell r="BC423">
            <v>0.79133060580366554</v>
          </cell>
          <cell r="BD423">
            <v>0.74833454286401446</v>
          </cell>
          <cell r="BE423">
            <v>0.74177724122960509</v>
          </cell>
          <cell r="BF423">
            <v>0.88158664971403522</v>
          </cell>
          <cell r="BG423">
            <v>5.7461025762383988E-2</v>
          </cell>
          <cell r="BH423">
            <v>5.8173460739335825E-2</v>
          </cell>
          <cell r="BI423">
            <v>8.747609223365016E-2</v>
          </cell>
          <cell r="BJ423">
            <v>0.10005043836065308</v>
          </cell>
          <cell r="BK423">
            <v>7.2424553345554754E-2</v>
          </cell>
          <cell r="BL423">
            <v>9.0135545302186149E-2</v>
          </cell>
          <cell r="BM423">
            <v>8.8696115804933751E-2</v>
          </cell>
          <cell r="BN423">
            <v>6.8979167544990672E-2</v>
          </cell>
          <cell r="BO423">
            <v>7.5961345820899862E-2</v>
          </cell>
          <cell r="BP423">
            <v>6.1063832840668741E-2</v>
          </cell>
          <cell r="BQ423">
            <v>6.8423211478900736E-2</v>
          </cell>
          <cell r="BR423">
            <v>6.7094811982099545E-2</v>
          </cell>
          <cell r="BS423">
            <v>4.7454231048288387E-2</v>
          </cell>
          <cell r="BT423">
            <v>3.8118292098434425E-2</v>
          </cell>
          <cell r="BU423">
            <v>5.0659347487955753E-3</v>
          </cell>
          <cell r="BV423">
            <v>1.9974155200786159E-2</v>
          </cell>
          <cell r="BW423">
            <v>1.8614411901877626E-2</v>
          </cell>
          <cell r="BX423">
            <v>3.7521570348530986E-4</v>
          </cell>
          <cell r="BY423">
            <v>3.2360502573398842E-2</v>
          </cell>
          <cell r="BZ423">
            <v>6.4923448735716427E-3</v>
          </cell>
          <cell r="CA423">
            <v>-8.4473715316831788E-3</v>
          </cell>
          <cell r="CB423">
            <v>3.0350726827681473E-2</v>
          </cell>
          <cell r="CC423">
            <v>2.8440406205890278E-2</v>
          </cell>
          <cell r="CD423">
            <v>3.6844787148406777E-2</v>
          </cell>
          <cell r="CE423">
            <v>6.9153765247642607E-2</v>
          </cell>
          <cell r="CF423">
            <v>6.4806412762753229E-2</v>
          </cell>
          <cell r="CG423">
            <v>6.3824979562067119E-2</v>
          </cell>
          <cell r="CH423">
            <v>6.9260596737227287E-2</v>
          </cell>
          <cell r="CI423">
            <v>5.9600656476167746E-2</v>
          </cell>
          <cell r="CJ423">
            <v>5.1520380535593935E-2</v>
          </cell>
          <cell r="CK423">
            <v>4.4681579678199856E-2</v>
          </cell>
          <cell r="CL423">
            <v>4.2097740094589442E-2</v>
          </cell>
          <cell r="CM423">
            <v>5.2743537099062099E-2</v>
          </cell>
          <cell r="CN423">
            <v>5.2440626300791271E-2</v>
          </cell>
          <cell r="CO423">
            <v>4.9181473040939894E-2</v>
          </cell>
          <cell r="CP423">
            <v>5.4181449889202149E-2</v>
          </cell>
          <cell r="CQ423">
            <v>4.6616687316593852E-2</v>
          </cell>
          <cell r="CR423">
            <v>4.6075791808559696E-2</v>
          </cell>
          <cell r="CS423">
            <v>4.24539170148448E-2</v>
          </cell>
          <cell r="CT423">
            <v>4.7807933292251192E-2</v>
          </cell>
          <cell r="CU423">
            <v>4.1834150438103013E-2</v>
          </cell>
          <cell r="CV423">
            <v>4.2512453584403032E-2</v>
          </cell>
          <cell r="CW423">
            <v>4.1569640499649951E-2</v>
          </cell>
          <cell r="CX423">
            <v>4.5209966376569266E-2</v>
          </cell>
          <cell r="CY423">
            <v>4.2598843390979635E-2</v>
          </cell>
          <cell r="CZ423">
            <v>4.0446555397564143E-2</v>
          </cell>
          <cell r="DA423">
            <v>4.0093415760684925E-2</v>
          </cell>
          <cell r="DB423">
            <v>3.9767463743761278E-2</v>
          </cell>
          <cell r="DC423"/>
          <cell r="DD423" t="str">
            <v>NA</v>
          </cell>
          <cell r="DE423" t="str">
            <v>NA</v>
          </cell>
          <cell r="DF423">
            <v>1.2920745672951428E-2</v>
          </cell>
          <cell r="DG423">
            <v>0.31785830137195425</v>
          </cell>
          <cell r="DH423">
            <v>-1.0707304712951893E-2</v>
          </cell>
          <cell r="DI423">
            <v>-0.62971365010135305</v>
          </cell>
          <cell r="DJ423">
            <v>0.48741106719367555</v>
          </cell>
          <cell r="DK423">
            <v>0.17579777579952971</v>
          </cell>
          <cell r="DL423">
            <v>0.21898072874217989</v>
          </cell>
          <cell r="DM423">
            <v>0.14238854627757136</v>
          </cell>
          <cell r="DN423">
            <v>0.10058142535807968</v>
          </cell>
          <cell r="DO423">
            <v>0.25118222913560162</v>
          </cell>
        </row>
        <row r="424">
          <cell r="A424" t="str">
            <v>% growth in revenue seq</v>
          </cell>
          <cell r="B424"/>
          <cell r="C424" t="str">
            <v>NA</v>
          </cell>
          <cell r="D424" t="str">
            <v>NA</v>
          </cell>
          <cell r="E424" t="str">
            <v>NA</v>
          </cell>
          <cell r="F424" t="str">
            <v>NA</v>
          </cell>
          <cell r="G424">
            <v>0.70466639861876579</v>
          </cell>
          <cell r="H424">
            <v>0.11802983003815481</v>
          </cell>
          <cell r="I424">
            <v>0.13637040530143185</v>
          </cell>
          <cell r="J424">
            <v>0.13001932926363158</v>
          </cell>
          <cell r="K424">
            <v>7.2315587038665363E-2</v>
          </cell>
          <cell r="L424">
            <v>-0.20248738284066303</v>
          </cell>
          <cell r="M424">
            <v>8.3600777471409815E-2</v>
          </cell>
          <cell r="N424">
            <v>9.3064970278443848E-2</v>
          </cell>
          <cell r="O424">
            <v>8.166847940160693E-2</v>
          </cell>
          <cell r="P424">
            <v>0.12148287967258775</v>
          </cell>
          <cell r="Q424">
            <v>4.2077280627934588E-2</v>
          </cell>
          <cell r="R424">
            <v>4.2514170132154083E-2</v>
          </cell>
          <cell r="S424">
            <v>-0.11876493158618717</v>
          </cell>
          <cell r="T424">
            <v>-0.16181556787841422</v>
          </cell>
          <cell r="U424">
            <v>6.2678872466381819E-2</v>
          </cell>
          <cell r="V424">
            <v>0.26035066360458536</v>
          </cell>
          <cell r="W424">
            <v>-0.74211677924054698</v>
          </cell>
          <cell r="X424">
            <v>0.12088535754823915</v>
          </cell>
          <cell r="Y424">
            <v>9.8734177215190178E-2</v>
          </cell>
          <cell r="Z424">
            <v>0.16589861751152135</v>
          </cell>
          <cell r="AA424">
            <v>0.16397233201581041</v>
          </cell>
          <cell r="AB424">
            <v>0.13725656654838048</v>
          </cell>
          <cell r="AC424">
            <v>5.1133903644317025E-2</v>
          </cell>
          <cell r="AD424">
            <v>6.8985597818367994E-2</v>
          </cell>
          <cell r="AE424">
            <v>1.7856994804884341E-2</v>
          </cell>
          <cell r="AF424">
            <v>4.5040587755388328E-2</v>
          </cell>
          <cell r="AG424">
            <v>4.6627185991090059E-2</v>
          </cell>
          <cell r="AH424">
            <v>5.6138074306860242E-2</v>
          </cell>
          <cell r="AI424">
            <v>5.4763975818130639E-2</v>
          </cell>
          <cell r="AJ424">
            <v>5.8414166091397268E-2</v>
          </cell>
          <cell r="AK424">
            <v>2.325110807215669E-2</v>
          </cell>
          <cell r="AL424">
            <v>6.7096471013716519E-2</v>
          </cell>
          <cell r="AM424">
            <v>-2.1737664554525304E-3</v>
          </cell>
          <cell r="AN424">
            <v>3.9594969622873455E-2</v>
          </cell>
          <cell r="AO424">
            <v>6.0840035746202004E-2</v>
          </cell>
          <cell r="AP424">
            <v>3.8113530680325081E-2</v>
          </cell>
          <cell r="AQ424">
            <v>2.9621832917437363E-2</v>
          </cell>
          <cell r="AR424">
            <v>3.504465737068263E-2</v>
          </cell>
          <cell r="AS424">
            <v>4.1036640239777711E-3</v>
          </cell>
          <cell r="AT424">
            <v>2.8505920347382752E-2</v>
          </cell>
          <cell r="AU424">
            <v>0.1922927296722452</v>
          </cell>
          <cell r="AV424">
            <v>9.945647673597291E-3</v>
          </cell>
          <cell r="AW424">
            <v>2.2498191327414707E-2</v>
          </cell>
          <cell r="AX424">
            <v>1.6195157935711357E-2</v>
          </cell>
          <cell r="AY424">
            <v>-5.4263195999016967E-3</v>
          </cell>
          <cell r="AZ424">
            <v>3.0385430908139277E-2</v>
          </cell>
          <cell r="BA424">
            <v>-3.2742296975331042E-3</v>
          </cell>
          <cell r="BB424">
            <v>-5.9568053175382385E-2</v>
          </cell>
          <cell r="BC424">
            <v>0.85469702702667227</v>
          </cell>
          <cell r="BD424">
            <v>5.6538058826460791E-3</v>
          </cell>
          <cell r="BE424">
            <v>-7.0125482872669398E-3</v>
          </cell>
          <cell r="BF424">
            <v>1.591877205870551E-2</v>
          </cell>
          <cell r="BG424">
            <v>4.2348924497388474E-2</v>
          </cell>
          <cell r="BH424">
            <v>6.3313371850399758E-3</v>
          </cell>
          <cell r="BI424">
            <v>2.0484971217414882E-2</v>
          </cell>
          <cell r="BJ424">
            <v>2.7665710099934016E-2</v>
          </cell>
          <cell r="BK424">
            <v>1.6172114298858675E-2</v>
          </cell>
          <cell r="BL424">
            <v>2.2950805811517094E-2</v>
          </cell>
          <cell r="BM424">
            <v>1.9137509266097474E-2</v>
          </cell>
          <cell r="BN424">
            <v>9.0540595756030129E-3</v>
          </cell>
          <cell r="BO424">
            <v>2.2809376348910337E-2</v>
          </cell>
          <cell r="BP424">
            <v>8.7872645589379683E-3</v>
          </cell>
          <cell r="BQ424">
            <v>2.6206093250375151E-2</v>
          </cell>
          <cell r="BR424">
            <v>7.7994753522501181E-3</v>
          </cell>
          <cell r="BS424">
            <v>3.9838979467357039E-3</v>
          </cell>
          <cell r="BT424">
            <v>-2.0403647947286885E-4</v>
          </cell>
          <cell r="BU424">
            <v>-6.4669949387616832E-3</v>
          </cell>
          <cell r="BV424">
            <v>2.2748242622635306E-2</v>
          </cell>
          <cell r="BW424">
            <v>2.6454715067281143E-3</v>
          </cell>
          <cell r="BX424">
            <v>-1.8106271637292615E-2</v>
          </cell>
          <cell r="BY424">
            <v>2.5299523946118674E-2</v>
          </cell>
          <cell r="BZ424">
            <v>-2.8790578808557399E-3</v>
          </cell>
          <cell r="CA424">
            <v>-1.2237144417395207E-2</v>
          </cell>
          <cell r="CB424">
            <v>2.0313887169917999E-2</v>
          </cell>
          <cell r="CC424">
            <v>2.3398568501425077E-2</v>
          </cell>
          <cell r="CD424">
            <v>5.2693814382938076E-3</v>
          </cell>
          <cell r="CE424">
            <v>1.8542398349104872E-2</v>
          </cell>
          <cell r="CF424">
            <v>1.6165125544663983E-2</v>
          </cell>
          <cell r="CG424">
            <v>2.2455300954739243E-2</v>
          </cell>
          <cell r="CH424">
            <v>1.0405808595379318E-2</v>
          </cell>
          <cell r="CI424">
            <v>9.3406576776240424E-3</v>
          </cell>
          <cell r="CJ424">
            <v>8.4160791795031553E-3</v>
          </cell>
          <cell r="CK424">
            <v>1.5805531422688368E-2</v>
          </cell>
          <cell r="CL424">
            <v>7.906744215816941E-3</v>
          </cell>
          <cell r="CM424">
            <v>1.9651816925528864E-2</v>
          </cell>
          <cell r="CN424">
            <v>8.1259229270362887E-3</v>
          </cell>
          <cell r="CO424">
            <v>1.2659828162687958E-2</v>
          </cell>
          <cell r="CP424">
            <v>1.2710022310006064E-2</v>
          </cell>
          <cell r="CQ424">
            <v>1.233483757384235E-2</v>
          </cell>
          <cell r="CR424">
            <v>7.6049195932921254E-3</v>
          </cell>
          <cell r="CS424">
            <v>9.1536509478524763E-3</v>
          </cell>
          <cell r="CT424">
            <v>1.7911274715740166E-2</v>
          </cell>
          <cell r="CU424">
            <v>6.5632946190621322E-3</v>
          </cell>
          <cell r="CV424">
            <v>8.2609372395749947E-3</v>
          </cell>
          <cell r="CW424">
            <v>8.2410064385531889E-3</v>
          </cell>
          <cell r="CX424">
            <v>2.1468913696056413E-2</v>
          </cell>
          <cell r="CY424">
            <v>4.0487179889312497E-3</v>
          </cell>
          <cell r="CZ424">
            <v>6.179534672128506E-3</v>
          </cell>
          <cell r="DA424">
            <v>7.8987977387854347E-3</v>
          </cell>
          <cell r="DB424">
            <v>2.1148798360646426E-2</v>
          </cell>
          <cell r="DC424"/>
          <cell r="DD424"/>
          <cell r="DE424"/>
          <cell r="DF424"/>
          <cell r="DG424"/>
          <cell r="DH424"/>
          <cell r="DI424"/>
          <cell r="DJ424"/>
          <cell r="DK424"/>
          <cell r="DL424"/>
          <cell r="DM424"/>
          <cell r="DN424"/>
          <cell r="DO424"/>
        </row>
        <row r="425">
          <cell r="A425"/>
          <cell r="B425"/>
          <cell r="C425"/>
          <cell r="D425"/>
          <cell r="E425"/>
          <cell r="F425"/>
          <cell r="G425"/>
          <cell r="H425"/>
          <cell r="I425"/>
          <cell r="J425"/>
          <cell r="K425"/>
          <cell r="L425"/>
          <cell r="M425"/>
          <cell r="N425"/>
          <cell r="O425"/>
          <cell r="P425"/>
          <cell r="Q425"/>
          <cell r="R425"/>
          <cell r="S425"/>
          <cell r="T425"/>
          <cell r="U425"/>
          <cell r="V425"/>
          <cell r="W425"/>
          <cell r="X425"/>
          <cell r="Y425"/>
          <cell r="Z425"/>
          <cell r="AA425"/>
          <cell r="AB425"/>
          <cell r="AC425"/>
          <cell r="AD425"/>
          <cell r="AE425"/>
          <cell r="AF425"/>
          <cell r="AG425"/>
          <cell r="AH425"/>
          <cell r="AI425"/>
          <cell r="AJ425"/>
          <cell r="AK425"/>
          <cell r="AL425"/>
          <cell r="AM425"/>
          <cell r="AN425"/>
          <cell r="AO425"/>
          <cell r="AP425"/>
          <cell r="AQ425"/>
          <cell r="AR425"/>
          <cell r="AS425"/>
          <cell r="AT425"/>
          <cell r="AU425"/>
          <cell r="AV425"/>
          <cell r="AW425"/>
          <cell r="AX425"/>
          <cell r="AY425"/>
          <cell r="AZ425"/>
          <cell r="BA425"/>
          <cell r="BB425"/>
          <cell r="BC425"/>
          <cell r="BD425"/>
          <cell r="BE425"/>
          <cell r="BF425"/>
          <cell r="BG425"/>
          <cell r="BH425"/>
          <cell r="BI425"/>
          <cell r="BJ425"/>
          <cell r="BK425"/>
          <cell r="BL425"/>
          <cell r="BM425"/>
          <cell r="BN425"/>
          <cell r="BO425"/>
          <cell r="BP425"/>
          <cell r="BQ425"/>
          <cell r="BR425"/>
          <cell r="BS425"/>
          <cell r="BT425"/>
          <cell r="BU425"/>
          <cell r="BV425"/>
          <cell r="BW425"/>
          <cell r="BX425"/>
          <cell r="BY425"/>
          <cell r="BZ425"/>
          <cell r="CA425"/>
          <cell r="CB425"/>
          <cell r="CC425"/>
          <cell r="CD425"/>
          <cell r="CE425"/>
          <cell r="CF425"/>
          <cell r="CG425"/>
          <cell r="CH425"/>
          <cell r="CI425"/>
          <cell r="CJ425"/>
          <cell r="CK425"/>
          <cell r="CL425"/>
          <cell r="CM425"/>
          <cell r="CN425"/>
          <cell r="CO425"/>
          <cell r="CP425"/>
          <cell r="CQ425"/>
          <cell r="CR425"/>
          <cell r="CS425"/>
          <cell r="CT425"/>
          <cell r="CU425"/>
          <cell r="CV425"/>
          <cell r="CW425"/>
          <cell r="CX425"/>
          <cell r="CY425"/>
          <cell r="CZ425"/>
          <cell r="DA425"/>
          <cell r="DB425"/>
          <cell r="DC425"/>
          <cell r="DD425"/>
          <cell r="DE425"/>
          <cell r="DF425"/>
          <cell r="DG425"/>
          <cell r="DH425"/>
          <cell r="DI425"/>
          <cell r="DJ425"/>
          <cell r="DK425"/>
          <cell r="DL425"/>
          <cell r="DM425"/>
          <cell r="DN425"/>
          <cell r="DO425"/>
        </row>
        <row r="426">
          <cell r="A426" t="str">
            <v>LUM</v>
          </cell>
          <cell r="B426"/>
          <cell r="C426" t="e">
            <v>#DIV/0!</v>
          </cell>
          <cell r="D426" t="e">
            <v>#DIV/0!</v>
          </cell>
          <cell r="E426">
            <v>0</v>
          </cell>
          <cell r="F426">
            <v>2.9481173539577239</v>
          </cell>
          <cell r="G426">
            <v>5.0255565924765984</v>
          </cell>
          <cell r="H426">
            <v>5.6187221829337393</v>
          </cell>
          <cell r="I426">
            <v>6.3849496042965592</v>
          </cell>
          <cell r="J426">
            <v>7.2151164692292884</v>
          </cell>
          <cell r="K426">
            <v>7.7368818522539478</v>
          </cell>
          <cell r="L426">
            <v>6.1702608946436239</v>
          </cell>
          <cell r="M426">
            <v>6.6860995026372674</v>
          </cell>
          <cell r="N426">
            <v>7.3083411541289234</v>
          </cell>
          <cell r="O426">
            <v>7.9052022631348162</v>
          </cell>
          <cell r="P426">
            <v>8.8655489984546936</v>
          </cell>
          <cell r="Q426">
            <v>9.2385871915833757</v>
          </cell>
          <cell r="R426">
            <v>9.6313580592270913</v>
          </cell>
          <cell r="S426">
            <v>8.4874904782409129</v>
          </cell>
          <cell r="T426">
            <v>7.1140823866417255</v>
          </cell>
          <cell r="U426">
            <v>7.5599850492693754</v>
          </cell>
          <cell r="V426">
            <v>9.5282321736874014</v>
          </cell>
          <cell r="W426">
            <v>2.4571712010943516</v>
          </cell>
          <cell r="X426">
            <v>2.7542072202958785</v>
          </cell>
          <cell r="Y426">
            <v>3.0261416040719284</v>
          </cell>
          <cell r="Z426">
            <v>3.5281743125815583</v>
          </cell>
          <cell r="AA426">
            <v>4.106697282373835</v>
          </cell>
          <cell r="AB426">
            <v>4.6703684512060333</v>
          </cell>
          <cell r="AC426">
            <v>4.9091826215734606</v>
          </cell>
          <cell r="AD426">
            <v>5.2478455195222491</v>
          </cell>
          <cell r="AE426">
            <v>5.3415562697011927</v>
          </cell>
          <cell r="AF426">
            <v>5.5821431036170148</v>
          </cell>
          <cell r="AG426">
            <v>5.8424227283382457</v>
          </cell>
          <cell r="AH426">
            <v>6.1704050895937872</v>
          </cell>
          <cell r="AI426">
            <v>6.5083210047083719</v>
          </cell>
          <cell r="AJ426">
            <v>6.888499148853537</v>
          </cell>
          <cell r="AK426">
            <v>7.0486643870184897</v>
          </cell>
          <cell r="AL426">
            <v>7.521604892747491</v>
          </cell>
          <cell r="AM426">
            <v>7.5052546803404692</v>
          </cell>
          <cell r="AN426">
            <v>7.8024250114204801</v>
          </cell>
          <cell r="AO426">
            <v>8.2771248280223624</v>
          </cell>
          <cell r="AP426">
            <v>8.5925952791000739</v>
          </cell>
          <cell r="AQ426">
            <v>8.8471237007847368</v>
          </cell>
          <cell r="AR426">
            <v>9.1571681195947843</v>
          </cell>
          <cell r="AS426">
            <v>9.1947460609686811</v>
          </cell>
          <cell r="AT426">
            <v>9.4568507597970672</v>
          </cell>
          <cell r="AU426">
            <v>11.275334406501491</v>
          </cell>
          <cell r="AV426">
            <v>11.387474909910544</v>
          </cell>
          <cell r="AW426">
            <v>11.643672499169847</v>
          </cell>
          <cell r="AX426">
            <v>11.830625945561202</v>
          </cell>
          <cell r="AY426">
            <v>11.760888364743636</v>
          </cell>
          <cell r="AZ426">
            <v>12.108340231999549</v>
          </cell>
          <cell r="BA426">
            <v>12.053826878613068</v>
          </cell>
          <cell r="BB426">
            <v>12</v>
          </cell>
          <cell r="BC426">
            <v>21.522615503315478</v>
          </cell>
          <cell r="BD426">
            <v>21.624589211936097</v>
          </cell>
          <cell r="BE426">
            <v>21.454065111046905</v>
          </cell>
          <cell r="BF426">
            <v>21.77590602590551</v>
          </cell>
          <cell r="BG426">
            <v>22.679373497950806</v>
          </cell>
          <cell r="BH426">
            <v>22.805639863270795</v>
          </cell>
          <cell r="BI426">
            <v>23.257091499415431</v>
          </cell>
          <cell r="BJ426">
            <v>23.886474014715922</v>
          </cell>
          <cell r="BK426">
            <v>24.260678543156377</v>
          </cell>
          <cell r="BL426">
            <v>24.806624973909898</v>
          </cell>
          <cell r="BM426">
            <v>25.27189895408647</v>
          </cell>
          <cell r="BN426">
            <v>25.493269633554601</v>
          </cell>
          <cell r="BO426">
            <v>26.06956692891022</v>
          </cell>
          <cell r="BP426">
            <v>26.204520108191637</v>
          </cell>
          <cell r="BQ426">
            <v>26.871393599532006</v>
          </cell>
          <cell r="BR426">
            <v>27.0531636665749</v>
          </cell>
          <cell r="BS426">
            <v>27.357434691213925</v>
          </cell>
          <cell r="BT426">
            <v>27.198720712192117</v>
          </cell>
          <cell r="BU426">
            <v>26.843181728233816</v>
          </cell>
          <cell r="BV426">
            <v>27.384280856119872</v>
          </cell>
          <cell r="BW426">
            <v>27.402974020225173</v>
          </cell>
          <cell r="BX426">
            <v>26.81075374423256</v>
          </cell>
          <cell r="BY426">
            <v>27.464810916507421</v>
          </cell>
          <cell r="BZ426">
            <v>27.299703492345095</v>
          </cell>
          <cell r="CA426">
            <v>26.810544301366459</v>
          </cell>
          <cell r="CB426">
            <v>27.260901669714066</v>
          </cell>
          <cell r="CC426">
            <v>27.793213696880969</v>
          </cell>
          <cell r="CD426">
            <v>27.603607372292199</v>
          </cell>
          <cell r="CE426">
            <v>27.436978852803129</v>
          </cell>
          <cell r="CF426">
            <v>27.712034368045817</v>
          </cell>
          <cell r="CG426">
            <v>28.544112142155051</v>
          </cell>
          <cell r="CH426">
            <v>28.174302613366255</v>
          </cell>
          <cell r="CI426">
            <v>28.130588591523093</v>
          </cell>
          <cell r="CJ426">
            <v>27.949887265676256</v>
          </cell>
          <cell r="CK426">
            <v>28.105043991801821</v>
          </cell>
          <cell r="CL426">
            <v>27.347015350532896</v>
          </cell>
          <cell r="CM426">
            <v>27.547307252386712</v>
          </cell>
          <cell r="CN426">
            <v>27.223174189156843</v>
          </cell>
          <cell r="CO426">
            <v>27.193134005981896</v>
          </cell>
          <cell r="CP426">
            <v>26.293887916175869</v>
          </cell>
          <cell r="CQ426">
            <v>26.172046736293794</v>
          </cell>
          <cell r="CR426">
            <v>25.705294286821744</v>
          </cell>
          <cell r="CS426">
            <v>25.469059111284601</v>
          </cell>
          <cell r="CT426">
            <v>24.440764147718298</v>
          </cell>
          <cell r="CU426">
            <v>24.120183731104117</v>
          </cell>
          <cell r="CV426">
            <v>23.666141514158944</v>
          </cell>
          <cell r="CW426">
            <v>23.406658137633023</v>
          </cell>
          <cell r="CX426">
            <v>22.421290867325872</v>
          </cell>
          <cell r="CY426">
            <v>22.065001305157004</v>
          </cell>
          <cell r="CZ426">
            <v>21.584468424588358</v>
          </cell>
          <cell r="DA426">
            <v>21.374205948080949</v>
          </cell>
          <cell r="DB426">
            <v>20.403108662007298</v>
          </cell>
          <cell r="DC426"/>
          <cell r="DD426">
            <v>0</v>
          </cell>
          <cell r="DE426">
            <v>7.2151164692292884</v>
          </cell>
          <cell r="DF426">
            <v>7.3083411541289234</v>
          </cell>
          <cell r="DG426">
            <v>9.6313580592270913</v>
          </cell>
          <cell r="DH426">
            <v>9.5282321736874014</v>
          </cell>
          <cell r="DI426">
            <v>3.5281743125815583</v>
          </cell>
          <cell r="DJ426">
            <v>5.2478455195222491</v>
          </cell>
          <cell r="DK426">
            <v>6.1704050895937872</v>
          </cell>
          <cell r="DL426">
            <v>7.521604892747491</v>
          </cell>
          <cell r="DM426">
            <v>8.5925952791000739</v>
          </cell>
          <cell r="DN426">
            <v>9.4568507597970672</v>
          </cell>
          <cell r="DO426">
            <v>11.830625945561202</v>
          </cell>
        </row>
        <row r="427">
          <cell r="A427" t="str">
            <v>% of active users</v>
          </cell>
          <cell r="B427"/>
          <cell r="C427" t="str">
            <v>NA</v>
          </cell>
          <cell r="D427" t="str">
            <v>NA</v>
          </cell>
          <cell r="E427" t="str">
            <v>NA</v>
          </cell>
          <cell r="F427">
            <v>0.94716488612660144</v>
          </cell>
          <cell r="G427">
            <v>0.94716488612660144</v>
          </cell>
          <cell r="H427">
            <v>0.94716488612660144</v>
          </cell>
          <cell r="I427">
            <v>0.94716488612660132</v>
          </cell>
          <cell r="J427">
            <v>0.94716488612660144</v>
          </cell>
          <cell r="K427">
            <v>0.94716488612660155</v>
          </cell>
          <cell r="L427">
            <v>0.94716488612660132</v>
          </cell>
          <cell r="M427">
            <v>0.94716488612660144</v>
          </cell>
          <cell r="N427">
            <v>0.94716488612660144</v>
          </cell>
          <cell r="O427">
            <v>0.94716488612660132</v>
          </cell>
          <cell r="P427">
            <v>0.94716488612660155</v>
          </cell>
          <cell r="Q427">
            <v>0.94716488612660132</v>
          </cell>
          <cell r="R427">
            <v>0.94716488612660144</v>
          </cell>
          <cell r="S427">
            <v>0.94716488612660144</v>
          </cell>
          <cell r="T427">
            <v>0.94716488612660144</v>
          </cell>
          <cell r="U427">
            <v>0.94716488612660144</v>
          </cell>
          <cell r="V427">
            <v>0.94716488612660144</v>
          </cell>
          <cell r="W427">
            <v>0.94716488612660144</v>
          </cell>
          <cell r="X427">
            <v>0.94716488612660144</v>
          </cell>
          <cell r="Y427">
            <v>0.94716488612660144</v>
          </cell>
          <cell r="Z427">
            <v>0.94716488612660144</v>
          </cell>
          <cell r="AA427">
            <v>0.94716488612660132</v>
          </cell>
          <cell r="AB427">
            <v>0.94716488612660144</v>
          </cell>
          <cell r="AC427">
            <v>0.94716488612660144</v>
          </cell>
          <cell r="AD427">
            <v>0.94716488612660144</v>
          </cell>
          <cell r="AE427">
            <v>0.94716488612660144</v>
          </cell>
          <cell r="AF427">
            <v>0.94716488612660144</v>
          </cell>
          <cell r="AG427">
            <v>0.94716488612660144</v>
          </cell>
          <cell r="AH427">
            <v>0.94716488612660144</v>
          </cell>
          <cell r="AI427">
            <v>0.94716488612660144</v>
          </cell>
          <cell r="AJ427">
            <v>0.94716488612660144</v>
          </cell>
          <cell r="AK427">
            <v>0.94716488612660144</v>
          </cell>
          <cell r="AL427">
            <v>0.94716488612660144</v>
          </cell>
          <cell r="AM427">
            <v>0.94716488612660144</v>
          </cell>
          <cell r="AN427">
            <v>0.94716488612660155</v>
          </cell>
          <cell r="AO427">
            <v>0.94716488612660144</v>
          </cell>
          <cell r="AP427">
            <v>0.94716488612660144</v>
          </cell>
          <cell r="AQ427">
            <v>0.94716488612660132</v>
          </cell>
          <cell r="AR427">
            <v>0.94716488612660144</v>
          </cell>
          <cell r="AS427">
            <v>0.94716488612660144</v>
          </cell>
          <cell r="AT427">
            <v>0.94716488612660155</v>
          </cell>
          <cell r="AU427">
            <v>0.94716488612660155</v>
          </cell>
          <cell r="AV427">
            <v>0.94716488612660144</v>
          </cell>
          <cell r="AW427">
            <v>0.94716488612660155</v>
          </cell>
          <cell r="AX427">
            <v>0.94703539259813785</v>
          </cell>
          <cell r="AY427">
            <v>0.94658943267676388</v>
          </cell>
          <cell r="AZ427">
            <v>0.94581550787558</v>
          </cell>
          <cell r="BA427">
            <v>0.94465032317841591</v>
          </cell>
          <cell r="BB427">
            <v>1</v>
          </cell>
          <cell r="BC427">
            <v>0.96703195498094885</v>
          </cell>
          <cell r="BD427">
            <v>0.96615130054419629</v>
          </cell>
          <cell r="BE427">
            <v>0.96530178783753207</v>
          </cell>
          <cell r="BF427">
            <v>0.96443011846832505</v>
          </cell>
          <cell r="BG427">
            <v>0.96363476945894666</v>
          </cell>
          <cell r="BH427">
            <v>0.96290329612281211</v>
          </cell>
          <cell r="BI427">
            <v>0.96225283611903101</v>
          </cell>
          <cell r="BJ427">
            <v>0.96168751728579349</v>
          </cell>
          <cell r="BK427">
            <v>0.96120850099565325</v>
          </cell>
          <cell r="BL427">
            <v>0.96078804805174634</v>
          </cell>
          <cell r="BM427">
            <v>0.96042841667399004</v>
          </cell>
          <cell r="BN427">
            <v>0.96014810749089274</v>
          </cell>
          <cell r="BO427">
            <v>0.95995705975065049</v>
          </cell>
          <cell r="BP427">
            <v>0.95652122215972724</v>
          </cell>
          <cell r="BQ427">
            <v>0.95581534960648595</v>
          </cell>
          <cell r="BR427">
            <v>0.95483370810269319</v>
          </cell>
          <cell r="BS427">
            <v>0.96174138773490792</v>
          </cell>
          <cell r="BT427">
            <v>0.95635698305536254</v>
          </cell>
          <cell r="BU427">
            <v>0.94999921941420162</v>
          </cell>
          <cell r="BV427">
            <v>0.94759302487455899</v>
          </cell>
          <cell r="BW427">
            <v>0.9457379516997545</v>
          </cell>
          <cell r="BX427">
            <v>0.94236176285241813</v>
          </cell>
          <cell r="BY427">
            <v>0.94153070984469533</v>
          </cell>
          <cell r="BZ427">
            <v>0.93857281041216578</v>
          </cell>
          <cell r="CA427">
            <v>0.93317475027117169</v>
          </cell>
          <cell r="CB427">
            <v>0.92995892482811615</v>
          </cell>
          <cell r="CC427">
            <v>0.92644045656269891</v>
          </cell>
          <cell r="CD427">
            <v>0.91529719568958423</v>
          </cell>
          <cell r="CE427">
            <v>0.89320977448574235</v>
          </cell>
          <cell r="CF427">
            <v>0.88781259399493939</v>
          </cell>
          <cell r="CG427">
            <v>0.89438622237483356</v>
          </cell>
          <cell r="CH427">
            <v>0.87370717514053653</v>
          </cell>
          <cell r="CI427">
            <v>0.86427863821203121</v>
          </cell>
          <cell r="CJ427">
            <v>0.8515600099587961</v>
          </cell>
          <cell r="CK427">
            <v>0.84296373997695784</v>
          </cell>
          <cell r="CL427">
            <v>0.81379348308783916</v>
          </cell>
          <cell r="CM427">
            <v>0.80395460805545005</v>
          </cell>
          <cell r="CN427">
            <v>0.78809097754529722</v>
          </cell>
          <cell r="CO427">
            <v>0.77737984101403312</v>
          </cell>
          <cell r="CP427">
            <v>0.74223889868073967</v>
          </cell>
          <cell r="CQ427">
            <v>0.72979756181916644</v>
          </cell>
          <cell r="CR427">
            <v>0.71137241738262824</v>
          </cell>
          <cell r="CS427">
            <v>0.69844151756573913</v>
          </cell>
          <cell r="CT427">
            <v>0.65844878599187262</v>
          </cell>
          <cell r="CU427">
            <v>0.64557505875810361</v>
          </cell>
          <cell r="CV427">
            <v>0.62823285783674798</v>
          </cell>
          <cell r="CW427">
            <v>0.61626605318963323</v>
          </cell>
          <cell r="CX427">
            <v>0.57791543221348884</v>
          </cell>
          <cell r="CY427">
            <v>0.56643861271401708</v>
          </cell>
          <cell r="CZ427">
            <v>0.55069961234352116</v>
          </cell>
          <cell r="DA427">
            <v>0.54106130516957784</v>
          </cell>
          <cell r="DB427">
            <v>0.50578249918411289</v>
          </cell>
          <cell r="DC427"/>
          <cell r="DD427" t="str">
            <v>NA</v>
          </cell>
          <cell r="DE427">
            <v>0.94716488612660144</v>
          </cell>
          <cell r="DF427">
            <v>0.94716488612660144</v>
          </cell>
          <cell r="DG427">
            <v>0.94716488612660144</v>
          </cell>
          <cell r="DH427">
            <v>0.94716488612660144</v>
          </cell>
          <cell r="DI427">
            <v>0.94716488612660144</v>
          </cell>
          <cell r="DJ427">
            <v>0.94716488612660144</v>
          </cell>
          <cell r="DK427">
            <v>0.94716488612660144</v>
          </cell>
          <cell r="DL427">
            <v>0.94716488612660144</v>
          </cell>
          <cell r="DM427">
            <v>0.94716488612660144</v>
          </cell>
          <cell r="DN427">
            <v>0.94716488612660155</v>
          </cell>
          <cell r="DO427">
            <v>0.94703539259813785</v>
          </cell>
        </row>
        <row r="428">
          <cell r="A428" t="str">
            <v>% growth in revenue y-o-y</v>
          </cell>
          <cell r="B428"/>
          <cell r="C428" t="str">
            <v>NA</v>
          </cell>
          <cell r="D428" t="str">
            <v>NA</v>
          </cell>
          <cell r="E428" t="str">
            <v>NA</v>
          </cell>
          <cell r="F428" t="str">
            <v>NA</v>
          </cell>
          <cell r="G428" t="str">
            <v>NA</v>
          </cell>
          <cell r="H428" t="str">
            <v>NA</v>
          </cell>
          <cell r="I428" t="str">
            <v>NA</v>
          </cell>
          <cell r="J428">
            <v>1.4473640642368926</v>
          </cell>
          <cell r="K428">
            <v>0.53950745750953844</v>
          </cell>
          <cell r="L428">
            <v>9.8160879600903472E-2</v>
          </cell>
          <cell r="M428">
            <v>4.7165587358443339E-2</v>
          </cell>
          <cell r="N428">
            <v>1.2920745672951428E-2</v>
          </cell>
          <cell r="O428">
            <v>2.1755587599134873E-2</v>
          </cell>
          <cell r="P428">
            <v>0.43681914749355855</v>
          </cell>
          <cell r="Q428">
            <v>0.38176035040150147</v>
          </cell>
          <cell r="R428">
            <v>0.31785830137195425</v>
          </cell>
          <cell r="S428">
            <v>7.3658863584243006E-2</v>
          </cell>
          <cell r="T428">
            <v>-0.19755873123235312</v>
          </cell>
          <cell r="U428">
            <v>-0.18169467987954435</v>
          </cell>
          <cell r="V428">
            <v>-1.0707304712951893E-2</v>
          </cell>
          <cell r="W428">
            <v>-0.71049496816594759</v>
          </cell>
          <cell r="X428">
            <v>-0.61285137413259139</v>
          </cell>
          <cell r="Y428">
            <v>-0.59971592743237156</v>
          </cell>
          <cell r="Z428">
            <v>-0.62971365010135305</v>
          </cell>
          <cell r="AA428">
            <v>0.6713110102156632</v>
          </cell>
          <cell r="AB428">
            <v>0.69572151898734247</v>
          </cell>
          <cell r="AC428">
            <v>0.62225806451612908</v>
          </cell>
          <cell r="AD428">
            <v>0.48741106719367577</v>
          </cell>
          <cell r="AE428">
            <v>0.30069394026860441</v>
          </cell>
          <cell r="AF428">
            <v>0.19522542213463545</v>
          </cell>
          <cell r="AG428">
            <v>0.19010091469477031</v>
          </cell>
          <cell r="AH428">
            <v>0.17579777579952949</v>
          </cell>
          <cell r="AI428">
            <v>0.21843160983352305</v>
          </cell>
          <cell r="AJ428">
            <v>0.23402410525628659</v>
          </cell>
          <cell r="AK428">
            <v>0.20646257807218515</v>
          </cell>
          <cell r="AL428">
            <v>0.21898072874217989</v>
          </cell>
          <cell r="AM428">
            <v>0.15317831970962659</v>
          </cell>
          <cell r="AN428">
            <v>0.13267416353227679</v>
          </cell>
          <cell r="AO428">
            <v>0.17428272557086499</v>
          </cell>
          <cell r="AP428">
            <v>0.14238854627757136</v>
          </cell>
          <cell r="AQ428">
            <v>0.17879060439603833</v>
          </cell>
          <cell r="AR428">
            <v>0.17363103217158193</v>
          </cell>
          <cell r="AS428">
            <v>0.11086231656670131</v>
          </cell>
          <cell r="AT428">
            <v>0.1005814253580799</v>
          </cell>
          <cell r="AU428">
            <v>0.27446329313801421</v>
          </cell>
          <cell r="AV428">
            <v>0.24355857195012964</v>
          </cell>
          <cell r="AW428">
            <v>0.2663397577228106</v>
          </cell>
          <cell r="AX428">
            <v>0.25101117127231398</v>
          </cell>
          <cell r="AY428">
            <v>4.3063375394185144E-2</v>
          </cell>
          <cell r="AZ428">
            <v>6.3303351075806313E-2</v>
          </cell>
          <cell r="BA428">
            <v>3.5225516646269606E-2</v>
          </cell>
          <cell r="BB428">
            <v>1.431657591222768E-2</v>
          </cell>
          <cell r="BC428">
            <v>0.83001613788250839</v>
          </cell>
          <cell r="BD428">
            <v>0.78592513900355221</v>
          </cell>
          <cell r="BE428">
            <v>0.7798550889354936</v>
          </cell>
          <cell r="BF428">
            <v>0.81465883549212581</v>
          </cell>
          <cell r="BG428">
            <v>5.3746162703001144E-2</v>
          </cell>
          <cell r="BH428">
            <v>5.4616096507525524E-2</v>
          </cell>
          <cell r="BI428">
            <v>8.4041247149945875E-2</v>
          </cell>
          <cell r="BJ428">
            <v>9.6922166466901327E-2</v>
          </cell>
          <cell r="BK428">
            <v>6.9724370708408312E-2</v>
          </cell>
          <cell r="BL428">
            <v>8.7740801075340658E-2</v>
          </cell>
          <cell r="BM428">
            <v>8.6631961469544994E-2</v>
          </cell>
          <cell r="BN428">
            <v>6.7268011923767634E-2</v>
          </cell>
          <cell r="BO428">
            <v>7.4560502606556556E-2</v>
          </cell>
          <cell r="BP428">
            <v>5.6351685719115752E-2</v>
          </cell>
          <cell r="BQ428">
            <v>6.3291430863642972E-2</v>
          </cell>
          <cell r="BR428">
            <v>6.118846485533358E-2</v>
          </cell>
          <cell r="BS428">
            <v>4.9401195110591045E-2</v>
          </cell>
          <cell r="BT428">
            <v>3.7940042400917307E-2</v>
          </cell>
          <cell r="BU428">
            <v>-1.0498849340914163E-3</v>
          </cell>
          <cell r="BV428">
            <v>1.2239499735628989E-2</v>
          </cell>
          <cell r="BW428">
            <v>1.6646052352955465E-3</v>
          </cell>
          <cell r="BX428">
            <v>-1.4264162350314025E-2</v>
          </cell>
          <cell r="BY428">
            <v>2.3157805753696081E-2</v>
          </cell>
          <cell r="BZ428">
            <v>-3.0885369683124608E-3</v>
          </cell>
          <cell r="CA428">
            <v>-2.1619176021604902E-2</v>
          </cell>
          <cell r="CB428">
            <v>1.6789827312420957E-2</v>
          </cell>
          <cell r="CC428">
            <v>1.1957219781045803E-2</v>
          </cell>
          <cell r="CD428">
            <v>1.1132131161509573E-2</v>
          </cell>
          <cell r="CE428">
            <v>2.3365230649373459E-2</v>
          </cell>
          <cell r="CF428">
            <v>1.6548707881989921E-2</v>
          </cell>
          <cell r="CG428">
            <v>2.7017330685956242E-2</v>
          </cell>
          <cell r="CH428">
            <v>2.0674661589590082E-2</v>
          </cell>
          <cell r="CI428">
            <v>2.5280106182284712E-2</v>
          </cell>
          <cell r="CJ428">
            <v>8.5830182826527324E-3</v>
          </cell>
          <cell r="CK428">
            <v>-1.5382091696059308E-2</v>
          </cell>
          <cell r="CL428">
            <v>-2.9363185104744449E-2</v>
          </cell>
          <cell r="CM428">
            <v>-2.0734771945445485E-2</v>
          </cell>
          <cell r="CN428">
            <v>-2.600057272545242E-2</v>
          </cell>
          <cell r="CO428">
            <v>-3.2446488469682788E-2</v>
          </cell>
          <cell r="CP428">
            <v>-3.8509775961218518E-2</v>
          </cell>
          <cell r="CQ428">
            <v>-4.9923591568964198E-2</v>
          </cell>
          <cell r="CR428">
            <v>-5.5756903724315854E-2</v>
          </cell>
          <cell r="CS428">
            <v>-6.340111052731312E-2</v>
          </cell>
          <cell r="CT428">
            <v>-7.0477358630464781E-2</v>
          </cell>
          <cell r="CU428">
            <v>-7.8399027247046726E-2</v>
          </cell>
          <cell r="CV428">
            <v>-7.9328124000829114E-2</v>
          </cell>
          <cell r="CW428">
            <v>-8.0976724135748968E-2</v>
          </cell>
          <cell r="CX428">
            <v>-8.2627256176888264E-2</v>
          </cell>
          <cell r="CY428">
            <v>-8.5205919194423774E-2</v>
          </cell>
          <cell r="CZ428">
            <v>-8.7959969660671766E-2</v>
          </cell>
          <cell r="DA428">
            <v>-8.683222430135451E-2</v>
          </cell>
          <cell r="DB428">
            <v>-9.0011864939481878E-2</v>
          </cell>
          <cell r="DC428"/>
          <cell r="DD428" t="str">
            <v>NA</v>
          </cell>
          <cell r="DE428" t="str">
            <v>NA</v>
          </cell>
          <cell r="DF428">
            <v>1.2920745672951428E-2</v>
          </cell>
          <cell r="DG428">
            <v>0.31785830137195425</v>
          </cell>
          <cell r="DH428">
            <v>-1.0707304712951893E-2</v>
          </cell>
          <cell r="DI428">
            <v>-0.62971365010135305</v>
          </cell>
          <cell r="DJ428">
            <v>0.48741106719367577</v>
          </cell>
          <cell r="DK428">
            <v>0.17579777579952949</v>
          </cell>
          <cell r="DL428">
            <v>0.21898072874217989</v>
          </cell>
          <cell r="DM428">
            <v>0.14238854627757136</v>
          </cell>
          <cell r="DN428">
            <v>0.1005814253580799</v>
          </cell>
          <cell r="DO428">
            <v>0.25101117127231398</v>
          </cell>
        </row>
        <row r="429">
          <cell r="A429" t="str">
            <v>% growth in revenue seq</v>
          </cell>
          <cell r="B429"/>
          <cell r="C429" t="str">
            <v>NA</v>
          </cell>
          <cell r="D429" t="str">
            <v>NA</v>
          </cell>
          <cell r="E429" t="str">
            <v>NA</v>
          </cell>
          <cell r="F429" t="str">
            <v>NA</v>
          </cell>
          <cell r="G429">
            <v>0.70466639861876579</v>
          </cell>
          <cell r="H429">
            <v>0.11802983003815481</v>
          </cell>
          <cell r="I429">
            <v>0.13637040530143185</v>
          </cell>
          <cell r="J429">
            <v>0.13001932926363158</v>
          </cell>
          <cell r="K429">
            <v>7.2315587038665585E-2</v>
          </cell>
          <cell r="L429">
            <v>-0.20248738284066314</v>
          </cell>
          <cell r="M429">
            <v>8.3600777471409815E-2</v>
          </cell>
          <cell r="N429">
            <v>9.3064970278443848E-2</v>
          </cell>
          <cell r="O429">
            <v>8.1668479401606708E-2</v>
          </cell>
          <cell r="P429">
            <v>0.12148287967258797</v>
          </cell>
          <cell r="Q429">
            <v>4.2077280627934588E-2</v>
          </cell>
          <cell r="R429">
            <v>4.2514170132154083E-2</v>
          </cell>
          <cell r="S429">
            <v>-0.11876493158618717</v>
          </cell>
          <cell r="T429">
            <v>-0.16181556787841433</v>
          </cell>
          <cell r="U429">
            <v>6.2678872466381819E-2</v>
          </cell>
          <cell r="V429">
            <v>0.26035066360458536</v>
          </cell>
          <cell r="W429">
            <v>-0.74211677924054698</v>
          </cell>
          <cell r="X429">
            <v>0.12088535754823915</v>
          </cell>
          <cell r="Y429">
            <v>9.87341772151904E-2</v>
          </cell>
          <cell r="Z429">
            <v>0.16589861751152113</v>
          </cell>
          <cell r="AA429">
            <v>0.16397233201581041</v>
          </cell>
          <cell r="AB429">
            <v>0.1372565665483807</v>
          </cell>
          <cell r="AC429">
            <v>5.1133903644317025E-2</v>
          </cell>
          <cell r="AD429">
            <v>6.8985597818367994E-2</v>
          </cell>
          <cell r="AE429">
            <v>1.7856994804884119E-2</v>
          </cell>
          <cell r="AF429">
            <v>4.504058775538855E-2</v>
          </cell>
          <cell r="AG429">
            <v>4.6627185991090059E-2</v>
          </cell>
          <cell r="AH429">
            <v>5.6138074306860242E-2</v>
          </cell>
          <cell r="AI429">
            <v>5.4763975818130639E-2</v>
          </cell>
          <cell r="AJ429">
            <v>5.8414166091397268E-2</v>
          </cell>
          <cell r="AK429">
            <v>2.325110807215669E-2</v>
          </cell>
          <cell r="AL429">
            <v>6.7096471013716519E-2</v>
          </cell>
          <cell r="AM429">
            <v>-2.1737664554525304E-3</v>
          </cell>
          <cell r="AN429">
            <v>3.9594969622873677E-2</v>
          </cell>
          <cell r="AO429">
            <v>6.0840035746202004E-2</v>
          </cell>
          <cell r="AP429">
            <v>3.8113530680325081E-2</v>
          </cell>
          <cell r="AQ429">
            <v>2.9621832917437363E-2</v>
          </cell>
          <cell r="AR429">
            <v>3.504465737068263E-2</v>
          </cell>
          <cell r="AS429">
            <v>4.1036640239777711E-3</v>
          </cell>
          <cell r="AT429">
            <v>2.8505920347382974E-2</v>
          </cell>
          <cell r="AU429">
            <v>0.1922927296722452</v>
          </cell>
          <cell r="AV429">
            <v>9.945647673597291E-3</v>
          </cell>
          <cell r="AW429">
            <v>2.2498191327414707E-2</v>
          </cell>
          <cell r="AX429">
            <v>1.605622679654406E-2</v>
          </cell>
          <cell r="AY429">
            <v>-5.8946653489396761E-3</v>
          </cell>
          <cell r="AZ429">
            <v>2.9542995093592817E-2</v>
          </cell>
          <cell r="BA429">
            <v>-4.5021326079370816E-3</v>
          </cell>
          <cell r="BB429">
            <v>-4.465542699022107E-3</v>
          </cell>
          <cell r="BC429">
            <v>0.79355129194295659</v>
          </cell>
          <cell r="BD429">
            <v>4.7379793875381715E-3</v>
          </cell>
          <cell r="BE429">
            <v>-7.8856573513576E-3</v>
          </cell>
          <cell r="BF429">
            <v>1.5001395455488176E-2</v>
          </cell>
          <cell r="BG429">
            <v>4.1489317182508589E-2</v>
          </cell>
          <cell r="BH429">
            <v>5.5674538510244176E-3</v>
          </cell>
          <cell r="BI429">
            <v>1.9795613666236722E-2</v>
          </cell>
          <cell r="BJ429">
            <v>2.7061961523276112E-2</v>
          </cell>
          <cell r="BK429">
            <v>1.5665959245802386E-2</v>
          </cell>
          <cell r="BL429">
            <v>2.2503345476605707E-2</v>
          </cell>
          <cell r="BM429">
            <v>1.8756037174179063E-2</v>
          </cell>
          <cell r="BN429">
            <v>8.7595585860134051E-3</v>
          </cell>
          <cell r="BO429">
            <v>2.2605860434516067E-2</v>
          </cell>
          <cell r="BP429">
            <v>5.1766559701365011E-3</v>
          </cell>
          <cell r="BQ429">
            <v>2.5448796184285083E-2</v>
          </cell>
          <cell r="BR429">
            <v>6.7644451103592296E-3</v>
          </cell>
          <cell r="BS429">
            <v>1.1247151290292967E-2</v>
          </cell>
          <cell r="BT429">
            <v>-5.8014934811406738E-3</v>
          </cell>
          <cell r="BU429">
            <v>-1.3071900980950457E-2</v>
          </cell>
          <cell r="BV429">
            <v>2.0157786560634383E-2</v>
          </cell>
          <cell r="BW429">
            <v>6.8262388205542202E-4</v>
          </cell>
          <cell r="BX429">
            <v>-2.1611532950967849E-2</v>
          </cell>
          <cell r="BY429">
            <v>2.4395329520176645E-2</v>
          </cell>
          <cell r="BZ429">
            <v>-6.0115987932430892E-3</v>
          </cell>
          <cell r="CA429">
            <v>-1.7918113693644933E-2</v>
          </cell>
          <cell r="CB429">
            <v>1.679777043260744E-2</v>
          </cell>
          <cell r="CC429">
            <v>1.9526574491785187E-2</v>
          </cell>
          <cell r="CD429">
            <v>-6.8220367265425796E-3</v>
          </cell>
          <cell r="CE429">
            <v>-6.0364762200003641E-3</v>
          </cell>
          <cell r="CF429">
            <v>1.0024992792331044E-2</v>
          </cell>
          <cell r="CG429">
            <v>3.0025863964310284E-2</v>
          </cell>
          <cell r="CH429">
            <v>-1.2955720148066785E-2</v>
          </cell>
          <cell r="CI429">
            <v>-1.5515564819135186E-3</v>
          </cell>
          <cell r="CJ429">
            <v>-6.4236596137661195E-3</v>
          </cell>
          <cell r="CK429">
            <v>5.551246938877874E-3</v>
          </cell>
          <cell r="CL429">
            <v>-2.6971266847689024E-2</v>
          </cell>
          <cell r="CM429">
            <v>7.3240863504291376E-3</v>
          </cell>
          <cell r="CN429">
            <v>-1.1766415506974326E-2</v>
          </cell>
          <cell r="CO429">
            <v>-1.1034783440835305E-3</v>
          </cell>
          <cell r="CP429">
            <v>-3.3068865457295704E-2</v>
          </cell>
          <cell r="CQ429">
            <v>-4.6338213759220537E-3</v>
          </cell>
          <cell r="CR429">
            <v>-1.7834006418183002E-2</v>
          </cell>
          <cell r="CS429">
            <v>-9.1901369772783292E-3</v>
          </cell>
          <cell r="CT429">
            <v>-4.0374281557605585E-2</v>
          </cell>
          <cell r="CU429">
            <v>-1.3116628214920545E-2</v>
          </cell>
          <cell r="CV429">
            <v>-1.8824160794416511E-2</v>
          </cell>
          <cell r="CW429">
            <v>-1.0964329625540281E-2</v>
          </cell>
          <cell r="CX429">
            <v>-4.2097734093996309E-2</v>
          </cell>
          <cell r="CY429">
            <v>-1.5890680169895255E-2</v>
          </cell>
          <cell r="CZ429">
            <v>-2.1778058107630227E-2</v>
          </cell>
          <cell r="DA429">
            <v>-9.7413784936155601E-3</v>
          </cell>
          <cell r="DB429">
            <v>-4.5433139758852104E-2</v>
          </cell>
          <cell r="DC429"/>
          <cell r="DD429"/>
          <cell r="DE429"/>
          <cell r="DF429"/>
          <cell r="DG429"/>
          <cell r="DH429"/>
          <cell r="DI429"/>
          <cell r="DJ429"/>
          <cell r="DK429"/>
          <cell r="DL429"/>
          <cell r="DM429"/>
          <cell r="DN429"/>
          <cell r="DO429"/>
        </row>
        <row r="430">
          <cell r="A430"/>
          <cell r="B430"/>
          <cell r="C430"/>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cell r="AD430"/>
          <cell r="AE430"/>
          <cell r="AF430"/>
          <cell r="AG430"/>
          <cell r="AH430"/>
          <cell r="AI430"/>
          <cell r="AJ430"/>
          <cell r="AK430"/>
          <cell r="AL430"/>
          <cell r="AM430"/>
          <cell r="AN430"/>
          <cell r="AO430"/>
          <cell r="AP430"/>
          <cell r="AQ430"/>
          <cell r="AR430"/>
          <cell r="AS430"/>
          <cell r="AT430"/>
          <cell r="AU430"/>
          <cell r="AV430"/>
          <cell r="AW430"/>
          <cell r="AX430"/>
          <cell r="AY430"/>
          <cell r="AZ430"/>
          <cell r="BA430"/>
          <cell r="BB430"/>
          <cell r="BC430"/>
          <cell r="BD430"/>
          <cell r="BE430"/>
          <cell r="BF430"/>
          <cell r="BG430"/>
          <cell r="BH430"/>
          <cell r="BI430"/>
          <cell r="BJ430"/>
          <cell r="BK430"/>
          <cell r="BL430"/>
          <cell r="BM430"/>
          <cell r="BN430"/>
          <cell r="BO430"/>
          <cell r="BP430"/>
          <cell r="BQ430"/>
          <cell r="BR430"/>
          <cell r="BS430"/>
          <cell r="BT430"/>
          <cell r="BU430"/>
          <cell r="BV430"/>
          <cell r="BW430"/>
          <cell r="BX430"/>
          <cell r="BY430"/>
          <cell r="BZ430"/>
          <cell r="CA430"/>
          <cell r="CB430"/>
          <cell r="CC430"/>
          <cell r="CD430"/>
          <cell r="CE430"/>
          <cell r="CF430"/>
          <cell r="CG430"/>
          <cell r="CH430"/>
          <cell r="CI430"/>
          <cell r="CJ430"/>
          <cell r="CK430"/>
          <cell r="CL430"/>
          <cell r="CM430"/>
          <cell r="CN430"/>
          <cell r="CO430"/>
          <cell r="CP430"/>
          <cell r="CQ430"/>
          <cell r="CR430"/>
          <cell r="CS430"/>
          <cell r="CT430"/>
          <cell r="CU430"/>
          <cell r="CV430"/>
          <cell r="CW430"/>
          <cell r="CX430"/>
          <cell r="CY430"/>
          <cell r="CZ430"/>
          <cell r="DA430"/>
          <cell r="DB430"/>
          <cell r="DC430"/>
          <cell r="DD430"/>
          <cell r="DE430"/>
          <cell r="DF430"/>
          <cell r="DG430"/>
          <cell r="DH430"/>
          <cell r="DI430"/>
          <cell r="DJ430"/>
          <cell r="DK430"/>
          <cell r="DL430"/>
          <cell r="DM430"/>
          <cell r="DN430"/>
          <cell r="DO430"/>
        </row>
        <row r="431">
          <cell r="A431" t="str">
            <v>CSP + Term Based</v>
          </cell>
          <cell r="B431"/>
          <cell r="C431" t="e">
            <v>#DIV/0!</v>
          </cell>
          <cell r="D431" t="e">
            <v>#DIV/0!</v>
          </cell>
          <cell r="E431">
            <v>0</v>
          </cell>
          <cell r="F431">
            <v>0.16445300959740058</v>
          </cell>
          <cell r="G431">
            <v>0.28033751961241821</v>
          </cell>
          <cell r="H431">
            <v>0.31342570940558973</v>
          </cell>
          <cell r="I431">
            <v>0.35616770042911883</v>
          </cell>
          <cell r="J431">
            <v>0.40247638594428298</v>
          </cell>
          <cell r="K431">
            <v>0.4315817020630443</v>
          </cell>
          <cell r="L431">
            <v>0.34419185273037961</v>
          </cell>
          <cell r="M431">
            <v>0.37296655921796429</v>
          </cell>
          <cell r="N431">
            <v>0.40767668096643767</v>
          </cell>
          <cell r="O431">
            <v>0.44097101558846064</v>
          </cell>
          <cell r="P431">
            <v>0.49454144441429254</v>
          </cell>
          <cell r="Q431">
            <v>0.51535040355305672</v>
          </cell>
          <cell r="R431">
            <v>0.53726009828738575</v>
          </cell>
          <cell r="S431">
            <v>0.47345243947029614</v>
          </cell>
          <cell r="T431">
            <v>0.3968404641139896</v>
          </cell>
          <cell r="U431">
            <v>0.42171397695369012</v>
          </cell>
          <cell r="V431">
            <v>0.53150749070491221</v>
          </cell>
          <cell r="W431">
            <v>0.13706686356075781</v>
          </cell>
          <cell r="X431">
            <v>0.15363624037031573</v>
          </cell>
          <cell r="Y431">
            <v>0.16880538815371407</v>
          </cell>
          <cell r="Z431">
            <v>0.19680996867691095</v>
          </cell>
          <cell r="AA431">
            <v>0.22908135820482256</v>
          </cell>
          <cell r="AB431">
            <v>0.26052427889225621</v>
          </cell>
          <cell r="AC431">
            <v>0.27384590226613803</v>
          </cell>
          <cell r="AD431">
            <v>0.29273732554407794</v>
          </cell>
          <cell r="AE431">
            <v>0.29796473444551425</v>
          </cell>
          <cell r="AF431">
            <v>0.31138524121531841</v>
          </cell>
          <cell r="AG431">
            <v>0.32590425877234552</v>
          </cell>
          <cell r="AH431">
            <v>0.34419989626822967</v>
          </cell>
          <cell r="AI431">
            <v>0.36304965106406611</v>
          </cell>
          <cell r="AJ431">
            <v>0.38425689368074628</v>
          </cell>
          <cell r="AK431">
            <v>0.39319129224318855</v>
          </cell>
          <cell r="AL431">
            <v>0.41957304038602933</v>
          </cell>
          <cell r="AM431">
            <v>0.41866098658522599</v>
          </cell>
          <cell r="AN431">
            <v>0.43523785563135026</v>
          </cell>
          <cell r="AO431">
            <v>0.46171774232606194</v>
          </cell>
          <cell r="AP431">
            <v>0.4793154356638567</v>
          </cell>
          <cell r="AQ431">
            <v>0.49351363741384019</v>
          </cell>
          <cell r="AR431">
            <v>0.51080865374476758</v>
          </cell>
          <cell r="AS431">
            <v>0.51290484084027654</v>
          </cell>
          <cell r="AT431">
            <v>0.52752566537905643</v>
          </cell>
          <cell r="AU431">
            <v>0.62896501554696271</v>
          </cell>
          <cell r="AV431">
            <v>0.63522047999061149</v>
          </cell>
          <cell r="AW431">
            <v>0.64951179188453245</v>
          </cell>
          <cell r="AX431">
            <v>0.661648406619609</v>
          </cell>
          <cell r="AY431">
            <v>0.66359891427258721</v>
          </cell>
          <cell r="AZ431">
            <v>0.6936704468022783</v>
          </cell>
          <cell r="BA431">
            <v>0.70626707663609067</v>
          </cell>
          <cell r="BB431">
            <v>0</v>
          </cell>
          <cell r="BC431">
            <v>0.73374882100459082</v>
          </cell>
          <cell r="BD431">
            <v>0.75760827592712676</v>
          </cell>
          <cell r="BE431">
            <v>0.77117613615753189</v>
          </cell>
          <cell r="BF431">
            <v>0.80313377066291525</v>
          </cell>
          <cell r="BG431">
            <v>0.85586435018601936</v>
          </cell>
          <cell r="BH431">
            <v>0.87860751141270033</v>
          </cell>
          <cell r="BI431">
            <v>0.9123270010445893</v>
          </cell>
          <cell r="BJ431">
            <v>0.95160861126180329</v>
          </cell>
          <cell r="BK431">
            <v>0.97908839401315817</v>
          </cell>
          <cell r="BL431">
            <v>1.0124149529625637</v>
          </cell>
          <cell r="BM431">
            <v>1.0412530886282565</v>
          </cell>
          <cell r="BN431">
            <v>1.0581232553767672</v>
          </cell>
          <cell r="BO431">
            <v>1.0874466730125663</v>
          </cell>
          <cell r="BP431">
            <v>1.1911293568819192</v>
          </cell>
          <cell r="BQ431">
            <v>1.2421888100778598</v>
          </cell>
          <cell r="BR431">
            <v>1.2796899361021736</v>
          </cell>
          <cell r="BS431">
            <v>1.0882941087560147</v>
          </cell>
          <cell r="BT431">
            <v>1.2412041214174359</v>
          </cell>
          <cell r="BU431">
            <v>1.3956086284978244</v>
          </cell>
          <cell r="BV431">
            <v>1.4472873331212393</v>
          </cell>
          <cell r="BW431">
            <v>1.4822242070446778</v>
          </cell>
          <cell r="BX431">
            <v>1.5496987805026561</v>
          </cell>
          <cell r="BY431">
            <v>1.6071236456281492</v>
          </cell>
          <cell r="BZ431">
            <v>1.6881881169016848</v>
          </cell>
          <cell r="CA431">
            <v>1.7755413289272586</v>
          </cell>
          <cell r="CB431">
            <v>1.8871182516217986</v>
          </cell>
          <cell r="CC431">
            <v>2.0306679412288262</v>
          </cell>
          <cell r="CD431">
            <v>2.2756738511586194</v>
          </cell>
          <cell r="CE431">
            <v>2.8858706804290226</v>
          </cell>
          <cell r="CF431">
            <v>2.9038840262435905</v>
          </cell>
          <cell r="CG431">
            <v>2.5442126646198417</v>
          </cell>
          <cell r="CH431">
            <v>2.7871523071187982</v>
          </cell>
          <cell r="CI431">
            <v>2.8702522439040945</v>
          </cell>
          <cell r="CJ431">
            <v>2.9948090735006332</v>
          </cell>
          <cell r="CK431">
            <v>3.0940685102895902</v>
          </cell>
          <cell r="CL431">
            <v>3.4329202729818107</v>
          </cell>
          <cell r="CM431">
            <v>3.5649252656164871</v>
          </cell>
          <cell r="CN431">
            <v>3.7487579616323421</v>
          </cell>
          <cell r="CO431">
            <v>3.8850647017237465</v>
          </cell>
          <cell r="CP431">
            <v>4.3350569828957575</v>
          </cell>
          <cell r="CQ431">
            <v>4.5024304018460279</v>
          </cell>
          <cell r="CR431">
            <v>4.7342929424057685</v>
          </cell>
          <cell r="CS431">
            <v>4.9059961656232023</v>
          </cell>
          <cell r="CT431">
            <v>5.4716385300528882</v>
          </cell>
          <cell r="CU431">
            <v>5.6278950431900983</v>
          </cell>
          <cell r="CV431">
            <v>5.8506802068712682</v>
          </cell>
          <cell r="CW431">
            <v>6.0096444827371585</v>
          </cell>
          <cell r="CX431">
            <v>6.5787653468805356</v>
          </cell>
          <cell r="CY431">
            <v>6.7195414677502443</v>
          </cell>
          <cell r="CZ431">
            <v>6.9303980202528734</v>
          </cell>
          <cell r="DA431">
            <v>7.0748975492237394</v>
          </cell>
          <cell r="DB431">
            <v>7.6490793382370841</v>
          </cell>
          <cell r="DC431"/>
          <cell r="DD431">
            <v>0</v>
          </cell>
          <cell r="DE431">
            <v>0.40247638594428298</v>
          </cell>
          <cell r="DF431">
            <v>0.40767668096643767</v>
          </cell>
          <cell r="DG431">
            <v>0.53726009828738575</v>
          </cell>
          <cell r="DH431">
            <v>0.53150749070491221</v>
          </cell>
          <cell r="DI431">
            <v>0.19680996867691095</v>
          </cell>
          <cell r="DJ431">
            <v>0.29273732554407794</v>
          </cell>
          <cell r="DK431">
            <v>0.34419989626822967</v>
          </cell>
          <cell r="DL431">
            <v>0.41957304038602933</v>
          </cell>
          <cell r="DM431">
            <v>0.4793154356638567</v>
          </cell>
          <cell r="DN431">
            <v>0.52752566537905643</v>
          </cell>
          <cell r="DO431">
            <v>0.661648406619609</v>
          </cell>
        </row>
        <row r="432">
          <cell r="A432" t="str">
            <v>% of active users</v>
          </cell>
          <cell r="B432"/>
          <cell r="C432" t="str">
            <v>NA</v>
          </cell>
          <cell r="D432" t="str">
            <v>NA</v>
          </cell>
          <cell r="E432" t="str">
            <v>NA</v>
          </cell>
          <cell r="F432">
            <v>5.2835113873398572E-2</v>
          </cell>
          <cell r="G432">
            <v>5.2835113873398572E-2</v>
          </cell>
          <cell r="H432">
            <v>5.2835113873398565E-2</v>
          </cell>
          <cell r="I432">
            <v>5.2835113873398565E-2</v>
          </cell>
          <cell r="J432">
            <v>5.2835113873398572E-2</v>
          </cell>
          <cell r="K432">
            <v>5.2835113873398572E-2</v>
          </cell>
          <cell r="L432">
            <v>5.2835113873398565E-2</v>
          </cell>
          <cell r="M432">
            <v>5.2835113873398558E-2</v>
          </cell>
          <cell r="N432">
            <v>5.2835113873398565E-2</v>
          </cell>
          <cell r="O432">
            <v>5.2835113873398565E-2</v>
          </cell>
          <cell r="P432">
            <v>5.2835113873398572E-2</v>
          </cell>
          <cell r="Q432">
            <v>5.2835113873398558E-2</v>
          </cell>
          <cell r="R432">
            <v>5.2835113873398572E-2</v>
          </cell>
          <cell r="S432">
            <v>5.2835113873398565E-2</v>
          </cell>
          <cell r="T432">
            <v>5.2835113873398565E-2</v>
          </cell>
          <cell r="U432">
            <v>5.2835113873398565E-2</v>
          </cell>
          <cell r="V432">
            <v>5.2835113873398572E-2</v>
          </cell>
          <cell r="W432">
            <v>5.2835113873398565E-2</v>
          </cell>
          <cell r="X432">
            <v>5.2835113873398565E-2</v>
          </cell>
          <cell r="Y432">
            <v>5.2835113873398572E-2</v>
          </cell>
          <cell r="Z432">
            <v>5.2835113873398565E-2</v>
          </cell>
          <cell r="AA432">
            <v>5.2835113873398551E-2</v>
          </cell>
          <cell r="AB432">
            <v>5.2835113873398558E-2</v>
          </cell>
          <cell r="AC432">
            <v>5.2835113873398558E-2</v>
          </cell>
          <cell r="AD432">
            <v>5.2835113873398558E-2</v>
          </cell>
          <cell r="AE432">
            <v>5.2835113873398558E-2</v>
          </cell>
          <cell r="AF432">
            <v>5.2835113873398551E-2</v>
          </cell>
          <cell r="AG432">
            <v>5.2835113873398558E-2</v>
          </cell>
          <cell r="AH432">
            <v>5.2835113873398558E-2</v>
          </cell>
          <cell r="AI432">
            <v>5.2835113873398565E-2</v>
          </cell>
          <cell r="AJ432">
            <v>5.2835113873398558E-2</v>
          </cell>
          <cell r="AK432">
            <v>5.2835113873398558E-2</v>
          </cell>
          <cell r="AL432">
            <v>5.2835113873398558E-2</v>
          </cell>
          <cell r="AM432">
            <v>5.2835113873398558E-2</v>
          </cell>
          <cell r="AN432">
            <v>5.2835113873398558E-2</v>
          </cell>
          <cell r="AO432">
            <v>5.2835113873398558E-2</v>
          </cell>
          <cell r="AP432">
            <v>5.2835113873398551E-2</v>
          </cell>
          <cell r="AQ432">
            <v>5.2835113873398551E-2</v>
          </cell>
          <cell r="AR432">
            <v>5.2835113873398558E-2</v>
          </cell>
          <cell r="AS432">
            <v>5.2835113873398565E-2</v>
          </cell>
          <cell r="AT432">
            <v>5.2835113873398551E-2</v>
          </cell>
          <cell r="AU432">
            <v>5.2835113873398565E-2</v>
          </cell>
          <cell r="AV432">
            <v>5.2835113873398565E-2</v>
          </cell>
          <cell r="AW432">
            <v>5.2835113873398558E-2</v>
          </cell>
          <cell r="AX432">
            <v>5.2964607401862193E-2</v>
          </cell>
          <cell r="AY432">
            <v>5.3410567323236159E-2</v>
          </cell>
          <cell r="AZ432">
            <v>5.4184492124420003E-2</v>
          </cell>
          <cell r="BA432">
            <v>5.5349676821584176E-2</v>
          </cell>
          <cell r="BB432">
            <v>0</v>
          </cell>
          <cell r="BC432">
            <v>3.2968045019051283E-2</v>
          </cell>
          <cell r="BD432">
            <v>3.3848699455803696E-2</v>
          </cell>
          <cell r="BE432">
            <v>3.4698212162467885E-2</v>
          </cell>
          <cell r="BF432">
            <v>3.5569881531675056E-2</v>
          </cell>
          <cell r="BG432">
            <v>3.6365230541053319E-2</v>
          </cell>
          <cell r="BH432">
            <v>3.7096703877187977E-2</v>
          </cell>
          <cell r="BI432">
            <v>3.7747163880969041E-2</v>
          </cell>
          <cell r="BJ432">
            <v>3.8312482714206453E-2</v>
          </cell>
          <cell r="BK432">
            <v>3.8791499004346836E-2</v>
          </cell>
          <cell r="BL432">
            <v>3.9211951948253582E-2</v>
          </cell>
          <cell r="BM432">
            <v>3.9571583326010018E-2</v>
          </cell>
          <cell r="BN432">
            <v>3.9851892509107242E-2</v>
          </cell>
          <cell r="BO432">
            <v>4.0042940249349519E-2</v>
          </cell>
          <cell r="BP432">
            <v>4.3478777840272716E-2</v>
          </cell>
          <cell r="BQ432">
            <v>4.4184650393514102E-2</v>
          </cell>
          <cell r="BR432">
            <v>4.5166291897306816E-2</v>
          </cell>
          <cell r="BS432">
            <v>3.8258612265092147E-2</v>
          </cell>
          <cell r="BT432">
            <v>4.3643016944637403E-2</v>
          </cell>
          <cell r="BU432">
            <v>4.9391578133457438E-2</v>
          </cell>
          <cell r="BV432">
            <v>5.0081263373710168E-2</v>
          </cell>
          <cell r="BW432">
            <v>5.1154874083944694E-2</v>
          </cell>
          <cell r="BX432">
            <v>5.4469817917703153E-2</v>
          </cell>
          <cell r="BY432">
            <v>5.5094363164430164E-2</v>
          </cell>
          <cell r="BZ432">
            <v>5.8040464279369569E-2</v>
          </cell>
          <cell r="CA432">
            <v>6.1799951451690288E-2</v>
          </cell>
          <cell r="CB432">
            <v>6.4375803910088694E-2</v>
          </cell>
          <cell r="CC432">
            <v>6.7688931374294201E-2</v>
          </cell>
          <cell r="CD432">
            <v>7.5458177120733175E-2</v>
          </cell>
          <cell r="CE432">
            <v>9.3949407239407867E-2</v>
          </cell>
          <cell r="CF432">
            <v>9.3031957732145107E-2</v>
          </cell>
          <cell r="CG432">
            <v>7.9719023758563157E-2</v>
          </cell>
          <cell r="CH432">
            <v>8.6431774456199859E-2</v>
          </cell>
          <cell r="CI432">
            <v>8.8185062058530619E-2</v>
          </cell>
          <cell r="CJ432">
            <v>9.1244004679286408E-2</v>
          </cell>
          <cell r="CK432">
            <v>9.2801404756365086E-2</v>
          </cell>
          <cell r="CL432">
            <v>0.10215696705118807</v>
          </cell>
          <cell r="CM432">
            <v>0.10404058982633807</v>
          </cell>
          <cell r="CN432">
            <v>0.10852380056915953</v>
          </cell>
          <cell r="CO432">
            <v>0.11106373320158193</v>
          </cell>
          <cell r="CP432">
            <v>0.12237246659606076</v>
          </cell>
          <cell r="CQ432">
            <v>0.12554855807173412</v>
          </cell>
          <cell r="CR432">
            <v>0.13101757861466271</v>
          </cell>
          <cell r="CS432">
            <v>0.13453780888086916</v>
          </cell>
          <cell r="CT432">
            <v>0.14740921051914094</v>
          </cell>
          <cell r="CU432">
            <v>0.15063022378667321</v>
          </cell>
          <cell r="CV432">
            <v>0.15531004682164207</v>
          </cell>
          <cell r="CW432">
            <v>0.15822591438180419</v>
          </cell>
          <cell r="CX432">
            <v>0.1695696309981031</v>
          </cell>
          <cell r="CY432">
            <v>0.17249977439054925</v>
          </cell>
          <cell r="CZ432">
            <v>0.17682008322205647</v>
          </cell>
          <cell r="DA432">
            <v>0.17909218762195611</v>
          </cell>
          <cell r="DB432">
            <v>0.18961671617007872</v>
          </cell>
          <cell r="DC432"/>
          <cell r="DD432" t="str">
            <v>NA</v>
          </cell>
          <cell r="DE432">
            <v>5.2835113873398572E-2</v>
          </cell>
          <cell r="DF432">
            <v>5.2835113873398565E-2</v>
          </cell>
          <cell r="DG432">
            <v>5.2835113873398572E-2</v>
          </cell>
          <cell r="DH432">
            <v>5.2835113873398572E-2</v>
          </cell>
          <cell r="DI432">
            <v>5.2835113873398565E-2</v>
          </cell>
          <cell r="DJ432">
            <v>5.2835113873398558E-2</v>
          </cell>
          <cell r="DK432">
            <v>5.2835113873398558E-2</v>
          </cell>
          <cell r="DL432">
            <v>5.2835113873398558E-2</v>
          </cell>
          <cell r="DM432">
            <v>5.2835113873398551E-2</v>
          </cell>
          <cell r="DN432">
            <v>5.2835113873398551E-2</v>
          </cell>
          <cell r="DO432">
            <v>5.2964607401862193E-2</v>
          </cell>
        </row>
        <row r="433">
          <cell r="A433" t="str">
            <v>% growth in revenue y-o-y</v>
          </cell>
          <cell r="B433"/>
          <cell r="C433" t="str">
            <v>NA</v>
          </cell>
          <cell r="D433" t="str">
            <v>NA</v>
          </cell>
          <cell r="E433" t="str">
            <v>NA</v>
          </cell>
          <cell r="F433" t="str">
            <v>NA</v>
          </cell>
          <cell r="G433" t="str">
            <v>NA</v>
          </cell>
          <cell r="H433" t="str">
            <v>NA</v>
          </cell>
          <cell r="I433" t="str">
            <v>NA</v>
          </cell>
          <cell r="J433">
            <v>1.4473640642368926</v>
          </cell>
          <cell r="K433">
            <v>0.53950745750953844</v>
          </cell>
          <cell r="L433">
            <v>9.8160879600903472E-2</v>
          </cell>
          <cell r="M433">
            <v>4.7165587358443339E-2</v>
          </cell>
          <cell r="N433">
            <v>1.2920745672951428E-2</v>
          </cell>
          <cell r="O433">
            <v>2.1755587599134873E-2</v>
          </cell>
          <cell r="P433">
            <v>0.43681914749355877</v>
          </cell>
          <cell r="Q433">
            <v>0.38176035040150147</v>
          </cell>
          <cell r="R433">
            <v>0.31785830137195448</v>
          </cell>
          <cell r="S433">
            <v>7.3658863584243006E-2</v>
          </cell>
          <cell r="T433">
            <v>-0.19755873123235312</v>
          </cell>
          <cell r="U433">
            <v>-0.18169467987954424</v>
          </cell>
          <cell r="V433">
            <v>-1.0707304712951893E-2</v>
          </cell>
          <cell r="W433">
            <v>-0.7104949681659477</v>
          </cell>
          <cell r="X433">
            <v>-0.61285137413259139</v>
          </cell>
          <cell r="Y433">
            <v>-0.59971592743237156</v>
          </cell>
          <cell r="Z433">
            <v>-0.62971365010135316</v>
          </cell>
          <cell r="AA433">
            <v>0.67131101021566275</v>
          </cell>
          <cell r="AB433">
            <v>0.69572151898734225</v>
          </cell>
          <cell r="AC433">
            <v>0.62225806451612864</v>
          </cell>
          <cell r="AD433">
            <v>0.48741106719367533</v>
          </cell>
          <cell r="AE433">
            <v>0.30069394026860441</v>
          </cell>
          <cell r="AF433">
            <v>0.19522542213463545</v>
          </cell>
          <cell r="AG433">
            <v>0.19010091469477031</v>
          </cell>
          <cell r="AH433">
            <v>0.17579777579952971</v>
          </cell>
          <cell r="AI433">
            <v>0.21843160983352305</v>
          </cell>
          <cell r="AJ433">
            <v>0.23402410525628659</v>
          </cell>
          <cell r="AK433">
            <v>0.20646257807218515</v>
          </cell>
          <cell r="AL433">
            <v>0.21898072874217989</v>
          </cell>
          <cell r="AM433">
            <v>0.15317831970962659</v>
          </cell>
          <cell r="AN433">
            <v>0.13267416353227657</v>
          </cell>
          <cell r="AO433">
            <v>0.17428272557086499</v>
          </cell>
          <cell r="AP433">
            <v>0.14238854627757114</v>
          </cell>
          <cell r="AQ433">
            <v>0.17879060439603811</v>
          </cell>
          <cell r="AR433">
            <v>0.17363103217158193</v>
          </cell>
          <cell r="AS433">
            <v>0.11086231656670154</v>
          </cell>
          <cell r="AT433">
            <v>0.1005814253580799</v>
          </cell>
          <cell r="AU433">
            <v>0.27446329313801421</v>
          </cell>
          <cell r="AV433">
            <v>0.24355857195012987</v>
          </cell>
          <cell r="AW433">
            <v>0.26633975772281038</v>
          </cell>
          <cell r="AX433">
            <v>0.25424875042653694</v>
          </cell>
          <cell r="AY433">
            <v>5.5064904834978945E-2</v>
          </cell>
          <cell r="AZ433">
            <v>9.2015242979147427E-2</v>
          </cell>
          <cell r="BA433">
            <v>8.7381453979280321E-2</v>
          </cell>
          <cell r="BB433">
            <v>-1</v>
          </cell>
          <cell r="BC433">
            <v>0.10571130425808395</v>
          </cell>
          <cell r="BD433">
            <v>9.2173206195525159E-2</v>
          </cell>
          <cell r="BE433">
            <v>9.1904410765682787E-2</v>
          </cell>
          <cell r="BF433" t="str">
            <v>NA</v>
          </cell>
          <cell r="BG433">
            <v>0.16642688299551556</v>
          </cell>
          <cell r="BH433">
            <v>0.15971213532151585</v>
          </cell>
          <cell r="BI433">
            <v>0.18303323750441347</v>
          </cell>
          <cell r="BJ433">
            <v>0.18486937795721792</v>
          </cell>
          <cell r="BK433">
            <v>0.1439761380414506</v>
          </cell>
          <cell r="BL433">
            <v>0.15229489824724607</v>
          </cell>
          <cell r="BM433">
            <v>0.14131565484311048</v>
          </cell>
          <cell r="BN433">
            <v>0.11193114780006974</v>
          </cell>
          <cell r="BO433">
            <v>0.11067262124848742</v>
          </cell>
          <cell r="BP433">
            <v>0.17652288065915589</v>
          </cell>
          <cell r="BQ433">
            <v>0.19297491036911629</v>
          </cell>
          <cell r="BR433">
            <v>0.20939590884099113</v>
          </cell>
          <cell r="BS433">
            <v>7.7928947182370756E-4</v>
          </cell>
          <cell r="BT433">
            <v>4.2039736697112362E-2</v>
          </cell>
          <cell r="BU433">
            <v>0.12350764809284387</v>
          </cell>
          <cell r="BV433">
            <v>0.1309671915757602</v>
          </cell>
          <cell r="BW433">
            <v>0.36197025704655217</v>
          </cell>
          <cell r="BX433">
            <v>0.24854466220505622</v>
          </cell>
          <cell r="BY433">
            <v>0.15155754472368876</v>
          </cell>
          <cell r="BZ433">
            <v>0.1664498667731138</v>
          </cell>
          <cell r="CA433">
            <v>0.19788984722318692</v>
          </cell>
          <cell r="CB433">
            <v>0.21773229440736741</v>
          </cell>
          <cell r="CC433">
            <v>0.26354182315271291</v>
          </cell>
          <cell r="CD433">
            <v>0.34799779027893019</v>
          </cell>
          <cell r="CE433">
            <v>0.62534694823048675</v>
          </cell>
          <cell r="CF433">
            <v>0.53879282538228779</v>
          </cell>
          <cell r="CG433">
            <v>0.25289448509255141</v>
          </cell>
          <cell r="CH433">
            <v>0.22475912165522693</v>
          </cell>
          <cell r="CI433">
            <v>-5.4120361771048398E-3</v>
          </cell>
          <cell r="CJ433">
            <v>3.1311528434095681E-2</v>
          </cell>
          <cell r="CK433">
            <v>0.21612023763426569</v>
          </cell>
          <cell r="CL433">
            <v>0.23169453790294336</v>
          </cell>
          <cell r="CM433">
            <v>0.24202507747803503</v>
          </cell>
          <cell r="CN433">
            <v>0.25175190458816732</v>
          </cell>
          <cell r="CO433">
            <v>0.25564921681715536</v>
          </cell>
          <cell r="CP433">
            <v>0.26278988096928835</v>
          </cell>
          <cell r="CQ433">
            <v>0.26298030572245867</v>
          </cell>
          <cell r="CR433">
            <v>0.26289640218444221</v>
          </cell>
          <cell r="CS433">
            <v>0.2627836451337564</v>
          </cell>
          <cell r="CT433">
            <v>0.26218376174559777</v>
          </cell>
          <cell r="CU433">
            <v>0.2499682484559056</v>
          </cell>
          <cell r="CV433">
            <v>0.23580865781790816</v>
          </cell>
          <cell r="CW433">
            <v>0.22495906638642094</v>
          </cell>
          <cell r="CX433">
            <v>0.2023391733110238</v>
          </cell>
          <cell r="CY433">
            <v>0.19397064376334927</v>
          </cell>
          <cell r="CZ433">
            <v>0.18454568959580842</v>
          </cell>
          <cell r="DA433">
            <v>0.17725725199661047</v>
          </cell>
          <cell r="DB433">
            <v>0.16269222793666915</v>
          </cell>
          <cell r="DC433"/>
          <cell r="DD433" t="str">
            <v>NA</v>
          </cell>
          <cell r="DE433" t="str">
            <v>NA</v>
          </cell>
          <cell r="DF433">
            <v>1.2920745672951428E-2</v>
          </cell>
          <cell r="DG433">
            <v>0.31785830137195448</v>
          </cell>
          <cell r="DH433">
            <v>-1.0707304712951893E-2</v>
          </cell>
          <cell r="DI433">
            <v>-0.62971365010135316</v>
          </cell>
          <cell r="DJ433">
            <v>0.48741106719367533</v>
          </cell>
          <cell r="DK433">
            <v>0.17579777579952971</v>
          </cell>
          <cell r="DL433">
            <v>0.21898072874217989</v>
          </cell>
          <cell r="DM433">
            <v>0.14238854627757114</v>
          </cell>
          <cell r="DN433">
            <v>0.1005814253580799</v>
          </cell>
          <cell r="DO433">
            <v>0.25424875042653694</v>
          </cell>
        </row>
        <row r="434">
          <cell r="A434" t="str">
            <v>% growth in revenue seq</v>
          </cell>
          <cell r="B434"/>
          <cell r="C434" t="str">
            <v>NA</v>
          </cell>
          <cell r="D434" t="str">
            <v>NA</v>
          </cell>
          <cell r="E434" t="str">
            <v>NA</v>
          </cell>
          <cell r="F434" t="str">
            <v>NA</v>
          </cell>
          <cell r="G434">
            <v>0.70466639861876601</v>
          </cell>
          <cell r="H434">
            <v>0.11802983003815437</v>
          </cell>
          <cell r="I434">
            <v>0.13637040530143185</v>
          </cell>
          <cell r="J434">
            <v>0.1300193292636318</v>
          </cell>
          <cell r="K434">
            <v>7.2315587038665585E-2</v>
          </cell>
          <cell r="L434">
            <v>-0.20248738284066314</v>
          </cell>
          <cell r="M434">
            <v>8.3600777471409593E-2</v>
          </cell>
          <cell r="N434">
            <v>9.306497027844407E-2</v>
          </cell>
          <cell r="O434">
            <v>8.166847940160693E-2</v>
          </cell>
          <cell r="P434">
            <v>0.12148287967258797</v>
          </cell>
          <cell r="Q434">
            <v>4.2077280627934366E-2</v>
          </cell>
          <cell r="R434">
            <v>4.2514170132154305E-2</v>
          </cell>
          <cell r="S434">
            <v>-0.11876493158618728</v>
          </cell>
          <cell r="T434">
            <v>-0.16181556787841433</v>
          </cell>
          <cell r="U434">
            <v>6.2678872466381819E-2</v>
          </cell>
          <cell r="V434">
            <v>0.26035066360458559</v>
          </cell>
          <cell r="W434">
            <v>-0.74211677924054698</v>
          </cell>
          <cell r="X434">
            <v>0.12088535754823915</v>
          </cell>
          <cell r="Y434">
            <v>9.87341772151904E-2</v>
          </cell>
          <cell r="Z434">
            <v>0.16589861751152113</v>
          </cell>
          <cell r="AA434">
            <v>0.16397233201580996</v>
          </cell>
          <cell r="AB434">
            <v>0.1372565665483807</v>
          </cell>
          <cell r="AC434">
            <v>5.1133903644317025E-2</v>
          </cell>
          <cell r="AD434">
            <v>6.8985597818367994E-2</v>
          </cell>
          <cell r="AE434">
            <v>1.7856994804884341E-2</v>
          </cell>
          <cell r="AF434">
            <v>4.5040587755388328E-2</v>
          </cell>
          <cell r="AG434">
            <v>4.6627185991090059E-2</v>
          </cell>
          <cell r="AH434">
            <v>5.6138074306860242E-2</v>
          </cell>
          <cell r="AI434">
            <v>5.4763975818130861E-2</v>
          </cell>
          <cell r="AJ434">
            <v>5.8414166091397268E-2</v>
          </cell>
          <cell r="AK434">
            <v>2.325110807215669E-2</v>
          </cell>
          <cell r="AL434">
            <v>6.7096471013716297E-2</v>
          </cell>
          <cell r="AM434">
            <v>-2.1737664554524194E-3</v>
          </cell>
          <cell r="AN434">
            <v>3.9594969622873455E-2</v>
          </cell>
          <cell r="AO434">
            <v>6.0840035746202004E-2</v>
          </cell>
          <cell r="AP434">
            <v>3.8113530680325081E-2</v>
          </cell>
          <cell r="AQ434">
            <v>2.9621832917437363E-2</v>
          </cell>
          <cell r="AR434">
            <v>3.5044657370682852E-2</v>
          </cell>
          <cell r="AS434">
            <v>4.1036640239777711E-3</v>
          </cell>
          <cell r="AT434">
            <v>2.850592034738253E-2</v>
          </cell>
          <cell r="AU434">
            <v>0.19229272967224542</v>
          </cell>
          <cell r="AV434">
            <v>9.945647673597291E-3</v>
          </cell>
          <cell r="AW434">
            <v>2.2498191327414707E-2</v>
          </cell>
          <cell r="AX434">
            <v>1.8685749645688032E-2</v>
          </cell>
          <cell r="AY434">
            <v>2.947951863049747E-3</v>
          </cell>
          <cell r="AZ434">
            <v>4.5315825392292064E-2</v>
          </cell>
          <cell r="BA434">
            <v>1.8159386624990281E-2</v>
          </cell>
          <cell r="BB434">
            <v>-1</v>
          </cell>
          <cell r="BC434" t="str">
            <v>NA</v>
          </cell>
          <cell r="BD434">
            <v>3.2517196947409621E-2</v>
          </cell>
          <cell r="BE434">
            <v>1.7908806782504394E-2</v>
          </cell>
          <cell r="BF434">
            <v>4.1440123736991907E-2</v>
          </cell>
          <cell r="BG434">
            <v>6.5656035705707882E-2</v>
          </cell>
          <cell r="BH434">
            <v>2.6573324641618434E-2</v>
          </cell>
          <cell r="BI434">
            <v>3.8378330703856545E-2</v>
          </cell>
          <cell r="BJ434">
            <v>4.3056502955889364E-2</v>
          </cell>
          <cell r="BK434">
            <v>2.8877190082293946E-2</v>
          </cell>
          <cell r="BL434">
            <v>3.4038355630796824E-2</v>
          </cell>
          <cell r="BM434">
            <v>2.8484501914265214E-2</v>
          </cell>
          <cell r="BN434">
            <v>1.6201792756010303E-2</v>
          </cell>
          <cell r="BO434">
            <v>2.7712667202799413E-2</v>
          </cell>
          <cell r="BP434">
            <v>9.5345074330973612E-2</v>
          </cell>
          <cell r="BQ434">
            <v>4.2866421603109162E-2</v>
          </cell>
          <cell r="BR434">
            <v>3.0189553890735299E-2</v>
          </cell>
          <cell r="BS434">
            <v>-0.14956422016503013</v>
          </cell>
          <cell r="BT434">
            <v>0.14050430984709306</v>
          </cell>
          <cell r="BU434">
            <v>0.12439896421231755</v>
          </cell>
          <cell r="BV434">
            <v>3.7029510686702904E-2</v>
          </cell>
          <cell r="BW434">
            <v>2.4139556205534651E-2</v>
          </cell>
          <cell r="BX434">
            <v>4.552251483769254E-2</v>
          </cell>
          <cell r="BY434">
            <v>3.7055501267715396E-2</v>
          </cell>
          <cell r="BZ434">
            <v>5.0440718418931052E-2</v>
          </cell>
          <cell r="CA434">
            <v>5.1743766675654834E-2</v>
          </cell>
          <cell r="CB434">
            <v>6.2841073241562961E-2</v>
          </cell>
          <cell r="CC434">
            <v>7.60682005399822E-2</v>
          </cell>
          <cell r="CD434">
            <v>0.12065286744101145</v>
          </cell>
          <cell r="CE434">
            <v>0.26813896418405125</v>
          </cell>
          <cell r="CF434">
            <v>6.2419102618589406E-3</v>
          </cell>
          <cell r="CG434">
            <v>-0.12385872106917883</v>
          </cell>
          <cell r="CH434">
            <v>9.5487160282356598E-2</v>
          </cell>
          <cell r="CI434">
            <v>2.9815355469827276E-2</v>
          </cell>
          <cell r="CJ434">
            <v>4.3395778144960984E-2</v>
          </cell>
          <cell r="CK434">
            <v>3.3143827987983432E-2</v>
          </cell>
          <cell r="CL434">
            <v>0.10951656744682281</v>
          </cell>
          <cell r="CM434">
            <v>3.8452682304799923E-2</v>
          </cell>
          <cell r="CN434">
            <v>5.1567054655790701E-2</v>
          </cell>
          <cell r="CO434">
            <v>3.6360506996309772E-2</v>
          </cell>
          <cell r="CP434">
            <v>0.11582620000443122</v>
          </cell>
          <cell r="CQ434">
            <v>3.86092777120699E-2</v>
          </cell>
          <cell r="CR434">
            <v>5.1497195928819961E-2</v>
          </cell>
          <cell r="CS434">
            <v>3.6267976085607723E-2</v>
          </cell>
          <cell r="CT434">
            <v>0.11529612851987081</v>
          </cell>
          <cell r="CU434">
            <v>2.8557535787310018E-2</v>
          </cell>
          <cell r="CV434">
            <v>3.9585877485534438E-2</v>
          </cell>
          <cell r="CW434">
            <v>2.7170221281141993E-2</v>
          </cell>
          <cell r="CX434">
            <v>9.4701253256858964E-2</v>
          </cell>
          <cell r="CY434">
            <v>2.1398562412088484E-2</v>
          </cell>
          <cell r="CZ434">
            <v>3.1379604324880406E-2</v>
          </cell>
          <cell r="DA434">
            <v>2.085010536892562E-2</v>
          </cell>
          <cell r="DB434">
            <v>8.1157611826667919E-2</v>
          </cell>
          <cell r="DC434"/>
          <cell r="DD434"/>
          <cell r="DE434"/>
          <cell r="DF434"/>
          <cell r="DG434"/>
          <cell r="DH434"/>
          <cell r="DI434"/>
          <cell r="DJ434"/>
          <cell r="DK434"/>
          <cell r="DL434"/>
          <cell r="DM434"/>
          <cell r="DN434"/>
          <cell r="DO434"/>
        </row>
        <row r="435">
          <cell r="A435"/>
          <cell r="B435"/>
          <cell r="C435"/>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cell r="AD435"/>
          <cell r="AE435"/>
          <cell r="AF435"/>
          <cell r="AG435"/>
          <cell r="AH435"/>
          <cell r="AI435"/>
          <cell r="AJ435"/>
          <cell r="AK435"/>
          <cell r="AL435"/>
          <cell r="AM435"/>
          <cell r="AN435"/>
          <cell r="AO435"/>
          <cell r="AP435"/>
          <cell r="AQ435"/>
          <cell r="AR435"/>
          <cell r="AS435"/>
          <cell r="AT435"/>
          <cell r="AU435"/>
          <cell r="AV435"/>
          <cell r="AW435"/>
          <cell r="AX435"/>
          <cell r="AY435"/>
          <cell r="AZ435"/>
          <cell r="BA435"/>
          <cell r="BB435"/>
          <cell r="BC435"/>
          <cell r="BD435"/>
          <cell r="BE435"/>
          <cell r="BF435"/>
          <cell r="BG435"/>
          <cell r="BH435"/>
          <cell r="BI435"/>
          <cell r="BJ435"/>
          <cell r="BK435"/>
          <cell r="BL435"/>
          <cell r="BM435"/>
          <cell r="BN435"/>
          <cell r="BO435"/>
          <cell r="BP435"/>
          <cell r="BQ435"/>
          <cell r="BR435"/>
          <cell r="BS435"/>
          <cell r="BT435"/>
          <cell r="BU435"/>
          <cell r="BV435"/>
          <cell r="BW435"/>
          <cell r="BX435"/>
          <cell r="BY435"/>
          <cell r="BZ435"/>
          <cell r="CA435"/>
          <cell r="CB435"/>
          <cell r="CC435"/>
          <cell r="CD435"/>
          <cell r="CE435"/>
          <cell r="CF435"/>
          <cell r="CG435"/>
          <cell r="CH435"/>
          <cell r="CI435"/>
          <cell r="CJ435"/>
          <cell r="CK435"/>
          <cell r="CL435"/>
          <cell r="CM435"/>
          <cell r="CN435"/>
          <cell r="CO435"/>
          <cell r="CP435"/>
          <cell r="CQ435"/>
          <cell r="CR435"/>
          <cell r="CS435"/>
          <cell r="CT435"/>
          <cell r="CU435"/>
          <cell r="CV435"/>
          <cell r="CW435"/>
          <cell r="CX435"/>
          <cell r="CY435"/>
          <cell r="CZ435"/>
          <cell r="DA435"/>
          <cell r="DB435"/>
          <cell r="DC435"/>
          <cell r="DD435"/>
          <cell r="DE435"/>
          <cell r="DF435"/>
          <cell r="DG435"/>
          <cell r="DH435"/>
          <cell r="DI435"/>
          <cell r="DJ435"/>
          <cell r="DK435"/>
          <cell r="DL435"/>
          <cell r="DM435"/>
          <cell r="DN435"/>
          <cell r="DO435"/>
        </row>
        <row r="436">
          <cell r="A436" t="str">
            <v>Citrix Cloud</v>
          </cell>
          <cell r="B436"/>
          <cell r="C436" t="e">
            <v>#DIV/0!</v>
          </cell>
          <cell r="D436" t="e">
            <v>#DIV/0!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cell r="BM436">
            <v>0</v>
          </cell>
          <cell r="BN436">
            <v>0</v>
          </cell>
          <cell r="BO436">
            <v>0</v>
          </cell>
          <cell r="BP436">
            <v>0</v>
          </cell>
          <cell r="BQ436">
            <v>0</v>
          </cell>
          <cell r="BR436">
            <v>0</v>
          </cell>
          <cell r="BS436">
            <v>0</v>
          </cell>
          <cell r="BT436">
            <v>0</v>
          </cell>
          <cell r="BU436">
            <v>1.7213626920196488E-2</v>
          </cell>
          <cell r="BV436">
            <v>6.7210228576987441E-2</v>
          </cell>
          <cell r="BW436">
            <v>9.0031085431831942E-2</v>
          </cell>
          <cell r="BX436">
            <v>9.0143415277845584E-2</v>
          </cell>
          <cell r="BY436">
            <v>9.8447911143200034E-2</v>
          </cell>
          <cell r="BZ436">
            <v>9.8507644484720921E-2</v>
          </cell>
          <cell r="CA436">
            <v>0.14437915518785638</v>
          </cell>
          <cell r="CB436">
            <v>0.16607228413727745</v>
          </cell>
          <cell r="CC436">
            <v>0.17611836189020205</v>
          </cell>
          <cell r="CD436">
            <v>0.27880021969799534</v>
          </cell>
          <cell r="CE436">
            <v>0.39443506948027302</v>
          </cell>
          <cell r="CF436">
            <v>0.59791497041703834</v>
          </cell>
          <cell r="CG436">
            <v>0.82642458008712061</v>
          </cell>
          <cell r="CH436">
            <v>1.2853932398661454</v>
          </cell>
          <cell r="CI436">
            <v>1.5472140947721766</v>
          </cell>
          <cell r="CJ436">
            <v>1.8772855984538499</v>
          </cell>
          <cell r="CK436">
            <v>2.1416383024094641</v>
          </cell>
          <cell r="CL436">
            <v>2.8244319695606439</v>
          </cell>
          <cell r="CM436">
            <v>3.1525219549094405</v>
          </cell>
          <cell r="CN436">
            <v>3.571255076084161</v>
          </cell>
          <cell r="CO436">
            <v>3.9022993336514835</v>
          </cell>
          <cell r="CP436">
            <v>4.7961560528062686</v>
          </cell>
          <cell r="CQ436">
            <v>5.1875866800164516</v>
          </cell>
          <cell r="CR436">
            <v>5.6952047007153528</v>
          </cell>
          <cell r="CS436">
            <v>6.0905019254350332</v>
          </cell>
          <cell r="CT436">
            <v>7.2062991372853533</v>
          </cell>
          <cell r="CU436">
            <v>7.6142440166516634</v>
          </cell>
          <cell r="CV436">
            <v>8.1541488736164052</v>
          </cell>
          <cell r="CW436">
            <v>8.5651146854934694</v>
          </cell>
          <cell r="CX436">
            <v>9.7967808618507348</v>
          </cell>
          <cell r="CY436">
            <v>10.169371755333362</v>
          </cell>
          <cell r="CZ436">
            <v>10.679765148841774</v>
          </cell>
          <cell r="DA436">
            <v>11.055118563783026</v>
          </cell>
          <cell r="DB436">
            <v>12.287500887607475</v>
          </cell>
          <cell r="DC436"/>
          <cell r="DD436">
            <v>0</v>
          </cell>
          <cell r="DE436">
            <v>0</v>
          </cell>
          <cell r="DF436">
            <v>0</v>
          </cell>
          <cell r="DG436">
            <v>0</v>
          </cell>
          <cell r="DH436">
            <v>0</v>
          </cell>
          <cell r="DI436">
            <v>0</v>
          </cell>
          <cell r="DJ436">
            <v>0</v>
          </cell>
          <cell r="DK436">
            <v>0</v>
          </cell>
          <cell r="DL436">
            <v>0</v>
          </cell>
          <cell r="DM436">
            <v>0</v>
          </cell>
          <cell r="DN436">
            <v>0</v>
          </cell>
          <cell r="DO436">
            <v>0</v>
          </cell>
        </row>
        <row r="437">
          <cell r="A437" t="str">
            <v>% of active users</v>
          </cell>
          <cell r="B437"/>
          <cell r="C437" t="str">
            <v>NA</v>
          </cell>
          <cell r="D437" t="str">
            <v>NA</v>
          </cell>
          <cell r="E437" t="str">
            <v>NA</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6.0920245234095483E-4</v>
          </cell>
          <cell r="BV437">
            <v>2.3257117517309204E-3</v>
          </cell>
          <cell r="BW437">
            <v>3.1071742163008734E-3</v>
          </cell>
          <cell r="BX437">
            <v>3.1684192298786764E-3</v>
          </cell>
          <cell r="BY437">
            <v>3.3749269908744679E-3</v>
          </cell>
          <cell r="BZ437">
            <v>3.3867253084646893E-3</v>
          </cell>
          <cell r="CA437">
            <v>5.0252982771380643E-3</v>
          </cell>
          <cell r="CB437">
            <v>5.6652712617950556E-3</v>
          </cell>
          <cell r="CC437">
            <v>5.8706120630067351E-3</v>
          </cell>
          <cell r="CD437">
            <v>9.2446271896825857E-3</v>
          </cell>
          <cell r="CE437">
            <v>1.2840818274849831E-2</v>
          </cell>
          <cell r="CF437">
            <v>1.9155448272915501E-2</v>
          </cell>
          <cell r="CG437">
            <v>2.5894753866603306E-2</v>
          </cell>
          <cell r="CH437">
            <v>3.9861050403263543E-2</v>
          </cell>
          <cell r="CI437">
            <v>4.7536299729438229E-2</v>
          </cell>
          <cell r="CJ437">
            <v>5.7195985361917549E-2</v>
          </cell>
          <cell r="CK437">
            <v>6.4234855266677174E-2</v>
          </cell>
          <cell r="CL437">
            <v>8.4049549860972753E-2</v>
          </cell>
          <cell r="CM437">
            <v>9.2004802118211812E-2</v>
          </cell>
          <cell r="CN437">
            <v>0.10338522188554314</v>
          </cell>
          <cell r="CO437">
            <v>0.11155642578438509</v>
          </cell>
          <cell r="CP437">
            <v>0.13538863472319965</v>
          </cell>
          <cell r="CQ437">
            <v>0.14465388010909946</v>
          </cell>
          <cell r="CR437">
            <v>0.15761000400270903</v>
          </cell>
          <cell r="CS437">
            <v>0.16702067355339167</v>
          </cell>
          <cell r="CT437">
            <v>0.19414200348898641</v>
          </cell>
          <cell r="CU437">
            <v>0.20379471745522326</v>
          </cell>
          <cell r="CV437">
            <v>0.21645709534160987</v>
          </cell>
          <cell r="CW437">
            <v>0.2255080324285626</v>
          </cell>
          <cell r="CX437">
            <v>0.25251493678840803</v>
          </cell>
          <cell r="CY437">
            <v>0.26106161289543373</v>
          </cell>
          <cell r="CZ437">
            <v>0.27248030443442234</v>
          </cell>
          <cell r="DA437">
            <v>0.27984650720846599</v>
          </cell>
          <cell r="DB437">
            <v>0.30460078464580842</v>
          </cell>
          <cell r="DC437"/>
          <cell r="DD437" t="str">
            <v>NA</v>
          </cell>
          <cell r="DE437">
            <v>0</v>
          </cell>
          <cell r="DF437">
            <v>0</v>
          </cell>
          <cell r="DG437">
            <v>0</v>
          </cell>
          <cell r="DH437">
            <v>0</v>
          </cell>
          <cell r="DI437">
            <v>0</v>
          </cell>
          <cell r="DJ437">
            <v>0</v>
          </cell>
          <cell r="DK437">
            <v>0</v>
          </cell>
          <cell r="DL437">
            <v>0</v>
          </cell>
          <cell r="DM437">
            <v>0</v>
          </cell>
          <cell r="DN437">
            <v>0</v>
          </cell>
          <cell r="DO437">
            <v>0</v>
          </cell>
        </row>
        <row r="438">
          <cell r="A438" t="str">
            <v>% growth in revenue y-o-y</v>
          </cell>
          <cell r="B438"/>
          <cell r="C438" t="str">
            <v>NA</v>
          </cell>
          <cell r="D438" t="str">
            <v>NA</v>
          </cell>
          <cell r="E438" t="str">
            <v>NA</v>
          </cell>
          <cell r="F438" t="str">
            <v>NA</v>
          </cell>
          <cell r="G438" t="str">
            <v>NA</v>
          </cell>
          <cell r="H438" t="str">
            <v>NA</v>
          </cell>
          <cell r="I438" t="str">
            <v>NA</v>
          </cell>
          <cell r="J438" t="str">
            <v>NA</v>
          </cell>
          <cell r="K438" t="str">
            <v>NA</v>
          </cell>
          <cell r="L438" t="str">
            <v>NA</v>
          </cell>
          <cell r="M438" t="str">
            <v>NA</v>
          </cell>
          <cell r="N438" t="str">
            <v>NA</v>
          </cell>
          <cell r="O438" t="str">
            <v>NA</v>
          </cell>
          <cell r="P438" t="str">
            <v>NA</v>
          </cell>
          <cell r="Q438" t="str">
            <v>NA</v>
          </cell>
          <cell r="R438" t="str">
            <v>NA</v>
          </cell>
          <cell r="S438" t="str">
            <v>NA</v>
          </cell>
          <cell r="T438" t="str">
            <v>NA</v>
          </cell>
          <cell r="U438" t="str">
            <v>NA</v>
          </cell>
          <cell r="V438" t="str">
            <v>NA</v>
          </cell>
          <cell r="W438" t="str">
            <v>NA</v>
          </cell>
          <cell r="X438" t="str">
            <v>NA</v>
          </cell>
          <cell r="Y438" t="str">
            <v>NA</v>
          </cell>
          <cell r="Z438" t="str">
            <v>NA</v>
          </cell>
          <cell r="AA438" t="str">
            <v>NA</v>
          </cell>
          <cell r="AB438" t="str">
            <v>NA</v>
          </cell>
          <cell r="AC438" t="str">
            <v>NA</v>
          </cell>
          <cell r="AD438" t="str">
            <v>NA</v>
          </cell>
          <cell r="AE438" t="str">
            <v>NA</v>
          </cell>
          <cell r="AF438" t="str">
            <v>NA</v>
          </cell>
          <cell r="AG438" t="str">
            <v>NA</v>
          </cell>
          <cell r="AH438" t="str">
            <v>NA</v>
          </cell>
          <cell r="AI438" t="str">
            <v>NA</v>
          </cell>
          <cell r="AJ438" t="str">
            <v>NA</v>
          </cell>
          <cell r="AK438" t="str">
            <v>NA</v>
          </cell>
          <cell r="AL438" t="str">
            <v>NA</v>
          </cell>
          <cell r="AM438" t="str">
            <v>NA</v>
          </cell>
          <cell r="AN438" t="str">
            <v>NA</v>
          </cell>
          <cell r="AO438" t="str">
            <v>NA</v>
          </cell>
          <cell r="AP438" t="str">
            <v>NA</v>
          </cell>
          <cell r="AQ438" t="str">
            <v>NA</v>
          </cell>
          <cell r="AR438" t="str">
            <v>NA</v>
          </cell>
          <cell r="AS438" t="str">
            <v>NA</v>
          </cell>
          <cell r="AT438" t="str">
            <v>NA</v>
          </cell>
          <cell r="AU438" t="str">
            <v>NA</v>
          </cell>
          <cell r="AV438" t="str">
            <v>NA</v>
          </cell>
          <cell r="AW438" t="str">
            <v>NA</v>
          </cell>
          <cell r="AX438" t="str">
            <v>NA</v>
          </cell>
          <cell r="AY438" t="str">
            <v>NA</v>
          </cell>
          <cell r="AZ438" t="str">
            <v>NA</v>
          </cell>
          <cell r="BA438" t="str">
            <v>NA</v>
          </cell>
          <cell r="BB438" t="str">
            <v>NA</v>
          </cell>
          <cell r="BC438" t="str">
            <v>NA</v>
          </cell>
          <cell r="BD438" t="str">
            <v>NA</v>
          </cell>
          <cell r="BE438" t="str">
            <v>NA</v>
          </cell>
          <cell r="BF438" t="str">
            <v>NA</v>
          </cell>
          <cell r="BG438" t="str">
            <v>NA</v>
          </cell>
          <cell r="BH438" t="str">
            <v>NA</v>
          </cell>
          <cell r="BI438" t="str">
            <v>NA</v>
          </cell>
          <cell r="BJ438" t="str">
            <v>NA</v>
          </cell>
          <cell r="BK438" t="str">
            <v>NA</v>
          </cell>
          <cell r="BL438" t="str">
            <v>NA</v>
          </cell>
          <cell r="BM438" t="str">
            <v>NA</v>
          </cell>
          <cell r="BN438" t="str">
            <v>NA</v>
          </cell>
          <cell r="BO438" t="str">
            <v>NA</v>
          </cell>
          <cell r="BP438" t="str">
            <v>NA</v>
          </cell>
          <cell r="BQ438" t="str">
            <v>NA</v>
          </cell>
          <cell r="BR438" t="str">
            <v>NA</v>
          </cell>
          <cell r="BS438" t="str">
            <v>NA</v>
          </cell>
          <cell r="BT438" t="str">
            <v>NA</v>
          </cell>
          <cell r="BU438" t="str">
            <v>NA</v>
          </cell>
          <cell r="BV438" t="str">
            <v>NA</v>
          </cell>
          <cell r="BW438" t="str">
            <v>NA</v>
          </cell>
          <cell r="BX438" t="str">
            <v>NA</v>
          </cell>
          <cell r="BY438">
            <v>4.7191846668695137</v>
          </cell>
          <cell r="BZ438">
            <v>0.46566447652953835</v>
          </cell>
          <cell r="CA438">
            <v>0.60365894174601165</v>
          </cell>
          <cell r="CB438">
            <v>0.8423118718699445</v>
          </cell>
          <cell r="CC438">
            <v>0.78894970797322861</v>
          </cell>
          <cell r="CD438">
            <v>1.8302394312274801</v>
          </cell>
          <cell r="CE438">
            <v>1.7319391706306968</v>
          </cell>
          <cell r="CF438">
            <v>2.6003296608047748</v>
          </cell>
          <cell r="CG438">
            <v>3.6924384897603169</v>
          </cell>
          <cell r="CH438">
            <v>3.610445577333194</v>
          </cell>
          <cell r="CI438">
            <v>2.9226078371044992</v>
          </cell>
          <cell r="CJ438">
            <v>2.1397200126039095</v>
          </cell>
          <cell r="CK438">
            <v>1.5914503924649668</v>
          </cell>
          <cell r="CL438">
            <v>1.1973290989571148</v>
          </cell>
          <cell r="CM438">
            <v>1.0375473346328592</v>
          </cell>
          <cell r="CN438">
            <v>0.90235043566385453</v>
          </cell>
          <cell r="CO438">
            <v>0.82210942401486586</v>
          </cell>
          <cell r="CP438">
            <v>0.69809579571935565</v>
          </cell>
          <cell r="CQ438">
            <v>0.64553546468972023</v>
          </cell>
          <cell r="CR438">
            <v>0.59473478633737842</v>
          </cell>
          <cell r="CS438">
            <v>0.56074698650449029</v>
          </cell>
          <cell r="CT438">
            <v>0.50251556828908672</v>
          </cell>
          <cell r="CU438">
            <v>0.46778154974897035</v>
          </cell>
          <cell r="CV438">
            <v>0.43175694327408354</v>
          </cell>
          <cell r="CW438">
            <v>0.4063068677023165</v>
          </cell>
          <cell r="CX438">
            <v>0.35947463118235579</v>
          </cell>
          <cell r="CY438">
            <v>0.33557208477872069</v>
          </cell>
          <cell r="CZ438">
            <v>0.30973389306114618</v>
          </cell>
          <cell r="DA438">
            <v>0.29071459866227078</v>
          </cell>
          <cell r="DB438">
            <v>0.2542386178561733</v>
          </cell>
          <cell r="DC438"/>
          <cell r="DD438" t="str">
            <v>NA</v>
          </cell>
          <cell r="DE438" t="str">
            <v>NA</v>
          </cell>
          <cell r="DF438" t="str">
            <v>NA</v>
          </cell>
          <cell r="DG438" t="str">
            <v>NA</v>
          </cell>
          <cell r="DH438" t="str">
            <v>NA</v>
          </cell>
          <cell r="DI438" t="str">
            <v>NA</v>
          </cell>
          <cell r="DJ438" t="str">
            <v>NA</v>
          </cell>
          <cell r="DK438" t="str">
            <v>NA</v>
          </cell>
          <cell r="DL438" t="str">
            <v>NA</v>
          </cell>
          <cell r="DM438" t="str">
            <v>NA</v>
          </cell>
          <cell r="DN438" t="str">
            <v>NA</v>
          </cell>
          <cell r="DO438" t="str">
            <v>NA</v>
          </cell>
        </row>
        <row r="439">
          <cell r="A439" t="str">
            <v>% growth in revenue seq</v>
          </cell>
          <cell r="B439"/>
          <cell r="C439" t="str">
            <v>NA</v>
          </cell>
          <cell r="D439" t="str">
            <v>NA</v>
          </cell>
          <cell r="E439" t="str">
            <v>NA</v>
          </cell>
          <cell r="F439" t="str">
            <v>NA</v>
          </cell>
          <cell r="G439" t="str">
            <v>NA</v>
          </cell>
          <cell r="H439" t="str">
            <v>NA</v>
          </cell>
          <cell r="I439" t="str">
            <v>NA</v>
          </cell>
          <cell r="J439" t="str">
            <v>NA</v>
          </cell>
          <cell r="K439" t="str">
            <v>NA</v>
          </cell>
          <cell r="L439" t="str">
            <v>NA</v>
          </cell>
          <cell r="M439" t="str">
            <v>NA</v>
          </cell>
          <cell r="N439" t="str">
            <v>NA</v>
          </cell>
          <cell r="O439" t="str">
            <v>NA</v>
          </cell>
          <cell r="P439" t="str">
            <v>NA</v>
          </cell>
          <cell r="Q439" t="str">
            <v>NA</v>
          </cell>
          <cell r="R439" t="str">
            <v>NA</v>
          </cell>
          <cell r="S439" t="str">
            <v>NA</v>
          </cell>
          <cell r="T439" t="str">
            <v>NA</v>
          </cell>
          <cell r="U439" t="str">
            <v>NA</v>
          </cell>
          <cell r="V439" t="str">
            <v>NA</v>
          </cell>
          <cell r="W439" t="str">
            <v>NA</v>
          </cell>
          <cell r="X439" t="str">
            <v>NA</v>
          </cell>
          <cell r="Y439" t="str">
            <v>NA</v>
          </cell>
          <cell r="Z439" t="str">
            <v>NA</v>
          </cell>
          <cell r="AA439" t="str">
            <v>NA</v>
          </cell>
          <cell r="AB439" t="str">
            <v>NA</v>
          </cell>
          <cell r="AC439" t="str">
            <v>NA</v>
          </cell>
          <cell r="AD439" t="str">
            <v>NA</v>
          </cell>
          <cell r="AE439" t="str">
            <v>NA</v>
          </cell>
          <cell r="AF439" t="str">
            <v>NA</v>
          </cell>
          <cell r="AG439" t="str">
            <v>NA</v>
          </cell>
          <cell r="AH439" t="str">
            <v>NA</v>
          </cell>
          <cell r="AI439" t="str">
            <v>NA</v>
          </cell>
          <cell r="AJ439" t="str">
            <v>NA</v>
          </cell>
          <cell r="AK439" t="str">
            <v>NA</v>
          </cell>
          <cell r="AL439" t="str">
            <v>NA</v>
          </cell>
          <cell r="AM439" t="str">
            <v>NA</v>
          </cell>
          <cell r="AN439" t="str">
            <v>NA</v>
          </cell>
          <cell r="AO439" t="str">
            <v>NA</v>
          </cell>
          <cell r="AP439" t="str">
            <v>NA</v>
          </cell>
          <cell r="AQ439" t="str">
            <v>NA</v>
          </cell>
          <cell r="AR439" t="str">
            <v>NA</v>
          </cell>
          <cell r="AS439" t="str">
            <v>NA</v>
          </cell>
          <cell r="AT439" t="str">
            <v>NA</v>
          </cell>
          <cell r="AU439" t="str">
            <v>NA</v>
          </cell>
          <cell r="AV439" t="str">
            <v>NA</v>
          </cell>
          <cell r="AW439" t="str">
            <v>NA</v>
          </cell>
          <cell r="AX439" t="str">
            <v>NA</v>
          </cell>
          <cell r="AY439" t="str">
            <v>NA</v>
          </cell>
          <cell r="AZ439" t="str">
            <v>NA</v>
          </cell>
          <cell r="BA439" t="str">
            <v>NA</v>
          </cell>
          <cell r="BB439" t="str">
            <v>NA</v>
          </cell>
          <cell r="BC439" t="str">
            <v>NA</v>
          </cell>
          <cell r="BD439" t="str">
            <v>NA</v>
          </cell>
          <cell r="BE439" t="str">
            <v>NA</v>
          </cell>
          <cell r="BF439" t="str">
            <v>NA</v>
          </cell>
          <cell r="BG439" t="str">
            <v>NA</v>
          </cell>
          <cell r="BH439" t="str">
            <v>NA</v>
          </cell>
          <cell r="BI439" t="str">
            <v>NA</v>
          </cell>
          <cell r="BJ439" t="str">
            <v>NA</v>
          </cell>
          <cell r="BK439" t="str">
            <v>NA</v>
          </cell>
          <cell r="BL439" t="str">
            <v>NA</v>
          </cell>
          <cell r="BM439" t="str">
            <v>NA</v>
          </cell>
          <cell r="BN439" t="str">
            <v>NA</v>
          </cell>
          <cell r="BO439" t="str">
            <v>NA</v>
          </cell>
          <cell r="BP439" t="str">
            <v>NA</v>
          </cell>
          <cell r="BQ439" t="str">
            <v>NA</v>
          </cell>
          <cell r="BR439" t="str">
            <v>NA</v>
          </cell>
          <cell r="BS439" t="str">
            <v>NA</v>
          </cell>
          <cell r="BT439" t="str">
            <v>NA</v>
          </cell>
          <cell r="BU439" t="str">
            <v>NA</v>
          </cell>
          <cell r="BV439">
            <v>2.9044780561690167</v>
          </cell>
          <cell r="BW439">
            <v>0.33954440176771383</v>
          </cell>
          <cell r="BX439">
            <v>1.2476784598880464E-3</v>
          </cell>
          <cell r="BY439">
            <v>9.2125374213499978E-2</v>
          </cell>
          <cell r="BZ439">
            <v>6.0675072560956167E-4</v>
          </cell>
          <cell r="CA439">
            <v>0.46566447652953857</v>
          </cell>
          <cell r="CB439">
            <v>0.15025111430521565</v>
          </cell>
          <cell r="CC439">
            <v>6.0492199557033777E-2</v>
          </cell>
          <cell r="CD439">
            <v>0.583027554343303</v>
          </cell>
          <cell r="CE439">
            <v>0.41475881872523912</v>
          </cell>
          <cell r="CF439">
            <v>0.51587679869561409</v>
          </cell>
          <cell r="CG439">
            <v>0.38217743487957767</v>
          </cell>
          <cell r="CH439">
            <v>0.55536666120293865</v>
          </cell>
          <cell r="CI439">
            <v>0.20368930439784783</v>
          </cell>
          <cell r="CJ439">
            <v>0.21333279266065341</v>
          </cell>
          <cell r="CK439">
            <v>0.14081645551073185</v>
          </cell>
          <cell r="CL439">
            <v>0.31881838608461499</v>
          </cell>
          <cell r="CM439">
            <v>0.11616140480092096</v>
          </cell>
          <cell r="CN439">
            <v>0.13282480730153989</v>
          </cell>
          <cell r="CO439">
            <v>9.269689521318325E-2</v>
          </cell>
          <cell r="CP439">
            <v>0.22905898362194055</v>
          </cell>
          <cell r="CQ439">
            <v>8.1613405172910047E-2</v>
          </cell>
          <cell r="CR439">
            <v>9.7852441223650333E-2</v>
          </cell>
          <cell r="CS439">
            <v>6.9408782562289328E-2</v>
          </cell>
          <cell r="CT439">
            <v>0.18320283377475843</v>
          </cell>
          <cell r="CU439">
            <v>5.6609484507186947E-2</v>
          </cell>
          <cell r="CV439">
            <v>7.0907217549637025E-2</v>
          </cell>
          <cell r="CW439">
            <v>5.0399596358460697E-2</v>
          </cell>
          <cell r="CX439">
            <v>0.14380031343226607</v>
          </cell>
          <cell r="CY439">
            <v>3.8031971801423037E-2</v>
          </cell>
          <cell r="CZ439">
            <v>5.0189274793768224E-2</v>
          </cell>
          <cell r="DA439">
            <v>3.5146223695935674E-2</v>
          </cell>
          <cell r="DB439">
            <v>0.1114761742910455</v>
          </cell>
          <cell r="DC439"/>
          <cell r="DD439"/>
          <cell r="DE439"/>
          <cell r="DF439"/>
          <cell r="DG439"/>
          <cell r="DH439"/>
          <cell r="DI439"/>
          <cell r="DJ439"/>
          <cell r="DK439"/>
          <cell r="DL439"/>
          <cell r="DM439"/>
          <cell r="DN439"/>
          <cell r="DO439"/>
        </row>
        <row r="440">
          <cell r="A440"/>
          <cell r="B440"/>
          <cell r="C440"/>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cell r="AD440"/>
          <cell r="AE440"/>
          <cell r="AF440"/>
          <cell r="AG440"/>
          <cell r="AH440"/>
          <cell r="AI440"/>
          <cell r="AJ440"/>
          <cell r="AK440"/>
          <cell r="AL440"/>
          <cell r="AM440"/>
          <cell r="AN440"/>
          <cell r="AO440"/>
          <cell r="AP440"/>
          <cell r="AQ440"/>
          <cell r="AR440"/>
          <cell r="AS440"/>
          <cell r="AT440"/>
          <cell r="AU440"/>
          <cell r="AV440"/>
          <cell r="AW440"/>
          <cell r="AX440"/>
          <cell r="AY440"/>
          <cell r="AZ440"/>
          <cell r="BA440"/>
          <cell r="BB440">
            <v>61.211745111111092</v>
          </cell>
          <cell r="BC440"/>
          <cell r="BD440"/>
          <cell r="BE440"/>
          <cell r="BF440"/>
          <cell r="BG440"/>
          <cell r="BH440"/>
          <cell r="BI440"/>
          <cell r="BJ440"/>
          <cell r="BK440"/>
          <cell r="BL440"/>
          <cell r="BM440"/>
          <cell r="BN440"/>
          <cell r="BO440"/>
          <cell r="BP440"/>
          <cell r="BQ440"/>
          <cell r="BR440"/>
          <cell r="BS440"/>
          <cell r="BT440"/>
          <cell r="BU440"/>
          <cell r="BV440"/>
          <cell r="BW440"/>
          <cell r="BX440"/>
          <cell r="BY440"/>
          <cell r="BZ440"/>
          <cell r="CA440"/>
          <cell r="CB440"/>
          <cell r="CC440">
            <v>47.465817312183688</v>
          </cell>
          <cell r="CD440"/>
          <cell r="CE440"/>
          <cell r="CF440"/>
          <cell r="CG440"/>
          <cell r="CH440"/>
          <cell r="CI440"/>
          <cell r="CJ440"/>
          <cell r="CK440"/>
          <cell r="CL440"/>
          <cell r="CM440"/>
          <cell r="CN440"/>
          <cell r="CO440"/>
          <cell r="CP440"/>
          <cell r="CQ440"/>
          <cell r="CR440"/>
          <cell r="CS440"/>
          <cell r="CT440"/>
          <cell r="CU440"/>
          <cell r="CV440"/>
          <cell r="CW440"/>
          <cell r="CX440"/>
          <cell r="CY440"/>
          <cell r="CZ440"/>
          <cell r="DA440"/>
          <cell r="DB440"/>
          <cell r="DC440"/>
          <cell r="DD440"/>
          <cell r="DE440"/>
          <cell r="DF440"/>
          <cell r="DG440"/>
          <cell r="DH440"/>
          <cell r="DI440"/>
          <cell r="DJ440"/>
          <cell r="DK440"/>
          <cell r="DL440"/>
          <cell r="DM440"/>
          <cell r="DN440"/>
          <cell r="DO440"/>
        </row>
        <row r="441">
          <cell r="A441" t="str">
            <v>ARPAU</v>
          </cell>
          <cell r="B441"/>
          <cell r="C441" t="e">
            <v>#DIV/0!</v>
          </cell>
          <cell r="D441" t="e">
            <v>#DIV/0!</v>
          </cell>
          <cell r="E441" t="e">
            <v>#DIV/0!</v>
          </cell>
          <cell r="F441">
            <v>57.416426093839675</v>
          </cell>
          <cell r="G441">
            <v>57.416426093839675</v>
          </cell>
          <cell r="H441">
            <v>57.416426093839668</v>
          </cell>
          <cell r="I441">
            <v>57.416426093839675</v>
          </cell>
          <cell r="J441">
            <v>57.416426093839675</v>
          </cell>
          <cell r="K441">
            <v>57.416426093839682</v>
          </cell>
          <cell r="L441">
            <v>57.416426093839668</v>
          </cell>
          <cell r="M441">
            <v>57.416426093839675</v>
          </cell>
          <cell r="N441">
            <v>57.416426093839675</v>
          </cell>
          <cell r="O441">
            <v>57.416426093839668</v>
          </cell>
          <cell r="P441">
            <v>57.416426093839675</v>
          </cell>
          <cell r="Q441">
            <v>57.416426093839668</v>
          </cell>
          <cell r="R441">
            <v>57.416426093839675</v>
          </cell>
          <cell r="S441">
            <v>57.416426093839675</v>
          </cell>
          <cell r="T441">
            <v>57.416426093839668</v>
          </cell>
          <cell r="U441">
            <v>57.416426093839675</v>
          </cell>
          <cell r="V441">
            <v>57.416426093839675</v>
          </cell>
          <cell r="W441">
            <v>57.416426093839668</v>
          </cell>
          <cell r="X441">
            <v>57.416426093839675</v>
          </cell>
          <cell r="Y441">
            <v>57.416426093839675</v>
          </cell>
          <cell r="Z441">
            <v>57.416426093839675</v>
          </cell>
          <cell r="AA441">
            <v>57.416426093839668</v>
          </cell>
          <cell r="AB441">
            <v>57.416426093839668</v>
          </cell>
          <cell r="AC441">
            <v>57.416426093839668</v>
          </cell>
          <cell r="AD441">
            <v>57.416426093839675</v>
          </cell>
          <cell r="AE441">
            <v>57.416426093839675</v>
          </cell>
          <cell r="AF441">
            <v>57.416426093839675</v>
          </cell>
          <cell r="AG441">
            <v>57.416426093839675</v>
          </cell>
          <cell r="AH441">
            <v>57.416426093839675</v>
          </cell>
          <cell r="AI441">
            <v>57.416426093839675</v>
          </cell>
          <cell r="AJ441">
            <v>57.416426093839675</v>
          </cell>
          <cell r="AK441">
            <v>57.416426093839675</v>
          </cell>
          <cell r="AL441">
            <v>57.416426093839675</v>
          </cell>
          <cell r="AM441">
            <v>57.416426093839675</v>
          </cell>
          <cell r="AN441">
            <v>57.416426093839675</v>
          </cell>
          <cell r="AO441">
            <v>57.416426093839675</v>
          </cell>
          <cell r="AP441">
            <v>57.416426093839668</v>
          </cell>
          <cell r="AQ441">
            <v>57.416426093839668</v>
          </cell>
          <cell r="AR441">
            <v>57.416426093839675</v>
          </cell>
          <cell r="AS441">
            <v>57.416426093839675</v>
          </cell>
          <cell r="AT441">
            <v>57.416426093839675</v>
          </cell>
          <cell r="AU441">
            <v>57.416426093839682</v>
          </cell>
          <cell r="AV441">
            <v>57.416426093839675</v>
          </cell>
          <cell r="AW441">
            <v>57.416426093839682</v>
          </cell>
          <cell r="AX441">
            <v>57.557147955904327</v>
          </cell>
          <cell r="AY441">
            <v>58.041776888998669</v>
          </cell>
          <cell r="AZ441">
            <v>58.882808409359114</v>
          </cell>
          <cell r="BA441">
            <v>60.149025819445612</v>
          </cell>
          <cell r="BB441">
            <v>61.211745111111121</v>
          </cell>
          <cell r="BC441">
            <v>35.826691408869635</v>
          </cell>
          <cell r="BD441">
            <v>36.783707050080643</v>
          </cell>
          <cell r="BE441">
            <v>37.706880673872519</v>
          </cell>
          <cell r="BF441">
            <v>38.654132155818239</v>
          </cell>
          <cell r="BG441">
            <v>39.518445569151638</v>
          </cell>
          <cell r="BH441">
            <v>40.313344674402458</v>
          </cell>
          <cell r="BI441">
            <v>41.020205812689838</v>
          </cell>
          <cell r="BJ441">
            <v>41.634543222576148</v>
          </cell>
          <cell r="BK441">
            <v>42.15509482934457</v>
          </cell>
          <cell r="BL441">
            <v>42.612005084853898</v>
          </cell>
          <cell r="BM441">
            <v>43.002819959814822</v>
          </cell>
          <cell r="BN441">
            <v>43.307434643399901</v>
          </cell>
          <cell r="BO441">
            <v>43.51504805905941</v>
          </cell>
          <cell r="BP441">
            <v>43.781316870223549</v>
          </cell>
          <cell r="BQ441">
            <v>43.955362248021927</v>
          </cell>
          <cell r="BR441">
            <v>44.150304057547217</v>
          </cell>
          <cell r="BS441">
            <v>44.17884400307365</v>
          </cell>
          <cell r="BT441">
            <v>44.591521603752433</v>
          </cell>
          <cell r="BU441">
            <v>45.07939737888389</v>
          </cell>
          <cell r="BV441">
            <v>45.487629146534218</v>
          </cell>
          <cell r="BW441">
            <v>45.80219743555935</v>
          </cell>
          <cell r="BX441">
            <v>46.093550568635358</v>
          </cell>
          <cell r="BY441">
            <v>46.301256825419806</v>
          </cell>
          <cell r="BZ441">
            <v>46.552855714025142</v>
          </cell>
          <cell r="CA441">
            <v>46.941092782501762</v>
          </cell>
          <cell r="CB441">
            <v>47.218945293116093</v>
          </cell>
          <cell r="CC441">
            <v>47.324101591612852</v>
          </cell>
          <cell r="CD441">
            <v>48.04442695195101</v>
          </cell>
          <cell r="CE441">
            <v>48.915716988177614</v>
          </cell>
          <cell r="CF441">
            <v>49.528935003887597</v>
          </cell>
          <cell r="CG441">
            <v>49.866407199601134</v>
          </cell>
          <cell r="CH441">
            <v>51.153807558895501</v>
          </cell>
          <cell r="CI441">
            <v>51.873641907036713</v>
          </cell>
          <cell r="CJ441">
            <v>52.757688769289068</v>
          </cell>
          <cell r="CK441">
            <v>53.439600753336073</v>
          </cell>
          <cell r="CL441">
            <v>55.200565291408822</v>
          </cell>
          <cell r="CM441">
            <v>55.955151022083115</v>
          </cell>
          <cell r="CN441">
            <v>56.987865004364686</v>
          </cell>
          <cell r="CO441">
            <v>57.726934082082408</v>
          </cell>
          <cell r="CP441">
            <v>59.701239428747144</v>
          </cell>
          <cell r="CQ441">
            <v>60.460460461941913</v>
          </cell>
          <cell r="CR441">
            <v>61.490364030221144</v>
          </cell>
          <cell r="CS441">
            <v>62.216760222117912</v>
          </cell>
          <cell r="CT441">
            <v>64.360626653914267</v>
          </cell>
          <cell r="CU441">
            <v>65.092876648277709</v>
          </cell>
          <cell r="CV441">
            <v>66.063477626390011</v>
          </cell>
          <cell r="CW441">
            <v>66.747666414095846</v>
          </cell>
          <cell r="CX441">
            <v>68.84823798582525</v>
          </cell>
          <cell r="CY441">
            <v>69.498255401361092</v>
          </cell>
          <cell r="CZ441">
            <v>70.375761408978448</v>
          </cell>
          <cell r="DA441">
            <v>70.930339841176291</v>
          </cell>
          <cell r="DB441">
            <v>72.858540420424092</v>
          </cell>
          <cell r="DC441"/>
          <cell r="DD441" t="e">
            <v>#DIV/0!</v>
          </cell>
          <cell r="DE441">
            <v>57.416426093839675</v>
          </cell>
          <cell r="DF441">
            <v>57.416426093839675</v>
          </cell>
          <cell r="DG441">
            <v>57.416426093839675</v>
          </cell>
          <cell r="DH441">
            <v>57.416426093839675</v>
          </cell>
          <cell r="DI441">
            <v>57.416426093839675</v>
          </cell>
          <cell r="DJ441">
            <v>57.416426093839668</v>
          </cell>
          <cell r="DK441">
            <v>57.416426093839675</v>
          </cell>
          <cell r="DL441">
            <v>57.416426093839675</v>
          </cell>
          <cell r="DM441">
            <v>57.416426093839675</v>
          </cell>
          <cell r="DN441">
            <v>57.416426093839675</v>
          </cell>
          <cell r="DO441">
            <v>57.451606559355838</v>
          </cell>
        </row>
        <row r="442">
          <cell r="A442" t="str">
            <v>% growth y-o-y</v>
          </cell>
          <cell r="B442"/>
          <cell r="C442" t="str">
            <v>NA</v>
          </cell>
          <cell r="D442" t="str">
            <v>NA</v>
          </cell>
          <cell r="E442" t="str">
            <v>NA</v>
          </cell>
          <cell r="F442" t="str">
            <v>NA</v>
          </cell>
          <cell r="G442" t="str">
            <v>NA</v>
          </cell>
          <cell r="H442" t="str">
            <v>NA</v>
          </cell>
          <cell r="I442" t="str">
            <v>NA</v>
          </cell>
          <cell r="J442">
            <v>0</v>
          </cell>
          <cell r="K442">
            <v>2.2204460492503131E-16</v>
          </cell>
          <cell r="L442">
            <v>0</v>
          </cell>
          <cell r="M442">
            <v>0</v>
          </cell>
          <cell r="N442">
            <v>0</v>
          </cell>
          <cell r="O442">
            <v>-2.2204460492503131E-16</v>
          </cell>
          <cell r="P442">
            <v>2.2204460492503131E-16</v>
          </cell>
          <cell r="Q442">
            <v>-1.1102230246251565E-16</v>
          </cell>
          <cell r="R442">
            <v>0</v>
          </cell>
          <cell r="S442">
            <v>2.2204460492503131E-16</v>
          </cell>
          <cell r="T442">
            <v>-1.1102230246251565E-16</v>
          </cell>
          <cell r="U442">
            <v>2.2204460492503131E-16</v>
          </cell>
          <cell r="V442">
            <v>0</v>
          </cell>
          <cell r="W442">
            <v>-1.1102230246251565E-16</v>
          </cell>
          <cell r="X442">
            <v>2.2204460492503131E-16</v>
          </cell>
          <cell r="Y442">
            <v>0</v>
          </cell>
          <cell r="Z442">
            <v>0</v>
          </cell>
          <cell r="AA442">
            <v>0</v>
          </cell>
          <cell r="AB442">
            <v>-1.1102230246251565E-16</v>
          </cell>
          <cell r="AC442">
            <v>-1.1102230246251565E-16</v>
          </cell>
          <cell r="AD442">
            <v>0</v>
          </cell>
          <cell r="AE442">
            <v>2.2204460492503131E-16</v>
          </cell>
          <cell r="AF442">
            <v>2.2204460492503131E-16</v>
          </cell>
          <cell r="AG442">
            <v>2.2204460492503131E-16</v>
          </cell>
          <cell r="AH442">
            <v>0</v>
          </cell>
          <cell r="AI442">
            <v>0</v>
          </cell>
          <cell r="AJ442">
            <v>0</v>
          </cell>
          <cell r="AK442">
            <v>0</v>
          </cell>
          <cell r="AL442">
            <v>0</v>
          </cell>
          <cell r="AM442">
            <v>0</v>
          </cell>
          <cell r="AN442">
            <v>0</v>
          </cell>
          <cell r="AO442">
            <v>0</v>
          </cell>
          <cell r="AP442">
            <v>-1.1102230246251565E-16</v>
          </cell>
          <cell r="AQ442">
            <v>-1.1102230246251565E-16</v>
          </cell>
          <cell r="AR442">
            <v>0</v>
          </cell>
          <cell r="AS442">
            <v>0</v>
          </cell>
          <cell r="AT442">
            <v>2.2204460492503131E-16</v>
          </cell>
          <cell r="AU442">
            <v>2.2204460492503131E-16</v>
          </cell>
          <cell r="AV442">
            <v>0</v>
          </cell>
          <cell r="AW442">
            <v>2.2204460492503131E-16</v>
          </cell>
          <cell r="AX442">
            <v>2.4508990133704778E-3</v>
          </cell>
          <cell r="AY442">
            <v>1.089149634874409E-2</v>
          </cell>
          <cell r="AZ442">
            <v>2.5539421647784666E-2</v>
          </cell>
          <cell r="BA442">
            <v>4.7592647461892623E-2</v>
          </cell>
          <cell r="BB442">
            <v>6.3495105039024002E-2</v>
          </cell>
          <cell r="BC442">
            <v>-0.3827430287431417</v>
          </cell>
          <cell r="BD442">
            <v>-0.37530651061415632</v>
          </cell>
          <cell r="BE442">
            <v>-0.37310903775797744</v>
          </cell>
          <cell r="BF442">
            <v>-0.36851772342622258</v>
          </cell>
          <cell r="BG442">
            <v>0.1030447974709725</v>
          </cell>
          <cell r="BH442">
            <v>9.5956549988728712E-2</v>
          </cell>
          <cell r="BI442">
            <v>8.7870571089513572E-2</v>
          </cell>
          <cell r="BJ442">
            <v>7.7104591424886015E-2</v>
          </cell>
          <cell r="BK442">
            <v>6.6719457767618229E-2</v>
          </cell>
          <cell r="BL442">
            <v>5.7019838691553915E-2</v>
          </cell>
          <cell r="BM442">
            <v>4.833262310233577E-2</v>
          </cell>
          <cell r="BN442">
            <v>4.0180371665915926E-2</v>
          </cell>
          <cell r="BO442">
            <v>3.2260708586240971E-2</v>
          </cell>
          <cell r="BP442">
            <v>2.7440900352874387E-2</v>
          </cell>
          <cell r="BQ442">
            <v>2.2150693584682024E-2</v>
          </cell>
          <cell r="BR442">
            <v>1.9462464611160524E-2</v>
          </cell>
          <cell r="BS442">
            <v>1.5254399882848046E-2</v>
          </cell>
          <cell r="BT442">
            <v>1.8505718682023442E-2</v>
          </cell>
          <cell r="BU442">
            <v>2.557219582265069E-2</v>
          </cell>
          <cell r="BV442">
            <v>3.0290280385020241E-2</v>
          </cell>
          <cell r="BW442">
            <v>3.6745040960618036E-2</v>
          </cell>
          <cell r="BX442">
            <v>3.3684182796680506E-2</v>
          </cell>
          <cell r="BY442">
            <v>2.7104609146977099E-2</v>
          </cell>
          <cell r="BZ442">
            <v>2.3417939942734556E-2</v>
          </cell>
          <cell r="CA442">
            <v>2.4865517610694665E-2</v>
          </cell>
          <cell r="CB442">
            <v>2.4415448812192819E-2</v>
          </cell>
          <cell r="CC442">
            <v>2.2091079947348158E-2</v>
          </cell>
          <cell r="CD442">
            <v>3.2040381090445047E-2</v>
          </cell>
          <cell r="CE442">
            <v>4.2066004190084216E-2</v>
          </cell>
          <cell r="CF442">
            <v>4.8920823970802774E-2</v>
          </cell>
          <cell r="CG442">
            <v>5.3721159461775247E-2</v>
          </cell>
          <cell r="CH442">
            <v>6.4718861358345814E-2</v>
          </cell>
          <cell r="CI442">
            <v>6.0469826488978917E-2</v>
          </cell>
          <cell r="CJ442">
            <v>6.5189242715355089E-2</v>
          </cell>
          <cell r="CK442">
            <v>7.1655323782049418E-2</v>
          </cell>
          <cell r="CL442">
            <v>7.9109609345386911E-2</v>
          </cell>
          <cell r="CM442">
            <v>7.86817536806248E-2</v>
          </cell>
          <cell r="CN442">
            <v>8.0181227300807345E-2</v>
          </cell>
          <cell r="CO442">
            <v>8.0227645197717745E-2</v>
          </cell>
          <cell r="CP442">
            <v>8.1533116800142302E-2</v>
          </cell>
          <cell r="CQ442">
            <v>8.0516437853607847E-2</v>
          </cell>
          <cell r="CR442">
            <v>7.9008031367934439E-2</v>
          </cell>
          <cell r="CS442">
            <v>7.7776972074272699E-2</v>
          </cell>
          <cell r="CT442">
            <v>7.8045066898955406E-2</v>
          </cell>
          <cell r="CU442">
            <v>7.6618936590001185E-2</v>
          </cell>
          <cell r="CV442">
            <v>7.4371223333810299E-2</v>
          </cell>
          <cell r="CW442">
            <v>7.2824527921452331E-2</v>
          </cell>
          <cell r="CX442">
            <v>6.9726035391826979E-2</v>
          </cell>
          <cell r="CY442">
            <v>6.7678354067640445E-2</v>
          </cell>
          <cell r="CZ442">
            <v>6.5274852876740397E-2</v>
          </cell>
          <cell r="DA442">
            <v>6.2663964926227722E-2</v>
          </cell>
          <cell r="DB442">
            <v>5.8248439639435601E-2</v>
          </cell>
          <cell r="DC442"/>
          <cell r="DD442" t="str">
            <v>NA</v>
          </cell>
          <cell r="DE442" t="str">
            <v>NA</v>
          </cell>
          <cell r="DF442">
            <v>0</v>
          </cell>
          <cell r="DG442">
            <v>0</v>
          </cell>
          <cell r="DH442">
            <v>0</v>
          </cell>
          <cell r="DI442">
            <v>0</v>
          </cell>
          <cell r="DJ442">
            <v>-1.1102230246251565E-16</v>
          </cell>
          <cell r="DK442">
            <v>2.2204460492503131E-16</v>
          </cell>
          <cell r="DL442">
            <v>0</v>
          </cell>
          <cell r="DM442">
            <v>0</v>
          </cell>
          <cell r="DN442">
            <v>0</v>
          </cell>
          <cell r="DO442">
            <v>6.1272475334273047E-4</v>
          </cell>
        </row>
        <row r="443">
          <cell r="A443" t="str">
            <v>% growth seq</v>
          </cell>
          <cell r="B443"/>
          <cell r="C443" t="str">
            <v>NA</v>
          </cell>
          <cell r="D443" t="str">
            <v>NA</v>
          </cell>
          <cell r="E443" t="str">
            <v>NA</v>
          </cell>
          <cell r="F443" t="str">
            <v>NA</v>
          </cell>
          <cell r="G443">
            <v>0</v>
          </cell>
          <cell r="H443">
            <v>-1.1102230246251565E-16</v>
          </cell>
          <cell r="I443">
            <v>2.2204460492503131E-16</v>
          </cell>
          <cell r="J443">
            <v>0</v>
          </cell>
          <cell r="K443">
            <v>2.2204460492503131E-16</v>
          </cell>
          <cell r="L443">
            <v>-2.2204460492503131E-16</v>
          </cell>
          <cell r="M443">
            <v>2.2204460492503131E-16</v>
          </cell>
          <cell r="N443">
            <v>0</v>
          </cell>
          <cell r="O443">
            <v>-1.1102230246251565E-16</v>
          </cell>
          <cell r="P443">
            <v>2.2204460492503131E-16</v>
          </cell>
          <cell r="Q443">
            <v>-1.1102230246251565E-16</v>
          </cell>
          <cell r="R443">
            <v>2.2204460492503131E-16</v>
          </cell>
          <cell r="S443">
            <v>0</v>
          </cell>
          <cell r="T443">
            <v>-1.1102230246251565E-16</v>
          </cell>
          <cell r="U443">
            <v>2.2204460492503131E-16</v>
          </cell>
          <cell r="V443">
            <v>0</v>
          </cell>
          <cell r="W443">
            <v>-1.1102230246251565E-16</v>
          </cell>
          <cell r="X443">
            <v>2.2204460492503131E-16</v>
          </cell>
          <cell r="Y443">
            <v>0</v>
          </cell>
          <cell r="Z443">
            <v>0</v>
          </cell>
          <cell r="AA443">
            <v>-1.1102230246251565E-16</v>
          </cell>
          <cell r="AB443">
            <v>0</v>
          </cell>
          <cell r="AC443">
            <v>0</v>
          </cell>
          <cell r="AD443">
            <v>2.2204460492503131E-16</v>
          </cell>
          <cell r="AE443">
            <v>0</v>
          </cell>
          <cell r="AF443">
            <v>0</v>
          </cell>
          <cell r="AG443">
            <v>0</v>
          </cell>
          <cell r="AH443">
            <v>0</v>
          </cell>
          <cell r="AI443">
            <v>0</v>
          </cell>
          <cell r="AJ443">
            <v>0</v>
          </cell>
          <cell r="AK443">
            <v>0</v>
          </cell>
          <cell r="AL443">
            <v>0</v>
          </cell>
          <cell r="AM443">
            <v>0</v>
          </cell>
          <cell r="AN443">
            <v>0</v>
          </cell>
          <cell r="AO443">
            <v>0</v>
          </cell>
          <cell r="AP443">
            <v>-1.1102230246251565E-16</v>
          </cell>
          <cell r="AQ443">
            <v>0</v>
          </cell>
          <cell r="AR443">
            <v>2.2204460492503131E-16</v>
          </cell>
          <cell r="AS443">
            <v>0</v>
          </cell>
          <cell r="AT443">
            <v>0</v>
          </cell>
          <cell r="AU443">
            <v>2.2204460492503131E-16</v>
          </cell>
          <cell r="AV443">
            <v>-1.1102230246251565E-16</v>
          </cell>
          <cell r="AW443">
            <v>2.2204460492503131E-16</v>
          </cell>
          <cell r="AX443">
            <v>2.4508990133704778E-3</v>
          </cell>
          <cell r="AY443">
            <v>8.4199608616053467E-3</v>
          </cell>
          <cell r="AZ443">
            <v>1.4490106358543642E-2</v>
          </cell>
          <cell r="BA443">
            <v>2.1504025441239527E-2</v>
          </cell>
          <cell r="BB443">
            <v>1.7668104797832651E-2</v>
          </cell>
          <cell r="BC443">
            <v>-0.41470887092277342</v>
          </cell>
          <cell r="BD443">
            <v>2.6712364540982358E-2</v>
          </cell>
          <cell r="BE443">
            <v>2.5097351458758244E-2</v>
          </cell>
          <cell r="BF443">
            <v>2.5121449056964229E-2</v>
          </cell>
          <cell r="BG443">
            <v>2.2360181567374848E-2</v>
          </cell>
          <cell r="BH443">
            <v>2.0114634920542551E-2</v>
          </cell>
          <cell r="BI443">
            <v>1.7534172468111064E-2</v>
          </cell>
          <cell r="BJ443">
            <v>1.4976458496857692E-2</v>
          </cell>
          <cell r="BK443">
            <v>1.2502877814356772E-2</v>
          </cell>
          <cell r="BL443">
            <v>1.0838790835580481E-2</v>
          </cell>
          <cell r="BM443">
            <v>9.171473489282933E-3</v>
          </cell>
          <cell r="BN443">
            <v>7.0835978633432273E-3</v>
          </cell>
          <cell r="BO443">
            <v>4.7939439814210782E-3</v>
          </cell>
          <cell r="BP443">
            <v>6.1190053335746786E-3</v>
          </cell>
          <cell r="BQ443">
            <v>3.9753344631976439E-3</v>
          </cell>
          <cell r="BR443">
            <v>4.4349949484050466E-3</v>
          </cell>
          <cell r="BS443">
            <v>6.4642693036121024E-4</v>
          </cell>
          <cell r="BT443">
            <v>9.3410683323917887E-3</v>
          </cell>
          <cell r="BU443">
            <v>1.0940998593113704E-2</v>
          </cell>
          <cell r="BV443">
            <v>9.0558390614501327E-3</v>
          </cell>
          <cell r="BW443">
            <v>6.915468995136731E-3</v>
          </cell>
          <cell r="BX443">
            <v>6.3611169199015993E-3</v>
          </cell>
          <cell r="BY443">
            <v>4.5061891354012396E-3</v>
          </cell>
          <cell r="BZ443">
            <v>5.4339537597003496E-3</v>
          </cell>
          <cell r="CA443">
            <v>8.3397046759401405E-3</v>
          </cell>
          <cell r="CB443">
            <v>5.9191743128295116E-3</v>
          </cell>
          <cell r="CC443">
            <v>2.2269938018308899E-3</v>
          </cell>
          <cell r="CD443">
            <v>1.5221110092152657E-2</v>
          </cell>
          <cell r="CE443">
            <v>1.813509061306906E-2</v>
          </cell>
          <cell r="CF443">
            <v>1.2536216444669401E-2</v>
          </cell>
          <cell r="CG443">
            <v>6.8136372342157969E-3</v>
          </cell>
          <cell r="CH443">
            <v>2.5816986456258295E-2</v>
          </cell>
          <cell r="CI443">
            <v>1.4071960280032769E-2</v>
          </cell>
          <cell r="CJ443">
            <v>1.7042313393701214E-2</v>
          </cell>
          <cell r="CK443">
            <v>1.2925357420963346E-2</v>
          </cell>
          <cell r="CL443">
            <v>3.2952426912785659E-2</v>
          </cell>
          <cell r="CM443">
            <v>1.3669891362357633E-2</v>
          </cell>
          <cell r="CN443">
            <v>1.8456102135690822E-2</v>
          </cell>
          <cell r="CO443">
            <v>1.2968885176890099E-2</v>
          </cell>
          <cell r="CP443">
            <v>3.4200765692102397E-2</v>
          </cell>
          <cell r="CQ443">
            <v>1.2717006220631211E-2</v>
          </cell>
          <cell r="CR443">
            <v>1.7034332196783852E-2</v>
          </cell>
          <cell r="CS443">
            <v>1.1813171109863019E-2</v>
          </cell>
          <cell r="CT443">
            <v>3.4458021024280416E-2</v>
          </cell>
          <cell r="CU443">
            <v>1.137729746326066E-2</v>
          </cell>
          <cell r="CV443">
            <v>1.4911016813050626E-2</v>
          </cell>
          <cell r="CW443">
            <v>1.0356536051207232E-2</v>
          </cell>
          <cell r="CX443">
            <v>3.1470337235427248E-2</v>
          </cell>
          <cell r="CY443">
            <v>9.4413079339761286E-3</v>
          </cell>
          <cell r="CZ443">
            <v>1.2626302668313771E-2</v>
          </cell>
          <cell r="DA443">
            <v>7.8802477031116869E-3</v>
          </cell>
          <cell r="DB443">
            <v>2.7184426065987255E-2</v>
          </cell>
          <cell r="DC443"/>
          <cell r="DD443"/>
          <cell r="DE443"/>
          <cell r="DF443"/>
          <cell r="DG443"/>
          <cell r="DH443"/>
          <cell r="DI443"/>
          <cell r="DJ443"/>
          <cell r="DK443"/>
          <cell r="DL443"/>
          <cell r="DM443"/>
          <cell r="DN443"/>
          <cell r="DO443"/>
        </row>
        <row r="444">
          <cell r="A444"/>
          <cell r="B444"/>
          <cell r="C444"/>
          <cell r="D444"/>
          <cell r="E444"/>
          <cell r="F444"/>
          <cell r="G444"/>
          <cell r="H444"/>
          <cell r="I444"/>
          <cell r="J444"/>
          <cell r="K444"/>
          <cell r="L444"/>
          <cell r="M444"/>
          <cell r="N444"/>
          <cell r="O444"/>
          <cell r="P444"/>
          <cell r="Q444"/>
          <cell r="R444"/>
          <cell r="S444"/>
          <cell r="T444"/>
          <cell r="U444"/>
          <cell r="V444"/>
          <cell r="W444"/>
          <cell r="X444"/>
          <cell r="Y444"/>
          <cell r="Z444"/>
          <cell r="AA444"/>
          <cell r="AB444"/>
          <cell r="AC444"/>
          <cell r="AD444"/>
          <cell r="AE444"/>
          <cell r="AF444"/>
          <cell r="AG444"/>
          <cell r="AH444"/>
          <cell r="AI444"/>
          <cell r="AJ444"/>
          <cell r="AK444"/>
          <cell r="AL444"/>
          <cell r="AM444"/>
          <cell r="AN444"/>
          <cell r="AO444"/>
          <cell r="AP444"/>
          <cell r="AQ444"/>
          <cell r="AR444"/>
          <cell r="AS444"/>
          <cell r="AT444"/>
          <cell r="AU444"/>
          <cell r="AV444"/>
          <cell r="AW444"/>
          <cell r="AX444"/>
          <cell r="AY444"/>
          <cell r="AZ444"/>
          <cell r="BA444"/>
          <cell r="BB444"/>
          <cell r="BC444"/>
          <cell r="BD444"/>
          <cell r="BE444"/>
          <cell r="BF444"/>
          <cell r="BG444"/>
          <cell r="BH444"/>
          <cell r="BI444"/>
          <cell r="BJ444"/>
          <cell r="BK444"/>
          <cell r="BL444"/>
          <cell r="BM444"/>
          <cell r="BN444"/>
          <cell r="BO444"/>
          <cell r="BP444"/>
          <cell r="BQ444"/>
          <cell r="BR444"/>
          <cell r="BS444"/>
          <cell r="BT444"/>
          <cell r="BU444"/>
          <cell r="BV444"/>
          <cell r="BW444"/>
          <cell r="BX444"/>
          <cell r="BY444"/>
          <cell r="BZ444"/>
          <cell r="CA444"/>
          <cell r="CB444"/>
          <cell r="CC444"/>
          <cell r="CD444"/>
          <cell r="CE444"/>
          <cell r="CF444"/>
          <cell r="CG444"/>
          <cell r="CH444"/>
          <cell r="CI444"/>
          <cell r="CJ444"/>
          <cell r="CK444"/>
          <cell r="CL444"/>
          <cell r="CM444"/>
          <cell r="CN444"/>
          <cell r="CO444"/>
          <cell r="CP444"/>
          <cell r="CQ444"/>
          <cell r="CR444"/>
          <cell r="CS444"/>
          <cell r="CT444"/>
          <cell r="CU444"/>
          <cell r="CV444"/>
          <cell r="CW444"/>
          <cell r="CX444"/>
          <cell r="CY444"/>
          <cell r="CZ444"/>
          <cell r="DA444"/>
          <cell r="DB444"/>
          <cell r="DC444"/>
          <cell r="DD444"/>
          <cell r="DE444"/>
          <cell r="DF444"/>
          <cell r="DG444"/>
          <cell r="DH444"/>
          <cell r="DI444"/>
          <cell r="DJ444"/>
          <cell r="DK444"/>
          <cell r="DL444"/>
          <cell r="DM444"/>
          <cell r="DN444"/>
          <cell r="DO444"/>
        </row>
        <row r="445">
          <cell r="A445" t="str">
            <v>LUM</v>
          </cell>
          <cell r="B445"/>
          <cell r="C445" t="e">
            <v>#DIV/0!</v>
          </cell>
          <cell r="D445" t="e">
            <v>#DIV/0!</v>
          </cell>
          <cell r="E445">
            <v>56.707527754665477</v>
          </cell>
          <cell r="F445">
            <v>56.707527754665477</v>
          </cell>
          <cell r="G445">
            <v>56.707527754665477</v>
          </cell>
          <cell r="H445">
            <v>56.707527754665477</v>
          </cell>
          <cell r="I445">
            <v>56.707527754665477</v>
          </cell>
          <cell r="J445">
            <v>56.707527754665477</v>
          </cell>
          <cell r="K445">
            <v>56.707527754665477</v>
          </cell>
          <cell r="L445">
            <v>56.707527754665477</v>
          </cell>
          <cell r="M445">
            <v>56.707527754665477</v>
          </cell>
          <cell r="N445">
            <v>56.707527754665477</v>
          </cell>
          <cell r="O445">
            <v>56.707527754665477</v>
          </cell>
          <cell r="P445">
            <v>56.707527754665477</v>
          </cell>
          <cell r="Q445">
            <v>56.707527754665477</v>
          </cell>
          <cell r="R445">
            <v>56.707527754665477</v>
          </cell>
          <cell r="S445">
            <v>56.707527754665477</v>
          </cell>
          <cell r="T445">
            <v>56.707527754665477</v>
          </cell>
          <cell r="U445">
            <v>56.707527754665477</v>
          </cell>
          <cell r="V445">
            <v>56.707527754665477</v>
          </cell>
          <cell r="W445">
            <v>56.707527754665477</v>
          </cell>
          <cell r="X445">
            <v>56.707527754665477</v>
          </cell>
          <cell r="Y445">
            <v>56.707527754665477</v>
          </cell>
          <cell r="Z445">
            <v>56.707527754665477</v>
          </cell>
          <cell r="AA445">
            <v>56.707527754665477</v>
          </cell>
          <cell r="AB445">
            <v>56.707527754665477</v>
          </cell>
          <cell r="AC445">
            <v>56.707527754665477</v>
          </cell>
          <cell r="AD445">
            <v>56.707527754665477</v>
          </cell>
          <cell r="AE445">
            <v>56.707527754665477</v>
          </cell>
          <cell r="AF445">
            <v>56.707527754665477</v>
          </cell>
          <cell r="AG445">
            <v>56.707527754665477</v>
          </cell>
          <cell r="AH445">
            <v>56.707527754665477</v>
          </cell>
          <cell r="AI445">
            <v>56.707527754665477</v>
          </cell>
          <cell r="AJ445">
            <v>56.707527754665477</v>
          </cell>
          <cell r="AK445">
            <v>56.707527754665477</v>
          </cell>
          <cell r="AL445">
            <v>56.707527754665477</v>
          </cell>
          <cell r="AM445">
            <v>56.707527754665477</v>
          </cell>
          <cell r="AN445">
            <v>56.707527754665477</v>
          </cell>
          <cell r="AO445">
            <v>56.707527754665477</v>
          </cell>
          <cell r="AP445">
            <v>56.707527754665477</v>
          </cell>
          <cell r="AQ445">
            <v>56.707527754665477</v>
          </cell>
          <cell r="AR445">
            <v>56.707527754665477</v>
          </cell>
          <cell r="AS445">
            <v>56.707527754665477</v>
          </cell>
          <cell r="AT445">
            <v>56.707527754665477</v>
          </cell>
          <cell r="AU445">
            <v>56.707527754665477</v>
          </cell>
          <cell r="AV445">
            <v>56.707527754665477</v>
          </cell>
          <cell r="AW445">
            <v>56.707527754665477</v>
          </cell>
          <cell r="AX445">
            <v>56.854285124992785</v>
          </cell>
          <cell r="AY445">
            <v>57.360006865635178</v>
          </cell>
          <cell r="AZ445">
            <v>58.238775074962504</v>
          </cell>
          <cell r="BA445">
            <v>59.564522888888874</v>
          </cell>
          <cell r="BB445">
            <v>61.211745111111092</v>
          </cell>
          <cell r="BC445">
            <v>34.657403664779089</v>
          </cell>
          <cell r="BD445">
            <v>35.615619215714126</v>
          </cell>
          <cell r="BE445">
            <v>36.541607050959414</v>
          </cell>
          <cell r="BF445">
            <v>37.493441820956207</v>
          </cell>
          <cell r="BG445">
            <v>38.36343965963227</v>
          </cell>
          <cell r="BH445">
            <v>39.164835382501771</v>
          </cell>
          <cell r="BI445">
            <v>39.878497065279106</v>
          </cell>
          <cell r="BJ445">
            <v>40.499528996629131</v>
          </cell>
          <cell r="BK445">
            <v>41.02632486043948</v>
          </cell>
          <cell r="BL445">
            <v>41.489148846246316</v>
          </cell>
          <cell r="BM445">
            <v>41.885343525756113</v>
          </cell>
          <cell r="BN445">
            <v>42.194357236859283</v>
          </cell>
          <cell r="BO445">
            <v>42.405072271319376</v>
          </cell>
          <cell r="BP445">
            <v>42.583875035656959</v>
          </cell>
          <cell r="BQ445">
            <v>42.745627050348844</v>
          </cell>
          <cell r="BR445">
            <v>42.921642375503751</v>
          </cell>
          <cell r="BS445">
            <v>43.14670289884257</v>
          </cell>
          <cell r="BT445">
            <v>43.426323478837787</v>
          </cell>
          <cell r="BU445">
            <v>43.731663175757227</v>
          </cell>
          <cell r="BV445">
            <v>44.012014100408066</v>
          </cell>
          <cell r="BW445">
            <v>44.255349330403511</v>
          </cell>
          <cell r="BX445">
            <v>44.468847169631601</v>
          </cell>
          <cell r="BY445">
            <v>44.65670365566212</v>
          </cell>
          <cell r="BZ445">
            <v>44.843927947793823</v>
          </cell>
          <cell r="CA445">
            <v>45.032845867835078</v>
          </cell>
          <cell r="CB445">
            <v>45.21315794207711</v>
          </cell>
          <cell r="CC445">
            <v>45.374812198409195</v>
          </cell>
          <cell r="CD445">
            <v>45.535852947589092</v>
          </cell>
          <cell r="CE445">
            <v>45.717822219813272</v>
          </cell>
          <cell r="CF445">
            <v>45.932533296564891</v>
          </cell>
          <cell r="CG445">
            <v>46.140580547022601</v>
          </cell>
          <cell r="CH445">
            <v>46.310101355628923</v>
          </cell>
          <cell r="CI445">
            <v>46.474119900414117</v>
          </cell>
          <cell r="CJ445">
            <v>46.636523456676628</v>
          </cell>
          <cell r="CK445">
            <v>46.821317395910576</v>
          </cell>
          <cell r="CL445">
            <v>47.02835764353506</v>
          </cell>
          <cell r="CM445">
            <v>47.228501179524486</v>
          </cell>
          <cell r="CN445">
            <v>47.412856257186135</v>
          </cell>
          <cell r="CO445">
            <v>47.566468154335787</v>
          </cell>
          <cell r="CP445">
            <v>47.679397965295337</v>
          </cell>
          <cell r="CQ445">
            <v>47.752284957203663</v>
          </cell>
          <cell r="CR445">
            <v>47.781663975222067</v>
          </cell>
          <cell r="CS445">
            <v>47.787395783930442</v>
          </cell>
          <cell r="CT445">
            <v>47.789317179024145</v>
          </cell>
          <cell r="CU445">
            <v>47.789447211608795</v>
          </cell>
          <cell r="CV445">
            <v>47.789447211608795</v>
          </cell>
          <cell r="CW445">
            <v>47.789447211608795</v>
          </cell>
          <cell r="CX445">
            <v>47.789447211608795</v>
          </cell>
          <cell r="CY445">
            <v>47.789447211608795</v>
          </cell>
          <cell r="CZ445">
            <v>47.789447211608795</v>
          </cell>
          <cell r="DA445">
            <v>47.789447211608795</v>
          </cell>
          <cell r="DB445">
            <v>47.789447211608795</v>
          </cell>
          <cell r="DC445"/>
          <cell r="DD445" t="e">
            <v>#DIV/0!</v>
          </cell>
          <cell r="DE445">
            <v>56.707527754665477</v>
          </cell>
          <cell r="DF445">
            <v>56.707527754665477</v>
          </cell>
          <cell r="DG445">
            <v>56.707527754665477</v>
          </cell>
          <cell r="DH445">
            <v>56.707527754665477</v>
          </cell>
          <cell r="DI445">
            <v>56.707527754665477</v>
          </cell>
          <cell r="DJ445">
            <v>56.707527754665477</v>
          </cell>
          <cell r="DK445">
            <v>56.707527754665477</v>
          </cell>
          <cell r="DL445">
            <v>56.707527754665477</v>
          </cell>
          <cell r="DM445">
            <v>56.707527754665477</v>
          </cell>
          <cell r="DN445">
            <v>56.707527754665477</v>
          </cell>
          <cell r="DO445">
            <v>56.744217097247301</v>
          </cell>
        </row>
        <row r="446">
          <cell r="A446" t="str">
            <v>% growth y-o-y</v>
          </cell>
          <cell r="B446"/>
          <cell r="C446" t="str">
            <v>NA</v>
          </cell>
          <cell r="D446" t="str">
            <v>NA</v>
          </cell>
          <cell r="E446" t="str">
            <v>NA</v>
          </cell>
          <cell r="F446" t="str">
            <v>NA</v>
          </cell>
          <cell r="G446" t="str">
            <v>NA</v>
          </cell>
          <cell r="H446" t="str">
            <v>NA</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2.5879698187907252E-3</v>
          </cell>
          <cell r="AY446">
            <v>1.1506040499464687E-2</v>
          </cell>
          <cell r="AZ446">
            <v>2.7002540596050784E-2</v>
          </cell>
          <cell r="BA446">
            <v>5.038123239270198E-2</v>
          </cell>
          <cell r="BB446">
            <v>7.6642595655517232E-2</v>
          </cell>
          <cell r="BC446">
            <v>-0.39579150075829916</v>
          </cell>
          <cell r="BD446">
            <v>-0.38845521441906705</v>
          </cell>
          <cell r="BE446">
            <v>-0.38652061195682208</v>
          </cell>
          <cell r="BF446">
            <v>-0.38747961272957665</v>
          </cell>
          <cell r="BG446">
            <v>0.10693345729817239</v>
          </cell>
          <cell r="BH446">
            <v>9.9653361220283898E-2</v>
          </cell>
          <cell r="BI446">
            <v>9.1317549599452486E-2</v>
          </cell>
          <cell r="BJ446">
            <v>8.0176346306855439E-2</v>
          </cell>
          <cell r="BK446">
            <v>6.9412055447395593E-2</v>
          </cell>
          <cell r="BL446">
            <v>5.9346948379694009E-2</v>
          </cell>
          <cell r="BM446">
            <v>5.0324024428300307E-2</v>
          </cell>
          <cell r="BN446">
            <v>4.1848097551238528E-2</v>
          </cell>
          <cell r="BO446">
            <v>3.3606407972686325E-2</v>
          </cell>
          <cell r="BP446">
            <v>2.6385843524232344E-2</v>
          </cell>
          <cell r="BQ446">
            <v>2.0539010837137495E-2</v>
          </cell>
          <cell r="BR446">
            <v>1.7236549772800869E-2</v>
          </cell>
          <cell r="BS446">
            <v>1.7489196169223176E-2</v>
          </cell>
          <cell r="BT446">
            <v>1.9783273421580816E-2</v>
          </cell>
          <cell r="BU446">
            <v>2.306753213017454E-2</v>
          </cell>
          <cell r="BV446">
            <v>2.5403774519276334E-2</v>
          </cell>
          <cell r="BW446">
            <v>2.569481228172088E-2</v>
          </cell>
          <cell r="BX446">
            <v>2.400672235819945E-2</v>
          </cell>
          <cell r="BY446">
            <v>2.1152648052445766E-2</v>
          </cell>
          <cell r="BZ446">
            <v>1.8901971754526903E-2</v>
          </cell>
          <cell r="CA446">
            <v>1.7568419393255708E-2</v>
          </cell>
          <cell r="CB446">
            <v>1.6737802300254234E-2</v>
          </cell>
          <cell r="CC446">
            <v>1.6080643754726065E-2</v>
          </cell>
          <cell r="CD446">
            <v>1.5429625179149919E-2</v>
          </cell>
          <cell r="CE446">
            <v>1.5210594373460173E-2</v>
          </cell>
          <cell r="CF446">
            <v>1.5910752250691607E-2</v>
          </cell>
          <cell r="CG446">
            <v>1.6876507284811382E-2</v>
          </cell>
          <cell r="CH446">
            <v>1.7003050517818918E-2</v>
          </cell>
          <cell r="CI446">
            <v>1.6542731999886984E-2</v>
          </cell>
          <cell r="CJ446">
            <v>1.5326612960064656E-2</v>
          </cell>
          <cell r="CK446">
            <v>1.4753538876569383E-2</v>
          </cell>
          <cell r="CL446">
            <v>1.5509710989195069E-2</v>
          </cell>
          <cell r="CM446">
            <v>1.623228757697559E-2</v>
          </cell>
          <cell r="CN446">
            <v>1.6646455245118874E-2</v>
          </cell>
          <cell r="CO446">
            <v>1.5914775573792284E-2</v>
          </cell>
          <cell r="CP446">
            <v>1.3843569165119973E-2</v>
          </cell>
          <cell r="CQ446">
            <v>1.1090417112501028E-2</v>
          </cell>
          <cell r="CR446">
            <v>7.7786437508715611E-3</v>
          </cell>
          <cell r="CS446">
            <v>4.6446086532603292E-3</v>
          </cell>
          <cell r="CT446">
            <v>2.305381745986379E-3</v>
          </cell>
          <cell r="CU446">
            <v>7.7822986771081126E-4</v>
          </cell>
          <cell r="CV446">
            <v>1.6289169817862437E-4</v>
          </cell>
          <cell r="CW446">
            <v>4.2928216628990157E-5</v>
          </cell>
          <cell r="CX446">
            <v>2.7209550654827552E-6</v>
          </cell>
          <cell r="CY446">
            <v>0</v>
          </cell>
          <cell r="CZ446">
            <v>0</v>
          </cell>
          <cell r="DA446">
            <v>0</v>
          </cell>
          <cell r="DB446">
            <v>0</v>
          </cell>
          <cell r="DC446"/>
          <cell r="DD446" t="str">
            <v>NA</v>
          </cell>
          <cell r="DE446" t="str">
            <v>NA</v>
          </cell>
          <cell r="DF446">
            <v>0</v>
          </cell>
          <cell r="DG446">
            <v>0</v>
          </cell>
          <cell r="DH446">
            <v>0</v>
          </cell>
          <cell r="DI446">
            <v>0</v>
          </cell>
          <cell r="DJ446">
            <v>0</v>
          </cell>
          <cell r="DK446">
            <v>0</v>
          </cell>
          <cell r="DL446">
            <v>0</v>
          </cell>
          <cell r="DM446">
            <v>0</v>
          </cell>
          <cell r="DN446">
            <v>0</v>
          </cell>
          <cell r="DO446">
            <v>6.469924546976813E-4</v>
          </cell>
        </row>
        <row r="447">
          <cell r="A447" t="str">
            <v>% growth seq</v>
          </cell>
          <cell r="B447"/>
          <cell r="C447" t="str">
            <v>NA</v>
          </cell>
          <cell r="D447" t="str">
            <v>NA</v>
          </cell>
          <cell r="E447" t="str">
            <v>NA</v>
          </cell>
          <cell r="F447" t="str">
            <v>NA</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2.5879698187907252E-3</v>
          </cell>
          <cell r="AY447">
            <v>8.8950505582925388E-3</v>
          </cell>
          <cell r="AZ447">
            <v>1.53202249676474E-2</v>
          </cell>
          <cell r="BA447">
            <v>2.2764005805752552E-2</v>
          </cell>
          <cell r="BB447">
            <v>2.7654418139047898E-2</v>
          </cell>
          <cell r="BC447">
            <v>-0.43381121381412613</v>
          </cell>
          <cell r="BD447">
            <v>2.7648220859337824E-2</v>
          </cell>
          <cell r="BE447">
            <v>2.5999487181082914E-2</v>
          </cell>
          <cell r="BF447">
            <v>2.6047972347505333E-2</v>
          </cell>
          <cell r="BG447">
            <v>2.3204000391070956E-2</v>
          </cell>
          <cell r="BH447">
            <v>2.0889569078780035E-2</v>
          </cell>
          <cell r="BI447">
            <v>1.8222001338889626E-2</v>
          </cell>
          <cell r="BJ447">
            <v>1.5573102725848109E-2</v>
          </cell>
          <cell r="BK447">
            <v>1.3007456552252661E-2</v>
          </cell>
          <cell r="BL447">
            <v>1.1281146614551485E-2</v>
          </cell>
          <cell r="BM447">
            <v>9.549356651736618E-3</v>
          </cell>
          <cell r="BN447">
            <v>7.3776095667723585E-3</v>
          </cell>
          <cell r="BO447">
            <v>4.9939150222679807E-3</v>
          </cell>
          <cell r="BP447">
            <v>4.2165419078536992E-3</v>
          </cell>
          <cell r="BQ447">
            <v>3.7984334341683024E-3</v>
          </cell>
          <cell r="BR447">
            <v>4.1177387560038525E-3</v>
          </cell>
          <cell r="BS447">
            <v>5.2435207714061072E-3</v>
          </cell>
          <cell r="BT447">
            <v>6.4806940324220186E-3</v>
          </cell>
          <cell r="BU447">
            <v>7.0312122339399874E-3</v>
          </cell>
          <cell r="BV447">
            <v>6.4107080383408732E-3</v>
          </cell>
          <cell r="BW447">
            <v>5.5288364999681594E-3</v>
          </cell>
          <cell r="BX447">
            <v>4.824226730968606E-3</v>
          </cell>
          <cell r="BY447">
            <v>4.2244514528095856E-3</v>
          </cell>
          <cell r="BZ447">
            <v>4.1925237826632156E-3</v>
          </cell>
          <cell r="CA447">
            <v>4.212787074789448E-3</v>
          </cell>
          <cell r="CB447">
            <v>4.0040124217604056E-3</v>
          </cell>
          <cell r="CC447">
            <v>3.5753807893530443E-3</v>
          </cell>
          <cell r="CD447">
            <v>3.5491221093262304E-3</v>
          </cell>
          <cell r="CE447">
            <v>3.9961757701920675E-3</v>
          </cell>
          <cell r="CF447">
            <v>4.6964414822578959E-3</v>
          </cell>
          <cell r="CG447">
            <v>4.5294094517811523E-3</v>
          </cell>
          <cell r="CH447">
            <v>3.6740068416252214E-3</v>
          </cell>
          <cell r="CI447">
            <v>3.5417444571248513E-3</v>
          </cell>
          <cell r="CJ447">
            <v>3.4944944973787084E-3</v>
          </cell>
          <cell r="CK447">
            <v>3.9624295624354211E-3</v>
          </cell>
          <cell r="CL447">
            <v>4.4219227296360408E-3</v>
          </cell>
          <cell r="CM447">
            <v>4.2558053484764713E-3</v>
          </cell>
          <cell r="CN447">
            <v>3.9034708503851157E-3</v>
          </cell>
          <cell r="CO447">
            <v>3.2398785746297065E-3</v>
          </cell>
          <cell r="CP447">
            <v>2.3741474896377124E-3</v>
          </cell>
          <cell r="CQ447">
            <v>1.5286894344046509E-3</v>
          </cell>
          <cell r="CR447">
            <v>6.1523795237716783E-4</v>
          </cell>
          <cell r="CS447">
            <v>1.199583319524411E-4</v>
          </cell>
          <cell r="CT447">
            <v>4.020715216190851E-5</v>
          </cell>
          <cell r="CU447">
            <v>2.7209550654827552E-6</v>
          </cell>
          <cell r="CV447">
            <v>0</v>
          </cell>
          <cell r="CW447">
            <v>0</v>
          </cell>
          <cell r="CX447">
            <v>0</v>
          </cell>
          <cell r="CY447">
            <v>0</v>
          </cell>
          <cell r="CZ447">
            <v>0</v>
          </cell>
          <cell r="DA447">
            <v>0</v>
          </cell>
          <cell r="DB447">
            <v>0</v>
          </cell>
          <cell r="DC447"/>
          <cell r="DD447"/>
          <cell r="DE447"/>
          <cell r="DF447"/>
          <cell r="DG447"/>
          <cell r="DH447"/>
          <cell r="DI447"/>
          <cell r="DJ447"/>
          <cell r="DK447"/>
          <cell r="DL447"/>
          <cell r="DM447"/>
          <cell r="DN447"/>
          <cell r="DO447"/>
        </row>
        <row r="448">
          <cell r="A448"/>
          <cell r="B448"/>
          <cell r="C448"/>
          <cell r="D448"/>
          <cell r="E448"/>
          <cell r="F448"/>
          <cell r="G448"/>
          <cell r="H448"/>
          <cell r="I448"/>
          <cell r="J448"/>
          <cell r="K448"/>
          <cell r="L448"/>
          <cell r="M448"/>
          <cell r="N448"/>
          <cell r="O448"/>
          <cell r="P448"/>
          <cell r="Q448"/>
          <cell r="R448"/>
          <cell r="S448"/>
          <cell r="T448"/>
          <cell r="U448"/>
          <cell r="V448"/>
          <cell r="W448"/>
          <cell r="X448"/>
          <cell r="Y448"/>
          <cell r="Z448"/>
          <cell r="AA448"/>
          <cell r="AB448"/>
          <cell r="AC448"/>
          <cell r="AD448"/>
          <cell r="AE448"/>
          <cell r="AF448"/>
          <cell r="AG448"/>
          <cell r="AH448"/>
          <cell r="AI448"/>
          <cell r="AJ448"/>
          <cell r="AK448"/>
          <cell r="AL448"/>
          <cell r="AM448"/>
          <cell r="AN448"/>
          <cell r="AO448"/>
          <cell r="AP448"/>
          <cell r="AQ448"/>
          <cell r="AR448"/>
          <cell r="AS448"/>
          <cell r="AT448"/>
          <cell r="AU448"/>
          <cell r="AV448"/>
          <cell r="AW448"/>
          <cell r="AX448"/>
          <cell r="AY448"/>
          <cell r="AZ448"/>
          <cell r="BA448"/>
          <cell r="BB448"/>
          <cell r="BC448"/>
          <cell r="BD448"/>
          <cell r="BE448"/>
          <cell r="BF448"/>
          <cell r="BG448"/>
          <cell r="BH448"/>
          <cell r="BI448"/>
          <cell r="BJ448"/>
          <cell r="BK448"/>
          <cell r="BL448"/>
          <cell r="BM448"/>
          <cell r="BN448"/>
          <cell r="BO448"/>
          <cell r="BP448"/>
          <cell r="BQ448"/>
          <cell r="BR448"/>
          <cell r="BS448"/>
          <cell r="BT448"/>
          <cell r="BU448"/>
          <cell r="BV448"/>
          <cell r="BW448"/>
          <cell r="BX448"/>
          <cell r="BY448"/>
          <cell r="BZ448"/>
          <cell r="CA448"/>
          <cell r="CB448"/>
          <cell r="CC448"/>
          <cell r="CD448"/>
          <cell r="CE448"/>
          <cell r="CF448"/>
          <cell r="CG448"/>
          <cell r="CH448"/>
          <cell r="CI448"/>
          <cell r="CJ448"/>
          <cell r="CK448"/>
          <cell r="CL448"/>
          <cell r="CM448"/>
          <cell r="CN448"/>
          <cell r="CO448"/>
          <cell r="CP448"/>
          <cell r="CQ448"/>
          <cell r="CR448"/>
          <cell r="CS448"/>
          <cell r="CT448"/>
          <cell r="CU448"/>
          <cell r="CV448"/>
          <cell r="CW448"/>
          <cell r="CX448"/>
          <cell r="CY448"/>
          <cell r="CZ448"/>
          <cell r="DA448"/>
          <cell r="DB448"/>
          <cell r="DC448"/>
          <cell r="DD448"/>
          <cell r="DE448"/>
          <cell r="DF448"/>
          <cell r="DG448"/>
          <cell r="DH448"/>
          <cell r="DI448"/>
          <cell r="DJ448"/>
          <cell r="DK448"/>
          <cell r="DL448"/>
          <cell r="DM448"/>
          <cell r="DN448"/>
          <cell r="DO448"/>
        </row>
        <row r="449">
          <cell r="A449" t="str">
            <v>CSP + Term Based</v>
          </cell>
          <cell r="B449"/>
          <cell r="C449">
            <v>70.12470976117784</v>
          </cell>
          <cell r="D449">
            <v>70.12470976117784</v>
          </cell>
          <cell r="E449">
            <v>70.12470976117784</v>
          </cell>
          <cell r="F449">
            <v>70.12470976117784</v>
          </cell>
          <cell r="G449">
            <v>70.12470976117784</v>
          </cell>
          <cell r="H449">
            <v>70.12470976117784</v>
          </cell>
          <cell r="I449">
            <v>70.12470976117784</v>
          </cell>
          <cell r="J449">
            <v>70.12470976117784</v>
          </cell>
          <cell r="K449">
            <v>70.12470976117784</v>
          </cell>
          <cell r="L449">
            <v>70.12470976117784</v>
          </cell>
          <cell r="M449">
            <v>70.12470976117784</v>
          </cell>
          <cell r="N449">
            <v>70.12470976117784</v>
          </cell>
          <cell r="O449">
            <v>70.12470976117784</v>
          </cell>
          <cell r="P449">
            <v>70.12470976117784</v>
          </cell>
          <cell r="Q449">
            <v>70.12470976117784</v>
          </cell>
          <cell r="R449">
            <v>70.12470976117784</v>
          </cell>
          <cell r="S449">
            <v>70.12470976117784</v>
          </cell>
          <cell r="T449">
            <v>70.12470976117784</v>
          </cell>
          <cell r="U449">
            <v>70.12470976117784</v>
          </cell>
          <cell r="V449">
            <v>70.12470976117784</v>
          </cell>
          <cell r="W449">
            <v>70.12470976117784</v>
          </cell>
          <cell r="X449">
            <v>70.12470976117784</v>
          </cell>
          <cell r="Y449">
            <v>70.12470976117784</v>
          </cell>
          <cell r="Z449">
            <v>70.12470976117784</v>
          </cell>
          <cell r="AA449">
            <v>70.12470976117784</v>
          </cell>
          <cell r="AB449">
            <v>70.12470976117784</v>
          </cell>
          <cell r="AC449">
            <v>70.12470976117784</v>
          </cell>
          <cell r="AD449">
            <v>70.12470976117784</v>
          </cell>
          <cell r="AE449">
            <v>70.12470976117784</v>
          </cell>
          <cell r="AF449">
            <v>70.12470976117784</v>
          </cell>
          <cell r="AG449">
            <v>70.12470976117784</v>
          </cell>
          <cell r="AH449">
            <v>70.12470976117784</v>
          </cell>
          <cell r="AI449">
            <v>70.12470976117784</v>
          </cell>
          <cell r="AJ449">
            <v>70.12470976117784</v>
          </cell>
          <cell r="AK449">
            <v>70.12470976117784</v>
          </cell>
          <cell r="AL449">
            <v>70.12470976117784</v>
          </cell>
          <cell r="AM449">
            <v>70.12470976117784</v>
          </cell>
          <cell r="AN449">
            <v>70.12470976117784</v>
          </cell>
          <cell r="AO449">
            <v>70.12470976117784</v>
          </cell>
          <cell r="AP449">
            <v>70.12470976117784</v>
          </cell>
          <cell r="AQ449">
            <v>70.12470976117784</v>
          </cell>
          <cell r="AR449">
            <v>70.12470976117784</v>
          </cell>
          <cell r="AS449">
            <v>70.12470976117784</v>
          </cell>
          <cell r="AT449">
            <v>70.12470976117784</v>
          </cell>
          <cell r="AU449">
            <v>70.12470976117784</v>
          </cell>
          <cell r="AV449">
            <v>70.12470976117784</v>
          </cell>
          <cell r="AW449">
            <v>70.12470976117784</v>
          </cell>
          <cell r="AX449">
            <v>70.12470976117784</v>
          </cell>
          <cell r="AY449">
            <v>70.12470976117784</v>
          </cell>
          <cell r="AZ449">
            <v>70.12470976117784</v>
          </cell>
          <cell r="BA449">
            <v>70.12470976117784</v>
          </cell>
          <cell r="BB449">
            <v>70.12470976117784</v>
          </cell>
          <cell r="BC449">
            <v>70.12470976117784</v>
          </cell>
          <cell r="BD449">
            <v>70.12470976117784</v>
          </cell>
          <cell r="BE449">
            <v>70.12470976117784</v>
          </cell>
          <cell r="BF449">
            <v>70.12470976117784</v>
          </cell>
          <cell r="BG449">
            <v>70.12470976117784</v>
          </cell>
          <cell r="BH449">
            <v>70.12470976117784</v>
          </cell>
          <cell r="BI449">
            <v>70.12470976117784</v>
          </cell>
          <cell r="BJ449">
            <v>70.12470976117784</v>
          </cell>
          <cell r="BK449">
            <v>70.12470976117784</v>
          </cell>
          <cell r="BL449">
            <v>70.12470976117784</v>
          </cell>
          <cell r="BM449">
            <v>70.12470976117784</v>
          </cell>
          <cell r="BN449">
            <v>70.12470976117784</v>
          </cell>
          <cell r="BO449">
            <v>70.12470976117784</v>
          </cell>
          <cell r="BP449">
            <v>70.12470976117784</v>
          </cell>
          <cell r="BQ449">
            <v>70.12470976117784</v>
          </cell>
          <cell r="BR449">
            <v>70.12470976117784</v>
          </cell>
          <cell r="BS449">
            <v>70.12470976117784</v>
          </cell>
          <cell r="BT449">
            <v>70.12470976117784</v>
          </cell>
          <cell r="BU449">
            <v>70.12470976117784</v>
          </cell>
          <cell r="BV449">
            <v>70.12470976117784</v>
          </cell>
          <cell r="BW449">
            <v>70.12470976117784</v>
          </cell>
          <cell r="BX449">
            <v>70.12470976117784</v>
          </cell>
          <cell r="BY449">
            <v>70.12470976117784</v>
          </cell>
          <cell r="BZ449">
            <v>70.12470976117784</v>
          </cell>
          <cell r="CA449">
            <v>70.12470976117784</v>
          </cell>
          <cell r="CB449">
            <v>70.12470976117784</v>
          </cell>
          <cell r="CC449">
            <v>70.12470976117784</v>
          </cell>
          <cell r="CD449">
            <v>70.12470976117784</v>
          </cell>
          <cell r="CE449">
            <v>70.12470976117784</v>
          </cell>
          <cell r="CF449">
            <v>70.12470976117784</v>
          </cell>
          <cell r="CG449">
            <v>70.12470976117784</v>
          </cell>
          <cell r="CH449">
            <v>70.12470976117784</v>
          </cell>
          <cell r="CI449">
            <v>70.12470976117784</v>
          </cell>
          <cell r="CJ449">
            <v>70.12470976117784</v>
          </cell>
          <cell r="CK449">
            <v>70.12470976117784</v>
          </cell>
          <cell r="CL449">
            <v>70.12470976117784</v>
          </cell>
          <cell r="CM449">
            <v>70.12470976117784</v>
          </cell>
          <cell r="CN449">
            <v>70.12470976117784</v>
          </cell>
          <cell r="CO449">
            <v>70.12470976117784</v>
          </cell>
          <cell r="CP449">
            <v>70.12470976117784</v>
          </cell>
          <cell r="CQ449">
            <v>70.12470976117784</v>
          </cell>
          <cell r="CR449">
            <v>70.12470976117784</v>
          </cell>
          <cell r="CS449">
            <v>70.12470976117784</v>
          </cell>
          <cell r="CT449">
            <v>70.12470976117784</v>
          </cell>
          <cell r="CU449">
            <v>70.12470976117784</v>
          </cell>
          <cell r="CV449">
            <v>70.12470976117784</v>
          </cell>
          <cell r="CW449">
            <v>70.12470976117784</v>
          </cell>
          <cell r="CX449">
            <v>70.12470976117784</v>
          </cell>
          <cell r="CY449">
            <v>70.12470976117784</v>
          </cell>
          <cell r="CZ449">
            <v>70.12470976117784</v>
          </cell>
          <cell r="DA449">
            <v>70.12470976117784</v>
          </cell>
          <cell r="DB449">
            <v>70.12470976117784</v>
          </cell>
          <cell r="DC449"/>
          <cell r="DD449">
            <v>70.12470976117784</v>
          </cell>
          <cell r="DE449">
            <v>70.12470976117784</v>
          </cell>
          <cell r="DF449">
            <v>70.12470976117784</v>
          </cell>
          <cell r="DG449">
            <v>70.12470976117784</v>
          </cell>
          <cell r="DH449">
            <v>70.12470976117784</v>
          </cell>
          <cell r="DI449">
            <v>70.12470976117784</v>
          </cell>
          <cell r="DJ449">
            <v>70.12470976117784</v>
          </cell>
          <cell r="DK449">
            <v>70.12470976117784</v>
          </cell>
          <cell r="DL449">
            <v>70.12470976117784</v>
          </cell>
          <cell r="DM449">
            <v>70.12470976117784</v>
          </cell>
          <cell r="DN449">
            <v>70.12470976117784</v>
          </cell>
          <cell r="DO449">
            <v>70.12470976117784</v>
          </cell>
        </row>
        <row r="450">
          <cell r="A450" t="str">
            <v>% growth y-o-y</v>
          </cell>
          <cell r="B450"/>
          <cell r="C450" t="str">
            <v>NA</v>
          </cell>
          <cell r="D450" t="str">
            <v>NA</v>
          </cell>
          <cell r="E450" t="str">
            <v>NA</v>
          </cell>
          <cell r="F450" t="str">
            <v>NA</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cell r="CE450">
            <v>0</v>
          </cell>
          <cell r="CF450">
            <v>0</v>
          </cell>
          <cell r="CG450">
            <v>0</v>
          </cell>
          <cell r="CH450">
            <v>0</v>
          </cell>
          <cell r="CI450">
            <v>0</v>
          </cell>
          <cell r="CJ450">
            <v>0</v>
          </cell>
          <cell r="CK450">
            <v>0</v>
          </cell>
          <cell r="CL450">
            <v>0</v>
          </cell>
          <cell r="CM450">
            <v>0</v>
          </cell>
          <cell r="CN450">
            <v>0</v>
          </cell>
          <cell r="CO450">
            <v>0</v>
          </cell>
          <cell r="CP450">
            <v>0</v>
          </cell>
          <cell r="CQ450">
            <v>0</v>
          </cell>
          <cell r="CR450">
            <v>0</v>
          </cell>
          <cell r="CS450">
            <v>0</v>
          </cell>
          <cell r="CT450">
            <v>0</v>
          </cell>
          <cell r="CU450">
            <v>0</v>
          </cell>
          <cell r="CV450">
            <v>0</v>
          </cell>
          <cell r="CW450">
            <v>0</v>
          </cell>
          <cell r="CX450">
            <v>0</v>
          </cell>
          <cell r="CY450">
            <v>0</v>
          </cell>
          <cell r="CZ450">
            <v>0</v>
          </cell>
          <cell r="DA450">
            <v>0</v>
          </cell>
          <cell r="DB450">
            <v>0</v>
          </cell>
          <cell r="DC450"/>
          <cell r="DD450" t="str">
            <v>NA</v>
          </cell>
          <cell r="DE450">
            <v>0</v>
          </cell>
          <cell r="DF450">
            <v>0</v>
          </cell>
          <cell r="DG450">
            <v>0</v>
          </cell>
          <cell r="DH450">
            <v>0</v>
          </cell>
          <cell r="DI450">
            <v>0</v>
          </cell>
          <cell r="DJ450">
            <v>0</v>
          </cell>
          <cell r="DK450">
            <v>0</v>
          </cell>
          <cell r="DL450">
            <v>0</v>
          </cell>
          <cell r="DM450">
            <v>0</v>
          </cell>
          <cell r="DN450">
            <v>0</v>
          </cell>
          <cell r="DO450">
            <v>0</v>
          </cell>
        </row>
        <row r="451">
          <cell r="A451" t="str">
            <v>% growth seq</v>
          </cell>
          <cell r="B451"/>
          <cell r="C451" t="str">
            <v>NA</v>
          </cell>
          <cell r="D451" t="str">
            <v>NA</v>
          </cell>
          <cell r="E451" t="str">
            <v>NA</v>
          </cell>
          <cell r="F451" t="str">
            <v>NA</v>
          </cell>
          <cell r="G451">
            <v>0</v>
          </cell>
          <cell r="H451">
            <v>0</v>
          </cell>
          <cell r="I451">
            <v>0</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cell r="BM451">
            <v>0</v>
          </cell>
          <cell r="BN451">
            <v>0</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cell r="CE451">
            <v>0</v>
          </cell>
          <cell r="CF451">
            <v>0</v>
          </cell>
          <cell r="CG451">
            <v>0</v>
          </cell>
          <cell r="CH451">
            <v>0</v>
          </cell>
          <cell r="CI451">
            <v>0</v>
          </cell>
          <cell r="CJ451">
            <v>0</v>
          </cell>
          <cell r="CK451">
            <v>0</v>
          </cell>
          <cell r="CL451">
            <v>0</v>
          </cell>
          <cell r="CM451">
            <v>0</v>
          </cell>
          <cell r="CN451">
            <v>0</v>
          </cell>
          <cell r="CO451">
            <v>0</v>
          </cell>
          <cell r="CP451">
            <v>0</v>
          </cell>
          <cell r="CQ451">
            <v>0</v>
          </cell>
          <cell r="CR451">
            <v>0</v>
          </cell>
          <cell r="CS451">
            <v>0</v>
          </cell>
          <cell r="CT451">
            <v>0</v>
          </cell>
          <cell r="CU451">
            <v>0</v>
          </cell>
          <cell r="CV451">
            <v>0</v>
          </cell>
          <cell r="CW451">
            <v>0</v>
          </cell>
          <cell r="CX451">
            <v>0</v>
          </cell>
          <cell r="CY451">
            <v>0</v>
          </cell>
          <cell r="CZ451">
            <v>0</v>
          </cell>
          <cell r="DA451">
            <v>0</v>
          </cell>
          <cell r="DB451">
            <v>0</v>
          </cell>
          <cell r="DC451"/>
          <cell r="DD451"/>
          <cell r="DE451"/>
          <cell r="DF451"/>
          <cell r="DG451"/>
          <cell r="DH451"/>
          <cell r="DI451"/>
          <cell r="DJ451"/>
          <cell r="DK451"/>
          <cell r="DL451"/>
          <cell r="DM451"/>
          <cell r="DN451"/>
          <cell r="DO451"/>
        </row>
        <row r="452">
          <cell r="A452"/>
          <cell r="B452"/>
          <cell r="C452"/>
          <cell r="D452"/>
          <cell r="E452"/>
          <cell r="F452"/>
          <cell r="G452"/>
          <cell r="H452"/>
          <cell r="I452"/>
          <cell r="J452"/>
          <cell r="K452"/>
          <cell r="L452"/>
          <cell r="M452"/>
          <cell r="N452"/>
          <cell r="O452"/>
          <cell r="P452"/>
          <cell r="Q452"/>
          <cell r="R452"/>
          <cell r="S452"/>
          <cell r="T452"/>
          <cell r="U452"/>
          <cell r="V452"/>
          <cell r="W452"/>
          <cell r="X452"/>
          <cell r="Y452"/>
          <cell r="Z452"/>
          <cell r="AA452"/>
          <cell r="AB452"/>
          <cell r="AC452"/>
          <cell r="AD452"/>
          <cell r="AE452"/>
          <cell r="AF452"/>
          <cell r="AG452"/>
          <cell r="AH452"/>
          <cell r="AI452"/>
          <cell r="AJ452"/>
          <cell r="AK452"/>
          <cell r="AL452"/>
          <cell r="AM452"/>
          <cell r="AN452"/>
          <cell r="AO452"/>
          <cell r="AP452"/>
          <cell r="AQ452"/>
          <cell r="AR452"/>
          <cell r="AS452"/>
          <cell r="AT452"/>
          <cell r="AU452"/>
          <cell r="AV452"/>
          <cell r="AW452"/>
          <cell r="AX452"/>
          <cell r="AY452"/>
          <cell r="AZ452"/>
          <cell r="BA452"/>
          <cell r="BB452"/>
          <cell r="BC452"/>
          <cell r="BD452"/>
          <cell r="BE452"/>
          <cell r="BF452"/>
          <cell r="BG452"/>
          <cell r="BH452"/>
          <cell r="BI452"/>
          <cell r="BJ452"/>
          <cell r="BK452"/>
          <cell r="BL452"/>
          <cell r="BM452"/>
          <cell r="BN452"/>
          <cell r="BO452"/>
          <cell r="BP452"/>
          <cell r="BQ452"/>
          <cell r="BR452"/>
          <cell r="BS452"/>
          <cell r="BT452"/>
          <cell r="BU452"/>
          <cell r="BV452"/>
          <cell r="BW452"/>
          <cell r="BX452"/>
          <cell r="BY452"/>
          <cell r="BZ452"/>
          <cell r="CA452"/>
          <cell r="CB452"/>
          <cell r="CC452"/>
          <cell r="CD452"/>
          <cell r="CE452"/>
          <cell r="CF452"/>
          <cell r="CG452"/>
          <cell r="CH452"/>
          <cell r="CI452"/>
          <cell r="CJ452"/>
          <cell r="CK452"/>
          <cell r="CL452"/>
          <cell r="CM452"/>
          <cell r="CN452"/>
          <cell r="CO452"/>
          <cell r="CP452"/>
          <cell r="CQ452"/>
          <cell r="CR452"/>
          <cell r="CS452"/>
          <cell r="CT452"/>
          <cell r="CU452"/>
          <cell r="CV452"/>
          <cell r="CW452"/>
          <cell r="CX452"/>
          <cell r="CY452"/>
          <cell r="CZ452"/>
          <cell r="DA452"/>
          <cell r="DB452"/>
          <cell r="DC452"/>
          <cell r="DD452"/>
          <cell r="DE452"/>
          <cell r="DF452"/>
          <cell r="DG452"/>
          <cell r="DH452"/>
          <cell r="DI452"/>
          <cell r="DJ452"/>
          <cell r="DK452"/>
          <cell r="DL452"/>
          <cell r="DM452"/>
          <cell r="DN452"/>
          <cell r="DO452"/>
        </row>
        <row r="453">
          <cell r="A453" t="str">
            <v>Citrix Cloud</v>
          </cell>
          <cell r="B453"/>
          <cell r="C453">
            <v>116.18701911410838</v>
          </cell>
          <cell r="D453">
            <v>116.18701911410838</v>
          </cell>
          <cell r="E453">
            <v>116.18701911410838</v>
          </cell>
          <cell r="F453">
            <v>116.18701911410838</v>
          </cell>
          <cell r="G453">
            <v>116.18701911410838</v>
          </cell>
          <cell r="H453">
            <v>116.18701911410838</v>
          </cell>
          <cell r="I453">
            <v>116.18701911410838</v>
          </cell>
          <cell r="J453">
            <v>116.18701911410838</v>
          </cell>
          <cell r="K453">
            <v>116.18701911410838</v>
          </cell>
          <cell r="L453">
            <v>116.18701911410838</v>
          </cell>
          <cell r="M453">
            <v>116.18701911410838</v>
          </cell>
          <cell r="N453">
            <v>116.18701911410838</v>
          </cell>
          <cell r="O453">
            <v>116.18701911410838</v>
          </cell>
          <cell r="P453">
            <v>116.18701911410838</v>
          </cell>
          <cell r="Q453">
            <v>116.18701911410838</v>
          </cell>
          <cell r="R453">
            <v>116.18701911410838</v>
          </cell>
          <cell r="S453">
            <v>116.18701911410838</v>
          </cell>
          <cell r="T453">
            <v>116.18701911410838</v>
          </cell>
          <cell r="U453">
            <v>116.18701911410838</v>
          </cell>
          <cell r="V453">
            <v>116.18701911410838</v>
          </cell>
          <cell r="W453">
            <v>116.18701911410838</v>
          </cell>
          <cell r="X453">
            <v>116.18701911410838</v>
          </cell>
          <cell r="Y453">
            <v>116.18701911410838</v>
          </cell>
          <cell r="Z453">
            <v>116.18701911410838</v>
          </cell>
          <cell r="AA453">
            <v>116.18701911410838</v>
          </cell>
          <cell r="AB453">
            <v>116.18701911410838</v>
          </cell>
          <cell r="AC453">
            <v>116.18701911410838</v>
          </cell>
          <cell r="AD453">
            <v>116.18701911410838</v>
          </cell>
          <cell r="AE453">
            <v>116.18701911410838</v>
          </cell>
          <cell r="AF453">
            <v>116.18701911410838</v>
          </cell>
          <cell r="AG453">
            <v>116.18701911410838</v>
          </cell>
          <cell r="AH453">
            <v>116.18701911410838</v>
          </cell>
          <cell r="AI453">
            <v>116.18701911410838</v>
          </cell>
          <cell r="AJ453">
            <v>116.18701911410838</v>
          </cell>
          <cell r="AK453">
            <v>116.18701911410838</v>
          </cell>
          <cell r="AL453">
            <v>116.18701911410838</v>
          </cell>
          <cell r="AM453">
            <v>116.18701911410838</v>
          </cell>
          <cell r="AN453">
            <v>116.18701911410838</v>
          </cell>
          <cell r="AO453">
            <v>116.18701911410838</v>
          </cell>
          <cell r="AP453">
            <v>116.18701911410838</v>
          </cell>
          <cell r="AQ453">
            <v>116.18701911410838</v>
          </cell>
          <cell r="AR453">
            <v>116.18701911410838</v>
          </cell>
          <cell r="AS453">
            <v>116.18701911410838</v>
          </cell>
          <cell r="AT453">
            <v>116.18701911410838</v>
          </cell>
          <cell r="AU453">
            <v>116.18701911410838</v>
          </cell>
          <cell r="AV453">
            <v>116.18701911410838</v>
          </cell>
          <cell r="AW453">
            <v>116.18701911410838</v>
          </cell>
          <cell r="AX453">
            <v>116.18701911410838</v>
          </cell>
          <cell r="AY453">
            <v>116.18701911410838</v>
          </cell>
          <cell r="AZ453">
            <v>116.18701911410838</v>
          </cell>
          <cell r="BA453">
            <v>116.18701911410838</v>
          </cell>
          <cell r="BB453">
            <v>116.18701911410838</v>
          </cell>
          <cell r="BC453">
            <v>116.18701911410838</v>
          </cell>
          <cell r="BD453">
            <v>116.18701911410838</v>
          </cell>
          <cell r="BE453">
            <v>116.18701911410838</v>
          </cell>
          <cell r="BF453">
            <v>116.18701911410838</v>
          </cell>
          <cell r="BG453">
            <v>116.18701911410838</v>
          </cell>
          <cell r="BH453">
            <v>116.18701911410838</v>
          </cell>
          <cell r="BI453">
            <v>116.18701911410838</v>
          </cell>
          <cell r="BJ453">
            <v>116.18701911410838</v>
          </cell>
          <cell r="BK453">
            <v>116.18701911410838</v>
          </cell>
          <cell r="BL453">
            <v>116.18701911410838</v>
          </cell>
          <cell r="BM453">
            <v>116.18701911410838</v>
          </cell>
          <cell r="BN453">
            <v>116.18701911410838</v>
          </cell>
          <cell r="BO453">
            <v>116.18701911410838</v>
          </cell>
          <cell r="BP453">
            <v>116.18701911410838</v>
          </cell>
          <cell r="BQ453">
            <v>116.18701911410838</v>
          </cell>
          <cell r="BR453">
            <v>116.18701911410838</v>
          </cell>
          <cell r="BS453">
            <v>116.18701911410838</v>
          </cell>
          <cell r="BT453">
            <v>116.18701911410838</v>
          </cell>
          <cell r="BU453">
            <v>116.18701911410838</v>
          </cell>
          <cell r="BV453">
            <v>116.18701911410838</v>
          </cell>
          <cell r="BW453">
            <v>116.18701911410838</v>
          </cell>
          <cell r="BX453">
            <v>116.18701911410838</v>
          </cell>
          <cell r="BY453">
            <v>116.18701911410838</v>
          </cell>
          <cell r="BZ453">
            <v>116.18701911410838</v>
          </cell>
          <cell r="CA453">
            <v>116.18701911410838</v>
          </cell>
          <cell r="CB453">
            <v>116.18701911410838</v>
          </cell>
          <cell r="CC453">
            <v>116.18701911410838</v>
          </cell>
          <cell r="CD453">
            <v>116.18701911410838</v>
          </cell>
          <cell r="CE453">
            <v>116.18701911410838</v>
          </cell>
          <cell r="CF453">
            <v>116.18701911410838</v>
          </cell>
          <cell r="CG453">
            <v>116.18701911410838</v>
          </cell>
          <cell r="CH453">
            <v>116.18701911410838</v>
          </cell>
          <cell r="CI453">
            <v>116.18701911410838</v>
          </cell>
          <cell r="CJ453">
            <v>116.18701911410838</v>
          </cell>
          <cell r="CK453">
            <v>116.18701911410838</v>
          </cell>
          <cell r="CL453">
            <v>116.18701911410838</v>
          </cell>
          <cell r="CM453">
            <v>116.18701911410838</v>
          </cell>
          <cell r="CN453">
            <v>116.18701911410838</v>
          </cell>
          <cell r="CO453">
            <v>116.18701911410838</v>
          </cell>
          <cell r="CP453">
            <v>116.18701911410838</v>
          </cell>
          <cell r="CQ453">
            <v>116.18701911410838</v>
          </cell>
          <cell r="CR453">
            <v>116.18701911410838</v>
          </cell>
          <cell r="CS453">
            <v>116.18701911410838</v>
          </cell>
          <cell r="CT453">
            <v>116.18701911410838</v>
          </cell>
          <cell r="CU453">
            <v>116.18701911410838</v>
          </cell>
          <cell r="CV453">
            <v>116.18701911410838</v>
          </cell>
          <cell r="CW453">
            <v>116.18701911410838</v>
          </cell>
          <cell r="CX453">
            <v>116.18701911410838</v>
          </cell>
          <cell r="CY453">
            <v>116.18701911410838</v>
          </cell>
          <cell r="CZ453">
            <v>116.18701911410838</v>
          </cell>
          <cell r="DA453">
            <v>116.18701911410838</v>
          </cell>
          <cell r="DB453">
            <v>116.18701911410838</v>
          </cell>
          <cell r="DC453"/>
          <cell r="DD453">
            <v>116.18701911410838</v>
          </cell>
          <cell r="DE453">
            <v>116.18701911410838</v>
          </cell>
          <cell r="DF453">
            <v>116.18701911410838</v>
          </cell>
          <cell r="DG453">
            <v>116.18701911410838</v>
          </cell>
          <cell r="DH453">
            <v>116.18701911410838</v>
          </cell>
          <cell r="DI453">
            <v>116.18701911410838</v>
          </cell>
          <cell r="DJ453">
            <v>116.18701911410838</v>
          </cell>
          <cell r="DK453">
            <v>116.18701911410838</v>
          </cell>
          <cell r="DL453">
            <v>116.18701911410838</v>
          </cell>
          <cell r="DM453">
            <v>116.18701911410838</v>
          </cell>
          <cell r="DN453">
            <v>116.18701911410838</v>
          </cell>
          <cell r="DO453">
            <v>116.18701911410838</v>
          </cell>
        </row>
      </sheetData>
      <sheetData sheetId="6"/>
      <sheetData sheetId="7">
        <row r="19">
          <cell r="DQ19">
            <v>1171.1561239207686</v>
          </cell>
        </row>
      </sheetData>
      <sheetData sheetId="8"/>
      <sheetData sheetId="9"/>
      <sheetData sheetId="10"/>
      <sheetData sheetId="11"/>
      <sheetData sheetId="12"/>
      <sheetData sheetId="13">
        <row r="190">
          <cell r="BQ190">
            <v>0.17395849029294802</v>
          </cell>
        </row>
      </sheetData>
      <sheetData sheetId="14"/>
      <sheetData sheetId="15"/>
      <sheetData sheetId="16">
        <row r="26">
          <cell r="F26">
            <v>2012</v>
          </cell>
        </row>
      </sheetData>
      <sheetData sheetId="17"/>
      <sheetData sheetId="18"/>
      <sheetData sheetId="19"/>
      <sheetData sheetId="20" refreshError="1"/>
      <sheetData sheetId="21" refreshError="1"/>
      <sheetData sheetId="22"/>
      <sheetData sheetId="23"/>
      <sheetData sheetId="24"/>
      <sheetData sheetId="25"/>
      <sheetData sheetId="26"/>
      <sheetData sheetId="27"/>
      <sheetData sheetId="2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ar."/>
      <sheetName val="segtable"/>
      <sheetName val="__FDSCACHE__"/>
      <sheetName val="Assumptions"/>
      <sheetName val="Q"/>
      <sheetName val="A"/>
      <sheetName val="CF"/>
      <sheetName val="BS"/>
      <sheetName val="4Pgr"/>
      <sheetName val="12-31-07 Debt Schedule"/>
      <sheetName val="Escalation"/>
      <sheetName val="EBITDA"/>
      <sheetName val="mkting"/>
      <sheetName val="FCFS"/>
      <sheetName val="SALES"/>
      <sheetName val="EPS"/>
      <sheetName val="capex"/>
      <sheetName val="TRN.share"/>
      <sheetName val="old Q"/>
      <sheetName val="Old A"/>
      <sheetName val="old seg"/>
      <sheetName val="TRN.share Wach"/>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sheetData sheetId="17"/>
      <sheetData sheetId="18"/>
      <sheetData sheetId="19"/>
      <sheetData sheetId="20"/>
      <sheetData sheetId="2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__FDSCACHE__"/>
      <sheetName val="CSX_IS"/>
      <sheetName val="Near Term Outlook"/>
      <sheetName val="Top Holders"/>
      <sheetName val="Debt"/>
      <sheetName val="Sensitivity"/>
      <sheetName val="Corp Goverance"/>
      <sheetName val="XLinkMeta"/>
    </sheetNames>
    <sheetDataSet>
      <sheetData sheetId="0"/>
      <sheetData sheetId="1">
        <row r="77">
          <cell r="M77">
            <v>-164</v>
          </cell>
        </row>
        <row r="996">
          <cell r="M996">
            <v>-198</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WF Palette">
      <a:dk1>
        <a:sysClr val="windowText" lastClr="000000"/>
      </a:dk1>
      <a:lt1>
        <a:sysClr val="window" lastClr="FFFFFF"/>
      </a:lt1>
      <a:dk2>
        <a:srgbClr val="BB0826"/>
      </a:dk2>
      <a:lt2>
        <a:srgbClr val="FCC60A"/>
      </a:lt2>
      <a:accent1>
        <a:srgbClr val="5E8AB4"/>
      </a:accent1>
      <a:accent2>
        <a:srgbClr val="574537"/>
      </a:accent2>
      <a:accent3>
        <a:srgbClr val="A9B089"/>
      </a:accent3>
      <a:accent4>
        <a:srgbClr val="C4A560"/>
      </a:accent4>
      <a:accent5>
        <a:srgbClr val="507F70"/>
      </a:accent5>
      <a:accent6>
        <a:srgbClr val="DADBBF"/>
      </a:accent6>
      <a:hlink>
        <a:srgbClr val="5E8AB4"/>
      </a:hlink>
      <a:folHlink>
        <a:srgbClr val="893B67"/>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Robert.H.Salmon@wellsfargo.com" TargetMode="External"/><Relationship Id="rId7" Type="http://schemas.openxmlformats.org/officeDocument/2006/relationships/printerSettings" Target="../printerSettings/printerSettings1.bin"/><Relationship Id="rId2" Type="http://schemas.openxmlformats.org/officeDocument/2006/relationships/hyperlink" Target="mailto:philip.winslow@wellsfargo.com" TargetMode="External"/><Relationship Id="rId1" Type="http://schemas.openxmlformats.org/officeDocument/2006/relationships/hyperlink" Target="mailto:philip.winslow@wellsfargo.com" TargetMode="External"/><Relationship Id="rId6" Type="http://schemas.openxmlformats.org/officeDocument/2006/relationships/hyperlink" Target="mailto:Christian.Wetherbee@wellsfargo.com" TargetMode="External"/><Relationship Id="rId5" Type="http://schemas.openxmlformats.org/officeDocument/2006/relationships/hyperlink" Target="mailto:Matthew.F.Hortopan@wellsfargo.com" TargetMode="External"/><Relationship Id="rId4" Type="http://schemas.openxmlformats.org/officeDocument/2006/relationships/hyperlink" Target="mailto:Ryan.Deveikis@wellsfargo.com"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6" Type="http://schemas.openxmlformats.org/officeDocument/2006/relationships/hyperlink" Target="https://www.stb.gov/reports-data/economic-data/condensed-balance-sheet/" TargetMode="External"/><Relationship Id="rId117" Type="http://schemas.openxmlformats.org/officeDocument/2006/relationships/hyperlink" Target="https://www.stb.gov/reports-data/economic-data/quarterly-rail-fuel-surcharges/" TargetMode="External"/><Relationship Id="rId21" Type="http://schemas.openxmlformats.org/officeDocument/2006/relationships/hyperlink" Target="https://www.stb.gov/reports-data/economic-data/quarterly-rail-fuel-surcharges/" TargetMode="External"/><Relationship Id="rId42" Type="http://schemas.openxmlformats.org/officeDocument/2006/relationships/hyperlink" Target="https://www.stb.gov/reports-data/economic-data/quarterly-rail-fuel-surcharges/" TargetMode="External"/><Relationship Id="rId47" Type="http://schemas.openxmlformats.org/officeDocument/2006/relationships/hyperlink" Target="https://www.stb.gov/reports-data/economic-data/condensed-balance-sheet/" TargetMode="External"/><Relationship Id="rId63" Type="http://schemas.openxmlformats.org/officeDocument/2006/relationships/hyperlink" Target="https://www.stb.gov/reports-data/economic-data/quarterly-rail-fuel-surcharges/" TargetMode="External"/><Relationship Id="rId68" Type="http://schemas.openxmlformats.org/officeDocument/2006/relationships/hyperlink" Target="https://www.stb.gov/reports-data/economic-data/condensed-balance-sheet/" TargetMode="External"/><Relationship Id="rId84" Type="http://schemas.openxmlformats.org/officeDocument/2006/relationships/hyperlink" Target="https://www.stb.gov/reports-data/economic-data/quarterly-rail-fuel-surcharges/" TargetMode="External"/><Relationship Id="rId89" Type="http://schemas.openxmlformats.org/officeDocument/2006/relationships/hyperlink" Target="https://www.stb.gov/reports-data/economic-data/condensed-balance-sheet/" TargetMode="External"/><Relationship Id="rId112" Type="http://schemas.openxmlformats.org/officeDocument/2006/relationships/hyperlink" Target="https://www.stb.gov/reports-data/economic-data/revenue-expense-income/" TargetMode="External"/><Relationship Id="rId16" Type="http://schemas.openxmlformats.org/officeDocument/2006/relationships/hyperlink" Target="https://www.stb.gov/reports-data/economic-data/revenue-expense-income/" TargetMode="External"/><Relationship Id="rId107" Type="http://schemas.openxmlformats.org/officeDocument/2006/relationships/hyperlink" Target="https://www.stb.gov/reports-data/economic-data/condensed-balance-sheet/" TargetMode="External"/><Relationship Id="rId11" Type="http://schemas.openxmlformats.org/officeDocument/2006/relationships/hyperlink" Target="https://www.stb.gov/reports-data/economic-data/condensed-balance-sheet/" TargetMode="External"/><Relationship Id="rId32" Type="http://schemas.openxmlformats.org/officeDocument/2006/relationships/hyperlink" Target="https://www.stb.gov/reports-data/economic-data/condensed-balance-sheet/" TargetMode="External"/><Relationship Id="rId37" Type="http://schemas.openxmlformats.org/officeDocument/2006/relationships/hyperlink" Target="https://www.stb.gov/reports-data/economic-data/revenue-expense-income/" TargetMode="External"/><Relationship Id="rId53" Type="http://schemas.openxmlformats.org/officeDocument/2006/relationships/hyperlink" Target="https://www.stb.gov/reports-data/economic-data/condensed-balance-sheet/" TargetMode="External"/><Relationship Id="rId58" Type="http://schemas.openxmlformats.org/officeDocument/2006/relationships/hyperlink" Target="https://www.stb.gov/reports-data/economic-data/revenue-expense-income/" TargetMode="External"/><Relationship Id="rId74" Type="http://schemas.openxmlformats.org/officeDocument/2006/relationships/hyperlink" Target="https://www.stb.gov/reports-data/economic-data/condensed-balance-sheet/" TargetMode="External"/><Relationship Id="rId79" Type="http://schemas.openxmlformats.org/officeDocument/2006/relationships/hyperlink" Target="https://www.stb.gov/reports-data/economic-data/revenue-expense-income/" TargetMode="External"/><Relationship Id="rId102" Type="http://schemas.openxmlformats.org/officeDocument/2006/relationships/hyperlink" Target="https://www.stb.gov/reports-data/economic-data/quarterly-rail-fuel-surcharges/" TargetMode="External"/><Relationship Id="rId123" Type="http://schemas.openxmlformats.org/officeDocument/2006/relationships/hyperlink" Target="https://www.stb.gov/reports-data/economic-data/quarterly-rail-fuel-surcharges/" TargetMode="External"/><Relationship Id="rId5" Type="http://schemas.openxmlformats.org/officeDocument/2006/relationships/hyperlink" Target="https://www.stb.gov/reports-data/economic-data/condensed-balance-sheet/" TargetMode="External"/><Relationship Id="rId90" Type="http://schemas.openxmlformats.org/officeDocument/2006/relationships/hyperlink" Target="https://www.stb.gov/reports-data/economic-data/quarterly-rail-fuel-surcharges/" TargetMode="External"/><Relationship Id="rId95" Type="http://schemas.openxmlformats.org/officeDocument/2006/relationships/hyperlink" Target="https://www.stb.gov/reports-data/economic-data/condensed-balance-sheet/" TargetMode="External"/><Relationship Id="rId22" Type="http://schemas.openxmlformats.org/officeDocument/2006/relationships/hyperlink" Target="https://www.stb.gov/reports-data/economic-data/revenue-expense-income/" TargetMode="External"/><Relationship Id="rId27" Type="http://schemas.openxmlformats.org/officeDocument/2006/relationships/hyperlink" Target="https://www.stb.gov/reports-data/economic-data/quarterly-rail-fuel-surcharges/" TargetMode="External"/><Relationship Id="rId43" Type="http://schemas.openxmlformats.org/officeDocument/2006/relationships/hyperlink" Target="https://www.stb.gov/reports-data/economic-data/revenue-expense-income/" TargetMode="External"/><Relationship Id="rId48" Type="http://schemas.openxmlformats.org/officeDocument/2006/relationships/hyperlink" Target="https://www.stb.gov/reports-data/economic-data/quarterly-rail-fuel-surcharges/" TargetMode="External"/><Relationship Id="rId64" Type="http://schemas.openxmlformats.org/officeDocument/2006/relationships/hyperlink" Target="https://www.stb.gov/reports-data/economic-data/revenue-expense-income/" TargetMode="External"/><Relationship Id="rId69" Type="http://schemas.openxmlformats.org/officeDocument/2006/relationships/hyperlink" Target="https://www.stb.gov/reports-data/economic-data/quarterly-rail-fuel-surcharges/" TargetMode="External"/><Relationship Id="rId113" Type="http://schemas.openxmlformats.org/officeDocument/2006/relationships/hyperlink" Target="https://www.stb.gov/reports-data/economic-data/condensed-balance-sheet/" TargetMode="External"/><Relationship Id="rId118" Type="http://schemas.openxmlformats.org/officeDocument/2006/relationships/hyperlink" Target="https://www.stb.gov/reports-data/economic-data/revenue-expense-income/" TargetMode="External"/><Relationship Id="rId80" Type="http://schemas.openxmlformats.org/officeDocument/2006/relationships/hyperlink" Target="https://www.stb.gov/reports-data/economic-data/condensed-balance-sheet/" TargetMode="External"/><Relationship Id="rId85" Type="http://schemas.openxmlformats.org/officeDocument/2006/relationships/hyperlink" Target="https://www.stb.gov/reports-data/economic-data/revenue-expense-income/" TargetMode="External"/><Relationship Id="rId12" Type="http://schemas.openxmlformats.org/officeDocument/2006/relationships/hyperlink" Target="https://www.stb.gov/reports-data/economic-data/quarterly-rail-fuel-surcharges/" TargetMode="External"/><Relationship Id="rId17" Type="http://schemas.openxmlformats.org/officeDocument/2006/relationships/hyperlink" Target="https://www.stb.gov/reports-data/economic-data/condensed-balance-sheet/" TargetMode="External"/><Relationship Id="rId33" Type="http://schemas.openxmlformats.org/officeDocument/2006/relationships/hyperlink" Target="https://www.stb.gov/reports-data/economic-data/quarterly-rail-fuel-surcharges/" TargetMode="External"/><Relationship Id="rId38" Type="http://schemas.openxmlformats.org/officeDocument/2006/relationships/hyperlink" Target="https://www.stb.gov/reports-data/economic-data/condensed-balance-sheet/" TargetMode="External"/><Relationship Id="rId59" Type="http://schemas.openxmlformats.org/officeDocument/2006/relationships/hyperlink" Target="https://www.stb.gov/reports-data/economic-data/condensed-balance-sheet/" TargetMode="External"/><Relationship Id="rId103" Type="http://schemas.openxmlformats.org/officeDocument/2006/relationships/hyperlink" Target="https://www.stb.gov/reports-data/economic-data/revenue-expense-income/" TargetMode="External"/><Relationship Id="rId108" Type="http://schemas.openxmlformats.org/officeDocument/2006/relationships/hyperlink" Target="https://www.stb.gov/reports-data/economic-data/quarterly-rail-fuel-surcharges/" TargetMode="External"/><Relationship Id="rId124" Type="http://schemas.openxmlformats.org/officeDocument/2006/relationships/vmlDrawing" Target="../drawings/vmlDrawing3.vml"/><Relationship Id="rId54" Type="http://schemas.openxmlformats.org/officeDocument/2006/relationships/hyperlink" Target="https://www.stb.gov/reports-data/economic-data/quarterly-rail-fuel-surcharges/" TargetMode="External"/><Relationship Id="rId70" Type="http://schemas.openxmlformats.org/officeDocument/2006/relationships/hyperlink" Target="https://www.stb.gov/reports-data/economic-data/revenue-expense-income/" TargetMode="External"/><Relationship Id="rId75" Type="http://schemas.openxmlformats.org/officeDocument/2006/relationships/hyperlink" Target="https://www.stb.gov/reports-data/economic-data/quarterly-rail-fuel-surcharges/" TargetMode="External"/><Relationship Id="rId91" Type="http://schemas.openxmlformats.org/officeDocument/2006/relationships/hyperlink" Target="https://www.stb.gov/reports-data/economic-data/revenue-expense-income/" TargetMode="External"/><Relationship Id="rId96" Type="http://schemas.openxmlformats.org/officeDocument/2006/relationships/hyperlink" Target="https://www.stb.gov/reports-data/economic-data/quarterly-rail-fuel-surcharges/" TargetMode="External"/><Relationship Id="rId1" Type="http://schemas.openxmlformats.org/officeDocument/2006/relationships/hyperlink" Target="https://www.stb.gov/reports-data/economic-data/revenue-expense-income/" TargetMode="External"/><Relationship Id="rId6" Type="http://schemas.openxmlformats.org/officeDocument/2006/relationships/hyperlink" Target="https://www.stb.gov/reports-data/economic-data/quarterly-rail-fuel-surcharges/" TargetMode="External"/><Relationship Id="rId23" Type="http://schemas.openxmlformats.org/officeDocument/2006/relationships/hyperlink" Target="https://www.stb.gov/reports-data/economic-data/condensed-balance-sheet/" TargetMode="External"/><Relationship Id="rId28" Type="http://schemas.openxmlformats.org/officeDocument/2006/relationships/hyperlink" Target="https://www.stb.gov/reports-data/economic-data/revenue-expense-income/" TargetMode="External"/><Relationship Id="rId49" Type="http://schemas.openxmlformats.org/officeDocument/2006/relationships/hyperlink" Target="https://www.stb.gov/reports-data/economic-data/revenue-expense-income/" TargetMode="External"/><Relationship Id="rId114" Type="http://schemas.openxmlformats.org/officeDocument/2006/relationships/hyperlink" Target="https://www.stb.gov/reports-data/economic-data/quarterly-rail-fuel-surcharges/" TargetMode="External"/><Relationship Id="rId119" Type="http://schemas.openxmlformats.org/officeDocument/2006/relationships/hyperlink" Target="https://www.stb.gov/reports-data/economic-data/condensed-balance-sheet/" TargetMode="External"/><Relationship Id="rId44" Type="http://schemas.openxmlformats.org/officeDocument/2006/relationships/hyperlink" Target="https://www.stb.gov/reports-data/economic-data/condensed-balance-sheet/" TargetMode="External"/><Relationship Id="rId60" Type="http://schemas.openxmlformats.org/officeDocument/2006/relationships/hyperlink" Target="https://www.stb.gov/reports-data/economic-data/quarterly-rail-fuel-surcharges/" TargetMode="External"/><Relationship Id="rId65" Type="http://schemas.openxmlformats.org/officeDocument/2006/relationships/hyperlink" Target="https://www.stb.gov/reports-data/economic-data/condensed-balance-sheet/" TargetMode="External"/><Relationship Id="rId81" Type="http://schemas.openxmlformats.org/officeDocument/2006/relationships/hyperlink" Target="https://www.stb.gov/reports-data/economic-data/quarterly-rail-fuel-surcharges/" TargetMode="External"/><Relationship Id="rId86" Type="http://schemas.openxmlformats.org/officeDocument/2006/relationships/hyperlink" Target="https://www.stb.gov/reports-data/economic-data/condensed-balance-sheet/" TargetMode="External"/><Relationship Id="rId13" Type="http://schemas.openxmlformats.org/officeDocument/2006/relationships/hyperlink" Target="https://www.stb.gov/reports-data/economic-data/revenue-expense-income/" TargetMode="External"/><Relationship Id="rId18" Type="http://schemas.openxmlformats.org/officeDocument/2006/relationships/hyperlink" Target="https://www.stb.gov/reports-data/economic-data/quarterly-rail-fuel-surcharges/" TargetMode="External"/><Relationship Id="rId39" Type="http://schemas.openxmlformats.org/officeDocument/2006/relationships/hyperlink" Target="https://www.stb.gov/reports-data/economic-data/quarterly-rail-fuel-surcharges/" TargetMode="External"/><Relationship Id="rId109" Type="http://schemas.openxmlformats.org/officeDocument/2006/relationships/hyperlink" Target="https://www.stb.gov/reports-data/economic-data/revenue-expense-income/" TargetMode="External"/><Relationship Id="rId34" Type="http://schemas.openxmlformats.org/officeDocument/2006/relationships/hyperlink" Target="https://www.stb.gov/reports-data/economic-data/revenue-expense-income/" TargetMode="External"/><Relationship Id="rId50" Type="http://schemas.openxmlformats.org/officeDocument/2006/relationships/hyperlink" Target="https://www.stb.gov/reports-data/economic-data/condensed-balance-sheet/" TargetMode="External"/><Relationship Id="rId55" Type="http://schemas.openxmlformats.org/officeDocument/2006/relationships/hyperlink" Target="https://www.stb.gov/reports-data/economic-data/revenue-expense-income/" TargetMode="External"/><Relationship Id="rId76" Type="http://schemas.openxmlformats.org/officeDocument/2006/relationships/hyperlink" Target="https://www.stb.gov/reports-data/economic-data/revenue-expense-income/" TargetMode="External"/><Relationship Id="rId97" Type="http://schemas.openxmlformats.org/officeDocument/2006/relationships/hyperlink" Target="https://www.stb.gov/reports-data/economic-data/revenue-expense-income/" TargetMode="External"/><Relationship Id="rId104" Type="http://schemas.openxmlformats.org/officeDocument/2006/relationships/hyperlink" Target="https://www.stb.gov/reports-data/economic-data/condensed-balance-sheet/" TargetMode="External"/><Relationship Id="rId120" Type="http://schemas.openxmlformats.org/officeDocument/2006/relationships/hyperlink" Target="https://www.stb.gov/reports-data/economic-data/quarterly-rail-fuel-surcharges/" TargetMode="External"/><Relationship Id="rId125" Type="http://schemas.openxmlformats.org/officeDocument/2006/relationships/comments" Target="../comments3.xml"/><Relationship Id="rId7" Type="http://schemas.openxmlformats.org/officeDocument/2006/relationships/hyperlink" Target="https://www.stb.gov/reports-data/economic-data/revenue-expense-income/" TargetMode="External"/><Relationship Id="rId71" Type="http://schemas.openxmlformats.org/officeDocument/2006/relationships/hyperlink" Target="https://www.stb.gov/reports-data/economic-data/condensed-balance-sheet/" TargetMode="External"/><Relationship Id="rId92" Type="http://schemas.openxmlformats.org/officeDocument/2006/relationships/hyperlink" Target="https://www.stb.gov/reports-data/economic-data/condensed-balance-sheet/" TargetMode="External"/><Relationship Id="rId2" Type="http://schemas.openxmlformats.org/officeDocument/2006/relationships/hyperlink" Target="https://www.stb.gov/reports-data/economic-data/condensed-balance-sheet/" TargetMode="External"/><Relationship Id="rId29" Type="http://schemas.openxmlformats.org/officeDocument/2006/relationships/hyperlink" Target="https://www.stb.gov/reports-data/economic-data/condensed-balance-sheet/" TargetMode="External"/><Relationship Id="rId24" Type="http://schemas.openxmlformats.org/officeDocument/2006/relationships/hyperlink" Target="https://www.stb.gov/reports-data/economic-data/quarterly-rail-fuel-surcharges/" TargetMode="External"/><Relationship Id="rId40" Type="http://schemas.openxmlformats.org/officeDocument/2006/relationships/hyperlink" Target="https://www.stb.gov/reports-data/economic-data/revenue-expense-income/" TargetMode="External"/><Relationship Id="rId45" Type="http://schemas.openxmlformats.org/officeDocument/2006/relationships/hyperlink" Target="https://www.stb.gov/reports-data/economic-data/quarterly-rail-fuel-surcharges/" TargetMode="External"/><Relationship Id="rId66" Type="http://schemas.openxmlformats.org/officeDocument/2006/relationships/hyperlink" Target="https://www.stb.gov/reports-data/economic-data/quarterly-rail-fuel-surcharges/" TargetMode="External"/><Relationship Id="rId87" Type="http://schemas.openxmlformats.org/officeDocument/2006/relationships/hyperlink" Target="https://www.stb.gov/reports-data/economic-data/quarterly-rail-fuel-surcharges/" TargetMode="External"/><Relationship Id="rId110" Type="http://schemas.openxmlformats.org/officeDocument/2006/relationships/hyperlink" Target="https://www.stb.gov/reports-data/economic-data/condensed-balance-sheet/" TargetMode="External"/><Relationship Id="rId115" Type="http://schemas.openxmlformats.org/officeDocument/2006/relationships/hyperlink" Target="https://www.stb.gov/reports-data/economic-data/revenue-expense-income/" TargetMode="External"/><Relationship Id="rId61" Type="http://schemas.openxmlformats.org/officeDocument/2006/relationships/hyperlink" Target="https://www.stb.gov/reports-data/economic-data/revenue-expense-income/" TargetMode="External"/><Relationship Id="rId82" Type="http://schemas.openxmlformats.org/officeDocument/2006/relationships/hyperlink" Target="https://www.stb.gov/reports-data/economic-data/revenue-expense-income/" TargetMode="External"/><Relationship Id="rId19" Type="http://schemas.openxmlformats.org/officeDocument/2006/relationships/hyperlink" Target="https://www.stb.gov/reports-data/economic-data/revenue-expense-income/" TargetMode="External"/><Relationship Id="rId14" Type="http://schemas.openxmlformats.org/officeDocument/2006/relationships/hyperlink" Target="https://www.stb.gov/reports-data/economic-data/condensed-balance-sheet/" TargetMode="External"/><Relationship Id="rId30" Type="http://schemas.openxmlformats.org/officeDocument/2006/relationships/hyperlink" Target="https://www.stb.gov/reports-data/economic-data/quarterly-rail-fuel-surcharges/" TargetMode="External"/><Relationship Id="rId35" Type="http://schemas.openxmlformats.org/officeDocument/2006/relationships/hyperlink" Target="https://www.stb.gov/reports-data/economic-data/condensed-balance-sheet/" TargetMode="External"/><Relationship Id="rId56" Type="http://schemas.openxmlformats.org/officeDocument/2006/relationships/hyperlink" Target="https://www.stb.gov/reports-data/economic-data/condensed-balance-sheet/" TargetMode="External"/><Relationship Id="rId77" Type="http://schemas.openxmlformats.org/officeDocument/2006/relationships/hyperlink" Target="https://www.stb.gov/reports-data/economic-data/condensed-balance-sheet/" TargetMode="External"/><Relationship Id="rId100" Type="http://schemas.openxmlformats.org/officeDocument/2006/relationships/hyperlink" Target="https://www.stb.gov/reports-data/economic-data/revenue-expense-income/" TargetMode="External"/><Relationship Id="rId105" Type="http://schemas.openxmlformats.org/officeDocument/2006/relationships/hyperlink" Target="https://www.stb.gov/reports-data/economic-data/quarterly-rail-fuel-surcharges/" TargetMode="External"/><Relationship Id="rId8" Type="http://schemas.openxmlformats.org/officeDocument/2006/relationships/hyperlink" Target="https://www.stb.gov/reports-data/economic-data/condensed-balance-sheet/" TargetMode="External"/><Relationship Id="rId51" Type="http://schemas.openxmlformats.org/officeDocument/2006/relationships/hyperlink" Target="https://www.stb.gov/reports-data/economic-data/quarterly-rail-fuel-surcharges/" TargetMode="External"/><Relationship Id="rId72" Type="http://schemas.openxmlformats.org/officeDocument/2006/relationships/hyperlink" Target="https://www.stb.gov/reports-data/economic-data/quarterly-rail-fuel-surcharges/" TargetMode="External"/><Relationship Id="rId93" Type="http://schemas.openxmlformats.org/officeDocument/2006/relationships/hyperlink" Target="https://www.stb.gov/reports-data/economic-data/quarterly-rail-fuel-surcharges/" TargetMode="External"/><Relationship Id="rId98" Type="http://schemas.openxmlformats.org/officeDocument/2006/relationships/hyperlink" Target="https://www.stb.gov/reports-data/economic-data/condensed-balance-sheet/" TargetMode="External"/><Relationship Id="rId121" Type="http://schemas.openxmlformats.org/officeDocument/2006/relationships/hyperlink" Target="https://www.stb.gov/reports-data/economic-data/revenue-expense-income/" TargetMode="External"/><Relationship Id="rId3" Type="http://schemas.openxmlformats.org/officeDocument/2006/relationships/hyperlink" Target="https://www.stb.gov/reports-data/economic-data/quarterly-rail-fuel-surcharges/" TargetMode="External"/><Relationship Id="rId25" Type="http://schemas.openxmlformats.org/officeDocument/2006/relationships/hyperlink" Target="https://www.stb.gov/reports-data/economic-data/revenue-expense-income/" TargetMode="External"/><Relationship Id="rId46" Type="http://schemas.openxmlformats.org/officeDocument/2006/relationships/hyperlink" Target="https://www.stb.gov/reports-data/economic-data/revenue-expense-income/" TargetMode="External"/><Relationship Id="rId67" Type="http://schemas.openxmlformats.org/officeDocument/2006/relationships/hyperlink" Target="https://www.stb.gov/reports-data/economic-data/revenue-expense-income/" TargetMode="External"/><Relationship Id="rId116" Type="http://schemas.openxmlformats.org/officeDocument/2006/relationships/hyperlink" Target="https://www.stb.gov/reports-data/economic-data/condensed-balance-sheet/" TargetMode="External"/><Relationship Id="rId20" Type="http://schemas.openxmlformats.org/officeDocument/2006/relationships/hyperlink" Target="https://www.stb.gov/reports-data/economic-data/condensed-balance-sheet/" TargetMode="External"/><Relationship Id="rId41" Type="http://schemas.openxmlformats.org/officeDocument/2006/relationships/hyperlink" Target="https://www.stb.gov/reports-data/economic-data/condensed-balance-sheet/" TargetMode="External"/><Relationship Id="rId62" Type="http://schemas.openxmlformats.org/officeDocument/2006/relationships/hyperlink" Target="https://www.stb.gov/reports-data/economic-data/condensed-balance-sheet/" TargetMode="External"/><Relationship Id="rId83" Type="http://schemas.openxmlformats.org/officeDocument/2006/relationships/hyperlink" Target="https://www.stb.gov/reports-data/economic-data/condensed-balance-sheet/" TargetMode="External"/><Relationship Id="rId88" Type="http://schemas.openxmlformats.org/officeDocument/2006/relationships/hyperlink" Target="https://www.stb.gov/reports-data/economic-data/revenue-expense-income/" TargetMode="External"/><Relationship Id="rId111" Type="http://schemas.openxmlformats.org/officeDocument/2006/relationships/hyperlink" Target="https://www.stb.gov/reports-data/economic-data/quarterly-rail-fuel-surcharges/" TargetMode="External"/><Relationship Id="rId15" Type="http://schemas.openxmlformats.org/officeDocument/2006/relationships/hyperlink" Target="https://www.stb.gov/reports-data/economic-data/quarterly-rail-fuel-surcharges/" TargetMode="External"/><Relationship Id="rId36" Type="http://schemas.openxmlformats.org/officeDocument/2006/relationships/hyperlink" Target="https://www.stb.gov/reports-data/economic-data/quarterly-rail-fuel-surcharges/" TargetMode="External"/><Relationship Id="rId57" Type="http://schemas.openxmlformats.org/officeDocument/2006/relationships/hyperlink" Target="https://www.stb.gov/reports-data/economic-data/quarterly-rail-fuel-surcharges/" TargetMode="External"/><Relationship Id="rId106" Type="http://schemas.openxmlformats.org/officeDocument/2006/relationships/hyperlink" Target="https://www.stb.gov/reports-data/economic-data/revenue-expense-income/" TargetMode="External"/><Relationship Id="rId10" Type="http://schemas.openxmlformats.org/officeDocument/2006/relationships/hyperlink" Target="https://www.stb.gov/reports-data/economic-data/revenue-expense-income/" TargetMode="External"/><Relationship Id="rId31" Type="http://schemas.openxmlformats.org/officeDocument/2006/relationships/hyperlink" Target="https://www.stb.gov/reports-data/economic-data/revenue-expense-income/" TargetMode="External"/><Relationship Id="rId52" Type="http://schemas.openxmlformats.org/officeDocument/2006/relationships/hyperlink" Target="https://www.stb.gov/reports-data/economic-data/revenue-expense-income/" TargetMode="External"/><Relationship Id="rId73" Type="http://schemas.openxmlformats.org/officeDocument/2006/relationships/hyperlink" Target="https://www.stb.gov/reports-data/economic-data/revenue-expense-income/" TargetMode="External"/><Relationship Id="rId78" Type="http://schemas.openxmlformats.org/officeDocument/2006/relationships/hyperlink" Target="https://www.stb.gov/reports-data/economic-data/quarterly-rail-fuel-surcharges/" TargetMode="External"/><Relationship Id="rId94" Type="http://schemas.openxmlformats.org/officeDocument/2006/relationships/hyperlink" Target="https://www.stb.gov/reports-data/economic-data/revenue-expense-income/" TargetMode="External"/><Relationship Id="rId99" Type="http://schemas.openxmlformats.org/officeDocument/2006/relationships/hyperlink" Target="https://www.stb.gov/reports-data/economic-data/quarterly-rail-fuel-surcharges/" TargetMode="External"/><Relationship Id="rId101" Type="http://schemas.openxmlformats.org/officeDocument/2006/relationships/hyperlink" Target="https://www.stb.gov/reports-data/economic-data/condensed-balance-sheet/" TargetMode="External"/><Relationship Id="rId122" Type="http://schemas.openxmlformats.org/officeDocument/2006/relationships/hyperlink" Target="https://www.stb.gov/reports-data/economic-data/condensed-balance-sheet/" TargetMode="External"/><Relationship Id="rId4" Type="http://schemas.openxmlformats.org/officeDocument/2006/relationships/hyperlink" Target="https://www.stb.gov/reports-data/economic-data/revenue-expense-income/" TargetMode="External"/><Relationship Id="rId9" Type="http://schemas.openxmlformats.org/officeDocument/2006/relationships/hyperlink" Target="https://www.stb.gov/reports-data/economic-data/quarterly-rail-fuel-surcharges/"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stb.gov/reports-data/economic-data/employment-data/" TargetMode="External"/><Relationship Id="rId18" Type="http://schemas.openxmlformats.org/officeDocument/2006/relationships/hyperlink" Target="https://www.stb.gov/reports-data/economic-data/employment-data/" TargetMode="External"/><Relationship Id="rId26" Type="http://schemas.openxmlformats.org/officeDocument/2006/relationships/hyperlink" Target="https://www.stb.gov/reports-data/economic-data/employment-data/" TargetMode="External"/><Relationship Id="rId39" Type="http://schemas.openxmlformats.org/officeDocument/2006/relationships/hyperlink" Target="https://www.stb.gov/reports-data/economic-data/employment-data/" TargetMode="External"/><Relationship Id="rId21" Type="http://schemas.openxmlformats.org/officeDocument/2006/relationships/hyperlink" Target="https://www.stb.gov/reports-data/economic-data/employment-data/" TargetMode="External"/><Relationship Id="rId34" Type="http://schemas.openxmlformats.org/officeDocument/2006/relationships/hyperlink" Target="https://www.stb.gov/reports-data/economic-data/employment-data/" TargetMode="External"/><Relationship Id="rId42" Type="http://schemas.openxmlformats.org/officeDocument/2006/relationships/vmlDrawing" Target="../drawings/vmlDrawing4.vml"/><Relationship Id="rId7" Type="http://schemas.openxmlformats.org/officeDocument/2006/relationships/hyperlink" Target="https://www.stb.gov/reports-data/economic-data/employment-data/" TargetMode="External"/><Relationship Id="rId2" Type="http://schemas.openxmlformats.org/officeDocument/2006/relationships/hyperlink" Target="https://www.stb.gov/reports-data/economic-data/employment-data/" TargetMode="External"/><Relationship Id="rId16" Type="http://schemas.openxmlformats.org/officeDocument/2006/relationships/hyperlink" Target="https://www.stb.gov/reports-data/economic-data/employment-data/" TargetMode="External"/><Relationship Id="rId20" Type="http://schemas.openxmlformats.org/officeDocument/2006/relationships/hyperlink" Target="https://www.stb.gov/reports-data/economic-data/employment-data/" TargetMode="External"/><Relationship Id="rId29" Type="http://schemas.openxmlformats.org/officeDocument/2006/relationships/hyperlink" Target="https://www.stb.gov/reports-data/economic-data/employment-data/" TargetMode="External"/><Relationship Id="rId41" Type="http://schemas.openxmlformats.org/officeDocument/2006/relationships/hyperlink" Target="https://www.stb.gov/reports-data/economic-data/employment-data/" TargetMode="External"/><Relationship Id="rId1" Type="http://schemas.openxmlformats.org/officeDocument/2006/relationships/hyperlink" Target="https://www.stb.gov/reports-data/economic-data/employment-data/" TargetMode="External"/><Relationship Id="rId6" Type="http://schemas.openxmlformats.org/officeDocument/2006/relationships/hyperlink" Target="https://www.stb.gov/reports-data/economic-data/employment-data/" TargetMode="External"/><Relationship Id="rId11" Type="http://schemas.openxmlformats.org/officeDocument/2006/relationships/hyperlink" Target="https://www.stb.gov/reports-data/economic-data/employment-data/" TargetMode="External"/><Relationship Id="rId24" Type="http://schemas.openxmlformats.org/officeDocument/2006/relationships/hyperlink" Target="https://www.stb.gov/reports-data/economic-data/employment-data/" TargetMode="External"/><Relationship Id="rId32" Type="http://schemas.openxmlformats.org/officeDocument/2006/relationships/hyperlink" Target="https://www.stb.gov/reports-data/economic-data/employment-data/" TargetMode="External"/><Relationship Id="rId37" Type="http://schemas.openxmlformats.org/officeDocument/2006/relationships/hyperlink" Target="https://www.stb.gov/reports-data/economic-data/employment-data/" TargetMode="External"/><Relationship Id="rId40" Type="http://schemas.openxmlformats.org/officeDocument/2006/relationships/hyperlink" Target="https://www.stb.gov/reports-data/economic-data/employment-data/" TargetMode="External"/><Relationship Id="rId5" Type="http://schemas.openxmlformats.org/officeDocument/2006/relationships/hyperlink" Target="https://www.stb.gov/reports-data/economic-data/employment-data/" TargetMode="External"/><Relationship Id="rId15" Type="http://schemas.openxmlformats.org/officeDocument/2006/relationships/hyperlink" Target="https://www.stb.gov/reports-data/economic-data/employment-data/" TargetMode="External"/><Relationship Id="rId23" Type="http://schemas.openxmlformats.org/officeDocument/2006/relationships/hyperlink" Target="https://www.stb.gov/reports-data/economic-data/employment-data/" TargetMode="External"/><Relationship Id="rId28" Type="http://schemas.openxmlformats.org/officeDocument/2006/relationships/hyperlink" Target="https://www.stb.gov/reports-data/economic-data/employment-data/" TargetMode="External"/><Relationship Id="rId36" Type="http://schemas.openxmlformats.org/officeDocument/2006/relationships/hyperlink" Target="https://www.stb.gov/reports-data/economic-data/employment-data/" TargetMode="External"/><Relationship Id="rId10" Type="http://schemas.openxmlformats.org/officeDocument/2006/relationships/hyperlink" Target="https://www.stb.gov/reports-data/economic-data/employment-data/" TargetMode="External"/><Relationship Id="rId19" Type="http://schemas.openxmlformats.org/officeDocument/2006/relationships/hyperlink" Target="https://www.stb.gov/reports-data/economic-data/employment-data/" TargetMode="External"/><Relationship Id="rId31" Type="http://schemas.openxmlformats.org/officeDocument/2006/relationships/hyperlink" Target="https://www.stb.gov/reports-data/economic-data/employment-data/" TargetMode="External"/><Relationship Id="rId4" Type="http://schemas.openxmlformats.org/officeDocument/2006/relationships/hyperlink" Target="https://www.stb.gov/reports-data/economic-data/employment-data/" TargetMode="External"/><Relationship Id="rId9" Type="http://schemas.openxmlformats.org/officeDocument/2006/relationships/hyperlink" Target="https://www.stb.gov/reports-data/economic-data/employment-data/" TargetMode="External"/><Relationship Id="rId14" Type="http://schemas.openxmlformats.org/officeDocument/2006/relationships/hyperlink" Target="https://www.stb.gov/reports-data/economic-data/employment-data/" TargetMode="External"/><Relationship Id="rId22" Type="http://schemas.openxmlformats.org/officeDocument/2006/relationships/hyperlink" Target="https://www.stb.gov/reports-data/economic-data/employment-data/" TargetMode="External"/><Relationship Id="rId27" Type="http://schemas.openxmlformats.org/officeDocument/2006/relationships/hyperlink" Target="https://www.stb.gov/reports-data/economic-data/employment-data/" TargetMode="External"/><Relationship Id="rId30" Type="http://schemas.openxmlformats.org/officeDocument/2006/relationships/hyperlink" Target="https://www.stb.gov/reports-data/economic-data/employment-data/" TargetMode="External"/><Relationship Id="rId35" Type="http://schemas.openxmlformats.org/officeDocument/2006/relationships/hyperlink" Target="https://www.stb.gov/reports-data/economic-data/employment-data/" TargetMode="External"/><Relationship Id="rId43" Type="http://schemas.openxmlformats.org/officeDocument/2006/relationships/comments" Target="../comments4.xml"/><Relationship Id="rId8" Type="http://schemas.openxmlformats.org/officeDocument/2006/relationships/hyperlink" Target="https://www.stb.gov/reports-data/economic-data/employment-data/" TargetMode="External"/><Relationship Id="rId3" Type="http://schemas.openxmlformats.org/officeDocument/2006/relationships/hyperlink" Target="https://www.stb.gov/reports-data/economic-data/employment-data/" TargetMode="External"/><Relationship Id="rId12" Type="http://schemas.openxmlformats.org/officeDocument/2006/relationships/hyperlink" Target="https://www.stb.gov/reports-data/economic-data/employment-data/" TargetMode="External"/><Relationship Id="rId17" Type="http://schemas.openxmlformats.org/officeDocument/2006/relationships/hyperlink" Target="https://www.stb.gov/reports-data/economic-data/employment-data/" TargetMode="External"/><Relationship Id="rId25" Type="http://schemas.openxmlformats.org/officeDocument/2006/relationships/hyperlink" Target="https://www.stb.gov/reports-data/economic-data/employment-data/" TargetMode="External"/><Relationship Id="rId33" Type="http://schemas.openxmlformats.org/officeDocument/2006/relationships/hyperlink" Target="https://www.stb.gov/reports-data/economic-data/employment-data/" TargetMode="External"/><Relationship Id="rId38" Type="http://schemas.openxmlformats.org/officeDocument/2006/relationships/hyperlink" Target="https://www.stb.gov/reports-data/economic-data/employment-data/"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7"/>
  <sheetViews>
    <sheetView workbookViewId="0"/>
  </sheetViews>
  <sheetFormatPr defaultRowHeight="14.25" x14ac:dyDescent="0.45"/>
  <sheetData>
    <row r="1" spans="1:2" x14ac:dyDescent="0.45">
      <c r="B1" t="s">
        <v>221</v>
      </c>
    </row>
    <row r="2" spans="1:2" x14ac:dyDescent="0.45"/>
    <row r="3" spans="1:2" x14ac:dyDescent="0.45"/>
    <row r="4" spans="1:2" x14ac:dyDescent="0.45"/>
    <row r="5" spans="1:2" x14ac:dyDescent="0.45"/>
    <row r="6" spans="1:2" x14ac:dyDescent="0.45"/>
    <row r="7" spans="1:2" x14ac:dyDescent="0.45"/>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00000"/>
    <pageSetUpPr fitToPage="1"/>
  </sheetPr>
  <dimension ref="A1:L200"/>
  <sheetViews>
    <sheetView showGridLines="0" topLeftCell="A6" zoomScale="70" zoomScaleNormal="70" zoomScaleSheetLayoutView="85" workbookViewId="0"/>
  </sheetViews>
  <sheetFormatPr defaultColWidth="9.1328125" defaultRowHeight="12.4" x14ac:dyDescent="0.3"/>
  <cols>
    <col min="1" max="1" width="2.73046875" style="3" customWidth="1"/>
    <col min="2" max="2" width="0.59765625" style="3" customWidth="1"/>
    <col min="3" max="3" width="29.265625" style="3" customWidth="1"/>
    <col min="4" max="4" width="2.73046875" style="3" customWidth="1"/>
    <col min="5" max="5" width="29.265625" style="3" customWidth="1"/>
    <col min="6" max="6" width="2.73046875" style="3" customWidth="1"/>
    <col min="7" max="7" width="29.265625" style="3" customWidth="1"/>
    <col min="8" max="8" width="2.73046875" style="3" customWidth="1"/>
    <col min="9" max="9" width="29.265625" style="3" customWidth="1"/>
    <col min="10" max="10" width="2.73046875" style="3" customWidth="1"/>
    <col min="11" max="11" width="29.265625" style="3" customWidth="1"/>
    <col min="12" max="12" width="2.73046875" style="3" customWidth="1"/>
    <col min="13" max="16384" width="9.1328125" style="4"/>
  </cols>
  <sheetData>
    <row r="1" spans="2:12" s="3" customFormat="1" x14ac:dyDescent="0.3"/>
    <row r="2" spans="2:12" s="3" customFormat="1" x14ac:dyDescent="0.3"/>
    <row r="3" spans="2:12" s="3" customFormat="1" ht="3" customHeight="1" x14ac:dyDescent="0.3"/>
    <row r="5" spans="2:12" ht="29.65" x14ac:dyDescent="0.75">
      <c r="B5" s="5"/>
      <c r="C5" s="6" t="s">
        <v>272</v>
      </c>
      <c r="E5" s="7"/>
      <c r="G5" s="7"/>
      <c r="I5" s="7"/>
      <c r="K5" s="7"/>
    </row>
    <row r="6" spans="2:12" ht="48.95" customHeight="1" x14ac:dyDescent="0.35">
      <c r="C6" s="8"/>
      <c r="E6" s="9"/>
      <c r="G6" s="9"/>
      <c r="I6" s="9"/>
      <c r="K6" s="9"/>
    </row>
    <row r="7" spans="2:12" ht="16.5" x14ac:dyDescent="0.45">
      <c r="C7" s="10" t="s">
        <v>273</v>
      </c>
      <c r="E7" s="11"/>
      <c r="G7" s="11"/>
      <c r="I7" s="11"/>
      <c r="K7" s="11"/>
    </row>
    <row r="8" spans="2:12" ht="16.5" x14ac:dyDescent="0.45">
      <c r="C8" s="12" t="s">
        <v>274</v>
      </c>
      <c r="E8" s="9"/>
      <c r="G8" s="9"/>
      <c r="I8" s="9"/>
      <c r="K8" s="9"/>
    </row>
    <row r="9" spans="2:12" ht="16.5" x14ac:dyDescent="0.45">
      <c r="C9" s="13">
        <v>46044</v>
      </c>
      <c r="E9" s="9"/>
      <c r="G9" s="9"/>
      <c r="I9" s="9"/>
      <c r="K9" s="9"/>
    </row>
    <row r="10" spans="2:12" s="3" customFormat="1" ht="3" customHeight="1" x14ac:dyDescent="0.3"/>
    <row r="11" spans="2:12" s="3" customFormat="1" x14ac:dyDescent="0.3"/>
    <row r="12" spans="2:12" s="3" customFormat="1" ht="31.9" x14ac:dyDescent="0.8">
      <c r="C12" s="14" t="s">
        <v>224</v>
      </c>
      <c r="E12" s="15"/>
      <c r="G12" s="15"/>
      <c r="I12" s="15"/>
      <c r="K12" s="15"/>
    </row>
    <row r="13" spans="2:12" s="3" customFormat="1" x14ac:dyDescent="0.3">
      <c r="C13" s="16"/>
      <c r="E13" s="16"/>
      <c r="G13" s="16"/>
      <c r="I13" s="16"/>
      <c r="K13" s="16"/>
    </row>
    <row r="14" spans="2:12" s="3" customFormat="1" x14ac:dyDescent="0.3"/>
    <row r="15" spans="2:12" ht="3" customHeight="1" x14ac:dyDescent="0.3">
      <c r="B15" s="17"/>
      <c r="C15" s="17"/>
      <c r="D15" s="17"/>
      <c r="E15" s="17"/>
      <c r="F15" s="17"/>
      <c r="G15" s="17"/>
      <c r="H15" s="17"/>
      <c r="I15" s="17"/>
      <c r="J15" s="17"/>
      <c r="K15" s="17"/>
      <c r="L15" s="17"/>
    </row>
    <row r="16" spans="2:12" s="3" customFormat="1" x14ac:dyDescent="0.3"/>
    <row r="17" spans="3:11" s="3" customFormat="1" ht="16.5" x14ac:dyDescent="0.45">
      <c r="C17" s="18" t="s">
        <v>275</v>
      </c>
      <c r="E17" s="19"/>
      <c r="G17" s="19"/>
      <c r="I17" s="19"/>
      <c r="K17" s="19"/>
    </row>
    <row r="18" spans="3:11" s="3" customFormat="1" x14ac:dyDescent="0.3"/>
    <row r="19" spans="3:11" s="3" customFormat="1" ht="13.5" x14ac:dyDescent="0.35">
      <c r="C19" s="30" t="s">
        <v>492</v>
      </c>
    </row>
    <row r="20" spans="3:11" s="3" customFormat="1" x14ac:dyDescent="0.3">
      <c r="C20" s="20" t="s">
        <v>534</v>
      </c>
    </row>
    <row r="21" spans="3:11" s="3" customFormat="1" x14ac:dyDescent="0.3">
      <c r="C21" s="32" t="s">
        <v>535</v>
      </c>
    </row>
    <row r="22" spans="3:11" s="3" customFormat="1" ht="12.75" x14ac:dyDescent="0.35">
      <c r="C22" s="29" t="s">
        <v>493</v>
      </c>
    </row>
    <row r="23" spans="3:11" s="3" customFormat="1" x14ac:dyDescent="0.3"/>
    <row r="24" spans="3:11" s="3" customFormat="1" x14ac:dyDescent="0.3"/>
    <row r="25" spans="3:11" s="3" customFormat="1" ht="13.5" x14ac:dyDescent="0.35">
      <c r="C25" s="30" t="s">
        <v>531</v>
      </c>
      <c r="D25" s="31"/>
      <c r="E25" s="30" t="s">
        <v>271</v>
      </c>
      <c r="F25" s="31"/>
      <c r="G25" s="30" t="s">
        <v>528</v>
      </c>
      <c r="H25" s="31"/>
      <c r="I25" s="30"/>
    </row>
    <row r="26" spans="3:11" s="3" customFormat="1" ht="12.75" x14ac:dyDescent="0.35">
      <c r="C26" s="20" t="s">
        <v>536</v>
      </c>
      <c r="D26" s="31"/>
      <c r="E26" s="20" t="s">
        <v>536</v>
      </c>
      <c r="F26" s="31"/>
      <c r="G26" s="20" t="s">
        <v>536</v>
      </c>
      <c r="H26" s="31"/>
      <c r="I26" s="20"/>
    </row>
    <row r="27" spans="3:11" s="3" customFormat="1" ht="12.75" x14ac:dyDescent="0.35">
      <c r="C27" s="21" t="s">
        <v>532</v>
      </c>
      <c r="D27" s="31"/>
      <c r="E27" s="21" t="s">
        <v>276</v>
      </c>
      <c r="F27" s="31"/>
      <c r="G27" s="21" t="s">
        <v>529</v>
      </c>
      <c r="H27" s="31"/>
      <c r="I27" s="21"/>
    </row>
    <row r="28" spans="3:11" s="3" customFormat="1" ht="12.75" x14ac:dyDescent="0.35">
      <c r="C28" s="29" t="s">
        <v>533</v>
      </c>
      <c r="D28" s="22"/>
      <c r="E28" s="29" t="s">
        <v>277</v>
      </c>
      <c r="F28" s="22"/>
      <c r="G28" s="29" t="s">
        <v>530</v>
      </c>
      <c r="H28" s="22"/>
      <c r="I28" s="33"/>
    </row>
    <row r="29" spans="3:11" s="3" customFormat="1" x14ac:dyDescent="0.3">
      <c r="C29" s="23"/>
      <c r="D29" s="22"/>
      <c r="E29" s="23"/>
      <c r="F29" s="22"/>
      <c r="G29" s="23"/>
      <c r="H29" s="22"/>
      <c r="I29" s="22"/>
    </row>
    <row r="30" spans="3:11" s="3" customFormat="1" x14ac:dyDescent="0.3">
      <c r="C30" s="24"/>
      <c r="D30" s="25"/>
      <c r="E30" s="24"/>
      <c r="F30" s="25"/>
      <c r="G30" s="24"/>
      <c r="H30" s="25"/>
      <c r="I30" s="25"/>
    </row>
    <row r="31" spans="3:11" s="3" customFormat="1" x14ac:dyDescent="0.3">
      <c r="D31" s="25"/>
      <c r="E31" s="24"/>
      <c r="F31" s="25"/>
      <c r="G31" s="24"/>
      <c r="H31" s="25"/>
      <c r="I31" s="25"/>
    </row>
    <row r="32" spans="3:11" s="3" customFormat="1" ht="13.5" x14ac:dyDescent="0.3">
      <c r="C32" s="26" t="s">
        <v>278</v>
      </c>
      <c r="D32" s="25"/>
      <c r="E32" s="24"/>
      <c r="F32" s="25"/>
      <c r="G32" s="24"/>
      <c r="H32" s="25"/>
      <c r="I32" s="25"/>
    </row>
    <row r="33" spans="3:9" s="3" customFormat="1" x14ac:dyDescent="0.3">
      <c r="C33" s="24"/>
      <c r="D33" s="25"/>
      <c r="E33" s="24"/>
      <c r="F33" s="25"/>
      <c r="G33" s="24"/>
      <c r="H33" s="25"/>
      <c r="I33" s="25"/>
    </row>
    <row r="34" spans="3:9" s="3" customFormat="1" x14ac:dyDescent="0.3">
      <c r="C34" s="24"/>
      <c r="D34" s="25"/>
      <c r="E34" s="24"/>
      <c r="F34" s="25"/>
      <c r="G34" s="24"/>
      <c r="H34" s="25"/>
      <c r="I34" s="25"/>
    </row>
    <row r="35" spans="3:9" s="3" customFormat="1" x14ac:dyDescent="0.3">
      <c r="C35" s="24"/>
      <c r="D35" s="25"/>
      <c r="E35" s="24"/>
      <c r="F35" s="25"/>
      <c r="G35" s="24"/>
      <c r="H35" s="25"/>
      <c r="I35" s="25"/>
    </row>
    <row r="36" spans="3:9" s="3" customFormat="1" x14ac:dyDescent="0.3">
      <c r="C36" s="24"/>
      <c r="D36" s="25"/>
      <c r="E36" s="24"/>
      <c r="F36" s="25"/>
      <c r="G36" s="24"/>
      <c r="H36" s="25"/>
      <c r="I36" s="25"/>
    </row>
    <row r="37" spans="3:9" s="3" customFormat="1" x14ac:dyDescent="0.3">
      <c r="D37" s="27"/>
      <c r="E37" s="28"/>
      <c r="F37" s="25"/>
      <c r="G37" s="24"/>
      <c r="H37" s="25"/>
      <c r="I37" s="25"/>
    </row>
    <row r="38" spans="3:9" s="3" customFormat="1" x14ac:dyDescent="0.3">
      <c r="C38" s="24"/>
      <c r="D38" s="25"/>
      <c r="E38" s="24"/>
      <c r="F38" s="25"/>
      <c r="G38" s="24"/>
      <c r="H38" s="25"/>
      <c r="I38" s="25"/>
    </row>
    <row r="39" spans="3:9" s="3" customFormat="1" x14ac:dyDescent="0.3">
      <c r="C39" s="24"/>
      <c r="D39" s="25"/>
      <c r="E39" s="24"/>
      <c r="F39" s="25"/>
      <c r="G39" s="24"/>
      <c r="H39" s="25"/>
      <c r="I39" s="25"/>
    </row>
    <row r="40" spans="3:9" s="3" customFormat="1" x14ac:dyDescent="0.3">
      <c r="C40" s="24"/>
      <c r="D40" s="25"/>
      <c r="E40" s="24"/>
      <c r="F40" s="25"/>
      <c r="G40" s="24"/>
      <c r="H40" s="25"/>
      <c r="I40" s="25"/>
    </row>
    <row r="41" spans="3:9" s="3" customFormat="1" x14ac:dyDescent="0.3">
      <c r="C41" s="24"/>
      <c r="D41" s="25"/>
      <c r="E41" s="24"/>
      <c r="F41" s="25"/>
      <c r="G41" s="24"/>
      <c r="H41" s="25"/>
      <c r="I41" s="25"/>
    </row>
    <row r="42" spans="3:9" s="3" customFormat="1" x14ac:dyDescent="0.3">
      <c r="C42" s="24"/>
      <c r="D42" s="25"/>
      <c r="E42" s="24"/>
      <c r="F42" s="25"/>
      <c r="G42" s="24"/>
      <c r="H42" s="25"/>
      <c r="I42" s="25"/>
    </row>
    <row r="43" spans="3:9" s="3" customFormat="1" x14ac:dyDescent="0.3">
      <c r="C43" s="24"/>
      <c r="D43" s="25"/>
      <c r="E43" s="24"/>
      <c r="F43" s="25"/>
      <c r="G43" s="24"/>
      <c r="H43" s="25"/>
      <c r="I43" s="25"/>
    </row>
    <row r="44" spans="3:9" s="3" customFormat="1" x14ac:dyDescent="0.3">
      <c r="C44" s="24"/>
      <c r="D44" s="25"/>
      <c r="E44" s="24"/>
      <c r="F44" s="25"/>
      <c r="G44" s="24"/>
      <c r="H44" s="25"/>
      <c r="I44" s="25"/>
    </row>
    <row r="45" spans="3:9" s="3" customFormat="1" x14ac:dyDescent="0.3">
      <c r="C45" s="24"/>
      <c r="D45" s="25"/>
      <c r="E45" s="24"/>
      <c r="F45" s="25"/>
      <c r="G45" s="24"/>
      <c r="H45" s="25"/>
      <c r="I45" s="25"/>
    </row>
    <row r="46" spans="3:9" s="3" customFormat="1" x14ac:dyDescent="0.3">
      <c r="C46" s="24"/>
      <c r="D46" s="25"/>
      <c r="E46" s="24"/>
      <c r="F46" s="25"/>
      <c r="G46" s="24"/>
      <c r="H46" s="25"/>
      <c r="I46" s="25"/>
    </row>
    <row r="47" spans="3:9" s="3" customFormat="1" x14ac:dyDescent="0.3">
      <c r="C47" s="24"/>
      <c r="D47" s="25"/>
      <c r="E47" s="24"/>
      <c r="F47" s="25"/>
      <c r="G47" s="24"/>
      <c r="H47" s="25"/>
      <c r="I47" s="25"/>
    </row>
    <row r="48" spans="3:9" s="3" customFormat="1" x14ac:dyDescent="0.3">
      <c r="C48" s="24"/>
      <c r="D48" s="25"/>
      <c r="E48" s="24"/>
      <c r="F48" s="25"/>
      <c r="G48" s="24"/>
      <c r="H48" s="25"/>
      <c r="I48" s="25"/>
    </row>
    <row r="49" spans="2:12" s="3" customFormat="1" x14ac:dyDescent="0.3">
      <c r="C49" s="24"/>
      <c r="D49" s="25"/>
      <c r="E49" s="24"/>
      <c r="F49" s="25"/>
      <c r="G49" s="24"/>
      <c r="H49" s="25"/>
      <c r="I49" s="25"/>
    </row>
    <row r="50" spans="2:12" s="3" customFormat="1" x14ac:dyDescent="0.3"/>
    <row r="51" spans="2:12" ht="3" customHeight="1" x14ac:dyDescent="0.3">
      <c r="B51" s="17"/>
      <c r="C51" s="17"/>
      <c r="D51" s="17"/>
      <c r="E51" s="17"/>
      <c r="F51" s="17"/>
      <c r="G51" s="17"/>
      <c r="H51" s="17"/>
      <c r="I51" s="17"/>
      <c r="J51" s="17"/>
      <c r="K51" s="17"/>
      <c r="L51" s="17"/>
    </row>
    <row r="52" spans="2:12" ht="3" customHeight="1" x14ac:dyDescent="0.3">
      <c r="B52" s="17"/>
      <c r="C52" s="17"/>
      <c r="D52" s="17"/>
      <c r="E52" s="17"/>
      <c r="F52" s="17"/>
      <c r="G52" s="17"/>
      <c r="H52" s="17"/>
      <c r="I52" s="17"/>
      <c r="J52" s="17"/>
      <c r="K52" s="17"/>
      <c r="L52" s="17"/>
    </row>
    <row r="53" spans="2:12" s="3" customFormat="1" x14ac:dyDescent="0.3"/>
    <row r="54" spans="2:12" s="3" customFormat="1" x14ac:dyDescent="0.3"/>
    <row r="55" spans="2:12" s="3" customFormat="1" x14ac:dyDescent="0.3"/>
    <row r="56" spans="2:12" s="3" customFormat="1" x14ac:dyDescent="0.3">
      <c r="C56" s="1"/>
    </row>
    <row r="57" spans="2:12" s="3" customFormat="1" x14ac:dyDescent="0.3">
      <c r="C57" s="1"/>
    </row>
    <row r="58" spans="2:12" s="3" customFormat="1" x14ac:dyDescent="0.3">
      <c r="C58" s="34" t="s">
        <v>537</v>
      </c>
    </row>
    <row r="59" spans="2:12" s="3" customFormat="1" x14ac:dyDescent="0.3"/>
    <row r="60" spans="2:12" s="3" customFormat="1" x14ac:dyDescent="0.3"/>
    <row r="61" spans="2:12" s="3" customFormat="1" x14ac:dyDescent="0.3"/>
    <row r="62" spans="2:12" s="3" customFormat="1" x14ac:dyDescent="0.3"/>
    <row r="63" spans="2:12" s="3" customFormat="1" x14ac:dyDescent="0.3"/>
    <row r="64" spans="2:12" s="3" customFormat="1" x14ac:dyDescent="0.3"/>
    <row r="65" s="3" customFormat="1" x14ac:dyDescent="0.3"/>
    <row r="66" s="3" customFormat="1" x14ac:dyDescent="0.3"/>
    <row r="67" s="3" customFormat="1" x14ac:dyDescent="0.3"/>
    <row r="68" s="3" customFormat="1" x14ac:dyDescent="0.3"/>
    <row r="69" s="3" customFormat="1" x14ac:dyDescent="0.3"/>
    <row r="70" s="3" customFormat="1" x14ac:dyDescent="0.3"/>
    <row r="71" s="3" customFormat="1" x14ac:dyDescent="0.3"/>
    <row r="72" s="3" customFormat="1" x14ac:dyDescent="0.3"/>
    <row r="73" s="3" customFormat="1" x14ac:dyDescent="0.3"/>
    <row r="74" s="3" customFormat="1" x14ac:dyDescent="0.3"/>
    <row r="75" s="3" customFormat="1" x14ac:dyDescent="0.3"/>
    <row r="76" s="3" customFormat="1" x14ac:dyDescent="0.3"/>
    <row r="77" s="3" customFormat="1" x14ac:dyDescent="0.3"/>
    <row r="78" s="3" customFormat="1" x14ac:dyDescent="0.3"/>
    <row r="79" s="3" customFormat="1" x14ac:dyDescent="0.3"/>
    <row r="80" s="3" customFormat="1" x14ac:dyDescent="0.3"/>
    <row r="81" s="3" customFormat="1" x14ac:dyDescent="0.3"/>
    <row r="82" s="3" customFormat="1" x14ac:dyDescent="0.3"/>
    <row r="83" s="3" customFormat="1" x14ac:dyDescent="0.3"/>
    <row r="84" s="3" customFormat="1" x14ac:dyDescent="0.3"/>
    <row r="85" s="3" customFormat="1" x14ac:dyDescent="0.3"/>
    <row r="86" s="3" customFormat="1" x14ac:dyDescent="0.3"/>
    <row r="87" s="3" customFormat="1" x14ac:dyDescent="0.3"/>
    <row r="88" s="3" customFormat="1" x14ac:dyDescent="0.3"/>
    <row r="89" s="3" customFormat="1" x14ac:dyDescent="0.3"/>
    <row r="90" s="3" customFormat="1" x14ac:dyDescent="0.3"/>
    <row r="91" s="3" customFormat="1" x14ac:dyDescent="0.3"/>
    <row r="92" s="3" customFormat="1" x14ac:dyDescent="0.3"/>
    <row r="93" s="3" customFormat="1" x14ac:dyDescent="0.3"/>
    <row r="94" s="3" customFormat="1" x14ac:dyDescent="0.3"/>
    <row r="95" s="3" customFormat="1" x14ac:dyDescent="0.3"/>
    <row r="96" s="3" customFormat="1" x14ac:dyDescent="0.3"/>
    <row r="97" s="3" customFormat="1" x14ac:dyDescent="0.3"/>
    <row r="98" s="3" customFormat="1" x14ac:dyDescent="0.3"/>
    <row r="99" s="3" customFormat="1" x14ac:dyDescent="0.3"/>
    <row r="100" s="3" customFormat="1" x14ac:dyDescent="0.3"/>
    <row r="101" s="3" customFormat="1" x14ac:dyDescent="0.3"/>
    <row r="102" s="3" customFormat="1" x14ac:dyDescent="0.3"/>
    <row r="103" s="3" customFormat="1" x14ac:dyDescent="0.3"/>
    <row r="104" s="3" customFormat="1" x14ac:dyDescent="0.3"/>
    <row r="105" s="3" customFormat="1" x14ac:dyDescent="0.3"/>
    <row r="106" s="3" customFormat="1" x14ac:dyDescent="0.3"/>
    <row r="107" s="3" customFormat="1" x14ac:dyDescent="0.3"/>
    <row r="108" s="3" customFormat="1" x14ac:dyDescent="0.3"/>
    <row r="109" s="3" customFormat="1" x14ac:dyDescent="0.3"/>
    <row r="110" s="3" customFormat="1" x14ac:dyDescent="0.3"/>
    <row r="111" s="3" customFormat="1" x14ac:dyDescent="0.3"/>
    <row r="112" s="3" customFormat="1" x14ac:dyDescent="0.3"/>
    <row r="113" s="3" customFormat="1" x14ac:dyDescent="0.3"/>
    <row r="114" s="3" customFormat="1" x14ac:dyDescent="0.3"/>
    <row r="115" s="3" customFormat="1" x14ac:dyDescent="0.3"/>
    <row r="116" s="3" customFormat="1" x14ac:dyDescent="0.3"/>
    <row r="117" s="3" customFormat="1" x14ac:dyDescent="0.3"/>
    <row r="118" s="3" customFormat="1" x14ac:dyDescent="0.3"/>
    <row r="119" s="3" customFormat="1" x14ac:dyDescent="0.3"/>
    <row r="120" s="3" customFormat="1" x14ac:dyDescent="0.3"/>
    <row r="121" s="3" customFormat="1" x14ac:dyDescent="0.3"/>
    <row r="122" s="3" customFormat="1" x14ac:dyDescent="0.3"/>
    <row r="123" s="3" customFormat="1" x14ac:dyDescent="0.3"/>
    <row r="124" s="3" customFormat="1" x14ac:dyDescent="0.3"/>
    <row r="125" s="3" customFormat="1" x14ac:dyDescent="0.3"/>
    <row r="126" s="3" customFormat="1" x14ac:dyDescent="0.3"/>
    <row r="127" s="3" customFormat="1" x14ac:dyDescent="0.3"/>
    <row r="128" s="3" customFormat="1" x14ac:dyDescent="0.3"/>
    <row r="129" s="3" customFormat="1" x14ac:dyDescent="0.3"/>
    <row r="130" s="3" customFormat="1" x14ac:dyDescent="0.3"/>
    <row r="131" s="3" customFormat="1" x14ac:dyDescent="0.3"/>
    <row r="132" s="3" customFormat="1" x14ac:dyDescent="0.3"/>
    <row r="133" s="3" customFormat="1" x14ac:dyDescent="0.3"/>
    <row r="134" s="3" customFormat="1" x14ac:dyDescent="0.3"/>
    <row r="135" s="3" customFormat="1" x14ac:dyDescent="0.3"/>
    <row r="136" s="3" customFormat="1" x14ac:dyDescent="0.3"/>
    <row r="137" s="3" customFormat="1" x14ac:dyDescent="0.3"/>
    <row r="138" s="3" customFormat="1" x14ac:dyDescent="0.3"/>
    <row r="139" s="3" customFormat="1" x14ac:dyDescent="0.3"/>
    <row r="140" s="3" customFormat="1" x14ac:dyDescent="0.3"/>
    <row r="141" s="3" customFormat="1" x14ac:dyDescent="0.3"/>
    <row r="142" s="3" customFormat="1" x14ac:dyDescent="0.3"/>
    <row r="143" s="3" customFormat="1" x14ac:dyDescent="0.3"/>
    <row r="144" s="3" customFormat="1" x14ac:dyDescent="0.3"/>
    <row r="145" s="3" customFormat="1" x14ac:dyDescent="0.3"/>
    <row r="146" s="3" customFormat="1" x14ac:dyDescent="0.3"/>
    <row r="147" s="3" customFormat="1" x14ac:dyDescent="0.3"/>
    <row r="148" s="3" customFormat="1" x14ac:dyDescent="0.3"/>
    <row r="149" s="3" customFormat="1" x14ac:dyDescent="0.3"/>
    <row r="150" s="3" customFormat="1" x14ac:dyDescent="0.3"/>
    <row r="151" s="3" customFormat="1" x14ac:dyDescent="0.3"/>
    <row r="152" s="3" customFormat="1" x14ac:dyDescent="0.3"/>
    <row r="153" s="3" customFormat="1" x14ac:dyDescent="0.3"/>
    <row r="154" s="3" customFormat="1" x14ac:dyDescent="0.3"/>
    <row r="155" s="3" customFormat="1" x14ac:dyDescent="0.3"/>
    <row r="156" s="3" customFormat="1" x14ac:dyDescent="0.3"/>
    <row r="157" s="3" customFormat="1" x14ac:dyDescent="0.3"/>
    <row r="158" s="3" customFormat="1" x14ac:dyDescent="0.3"/>
    <row r="159" s="3" customFormat="1" x14ac:dyDescent="0.3"/>
    <row r="160" s="3" customFormat="1" x14ac:dyDescent="0.3"/>
    <row r="161" s="3" customFormat="1" x14ac:dyDescent="0.3"/>
    <row r="162" s="3" customFormat="1" x14ac:dyDescent="0.3"/>
    <row r="163" s="3" customFormat="1" x14ac:dyDescent="0.3"/>
    <row r="164" s="3" customFormat="1" x14ac:dyDescent="0.3"/>
    <row r="165" s="3" customFormat="1" x14ac:dyDescent="0.3"/>
    <row r="166" s="3" customFormat="1" x14ac:dyDescent="0.3"/>
    <row r="167" s="3" customFormat="1" x14ac:dyDescent="0.3"/>
    <row r="168" s="3" customFormat="1" x14ac:dyDescent="0.3"/>
    <row r="169" s="3" customFormat="1" x14ac:dyDescent="0.3"/>
    <row r="170" s="3" customFormat="1" x14ac:dyDescent="0.3"/>
    <row r="171" s="3" customFormat="1" x14ac:dyDescent="0.3"/>
    <row r="172" s="3" customFormat="1" x14ac:dyDescent="0.3"/>
    <row r="173" s="3" customFormat="1" x14ac:dyDescent="0.3"/>
    <row r="174" s="3" customFormat="1" x14ac:dyDescent="0.3"/>
    <row r="175" s="3" customFormat="1" x14ac:dyDescent="0.3"/>
    <row r="176" s="3" customFormat="1" x14ac:dyDescent="0.3"/>
    <row r="177" s="3" customFormat="1" x14ac:dyDescent="0.3"/>
    <row r="178" s="3" customFormat="1" x14ac:dyDescent="0.3"/>
    <row r="179" s="3" customFormat="1" x14ac:dyDescent="0.3"/>
    <row r="180" s="3" customFormat="1" x14ac:dyDescent="0.3"/>
    <row r="181" s="3" customFormat="1" x14ac:dyDescent="0.3"/>
    <row r="182" s="3" customFormat="1" x14ac:dyDescent="0.3"/>
    <row r="183" s="3" customFormat="1" x14ac:dyDescent="0.3"/>
    <row r="184" s="3" customFormat="1" x14ac:dyDescent="0.3"/>
    <row r="185" s="3" customFormat="1" x14ac:dyDescent="0.3"/>
    <row r="186" s="3" customFormat="1" x14ac:dyDescent="0.3"/>
    <row r="187" s="3" customFormat="1" x14ac:dyDescent="0.3"/>
    <row r="188" s="3" customFormat="1" x14ac:dyDescent="0.3"/>
    <row r="189" s="3" customFormat="1" x14ac:dyDescent="0.3"/>
    <row r="190" s="3" customFormat="1" x14ac:dyDescent="0.3"/>
    <row r="191" s="3" customFormat="1" x14ac:dyDescent="0.3"/>
    <row r="192" s="3" customFormat="1" x14ac:dyDescent="0.3"/>
    <row r="193" s="3" customFormat="1" x14ac:dyDescent="0.3"/>
    <row r="194" s="3" customFormat="1" x14ac:dyDescent="0.3"/>
    <row r="195" s="3" customFormat="1" x14ac:dyDescent="0.3"/>
    <row r="196" s="3" customFormat="1" x14ac:dyDescent="0.3"/>
    <row r="197" s="3" customFormat="1" x14ac:dyDescent="0.3"/>
    <row r="198" s="3" customFormat="1" x14ac:dyDescent="0.3"/>
    <row r="199" s="3" customFormat="1" x14ac:dyDescent="0.3"/>
    <row r="200" s="3" customFormat="1" x14ac:dyDescent="0.3"/>
  </sheetData>
  <hyperlinks>
    <hyperlink ref="E22" r:id="rId1" display="philip.winslow@wellsfargo.com" xr:uid="{2E3065FE-7439-4112-88BB-B4A98E110853}"/>
    <hyperlink ref="G22" r:id="rId2" display="philip.winslow@wellsfargo.com" xr:uid="{366D93AF-B005-406A-8004-7A26762F1E01}"/>
    <hyperlink ref="C28" r:id="rId3" xr:uid="{8564282E-38A2-4004-9316-0CDA16CDE122}"/>
    <hyperlink ref="E28" r:id="rId4" xr:uid="{41E63614-00C6-45A2-8B2F-A49C1C0E8B36}"/>
    <hyperlink ref="G28" r:id="rId5" xr:uid="{E3AA0B57-66C0-4899-BDF1-D2C79A11033A}"/>
    <hyperlink ref="C22" r:id="rId6" xr:uid="{32AD3A20-BDF8-4430-A0E0-43D72491B511}"/>
  </hyperlinks>
  <pageMargins left="0.7" right="0.7" top="0.75" bottom="0.75" header="0.3" footer="0.3"/>
  <pageSetup scale="69" orientation="landscape" r:id="rId7"/>
  <drawing r:id="rId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00000"/>
    <pageSetUpPr fitToPage="1"/>
  </sheetPr>
  <dimension ref="A1:MK106"/>
  <sheetViews>
    <sheetView showGridLines="0" topLeftCell="KR1" zoomScale="85" zoomScaleNormal="85" zoomScaleSheetLayoutView="70" workbookViewId="0">
      <selection activeCell="KV20" sqref="KV20"/>
    </sheetView>
  </sheetViews>
  <sheetFormatPr defaultColWidth="8.73046875" defaultRowHeight="13.15" outlineLevelRow="1" outlineLevelCol="1" x14ac:dyDescent="0.4"/>
  <cols>
    <col min="1" max="1" width="3" style="35" customWidth="1"/>
    <col min="2" max="2" width="65.1328125" style="36" bestFit="1" customWidth="1"/>
    <col min="3" max="3" width="12.86328125" style="37" hidden="1" customWidth="1" outlineLevel="1"/>
    <col min="4" max="4" width="12.3984375" style="37" hidden="1" customWidth="1" outlineLevel="1"/>
    <col min="5" max="9" width="12.86328125" style="37" hidden="1" customWidth="1" outlineLevel="1"/>
    <col min="10" max="10" width="12.3984375" style="37" hidden="1" customWidth="1" outlineLevel="1"/>
    <col min="11" max="13" width="12.86328125" style="37" hidden="1" customWidth="1" outlineLevel="1"/>
    <col min="14" max="14" width="13" style="37" customWidth="1" collapsed="1"/>
    <col min="15" max="16" width="12.86328125" style="37" customWidth="1"/>
    <col min="17" max="17" width="12.3984375" style="37" customWidth="1"/>
    <col min="18" max="19" width="12.86328125" style="37" customWidth="1"/>
    <col min="20" max="22" width="13.86328125" style="37" customWidth="1"/>
    <col min="23" max="23" width="12.3984375" style="37" customWidth="1"/>
    <col min="24" max="24" width="13" style="37" customWidth="1"/>
    <col min="25" max="25" width="12.86328125" style="37" customWidth="1"/>
    <col min="26" max="26" width="12.1328125" style="37" customWidth="1"/>
    <col min="27" max="27" width="12.3984375" style="37" customWidth="1"/>
    <col min="28" max="29" width="12.86328125" style="37" customWidth="1"/>
    <col min="30" max="30" width="12.3984375" style="37" customWidth="1"/>
    <col min="31" max="31" width="12.86328125" style="37" bestFit="1" customWidth="1"/>
    <col min="32" max="32" width="13.86328125" style="37" bestFit="1" customWidth="1"/>
    <col min="33" max="33" width="13.3984375" style="37" bestFit="1" customWidth="1"/>
    <col min="34" max="34" width="12.86328125" style="37" bestFit="1" customWidth="1"/>
    <col min="35" max="35" width="13.86328125" style="37" bestFit="1" customWidth="1"/>
    <col min="36" max="37" width="13.3984375" style="37" bestFit="1" customWidth="1"/>
    <col min="38" max="39" width="13.86328125" style="37" bestFit="1" customWidth="1"/>
    <col min="40" max="40" width="12.86328125" style="37" bestFit="1" customWidth="1"/>
    <col min="41" max="42" width="13.3984375" style="37" bestFit="1" customWidth="1"/>
    <col min="43" max="43" width="13.86328125" style="37" bestFit="1" customWidth="1"/>
    <col min="44" max="44" width="13.3984375" style="37" bestFit="1" customWidth="1"/>
    <col min="45" max="51" width="13.86328125" style="37" bestFit="1" customWidth="1"/>
    <col min="52" max="53" width="13.86328125" style="37" customWidth="1"/>
    <col min="54" max="67" width="11.59765625" style="37" hidden="1" customWidth="1" outlineLevel="1"/>
    <col min="68" max="68" width="6.265625" style="37" customWidth="1" collapsed="1"/>
    <col min="69" max="69" width="65.1328125" style="36" bestFit="1" customWidth="1"/>
    <col min="70" max="74" width="11.59765625" style="37" customWidth="1" outlineLevel="1"/>
    <col min="75" max="75" width="6.265625" style="37" customWidth="1"/>
    <col min="76" max="76" width="65.1328125" style="36" bestFit="1" customWidth="1"/>
    <col min="77" max="81" width="11.59765625" style="37" customWidth="1" outlineLevel="1"/>
    <col min="82" max="82" width="6.265625" style="37" customWidth="1"/>
    <col min="83" max="83" width="65.1328125" style="36" bestFit="1" customWidth="1"/>
    <col min="84" max="88" width="11.59765625" style="37" customWidth="1" outlineLevel="1"/>
    <col min="89" max="89" width="6.265625" style="37" customWidth="1"/>
    <col min="90" max="90" width="65.1328125" style="36" bestFit="1" customWidth="1"/>
    <col min="91" max="95" width="11.59765625" style="37" customWidth="1" outlineLevel="1"/>
    <col min="96" max="96" width="6.265625" style="37" customWidth="1"/>
    <col min="97" max="97" width="65.1328125" style="36" bestFit="1" customWidth="1"/>
    <col min="98" max="102" width="11.59765625" style="37" customWidth="1" outlineLevel="1"/>
    <col min="103" max="103" width="6.265625" style="37" customWidth="1"/>
    <col min="104" max="104" width="65.1328125" style="36" bestFit="1" customWidth="1"/>
    <col min="105" max="109" width="11.59765625" style="37" customWidth="1" outlineLevel="1"/>
    <col min="110" max="110" width="6.265625" style="37" customWidth="1"/>
    <col min="111" max="111" width="65.1328125" style="36" bestFit="1" customWidth="1"/>
    <col min="112" max="116" width="11.59765625" style="37" customWidth="1" outlineLevel="1"/>
    <col min="117" max="117" width="6.265625" style="37" customWidth="1"/>
    <col min="118" max="118" width="65.1328125" style="36" bestFit="1" customWidth="1"/>
    <col min="119" max="123" width="11.59765625" style="37" customWidth="1" outlineLevel="1"/>
    <col min="124" max="124" width="6.265625" style="37" customWidth="1"/>
    <col min="125" max="125" width="65.1328125" style="36" bestFit="1" customWidth="1"/>
    <col min="126" max="130" width="11.59765625" style="37" customWidth="1" outlineLevel="1"/>
    <col min="131" max="131" width="6.265625" style="37" customWidth="1"/>
    <col min="132" max="132" width="65.1328125" style="36" bestFit="1" customWidth="1"/>
    <col min="133" max="137" width="11.59765625" style="37" customWidth="1" outlineLevel="1"/>
    <col min="138" max="138" width="6.265625" style="37" customWidth="1"/>
    <col min="139" max="139" width="65.1328125" style="36" bestFit="1" customWidth="1"/>
    <col min="140" max="144" width="11.59765625" style="37" customWidth="1" outlineLevel="1"/>
    <col min="145" max="145" width="6.265625" style="37" customWidth="1"/>
    <col min="146" max="146" width="65.1328125" style="36" bestFit="1" customWidth="1"/>
    <col min="147" max="151" width="11.59765625" style="37" customWidth="1" outlineLevel="1"/>
    <col min="152" max="152" width="6.265625" style="37" customWidth="1"/>
    <col min="153" max="153" width="65.1328125" style="36" bestFit="1" customWidth="1"/>
    <col min="154" max="158" width="11.59765625" style="37" customWidth="1" outlineLevel="1"/>
    <col min="159" max="159" width="6.265625" style="37" customWidth="1"/>
    <col min="160" max="160" width="65.1328125" style="36" bestFit="1" customWidth="1"/>
    <col min="161" max="165" width="11.59765625" style="37" customWidth="1" outlineLevel="1"/>
    <col min="166" max="166" width="6.265625" style="37" customWidth="1"/>
    <col min="167" max="167" width="65.1328125" style="36" bestFit="1" customWidth="1"/>
    <col min="168" max="172" width="11.59765625" style="37" customWidth="1" outlineLevel="1"/>
    <col min="173" max="173" width="6.265625" style="37" customWidth="1"/>
    <col min="174" max="174" width="65.1328125" style="36" bestFit="1" customWidth="1"/>
    <col min="175" max="179" width="11.59765625" style="37" customWidth="1" outlineLevel="1"/>
    <col min="180" max="180" width="6.265625" style="37" customWidth="1"/>
    <col min="181" max="181" width="65.1328125" style="36" bestFit="1" customWidth="1"/>
    <col min="182" max="186" width="11.59765625" style="37" customWidth="1" outlineLevel="1"/>
    <col min="187" max="187" width="6.265625" style="37" customWidth="1"/>
    <col min="188" max="188" width="65.1328125" style="36" bestFit="1" customWidth="1"/>
    <col min="189" max="193" width="11.59765625" style="37" customWidth="1" outlineLevel="1"/>
    <col min="194" max="194" width="6.265625" style="37" customWidth="1"/>
    <col min="195" max="195" width="65.1328125" style="36" bestFit="1" customWidth="1"/>
    <col min="196" max="200" width="11.59765625" style="37" customWidth="1" outlineLevel="1"/>
    <col min="201" max="201" width="6.265625" style="37" customWidth="1"/>
    <col min="202" max="202" width="65.1328125" style="36" bestFit="1" customWidth="1"/>
    <col min="203" max="207" width="11.59765625" style="37" customWidth="1" outlineLevel="1"/>
    <col min="208" max="208" width="6.265625" style="37" customWidth="1"/>
    <col min="209" max="209" width="65.1328125" style="36" bestFit="1" customWidth="1"/>
    <col min="210" max="214" width="11.59765625" style="37" customWidth="1" outlineLevel="1"/>
    <col min="215" max="215" width="6.265625" style="37" customWidth="1"/>
    <col min="216" max="216" width="65.1328125" style="36" bestFit="1" customWidth="1"/>
    <col min="217" max="221" width="11.59765625" style="37" customWidth="1" outlineLevel="1"/>
    <col min="222" max="222" width="6.265625" style="37" customWidth="1"/>
    <col min="223" max="223" width="65.1328125" style="36" bestFit="1" customWidth="1"/>
    <col min="224" max="228" width="11.59765625" style="37" customWidth="1" outlineLevel="1"/>
    <col min="229" max="229" width="6.265625" style="37" customWidth="1"/>
    <col min="230" max="230" width="65.1328125" style="36" bestFit="1" customWidth="1"/>
    <col min="231" max="235" width="11.59765625" style="37" customWidth="1" outlineLevel="1"/>
    <col min="236" max="236" width="6.265625" style="37" customWidth="1"/>
    <col min="237" max="237" width="65.1328125" style="36" bestFit="1" customWidth="1"/>
    <col min="238" max="242" width="11.59765625" style="37" customWidth="1" outlineLevel="1"/>
    <col min="243" max="243" width="6.265625" style="37" customWidth="1"/>
    <col min="244" max="244" width="65.1328125" style="36" bestFit="1" customWidth="1"/>
    <col min="245" max="249" width="11.59765625" style="37" customWidth="1" outlineLevel="1"/>
    <col min="250" max="250" width="6.265625" style="37" customWidth="1"/>
    <col min="251" max="251" width="65.1328125" style="36" bestFit="1" customWidth="1"/>
    <col min="252" max="256" width="11.59765625" style="37" customWidth="1" outlineLevel="1"/>
    <col min="257" max="257" width="6.265625" style="37" customWidth="1"/>
    <col min="258" max="258" width="65.1328125" style="36" bestFit="1" customWidth="1"/>
    <col min="259" max="263" width="11.59765625" style="37" customWidth="1" outlineLevel="1"/>
    <col min="264" max="264" width="6.265625" style="37" customWidth="1"/>
    <col min="265" max="265" width="65.1328125" style="36" bestFit="1" customWidth="1"/>
    <col min="266" max="270" width="11.59765625" style="37" customWidth="1" outlineLevel="1"/>
    <col min="271" max="271" width="6.265625" style="37" customWidth="1"/>
    <col min="272" max="272" width="65.1328125" style="36" bestFit="1" customWidth="1"/>
    <col min="273" max="277" width="11.59765625" style="37" customWidth="1" outlineLevel="1"/>
    <col min="278" max="278" width="6.265625" style="37" customWidth="1"/>
    <col min="279" max="279" width="65.1328125" style="36" bestFit="1" customWidth="1"/>
    <col min="280" max="284" width="11.59765625" style="37" customWidth="1" outlineLevel="1"/>
    <col min="285" max="285" width="6.265625" style="37" customWidth="1"/>
    <col min="286" max="286" width="65.1328125" style="36" bestFit="1" customWidth="1"/>
    <col min="287" max="291" width="11.59765625" style="37" customWidth="1" outlineLevel="1"/>
    <col min="292" max="292" width="6.265625" style="37" customWidth="1"/>
    <col min="293" max="293" width="65.1328125" style="36" bestFit="1" customWidth="1"/>
    <col min="294" max="298" width="11.59765625" style="37" customWidth="1" outlineLevel="1"/>
    <col min="299" max="299" width="6.265625" style="37" customWidth="1"/>
    <col min="300" max="300" width="65.1328125" style="36" bestFit="1" customWidth="1"/>
    <col min="301" max="305" width="11.59765625" style="37" customWidth="1" outlineLevel="1"/>
    <col min="306" max="306" width="6.265625" style="37" customWidth="1"/>
    <col min="307" max="307" width="65.1328125" style="36" bestFit="1" customWidth="1"/>
    <col min="308" max="312" width="11.59765625" style="37" customWidth="1" outlineLevel="1"/>
    <col min="313" max="313" width="8.59765625" style="37" customWidth="1"/>
    <col min="314" max="314" width="65.1328125" style="36" bestFit="1" customWidth="1"/>
    <col min="315" max="319" width="11.59765625" style="37" customWidth="1" outlineLevel="1"/>
    <col min="320" max="320" width="11.59765625" style="565" customWidth="1" outlineLevel="1"/>
    <col min="321" max="321" width="65.1328125" style="36" bestFit="1" customWidth="1"/>
    <col min="322" max="326" width="11.59765625" style="37" customWidth="1" outlineLevel="1"/>
    <col min="327" max="327" width="11.59765625" style="565" customWidth="1" outlineLevel="1"/>
    <col min="328" max="328" width="65.1328125" style="36" bestFit="1" customWidth="1"/>
    <col min="329" max="333" width="11.59765625" style="37" customWidth="1"/>
    <col min="334" max="334" width="11.59765625" style="565" customWidth="1"/>
    <col min="335" max="335" width="65.1328125" style="36" bestFit="1" customWidth="1"/>
    <col min="336" max="340" width="11.59765625" style="37" customWidth="1"/>
    <col min="341" max="341" width="11.59765625" style="565" customWidth="1"/>
    <col min="342" max="342" width="65.1328125" style="36" bestFit="1" customWidth="1"/>
    <col min="343" max="347" width="11.59765625" style="37" customWidth="1"/>
    <col min="348" max="348" width="11.59765625" style="565" customWidth="1"/>
    <col min="349" max="16384" width="8.73046875" style="37"/>
  </cols>
  <sheetData>
    <row r="1" spans="1:348" x14ac:dyDescent="0.4">
      <c r="B1" s="36" t="s">
        <v>0</v>
      </c>
      <c r="LF1" s="217"/>
      <c r="LN1" s="623"/>
      <c r="LU1" s="648"/>
    </row>
    <row r="2" spans="1:348" x14ac:dyDescent="0.4">
      <c r="B2" s="647">
        <f>Disclaimer!$C$9</f>
        <v>46044</v>
      </c>
      <c r="AY2" s="522"/>
      <c r="BQ2" s="647"/>
      <c r="BX2" s="647"/>
      <c r="CE2" s="647"/>
      <c r="CL2" s="647"/>
      <c r="CS2" s="647"/>
      <c r="CZ2" s="647"/>
      <c r="DG2" s="647"/>
      <c r="DN2" s="647"/>
      <c r="DU2" s="647"/>
      <c r="EB2" s="647"/>
      <c r="EI2" s="647"/>
      <c r="EP2" s="647"/>
      <c r="EW2" s="647"/>
      <c r="FD2" s="647"/>
      <c r="FK2" s="647"/>
      <c r="FR2" s="647"/>
      <c r="FY2" s="647"/>
      <c r="GF2" s="647"/>
      <c r="GM2" s="647"/>
      <c r="GT2" s="647"/>
      <c r="HA2" s="647"/>
      <c r="HH2" s="647"/>
      <c r="HO2" s="647"/>
      <c r="HV2" s="647"/>
      <c r="IC2" s="647"/>
      <c r="IJ2" s="647"/>
      <c r="IQ2" s="647"/>
      <c r="IX2" s="647"/>
      <c r="JE2" s="647"/>
      <c r="JL2" s="647"/>
      <c r="JS2" s="647"/>
      <c r="JZ2" s="647"/>
      <c r="KG2" s="647"/>
      <c r="KN2" s="647"/>
      <c r="KU2" s="647"/>
      <c r="KV2" s="37">
        <f t="shared" ref="KV2:KY2" si="0">KV24*100</f>
        <v>60.955207771181861</v>
      </c>
      <c r="KW2" s="37">
        <f t="shared" si="0"/>
        <v>60.36766693701</v>
      </c>
      <c r="KX2" s="37">
        <f t="shared" si="0"/>
        <v>64.427693169092947</v>
      </c>
      <c r="KY2" s="37">
        <f t="shared" si="0"/>
        <v>64.266304347826093</v>
      </c>
      <c r="LB2" s="647"/>
      <c r="LC2" s="37">
        <f t="shared" ref="LC2:LF2" si="1">LC24*100</f>
        <v>63.678348274925291</v>
      </c>
      <c r="LD2" s="37">
        <f t="shared" si="1"/>
        <v>60.875439070521473</v>
      </c>
      <c r="LE2" s="37">
        <f t="shared" si="1"/>
        <v>62.586349820392371</v>
      </c>
      <c r="LF2" s="37">
        <f t="shared" si="1"/>
        <v>65.696524441932752</v>
      </c>
      <c r="LI2" s="647"/>
      <c r="LJ2" s="37">
        <f t="shared" ref="LJ2:LM2" si="2">LJ24*100</f>
        <v>69.58808063102542</v>
      </c>
      <c r="LK2" s="37">
        <f t="shared" si="2"/>
        <v>64.101846670397308</v>
      </c>
      <c r="LL2" s="37">
        <f t="shared" si="2"/>
        <v>64.148313353777525</v>
      </c>
      <c r="LM2" s="37">
        <f t="shared" si="2"/>
        <v>66.875712656784486</v>
      </c>
      <c r="LN2" s="623"/>
      <c r="LP2" s="647"/>
      <c r="LQ2" s="37">
        <f t="shared" ref="LQ2:LT2" si="3">LQ24*100</f>
        <v>66.217102583546804</v>
      </c>
      <c r="LR2" s="37">
        <f t="shared" si="3"/>
        <v>62.419645030353252</v>
      </c>
      <c r="LS2" s="37">
        <f t="shared" si="3"/>
        <v>62.01522738812367</v>
      </c>
      <c r="LT2" s="37">
        <f t="shared" si="3"/>
        <v>63.843661408851119</v>
      </c>
      <c r="LW2" s="647"/>
      <c r="MD2" s="647"/>
    </row>
    <row r="3" spans="1:348" x14ac:dyDescent="0.4">
      <c r="A3" s="534"/>
      <c r="B3" s="649"/>
      <c r="C3" s="650"/>
      <c r="D3" s="650"/>
      <c r="E3" s="650"/>
      <c r="F3" s="650"/>
      <c r="G3" s="650"/>
      <c r="H3" s="650"/>
      <c r="I3" s="650"/>
      <c r="J3" s="650"/>
      <c r="K3" s="650"/>
      <c r="L3" s="650"/>
      <c r="M3" s="650"/>
      <c r="N3" s="650"/>
      <c r="O3" s="650"/>
      <c r="P3" s="650"/>
      <c r="Q3" s="650"/>
      <c r="R3" s="650"/>
      <c r="S3" s="650"/>
      <c r="T3" s="650"/>
      <c r="U3" s="650"/>
      <c r="V3" s="650"/>
      <c r="W3" s="650"/>
      <c r="X3" s="650"/>
      <c r="Y3" s="650"/>
      <c r="Z3" s="650"/>
      <c r="AA3" s="650"/>
      <c r="AB3" s="650"/>
      <c r="AC3" s="650"/>
      <c r="AD3" s="650"/>
      <c r="AE3" s="650"/>
      <c r="AF3" s="650"/>
      <c r="AG3" s="650"/>
      <c r="AH3" s="650"/>
      <c r="AI3" s="650"/>
      <c r="AJ3" s="650"/>
      <c r="AK3" s="650"/>
      <c r="AL3" s="650"/>
      <c r="AM3" s="650"/>
      <c r="AN3" s="650"/>
      <c r="AO3" s="650"/>
      <c r="AP3" s="650"/>
      <c r="AQ3" s="650"/>
      <c r="AR3" s="650"/>
      <c r="AS3" s="650"/>
      <c r="AT3" s="650"/>
      <c r="AU3" s="650"/>
      <c r="AV3" s="650"/>
      <c r="AW3" s="650"/>
      <c r="AX3" s="650"/>
      <c r="AY3" s="650"/>
      <c r="AZ3" s="650"/>
      <c r="BA3" s="650"/>
      <c r="BB3" s="650"/>
      <c r="BC3" s="650"/>
      <c r="BD3" s="650"/>
      <c r="BE3" s="650"/>
      <c r="BF3" s="650"/>
      <c r="BG3" s="650"/>
      <c r="BH3" s="650"/>
      <c r="BI3" s="650"/>
      <c r="BJ3" s="650"/>
      <c r="BK3" s="650"/>
      <c r="BL3" s="650"/>
      <c r="BM3" s="650"/>
      <c r="BN3" s="650"/>
      <c r="BO3" s="650"/>
      <c r="BQ3" s="649"/>
      <c r="BR3" s="650"/>
      <c r="BS3" s="650"/>
      <c r="BT3" s="650"/>
      <c r="BU3" s="650"/>
      <c r="BV3" s="650"/>
      <c r="BX3" s="649"/>
      <c r="BY3" s="650"/>
      <c r="BZ3" s="650"/>
      <c r="CA3" s="650"/>
      <c r="CB3" s="650"/>
      <c r="CC3" s="650"/>
      <c r="CE3" s="649"/>
      <c r="CF3" s="650"/>
      <c r="CG3" s="650"/>
      <c r="CH3" s="650"/>
      <c r="CI3" s="650"/>
      <c r="CJ3" s="650"/>
      <c r="CL3" s="649"/>
      <c r="CM3" s="650"/>
      <c r="CN3" s="650"/>
      <c r="CO3" s="650"/>
      <c r="CP3" s="650"/>
      <c r="CQ3" s="650"/>
      <c r="CS3" s="649"/>
      <c r="CT3" s="650"/>
      <c r="CU3" s="650"/>
      <c r="CV3" s="650"/>
      <c r="CW3" s="650"/>
      <c r="CX3" s="650"/>
      <c r="CZ3" s="649"/>
      <c r="DA3" s="650"/>
      <c r="DB3" s="650"/>
      <c r="DC3" s="650"/>
      <c r="DD3" s="650"/>
      <c r="DE3" s="650"/>
      <c r="DG3" s="649"/>
      <c r="DH3" s="650"/>
      <c r="DI3" s="650"/>
      <c r="DJ3" s="650"/>
      <c r="DK3" s="650"/>
      <c r="DL3" s="650"/>
      <c r="DN3" s="649"/>
      <c r="DO3" s="650"/>
      <c r="DP3" s="650"/>
      <c r="DQ3" s="650"/>
      <c r="DR3" s="650"/>
      <c r="DS3" s="650"/>
      <c r="DU3" s="649"/>
      <c r="DV3" s="650"/>
      <c r="DW3" s="650"/>
      <c r="DX3" s="650"/>
      <c r="DY3" s="650"/>
      <c r="DZ3" s="650"/>
      <c r="EB3" s="649"/>
      <c r="EC3" s="650"/>
      <c r="ED3" s="650"/>
      <c r="EE3" s="650"/>
      <c r="EF3" s="650"/>
      <c r="EG3" s="650"/>
      <c r="EI3" s="649"/>
      <c r="EJ3" s="650"/>
      <c r="EK3" s="650"/>
      <c r="EL3" s="650"/>
      <c r="EM3" s="650"/>
      <c r="EN3" s="650"/>
      <c r="EP3" s="649"/>
      <c r="EQ3" s="650"/>
      <c r="ER3" s="650"/>
      <c r="ES3" s="650"/>
      <c r="ET3" s="650"/>
      <c r="EU3" s="650"/>
      <c r="EW3" s="649"/>
      <c r="EX3" s="650"/>
      <c r="EY3" s="650"/>
      <c r="EZ3" s="650"/>
      <c r="FA3" s="650"/>
      <c r="FB3" s="650"/>
      <c r="FD3" s="649"/>
      <c r="FE3" s="650"/>
      <c r="FF3" s="650"/>
      <c r="FG3" s="650"/>
      <c r="FH3" s="650"/>
      <c r="FI3" s="650"/>
      <c r="FK3" s="649"/>
      <c r="FL3" s="650"/>
      <c r="FM3" s="650"/>
      <c r="FN3" s="650"/>
      <c r="FO3" s="650"/>
      <c r="FP3" s="650"/>
      <c r="FR3" s="649"/>
      <c r="FS3" s="650"/>
      <c r="FT3" s="650"/>
      <c r="FU3" s="650"/>
      <c r="FV3" s="650"/>
      <c r="FW3" s="650"/>
      <c r="FY3" s="649"/>
      <c r="FZ3" s="650"/>
      <c r="GA3" s="650"/>
      <c r="GB3" s="650"/>
      <c r="GC3" s="650"/>
      <c r="GD3" s="650"/>
      <c r="GF3" s="649"/>
      <c r="GG3" s="651">
        <v>38807</v>
      </c>
      <c r="GH3" s="650"/>
      <c r="GI3" s="650"/>
      <c r="GJ3" s="650"/>
      <c r="GK3" s="650"/>
      <c r="GM3" s="649"/>
      <c r="GN3" s="650"/>
      <c r="GO3" s="650"/>
      <c r="GP3" s="650"/>
      <c r="GQ3" s="650"/>
      <c r="GR3" s="650"/>
      <c r="GT3" s="649"/>
      <c r="GU3" s="650"/>
      <c r="GV3" s="650"/>
      <c r="GW3" s="650"/>
      <c r="GX3" s="650"/>
      <c r="GY3" s="650"/>
      <c r="HA3" s="649"/>
      <c r="HB3" s="650"/>
      <c r="HC3" s="650"/>
      <c r="HD3" s="650"/>
      <c r="HE3" s="650"/>
      <c r="HF3" s="650"/>
      <c r="HH3" s="649"/>
      <c r="HI3" s="650"/>
      <c r="HJ3" s="650"/>
      <c r="HK3" s="650"/>
      <c r="HL3" s="650"/>
      <c r="HM3" s="650"/>
      <c r="HO3" s="649"/>
      <c r="HP3" s="650"/>
      <c r="HQ3" s="650"/>
      <c r="HR3" s="650"/>
      <c r="HS3" s="650"/>
      <c r="HT3" s="650"/>
      <c r="HV3" s="649"/>
      <c r="HW3" s="650"/>
      <c r="HX3" s="650"/>
      <c r="HY3" s="650"/>
      <c r="HZ3" s="650"/>
      <c r="IA3" s="650"/>
      <c r="IC3" s="649"/>
      <c r="ID3" s="650"/>
      <c r="IE3" s="650"/>
      <c r="IF3" s="650"/>
      <c r="IG3" s="650"/>
      <c r="IH3" s="650"/>
      <c r="IJ3" s="649"/>
      <c r="IK3" s="650"/>
      <c r="IL3" s="650"/>
      <c r="IM3" s="650"/>
      <c r="IN3" s="650"/>
      <c r="IO3" s="650"/>
      <c r="IQ3" s="649"/>
      <c r="IR3" s="650"/>
      <c r="IS3" s="650"/>
      <c r="IT3" s="650"/>
      <c r="IU3" s="650"/>
      <c r="IV3" s="650"/>
      <c r="IX3" s="649"/>
      <c r="IY3" s="650"/>
      <c r="IZ3" s="650"/>
      <c r="JA3" s="650"/>
      <c r="JB3" s="650"/>
      <c r="JC3" s="650"/>
      <c r="JE3" s="649"/>
      <c r="JF3" s="650"/>
      <c r="JG3" s="650"/>
      <c r="JH3" s="650"/>
      <c r="JI3" s="650"/>
      <c r="JJ3" s="650"/>
      <c r="JL3" s="649"/>
      <c r="JM3" s="650"/>
      <c r="JN3" s="650"/>
      <c r="JO3" s="650"/>
      <c r="JP3" s="650"/>
      <c r="JQ3" s="650"/>
      <c r="JS3" s="649"/>
      <c r="JT3" s="650"/>
      <c r="JU3" s="650"/>
      <c r="JV3" s="650"/>
      <c r="JW3" s="650" t="s">
        <v>255</v>
      </c>
      <c r="JX3" s="650"/>
      <c r="JZ3" s="649"/>
      <c r="KA3" s="650" t="s">
        <v>256</v>
      </c>
      <c r="KB3" s="650" t="s">
        <v>257</v>
      </c>
      <c r="KC3" s="650" t="s">
        <v>258</v>
      </c>
      <c r="KD3" s="650" t="s">
        <v>259</v>
      </c>
      <c r="KE3" s="650">
        <v>2020</v>
      </c>
      <c r="KG3" s="649"/>
      <c r="KH3" s="650" t="s">
        <v>263</v>
      </c>
      <c r="KI3" s="650" t="s">
        <v>264</v>
      </c>
      <c r="KJ3" s="650" t="s">
        <v>265</v>
      </c>
      <c r="KK3" s="650" t="s">
        <v>266</v>
      </c>
      <c r="KL3" s="650">
        <v>2021</v>
      </c>
      <c r="KN3" s="649"/>
      <c r="KO3" s="650" t="s">
        <v>263</v>
      </c>
      <c r="KP3" s="650" t="s">
        <v>264</v>
      </c>
      <c r="KQ3" s="650" t="s">
        <v>290</v>
      </c>
      <c r="KR3" s="650" t="s">
        <v>291</v>
      </c>
      <c r="KS3" s="650">
        <v>2021</v>
      </c>
      <c r="KU3" s="649"/>
      <c r="KV3" s="650" t="s">
        <v>420</v>
      </c>
      <c r="KW3" s="650" t="s">
        <v>421</v>
      </c>
      <c r="KX3" s="650" t="s">
        <v>422</v>
      </c>
      <c r="KY3" s="650" t="s">
        <v>423</v>
      </c>
      <c r="KZ3" s="650">
        <v>2023</v>
      </c>
      <c r="LB3" s="649"/>
      <c r="LC3" s="650" t="s">
        <v>458</v>
      </c>
      <c r="LD3" s="650" t="s">
        <v>459</v>
      </c>
      <c r="LE3" s="650" t="s">
        <v>460</v>
      </c>
      <c r="LF3" s="650" t="s">
        <v>461</v>
      </c>
      <c r="LG3" s="650">
        <v>2024</v>
      </c>
      <c r="LI3" s="649"/>
      <c r="LJ3" s="650" t="s">
        <v>462</v>
      </c>
      <c r="LK3" s="650" t="s">
        <v>463</v>
      </c>
      <c r="LL3" s="650" t="s">
        <v>464</v>
      </c>
      <c r="LM3" s="650" t="s">
        <v>465</v>
      </c>
      <c r="LN3" s="650">
        <v>2025</v>
      </c>
      <c r="LP3" s="649"/>
      <c r="LQ3" s="650" t="s">
        <v>462</v>
      </c>
      <c r="LR3" s="650" t="s">
        <v>463</v>
      </c>
      <c r="LS3" s="650" t="s">
        <v>464</v>
      </c>
      <c r="LT3" s="650" t="s">
        <v>465</v>
      </c>
      <c r="LU3" s="650">
        <v>2026</v>
      </c>
      <c r="LW3" s="649"/>
      <c r="LX3" s="650" t="s">
        <v>462</v>
      </c>
      <c r="LY3" s="650" t="s">
        <v>463</v>
      </c>
      <c r="LZ3" s="650" t="s">
        <v>464</v>
      </c>
      <c r="MA3" s="650" t="s">
        <v>465</v>
      </c>
      <c r="MB3" s="650">
        <v>2027</v>
      </c>
      <c r="MD3" s="649"/>
      <c r="ME3" s="650" t="s">
        <v>462</v>
      </c>
      <c r="MF3" s="650" t="s">
        <v>463</v>
      </c>
      <c r="MG3" s="650" t="s">
        <v>464</v>
      </c>
      <c r="MH3" s="650" t="s">
        <v>465</v>
      </c>
      <c r="MI3" s="650">
        <v>208</v>
      </c>
    </row>
    <row r="4" spans="1:348" hidden="1" outlineLevel="1" x14ac:dyDescent="0.4">
      <c r="A4" s="38"/>
      <c r="B4" s="652" t="s">
        <v>494</v>
      </c>
      <c r="C4" s="653">
        <f t="shared" ref="C4:L4" si="4">D4-1</f>
        <v>1978</v>
      </c>
      <c r="D4" s="653">
        <f t="shared" si="4"/>
        <v>1979</v>
      </c>
      <c r="E4" s="653">
        <f t="shared" si="4"/>
        <v>1980</v>
      </c>
      <c r="F4" s="653">
        <f t="shared" si="4"/>
        <v>1981</v>
      </c>
      <c r="G4" s="653">
        <f t="shared" si="4"/>
        <v>1982</v>
      </c>
      <c r="H4" s="653">
        <f t="shared" si="4"/>
        <v>1983</v>
      </c>
      <c r="I4" s="653">
        <f t="shared" si="4"/>
        <v>1984</v>
      </c>
      <c r="J4" s="653">
        <f t="shared" si="4"/>
        <v>1985</v>
      </c>
      <c r="K4" s="653">
        <f t="shared" si="4"/>
        <v>1986</v>
      </c>
      <c r="L4" s="653">
        <f t="shared" si="4"/>
        <v>1987</v>
      </c>
      <c r="M4" s="653">
        <f>BV4-1</f>
        <v>1988</v>
      </c>
      <c r="N4" s="653">
        <f>BV4</f>
        <v>1989</v>
      </c>
      <c r="O4" s="653">
        <f>CC4</f>
        <v>1990</v>
      </c>
      <c r="P4" s="653">
        <f>CJ4</f>
        <v>1991</v>
      </c>
      <c r="Q4" s="653">
        <f>CQ4</f>
        <v>1992</v>
      </c>
      <c r="R4" s="653">
        <f>CX4</f>
        <v>1993</v>
      </c>
      <c r="S4" s="653">
        <f>DE4</f>
        <v>1994</v>
      </c>
      <c r="T4" s="653">
        <f>DL4</f>
        <v>1995</v>
      </c>
      <c r="U4" s="653">
        <f>DS4</f>
        <v>1996</v>
      </c>
      <c r="V4" s="653">
        <f>DZ4</f>
        <v>1997</v>
      </c>
      <c r="W4" s="653">
        <f>EG4</f>
        <v>1998</v>
      </c>
      <c r="X4" s="653">
        <f>EN4</f>
        <v>1999</v>
      </c>
      <c r="Y4" s="653">
        <f>EU4</f>
        <v>2000</v>
      </c>
      <c r="Z4" s="653">
        <f>FB4</f>
        <v>2001</v>
      </c>
      <c r="AA4" s="653">
        <f>FI4</f>
        <v>2002</v>
      </c>
      <c r="AB4" s="653">
        <f>FP4</f>
        <v>2003</v>
      </c>
      <c r="AC4" s="653">
        <f>FW4</f>
        <v>2004</v>
      </c>
      <c r="AD4" s="653">
        <f>GD4</f>
        <v>2005</v>
      </c>
      <c r="AE4" s="653">
        <f>GK4</f>
        <v>2006</v>
      </c>
      <c r="AF4" s="653">
        <f>GR4</f>
        <v>2007</v>
      </c>
      <c r="AG4" s="653">
        <f>GY4</f>
        <v>2008</v>
      </c>
      <c r="AH4" s="653">
        <f>HF4</f>
        <v>2009</v>
      </c>
      <c r="AI4" s="653">
        <f>HM4</f>
        <v>2010</v>
      </c>
      <c r="AJ4" s="653">
        <f>HT4</f>
        <v>2011</v>
      </c>
      <c r="AK4" s="653">
        <f>IA4</f>
        <v>2012</v>
      </c>
      <c r="AL4" s="653">
        <f>IH4</f>
        <v>2013</v>
      </c>
      <c r="AM4" s="653">
        <f>IO4</f>
        <v>2014</v>
      </c>
      <c r="AN4" s="653">
        <f>IV4</f>
        <v>2015</v>
      </c>
      <c r="AO4" s="653">
        <f>JC4</f>
        <v>2016</v>
      </c>
      <c r="AP4" s="653">
        <f>JJ4</f>
        <v>2017</v>
      </c>
      <c r="AQ4" s="653">
        <f>JQ4</f>
        <v>2018</v>
      </c>
      <c r="AR4" s="653">
        <f>JX4</f>
        <v>2019</v>
      </c>
      <c r="AS4" s="653">
        <f>KE4</f>
        <v>2020</v>
      </c>
      <c r="AT4" s="653">
        <f>KL4</f>
        <v>2021</v>
      </c>
      <c r="AU4" s="653">
        <f>KS4</f>
        <v>2022</v>
      </c>
      <c r="AV4" s="653">
        <f>KZ4</f>
        <v>2023</v>
      </c>
      <c r="AW4" s="653">
        <f>LG4</f>
        <v>2024</v>
      </c>
      <c r="AX4" s="653">
        <f>LN4</f>
        <v>2025</v>
      </c>
      <c r="AY4" s="653" t="str">
        <f>LU4</f>
        <v>2026E</v>
      </c>
      <c r="AZ4" s="654" t="str">
        <f>MB4</f>
        <v>2027E</v>
      </c>
      <c r="BA4" s="654" t="str">
        <f>MI4</f>
        <v>2028E</v>
      </c>
      <c r="BB4" s="653"/>
      <c r="BC4" s="653"/>
      <c r="BD4" s="653"/>
      <c r="BE4" s="653"/>
      <c r="BF4" s="653"/>
      <c r="BG4" s="653"/>
      <c r="BH4" s="653"/>
      <c r="BI4" s="653"/>
      <c r="BJ4" s="653"/>
      <c r="BK4" s="653"/>
      <c r="BL4" s="653"/>
      <c r="BM4" s="653"/>
      <c r="BN4" s="653"/>
      <c r="BO4" s="653"/>
      <c r="BQ4" s="652" t="s">
        <v>494</v>
      </c>
      <c r="BR4" s="91" t="s">
        <v>316</v>
      </c>
      <c r="BS4" s="91" t="s">
        <v>335</v>
      </c>
      <c r="BT4" s="91" t="s">
        <v>336</v>
      </c>
      <c r="BU4" s="91" t="s">
        <v>337</v>
      </c>
      <c r="BV4" s="91">
        <v>1989</v>
      </c>
      <c r="BX4" s="652" t="s">
        <v>494</v>
      </c>
      <c r="BY4" s="91" t="str">
        <f>LEFT(BR4,2)&amp;RIGHT(CC4,2)</f>
        <v>1Q90</v>
      </c>
      <c r="BZ4" s="91" t="str">
        <f>LEFT(BS4,2)&amp;RIGHT(CC4,2)</f>
        <v>2Q90</v>
      </c>
      <c r="CA4" s="91" t="str">
        <f>LEFT(BT4,2)&amp;RIGHT(CC4,2)</f>
        <v>3Q90</v>
      </c>
      <c r="CB4" s="91" t="str">
        <f>LEFT(BU4,2)&amp;RIGHT(CC4,2)</f>
        <v>4Q90</v>
      </c>
      <c r="CC4" s="91">
        <f>BV4+1</f>
        <v>1990</v>
      </c>
      <c r="CE4" s="652" t="s">
        <v>494</v>
      </c>
      <c r="CF4" s="91" t="str">
        <f>LEFT(BY4,2)&amp;RIGHT(CJ4,2)</f>
        <v>1Q91</v>
      </c>
      <c r="CG4" s="91" t="str">
        <f>LEFT(BZ4,2)&amp;RIGHT(CJ4,2)</f>
        <v>2Q91</v>
      </c>
      <c r="CH4" s="91" t="str">
        <f>LEFT(CA4,2)&amp;RIGHT(CJ4,2)</f>
        <v>3Q91</v>
      </c>
      <c r="CI4" s="91" t="str">
        <f>LEFT(CB4,2)&amp;RIGHT(CJ4,2)</f>
        <v>4Q91</v>
      </c>
      <c r="CJ4" s="91">
        <f>CC4+1</f>
        <v>1991</v>
      </c>
      <c r="CL4" s="652" t="s">
        <v>494</v>
      </c>
      <c r="CM4" s="91" t="str">
        <f>LEFT(CF4,2)&amp;RIGHT(CQ4,2)</f>
        <v>1Q92</v>
      </c>
      <c r="CN4" s="91" t="str">
        <f>LEFT(CG4,2)&amp;RIGHT(CQ4,2)</f>
        <v>2Q92</v>
      </c>
      <c r="CO4" s="91" t="str">
        <f>LEFT(CH4,2)&amp;RIGHT(CQ4,2)</f>
        <v>3Q92</v>
      </c>
      <c r="CP4" s="91" t="str">
        <f>LEFT(CI4,2)&amp;RIGHT(CQ4,2)</f>
        <v>4Q92</v>
      </c>
      <c r="CQ4" s="91">
        <f>CJ4+1</f>
        <v>1992</v>
      </c>
      <c r="CR4" s="68"/>
      <c r="CS4" s="652" t="s">
        <v>494</v>
      </c>
      <c r="CT4" s="91" t="str">
        <f>LEFT(CM4,2)&amp;RIGHT(CX4,2)</f>
        <v>1Q93</v>
      </c>
      <c r="CU4" s="91" t="str">
        <f>LEFT(CN4,2)&amp;RIGHT(CX4,2)</f>
        <v>2Q93</v>
      </c>
      <c r="CV4" s="91" t="str">
        <f>LEFT(CO4,2)&amp;RIGHT(CX4,2)</f>
        <v>3Q93</v>
      </c>
      <c r="CW4" s="91" t="str">
        <f>LEFT(CP4,2)&amp;RIGHT(CX4,2)</f>
        <v>4Q93</v>
      </c>
      <c r="CX4" s="91">
        <f>CQ4+1</f>
        <v>1993</v>
      </c>
      <c r="CY4" s="68"/>
      <c r="CZ4" s="652" t="s">
        <v>494</v>
      </c>
      <c r="DA4" s="91" t="str">
        <f>LEFT(CT4,2)&amp;RIGHT(DE4,2)</f>
        <v>1Q94</v>
      </c>
      <c r="DB4" s="91" t="str">
        <f>LEFT(CU4,2)&amp;RIGHT(DE4,2)</f>
        <v>2Q94</v>
      </c>
      <c r="DC4" s="91" t="str">
        <f>LEFT(CV4,2)&amp;RIGHT(DE4,2)</f>
        <v>3Q94</v>
      </c>
      <c r="DD4" s="91" t="str">
        <f>LEFT(CW4,2)&amp;RIGHT(DE4,2)</f>
        <v>4Q94</v>
      </c>
      <c r="DE4" s="91">
        <f>CX4+1</f>
        <v>1994</v>
      </c>
      <c r="DF4" s="68"/>
      <c r="DG4" s="652" t="s">
        <v>494</v>
      </c>
      <c r="DH4" s="91" t="str">
        <f>LEFT(DA4,2)&amp;RIGHT(DL4,2)</f>
        <v>1Q95</v>
      </c>
      <c r="DI4" s="91" t="str">
        <f>LEFT(DB4,2)&amp;RIGHT(DL4,2)</f>
        <v>2Q95</v>
      </c>
      <c r="DJ4" s="91" t="str">
        <f>LEFT(DC4,2)&amp;RIGHT(DL4,2)</f>
        <v>3Q95</v>
      </c>
      <c r="DK4" s="91" t="str">
        <f>LEFT(DD4,2)&amp;RIGHT(DL4,2)</f>
        <v>4Q95</v>
      </c>
      <c r="DL4" s="91">
        <f>DE4+1</f>
        <v>1995</v>
      </c>
      <c r="DM4" s="68"/>
      <c r="DN4" s="652" t="s">
        <v>494</v>
      </c>
      <c r="DO4" s="91" t="str">
        <f>LEFT(DH4,2)&amp;RIGHT(DS4,2)</f>
        <v>1Q96</v>
      </c>
      <c r="DP4" s="91" t="str">
        <f>LEFT(DI4,2)&amp;RIGHT(DS4,2)</f>
        <v>2Q96</v>
      </c>
      <c r="DQ4" s="91" t="str">
        <f>LEFT(DJ4,2)&amp;RIGHT(DS4,2)</f>
        <v>3Q96</v>
      </c>
      <c r="DR4" s="91" t="str">
        <f>LEFT(DK4,2)&amp;RIGHT(DS4,2)</f>
        <v>4Q96</v>
      </c>
      <c r="DS4" s="91">
        <f>DL4+1</f>
        <v>1996</v>
      </c>
      <c r="DT4" s="68"/>
      <c r="DU4" s="652" t="s">
        <v>494</v>
      </c>
      <c r="DV4" s="91" t="str">
        <f>LEFT(DO4,2)&amp;RIGHT(DZ4,2)</f>
        <v>1Q97</v>
      </c>
      <c r="DW4" s="91" t="str">
        <f>LEFT(DP4,2)&amp;RIGHT(DZ4,2)</f>
        <v>2Q97</v>
      </c>
      <c r="DX4" s="91" t="str">
        <f>LEFT(DQ4,2)&amp;RIGHT(DZ4,2)</f>
        <v>3Q97</v>
      </c>
      <c r="DY4" s="91" t="str">
        <f>LEFT(DR4,2)&amp;RIGHT(DZ4,2)</f>
        <v>4Q97</v>
      </c>
      <c r="DZ4" s="91">
        <f>DS4+1</f>
        <v>1997</v>
      </c>
      <c r="EA4" s="68"/>
      <c r="EB4" s="652" t="s">
        <v>494</v>
      </c>
      <c r="EC4" s="91" t="str">
        <f>LEFT(DV4,2)&amp;RIGHT(EG4,2)</f>
        <v>1Q98</v>
      </c>
      <c r="ED4" s="91" t="str">
        <f>LEFT(DW4,2)&amp;RIGHT(EG4,2)</f>
        <v>2Q98</v>
      </c>
      <c r="EE4" s="91" t="str">
        <f>LEFT(DX4,2)&amp;RIGHT(EG4,2)</f>
        <v>3Q98</v>
      </c>
      <c r="EF4" s="91" t="str">
        <f>LEFT(DY4,2)&amp;RIGHT(EG4,2)</f>
        <v>4Q98</v>
      </c>
      <c r="EG4" s="91">
        <f>DZ4+1</f>
        <v>1998</v>
      </c>
      <c r="EH4" s="68"/>
      <c r="EI4" s="652" t="s">
        <v>494</v>
      </c>
      <c r="EJ4" s="91" t="str">
        <f>LEFT(EC4,2)&amp;RIGHT(EN4,2)</f>
        <v>1Q99</v>
      </c>
      <c r="EK4" s="91" t="str">
        <f>LEFT(ED4,2)&amp;RIGHT(EN4,2)</f>
        <v>2Q99</v>
      </c>
      <c r="EL4" s="91" t="str">
        <f>LEFT(EE4,2)&amp;RIGHT(EN4,2)</f>
        <v>3Q99</v>
      </c>
      <c r="EM4" s="91" t="str">
        <f>LEFT(EF4,2)&amp;RIGHT(EN4,2)</f>
        <v>4Q99</v>
      </c>
      <c r="EN4" s="91">
        <f>EG4+1</f>
        <v>1999</v>
      </c>
      <c r="EO4" s="68"/>
      <c r="EP4" s="652" t="s">
        <v>494</v>
      </c>
      <c r="EQ4" s="91" t="str">
        <f>LEFT(EJ4,2)&amp;RIGHT(EU4,2)</f>
        <v>1Q00</v>
      </c>
      <c r="ER4" s="91" t="str">
        <f>LEFT(EK4,2)&amp;RIGHT(EU4,2)</f>
        <v>2Q00</v>
      </c>
      <c r="ES4" s="91" t="str">
        <f>LEFT(EL4,2)&amp;RIGHT(EU4,2)</f>
        <v>3Q00</v>
      </c>
      <c r="ET4" s="91" t="str">
        <f>LEFT(EM4,2)&amp;RIGHT(EU4,2)</f>
        <v>4Q00</v>
      </c>
      <c r="EU4" s="91">
        <f>EN4+1</f>
        <v>2000</v>
      </c>
      <c r="EW4" s="652" t="s">
        <v>494</v>
      </c>
      <c r="EX4" s="91" t="str">
        <f>LEFT(EQ4,2)&amp;RIGHT(FB4,2)</f>
        <v>1Q01</v>
      </c>
      <c r="EY4" s="91" t="str">
        <f>LEFT(ER4,2)&amp;RIGHT(FB4,2)</f>
        <v>2Q01</v>
      </c>
      <c r="EZ4" s="91" t="str">
        <f>LEFT(ES4,2)&amp;RIGHT(FB4,2)</f>
        <v>3Q01</v>
      </c>
      <c r="FA4" s="91" t="str">
        <f>LEFT(ET4,2)&amp;RIGHT(FB4,2)</f>
        <v>4Q01</v>
      </c>
      <c r="FB4" s="91">
        <f>EU4+1</f>
        <v>2001</v>
      </c>
      <c r="FD4" s="652" t="s">
        <v>494</v>
      </c>
      <c r="FE4" s="91" t="str">
        <f>LEFT(EX4,2)&amp;RIGHT(FI4,2)</f>
        <v>1Q02</v>
      </c>
      <c r="FF4" s="91" t="str">
        <f>LEFT(EY4,2)&amp;RIGHT(FI4,2)</f>
        <v>2Q02</v>
      </c>
      <c r="FG4" s="91" t="str">
        <f>LEFT(EZ4,2)&amp;RIGHT(FI4,2)</f>
        <v>3Q02</v>
      </c>
      <c r="FH4" s="91" t="str">
        <f>LEFT(FA4,2)&amp;RIGHT(FI4,2)</f>
        <v>4Q02</v>
      </c>
      <c r="FI4" s="91">
        <f>FB4+1</f>
        <v>2002</v>
      </c>
      <c r="FK4" s="652" t="s">
        <v>494</v>
      </c>
      <c r="FL4" s="91" t="str">
        <f>LEFT(FE4,2)&amp;RIGHT(FP4,2)</f>
        <v>1Q03</v>
      </c>
      <c r="FM4" s="91" t="str">
        <f>LEFT(FF4,2)&amp;RIGHT(FP4,2)</f>
        <v>2Q03</v>
      </c>
      <c r="FN4" s="91" t="str">
        <f>LEFT(FG4,2)&amp;RIGHT(FP4,2)</f>
        <v>3Q03</v>
      </c>
      <c r="FO4" s="91" t="str">
        <f>LEFT(FH4,2)&amp;RIGHT(FP4,2)</f>
        <v>4Q03</v>
      </c>
      <c r="FP4" s="91">
        <f>FI4+1</f>
        <v>2003</v>
      </c>
      <c r="FR4" s="652" t="s">
        <v>494</v>
      </c>
      <c r="FS4" s="91" t="str">
        <f>LEFT(FL4,2)&amp;RIGHT(FW4,2)</f>
        <v>1Q04</v>
      </c>
      <c r="FT4" s="91" t="str">
        <f>LEFT(FM4,2)&amp;RIGHT(FW4,2)</f>
        <v>2Q04</v>
      </c>
      <c r="FU4" s="91" t="str">
        <f>LEFT(FN4,2)&amp;RIGHT(FW4,2)</f>
        <v>3Q04</v>
      </c>
      <c r="FV4" s="91" t="str">
        <f>LEFT(FO4,2)&amp;RIGHT(FW4,2)</f>
        <v>4Q04</v>
      </c>
      <c r="FW4" s="91">
        <f>FP4+1</f>
        <v>2004</v>
      </c>
      <c r="FY4" s="652" t="s">
        <v>494</v>
      </c>
      <c r="FZ4" s="91" t="str">
        <f>LEFT(FS4,2)&amp;RIGHT(GD4,2)</f>
        <v>1Q05</v>
      </c>
      <c r="GA4" s="91" t="str">
        <f>LEFT(FT4,2)&amp;RIGHT(GD4,2)</f>
        <v>2Q05</v>
      </c>
      <c r="GB4" s="91" t="str">
        <f>LEFT(FU4,2)&amp;RIGHT(GD4,2)</f>
        <v>3Q05</v>
      </c>
      <c r="GC4" s="91" t="str">
        <f>LEFT(FV4,2)&amp;RIGHT(GD4,2)</f>
        <v>4Q05</v>
      </c>
      <c r="GD4" s="91">
        <f>FW4+1</f>
        <v>2005</v>
      </c>
      <c r="GE4" s="68"/>
      <c r="GF4" s="652" t="s">
        <v>494</v>
      </c>
      <c r="GG4" s="91" t="str">
        <f>LEFT(FZ4,2)&amp;RIGHT(GK4,2)</f>
        <v>1Q06</v>
      </c>
      <c r="GH4" s="91" t="str">
        <f>LEFT(GA4,2)&amp;RIGHT(GK4,2)</f>
        <v>2Q06</v>
      </c>
      <c r="GI4" s="91" t="str">
        <f>LEFT(GB4,2)&amp;RIGHT(GK4,2)</f>
        <v>3Q06</v>
      </c>
      <c r="GJ4" s="91" t="str">
        <f>LEFT(GC4,2)&amp;RIGHT(GK4,2)</f>
        <v>4Q06</v>
      </c>
      <c r="GK4" s="91">
        <f>GD4+1</f>
        <v>2006</v>
      </c>
      <c r="GL4" s="68"/>
      <c r="GM4" s="652" t="s">
        <v>494</v>
      </c>
      <c r="GN4" s="91" t="str">
        <f>LEFT(GG4,2)&amp;RIGHT(GR4,2)</f>
        <v>1Q07</v>
      </c>
      <c r="GO4" s="91" t="str">
        <f>LEFT(GH4,2)&amp;RIGHT(GR4,2)</f>
        <v>2Q07</v>
      </c>
      <c r="GP4" s="91" t="str">
        <f>LEFT(GI4,2)&amp;RIGHT(GR4,2)</f>
        <v>3Q07</v>
      </c>
      <c r="GQ4" s="91" t="str">
        <f>LEFT(GJ4,2)&amp;RIGHT(GR4,2)</f>
        <v>4Q07</v>
      </c>
      <c r="GR4" s="91">
        <f>GK4+1</f>
        <v>2007</v>
      </c>
      <c r="GS4" s="68"/>
      <c r="GT4" s="652" t="s">
        <v>494</v>
      </c>
      <c r="GU4" s="91" t="str">
        <f>LEFT(GN4,2)&amp;RIGHT(GY4,2)</f>
        <v>1Q08</v>
      </c>
      <c r="GV4" s="91" t="str">
        <f>LEFT(GO4,2)&amp;RIGHT(GY4,2)</f>
        <v>2Q08</v>
      </c>
      <c r="GW4" s="91" t="str">
        <f>LEFT(GP4,2)&amp;RIGHT(GY4,2)</f>
        <v>3Q08</v>
      </c>
      <c r="GX4" s="91" t="str">
        <f>LEFT(GQ4,2)&amp;RIGHT(GY4,2)</f>
        <v>4Q08</v>
      </c>
      <c r="GY4" s="91">
        <f>GR4+1</f>
        <v>2008</v>
      </c>
      <c r="GZ4" s="68"/>
      <c r="HA4" s="652" t="s">
        <v>494</v>
      </c>
      <c r="HB4" s="91" t="str">
        <f>LEFT(GU4,2)&amp;RIGHT(HF4,2)</f>
        <v>1Q09</v>
      </c>
      <c r="HC4" s="91" t="str">
        <f>LEFT(GV4,2)&amp;RIGHT(HF4,2)</f>
        <v>2Q09</v>
      </c>
      <c r="HD4" s="91" t="str">
        <f>LEFT(GW4,2)&amp;RIGHT(HF4,2)</f>
        <v>3Q09</v>
      </c>
      <c r="HE4" s="91" t="str">
        <f>LEFT(GX4,2)&amp;RIGHT(HF4,2)</f>
        <v>4Q09</v>
      </c>
      <c r="HF4" s="91">
        <f>GY4+1</f>
        <v>2009</v>
      </c>
      <c r="HG4" s="68"/>
      <c r="HH4" s="652" t="s">
        <v>494</v>
      </c>
      <c r="HI4" s="91" t="str">
        <f>LEFT(HB4,2)&amp;RIGHT(HM4,2)</f>
        <v>1Q10</v>
      </c>
      <c r="HJ4" s="91" t="str">
        <f>LEFT(HC4,2)&amp;RIGHT(HM4,2)</f>
        <v>2Q10</v>
      </c>
      <c r="HK4" s="91" t="str">
        <f>LEFT(HD4,2)&amp;RIGHT(HM4,2)</f>
        <v>3Q10</v>
      </c>
      <c r="HL4" s="91" t="str">
        <f>LEFT(HE4,2)&amp;RIGHT(HM4,2)</f>
        <v>4Q10</v>
      </c>
      <c r="HM4" s="91">
        <f>HF4+1</f>
        <v>2010</v>
      </c>
      <c r="HN4" s="68"/>
      <c r="HO4" s="652" t="s">
        <v>494</v>
      </c>
      <c r="HP4" s="91" t="str">
        <f>LEFT(HI4,2)&amp;RIGHT(HT4,2)</f>
        <v>1Q11</v>
      </c>
      <c r="HQ4" s="91" t="str">
        <f>LEFT(HJ4,2)&amp;RIGHT(HT4,2)</f>
        <v>2Q11</v>
      </c>
      <c r="HR4" s="91" t="str">
        <f>LEFT(HK4,2)&amp;RIGHT(HT4,2)</f>
        <v>3Q11</v>
      </c>
      <c r="HS4" s="91" t="str">
        <f>LEFT(HL4,2)&amp;RIGHT(HT4,2)</f>
        <v>4Q11</v>
      </c>
      <c r="HT4" s="91">
        <f>HM4+1</f>
        <v>2011</v>
      </c>
      <c r="HU4" s="68"/>
      <c r="HV4" s="652" t="s">
        <v>494</v>
      </c>
      <c r="HW4" s="91" t="str">
        <f>LEFT(HP4,2)&amp;RIGHT(IA4,2)</f>
        <v>1Q12</v>
      </c>
      <c r="HX4" s="91" t="str">
        <f>LEFT(HQ4,2)&amp;RIGHT(IA4,2)</f>
        <v>2Q12</v>
      </c>
      <c r="HY4" s="91" t="str">
        <f>LEFT(HR4,2)&amp;RIGHT(IA4,2)</f>
        <v>3Q12</v>
      </c>
      <c r="HZ4" s="91" t="str">
        <f>LEFT(HS4,2)&amp;RIGHT(IA4,2)</f>
        <v>4Q12</v>
      </c>
      <c r="IA4" s="91">
        <f>HT4+1</f>
        <v>2012</v>
      </c>
      <c r="IB4" s="68"/>
      <c r="IC4" s="652" t="s">
        <v>494</v>
      </c>
      <c r="ID4" s="91" t="str">
        <f>LEFT(HW4,2)&amp;RIGHT(IH4,2)</f>
        <v>1Q13</v>
      </c>
      <c r="IE4" s="91" t="str">
        <f>LEFT(HX4,2)&amp;RIGHT(IH4,2)</f>
        <v>2Q13</v>
      </c>
      <c r="IF4" s="91" t="str">
        <f>LEFT(HY4,2)&amp;RIGHT(IH4,2)</f>
        <v>3Q13</v>
      </c>
      <c r="IG4" s="91" t="str">
        <f>LEFT(HZ4,2)&amp;RIGHT(IH4,2)</f>
        <v>4Q13</v>
      </c>
      <c r="IH4" s="91">
        <f>IA4+1</f>
        <v>2013</v>
      </c>
      <c r="II4" s="68"/>
      <c r="IJ4" s="652" t="s">
        <v>494</v>
      </c>
      <c r="IK4" s="91" t="str">
        <f>LEFT(ID4,2)&amp;RIGHT(IO4,2)</f>
        <v>1Q14</v>
      </c>
      <c r="IL4" s="91" t="str">
        <f>LEFT(IE4,2)&amp;RIGHT(IO4,2)</f>
        <v>2Q14</v>
      </c>
      <c r="IM4" s="91" t="str">
        <f>LEFT(IF4,2)&amp;RIGHT(IO4,2)</f>
        <v>3Q14</v>
      </c>
      <c r="IN4" s="91" t="str">
        <f>LEFT(IG4,2)&amp;RIGHT(IO4,2)</f>
        <v>4Q14</v>
      </c>
      <c r="IO4" s="91">
        <f>IH4+1</f>
        <v>2014</v>
      </c>
      <c r="IP4" s="68"/>
      <c r="IQ4" s="652" t="s">
        <v>494</v>
      </c>
      <c r="IR4" s="91" t="str">
        <f>LEFT(IK4,2)&amp;RIGHT(IV4,2)</f>
        <v>1Q15</v>
      </c>
      <c r="IS4" s="91" t="str">
        <f>LEFT(IL4,2)&amp;RIGHT(IV4,2)</f>
        <v>2Q15</v>
      </c>
      <c r="IT4" s="91" t="str">
        <f>LEFT(IM4,2)&amp;RIGHT(IV4,2)</f>
        <v>3Q15</v>
      </c>
      <c r="IU4" s="91" t="str">
        <f>LEFT(IN4,2)&amp;RIGHT(IV4,2)</f>
        <v>4Q15</v>
      </c>
      <c r="IV4" s="91">
        <f>IO4+1</f>
        <v>2015</v>
      </c>
      <c r="IW4" s="68"/>
      <c r="IX4" s="652" t="s">
        <v>494</v>
      </c>
      <c r="IY4" s="91" t="str">
        <f>LEFT(IR4,2)&amp;RIGHT(JC4,2)</f>
        <v>1Q16</v>
      </c>
      <c r="IZ4" s="91" t="str">
        <f>LEFT(IS4,2)&amp;RIGHT(JC4,2)</f>
        <v>2Q16</v>
      </c>
      <c r="JA4" s="91" t="str">
        <f>LEFT(IT4,2)&amp;RIGHT(JC4,2)</f>
        <v>3Q16</v>
      </c>
      <c r="JB4" s="91" t="str">
        <f>LEFT(IU4,2)&amp;RIGHT(JC4,2)</f>
        <v>4Q16</v>
      </c>
      <c r="JC4" s="91">
        <f>IV4+1</f>
        <v>2016</v>
      </c>
      <c r="JD4" s="68"/>
      <c r="JE4" s="652" t="s">
        <v>494</v>
      </c>
      <c r="JF4" s="91" t="str">
        <f>LEFT(IY4,2)&amp;RIGHT(JJ4,2)</f>
        <v>1Q17</v>
      </c>
      <c r="JG4" s="91" t="str">
        <f>LEFT(IZ4,2)&amp;RIGHT(JJ4,2)</f>
        <v>2Q17</v>
      </c>
      <c r="JH4" s="91" t="str">
        <f>LEFT(JA4,2)&amp;RIGHT(JJ4,2)</f>
        <v>3Q17</v>
      </c>
      <c r="JI4" s="91" t="str">
        <f>LEFT(JB4,2)&amp;RIGHT(JJ4,2)</f>
        <v>4Q17</v>
      </c>
      <c r="JJ4" s="91">
        <f>JC4+1</f>
        <v>2017</v>
      </c>
      <c r="JK4" s="68"/>
      <c r="JL4" s="652" t="s">
        <v>494</v>
      </c>
      <c r="JM4" s="91" t="str">
        <f>LEFT(JF4,2)&amp;RIGHT(JQ4,2)</f>
        <v>1Q18</v>
      </c>
      <c r="JN4" s="91" t="str">
        <f>LEFT(JG4,2)&amp;RIGHT(JQ4,2)</f>
        <v>2Q18</v>
      </c>
      <c r="JO4" s="91" t="str">
        <f>LEFT(JH4,2)&amp;RIGHT(JQ4,2)</f>
        <v>3Q18</v>
      </c>
      <c r="JP4" s="91" t="str">
        <f>LEFT(JI4,2)&amp;RIGHT(JQ4,2)</f>
        <v>4Q18</v>
      </c>
      <c r="JQ4" s="91">
        <f>JJ4+1</f>
        <v>2018</v>
      </c>
      <c r="JR4" s="68"/>
      <c r="JS4" s="652" t="s">
        <v>494</v>
      </c>
      <c r="JT4" s="91" t="str">
        <f>LEFT(JM4,2)&amp;RIGHT(JX4,2)</f>
        <v>1Q19</v>
      </c>
      <c r="JU4" s="91" t="str">
        <f>LEFT(JN4,2)&amp;RIGHT(JX4,2)</f>
        <v>2Q19</v>
      </c>
      <c r="JV4" s="91" t="str">
        <f>LEFT(JO4,2)&amp;RIGHT(JX4,2)</f>
        <v>3Q19</v>
      </c>
      <c r="JW4" s="91" t="str">
        <f>LEFT(JP4,2)&amp;RIGHT(JX4,2)</f>
        <v>4Q19</v>
      </c>
      <c r="JX4" s="91">
        <f>JQ4+1</f>
        <v>2019</v>
      </c>
      <c r="JY4" s="68"/>
      <c r="JZ4" s="652" t="s">
        <v>494</v>
      </c>
      <c r="KA4" s="91" t="str">
        <f>LEFT(JT4,2)&amp;RIGHT(KE4,2)</f>
        <v>1Q20</v>
      </c>
      <c r="KB4" s="91" t="str">
        <f>LEFT(JU4,2)&amp;RIGHT(KE4,2)</f>
        <v>2Q20</v>
      </c>
      <c r="KC4" s="91" t="str">
        <f>LEFT(JV4,2)&amp;RIGHT(KE4,2)</f>
        <v>3Q20</v>
      </c>
      <c r="KD4" s="91" t="str">
        <f>LEFT(JW4,2)&amp;RIGHT(KE4,2)</f>
        <v>4Q20</v>
      </c>
      <c r="KE4" s="91">
        <f>JX4+1</f>
        <v>2020</v>
      </c>
      <c r="KF4" s="68"/>
      <c r="KG4" s="652" t="s">
        <v>494</v>
      </c>
      <c r="KH4" s="91" t="str">
        <f>LEFT(KA4,2)&amp;RIGHT(KL4,2)</f>
        <v>1Q21</v>
      </c>
      <c r="KI4" s="91" t="str">
        <f>LEFT(KB4,2)&amp;RIGHT(KL4,2)</f>
        <v>2Q21</v>
      </c>
      <c r="KJ4" s="91" t="str">
        <f>LEFT(KC4,2)&amp;RIGHT(KL4,2)</f>
        <v>3Q21</v>
      </c>
      <c r="KK4" s="91" t="str">
        <f>LEFT(KD4,2)&amp;RIGHT(KL4,2)</f>
        <v>4Q21</v>
      </c>
      <c r="KL4" s="91">
        <f>KE4+1</f>
        <v>2021</v>
      </c>
      <c r="KM4" s="68"/>
      <c r="KN4" s="652" t="s">
        <v>494</v>
      </c>
      <c r="KO4" s="91" t="str">
        <f>LEFT(KH4,2)&amp;RIGHT(KS4,2)</f>
        <v>1Q22</v>
      </c>
      <c r="KP4" s="91" t="str">
        <f>LEFT(KI4,2)&amp;RIGHT(KS4,2)</f>
        <v>2Q22</v>
      </c>
      <c r="KQ4" s="91" t="str">
        <f>LEFT(KJ4,2)&amp;RIGHT(KS4,2)</f>
        <v>3Q22</v>
      </c>
      <c r="KR4" s="91" t="str">
        <f>LEFT(KK4,2)&amp;RIGHT(KS4,2)</f>
        <v>4Q22</v>
      </c>
      <c r="KS4" s="91">
        <f>KL4+1</f>
        <v>2022</v>
      </c>
      <c r="KT4" s="68"/>
      <c r="KU4" s="652" t="s">
        <v>494</v>
      </c>
      <c r="KV4" s="91" t="str">
        <f>LEFT(KO4,2)&amp;RIGHT(KZ4,2)</f>
        <v>1Q23</v>
      </c>
      <c r="KW4" s="91" t="str">
        <f>LEFT(KP4,2)&amp;RIGHT(KZ4,2)</f>
        <v>2Q23</v>
      </c>
      <c r="KX4" s="91" t="str">
        <f>LEFT(KQ4,2)&amp;RIGHT(KZ4,2)</f>
        <v>3Q23</v>
      </c>
      <c r="KY4" s="91" t="str">
        <f>LEFT(KR4,2)&amp;RIGHT(KZ4,2)</f>
        <v>4Q23</v>
      </c>
      <c r="KZ4" s="91">
        <f>KS4+1</f>
        <v>2023</v>
      </c>
      <c r="LA4" s="68"/>
      <c r="LB4" s="652" t="s">
        <v>494</v>
      </c>
      <c r="LC4" s="91" t="str">
        <f>LEFT(KV4,2)&amp;RIGHT($LG$3,2)</f>
        <v>1Q24</v>
      </c>
      <c r="LD4" s="91" t="str">
        <f>LEFT(KW4,2)&amp;RIGHT($LG$3,2)</f>
        <v>2Q24</v>
      </c>
      <c r="LE4" s="91" t="str">
        <f>LEFT(KX4,2)&amp;RIGHT($LG$3,2)</f>
        <v>3Q24</v>
      </c>
      <c r="LF4" s="91" t="str">
        <f>LEFT(KY4,2)&amp;RIGHT($LG$3,2)</f>
        <v>4Q24</v>
      </c>
      <c r="LG4" s="91">
        <f>KZ4+1</f>
        <v>2024</v>
      </c>
      <c r="LH4" s="546"/>
      <c r="LI4" s="652" t="s">
        <v>494</v>
      </c>
      <c r="LJ4" s="91" t="s">
        <v>561</v>
      </c>
      <c r="LK4" s="91" t="s">
        <v>562</v>
      </c>
      <c r="LL4" s="91" t="s">
        <v>563</v>
      </c>
      <c r="LM4" s="91" t="s">
        <v>564</v>
      </c>
      <c r="LN4" s="91">
        <f>LG4+1</f>
        <v>2025</v>
      </c>
      <c r="LO4" s="546"/>
      <c r="LP4" s="652" t="s">
        <v>494</v>
      </c>
      <c r="LQ4" s="91" t="s">
        <v>565</v>
      </c>
      <c r="LR4" s="91" t="s">
        <v>566</v>
      </c>
      <c r="LS4" s="91" t="s">
        <v>567</v>
      </c>
      <c r="LT4" s="91" t="s">
        <v>568</v>
      </c>
      <c r="LU4" s="93" t="str">
        <f>CONCATENATE(TEXT(LT5,"YYYY"),"E")</f>
        <v>2026E</v>
      </c>
      <c r="LV4" s="546"/>
      <c r="LW4" s="652" t="s">
        <v>494</v>
      </c>
      <c r="LX4" s="91" t="str">
        <f>LEFT(LQ4,2)&amp;RIGHT(MB4,3)</f>
        <v>1Q27E</v>
      </c>
      <c r="LY4" s="91" t="str">
        <f>LEFT(LR4,2)&amp;RIGHT(MB4,3)</f>
        <v>2Q27E</v>
      </c>
      <c r="LZ4" s="91" t="str">
        <f>LEFT(LS4,2)&amp;RIGHT(MB4,3)</f>
        <v>3Q27E</v>
      </c>
      <c r="MA4" s="91" t="str">
        <f>LEFT(LT4,2)&amp;RIGHT(MB4,3)</f>
        <v>4Q27E</v>
      </c>
      <c r="MB4" s="93" t="str">
        <f>CONCATENATE(TEXT(MA5,"YYYY"),"E")</f>
        <v>2027E</v>
      </c>
      <c r="MC4" s="546"/>
      <c r="MD4" s="652" t="s">
        <v>494</v>
      </c>
      <c r="ME4" s="91" t="str">
        <f>LEFT(LX4,2)&amp;RIGHT(MI4,3)</f>
        <v>1Q28E</v>
      </c>
      <c r="MF4" s="91" t="str">
        <f>LEFT(LY4,2)&amp;RIGHT(MI4,3)</f>
        <v>2Q28E</v>
      </c>
      <c r="MG4" s="91" t="str">
        <f>LEFT(LZ4,2)&amp;RIGHT(MI4,3)</f>
        <v>3Q28E</v>
      </c>
      <c r="MH4" s="91" t="str">
        <f>LEFT(MA4,2)&amp;RIGHT(MI4,3)</f>
        <v>4Q28E</v>
      </c>
      <c r="MI4" s="93" t="str">
        <f>CONCATENATE(TEXT(MH5,"YYYY"),"E")</f>
        <v>2028E</v>
      </c>
      <c r="MJ4" s="546"/>
    </row>
    <row r="5" spans="1:348" hidden="1" outlineLevel="1" x14ac:dyDescent="0.4">
      <c r="A5" s="41"/>
      <c r="B5" s="88" t="s">
        <v>1</v>
      </c>
      <c r="C5" s="407" t="s">
        <v>21</v>
      </c>
      <c r="D5" s="407" t="s">
        <v>21</v>
      </c>
      <c r="E5" s="407" t="s">
        <v>21</v>
      </c>
      <c r="F5" s="407" t="s">
        <v>21</v>
      </c>
      <c r="G5" s="407" t="s">
        <v>21</v>
      </c>
      <c r="H5" s="407" t="s">
        <v>21</v>
      </c>
      <c r="I5" s="407" t="s">
        <v>21</v>
      </c>
      <c r="J5" s="407" t="s">
        <v>21</v>
      </c>
      <c r="K5" s="407" t="s">
        <v>21</v>
      </c>
      <c r="L5" s="407" t="s">
        <v>21</v>
      </c>
      <c r="M5" s="407" t="s">
        <v>21</v>
      </c>
      <c r="N5" s="407" t="str">
        <f>BV5</f>
        <v>FY</v>
      </c>
      <c r="O5" s="407" t="str">
        <f>CC5</f>
        <v>FY</v>
      </c>
      <c r="P5" s="407" t="str">
        <f>CJ5</f>
        <v>FY</v>
      </c>
      <c r="Q5" s="407" t="str">
        <f>CQ5</f>
        <v>FY</v>
      </c>
      <c r="R5" s="407" t="str">
        <f>CX5</f>
        <v>FY</v>
      </c>
      <c r="S5" s="407" t="str">
        <f>DE5</f>
        <v>FY</v>
      </c>
      <c r="T5" s="407" t="str">
        <f>DL5</f>
        <v>FY</v>
      </c>
      <c r="U5" s="407" t="str">
        <f>DS5</f>
        <v>FY</v>
      </c>
      <c r="V5" s="407" t="str">
        <f>DZ5</f>
        <v>FY</v>
      </c>
      <c r="W5" s="407" t="str">
        <f>EG5</f>
        <v>FY</v>
      </c>
      <c r="X5" s="407" t="str">
        <f>EN5</f>
        <v>FY</v>
      </c>
      <c r="Y5" s="407" t="str">
        <f>EU5</f>
        <v>FY</v>
      </c>
      <c r="Z5" s="407" t="str">
        <f>FB5</f>
        <v>FY</v>
      </c>
      <c r="AA5" s="407" t="str">
        <f>FI5</f>
        <v>FY</v>
      </c>
      <c r="AB5" s="407" t="str">
        <f>FP5</f>
        <v>FY</v>
      </c>
      <c r="AC5" s="407" t="str">
        <f>FW5</f>
        <v>FY</v>
      </c>
      <c r="AD5" s="407" t="str">
        <f>GD5</f>
        <v>FY</v>
      </c>
      <c r="AE5" s="407" t="str">
        <f>GK5</f>
        <v>FY</v>
      </c>
      <c r="AF5" s="407" t="str">
        <f>GR5</f>
        <v>FY</v>
      </c>
      <c r="AG5" s="407" t="str">
        <f>GY5</f>
        <v>FY</v>
      </c>
      <c r="AH5" s="407" t="str">
        <f>HF5</f>
        <v>FY</v>
      </c>
      <c r="AI5" s="407" t="str">
        <f>HM5</f>
        <v>FY</v>
      </c>
      <c r="AJ5" s="407" t="str">
        <f>HT5</f>
        <v>FY</v>
      </c>
      <c r="AK5" s="407" t="str">
        <f>IA5</f>
        <v>FY</v>
      </c>
      <c r="AL5" s="407" t="str">
        <f>IH5</f>
        <v>FY</v>
      </c>
      <c r="AM5" s="407" t="str">
        <f>IO5</f>
        <v>FY</v>
      </c>
      <c r="AN5" s="407" t="str">
        <f>IV5</f>
        <v>FY</v>
      </c>
      <c r="AO5" s="407" t="str">
        <f>JC5</f>
        <v>FY</v>
      </c>
      <c r="AP5" s="407" t="str">
        <f>JJ5</f>
        <v>FY</v>
      </c>
      <c r="AQ5" s="407" t="str">
        <f>JQ5</f>
        <v>FY</v>
      </c>
      <c r="AR5" s="407" t="str">
        <f>JX5</f>
        <v>FY</v>
      </c>
      <c r="AS5" s="407" t="str">
        <f>KE5</f>
        <v>FY</v>
      </c>
      <c r="AT5" s="407" t="str">
        <f>KL5</f>
        <v>FY</v>
      </c>
      <c r="AU5" s="407" t="str">
        <f>KS5</f>
        <v>FY</v>
      </c>
      <c r="AV5" s="407" t="str">
        <f>KZ5</f>
        <v>FY</v>
      </c>
      <c r="AW5" s="407" t="str">
        <f>LG5</f>
        <v>FY</v>
      </c>
      <c r="AX5" s="407" t="str">
        <f>LN5</f>
        <v>FY</v>
      </c>
      <c r="AY5" s="407" t="str">
        <f>LU5</f>
        <v>FY</v>
      </c>
      <c r="AZ5" s="407" t="str">
        <f>MB5</f>
        <v>FY</v>
      </c>
      <c r="BA5" s="407" t="str">
        <f>MI5</f>
        <v>FY</v>
      </c>
      <c r="BB5" s="407"/>
      <c r="BC5" s="407"/>
      <c r="BD5" s="407"/>
      <c r="BE5" s="407"/>
      <c r="BF5" s="407"/>
      <c r="BG5" s="407"/>
      <c r="BH5" s="407"/>
      <c r="BI5" s="407"/>
      <c r="BJ5" s="407"/>
      <c r="BK5" s="407"/>
      <c r="BL5" s="407"/>
      <c r="BM5" s="407"/>
      <c r="BN5" s="407"/>
      <c r="BO5" s="407"/>
      <c r="BQ5" s="88" t="s">
        <v>1</v>
      </c>
      <c r="BR5" s="92">
        <v>32598</v>
      </c>
      <c r="BS5" s="92">
        <f>EOMONTH(BR5,3)</f>
        <v>32689</v>
      </c>
      <c r="BT5" s="92">
        <f>EOMONTH(BS5,3)</f>
        <v>32781</v>
      </c>
      <c r="BU5" s="92">
        <f>EOMONTH(BT5,3)</f>
        <v>32873</v>
      </c>
      <c r="BV5" s="92" t="s">
        <v>21</v>
      </c>
      <c r="BX5" s="88" t="s">
        <v>1</v>
      </c>
      <c r="BY5" s="92">
        <f>EOMONTH(BR5,12)</f>
        <v>32963</v>
      </c>
      <c r="BZ5" s="92">
        <f>EOMONTH(BY5,3)</f>
        <v>33054</v>
      </c>
      <c r="CA5" s="92">
        <f>EOMONTH(BZ5,3)</f>
        <v>33146</v>
      </c>
      <c r="CB5" s="92">
        <f>EOMONTH(CA5,3)</f>
        <v>33238</v>
      </c>
      <c r="CC5" s="92" t="s">
        <v>21</v>
      </c>
      <c r="CE5" s="88" t="s">
        <v>1</v>
      </c>
      <c r="CF5" s="92">
        <f>EOMONTH(BY5,12)</f>
        <v>33328</v>
      </c>
      <c r="CG5" s="92">
        <f>EOMONTH(CF5,3)</f>
        <v>33419</v>
      </c>
      <c r="CH5" s="92">
        <f>EOMONTH(CG5,3)</f>
        <v>33511</v>
      </c>
      <c r="CI5" s="92">
        <f>EOMONTH(CH5,3)</f>
        <v>33603</v>
      </c>
      <c r="CJ5" s="92" t="s">
        <v>21</v>
      </c>
      <c r="CL5" s="88" t="s">
        <v>1</v>
      </c>
      <c r="CM5" s="92">
        <f>EOMONTH(CF5,12)</f>
        <v>33694</v>
      </c>
      <c r="CN5" s="92">
        <f>EOMONTH(CM5,3)</f>
        <v>33785</v>
      </c>
      <c r="CO5" s="92">
        <f>EOMONTH(CN5,3)</f>
        <v>33877</v>
      </c>
      <c r="CP5" s="92">
        <f>EOMONTH(CO5,3)</f>
        <v>33969</v>
      </c>
      <c r="CQ5" s="92" t="s">
        <v>21</v>
      </c>
      <c r="CR5" s="655"/>
      <c r="CS5" s="88" t="s">
        <v>1</v>
      </c>
      <c r="CT5" s="92">
        <f>EOMONTH(CM5,12)</f>
        <v>34059</v>
      </c>
      <c r="CU5" s="92">
        <f>EOMONTH(CT5,3)</f>
        <v>34150</v>
      </c>
      <c r="CV5" s="92">
        <f>EOMONTH(CU5,3)</f>
        <v>34242</v>
      </c>
      <c r="CW5" s="92">
        <f>EOMONTH(CV5,3)</f>
        <v>34334</v>
      </c>
      <c r="CX5" s="92" t="s">
        <v>21</v>
      </c>
      <c r="CY5" s="655"/>
      <c r="CZ5" s="88" t="s">
        <v>1</v>
      </c>
      <c r="DA5" s="92">
        <f>EOMONTH(CT5,12)</f>
        <v>34424</v>
      </c>
      <c r="DB5" s="92">
        <f>EOMONTH(DA5,3)</f>
        <v>34515</v>
      </c>
      <c r="DC5" s="92">
        <f>EOMONTH(DB5,3)</f>
        <v>34607</v>
      </c>
      <c r="DD5" s="92">
        <f>EOMONTH(DC5,3)</f>
        <v>34699</v>
      </c>
      <c r="DE5" s="92" t="s">
        <v>21</v>
      </c>
      <c r="DF5" s="655"/>
      <c r="DG5" s="88" t="s">
        <v>1</v>
      </c>
      <c r="DH5" s="92">
        <f>EOMONTH(DA5,12)</f>
        <v>34789</v>
      </c>
      <c r="DI5" s="92">
        <f>EOMONTH(DH5,3)</f>
        <v>34880</v>
      </c>
      <c r="DJ5" s="92">
        <f>EOMONTH(DI5,3)</f>
        <v>34972</v>
      </c>
      <c r="DK5" s="92">
        <f>EOMONTH(DJ5,3)</f>
        <v>35064</v>
      </c>
      <c r="DL5" s="92" t="s">
        <v>21</v>
      </c>
      <c r="DM5" s="655"/>
      <c r="DN5" s="88" t="s">
        <v>1</v>
      </c>
      <c r="DO5" s="92">
        <f>EOMONTH(DH5,12)</f>
        <v>35155</v>
      </c>
      <c r="DP5" s="92">
        <f>EOMONTH(DO5,3)</f>
        <v>35246</v>
      </c>
      <c r="DQ5" s="92">
        <f>EOMONTH(DP5,3)</f>
        <v>35338</v>
      </c>
      <c r="DR5" s="92">
        <f>EOMONTH(DQ5,3)</f>
        <v>35430</v>
      </c>
      <c r="DS5" s="92" t="s">
        <v>21</v>
      </c>
      <c r="DT5" s="655"/>
      <c r="DU5" s="88" t="s">
        <v>1</v>
      </c>
      <c r="DV5" s="92">
        <f>EOMONTH(DO5,12)</f>
        <v>35520</v>
      </c>
      <c r="DW5" s="92">
        <f>EOMONTH(DV5,3)</f>
        <v>35611</v>
      </c>
      <c r="DX5" s="92">
        <f>EOMONTH(DW5,3)</f>
        <v>35703</v>
      </c>
      <c r="DY5" s="92">
        <f>EOMONTH(DX5,3)</f>
        <v>35795</v>
      </c>
      <c r="DZ5" s="92" t="s">
        <v>21</v>
      </c>
      <c r="EA5" s="655"/>
      <c r="EB5" s="88" t="s">
        <v>1</v>
      </c>
      <c r="EC5" s="92">
        <f>EOMONTH(DV5,12)</f>
        <v>35885</v>
      </c>
      <c r="ED5" s="92">
        <f>EOMONTH(EC5,3)</f>
        <v>35976</v>
      </c>
      <c r="EE5" s="92">
        <f>EOMONTH(ED5,3)</f>
        <v>36068</v>
      </c>
      <c r="EF5" s="92">
        <f>EOMONTH(EE5,3)</f>
        <v>36160</v>
      </c>
      <c r="EG5" s="92" t="s">
        <v>21</v>
      </c>
      <c r="EH5" s="655"/>
      <c r="EI5" s="88" t="s">
        <v>1</v>
      </c>
      <c r="EJ5" s="92">
        <f>EOMONTH(EC5,12)</f>
        <v>36250</v>
      </c>
      <c r="EK5" s="92">
        <f>EOMONTH(EJ5,3)</f>
        <v>36341</v>
      </c>
      <c r="EL5" s="92">
        <f>EOMONTH(EK5,3)</f>
        <v>36433</v>
      </c>
      <c r="EM5" s="92">
        <f>EOMONTH(EL5,3)</f>
        <v>36525</v>
      </c>
      <c r="EN5" s="92" t="s">
        <v>21</v>
      </c>
      <c r="EO5" s="655"/>
      <c r="EP5" s="88" t="s">
        <v>1</v>
      </c>
      <c r="EQ5" s="92">
        <f>EOMONTH(EJ5,12)</f>
        <v>36616</v>
      </c>
      <c r="ER5" s="92">
        <f>EOMONTH(EQ5,3)</f>
        <v>36707</v>
      </c>
      <c r="ES5" s="92">
        <f>EOMONTH(ER5,3)</f>
        <v>36799</v>
      </c>
      <c r="ET5" s="92">
        <f>EOMONTH(ES5,3)</f>
        <v>36891</v>
      </c>
      <c r="EU5" s="92" t="s">
        <v>21</v>
      </c>
      <c r="EW5" s="88" t="s">
        <v>1</v>
      </c>
      <c r="EX5" s="92">
        <f>EOMONTH(EQ5,12)</f>
        <v>36981</v>
      </c>
      <c r="EY5" s="92">
        <f>EOMONTH(EX5,3)</f>
        <v>37072</v>
      </c>
      <c r="EZ5" s="92">
        <f>EOMONTH(EY5,3)</f>
        <v>37164</v>
      </c>
      <c r="FA5" s="92">
        <f>EOMONTH(EZ5,3)</f>
        <v>37256</v>
      </c>
      <c r="FB5" s="92" t="s">
        <v>21</v>
      </c>
      <c r="FD5" s="88" t="s">
        <v>1</v>
      </c>
      <c r="FE5" s="92">
        <f>EOMONTH(EX5,12)</f>
        <v>37346</v>
      </c>
      <c r="FF5" s="92">
        <f>EOMONTH(FE5,3)</f>
        <v>37437</v>
      </c>
      <c r="FG5" s="92">
        <f>EOMONTH(FF5,3)</f>
        <v>37529</v>
      </c>
      <c r="FH5" s="92">
        <f>EOMONTH(FG5,3)</f>
        <v>37621</v>
      </c>
      <c r="FI5" s="92" t="s">
        <v>21</v>
      </c>
      <c r="FK5" s="88" t="s">
        <v>1</v>
      </c>
      <c r="FL5" s="92">
        <f>EOMONTH(FE5,12)</f>
        <v>37711</v>
      </c>
      <c r="FM5" s="92">
        <f>EOMONTH(FL5,3)</f>
        <v>37802</v>
      </c>
      <c r="FN5" s="92">
        <f>EOMONTH(FM5,3)</f>
        <v>37894</v>
      </c>
      <c r="FO5" s="92">
        <f>EOMONTH(FN5,3)</f>
        <v>37986</v>
      </c>
      <c r="FP5" s="92" t="s">
        <v>21</v>
      </c>
      <c r="FR5" s="88" t="s">
        <v>1</v>
      </c>
      <c r="FS5" s="92">
        <f>EOMONTH(FL5,12)</f>
        <v>38077</v>
      </c>
      <c r="FT5" s="92">
        <f>EOMONTH(FS5,3)</f>
        <v>38168</v>
      </c>
      <c r="FU5" s="92">
        <f>EOMONTH(FT5,3)</f>
        <v>38260</v>
      </c>
      <c r="FV5" s="92">
        <f>EOMONTH(FU5,3)</f>
        <v>38352</v>
      </c>
      <c r="FW5" s="92" t="s">
        <v>21</v>
      </c>
      <c r="FY5" s="88" t="s">
        <v>1</v>
      </c>
      <c r="FZ5" s="92">
        <f>EOMONTH(FS5,12)</f>
        <v>38442</v>
      </c>
      <c r="GA5" s="92">
        <f>EOMONTH(FZ5,3)</f>
        <v>38533</v>
      </c>
      <c r="GB5" s="92">
        <f>EOMONTH(GA5,3)</f>
        <v>38625</v>
      </c>
      <c r="GC5" s="92">
        <f>EOMONTH(GB5,3)</f>
        <v>38717</v>
      </c>
      <c r="GD5" s="92" t="s">
        <v>21</v>
      </c>
      <c r="GE5" s="655"/>
      <c r="GF5" s="88" t="s">
        <v>1</v>
      </c>
      <c r="GG5" s="92">
        <f>EOMONTH(FZ5,12)</f>
        <v>38807</v>
      </c>
      <c r="GH5" s="92">
        <f>EOMONTH(GG5,3)</f>
        <v>38898</v>
      </c>
      <c r="GI5" s="92">
        <f>EOMONTH(GH5,3)</f>
        <v>38990</v>
      </c>
      <c r="GJ5" s="92">
        <f>EOMONTH(GI5,3)</f>
        <v>39082</v>
      </c>
      <c r="GK5" s="92" t="s">
        <v>21</v>
      </c>
      <c r="GL5" s="655"/>
      <c r="GM5" s="88" t="s">
        <v>1</v>
      </c>
      <c r="GN5" s="92">
        <f>EOMONTH(GG5,12)</f>
        <v>39172</v>
      </c>
      <c r="GO5" s="92">
        <f>EOMONTH(GN5,3)</f>
        <v>39263</v>
      </c>
      <c r="GP5" s="92">
        <f>EOMONTH(GO5,3)</f>
        <v>39355</v>
      </c>
      <c r="GQ5" s="92">
        <f>EOMONTH(GP5,3)</f>
        <v>39447</v>
      </c>
      <c r="GR5" s="92" t="s">
        <v>21</v>
      </c>
      <c r="GS5" s="655"/>
      <c r="GT5" s="88" t="s">
        <v>1</v>
      </c>
      <c r="GU5" s="92">
        <f>EOMONTH(GN5,12)</f>
        <v>39538</v>
      </c>
      <c r="GV5" s="92">
        <f>EOMONTH(GU5,3)</f>
        <v>39629</v>
      </c>
      <c r="GW5" s="92">
        <f>EOMONTH(GV5,3)</f>
        <v>39721</v>
      </c>
      <c r="GX5" s="92">
        <f>EOMONTH(GW5,3)</f>
        <v>39813</v>
      </c>
      <c r="GY5" s="92" t="s">
        <v>21</v>
      </c>
      <c r="GZ5" s="655"/>
      <c r="HA5" s="88" t="s">
        <v>1</v>
      </c>
      <c r="HB5" s="92">
        <f>EOMONTH(GU5,12)</f>
        <v>39903</v>
      </c>
      <c r="HC5" s="92">
        <f>EOMONTH(HB5,3)</f>
        <v>39994</v>
      </c>
      <c r="HD5" s="92">
        <f>EOMONTH(HC5,3)</f>
        <v>40086</v>
      </c>
      <c r="HE5" s="92">
        <f>EOMONTH(HD5,3)</f>
        <v>40178</v>
      </c>
      <c r="HF5" s="92" t="s">
        <v>21</v>
      </c>
      <c r="HG5" s="655"/>
      <c r="HH5" s="88" t="s">
        <v>1</v>
      </c>
      <c r="HI5" s="92">
        <f>EOMONTH(HB5,12)</f>
        <v>40268</v>
      </c>
      <c r="HJ5" s="92">
        <f>EOMONTH(HI5,3)</f>
        <v>40359</v>
      </c>
      <c r="HK5" s="92">
        <f>EOMONTH(HJ5,3)</f>
        <v>40451</v>
      </c>
      <c r="HL5" s="92">
        <f>EOMONTH(HK5,3)</f>
        <v>40543</v>
      </c>
      <c r="HM5" s="92" t="s">
        <v>21</v>
      </c>
      <c r="HN5" s="655"/>
      <c r="HO5" s="88" t="s">
        <v>1</v>
      </c>
      <c r="HP5" s="92">
        <f>EOMONTH(HI5,12)</f>
        <v>40633</v>
      </c>
      <c r="HQ5" s="92">
        <f>EOMONTH(HP5,3)</f>
        <v>40724</v>
      </c>
      <c r="HR5" s="92">
        <f>EOMONTH(HQ5,3)</f>
        <v>40816</v>
      </c>
      <c r="HS5" s="92">
        <f>EOMONTH(HR5,3)</f>
        <v>40908</v>
      </c>
      <c r="HT5" s="92" t="s">
        <v>21</v>
      </c>
      <c r="HU5" s="655"/>
      <c r="HV5" s="88" t="s">
        <v>1</v>
      </c>
      <c r="HW5" s="92">
        <f>EOMONTH(HP5,12)</f>
        <v>40999</v>
      </c>
      <c r="HX5" s="92">
        <f>EOMONTH(HW5,3)</f>
        <v>41090</v>
      </c>
      <c r="HY5" s="92">
        <f>EOMONTH(HX5,3)</f>
        <v>41182</v>
      </c>
      <c r="HZ5" s="92">
        <f>EOMONTH(HY5,3)</f>
        <v>41274</v>
      </c>
      <c r="IA5" s="92" t="s">
        <v>21</v>
      </c>
      <c r="IB5" s="655"/>
      <c r="IC5" s="88" t="s">
        <v>1</v>
      </c>
      <c r="ID5" s="92">
        <f>EOMONTH(HW5,12)</f>
        <v>41364</v>
      </c>
      <c r="IE5" s="92">
        <f>EOMONTH(ID5,3)</f>
        <v>41455</v>
      </c>
      <c r="IF5" s="92">
        <f>EOMONTH(IE5,3)</f>
        <v>41547</v>
      </c>
      <c r="IG5" s="92">
        <f>EOMONTH(IF5,3)</f>
        <v>41639</v>
      </c>
      <c r="IH5" s="92" t="s">
        <v>21</v>
      </c>
      <c r="II5" s="655"/>
      <c r="IJ5" s="88" t="s">
        <v>1</v>
      </c>
      <c r="IK5" s="92">
        <f>EOMONTH(ID5,12)</f>
        <v>41729</v>
      </c>
      <c r="IL5" s="92">
        <f>EOMONTH(IK5,3)</f>
        <v>41820</v>
      </c>
      <c r="IM5" s="92">
        <f>EOMONTH(IL5,3)</f>
        <v>41912</v>
      </c>
      <c r="IN5" s="92">
        <f>EOMONTH(IM5,3)</f>
        <v>42004</v>
      </c>
      <c r="IO5" s="92" t="s">
        <v>21</v>
      </c>
      <c r="IP5" s="655"/>
      <c r="IQ5" s="88" t="s">
        <v>1</v>
      </c>
      <c r="IR5" s="92">
        <f>EOMONTH(IK5,12)</f>
        <v>42094</v>
      </c>
      <c r="IS5" s="92">
        <f>EOMONTH(IR5,3)</f>
        <v>42185</v>
      </c>
      <c r="IT5" s="92">
        <f>EOMONTH(IS5,3)</f>
        <v>42277</v>
      </c>
      <c r="IU5" s="92">
        <f>EOMONTH(IT5,3)</f>
        <v>42369</v>
      </c>
      <c r="IV5" s="92" t="s">
        <v>21</v>
      </c>
      <c r="IW5" s="655"/>
      <c r="IX5" s="88" t="s">
        <v>1</v>
      </c>
      <c r="IY5" s="92">
        <f>EOMONTH(IR5,12)</f>
        <v>42460</v>
      </c>
      <c r="IZ5" s="92">
        <f>EOMONTH(IY5,3)</f>
        <v>42551</v>
      </c>
      <c r="JA5" s="92">
        <f>EOMONTH(IZ5,3)</f>
        <v>42643</v>
      </c>
      <c r="JB5" s="92">
        <f>EOMONTH(JA5,3)</f>
        <v>42735</v>
      </c>
      <c r="JC5" s="92" t="s">
        <v>21</v>
      </c>
      <c r="JD5" s="655"/>
      <c r="JE5" s="88" t="s">
        <v>1</v>
      </c>
      <c r="JF5" s="92">
        <f>EOMONTH(IY5,12)</f>
        <v>42825</v>
      </c>
      <c r="JG5" s="92">
        <f>EOMONTH(JF5,3)</f>
        <v>42916</v>
      </c>
      <c r="JH5" s="92">
        <f>EOMONTH(JG5,3)</f>
        <v>43008</v>
      </c>
      <c r="JI5" s="92">
        <f>EOMONTH(JH5,3)</f>
        <v>43100</v>
      </c>
      <c r="JJ5" s="92" t="s">
        <v>21</v>
      </c>
      <c r="JK5" s="655"/>
      <c r="JL5" s="88" t="s">
        <v>1</v>
      </c>
      <c r="JM5" s="92">
        <f>EOMONTH(JF5,12)</f>
        <v>43190</v>
      </c>
      <c r="JN5" s="92">
        <f>EOMONTH(JM5,3)</f>
        <v>43281</v>
      </c>
      <c r="JO5" s="92">
        <f>EOMONTH(JN5,3)</f>
        <v>43373</v>
      </c>
      <c r="JP5" s="92">
        <f>EOMONTH(JO5,3)</f>
        <v>43465</v>
      </c>
      <c r="JQ5" s="92" t="s">
        <v>21</v>
      </c>
      <c r="JR5" s="655"/>
      <c r="JS5" s="88" t="s">
        <v>1</v>
      </c>
      <c r="JT5" s="92">
        <f>EOMONTH(JM5,12)</f>
        <v>43555</v>
      </c>
      <c r="JU5" s="92">
        <f>EOMONTH(JT5,3)</f>
        <v>43646</v>
      </c>
      <c r="JV5" s="92">
        <f>EOMONTH(JU5,3)</f>
        <v>43738</v>
      </c>
      <c r="JW5" s="92">
        <f>EOMONTH(JV5,3)</f>
        <v>43830</v>
      </c>
      <c r="JX5" s="92" t="s">
        <v>21</v>
      </c>
      <c r="JY5" s="655"/>
      <c r="JZ5" s="88" t="s">
        <v>1</v>
      </c>
      <c r="KA5" s="92">
        <f>EOMONTH(JT5,12)</f>
        <v>43921</v>
      </c>
      <c r="KB5" s="92">
        <f>EOMONTH(KA5,3)</f>
        <v>44012</v>
      </c>
      <c r="KC5" s="92">
        <f>EOMONTH(KB5,3)</f>
        <v>44104</v>
      </c>
      <c r="KD5" s="92">
        <f>EOMONTH(KC5,3)</f>
        <v>44196</v>
      </c>
      <c r="KE5" s="92" t="s">
        <v>21</v>
      </c>
      <c r="KF5" s="655"/>
      <c r="KG5" s="88" t="s">
        <v>1</v>
      </c>
      <c r="KH5" s="92">
        <f>EOMONTH(KA5,12)</f>
        <v>44286</v>
      </c>
      <c r="KI5" s="92">
        <f>EOMONTH(KH5,3)</f>
        <v>44377</v>
      </c>
      <c r="KJ5" s="92">
        <f>EOMONTH(KI5,3)</f>
        <v>44469</v>
      </c>
      <c r="KK5" s="92">
        <f>EOMONTH(KJ5,3)</f>
        <v>44561</v>
      </c>
      <c r="KL5" s="92" t="s">
        <v>21</v>
      </c>
      <c r="KM5" s="655"/>
      <c r="KN5" s="88" t="s">
        <v>1</v>
      </c>
      <c r="KO5" s="92">
        <f>EOMONTH(KH5,12)</f>
        <v>44651</v>
      </c>
      <c r="KP5" s="92">
        <f>EOMONTH(KO5,3)</f>
        <v>44742</v>
      </c>
      <c r="KQ5" s="92">
        <f>EOMONTH(KP5,3)</f>
        <v>44834</v>
      </c>
      <c r="KR5" s="92">
        <f>EOMONTH(KQ5,3)</f>
        <v>44926</v>
      </c>
      <c r="KS5" s="92" t="s">
        <v>21</v>
      </c>
      <c r="KT5" s="655"/>
      <c r="KU5" s="88" t="s">
        <v>1</v>
      </c>
      <c r="KV5" s="92">
        <f>EOMONTH(KO5,12)</f>
        <v>45016</v>
      </c>
      <c r="KW5" s="92">
        <f>EOMONTH(KV5,3)</f>
        <v>45107</v>
      </c>
      <c r="KX5" s="92">
        <f>EOMONTH(KW5,3)</f>
        <v>45199</v>
      </c>
      <c r="KY5" s="92">
        <f>EOMONTH(KX5,3)</f>
        <v>45291</v>
      </c>
      <c r="KZ5" s="92" t="s">
        <v>21</v>
      </c>
      <c r="LA5" s="655"/>
      <c r="LB5" s="88" t="s">
        <v>1</v>
      </c>
      <c r="LC5" s="92">
        <f>EOMONTH(KV5,12)</f>
        <v>45382</v>
      </c>
      <c r="LD5" s="92">
        <f>EOMONTH(LC5,3)</f>
        <v>45473</v>
      </c>
      <c r="LE5" s="92">
        <f>EOMONTH(LD5,3)</f>
        <v>45565</v>
      </c>
      <c r="LF5" s="92">
        <f>EOMONTH(LE5,3)</f>
        <v>45657</v>
      </c>
      <c r="LG5" s="95" t="s">
        <v>21</v>
      </c>
      <c r="LH5" s="547"/>
      <c r="LI5" s="88" t="s">
        <v>1</v>
      </c>
      <c r="LJ5" s="92">
        <f>EOMONTH(LC5,12)</f>
        <v>45747</v>
      </c>
      <c r="LK5" s="92">
        <f>EOMONTH(LJ5,3)</f>
        <v>45838</v>
      </c>
      <c r="LL5" s="92">
        <f>EOMONTH(LK5,3)</f>
        <v>45930</v>
      </c>
      <c r="LM5" s="92">
        <f>EOMONTH(LL5,3)</f>
        <v>46022</v>
      </c>
      <c r="LN5" s="95" t="s">
        <v>21</v>
      </c>
      <c r="LO5" s="547"/>
      <c r="LP5" s="88" t="s">
        <v>1</v>
      </c>
      <c r="LQ5" s="92">
        <f>EOMONTH(LJ5,12)</f>
        <v>46112</v>
      </c>
      <c r="LR5" s="92">
        <f>EOMONTH(LQ5,3)</f>
        <v>46203</v>
      </c>
      <c r="LS5" s="92">
        <f>EOMONTH(LR5,3)</f>
        <v>46295</v>
      </c>
      <c r="LT5" s="92">
        <f>EOMONTH(LS5,3)</f>
        <v>46387</v>
      </c>
      <c r="LU5" s="95" t="s">
        <v>21</v>
      </c>
      <c r="LV5" s="547"/>
      <c r="LW5" s="88" t="s">
        <v>1</v>
      </c>
      <c r="LX5" s="92">
        <f>EOMONTH(LQ5,12)</f>
        <v>46477</v>
      </c>
      <c r="LY5" s="92">
        <f>EOMONTH(LX5,3)</f>
        <v>46568</v>
      </c>
      <c r="LZ5" s="92">
        <f>EOMONTH(LY5,3)</f>
        <v>46660</v>
      </c>
      <c r="MA5" s="92">
        <f>EOMONTH(LZ5,3)</f>
        <v>46752</v>
      </c>
      <c r="MB5" s="95" t="s">
        <v>21</v>
      </c>
      <c r="MC5" s="547"/>
      <c r="MD5" s="88" t="s">
        <v>1</v>
      </c>
      <c r="ME5" s="92">
        <f>EOMONTH(LX5,12)</f>
        <v>46843</v>
      </c>
      <c r="MF5" s="92">
        <f>EOMONTH(ME5,3)</f>
        <v>46934</v>
      </c>
      <c r="MG5" s="92">
        <f>EOMONTH(MF5,3)</f>
        <v>47026</v>
      </c>
      <c r="MH5" s="92">
        <f>EOMONTH(MG5,3)</f>
        <v>47118</v>
      </c>
      <c r="MI5" s="95" t="s">
        <v>21</v>
      </c>
      <c r="MJ5" s="547"/>
    </row>
    <row r="6" spans="1:348" hidden="1" outlineLevel="1" x14ac:dyDescent="0.4">
      <c r="A6" s="37"/>
      <c r="B6" s="37"/>
      <c r="BQ6" s="37"/>
      <c r="BX6" s="37"/>
      <c r="CE6" s="37"/>
      <c r="CL6" s="37"/>
      <c r="CS6" s="37"/>
      <c r="CZ6" s="37"/>
      <c r="DG6" s="37"/>
      <c r="DN6" s="37"/>
      <c r="DU6" s="37"/>
      <c r="EB6" s="37"/>
      <c r="EI6" s="37"/>
      <c r="EP6" s="37"/>
      <c r="EW6" s="37"/>
      <c r="FD6" s="37"/>
      <c r="FK6" s="37"/>
      <c r="FR6" s="37"/>
      <c r="FY6" s="37"/>
      <c r="GF6" s="37"/>
      <c r="GM6" s="37"/>
      <c r="GT6" s="37"/>
      <c r="HA6" s="37"/>
      <c r="HH6" s="37"/>
      <c r="HO6" s="37"/>
      <c r="HV6" s="37"/>
      <c r="IC6" s="37"/>
      <c r="IJ6" s="37"/>
      <c r="IQ6" s="37"/>
      <c r="IX6" s="37"/>
      <c r="JE6" s="37"/>
      <c r="JL6" s="37"/>
      <c r="JS6" s="37"/>
      <c r="JZ6" s="37"/>
      <c r="KG6" s="37"/>
      <c r="KN6" s="37"/>
      <c r="KU6" s="37"/>
      <c r="LB6" s="37"/>
      <c r="LI6" s="37"/>
      <c r="LP6" s="37"/>
      <c r="LW6" s="37"/>
      <c r="MD6" s="37"/>
    </row>
    <row r="7" spans="1:348" hidden="1" outlineLevel="1" x14ac:dyDescent="0.4">
      <c r="A7" s="656"/>
      <c r="B7" s="657" t="s">
        <v>2</v>
      </c>
      <c r="C7" s="658">
        <f t="shared" ref="C7:M7" si="5">+C20</f>
        <v>3623.5250000000001</v>
      </c>
      <c r="D7" s="658">
        <f t="shared" si="5"/>
        <v>4219.8999999999996</v>
      </c>
      <c r="E7" s="658">
        <f t="shared" si="5"/>
        <v>4723.3999999999996</v>
      </c>
      <c r="F7" s="658">
        <f t="shared" si="5"/>
        <v>5345.2</v>
      </c>
      <c r="G7" s="658">
        <f t="shared" si="5"/>
        <v>4855</v>
      </c>
      <c r="H7" s="658">
        <f t="shared" si="5"/>
        <v>4902</v>
      </c>
      <c r="I7" s="658">
        <f t="shared" si="5"/>
        <v>5597</v>
      </c>
      <c r="J7" s="658">
        <f t="shared" si="5"/>
        <v>5361</v>
      </c>
      <c r="K7" s="658">
        <f t="shared" si="5"/>
        <v>6024</v>
      </c>
      <c r="L7" s="658">
        <f t="shared" si="5"/>
        <v>6950</v>
      </c>
      <c r="M7" s="658">
        <f t="shared" si="5"/>
        <v>7592</v>
      </c>
      <c r="N7" s="658">
        <f>BV7</f>
        <v>7745.0000000000009</v>
      </c>
      <c r="O7" s="658">
        <f>CC7</f>
        <v>8205.3170000000009</v>
      </c>
      <c r="P7" s="658">
        <f>CJ7</f>
        <v>8636.3000000000011</v>
      </c>
      <c r="Q7" s="658">
        <f>CQ7</f>
        <v>8734.1</v>
      </c>
      <c r="R7" s="658">
        <f>CX7</f>
        <v>8940.5</v>
      </c>
      <c r="S7" s="658">
        <f>DE7</f>
        <v>9608</v>
      </c>
      <c r="T7" s="658">
        <f>DL7</f>
        <v>10304</v>
      </c>
      <c r="U7" s="658">
        <f>DS7</f>
        <v>10536</v>
      </c>
      <c r="V7" s="658">
        <f>DZ7</f>
        <v>10963</v>
      </c>
      <c r="W7" s="658">
        <f>EG7</f>
        <v>9861</v>
      </c>
      <c r="X7" s="658">
        <f>EN7</f>
        <v>10811</v>
      </c>
      <c r="Y7" s="658">
        <f>EU7</f>
        <v>8435</v>
      </c>
      <c r="Z7" s="658">
        <f>FB7</f>
        <v>8110</v>
      </c>
      <c r="AA7" s="658">
        <f>FI7</f>
        <v>8152</v>
      </c>
      <c r="AB7" s="658">
        <f>FP7</f>
        <v>7567</v>
      </c>
      <c r="AC7" s="658">
        <f>FW7</f>
        <v>8025</v>
      </c>
      <c r="AD7" s="658">
        <f>GD7</f>
        <v>8601</v>
      </c>
      <c r="AE7" s="658">
        <f>GK7</f>
        <v>9566</v>
      </c>
      <c r="AF7" s="658">
        <f>GR7</f>
        <v>10030</v>
      </c>
      <c r="AG7" s="658">
        <f>GY7</f>
        <v>11255</v>
      </c>
      <c r="AH7" s="658">
        <f>HF7</f>
        <v>9041</v>
      </c>
      <c r="AI7" s="658">
        <f>HM7</f>
        <v>10636</v>
      </c>
      <c r="AJ7" s="658">
        <f>HT7</f>
        <v>11743</v>
      </c>
      <c r="AK7" s="658">
        <f>IA7</f>
        <v>11756</v>
      </c>
      <c r="AL7" s="658">
        <f>IH7</f>
        <v>12058</v>
      </c>
      <c r="AM7" s="658">
        <f>IO7</f>
        <v>12669</v>
      </c>
      <c r="AN7" s="658">
        <f>IV7</f>
        <v>11811</v>
      </c>
      <c r="AO7" s="658">
        <f>JC7</f>
        <v>11069</v>
      </c>
      <c r="AP7" s="658">
        <f>JJ7</f>
        <v>11408</v>
      </c>
      <c r="AQ7" s="658">
        <f>JQ7</f>
        <v>12250</v>
      </c>
      <c r="AR7" s="658">
        <f>JX7</f>
        <v>11937</v>
      </c>
      <c r="AS7" s="658">
        <f>KE7</f>
        <v>10583</v>
      </c>
      <c r="AT7" s="658">
        <f>KL7</f>
        <v>12522</v>
      </c>
      <c r="AU7" s="658">
        <f>KS7</f>
        <v>14853</v>
      </c>
      <c r="AV7" s="658">
        <f>KZ7</f>
        <v>14657</v>
      </c>
      <c r="AW7" s="658">
        <f>LG7</f>
        <v>14540</v>
      </c>
      <c r="AX7" s="658">
        <f>LN7</f>
        <v>14092</v>
      </c>
      <c r="AY7" s="658">
        <f>LU7</f>
        <v>14494.795274999997</v>
      </c>
      <c r="AZ7" s="658">
        <f>MB7</f>
        <v>15180.905860184219</v>
      </c>
      <c r="BA7" s="658">
        <f>MI7</f>
        <v>15848.637389025456</v>
      </c>
      <c r="BB7" s="658"/>
      <c r="BC7" s="658"/>
      <c r="BD7" s="658"/>
      <c r="BE7" s="658"/>
      <c r="BF7" s="658"/>
      <c r="BG7" s="658"/>
      <c r="BH7" s="658"/>
      <c r="BI7" s="658"/>
      <c r="BJ7" s="658"/>
      <c r="BK7" s="658"/>
      <c r="BL7" s="658"/>
      <c r="BM7" s="658"/>
      <c r="BN7" s="658"/>
      <c r="BO7" s="658"/>
      <c r="BQ7" s="657" t="s">
        <v>2</v>
      </c>
      <c r="BR7" s="659">
        <f>+BR20</f>
        <v>1843.8</v>
      </c>
      <c r="BS7" s="659">
        <f>+BS20</f>
        <v>1974</v>
      </c>
      <c r="BT7" s="659">
        <f>+BT20</f>
        <v>1892.9</v>
      </c>
      <c r="BU7" s="659">
        <f>+BU20</f>
        <v>2034.3</v>
      </c>
      <c r="BV7" s="659">
        <f>+BV20</f>
        <v>7745.0000000000009</v>
      </c>
      <c r="BX7" s="657" t="s">
        <v>2</v>
      </c>
      <c r="BY7" s="659">
        <f>+BY20</f>
        <v>1907.7</v>
      </c>
      <c r="BZ7" s="659">
        <f>+BZ20</f>
        <v>2046.9</v>
      </c>
      <c r="CA7" s="659">
        <f>+CA20</f>
        <v>2063</v>
      </c>
      <c r="CB7" s="659">
        <f>+CB20</f>
        <v>2187.7170000000001</v>
      </c>
      <c r="CC7" s="659">
        <f>+CC20</f>
        <v>8205.3170000000009</v>
      </c>
      <c r="CE7" s="657" t="s">
        <v>2</v>
      </c>
      <c r="CF7" s="659">
        <f>+CF20</f>
        <v>2030.3</v>
      </c>
      <c r="CG7" s="659">
        <f>+CG20</f>
        <v>2125</v>
      </c>
      <c r="CH7" s="659">
        <f>+CH20</f>
        <v>2204.9</v>
      </c>
      <c r="CI7" s="659">
        <f>+CI20</f>
        <v>2276.1</v>
      </c>
      <c r="CJ7" s="659">
        <f>+CJ20</f>
        <v>8636.3000000000011</v>
      </c>
      <c r="CL7" s="657" t="s">
        <v>2</v>
      </c>
      <c r="CM7" s="659">
        <f>+CM20</f>
        <v>2086.4</v>
      </c>
      <c r="CN7" s="659">
        <f>+CN20</f>
        <v>2188.1999999999998</v>
      </c>
      <c r="CO7" s="659">
        <f>+CO20</f>
        <v>2214.3000000000002</v>
      </c>
      <c r="CP7" s="659">
        <f>+CP20</f>
        <v>2245.1999999999998</v>
      </c>
      <c r="CQ7" s="659">
        <f>+CQ20</f>
        <v>8734.1</v>
      </c>
      <c r="CS7" s="657" t="s">
        <v>2</v>
      </c>
      <c r="CT7" s="659">
        <f>+CT20</f>
        <v>2123.3000000000002</v>
      </c>
      <c r="CU7" s="659">
        <f>+CU20</f>
        <v>2263.5</v>
      </c>
      <c r="CV7" s="659">
        <f>+CV20</f>
        <v>2238.6999999999998</v>
      </c>
      <c r="CW7" s="659">
        <f>+CW20</f>
        <v>2315</v>
      </c>
      <c r="CX7" s="659">
        <f>+CX20</f>
        <v>8940.5</v>
      </c>
      <c r="CZ7" s="657" t="s">
        <v>2</v>
      </c>
      <c r="DA7" s="659">
        <f>+DA20</f>
        <v>2227</v>
      </c>
      <c r="DB7" s="659">
        <f>+DB20</f>
        <v>2371</v>
      </c>
      <c r="DC7" s="659">
        <f>+DC20</f>
        <v>2470</v>
      </c>
      <c r="DD7" s="659">
        <f>+DD20</f>
        <v>2540</v>
      </c>
      <c r="DE7" s="659">
        <f>+DE20</f>
        <v>9608</v>
      </c>
      <c r="DG7" s="657" t="s">
        <v>2</v>
      </c>
      <c r="DH7" s="659">
        <f>+DH20</f>
        <v>2444</v>
      </c>
      <c r="DI7" s="659">
        <f>+DI20</f>
        <v>2549</v>
      </c>
      <c r="DJ7" s="659">
        <f>+DJ20</f>
        <v>2601</v>
      </c>
      <c r="DK7" s="659">
        <f>+DK20</f>
        <v>2710</v>
      </c>
      <c r="DL7" s="659">
        <f>+DL20</f>
        <v>10304</v>
      </c>
      <c r="DN7" s="657" t="s">
        <v>2</v>
      </c>
      <c r="DO7" s="659">
        <f>+DO20</f>
        <v>2514</v>
      </c>
      <c r="DP7" s="659">
        <f>+DP20</f>
        <v>2672</v>
      </c>
      <c r="DQ7" s="659">
        <f>+DQ20</f>
        <v>2647</v>
      </c>
      <c r="DR7" s="659">
        <f>+DR20</f>
        <v>2703</v>
      </c>
      <c r="DS7" s="659">
        <f>+DS20</f>
        <v>10536</v>
      </c>
      <c r="DU7" s="657" t="s">
        <v>2</v>
      </c>
      <c r="DV7" s="659">
        <f>+DV20</f>
        <v>2567</v>
      </c>
      <c r="DW7" s="659">
        <f>+DW20</f>
        <v>2678</v>
      </c>
      <c r="DX7" s="659">
        <f>+DX20</f>
        <v>2815</v>
      </c>
      <c r="DY7" s="659">
        <f>+DY20</f>
        <v>2903</v>
      </c>
      <c r="DZ7" s="659">
        <f>+DZ20</f>
        <v>10963</v>
      </c>
      <c r="EB7" s="657" t="s">
        <v>2</v>
      </c>
      <c r="EC7" s="659">
        <f>+EC20</f>
        <v>2442</v>
      </c>
      <c r="ED7" s="659">
        <f>+ED20</f>
        <v>2490</v>
      </c>
      <c r="EE7" s="659">
        <f>+EE20</f>
        <v>2429</v>
      </c>
      <c r="EF7" s="659">
        <f>+EF20</f>
        <v>2500</v>
      </c>
      <c r="EG7" s="659">
        <f>+EG20</f>
        <v>9861</v>
      </c>
      <c r="EI7" s="657" t="s">
        <v>2</v>
      </c>
      <c r="EJ7" s="659">
        <f>+EJ20</f>
        <v>2541</v>
      </c>
      <c r="EK7" s="659">
        <f>+EK20</f>
        <v>2616</v>
      </c>
      <c r="EL7" s="659">
        <f>+EL20</f>
        <v>2906</v>
      </c>
      <c r="EM7" s="659">
        <f>+EM20</f>
        <v>2748</v>
      </c>
      <c r="EN7" s="659">
        <f>+EN20</f>
        <v>10811</v>
      </c>
      <c r="EP7" s="657" t="s">
        <v>2</v>
      </c>
      <c r="EQ7" s="659">
        <f>+EQ20</f>
        <v>2147</v>
      </c>
      <c r="ER7" s="659">
        <f>+ER20</f>
        <v>2202</v>
      </c>
      <c r="ES7" s="659">
        <f>+ES20</f>
        <v>2039</v>
      </c>
      <c r="ET7" s="659">
        <f>+ET20</f>
        <v>2047</v>
      </c>
      <c r="EU7" s="659">
        <f>+EU20</f>
        <v>8435</v>
      </c>
      <c r="EW7" s="657" t="s">
        <v>2</v>
      </c>
      <c r="EX7" s="659">
        <f>+EX20</f>
        <v>2025</v>
      </c>
      <c r="EY7" s="659">
        <f>+EY20</f>
        <v>2057</v>
      </c>
      <c r="EZ7" s="659">
        <f>+EZ20</f>
        <v>2019</v>
      </c>
      <c r="FA7" s="659">
        <f>+FA20</f>
        <v>2009</v>
      </c>
      <c r="FB7" s="659">
        <f>+FB20</f>
        <v>8110</v>
      </c>
      <c r="FD7" s="657" t="s">
        <v>2</v>
      </c>
      <c r="FE7" s="659">
        <f>+FE20</f>
        <v>1964</v>
      </c>
      <c r="FF7" s="659">
        <f>+FF20</f>
        <v>2073</v>
      </c>
      <c r="FG7" s="659">
        <f>+FG20</f>
        <v>2055</v>
      </c>
      <c r="FH7" s="659">
        <f>+FH20</f>
        <v>2060</v>
      </c>
      <c r="FI7" s="659">
        <f>+FI20</f>
        <v>8152</v>
      </c>
      <c r="FK7" s="657" t="s">
        <v>2</v>
      </c>
      <c r="FL7" s="659">
        <f>+FL20</f>
        <v>1960</v>
      </c>
      <c r="FM7" s="659">
        <f>+FM20</f>
        <v>1888</v>
      </c>
      <c r="FN7" s="659">
        <f>+FN20</f>
        <v>1823</v>
      </c>
      <c r="FO7" s="659">
        <f>+FO20</f>
        <v>1896</v>
      </c>
      <c r="FP7" s="659">
        <f>+FP20</f>
        <v>7567</v>
      </c>
      <c r="FR7" s="657" t="s">
        <v>2</v>
      </c>
      <c r="FS7" s="659">
        <f>+FS20</f>
        <v>1920</v>
      </c>
      <c r="FT7" s="659">
        <f>+FT20</f>
        <v>1995</v>
      </c>
      <c r="FU7" s="659">
        <f>+FU20</f>
        <v>1938</v>
      </c>
      <c r="FV7" s="659">
        <f>+FV20</f>
        <v>2172</v>
      </c>
      <c r="FW7" s="659">
        <f>+FW20</f>
        <v>8025</v>
      </c>
      <c r="FY7" s="657" t="s">
        <v>2</v>
      </c>
      <c r="FZ7" s="659">
        <f>+FZ20</f>
        <v>2108</v>
      </c>
      <c r="GA7" s="659">
        <f>+GA20</f>
        <v>2149</v>
      </c>
      <c r="GB7" s="659">
        <f>+GB20</f>
        <v>2125</v>
      </c>
      <c r="GC7" s="659">
        <f>+GC20</f>
        <v>2219</v>
      </c>
      <c r="GD7" s="659">
        <f>+GD20</f>
        <v>8601</v>
      </c>
      <c r="GF7" s="657" t="s">
        <v>2</v>
      </c>
      <c r="GG7" s="659">
        <f>+GG20</f>
        <v>2331</v>
      </c>
      <c r="GH7" s="659">
        <f>+GH20</f>
        <v>2421</v>
      </c>
      <c r="GI7" s="659">
        <f>+GI20</f>
        <v>2418</v>
      </c>
      <c r="GJ7" s="659">
        <f>+GJ20</f>
        <v>2396</v>
      </c>
      <c r="GK7" s="659">
        <f>+GK20</f>
        <v>9566</v>
      </c>
      <c r="GM7" s="657" t="s">
        <v>2</v>
      </c>
      <c r="GN7" s="659">
        <f>+GN20</f>
        <v>2422</v>
      </c>
      <c r="GO7" s="659">
        <f>+GO20</f>
        <v>2530</v>
      </c>
      <c r="GP7" s="659">
        <f>+GP20</f>
        <v>2501</v>
      </c>
      <c r="GQ7" s="659">
        <f>+GQ20</f>
        <v>2577</v>
      </c>
      <c r="GR7" s="659">
        <f>+GR20</f>
        <v>10030</v>
      </c>
      <c r="GT7" s="657" t="s">
        <v>2</v>
      </c>
      <c r="GU7" s="659">
        <f>+GU20</f>
        <v>2713</v>
      </c>
      <c r="GV7" s="659">
        <f>+GV20</f>
        <v>2907</v>
      </c>
      <c r="GW7" s="659">
        <f>+GW20</f>
        <v>2961</v>
      </c>
      <c r="GX7" s="659">
        <f>+GX20</f>
        <v>2674</v>
      </c>
      <c r="GY7" s="659">
        <f>+GY20</f>
        <v>11255</v>
      </c>
      <c r="HA7" s="657" t="s">
        <v>2</v>
      </c>
      <c r="HB7" s="659">
        <f>+HB20</f>
        <v>2247</v>
      </c>
      <c r="HC7" s="659">
        <f>+HC20</f>
        <v>2185</v>
      </c>
      <c r="HD7" s="659">
        <f>+HD20</f>
        <v>2289</v>
      </c>
      <c r="HE7" s="659">
        <f>+HE20</f>
        <v>2320</v>
      </c>
      <c r="HF7" s="659">
        <f>+HF20</f>
        <v>9041</v>
      </c>
      <c r="HH7" s="657" t="s">
        <v>2</v>
      </c>
      <c r="HI7" s="659">
        <f>+HI20</f>
        <v>2491</v>
      </c>
      <c r="HJ7" s="659">
        <f>+HJ20</f>
        <v>2663</v>
      </c>
      <c r="HK7" s="659">
        <f>+HK20</f>
        <v>2666</v>
      </c>
      <c r="HL7" s="659">
        <f>+HL20</f>
        <v>2816</v>
      </c>
      <c r="HM7" s="659">
        <f>+HM20</f>
        <v>10636</v>
      </c>
      <c r="HO7" s="657" t="s">
        <v>2</v>
      </c>
      <c r="HP7" s="659">
        <f>+HP20</f>
        <v>2810</v>
      </c>
      <c r="HQ7" s="659">
        <f>+HQ20</f>
        <v>3019</v>
      </c>
      <c r="HR7" s="659">
        <f>+HR20</f>
        <v>2963</v>
      </c>
      <c r="HS7" s="659">
        <f>+HS20</f>
        <v>2951</v>
      </c>
      <c r="HT7" s="659">
        <f>+HT20</f>
        <v>11743</v>
      </c>
      <c r="HV7" s="657" t="s">
        <v>2</v>
      </c>
      <c r="HW7" s="659">
        <f>+HW20</f>
        <v>2966</v>
      </c>
      <c r="HX7" s="659">
        <f>+HX20</f>
        <v>3012</v>
      </c>
      <c r="HY7" s="659">
        <f>+HY20</f>
        <v>2894</v>
      </c>
      <c r="HZ7" s="659">
        <f>+HZ20</f>
        <v>2884</v>
      </c>
      <c r="IA7" s="659">
        <f>+IA20</f>
        <v>11756</v>
      </c>
      <c r="IC7" s="657" t="s">
        <v>2</v>
      </c>
      <c r="ID7" s="659">
        <f>+ID20</f>
        <v>2958</v>
      </c>
      <c r="IE7" s="659">
        <f>+IE20</f>
        <v>3069</v>
      </c>
      <c r="IF7" s="659">
        <f>+IF20</f>
        <v>2999</v>
      </c>
      <c r="IG7" s="659">
        <f>+IG20</f>
        <v>3032</v>
      </c>
      <c r="IH7" s="659">
        <f>+IH20</f>
        <v>12058</v>
      </c>
      <c r="IJ7" s="657" t="s">
        <v>2</v>
      </c>
      <c r="IK7" s="659">
        <f>+IK20</f>
        <v>3012</v>
      </c>
      <c r="IL7" s="659">
        <f>+IL20</f>
        <v>3244</v>
      </c>
      <c r="IM7" s="659">
        <f>+IM20</f>
        <v>3221</v>
      </c>
      <c r="IN7" s="659">
        <f>+IN20</f>
        <v>3192</v>
      </c>
      <c r="IO7" s="659">
        <f>+IO20</f>
        <v>12669</v>
      </c>
      <c r="IQ7" s="657" t="s">
        <v>2</v>
      </c>
      <c r="IR7" s="659">
        <f>+IR20</f>
        <v>3027</v>
      </c>
      <c r="IS7" s="659">
        <f>+IS20</f>
        <v>3064</v>
      </c>
      <c r="IT7" s="659">
        <f>+IT20</f>
        <v>2939</v>
      </c>
      <c r="IU7" s="659">
        <f>+IU20</f>
        <v>2781</v>
      </c>
      <c r="IV7" s="659">
        <f>+IV20</f>
        <v>11811</v>
      </c>
      <c r="IX7" s="657" t="s">
        <v>2</v>
      </c>
      <c r="IY7" s="659">
        <f>+IY20</f>
        <v>2618</v>
      </c>
      <c r="IZ7" s="659">
        <f>+IZ20</f>
        <v>2704</v>
      </c>
      <c r="JA7" s="659">
        <f>+JA20</f>
        <v>2710</v>
      </c>
      <c r="JB7" s="659">
        <f>+JB20</f>
        <v>3037</v>
      </c>
      <c r="JC7" s="659">
        <f>+JC20</f>
        <v>11069</v>
      </c>
      <c r="JE7" s="657" t="s">
        <v>2</v>
      </c>
      <c r="JF7" s="659">
        <f>+JF20</f>
        <v>2869</v>
      </c>
      <c r="JG7" s="659">
        <f>+JG20</f>
        <v>2933</v>
      </c>
      <c r="JH7" s="659">
        <f>+JH20</f>
        <v>2743</v>
      </c>
      <c r="JI7" s="659">
        <f>+JI20</f>
        <v>2863</v>
      </c>
      <c r="JJ7" s="659">
        <f>+JJ20</f>
        <v>11408</v>
      </c>
      <c r="JL7" s="657" t="s">
        <v>2</v>
      </c>
      <c r="JM7" s="659">
        <f>+JM20</f>
        <v>2876</v>
      </c>
      <c r="JN7" s="659">
        <f>+JN20</f>
        <v>3102</v>
      </c>
      <c r="JO7" s="659">
        <f>+JO20</f>
        <v>3129</v>
      </c>
      <c r="JP7" s="659">
        <f>+JP20</f>
        <v>3143</v>
      </c>
      <c r="JQ7" s="659">
        <f>+JQ20</f>
        <v>12250</v>
      </c>
      <c r="JS7" s="657" t="s">
        <v>2</v>
      </c>
      <c r="JT7" s="659">
        <f>+JT20</f>
        <v>3013</v>
      </c>
      <c r="JU7" s="659">
        <f>+JU20</f>
        <v>3061</v>
      </c>
      <c r="JV7" s="659">
        <f>+JV20</f>
        <v>2978</v>
      </c>
      <c r="JW7" s="659">
        <f>+JW20</f>
        <v>2885</v>
      </c>
      <c r="JX7" s="659">
        <f>+JX20</f>
        <v>11937</v>
      </c>
      <c r="JZ7" s="657" t="s">
        <v>2</v>
      </c>
      <c r="KA7" s="659">
        <f>+KA20</f>
        <v>2855</v>
      </c>
      <c r="KB7" s="659">
        <f>+KB20</f>
        <v>2255</v>
      </c>
      <c r="KC7" s="659">
        <f>+KC20</f>
        <v>2648</v>
      </c>
      <c r="KD7" s="659">
        <f>+KD20</f>
        <v>2825</v>
      </c>
      <c r="KE7" s="659">
        <f>+KE20</f>
        <v>10583</v>
      </c>
      <c r="KG7" s="657" t="s">
        <v>2</v>
      </c>
      <c r="KH7" s="659">
        <f>+KH20</f>
        <v>2813</v>
      </c>
      <c r="KI7" s="659">
        <f>+KI20</f>
        <v>2990</v>
      </c>
      <c r="KJ7" s="659">
        <f>+KJ20</f>
        <v>3292</v>
      </c>
      <c r="KK7" s="659">
        <f>+KK20</f>
        <v>3427</v>
      </c>
      <c r="KL7" s="659">
        <f>+KL20</f>
        <v>12522</v>
      </c>
      <c r="KN7" s="657" t="s">
        <v>2</v>
      </c>
      <c r="KO7" s="659">
        <f>+KO20</f>
        <v>3413</v>
      </c>
      <c r="KP7" s="659">
        <f>+KP20</f>
        <v>3815</v>
      </c>
      <c r="KQ7" s="659">
        <f>+KQ20</f>
        <v>3895</v>
      </c>
      <c r="KR7" s="659">
        <f>+KR20</f>
        <v>3730</v>
      </c>
      <c r="KS7" s="659">
        <f>+KS20</f>
        <v>14853</v>
      </c>
      <c r="KU7" s="657" t="s">
        <v>2</v>
      </c>
      <c r="KV7" s="659">
        <f>+KV20</f>
        <v>3706</v>
      </c>
      <c r="KW7" s="659">
        <f>+KW20</f>
        <v>3699</v>
      </c>
      <c r="KX7" s="658">
        <f>+KX20</f>
        <v>3572</v>
      </c>
      <c r="KY7" s="659">
        <f>+KY20</f>
        <v>3680</v>
      </c>
      <c r="KZ7" s="659">
        <f>+KZ20</f>
        <v>14657</v>
      </c>
      <c r="LB7" s="657" t="s">
        <v>2</v>
      </c>
      <c r="LC7" s="659">
        <f>+LC20</f>
        <v>3681</v>
      </c>
      <c r="LD7" s="658">
        <f>+LD20</f>
        <v>3701</v>
      </c>
      <c r="LE7" s="658">
        <f>+LE20</f>
        <v>3619</v>
      </c>
      <c r="LF7" s="658">
        <f>+LF20</f>
        <v>3539</v>
      </c>
      <c r="LG7" s="660">
        <f>+LG20</f>
        <v>14540</v>
      </c>
      <c r="LH7" s="661"/>
      <c r="LI7" s="657" t="s">
        <v>2</v>
      </c>
      <c r="LJ7" s="658">
        <f>+LJ20</f>
        <v>3423</v>
      </c>
      <c r="LK7" s="658">
        <f>+LK20</f>
        <v>3574</v>
      </c>
      <c r="LL7" s="658">
        <f>+LL20</f>
        <v>3587</v>
      </c>
      <c r="LM7" s="658">
        <f>+LM20</f>
        <v>3508</v>
      </c>
      <c r="LN7" s="660">
        <f>+LN20</f>
        <v>14092</v>
      </c>
      <c r="LO7" s="661"/>
      <c r="LP7" s="657" t="s">
        <v>2</v>
      </c>
      <c r="LQ7" s="658">
        <f>+LQ20</f>
        <v>3460.8174249999997</v>
      </c>
      <c r="LR7" s="658">
        <f>+LR20</f>
        <v>3635.8899249999999</v>
      </c>
      <c r="LS7" s="658">
        <f>+LS20</f>
        <v>3703.9341499999996</v>
      </c>
      <c r="LT7" s="658">
        <f>+LT20</f>
        <v>3694.1537750000002</v>
      </c>
      <c r="LU7" s="660">
        <f>+LU20</f>
        <v>14494.795274999997</v>
      </c>
      <c r="LV7" s="661"/>
      <c r="LW7" s="657" t="s">
        <v>2</v>
      </c>
      <c r="LX7" s="658">
        <f>+LX20</f>
        <v>3628.2348315835934</v>
      </c>
      <c r="LY7" s="658">
        <f>+LY20</f>
        <v>3808.9529552824997</v>
      </c>
      <c r="LZ7" s="658">
        <f>+LZ20</f>
        <v>3876.0113926937497</v>
      </c>
      <c r="MA7" s="658">
        <f>+MA20</f>
        <v>3867.7066806243756</v>
      </c>
      <c r="MB7" s="660">
        <f>+MB20</f>
        <v>15180.905860184219</v>
      </c>
      <c r="MC7" s="661"/>
      <c r="MD7" s="657" t="s">
        <v>2</v>
      </c>
      <c r="ME7" s="658">
        <f>+ME20</f>
        <v>3790.9745051509626</v>
      </c>
      <c r="MF7" s="658">
        <f>+MF20</f>
        <v>3977.2449559982037</v>
      </c>
      <c r="MG7" s="658">
        <f>+MG20</f>
        <v>4046.107208494479</v>
      </c>
      <c r="MH7" s="658">
        <f>+MH20</f>
        <v>4034.3107193818096</v>
      </c>
      <c r="MI7" s="660">
        <f>+MI20</f>
        <v>15848.637389025456</v>
      </c>
      <c r="MJ7" s="661"/>
    </row>
    <row r="8" spans="1:348" hidden="1" outlineLevel="1" x14ac:dyDescent="0.4">
      <c r="A8" s="455"/>
      <c r="B8" s="520" t="s">
        <v>3</v>
      </c>
      <c r="C8" s="49"/>
      <c r="D8" s="49">
        <f t="shared" ref="D8:M8" si="6">+D7/C7-1</f>
        <v>0.16458421012687907</v>
      </c>
      <c r="E8" s="49">
        <f t="shared" si="6"/>
        <v>0.11931562359297621</v>
      </c>
      <c r="F8" s="49">
        <f t="shared" si="6"/>
        <v>0.13164246093915399</v>
      </c>
      <c r="G8" s="49">
        <f t="shared" si="6"/>
        <v>-9.1708448701638856E-2</v>
      </c>
      <c r="H8" s="49">
        <f t="shared" si="6"/>
        <v>9.6807415036044286E-3</v>
      </c>
      <c r="I8" s="49">
        <f t="shared" si="6"/>
        <v>0.14177886576907395</v>
      </c>
      <c r="J8" s="49">
        <f t="shared" si="6"/>
        <v>-4.2165445774522081E-2</v>
      </c>
      <c r="K8" s="49">
        <f t="shared" si="6"/>
        <v>0.12367095691102414</v>
      </c>
      <c r="L8" s="49">
        <f t="shared" si="6"/>
        <v>0.15371845949535201</v>
      </c>
      <c r="M8" s="49">
        <f t="shared" si="6"/>
        <v>9.2374100719424534E-2</v>
      </c>
      <c r="N8" s="49" t="e">
        <f>BV8</f>
        <v>#DIV/0!</v>
      </c>
      <c r="O8" s="49">
        <f>CC8</f>
        <v>5.94340865074241E-2</v>
      </c>
      <c r="P8" s="49">
        <f>CJ8</f>
        <v>5.2524844561154582E-2</v>
      </c>
      <c r="Q8" s="49">
        <f>CQ8</f>
        <v>1.1324293968481891E-2</v>
      </c>
      <c r="R8" s="49">
        <f>CX8</f>
        <v>2.3631513264102733E-2</v>
      </c>
      <c r="S8" s="49">
        <f>DE8</f>
        <v>7.4660253900788565E-2</v>
      </c>
      <c r="T8" s="49">
        <f>DL8</f>
        <v>7.2439633638634371E-2</v>
      </c>
      <c r="U8" s="49">
        <f>DS8</f>
        <v>2.2515527950310643E-2</v>
      </c>
      <c r="V8" s="49">
        <f>DZ8</f>
        <v>4.0527714502657464E-2</v>
      </c>
      <c r="W8" s="49">
        <f>EG8</f>
        <v>-0.10051993067590992</v>
      </c>
      <c r="X8" s="49">
        <f>EN8</f>
        <v>9.6339113680154131E-2</v>
      </c>
      <c r="Y8" s="49">
        <f>EU8</f>
        <v>-0.21977615391730643</v>
      </c>
      <c r="Z8" s="49">
        <f>FB8</f>
        <v>-3.8529934795494936E-2</v>
      </c>
      <c r="AA8" s="49">
        <f>FI8</f>
        <v>5.1787916152896685E-3</v>
      </c>
      <c r="AB8" s="49">
        <f>FP8</f>
        <v>-7.1761530912659466E-2</v>
      </c>
      <c r="AC8" s="49">
        <f>FW8</f>
        <v>6.0525968019029985E-2</v>
      </c>
      <c r="AD8" s="49">
        <f>GD8</f>
        <v>7.1775700934579412E-2</v>
      </c>
      <c r="AE8" s="49">
        <f>GK8</f>
        <v>0.11219625624927332</v>
      </c>
      <c r="AF8" s="49">
        <f>GR8</f>
        <v>4.850512230817472E-2</v>
      </c>
      <c r="AG8" s="49">
        <f>GY8</f>
        <v>0.12213359920239286</v>
      </c>
      <c r="AH8" s="49">
        <f>HF8</f>
        <v>-0.19671257219013771</v>
      </c>
      <c r="AI8" s="49">
        <f>HM8</f>
        <v>0.17641853777237038</v>
      </c>
      <c r="AJ8" s="49">
        <f>HT8</f>
        <v>0.10408048138397885</v>
      </c>
      <c r="AK8" s="49">
        <f>IA8</f>
        <v>1.1070424934003231E-3</v>
      </c>
      <c r="AL8" s="49">
        <f>IH8</f>
        <v>2.5689009867301715E-2</v>
      </c>
      <c r="AM8" s="49">
        <f>IO8</f>
        <v>5.067175319290107E-2</v>
      </c>
      <c r="AN8" s="49">
        <f>IV8</f>
        <v>-6.7724366564054006E-2</v>
      </c>
      <c r="AO8" s="49">
        <f>JC8</f>
        <v>-6.2822792312251297E-2</v>
      </c>
      <c r="AP8" s="49">
        <f>JJ8</f>
        <v>3.0626072815972627E-2</v>
      </c>
      <c r="AQ8" s="49">
        <f>JQ8</f>
        <v>7.3807854137447393E-2</v>
      </c>
      <c r="AR8" s="49">
        <f>JX8</f>
        <v>-2.5551020408163261E-2</v>
      </c>
      <c r="AS8" s="49">
        <f>KE8</f>
        <v>-0.11342883471559018</v>
      </c>
      <c r="AT8" s="49">
        <f>KL8</f>
        <v>0.1832183690824909</v>
      </c>
      <c r="AU8" s="49">
        <f>KS8</f>
        <v>0.18615237182558686</v>
      </c>
      <c r="AV8" s="49">
        <f>KZ8</f>
        <v>-1.3195987342624393E-2</v>
      </c>
      <c r="AW8" s="49">
        <f>LG8</f>
        <v>-7.9825339428259978E-3</v>
      </c>
      <c r="AX8" s="49">
        <f>LN8</f>
        <v>-3.0811554332874858E-2</v>
      </c>
      <c r="AY8" s="49">
        <f>LU8</f>
        <v>2.8583258231620556E-2</v>
      </c>
      <c r="AZ8" s="49">
        <f>MB8</f>
        <v>4.7334962113442014E-2</v>
      </c>
      <c r="BA8" s="49">
        <f>MI8</f>
        <v>4.3984959460985351E-2</v>
      </c>
      <c r="BB8" s="49"/>
      <c r="BC8" s="49"/>
      <c r="BD8" s="49"/>
      <c r="BE8" s="49"/>
      <c r="BF8" s="49"/>
      <c r="BG8" s="49"/>
      <c r="BH8" s="49"/>
      <c r="BI8" s="49"/>
      <c r="BJ8" s="49"/>
      <c r="BK8" s="49"/>
      <c r="BL8" s="49"/>
      <c r="BM8" s="49"/>
      <c r="BN8" s="49"/>
      <c r="BO8" s="49"/>
      <c r="BQ8" s="520" t="s">
        <v>3</v>
      </c>
      <c r="BR8" s="662">
        <f>+BR7/AV7-1</f>
        <v>-0.87420345227536334</v>
      </c>
      <c r="BS8" s="662">
        <f>+BS7/AW7-1</f>
        <v>-0.86423658872077025</v>
      </c>
      <c r="BT8" s="662">
        <f>+BT7/AX7-1</f>
        <v>-0.86567556060175987</v>
      </c>
      <c r="BU8" s="662">
        <f>+BU7/AY7-1</f>
        <v>-0.85965307122973489</v>
      </c>
      <c r="BV8" s="662" t="e">
        <f>+BV7/BP7-1</f>
        <v>#DIV/0!</v>
      </c>
      <c r="BX8" s="520" t="s">
        <v>3</v>
      </c>
      <c r="BY8" s="662">
        <f>+BY7/BR7-1</f>
        <v>3.4656687276277243E-2</v>
      </c>
      <c r="BZ8" s="662">
        <f>+BZ7/BS7-1</f>
        <v>3.6930091185410463E-2</v>
      </c>
      <c r="CA8" s="662">
        <f>+CA7/BT7-1</f>
        <v>8.9862116329441522E-2</v>
      </c>
      <c r="CB8" s="662">
        <f>+CB7/BU7-1</f>
        <v>7.5415130511724104E-2</v>
      </c>
      <c r="CC8" s="662">
        <f>+CC7/BV7-1</f>
        <v>5.94340865074241E-2</v>
      </c>
      <c r="CE8" s="520" t="s">
        <v>3</v>
      </c>
      <c r="CF8" s="662">
        <f>+CF7/BY7-1</f>
        <v>6.4265869895685945E-2</v>
      </c>
      <c r="CG8" s="662">
        <f>+CG7/BZ7-1</f>
        <v>3.815525917240703E-2</v>
      </c>
      <c r="CH8" s="662">
        <f>+CH7/CA7-1</f>
        <v>6.8783325254483829E-2</v>
      </c>
      <c r="CI8" s="662">
        <f>+CI7/CB7-1</f>
        <v>4.0399649497626866E-2</v>
      </c>
      <c r="CJ8" s="662">
        <f>+CJ7/CC7-1</f>
        <v>5.2524844561154582E-2</v>
      </c>
      <c r="CL8" s="520" t="s">
        <v>3</v>
      </c>
      <c r="CM8" s="662">
        <f>+CM7/CF7-1</f>
        <v>2.7631384524454683E-2</v>
      </c>
      <c r="CN8" s="662">
        <f>+CN7/CG7-1</f>
        <v>2.974117647058816E-2</v>
      </c>
      <c r="CO8" s="662">
        <f>+CO7/CH7-1</f>
        <v>4.2632318926028034E-3</v>
      </c>
      <c r="CP8" s="662">
        <f>+CP7/CI7-1</f>
        <v>-1.3575853433504759E-2</v>
      </c>
      <c r="CQ8" s="662">
        <f>+CQ7/CJ7-1</f>
        <v>1.1324293968481891E-2</v>
      </c>
      <c r="CS8" s="520" t="s">
        <v>3</v>
      </c>
      <c r="CT8" s="662">
        <f>+CT7/CM7-1</f>
        <v>1.7685966257668717E-2</v>
      </c>
      <c r="CU8" s="662">
        <f>+CU7/CN7-1</f>
        <v>3.4411845352344539E-2</v>
      </c>
      <c r="CV8" s="662">
        <f>+CV7/CO7-1</f>
        <v>1.1019283746556363E-2</v>
      </c>
      <c r="CW8" s="662">
        <f>+CW7/CP7-1</f>
        <v>3.1088544450383226E-2</v>
      </c>
      <c r="CX8" s="662">
        <f>+CX7/CQ7-1</f>
        <v>2.3631513264102733E-2</v>
      </c>
      <c r="CZ8" s="520" t="s">
        <v>3</v>
      </c>
      <c r="DA8" s="662">
        <f>+DA7/CT7-1</f>
        <v>4.8839071257005484E-2</v>
      </c>
      <c r="DB8" s="662">
        <f>+DB7/CU7-1</f>
        <v>4.749282085266171E-2</v>
      </c>
      <c r="DC8" s="662">
        <f>+DC7/CV7-1</f>
        <v>0.10331889042748021</v>
      </c>
      <c r="DD8" s="662">
        <f>+DD7/CW7-1</f>
        <v>9.7192224622030254E-2</v>
      </c>
      <c r="DE8" s="662">
        <f>+DE7/CX7-1</f>
        <v>7.4660253900788565E-2</v>
      </c>
      <c r="DG8" s="520" t="s">
        <v>3</v>
      </c>
      <c r="DH8" s="662">
        <f>+DH7/DA7-1</f>
        <v>9.7440502918724636E-2</v>
      </c>
      <c r="DI8" s="662">
        <f>+DI7/DB7-1</f>
        <v>7.5073808519611873E-2</v>
      </c>
      <c r="DJ8" s="662">
        <f>+DJ7/DC7-1</f>
        <v>5.3036437246963608E-2</v>
      </c>
      <c r="DK8" s="662">
        <f>+DK7/DD7-1</f>
        <v>6.692913385826782E-2</v>
      </c>
      <c r="DL8" s="662">
        <f>+DL7/DE7-1</f>
        <v>7.2439633638634371E-2</v>
      </c>
      <c r="DN8" s="520" t="s">
        <v>3</v>
      </c>
      <c r="DO8" s="662">
        <f>+DO7/DH7-1</f>
        <v>2.8641571194762738E-2</v>
      </c>
      <c r="DP8" s="662">
        <f>+DP7/DI7-1</f>
        <v>4.8254217340133465E-2</v>
      </c>
      <c r="DQ8" s="662">
        <f>+DQ7/DJ7-1</f>
        <v>1.7685505574778881E-2</v>
      </c>
      <c r="DR8" s="662">
        <f>+DR7/DK7-1</f>
        <v>-2.5830258302582676E-3</v>
      </c>
      <c r="DS8" s="662">
        <f>+DS7/DL7-1</f>
        <v>2.2515527950310643E-2</v>
      </c>
      <c r="DU8" s="520" t="s">
        <v>3</v>
      </c>
      <c r="DV8" s="662">
        <f>+DV7/DO7-1</f>
        <v>2.1081941129673876E-2</v>
      </c>
      <c r="DW8" s="662">
        <f>+DW7/DP7-1</f>
        <v>2.2455089820359042E-3</v>
      </c>
      <c r="DX8" s="662">
        <f>+DX7/DQ7-1</f>
        <v>6.3468077068379314E-2</v>
      </c>
      <c r="DY8" s="662">
        <f>+DY7/DR7-1</f>
        <v>7.3991860895301409E-2</v>
      </c>
      <c r="DZ8" s="662">
        <f>+DZ7/DS7-1</f>
        <v>4.0527714502657464E-2</v>
      </c>
      <c r="EB8" s="520" t="s">
        <v>3</v>
      </c>
      <c r="EC8" s="662">
        <f>+EC7/DV7-1</f>
        <v>-4.8694974678613168E-2</v>
      </c>
      <c r="ED8" s="662">
        <f>+ED7/DW7-1</f>
        <v>-7.0201643017177018E-2</v>
      </c>
      <c r="EE8" s="662">
        <f>+EE7/DX7-1</f>
        <v>-0.13712255772646531</v>
      </c>
      <c r="EF8" s="662">
        <f>+EF7/DY7-1</f>
        <v>-0.138821908370651</v>
      </c>
      <c r="EG8" s="662">
        <f>+EG7/DZ7-1</f>
        <v>-0.10051993067590992</v>
      </c>
      <c r="EI8" s="520" t="s">
        <v>3</v>
      </c>
      <c r="EJ8" s="662">
        <f>+EJ7/EC7-1</f>
        <v>4.0540540540540571E-2</v>
      </c>
      <c r="EK8" s="662">
        <f>+EK7/ED7-1</f>
        <v>5.0602409638554224E-2</v>
      </c>
      <c r="EL8" s="662">
        <f>+EL7/EE7-1</f>
        <v>0.19637710992177859</v>
      </c>
      <c r="EM8" s="662">
        <f>+EM7/EF7-1</f>
        <v>9.9199999999999955E-2</v>
      </c>
      <c r="EN8" s="662">
        <f>+EN7/EG7-1</f>
        <v>9.6339113680154131E-2</v>
      </c>
      <c r="EP8" s="520" t="s">
        <v>3</v>
      </c>
      <c r="EQ8" s="662">
        <f>+EQ7/EJ7-1</f>
        <v>-0.15505706414797327</v>
      </c>
      <c r="ER8" s="662">
        <f>+ER7/EK7-1</f>
        <v>-0.15825688073394495</v>
      </c>
      <c r="ES8" s="662">
        <f>+ES7/EL7-1</f>
        <v>-0.29834824501032342</v>
      </c>
      <c r="ET8" s="662">
        <f>+ET7/EM7-1</f>
        <v>-0.25509461426491997</v>
      </c>
      <c r="EU8" s="662">
        <f>+EU7/EN7-1</f>
        <v>-0.21977615391730643</v>
      </c>
      <c r="EW8" s="520" t="s">
        <v>3</v>
      </c>
      <c r="EX8" s="662">
        <f>+EX7/EQ7-1</f>
        <v>-5.6823474615742886E-2</v>
      </c>
      <c r="EY8" s="662">
        <f>+EY7/ER7-1</f>
        <v>-6.5849227974568603E-2</v>
      </c>
      <c r="EZ8" s="662">
        <f>+EZ7/ES7-1</f>
        <v>-9.8087297694948727E-3</v>
      </c>
      <c r="FA8" s="662">
        <f>+FA7/ET7-1</f>
        <v>-1.8563751831949249E-2</v>
      </c>
      <c r="FB8" s="662">
        <f>+FB7/EU7-1</f>
        <v>-3.8529934795494936E-2</v>
      </c>
      <c r="FD8" s="520" t="s">
        <v>3</v>
      </c>
      <c r="FE8" s="662">
        <f>+FE7/EX7-1</f>
        <v>-3.0123456790123404E-2</v>
      </c>
      <c r="FF8" s="662">
        <f>+FF7/EY7-1</f>
        <v>7.7783179387458379E-3</v>
      </c>
      <c r="FG8" s="662">
        <f>+FG7/EZ7-1</f>
        <v>1.7830609212481363E-2</v>
      </c>
      <c r="FH8" s="662">
        <f>+FH7/FA7-1</f>
        <v>2.5385764061722327E-2</v>
      </c>
      <c r="FI8" s="662">
        <f>+FI7/FB7-1</f>
        <v>5.1787916152896685E-3</v>
      </c>
      <c r="FK8" s="520" t="s">
        <v>3</v>
      </c>
      <c r="FL8" s="662">
        <f>+FL7/FE7-1</f>
        <v>-2.0366598778004397E-3</v>
      </c>
      <c r="FM8" s="662">
        <f>+FM7/FF7-1</f>
        <v>-8.9242643511818653E-2</v>
      </c>
      <c r="FN8" s="662">
        <f>+FN7/FG7-1</f>
        <v>-0.11289537712895381</v>
      </c>
      <c r="FO8" s="662">
        <f>+FO7/FH7-1</f>
        <v>-7.9611650485436947E-2</v>
      </c>
      <c r="FP8" s="662">
        <f>+FP7/FI7-1</f>
        <v>-7.1761530912659466E-2</v>
      </c>
      <c r="FR8" s="520" t="s">
        <v>3</v>
      </c>
      <c r="FS8" s="662">
        <f>+FS7/FL7-1</f>
        <v>-2.0408163265306145E-2</v>
      </c>
      <c r="FT8" s="662">
        <f>+FT7/FM7-1</f>
        <v>5.6673728813559254E-2</v>
      </c>
      <c r="FU8" s="662">
        <f>+FU7/FN7-1</f>
        <v>6.3082830499177289E-2</v>
      </c>
      <c r="FV8" s="662">
        <f>+FV7/FO7-1</f>
        <v>0.14556962025316467</v>
      </c>
      <c r="FW8" s="662">
        <f>+FW7/FP7-1</f>
        <v>6.0525968019029985E-2</v>
      </c>
      <c r="FY8" s="520" t="s">
        <v>3</v>
      </c>
      <c r="FZ8" s="662">
        <f>+FZ7/FS7-1</f>
        <v>9.7916666666666652E-2</v>
      </c>
      <c r="GA8" s="662">
        <f>+GA7/FT7-1</f>
        <v>7.7192982456140369E-2</v>
      </c>
      <c r="GB8" s="662">
        <f>+GB7/FU7-1</f>
        <v>9.6491228070175517E-2</v>
      </c>
      <c r="GC8" s="662">
        <f>+GC7/FV7-1</f>
        <v>2.1639042357274318E-2</v>
      </c>
      <c r="GD8" s="662">
        <f>+GD7/FW7-1</f>
        <v>7.1775700934579412E-2</v>
      </c>
      <c r="GF8" s="520" t="s">
        <v>3</v>
      </c>
      <c r="GG8" s="662">
        <f>+GG7/FZ7-1</f>
        <v>0.10578747628083485</v>
      </c>
      <c r="GH8" s="662">
        <f>+GH7/GA7-1</f>
        <v>0.12657049790600272</v>
      </c>
      <c r="GI8" s="662">
        <f>+GI7/GB7-1</f>
        <v>0.13788235294117657</v>
      </c>
      <c r="GJ8" s="662">
        <f>+GJ7/GC7-1</f>
        <v>7.9765660207300693E-2</v>
      </c>
      <c r="GK8" s="662">
        <f>+GK7/GD7-1</f>
        <v>0.11219625624927332</v>
      </c>
      <c r="GM8" s="520" t="s">
        <v>3</v>
      </c>
      <c r="GN8" s="662">
        <f>+GN7/GG7-1</f>
        <v>3.9039039039038936E-2</v>
      </c>
      <c r="GO8" s="662">
        <f>+GO7/GH7-1</f>
        <v>4.5022717885171426E-2</v>
      </c>
      <c r="GP8" s="662">
        <f>+GP7/GI7-1</f>
        <v>3.4325889164598777E-2</v>
      </c>
      <c r="GQ8" s="662">
        <f>+GQ7/GJ7-1</f>
        <v>7.5542570951586008E-2</v>
      </c>
      <c r="GR8" s="662">
        <f>+GR7/GK7-1</f>
        <v>4.850512230817472E-2</v>
      </c>
      <c r="GT8" s="520" t="s">
        <v>3</v>
      </c>
      <c r="GU8" s="662">
        <f>+GU7/GN7-1</f>
        <v>0.12014863748967786</v>
      </c>
      <c r="GV8" s="662">
        <f>+GV7/GO7-1</f>
        <v>0.14901185770750991</v>
      </c>
      <c r="GW8" s="662">
        <f>+GW7/GP7-1</f>
        <v>0.18392642942822879</v>
      </c>
      <c r="GX8" s="662">
        <f>+GX7/GQ7-1</f>
        <v>3.7640667442762954E-2</v>
      </c>
      <c r="GY8" s="662">
        <f>+GY7/GR7-1</f>
        <v>0.12213359920239286</v>
      </c>
      <c r="HA8" s="520" t="s">
        <v>3</v>
      </c>
      <c r="HB8" s="662">
        <f>+HB7/GU7-1</f>
        <v>-0.17176557316623664</v>
      </c>
      <c r="HC8" s="662">
        <f>+HC7/GV7-1</f>
        <v>-0.24836601307189543</v>
      </c>
      <c r="HD8" s="662">
        <f>+HD7/GW7-1</f>
        <v>-0.22695035460992907</v>
      </c>
      <c r="HE8" s="662">
        <f>+HE7/GX7-1</f>
        <v>-0.13238593866866122</v>
      </c>
      <c r="HF8" s="662">
        <f>+HF7/GY7-1</f>
        <v>-0.19671257219013771</v>
      </c>
      <c r="HH8" s="520" t="s">
        <v>3</v>
      </c>
      <c r="HI8" s="662">
        <f>+HI7/HB7-1</f>
        <v>0.10858923008455723</v>
      </c>
      <c r="HJ8" s="662">
        <f>+HJ7/HC7-1</f>
        <v>0.21876430205949648</v>
      </c>
      <c r="HK8" s="662">
        <f>+HK7/HD7-1</f>
        <v>0.1647007426823941</v>
      </c>
      <c r="HL8" s="662">
        <f>+HL7/HE7-1</f>
        <v>0.21379310344827585</v>
      </c>
      <c r="HM8" s="662">
        <f>+HM7/HF7-1</f>
        <v>0.17641853777237038</v>
      </c>
      <c r="HO8" s="520" t="s">
        <v>3</v>
      </c>
      <c r="HP8" s="662">
        <f>+HP7/HI7-1</f>
        <v>0.12806101967081496</v>
      </c>
      <c r="HQ8" s="662">
        <f>+HQ7/HJ7-1</f>
        <v>0.13368381524596318</v>
      </c>
      <c r="HR8" s="662">
        <f>+HR7/HK7-1</f>
        <v>0.11140285071267808</v>
      </c>
      <c r="HS8" s="662">
        <f>+HS7/HL7-1</f>
        <v>4.7940340909090828E-2</v>
      </c>
      <c r="HT8" s="662">
        <f>+HT7/HM7-1</f>
        <v>0.10408048138397885</v>
      </c>
      <c r="HV8" s="520" t="s">
        <v>3</v>
      </c>
      <c r="HW8" s="662">
        <f>+HW7/HP7-1</f>
        <v>5.5516014234875399E-2</v>
      </c>
      <c r="HX8" s="662">
        <f>+HX7/HQ7-1</f>
        <v>-2.3186485591255579E-3</v>
      </c>
      <c r="HY8" s="662">
        <f>+HY7/HR7-1</f>
        <v>-2.3287208909888668E-2</v>
      </c>
      <c r="HZ8" s="662">
        <f>+HZ7/HS7-1</f>
        <v>-2.2704168078617415E-2</v>
      </c>
      <c r="IA8" s="662">
        <f>+IA7/HT7-1</f>
        <v>1.1070424934003231E-3</v>
      </c>
      <c r="IC8" s="520" t="s">
        <v>3</v>
      </c>
      <c r="ID8" s="662">
        <f>+ID7/HW7-1</f>
        <v>-2.6972353337828547E-3</v>
      </c>
      <c r="IE8" s="662">
        <f>+IE7/HX7-1</f>
        <v>1.8924302788844605E-2</v>
      </c>
      <c r="IF8" s="662">
        <f>+IF7/HY7-1</f>
        <v>3.6281962681409707E-2</v>
      </c>
      <c r="IG8" s="662">
        <f>+IG7/HZ7-1</f>
        <v>5.1317614424410518E-2</v>
      </c>
      <c r="IH8" s="662">
        <f>+IH7/IA7-1</f>
        <v>2.5689009867301715E-2</v>
      </c>
      <c r="IJ8" s="520" t="s">
        <v>3</v>
      </c>
      <c r="IK8" s="662">
        <f>+IK7/ID7-1</f>
        <v>1.8255578093306246E-2</v>
      </c>
      <c r="IL8" s="662">
        <f>+IL7/IE7-1</f>
        <v>5.7021831215379626E-2</v>
      </c>
      <c r="IM8" s="662">
        <f>+IM7/IF7-1</f>
        <v>7.4024674891630449E-2</v>
      </c>
      <c r="IN8" s="662">
        <f>+IN7/IG7-1</f>
        <v>5.2770448548812743E-2</v>
      </c>
      <c r="IO8" s="662">
        <f>+IO7/IH7-1</f>
        <v>5.067175319290107E-2</v>
      </c>
      <c r="IQ8" s="520" t="s">
        <v>3</v>
      </c>
      <c r="IR8" s="662">
        <f>+IR7/IK7-1</f>
        <v>4.980079681274896E-3</v>
      </c>
      <c r="IS8" s="662">
        <f>+IS7/IL7-1</f>
        <v>-5.5487053020961796E-2</v>
      </c>
      <c r="IT8" s="662">
        <f>+IT7/IM7-1</f>
        <v>-8.7550450170754468E-2</v>
      </c>
      <c r="IU8" s="662">
        <f>+IU7/IN7-1</f>
        <v>-0.12875939849624063</v>
      </c>
      <c r="IV8" s="662">
        <f>+IV7/IO7-1</f>
        <v>-6.7724366564054006E-2</v>
      </c>
      <c r="IX8" s="520" t="s">
        <v>3</v>
      </c>
      <c r="IY8" s="662">
        <f>+IY7/IR7-1</f>
        <v>-0.13511727783283778</v>
      </c>
      <c r="IZ8" s="662">
        <f>+IZ7/IS7-1</f>
        <v>-0.11749347258485643</v>
      </c>
      <c r="JA8" s="662">
        <f>+JA7/IT7-1</f>
        <v>-7.7917659067710088E-2</v>
      </c>
      <c r="JB8" s="662">
        <f>+JB7/IU7-1</f>
        <v>9.2053218266810566E-2</v>
      </c>
      <c r="JC8" s="662">
        <f>+JC7/IV7-1</f>
        <v>-6.2822792312251297E-2</v>
      </c>
      <c r="JE8" s="520" t="s">
        <v>3</v>
      </c>
      <c r="JF8" s="662">
        <f>+JF7/IY7-1</f>
        <v>9.5874713521772348E-2</v>
      </c>
      <c r="JG8" s="662">
        <f>+JG7/IZ7-1</f>
        <v>8.4689349112426093E-2</v>
      </c>
      <c r="JH8" s="662">
        <f>+JH7/JA7-1</f>
        <v>1.2177121771217658E-2</v>
      </c>
      <c r="JI8" s="662">
        <f>+JI7/JB7-1</f>
        <v>-5.7293381626605244E-2</v>
      </c>
      <c r="JJ8" s="662">
        <f>+JJ7/JC7-1</f>
        <v>3.0626072815972627E-2</v>
      </c>
      <c r="JL8" s="520" t="s">
        <v>3</v>
      </c>
      <c r="JM8" s="662">
        <f>+JM7/JF7-1</f>
        <v>2.439874520739016E-3</v>
      </c>
      <c r="JN8" s="662">
        <f>+JN7/JG7-1</f>
        <v>5.7620184111830897E-2</v>
      </c>
      <c r="JO8" s="662">
        <f>+JO7/JH7-1</f>
        <v>0.14072183740430178</v>
      </c>
      <c r="JP8" s="662">
        <f>+JP7/JI7-1</f>
        <v>9.7799511002444994E-2</v>
      </c>
      <c r="JQ8" s="662">
        <f>+JQ7/JJ7-1</f>
        <v>7.3807854137447393E-2</v>
      </c>
      <c r="JS8" s="520" t="s">
        <v>3</v>
      </c>
      <c r="JT8" s="662">
        <f>+JT7/JM7-1</f>
        <v>4.7635605006954185E-2</v>
      </c>
      <c r="JU8" s="662">
        <f>+JU7/JN7-1</f>
        <v>-1.3217279174726038E-2</v>
      </c>
      <c r="JV8" s="662">
        <f>+JV7/JO7-1</f>
        <v>-4.8258229466283109E-2</v>
      </c>
      <c r="JW8" s="662">
        <f>+JW7/JP7-1</f>
        <v>-8.2087177855551974E-2</v>
      </c>
      <c r="JX8" s="662">
        <f>+JX7/JQ7-1</f>
        <v>-2.5551020408163261E-2</v>
      </c>
      <c r="JZ8" s="520" t="s">
        <v>3</v>
      </c>
      <c r="KA8" s="662">
        <f>+KA7/JT7-1</f>
        <v>-5.243942914039168E-2</v>
      </c>
      <c r="KB8" s="662">
        <f>+KB7/JU7-1</f>
        <v>-0.26331264292714796</v>
      </c>
      <c r="KC8" s="662">
        <f>+KC7/JV7-1</f>
        <v>-0.11081262592343855</v>
      </c>
      <c r="KD8" s="662">
        <f>+KD7/JW7-1</f>
        <v>-2.0797227036395194E-2</v>
      </c>
      <c r="KE8" s="662">
        <f>+KE7/JX7-1</f>
        <v>-0.11342883471559018</v>
      </c>
      <c r="KG8" s="520" t="s">
        <v>3</v>
      </c>
      <c r="KH8" s="662">
        <f>+KH7/KA7-1</f>
        <v>-1.4711033274956264E-2</v>
      </c>
      <c r="KI8" s="662">
        <f>+KI7/KB7-1</f>
        <v>0.32594235033259422</v>
      </c>
      <c r="KJ8" s="662">
        <f>+KJ7/KC7-1</f>
        <v>0.24320241691842903</v>
      </c>
      <c r="KK8" s="662">
        <f>+KK7/KD7-1</f>
        <v>0.21309734513274337</v>
      </c>
      <c r="KL8" s="662">
        <f>+KL7/KE7-1</f>
        <v>0.1832183690824909</v>
      </c>
      <c r="KN8" s="520" t="s">
        <v>3</v>
      </c>
      <c r="KO8" s="662">
        <f>+KO7/KH7-1</f>
        <v>0.21329541414859587</v>
      </c>
      <c r="KP8" s="662">
        <f>+KP7/KI7-1</f>
        <v>0.2759197324414715</v>
      </c>
      <c r="KQ8" s="662">
        <f>+KQ7/KJ7-1</f>
        <v>0.18317132442284323</v>
      </c>
      <c r="KR8" s="662">
        <f>+KR7/KK7-1</f>
        <v>8.841552378173323E-2</v>
      </c>
      <c r="KS8" s="662">
        <f>+KS7/KL7-1</f>
        <v>0.18615237182558686</v>
      </c>
      <c r="KU8" s="520" t="s">
        <v>3</v>
      </c>
      <c r="KV8" s="662">
        <f>+KV7/KO7-1</f>
        <v>8.5848227365953766E-2</v>
      </c>
      <c r="KW8" s="662">
        <f>+KW7/KP7-1</f>
        <v>-3.0406290956749626E-2</v>
      </c>
      <c r="KX8" s="49">
        <f>+KX7/KQ7-1</f>
        <v>-8.2926829268292646E-2</v>
      </c>
      <c r="KY8" s="662">
        <f>+KY7/KR7-1</f>
        <v>-1.3404825737265424E-2</v>
      </c>
      <c r="KZ8" s="662">
        <f>+KZ7/KS7-1</f>
        <v>-1.3195987342624393E-2</v>
      </c>
      <c r="LB8" s="520" t="s">
        <v>3</v>
      </c>
      <c r="LC8" s="662">
        <f>+LC7/KV7-1</f>
        <v>-6.7458175930922293E-3</v>
      </c>
      <c r="LD8" s="49">
        <f>+LD7/KW7-1</f>
        <v>5.4068667207363141E-4</v>
      </c>
      <c r="LE8" s="49">
        <f>+LE7/KX7-1</f>
        <v>1.3157894736842035E-2</v>
      </c>
      <c r="LF8" s="49">
        <f>+LF7/KY7-1</f>
        <v>-3.831521739130439E-2</v>
      </c>
      <c r="LG8" s="663">
        <f>+LG7/KZ7-1</f>
        <v>-7.9825339428259978E-3</v>
      </c>
      <c r="LH8" s="566"/>
      <c r="LI8" s="520" t="s">
        <v>3</v>
      </c>
      <c r="LJ8" s="49">
        <f>+LJ7/LC7-1</f>
        <v>-7.0089649551752231E-2</v>
      </c>
      <c r="LK8" s="49">
        <f>+LK7/LD7-1</f>
        <v>-3.4315049986490154E-2</v>
      </c>
      <c r="LL8" s="49">
        <f>+LL7/LE7-1</f>
        <v>-8.8422216081790461E-3</v>
      </c>
      <c r="LM8" s="49">
        <f>+LM7/LF7-1</f>
        <v>-8.7595365922576995E-3</v>
      </c>
      <c r="LN8" s="663">
        <f>+LN7/LG7-1</f>
        <v>-3.0811554332874858E-2</v>
      </c>
      <c r="LO8" s="566"/>
      <c r="LP8" s="520" t="s">
        <v>3</v>
      </c>
      <c r="LQ8" s="49">
        <f>+LQ7/LJ7-1</f>
        <v>1.104803534910892E-2</v>
      </c>
      <c r="LR8" s="49">
        <f>+LR7/LK7-1</f>
        <v>1.7316710968102944E-2</v>
      </c>
      <c r="LS8" s="49">
        <f>+LS7/LL7-1</f>
        <v>3.2599428491775662E-2</v>
      </c>
      <c r="LT8" s="49">
        <f>+LT7/LM7-1</f>
        <v>5.306550028506285E-2</v>
      </c>
      <c r="LU8" s="663">
        <f>+LU7/LN7-1</f>
        <v>2.8583258231620556E-2</v>
      </c>
      <c r="LV8" s="566"/>
      <c r="LW8" s="520" t="s">
        <v>3</v>
      </c>
      <c r="LX8" s="49">
        <f>+LX7/LQ7-1</f>
        <v>4.8375105076106095E-2</v>
      </c>
      <c r="LY8" s="49">
        <f>+LY7/LR7-1</f>
        <v>4.7598534018463035E-2</v>
      </c>
      <c r="LZ8" s="49">
        <f>+LZ7/LS7-1</f>
        <v>4.6457964889508041E-2</v>
      </c>
      <c r="MA8" s="49">
        <f>+MA7/LT7-1</f>
        <v>4.6980422633969843E-2</v>
      </c>
      <c r="MB8" s="663">
        <f>+MB7/LU7-1</f>
        <v>4.7334962113442014E-2</v>
      </c>
      <c r="MC8" s="566"/>
      <c r="MD8" s="520" t="s">
        <v>3</v>
      </c>
      <c r="ME8" s="49">
        <f>+ME7/LX7-1</f>
        <v>4.485367709684307E-2</v>
      </c>
      <c r="MF8" s="49">
        <f>+MF7/LY7-1</f>
        <v>4.4183271017381731E-2</v>
      </c>
      <c r="MG8" s="49">
        <f>+MG7/LZ7-1</f>
        <v>4.3884240413059272E-2</v>
      </c>
      <c r="MH8" s="49">
        <f>+MH7/MA7-1</f>
        <v>4.3075665378673023E-2</v>
      </c>
      <c r="MI8" s="663">
        <f>+MI7/MB7-1</f>
        <v>4.3984959460985351E-2</v>
      </c>
      <c r="MJ8" s="566"/>
    </row>
    <row r="9" spans="1:348" hidden="1" outlineLevel="1" x14ac:dyDescent="0.4">
      <c r="A9" s="455"/>
      <c r="B9" s="664"/>
      <c r="C9" s="665"/>
      <c r="D9" s="665"/>
      <c r="E9" s="665"/>
      <c r="F9" s="665"/>
      <c r="G9" s="665"/>
      <c r="H9" s="665"/>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5"/>
      <c r="AI9" s="665"/>
      <c r="AJ9" s="665"/>
      <c r="AK9" s="665"/>
      <c r="AL9" s="665"/>
      <c r="AM9" s="665"/>
      <c r="AN9" s="665"/>
      <c r="AO9" s="665"/>
      <c r="AP9" s="665"/>
      <c r="AQ9" s="665"/>
      <c r="AR9" s="665"/>
      <c r="AS9" s="665"/>
      <c r="AT9" s="665"/>
      <c r="AU9" s="665"/>
      <c r="AV9" s="665"/>
      <c r="AW9" s="665"/>
      <c r="AX9" s="665"/>
      <c r="AY9" s="665"/>
      <c r="AZ9" s="665"/>
      <c r="BA9" s="665"/>
      <c r="BB9" s="665"/>
      <c r="BC9" s="665"/>
      <c r="BD9" s="665"/>
      <c r="BE9" s="665"/>
      <c r="BF9" s="665"/>
      <c r="BG9" s="665"/>
      <c r="BH9" s="665"/>
      <c r="BI9" s="665"/>
      <c r="BJ9" s="665"/>
      <c r="BK9" s="665"/>
      <c r="BL9" s="665"/>
      <c r="BM9" s="665"/>
      <c r="BN9" s="665"/>
      <c r="BO9" s="665"/>
      <c r="BQ9" s="664"/>
      <c r="BX9" s="664"/>
      <c r="CE9" s="664"/>
      <c r="CL9" s="664"/>
      <c r="CS9" s="664"/>
      <c r="CZ9" s="664"/>
      <c r="DG9" s="664"/>
      <c r="DN9" s="664"/>
      <c r="DU9" s="664"/>
      <c r="EB9" s="664"/>
      <c r="EI9" s="664"/>
      <c r="EP9" s="664"/>
      <c r="EW9" s="664"/>
      <c r="FD9" s="664"/>
      <c r="FK9" s="664"/>
      <c r="FR9" s="664"/>
      <c r="FY9" s="664"/>
      <c r="GF9" s="664"/>
      <c r="GM9" s="664"/>
      <c r="GT9" s="664"/>
      <c r="HA9" s="664"/>
      <c r="HH9" s="664"/>
      <c r="HO9" s="664"/>
      <c r="HV9" s="664"/>
      <c r="IC9" s="664"/>
      <c r="IJ9" s="664"/>
      <c r="IQ9" s="664"/>
      <c r="IX9" s="664"/>
      <c r="JE9" s="664"/>
      <c r="JL9" s="664"/>
      <c r="JS9" s="664"/>
      <c r="JZ9" s="664"/>
      <c r="KG9" s="664"/>
      <c r="KN9" s="664"/>
      <c r="KU9" s="664"/>
      <c r="KX9" s="665"/>
      <c r="LB9" s="664"/>
      <c r="LD9" s="665"/>
      <c r="LE9" s="665"/>
      <c r="LF9" s="665"/>
      <c r="LH9" s="666"/>
      <c r="LI9" s="664"/>
      <c r="LJ9" s="665"/>
      <c r="LK9" s="665"/>
      <c r="LL9" s="665"/>
      <c r="LM9" s="665"/>
      <c r="LO9" s="666"/>
      <c r="LP9" s="664"/>
      <c r="LQ9" s="665"/>
      <c r="LR9" s="665"/>
      <c r="LS9" s="665"/>
      <c r="LT9" s="665"/>
      <c r="LV9" s="666"/>
      <c r="LW9" s="664"/>
      <c r="LX9" s="665"/>
      <c r="LY9" s="665"/>
      <c r="LZ9" s="665"/>
      <c r="MA9" s="665"/>
      <c r="MC9" s="666"/>
      <c r="MD9" s="664"/>
      <c r="ME9" s="665"/>
      <c r="MF9" s="665"/>
      <c r="MG9" s="665"/>
      <c r="MH9" s="665"/>
      <c r="MJ9" s="666"/>
    </row>
    <row r="10" spans="1:348" hidden="1" outlineLevel="1" x14ac:dyDescent="0.4">
      <c r="A10" s="667"/>
      <c r="B10" s="664" t="s">
        <v>194</v>
      </c>
      <c r="C10" s="665">
        <f t="shared" ref="C10:M10" si="7">+C62</f>
        <v>4.1307607177599841E-2</v>
      </c>
      <c r="D10" s="665">
        <f t="shared" si="7"/>
        <v>7.6148068494573298E-2</v>
      </c>
      <c r="E10" s="665">
        <f t="shared" si="7"/>
        <v>7.8254736173545641E-2</v>
      </c>
      <c r="F10" s="665">
        <f t="shared" si="7"/>
        <v>0.10113867737292634</v>
      </c>
      <c r="G10" s="665">
        <f t="shared" si="7"/>
        <v>6.0979194249881345E-2</v>
      </c>
      <c r="H10" s="665">
        <f t="shared" si="7"/>
        <v>4.7014456105708646E-2</v>
      </c>
      <c r="I10" s="665">
        <f t="shared" si="7"/>
        <v>6.6982960579688083E-2</v>
      </c>
      <c r="J10" s="665">
        <f t="shared" si="7"/>
        <v>6.7477121608362792E-2</v>
      </c>
      <c r="K10" s="665">
        <f t="shared" si="7"/>
        <v>5.6418726129847885E-2</v>
      </c>
      <c r="L10" s="665">
        <f t="shared" si="7"/>
        <v>6.6538940443188602E-2</v>
      </c>
      <c r="M10" s="665">
        <f t="shared" si="7"/>
        <v>8.5371526053869995E-2</v>
      </c>
      <c r="N10" s="665">
        <f>BV10</f>
        <v>0.11623155574782397</v>
      </c>
      <c r="O10" s="665">
        <f>CC10</f>
        <v>0.11117791493772529</v>
      </c>
      <c r="P10" s="665">
        <f>CJ10</f>
        <v>0.1131084654645176</v>
      </c>
      <c r="Q10" s="665">
        <f>CQ10</f>
        <v>0.12535025206243836</v>
      </c>
      <c r="R10" s="665">
        <f>CX10</f>
        <v>0.1243152525629813</v>
      </c>
      <c r="S10" s="665">
        <f>DE10</f>
        <v>0.16128410470406732</v>
      </c>
      <c r="T10" s="665">
        <f>DL10</f>
        <v>0.19242969144852534</v>
      </c>
      <c r="U10" s="665">
        <f>DS10</f>
        <v>0.21644195709319089</v>
      </c>
      <c r="V10" s="665">
        <f>DZ10</f>
        <v>0.2245743605847233</v>
      </c>
      <c r="W10" s="665">
        <f>EG10</f>
        <v>0.13641275576642761</v>
      </c>
      <c r="X10" s="665">
        <f>EN10</f>
        <v>8.5698427828837798E-2</v>
      </c>
      <c r="Y10" s="665">
        <f>EU10</f>
        <v>5.0115849045939367E-2</v>
      </c>
      <c r="Z10" s="665">
        <f>FB10</f>
        <v>8.8061975602448647E-2</v>
      </c>
      <c r="AA10" s="665">
        <f>FI10</f>
        <v>0.11971524309027556</v>
      </c>
      <c r="AB10" s="665">
        <f>FP10</f>
        <v>9.7850741244333309E-2</v>
      </c>
      <c r="AC10" s="665">
        <f>FW10</f>
        <v>0.11144133017331866</v>
      </c>
      <c r="AD10" s="665">
        <f>GD10</f>
        <v>0.18553468849742955</v>
      </c>
      <c r="AE10" s="665">
        <f>GK10</f>
        <v>0.28476892259264563</v>
      </c>
      <c r="AF10" s="665">
        <f>GR10</f>
        <v>0.30678562577447338</v>
      </c>
      <c r="AG10" s="665">
        <f>GY10</f>
        <v>0.39013513880958212</v>
      </c>
      <c r="AH10" s="665">
        <f>HF10</f>
        <v>0.31030609379387813</v>
      </c>
      <c r="AI10" s="665">
        <f>HM10</f>
        <v>0.45869439630271519</v>
      </c>
      <c r="AJ10" s="665">
        <f>HT10</f>
        <v>0.54882154882154888</v>
      </c>
      <c r="AK10" s="665">
        <f>IA10</f>
        <v>0.58162179487179477</v>
      </c>
      <c r="AL10" s="665">
        <f>IH10</f>
        <v>0.60680405626431144</v>
      </c>
      <c r="AM10" s="665">
        <f>IO10</f>
        <v>0.64105123087159011</v>
      </c>
      <c r="AN10" s="665">
        <f>IV10</f>
        <v>0.66666666666666663</v>
      </c>
      <c r="AO10" s="665">
        <f>JC10</f>
        <v>0.62733825597749648</v>
      </c>
      <c r="AP10" s="665">
        <f>JJ10</f>
        <v>0.76477024070021882</v>
      </c>
      <c r="AQ10" s="665">
        <f>JQ10</f>
        <v>1.2810685249709639</v>
      </c>
      <c r="AR10" s="665">
        <f>JX10</f>
        <v>1.3913951545530492</v>
      </c>
      <c r="AS10" s="665">
        <f>KE10</f>
        <v>1.2000868055555556</v>
      </c>
      <c r="AT10" s="665">
        <f>KL10</f>
        <v>1.5580630465631928</v>
      </c>
      <c r="AU10" s="665">
        <f>KS10</f>
        <v>1.9027352160490312</v>
      </c>
      <c r="AV10" s="665">
        <f>KZ10</f>
        <v>1.8221559860904124</v>
      </c>
      <c r="AW10" s="665">
        <f>LG10</f>
        <v>1.8283361214772873</v>
      </c>
      <c r="AX10" s="665">
        <f>LN10</f>
        <v>1.6447654309524362</v>
      </c>
      <c r="AY10" s="665">
        <f>LU10</f>
        <v>1.8953326748920007</v>
      </c>
      <c r="AZ10" s="665">
        <f>MB10</f>
        <v>2.204688403515334</v>
      </c>
      <c r="BA10" s="665">
        <f>MI10</f>
        <v>2.4592511900229108</v>
      </c>
      <c r="BB10" s="665"/>
      <c r="BC10" s="665"/>
      <c r="BD10" s="665"/>
      <c r="BE10" s="665"/>
      <c r="BF10" s="665"/>
      <c r="BG10" s="665"/>
      <c r="BH10" s="665"/>
      <c r="BI10" s="665"/>
      <c r="BJ10" s="665"/>
      <c r="BK10" s="665"/>
      <c r="BL10" s="665"/>
      <c r="BM10" s="665"/>
      <c r="BN10" s="665"/>
      <c r="BO10" s="665"/>
      <c r="BP10" s="623"/>
      <c r="BQ10" s="664" t="s">
        <v>194</v>
      </c>
      <c r="BR10" s="668">
        <f>+BR62</f>
        <v>1.9976487362242019E-2</v>
      </c>
      <c r="BS10" s="668">
        <f>+BS62</f>
        <v>3.5563823260756564E-2</v>
      </c>
      <c r="BT10" s="668">
        <f>+BT62</f>
        <v>2.5838287919975025E-2</v>
      </c>
      <c r="BU10" s="668">
        <f>+BU62</f>
        <v>3.5345139375556188E-2</v>
      </c>
      <c r="BV10" s="668">
        <f>+BV62</f>
        <v>0.11623155574782397</v>
      </c>
      <c r="BW10" s="623"/>
      <c r="BX10" s="664" t="s">
        <v>194</v>
      </c>
      <c r="BY10" s="668">
        <f>+BY62</f>
        <v>1.644163905602895E-2</v>
      </c>
      <c r="BZ10" s="668">
        <f>+BZ62</f>
        <v>3.040270518748045E-2</v>
      </c>
      <c r="CA10" s="668">
        <f>+CA62</f>
        <v>2.8153937519441622E-2</v>
      </c>
      <c r="CB10" s="668">
        <f>+CB62</f>
        <v>3.6120251984982435E-2</v>
      </c>
      <c r="CC10" s="668">
        <f>+CC62</f>
        <v>0.11117791493772529</v>
      </c>
      <c r="CD10" s="623"/>
      <c r="CE10" s="664" t="s">
        <v>194</v>
      </c>
      <c r="CF10" s="668">
        <f>+CF62</f>
        <v>1.5905934773415682E-2</v>
      </c>
      <c r="CG10" s="668">
        <f>+CG62</f>
        <v>3.1676200872595053E-2</v>
      </c>
      <c r="CH10" s="668">
        <f>+CH62</f>
        <v>2.9237170518223596E-2</v>
      </c>
      <c r="CI10" s="668">
        <f>+CI62</f>
        <v>3.5971022246623914E-2</v>
      </c>
      <c r="CJ10" s="668">
        <f>+CJ62</f>
        <v>0.1131084654645176</v>
      </c>
      <c r="CK10" s="623"/>
      <c r="CL10" s="664" t="s">
        <v>194</v>
      </c>
      <c r="CM10" s="668">
        <f>+CM62</f>
        <v>1.6687230147832906E-2</v>
      </c>
      <c r="CN10" s="668">
        <f>+CN62</f>
        <v>3.39248095066738E-2</v>
      </c>
      <c r="CO10" s="668">
        <f>+CO62</f>
        <v>3.4182598091278736E-2</v>
      </c>
      <c r="CP10" s="668">
        <f>+CP62</f>
        <v>4.0490138177252055E-2</v>
      </c>
      <c r="CQ10" s="668">
        <f>+CQ62</f>
        <v>0.12535025206243836</v>
      </c>
      <c r="CR10" s="623"/>
      <c r="CS10" s="664" t="s">
        <v>194</v>
      </c>
      <c r="CT10" s="668">
        <f>+CT62</f>
        <v>1.3844813145319232E-2</v>
      </c>
      <c r="CU10" s="668">
        <f>+CU62</f>
        <v>4.060176469469641E-2</v>
      </c>
      <c r="CV10" s="668">
        <f>+CV62</f>
        <v>3.0003775282419955E-2</v>
      </c>
      <c r="CW10" s="668">
        <f>+CW62</f>
        <v>3.981097433009468E-2</v>
      </c>
      <c r="CX10" s="668">
        <f>+CX62</f>
        <v>0.1243152525629813</v>
      </c>
      <c r="CY10" s="623"/>
      <c r="CZ10" s="664" t="s">
        <v>194</v>
      </c>
      <c r="DA10" s="668">
        <f>+DA62</f>
        <v>1.9443209537892716E-2</v>
      </c>
      <c r="DB10" s="668">
        <f>+DB62</f>
        <v>4.2463646400498253E-2</v>
      </c>
      <c r="DC10" s="668">
        <f>+DC62</f>
        <v>4.6383647798742149E-2</v>
      </c>
      <c r="DD10" s="668">
        <f>+DD62</f>
        <v>5.2940504308099073E-2</v>
      </c>
      <c r="DE10" s="668">
        <f>+DE62</f>
        <v>0.16128410470406732</v>
      </c>
      <c r="DF10" s="623"/>
      <c r="DG10" s="664" t="s">
        <v>194</v>
      </c>
      <c r="DH10" s="668">
        <f>+DH62</f>
        <v>3.1645304778284103E-2</v>
      </c>
      <c r="DI10" s="668">
        <f>+DI62</f>
        <v>4.8021864563726584E-2</v>
      </c>
      <c r="DJ10" s="668">
        <f>+DJ62</f>
        <v>5.383126834056786E-2</v>
      </c>
      <c r="DK10" s="668">
        <f>+DK62</f>
        <v>5.8857522549446067E-2</v>
      </c>
      <c r="DL10" s="668">
        <f>+DL62</f>
        <v>0.19242969144852534</v>
      </c>
      <c r="DM10" s="623"/>
      <c r="DN10" s="664" t="s">
        <v>194</v>
      </c>
      <c r="DO10" s="668">
        <f>+DO62</f>
        <v>3.7990796859566245E-2</v>
      </c>
      <c r="DP10" s="668">
        <f>+DP62</f>
        <v>5.7399229438199459E-2</v>
      </c>
      <c r="DQ10" s="668">
        <f>+DQ62</f>
        <v>5.6731846958943018E-2</v>
      </c>
      <c r="DR10" s="668">
        <f>+DR62</f>
        <v>6.4073245089532868E-2</v>
      </c>
      <c r="DS10" s="668">
        <f>+DS62</f>
        <v>0.21644195709319089</v>
      </c>
      <c r="DT10" s="623"/>
      <c r="DU10" s="664" t="s">
        <v>194</v>
      </c>
      <c r="DV10" s="668">
        <f>+DV62</f>
        <v>3.9463567286950309E-2</v>
      </c>
      <c r="DW10" s="668">
        <f>+DW62</f>
        <v>5.9108403189191604E-2</v>
      </c>
      <c r="DX10" s="668">
        <f>+DX62</f>
        <v>6.0608556636195313E-2</v>
      </c>
      <c r="DY10" s="668">
        <f>+DY62</f>
        <v>7.2172426993187364E-2</v>
      </c>
      <c r="DZ10" s="668">
        <f>+DZ62</f>
        <v>0.2245743605847233</v>
      </c>
      <c r="EA10" s="623"/>
      <c r="EB10" s="664" t="s">
        <v>194</v>
      </c>
      <c r="EC10" s="668">
        <f>+EC62</f>
        <v>2.6448157695723583E-2</v>
      </c>
      <c r="ED10" s="668">
        <f>+ED62</f>
        <v>4.42683144358774E-2</v>
      </c>
      <c r="EE10" s="668">
        <f>+EE62</f>
        <v>3.2739739678634021E-2</v>
      </c>
      <c r="EF10" s="668">
        <f>+EF62</f>
        <v>3.2931682829375628E-2</v>
      </c>
      <c r="EG10" s="668">
        <f>+EG62</f>
        <v>0.13641275576642761</v>
      </c>
      <c r="EH10" s="623"/>
      <c r="EI10" s="664" t="s">
        <v>194</v>
      </c>
      <c r="EJ10" s="668">
        <f>+EJ62</f>
        <v>1.7451633190230364E-2</v>
      </c>
      <c r="EK10" s="668">
        <f>+EK62</f>
        <v>2.5020681156768643E-2</v>
      </c>
      <c r="EL10" s="668">
        <f>+EL62</f>
        <v>3.2417730126350075E-2</v>
      </c>
      <c r="EM10" s="668">
        <f>+EM62</f>
        <v>1.0795053022140915E-2</v>
      </c>
      <c r="EN10" s="668">
        <f>+EN62</f>
        <v>8.5698427828837798E-2</v>
      </c>
      <c r="EO10" s="623"/>
      <c r="EP10" s="664" t="s">
        <v>194</v>
      </c>
      <c r="EQ10" s="668">
        <f>+EQ62</f>
        <v>5.9310006891545941E-3</v>
      </c>
      <c r="ER10" s="668">
        <f>+ER62</f>
        <v>1.4466839111388874E-2</v>
      </c>
      <c r="ES10" s="668">
        <f>+ES62</f>
        <v>1.5515814033238557E-2</v>
      </c>
      <c r="ET10" s="668">
        <f>+ET62</f>
        <v>1.4229811454998223E-2</v>
      </c>
      <c r="EU10" s="668">
        <f>+EU62</f>
        <v>5.0115849045939367E-2</v>
      </c>
      <c r="EV10" s="623"/>
      <c r="EW10" s="664" t="s">
        <v>194</v>
      </c>
      <c r="EX10" s="668">
        <f>+EX62</f>
        <v>6.9986833225576563E-3</v>
      </c>
      <c r="EY10" s="668">
        <f>+EY62</f>
        <v>2.8240078319150538E-2</v>
      </c>
      <c r="EZ10" s="668">
        <f>+EZ62</f>
        <v>2.5611393620463187E-2</v>
      </c>
      <c r="FA10" s="668">
        <f>+FA62</f>
        <v>2.7164104099115547E-2</v>
      </c>
      <c r="FB10" s="668">
        <f>+FB62</f>
        <v>8.8061975602448647E-2</v>
      </c>
      <c r="FC10" s="623"/>
      <c r="FD10" s="664" t="s">
        <v>194</v>
      </c>
      <c r="FE10" s="668">
        <f>+FE62</f>
        <v>1.7720239118991406E-2</v>
      </c>
      <c r="FF10" s="668">
        <f>+FF62</f>
        <v>3.3273539975929675E-2</v>
      </c>
      <c r="FG10" s="668">
        <f>+FG62</f>
        <v>3.3078534995373686E-2</v>
      </c>
      <c r="FH10" s="668">
        <f>+FH62</f>
        <v>3.5617535266559558E-2</v>
      </c>
      <c r="FI10" s="668">
        <f>+FI62</f>
        <v>0.11971524309027556</v>
      </c>
      <c r="FJ10" s="623"/>
      <c r="FK10" s="664" t="s">
        <v>194</v>
      </c>
      <c r="FL10" s="668">
        <f>+FL62</f>
        <v>9.5980442817446242E-3</v>
      </c>
      <c r="FM10" s="668">
        <f>+FM62</f>
        <v>3.0574198359433258E-2</v>
      </c>
      <c r="FN10" s="668">
        <f>+FN62</f>
        <v>2.7718207718207717E-2</v>
      </c>
      <c r="FO10" s="668">
        <f>+FO62</f>
        <v>2.9448156396931453E-2</v>
      </c>
      <c r="FP10" s="668">
        <f>+FP62</f>
        <v>9.7850741244333309E-2</v>
      </c>
      <c r="FQ10" s="623"/>
      <c r="FR10" s="664" t="s">
        <v>194</v>
      </c>
      <c r="FS10" s="668">
        <f>+FS62</f>
        <v>1.4822720265623146E-2</v>
      </c>
      <c r="FT10" s="668">
        <f>+FT62</f>
        <v>3.2536428556252724E-2</v>
      </c>
      <c r="FU10" s="668">
        <f>+FU62</f>
        <v>2.484595507851322E-2</v>
      </c>
      <c r="FV10" s="668">
        <f>+FV62</f>
        <v>3.9194283846482651E-2</v>
      </c>
      <c r="FW10" s="668">
        <f>+FW62</f>
        <v>0.11144133017331866</v>
      </c>
      <c r="FX10" s="623"/>
      <c r="FY10" s="664" t="s">
        <v>194</v>
      </c>
      <c r="FZ10" s="668">
        <f>+FZ62</f>
        <v>3.781527874771512E-2</v>
      </c>
      <c r="GA10" s="668">
        <f>+GA62</f>
        <v>5.0435333404654538E-2</v>
      </c>
      <c r="GB10" s="668">
        <f>+GB62</f>
        <v>3.9887012740009158E-2</v>
      </c>
      <c r="GC10" s="668">
        <f>+GC62</f>
        <v>5.725347126346815E-2</v>
      </c>
      <c r="GD10" s="668">
        <f>+GD62</f>
        <v>0.18553468849742955</v>
      </c>
      <c r="GE10" s="623"/>
      <c r="GF10" s="664" t="s">
        <v>194</v>
      </c>
      <c r="GG10" s="668">
        <f>+GG62</f>
        <v>5.8622593961250705E-2</v>
      </c>
      <c r="GH10" s="668">
        <f>+GH62</f>
        <v>9.3812310160038617E-2</v>
      </c>
      <c r="GI10" s="668">
        <f>+GI62</f>
        <v>7.316263196563684E-2</v>
      </c>
      <c r="GJ10" s="668">
        <f>+GJ62</f>
        <v>6.8904498772207876E-2</v>
      </c>
      <c r="GK10" s="668">
        <f>+GK62</f>
        <v>0.28476892259264563</v>
      </c>
      <c r="GL10" s="623"/>
      <c r="GM10" s="664" t="s">
        <v>194</v>
      </c>
      <c r="GN10" s="668">
        <f>+GN62</f>
        <v>5.9732513486594009E-2</v>
      </c>
      <c r="GO10" s="668">
        <f>+GO62</f>
        <v>7.8444532089261165E-2</v>
      </c>
      <c r="GP10" s="668">
        <f>+GP62</f>
        <v>7.4066093888873932E-2</v>
      </c>
      <c r="GQ10" s="668">
        <f>+GQ62</f>
        <v>9.607040497222058E-2</v>
      </c>
      <c r="GR10" s="668">
        <f>+GR62</f>
        <v>0.30678562577447338</v>
      </c>
      <c r="GS10" s="623"/>
      <c r="GT10" s="664" t="s">
        <v>194</v>
      </c>
      <c r="GU10" s="668">
        <f>+GU62</f>
        <v>8.857624233428886E-2</v>
      </c>
      <c r="GV10" s="668">
        <f>+GV62</f>
        <v>9.8340159435897287E-2</v>
      </c>
      <c r="GW10" s="668">
        <f>+GW62</f>
        <v>0.10390662563065436</v>
      </c>
      <c r="GX10" s="668">
        <f>+GX62</f>
        <v>9.9520405577328511E-2</v>
      </c>
      <c r="GY10" s="668">
        <f>+GY62</f>
        <v>0.39013513880958212</v>
      </c>
      <c r="GZ10" s="623"/>
      <c r="HA10" s="664" t="s">
        <v>194</v>
      </c>
      <c r="HB10" s="668">
        <f>+HB62</f>
        <v>6.9356085860063435E-2</v>
      </c>
      <c r="HC10" s="668">
        <f>+HC62</f>
        <v>7.8688518295082471E-2</v>
      </c>
      <c r="HD10" s="668">
        <f>+HD62</f>
        <v>8.1020448750499435E-2</v>
      </c>
      <c r="HE10" s="668">
        <f>+HE62</f>
        <v>8.1176676392021585E-2</v>
      </c>
      <c r="HF10" s="668">
        <f>+HF62</f>
        <v>0.31030609379387813</v>
      </c>
      <c r="HG10" s="623"/>
      <c r="HH10" s="664" t="s">
        <v>194</v>
      </c>
      <c r="HI10" s="668">
        <f>+HI62</f>
        <v>8.5660088519923835E-2</v>
      </c>
      <c r="HJ10" s="668">
        <f>+HJ62</f>
        <v>0.12021857923497267</v>
      </c>
      <c r="HK10" s="668">
        <f>+HK62</f>
        <v>0.12692867540029112</v>
      </c>
      <c r="HL10" s="668">
        <f>+HL62</f>
        <v>0.12706855791962174</v>
      </c>
      <c r="HM10" s="668">
        <f>+HM62</f>
        <v>0.45869439630271519</v>
      </c>
      <c r="HN10" s="623"/>
      <c r="HO10" s="664" t="s">
        <v>194</v>
      </c>
      <c r="HP10" s="668">
        <f>+HP62</f>
        <v>0.11808669656203288</v>
      </c>
      <c r="HQ10" s="668">
        <f>+HQ62</f>
        <v>0.14788097385031559</v>
      </c>
      <c r="HR10" s="668">
        <f>+HR62</f>
        <v>0.14360878984834416</v>
      </c>
      <c r="HS10" s="668">
        <f>+HS62</f>
        <v>0.13952020202020202</v>
      </c>
      <c r="HT10" s="668">
        <f>+HT62</f>
        <v>0.54882154882154888</v>
      </c>
      <c r="HU10" s="623"/>
      <c r="HV10" s="664" t="s">
        <v>194</v>
      </c>
      <c r="HW10" s="668">
        <f>+HW62</f>
        <v>0.1426755640292342</v>
      </c>
      <c r="HX10" s="668">
        <f>+HX62</f>
        <v>0.16075423457973795</v>
      </c>
      <c r="HY10" s="668">
        <f>+HY62</f>
        <v>0.14583333333333334</v>
      </c>
      <c r="HZ10" s="668">
        <f>+HZ62</f>
        <v>0.13218547341115433</v>
      </c>
      <c r="IA10" s="668">
        <f>+IA62</f>
        <v>0.58162179487179477</v>
      </c>
      <c r="IB10" s="623"/>
      <c r="IC10" s="664" t="s">
        <v>194</v>
      </c>
      <c r="ID10" s="668">
        <f>+ID62</f>
        <v>0.14956011730205279</v>
      </c>
      <c r="IE10" s="668">
        <f>+IE62</f>
        <v>0.16878462039752362</v>
      </c>
      <c r="IF10" s="668">
        <f>+IF62</f>
        <v>0.14800261951538965</v>
      </c>
      <c r="IG10" s="668">
        <f>+IG62</f>
        <v>0.140177690029615</v>
      </c>
      <c r="IH10" s="668">
        <f>+IH62</f>
        <v>0.60680405626431144</v>
      </c>
      <c r="II10" s="623"/>
      <c r="IJ10" s="664" t="s">
        <v>194</v>
      </c>
      <c r="IK10" s="668">
        <f>+IK62</f>
        <v>0.13161375661375663</v>
      </c>
      <c r="IL10" s="668">
        <f>+IL62</f>
        <v>0.1758059155865736</v>
      </c>
      <c r="IM10" s="668">
        <f>+IM62</f>
        <v>0.16983650316983651</v>
      </c>
      <c r="IN10" s="668">
        <f>+IN62</f>
        <v>0.16448911222780568</v>
      </c>
      <c r="IO10" s="668">
        <f>+IO62</f>
        <v>0.64105123087159011</v>
      </c>
      <c r="IP10" s="623"/>
      <c r="IQ10" s="664" t="s">
        <v>194</v>
      </c>
      <c r="IR10" s="668">
        <f>+IR62</f>
        <v>0.14852150537634409</v>
      </c>
      <c r="IS10" s="668">
        <f>+IS62</f>
        <v>0.18638355240984159</v>
      </c>
      <c r="IT10" s="668">
        <f>+IT62</f>
        <v>0.17209775967413443</v>
      </c>
      <c r="IU10" s="668">
        <f>+IU62</f>
        <v>0.15964371360054813</v>
      </c>
      <c r="IV10" s="668">
        <f>+IV62</f>
        <v>0.66666666666666663</v>
      </c>
      <c r="IW10" s="623"/>
      <c r="IX10" s="664" t="s">
        <v>194</v>
      </c>
      <c r="IY10" s="668">
        <f>+IY62</f>
        <v>0.12322602976808585</v>
      </c>
      <c r="IZ10" s="668">
        <f>+IZ62</f>
        <v>0.15581232492997199</v>
      </c>
      <c r="JA10" s="668">
        <f>+JA62</f>
        <v>0.16083421703782255</v>
      </c>
      <c r="JB10" s="668">
        <f>+JB62</f>
        <v>0.18828877005347594</v>
      </c>
      <c r="JC10" s="668">
        <f>+JC62</f>
        <v>0.62733825597749648</v>
      </c>
      <c r="JD10" s="623"/>
      <c r="JE10" s="664" t="s">
        <v>194</v>
      </c>
      <c r="JF10" s="668">
        <f>+JF62</f>
        <v>0.16864011481880159</v>
      </c>
      <c r="JG10" s="668">
        <f>+JG62</f>
        <v>0.2132034632034632</v>
      </c>
      <c r="JH10" s="668">
        <f>+JH62</f>
        <v>0.170345842531273</v>
      </c>
      <c r="JI10" s="668">
        <f>+JI62</f>
        <v>0.21316964285714285</v>
      </c>
      <c r="JJ10" s="668">
        <f>+JJ62</f>
        <v>0.76477024070021882</v>
      </c>
      <c r="JK10" s="623"/>
      <c r="JL10" s="664" t="s">
        <v>194</v>
      </c>
      <c r="JM10" s="668">
        <f>+JM62</f>
        <v>0.2608858858858859</v>
      </c>
      <c r="JN10" s="668">
        <f>+JN62</f>
        <v>0.33678955453149001</v>
      </c>
      <c r="JO10" s="668">
        <f>+JO62</f>
        <v>0.34894613583138173</v>
      </c>
      <c r="JP10" s="668">
        <f>+JP62</f>
        <v>0.33733493397358943</v>
      </c>
      <c r="JQ10" s="668">
        <f>+JQ62</f>
        <v>1.2810685249709639</v>
      </c>
      <c r="JR10" s="623"/>
      <c r="JS10" s="664" t="s">
        <v>194</v>
      </c>
      <c r="JT10" s="668">
        <f>+JT62</f>
        <v>0.34026927784577721</v>
      </c>
      <c r="JU10" s="668">
        <f>+JU62</f>
        <v>0.3593556381660471</v>
      </c>
      <c r="JV10" s="668">
        <f>+JV62</f>
        <v>0.36026936026936029</v>
      </c>
      <c r="JW10" s="668">
        <f>+JW62</f>
        <v>0.33033419023136246</v>
      </c>
      <c r="JX10" s="668">
        <f>+JX62</f>
        <v>1.3913951545530492</v>
      </c>
      <c r="JY10" s="623"/>
      <c r="JZ10" s="664" t="s">
        <v>194</v>
      </c>
      <c r="KA10" s="668">
        <f>+KA62</f>
        <v>0.33203967227253128</v>
      </c>
      <c r="KB10" s="668">
        <f>+KB62</f>
        <v>0.21686223381138636</v>
      </c>
      <c r="KC10" s="668">
        <f>+KC62</f>
        <v>0.31986093003042154</v>
      </c>
      <c r="KD10" s="668">
        <f>+KD62</f>
        <v>0.3307223672758921</v>
      </c>
      <c r="KE10" s="668">
        <f>+KE62</f>
        <v>1.2000868055555556</v>
      </c>
      <c r="KF10" s="623"/>
      <c r="KG10" s="664" t="s">
        <v>194</v>
      </c>
      <c r="KH10" s="668">
        <f>+KH62</f>
        <v>0.30883639545056868</v>
      </c>
      <c r="KI10" s="668">
        <f>+KI62</f>
        <v>0.39799216263736265</v>
      </c>
      <c r="KJ10" s="668">
        <f>+KJ62</f>
        <v>0.43175735950044603</v>
      </c>
      <c r="KK10" s="668">
        <f>+KK62</f>
        <v>0.42129003157419936</v>
      </c>
      <c r="KL10" s="668">
        <f>+KL62</f>
        <v>1.5580630465631928</v>
      </c>
      <c r="KM10" s="623"/>
      <c r="KN10" s="664" t="s">
        <v>194</v>
      </c>
      <c r="KO10" s="668">
        <f>+KO62</f>
        <v>0.39170086639306884</v>
      </c>
      <c r="KP10" s="668">
        <f>+KP62</f>
        <v>0.50196768264492631</v>
      </c>
      <c r="KQ10" s="668">
        <f>+KQ62</f>
        <v>0.52257761053621821</v>
      </c>
      <c r="KR10" s="668">
        <f>+KR62</f>
        <v>0.48824940047961629</v>
      </c>
      <c r="KS10" s="668">
        <f>+KS62</f>
        <v>1.9027352160490312</v>
      </c>
      <c r="KT10" s="623"/>
      <c r="KU10" s="664" t="s">
        <v>194</v>
      </c>
      <c r="KV10" s="668">
        <f>+KV62</f>
        <v>0.47327502429543244</v>
      </c>
      <c r="KW10" s="668">
        <f>+KW62</f>
        <v>0.48592592592592593</v>
      </c>
      <c r="KX10" s="665">
        <f>+KX62</f>
        <v>0.41420710355177587</v>
      </c>
      <c r="KY10" s="668">
        <f>+KY62</f>
        <v>0.44794311833417977</v>
      </c>
      <c r="KZ10" s="668">
        <f>+KZ62</f>
        <v>1.8221559860904124</v>
      </c>
      <c r="LA10" s="623"/>
      <c r="LB10" s="664" t="s">
        <v>194</v>
      </c>
      <c r="LC10" s="668">
        <f>+LC62</f>
        <v>0.44852191641182465</v>
      </c>
      <c r="LD10" s="665">
        <f>+LD62</f>
        <v>0.49435318275154005</v>
      </c>
      <c r="LE10" s="665">
        <f>+LE62</f>
        <v>0.46082474226804121</v>
      </c>
      <c r="LF10" s="665">
        <f>+LF62</f>
        <v>0.42425819885476312</v>
      </c>
      <c r="LG10" s="669">
        <f>+LG62</f>
        <v>1.8283361214772873</v>
      </c>
      <c r="LH10" s="666"/>
      <c r="LI10" s="664" t="s">
        <v>194</v>
      </c>
      <c r="LJ10" s="665">
        <f>+LJ62</f>
        <v>0.34143763213530653</v>
      </c>
      <c r="LK10" s="665">
        <f>+LK62</f>
        <v>0.44355270197966828</v>
      </c>
      <c r="LL10" s="665">
        <f>+LL62</f>
        <v>0.45257096946973757</v>
      </c>
      <c r="LM10" s="665">
        <f>+LM62</f>
        <v>0.40809852584437395</v>
      </c>
      <c r="LN10" s="669">
        <f>+LN62</f>
        <v>1.6447654309524362</v>
      </c>
      <c r="LO10" s="666"/>
      <c r="LP10" s="664" t="s">
        <v>194</v>
      </c>
      <c r="LQ10" s="665">
        <f>+LQ62</f>
        <v>0.40272310200244277</v>
      </c>
      <c r="LR10" s="665">
        <f>+LR62</f>
        <v>0.4878449848567819</v>
      </c>
      <c r="LS10" s="665">
        <f>+LS62</f>
        <v>0.50931281463745726</v>
      </c>
      <c r="LT10" s="665">
        <f>+LT62</f>
        <v>0.49684327904744402</v>
      </c>
      <c r="LU10" s="669">
        <f>+LU62</f>
        <v>1.8953326748920007</v>
      </c>
      <c r="LV10" s="666"/>
      <c r="LW10" s="664" t="s">
        <v>194</v>
      </c>
      <c r="LX10" s="665">
        <f>+LX62</f>
        <v>0.47512354164248727</v>
      </c>
      <c r="LY10" s="665">
        <f>+LY62</f>
        <v>0.56740711598996718</v>
      </c>
      <c r="LZ10" s="665">
        <f>+LZ62</f>
        <v>0.59371421619796194</v>
      </c>
      <c r="MA10" s="665">
        <f>+MA62</f>
        <v>0.5699423482446222</v>
      </c>
      <c r="MB10" s="669">
        <f>+MB62</f>
        <v>2.204688403515334</v>
      </c>
      <c r="MC10" s="666"/>
      <c r="MD10" s="664" t="s">
        <v>194</v>
      </c>
      <c r="ME10" s="665">
        <f>+ME62</f>
        <v>0.53775277040571945</v>
      </c>
      <c r="MF10" s="665">
        <f>+MF62</f>
        <v>0.63197804554418557</v>
      </c>
      <c r="MG10" s="665">
        <f>+MG62</f>
        <v>0.65647148351149132</v>
      </c>
      <c r="MH10" s="665">
        <f>+MH62</f>
        <v>0.63467794077945938</v>
      </c>
      <c r="MI10" s="669">
        <f>+MI62</f>
        <v>2.4592511900229108</v>
      </c>
      <c r="MJ10" s="666"/>
    </row>
    <row r="11" spans="1:348" hidden="1" outlineLevel="1" x14ac:dyDescent="0.4">
      <c r="A11" s="455"/>
      <c r="B11" s="520" t="s">
        <v>3</v>
      </c>
      <c r="C11" s="49"/>
      <c r="D11" s="49">
        <f t="shared" ref="D11:M11" si="8">+D10/C10-1</f>
        <v>0.84343934925058139</v>
      </c>
      <c r="E11" s="49">
        <f t="shared" si="8"/>
        <v>2.7665411882672686E-2</v>
      </c>
      <c r="F11" s="49">
        <f t="shared" si="8"/>
        <v>0.29242883329937941</v>
      </c>
      <c r="G11" s="49">
        <f t="shared" si="8"/>
        <v>-0.39707344574979808</v>
      </c>
      <c r="H11" s="49">
        <f t="shared" si="8"/>
        <v>-0.22900824315499824</v>
      </c>
      <c r="I11" s="49">
        <f t="shared" si="8"/>
        <v>0.42473115990285382</v>
      </c>
      <c r="J11" s="49">
        <f t="shared" si="8"/>
        <v>7.377413963164825E-3</v>
      </c>
      <c r="K11" s="49">
        <f t="shared" si="8"/>
        <v>-0.16388362773827003</v>
      </c>
      <c r="L11" s="49">
        <f t="shared" si="8"/>
        <v>0.17937686664617369</v>
      </c>
      <c r="M11" s="49">
        <f t="shared" si="8"/>
        <v>0.28303104145099489</v>
      </c>
      <c r="N11" s="49" t="e">
        <f>BV11</f>
        <v>#DIV/0!</v>
      </c>
      <c r="O11" s="49">
        <f>CC11</f>
        <v>-4.3479077412187928E-2</v>
      </c>
      <c r="P11" s="49">
        <f>CJ11</f>
        <v>1.7364514596929448E-2</v>
      </c>
      <c r="Q11" s="49">
        <f>CQ11</f>
        <v>0.10823050730682082</v>
      </c>
      <c r="R11" s="49">
        <f>CX11</f>
        <v>-8.2568601373175232E-3</v>
      </c>
      <c r="S11" s="49">
        <f>DE11</f>
        <v>0.29737985789279264</v>
      </c>
      <c r="T11" s="49">
        <f>DL11</f>
        <v>0.19311008237052008</v>
      </c>
      <c r="U11" s="49">
        <f>DS11</f>
        <v>0.12478461854775036</v>
      </c>
      <c r="V11" s="49">
        <f>DZ11</f>
        <v>3.757313785529548E-2</v>
      </c>
      <c r="W11" s="49">
        <f>EG11</f>
        <v>-0.39257199525693709</v>
      </c>
      <c r="X11" s="49">
        <f>EN11</f>
        <v>-0.37177115624308099</v>
      </c>
      <c r="Y11" s="49">
        <f>EU11</f>
        <v>-0.41520690267464599</v>
      </c>
      <c r="Z11" s="49">
        <f>FB11</f>
        <v>0.75716818688885135</v>
      </c>
      <c r="AA11" s="49">
        <f>FI11</f>
        <v>0.35944307712018642</v>
      </c>
      <c r="AB11" s="49">
        <f>FP11</f>
        <v>-0.18263757631477673</v>
      </c>
      <c r="AC11" s="49">
        <f>FW11</f>
        <v>0.13889101662551173</v>
      </c>
      <c r="AD11" s="49">
        <f>GD11</f>
        <v>0.6648642672236369</v>
      </c>
      <c r="AE11" s="49">
        <f>GK11</f>
        <v>0.5348554219099082</v>
      </c>
      <c r="AF11" s="49">
        <f>GR11</f>
        <v>7.7314276366182266E-2</v>
      </c>
      <c r="AG11" s="49">
        <f>GY11</f>
        <v>0.27168650038506459</v>
      </c>
      <c r="AH11" s="49">
        <f>HF11</f>
        <v>-0.20461895654743134</v>
      </c>
      <c r="AI11" s="49">
        <f>HM11</f>
        <v>0.47819976944250575</v>
      </c>
      <c r="AJ11" s="49">
        <f>HT11</f>
        <v>0.19648627331246993</v>
      </c>
      <c r="AK11" s="49">
        <f>IA11</f>
        <v>5.9764865502595299E-2</v>
      </c>
      <c r="AL11" s="49">
        <f>IH11</f>
        <v>4.3296626114342152E-2</v>
      </c>
      <c r="AM11" s="49">
        <f>IO11</f>
        <v>5.6438605269245823E-2</v>
      </c>
      <c r="AN11" s="49">
        <f>IV11</f>
        <v>3.9958484691229978E-2</v>
      </c>
      <c r="AO11" s="49">
        <f>JC11</f>
        <v>-5.8992616033755274E-2</v>
      </c>
      <c r="AP11" s="49">
        <f>JJ11</f>
        <v>0.21907158285537776</v>
      </c>
      <c r="AQ11" s="49">
        <f>JQ11</f>
        <v>0.67510247757290553</v>
      </c>
      <c r="AR11" s="49">
        <f>JX11</f>
        <v>8.6120787008318711E-2</v>
      </c>
      <c r="AS11" s="49">
        <f>KE11</f>
        <v>-0.13749390198138689</v>
      </c>
      <c r="AT11" s="49">
        <f>KL11</f>
        <v>0.29829195634054106</v>
      </c>
      <c r="AU11" s="49">
        <f>KS11</f>
        <v>0.22121837126303912</v>
      </c>
      <c r="AV11" s="49">
        <f>KZ11</f>
        <v>-4.2349155720121101E-2</v>
      </c>
      <c r="AW11" s="49">
        <f>LG11</f>
        <v>3.3916609961230915E-3</v>
      </c>
      <c r="AX11" s="49">
        <f>LN11</f>
        <v>-0.10040314161518993</v>
      </c>
      <c r="AY11" s="49">
        <f>LU11</f>
        <v>0.15234223629959698</v>
      </c>
      <c r="AZ11" s="49">
        <f>MB11</f>
        <v>0.16321975172034686</v>
      </c>
      <c r="BA11" s="49">
        <f>MI11</f>
        <v>0.11546429241505574</v>
      </c>
      <c r="BB11" s="49"/>
      <c r="BC11" s="49"/>
      <c r="BD11" s="49"/>
      <c r="BE11" s="49"/>
      <c r="BF11" s="49"/>
      <c r="BG11" s="49"/>
      <c r="BH11" s="49"/>
      <c r="BI11" s="49"/>
      <c r="BJ11" s="49"/>
      <c r="BK11" s="49"/>
      <c r="BL11" s="49"/>
      <c r="BM11" s="49"/>
      <c r="BN11" s="49"/>
      <c r="BO11" s="49"/>
      <c r="BQ11" s="520" t="s">
        <v>3</v>
      </c>
      <c r="BR11" s="662">
        <f>+BR10/AV10-1</f>
        <v>-0.98903689502175762</v>
      </c>
      <c r="BS11" s="662">
        <f>+BS10/AW10-1</f>
        <v>-0.98054853106986628</v>
      </c>
      <c r="BT11" s="662">
        <f>+BT10/AX10-1</f>
        <v>-0.98429059400584995</v>
      </c>
      <c r="BU11" s="662">
        <f>+BU10/AY10-1</f>
        <v>-0.98135148523328752</v>
      </c>
      <c r="BV11" s="662" t="e">
        <f>+BV10/BP10-1</f>
        <v>#DIV/0!</v>
      </c>
      <c r="BX11" s="520" t="s">
        <v>3</v>
      </c>
      <c r="BY11" s="662">
        <f>+BY10/BR10-1</f>
        <v>-0.17695044389507442</v>
      </c>
      <c r="BZ11" s="662">
        <f>+BZ10/BS10-1</f>
        <v>-0.14512270054415743</v>
      </c>
      <c r="CA11" s="662">
        <f>+CA10/BT10-1</f>
        <v>8.9620860586371087E-2</v>
      </c>
      <c r="CB11" s="662">
        <f>+CB10/BU10-1</f>
        <v>2.1929821840292352E-2</v>
      </c>
      <c r="CC11" s="662">
        <f>+CC10/BV10-1</f>
        <v>-4.3479077412187928E-2</v>
      </c>
      <c r="CE11" s="520" t="s">
        <v>3</v>
      </c>
      <c r="CF11" s="662">
        <f>+CF10/BY10-1</f>
        <v>-3.2582170231795216E-2</v>
      </c>
      <c r="CG11" s="662">
        <f>+CG10/BZ10-1</f>
        <v>4.1887578005361803E-2</v>
      </c>
      <c r="CH11" s="662">
        <f>+CH10/CA10-1</f>
        <v>3.8475364166520309E-2</v>
      </c>
      <c r="CI11" s="662">
        <f>+CI10/CB10-1</f>
        <v>-4.1314700246434244E-3</v>
      </c>
      <c r="CJ11" s="662">
        <f>+CJ10/CC10-1</f>
        <v>1.7364514596929448E-2</v>
      </c>
      <c r="CL11" s="520" t="s">
        <v>3</v>
      </c>
      <c r="CM11" s="662">
        <f>+CM10/CF10-1</f>
        <v>4.9119739615872016E-2</v>
      </c>
      <c r="CN11" s="662">
        <f>+CN10/CG10-1</f>
        <v>7.0987320831904066E-2</v>
      </c>
      <c r="CO11" s="662">
        <f>+CO10/CH10-1</f>
        <v>0.16914863803159896</v>
      </c>
      <c r="CP11" s="662">
        <f>+CP10/CI10-1</f>
        <v>0.12563212409267255</v>
      </c>
      <c r="CQ11" s="662">
        <f>+CQ10/CJ10-1</f>
        <v>0.10823050730682082</v>
      </c>
      <c r="CS11" s="520" t="s">
        <v>3</v>
      </c>
      <c r="CT11" s="662">
        <f>+CT10/CM10-1</f>
        <v>-0.17033485949031546</v>
      </c>
      <c r="CU11" s="662">
        <f>+CU10/CN10-1</f>
        <v>0.19681629123692201</v>
      </c>
      <c r="CV11" s="662">
        <f>+CV10/CO10-1</f>
        <v>-0.12225000562274269</v>
      </c>
      <c r="CW11" s="662">
        <f>+CW10/CP10-1</f>
        <v>-1.6773562100090289E-2</v>
      </c>
      <c r="CX11" s="662">
        <f>+CX10/CQ10-1</f>
        <v>-8.2568601373175232E-3</v>
      </c>
      <c r="CZ11" s="520" t="s">
        <v>3</v>
      </c>
      <c r="DA11" s="662">
        <f>+DA10/CT10-1</f>
        <v>0.40436778263535</v>
      </c>
      <c r="DB11" s="662">
        <f>+DB10/CU10-1</f>
        <v>4.5857162116036188E-2</v>
      </c>
      <c r="DC11" s="662">
        <f>+DC10/CV10-1</f>
        <v>0.54592704958431071</v>
      </c>
      <c r="DD11" s="662">
        <f>+DD10/CW10-1</f>
        <v>0.32979675074365788</v>
      </c>
      <c r="DE11" s="662">
        <f>+DE10/CX10-1</f>
        <v>0.29737985789279264</v>
      </c>
      <c r="DG11" s="520" t="s">
        <v>3</v>
      </c>
      <c r="DH11" s="662">
        <f>+DH10/DA10-1</f>
        <v>0.62757618368566259</v>
      </c>
      <c r="DI11" s="662">
        <f>+DI10/DB10-1</f>
        <v>0.13089356742484348</v>
      </c>
      <c r="DJ11" s="662">
        <f>+DJ10/DC10-1</f>
        <v>0.16056564964749676</v>
      </c>
      <c r="DK11" s="662">
        <f>+DK10/DD10-1</f>
        <v>0.11176731915721061</v>
      </c>
      <c r="DL11" s="662">
        <f>+DL10/DE10-1</f>
        <v>0.19311008237052008</v>
      </c>
      <c r="DN11" s="520" t="s">
        <v>3</v>
      </c>
      <c r="DO11" s="662">
        <f>+DO10/DH10-1</f>
        <v>0.20051922791518173</v>
      </c>
      <c r="DP11" s="662">
        <f>+DP10/DI10-1</f>
        <v>0.19527281915571626</v>
      </c>
      <c r="DQ11" s="662">
        <f>+DQ10/DJ10-1</f>
        <v>5.3882784258851402E-2</v>
      </c>
      <c r="DR11" s="662">
        <f>+DR10/DK10-1</f>
        <v>8.8616073428933184E-2</v>
      </c>
      <c r="DS11" s="662">
        <f>+DS10/DL10-1</f>
        <v>0.12478461854775036</v>
      </c>
      <c r="DU11" s="520" t="s">
        <v>3</v>
      </c>
      <c r="DV11" s="662">
        <f>+DV10/DO10-1</f>
        <v>3.8766505288851727E-2</v>
      </c>
      <c r="DW11" s="662">
        <f>+DW10/DP10-1</f>
        <v>2.9776945922808551E-2</v>
      </c>
      <c r="DX11" s="662">
        <f>+DX10/DQ10-1</f>
        <v>6.8333923273428354E-2</v>
      </c>
      <c r="DY11" s="662">
        <f>+DY10/DR10-1</f>
        <v>0.12640505241052002</v>
      </c>
      <c r="DZ11" s="662">
        <f>+DZ10/DS10-1</f>
        <v>3.757313785529548E-2</v>
      </c>
      <c r="EB11" s="520" t="s">
        <v>3</v>
      </c>
      <c r="EC11" s="662">
        <f>+EC10/DV10-1</f>
        <v>-0.32980823797778214</v>
      </c>
      <c r="ED11" s="662">
        <f>+ED10/DW10-1</f>
        <v>-0.25106563453955433</v>
      </c>
      <c r="EE11" s="662">
        <f>+EE10/DX10-1</f>
        <v>-0.45981654248664439</v>
      </c>
      <c r="EF11" s="662">
        <f>+EF10/DY10-1</f>
        <v>-0.54370825256459532</v>
      </c>
      <c r="EG11" s="662">
        <f>+EG10/DZ10-1</f>
        <v>-0.39257199525693709</v>
      </c>
      <c r="EI11" s="520" t="s">
        <v>3</v>
      </c>
      <c r="EJ11" s="662">
        <f>+EJ10/EC10-1</f>
        <v>-0.34015694435109456</v>
      </c>
      <c r="EK11" s="662">
        <f>+EK10/ED10-1</f>
        <v>-0.43479480807856219</v>
      </c>
      <c r="EL11" s="662">
        <f>+EL10/EE10-1</f>
        <v>-9.8354341068291884E-3</v>
      </c>
      <c r="EM11" s="662">
        <f>+EM10/EF10-1</f>
        <v>-0.67219856093987573</v>
      </c>
      <c r="EN11" s="662">
        <f>+EN10/EG10-1</f>
        <v>-0.37177115624308099</v>
      </c>
      <c r="EP11" s="520" t="s">
        <v>3</v>
      </c>
      <c r="EQ11" s="662">
        <f>+EQ10/EJ10-1</f>
        <v>-0.66014638145873705</v>
      </c>
      <c r="ER11" s="662">
        <f>+ER10/EK10-1</f>
        <v>-0.4218047454125653</v>
      </c>
      <c r="ES11" s="662">
        <f>+ES10/EL10-1</f>
        <v>-0.52137876486833812</v>
      </c>
      <c r="ET11" s="662">
        <f>+ET10/EM10-1</f>
        <v>0.31817893120233287</v>
      </c>
      <c r="EU11" s="662">
        <f>+EU10/EN10-1</f>
        <v>-0.41520690267464599</v>
      </c>
      <c r="EW11" s="520" t="s">
        <v>3</v>
      </c>
      <c r="EX11" s="662">
        <f>+EX10/EQ10-1</f>
        <v>0.18001728365255842</v>
      </c>
      <c r="EY11" s="662">
        <f>+EY10/ER10-1</f>
        <v>0.95205587770163413</v>
      </c>
      <c r="EZ11" s="662">
        <f>+EZ10/ES10-1</f>
        <v>0.6506638688500328</v>
      </c>
      <c r="FA11" s="662">
        <f>+FA10/ET10-1</f>
        <v>0.90895741556534482</v>
      </c>
      <c r="FB11" s="662">
        <f>+FB10/EU10-1</f>
        <v>0.75716818688885135</v>
      </c>
      <c r="FD11" s="520" t="s">
        <v>3</v>
      </c>
      <c r="FE11" s="662">
        <f>+FE10/EX10-1</f>
        <v>1.5319389808475541</v>
      </c>
      <c r="FF11" s="662">
        <f>+FF10/EY10-1</f>
        <v>0.17823823290765373</v>
      </c>
      <c r="FG11" s="662">
        <f>+FG10/EZ10-1</f>
        <v>0.29155544932722233</v>
      </c>
      <c r="FH11" s="662">
        <f>+FH10/FA10-1</f>
        <v>0.31119860005687627</v>
      </c>
      <c r="FI11" s="662">
        <f>+FI10/FB10-1</f>
        <v>0.35944307712018642</v>
      </c>
      <c r="FK11" s="520" t="s">
        <v>3</v>
      </c>
      <c r="FL11" s="662">
        <f>+FL10/FE10-1</f>
        <v>-0.45835695459334624</v>
      </c>
      <c r="FM11" s="662">
        <f>+FM10/FF10-1</f>
        <v>-8.1125771963221904E-2</v>
      </c>
      <c r="FN11" s="662">
        <f>+FN10/FG10-1</f>
        <v>-0.16204850903813173</v>
      </c>
      <c r="FO11" s="662">
        <f>+FO10/FH10-1</f>
        <v>-0.17321184139937906</v>
      </c>
      <c r="FP11" s="662">
        <f>+FP10/FI10-1</f>
        <v>-0.18263757631477673</v>
      </c>
      <c r="FR11" s="520" t="s">
        <v>3</v>
      </c>
      <c r="FS11" s="662">
        <f>+FS10/FL10-1</f>
        <v>0.54434797657849932</v>
      </c>
      <c r="FT11" s="662">
        <f>+FT10/FM10-1</f>
        <v>6.4179285217924376E-2</v>
      </c>
      <c r="FU11" s="662">
        <f>+FU10/FN10-1</f>
        <v>-0.10362331752812981</v>
      </c>
      <c r="FV11" s="662">
        <f>+FV10/FO10-1</f>
        <v>0.33095883213139832</v>
      </c>
      <c r="FW11" s="662">
        <f>+FW10/FP10-1</f>
        <v>0.13889101662551173</v>
      </c>
      <c r="FY11" s="520" t="s">
        <v>3</v>
      </c>
      <c r="FZ11" s="662">
        <f>+FZ10/FS10-1</f>
        <v>1.5511699654358528</v>
      </c>
      <c r="GA11" s="662">
        <f>+GA10/FT10-1</f>
        <v>0.55011891724551543</v>
      </c>
      <c r="GB11" s="662">
        <f>+GB10/FU10-1</f>
        <v>0.60537248875988836</v>
      </c>
      <c r="GC11" s="662">
        <f>+GC10/FV10-1</f>
        <v>0.46076074479942708</v>
      </c>
      <c r="GD11" s="662">
        <f>+GD10/FW10-1</f>
        <v>0.6648642672236369</v>
      </c>
      <c r="GF11" s="520" t="s">
        <v>3</v>
      </c>
      <c r="GG11" s="662">
        <f>+GG10/FZ10-1</f>
        <v>0.55023566935343049</v>
      </c>
      <c r="GH11" s="662">
        <f>+GH10/GA10-1</f>
        <v>0.86005135343035</v>
      </c>
      <c r="GI11" s="662">
        <f>+GI10/GB10-1</f>
        <v>0.83424696260219466</v>
      </c>
      <c r="GJ11" s="662">
        <f>+GJ10/GC10-1</f>
        <v>0.20349905868806117</v>
      </c>
      <c r="GK11" s="662">
        <f>+GK10/GD10-1</f>
        <v>0.5348554219099082</v>
      </c>
      <c r="GM11" s="520" t="s">
        <v>3</v>
      </c>
      <c r="GN11" s="662">
        <f>+GN10/GG10-1</f>
        <v>1.8933306262035376E-2</v>
      </c>
      <c r="GO11" s="662">
        <f>+GO10/GH10-1</f>
        <v>-0.16381408841292655</v>
      </c>
      <c r="GP11" s="662">
        <f>+GP10/GI10-1</f>
        <v>1.2348679906177162E-2</v>
      </c>
      <c r="GQ11" s="662">
        <f>+GQ10/GJ10-1</f>
        <v>0.39425446355572169</v>
      </c>
      <c r="GR11" s="662">
        <f>+GR10/GK10-1</f>
        <v>7.7314276366182266E-2</v>
      </c>
      <c r="GT11" s="520" t="s">
        <v>3</v>
      </c>
      <c r="GU11" s="662">
        <f>+GU10/GN10-1</f>
        <v>0.48288155250939435</v>
      </c>
      <c r="GV11" s="662">
        <f>+GV10/GO10-1</f>
        <v>0.25362669413334138</v>
      </c>
      <c r="GW11" s="662">
        <f>+GW10/GP10-1</f>
        <v>0.40289058292384206</v>
      </c>
      <c r="GX11" s="662">
        <f>+GX10/GQ10-1</f>
        <v>3.5911169585529645E-2</v>
      </c>
      <c r="GY11" s="662">
        <f>+GY10/GR10-1</f>
        <v>0.27168650038506459</v>
      </c>
      <c r="HA11" s="520" t="s">
        <v>3</v>
      </c>
      <c r="HB11" s="662">
        <f>+HB10/GU10-1</f>
        <v>-0.21698997347040416</v>
      </c>
      <c r="HC11" s="662">
        <f>+HC10/GV10-1</f>
        <v>-0.1998333260139229</v>
      </c>
      <c r="HD11" s="662">
        <f>+HD10/GW10-1</f>
        <v>-0.22025714665690277</v>
      </c>
      <c r="HE11" s="662">
        <f>+HE10/GX10-1</f>
        <v>-0.18432128646274093</v>
      </c>
      <c r="HF11" s="662">
        <f>+HF10/GY10-1</f>
        <v>-0.20461895654743134</v>
      </c>
      <c r="HH11" s="520" t="s">
        <v>3</v>
      </c>
      <c r="HI11" s="662">
        <f>+HI10/HB10-1</f>
        <v>0.23507674139449319</v>
      </c>
      <c r="HJ11" s="662">
        <f>+HJ10/HC10-1</f>
        <v>0.52777790000000002</v>
      </c>
      <c r="HK11" s="662">
        <f>+HK10/HD10-1</f>
        <v>0.56662518361463277</v>
      </c>
      <c r="HL11" s="662">
        <f>+HL10/HE10-1</f>
        <v>0.5653333391721691</v>
      </c>
      <c r="HM11" s="662">
        <f>+HM10/HF10-1</f>
        <v>0.47819976944250575</v>
      </c>
      <c r="HO11" s="520" t="s">
        <v>3</v>
      </c>
      <c r="HP11" s="662">
        <f>+HP10/HI10-1</f>
        <v>0.37854978441409015</v>
      </c>
      <c r="HQ11" s="662">
        <f>+HQ10/HJ10-1</f>
        <v>0.23010082793671605</v>
      </c>
      <c r="HR11" s="662">
        <f>+HR10/HK10-1</f>
        <v>0.13141328699326182</v>
      </c>
      <c r="HS11" s="662">
        <f>+HS10/HL10-1</f>
        <v>9.7991543340380627E-2</v>
      </c>
      <c r="HT11" s="662">
        <f>+HT10/HM10-1</f>
        <v>0.19648627331246993</v>
      </c>
      <c r="HV11" s="520" t="s">
        <v>3</v>
      </c>
      <c r="HW11" s="662">
        <f>+HW10/HP10-1</f>
        <v>0.20822724475389465</v>
      </c>
      <c r="HX11" s="662">
        <f>+HX10/HQ10-1</f>
        <v>8.7051500908106094E-2</v>
      </c>
      <c r="HY11" s="662">
        <f>+HY10/HR10-1</f>
        <v>1.5490301724138122E-2</v>
      </c>
      <c r="HZ11" s="662">
        <f>+HZ10/HS10-1</f>
        <v>-5.2571086501047692E-2</v>
      </c>
      <c r="IA11" s="662">
        <f>+IA10/HT10-1</f>
        <v>5.9764865502595299E-2</v>
      </c>
      <c r="IC11" s="520" t="s">
        <v>3</v>
      </c>
      <c r="ID11" s="662">
        <f>+ID10/HW10-1</f>
        <v>4.8253205232873242E-2</v>
      </c>
      <c r="IE11" s="662">
        <f>+IE10/HX10-1</f>
        <v>4.995442788042026E-2</v>
      </c>
      <c r="IF11" s="662">
        <f>+IF10/HY10-1</f>
        <v>1.48751052483862E-2</v>
      </c>
      <c r="IG11" s="662">
        <f>+IG10/HZ10-1</f>
        <v>6.0462140144563303E-2</v>
      </c>
      <c r="IH11" s="662">
        <f>+IH10/IA10-1</f>
        <v>4.3296626114342152E-2</v>
      </c>
      <c r="IJ11" s="520" t="s">
        <v>3</v>
      </c>
      <c r="IK11" s="662">
        <f>+IK10/ID10-1</f>
        <v>-0.11999429401390183</v>
      </c>
      <c r="IL11" s="662">
        <f>+IL10/IE10-1</f>
        <v>4.1599140801533485E-2</v>
      </c>
      <c r="IM11" s="662">
        <f>+IM10/IF10-1</f>
        <v>0.14752362982451483</v>
      </c>
      <c r="IN11" s="662">
        <f>+IN10/IG10-1</f>
        <v>0.17343289216033209</v>
      </c>
      <c r="IO11" s="662">
        <f>+IO10/IH10-1</f>
        <v>5.6438605269245823E-2</v>
      </c>
      <c r="IQ11" s="520" t="s">
        <v>3</v>
      </c>
      <c r="IR11" s="662">
        <f>+IR10/IK10-1</f>
        <v>0.12846490517101627</v>
      </c>
      <c r="IS11" s="662">
        <f>+IS10/IL10-1</f>
        <v>6.0166558036320206E-2</v>
      </c>
      <c r="IT11" s="662">
        <f>+IT10/IM10-1</f>
        <v>1.3314313837683445E-2</v>
      </c>
      <c r="IU11" s="662">
        <f>+IU10/IN10-1</f>
        <v>-2.9457260493612636E-2</v>
      </c>
      <c r="IV11" s="662">
        <f>+IV10/IO10-1</f>
        <v>3.9958484691229978E-2</v>
      </c>
      <c r="IX11" s="520" t="s">
        <v>3</v>
      </c>
      <c r="IY11" s="662">
        <f>+IY10/IR10-1</f>
        <v>-0.17031523848456231</v>
      </c>
      <c r="IZ11" s="662">
        <f>+IZ10/IS10-1</f>
        <v>-0.16402320421839622</v>
      </c>
      <c r="JA11" s="662">
        <f>+JA10/IT10-1</f>
        <v>-6.5448514016912762E-2</v>
      </c>
      <c r="JB11" s="662">
        <f>+JB10/IU10-1</f>
        <v>0.17943115833926249</v>
      </c>
      <c r="JC11" s="662">
        <f>+JC10/IV10-1</f>
        <v>-5.8992616033755274E-2</v>
      </c>
      <c r="JE11" s="520" t="s">
        <v>3</v>
      </c>
      <c r="JF11" s="662">
        <f>+JF10/IY10-1</f>
        <v>0.3685429542458365</v>
      </c>
      <c r="JG11" s="662">
        <f>+JG10/IZ10-1</f>
        <v>0.36833503575076598</v>
      </c>
      <c r="JH11" s="662">
        <f>+JH10/JA10-1</f>
        <v>5.9139315430706052E-2</v>
      </c>
      <c r="JI11" s="662">
        <f>+JI10/JB10-1</f>
        <v>0.13214209640118457</v>
      </c>
      <c r="JJ11" s="662">
        <f>+JJ10/JC10-1</f>
        <v>0.21907158285537776</v>
      </c>
      <c r="JL11" s="520" t="s">
        <v>3</v>
      </c>
      <c r="JM11" s="662">
        <f>+JM10/JF10-1</f>
        <v>0.54699779566800855</v>
      </c>
      <c r="JN11" s="662">
        <f>+JN10/JG10-1</f>
        <v>0.57966268216800398</v>
      </c>
      <c r="JO11" s="662">
        <f>+JO10/JH10-1</f>
        <v>1.0484570133686728</v>
      </c>
      <c r="JP11" s="662">
        <f>+JP10/JI10-1</f>
        <v>0.58247173214835679</v>
      </c>
      <c r="JQ11" s="662">
        <f>+JQ10/JJ10-1</f>
        <v>0.67510247757290553</v>
      </c>
      <c r="JS11" s="520" t="s">
        <v>3</v>
      </c>
      <c r="JT11" s="662">
        <f>+JT10/JM10-1</f>
        <v>0.30428396572827388</v>
      </c>
      <c r="JU11" s="662">
        <f>+JU10/JN10-1</f>
        <v>6.7003514007282439E-2</v>
      </c>
      <c r="JV11" s="662">
        <f>+JV10/JO10-1</f>
        <v>3.244977741622046E-2</v>
      </c>
      <c r="JW11" s="662">
        <f>+JW10/JP10-1</f>
        <v>-2.0753094438701325E-2</v>
      </c>
      <c r="JX11" s="662">
        <f>+JX10/JQ10-1</f>
        <v>8.6120787008318711E-2</v>
      </c>
      <c r="JZ11" s="520" t="s">
        <v>3</v>
      </c>
      <c r="KA11" s="662">
        <f>+KA10/JT10-1</f>
        <v>-2.4185567458064439E-2</v>
      </c>
      <c r="KB11" s="662">
        <f>+KB10/JU10-1</f>
        <v>-0.396524749359349</v>
      </c>
      <c r="KC11" s="662">
        <f>+KC10/JV10-1</f>
        <v>-0.11216171757911031</v>
      </c>
      <c r="KD11" s="662">
        <f>+KD10/JW10-1</f>
        <v>1.1751040491987386E-3</v>
      </c>
      <c r="KE11" s="662">
        <f>+KE10/JX10-1</f>
        <v>-0.13749390198138689</v>
      </c>
      <c r="KG11" s="520" t="s">
        <v>3</v>
      </c>
      <c r="KH11" s="662">
        <f>+KH10/KA10-1</f>
        <v>-6.9881037597573137E-2</v>
      </c>
      <c r="KI11" s="662">
        <f>+KI10/KB10-1</f>
        <v>0.83523039324363002</v>
      </c>
      <c r="KJ11" s="662">
        <f>+KJ10/KC10-1</f>
        <v>0.34982837528604116</v>
      </c>
      <c r="KK11" s="662">
        <f>+KK10/KD10-1</f>
        <v>0.27384801652303947</v>
      </c>
      <c r="KL11" s="662">
        <f>+KL10/KE10-1</f>
        <v>0.29829195634054106</v>
      </c>
      <c r="KN11" s="520" t="s">
        <v>3</v>
      </c>
      <c r="KO11" s="662">
        <f>+KO10/KH10-1</f>
        <v>0.26831187050220295</v>
      </c>
      <c r="KP11" s="662">
        <f>+KP10/KI10-1</f>
        <v>0.26125016964794545</v>
      </c>
      <c r="KQ11" s="662">
        <f>+KQ10/KJ10-1</f>
        <v>0.21035020952706729</v>
      </c>
      <c r="KR11" s="662">
        <f>+KR10/KK10-1</f>
        <v>0.15893888743395013</v>
      </c>
      <c r="KS11" s="662">
        <f>+KS10/KL10-1</f>
        <v>0.22121837126303912</v>
      </c>
      <c r="KU11" s="520" t="s">
        <v>3</v>
      </c>
      <c r="KV11" s="662">
        <f>+KV10/KO10-1</f>
        <v>0.20825626109416007</v>
      </c>
      <c r="KW11" s="662">
        <f>+KW10/KP10-1</f>
        <v>-3.1957748025678634E-2</v>
      </c>
      <c r="KX11" s="49">
        <f>+KX10/KQ10-1</f>
        <v>-0.2073768657506071</v>
      </c>
      <c r="KY11" s="662">
        <f>+KY10/KR10-1</f>
        <v>-8.255265056309935E-2</v>
      </c>
      <c r="KZ11" s="662">
        <f>+KZ10/KS10-1</f>
        <v>-4.2349155720121101E-2</v>
      </c>
      <c r="LB11" s="520" t="s">
        <v>3</v>
      </c>
      <c r="LC11" s="662">
        <f>+LC10/KV10-1</f>
        <v>-5.2301741298218518E-2</v>
      </c>
      <c r="LD11" s="49">
        <f>+LD10/KW10-1</f>
        <v>1.7342677918565697E-2</v>
      </c>
      <c r="LE11" s="49">
        <f>+LE10/KX10-1</f>
        <v>0.11254669057223965</v>
      </c>
      <c r="LF11" s="49">
        <f>+LF10/KY10-1</f>
        <v>-5.2874837250534434E-2</v>
      </c>
      <c r="LG11" s="663">
        <f>+LG10/KZ10-1</f>
        <v>3.3916609961230915E-3</v>
      </c>
      <c r="LH11" s="566"/>
      <c r="LI11" s="520" t="s">
        <v>3</v>
      </c>
      <c r="LJ11" s="49">
        <f>+LJ10/LC10-1</f>
        <v>-0.23874927926196421</v>
      </c>
      <c r="LK11" s="49">
        <f>+LK10/LD10-1</f>
        <v>-0.1027615125063408</v>
      </c>
      <c r="LL11" s="49">
        <f>+LL10/LE10-1</f>
        <v>-1.7910871620479885E-2</v>
      </c>
      <c r="LM11" s="49">
        <f>+LM10/LF10-1</f>
        <v>-3.8089241537371255E-2</v>
      </c>
      <c r="LN11" s="663">
        <f>+LN10/LG10-1</f>
        <v>-0.10040314161518993</v>
      </c>
      <c r="LO11" s="566"/>
      <c r="LP11" s="520" t="s">
        <v>3</v>
      </c>
      <c r="LQ11" s="49">
        <f>+LQ10/LJ10-1</f>
        <v>0.17949242877495619</v>
      </c>
      <c r="LR11" s="49">
        <f>+LR10/LK10-1</f>
        <v>9.9857993603528872E-2</v>
      </c>
      <c r="LS11" s="49">
        <f>+LS10/LL10-1</f>
        <v>0.12537667900838234</v>
      </c>
      <c r="LT11" s="49">
        <f>+LT10/LM10-1</f>
        <v>0.21745913690683705</v>
      </c>
      <c r="LU11" s="663">
        <f>+LU10/LN10-1</f>
        <v>0.15234223629959698</v>
      </c>
      <c r="LV11" s="566"/>
      <c r="LW11" s="520" t="s">
        <v>3</v>
      </c>
      <c r="LX11" s="49">
        <f>+LX10/LQ10-1</f>
        <v>0.17977721983181727</v>
      </c>
      <c r="LY11" s="49">
        <f>+LY10/LR10-1</f>
        <v>0.16308895981895266</v>
      </c>
      <c r="LZ11" s="49">
        <f>+LZ10/LS10-1</f>
        <v>0.16571623398202528</v>
      </c>
      <c r="MA11" s="49">
        <f>+MA10/LT10-1</f>
        <v>0.14712701626421287</v>
      </c>
      <c r="MB11" s="663">
        <f>+MB10/LU10-1</f>
        <v>0.16321975172034686</v>
      </c>
      <c r="MC11" s="566"/>
      <c r="MD11" s="520" t="s">
        <v>3</v>
      </c>
      <c r="ME11" s="49">
        <f>+ME10/LX10-1</f>
        <v>0.13181672401818889</v>
      </c>
      <c r="MF11" s="49">
        <f>+MF10/LY10-1</f>
        <v>0.11379999956743614</v>
      </c>
      <c r="MG11" s="49">
        <f>+MG10/LZ10-1</f>
        <v>0.10570282065235959</v>
      </c>
      <c r="MH11" s="49">
        <f>+MH10/MA10-1</f>
        <v>0.11358270311763596</v>
      </c>
      <c r="MI11" s="663">
        <f>+MI10/MB10-1</f>
        <v>0.11546429241505574</v>
      </c>
      <c r="MJ11" s="566"/>
    </row>
    <row r="12" spans="1:348" hidden="1" outlineLevel="1" x14ac:dyDescent="0.4">
      <c r="A12" s="455"/>
      <c r="B12" s="670"/>
      <c r="C12" s="671"/>
      <c r="D12" s="671"/>
      <c r="E12" s="671"/>
      <c r="F12" s="671"/>
      <c r="G12" s="671"/>
      <c r="H12" s="671"/>
      <c r="I12" s="671"/>
      <c r="J12" s="671"/>
      <c r="K12" s="671"/>
      <c r="L12" s="671"/>
      <c r="M12" s="671"/>
      <c r="N12" s="671"/>
      <c r="O12" s="671"/>
      <c r="P12" s="671"/>
      <c r="Q12" s="671"/>
      <c r="R12" s="671"/>
      <c r="S12" s="671"/>
      <c r="T12" s="671"/>
      <c r="U12" s="671"/>
      <c r="V12" s="671"/>
      <c r="W12" s="671"/>
      <c r="X12" s="671"/>
      <c r="Y12" s="671"/>
      <c r="Z12" s="671"/>
      <c r="AA12" s="671"/>
      <c r="AB12" s="671"/>
      <c r="AC12" s="671"/>
      <c r="AD12" s="671"/>
      <c r="AE12" s="671"/>
      <c r="AF12" s="671"/>
      <c r="AG12" s="671"/>
      <c r="AH12" s="671"/>
      <c r="AI12" s="671"/>
      <c r="AJ12" s="671"/>
      <c r="AK12" s="671"/>
      <c r="AL12" s="671"/>
      <c r="AM12" s="671"/>
      <c r="AN12" s="671"/>
      <c r="AO12" s="671"/>
      <c r="AP12" s="671"/>
      <c r="AQ12" s="671"/>
      <c r="AR12" s="671"/>
      <c r="AS12" s="671"/>
      <c r="AT12" s="671"/>
      <c r="AU12" s="671"/>
      <c r="AV12" s="671"/>
      <c r="AW12" s="671"/>
      <c r="AX12" s="671"/>
      <c r="AY12" s="671"/>
      <c r="AZ12" s="671"/>
      <c r="BA12" s="671"/>
      <c r="BB12" s="671"/>
      <c r="BC12" s="671"/>
      <c r="BD12" s="671"/>
      <c r="BE12" s="671"/>
      <c r="BF12" s="671"/>
      <c r="BG12" s="671"/>
      <c r="BH12" s="671"/>
      <c r="BI12" s="671"/>
      <c r="BJ12" s="671"/>
      <c r="BK12" s="671"/>
      <c r="BL12" s="671"/>
      <c r="BM12" s="671"/>
      <c r="BN12" s="671"/>
      <c r="BO12" s="671"/>
      <c r="BP12" s="648"/>
      <c r="BQ12" s="670"/>
      <c r="BW12" s="648"/>
      <c r="BX12" s="670"/>
      <c r="CD12" s="648"/>
      <c r="CE12" s="670"/>
      <c r="CK12" s="648"/>
      <c r="CL12" s="670"/>
      <c r="CR12" s="648"/>
      <c r="CS12" s="670"/>
      <c r="CY12" s="648"/>
      <c r="CZ12" s="670"/>
      <c r="DF12" s="648"/>
      <c r="DG12" s="670"/>
      <c r="DM12" s="648"/>
      <c r="DN12" s="670"/>
      <c r="DT12" s="648"/>
      <c r="DU12" s="670"/>
      <c r="EA12" s="648"/>
      <c r="EB12" s="670"/>
      <c r="EH12" s="648"/>
      <c r="EI12" s="670"/>
      <c r="EO12" s="648"/>
      <c r="EP12" s="670"/>
      <c r="EV12" s="648"/>
      <c r="EW12" s="670"/>
      <c r="FC12" s="648"/>
      <c r="FD12" s="670"/>
      <c r="FJ12" s="648"/>
      <c r="FK12" s="670"/>
      <c r="FQ12" s="648"/>
      <c r="FR12" s="670"/>
      <c r="FX12" s="648"/>
      <c r="FY12" s="670"/>
      <c r="GE12" s="648"/>
      <c r="GF12" s="670"/>
      <c r="GL12" s="648"/>
      <c r="GM12" s="670"/>
      <c r="GS12" s="648"/>
      <c r="GT12" s="670"/>
      <c r="GZ12" s="648"/>
      <c r="HA12" s="670"/>
      <c r="HG12" s="648"/>
      <c r="HH12" s="670"/>
      <c r="HN12" s="648"/>
      <c r="HO12" s="670"/>
      <c r="HU12" s="648"/>
      <c r="HV12" s="670"/>
      <c r="IB12" s="648"/>
      <c r="IC12" s="670"/>
      <c r="II12" s="648"/>
      <c r="IJ12" s="670"/>
      <c r="IP12" s="648"/>
      <c r="IQ12" s="670"/>
      <c r="IW12" s="648"/>
      <c r="IX12" s="670"/>
      <c r="JD12" s="648"/>
      <c r="JE12" s="670"/>
      <c r="JK12" s="648"/>
      <c r="JL12" s="670"/>
      <c r="JR12" s="648"/>
      <c r="JS12" s="670"/>
      <c r="JY12" s="648"/>
      <c r="JZ12" s="670"/>
      <c r="KF12" s="648"/>
      <c r="KG12" s="670"/>
      <c r="KM12" s="648"/>
      <c r="KN12" s="670"/>
      <c r="KT12" s="648"/>
      <c r="KU12" s="670"/>
      <c r="KX12" s="671"/>
      <c r="LA12" s="648"/>
      <c r="LB12" s="670"/>
      <c r="LD12" s="671"/>
      <c r="LE12" s="671"/>
      <c r="LF12" s="671"/>
      <c r="LH12" s="672"/>
      <c r="LI12" s="670"/>
      <c r="LJ12" s="671"/>
      <c r="LK12" s="671"/>
      <c r="LL12" s="671"/>
      <c r="LM12" s="671"/>
      <c r="LO12" s="672"/>
      <c r="LP12" s="670"/>
      <c r="LQ12" s="671"/>
      <c r="LR12" s="671"/>
      <c r="LS12" s="671"/>
      <c r="LT12" s="671"/>
      <c r="LV12" s="672"/>
      <c r="LW12" s="670"/>
      <c r="LX12" s="671"/>
      <c r="LY12" s="671"/>
      <c r="LZ12" s="671"/>
      <c r="MA12" s="671"/>
      <c r="MC12" s="672"/>
      <c r="MD12" s="670"/>
      <c r="ME12" s="671"/>
      <c r="MF12" s="671"/>
      <c r="MG12" s="671"/>
      <c r="MH12" s="671"/>
      <c r="MJ12" s="672"/>
    </row>
    <row r="13" spans="1:348" hidden="1" outlineLevel="1" x14ac:dyDescent="0.4">
      <c r="A13" s="455"/>
      <c r="B13" s="670" t="s">
        <v>451</v>
      </c>
      <c r="C13" s="671">
        <f t="shared" ref="C13:M13" si="9">+C24</f>
        <v>0.89877646766615382</v>
      </c>
      <c r="D13" s="671">
        <f t="shared" si="9"/>
        <v>0.86324320481528005</v>
      </c>
      <c r="E13" s="671">
        <f t="shared" si="9"/>
        <v>0.86018545962654025</v>
      </c>
      <c r="F13" s="671">
        <f t="shared" si="9"/>
        <v>0.84926663174436878</v>
      </c>
      <c r="G13" s="671">
        <f t="shared" si="9"/>
        <v>0.90278063851699275</v>
      </c>
      <c r="H13" s="671">
        <f t="shared" si="9"/>
        <v>0.88943288453692371</v>
      </c>
      <c r="I13" s="671">
        <f t="shared" si="9"/>
        <v>0.85152760407361083</v>
      </c>
      <c r="J13" s="671">
        <f t="shared" si="9"/>
        <v>0.84778959149412425</v>
      </c>
      <c r="K13" s="671">
        <f t="shared" si="9"/>
        <v>0.8751660026560425</v>
      </c>
      <c r="L13" s="671">
        <f t="shared" si="9"/>
        <v>0.88561151079136691</v>
      </c>
      <c r="M13" s="671">
        <f t="shared" si="9"/>
        <v>0.88026870389884093</v>
      </c>
      <c r="N13" s="671">
        <f>BV13</f>
        <v>0.88779857972885723</v>
      </c>
      <c r="O13" s="671">
        <f>CC13</f>
        <v>0.89417630056218411</v>
      </c>
      <c r="P13" s="671">
        <f>CJ13</f>
        <v>0.90108032374975389</v>
      </c>
      <c r="Q13" s="671">
        <f>CQ13</f>
        <v>0.88950206661247289</v>
      </c>
      <c r="R13" s="671">
        <f>CX13</f>
        <v>0.88742240366869862</v>
      </c>
      <c r="S13" s="671">
        <f>DE13</f>
        <v>0.87177352206494585</v>
      </c>
      <c r="T13" s="671">
        <f>DL13</f>
        <v>0.86393633540372672</v>
      </c>
      <c r="U13" s="671">
        <f>DS13</f>
        <v>0.85644457099468485</v>
      </c>
      <c r="V13" s="671">
        <f>DZ13</f>
        <v>0.85104442214722242</v>
      </c>
      <c r="W13" s="671">
        <f>EG13</f>
        <v>0.88713112260419835</v>
      </c>
      <c r="X13" s="671">
        <f>EN13</f>
        <v>0.90481916566460086</v>
      </c>
      <c r="Y13" s="671">
        <f>EU13</f>
        <v>0.90361588618850031</v>
      </c>
      <c r="Z13" s="671">
        <f>FB13</f>
        <v>0.87484586929716401</v>
      </c>
      <c r="AA13" s="671">
        <f>FI13</f>
        <v>0.86310107948969583</v>
      </c>
      <c r="AB13" s="671">
        <f>FP13</f>
        <v>0.87960882780494254</v>
      </c>
      <c r="AC13" s="671">
        <f>FW13</f>
        <v>0.86529595015576322</v>
      </c>
      <c r="AD13" s="671">
        <f>GD13</f>
        <v>0.8217649110568539</v>
      </c>
      <c r="AE13" s="671">
        <f>GK13</f>
        <v>0.77796362115826889</v>
      </c>
      <c r="AF13" s="671">
        <f>GR13</f>
        <v>0.77467597208374872</v>
      </c>
      <c r="AG13" s="671">
        <f>GY13</f>
        <v>0.75424255886272773</v>
      </c>
      <c r="AH13" s="671">
        <f>HF13</f>
        <v>0.74825793606901891</v>
      </c>
      <c r="AI13" s="671">
        <f>HM13</f>
        <v>0.70844302369311773</v>
      </c>
      <c r="AJ13" s="671">
        <f>HT13</f>
        <v>0.7089329813505918</v>
      </c>
      <c r="AK13" s="671">
        <f>IA13</f>
        <v>0.7059373936713168</v>
      </c>
      <c r="AL13" s="671">
        <f>IH13</f>
        <v>0.70932161220766299</v>
      </c>
      <c r="AM13" s="671">
        <f>IO13</f>
        <v>0.71481569184623883</v>
      </c>
      <c r="AN13" s="671">
        <f>IV13</f>
        <v>0.69655405977478624</v>
      </c>
      <c r="AO13" s="671">
        <f>JC13</f>
        <v>0.69382961423796186</v>
      </c>
      <c r="AP13" s="671">
        <f>JJ13</f>
        <v>0.66532258064516125</v>
      </c>
      <c r="AQ13" s="671">
        <f>JQ13</f>
        <v>0.60253061224489801</v>
      </c>
      <c r="AR13" s="671">
        <f>JX13</f>
        <v>0.58406634832872584</v>
      </c>
      <c r="AS13" s="671">
        <f>KE13</f>
        <v>0.58782953793820281</v>
      </c>
      <c r="AT13" s="671">
        <f>KL13</f>
        <v>0.58113719853058621</v>
      </c>
      <c r="AU13" s="671">
        <f>KS13</f>
        <v>0.6027065239345587</v>
      </c>
      <c r="AV13" s="671">
        <f>KZ13</f>
        <v>0.62482090468718021</v>
      </c>
      <c r="AW13" s="671">
        <f>LG13</f>
        <v>0.63184319119669874</v>
      </c>
      <c r="AX13" s="671">
        <f>LN13</f>
        <v>0.66136815214305988</v>
      </c>
      <c r="AY13" s="671">
        <f>LU13</f>
        <v>0.63585919276690506</v>
      </c>
      <c r="AZ13" s="671">
        <f>MB13</f>
        <v>0.61438472676937084</v>
      </c>
      <c r="BA13" s="671">
        <f>MI13</f>
        <v>0.6056286058743634</v>
      </c>
      <c r="BB13" s="671"/>
      <c r="BC13" s="671"/>
      <c r="BD13" s="671"/>
      <c r="BE13" s="671"/>
      <c r="BF13" s="671"/>
      <c r="BG13" s="671"/>
      <c r="BH13" s="671"/>
      <c r="BI13" s="671"/>
      <c r="BJ13" s="671"/>
      <c r="BK13" s="671"/>
      <c r="BL13" s="671"/>
      <c r="BM13" s="671"/>
      <c r="BN13" s="671"/>
      <c r="BO13" s="671"/>
      <c r="BQ13" s="670" t="s">
        <v>451</v>
      </c>
      <c r="BR13" s="673">
        <f>+BR24</f>
        <v>0.89814513504718518</v>
      </c>
      <c r="BS13" s="673">
        <f>+BS24</f>
        <v>0.88348530901722389</v>
      </c>
      <c r="BT13" s="673">
        <f>+BT24</f>
        <v>0.90707380210259381</v>
      </c>
      <c r="BU13" s="673">
        <f>+BU24</f>
        <v>0.86467089416506904</v>
      </c>
      <c r="BV13" s="673">
        <f>+BV24</f>
        <v>0.88779857972885723</v>
      </c>
      <c r="BX13" s="670" t="s">
        <v>451</v>
      </c>
      <c r="BY13" s="673">
        <f>+BY24</f>
        <v>0.91209309639880487</v>
      </c>
      <c r="BZ13" s="673">
        <f>+BZ24</f>
        <v>0.89208070741120715</v>
      </c>
      <c r="CA13" s="673">
        <f>+CA24</f>
        <v>0.88560349006301498</v>
      </c>
      <c r="CB13" s="673">
        <f>+CB24</f>
        <v>0.8885975654072259</v>
      </c>
      <c r="CC13" s="673">
        <f>+CC24</f>
        <v>0.89417630056218411</v>
      </c>
      <c r="CE13" s="670" t="s">
        <v>451</v>
      </c>
      <c r="CF13" s="673">
        <f>+CF24</f>
        <v>0.92843422154361421</v>
      </c>
      <c r="CG13" s="673">
        <f>+CG24</f>
        <v>0.9030588235294118</v>
      </c>
      <c r="CH13" s="673">
        <f>+CH24</f>
        <v>0.89074334436935909</v>
      </c>
      <c r="CI13" s="673">
        <f>+CI24</f>
        <v>0.88484688721936644</v>
      </c>
      <c r="CJ13" s="673">
        <f>+CJ24</f>
        <v>0.90108032374975389</v>
      </c>
      <c r="CL13" s="670" t="s">
        <v>451</v>
      </c>
      <c r="CM13" s="673">
        <f>+CM24</f>
        <v>0.92455904907975461</v>
      </c>
      <c r="CN13" s="673">
        <f>+CN24</f>
        <v>0.88428845626542374</v>
      </c>
      <c r="CO13" s="673">
        <f>+CO24</f>
        <v>0.88154269972451782</v>
      </c>
      <c r="CP13" s="673">
        <f>+CP24</f>
        <v>0.86985569214323899</v>
      </c>
      <c r="CQ13" s="673">
        <f>+CQ24</f>
        <v>0.88950206661247289</v>
      </c>
      <c r="CS13" s="670" t="s">
        <v>451</v>
      </c>
      <c r="CT13" s="673">
        <f>+CT24</f>
        <v>0.92638816935901658</v>
      </c>
      <c r="CU13" s="673">
        <f>+CU24</f>
        <v>0.87740225314777998</v>
      </c>
      <c r="CV13" s="673">
        <f>+CV24</f>
        <v>0.88712199044088091</v>
      </c>
      <c r="CW13" s="673">
        <f>+CW24</f>
        <v>0.86177105831533474</v>
      </c>
      <c r="CX13" s="673">
        <f>+CX24</f>
        <v>0.88742240366869862</v>
      </c>
      <c r="CZ13" s="670" t="s">
        <v>451</v>
      </c>
      <c r="DA13" s="673">
        <f>+DA24</f>
        <v>0.91647956892680738</v>
      </c>
      <c r="DB13" s="673">
        <f>+DB24</f>
        <v>0.87178405735976383</v>
      </c>
      <c r="DC13" s="673">
        <f>+DC24</f>
        <v>0.8582995951417004</v>
      </c>
      <c r="DD13" s="673">
        <f>+DD24</f>
        <v>0.84566929133858271</v>
      </c>
      <c r="DE13" s="673">
        <f>+DE24</f>
        <v>0.87177352206494585</v>
      </c>
      <c r="DG13" s="670" t="s">
        <v>451</v>
      </c>
      <c r="DH13" s="673">
        <f>+DH24</f>
        <v>0.88707037643207853</v>
      </c>
      <c r="DI13" s="673">
        <f>+DI24</f>
        <v>0.8630835621812476</v>
      </c>
      <c r="DJ13" s="673">
        <f>+DJ24</f>
        <v>0.85390234525182618</v>
      </c>
      <c r="DK13" s="673">
        <f>+DK24</f>
        <v>0.85350553505535054</v>
      </c>
      <c r="DL13" s="673">
        <f>+DL24</f>
        <v>0.86393633540372672</v>
      </c>
      <c r="DN13" s="670" t="s">
        <v>451</v>
      </c>
      <c r="DO13" s="673">
        <f>+DO24</f>
        <v>0.8822593476531424</v>
      </c>
      <c r="DP13" s="673">
        <f>+DP24</f>
        <v>0.85086077844311381</v>
      </c>
      <c r="DQ13" s="673">
        <f>+DQ24</f>
        <v>0.85190782017378164</v>
      </c>
      <c r="DR13" s="673">
        <f>+DR24</f>
        <v>0.84239733629300773</v>
      </c>
      <c r="DS13" s="673">
        <f>+DS24</f>
        <v>0.85644457099468485</v>
      </c>
      <c r="DU13" s="670" t="s">
        <v>451</v>
      </c>
      <c r="DV13" s="673">
        <f>+DV24</f>
        <v>0.87378262563303466</v>
      </c>
      <c r="DW13" s="673">
        <f>+DW24</f>
        <v>0.83831217326362961</v>
      </c>
      <c r="DX13" s="673">
        <f>+DX24</f>
        <v>0.85719360568383662</v>
      </c>
      <c r="DY13" s="673">
        <f>+DY24</f>
        <v>0.8367206338270754</v>
      </c>
      <c r="DZ13" s="673">
        <f>+DZ24</f>
        <v>0.85104442214722242</v>
      </c>
      <c r="EB13" s="670" t="s">
        <v>451</v>
      </c>
      <c r="EC13" s="673">
        <f>+EC24</f>
        <v>0.89434889434889431</v>
      </c>
      <c r="ED13" s="673">
        <f>+ED24</f>
        <v>0.86506024096385548</v>
      </c>
      <c r="EE13" s="673">
        <f>+EE24</f>
        <v>0.89995883079456562</v>
      </c>
      <c r="EF13" s="673">
        <f>+EF24</f>
        <v>0.88959999999999995</v>
      </c>
      <c r="EG13" s="673">
        <f>+EG24</f>
        <v>0.88713112260419835</v>
      </c>
      <c r="EI13" s="670" t="s">
        <v>451</v>
      </c>
      <c r="EJ13" s="673">
        <f>+EJ24</f>
        <v>0.89728453364816996</v>
      </c>
      <c r="EK13" s="673">
        <f>+EK24</f>
        <v>0.89525993883792054</v>
      </c>
      <c r="EL13" s="673">
        <f>+EL24</f>
        <v>0.89125946317962834</v>
      </c>
      <c r="EM13" s="673">
        <f>+EM24</f>
        <v>0.93522561863173215</v>
      </c>
      <c r="EN13" s="673">
        <f>+EN24</f>
        <v>0.90481916566460086</v>
      </c>
      <c r="EP13" s="670" t="s">
        <v>451</v>
      </c>
      <c r="EQ13" s="673">
        <f>+EQ24</f>
        <v>0.92035398230088494</v>
      </c>
      <c r="ER13" s="673">
        <f>+ER24</f>
        <v>0.90917347865576748</v>
      </c>
      <c r="ES13" s="673">
        <f>+ES24</f>
        <v>0.89014222658165765</v>
      </c>
      <c r="ET13" s="673">
        <f>+ET24</f>
        <v>0.89350268685881773</v>
      </c>
      <c r="EU13" s="673">
        <f>+EU24</f>
        <v>0.90361588618850031</v>
      </c>
      <c r="EW13" s="670" t="s">
        <v>451</v>
      </c>
      <c r="EX13" s="673">
        <f>+EX24</f>
        <v>0.90666666666666662</v>
      </c>
      <c r="EY13" s="673">
        <f>+EY24</f>
        <v>0.87117160913952363</v>
      </c>
      <c r="EZ13" s="673">
        <f>+EZ24</f>
        <v>0.86131748390292229</v>
      </c>
      <c r="FA13" s="673">
        <f>+FA24</f>
        <v>0.86012941762070683</v>
      </c>
      <c r="FB13" s="673">
        <f>+FB24</f>
        <v>0.87484586929716401</v>
      </c>
      <c r="FD13" s="670" t="s">
        <v>451</v>
      </c>
      <c r="FE13" s="673">
        <f>+FE24</f>
        <v>0.89205702647657836</v>
      </c>
      <c r="FF13" s="673">
        <f>+FF24</f>
        <v>0.85045827303424992</v>
      </c>
      <c r="FG13" s="673">
        <f>+FG24</f>
        <v>0.86569343065693427</v>
      </c>
      <c r="FH13" s="673">
        <f>+FH24</f>
        <v>0.84563106796116505</v>
      </c>
      <c r="FI13" s="673">
        <f>+FI24</f>
        <v>0.86310107948969583</v>
      </c>
      <c r="FK13" s="670" t="s">
        <v>451</v>
      </c>
      <c r="FL13" s="673">
        <f>+FL24</f>
        <v>0.91734693877551021</v>
      </c>
      <c r="FM13" s="673">
        <f>+FM24</f>
        <v>0.85805084745762716</v>
      </c>
      <c r="FN13" s="673">
        <f>+FN24</f>
        <v>0.87273724629731209</v>
      </c>
      <c r="FO13" s="673">
        <f>+FO24</f>
        <v>0.86867088607594933</v>
      </c>
      <c r="FP13" s="673">
        <f>+FP24</f>
        <v>0.87960882780494254</v>
      </c>
      <c r="FR13" s="670" t="s">
        <v>451</v>
      </c>
      <c r="FS13" s="673">
        <f>+FS24</f>
        <v>0.89322916666666663</v>
      </c>
      <c r="FT13" s="673">
        <f>+FT24</f>
        <v>0.84962406015037595</v>
      </c>
      <c r="FU13" s="673">
        <f>+FU24</f>
        <v>0.8663570691434469</v>
      </c>
      <c r="FV13" s="673">
        <f>+FV24</f>
        <v>0.85405156537753224</v>
      </c>
      <c r="FW13" s="673">
        <f>+FW24</f>
        <v>0.86529595015576322</v>
      </c>
      <c r="FY13" s="670" t="s">
        <v>451</v>
      </c>
      <c r="FZ13" s="673">
        <f>+FZ24</f>
        <v>0.83206831119544589</v>
      </c>
      <c r="GA13" s="673">
        <f>+GA24</f>
        <v>0.80735225686365752</v>
      </c>
      <c r="GB13" s="673">
        <f>+GB24</f>
        <v>0.83388235294117652</v>
      </c>
      <c r="GC13" s="673">
        <f>+GC24</f>
        <v>0.81433077963046419</v>
      </c>
      <c r="GD13" s="673">
        <f>+GD24</f>
        <v>0.8217649110568539</v>
      </c>
      <c r="GF13" s="670" t="s">
        <v>451</v>
      </c>
      <c r="GG13" s="673">
        <f>+GG24</f>
        <v>0.79107679107679107</v>
      </c>
      <c r="GH13" s="673">
        <f>+GH24</f>
        <v>0.73358116480793056</v>
      </c>
      <c r="GI13" s="673">
        <f>+GI24</f>
        <v>0.79776674937965264</v>
      </c>
      <c r="GJ13" s="673">
        <f>+GJ24</f>
        <v>0.79006677796327207</v>
      </c>
      <c r="GK13" s="673">
        <f>+GK24</f>
        <v>0.77796362115826889</v>
      </c>
      <c r="GM13" s="670" t="s">
        <v>451</v>
      </c>
      <c r="GN13" s="673">
        <f>+GN24</f>
        <v>0.79975227085053679</v>
      </c>
      <c r="GO13" s="673">
        <f>+GO24</f>
        <v>0.75810276679841893</v>
      </c>
      <c r="GP13" s="673">
        <f>+GP24</f>
        <v>0.77688924430227912</v>
      </c>
      <c r="GQ13" s="673">
        <f>+GQ24</f>
        <v>0.76523088863019018</v>
      </c>
      <c r="GR13" s="673">
        <f>+GR24</f>
        <v>0.77467597208374872</v>
      </c>
      <c r="GT13" s="670" t="s">
        <v>451</v>
      </c>
      <c r="GU13" s="673">
        <f>+GU24</f>
        <v>0.76999631404349433</v>
      </c>
      <c r="GV13" s="673">
        <f>+GV24</f>
        <v>0.75335397316821462</v>
      </c>
      <c r="GW13" s="673">
        <f>+GW24</f>
        <v>0.75244849712934825</v>
      </c>
      <c r="GX13" s="673">
        <f>+GX24</f>
        <v>0.74121166791323856</v>
      </c>
      <c r="GY13" s="673">
        <f>+GY24</f>
        <v>0.75424255886272773</v>
      </c>
      <c r="HA13" s="670" t="s">
        <v>451</v>
      </c>
      <c r="HB13" s="673">
        <f>+HB24</f>
        <v>0.76769025367156207</v>
      </c>
      <c r="HC13" s="673">
        <f>+HC24</f>
        <v>0.7359267734553776</v>
      </c>
      <c r="HD13" s="673">
        <f>+HD24</f>
        <v>0.74049803407601578</v>
      </c>
      <c r="HE13" s="673">
        <f>+HE24</f>
        <v>0.74870689655172418</v>
      </c>
      <c r="HF13" s="673">
        <f>+HF24</f>
        <v>0.74825793606901891</v>
      </c>
      <c r="HH13" s="670" t="s">
        <v>451</v>
      </c>
      <c r="HI13" s="673">
        <f>+HI24</f>
        <v>0.74628663187474908</v>
      </c>
      <c r="HJ13" s="673">
        <f>+HJ24</f>
        <v>0.70033796470146448</v>
      </c>
      <c r="HK13" s="673">
        <f>+HK24</f>
        <v>0.69054763690922727</v>
      </c>
      <c r="HL13" s="673">
        <f>+HL24</f>
        <v>0.69957386363636365</v>
      </c>
      <c r="HM13" s="673">
        <f>+HM24</f>
        <v>0.70844302369311773</v>
      </c>
      <c r="HO13" s="670" t="s">
        <v>451</v>
      </c>
      <c r="HP13" s="673">
        <f>+HP24</f>
        <v>0.72491103202846974</v>
      </c>
      <c r="HQ13" s="673">
        <f>+HQ24</f>
        <v>0.69327591917853593</v>
      </c>
      <c r="HR13" s="673">
        <f>+HR24</f>
        <v>0.70367870401619981</v>
      </c>
      <c r="HS13" s="673">
        <f>+HS24</f>
        <v>0.71501186038630971</v>
      </c>
      <c r="HT13" s="673">
        <f>+HT24</f>
        <v>0.7089329813505918</v>
      </c>
      <c r="HV13" s="670" t="s">
        <v>451</v>
      </c>
      <c r="HW13" s="673">
        <f>+HW24</f>
        <v>0.71139581928523266</v>
      </c>
      <c r="HX13" s="673">
        <f>+HX24</f>
        <v>0.68691899070385121</v>
      </c>
      <c r="HY13" s="673">
        <f>+HY24</f>
        <v>0.70490670352453355</v>
      </c>
      <c r="HZ13" s="673">
        <f>+HZ24</f>
        <v>0.72122052704576978</v>
      </c>
      <c r="IA13" s="673">
        <f>+IA24</f>
        <v>0.7059373936713168</v>
      </c>
      <c r="IC13" s="670" t="s">
        <v>451</v>
      </c>
      <c r="ID13" s="673">
        <f>+ID24</f>
        <v>0.70419202163624073</v>
      </c>
      <c r="IE13" s="673">
        <f>+IE24</f>
        <v>0.6862170087976539</v>
      </c>
      <c r="IF13" s="673">
        <f>+IF24</f>
        <v>0.71523841280426814</v>
      </c>
      <c r="IG13" s="673">
        <f>+IG24</f>
        <v>0.73186015831134565</v>
      </c>
      <c r="IH13" s="673">
        <f>+IH24</f>
        <v>0.70932161220766299</v>
      </c>
      <c r="IJ13" s="670" t="s">
        <v>451</v>
      </c>
      <c r="IK13" s="673">
        <f>+IK24</f>
        <v>0.7546480743691899</v>
      </c>
      <c r="IL13" s="673">
        <f>+IL24</f>
        <v>0.69266337854500615</v>
      </c>
      <c r="IM13" s="673">
        <f>+IM24</f>
        <v>0.6969885128841975</v>
      </c>
      <c r="IN13" s="673">
        <f>+IN24</f>
        <v>0.71773182957393489</v>
      </c>
      <c r="IO13" s="673">
        <f>+IO24</f>
        <v>0.71481569184623883</v>
      </c>
      <c r="IQ13" s="670" t="s">
        <v>451</v>
      </c>
      <c r="IR13" s="673">
        <f>+IR24</f>
        <v>0.72150644202180381</v>
      </c>
      <c r="IS13" s="673">
        <f>+IS24</f>
        <v>0.66808093994778073</v>
      </c>
      <c r="IT13" s="673">
        <f>+IT24</f>
        <v>0.68254508336168762</v>
      </c>
      <c r="IU13" s="673">
        <f>+IU24</f>
        <v>0.71556993887090969</v>
      </c>
      <c r="IV13" s="673">
        <f>+IV24</f>
        <v>0.69655405977478624</v>
      </c>
      <c r="IX13" s="670" t="s">
        <v>451</v>
      </c>
      <c r="IY13" s="673">
        <f>+IY24</f>
        <v>0.73109243697478987</v>
      </c>
      <c r="IZ13" s="673">
        <f>+IZ24</f>
        <v>0.68934911242603547</v>
      </c>
      <c r="JA13" s="673">
        <f>+JA24</f>
        <v>0.68966789667896677</v>
      </c>
      <c r="JB13" s="673">
        <f>+JB24</f>
        <v>0.66941060256832396</v>
      </c>
      <c r="JC13" s="673">
        <f>+JC24</f>
        <v>0.69382961423796186</v>
      </c>
      <c r="JE13" s="670" t="s">
        <v>451</v>
      </c>
      <c r="JF13" s="673">
        <f>+JF24</f>
        <v>0.69362147089578252</v>
      </c>
      <c r="JG13" s="673">
        <f>+JG24</f>
        <v>0.63450392090010233</v>
      </c>
      <c r="JH13" s="673">
        <f>+JH24</f>
        <v>0.68319358366751737</v>
      </c>
      <c r="JI13" s="673">
        <f>+JI24</f>
        <v>0.65141460006985674</v>
      </c>
      <c r="JJ13" s="673">
        <f>+JJ24</f>
        <v>0.66532258064516125</v>
      </c>
      <c r="JL13" s="670" t="s">
        <v>451</v>
      </c>
      <c r="JM13" s="673">
        <f>+JM24</f>
        <v>0.63699582753824757</v>
      </c>
      <c r="JN13" s="673">
        <f>+JN24</f>
        <v>0.58639587362991619</v>
      </c>
      <c r="JO13" s="673">
        <f>+JO24</f>
        <v>0.58676893576222433</v>
      </c>
      <c r="JP13" s="673">
        <f>+JP24</f>
        <v>0.60260897231943999</v>
      </c>
      <c r="JQ13" s="673">
        <f>+JQ24</f>
        <v>0.60253061224489801</v>
      </c>
      <c r="JS13" s="670" t="s">
        <v>451</v>
      </c>
      <c r="JT13" s="673">
        <f>+JT24</f>
        <v>0.59541984732824427</v>
      </c>
      <c r="JU13" s="673">
        <f>+JU24</f>
        <v>0.57366873570728516</v>
      </c>
      <c r="JV13" s="673">
        <f>+JV24</f>
        <v>0.56783075889858969</v>
      </c>
      <c r="JW13" s="673">
        <f>+JW24</f>
        <v>0.6</v>
      </c>
      <c r="JX13" s="673">
        <f>+JX24</f>
        <v>0.58406634832872584</v>
      </c>
      <c r="JZ13" s="670" t="s">
        <v>451</v>
      </c>
      <c r="KA13" s="673">
        <f>+KA24</f>
        <v>0.5873905429071804</v>
      </c>
      <c r="KB13" s="673">
        <f>+KB24</f>
        <v>0.63281596452328159</v>
      </c>
      <c r="KC13" s="673">
        <f>+KC24</f>
        <v>0.5691087613293051</v>
      </c>
      <c r="KD13" s="673">
        <f>+KD24</f>
        <v>0.56991150442477878</v>
      </c>
      <c r="KE13" s="673">
        <f>+KE24</f>
        <v>0.58782953793820281</v>
      </c>
      <c r="KG13" s="670" t="s">
        <v>451</v>
      </c>
      <c r="KH13" s="673">
        <f>+KH24</f>
        <v>0.60860291503732666</v>
      </c>
      <c r="KI13" s="673">
        <f>+KI24</f>
        <v>0.55117056856187296</v>
      </c>
      <c r="KJ13" s="673">
        <f>+KJ24</f>
        <v>0.56379100850546782</v>
      </c>
      <c r="KK13" s="673">
        <f>+KK24</f>
        <v>0.60140064196089871</v>
      </c>
      <c r="KL13" s="673">
        <f>+KL24</f>
        <v>0.58113719853058621</v>
      </c>
      <c r="KN13" s="670" t="s">
        <v>451</v>
      </c>
      <c r="KO13" s="673">
        <f>+KO24</f>
        <v>0.62437738060357462</v>
      </c>
      <c r="KP13" s="673">
        <f>+KP24</f>
        <v>0.58558322411533426</v>
      </c>
      <c r="KQ13" s="673">
        <f>+KQ24</f>
        <v>0.59460847240051351</v>
      </c>
      <c r="KR13" s="673">
        <f>+KR24</f>
        <v>0.60884718498659518</v>
      </c>
      <c r="KS13" s="673">
        <f>+KS24</f>
        <v>0.6027065239345587</v>
      </c>
      <c r="KU13" s="670" t="s">
        <v>451</v>
      </c>
      <c r="KV13" s="673">
        <f>+KV24</f>
        <v>0.60955207771181863</v>
      </c>
      <c r="KW13" s="673">
        <f>+KW24</f>
        <v>0.60367666937010001</v>
      </c>
      <c r="KX13" s="671">
        <f>+KX24</f>
        <v>0.64427693169092948</v>
      </c>
      <c r="KY13" s="673">
        <f>+KY24</f>
        <v>0.64266304347826086</v>
      </c>
      <c r="KZ13" s="673">
        <f>+KZ24</f>
        <v>0.62482090468718021</v>
      </c>
      <c r="LB13" s="670" t="s">
        <v>451</v>
      </c>
      <c r="LC13" s="673">
        <f>+LC24</f>
        <v>0.63678348274925289</v>
      </c>
      <c r="LD13" s="671">
        <f>+LD24</f>
        <v>0.60875439070521475</v>
      </c>
      <c r="LE13" s="671">
        <f>+LE24</f>
        <v>0.62586349820392373</v>
      </c>
      <c r="LF13" s="671">
        <f>+LF24</f>
        <v>0.65696524441932747</v>
      </c>
      <c r="LG13" s="674">
        <f>+LG24</f>
        <v>0.63184319119669874</v>
      </c>
      <c r="LH13" s="672"/>
      <c r="LI13" s="670" t="s">
        <v>451</v>
      </c>
      <c r="LJ13" s="671">
        <f>+LJ24</f>
        <v>0.69588080631025417</v>
      </c>
      <c r="LK13" s="671">
        <f>+LK24</f>
        <v>0.64101846670397311</v>
      </c>
      <c r="LL13" s="671">
        <f>+LL24</f>
        <v>0.64148313353777531</v>
      </c>
      <c r="LM13" s="671">
        <f>+LM24</f>
        <v>0.66875712656784492</v>
      </c>
      <c r="LN13" s="674">
        <f>+LN24</f>
        <v>0.66136815214305988</v>
      </c>
      <c r="LO13" s="672"/>
      <c r="LP13" s="670" t="s">
        <v>451</v>
      </c>
      <c r="LQ13" s="671">
        <f>+LQ24</f>
        <v>0.66217102583546805</v>
      </c>
      <c r="LR13" s="671">
        <f>+LR24</f>
        <v>0.62419645030353255</v>
      </c>
      <c r="LS13" s="671">
        <f>+LS24</f>
        <v>0.62015227388123673</v>
      </c>
      <c r="LT13" s="671">
        <f>+LT24</f>
        <v>0.63843661408851116</v>
      </c>
      <c r="LU13" s="674">
        <f>+LU24</f>
        <v>0.63585919276690506</v>
      </c>
      <c r="LV13" s="672"/>
      <c r="LW13" s="670" t="s">
        <v>451</v>
      </c>
      <c r="LX13" s="671">
        <f>+LX24</f>
        <v>0.64038081545298209</v>
      </c>
      <c r="LY13" s="671">
        <f>+LY24</f>
        <v>0.60392023081267909</v>
      </c>
      <c r="LZ13" s="671">
        <f>+LZ24</f>
        <v>0.5984167926184355</v>
      </c>
      <c r="MA13" s="671">
        <f>+MA24</f>
        <v>0.61630595649369357</v>
      </c>
      <c r="MB13" s="674">
        <f>+MB24</f>
        <v>0.61438472676937084</v>
      </c>
      <c r="MC13" s="672"/>
      <c r="MD13" s="670" t="s">
        <v>451</v>
      </c>
      <c r="ME13" s="671">
        <f>+ME24</f>
        <v>0.62865107484772986</v>
      </c>
      <c r="MF13" s="671">
        <f>+MF24</f>
        <v>0.59593166131155439</v>
      </c>
      <c r="MG13" s="671">
        <f>+MG24</f>
        <v>0.59295432422001093</v>
      </c>
      <c r="MH13" s="671">
        <f>+MH24</f>
        <v>0.60626589771189554</v>
      </c>
      <c r="MI13" s="674">
        <f>+MI24</f>
        <v>0.6056286058743634</v>
      </c>
      <c r="MJ13" s="672"/>
    </row>
    <row r="14" spans="1:348" hidden="1" outlineLevel="1" x14ac:dyDescent="0.4">
      <c r="A14" s="455"/>
      <c r="B14" s="675" t="s">
        <v>452</v>
      </c>
      <c r="C14" s="676"/>
      <c r="D14" s="676">
        <f t="shared" ref="D14:M14" si="10">+(D13-C13)*10000</f>
        <v>-355.33262850873768</v>
      </c>
      <c r="E14" s="676">
        <f t="shared" si="10"/>
        <v>-30.57745188739802</v>
      </c>
      <c r="F14" s="676">
        <f t="shared" si="10"/>
        <v>-109.18827882171468</v>
      </c>
      <c r="G14" s="676">
        <f t="shared" si="10"/>
        <v>535.14006772623964</v>
      </c>
      <c r="H14" s="676">
        <f t="shared" si="10"/>
        <v>-133.47753980069044</v>
      </c>
      <c r="I14" s="676">
        <f t="shared" si="10"/>
        <v>-379.05280463312874</v>
      </c>
      <c r="J14" s="676">
        <f t="shared" si="10"/>
        <v>-37.380125794865826</v>
      </c>
      <c r="K14" s="676">
        <f t="shared" si="10"/>
        <v>273.76411161918247</v>
      </c>
      <c r="L14" s="676">
        <f t="shared" si="10"/>
        <v>104.45508135324411</v>
      </c>
      <c r="M14" s="676">
        <f t="shared" si="10"/>
        <v>-53.428068925259751</v>
      </c>
      <c r="N14" s="676">
        <f>BV14</f>
        <v>8877.9857972885729</v>
      </c>
      <c r="O14" s="676">
        <f>CC14</f>
        <v>63.777208333268831</v>
      </c>
      <c r="P14" s="676">
        <f>CJ14</f>
        <v>69.040231875697742</v>
      </c>
      <c r="Q14" s="676">
        <f>CQ14</f>
        <v>-115.78257137281001</v>
      </c>
      <c r="R14" s="676">
        <f>CX14</f>
        <v>-20.796629437742631</v>
      </c>
      <c r="S14" s="676">
        <f>DE14</f>
        <v>-156.48881603752773</v>
      </c>
      <c r="T14" s="676">
        <f>DL14</f>
        <v>-78.371866612191312</v>
      </c>
      <c r="U14" s="676">
        <f>DS14</f>
        <v>-74.917644090418676</v>
      </c>
      <c r="V14" s="676">
        <f>DZ14</f>
        <v>-54.001488474624267</v>
      </c>
      <c r="W14" s="676">
        <f>EG14</f>
        <v>360.86700456975927</v>
      </c>
      <c r="X14" s="676">
        <f>EN14</f>
        <v>176.88043060402504</v>
      </c>
      <c r="Y14" s="676">
        <f>EU14</f>
        <v>-12.032794761005494</v>
      </c>
      <c r="Z14" s="676">
        <f>FB14</f>
        <v>-287.70016891336292</v>
      </c>
      <c r="AA14" s="676">
        <f>FI14</f>
        <v>-117.44789807468182</v>
      </c>
      <c r="AB14" s="676">
        <f>FP14</f>
        <v>165.07748315246707</v>
      </c>
      <c r="AC14" s="676">
        <f>FW14</f>
        <v>-143.12877649179322</v>
      </c>
      <c r="AD14" s="676">
        <f>GD14</f>
        <v>-435.31039098909321</v>
      </c>
      <c r="AE14" s="676">
        <f>GK14</f>
        <v>-438.01289898585003</v>
      </c>
      <c r="AF14" s="676">
        <f>GR14</f>
        <v>-32.876490745201714</v>
      </c>
      <c r="AG14" s="676">
        <f>GY14</f>
        <v>-204.3341322102099</v>
      </c>
      <c r="AH14" s="676">
        <f>HF14</f>
        <v>-59.846227937088159</v>
      </c>
      <c r="AI14" s="676">
        <f>HM14</f>
        <v>-398.14912375901179</v>
      </c>
      <c r="AJ14" s="676">
        <f>HT14</f>
        <v>4.899576574740605</v>
      </c>
      <c r="AK14" s="676">
        <f>IA14</f>
        <v>-29.955876792749912</v>
      </c>
      <c r="AL14" s="676">
        <f>IH14</f>
        <v>33.842185363461837</v>
      </c>
      <c r="AM14" s="676">
        <f>IO14</f>
        <v>54.940796385758439</v>
      </c>
      <c r="AN14" s="676">
        <f>IV14</f>
        <v>-182.61632071452593</v>
      </c>
      <c r="AO14" s="676">
        <f>JC14</f>
        <v>-27.244455368243827</v>
      </c>
      <c r="AP14" s="676">
        <f>JJ14</f>
        <v>-285.07033592800599</v>
      </c>
      <c r="AQ14" s="676">
        <f>JQ14</f>
        <v>-627.91968400263238</v>
      </c>
      <c r="AR14" s="676">
        <f>JX14</f>
        <v>-184.64263916172175</v>
      </c>
      <c r="AS14" s="676">
        <f>KE14</f>
        <v>37.631896094769687</v>
      </c>
      <c r="AT14" s="676">
        <f>KL14</f>
        <v>-66.923394076165991</v>
      </c>
      <c r="AU14" s="676">
        <f>KS14</f>
        <v>215.69325403972493</v>
      </c>
      <c r="AV14" s="676">
        <f>KZ14</f>
        <v>221.14380752621508</v>
      </c>
      <c r="AW14" s="676">
        <f>LG14</f>
        <v>70.22286509518527</v>
      </c>
      <c r="AX14" s="676">
        <f>LN14</f>
        <v>295.24960946361148</v>
      </c>
      <c r="AY14" s="676">
        <f>LU14</f>
        <v>-255.08959376154826</v>
      </c>
      <c r="AZ14" s="676">
        <f>MB14</f>
        <v>-214.74465997534219</v>
      </c>
      <c r="BA14" s="676">
        <f>MI14</f>
        <v>-87.561208950074359</v>
      </c>
      <c r="BB14" s="676"/>
      <c r="BC14" s="676"/>
      <c r="BD14" s="676"/>
      <c r="BE14" s="676"/>
      <c r="BF14" s="676"/>
      <c r="BG14" s="676"/>
      <c r="BH14" s="676"/>
      <c r="BI14" s="676"/>
      <c r="BJ14" s="676"/>
      <c r="BK14" s="676"/>
      <c r="BL14" s="676"/>
      <c r="BM14" s="676"/>
      <c r="BN14" s="676"/>
      <c r="BO14" s="676"/>
      <c r="BQ14" s="675" t="s">
        <v>452</v>
      </c>
      <c r="BR14" s="677">
        <f>+(BR13-AV13)*10000</f>
        <v>2733.2423036000496</v>
      </c>
      <c r="BS14" s="677">
        <f>+(BS13-AW13)*10000</f>
        <v>2516.4211782052516</v>
      </c>
      <c r="BT14" s="677">
        <f>+(BT13-AX13)*10000</f>
        <v>2457.0564995953391</v>
      </c>
      <c r="BU14" s="677">
        <f>+(BU13-AY13)*10000</f>
        <v>2288.11701398164</v>
      </c>
      <c r="BV14" s="677">
        <f>+(BV13-BP13)*10000</f>
        <v>8877.9857972885729</v>
      </c>
      <c r="BX14" s="675" t="s">
        <v>452</v>
      </c>
      <c r="BY14" s="677">
        <f>+(BY13-BR13)*10000</f>
        <v>139.47961351619688</v>
      </c>
      <c r="BZ14" s="677">
        <f>+(BZ13-BS13)*10000</f>
        <v>85.953983939832668</v>
      </c>
      <c r="CA14" s="677">
        <f>+(CA13-BT13)*10000</f>
        <v>-214.70312039578832</v>
      </c>
      <c r="CB14" s="677">
        <f>+(CB13-BU13)*10000</f>
        <v>239.2667124215686</v>
      </c>
      <c r="CC14" s="677">
        <f>+(CC13-BV13)*10000</f>
        <v>63.777208333268831</v>
      </c>
      <c r="CE14" s="675" t="s">
        <v>452</v>
      </c>
      <c r="CF14" s="677">
        <f>+(CF13-BY13)*10000</f>
        <v>163.41125144809342</v>
      </c>
      <c r="CG14" s="677">
        <f>+(CG13-BZ13)*10000</f>
        <v>109.7811611820465</v>
      </c>
      <c r="CH14" s="677">
        <f>+(CH13-CA13)*10000</f>
        <v>51.39854306344116</v>
      </c>
      <c r="CI14" s="677">
        <f>+(CI13-CB13)*10000</f>
        <v>-37.506781878594573</v>
      </c>
      <c r="CJ14" s="677">
        <f>+(CJ13-CC13)*10000</f>
        <v>69.040231875697742</v>
      </c>
      <c r="CL14" s="675" t="s">
        <v>452</v>
      </c>
      <c r="CM14" s="677">
        <f>+(CM13-CF13)*10000</f>
        <v>-38.751724638595995</v>
      </c>
      <c r="CN14" s="677">
        <f>+(CN13-CG13)*10000</f>
        <v>-187.70367263988064</v>
      </c>
      <c r="CO14" s="677">
        <f>+(CO13-CH13)*10000</f>
        <v>-92.006446448412717</v>
      </c>
      <c r="CP14" s="677">
        <f>+(CP13-CI13)*10000</f>
        <v>-149.91195076127451</v>
      </c>
      <c r="CQ14" s="677">
        <f>+(CQ13-CJ13)*10000</f>
        <v>-115.78257137281001</v>
      </c>
      <c r="CS14" s="675" t="s">
        <v>452</v>
      </c>
      <c r="CT14" s="677">
        <f>+(CT13-CM13)*10000</f>
        <v>18.291202792619643</v>
      </c>
      <c r="CU14" s="677">
        <f>+(CU13-CN13)*10000</f>
        <v>-68.862031176437625</v>
      </c>
      <c r="CV14" s="677">
        <f>+(CV13-CO13)*10000</f>
        <v>55.792907163630943</v>
      </c>
      <c r="CW14" s="677">
        <f>+(CW13-CP13)*10000</f>
        <v>-80.846338279042527</v>
      </c>
      <c r="CX14" s="677">
        <f>+(CX13-CQ13)*10000</f>
        <v>-20.796629437742631</v>
      </c>
      <c r="CZ14" s="675" t="s">
        <v>452</v>
      </c>
      <c r="DA14" s="677">
        <f>+(DA13-CT13)*10000</f>
        <v>-99.086004322092023</v>
      </c>
      <c r="DB14" s="677">
        <f>+(DB13-CU13)*10000</f>
        <v>-56.181957880161448</v>
      </c>
      <c r="DC14" s="677">
        <f>+(DC13-CV13)*10000</f>
        <v>-288.22395299180516</v>
      </c>
      <c r="DD14" s="677">
        <f>+(DD13-CW13)*10000</f>
        <v>-161.01766976752029</v>
      </c>
      <c r="DE14" s="677">
        <f>+(DE13-CX13)*10000</f>
        <v>-156.48881603752773</v>
      </c>
      <c r="DG14" s="675" t="s">
        <v>452</v>
      </c>
      <c r="DH14" s="677">
        <f>+(DH13-DA13)*10000</f>
        <v>-294.09192494728842</v>
      </c>
      <c r="DI14" s="677">
        <f>+(DI13-DB13)*10000</f>
        <v>-87.004951785162319</v>
      </c>
      <c r="DJ14" s="677">
        <f>+(DJ13-DC13)*10000</f>
        <v>-43.972498898742217</v>
      </c>
      <c r="DK14" s="677">
        <f>+(DK13-DD13)*10000</f>
        <v>78.362437167678323</v>
      </c>
      <c r="DL14" s="677">
        <f>+(DL13-DE13)*10000</f>
        <v>-78.371866612191312</v>
      </c>
      <c r="DN14" s="675" t="s">
        <v>452</v>
      </c>
      <c r="DO14" s="677">
        <f>+(DO13-DH13)*10000</f>
        <v>-48.11028778936133</v>
      </c>
      <c r="DP14" s="677">
        <f>+(DP13-DI13)*10000</f>
        <v>-122.22783738133791</v>
      </c>
      <c r="DQ14" s="677">
        <f>+(DQ13-DJ13)*10000</f>
        <v>-19.945250780445399</v>
      </c>
      <c r="DR14" s="677">
        <f>+(DR13-DK13)*10000</f>
        <v>-111.08198762342813</v>
      </c>
      <c r="DS14" s="677">
        <f>+(DS13-DL13)*10000</f>
        <v>-74.917644090418676</v>
      </c>
      <c r="DU14" s="675" t="s">
        <v>452</v>
      </c>
      <c r="DV14" s="677">
        <f>+(DV13-DO13)*10000</f>
        <v>-84.767220201077407</v>
      </c>
      <c r="DW14" s="677">
        <f>+(DW13-DP13)*10000</f>
        <v>-125.48605179484196</v>
      </c>
      <c r="DX14" s="677">
        <f>+(DX13-DQ13)*10000</f>
        <v>52.857855100549855</v>
      </c>
      <c r="DY14" s="677">
        <f>+(DY13-DR13)*10000</f>
        <v>-56.767024659323262</v>
      </c>
      <c r="DZ14" s="677">
        <f>+(DZ13-DS13)*10000</f>
        <v>-54.001488474624267</v>
      </c>
      <c r="EB14" s="675" t="s">
        <v>452</v>
      </c>
      <c r="EC14" s="677">
        <f>+(EC13-DV13)*10000</f>
        <v>205.66268715859647</v>
      </c>
      <c r="ED14" s="677">
        <f>+(ED13-DW13)*10000</f>
        <v>267.48067700225863</v>
      </c>
      <c r="EE14" s="677">
        <f>+(EE13-DX13)*10000</f>
        <v>427.65225110729</v>
      </c>
      <c r="EF14" s="677">
        <f>+(EF13-DY13)*10000</f>
        <v>528.79366172924551</v>
      </c>
      <c r="EG14" s="677">
        <f>+(EG13-DZ13)*10000</f>
        <v>360.86700456975927</v>
      </c>
      <c r="EI14" s="675" t="s">
        <v>452</v>
      </c>
      <c r="EJ14" s="677">
        <f>+(EJ13-EC13)*10000</f>
        <v>29.356392992756497</v>
      </c>
      <c r="EK14" s="677">
        <f>+(EK13-ED13)*10000</f>
        <v>301.99697874065066</v>
      </c>
      <c r="EL14" s="677">
        <f>+(EL13-EE13)*10000</f>
        <v>-86.993676149372817</v>
      </c>
      <c r="EM14" s="677">
        <f>+(EM13-EF13)*10000</f>
        <v>456.25618631732203</v>
      </c>
      <c r="EN14" s="677">
        <f>+(EN13-EG13)*10000</f>
        <v>176.88043060402504</v>
      </c>
      <c r="EP14" s="675" t="s">
        <v>452</v>
      </c>
      <c r="EQ14" s="677">
        <f>+(EQ13-EJ13)*10000</f>
        <v>230.69448652714985</v>
      </c>
      <c r="ER14" s="677">
        <f>+(ER13-EK13)*10000</f>
        <v>139.1353981784693</v>
      </c>
      <c r="ES14" s="677">
        <f>+(ES13-EL13)*10000</f>
        <v>-11.172365979706944</v>
      </c>
      <c r="ET14" s="677">
        <f>+(ET13-EM13)*10000</f>
        <v>-417.22931772914416</v>
      </c>
      <c r="EU14" s="677">
        <f>+(EU13-EN13)*10000</f>
        <v>-12.032794761005494</v>
      </c>
      <c r="EW14" s="675" t="s">
        <v>452</v>
      </c>
      <c r="EX14" s="677">
        <f>+(EX13-EQ13)*10000</f>
        <v>-136.87315634218322</v>
      </c>
      <c r="EY14" s="677">
        <f>+(EY13-ER13)*10000</f>
        <v>-380.01869516243846</v>
      </c>
      <c r="EZ14" s="677">
        <f>+(EZ13-ES13)*10000</f>
        <v>-288.24742678735362</v>
      </c>
      <c r="FA14" s="677">
        <f>+(FA13-ET13)*10000</f>
        <v>-333.73269238110902</v>
      </c>
      <c r="FB14" s="677">
        <f>+(FB13-EU13)*10000</f>
        <v>-287.70016891336292</v>
      </c>
      <c r="FD14" s="675" t="s">
        <v>452</v>
      </c>
      <c r="FE14" s="677">
        <f>+(FE13-EX13)*10000</f>
        <v>-146.09640190088257</v>
      </c>
      <c r="FF14" s="677">
        <f>+(FF13-EY13)*10000</f>
        <v>-207.13336105273706</v>
      </c>
      <c r="FG14" s="677">
        <f>+(FG13-EZ13)*10000</f>
        <v>43.759467540119836</v>
      </c>
      <c r="FH14" s="677">
        <f>+(FH13-FA13)*10000</f>
        <v>-144.98349659541776</v>
      </c>
      <c r="FI14" s="677">
        <f>+(FI13-FB13)*10000</f>
        <v>-117.44789807468182</v>
      </c>
      <c r="FK14" s="675" t="s">
        <v>452</v>
      </c>
      <c r="FL14" s="677">
        <f>+(FL13-FE13)*10000</f>
        <v>252.8991229893185</v>
      </c>
      <c r="FM14" s="677">
        <f>+(FM13-FF13)*10000</f>
        <v>75.925744233772406</v>
      </c>
      <c r="FN14" s="677">
        <f>+(FN13-FG13)*10000</f>
        <v>70.438156403778152</v>
      </c>
      <c r="FO14" s="677">
        <f>+(FO13-FH13)*10000</f>
        <v>230.39818114784282</v>
      </c>
      <c r="FP14" s="677">
        <f>+(FP13-FI13)*10000</f>
        <v>165.07748315246707</v>
      </c>
      <c r="FR14" s="675" t="s">
        <v>452</v>
      </c>
      <c r="FS14" s="677">
        <f>+(FS13-FL13)*10000</f>
        <v>-241.17772108843582</v>
      </c>
      <c r="FT14" s="677">
        <f>+(FT13-FM13)*10000</f>
        <v>-84.26787307251216</v>
      </c>
      <c r="FU14" s="677">
        <f>+(FU13-FN13)*10000</f>
        <v>-63.801771538651849</v>
      </c>
      <c r="FV14" s="677">
        <f>+(FV13-FO13)*10000</f>
        <v>-146.19320698417093</v>
      </c>
      <c r="FW14" s="677">
        <f>+(FW13-FP13)*10000</f>
        <v>-143.12877649179322</v>
      </c>
      <c r="FY14" s="675" t="s">
        <v>452</v>
      </c>
      <c r="FZ14" s="677">
        <f>+(FZ13-FS13)*10000</f>
        <v>-611.60855471220748</v>
      </c>
      <c r="GA14" s="677">
        <f>+(GA13-FT13)*10000</f>
        <v>-422.71803286718421</v>
      </c>
      <c r="GB14" s="677">
        <f>+(GB13-FU13)*10000</f>
        <v>-324.74716202270383</v>
      </c>
      <c r="GC14" s="677">
        <f>+(GC13-FV13)*10000</f>
        <v>-397.20785747068055</v>
      </c>
      <c r="GD14" s="677">
        <f>+(GD13-FW13)*10000</f>
        <v>-435.31039098909321</v>
      </c>
      <c r="GF14" s="675" t="s">
        <v>452</v>
      </c>
      <c r="GG14" s="677">
        <f>+(GG13-FZ13)*10000</f>
        <v>-409.91520118654813</v>
      </c>
      <c r="GH14" s="677">
        <f>+(GH13-GA13)*10000</f>
        <v>-737.71092055726956</v>
      </c>
      <c r="GI14" s="677">
        <f>+(GI13-GB13)*10000</f>
        <v>-361.15603561523881</v>
      </c>
      <c r="GJ14" s="677">
        <f>+(GJ13-GC13)*10000</f>
        <v>-242.64001667192113</v>
      </c>
      <c r="GK14" s="677">
        <f>+(GK13-GD13)*10000</f>
        <v>-438.01289898585003</v>
      </c>
      <c r="GM14" s="675" t="s">
        <v>452</v>
      </c>
      <c r="GN14" s="677">
        <f>+(GN13-GG13)*10000</f>
        <v>86.754797737457196</v>
      </c>
      <c r="GO14" s="677">
        <f>+(GO13-GH13)*10000</f>
        <v>245.21601990488361</v>
      </c>
      <c r="GP14" s="677">
        <f>+(GP13-GI13)*10000</f>
        <v>-208.77505077373516</v>
      </c>
      <c r="GQ14" s="677">
        <f>+(GQ13-GJ13)*10000</f>
        <v>-248.35889333081894</v>
      </c>
      <c r="GR14" s="677">
        <f>+(GR13-GK13)*10000</f>
        <v>-32.876490745201714</v>
      </c>
      <c r="GT14" s="675" t="s">
        <v>452</v>
      </c>
      <c r="GU14" s="677">
        <f>+(GU13-GN13)*10000</f>
        <v>-297.55956807042463</v>
      </c>
      <c r="GV14" s="677">
        <f>+(GV13-GO13)*10000</f>
        <v>-47.487936302043067</v>
      </c>
      <c r="GW14" s="677">
        <f>+(GW13-GP13)*10000</f>
        <v>-244.40747172930878</v>
      </c>
      <c r="GX14" s="677">
        <f>+(GX13-GQ13)*10000</f>
        <v>-240.19220716951617</v>
      </c>
      <c r="GY14" s="677">
        <f>+(GY13-GR13)*10000</f>
        <v>-204.3341322102099</v>
      </c>
      <c r="HA14" s="675" t="s">
        <v>452</v>
      </c>
      <c r="HB14" s="677">
        <f>+(HB13-GU13)*10000</f>
        <v>-23.060603719322614</v>
      </c>
      <c r="HC14" s="677">
        <f>+(HC13-GV13)*10000</f>
        <v>-174.27199712837017</v>
      </c>
      <c r="HD14" s="677">
        <f>+(HD13-GW13)*10000</f>
        <v>-119.50463053332471</v>
      </c>
      <c r="HE14" s="677">
        <f>+(HE13-GX13)*10000</f>
        <v>74.95228638485618</v>
      </c>
      <c r="HF14" s="677">
        <f>+(HF13-GY13)*10000</f>
        <v>-59.846227937088159</v>
      </c>
      <c r="HH14" s="675" t="s">
        <v>452</v>
      </c>
      <c r="HI14" s="677">
        <f>+(HI13-HB13)*10000</f>
        <v>-214.03621796812988</v>
      </c>
      <c r="HJ14" s="677">
        <f>+(HJ13-HC13)*10000</f>
        <v>-355.88808753913128</v>
      </c>
      <c r="HK14" s="677">
        <f>+(HK13-HD13)*10000</f>
        <v>-499.50397166788508</v>
      </c>
      <c r="HL14" s="677">
        <f>+(HL13-HE13)*10000</f>
        <v>-491.33032915360531</v>
      </c>
      <c r="HM14" s="677">
        <f>+(HM13-HF13)*10000</f>
        <v>-398.14912375901179</v>
      </c>
      <c r="HO14" s="675" t="s">
        <v>452</v>
      </c>
      <c r="HP14" s="677">
        <f>+(HP13-HI13)*10000</f>
        <v>-213.75599846279349</v>
      </c>
      <c r="HQ14" s="677">
        <f>+(HQ13-HJ13)*10000</f>
        <v>-70.620455229285511</v>
      </c>
      <c r="HR14" s="677">
        <f>+(HR13-HK13)*10000</f>
        <v>131.31067106972537</v>
      </c>
      <c r="HS14" s="677">
        <f>+(HS13-HL13)*10000</f>
        <v>154.37996749946058</v>
      </c>
      <c r="HT14" s="677">
        <f>+(HT13-HM13)*10000</f>
        <v>4.899576574740605</v>
      </c>
      <c r="HV14" s="675" t="s">
        <v>452</v>
      </c>
      <c r="HW14" s="677">
        <f>+(HW13-HP13)*10000</f>
        <v>-135.1521274323708</v>
      </c>
      <c r="HX14" s="677">
        <f>+(HX13-HQ13)*10000</f>
        <v>-63.569284746847202</v>
      </c>
      <c r="HY14" s="677">
        <f>+(HY13-HR13)*10000</f>
        <v>12.279995083337436</v>
      </c>
      <c r="HZ14" s="677">
        <f>+(HZ13-HS13)*10000</f>
        <v>62.086666594600715</v>
      </c>
      <c r="IA14" s="677">
        <f>+(IA13-HT13)*10000</f>
        <v>-29.955876792749912</v>
      </c>
      <c r="IC14" s="675" t="s">
        <v>452</v>
      </c>
      <c r="ID14" s="677">
        <f>+(ID13-HW13)*10000</f>
        <v>-72.037976489919274</v>
      </c>
      <c r="IE14" s="677">
        <f>+(IE13-HX13)*10000</f>
        <v>-7.0198190619730205</v>
      </c>
      <c r="IF14" s="677">
        <f>+(IF13-HY13)*10000</f>
        <v>103.31709279734591</v>
      </c>
      <c r="IG14" s="677">
        <f>+(IG13-HZ13)*10000</f>
        <v>106.39631265575878</v>
      </c>
      <c r="IH14" s="677">
        <f>+(IH13-IA13)*10000</f>
        <v>33.842185363461837</v>
      </c>
      <c r="IJ14" s="675" t="s">
        <v>452</v>
      </c>
      <c r="IK14" s="677">
        <f>+(IK13-ID13)*10000</f>
        <v>504.56052732949172</v>
      </c>
      <c r="IL14" s="677">
        <f>+(IL13-IE13)*10000</f>
        <v>64.46369747352243</v>
      </c>
      <c r="IM14" s="677">
        <f>+(IM13-IF13)*10000</f>
        <v>-182.49899920070644</v>
      </c>
      <c r="IN14" s="677">
        <f>+(IN13-IG13)*10000</f>
        <v>-141.28328737410766</v>
      </c>
      <c r="IO14" s="677">
        <f>+(IO13-IH13)*10000</f>
        <v>54.940796385758439</v>
      </c>
      <c r="IQ14" s="675" t="s">
        <v>452</v>
      </c>
      <c r="IR14" s="677">
        <f>+(IR13-IK13)*10000</f>
        <v>-331.41632347386098</v>
      </c>
      <c r="IS14" s="677">
        <f>+(IS13-IL13)*10000</f>
        <v>-245.82438597225419</v>
      </c>
      <c r="IT14" s="677">
        <f>+(IT13-IM13)*10000</f>
        <v>-144.43429522509877</v>
      </c>
      <c r="IU14" s="677">
        <f>+(IU13-IN13)*10000</f>
        <v>-21.618907030251933</v>
      </c>
      <c r="IV14" s="677">
        <f>+(IV13-IO13)*10000</f>
        <v>-182.61632071452593</v>
      </c>
      <c r="IX14" s="675" t="s">
        <v>452</v>
      </c>
      <c r="IY14" s="677">
        <f>+(IY13-IR13)*10000</f>
        <v>95.859949529860657</v>
      </c>
      <c r="IZ14" s="677">
        <f>+(IZ13-IS13)*10000</f>
        <v>212.68172478254743</v>
      </c>
      <c r="JA14" s="677">
        <f>+(JA13-IT13)*10000</f>
        <v>71.22813317279153</v>
      </c>
      <c r="JB14" s="677">
        <f>+(JB13-IU13)*10000</f>
        <v>-461.59336302585729</v>
      </c>
      <c r="JC14" s="677">
        <f>+(JC13-IV13)*10000</f>
        <v>-27.244455368243827</v>
      </c>
      <c r="JE14" s="675" t="s">
        <v>452</v>
      </c>
      <c r="JF14" s="677">
        <f>+(JF13-IY13)*10000</f>
        <v>-374.70966079007349</v>
      </c>
      <c r="JG14" s="677">
        <f>+(JG13-IZ13)*10000</f>
        <v>-548.45191525933149</v>
      </c>
      <c r="JH14" s="677">
        <f>+(JH13-JA13)*10000</f>
        <v>-64.743130114494065</v>
      </c>
      <c r="JI14" s="677">
        <f>+(JI13-JB13)*10000</f>
        <v>-179.96002498467223</v>
      </c>
      <c r="JJ14" s="677">
        <f>+(JJ13-JC13)*10000</f>
        <v>-285.07033592800599</v>
      </c>
      <c r="JL14" s="675" t="s">
        <v>452</v>
      </c>
      <c r="JM14" s="677">
        <f>+(JM13-JF13)*10000</f>
        <v>-566.25643357534955</v>
      </c>
      <c r="JN14" s="677">
        <f>+(JN13-JG13)*10000</f>
        <v>-481.08047270186137</v>
      </c>
      <c r="JO14" s="677">
        <f>+(JO13-JH13)*10000</f>
        <v>-964.24647905293034</v>
      </c>
      <c r="JP14" s="677">
        <f>+(JP13-JI13)*10000</f>
        <v>-488.0562775041675</v>
      </c>
      <c r="JQ14" s="677">
        <f>+(JQ13-JJ13)*10000</f>
        <v>-627.91968400263238</v>
      </c>
      <c r="JS14" s="675" t="s">
        <v>452</v>
      </c>
      <c r="JT14" s="677">
        <f>+(JT13-JM13)*10000</f>
        <v>-415.75980210003303</v>
      </c>
      <c r="JU14" s="677">
        <f>+(JU13-JN13)*10000</f>
        <v>-127.27137922631027</v>
      </c>
      <c r="JV14" s="677">
        <f>+(JV13-JO13)*10000</f>
        <v>-189.38176863634638</v>
      </c>
      <c r="JW14" s="677">
        <f>+(JW13-JP13)*10000</f>
        <v>-26.089723194400172</v>
      </c>
      <c r="JX14" s="677">
        <f>+(JX13-JQ13)*10000</f>
        <v>-184.64263916172175</v>
      </c>
      <c r="JZ14" s="675" t="s">
        <v>452</v>
      </c>
      <c r="KA14" s="677">
        <f>+(KA13-JT13)*10000</f>
        <v>-80.293044210638655</v>
      </c>
      <c r="KB14" s="677">
        <f>+(KB13-JU13)*10000</f>
        <v>591.47228815996436</v>
      </c>
      <c r="KC14" s="677">
        <f>+(KC13-JV13)*10000</f>
        <v>12.780024307154081</v>
      </c>
      <c r="KD14" s="677">
        <f>+(KD13-JW13)*10000</f>
        <v>-300.88495575221197</v>
      </c>
      <c r="KE14" s="677">
        <f>+(KE13-JX13)*10000</f>
        <v>37.631896094769687</v>
      </c>
      <c r="KG14" s="675" t="s">
        <v>452</v>
      </c>
      <c r="KH14" s="677">
        <f>+(KH13-KA13)*10000</f>
        <v>212.12372130146261</v>
      </c>
      <c r="KI14" s="677">
        <f>+(KI13-KB13)*10000</f>
        <v>-816.45395961408633</v>
      </c>
      <c r="KJ14" s="677">
        <f>+(KJ13-KC13)*10000</f>
        <v>-53.177528238372851</v>
      </c>
      <c r="KK14" s="677">
        <f>+(KK13-KD13)*10000</f>
        <v>314.89137536119927</v>
      </c>
      <c r="KL14" s="677">
        <f>+(KL13-KE13)*10000</f>
        <v>-66.923394076165991</v>
      </c>
      <c r="KN14" s="675" t="s">
        <v>452</v>
      </c>
      <c r="KO14" s="677">
        <f>+(KO13-KH13)*10000</f>
        <v>157.74465566247952</v>
      </c>
      <c r="KP14" s="677">
        <f>+(KP13-KI13)*10000</f>
        <v>344.12655553461292</v>
      </c>
      <c r="KQ14" s="677">
        <f>+(KQ13-KJ13)*10000</f>
        <v>308.17463895045694</v>
      </c>
      <c r="KR14" s="677">
        <f>+(KR13-KK13)*10000</f>
        <v>74.465430256964723</v>
      </c>
      <c r="KS14" s="677">
        <f>+(KS13-KL13)*10000</f>
        <v>215.69325403972493</v>
      </c>
      <c r="KU14" s="675" t="s">
        <v>452</v>
      </c>
      <c r="KV14" s="677">
        <f>+(KV13-KO13)*10000</f>
        <v>-148.25302891755987</v>
      </c>
      <c r="KW14" s="677">
        <f>+(KW13-KP13)*10000</f>
        <v>180.93445254765749</v>
      </c>
      <c r="KX14" s="676">
        <f>+(KX13-KQ13)*10000</f>
        <v>496.68459290415967</v>
      </c>
      <c r="KY14" s="677">
        <f>+(KY13-KR13)*10000</f>
        <v>338.15858491665682</v>
      </c>
      <c r="KZ14" s="677">
        <f>+(KZ13-KS13)*10000</f>
        <v>221.14380752621508</v>
      </c>
      <c r="LB14" s="675" t="s">
        <v>452</v>
      </c>
      <c r="LC14" s="677">
        <f>+(LC13-KV13)*10000</f>
        <v>272.31405037434263</v>
      </c>
      <c r="LD14" s="676">
        <f>+(LD13-KW13)*10000</f>
        <v>50.777213351147488</v>
      </c>
      <c r="LE14" s="676">
        <f>+(LE13-KX13)*10000</f>
        <v>-184.13433487005747</v>
      </c>
      <c r="LF14" s="676">
        <f>+(LF13-KY13)*10000</f>
        <v>143.02200941066602</v>
      </c>
      <c r="LG14" s="676">
        <f>+(LG13-KZ13)*10000</f>
        <v>70.22286509518527</v>
      </c>
      <c r="LH14" s="678"/>
      <c r="LI14" s="675" t="s">
        <v>452</v>
      </c>
      <c r="LJ14" s="676">
        <f>+(LJ13-LC13)*10000</f>
        <v>590.97323561001281</v>
      </c>
      <c r="LK14" s="676">
        <f>+(LK13-LD13)*10000</f>
        <v>322.64075998758358</v>
      </c>
      <c r="LL14" s="676">
        <f>+(LL13-LE13)*10000</f>
        <v>156.19635333851579</v>
      </c>
      <c r="LM14" s="676">
        <f>+(LM13-LF13)*10000</f>
        <v>117.91882148517452</v>
      </c>
      <c r="LN14" s="676">
        <f>+(LN13-LG13)*10000</f>
        <v>295.24960946361148</v>
      </c>
      <c r="LO14" s="678"/>
      <c r="LP14" s="675" t="s">
        <v>452</v>
      </c>
      <c r="LQ14" s="676">
        <f>+(LQ13-LJ13)*10000</f>
        <v>-337.09780474786123</v>
      </c>
      <c r="LR14" s="676">
        <f>+(LR13-LK13)*10000</f>
        <v>-168.22016400440566</v>
      </c>
      <c r="LS14" s="676">
        <f>+(LS13-LL13)*10000</f>
        <v>-213.30859656538581</v>
      </c>
      <c r="LT14" s="676">
        <f>+(LT13-LM13)*10000</f>
        <v>-303.20512479333763</v>
      </c>
      <c r="LU14" s="676">
        <f>+(LU13-LN13)*10000</f>
        <v>-255.08959376154826</v>
      </c>
      <c r="LV14" s="678"/>
      <c r="LW14" s="675" t="s">
        <v>452</v>
      </c>
      <c r="LX14" s="676">
        <f>+(LX13-LQ13)*10000</f>
        <v>-217.90210382485964</v>
      </c>
      <c r="LY14" s="676">
        <f>+(LY13-LR13)*10000</f>
        <v>-202.76219490853452</v>
      </c>
      <c r="LZ14" s="676">
        <f>+(LZ13-LS13)*10000</f>
        <v>-217.35481262801227</v>
      </c>
      <c r="MA14" s="676">
        <f>+(MA13-LT13)*10000</f>
        <v>-221.30657594817583</v>
      </c>
      <c r="MB14" s="676">
        <f>+(MB13-LU13)*10000</f>
        <v>-214.74465997534219</v>
      </c>
      <c r="MC14" s="678"/>
      <c r="MD14" s="675" t="s">
        <v>452</v>
      </c>
      <c r="ME14" s="676">
        <f>+(ME13-LX13)*10000</f>
        <v>-117.29740605252226</v>
      </c>
      <c r="MF14" s="676">
        <f>+(MF13-LY13)*10000</f>
        <v>-79.88569501124698</v>
      </c>
      <c r="MG14" s="676">
        <f>+(MG13-LZ13)*10000</f>
        <v>-54.624683984245692</v>
      </c>
      <c r="MH14" s="676">
        <f>+(MH13-MA13)*10000</f>
        <v>-100.40058781798034</v>
      </c>
      <c r="MI14" s="676">
        <f>+(MI13-MB13)*10000</f>
        <v>-87.561208950074359</v>
      </c>
      <c r="MJ14" s="678"/>
    </row>
    <row r="15" spans="1:348" hidden="1" outlineLevel="1" x14ac:dyDescent="0.4">
      <c r="A15" s="679"/>
      <c r="B15" s="680"/>
      <c r="C15" s="537"/>
      <c r="D15" s="537"/>
      <c r="E15" s="537"/>
      <c r="F15" s="537"/>
      <c r="G15" s="537"/>
      <c r="H15" s="537"/>
      <c r="I15" s="537"/>
      <c r="J15" s="537"/>
      <c r="K15" s="537"/>
      <c r="L15" s="537"/>
      <c r="M15" s="537"/>
      <c r="N15" s="537"/>
      <c r="O15" s="537"/>
      <c r="P15" s="537"/>
      <c r="Q15" s="537"/>
      <c r="R15" s="537"/>
      <c r="S15" s="537"/>
      <c r="T15" s="537"/>
      <c r="U15" s="537"/>
      <c r="V15" s="537"/>
      <c r="W15" s="537"/>
      <c r="X15" s="537"/>
      <c r="Y15" s="537"/>
      <c r="Z15" s="537"/>
      <c r="AA15" s="537"/>
      <c r="AB15" s="537"/>
      <c r="AC15" s="537"/>
      <c r="AD15" s="537"/>
      <c r="AE15" s="537"/>
      <c r="AF15" s="537"/>
      <c r="AG15" s="537"/>
      <c r="AH15" s="537"/>
      <c r="AI15" s="537"/>
      <c r="AJ15" s="537"/>
      <c r="AK15" s="537"/>
      <c r="AL15" s="537"/>
      <c r="AM15" s="537"/>
      <c r="AN15" s="537"/>
      <c r="AO15" s="537"/>
      <c r="AP15" s="537"/>
      <c r="AQ15" s="537"/>
      <c r="AR15" s="537"/>
      <c r="AS15" s="537"/>
      <c r="AT15" s="537"/>
      <c r="AU15" s="537"/>
      <c r="AV15" s="537"/>
      <c r="AW15" s="537"/>
      <c r="AX15" s="537"/>
      <c r="AY15" s="537"/>
      <c r="AZ15" s="537"/>
      <c r="BA15" s="537"/>
      <c r="BB15" s="537"/>
      <c r="BC15" s="537"/>
      <c r="BD15" s="537"/>
      <c r="BE15" s="537"/>
      <c r="BF15" s="537"/>
      <c r="BG15" s="537"/>
      <c r="BH15" s="537"/>
      <c r="BI15" s="537"/>
      <c r="BJ15" s="537"/>
      <c r="BK15" s="537"/>
      <c r="BL15" s="537"/>
      <c r="BM15" s="537"/>
      <c r="BN15" s="537"/>
      <c r="BO15" s="537"/>
      <c r="BQ15" s="680"/>
      <c r="BX15" s="680"/>
      <c r="CE15" s="680"/>
      <c r="CL15" s="680"/>
      <c r="CS15" s="680"/>
      <c r="CZ15" s="680"/>
      <c r="DG15" s="680"/>
      <c r="DN15" s="680"/>
      <c r="DU15" s="680"/>
      <c r="EB15" s="680"/>
      <c r="EI15" s="680"/>
      <c r="EP15" s="680"/>
      <c r="EW15" s="680"/>
      <c r="FD15" s="680"/>
      <c r="FK15" s="680"/>
      <c r="FR15" s="680"/>
      <c r="FY15" s="680"/>
      <c r="GF15" s="680"/>
      <c r="GM15" s="680"/>
      <c r="GT15" s="680"/>
      <c r="HA15" s="680"/>
      <c r="HH15" s="680"/>
      <c r="HO15" s="680"/>
      <c r="HV15" s="680"/>
      <c r="IC15" s="680"/>
      <c r="IJ15" s="680"/>
      <c r="IQ15" s="680"/>
      <c r="IX15" s="680"/>
      <c r="JE15" s="680"/>
      <c r="JL15" s="680"/>
      <c r="JS15" s="680"/>
      <c r="JZ15" s="680"/>
      <c r="KG15" s="680"/>
      <c r="KN15" s="680"/>
      <c r="KU15" s="680"/>
      <c r="KX15" s="537"/>
      <c r="KY15" s="681"/>
      <c r="LB15" s="680"/>
      <c r="LD15" s="681"/>
      <c r="LE15" s="681"/>
      <c r="LF15" s="681"/>
      <c r="LG15" s="45"/>
      <c r="LH15" s="584"/>
      <c r="LI15" s="680"/>
      <c r="LJ15" s="681"/>
      <c r="LK15" s="681"/>
      <c r="LL15" s="681"/>
      <c r="LM15" s="681"/>
      <c r="LN15" s="45"/>
      <c r="LO15" s="584"/>
      <c r="LP15" s="680"/>
      <c r="LQ15" s="681"/>
      <c r="LR15" s="681"/>
      <c r="LS15" s="681"/>
      <c r="LT15" s="681"/>
      <c r="LU15" s="45"/>
      <c r="LV15" s="584"/>
      <c r="LW15" s="680"/>
      <c r="LX15" s="681"/>
      <c r="LY15" s="681"/>
      <c r="LZ15" s="681"/>
      <c r="MA15" s="681"/>
      <c r="MB15" s="45"/>
      <c r="MC15" s="584"/>
      <c r="MD15" s="680"/>
      <c r="ME15" s="681"/>
      <c r="MF15" s="681"/>
      <c r="MG15" s="681"/>
      <c r="MH15" s="681"/>
      <c r="MI15" s="45"/>
      <c r="MJ15" s="584"/>
    </row>
    <row r="16" spans="1:348" hidden="1" outlineLevel="1" x14ac:dyDescent="0.4">
      <c r="A16" s="679"/>
      <c r="B16" s="682"/>
      <c r="C16" s="683"/>
      <c r="D16" s="683"/>
      <c r="E16" s="683"/>
      <c r="F16" s="683"/>
      <c r="G16" s="683"/>
      <c r="H16" s="683"/>
      <c r="I16" s="683"/>
      <c r="J16" s="683"/>
      <c r="K16" s="683"/>
      <c r="L16" s="683"/>
      <c r="M16" s="683"/>
      <c r="N16" s="683"/>
      <c r="O16" s="683"/>
      <c r="P16" s="683"/>
      <c r="Q16" s="683"/>
      <c r="R16" s="683"/>
      <c r="S16" s="683"/>
      <c r="T16" s="683"/>
      <c r="U16" s="683"/>
      <c r="V16" s="683"/>
      <c r="W16" s="683"/>
      <c r="X16" s="683"/>
      <c r="Y16" s="683"/>
      <c r="Z16" s="683"/>
      <c r="AA16" s="683"/>
      <c r="AB16" s="683"/>
      <c r="AC16" s="683"/>
      <c r="AD16" s="683"/>
      <c r="AE16" s="683"/>
      <c r="AF16" s="683"/>
      <c r="AG16" s="683"/>
      <c r="AH16" s="683"/>
      <c r="AI16" s="683"/>
      <c r="AJ16" s="683"/>
      <c r="AK16" s="683"/>
      <c r="AL16" s="683"/>
      <c r="AM16" s="683"/>
      <c r="AN16" s="683"/>
      <c r="AO16" s="683"/>
      <c r="AP16" s="683"/>
      <c r="AQ16" s="683"/>
      <c r="AR16" s="683"/>
      <c r="AS16" s="683"/>
      <c r="AT16" s="683"/>
      <c r="AU16" s="683"/>
      <c r="AV16" s="683"/>
      <c r="AW16" s="683"/>
      <c r="AX16" s="683"/>
      <c r="AY16" s="683"/>
      <c r="AZ16" s="683"/>
      <c r="BA16" s="683"/>
      <c r="BB16" s="683"/>
      <c r="BC16" s="683"/>
      <c r="BD16" s="683"/>
      <c r="BE16" s="683"/>
      <c r="BF16" s="683"/>
      <c r="BG16" s="683"/>
      <c r="BH16" s="683"/>
      <c r="BI16" s="683"/>
      <c r="BJ16" s="683"/>
      <c r="BK16" s="683"/>
      <c r="BL16" s="683"/>
      <c r="BM16" s="683"/>
      <c r="BN16" s="683"/>
      <c r="BO16" s="683"/>
      <c r="BQ16" s="682"/>
      <c r="BR16" s="683"/>
      <c r="BS16" s="683"/>
      <c r="BT16" s="683"/>
      <c r="BU16" s="683"/>
      <c r="BV16" s="683"/>
      <c r="BX16" s="682"/>
      <c r="BY16" s="683"/>
      <c r="BZ16" s="683"/>
      <c r="CA16" s="683"/>
      <c r="CB16" s="683"/>
      <c r="CC16" s="683"/>
      <c r="CE16" s="682"/>
      <c r="CF16" s="683"/>
      <c r="CG16" s="683"/>
      <c r="CH16" s="683"/>
      <c r="CI16" s="683"/>
      <c r="CJ16" s="683"/>
      <c r="CL16" s="682"/>
      <c r="CM16" s="683"/>
      <c r="CN16" s="683"/>
      <c r="CO16" s="683"/>
      <c r="CP16" s="683"/>
      <c r="CQ16" s="683"/>
      <c r="CS16" s="682"/>
      <c r="CT16" s="683"/>
      <c r="CU16" s="683"/>
      <c r="CV16" s="683"/>
      <c r="CW16" s="683"/>
      <c r="CX16" s="683"/>
      <c r="CZ16" s="682"/>
      <c r="DA16" s="683"/>
      <c r="DB16" s="683"/>
      <c r="DC16" s="683"/>
      <c r="DD16" s="683"/>
      <c r="DE16" s="683"/>
      <c r="DG16" s="682"/>
      <c r="DH16" s="683"/>
      <c r="DI16" s="683"/>
      <c r="DJ16" s="683"/>
      <c r="DK16" s="683"/>
      <c r="DL16" s="683"/>
      <c r="DN16" s="682"/>
      <c r="DO16" s="683"/>
      <c r="DP16" s="683"/>
      <c r="DQ16" s="683"/>
      <c r="DR16" s="683"/>
      <c r="DS16" s="683"/>
      <c r="DU16" s="682"/>
      <c r="DV16" s="683"/>
      <c r="DW16" s="683"/>
      <c r="DX16" s="683"/>
      <c r="DY16" s="683"/>
      <c r="DZ16" s="683"/>
      <c r="EB16" s="682"/>
      <c r="EC16" s="683"/>
      <c r="ED16" s="683"/>
      <c r="EE16" s="683"/>
      <c r="EF16" s="683"/>
      <c r="EG16" s="683"/>
      <c r="EI16" s="682"/>
      <c r="EJ16" s="683"/>
      <c r="EK16" s="683"/>
      <c r="EL16" s="683"/>
      <c r="EM16" s="683"/>
      <c r="EN16" s="683"/>
      <c r="EP16" s="682"/>
      <c r="EQ16" s="683"/>
      <c r="ER16" s="683"/>
      <c r="ES16" s="683"/>
      <c r="ET16" s="683"/>
      <c r="EU16" s="683"/>
      <c r="EW16" s="682"/>
      <c r="EX16" s="683"/>
      <c r="EY16" s="683"/>
      <c r="EZ16" s="683"/>
      <c r="FA16" s="683"/>
      <c r="FB16" s="683"/>
      <c r="FD16" s="682"/>
      <c r="FE16" s="683"/>
      <c r="FF16" s="683"/>
      <c r="FG16" s="683"/>
      <c r="FH16" s="683"/>
      <c r="FI16" s="683"/>
      <c r="FK16" s="682"/>
      <c r="FL16" s="683"/>
      <c r="FM16" s="683"/>
      <c r="FN16" s="683"/>
      <c r="FO16" s="683"/>
      <c r="FP16" s="683"/>
      <c r="FR16" s="682"/>
      <c r="FS16" s="683"/>
      <c r="FT16" s="683"/>
      <c r="FU16" s="683"/>
      <c r="FV16" s="683"/>
      <c r="FW16" s="683"/>
      <c r="FY16" s="682"/>
      <c r="FZ16" s="683"/>
      <c r="GA16" s="683"/>
      <c r="GB16" s="683"/>
      <c r="GC16" s="683"/>
      <c r="GD16" s="683"/>
      <c r="GF16" s="682"/>
      <c r="GG16" s="683"/>
      <c r="GH16" s="683"/>
      <c r="GI16" s="683"/>
      <c r="GJ16" s="683"/>
      <c r="GK16" s="683"/>
      <c r="GM16" s="682"/>
      <c r="GN16" s="683"/>
      <c r="GO16" s="683"/>
      <c r="GP16" s="683"/>
      <c r="GQ16" s="683"/>
      <c r="GR16" s="683"/>
      <c r="GT16" s="682"/>
      <c r="GU16" s="683"/>
      <c r="GV16" s="683"/>
      <c r="GW16" s="683"/>
      <c r="GX16" s="683"/>
      <c r="GY16" s="683"/>
      <c r="HA16" s="682"/>
      <c r="HB16" s="683"/>
      <c r="HC16" s="683"/>
      <c r="HD16" s="683"/>
      <c r="HE16" s="683"/>
      <c r="HF16" s="683"/>
      <c r="HH16" s="682"/>
      <c r="HI16" s="683"/>
      <c r="HJ16" s="683"/>
      <c r="HK16" s="683"/>
      <c r="HL16" s="683"/>
      <c r="HM16" s="683"/>
      <c r="HO16" s="682"/>
      <c r="HP16" s="683"/>
      <c r="HQ16" s="683"/>
      <c r="HR16" s="683"/>
      <c r="HS16" s="683"/>
      <c r="HT16" s="683"/>
      <c r="HV16" s="682"/>
      <c r="HW16" s="683"/>
      <c r="HX16" s="683"/>
      <c r="HY16" s="683"/>
      <c r="HZ16" s="683"/>
      <c r="IA16" s="683"/>
      <c r="IC16" s="682"/>
      <c r="ID16" s="683"/>
      <c r="IE16" s="683"/>
      <c r="IF16" s="683"/>
      <c r="IG16" s="683"/>
      <c r="IH16" s="683"/>
      <c r="IJ16" s="682"/>
      <c r="IK16" s="683"/>
      <c r="IL16" s="683"/>
      <c r="IM16" s="683"/>
      <c r="IN16" s="683"/>
      <c r="IO16" s="683"/>
      <c r="IQ16" s="682"/>
      <c r="IR16" s="683"/>
      <c r="IS16" s="683"/>
      <c r="IT16" s="683"/>
      <c r="IU16" s="683"/>
      <c r="IV16" s="683"/>
      <c r="IX16" s="682"/>
      <c r="IY16" s="683"/>
      <c r="IZ16" s="683"/>
      <c r="JA16" s="683"/>
      <c r="JB16" s="683"/>
      <c r="JC16" s="683"/>
      <c r="JE16" s="682"/>
      <c r="JF16" s="683"/>
      <c r="JG16" s="683"/>
      <c r="JH16" s="683"/>
      <c r="JI16" s="683"/>
      <c r="JJ16" s="683"/>
      <c r="JL16" s="682"/>
      <c r="JM16" s="683"/>
      <c r="JN16" s="683"/>
      <c r="JO16" s="683"/>
      <c r="JP16" s="683"/>
      <c r="JQ16" s="683"/>
      <c r="JS16" s="682"/>
      <c r="JT16" s="683"/>
      <c r="JU16" s="683"/>
      <c r="JV16" s="683"/>
      <c r="JW16" s="683"/>
      <c r="JX16" s="683"/>
      <c r="JZ16" s="682"/>
      <c r="KA16" s="683"/>
      <c r="KB16" s="683"/>
      <c r="KC16" s="683"/>
      <c r="KD16" s="683"/>
      <c r="KE16" s="683"/>
      <c r="KG16" s="682"/>
      <c r="KH16" s="683"/>
      <c r="KI16" s="683"/>
      <c r="KJ16" s="683"/>
      <c r="KK16" s="683"/>
      <c r="KL16" s="683"/>
      <c r="KN16" s="682"/>
      <c r="KO16" s="683"/>
      <c r="KP16" s="683"/>
      <c r="KQ16" s="683"/>
      <c r="KR16" s="683"/>
      <c r="KS16" s="683"/>
      <c r="KU16" s="682"/>
      <c r="KV16" s="683"/>
      <c r="KW16" s="683"/>
      <c r="KX16" s="683"/>
      <c r="KY16" s="683"/>
      <c r="KZ16" s="683"/>
      <c r="LB16" s="682"/>
      <c r="LC16" s="683"/>
      <c r="LD16" s="683"/>
      <c r="LE16" s="683"/>
      <c r="LF16" s="683"/>
      <c r="LG16" s="684"/>
      <c r="LI16" s="682"/>
      <c r="LJ16" s="683"/>
      <c r="LK16" s="683"/>
      <c r="LL16" s="683"/>
      <c r="LM16" s="683"/>
      <c r="LN16" s="727"/>
      <c r="LO16" s="707"/>
      <c r="LP16" s="682"/>
      <c r="LQ16" s="683"/>
      <c r="LR16" s="683"/>
      <c r="LS16" s="683"/>
      <c r="LT16" s="683"/>
      <c r="LU16" s="684"/>
      <c r="LW16" s="682"/>
      <c r="LX16" s="683"/>
      <c r="LY16" s="683"/>
      <c r="LZ16" s="683"/>
      <c r="MA16" s="683"/>
      <c r="MB16" s="684"/>
      <c r="MD16" s="682"/>
      <c r="ME16" s="683"/>
      <c r="MF16" s="683"/>
      <c r="MG16" s="683"/>
      <c r="MH16" s="683"/>
      <c r="MI16" s="684"/>
    </row>
    <row r="17" spans="1:349" collapsed="1" x14ac:dyDescent="0.4">
      <c r="A17" s="38"/>
      <c r="B17" s="652" t="s">
        <v>538</v>
      </c>
      <c r="C17" s="653">
        <f t="shared" ref="C17:M17" si="11">D17-1</f>
        <v>1978</v>
      </c>
      <c r="D17" s="653">
        <f t="shared" si="11"/>
        <v>1979</v>
      </c>
      <c r="E17" s="653">
        <f t="shared" si="11"/>
        <v>1980</v>
      </c>
      <c r="F17" s="653">
        <f t="shared" si="11"/>
        <v>1981</v>
      </c>
      <c r="G17" s="653">
        <f t="shared" si="11"/>
        <v>1982</v>
      </c>
      <c r="H17" s="653">
        <f t="shared" si="11"/>
        <v>1983</v>
      </c>
      <c r="I17" s="653">
        <f t="shared" si="11"/>
        <v>1984</v>
      </c>
      <c r="J17" s="653">
        <f t="shared" si="11"/>
        <v>1985</v>
      </c>
      <c r="K17" s="653">
        <f t="shared" si="11"/>
        <v>1986</v>
      </c>
      <c r="L17" s="653">
        <f t="shared" si="11"/>
        <v>1987</v>
      </c>
      <c r="M17" s="653">
        <f t="shared" si="11"/>
        <v>1988</v>
      </c>
      <c r="N17" s="653">
        <f>BV17</f>
        <v>1989</v>
      </c>
      <c r="O17" s="653">
        <f>CC17</f>
        <v>1990</v>
      </c>
      <c r="P17" s="653">
        <f>CJ17</f>
        <v>1991</v>
      </c>
      <c r="Q17" s="653">
        <f>CQ17</f>
        <v>1992</v>
      </c>
      <c r="R17" s="653">
        <f>CX17</f>
        <v>1993</v>
      </c>
      <c r="S17" s="653">
        <f>DE17</f>
        <v>1994</v>
      </c>
      <c r="T17" s="653">
        <f>DL17</f>
        <v>1995</v>
      </c>
      <c r="U17" s="653">
        <f>DS17</f>
        <v>1996</v>
      </c>
      <c r="V17" s="653">
        <f>DZ17</f>
        <v>1997</v>
      </c>
      <c r="W17" s="653">
        <f>EG17</f>
        <v>1998</v>
      </c>
      <c r="X17" s="653">
        <f>EN17</f>
        <v>1999</v>
      </c>
      <c r="Y17" s="653">
        <f>EU17</f>
        <v>2000</v>
      </c>
      <c r="Z17" s="653">
        <f>FB17</f>
        <v>2001</v>
      </c>
      <c r="AA17" s="653">
        <f>FI17</f>
        <v>2002</v>
      </c>
      <c r="AB17" s="653">
        <f>FP17</f>
        <v>2003</v>
      </c>
      <c r="AC17" s="653">
        <f>FW17</f>
        <v>2004</v>
      </c>
      <c r="AD17" s="653">
        <f>GD17</f>
        <v>2005</v>
      </c>
      <c r="AE17" s="653">
        <f>GK17</f>
        <v>2006</v>
      </c>
      <c r="AF17" s="653">
        <f>GR17</f>
        <v>2007</v>
      </c>
      <c r="AG17" s="653">
        <f>GY17</f>
        <v>2008</v>
      </c>
      <c r="AH17" s="653">
        <f>HF17</f>
        <v>2009</v>
      </c>
      <c r="AI17" s="653">
        <f>HM17</f>
        <v>2010</v>
      </c>
      <c r="AJ17" s="653">
        <f>HT17</f>
        <v>2011</v>
      </c>
      <c r="AK17" s="653">
        <f>IA17</f>
        <v>2012</v>
      </c>
      <c r="AL17" s="653">
        <f>IH17</f>
        <v>2013</v>
      </c>
      <c r="AM17" s="653">
        <f>IO17</f>
        <v>2014</v>
      </c>
      <c r="AN17" s="653">
        <f>IV17</f>
        <v>2015</v>
      </c>
      <c r="AO17" s="653">
        <f>JC17</f>
        <v>2016</v>
      </c>
      <c r="AP17" s="653">
        <f>JJ17</f>
        <v>2017</v>
      </c>
      <c r="AQ17" s="653">
        <f>JQ17</f>
        <v>2018</v>
      </c>
      <c r="AR17" s="653">
        <f>JX17</f>
        <v>2019</v>
      </c>
      <c r="AS17" s="653">
        <f>KE17</f>
        <v>2020</v>
      </c>
      <c r="AT17" s="653">
        <f>KL17</f>
        <v>2021</v>
      </c>
      <c r="AU17" s="653">
        <f>KS17</f>
        <v>2022</v>
      </c>
      <c r="AV17" s="653">
        <f>KZ17</f>
        <v>2023</v>
      </c>
      <c r="AW17" s="653">
        <f>LG17</f>
        <v>2024</v>
      </c>
      <c r="AX17" s="653">
        <f>LN17</f>
        <v>2025</v>
      </c>
      <c r="AY17" s="653" t="str">
        <f>LU17</f>
        <v>2026E</v>
      </c>
      <c r="AZ17" s="654" t="str">
        <f>MB17</f>
        <v>2027E</v>
      </c>
      <c r="BA17" s="654" t="str">
        <f>MI17</f>
        <v>2028E</v>
      </c>
      <c r="BB17" s="653"/>
      <c r="BC17" s="653"/>
      <c r="BD17" s="653"/>
      <c r="BE17" s="653"/>
      <c r="BF17" s="653"/>
      <c r="BG17" s="653"/>
      <c r="BH17" s="653"/>
      <c r="BI17" s="653"/>
      <c r="BJ17" s="653"/>
      <c r="BK17" s="653"/>
      <c r="BL17" s="653"/>
      <c r="BM17" s="653"/>
      <c r="BN17" s="653"/>
      <c r="BO17" s="653"/>
      <c r="BQ17" s="652" t="str">
        <f>$B17</f>
        <v>CSX Income Statement</v>
      </c>
      <c r="BR17" s="91" t="str">
        <f t="shared" ref="BR17:BV18" si="12">BR4</f>
        <v>1Q89</v>
      </c>
      <c r="BS17" s="91" t="str">
        <f t="shared" si="12"/>
        <v>2Q89</v>
      </c>
      <c r="BT17" s="91" t="str">
        <f t="shared" si="12"/>
        <v>3Q89</v>
      </c>
      <c r="BU17" s="91" t="str">
        <f t="shared" si="12"/>
        <v>4Q89</v>
      </c>
      <c r="BV17" s="91">
        <f t="shared" si="12"/>
        <v>1989</v>
      </c>
      <c r="BX17" s="652" t="str">
        <f>$B17</f>
        <v>CSX Income Statement</v>
      </c>
      <c r="BY17" s="91" t="str">
        <f t="shared" ref="BY17:CC18" si="13">BY4</f>
        <v>1Q90</v>
      </c>
      <c r="BZ17" s="91" t="str">
        <f t="shared" si="13"/>
        <v>2Q90</v>
      </c>
      <c r="CA17" s="91" t="str">
        <f t="shared" si="13"/>
        <v>3Q90</v>
      </c>
      <c r="CB17" s="91" t="str">
        <f t="shared" si="13"/>
        <v>4Q90</v>
      </c>
      <c r="CC17" s="91">
        <f t="shared" si="13"/>
        <v>1990</v>
      </c>
      <c r="CE17" s="652" t="str">
        <f>$B17</f>
        <v>CSX Income Statement</v>
      </c>
      <c r="CF17" s="91" t="str">
        <f t="shared" ref="CF17:CJ18" si="14">CF4</f>
        <v>1Q91</v>
      </c>
      <c r="CG17" s="91" t="str">
        <f t="shared" si="14"/>
        <v>2Q91</v>
      </c>
      <c r="CH17" s="91" t="str">
        <f t="shared" si="14"/>
        <v>3Q91</v>
      </c>
      <c r="CI17" s="91" t="str">
        <f t="shared" si="14"/>
        <v>4Q91</v>
      </c>
      <c r="CJ17" s="91">
        <f t="shared" si="14"/>
        <v>1991</v>
      </c>
      <c r="CL17" s="652" t="str">
        <f>$B17</f>
        <v>CSX Income Statement</v>
      </c>
      <c r="CM17" s="91" t="str">
        <f t="shared" ref="CM17:CQ18" si="15">CM4</f>
        <v>1Q92</v>
      </c>
      <c r="CN17" s="91" t="str">
        <f t="shared" si="15"/>
        <v>2Q92</v>
      </c>
      <c r="CO17" s="91" t="str">
        <f t="shared" si="15"/>
        <v>3Q92</v>
      </c>
      <c r="CP17" s="91" t="str">
        <f t="shared" si="15"/>
        <v>4Q92</v>
      </c>
      <c r="CQ17" s="91">
        <f t="shared" si="15"/>
        <v>1992</v>
      </c>
      <c r="CR17" s="68"/>
      <c r="CS17" s="652" t="str">
        <f>$B17</f>
        <v>CSX Income Statement</v>
      </c>
      <c r="CT17" s="91" t="str">
        <f t="shared" ref="CT17:CX18" si="16">CT4</f>
        <v>1Q93</v>
      </c>
      <c r="CU17" s="91" t="str">
        <f t="shared" si="16"/>
        <v>2Q93</v>
      </c>
      <c r="CV17" s="91" t="str">
        <f t="shared" si="16"/>
        <v>3Q93</v>
      </c>
      <c r="CW17" s="91" t="str">
        <f t="shared" si="16"/>
        <v>4Q93</v>
      </c>
      <c r="CX17" s="91">
        <f t="shared" si="16"/>
        <v>1993</v>
      </c>
      <c r="CY17" s="68"/>
      <c r="CZ17" s="652" t="str">
        <f>$B17</f>
        <v>CSX Income Statement</v>
      </c>
      <c r="DA17" s="91" t="str">
        <f t="shared" ref="DA17:DE18" si="17">DA4</f>
        <v>1Q94</v>
      </c>
      <c r="DB17" s="91" t="str">
        <f t="shared" si="17"/>
        <v>2Q94</v>
      </c>
      <c r="DC17" s="91" t="str">
        <f t="shared" si="17"/>
        <v>3Q94</v>
      </c>
      <c r="DD17" s="91" t="str">
        <f t="shared" si="17"/>
        <v>4Q94</v>
      </c>
      <c r="DE17" s="91">
        <f t="shared" si="17"/>
        <v>1994</v>
      </c>
      <c r="DF17" s="68"/>
      <c r="DG17" s="652" t="str">
        <f>$B17</f>
        <v>CSX Income Statement</v>
      </c>
      <c r="DH17" s="91" t="str">
        <f t="shared" ref="DH17:DL18" si="18">DH4</f>
        <v>1Q95</v>
      </c>
      <c r="DI17" s="91" t="str">
        <f t="shared" si="18"/>
        <v>2Q95</v>
      </c>
      <c r="DJ17" s="91" t="str">
        <f t="shared" si="18"/>
        <v>3Q95</v>
      </c>
      <c r="DK17" s="91" t="str">
        <f t="shared" si="18"/>
        <v>4Q95</v>
      </c>
      <c r="DL17" s="91">
        <f t="shared" si="18"/>
        <v>1995</v>
      </c>
      <c r="DM17" s="68"/>
      <c r="DN17" s="652" t="str">
        <f>$B17</f>
        <v>CSX Income Statement</v>
      </c>
      <c r="DO17" s="91" t="str">
        <f t="shared" ref="DO17:DS18" si="19">DO4</f>
        <v>1Q96</v>
      </c>
      <c r="DP17" s="91" t="str">
        <f t="shared" si="19"/>
        <v>2Q96</v>
      </c>
      <c r="DQ17" s="91" t="str">
        <f t="shared" si="19"/>
        <v>3Q96</v>
      </c>
      <c r="DR17" s="91" t="str">
        <f t="shared" si="19"/>
        <v>4Q96</v>
      </c>
      <c r="DS17" s="91">
        <f t="shared" si="19"/>
        <v>1996</v>
      </c>
      <c r="DT17" s="68"/>
      <c r="DU17" s="652" t="str">
        <f>$B17</f>
        <v>CSX Income Statement</v>
      </c>
      <c r="DV17" s="91" t="str">
        <f t="shared" ref="DV17:DZ18" si="20">DV4</f>
        <v>1Q97</v>
      </c>
      <c r="DW17" s="91" t="str">
        <f t="shared" si="20"/>
        <v>2Q97</v>
      </c>
      <c r="DX17" s="91" t="str">
        <f t="shared" si="20"/>
        <v>3Q97</v>
      </c>
      <c r="DY17" s="91" t="str">
        <f t="shared" si="20"/>
        <v>4Q97</v>
      </c>
      <c r="DZ17" s="91">
        <f t="shared" si="20"/>
        <v>1997</v>
      </c>
      <c r="EA17" s="68"/>
      <c r="EB17" s="652" t="str">
        <f>$B17</f>
        <v>CSX Income Statement</v>
      </c>
      <c r="EC17" s="91" t="str">
        <f t="shared" ref="EC17:EG18" si="21">EC4</f>
        <v>1Q98</v>
      </c>
      <c r="ED17" s="91" t="str">
        <f t="shared" si="21"/>
        <v>2Q98</v>
      </c>
      <c r="EE17" s="91" t="str">
        <f t="shared" si="21"/>
        <v>3Q98</v>
      </c>
      <c r="EF17" s="91" t="str">
        <f t="shared" si="21"/>
        <v>4Q98</v>
      </c>
      <c r="EG17" s="91">
        <f t="shared" si="21"/>
        <v>1998</v>
      </c>
      <c r="EH17" s="68"/>
      <c r="EI17" s="652" t="str">
        <f>$B17</f>
        <v>CSX Income Statement</v>
      </c>
      <c r="EJ17" s="91" t="str">
        <f t="shared" ref="EJ17:EN18" si="22">EJ4</f>
        <v>1Q99</v>
      </c>
      <c r="EK17" s="91" t="str">
        <f t="shared" si="22"/>
        <v>2Q99</v>
      </c>
      <c r="EL17" s="91" t="str">
        <f t="shared" si="22"/>
        <v>3Q99</v>
      </c>
      <c r="EM17" s="91" t="str">
        <f t="shared" si="22"/>
        <v>4Q99</v>
      </c>
      <c r="EN17" s="91">
        <f t="shared" si="22"/>
        <v>1999</v>
      </c>
      <c r="EO17" s="68"/>
      <c r="EP17" s="652" t="str">
        <f>$B17</f>
        <v>CSX Income Statement</v>
      </c>
      <c r="EQ17" s="91" t="str">
        <f t="shared" ref="EQ17:EU18" si="23">EQ4</f>
        <v>1Q00</v>
      </c>
      <c r="ER17" s="91" t="str">
        <f t="shared" si="23"/>
        <v>2Q00</v>
      </c>
      <c r="ES17" s="91" t="str">
        <f t="shared" si="23"/>
        <v>3Q00</v>
      </c>
      <c r="ET17" s="91" t="str">
        <f t="shared" si="23"/>
        <v>4Q00</v>
      </c>
      <c r="EU17" s="91">
        <f t="shared" si="23"/>
        <v>2000</v>
      </c>
      <c r="EW17" s="652" t="str">
        <f>$B17</f>
        <v>CSX Income Statement</v>
      </c>
      <c r="EX17" s="91" t="str">
        <f t="shared" ref="EX17:FB18" si="24">EX4</f>
        <v>1Q01</v>
      </c>
      <c r="EY17" s="91" t="str">
        <f t="shared" si="24"/>
        <v>2Q01</v>
      </c>
      <c r="EZ17" s="91" t="str">
        <f t="shared" si="24"/>
        <v>3Q01</v>
      </c>
      <c r="FA17" s="91" t="str">
        <f t="shared" si="24"/>
        <v>4Q01</v>
      </c>
      <c r="FB17" s="91">
        <f t="shared" si="24"/>
        <v>2001</v>
      </c>
      <c r="FD17" s="652" t="str">
        <f>$B17</f>
        <v>CSX Income Statement</v>
      </c>
      <c r="FE17" s="91" t="str">
        <f t="shared" ref="FE17:FI18" si="25">FE4</f>
        <v>1Q02</v>
      </c>
      <c r="FF17" s="91" t="str">
        <f t="shared" si="25"/>
        <v>2Q02</v>
      </c>
      <c r="FG17" s="91" t="str">
        <f t="shared" si="25"/>
        <v>3Q02</v>
      </c>
      <c r="FH17" s="91" t="str">
        <f t="shared" si="25"/>
        <v>4Q02</v>
      </c>
      <c r="FI17" s="91">
        <f t="shared" si="25"/>
        <v>2002</v>
      </c>
      <c r="FK17" s="652" t="str">
        <f>$B17</f>
        <v>CSX Income Statement</v>
      </c>
      <c r="FL17" s="91" t="str">
        <f t="shared" ref="FL17:FP18" si="26">FL4</f>
        <v>1Q03</v>
      </c>
      <c r="FM17" s="91" t="str">
        <f t="shared" si="26"/>
        <v>2Q03</v>
      </c>
      <c r="FN17" s="91" t="str">
        <f t="shared" si="26"/>
        <v>3Q03</v>
      </c>
      <c r="FO17" s="91" t="str">
        <f t="shared" si="26"/>
        <v>4Q03</v>
      </c>
      <c r="FP17" s="91">
        <f t="shared" si="26"/>
        <v>2003</v>
      </c>
      <c r="FR17" s="652" t="str">
        <f>$B17</f>
        <v>CSX Income Statement</v>
      </c>
      <c r="FS17" s="91" t="str">
        <f t="shared" ref="FS17:FW18" si="27">FS4</f>
        <v>1Q04</v>
      </c>
      <c r="FT17" s="91" t="str">
        <f t="shared" si="27"/>
        <v>2Q04</v>
      </c>
      <c r="FU17" s="91" t="str">
        <f t="shared" si="27"/>
        <v>3Q04</v>
      </c>
      <c r="FV17" s="91" t="str">
        <f t="shared" si="27"/>
        <v>4Q04</v>
      </c>
      <c r="FW17" s="91">
        <f t="shared" si="27"/>
        <v>2004</v>
      </c>
      <c r="FY17" s="652" t="str">
        <f>$B17</f>
        <v>CSX Income Statement</v>
      </c>
      <c r="FZ17" s="91" t="str">
        <f t="shared" ref="FZ17:GD18" si="28">FZ4</f>
        <v>1Q05</v>
      </c>
      <c r="GA17" s="91" t="str">
        <f t="shared" si="28"/>
        <v>2Q05</v>
      </c>
      <c r="GB17" s="91" t="str">
        <f t="shared" si="28"/>
        <v>3Q05</v>
      </c>
      <c r="GC17" s="91" t="str">
        <f t="shared" si="28"/>
        <v>4Q05</v>
      </c>
      <c r="GD17" s="91">
        <f t="shared" si="28"/>
        <v>2005</v>
      </c>
      <c r="GE17" s="68"/>
      <c r="GF17" s="652" t="str">
        <f>$B17</f>
        <v>CSX Income Statement</v>
      </c>
      <c r="GG17" s="91" t="str">
        <f t="shared" ref="GG17:GK18" si="29">GG4</f>
        <v>1Q06</v>
      </c>
      <c r="GH17" s="91" t="str">
        <f t="shared" si="29"/>
        <v>2Q06</v>
      </c>
      <c r="GI17" s="91" t="str">
        <f t="shared" si="29"/>
        <v>3Q06</v>
      </c>
      <c r="GJ17" s="91" t="str">
        <f t="shared" si="29"/>
        <v>4Q06</v>
      </c>
      <c r="GK17" s="91">
        <f t="shared" si="29"/>
        <v>2006</v>
      </c>
      <c r="GL17" s="68"/>
      <c r="GM17" s="652" t="str">
        <f>$B17</f>
        <v>CSX Income Statement</v>
      </c>
      <c r="GN17" s="91" t="str">
        <f t="shared" ref="GN17:GR18" si="30">GN4</f>
        <v>1Q07</v>
      </c>
      <c r="GO17" s="91" t="str">
        <f t="shared" si="30"/>
        <v>2Q07</v>
      </c>
      <c r="GP17" s="91" t="str">
        <f t="shared" si="30"/>
        <v>3Q07</v>
      </c>
      <c r="GQ17" s="91" t="str">
        <f t="shared" si="30"/>
        <v>4Q07</v>
      </c>
      <c r="GR17" s="91">
        <f t="shared" si="30"/>
        <v>2007</v>
      </c>
      <c r="GS17" s="68"/>
      <c r="GT17" s="652" t="str">
        <f>$B17</f>
        <v>CSX Income Statement</v>
      </c>
      <c r="GU17" s="91" t="str">
        <f t="shared" ref="GU17:GY18" si="31">GU4</f>
        <v>1Q08</v>
      </c>
      <c r="GV17" s="91" t="str">
        <f t="shared" si="31"/>
        <v>2Q08</v>
      </c>
      <c r="GW17" s="91" t="str">
        <f t="shared" si="31"/>
        <v>3Q08</v>
      </c>
      <c r="GX17" s="91" t="str">
        <f t="shared" si="31"/>
        <v>4Q08</v>
      </c>
      <c r="GY17" s="91">
        <f t="shared" si="31"/>
        <v>2008</v>
      </c>
      <c r="GZ17" s="68"/>
      <c r="HA17" s="652" t="str">
        <f>$B17</f>
        <v>CSX Income Statement</v>
      </c>
      <c r="HB17" s="91" t="str">
        <f t="shared" ref="HB17:HF18" si="32">HB4</f>
        <v>1Q09</v>
      </c>
      <c r="HC17" s="91" t="str">
        <f t="shared" si="32"/>
        <v>2Q09</v>
      </c>
      <c r="HD17" s="91" t="str">
        <f t="shared" si="32"/>
        <v>3Q09</v>
      </c>
      <c r="HE17" s="91" t="str">
        <f t="shared" si="32"/>
        <v>4Q09</v>
      </c>
      <c r="HF17" s="91">
        <f t="shared" si="32"/>
        <v>2009</v>
      </c>
      <c r="HG17" s="68"/>
      <c r="HH17" s="652" t="str">
        <f>$B17</f>
        <v>CSX Income Statement</v>
      </c>
      <c r="HI17" s="91" t="str">
        <f t="shared" ref="HI17:HM18" si="33">HI4</f>
        <v>1Q10</v>
      </c>
      <c r="HJ17" s="91" t="str">
        <f t="shared" si="33"/>
        <v>2Q10</v>
      </c>
      <c r="HK17" s="91" t="str">
        <f t="shared" si="33"/>
        <v>3Q10</v>
      </c>
      <c r="HL17" s="91" t="str">
        <f t="shared" si="33"/>
        <v>4Q10</v>
      </c>
      <c r="HM17" s="91">
        <f t="shared" si="33"/>
        <v>2010</v>
      </c>
      <c r="HN17" s="68"/>
      <c r="HO17" s="652" t="str">
        <f>$B17</f>
        <v>CSX Income Statement</v>
      </c>
      <c r="HP17" s="91" t="str">
        <f t="shared" ref="HP17:HT18" si="34">HP4</f>
        <v>1Q11</v>
      </c>
      <c r="HQ17" s="91" t="str">
        <f t="shared" si="34"/>
        <v>2Q11</v>
      </c>
      <c r="HR17" s="91" t="str">
        <f t="shared" si="34"/>
        <v>3Q11</v>
      </c>
      <c r="HS17" s="91" t="str">
        <f t="shared" si="34"/>
        <v>4Q11</v>
      </c>
      <c r="HT17" s="91">
        <f t="shared" si="34"/>
        <v>2011</v>
      </c>
      <c r="HU17" s="68"/>
      <c r="HV17" s="652" t="str">
        <f>$B17</f>
        <v>CSX Income Statement</v>
      </c>
      <c r="HW17" s="91" t="str">
        <f t="shared" ref="HW17:IA18" si="35">HW4</f>
        <v>1Q12</v>
      </c>
      <c r="HX17" s="91" t="str">
        <f t="shared" si="35"/>
        <v>2Q12</v>
      </c>
      <c r="HY17" s="91" t="str">
        <f t="shared" si="35"/>
        <v>3Q12</v>
      </c>
      <c r="HZ17" s="91" t="str">
        <f t="shared" si="35"/>
        <v>4Q12</v>
      </c>
      <c r="IA17" s="91">
        <f t="shared" si="35"/>
        <v>2012</v>
      </c>
      <c r="IB17" s="68"/>
      <c r="IC17" s="652" t="str">
        <f>$B17</f>
        <v>CSX Income Statement</v>
      </c>
      <c r="ID17" s="91" t="str">
        <f t="shared" ref="ID17:IH18" si="36">ID4</f>
        <v>1Q13</v>
      </c>
      <c r="IE17" s="91" t="str">
        <f t="shared" si="36"/>
        <v>2Q13</v>
      </c>
      <c r="IF17" s="91" t="str">
        <f t="shared" si="36"/>
        <v>3Q13</v>
      </c>
      <c r="IG17" s="91" t="str">
        <f t="shared" si="36"/>
        <v>4Q13</v>
      </c>
      <c r="IH17" s="91">
        <f t="shared" si="36"/>
        <v>2013</v>
      </c>
      <c r="II17" s="68"/>
      <c r="IJ17" s="652" t="str">
        <f>$B17</f>
        <v>CSX Income Statement</v>
      </c>
      <c r="IK17" s="91" t="str">
        <f t="shared" ref="IK17:IO18" si="37">IK4</f>
        <v>1Q14</v>
      </c>
      <c r="IL17" s="91" t="str">
        <f t="shared" si="37"/>
        <v>2Q14</v>
      </c>
      <c r="IM17" s="91" t="str">
        <f t="shared" si="37"/>
        <v>3Q14</v>
      </c>
      <c r="IN17" s="91" t="str">
        <f t="shared" si="37"/>
        <v>4Q14</v>
      </c>
      <c r="IO17" s="91">
        <f t="shared" si="37"/>
        <v>2014</v>
      </c>
      <c r="IP17" s="68"/>
      <c r="IQ17" s="652" t="str">
        <f>$B17</f>
        <v>CSX Income Statement</v>
      </c>
      <c r="IR17" s="91" t="str">
        <f t="shared" ref="IR17:IV18" si="38">IR4</f>
        <v>1Q15</v>
      </c>
      <c r="IS17" s="91" t="str">
        <f t="shared" si="38"/>
        <v>2Q15</v>
      </c>
      <c r="IT17" s="91" t="str">
        <f t="shared" si="38"/>
        <v>3Q15</v>
      </c>
      <c r="IU17" s="91" t="str">
        <f t="shared" si="38"/>
        <v>4Q15</v>
      </c>
      <c r="IV17" s="91">
        <f t="shared" si="38"/>
        <v>2015</v>
      </c>
      <c r="IW17" s="68"/>
      <c r="IX17" s="652" t="str">
        <f>$B17</f>
        <v>CSX Income Statement</v>
      </c>
      <c r="IY17" s="91" t="str">
        <f t="shared" ref="IY17:JC18" si="39">IY4</f>
        <v>1Q16</v>
      </c>
      <c r="IZ17" s="91" t="str">
        <f t="shared" si="39"/>
        <v>2Q16</v>
      </c>
      <c r="JA17" s="91" t="str">
        <f t="shared" si="39"/>
        <v>3Q16</v>
      </c>
      <c r="JB17" s="91" t="str">
        <f t="shared" si="39"/>
        <v>4Q16</v>
      </c>
      <c r="JC17" s="91">
        <f t="shared" si="39"/>
        <v>2016</v>
      </c>
      <c r="JD17" s="68"/>
      <c r="JE17" s="652" t="str">
        <f>$B17</f>
        <v>CSX Income Statement</v>
      </c>
      <c r="JF17" s="91" t="str">
        <f t="shared" ref="JF17:JJ18" si="40">JF4</f>
        <v>1Q17</v>
      </c>
      <c r="JG17" s="91" t="str">
        <f t="shared" si="40"/>
        <v>2Q17</v>
      </c>
      <c r="JH17" s="91" t="str">
        <f t="shared" si="40"/>
        <v>3Q17</v>
      </c>
      <c r="JI17" s="91" t="str">
        <f t="shared" si="40"/>
        <v>4Q17</v>
      </c>
      <c r="JJ17" s="91">
        <f t="shared" si="40"/>
        <v>2017</v>
      </c>
      <c r="JK17" s="68"/>
      <c r="JL17" s="652" t="str">
        <f>$B17</f>
        <v>CSX Income Statement</v>
      </c>
      <c r="JM17" s="91" t="str">
        <f t="shared" ref="JM17:JQ18" si="41">JM4</f>
        <v>1Q18</v>
      </c>
      <c r="JN17" s="91" t="str">
        <f t="shared" si="41"/>
        <v>2Q18</v>
      </c>
      <c r="JO17" s="91" t="str">
        <f t="shared" si="41"/>
        <v>3Q18</v>
      </c>
      <c r="JP17" s="91" t="str">
        <f t="shared" si="41"/>
        <v>4Q18</v>
      </c>
      <c r="JQ17" s="91">
        <f t="shared" si="41"/>
        <v>2018</v>
      </c>
      <c r="JR17" s="68"/>
      <c r="JS17" s="652" t="str">
        <f>$B17</f>
        <v>CSX Income Statement</v>
      </c>
      <c r="JT17" s="91" t="str">
        <f t="shared" ref="JT17:JX18" si="42">JT4</f>
        <v>1Q19</v>
      </c>
      <c r="JU17" s="91" t="str">
        <f t="shared" si="42"/>
        <v>2Q19</v>
      </c>
      <c r="JV17" s="91" t="str">
        <f t="shared" si="42"/>
        <v>3Q19</v>
      </c>
      <c r="JW17" s="91" t="str">
        <f t="shared" si="42"/>
        <v>4Q19</v>
      </c>
      <c r="JX17" s="91">
        <f t="shared" si="42"/>
        <v>2019</v>
      </c>
      <c r="JY17" s="68"/>
      <c r="JZ17" s="652" t="str">
        <f>$B17</f>
        <v>CSX Income Statement</v>
      </c>
      <c r="KA17" s="91" t="str">
        <f t="shared" ref="KA17:KE18" si="43">KA4</f>
        <v>1Q20</v>
      </c>
      <c r="KB17" s="91" t="str">
        <f t="shared" si="43"/>
        <v>2Q20</v>
      </c>
      <c r="KC17" s="91" t="str">
        <f t="shared" si="43"/>
        <v>3Q20</v>
      </c>
      <c r="KD17" s="91" t="str">
        <f t="shared" si="43"/>
        <v>4Q20</v>
      </c>
      <c r="KE17" s="91">
        <f t="shared" si="43"/>
        <v>2020</v>
      </c>
      <c r="KF17" s="68"/>
      <c r="KG17" s="652" t="str">
        <f>$B17</f>
        <v>CSX Income Statement</v>
      </c>
      <c r="KH17" s="91" t="str">
        <f t="shared" ref="KH17:KL18" si="44">KH4</f>
        <v>1Q21</v>
      </c>
      <c r="KI17" s="91" t="str">
        <f t="shared" si="44"/>
        <v>2Q21</v>
      </c>
      <c r="KJ17" s="91" t="str">
        <f t="shared" si="44"/>
        <v>3Q21</v>
      </c>
      <c r="KK17" s="91" t="str">
        <f t="shared" si="44"/>
        <v>4Q21</v>
      </c>
      <c r="KL17" s="91">
        <f t="shared" si="44"/>
        <v>2021</v>
      </c>
      <c r="KM17" s="68"/>
      <c r="KN17" s="652" t="str">
        <f>$B17</f>
        <v>CSX Income Statement</v>
      </c>
      <c r="KO17" s="91" t="str">
        <f t="shared" ref="KO17:KS18" si="45">KO4</f>
        <v>1Q22</v>
      </c>
      <c r="KP17" s="91" t="str">
        <f t="shared" si="45"/>
        <v>2Q22</v>
      </c>
      <c r="KQ17" s="91" t="str">
        <f t="shared" si="45"/>
        <v>3Q22</v>
      </c>
      <c r="KR17" s="91" t="str">
        <f t="shared" si="45"/>
        <v>4Q22</v>
      </c>
      <c r="KS17" s="91">
        <f t="shared" si="45"/>
        <v>2022</v>
      </c>
      <c r="KT17" s="68"/>
      <c r="KU17" s="652" t="str">
        <f>$B17</f>
        <v>CSX Income Statement</v>
      </c>
      <c r="KV17" s="91" t="str">
        <f t="shared" ref="KV17:KZ18" si="46">KV4</f>
        <v>1Q23</v>
      </c>
      <c r="KW17" s="91" t="str">
        <f t="shared" si="46"/>
        <v>2Q23</v>
      </c>
      <c r="KX17" s="91" t="str">
        <f t="shared" si="46"/>
        <v>3Q23</v>
      </c>
      <c r="KY17" s="91" t="str">
        <f t="shared" si="46"/>
        <v>4Q23</v>
      </c>
      <c r="KZ17" s="91">
        <f t="shared" si="46"/>
        <v>2023</v>
      </c>
      <c r="LA17" s="68"/>
      <c r="LB17" s="652" t="str">
        <f>$B17</f>
        <v>CSX Income Statement</v>
      </c>
      <c r="LC17" s="91" t="str">
        <f t="shared" ref="LC17:LG18" si="47">LC4</f>
        <v>1Q24</v>
      </c>
      <c r="LD17" s="91" t="str">
        <f t="shared" si="47"/>
        <v>2Q24</v>
      </c>
      <c r="LE17" s="91" t="str">
        <f t="shared" si="47"/>
        <v>3Q24</v>
      </c>
      <c r="LF17" s="91" t="str">
        <f t="shared" si="47"/>
        <v>4Q24</v>
      </c>
      <c r="LG17" s="93">
        <f t="shared" si="47"/>
        <v>2024</v>
      </c>
      <c r="LH17" s="546"/>
      <c r="LI17" s="652" t="str">
        <f>$B17</f>
        <v>CSX Income Statement</v>
      </c>
      <c r="LJ17" s="91" t="str">
        <f t="shared" ref="LJ17:LN18" si="48">LJ4</f>
        <v>1Q25</v>
      </c>
      <c r="LK17" s="91" t="str">
        <f t="shared" si="48"/>
        <v>2Q25</v>
      </c>
      <c r="LL17" s="91" t="str">
        <f t="shared" si="48"/>
        <v>3Q25</v>
      </c>
      <c r="LM17" s="91" t="str">
        <f t="shared" si="48"/>
        <v>4Q25</v>
      </c>
      <c r="LN17" s="93">
        <f t="shared" si="48"/>
        <v>2025</v>
      </c>
      <c r="LO17" s="546"/>
      <c r="LP17" s="652" t="str">
        <f>$B17</f>
        <v>CSX Income Statement</v>
      </c>
      <c r="LQ17" s="91" t="str">
        <f t="shared" ref="LQ17:LU18" si="49">LQ4</f>
        <v>1Q26E</v>
      </c>
      <c r="LR17" s="91" t="str">
        <f t="shared" si="49"/>
        <v>2Q26E</v>
      </c>
      <c r="LS17" s="91" t="str">
        <f t="shared" si="49"/>
        <v>3Q26E</v>
      </c>
      <c r="LT17" s="91" t="str">
        <f t="shared" si="49"/>
        <v>4Q26E</v>
      </c>
      <c r="LU17" s="93" t="str">
        <f t="shared" si="49"/>
        <v>2026E</v>
      </c>
      <c r="LV17" s="546"/>
      <c r="LW17" s="652" t="str">
        <f>$B17</f>
        <v>CSX Income Statement</v>
      </c>
      <c r="LX17" s="91" t="str">
        <f t="shared" ref="LX17:MB17" si="50">LX4</f>
        <v>1Q27E</v>
      </c>
      <c r="LY17" s="91" t="str">
        <f t="shared" si="50"/>
        <v>2Q27E</v>
      </c>
      <c r="LZ17" s="91" t="str">
        <f t="shared" si="50"/>
        <v>3Q27E</v>
      </c>
      <c r="MA17" s="91" t="str">
        <f t="shared" si="50"/>
        <v>4Q27E</v>
      </c>
      <c r="MB17" s="93" t="str">
        <f t="shared" si="50"/>
        <v>2027E</v>
      </c>
      <c r="MC17" s="546"/>
      <c r="MD17" s="652" t="str">
        <f>$B17</f>
        <v>CSX Income Statement</v>
      </c>
      <c r="ME17" s="91" t="str">
        <f t="shared" ref="ME17:MI17" si="51">ME4</f>
        <v>1Q28E</v>
      </c>
      <c r="MF17" s="91" t="str">
        <f t="shared" si="51"/>
        <v>2Q28E</v>
      </c>
      <c r="MG17" s="91" t="str">
        <f t="shared" si="51"/>
        <v>3Q28E</v>
      </c>
      <c r="MH17" s="91" t="str">
        <f t="shared" si="51"/>
        <v>4Q28E</v>
      </c>
      <c r="MI17" s="93" t="str">
        <f t="shared" si="51"/>
        <v>2028E</v>
      </c>
      <c r="MJ17" s="546"/>
    </row>
    <row r="18" spans="1:349" x14ac:dyDescent="0.4">
      <c r="A18" s="41"/>
      <c r="B18" s="88" t="s">
        <v>1</v>
      </c>
      <c r="C18" s="407" t="str">
        <f t="shared" ref="C18:M18" si="52">D18</f>
        <v>FY</v>
      </c>
      <c r="D18" s="407" t="str">
        <f t="shared" si="52"/>
        <v>FY</v>
      </c>
      <c r="E18" s="407" t="str">
        <f t="shared" si="52"/>
        <v>FY</v>
      </c>
      <c r="F18" s="407" t="str">
        <f t="shared" si="52"/>
        <v>FY</v>
      </c>
      <c r="G18" s="407" t="str">
        <f t="shared" si="52"/>
        <v>FY</v>
      </c>
      <c r="H18" s="407" t="str">
        <f t="shared" si="52"/>
        <v>FY</v>
      </c>
      <c r="I18" s="407" t="str">
        <f t="shared" si="52"/>
        <v>FY</v>
      </c>
      <c r="J18" s="407" t="str">
        <f t="shared" si="52"/>
        <v>FY</v>
      </c>
      <c r="K18" s="407" t="str">
        <f t="shared" si="52"/>
        <v>FY</v>
      </c>
      <c r="L18" s="407" t="str">
        <f t="shared" si="52"/>
        <v>FY</v>
      </c>
      <c r="M18" s="407" t="str">
        <f t="shared" si="52"/>
        <v>FY</v>
      </c>
      <c r="N18" s="407" t="str">
        <f>BV18</f>
        <v>FY</v>
      </c>
      <c r="O18" s="407" t="str">
        <f>CC18</f>
        <v>FY</v>
      </c>
      <c r="P18" s="407" t="str">
        <f>CJ18</f>
        <v>FY</v>
      </c>
      <c r="Q18" s="407" t="str">
        <f>CQ18</f>
        <v>FY</v>
      </c>
      <c r="R18" s="407" t="str">
        <f>CX18</f>
        <v>FY</v>
      </c>
      <c r="S18" s="407" t="str">
        <f>DE18</f>
        <v>FY</v>
      </c>
      <c r="T18" s="407" t="str">
        <f>DL18</f>
        <v>FY</v>
      </c>
      <c r="U18" s="407" t="str">
        <f>DS18</f>
        <v>FY</v>
      </c>
      <c r="V18" s="407" t="str">
        <f>DZ18</f>
        <v>FY</v>
      </c>
      <c r="W18" s="407" t="str">
        <f>EG18</f>
        <v>FY</v>
      </c>
      <c r="X18" s="407" t="str">
        <f>EN18</f>
        <v>FY</v>
      </c>
      <c r="Y18" s="407" t="str">
        <f>EU18</f>
        <v>FY</v>
      </c>
      <c r="Z18" s="407" t="str">
        <f>FB18</f>
        <v>FY</v>
      </c>
      <c r="AA18" s="407" t="str">
        <f>FI18</f>
        <v>FY</v>
      </c>
      <c r="AB18" s="407" t="str">
        <f>FP18</f>
        <v>FY</v>
      </c>
      <c r="AC18" s="407" t="str">
        <f>FW18</f>
        <v>FY</v>
      </c>
      <c r="AD18" s="407" t="str">
        <f>GD18</f>
        <v>FY</v>
      </c>
      <c r="AE18" s="407" t="str">
        <f>GK18</f>
        <v>FY</v>
      </c>
      <c r="AF18" s="407" t="str">
        <f>GR18</f>
        <v>FY</v>
      </c>
      <c r="AG18" s="407" t="str">
        <f>GY18</f>
        <v>FY</v>
      </c>
      <c r="AH18" s="407" t="str">
        <f>HF18</f>
        <v>FY</v>
      </c>
      <c r="AI18" s="407" t="str">
        <f>HM18</f>
        <v>FY</v>
      </c>
      <c r="AJ18" s="407" t="str">
        <f>HT18</f>
        <v>FY</v>
      </c>
      <c r="AK18" s="407" t="str">
        <f>IA18</f>
        <v>FY</v>
      </c>
      <c r="AL18" s="407" t="str">
        <f>IH18</f>
        <v>FY</v>
      </c>
      <c r="AM18" s="407" t="str">
        <f>IO18</f>
        <v>FY</v>
      </c>
      <c r="AN18" s="407" t="str">
        <f>IV18</f>
        <v>FY</v>
      </c>
      <c r="AO18" s="407" t="str">
        <f>JC18</f>
        <v>FY</v>
      </c>
      <c r="AP18" s="407" t="str">
        <f>JJ18</f>
        <v>FY</v>
      </c>
      <c r="AQ18" s="407" t="str">
        <f>JQ18</f>
        <v>FY</v>
      </c>
      <c r="AR18" s="407" t="str">
        <f>JX18</f>
        <v>FY</v>
      </c>
      <c r="AS18" s="407" t="str">
        <f>KE18</f>
        <v>FY</v>
      </c>
      <c r="AT18" s="407" t="str">
        <f>KL18</f>
        <v>FY</v>
      </c>
      <c r="AU18" s="407" t="str">
        <f>KS18</f>
        <v>FY</v>
      </c>
      <c r="AV18" s="407" t="str">
        <f>KZ18</f>
        <v>FY</v>
      </c>
      <c r="AW18" s="407" t="str">
        <f>LG18</f>
        <v>FY</v>
      </c>
      <c r="AX18" s="407" t="str">
        <f>LN18</f>
        <v>FY</v>
      </c>
      <c r="AY18" s="407" t="str">
        <f>LU18</f>
        <v>FY</v>
      </c>
      <c r="AZ18" s="407" t="str">
        <f>MB18</f>
        <v>FY</v>
      </c>
      <c r="BA18" s="407" t="str">
        <f>MI18</f>
        <v>FY</v>
      </c>
      <c r="BB18" s="407"/>
      <c r="BC18" s="407"/>
      <c r="BD18" s="407"/>
      <c r="BE18" s="407"/>
      <c r="BF18" s="407"/>
      <c r="BG18" s="407"/>
      <c r="BH18" s="407"/>
      <c r="BI18" s="407"/>
      <c r="BJ18" s="407"/>
      <c r="BK18" s="407"/>
      <c r="BL18" s="407"/>
      <c r="BM18" s="407"/>
      <c r="BN18" s="407"/>
      <c r="BO18" s="407"/>
      <c r="BQ18" s="88" t="str">
        <f>$B18</f>
        <v>($ in millions except per share amounts)</v>
      </c>
      <c r="BR18" s="92">
        <f t="shared" si="12"/>
        <v>32598</v>
      </c>
      <c r="BS18" s="92">
        <f t="shared" si="12"/>
        <v>32689</v>
      </c>
      <c r="BT18" s="92">
        <f t="shared" si="12"/>
        <v>32781</v>
      </c>
      <c r="BU18" s="92">
        <f t="shared" si="12"/>
        <v>32873</v>
      </c>
      <c r="BV18" s="92" t="str">
        <f t="shared" si="12"/>
        <v>FY</v>
      </c>
      <c r="BX18" s="88" t="str">
        <f>$B18</f>
        <v>($ in millions except per share amounts)</v>
      </c>
      <c r="BY18" s="92">
        <f t="shared" si="13"/>
        <v>32963</v>
      </c>
      <c r="BZ18" s="92">
        <f t="shared" si="13"/>
        <v>33054</v>
      </c>
      <c r="CA18" s="92">
        <f t="shared" si="13"/>
        <v>33146</v>
      </c>
      <c r="CB18" s="92">
        <f t="shared" si="13"/>
        <v>33238</v>
      </c>
      <c r="CC18" s="92" t="str">
        <f t="shared" si="13"/>
        <v>FY</v>
      </c>
      <c r="CE18" s="88" t="str">
        <f>$B18</f>
        <v>($ in millions except per share amounts)</v>
      </c>
      <c r="CF18" s="92">
        <f t="shared" si="14"/>
        <v>33328</v>
      </c>
      <c r="CG18" s="92">
        <f t="shared" si="14"/>
        <v>33419</v>
      </c>
      <c r="CH18" s="92">
        <f t="shared" si="14"/>
        <v>33511</v>
      </c>
      <c r="CI18" s="92">
        <f t="shared" si="14"/>
        <v>33603</v>
      </c>
      <c r="CJ18" s="92" t="str">
        <f t="shared" si="14"/>
        <v>FY</v>
      </c>
      <c r="CL18" s="88" t="str">
        <f>$B18</f>
        <v>($ in millions except per share amounts)</v>
      </c>
      <c r="CM18" s="92">
        <f t="shared" si="15"/>
        <v>33694</v>
      </c>
      <c r="CN18" s="92">
        <f t="shared" si="15"/>
        <v>33785</v>
      </c>
      <c r="CO18" s="92">
        <f t="shared" si="15"/>
        <v>33877</v>
      </c>
      <c r="CP18" s="92">
        <f t="shared" si="15"/>
        <v>33969</v>
      </c>
      <c r="CQ18" s="92" t="str">
        <f t="shared" si="15"/>
        <v>FY</v>
      </c>
      <c r="CR18" s="655"/>
      <c r="CS18" s="88" t="str">
        <f>$B18</f>
        <v>($ in millions except per share amounts)</v>
      </c>
      <c r="CT18" s="92">
        <f t="shared" si="16"/>
        <v>34059</v>
      </c>
      <c r="CU18" s="92">
        <f t="shared" si="16"/>
        <v>34150</v>
      </c>
      <c r="CV18" s="92">
        <f t="shared" si="16"/>
        <v>34242</v>
      </c>
      <c r="CW18" s="92">
        <f t="shared" si="16"/>
        <v>34334</v>
      </c>
      <c r="CX18" s="92" t="str">
        <f t="shared" si="16"/>
        <v>FY</v>
      </c>
      <c r="CY18" s="655"/>
      <c r="CZ18" s="88" t="str">
        <f>$B18</f>
        <v>($ in millions except per share amounts)</v>
      </c>
      <c r="DA18" s="92">
        <f t="shared" si="17"/>
        <v>34424</v>
      </c>
      <c r="DB18" s="92">
        <f t="shared" si="17"/>
        <v>34515</v>
      </c>
      <c r="DC18" s="92">
        <f t="shared" si="17"/>
        <v>34607</v>
      </c>
      <c r="DD18" s="92">
        <f t="shared" si="17"/>
        <v>34699</v>
      </c>
      <c r="DE18" s="92" t="str">
        <f t="shared" si="17"/>
        <v>FY</v>
      </c>
      <c r="DF18" s="655"/>
      <c r="DG18" s="88" t="str">
        <f>$B18</f>
        <v>($ in millions except per share amounts)</v>
      </c>
      <c r="DH18" s="92">
        <f t="shared" si="18"/>
        <v>34789</v>
      </c>
      <c r="DI18" s="92">
        <f t="shared" si="18"/>
        <v>34880</v>
      </c>
      <c r="DJ18" s="92">
        <f t="shared" si="18"/>
        <v>34972</v>
      </c>
      <c r="DK18" s="92">
        <f t="shared" si="18"/>
        <v>35064</v>
      </c>
      <c r="DL18" s="92" t="str">
        <f t="shared" si="18"/>
        <v>FY</v>
      </c>
      <c r="DM18" s="655"/>
      <c r="DN18" s="88" t="str">
        <f>$B18</f>
        <v>($ in millions except per share amounts)</v>
      </c>
      <c r="DO18" s="92">
        <f t="shared" si="19"/>
        <v>35155</v>
      </c>
      <c r="DP18" s="92">
        <f t="shared" si="19"/>
        <v>35246</v>
      </c>
      <c r="DQ18" s="92">
        <f t="shared" si="19"/>
        <v>35338</v>
      </c>
      <c r="DR18" s="92">
        <f t="shared" si="19"/>
        <v>35430</v>
      </c>
      <c r="DS18" s="92" t="str">
        <f t="shared" si="19"/>
        <v>FY</v>
      </c>
      <c r="DT18" s="655"/>
      <c r="DU18" s="88" t="str">
        <f>$B18</f>
        <v>($ in millions except per share amounts)</v>
      </c>
      <c r="DV18" s="92">
        <f t="shared" si="20"/>
        <v>35520</v>
      </c>
      <c r="DW18" s="92">
        <f t="shared" si="20"/>
        <v>35611</v>
      </c>
      <c r="DX18" s="92">
        <f t="shared" si="20"/>
        <v>35703</v>
      </c>
      <c r="DY18" s="92">
        <f t="shared" si="20"/>
        <v>35795</v>
      </c>
      <c r="DZ18" s="92" t="str">
        <f t="shared" si="20"/>
        <v>FY</v>
      </c>
      <c r="EA18" s="655"/>
      <c r="EB18" s="88" t="str">
        <f>$B18</f>
        <v>($ in millions except per share amounts)</v>
      </c>
      <c r="EC18" s="92">
        <f t="shared" si="21"/>
        <v>35885</v>
      </c>
      <c r="ED18" s="92">
        <f t="shared" si="21"/>
        <v>35976</v>
      </c>
      <c r="EE18" s="92">
        <f t="shared" si="21"/>
        <v>36068</v>
      </c>
      <c r="EF18" s="92">
        <f t="shared" si="21"/>
        <v>36160</v>
      </c>
      <c r="EG18" s="92" t="str">
        <f t="shared" si="21"/>
        <v>FY</v>
      </c>
      <c r="EH18" s="655"/>
      <c r="EI18" s="88" t="str">
        <f>$B18</f>
        <v>($ in millions except per share amounts)</v>
      </c>
      <c r="EJ18" s="92">
        <f t="shared" si="22"/>
        <v>36250</v>
      </c>
      <c r="EK18" s="92">
        <f t="shared" si="22"/>
        <v>36341</v>
      </c>
      <c r="EL18" s="92">
        <f t="shared" si="22"/>
        <v>36433</v>
      </c>
      <c r="EM18" s="92">
        <f t="shared" si="22"/>
        <v>36525</v>
      </c>
      <c r="EN18" s="92" t="str">
        <f t="shared" si="22"/>
        <v>FY</v>
      </c>
      <c r="EO18" s="655"/>
      <c r="EP18" s="88" t="str">
        <f>$B18</f>
        <v>($ in millions except per share amounts)</v>
      </c>
      <c r="EQ18" s="92">
        <f t="shared" si="23"/>
        <v>36616</v>
      </c>
      <c r="ER18" s="92">
        <f t="shared" si="23"/>
        <v>36707</v>
      </c>
      <c r="ES18" s="92">
        <f t="shared" si="23"/>
        <v>36799</v>
      </c>
      <c r="ET18" s="92">
        <f t="shared" si="23"/>
        <v>36891</v>
      </c>
      <c r="EU18" s="92" t="str">
        <f t="shared" si="23"/>
        <v>FY</v>
      </c>
      <c r="EW18" s="88" t="str">
        <f>$B18</f>
        <v>($ in millions except per share amounts)</v>
      </c>
      <c r="EX18" s="92">
        <f t="shared" si="24"/>
        <v>36981</v>
      </c>
      <c r="EY18" s="92">
        <f t="shared" si="24"/>
        <v>37072</v>
      </c>
      <c r="EZ18" s="92">
        <f t="shared" si="24"/>
        <v>37164</v>
      </c>
      <c r="FA18" s="92">
        <f t="shared" si="24"/>
        <v>37256</v>
      </c>
      <c r="FB18" s="92" t="str">
        <f t="shared" si="24"/>
        <v>FY</v>
      </c>
      <c r="FD18" s="88" t="str">
        <f>$B18</f>
        <v>($ in millions except per share amounts)</v>
      </c>
      <c r="FE18" s="92">
        <f t="shared" si="25"/>
        <v>37346</v>
      </c>
      <c r="FF18" s="92">
        <f t="shared" si="25"/>
        <v>37437</v>
      </c>
      <c r="FG18" s="92">
        <f t="shared" si="25"/>
        <v>37529</v>
      </c>
      <c r="FH18" s="92">
        <f t="shared" si="25"/>
        <v>37621</v>
      </c>
      <c r="FI18" s="92" t="str">
        <f t="shared" si="25"/>
        <v>FY</v>
      </c>
      <c r="FK18" s="88" t="str">
        <f>$B18</f>
        <v>($ in millions except per share amounts)</v>
      </c>
      <c r="FL18" s="92">
        <f t="shared" si="26"/>
        <v>37711</v>
      </c>
      <c r="FM18" s="92">
        <f t="shared" si="26"/>
        <v>37802</v>
      </c>
      <c r="FN18" s="92">
        <f t="shared" si="26"/>
        <v>37894</v>
      </c>
      <c r="FO18" s="92">
        <f t="shared" si="26"/>
        <v>37986</v>
      </c>
      <c r="FP18" s="92" t="str">
        <f t="shared" si="26"/>
        <v>FY</v>
      </c>
      <c r="FR18" s="88" t="str">
        <f>$B18</f>
        <v>($ in millions except per share amounts)</v>
      </c>
      <c r="FS18" s="92">
        <f t="shared" si="27"/>
        <v>38077</v>
      </c>
      <c r="FT18" s="92">
        <f t="shared" si="27"/>
        <v>38168</v>
      </c>
      <c r="FU18" s="92">
        <f t="shared" si="27"/>
        <v>38260</v>
      </c>
      <c r="FV18" s="92">
        <f t="shared" si="27"/>
        <v>38352</v>
      </c>
      <c r="FW18" s="92" t="str">
        <f t="shared" si="27"/>
        <v>FY</v>
      </c>
      <c r="FY18" s="88" t="str">
        <f>$B18</f>
        <v>($ in millions except per share amounts)</v>
      </c>
      <c r="FZ18" s="92">
        <f t="shared" si="28"/>
        <v>38442</v>
      </c>
      <c r="GA18" s="92">
        <f t="shared" si="28"/>
        <v>38533</v>
      </c>
      <c r="GB18" s="92">
        <f t="shared" si="28"/>
        <v>38625</v>
      </c>
      <c r="GC18" s="92">
        <f t="shared" si="28"/>
        <v>38717</v>
      </c>
      <c r="GD18" s="92" t="str">
        <f t="shared" si="28"/>
        <v>FY</v>
      </c>
      <c r="GE18" s="655"/>
      <c r="GF18" s="88" t="str">
        <f>$B18</f>
        <v>($ in millions except per share amounts)</v>
      </c>
      <c r="GG18" s="92">
        <f t="shared" si="29"/>
        <v>38807</v>
      </c>
      <c r="GH18" s="92">
        <f t="shared" si="29"/>
        <v>38898</v>
      </c>
      <c r="GI18" s="92">
        <f t="shared" si="29"/>
        <v>38990</v>
      </c>
      <c r="GJ18" s="92">
        <f t="shared" si="29"/>
        <v>39082</v>
      </c>
      <c r="GK18" s="92" t="str">
        <f t="shared" si="29"/>
        <v>FY</v>
      </c>
      <c r="GL18" s="655"/>
      <c r="GM18" s="88" t="str">
        <f>$B18</f>
        <v>($ in millions except per share amounts)</v>
      </c>
      <c r="GN18" s="92">
        <f t="shared" si="30"/>
        <v>39172</v>
      </c>
      <c r="GO18" s="92">
        <f t="shared" si="30"/>
        <v>39263</v>
      </c>
      <c r="GP18" s="92">
        <f t="shared" si="30"/>
        <v>39355</v>
      </c>
      <c r="GQ18" s="92">
        <f t="shared" si="30"/>
        <v>39447</v>
      </c>
      <c r="GR18" s="92" t="str">
        <f t="shared" si="30"/>
        <v>FY</v>
      </c>
      <c r="GS18" s="655"/>
      <c r="GT18" s="88" t="str">
        <f>$B18</f>
        <v>($ in millions except per share amounts)</v>
      </c>
      <c r="GU18" s="92">
        <f t="shared" si="31"/>
        <v>39538</v>
      </c>
      <c r="GV18" s="92">
        <f t="shared" si="31"/>
        <v>39629</v>
      </c>
      <c r="GW18" s="92">
        <f t="shared" si="31"/>
        <v>39721</v>
      </c>
      <c r="GX18" s="92">
        <f t="shared" si="31"/>
        <v>39813</v>
      </c>
      <c r="GY18" s="92" t="str">
        <f t="shared" si="31"/>
        <v>FY</v>
      </c>
      <c r="GZ18" s="655"/>
      <c r="HA18" s="88" t="str">
        <f>$B18</f>
        <v>($ in millions except per share amounts)</v>
      </c>
      <c r="HB18" s="92">
        <f t="shared" si="32"/>
        <v>39903</v>
      </c>
      <c r="HC18" s="92">
        <f t="shared" si="32"/>
        <v>39994</v>
      </c>
      <c r="HD18" s="92">
        <f t="shared" si="32"/>
        <v>40086</v>
      </c>
      <c r="HE18" s="92">
        <f t="shared" si="32"/>
        <v>40178</v>
      </c>
      <c r="HF18" s="92" t="str">
        <f t="shared" si="32"/>
        <v>FY</v>
      </c>
      <c r="HG18" s="655"/>
      <c r="HH18" s="88" t="str">
        <f>$B18</f>
        <v>($ in millions except per share amounts)</v>
      </c>
      <c r="HI18" s="92">
        <f t="shared" si="33"/>
        <v>40268</v>
      </c>
      <c r="HJ18" s="92">
        <f t="shared" si="33"/>
        <v>40359</v>
      </c>
      <c r="HK18" s="92">
        <f t="shared" si="33"/>
        <v>40451</v>
      </c>
      <c r="HL18" s="92">
        <f t="shared" si="33"/>
        <v>40543</v>
      </c>
      <c r="HM18" s="92" t="str">
        <f t="shared" si="33"/>
        <v>FY</v>
      </c>
      <c r="HN18" s="655"/>
      <c r="HO18" s="88" t="str">
        <f>$B18</f>
        <v>($ in millions except per share amounts)</v>
      </c>
      <c r="HP18" s="92">
        <f t="shared" si="34"/>
        <v>40633</v>
      </c>
      <c r="HQ18" s="92">
        <f t="shared" si="34"/>
        <v>40724</v>
      </c>
      <c r="HR18" s="92">
        <f t="shared" si="34"/>
        <v>40816</v>
      </c>
      <c r="HS18" s="92">
        <f t="shared" si="34"/>
        <v>40908</v>
      </c>
      <c r="HT18" s="92" t="str">
        <f t="shared" si="34"/>
        <v>FY</v>
      </c>
      <c r="HU18" s="655"/>
      <c r="HV18" s="88" t="str">
        <f>$B18</f>
        <v>($ in millions except per share amounts)</v>
      </c>
      <c r="HW18" s="92">
        <f t="shared" si="35"/>
        <v>40999</v>
      </c>
      <c r="HX18" s="92">
        <f t="shared" si="35"/>
        <v>41090</v>
      </c>
      <c r="HY18" s="92">
        <f t="shared" si="35"/>
        <v>41182</v>
      </c>
      <c r="HZ18" s="92">
        <f t="shared" si="35"/>
        <v>41274</v>
      </c>
      <c r="IA18" s="92" t="str">
        <f t="shared" si="35"/>
        <v>FY</v>
      </c>
      <c r="IB18" s="655"/>
      <c r="IC18" s="88" t="str">
        <f>$B18</f>
        <v>($ in millions except per share amounts)</v>
      </c>
      <c r="ID18" s="92">
        <f t="shared" si="36"/>
        <v>41364</v>
      </c>
      <c r="IE18" s="92">
        <f t="shared" si="36"/>
        <v>41455</v>
      </c>
      <c r="IF18" s="92">
        <f t="shared" si="36"/>
        <v>41547</v>
      </c>
      <c r="IG18" s="92">
        <f t="shared" si="36"/>
        <v>41639</v>
      </c>
      <c r="IH18" s="92" t="str">
        <f t="shared" si="36"/>
        <v>FY</v>
      </c>
      <c r="II18" s="655"/>
      <c r="IJ18" s="88" t="str">
        <f>$B18</f>
        <v>($ in millions except per share amounts)</v>
      </c>
      <c r="IK18" s="92">
        <f t="shared" si="37"/>
        <v>41729</v>
      </c>
      <c r="IL18" s="92">
        <f t="shared" si="37"/>
        <v>41820</v>
      </c>
      <c r="IM18" s="92">
        <f t="shared" si="37"/>
        <v>41912</v>
      </c>
      <c r="IN18" s="92">
        <f t="shared" si="37"/>
        <v>42004</v>
      </c>
      <c r="IO18" s="92" t="str">
        <f t="shared" si="37"/>
        <v>FY</v>
      </c>
      <c r="IP18" s="655"/>
      <c r="IQ18" s="88" t="str">
        <f>$B18</f>
        <v>($ in millions except per share amounts)</v>
      </c>
      <c r="IR18" s="92">
        <f t="shared" si="38"/>
        <v>42094</v>
      </c>
      <c r="IS18" s="92">
        <f t="shared" si="38"/>
        <v>42185</v>
      </c>
      <c r="IT18" s="92">
        <f t="shared" si="38"/>
        <v>42277</v>
      </c>
      <c r="IU18" s="92">
        <f t="shared" si="38"/>
        <v>42369</v>
      </c>
      <c r="IV18" s="92" t="str">
        <f t="shared" si="38"/>
        <v>FY</v>
      </c>
      <c r="IW18" s="655"/>
      <c r="IX18" s="88" t="str">
        <f>$B18</f>
        <v>($ in millions except per share amounts)</v>
      </c>
      <c r="IY18" s="92">
        <f t="shared" si="39"/>
        <v>42460</v>
      </c>
      <c r="IZ18" s="92">
        <f t="shared" si="39"/>
        <v>42551</v>
      </c>
      <c r="JA18" s="92">
        <f t="shared" si="39"/>
        <v>42643</v>
      </c>
      <c r="JB18" s="92">
        <f t="shared" si="39"/>
        <v>42735</v>
      </c>
      <c r="JC18" s="92" t="str">
        <f t="shared" si="39"/>
        <v>FY</v>
      </c>
      <c r="JD18" s="655"/>
      <c r="JE18" s="88" t="str">
        <f>$B18</f>
        <v>($ in millions except per share amounts)</v>
      </c>
      <c r="JF18" s="92">
        <f t="shared" si="40"/>
        <v>42825</v>
      </c>
      <c r="JG18" s="92">
        <f t="shared" si="40"/>
        <v>42916</v>
      </c>
      <c r="JH18" s="92">
        <f t="shared" si="40"/>
        <v>43008</v>
      </c>
      <c r="JI18" s="92">
        <f t="shared" si="40"/>
        <v>43100</v>
      </c>
      <c r="JJ18" s="92" t="str">
        <f t="shared" si="40"/>
        <v>FY</v>
      </c>
      <c r="JK18" s="655"/>
      <c r="JL18" s="88" t="str">
        <f>$B18</f>
        <v>($ in millions except per share amounts)</v>
      </c>
      <c r="JM18" s="92">
        <f t="shared" si="41"/>
        <v>43190</v>
      </c>
      <c r="JN18" s="92">
        <f t="shared" si="41"/>
        <v>43281</v>
      </c>
      <c r="JO18" s="92">
        <f t="shared" si="41"/>
        <v>43373</v>
      </c>
      <c r="JP18" s="92">
        <f t="shared" si="41"/>
        <v>43465</v>
      </c>
      <c r="JQ18" s="92" t="str">
        <f t="shared" si="41"/>
        <v>FY</v>
      </c>
      <c r="JR18" s="655"/>
      <c r="JS18" s="88" t="str">
        <f>$B18</f>
        <v>($ in millions except per share amounts)</v>
      </c>
      <c r="JT18" s="92">
        <f t="shared" si="42"/>
        <v>43555</v>
      </c>
      <c r="JU18" s="92">
        <f t="shared" si="42"/>
        <v>43646</v>
      </c>
      <c r="JV18" s="92">
        <f t="shared" si="42"/>
        <v>43738</v>
      </c>
      <c r="JW18" s="92">
        <f t="shared" si="42"/>
        <v>43830</v>
      </c>
      <c r="JX18" s="92" t="str">
        <f t="shared" si="42"/>
        <v>FY</v>
      </c>
      <c r="JY18" s="655"/>
      <c r="JZ18" s="88" t="str">
        <f>$B18</f>
        <v>($ in millions except per share amounts)</v>
      </c>
      <c r="KA18" s="92">
        <f t="shared" si="43"/>
        <v>43921</v>
      </c>
      <c r="KB18" s="92">
        <f t="shared" si="43"/>
        <v>44012</v>
      </c>
      <c r="KC18" s="92">
        <f t="shared" si="43"/>
        <v>44104</v>
      </c>
      <c r="KD18" s="92">
        <f t="shared" si="43"/>
        <v>44196</v>
      </c>
      <c r="KE18" s="92" t="str">
        <f t="shared" si="43"/>
        <v>FY</v>
      </c>
      <c r="KF18" s="655"/>
      <c r="KG18" s="88" t="str">
        <f>$B18</f>
        <v>($ in millions except per share amounts)</v>
      </c>
      <c r="KH18" s="92">
        <f t="shared" si="44"/>
        <v>44286</v>
      </c>
      <c r="KI18" s="92">
        <f t="shared" si="44"/>
        <v>44377</v>
      </c>
      <c r="KJ18" s="92">
        <f t="shared" si="44"/>
        <v>44469</v>
      </c>
      <c r="KK18" s="92">
        <f t="shared" si="44"/>
        <v>44561</v>
      </c>
      <c r="KL18" s="92" t="str">
        <f t="shared" si="44"/>
        <v>FY</v>
      </c>
      <c r="KM18" s="655"/>
      <c r="KN18" s="88" t="str">
        <f>$B18</f>
        <v>($ in millions except per share amounts)</v>
      </c>
      <c r="KO18" s="92">
        <f t="shared" si="45"/>
        <v>44651</v>
      </c>
      <c r="KP18" s="92">
        <f t="shared" si="45"/>
        <v>44742</v>
      </c>
      <c r="KQ18" s="92">
        <f t="shared" si="45"/>
        <v>44834</v>
      </c>
      <c r="KR18" s="92">
        <f t="shared" si="45"/>
        <v>44926</v>
      </c>
      <c r="KS18" s="92" t="str">
        <f t="shared" si="45"/>
        <v>FY</v>
      </c>
      <c r="KT18" s="655"/>
      <c r="KU18" s="88" t="str">
        <f>$B18</f>
        <v>($ in millions except per share amounts)</v>
      </c>
      <c r="KV18" s="92">
        <f t="shared" si="46"/>
        <v>45016</v>
      </c>
      <c r="KW18" s="92">
        <f t="shared" si="46"/>
        <v>45107</v>
      </c>
      <c r="KX18" s="92">
        <f t="shared" si="46"/>
        <v>45199</v>
      </c>
      <c r="KY18" s="92">
        <f t="shared" si="46"/>
        <v>45291</v>
      </c>
      <c r="KZ18" s="92" t="str">
        <f t="shared" si="46"/>
        <v>FY</v>
      </c>
      <c r="LA18" s="655"/>
      <c r="LB18" s="88" t="str">
        <f>$B18</f>
        <v>($ in millions except per share amounts)</v>
      </c>
      <c r="LC18" s="92">
        <f t="shared" si="47"/>
        <v>45382</v>
      </c>
      <c r="LD18" s="92">
        <f t="shared" si="47"/>
        <v>45473</v>
      </c>
      <c r="LE18" s="92">
        <f t="shared" si="47"/>
        <v>45565</v>
      </c>
      <c r="LF18" s="92">
        <f t="shared" si="47"/>
        <v>45657</v>
      </c>
      <c r="LG18" s="95" t="str">
        <f t="shared" si="47"/>
        <v>FY</v>
      </c>
      <c r="LH18" s="547"/>
      <c r="LI18" s="88" t="str">
        <f>$B18</f>
        <v>($ in millions except per share amounts)</v>
      </c>
      <c r="LJ18" s="92">
        <f t="shared" si="48"/>
        <v>45747</v>
      </c>
      <c r="LK18" s="92">
        <f t="shared" si="48"/>
        <v>45838</v>
      </c>
      <c r="LL18" s="92">
        <f t="shared" si="48"/>
        <v>45930</v>
      </c>
      <c r="LM18" s="92">
        <f t="shared" si="48"/>
        <v>46022</v>
      </c>
      <c r="LN18" s="95" t="str">
        <f t="shared" si="48"/>
        <v>FY</v>
      </c>
      <c r="LO18" s="547"/>
      <c r="LP18" s="88" t="str">
        <f>$B18</f>
        <v>($ in millions except per share amounts)</v>
      </c>
      <c r="LQ18" s="92">
        <f t="shared" si="49"/>
        <v>46112</v>
      </c>
      <c r="LR18" s="92">
        <f t="shared" si="49"/>
        <v>46203</v>
      </c>
      <c r="LS18" s="92">
        <f t="shared" si="49"/>
        <v>46295</v>
      </c>
      <c r="LT18" s="92">
        <f t="shared" si="49"/>
        <v>46387</v>
      </c>
      <c r="LU18" s="95" t="str">
        <f t="shared" si="49"/>
        <v>FY</v>
      </c>
      <c r="LV18" s="547"/>
      <c r="LW18" s="88" t="str">
        <f>$B18</f>
        <v>($ in millions except per share amounts)</v>
      </c>
      <c r="LX18" s="92">
        <f t="shared" ref="LX18:MB18" si="53">LX5</f>
        <v>46477</v>
      </c>
      <c r="LY18" s="92">
        <f t="shared" si="53"/>
        <v>46568</v>
      </c>
      <c r="LZ18" s="92">
        <f t="shared" si="53"/>
        <v>46660</v>
      </c>
      <c r="MA18" s="92">
        <f t="shared" si="53"/>
        <v>46752</v>
      </c>
      <c r="MB18" s="95" t="str">
        <f t="shared" si="53"/>
        <v>FY</v>
      </c>
      <c r="MC18" s="547"/>
      <c r="MD18" s="88" t="str">
        <f>$B18</f>
        <v>($ in millions except per share amounts)</v>
      </c>
      <c r="ME18" s="92">
        <f t="shared" ref="ME18:MI18" si="54">ME5</f>
        <v>46843</v>
      </c>
      <c r="MF18" s="92">
        <f t="shared" si="54"/>
        <v>46934</v>
      </c>
      <c r="MG18" s="92">
        <f t="shared" si="54"/>
        <v>47026</v>
      </c>
      <c r="MH18" s="92">
        <f t="shared" si="54"/>
        <v>47118</v>
      </c>
      <c r="MI18" s="95" t="str">
        <f t="shared" si="54"/>
        <v>FY</v>
      </c>
      <c r="MJ18" s="547"/>
    </row>
    <row r="19" spans="1:349" x14ac:dyDescent="0.4">
      <c r="LB19" s="685"/>
      <c r="LC19" s="686"/>
      <c r="LD19" s="687"/>
      <c r="LE19" s="687"/>
      <c r="LF19" s="687"/>
      <c r="LG19" s="687"/>
      <c r="LH19" s="566"/>
      <c r="LI19" s="685"/>
      <c r="LJ19" s="687"/>
      <c r="LK19" s="687"/>
      <c r="LL19" s="687"/>
      <c r="LM19" s="687"/>
      <c r="LN19" s="687"/>
      <c r="LO19" s="566"/>
      <c r="LP19" s="685"/>
      <c r="LQ19" s="687"/>
      <c r="LR19" s="687"/>
      <c r="LS19" s="687"/>
      <c r="LT19" s="687"/>
      <c r="LU19" s="687"/>
      <c r="LV19" s="566"/>
      <c r="LW19" s="685"/>
      <c r="LX19" s="687"/>
      <c r="LY19" s="687"/>
      <c r="LZ19" s="687"/>
      <c r="MA19" s="687"/>
      <c r="MB19" s="687"/>
      <c r="MC19" s="566"/>
      <c r="MD19" s="685"/>
      <c r="ME19" s="687"/>
      <c r="MF19" s="687"/>
      <c r="MG19" s="687"/>
      <c r="MH19" s="687"/>
      <c r="MI19" s="687"/>
      <c r="MJ19" s="566"/>
    </row>
    <row r="20" spans="1:349" x14ac:dyDescent="0.4">
      <c r="B20" s="688" t="s">
        <v>2</v>
      </c>
      <c r="C20" s="689">
        <v>3623.5250000000001</v>
      </c>
      <c r="D20" s="689">
        <v>4219.8999999999996</v>
      </c>
      <c r="E20" s="689">
        <v>4723.3999999999996</v>
      </c>
      <c r="F20" s="689">
        <v>5345.2</v>
      </c>
      <c r="G20" s="689">
        <v>4855</v>
      </c>
      <c r="H20" s="689">
        <v>4902</v>
      </c>
      <c r="I20" s="689">
        <v>5597</v>
      </c>
      <c r="J20" s="689">
        <v>5361</v>
      </c>
      <c r="K20" s="689">
        <v>6024</v>
      </c>
      <c r="L20" s="689">
        <v>6950</v>
      </c>
      <c r="M20" s="689">
        <v>7592</v>
      </c>
      <c r="N20" s="689">
        <f>BV20</f>
        <v>7745.0000000000009</v>
      </c>
      <c r="O20" s="689">
        <f>CC20</f>
        <v>8205.3170000000009</v>
      </c>
      <c r="P20" s="689">
        <f>CJ20</f>
        <v>8636.3000000000011</v>
      </c>
      <c r="Q20" s="689">
        <f>CQ20</f>
        <v>8734.1</v>
      </c>
      <c r="R20" s="689">
        <f>CX20</f>
        <v>8940.5</v>
      </c>
      <c r="S20" s="689">
        <f>DE20</f>
        <v>9608</v>
      </c>
      <c r="T20" s="689">
        <f>DL20</f>
        <v>10304</v>
      </c>
      <c r="U20" s="689">
        <f>DS20</f>
        <v>10536</v>
      </c>
      <c r="V20" s="689">
        <f>DZ20</f>
        <v>10963</v>
      </c>
      <c r="W20" s="689">
        <f>EG20</f>
        <v>9861</v>
      </c>
      <c r="X20" s="689">
        <f>EN20</f>
        <v>10811</v>
      </c>
      <c r="Y20" s="689">
        <f>EU20</f>
        <v>8435</v>
      </c>
      <c r="Z20" s="689">
        <f>FB20</f>
        <v>8110</v>
      </c>
      <c r="AA20" s="689">
        <f>FI20</f>
        <v>8152</v>
      </c>
      <c r="AB20" s="689">
        <f>FP20</f>
        <v>7567</v>
      </c>
      <c r="AC20" s="689">
        <f>FW20</f>
        <v>8025</v>
      </c>
      <c r="AD20" s="689">
        <f>GD20</f>
        <v>8601</v>
      </c>
      <c r="AE20" s="689">
        <f>GK20</f>
        <v>9566</v>
      </c>
      <c r="AF20" s="689">
        <f>GR20</f>
        <v>10030</v>
      </c>
      <c r="AG20" s="689">
        <f>GY20</f>
        <v>11255</v>
      </c>
      <c r="AH20" s="689">
        <f>HF20</f>
        <v>9041</v>
      </c>
      <c r="AI20" s="689">
        <f>HM20</f>
        <v>10636</v>
      </c>
      <c r="AJ20" s="689">
        <f>HT20</f>
        <v>11743</v>
      </c>
      <c r="AK20" s="689">
        <f>IA20</f>
        <v>11756</v>
      </c>
      <c r="AL20" s="689">
        <f>IH20</f>
        <v>12058</v>
      </c>
      <c r="AM20" s="689">
        <f>IO20</f>
        <v>12669</v>
      </c>
      <c r="AN20" s="689">
        <f>IV20</f>
        <v>11811</v>
      </c>
      <c r="AO20" s="689">
        <f>JC20</f>
        <v>11069</v>
      </c>
      <c r="AP20" s="689">
        <f>JJ20</f>
        <v>11408</v>
      </c>
      <c r="AQ20" s="689">
        <f>JQ20</f>
        <v>12250</v>
      </c>
      <c r="AR20" s="689">
        <f>JX20</f>
        <v>11937</v>
      </c>
      <c r="AS20" s="689">
        <f>KE20</f>
        <v>10583</v>
      </c>
      <c r="AT20" s="689">
        <f>KL20</f>
        <v>12522</v>
      </c>
      <c r="AU20" s="689">
        <f>KS20</f>
        <v>14853</v>
      </c>
      <c r="AV20" s="689">
        <f>KZ20</f>
        <v>14657</v>
      </c>
      <c r="AW20" s="689">
        <f>LG20</f>
        <v>14540</v>
      </c>
      <c r="AX20" s="689">
        <f>LN20</f>
        <v>14092</v>
      </c>
      <c r="AY20" s="689">
        <f>LU20</f>
        <v>14494.795274999997</v>
      </c>
      <c r="AZ20" s="689">
        <f>MB20</f>
        <v>15180.905860184219</v>
      </c>
      <c r="BA20" s="689">
        <f>MI20</f>
        <v>15848.637389025456</v>
      </c>
      <c r="BB20" s="689"/>
      <c r="BC20" s="689"/>
      <c r="BD20" s="689"/>
      <c r="BE20" s="689"/>
      <c r="BF20" s="689"/>
      <c r="BG20" s="689"/>
      <c r="BH20" s="689"/>
      <c r="BI20" s="689"/>
      <c r="BJ20" s="689"/>
      <c r="BK20" s="689"/>
      <c r="BL20" s="689"/>
      <c r="BM20" s="689"/>
      <c r="BN20" s="689"/>
      <c r="BO20" s="689"/>
      <c r="BQ20" s="688" t="s">
        <v>2</v>
      </c>
      <c r="BR20" s="535">
        <f>SUM(Revenue!BP37,Revenue!BP384)+Expense!BP69+Expense!BP66+Revenue!BP442+Revenue!BP544</f>
        <v>1843.8</v>
      </c>
      <c r="BS20" s="535">
        <f>SUM(Revenue!BQ37,Revenue!BQ384)+Expense!BQ69+Expense!BQ66+Revenue!BQ442+Revenue!BQ544</f>
        <v>1974</v>
      </c>
      <c r="BT20" s="535">
        <f>SUM(Revenue!BR37,Revenue!BR384)+Expense!BR69+Expense!BR66+Revenue!BR442+Revenue!BR544</f>
        <v>1892.9</v>
      </c>
      <c r="BU20" s="535">
        <f>SUM(Revenue!BS37,Revenue!BS384)+Expense!BS69+Expense!BS66+Revenue!BS442+Revenue!BS544</f>
        <v>2034.3</v>
      </c>
      <c r="BV20" s="535">
        <f>SUM(BR20:BU20)</f>
        <v>7745.0000000000009</v>
      </c>
      <c r="BX20" s="688" t="s">
        <v>2</v>
      </c>
      <c r="BY20" s="535">
        <f>SUM(Revenue!BW37,Revenue!BW384)+Expense!BW69+Expense!BW66+Revenue!BW442+Revenue!BW544</f>
        <v>1907.7</v>
      </c>
      <c r="BZ20" s="535">
        <f>SUM(Revenue!BX37,Revenue!BX384)+Expense!BX69+Expense!BX66+Revenue!BX442+Revenue!BX544</f>
        <v>2046.9</v>
      </c>
      <c r="CA20" s="535">
        <f>SUM(Revenue!BY37,Revenue!BY384)+Expense!BY69+Expense!BY66+Revenue!BY442+Revenue!BY544</f>
        <v>2063</v>
      </c>
      <c r="CB20" s="535">
        <f>SUM(Revenue!BZ37,Revenue!BZ384)+Expense!BZ69+Expense!BZ66+Revenue!BZ442+Revenue!BZ544</f>
        <v>2187.7170000000001</v>
      </c>
      <c r="CC20" s="535">
        <f>SUM(BY20:CB20)</f>
        <v>8205.3170000000009</v>
      </c>
      <c r="CE20" s="688" t="s">
        <v>2</v>
      </c>
      <c r="CF20" s="535">
        <f>SUM(Revenue!CD37,Revenue!CD384)+Expense!CD69+Expense!CD66+Revenue!CD442+Revenue!CD544</f>
        <v>2030.3</v>
      </c>
      <c r="CG20" s="535">
        <f>SUM(Revenue!CE37,Revenue!CE384)+Expense!CE69+Expense!CE66+Revenue!CE442+Revenue!CE544</f>
        <v>2125</v>
      </c>
      <c r="CH20" s="535">
        <f>SUM(Revenue!CF37,Revenue!CF384)+Expense!CF69+Expense!CF66+Revenue!CF442+Revenue!CF544</f>
        <v>2204.9</v>
      </c>
      <c r="CI20" s="535">
        <f>SUM(Revenue!CG37,Revenue!CG384)+Expense!CG69+Expense!CG66+Revenue!CG442+Revenue!CG544</f>
        <v>2276.1</v>
      </c>
      <c r="CJ20" s="535">
        <f>SUM(CF20:CI20)</f>
        <v>8636.3000000000011</v>
      </c>
      <c r="CL20" s="688" t="s">
        <v>2</v>
      </c>
      <c r="CM20" s="535">
        <f>SUM(Revenue!CK37,Revenue!CK384)+Expense!CK69+Expense!CK66+Revenue!CK442+Revenue!CK544</f>
        <v>2086.4</v>
      </c>
      <c r="CN20" s="535">
        <f>SUM(Revenue!CL37,Revenue!CL384)+Expense!CL69+Expense!CL66+Revenue!CL442+Revenue!CL544</f>
        <v>2188.1999999999998</v>
      </c>
      <c r="CO20" s="535">
        <f>SUM(Revenue!CM37,Revenue!CM384)+Expense!CM69+Expense!CM66+Revenue!CM442+Revenue!CM544</f>
        <v>2214.3000000000002</v>
      </c>
      <c r="CP20" s="535">
        <f>SUM(Revenue!CN37,Revenue!CN384)+Expense!CN69+Expense!CN66+Revenue!CN442+Revenue!CN544</f>
        <v>2245.1999999999998</v>
      </c>
      <c r="CQ20" s="535">
        <f>SUM(CM20:CP20)</f>
        <v>8734.1</v>
      </c>
      <c r="CS20" s="688" t="s">
        <v>2</v>
      </c>
      <c r="CT20" s="535">
        <f>SUM(Revenue!CR37,Revenue!CR384)+Expense!CR69+Expense!CR66+Revenue!CR442+Revenue!CR544</f>
        <v>2123.3000000000002</v>
      </c>
      <c r="CU20" s="535">
        <f>SUM(Revenue!CS37,Revenue!CS384)+Expense!CS69+Expense!CS66+Revenue!CS442+Revenue!CS544</f>
        <v>2263.5</v>
      </c>
      <c r="CV20" s="535">
        <f>SUM(Revenue!CT37,Revenue!CT384)+Expense!CT69+Expense!CT66+Revenue!CT442+Revenue!CT544</f>
        <v>2238.6999999999998</v>
      </c>
      <c r="CW20" s="535">
        <f>SUM(Revenue!CU37,Revenue!CU384)+Expense!CU69+Expense!CU66+Revenue!CU442+Revenue!CU544</f>
        <v>2315</v>
      </c>
      <c r="CX20" s="535">
        <f>SUM(CT20:CW20)</f>
        <v>8940.5</v>
      </c>
      <c r="CZ20" s="688" t="s">
        <v>2</v>
      </c>
      <c r="DA20" s="535">
        <f>SUM(Revenue!CY37,Revenue!CY384)+Expense!CY69+Expense!CY66+Revenue!CY442+Revenue!CY544</f>
        <v>2227</v>
      </c>
      <c r="DB20" s="535">
        <f>SUM(Revenue!CZ37,Revenue!CZ384)+Expense!CZ69+Expense!CZ66+Revenue!CZ442+Revenue!CZ544</f>
        <v>2371</v>
      </c>
      <c r="DC20" s="535">
        <f>SUM(Revenue!DA37,Revenue!DA384)+Expense!DA69+Expense!DA66+Revenue!DA442+Revenue!DA544</f>
        <v>2470</v>
      </c>
      <c r="DD20" s="535">
        <f>SUM(Revenue!DB37,Revenue!DB384)+Expense!DB69+Expense!DB66+Revenue!DB442+Revenue!DB544</f>
        <v>2540</v>
      </c>
      <c r="DE20" s="535">
        <f>SUM(DA20:DD20)</f>
        <v>9608</v>
      </c>
      <c r="DG20" s="688" t="s">
        <v>2</v>
      </c>
      <c r="DH20" s="535">
        <f>SUM(Revenue!DF37,Revenue!DF384)+Expense!DF69+Expense!DF66+Revenue!DF442</f>
        <v>2444</v>
      </c>
      <c r="DI20" s="535">
        <f>SUM(Revenue!DG37,Revenue!DG384)+Expense!DG69+Expense!DG66+Revenue!DG442</f>
        <v>2549</v>
      </c>
      <c r="DJ20" s="535">
        <f>SUM(Revenue!DH37,Revenue!DH384)+Expense!DH69+Expense!DH66+Revenue!DH442</f>
        <v>2601</v>
      </c>
      <c r="DK20" s="535">
        <f>SUM(Revenue!DI37,Revenue!DI384)+Expense!DI69+Expense!DI66+Revenue!DI442</f>
        <v>2710</v>
      </c>
      <c r="DL20" s="535">
        <f>SUM(DH20:DK20)</f>
        <v>10304</v>
      </c>
      <c r="DN20" s="688" t="s">
        <v>2</v>
      </c>
      <c r="DO20" s="535">
        <f>SUM(Revenue!DM37,Revenue!DM384)+Expense!DM69+Expense!DM66+Revenue!DM442</f>
        <v>2514</v>
      </c>
      <c r="DP20" s="535">
        <f>SUM(Revenue!DN37,Revenue!DN384)+Expense!DN69+Expense!DN66+Revenue!DN442</f>
        <v>2672</v>
      </c>
      <c r="DQ20" s="535">
        <f>SUM(Revenue!DO37,Revenue!DO384)+Expense!DO69+Expense!DO66+Revenue!DO442</f>
        <v>2647</v>
      </c>
      <c r="DR20" s="535">
        <f>SUM(Revenue!DP37,Revenue!DP384)+Expense!DP69+Expense!DP66+Revenue!DP442</f>
        <v>2703</v>
      </c>
      <c r="DS20" s="535">
        <f>SUM(DO20:DR20)</f>
        <v>10536</v>
      </c>
      <c r="DU20" s="688" t="s">
        <v>2</v>
      </c>
      <c r="DV20" s="535">
        <f>SUM(Revenue!DT37,Revenue!DT384)+Expense!DT69+Expense!DT66+Revenue!DT442</f>
        <v>2567</v>
      </c>
      <c r="DW20" s="535">
        <f>SUM(Revenue!DU37,Revenue!DU384)+Expense!DU69+Expense!DU66+Revenue!DU442</f>
        <v>2678</v>
      </c>
      <c r="DX20" s="535">
        <f>SUM(Revenue!DV37,Revenue!DV384)+Expense!DV69+Expense!DV66+Revenue!DV442</f>
        <v>2815</v>
      </c>
      <c r="DY20" s="535">
        <f>SUM(Revenue!DW37,Revenue!DW384)+Expense!DW69+Expense!DW66+Revenue!DW442</f>
        <v>2903</v>
      </c>
      <c r="DZ20" s="535">
        <f>SUM(DV20:DY20)</f>
        <v>10963</v>
      </c>
      <c r="EB20" s="688" t="s">
        <v>2</v>
      </c>
      <c r="EC20" s="535">
        <f>SUM(Revenue!EA37,Revenue!EA384)+Expense!EA69+Expense!EA66</f>
        <v>2442</v>
      </c>
      <c r="ED20" s="535">
        <f>SUM(Revenue!EB37,Revenue!EB384)+Expense!EB69+Expense!EB66</f>
        <v>2490</v>
      </c>
      <c r="EE20" s="535">
        <f>SUM(Revenue!EC37,Revenue!EC384)+Expense!EC69+Expense!EC66</f>
        <v>2429</v>
      </c>
      <c r="EF20" s="535">
        <f>SUM(Revenue!ED37,Revenue!ED384)+Expense!ED69+Expense!ED66</f>
        <v>2500</v>
      </c>
      <c r="EG20" s="535">
        <f>SUM(EC20:EF20)</f>
        <v>9861</v>
      </c>
      <c r="EI20" s="688" t="s">
        <v>2</v>
      </c>
      <c r="EJ20" s="535">
        <f>SUM(Revenue!EH37,Revenue!EH384)+Expense!EH69+Expense!EH66</f>
        <v>2541</v>
      </c>
      <c r="EK20" s="535">
        <f>SUM(Revenue!EI37,Revenue!EI384)+Expense!EI69+Expense!EI66</f>
        <v>2616</v>
      </c>
      <c r="EL20" s="535">
        <f>SUM(Revenue!EJ37,Revenue!EJ384)+Expense!EJ69+Expense!EJ66</f>
        <v>2906</v>
      </c>
      <c r="EM20" s="535">
        <f>SUM(Revenue!EK37,Revenue!EK384)+Expense!EK69+Expense!EK66</f>
        <v>2748</v>
      </c>
      <c r="EN20" s="535">
        <f>SUM(EJ20:EM20)</f>
        <v>10811</v>
      </c>
      <c r="EP20" s="688" t="s">
        <v>2</v>
      </c>
      <c r="EQ20" s="535">
        <f>SUM(Revenue!EO37,Revenue!EO384)+Expense!EO69+Expense!EO66</f>
        <v>2147</v>
      </c>
      <c r="ER20" s="535">
        <f>SUM(Revenue!EP37,Revenue!EP384)+Expense!EP69+Expense!EP66</f>
        <v>2202</v>
      </c>
      <c r="ES20" s="535">
        <f>SUM(Revenue!EQ37,Revenue!EQ384)+Expense!EQ69+Expense!EQ66</f>
        <v>2039</v>
      </c>
      <c r="ET20" s="535">
        <f>SUM(Revenue!ER37,Revenue!ER384)+Expense!ER69+Expense!ER66</f>
        <v>2047</v>
      </c>
      <c r="EU20" s="535">
        <f>SUM(EQ20:ET20)</f>
        <v>8435</v>
      </c>
      <c r="EW20" s="688" t="s">
        <v>2</v>
      </c>
      <c r="EX20" s="535">
        <f>SUM(Revenue!EV37,Revenue!EV384)+Expense!EV69</f>
        <v>2025</v>
      </c>
      <c r="EY20" s="535">
        <f>SUM(Revenue!EW37,Revenue!EW384)+Expense!EW69</f>
        <v>2057</v>
      </c>
      <c r="EZ20" s="535">
        <f>SUM(Revenue!EX37,Revenue!EX384)+Expense!EX69</f>
        <v>2019</v>
      </c>
      <c r="FA20" s="535">
        <f>SUM(Revenue!EY37,Revenue!EY384)+Expense!EY69</f>
        <v>2009</v>
      </c>
      <c r="FB20" s="535">
        <f>SUM(EX20:FA20)</f>
        <v>8110</v>
      </c>
      <c r="FD20" s="688" t="s">
        <v>2</v>
      </c>
      <c r="FE20" s="535">
        <f>SUM(Revenue!FC37,Revenue!FC384)+Expense!FC69</f>
        <v>1964</v>
      </c>
      <c r="FF20" s="535">
        <f>SUM(Revenue!FD37,Revenue!FD384)+Expense!FD69</f>
        <v>2073</v>
      </c>
      <c r="FG20" s="535">
        <f>SUM(Revenue!FE37,Revenue!FE384)+Expense!FE69</f>
        <v>2055</v>
      </c>
      <c r="FH20" s="535">
        <f>SUM(Revenue!FF37,Revenue!FF384)+Expense!FF69</f>
        <v>2060</v>
      </c>
      <c r="FI20" s="535">
        <f>SUM(FE20:FH20)</f>
        <v>8152</v>
      </c>
      <c r="FK20" s="688" t="s">
        <v>2</v>
      </c>
      <c r="FL20" s="535">
        <f>SUM(Revenue!FJ37,Revenue!FJ384)+Expense!FJ69</f>
        <v>1960</v>
      </c>
      <c r="FM20" s="535">
        <f>SUM(Revenue!FK37,Revenue!FK384)+Expense!FK69</f>
        <v>1888</v>
      </c>
      <c r="FN20" s="535">
        <f>SUM(Revenue!FL37,Revenue!FL384)</f>
        <v>1823</v>
      </c>
      <c r="FO20" s="535">
        <f>SUM(Revenue!FM37,Revenue!FM384)</f>
        <v>1896</v>
      </c>
      <c r="FP20" s="535">
        <f>SUM(FL20:FO20)</f>
        <v>7567</v>
      </c>
      <c r="FR20" s="688" t="s">
        <v>2</v>
      </c>
      <c r="FS20" s="535">
        <f>SUM(Revenue!FQ37,Revenue!FQ384)</f>
        <v>1920</v>
      </c>
      <c r="FT20" s="535">
        <f>SUM(Revenue!FR37,Revenue!FR384)</f>
        <v>1995</v>
      </c>
      <c r="FU20" s="535">
        <f>SUM(Revenue!FS37,Revenue!FS384)</f>
        <v>1938</v>
      </c>
      <c r="FV20" s="535">
        <f>SUM(Revenue!FT37,Revenue!FT384)</f>
        <v>2172</v>
      </c>
      <c r="FW20" s="535">
        <f>SUM(FS20:FV20)</f>
        <v>8025</v>
      </c>
      <c r="FY20" s="688" t="s">
        <v>2</v>
      </c>
      <c r="FZ20" s="535">
        <f>SUM(Revenue!FX37,Revenue!FX384)</f>
        <v>2108</v>
      </c>
      <c r="GA20" s="535">
        <f>SUM(Revenue!FY37,Revenue!FY384)</f>
        <v>2149</v>
      </c>
      <c r="GB20" s="535">
        <f>SUM(Revenue!FZ37,Revenue!FZ384)</f>
        <v>2125</v>
      </c>
      <c r="GC20" s="535">
        <f>SUM(Revenue!GA37,Revenue!GA384)</f>
        <v>2219</v>
      </c>
      <c r="GD20" s="535">
        <f>SUM(FZ20:GC20)</f>
        <v>8601</v>
      </c>
      <c r="GF20" s="688" t="s">
        <v>2</v>
      </c>
      <c r="GG20" s="535">
        <f>SUM(Revenue!GE37,Revenue!GE384)</f>
        <v>2331</v>
      </c>
      <c r="GH20" s="535">
        <f>SUM(Revenue!GF37,Revenue!GF384)</f>
        <v>2421</v>
      </c>
      <c r="GI20" s="535">
        <f>SUM(Revenue!GG37,Revenue!GG384)</f>
        <v>2418</v>
      </c>
      <c r="GJ20" s="535">
        <f>SUM(Revenue!GH37,Revenue!GH384)</f>
        <v>2396</v>
      </c>
      <c r="GK20" s="535">
        <f>SUM(GG20:GJ20)</f>
        <v>9566</v>
      </c>
      <c r="GM20" s="688" t="s">
        <v>2</v>
      </c>
      <c r="GN20" s="535">
        <f>SUM(Revenue!GL37,Revenue!GL384)</f>
        <v>2422</v>
      </c>
      <c r="GO20" s="535">
        <f>SUM(Revenue!GM37,Revenue!GM384)</f>
        <v>2530</v>
      </c>
      <c r="GP20" s="535">
        <f>SUM(Revenue!GN37,Revenue!GN384)</f>
        <v>2501</v>
      </c>
      <c r="GQ20" s="535">
        <f>SUM(Revenue!GO37,Revenue!GO384)</f>
        <v>2577</v>
      </c>
      <c r="GR20" s="535">
        <f>SUM(GN20:GQ20)</f>
        <v>10030</v>
      </c>
      <c r="GT20" s="688" t="s">
        <v>2</v>
      </c>
      <c r="GU20" s="535">
        <f>SUM(Revenue!GS37,Revenue!GS384)</f>
        <v>2713</v>
      </c>
      <c r="GV20" s="535">
        <f>SUM(Revenue!GT37,Revenue!GT384)</f>
        <v>2907</v>
      </c>
      <c r="GW20" s="535">
        <f>SUM(Revenue!GU37,Revenue!GU384)</f>
        <v>2961</v>
      </c>
      <c r="GX20" s="535">
        <f>SUM(Revenue!GV37,Revenue!GV384)</f>
        <v>2674</v>
      </c>
      <c r="GY20" s="535">
        <f>SUM(GU20:GX20)</f>
        <v>11255</v>
      </c>
      <c r="HA20" s="688" t="s">
        <v>2</v>
      </c>
      <c r="HB20" s="535">
        <f>SUM(Revenue!GZ37,Revenue!GZ384)</f>
        <v>2247</v>
      </c>
      <c r="HC20" s="535">
        <f>SUM(Revenue!HA37,Revenue!HA384)</f>
        <v>2185</v>
      </c>
      <c r="HD20" s="535">
        <f>SUM(Revenue!HB37,Revenue!HB384)</f>
        <v>2289</v>
      </c>
      <c r="HE20" s="535">
        <f>SUM(Revenue!HC37,Revenue!HC384)</f>
        <v>2320</v>
      </c>
      <c r="HF20" s="535">
        <f>SUM(HB20:HE20)</f>
        <v>9041</v>
      </c>
      <c r="HH20" s="688" t="s">
        <v>2</v>
      </c>
      <c r="HI20" s="535">
        <f>SUM(Revenue!HG37,Revenue!HG384)</f>
        <v>2491</v>
      </c>
      <c r="HJ20" s="535">
        <f>SUM(Revenue!HH37,Revenue!HH384)</f>
        <v>2663</v>
      </c>
      <c r="HK20" s="535">
        <f>SUM(Revenue!HI37,Revenue!HI384)</f>
        <v>2666</v>
      </c>
      <c r="HL20" s="535">
        <f>SUM(Revenue!HJ37,Revenue!HJ384)</f>
        <v>2816</v>
      </c>
      <c r="HM20" s="535">
        <f>SUM(HI20:HL20)</f>
        <v>10636</v>
      </c>
      <c r="HO20" s="688" t="s">
        <v>2</v>
      </c>
      <c r="HP20" s="535">
        <f>SUM(Revenue!HN37,Revenue!HN384)</f>
        <v>2810</v>
      </c>
      <c r="HQ20" s="535">
        <f>SUM(Revenue!HO37,Revenue!HO384)</f>
        <v>3019</v>
      </c>
      <c r="HR20" s="535">
        <f>SUM(Revenue!HP37,Revenue!HP384)</f>
        <v>2963</v>
      </c>
      <c r="HS20" s="535">
        <f>SUM(Revenue!HQ37,Revenue!HQ384)</f>
        <v>2951</v>
      </c>
      <c r="HT20" s="535">
        <f>SUM(HP20:HS20)</f>
        <v>11743</v>
      </c>
      <c r="HV20" s="688" t="s">
        <v>2</v>
      </c>
      <c r="HW20" s="535">
        <f>SUM(Revenue!HU37,Revenue!HU384)</f>
        <v>2966</v>
      </c>
      <c r="HX20" s="535">
        <f>SUM(Revenue!HV37,Revenue!HV384)</f>
        <v>3012</v>
      </c>
      <c r="HY20" s="535">
        <f>SUM(Revenue!HW37,Revenue!HW384)</f>
        <v>2894</v>
      </c>
      <c r="HZ20" s="535">
        <f>SUM(Revenue!HX37,Revenue!HX384)</f>
        <v>2884</v>
      </c>
      <c r="IA20" s="535">
        <f>SUM(HW20:HZ20)</f>
        <v>11756</v>
      </c>
      <c r="IC20" s="688" t="s">
        <v>2</v>
      </c>
      <c r="ID20" s="535">
        <f>SUM(Revenue!IB37,Revenue!IB384)</f>
        <v>2958</v>
      </c>
      <c r="IE20" s="535">
        <f>SUM(Revenue!IC37,Revenue!IC384)</f>
        <v>3069</v>
      </c>
      <c r="IF20" s="535">
        <f>SUM(Revenue!ID37,Revenue!ID384)</f>
        <v>2999</v>
      </c>
      <c r="IG20" s="535">
        <f>SUM(Revenue!IE37,Revenue!IE384)</f>
        <v>3032</v>
      </c>
      <c r="IH20" s="535">
        <f>SUM(ID20:IG20)</f>
        <v>12058</v>
      </c>
      <c r="IJ20" s="688" t="s">
        <v>2</v>
      </c>
      <c r="IK20" s="535">
        <f>SUM(Revenue!II37,Revenue!II384)</f>
        <v>3012</v>
      </c>
      <c r="IL20" s="535">
        <f>SUM(Revenue!IJ37,Revenue!IJ384)</f>
        <v>3244</v>
      </c>
      <c r="IM20" s="535">
        <f>SUM(Revenue!IK37,Revenue!IK384)</f>
        <v>3221</v>
      </c>
      <c r="IN20" s="535">
        <f>SUM(Revenue!IL37,Revenue!IL384)</f>
        <v>3192</v>
      </c>
      <c r="IO20" s="535">
        <f>SUM(IK20:IN20)</f>
        <v>12669</v>
      </c>
      <c r="IQ20" s="688" t="s">
        <v>2</v>
      </c>
      <c r="IR20" s="535">
        <v>3027</v>
      </c>
      <c r="IS20" s="535">
        <v>3064</v>
      </c>
      <c r="IT20" s="535">
        <v>2939</v>
      </c>
      <c r="IU20" s="535">
        <v>2781</v>
      </c>
      <c r="IV20" s="535">
        <f>SUM(IR20:IU20)</f>
        <v>11811</v>
      </c>
      <c r="IX20" s="688" t="s">
        <v>2</v>
      </c>
      <c r="IY20" s="535">
        <v>2618</v>
      </c>
      <c r="IZ20" s="535">
        <v>2704</v>
      </c>
      <c r="JA20" s="535">
        <v>2710</v>
      </c>
      <c r="JB20" s="535">
        <v>3037</v>
      </c>
      <c r="JC20" s="535">
        <f>SUM(IY20:JB20)</f>
        <v>11069</v>
      </c>
      <c r="JE20" s="688" t="s">
        <v>2</v>
      </c>
      <c r="JF20" s="535">
        <v>2869</v>
      </c>
      <c r="JG20" s="535">
        <v>2933</v>
      </c>
      <c r="JH20" s="535">
        <v>2743</v>
      </c>
      <c r="JI20" s="535">
        <v>2863</v>
      </c>
      <c r="JJ20" s="535">
        <f>SUM(JF20:JI20)</f>
        <v>11408</v>
      </c>
      <c r="JL20" s="688" t="s">
        <v>2</v>
      </c>
      <c r="JM20" s="535">
        <v>2876</v>
      </c>
      <c r="JN20" s="535">
        <v>3102</v>
      </c>
      <c r="JO20" s="535">
        <v>3129</v>
      </c>
      <c r="JP20" s="535">
        <v>3143</v>
      </c>
      <c r="JQ20" s="535">
        <f>SUM(JM20:JP20)</f>
        <v>12250</v>
      </c>
      <c r="JS20" s="688" t="s">
        <v>2</v>
      </c>
      <c r="JT20" s="535">
        <v>3013</v>
      </c>
      <c r="JU20" s="535">
        <f>Revenue!JS37</f>
        <v>3061</v>
      </c>
      <c r="JV20" s="535">
        <v>2978</v>
      </c>
      <c r="JW20" s="535">
        <v>2885</v>
      </c>
      <c r="JX20" s="535">
        <f>SUM(JT20:JW20)</f>
        <v>11937</v>
      </c>
      <c r="JZ20" s="688" t="s">
        <v>2</v>
      </c>
      <c r="KA20" s="535">
        <v>2855</v>
      </c>
      <c r="KB20" s="535">
        <f>Revenue!JZ37</f>
        <v>2255</v>
      </c>
      <c r="KC20" s="535">
        <f>Revenue!KA37</f>
        <v>2648</v>
      </c>
      <c r="KD20" s="535">
        <f>Revenue!KB37</f>
        <v>2825</v>
      </c>
      <c r="KE20" s="535">
        <f>SUM(KA20:KD20)</f>
        <v>10583</v>
      </c>
      <c r="KG20" s="688" t="s">
        <v>2</v>
      </c>
      <c r="KH20" s="535">
        <f>Revenue!KF37</f>
        <v>2813</v>
      </c>
      <c r="KI20" s="535">
        <f>Revenue!KG37</f>
        <v>2990</v>
      </c>
      <c r="KJ20" s="535">
        <f>Revenue!KH37</f>
        <v>3292</v>
      </c>
      <c r="KK20" s="535">
        <f>Revenue!KI37</f>
        <v>3427</v>
      </c>
      <c r="KL20" s="535">
        <f>Revenue!KJ37</f>
        <v>12522</v>
      </c>
      <c r="KN20" s="688" t="s">
        <v>2</v>
      </c>
      <c r="KO20" s="535">
        <f>Revenue!KM37</f>
        <v>3413</v>
      </c>
      <c r="KP20" s="535">
        <f>Revenue!KN37</f>
        <v>3815</v>
      </c>
      <c r="KQ20" s="535">
        <f>Revenue!KO37</f>
        <v>3895</v>
      </c>
      <c r="KR20" s="535">
        <f>Revenue!KP37</f>
        <v>3730</v>
      </c>
      <c r="KS20" s="535">
        <f>Revenue!KQ37</f>
        <v>14853</v>
      </c>
      <c r="KU20" s="688" t="s">
        <v>2</v>
      </c>
      <c r="KV20" s="535">
        <f>Revenue!KT37</f>
        <v>3706</v>
      </c>
      <c r="KW20" s="535">
        <f>Revenue!KU37</f>
        <v>3699</v>
      </c>
      <c r="KX20" s="689">
        <f>Revenue!KV37</f>
        <v>3572</v>
      </c>
      <c r="KY20" s="535">
        <f>Revenue!KW37</f>
        <v>3680</v>
      </c>
      <c r="KZ20" s="535">
        <f>Revenue!KX37</f>
        <v>14657</v>
      </c>
      <c r="LA20" s="623"/>
      <c r="LB20" s="688" t="s">
        <v>2</v>
      </c>
      <c r="LC20" s="535">
        <f>Revenue!LA37</f>
        <v>3681</v>
      </c>
      <c r="LD20" s="689">
        <f>Revenue!LB37</f>
        <v>3701</v>
      </c>
      <c r="LE20" s="689">
        <f>Revenue!LC37</f>
        <v>3619</v>
      </c>
      <c r="LF20" s="689">
        <f>Revenue!LD37</f>
        <v>3539</v>
      </c>
      <c r="LG20" s="689">
        <f>Revenue!LE37</f>
        <v>14540</v>
      </c>
      <c r="LH20" s="661"/>
      <c r="LI20" s="688" t="s">
        <v>2</v>
      </c>
      <c r="LJ20" s="689">
        <f>Revenue!LH37</f>
        <v>3423</v>
      </c>
      <c r="LK20" s="689">
        <f>Revenue!LI37</f>
        <v>3574</v>
      </c>
      <c r="LL20" s="689">
        <f>Revenue!LJ37</f>
        <v>3587</v>
      </c>
      <c r="LM20" s="689">
        <f>Revenue!LK37</f>
        <v>3508</v>
      </c>
      <c r="LN20" s="689">
        <f>Revenue!LL37</f>
        <v>14092</v>
      </c>
      <c r="LO20" s="661"/>
      <c r="LP20" s="688" t="s">
        <v>2</v>
      </c>
      <c r="LQ20" s="689">
        <f>Revenue!LO37</f>
        <v>3460.8174249999997</v>
      </c>
      <c r="LR20" s="689">
        <f>Revenue!LP37</f>
        <v>3635.8899249999999</v>
      </c>
      <c r="LS20" s="689">
        <f>Revenue!LQ37</f>
        <v>3703.9341499999996</v>
      </c>
      <c r="LT20" s="689">
        <f>Revenue!LR37</f>
        <v>3694.1537750000002</v>
      </c>
      <c r="LU20" s="689">
        <f>Revenue!LS37</f>
        <v>14494.795274999997</v>
      </c>
      <c r="LV20" s="661"/>
      <c r="LW20" s="688" t="s">
        <v>2</v>
      </c>
      <c r="LX20" s="689">
        <f>Revenue!LV37</f>
        <v>3628.2348315835934</v>
      </c>
      <c r="LY20" s="689">
        <f>Revenue!LW37</f>
        <v>3808.9529552824997</v>
      </c>
      <c r="LZ20" s="689">
        <f>Revenue!LX37</f>
        <v>3876.0113926937497</v>
      </c>
      <c r="MA20" s="689">
        <f>Revenue!LY37</f>
        <v>3867.7066806243756</v>
      </c>
      <c r="MB20" s="689">
        <f>Revenue!LZ37</f>
        <v>15180.905860184219</v>
      </c>
      <c r="MC20" s="661"/>
      <c r="MD20" s="688" t="s">
        <v>2</v>
      </c>
      <c r="ME20" s="689">
        <f>Revenue!MC37</f>
        <v>3790.9745051509626</v>
      </c>
      <c r="MF20" s="689">
        <f>Revenue!MD37</f>
        <v>3977.2449559982037</v>
      </c>
      <c r="MG20" s="689">
        <f>Revenue!ME37</f>
        <v>4046.107208494479</v>
      </c>
      <c r="MH20" s="689">
        <f>Revenue!MF37</f>
        <v>4034.3107193818096</v>
      </c>
      <c r="MI20" s="689">
        <f>Revenue!MG37</f>
        <v>15848.637389025456</v>
      </c>
      <c r="MJ20" s="661"/>
    </row>
    <row r="21" spans="1:349" s="50" customFormat="1" x14ac:dyDescent="0.4">
      <c r="A21" s="48"/>
      <c r="B21" s="520" t="s">
        <v>3</v>
      </c>
      <c r="C21" s="49" t="s">
        <v>80</v>
      </c>
      <c r="D21" s="49">
        <f t="shared" ref="D21:M21" si="55">D20/C20-1</f>
        <v>0.16458421012687907</v>
      </c>
      <c r="E21" s="49">
        <f t="shared" si="55"/>
        <v>0.11931562359297621</v>
      </c>
      <c r="F21" s="49">
        <f t="shared" si="55"/>
        <v>0.13164246093915399</v>
      </c>
      <c r="G21" s="49">
        <f t="shared" si="55"/>
        <v>-9.1708448701638856E-2</v>
      </c>
      <c r="H21" s="49">
        <f t="shared" si="55"/>
        <v>9.6807415036044286E-3</v>
      </c>
      <c r="I21" s="49">
        <f t="shared" si="55"/>
        <v>0.14177886576907395</v>
      </c>
      <c r="J21" s="49">
        <f t="shared" si="55"/>
        <v>-4.2165445774522081E-2</v>
      </c>
      <c r="K21" s="49">
        <f t="shared" si="55"/>
        <v>0.12367095691102414</v>
      </c>
      <c r="L21" s="49">
        <f t="shared" si="55"/>
        <v>0.15371845949535201</v>
      </c>
      <c r="M21" s="49">
        <f t="shared" si="55"/>
        <v>9.2374100719424534E-2</v>
      </c>
      <c r="N21" s="49">
        <f>BV21</f>
        <v>2.0152792413066445E-2</v>
      </c>
      <c r="O21" s="49">
        <f>CC21</f>
        <v>5.94340865074241E-2</v>
      </c>
      <c r="P21" s="49">
        <f>CJ21</f>
        <v>5.2524844561154582E-2</v>
      </c>
      <c r="Q21" s="49">
        <f>CQ21</f>
        <v>1.1324293968481891E-2</v>
      </c>
      <c r="R21" s="49">
        <f>CX21</f>
        <v>2.3631513264102733E-2</v>
      </c>
      <c r="S21" s="49">
        <f>DE21</f>
        <v>7.4660253900788565E-2</v>
      </c>
      <c r="T21" s="49">
        <f>DL21</f>
        <v>7.2439633638634371E-2</v>
      </c>
      <c r="U21" s="49">
        <f>DS21</f>
        <v>2.2515527950310643E-2</v>
      </c>
      <c r="V21" s="49">
        <f>DZ21</f>
        <v>4.0527714502657464E-2</v>
      </c>
      <c r="W21" s="49">
        <f>EG21</f>
        <v>-0.10051993067590992</v>
      </c>
      <c r="X21" s="49">
        <f>EN21</f>
        <v>9.6339113680154131E-2</v>
      </c>
      <c r="Y21" s="49">
        <f>EU21</f>
        <v>-0.21977615391730643</v>
      </c>
      <c r="Z21" s="49">
        <f>FB21</f>
        <v>-3.8529934795494936E-2</v>
      </c>
      <c r="AA21" s="49">
        <f>FI21</f>
        <v>5.1787916152896685E-3</v>
      </c>
      <c r="AB21" s="49">
        <f>FP21</f>
        <v>-7.1761530912659466E-2</v>
      </c>
      <c r="AC21" s="49">
        <f>FW21</f>
        <v>6.0525968019029985E-2</v>
      </c>
      <c r="AD21" s="49">
        <f>GD21</f>
        <v>7.1775700934579412E-2</v>
      </c>
      <c r="AE21" s="49">
        <f>GK21</f>
        <v>0.11219625624927332</v>
      </c>
      <c r="AF21" s="49">
        <f>GR21</f>
        <v>4.850512230817472E-2</v>
      </c>
      <c r="AG21" s="49">
        <f>GY21</f>
        <v>0.12213359920239286</v>
      </c>
      <c r="AH21" s="49">
        <f>HF21</f>
        <v>-0.19671257219013771</v>
      </c>
      <c r="AI21" s="49">
        <f>HM21</f>
        <v>0.17641853777237038</v>
      </c>
      <c r="AJ21" s="49">
        <f>HT21</f>
        <v>0.10408048138397885</v>
      </c>
      <c r="AK21" s="49">
        <f>IA21</f>
        <v>1.1070424934003231E-3</v>
      </c>
      <c r="AL21" s="49">
        <f>IH21</f>
        <v>2.5689009867301715E-2</v>
      </c>
      <c r="AM21" s="49">
        <f>IO21</f>
        <v>5.067175319290107E-2</v>
      </c>
      <c r="AN21" s="49">
        <f>IV21</f>
        <v>-6.7724366564054006E-2</v>
      </c>
      <c r="AO21" s="49">
        <f>JC21</f>
        <v>-6.2822792312251297E-2</v>
      </c>
      <c r="AP21" s="49">
        <f>JJ21</f>
        <v>3.0626072815972627E-2</v>
      </c>
      <c r="AQ21" s="49">
        <f>JQ21</f>
        <v>7.3807854137447393E-2</v>
      </c>
      <c r="AR21" s="49">
        <f>JX21</f>
        <v>-2.5551020408163261E-2</v>
      </c>
      <c r="AS21" s="49">
        <f>KE21</f>
        <v>-0.11342883471559018</v>
      </c>
      <c r="AT21" s="49">
        <f>KL21</f>
        <v>0.1832183690824909</v>
      </c>
      <c r="AU21" s="49">
        <f>KS21</f>
        <v>0.18615237182558686</v>
      </c>
      <c r="AV21" s="49">
        <f>KZ21</f>
        <v>-1.3195987342624393E-2</v>
      </c>
      <c r="AW21" s="49">
        <f>LG21</f>
        <v>-7.9825339428259978E-3</v>
      </c>
      <c r="AX21" s="49">
        <f>LN21</f>
        <v>-3.0811554332874858E-2</v>
      </c>
      <c r="AY21" s="49">
        <f>LU21</f>
        <v>2.8583258231620556E-2</v>
      </c>
      <c r="AZ21" s="49">
        <f>MB21</f>
        <v>4.7334962113442014E-2</v>
      </c>
      <c r="BA21" s="49">
        <f>MI21</f>
        <v>4.3984959460985351E-2</v>
      </c>
      <c r="BB21" s="49"/>
      <c r="BC21" s="49"/>
      <c r="BD21" s="49"/>
      <c r="BE21" s="49"/>
      <c r="BF21" s="49"/>
      <c r="BG21" s="49"/>
      <c r="BH21" s="49"/>
      <c r="BI21" s="49"/>
      <c r="BJ21" s="49"/>
      <c r="BK21" s="49"/>
      <c r="BL21" s="49"/>
      <c r="BM21" s="49"/>
      <c r="BN21" s="49"/>
      <c r="BO21" s="49"/>
      <c r="BQ21" s="520" t="s">
        <v>3</v>
      </c>
      <c r="BR21" s="51"/>
      <c r="BS21" s="51"/>
      <c r="BT21" s="51"/>
      <c r="BU21" s="51"/>
      <c r="BV21" s="51">
        <f>BV20/M20-1</f>
        <v>2.0152792413066445E-2</v>
      </c>
      <c r="BX21" s="520" t="s">
        <v>3</v>
      </c>
      <c r="BY21" s="51">
        <f>BY20/BR20-1</f>
        <v>3.4656687276277243E-2</v>
      </c>
      <c r="BZ21" s="51">
        <f>BZ20/BS20-1</f>
        <v>3.6930091185410463E-2</v>
      </c>
      <c r="CA21" s="51">
        <f>CA20/BT20-1</f>
        <v>8.9862116329441522E-2</v>
      </c>
      <c r="CB21" s="51">
        <f>CB20/BU20-1</f>
        <v>7.5415130511724104E-2</v>
      </c>
      <c r="CC21" s="51">
        <f>CC20/BV20-1</f>
        <v>5.94340865074241E-2</v>
      </c>
      <c r="CE21" s="520" t="s">
        <v>3</v>
      </c>
      <c r="CF21" s="51">
        <f>CF20/BY20-1</f>
        <v>6.4265869895685945E-2</v>
      </c>
      <c r="CG21" s="51">
        <f>CG20/BZ20-1</f>
        <v>3.815525917240703E-2</v>
      </c>
      <c r="CH21" s="51">
        <f>CH20/CA20-1</f>
        <v>6.8783325254483829E-2</v>
      </c>
      <c r="CI21" s="51">
        <f>CI20/CB20-1</f>
        <v>4.0399649497626866E-2</v>
      </c>
      <c r="CJ21" s="51">
        <f>CJ20/CC20-1</f>
        <v>5.2524844561154582E-2</v>
      </c>
      <c r="CL21" s="520" t="s">
        <v>3</v>
      </c>
      <c r="CM21" s="51">
        <f>CM20/CF20-1</f>
        <v>2.7631384524454683E-2</v>
      </c>
      <c r="CN21" s="51">
        <f>CN20/CG20-1</f>
        <v>2.974117647058816E-2</v>
      </c>
      <c r="CO21" s="51">
        <f>CO20/CH20-1</f>
        <v>4.2632318926028034E-3</v>
      </c>
      <c r="CP21" s="51">
        <f>CP20/CI20-1</f>
        <v>-1.3575853433504759E-2</v>
      </c>
      <c r="CQ21" s="51">
        <f>CQ20/CJ20-1</f>
        <v>1.1324293968481891E-2</v>
      </c>
      <c r="CS21" s="520" t="s">
        <v>3</v>
      </c>
      <c r="CT21" s="51">
        <f>CT20/CM20-1</f>
        <v>1.7685966257668717E-2</v>
      </c>
      <c r="CU21" s="51">
        <f>CU20/CN20-1</f>
        <v>3.4411845352344539E-2</v>
      </c>
      <c r="CV21" s="51">
        <f>CV20/CO20-1</f>
        <v>1.1019283746556363E-2</v>
      </c>
      <c r="CW21" s="51">
        <f>CW20/CP20-1</f>
        <v>3.1088544450383226E-2</v>
      </c>
      <c r="CX21" s="51">
        <f>CX20/CQ20-1</f>
        <v>2.3631513264102733E-2</v>
      </c>
      <c r="CZ21" s="520" t="s">
        <v>3</v>
      </c>
      <c r="DA21" s="51">
        <f>DA20/CT20-1</f>
        <v>4.8839071257005484E-2</v>
      </c>
      <c r="DB21" s="51">
        <f>DB20/CU20-1</f>
        <v>4.749282085266171E-2</v>
      </c>
      <c r="DC21" s="51">
        <f>DC20/CV20-1</f>
        <v>0.10331889042748021</v>
      </c>
      <c r="DD21" s="51">
        <f>DD20/CW20-1</f>
        <v>9.7192224622030254E-2</v>
      </c>
      <c r="DE21" s="51">
        <f>DE20/CX20-1</f>
        <v>7.4660253900788565E-2</v>
      </c>
      <c r="DG21" s="520" t="s">
        <v>3</v>
      </c>
      <c r="DH21" s="51">
        <f>DH20/DA20-1</f>
        <v>9.7440502918724636E-2</v>
      </c>
      <c r="DI21" s="51">
        <f>DI20/DB20-1</f>
        <v>7.5073808519611873E-2</v>
      </c>
      <c r="DJ21" s="51">
        <f>DJ20/DC20-1</f>
        <v>5.3036437246963608E-2</v>
      </c>
      <c r="DK21" s="51">
        <f>DK20/DD20-1</f>
        <v>6.692913385826782E-2</v>
      </c>
      <c r="DL21" s="51">
        <f>DL20/DE20-1</f>
        <v>7.2439633638634371E-2</v>
      </c>
      <c r="DN21" s="520" t="s">
        <v>3</v>
      </c>
      <c r="DO21" s="51">
        <f>DO20/DH20-1</f>
        <v>2.8641571194762738E-2</v>
      </c>
      <c r="DP21" s="51">
        <f>DP20/DI20-1</f>
        <v>4.8254217340133465E-2</v>
      </c>
      <c r="DQ21" s="51">
        <f>DQ20/DJ20-1</f>
        <v>1.7685505574778881E-2</v>
      </c>
      <c r="DR21" s="51">
        <f>DR20/DK20-1</f>
        <v>-2.5830258302582676E-3</v>
      </c>
      <c r="DS21" s="51">
        <f>DS20/DL20-1</f>
        <v>2.2515527950310643E-2</v>
      </c>
      <c r="DU21" s="520" t="s">
        <v>3</v>
      </c>
      <c r="DV21" s="51">
        <f>DV20/DO20-1</f>
        <v>2.1081941129673876E-2</v>
      </c>
      <c r="DW21" s="51">
        <f>DW20/DP20-1</f>
        <v>2.2455089820359042E-3</v>
      </c>
      <c r="DX21" s="51">
        <f>DX20/DQ20-1</f>
        <v>6.3468077068379314E-2</v>
      </c>
      <c r="DY21" s="51">
        <f>DY20/DR20-1</f>
        <v>7.3991860895301409E-2</v>
      </c>
      <c r="DZ21" s="51">
        <f>DZ20/DS20-1</f>
        <v>4.0527714502657464E-2</v>
      </c>
      <c r="EB21" s="520" t="s">
        <v>3</v>
      </c>
      <c r="EC21" s="51">
        <f>EC20/DV20-1</f>
        <v>-4.8694974678613168E-2</v>
      </c>
      <c r="ED21" s="51">
        <f>ED20/DW20-1</f>
        <v>-7.0201643017177018E-2</v>
      </c>
      <c r="EE21" s="51">
        <f>EE20/DX20-1</f>
        <v>-0.13712255772646531</v>
      </c>
      <c r="EF21" s="51">
        <f>EF20/DY20-1</f>
        <v>-0.138821908370651</v>
      </c>
      <c r="EG21" s="51">
        <f>EG20/DZ20-1</f>
        <v>-0.10051993067590992</v>
      </c>
      <c r="EI21" s="520" t="s">
        <v>3</v>
      </c>
      <c r="EJ21" s="51">
        <f>EJ20/EC20-1</f>
        <v>4.0540540540540571E-2</v>
      </c>
      <c r="EK21" s="51">
        <f>EK20/ED20-1</f>
        <v>5.0602409638554224E-2</v>
      </c>
      <c r="EL21" s="51">
        <f>EL20/EE20-1</f>
        <v>0.19637710992177859</v>
      </c>
      <c r="EM21" s="51">
        <f>EM20/EF20-1</f>
        <v>9.9199999999999955E-2</v>
      </c>
      <c r="EN21" s="51">
        <f>EN20/EG20-1</f>
        <v>9.6339113680154131E-2</v>
      </c>
      <c r="EP21" s="520" t="s">
        <v>3</v>
      </c>
      <c r="EQ21" s="51">
        <f>EQ20/EJ20-1</f>
        <v>-0.15505706414797327</v>
      </c>
      <c r="ER21" s="51">
        <f>ER20/EK20-1</f>
        <v>-0.15825688073394495</v>
      </c>
      <c r="ES21" s="51">
        <f>ES20/EL20-1</f>
        <v>-0.29834824501032342</v>
      </c>
      <c r="ET21" s="51">
        <f>ET20/EM20-1</f>
        <v>-0.25509461426491997</v>
      </c>
      <c r="EU21" s="51">
        <f>EU20/EN20-1</f>
        <v>-0.21977615391730643</v>
      </c>
      <c r="EW21" s="520" t="s">
        <v>3</v>
      </c>
      <c r="EX21" s="51">
        <f>EX20/EQ20-1</f>
        <v>-5.6823474615742886E-2</v>
      </c>
      <c r="EY21" s="51">
        <f>EY20/ER20-1</f>
        <v>-6.5849227974568603E-2</v>
      </c>
      <c r="EZ21" s="51">
        <f>EZ20/ES20-1</f>
        <v>-9.8087297694948727E-3</v>
      </c>
      <c r="FA21" s="51">
        <f>FA20/ET20-1</f>
        <v>-1.8563751831949249E-2</v>
      </c>
      <c r="FB21" s="51">
        <f>FB20/EU20-1</f>
        <v>-3.8529934795494936E-2</v>
      </c>
      <c r="FD21" s="520" t="s">
        <v>3</v>
      </c>
      <c r="FE21" s="51">
        <f>FE20/EX20-1</f>
        <v>-3.0123456790123404E-2</v>
      </c>
      <c r="FF21" s="51">
        <f>FF20/EY20-1</f>
        <v>7.7783179387458379E-3</v>
      </c>
      <c r="FG21" s="51">
        <f>FG20/EZ20-1</f>
        <v>1.7830609212481363E-2</v>
      </c>
      <c r="FH21" s="51">
        <f>FH20/FA20-1</f>
        <v>2.5385764061722327E-2</v>
      </c>
      <c r="FI21" s="51">
        <f>FI20/FB20-1</f>
        <v>5.1787916152896685E-3</v>
      </c>
      <c r="FK21" s="520" t="s">
        <v>3</v>
      </c>
      <c r="FL21" s="51">
        <f>FL20/FE20-1</f>
        <v>-2.0366598778004397E-3</v>
      </c>
      <c r="FM21" s="51">
        <f>FM20/FF20-1</f>
        <v>-8.9242643511818653E-2</v>
      </c>
      <c r="FN21" s="51">
        <f>FN20/FG20-1</f>
        <v>-0.11289537712895381</v>
      </c>
      <c r="FO21" s="51">
        <f>FO20/FH20-1</f>
        <v>-7.9611650485436947E-2</v>
      </c>
      <c r="FP21" s="51">
        <f>FP20/FI20-1</f>
        <v>-7.1761530912659466E-2</v>
      </c>
      <c r="FR21" s="520" t="s">
        <v>3</v>
      </c>
      <c r="FS21" s="51">
        <f>FS20/FL20-1</f>
        <v>-2.0408163265306145E-2</v>
      </c>
      <c r="FT21" s="51">
        <f>FT20/FM20-1</f>
        <v>5.6673728813559254E-2</v>
      </c>
      <c r="FU21" s="51">
        <f>FU20/FN20-1</f>
        <v>6.3082830499177289E-2</v>
      </c>
      <c r="FV21" s="51">
        <f>FV20/FO20-1</f>
        <v>0.14556962025316467</v>
      </c>
      <c r="FW21" s="51">
        <f>FW20/FP20-1</f>
        <v>6.0525968019029985E-2</v>
      </c>
      <c r="FY21" s="520" t="s">
        <v>3</v>
      </c>
      <c r="FZ21" s="51">
        <f>FZ20/FS20-1</f>
        <v>9.7916666666666652E-2</v>
      </c>
      <c r="GA21" s="51">
        <f>GA20/FT20-1</f>
        <v>7.7192982456140369E-2</v>
      </c>
      <c r="GB21" s="51">
        <f>GB20/FU20-1</f>
        <v>9.6491228070175517E-2</v>
      </c>
      <c r="GC21" s="51">
        <f>GC20/FV20-1</f>
        <v>2.1639042357274318E-2</v>
      </c>
      <c r="GD21" s="51">
        <f>GD20/FW20-1</f>
        <v>7.1775700934579412E-2</v>
      </c>
      <c r="GF21" s="520" t="s">
        <v>3</v>
      </c>
      <c r="GG21" s="51">
        <f>GG20/FZ20-1</f>
        <v>0.10578747628083485</v>
      </c>
      <c r="GH21" s="51">
        <f>GH20/GA20-1</f>
        <v>0.12657049790600272</v>
      </c>
      <c r="GI21" s="51">
        <f>GI20/GB20-1</f>
        <v>0.13788235294117657</v>
      </c>
      <c r="GJ21" s="51">
        <f>GJ20/GC20-1</f>
        <v>7.9765660207300693E-2</v>
      </c>
      <c r="GK21" s="51">
        <f>GK20/GD20-1</f>
        <v>0.11219625624927332</v>
      </c>
      <c r="GM21" s="520" t="s">
        <v>3</v>
      </c>
      <c r="GN21" s="51">
        <f>GN20/GG20-1</f>
        <v>3.9039039039038936E-2</v>
      </c>
      <c r="GO21" s="51">
        <f>GO20/GH20-1</f>
        <v>4.5022717885171426E-2</v>
      </c>
      <c r="GP21" s="51">
        <f>GP20/GI20-1</f>
        <v>3.4325889164598777E-2</v>
      </c>
      <c r="GQ21" s="51">
        <f>GQ20/GJ20-1</f>
        <v>7.5542570951586008E-2</v>
      </c>
      <c r="GR21" s="51">
        <f>GR20/GK20-1</f>
        <v>4.850512230817472E-2</v>
      </c>
      <c r="GT21" s="520" t="s">
        <v>3</v>
      </c>
      <c r="GU21" s="51">
        <f>GU20/GN20-1</f>
        <v>0.12014863748967786</v>
      </c>
      <c r="GV21" s="51">
        <f>GV20/GO20-1</f>
        <v>0.14901185770750991</v>
      </c>
      <c r="GW21" s="51">
        <f>GW20/GP20-1</f>
        <v>0.18392642942822879</v>
      </c>
      <c r="GX21" s="51">
        <f>GX20/GQ20-1</f>
        <v>3.7640667442762954E-2</v>
      </c>
      <c r="GY21" s="51">
        <f>GY20/GR20-1</f>
        <v>0.12213359920239286</v>
      </c>
      <c r="HA21" s="520" t="s">
        <v>3</v>
      </c>
      <c r="HB21" s="51">
        <f>HB20/GU20-1</f>
        <v>-0.17176557316623664</v>
      </c>
      <c r="HC21" s="51">
        <f>HC20/GV20-1</f>
        <v>-0.24836601307189543</v>
      </c>
      <c r="HD21" s="51">
        <f>HD20/GW20-1</f>
        <v>-0.22695035460992907</v>
      </c>
      <c r="HE21" s="51">
        <f>HE20/GX20-1</f>
        <v>-0.13238593866866122</v>
      </c>
      <c r="HF21" s="51">
        <f>HF20/GY20-1</f>
        <v>-0.19671257219013771</v>
      </c>
      <c r="HH21" s="520" t="s">
        <v>3</v>
      </c>
      <c r="HI21" s="51">
        <f>HI20/HB20-1</f>
        <v>0.10858923008455723</v>
      </c>
      <c r="HJ21" s="51">
        <f>HJ20/HC20-1</f>
        <v>0.21876430205949648</v>
      </c>
      <c r="HK21" s="51">
        <f>HK20/HD20-1</f>
        <v>0.1647007426823941</v>
      </c>
      <c r="HL21" s="51">
        <f>HL20/HE20-1</f>
        <v>0.21379310344827585</v>
      </c>
      <c r="HM21" s="51">
        <f>HM20/HF20-1</f>
        <v>0.17641853777237038</v>
      </c>
      <c r="HO21" s="520" t="s">
        <v>3</v>
      </c>
      <c r="HP21" s="51">
        <f>HP20/HI20-1</f>
        <v>0.12806101967081496</v>
      </c>
      <c r="HQ21" s="51">
        <f>HQ20/HJ20-1</f>
        <v>0.13368381524596318</v>
      </c>
      <c r="HR21" s="51">
        <f>HR20/HK20-1</f>
        <v>0.11140285071267808</v>
      </c>
      <c r="HS21" s="51">
        <f>HS20/HL20-1</f>
        <v>4.7940340909090828E-2</v>
      </c>
      <c r="HT21" s="51">
        <f>HT20/HM20-1</f>
        <v>0.10408048138397885</v>
      </c>
      <c r="HV21" s="520" t="s">
        <v>3</v>
      </c>
      <c r="HW21" s="51">
        <f>HW20/HP20-1</f>
        <v>5.5516014234875399E-2</v>
      </c>
      <c r="HX21" s="51">
        <f>HX20/HQ20-1</f>
        <v>-2.3186485591255579E-3</v>
      </c>
      <c r="HY21" s="51">
        <f>HY20/HR20-1</f>
        <v>-2.3287208909888668E-2</v>
      </c>
      <c r="HZ21" s="51">
        <f>HZ20/HS20-1</f>
        <v>-2.2704168078617415E-2</v>
      </c>
      <c r="IA21" s="51">
        <f>IA20/HT20-1</f>
        <v>1.1070424934003231E-3</v>
      </c>
      <c r="IC21" s="520" t="s">
        <v>3</v>
      </c>
      <c r="ID21" s="51">
        <f>ID20/HW20-1</f>
        <v>-2.6972353337828547E-3</v>
      </c>
      <c r="IE21" s="51">
        <f>IE20/HX20-1</f>
        <v>1.8924302788844605E-2</v>
      </c>
      <c r="IF21" s="51">
        <f>IF20/HY20-1</f>
        <v>3.6281962681409707E-2</v>
      </c>
      <c r="IG21" s="51">
        <f>IG20/HZ20-1</f>
        <v>5.1317614424410518E-2</v>
      </c>
      <c r="IH21" s="51">
        <f>IH20/IA20-1</f>
        <v>2.5689009867301715E-2</v>
      </c>
      <c r="IJ21" s="520" t="s">
        <v>3</v>
      </c>
      <c r="IK21" s="51">
        <f>IK20/ID20-1</f>
        <v>1.8255578093306246E-2</v>
      </c>
      <c r="IL21" s="51">
        <f>IL20/IE20-1</f>
        <v>5.7021831215379626E-2</v>
      </c>
      <c r="IM21" s="51">
        <f>IM20/IF20-1</f>
        <v>7.4024674891630449E-2</v>
      </c>
      <c r="IN21" s="51">
        <f>IN20/IG20-1</f>
        <v>5.2770448548812743E-2</v>
      </c>
      <c r="IO21" s="51">
        <f>IO20/IH20-1</f>
        <v>5.067175319290107E-2</v>
      </c>
      <c r="IQ21" s="520" t="s">
        <v>3</v>
      </c>
      <c r="IR21" s="51">
        <f>IR20/IK20-1</f>
        <v>4.980079681274896E-3</v>
      </c>
      <c r="IS21" s="51">
        <f>IS20/IL20-1</f>
        <v>-5.5487053020961796E-2</v>
      </c>
      <c r="IT21" s="51">
        <f>IT20/IM20-1</f>
        <v>-8.7550450170754468E-2</v>
      </c>
      <c r="IU21" s="51">
        <f>IU20/IN20-1</f>
        <v>-0.12875939849624063</v>
      </c>
      <c r="IV21" s="51">
        <f>IV20/IO20-1</f>
        <v>-6.7724366564054006E-2</v>
      </c>
      <c r="IX21" s="520" t="s">
        <v>3</v>
      </c>
      <c r="IY21" s="51">
        <f>IY20/IR20-1</f>
        <v>-0.13511727783283778</v>
      </c>
      <c r="IZ21" s="51">
        <f>IZ20/IS20-1</f>
        <v>-0.11749347258485643</v>
      </c>
      <c r="JA21" s="51">
        <f>JA20/IT20-1</f>
        <v>-7.7917659067710088E-2</v>
      </c>
      <c r="JB21" s="51">
        <f>JB20/IU20-1</f>
        <v>9.2053218266810566E-2</v>
      </c>
      <c r="JC21" s="51">
        <f>JC20/IV20-1</f>
        <v>-6.2822792312251297E-2</v>
      </c>
      <c r="JE21" s="520" t="s">
        <v>3</v>
      </c>
      <c r="JF21" s="51">
        <f>JF20/IY20-1</f>
        <v>9.5874713521772348E-2</v>
      </c>
      <c r="JG21" s="51">
        <f>JG20/IZ20-1</f>
        <v>8.4689349112426093E-2</v>
      </c>
      <c r="JH21" s="51">
        <f>JH20/JA20-1</f>
        <v>1.2177121771217658E-2</v>
      </c>
      <c r="JI21" s="51">
        <f>JI20/JB20-1</f>
        <v>-5.7293381626605244E-2</v>
      </c>
      <c r="JJ21" s="51">
        <f>JJ20/JC20-1</f>
        <v>3.0626072815972627E-2</v>
      </c>
      <c r="JL21" s="520" t="s">
        <v>3</v>
      </c>
      <c r="JM21" s="51">
        <f>JM20/JF20-1</f>
        <v>2.439874520739016E-3</v>
      </c>
      <c r="JN21" s="51">
        <f>JN20/JG20-1</f>
        <v>5.7620184111830897E-2</v>
      </c>
      <c r="JO21" s="51">
        <f>JO20/JH20-1</f>
        <v>0.14072183740430178</v>
      </c>
      <c r="JP21" s="51">
        <f>JP20/JI20-1</f>
        <v>9.7799511002444994E-2</v>
      </c>
      <c r="JQ21" s="51">
        <f>JQ20/JJ20-1</f>
        <v>7.3807854137447393E-2</v>
      </c>
      <c r="JS21" s="520" t="s">
        <v>3</v>
      </c>
      <c r="JT21" s="51">
        <f>JT20/JM20-1</f>
        <v>4.7635605006954185E-2</v>
      </c>
      <c r="JU21" s="51">
        <f>JU20/JN20-1</f>
        <v>-1.3217279174726038E-2</v>
      </c>
      <c r="JV21" s="51">
        <f>JV20/JO20-1</f>
        <v>-4.8258229466283109E-2</v>
      </c>
      <c r="JW21" s="51">
        <f>JW20/JP20-1</f>
        <v>-8.2087177855551974E-2</v>
      </c>
      <c r="JX21" s="51">
        <f>JX20/JQ20-1</f>
        <v>-2.5551020408163261E-2</v>
      </c>
      <c r="JZ21" s="520" t="s">
        <v>3</v>
      </c>
      <c r="KA21" s="51">
        <f>KA20/JT20-1</f>
        <v>-5.243942914039168E-2</v>
      </c>
      <c r="KB21" s="51">
        <f>KB20/JU20-1</f>
        <v>-0.26331264292714796</v>
      </c>
      <c r="KC21" s="51">
        <f>KC20/JV20-1</f>
        <v>-0.11081262592343855</v>
      </c>
      <c r="KD21" s="51">
        <f>KD20/JW20-1</f>
        <v>-2.0797227036395194E-2</v>
      </c>
      <c r="KE21" s="51">
        <f>KE20/JX20-1</f>
        <v>-0.11342883471559018</v>
      </c>
      <c r="KG21" s="520" t="s">
        <v>3</v>
      </c>
      <c r="KH21" s="51">
        <f>KH20/KA20-1</f>
        <v>-1.4711033274956264E-2</v>
      </c>
      <c r="KI21" s="51">
        <f>KI20/KB20-1</f>
        <v>0.32594235033259422</v>
      </c>
      <c r="KJ21" s="51">
        <f>KJ20/KC20-1</f>
        <v>0.24320241691842903</v>
      </c>
      <c r="KK21" s="51">
        <f>KK20/KD20-1</f>
        <v>0.21309734513274337</v>
      </c>
      <c r="KL21" s="51">
        <f>KL20/KE20-1</f>
        <v>0.1832183690824909</v>
      </c>
      <c r="KN21" s="520" t="s">
        <v>3</v>
      </c>
      <c r="KO21" s="51">
        <f>KO20/KH20-1</f>
        <v>0.21329541414859587</v>
      </c>
      <c r="KP21" s="51">
        <f>KP20/KI20-1</f>
        <v>0.2759197324414715</v>
      </c>
      <c r="KQ21" s="51">
        <f>KQ20/KJ20-1</f>
        <v>0.18317132442284323</v>
      </c>
      <c r="KR21" s="51">
        <f>KR20/KK20-1</f>
        <v>8.841552378173323E-2</v>
      </c>
      <c r="KS21" s="51">
        <f>KS20/KL20-1</f>
        <v>0.18615237182558686</v>
      </c>
      <c r="KU21" s="520" t="s">
        <v>3</v>
      </c>
      <c r="KV21" s="51">
        <f>KV20/KO20-1</f>
        <v>8.5848227365953766E-2</v>
      </c>
      <c r="KW21" s="51">
        <f>KW20/KP20-1</f>
        <v>-3.0406290956749626E-2</v>
      </c>
      <c r="KX21" s="49">
        <f>KX20/KQ20-1</f>
        <v>-8.2926829268292646E-2</v>
      </c>
      <c r="KY21" s="49">
        <f>KY20/KR20-1</f>
        <v>-1.3404825737265424E-2</v>
      </c>
      <c r="KZ21" s="51">
        <f>KZ20/KS20-1</f>
        <v>-1.3195987342624393E-2</v>
      </c>
      <c r="LB21" s="520" t="s">
        <v>3</v>
      </c>
      <c r="LC21" s="51">
        <f>LC20/KV20-1</f>
        <v>-6.7458175930922293E-3</v>
      </c>
      <c r="LD21" s="49">
        <f>LD20/KW20-1</f>
        <v>5.4068667207363141E-4</v>
      </c>
      <c r="LE21" s="49">
        <f>LE20/KX20-1</f>
        <v>1.3157894736842035E-2</v>
      </c>
      <c r="LF21" s="49">
        <f>LF20/KY20-1</f>
        <v>-3.831521739130439E-2</v>
      </c>
      <c r="LG21" s="49">
        <f>LG20/KZ20-1</f>
        <v>-7.9825339428259978E-3</v>
      </c>
      <c r="LH21" s="566"/>
      <c r="LI21" s="520" t="s">
        <v>3</v>
      </c>
      <c r="LJ21" s="49">
        <f>LJ20/LC20-1</f>
        <v>-7.0089649551752231E-2</v>
      </c>
      <c r="LK21" s="49">
        <f>LK20/LD20-1</f>
        <v>-3.4315049986490154E-2</v>
      </c>
      <c r="LL21" s="49">
        <f>LL20/LE20-1</f>
        <v>-8.8422216081790461E-3</v>
      </c>
      <c r="LM21" s="49">
        <f>LM20/LF20-1</f>
        <v>-8.7595365922576995E-3</v>
      </c>
      <c r="LN21" s="49">
        <f>LN20/LG20-1</f>
        <v>-3.0811554332874858E-2</v>
      </c>
      <c r="LO21" s="566"/>
      <c r="LP21" s="520" t="s">
        <v>3</v>
      </c>
      <c r="LQ21" s="49">
        <f>LQ20/LJ20-1</f>
        <v>1.104803534910892E-2</v>
      </c>
      <c r="LR21" s="49">
        <f>LR20/LK20-1</f>
        <v>1.7316710968102944E-2</v>
      </c>
      <c r="LS21" s="49">
        <f>LS20/LL20-1</f>
        <v>3.2599428491775662E-2</v>
      </c>
      <c r="LT21" s="49">
        <f>LT20/LM20-1</f>
        <v>5.306550028506285E-2</v>
      </c>
      <c r="LU21" s="49">
        <f>LU20/LN20-1</f>
        <v>2.8583258231620556E-2</v>
      </c>
      <c r="LV21" s="566"/>
      <c r="LW21" s="520" t="s">
        <v>3</v>
      </c>
      <c r="LX21" s="49">
        <f>LX20/LQ20-1</f>
        <v>4.8375105076106095E-2</v>
      </c>
      <c r="LY21" s="49">
        <f>LY20/LR20-1</f>
        <v>4.7598534018463035E-2</v>
      </c>
      <c r="LZ21" s="49">
        <f>LZ20/LS20-1</f>
        <v>4.6457964889508041E-2</v>
      </c>
      <c r="MA21" s="49">
        <f>MA20/LT20-1</f>
        <v>4.6980422633969843E-2</v>
      </c>
      <c r="MB21" s="49">
        <f>MB20/LU20-1</f>
        <v>4.7334962113442014E-2</v>
      </c>
      <c r="MC21" s="566"/>
      <c r="MD21" s="520" t="s">
        <v>3</v>
      </c>
      <c r="ME21" s="49">
        <f>ME20/LX20-1</f>
        <v>4.485367709684307E-2</v>
      </c>
      <c r="MF21" s="49">
        <f>MF20/LY20-1</f>
        <v>4.4183271017381731E-2</v>
      </c>
      <c r="MG21" s="49">
        <f>MG20/LZ20-1</f>
        <v>4.3884240413059272E-2</v>
      </c>
      <c r="MH21" s="49">
        <f>MH20/MA20-1</f>
        <v>4.3075665378673023E-2</v>
      </c>
      <c r="MI21" s="49">
        <f>MI20/MB20-1</f>
        <v>4.3984959460985351E-2</v>
      </c>
      <c r="MJ21" s="566"/>
    </row>
    <row r="22" spans="1:349" x14ac:dyDescent="0.4">
      <c r="LB22" s="685"/>
      <c r="LC22" s="686"/>
      <c r="LD22" s="687"/>
      <c r="LE22" s="687"/>
      <c r="LF22" s="687"/>
      <c r="LG22" s="687"/>
      <c r="LH22" s="566"/>
      <c r="LI22" s="685"/>
      <c r="LJ22" s="687"/>
      <c r="LK22" s="687"/>
      <c r="LL22" s="687"/>
      <c r="LM22" s="687"/>
      <c r="LN22" s="687"/>
      <c r="LO22" s="566"/>
      <c r="LP22" s="685"/>
      <c r="LQ22" s="687"/>
      <c r="LR22" s="687"/>
      <c r="LS22" s="687"/>
      <c r="LT22" s="687"/>
      <c r="LU22" s="687"/>
      <c r="LV22" s="566"/>
      <c r="LW22" s="685"/>
      <c r="LX22" s="687"/>
      <c r="LY22" s="687"/>
      <c r="LZ22" s="687"/>
      <c r="MA22" s="687"/>
      <c r="MB22" s="687"/>
      <c r="MC22" s="566"/>
      <c r="MD22" s="685"/>
      <c r="ME22" s="687"/>
      <c r="MF22" s="687"/>
      <c r="MG22" s="687"/>
      <c r="MH22" s="687"/>
      <c r="MI22" s="687"/>
      <c r="MJ22" s="566"/>
    </row>
    <row r="23" spans="1:349" x14ac:dyDescent="0.4">
      <c r="A23" s="48"/>
      <c r="B23" s="54" t="s">
        <v>22</v>
      </c>
      <c r="C23" s="55">
        <v>3256.739</v>
      </c>
      <c r="D23" s="55">
        <v>3642.8</v>
      </c>
      <c r="E23" s="55">
        <v>4063</v>
      </c>
      <c r="F23" s="55">
        <v>4539.5</v>
      </c>
      <c r="G23" s="55">
        <v>4383</v>
      </c>
      <c r="H23" s="55">
        <v>4360</v>
      </c>
      <c r="I23" s="55">
        <v>4766</v>
      </c>
      <c r="J23" s="55">
        <v>4545</v>
      </c>
      <c r="K23" s="55">
        <v>5272</v>
      </c>
      <c r="L23" s="55">
        <v>6155</v>
      </c>
      <c r="M23" s="55">
        <v>6683</v>
      </c>
      <c r="N23" s="55">
        <f>BV23</f>
        <v>6876</v>
      </c>
      <c r="O23" s="55">
        <f>CC23</f>
        <v>7337</v>
      </c>
      <c r="P23" s="55">
        <f>CJ23</f>
        <v>7782</v>
      </c>
      <c r="Q23" s="55">
        <f>CQ23</f>
        <v>7769</v>
      </c>
      <c r="R23" s="55">
        <f>CX23</f>
        <v>7934</v>
      </c>
      <c r="S23" s="55">
        <f>DE23</f>
        <v>8376</v>
      </c>
      <c r="T23" s="55">
        <f>DL23</f>
        <v>8902</v>
      </c>
      <c r="U23" s="55">
        <f>DS23</f>
        <v>9023.5</v>
      </c>
      <c r="V23" s="55">
        <f>DZ23</f>
        <v>9330</v>
      </c>
      <c r="W23" s="55">
        <f>EG23</f>
        <v>8748</v>
      </c>
      <c r="X23" s="55">
        <f>EN23</f>
        <v>9782</v>
      </c>
      <c r="Y23" s="55">
        <f>EU23</f>
        <v>7622</v>
      </c>
      <c r="Z23" s="55">
        <f>FB23</f>
        <v>7095</v>
      </c>
      <c r="AA23" s="55">
        <f>FI23</f>
        <v>7036</v>
      </c>
      <c r="AB23" s="55">
        <f>FP23</f>
        <v>6656</v>
      </c>
      <c r="AC23" s="55">
        <f>FW23</f>
        <v>6944</v>
      </c>
      <c r="AD23" s="55">
        <f>GD23</f>
        <v>7068</v>
      </c>
      <c r="AE23" s="55">
        <f>GK23</f>
        <v>7442</v>
      </c>
      <c r="AF23" s="55">
        <f>GR23</f>
        <v>7770</v>
      </c>
      <c r="AG23" s="55">
        <f>GY23</f>
        <v>8489</v>
      </c>
      <c r="AH23" s="55">
        <f>HF23</f>
        <v>6765</v>
      </c>
      <c r="AI23" s="55">
        <f>HM23</f>
        <v>7535</v>
      </c>
      <c r="AJ23" s="55">
        <f>HT23</f>
        <v>8325</v>
      </c>
      <c r="AK23" s="55">
        <f>IA23</f>
        <v>8299</v>
      </c>
      <c r="AL23" s="55">
        <f>IH23</f>
        <v>8553</v>
      </c>
      <c r="AM23" s="55">
        <f>IO23</f>
        <v>9056</v>
      </c>
      <c r="AN23" s="55">
        <f>IV23</f>
        <v>8227</v>
      </c>
      <c r="AO23" s="55">
        <f>JC23</f>
        <v>7680</v>
      </c>
      <c r="AP23" s="55">
        <f>JJ23</f>
        <v>7590</v>
      </c>
      <c r="AQ23" s="55">
        <f>JQ23</f>
        <v>7381</v>
      </c>
      <c r="AR23" s="55">
        <f>JX23</f>
        <v>6972</v>
      </c>
      <c r="AS23" s="55">
        <f>KE23</f>
        <v>6221</v>
      </c>
      <c r="AT23" s="55">
        <f>KL23</f>
        <v>7277</v>
      </c>
      <c r="AU23" s="55">
        <f>KS23</f>
        <v>8952</v>
      </c>
      <c r="AV23" s="55">
        <f>KZ23</f>
        <v>9158</v>
      </c>
      <c r="AW23" s="55">
        <f>LG23</f>
        <v>9187</v>
      </c>
      <c r="AX23" s="55">
        <f>LN23</f>
        <v>9320</v>
      </c>
      <c r="AY23" s="55">
        <f>LU23</f>
        <v>9216.6488228830476</v>
      </c>
      <c r="AZ23" s="55">
        <f>MB23</f>
        <v>9326.9166990208214</v>
      </c>
      <c r="BA23" s="55">
        <f>MI23</f>
        <v>9598.3881669237981</v>
      </c>
      <c r="BB23" s="55"/>
      <c r="BC23" s="55"/>
      <c r="BD23" s="55"/>
      <c r="BE23" s="55"/>
      <c r="BF23" s="55"/>
      <c r="BG23" s="55"/>
      <c r="BH23" s="55"/>
      <c r="BI23" s="55"/>
      <c r="BJ23" s="55"/>
      <c r="BK23" s="55"/>
      <c r="BL23" s="55"/>
      <c r="BM23" s="55"/>
      <c r="BN23" s="55"/>
      <c r="BO23" s="55"/>
      <c r="BQ23" s="54" t="s">
        <v>22</v>
      </c>
      <c r="BR23" s="56">
        <f>SUM(BR27:BR33)</f>
        <v>1656</v>
      </c>
      <c r="BS23" s="56">
        <f>SUM(BS27:BS33)</f>
        <v>1744</v>
      </c>
      <c r="BT23" s="56">
        <f>SUM(BT27:BT33)</f>
        <v>1717</v>
      </c>
      <c r="BU23" s="56">
        <f>SUM(BU27:BU33)</f>
        <v>1759</v>
      </c>
      <c r="BV23" s="56">
        <f>SUM(BV27:BV33)</f>
        <v>6876</v>
      </c>
      <c r="BX23" s="54" t="s">
        <v>22</v>
      </c>
      <c r="BY23" s="56">
        <f>SUM(BY27:BY33)</f>
        <v>1740</v>
      </c>
      <c r="BZ23" s="56">
        <f>SUM(BZ27:BZ33)</f>
        <v>1826</v>
      </c>
      <c r="CA23" s="56">
        <f>SUM(CA27:CA33)</f>
        <v>1827</v>
      </c>
      <c r="CB23" s="56">
        <f>SUM(CB27:CB33)</f>
        <v>1944</v>
      </c>
      <c r="CC23" s="56">
        <f>SUM(CC27:CC33)</f>
        <v>7337</v>
      </c>
      <c r="CE23" s="54" t="s">
        <v>22</v>
      </c>
      <c r="CF23" s="56">
        <f>SUM(CF27:CF33)</f>
        <v>1885</v>
      </c>
      <c r="CG23" s="56">
        <f>SUM(CG27:CG33)</f>
        <v>1919</v>
      </c>
      <c r="CH23" s="56">
        <f>SUM(CH27:CH33)</f>
        <v>1964</v>
      </c>
      <c r="CI23" s="56">
        <f>SUM(CI27:CI33)</f>
        <v>2014</v>
      </c>
      <c r="CJ23" s="56">
        <f>SUM(CJ27:CJ33)</f>
        <v>7782</v>
      </c>
      <c r="CL23" s="54" t="s">
        <v>22</v>
      </c>
      <c r="CM23" s="56">
        <f>SUM(CM27:CM33)</f>
        <v>1929</v>
      </c>
      <c r="CN23" s="56">
        <f>SUM(CN27:CN33)</f>
        <v>1935</v>
      </c>
      <c r="CO23" s="56">
        <f>SUM(CO27:CO33)</f>
        <v>1952</v>
      </c>
      <c r="CP23" s="56">
        <f>SUM(CP27:CP33)</f>
        <v>1953</v>
      </c>
      <c r="CQ23" s="56">
        <f>SUM(CQ27:CQ33)</f>
        <v>7769</v>
      </c>
      <c r="CS23" s="54" t="s">
        <v>22</v>
      </c>
      <c r="CT23" s="56">
        <f>SUM(CT27:CT33)</f>
        <v>1967</v>
      </c>
      <c r="CU23" s="56">
        <f>SUM(CU27:CU33)</f>
        <v>1986</v>
      </c>
      <c r="CV23" s="56">
        <f>SUM(CV27:CV33)</f>
        <v>1986</v>
      </c>
      <c r="CW23" s="56">
        <f>SUM(CW27:CW33)</f>
        <v>1995</v>
      </c>
      <c r="CX23" s="56">
        <f>SUM(CX27:CX33)</f>
        <v>7934</v>
      </c>
      <c r="CZ23" s="54" t="s">
        <v>22</v>
      </c>
      <c r="DA23" s="56">
        <f>SUM(DA27:DA33)</f>
        <v>2041</v>
      </c>
      <c r="DB23" s="56">
        <f>SUM(DB27:DB33)</f>
        <v>2067</v>
      </c>
      <c r="DC23" s="56">
        <f>SUM(DC27:DC33)</f>
        <v>2120</v>
      </c>
      <c r="DD23" s="56">
        <f>SUM(DD27:DD33)</f>
        <v>2148</v>
      </c>
      <c r="DE23" s="56">
        <f>SUM(DE27:DE33)</f>
        <v>8376</v>
      </c>
      <c r="DG23" s="54" t="s">
        <v>22</v>
      </c>
      <c r="DH23" s="56">
        <f>SUM(DH27:DH33)</f>
        <v>2168</v>
      </c>
      <c r="DI23" s="56">
        <f>SUM(DI27:DI33)</f>
        <v>2200</v>
      </c>
      <c r="DJ23" s="56">
        <f>SUM(DJ27:DJ33)</f>
        <v>2221</v>
      </c>
      <c r="DK23" s="56">
        <f>SUM(DK27:DK33)</f>
        <v>2313</v>
      </c>
      <c r="DL23" s="56">
        <f>SUM(DL27:DL33)</f>
        <v>8902</v>
      </c>
      <c r="DN23" s="54" t="s">
        <v>22</v>
      </c>
      <c r="DO23" s="56">
        <f>SUM(DO27:DO33)</f>
        <v>2218</v>
      </c>
      <c r="DP23" s="56">
        <f>SUM(DP27:DP33)</f>
        <v>2273.5</v>
      </c>
      <c r="DQ23" s="56">
        <f>SUM(DQ27:DQ33)</f>
        <v>2255</v>
      </c>
      <c r="DR23" s="56">
        <f>SUM(DR27:DR33)</f>
        <v>2277</v>
      </c>
      <c r="DS23" s="56">
        <f>SUM(DS27:DS33)</f>
        <v>9023.5</v>
      </c>
      <c r="DU23" s="54" t="s">
        <v>22</v>
      </c>
      <c r="DV23" s="56">
        <f>SUM(DV27:DV33)</f>
        <v>2243</v>
      </c>
      <c r="DW23" s="56">
        <f>SUM(DW27:DW33)</f>
        <v>2245</v>
      </c>
      <c r="DX23" s="56">
        <f>SUM(DX27:DX33)</f>
        <v>2413</v>
      </c>
      <c r="DY23" s="56">
        <f>SUM(DY27:DY33)</f>
        <v>2429</v>
      </c>
      <c r="DZ23" s="56">
        <f>SUM(DZ27:DZ33)</f>
        <v>9330</v>
      </c>
      <c r="EB23" s="54" t="s">
        <v>22</v>
      </c>
      <c r="EC23" s="56">
        <f>SUM(EC27:EC33)</f>
        <v>2184</v>
      </c>
      <c r="ED23" s="56">
        <f>SUM(ED27:ED33)</f>
        <v>2154</v>
      </c>
      <c r="EE23" s="56">
        <f>SUM(EE27:EE33)</f>
        <v>2186</v>
      </c>
      <c r="EF23" s="56">
        <f>SUM(EF27:EF33)</f>
        <v>2224</v>
      </c>
      <c r="EG23" s="56">
        <f>SUM(EG27:EG33)</f>
        <v>8748</v>
      </c>
      <c r="EI23" s="54" t="s">
        <v>22</v>
      </c>
      <c r="EJ23" s="56">
        <f>SUM(EJ27:EJ33)</f>
        <v>2280</v>
      </c>
      <c r="EK23" s="56">
        <f>SUM(EK27:EK33)</f>
        <v>2342</v>
      </c>
      <c r="EL23" s="56">
        <f>SUM(EL27:EL33)</f>
        <v>2590</v>
      </c>
      <c r="EM23" s="56">
        <f>SUM(EM27:EM33)</f>
        <v>2570</v>
      </c>
      <c r="EN23" s="56">
        <f>SUM(EN27:EN33)</f>
        <v>9782</v>
      </c>
      <c r="EP23" s="54" t="s">
        <v>22</v>
      </c>
      <c r="EQ23" s="56">
        <f>SUM(EQ27:EQ33)</f>
        <v>1976</v>
      </c>
      <c r="ER23" s="56">
        <f>SUM(ER27:ER33)</f>
        <v>2002</v>
      </c>
      <c r="ES23" s="56">
        <f>SUM(ES27:ES33)</f>
        <v>1815</v>
      </c>
      <c r="ET23" s="56">
        <f>SUM(ET27:ET33)</f>
        <v>1829</v>
      </c>
      <c r="EU23" s="56">
        <f>SUM(EU27:EU33)</f>
        <v>7622</v>
      </c>
      <c r="EW23" s="54" t="s">
        <v>22</v>
      </c>
      <c r="EX23" s="56">
        <f>SUM(EX27:EX33)</f>
        <v>1836</v>
      </c>
      <c r="EY23" s="56">
        <f>SUM(EY27:EY33)</f>
        <v>1792</v>
      </c>
      <c r="EZ23" s="56">
        <f>SUM(EZ27:EZ33)</f>
        <v>1739</v>
      </c>
      <c r="FA23" s="56">
        <f>SUM(FA27:FA33)</f>
        <v>1728</v>
      </c>
      <c r="FB23" s="56">
        <f>SUM(FB27:FB33)</f>
        <v>7095</v>
      </c>
      <c r="FD23" s="54" t="s">
        <v>22</v>
      </c>
      <c r="FE23" s="56">
        <f>SUM(FE27:FE33)</f>
        <v>1752</v>
      </c>
      <c r="FF23" s="56">
        <f>SUM(FF27:FF33)</f>
        <v>1763</v>
      </c>
      <c r="FG23" s="56">
        <f>SUM(FG27:FG33)</f>
        <v>1779</v>
      </c>
      <c r="FH23" s="56">
        <f>SUM(FH27:FH33)</f>
        <v>1742</v>
      </c>
      <c r="FI23" s="56">
        <f>SUM(FI27:FI33)</f>
        <v>7036</v>
      </c>
      <c r="FK23" s="54" t="s">
        <v>22</v>
      </c>
      <c r="FL23" s="56">
        <f>SUM(FL27:FL33)</f>
        <v>1798</v>
      </c>
      <c r="FM23" s="56">
        <f>SUM(FM27:FM33)</f>
        <v>1620</v>
      </c>
      <c r="FN23" s="56">
        <f>SUM(FN27:FN33)</f>
        <v>1591</v>
      </c>
      <c r="FO23" s="56">
        <f>SUM(FO27:FO33)</f>
        <v>1647</v>
      </c>
      <c r="FP23" s="56">
        <f>SUM(FP27:FP33)</f>
        <v>6656</v>
      </c>
      <c r="FR23" s="54" t="s">
        <v>22</v>
      </c>
      <c r="FS23" s="56">
        <f>SUM(FS27:FS33)</f>
        <v>1715</v>
      </c>
      <c r="FT23" s="56">
        <f>SUM(FT27:FT33)</f>
        <v>1695</v>
      </c>
      <c r="FU23" s="56">
        <f>SUM(FU27:FU33)</f>
        <v>1679</v>
      </c>
      <c r="FV23" s="56">
        <f>SUM(FV27:FV33)</f>
        <v>1855</v>
      </c>
      <c r="FW23" s="56">
        <f>SUM(FW27:FW33)</f>
        <v>6944</v>
      </c>
      <c r="FY23" s="54" t="s">
        <v>22</v>
      </c>
      <c r="FZ23" s="56">
        <f>SUM(FZ27:FZ33)</f>
        <v>1754</v>
      </c>
      <c r="GA23" s="56">
        <f>SUM(GA27:GA33)</f>
        <v>1735</v>
      </c>
      <c r="GB23" s="56">
        <f>SUM(GB27:GB33)</f>
        <v>1772</v>
      </c>
      <c r="GC23" s="56">
        <f>SUM(GC27:GC33)</f>
        <v>1807</v>
      </c>
      <c r="GD23" s="56">
        <f>SUM(GD27:GD33)</f>
        <v>7068</v>
      </c>
      <c r="GF23" s="54" t="s">
        <v>22</v>
      </c>
      <c r="GG23" s="56">
        <f>SUM(GG27:GG33)</f>
        <v>1844</v>
      </c>
      <c r="GH23" s="56">
        <f>SUM(GH27:GH33)</f>
        <v>1776</v>
      </c>
      <c r="GI23" s="56">
        <f>SUM(GI27:GI33)</f>
        <v>1929</v>
      </c>
      <c r="GJ23" s="56">
        <f>SUM(GJ27:GJ33)</f>
        <v>1893</v>
      </c>
      <c r="GK23" s="56">
        <f>SUM(GK27:GK33)</f>
        <v>7442</v>
      </c>
      <c r="GM23" s="54" t="s">
        <v>22</v>
      </c>
      <c r="GN23" s="56">
        <f>SUM(GN27:GN33)</f>
        <v>1937</v>
      </c>
      <c r="GO23" s="56">
        <f>SUM(GO27:GO33)</f>
        <v>1918</v>
      </c>
      <c r="GP23" s="56">
        <f>SUM(GP27:GP33)</f>
        <v>1943</v>
      </c>
      <c r="GQ23" s="56">
        <f>SUM(GQ27:GQ33)</f>
        <v>1972</v>
      </c>
      <c r="GR23" s="56">
        <f>SUM(GR27:GR33)</f>
        <v>7770</v>
      </c>
      <c r="GT23" s="54" t="s">
        <v>22</v>
      </c>
      <c r="GU23" s="56">
        <f>SUM(GU27:GU33)</f>
        <v>2089</v>
      </c>
      <c r="GV23" s="56">
        <f>SUM(GV27:GV33)</f>
        <v>2190</v>
      </c>
      <c r="GW23" s="56">
        <f>SUM(GW27:GW33)</f>
        <v>2228</v>
      </c>
      <c r="GX23" s="56">
        <f>SUM(GX27:GX33)</f>
        <v>1982</v>
      </c>
      <c r="GY23" s="56">
        <f>SUM(GY27:GY33)</f>
        <v>8489</v>
      </c>
      <c r="HA23" s="54" t="s">
        <v>22</v>
      </c>
      <c r="HB23" s="56">
        <f>SUM(HB27:HB33)</f>
        <v>1725</v>
      </c>
      <c r="HC23" s="56">
        <f>SUM(HC27:HC33)</f>
        <v>1608</v>
      </c>
      <c r="HD23" s="56">
        <f>SUM(HD27:HD33)</f>
        <v>1695</v>
      </c>
      <c r="HE23" s="56">
        <f>SUM(HE27:HE33)</f>
        <v>1737</v>
      </c>
      <c r="HF23" s="56">
        <f>SUM(HF27:HF33)</f>
        <v>6765</v>
      </c>
      <c r="HH23" s="54" t="s">
        <v>22</v>
      </c>
      <c r="HI23" s="56">
        <f>SUM(HI27:HI33)</f>
        <v>1859</v>
      </c>
      <c r="HJ23" s="56">
        <f>SUM(HJ27:HJ33)</f>
        <v>1865</v>
      </c>
      <c r="HK23" s="56">
        <f>SUM(HK27:HK33)</f>
        <v>1841</v>
      </c>
      <c r="HL23" s="56">
        <f>SUM(HL27:HL33)</f>
        <v>1970</v>
      </c>
      <c r="HM23" s="56">
        <f>SUM(HM27:HM33)</f>
        <v>7535</v>
      </c>
      <c r="HO23" s="54" t="s">
        <v>22</v>
      </c>
      <c r="HP23" s="56">
        <f>SUM(HP27:HP33)</f>
        <v>2037</v>
      </c>
      <c r="HQ23" s="56">
        <f>SUM(HQ27:HQ33)</f>
        <v>2093</v>
      </c>
      <c r="HR23" s="56">
        <f>SUM(HR27:HR33)</f>
        <v>2085</v>
      </c>
      <c r="HS23" s="56">
        <f>SUM(HS27:HS33)</f>
        <v>2110</v>
      </c>
      <c r="HT23" s="56">
        <f>SUM(HT27:HT33)</f>
        <v>8325</v>
      </c>
      <c r="HV23" s="54" t="s">
        <v>22</v>
      </c>
      <c r="HW23" s="56">
        <f>SUM(HW27:HW33)</f>
        <v>2110</v>
      </c>
      <c r="HX23" s="56">
        <f>SUM(HX27:HX33)</f>
        <v>2069</v>
      </c>
      <c r="HY23" s="56">
        <f>SUM(HY27:HY33)</f>
        <v>2040</v>
      </c>
      <c r="HZ23" s="56">
        <f>SUM(HZ27:HZ33)</f>
        <v>2080</v>
      </c>
      <c r="IA23" s="56">
        <f>SUM(IA27:IA33)</f>
        <v>8299</v>
      </c>
      <c r="IC23" s="54" t="s">
        <v>22</v>
      </c>
      <c r="ID23" s="56">
        <f>SUM(ID27:ID33)</f>
        <v>2083</v>
      </c>
      <c r="IE23" s="56">
        <f>SUM(IE27:IE33)</f>
        <v>2106</v>
      </c>
      <c r="IF23" s="56">
        <f>SUM(IF27:IF33)</f>
        <v>2145</v>
      </c>
      <c r="IG23" s="56">
        <f>SUM(IG27:IG33)</f>
        <v>2219</v>
      </c>
      <c r="IH23" s="56">
        <f>SUM(IH27:IH33)</f>
        <v>8553</v>
      </c>
      <c r="IJ23" s="54" t="s">
        <v>22</v>
      </c>
      <c r="IK23" s="56">
        <f>SUM(IK27:IK33)</f>
        <v>2273</v>
      </c>
      <c r="IL23" s="56">
        <f>SUM(IL27:IL33)</f>
        <v>2247</v>
      </c>
      <c r="IM23" s="56">
        <f>SUM(IM27:IM33)</f>
        <v>2245</v>
      </c>
      <c r="IN23" s="56">
        <f>SUM(IN27:IN33)</f>
        <v>2291</v>
      </c>
      <c r="IO23" s="56">
        <f>SUM(IO27:IO33)</f>
        <v>9056</v>
      </c>
      <c r="IQ23" s="54" t="s">
        <v>22</v>
      </c>
      <c r="IR23" s="56">
        <f>SUM(IR27:IR33)</f>
        <v>2184</v>
      </c>
      <c r="IS23" s="56">
        <f>SUM(IS27:IS33)</f>
        <v>2047</v>
      </c>
      <c r="IT23" s="56">
        <f>SUM(IT27:IT33)</f>
        <v>2006</v>
      </c>
      <c r="IU23" s="56">
        <f>SUM(IU27:IU33)</f>
        <v>1990</v>
      </c>
      <c r="IV23" s="56">
        <f>SUM(IV27:IV33)</f>
        <v>8227</v>
      </c>
      <c r="IX23" s="54" t="s">
        <v>22</v>
      </c>
      <c r="IY23" s="56">
        <f>SUM(IY27:IY33)</f>
        <v>1914</v>
      </c>
      <c r="IZ23" s="56">
        <f>SUM(IZ27:IZ33)</f>
        <v>1864</v>
      </c>
      <c r="JA23" s="56">
        <f>SUM(JA27:JA33)</f>
        <v>1869</v>
      </c>
      <c r="JB23" s="56">
        <f>SUM(JB27:JB33)</f>
        <v>2033</v>
      </c>
      <c r="JC23" s="56">
        <f>SUM(JC27:JC33)</f>
        <v>7680</v>
      </c>
      <c r="JE23" s="54" t="s">
        <v>22</v>
      </c>
      <c r="JF23" s="56">
        <f>SUM(JF27:JF33)</f>
        <v>1990</v>
      </c>
      <c r="JG23" s="56">
        <f>SUM(JG27:JG33)</f>
        <v>1861</v>
      </c>
      <c r="JH23" s="56">
        <f>SUM(JH27:JH33)</f>
        <v>1874</v>
      </c>
      <c r="JI23" s="56">
        <f>SUM(JI27:JI33)</f>
        <v>1865</v>
      </c>
      <c r="JJ23" s="56">
        <f>SUM(JJ27:JJ33)</f>
        <v>7590</v>
      </c>
      <c r="JL23" s="54" t="s">
        <v>22</v>
      </c>
      <c r="JM23" s="56">
        <f>SUM(JM27:JM33)</f>
        <v>1832</v>
      </c>
      <c r="JN23" s="56">
        <f>SUM(JN27:JN33)</f>
        <v>1819</v>
      </c>
      <c r="JO23" s="56">
        <f>SUM(JO27:JO33)</f>
        <v>1836</v>
      </c>
      <c r="JP23" s="56">
        <f>SUM(JP27:JP33)</f>
        <v>1894</v>
      </c>
      <c r="JQ23" s="56">
        <f>SUM(JQ27:JQ33)</f>
        <v>7381</v>
      </c>
      <c r="JS23" s="54" t="s">
        <v>22</v>
      </c>
      <c r="JT23" s="56">
        <f>SUM(JT27:JT33)</f>
        <v>1794</v>
      </c>
      <c r="JU23" s="56">
        <f>SUM(JU27:JU33)</f>
        <v>1756</v>
      </c>
      <c r="JV23" s="56">
        <f>SUM(JV27:JV33)</f>
        <v>1691</v>
      </c>
      <c r="JW23" s="56">
        <f>SUM(JW27:JW33)</f>
        <v>1731</v>
      </c>
      <c r="JX23" s="56">
        <f>SUM(JX27:JX33)</f>
        <v>6972</v>
      </c>
      <c r="JZ23" s="54" t="s">
        <v>22</v>
      </c>
      <c r="KA23" s="56">
        <f>SUM(KA27:KA33)</f>
        <v>1677</v>
      </c>
      <c r="KB23" s="56">
        <f>SUM(KB27:KB33)</f>
        <v>1427</v>
      </c>
      <c r="KC23" s="56">
        <f>SUM(KC27:KC33)</f>
        <v>1507</v>
      </c>
      <c r="KD23" s="56">
        <f>SUM(KD27:KD33)</f>
        <v>1610</v>
      </c>
      <c r="KE23" s="56">
        <f>SUM(KE27:KE33)</f>
        <v>6221</v>
      </c>
      <c r="KG23" s="54" t="s">
        <v>22</v>
      </c>
      <c r="KH23" s="56">
        <f>SUM(KH27:KH33)</f>
        <v>1712</v>
      </c>
      <c r="KI23" s="56">
        <f>SUM(KI27:KI33)</f>
        <v>1648</v>
      </c>
      <c r="KJ23" s="56">
        <f>SUM(KJ27:KJ33)</f>
        <v>1856</v>
      </c>
      <c r="KK23" s="56">
        <f>SUM(KK27:KK33)</f>
        <v>2061</v>
      </c>
      <c r="KL23" s="56">
        <f>SUM(KL27:KL33)</f>
        <v>7277</v>
      </c>
      <c r="KN23" s="54" t="s">
        <v>22</v>
      </c>
      <c r="KO23" s="56">
        <f>SUM(KO27:KO33)</f>
        <v>2131</v>
      </c>
      <c r="KP23" s="56">
        <f>SUM(KP27:KP33)</f>
        <v>2234</v>
      </c>
      <c r="KQ23" s="56">
        <f>SUM(KQ27:KQ33)</f>
        <v>2316</v>
      </c>
      <c r="KR23" s="56">
        <f>SUM(KR27:KR33)</f>
        <v>2271</v>
      </c>
      <c r="KS23" s="56">
        <f>SUM(KS27:KS33)</f>
        <v>8952</v>
      </c>
      <c r="KU23" s="54" t="s">
        <v>22</v>
      </c>
      <c r="KV23" s="56">
        <f>SUM(KV27:KV33)</f>
        <v>2259</v>
      </c>
      <c r="KW23" s="56">
        <f>SUM(KW27:KW33)</f>
        <v>2233</v>
      </c>
      <c r="KX23" s="55">
        <f>SUM(KX27:KX33)</f>
        <v>2301</v>
      </c>
      <c r="KY23" s="56">
        <f>SUM(KY27:KY33)</f>
        <v>2365</v>
      </c>
      <c r="KZ23" s="56">
        <f>SUM(KZ27:KZ33)</f>
        <v>9158</v>
      </c>
      <c r="LB23" s="54" t="s">
        <v>22</v>
      </c>
      <c r="LC23" s="56">
        <f>SUM(LC27:LC33)</f>
        <v>2344</v>
      </c>
      <c r="LD23" s="55">
        <f>SUM(LD27:LD33)</f>
        <v>2253</v>
      </c>
      <c r="LE23" s="55">
        <f>SUM(LE27:LE33)</f>
        <v>2265</v>
      </c>
      <c r="LF23" s="55">
        <f>SUM(LF27:LF33)</f>
        <v>2325</v>
      </c>
      <c r="LG23" s="55">
        <f>SUM(LG27:LG33)</f>
        <v>9187</v>
      </c>
      <c r="LH23" s="558"/>
      <c r="LI23" s="54" t="s">
        <v>22</v>
      </c>
      <c r="LJ23" s="55">
        <f>SUM(LJ27:LJ33)</f>
        <v>2382</v>
      </c>
      <c r="LK23" s="55">
        <f>SUM(LK27:LK33)</f>
        <v>2291</v>
      </c>
      <c r="LL23" s="55">
        <f>SUM(LL27:LL33)</f>
        <v>2301</v>
      </c>
      <c r="LM23" s="55">
        <f>SUM(LM27:LM33)</f>
        <v>2346</v>
      </c>
      <c r="LN23" s="55">
        <f>SUM(LN27:LN33)</f>
        <v>9320</v>
      </c>
      <c r="LO23" s="558"/>
      <c r="LP23" s="54" t="s">
        <v>22</v>
      </c>
      <c r="LQ23" s="55">
        <f>SUM(LQ27:LQ33)</f>
        <v>2291.6530245415129</v>
      </c>
      <c r="LR23" s="55">
        <f>SUM(LR27:LR33)</f>
        <v>2269.5095848793771</v>
      </c>
      <c r="LS23" s="55">
        <f>SUM(LS27:LS33)</f>
        <v>2297.0031854288654</v>
      </c>
      <c r="LT23" s="55">
        <f>SUM(LT27:LT33)</f>
        <v>2358.4830280332917</v>
      </c>
      <c r="LU23" s="55">
        <f>SUM(LU27:LU33)</f>
        <v>9216.6488228830476</v>
      </c>
      <c r="LV23" s="558"/>
      <c r="LW23" s="54" t="s">
        <v>22</v>
      </c>
      <c r="LX23" s="55">
        <f>SUM(LX27:LX33)</f>
        <v>2323.4519801044148</v>
      </c>
      <c r="LY23" s="55">
        <f>SUM(LY27:LY33)</f>
        <v>2300.3037479088434</v>
      </c>
      <c r="LZ23" s="55">
        <f>SUM(LZ27:LZ33)</f>
        <v>2319.4703057683091</v>
      </c>
      <c r="MA23" s="55">
        <f>SUM(MA27:MA33)</f>
        <v>2383.6906652392545</v>
      </c>
      <c r="MB23" s="55">
        <f>SUM(MB27:MB33)</f>
        <v>9326.9166990208214</v>
      </c>
      <c r="MC23" s="558"/>
      <c r="MD23" s="54" t="s">
        <v>22</v>
      </c>
      <c r="ME23" s="55">
        <f>SUM(ME27:ME33)</f>
        <v>2383.2001973834936</v>
      </c>
      <c r="MF23" s="55">
        <f>SUM(MF27:MF33)</f>
        <v>2370.1661940710096</v>
      </c>
      <c r="MG23" s="55">
        <f>SUM(MG27:MG33)</f>
        <v>2399.1567655345589</v>
      </c>
      <c r="MH23" s="55">
        <f>SUM(MH27:MH33)</f>
        <v>2445.865009934736</v>
      </c>
      <c r="MI23" s="55">
        <f>SUM(MI27:MI33)</f>
        <v>9598.3881669237981</v>
      </c>
      <c r="MJ23" s="558"/>
    </row>
    <row r="24" spans="1:349" x14ac:dyDescent="0.4">
      <c r="A24" s="48"/>
      <c r="B24" s="520" t="s">
        <v>427</v>
      </c>
      <c r="C24" s="49">
        <f t="shared" ref="C24:M24" si="56">C23/C20</f>
        <v>0.89877646766615382</v>
      </c>
      <c r="D24" s="49">
        <f t="shared" si="56"/>
        <v>0.86324320481528005</v>
      </c>
      <c r="E24" s="49">
        <f t="shared" si="56"/>
        <v>0.86018545962654025</v>
      </c>
      <c r="F24" s="49">
        <f t="shared" si="56"/>
        <v>0.84926663174436878</v>
      </c>
      <c r="G24" s="49">
        <f t="shared" si="56"/>
        <v>0.90278063851699275</v>
      </c>
      <c r="H24" s="49">
        <f t="shared" si="56"/>
        <v>0.88943288453692371</v>
      </c>
      <c r="I24" s="49">
        <f t="shared" si="56"/>
        <v>0.85152760407361083</v>
      </c>
      <c r="J24" s="49">
        <f t="shared" si="56"/>
        <v>0.84778959149412425</v>
      </c>
      <c r="K24" s="49">
        <f t="shared" si="56"/>
        <v>0.8751660026560425</v>
      </c>
      <c r="L24" s="49">
        <f t="shared" si="56"/>
        <v>0.88561151079136691</v>
      </c>
      <c r="M24" s="49">
        <f t="shared" si="56"/>
        <v>0.88026870389884093</v>
      </c>
      <c r="N24" s="49">
        <f>BV24</f>
        <v>0.88779857972885723</v>
      </c>
      <c r="O24" s="49">
        <f>CC24</f>
        <v>0.89417630056218411</v>
      </c>
      <c r="P24" s="49">
        <f>CJ24</f>
        <v>0.90108032374975389</v>
      </c>
      <c r="Q24" s="49">
        <f>CQ24</f>
        <v>0.88950206661247289</v>
      </c>
      <c r="R24" s="49">
        <f>CX24</f>
        <v>0.88742240366869862</v>
      </c>
      <c r="S24" s="49">
        <f>DE24</f>
        <v>0.87177352206494585</v>
      </c>
      <c r="T24" s="49">
        <f>DL24</f>
        <v>0.86393633540372672</v>
      </c>
      <c r="U24" s="49">
        <f>DS24</f>
        <v>0.85644457099468485</v>
      </c>
      <c r="V24" s="49">
        <f>DZ24</f>
        <v>0.85104442214722242</v>
      </c>
      <c r="W24" s="49">
        <f>EG24</f>
        <v>0.88713112260419835</v>
      </c>
      <c r="X24" s="49">
        <f>EN24</f>
        <v>0.90481916566460086</v>
      </c>
      <c r="Y24" s="49">
        <f>EU24</f>
        <v>0.90361588618850031</v>
      </c>
      <c r="Z24" s="49">
        <f>FB24</f>
        <v>0.87484586929716401</v>
      </c>
      <c r="AA24" s="49">
        <f>FI24</f>
        <v>0.86310107948969583</v>
      </c>
      <c r="AB24" s="49">
        <f>FP24</f>
        <v>0.87960882780494254</v>
      </c>
      <c r="AC24" s="49">
        <f>FW24</f>
        <v>0.86529595015576322</v>
      </c>
      <c r="AD24" s="49">
        <f>GD24</f>
        <v>0.8217649110568539</v>
      </c>
      <c r="AE24" s="49">
        <f>GK24</f>
        <v>0.77796362115826889</v>
      </c>
      <c r="AF24" s="49">
        <f>GR24</f>
        <v>0.77467597208374872</v>
      </c>
      <c r="AG24" s="49">
        <f>GY24</f>
        <v>0.75424255886272773</v>
      </c>
      <c r="AH24" s="49">
        <f>HF24</f>
        <v>0.74825793606901891</v>
      </c>
      <c r="AI24" s="49">
        <f>HM24</f>
        <v>0.70844302369311773</v>
      </c>
      <c r="AJ24" s="49">
        <f>HT24</f>
        <v>0.7089329813505918</v>
      </c>
      <c r="AK24" s="49">
        <f>IA24</f>
        <v>0.7059373936713168</v>
      </c>
      <c r="AL24" s="49">
        <f>IH24</f>
        <v>0.70932161220766299</v>
      </c>
      <c r="AM24" s="49">
        <f>IO24</f>
        <v>0.71481569184623883</v>
      </c>
      <c r="AN24" s="49">
        <f>IV24</f>
        <v>0.69655405977478624</v>
      </c>
      <c r="AO24" s="49">
        <f>JC24</f>
        <v>0.69382961423796186</v>
      </c>
      <c r="AP24" s="49">
        <f>JJ24</f>
        <v>0.66532258064516125</v>
      </c>
      <c r="AQ24" s="49">
        <f>JQ24</f>
        <v>0.60253061224489801</v>
      </c>
      <c r="AR24" s="49">
        <f>JX24</f>
        <v>0.58406634832872584</v>
      </c>
      <c r="AS24" s="49">
        <f>KE24</f>
        <v>0.58782953793820281</v>
      </c>
      <c r="AT24" s="49">
        <f>KL24</f>
        <v>0.58113719853058621</v>
      </c>
      <c r="AU24" s="49">
        <f>KS24</f>
        <v>0.6027065239345587</v>
      </c>
      <c r="AV24" s="49">
        <f>KZ24</f>
        <v>0.62482090468718021</v>
      </c>
      <c r="AW24" s="49">
        <f>LG24</f>
        <v>0.63184319119669874</v>
      </c>
      <c r="AX24" s="49">
        <f>LN24</f>
        <v>0.66136815214305988</v>
      </c>
      <c r="AY24" s="49">
        <f>LU24</f>
        <v>0.63585919276690506</v>
      </c>
      <c r="AZ24" s="49">
        <f>MB24</f>
        <v>0.61438472676937084</v>
      </c>
      <c r="BA24" s="49">
        <f>MI24</f>
        <v>0.6056286058743634</v>
      </c>
      <c r="BB24" s="49"/>
      <c r="BC24" s="49"/>
      <c r="BD24" s="49"/>
      <c r="BE24" s="49"/>
      <c r="BF24" s="49"/>
      <c r="BG24" s="49"/>
      <c r="BH24" s="49"/>
      <c r="BI24" s="49"/>
      <c r="BJ24" s="49"/>
      <c r="BK24" s="49"/>
      <c r="BL24" s="49"/>
      <c r="BM24" s="49"/>
      <c r="BN24" s="49"/>
      <c r="BO24" s="49"/>
      <c r="BQ24" s="520" t="s">
        <v>427</v>
      </c>
      <c r="BR24" s="51">
        <f>BR23/BR20</f>
        <v>0.89814513504718518</v>
      </c>
      <c r="BS24" s="51">
        <f>BS23/BS20</f>
        <v>0.88348530901722389</v>
      </c>
      <c r="BT24" s="51">
        <f>BT23/BT20</f>
        <v>0.90707380210259381</v>
      </c>
      <c r="BU24" s="51">
        <f>BU23/BU20</f>
        <v>0.86467089416506904</v>
      </c>
      <c r="BV24" s="51">
        <f>BV23/BV20</f>
        <v>0.88779857972885723</v>
      </c>
      <c r="BX24" s="520" t="s">
        <v>427</v>
      </c>
      <c r="BY24" s="51">
        <f>BY23/BY20</f>
        <v>0.91209309639880487</v>
      </c>
      <c r="BZ24" s="51">
        <f>BZ23/BZ20</f>
        <v>0.89208070741120715</v>
      </c>
      <c r="CA24" s="51">
        <f>CA23/CA20</f>
        <v>0.88560349006301498</v>
      </c>
      <c r="CB24" s="51">
        <f>CB23/CB20</f>
        <v>0.8885975654072259</v>
      </c>
      <c r="CC24" s="51">
        <f>CC23/CC20</f>
        <v>0.89417630056218411</v>
      </c>
      <c r="CE24" s="520" t="s">
        <v>427</v>
      </c>
      <c r="CF24" s="51">
        <f>CF23/CF20</f>
        <v>0.92843422154361421</v>
      </c>
      <c r="CG24" s="51">
        <f>CG23/CG20</f>
        <v>0.9030588235294118</v>
      </c>
      <c r="CH24" s="51">
        <f>CH23/CH20</f>
        <v>0.89074334436935909</v>
      </c>
      <c r="CI24" s="51">
        <f>CI23/CI20</f>
        <v>0.88484688721936644</v>
      </c>
      <c r="CJ24" s="51">
        <f>CJ23/CJ20</f>
        <v>0.90108032374975389</v>
      </c>
      <c r="CL24" s="520" t="s">
        <v>427</v>
      </c>
      <c r="CM24" s="51">
        <f>CM23/CM20</f>
        <v>0.92455904907975461</v>
      </c>
      <c r="CN24" s="51">
        <f>CN23/CN20</f>
        <v>0.88428845626542374</v>
      </c>
      <c r="CO24" s="51">
        <f>CO23/CO20</f>
        <v>0.88154269972451782</v>
      </c>
      <c r="CP24" s="51">
        <f>CP23/CP20</f>
        <v>0.86985569214323899</v>
      </c>
      <c r="CQ24" s="51">
        <f>CQ23/CQ20</f>
        <v>0.88950206661247289</v>
      </c>
      <c r="CS24" s="520" t="s">
        <v>427</v>
      </c>
      <c r="CT24" s="51">
        <f>CT23/CT20</f>
        <v>0.92638816935901658</v>
      </c>
      <c r="CU24" s="51">
        <f>CU23/CU20</f>
        <v>0.87740225314777998</v>
      </c>
      <c r="CV24" s="51">
        <f>CV23/CV20</f>
        <v>0.88712199044088091</v>
      </c>
      <c r="CW24" s="51">
        <f>CW23/CW20</f>
        <v>0.86177105831533474</v>
      </c>
      <c r="CX24" s="51">
        <f>CX23/CX20</f>
        <v>0.88742240366869862</v>
      </c>
      <c r="CZ24" s="520" t="s">
        <v>427</v>
      </c>
      <c r="DA24" s="51">
        <f>DA23/DA20</f>
        <v>0.91647956892680738</v>
      </c>
      <c r="DB24" s="51">
        <f>DB23/DB20</f>
        <v>0.87178405735976383</v>
      </c>
      <c r="DC24" s="51">
        <f>DC23/DC20</f>
        <v>0.8582995951417004</v>
      </c>
      <c r="DD24" s="51">
        <f>DD23/DD20</f>
        <v>0.84566929133858271</v>
      </c>
      <c r="DE24" s="51">
        <f>DE23/DE20</f>
        <v>0.87177352206494585</v>
      </c>
      <c r="DG24" s="520" t="s">
        <v>427</v>
      </c>
      <c r="DH24" s="51">
        <f>DH23/DH20</f>
        <v>0.88707037643207853</v>
      </c>
      <c r="DI24" s="51">
        <f>DI23/DI20</f>
        <v>0.8630835621812476</v>
      </c>
      <c r="DJ24" s="51">
        <f>DJ23/DJ20</f>
        <v>0.85390234525182618</v>
      </c>
      <c r="DK24" s="51">
        <f>DK23/DK20</f>
        <v>0.85350553505535054</v>
      </c>
      <c r="DL24" s="51">
        <f>DL23/DL20</f>
        <v>0.86393633540372672</v>
      </c>
      <c r="DN24" s="520" t="s">
        <v>427</v>
      </c>
      <c r="DO24" s="51">
        <f>DO23/DO20</f>
        <v>0.8822593476531424</v>
      </c>
      <c r="DP24" s="51">
        <f>DP23/DP20</f>
        <v>0.85086077844311381</v>
      </c>
      <c r="DQ24" s="51">
        <f>DQ23/DQ20</f>
        <v>0.85190782017378164</v>
      </c>
      <c r="DR24" s="51">
        <f>DR23/DR20</f>
        <v>0.84239733629300773</v>
      </c>
      <c r="DS24" s="51">
        <f>DS23/DS20</f>
        <v>0.85644457099468485</v>
      </c>
      <c r="DU24" s="520" t="s">
        <v>427</v>
      </c>
      <c r="DV24" s="51">
        <f>DV23/DV20</f>
        <v>0.87378262563303466</v>
      </c>
      <c r="DW24" s="51">
        <f>DW23/DW20</f>
        <v>0.83831217326362961</v>
      </c>
      <c r="DX24" s="51">
        <f>DX23/DX20</f>
        <v>0.85719360568383662</v>
      </c>
      <c r="DY24" s="51">
        <f>DY23/DY20</f>
        <v>0.8367206338270754</v>
      </c>
      <c r="DZ24" s="51">
        <f>DZ23/DZ20</f>
        <v>0.85104442214722242</v>
      </c>
      <c r="EB24" s="520" t="s">
        <v>427</v>
      </c>
      <c r="EC24" s="51">
        <f>EC23/EC20</f>
        <v>0.89434889434889431</v>
      </c>
      <c r="ED24" s="51">
        <f>ED23/ED20</f>
        <v>0.86506024096385548</v>
      </c>
      <c r="EE24" s="51">
        <f>EE23/EE20</f>
        <v>0.89995883079456562</v>
      </c>
      <c r="EF24" s="51">
        <f>EF23/EF20</f>
        <v>0.88959999999999995</v>
      </c>
      <c r="EG24" s="51">
        <f>EG23/EG20</f>
        <v>0.88713112260419835</v>
      </c>
      <c r="EI24" s="520" t="s">
        <v>427</v>
      </c>
      <c r="EJ24" s="51">
        <f>EJ23/EJ20</f>
        <v>0.89728453364816996</v>
      </c>
      <c r="EK24" s="51">
        <f>EK23/EK20</f>
        <v>0.89525993883792054</v>
      </c>
      <c r="EL24" s="51">
        <f>EL23/EL20</f>
        <v>0.89125946317962834</v>
      </c>
      <c r="EM24" s="51">
        <f>EM23/EM20</f>
        <v>0.93522561863173215</v>
      </c>
      <c r="EN24" s="51">
        <f>EN23/EN20</f>
        <v>0.90481916566460086</v>
      </c>
      <c r="EP24" s="520" t="s">
        <v>427</v>
      </c>
      <c r="EQ24" s="51">
        <f>EQ23/EQ20</f>
        <v>0.92035398230088494</v>
      </c>
      <c r="ER24" s="51">
        <f>ER23/ER20</f>
        <v>0.90917347865576748</v>
      </c>
      <c r="ES24" s="51">
        <f>ES23/ES20</f>
        <v>0.89014222658165765</v>
      </c>
      <c r="ET24" s="51">
        <f>ET23/ET20</f>
        <v>0.89350268685881773</v>
      </c>
      <c r="EU24" s="51">
        <f>EU23/EU20</f>
        <v>0.90361588618850031</v>
      </c>
      <c r="EW24" s="520" t="s">
        <v>427</v>
      </c>
      <c r="EX24" s="51">
        <f>EX23/EX20</f>
        <v>0.90666666666666662</v>
      </c>
      <c r="EY24" s="51">
        <f>EY23/EY20</f>
        <v>0.87117160913952363</v>
      </c>
      <c r="EZ24" s="51">
        <f>EZ23/EZ20</f>
        <v>0.86131748390292229</v>
      </c>
      <c r="FA24" s="51">
        <f>FA23/FA20</f>
        <v>0.86012941762070683</v>
      </c>
      <c r="FB24" s="51">
        <f>FB23/FB20</f>
        <v>0.87484586929716401</v>
      </c>
      <c r="FD24" s="520" t="s">
        <v>427</v>
      </c>
      <c r="FE24" s="51">
        <f>FE23/FE20</f>
        <v>0.89205702647657836</v>
      </c>
      <c r="FF24" s="51">
        <f>FF23/FF20</f>
        <v>0.85045827303424992</v>
      </c>
      <c r="FG24" s="51">
        <f>FG23/FG20</f>
        <v>0.86569343065693427</v>
      </c>
      <c r="FH24" s="51">
        <f>FH23/FH20</f>
        <v>0.84563106796116505</v>
      </c>
      <c r="FI24" s="51">
        <f>FI23/FI20</f>
        <v>0.86310107948969583</v>
      </c>
      <c r="FK24" s="520" t="s">
        <v>427</v>
      </c>
      <c r="FL24" s="51">
        <f>FL23/FL20</f>
        <v>0.91734693877551021</v>
      </c>
      <c r="FM24" s="51">
        <f>FM23/FM20</f>
        <v>0.85805084745762716</v>
      </c>
      <c r="FN24" s="51">
        <f>FN23/FN20</f>
        <v>0.87273724629731209</v>
      </c>
      <c r="FO24" s="51">
        <f>FO23/FO20</f>
        <v>0.86867088607594933</v>
      </c>
      <c r="FP24" s="51">
        <f>FP23/FP20</f>
        <v>0.87960882780494254</v>
      </c>
      <c r="FR24" s="520" t="s">
        <v>427</v>
      </c>
      <c r="FS24" s="51">
        <f>FS23/FS20</f>
        <v>0.89322916666666663</v>
      </c>
      <c r="FT24" s="51">
        <f>FT23/FT20</f>
        <v>0.84962406015037595</v>
      </c>
      <c r="FU24" s="51">
        <f>FU23/FU20</f>
        <v>0.8663570691434469</v>
      </c>
      <c r="FV24" s="51">
        <f>FV23/FV20</f>
        <v>0.85405156537753224</v>
      </c>
      <c r="FW24" s="51">
        <f>FW23/FW20</f>
        <v>0.86529595015576322</v>
      </c>
      <c r="FY24" s="520" t="s">
        <v>427</v>
      </c>
      <c r="FZ24" s="51">
        <f>FZ23/FZ20</f>
        <v>0.83206831119544589</v>
      </c>
      <c r="GA24" s="51">
        <f>GA23/GA20</f>
        <v>0.80735225686365752</v>
      </c>
      <c r="GB24" s="51">
        <f>GB23/GB20</f>
        <v>0.83388235294117652</v>
      </c>
      <c r="GC24" s="51">
        <f>GC23/GC20</f>
        <v>0.81433077963046419</v>
      </c>
      <c r="GD24" s="51">
        <f>GD23/GD20</f>
        <v>0.8217649110568539</v>
      </c>
      <c r="GF24" s="520" t="s">
        <v>427</v>
      </c>
      <c r="GG24" s="51">
        <f>GG23/GG20</f>
        <v>0.79107679107679107</v>
      </c>
      <c r="GH24" s="51">
        <f>GH23/GH20</f>
        <v>0.73358116480793056</v>
      </c>
      <c r="GI24" s="51">
        <f>GI23/GI20</f>
        <v>0.79776674937965264</v>
      </c>
      <c r="GJ24" s="51">
        <f>GJ23/GJ20</f>
        <v>0.79006677796327207</v>
      </c>
      <c r="GK24" s="51">
        <f>GK23/GK20</f>
        <v>0.77796362115826889</v>
      </c>
      <c r="GM24" s="520" t="s">
        <v>427</v>
      </c>
      <c r="GN24" s="51">
        <f>GN23/GN20</f>
        <v>0.79975227085053679</v>
      </c>
      <c r="GO24" s="51">
        <f>GO23/GO20</f>
        <v>0.75810276679841893</v>
      </c>
      <c r="GP24" s="51">
        <f>GP23/GP20</f>
        <v>0.77688924430227912</v>
      </c>
      <c r="GQ24" s="51">
        <f>GQ23/GQ20</f>
        <v>0.76523088863019018</v>
      </c>
      <c r="GR24" s="51">
        <f>GR23/GR20</f>
        <v>0.77467597208374872</v>
      </c>
      <c r="GT24" s="520" t="s">
        <v>427</v>
      </c>
      <c r="GU24" s="51">
        <f>GU23/GU20</f>
        <v>0.76999631404349433</v>
      </c>
      <c r="GV24" s="51">
        <f>GV23/GV20</f>
        <v>0.75335397316821462</v>
      </c>
      <c r="GW24" s="51">
        <f>GW23/GW20</f>
        <v>0.75244849712934825</v>
      </c>
      <c r="GX24" s="51">
        <f>GX23/GX20</f>
        <v>0.74121166791323856</v>
      </c>
      <c r="GY24" s="51">
        <f>GY23/GY20</f>
        <v>0.75424255886272773</v>
      </c>
      <c r="HA24" s="520" t="s">
        <v>427</v>
      </c>
      <c r="HB24" s="51">
        <f>HB23/HB20</f>
        <v>0.76769025367156207</v>
      </c>
      <c r="HC24" s="51">
        <f>HC23/HC20</f>
        <v>0.7359267734553776</v>
      </c>
      <c r="HD24" s="51">
        <f>HD23/HD20</f>
        <v>0.74049803407601578</v>
      </c>
      <c r="HE24" s="51">
        <f>HE23/HE20</f>
        <v>0.74870689655172418</v>
      </c>
      <c r="HF24" s="51">
        <f>HF23/HF20</f>
        <v>0.74825793606901891</v>
      </c>
      <c r="HH24" s="520" t="s">
        <v>427</v>
      </c>
      <c r="HI24" s="51">
        <f>HI23/HI20</f>
        <v>0.74628663187474908</v>
      </c>
      <c r="HJ24" s="51">
        <f>HJ23/HJ20</f>
        <v>0.70033796470146448</v>
      </c>
      <c r="HK24" s="51">
        <f>HK23/HK20</f>
        <v>0.69054763690922727</v>
      </c>
      <c r="HL24" s="51">
        <f>HL23/HL20</f>
        <v>0.69957386363636365</v>
      </c>
      <c r="HM24" s="51">
        <f>HM23/HM20</f>
        <v>0.70844302369311773</v>
      </c>
      <c r="HO24" s="520" t="s">
        <v>427</v>
      </c>
      <c r="HP24" s="51">
        <f>HP23/HP20</f>
        <v>0.72491103202846974</v>
      </c>
      <c r="HQ24" s="51">
        <f>HQ23/HQ20</f>
        <v>0.69327591917853593</v>
      </c>
      <c r="HR24" s="51">
        <f>HR23/HR20</f>
        <v>0.70367870401619981</v>
      </c>
      <c r="HS24" s="51">
        <f>HS23/HS20</f>
        <v>0.71501186038630971</v>
      </c>
      <c r="HT24" s="51">
        <f>HT23/HT20</f>
        <v>0.7089329813505918</v>
      </c>
      <c r="HV24" s="520" t="s">
        <v>427</v>
      </c>
      <c r="HW24" s="51">
        <f>HW23/HW20</f>
        <v>0.71139581928523266</v>
      </c>
      <c r="HX24" s="51">
        <f>HX23/HX20</f>
        <v>0.68691899070385121</v>
      </c>
      <c r="HY24" s="51">
        <f>HY23/HY20</f>
        <v>0.70490670352453355</v>
      </c>
      <c r="HZ24" s="51">
        <f>HZ23/HZ20</f>
        <v>0.72122052704576978</v>
      </c>
      <c r="IA24" s="51">
        <f>IA23/IA20</f>
        <v>0.7059373936713168</v>
      </c>
      <c r="IC24" s="520" t="s">
        <v>427</v>
      </c>
      <c r="ID24" s="51">
        <f>ID23/ID20</f>
        <v>0.70419202163624073</v>
      </c>
      <c r="IE24" s="51">
        <f>IE23/IE20</f>
        <v>0.6862170087976539</v>
      </c>
      <c r="IF24" s="51">
        <f>IF23/IF20</f>
        <v>0.71523841280426814</v>
      </c>
      <c r="IG24" s="51">
        <f>IG23/IG20</f>
        <v>0.73186015831134565</v>
      </c>
      <c r="IH24" s="51">
        <f>IH23/IH20</f>
        <v>0.70932161220766299</v>
      </c>
      <c r="IJ24" s="520" t="s">
        <v>427</v>
      </c>
      <c r="IK24" s="51">
        <f>IK23/IK20</f>
        <v>0.7546480743691899</v>
      </c>
      <c r="IL24" s="51">
        <f>IL23/IL20</f>
        <v>0.69266337854500615</v>
      </c>
      <c r="IM24" s="51">
        <f>IM23/IM20</f>
        <v>0.6969885128841975</v>
      </c>
      <c r="IN24" s="51">
        <f>IN23/IN20</f>
        <v>0.71773182957393489</v>
      </c>
      <c r="IO24" s="51">
        <f>IO23/IO20</f>
        <v>0.71481569184623883</v>
      </c>
      <c r="IQ24" s="520" t="s">
        <v>427</v>
      </c>
      <c r="IR24" s="51">
        <f>IR23/IR20</f>
        <v>0.72150644202180381</v>
      </c>
      <c r="IS24" s="51">
        <f>IS23/IS20</f>
        <v>0.66808093994778073</v>
      </c>
      <c r="IT24" s="51">
        <f>IT23/IT20</f>
        <v>0.68254508336168762</v>
      </c>
      <c r="IU24" s="51">
        <f>IU23/IU20</f>
        <v>0.71556993887090969</v>
      </c>
      <c r="IV24" s="51">
        <f>IV23/IV20</f>
        <v>0.69655405977478624</v>
      </c>
      <c r="IX24" s="520" t="s">
        <v>427</v>
      </c>
      <c r="IY24" s="51">
        <f>IY23/IY20</f>
        <v>0.73109243697478987</v>
      </c>
      <c r="IZ24" s="51">
        <f>IZ23/IZ20</f>
        <v>0.68934911242603547</v>
      </c>
      <c r="JA24" s="51">
        <f>JA23/JA20</f>
        <v>0.68966789667896677</v>
      </c>
      <c r="JB24" s="51">
        <f>JB23/JB20</f>
        <v>0.66941060256832396</v>
      </c>
      <c r="JC24" s="51">
        <f>JC23/JC20</f>
        <v>0.69382961423796186</v>
      </c>
      <c r="JE24" s="520" t="s">
        <v>427</v>
      </c>
      <c r="JF24" s="51">
        <f>JF23/JF20</f>
        <v>0.69362147089578252</v>
      </c>
      <c r="JG24" s="51">
        <f>JG23/JG20</f>
        <v>0.63450392090010233</v>
      </c>
      <c r="JH24" s="51">
        <f>JH23/JH20</f>
        <v>0.68319358366751737</v>
      </c>
      <c r="JI24" s="51">
        <f>JI23/JI20</f>
        <v>0.65141460006985674</v>
      </c>
      <c r="JJ24" s="51">
        <f>JJ23/JJ20</f>
        <v>0.66532258064516125</v>
      </c>
      <c r="JL24" s="520" t="s">
        <v>427</v>
      </c>
      <c r="JM24" s="51">
        <f>JM23/JM20</f>
        <v>0.63699582753824757</v>
      </c>
      <c r="JN24" s="51">
        <f>JN23/JN20</f>
        <v>0.58639587362991619</v>
      </c>
      <c r="JO24" s="51">
        <f>JO23/JO20</f>
        <v>0.58676893576222433</v>
      </c>
      <c r="JP24" s="51">
        <f>JP23/JP20</f>
        <v>0.60260897231943999</v>
      </c>
      <c r="JQ24" s="51">
        <f>JQ23/JQ20</f>
        <v>0.60253061224489801</v>
      </c>
      <c r="JS24" s="520" t="s">
        <v>427</v>
      </c>
      <c r="JT24" s="51">
        <f>JT23/JT20</f>
        <v>0.59541984732824427</v>
      </c>
      <c r="JU24" s="51">
        <f>JU23/JU20</f>
        <v>0.57366873570728516</v>
      </c>
      <c r="JV24" s="51">
        <f>JV23/JV20</f>
        <v>0.56783075889858969</v>
      </c>
      <c r="JW24" s="51">
        <f>JW23/JW20</f>
        <v>0.6</v>
      </c>
      <c r="JX24" s="51">
        <f>JX23/JX20</f>
        <v>0.58406634832872584</v>
      </c>
      <c r="JZ24" s="520" t="s">
        <v>427</v>
      </c>
      <c r="KA24" s="51">
        <f>KA23/KA20</f>
        <v>0.5873905429071804</v>
      </c>
      <c r="KB24" s="51">
        <f>KB23/KB20</f>
        <v>0.63281596452328159</v>
      </c>
      <c r="KC24" s="51">
        <f>KC23/KC20</f>
        <v>0.5691087613293051</v>
      </c>
      <c r="KD24" s="51">
        <f>KD23/KD20</f>
        <v>0.56991150442477878</v>
      </c>
      <c r="KE24" s="51">
        <f>KE23/KE20</f>
        <v>0.58782953793820281</v>
      </c>
      <c r="KG24" s="520" t="s">
        <v>427</v>
      </c>
      <c r="KH24" s="51">
        <f>KH23/KH20</f>
        <v>0.60860291503732666</v>
      </c>
      <c r="KI24" s="51">
        <f>KI23/KI20</f>
        <v>0.55117056856187296</v>
      </c>
      <c r="KJ24" s="51">
        <f>KJ23/KJ20</f>
        <v>0.56379100850546782</v>
      </c>
      <c r="KK24" s="51">
        <f>KK23/KK20</f>
        <v>0.60140064196089871</v>
      </c>
      <c r="KL24" s="51">
        <f>KL23/KL20</f>
        <v>0.58113719853058621</v>
      </c>
      <c r="KN24" s="520" t="s">
        <v>427</v>
      </c>
      <c r="KO24" s="51">
        <f>KO23/KO20</f>
        <v>0.62437738060357462</v>
      </c>
      <c r="KP24" s="51">
        <f>KP23/KP20</f>
        <v>0.58558322411533426</v>
      </c>
      <c r="KQ24" s="51">
        <f>KQ23/KQ20</f>
        <v>0.59460847240051351</v>
      </c>
      <c r="KR24" s="51">
        <f>KR23/KR20</f>
        <v>0.60884718498659518</v>
      </c>
      <c r="KS24" s="51">
        <f>KS23/KS20</f>
        <v>0.6027065239345587</v>
      </c>
      <c r="KU24" s="520" t="s">
        <v>427</v>
      </c>
      <c r="KV24" s="51">
        <f>KV23/KV20</f>
        <v>0.60955207771181863</v>
      </c>
      <c r="KW24" s="51">
        <f>KW23/KW20</f>
        <v>0.60367666937010001</v>
      </c>
      <c r="KX24" s="49">
        <f>KX23/KX20+0.0001</f>
        <v>0.64427693169092948</v>
      </c>
      <c r="KY24" s="51">
        <f>KY23/KY20</f>
        <v>0.64266304347826086</v>
      </c>
      <c r="KZ24" s="51">
        <f>KZ23/KZ20</f>
        <v>0.62482090468718021</v>
      </c>
      <c r="LB24" s="520" t="s">
        <v>427</v>
      </c>
      <c r="LC24" s="51">
        <f>LC23/LC20</f>
        <v>0.63678348274925289</v>
      </c>
      <c r="LD24" s="49">
        <f>LD23/LD20</f>
        <v>0.60875439070521475</v>
      </c>
      <c r="LE24" s="49">
        <f>LE23/LE20</f>
        <v>0.62586349820392373</v>
      </c>
      <c r="LF24" s="49">
        <f>LF23/LF20</f>
        <v>0.65696524441932747</v>
      </c>
      <c r="LG24" s="49">
        <f>LG23/LG20</f>
        <v>0.63184319119669874</v>
      </c>
      <c r="LH24" s="566"/>
      <c r="LI24" s="520" t="s">
        <v>427</v>
      </c>
      <c r="LJ24" s="49">
        <f>LJ23/LJ20</f>
        <v>0.69588080631025417</v>
      </c>
      <c r="LK24" s="49">
        <f>LK23/LK20</f>
        <v>0.64101846670397311</v>
      </c>
      <c r="LL24" s="49">
        <f>LL23/LL20</f>
        <v>0.64148313353777531</v>
      </c>
      <c r="LM24" s="49">
        <f>LM23/LM20</f>
        <v>0.66875712656784492</v>
      </c>
      <c r="LN24" s="49">
        <f>LN23/LN20</f>
        <v>0.66136815214305988</v>
      </c>
      <c r="LO24" s="566"/>
      <c r="LP24" s="520" t="s">
        <v>427</v>
      </c>
      <c r="LQ24" s="49">
        <f>LQ23/LQ20</f>
        <v>0.66217102583546805</v>
      </c>
      <c r="LR24" s="49">
        <f>LR23/LR20</f>
        <v>0.62419645030353255</v>
      </c>
      <c r="LS24" s="49">
        <f>LS23/LS20</f>
        <v>0.62015227388123673</v>
      </c>
      <c r="LT24" s="49">
        <f>LT23/LT20</f>
        <v>0.63843661408851116</v>
      </c>
      <c r="LU24" s="49">
        <f>LU23/LU20</f>
        <v>0.63585919276690506</v>
      </c>
      <c r="LV24" s="566"/>
      <c r="LW24" s="520" t="s">
        <v>427</v>
      </c>
      <c r="LX24" s="49">
        <f>LX23/LX20</f>
        <v>0.64038081545298209</v>
      </c>
      <c r="LY24" s="49">
        <f>LY23/LY20</f>
        <v>0.60392023081267909</v>
      </c>
      <c r="LZ24" s="49">
        <f>LZ23/LZ20</f>
        <v>0.5984167926184355</v>
      </c>
      <c r="MA24" s="49">
        <f>MA23/MA20</f>
        <v>0.61630595649369357</v>
      </c>
      <c r="MB24" s="49">
        <f>MB23/MB20</f>
        <v>0.61438472676937084</v>
      </c>
      <c r="MC24" s="566"/>
      <c r="MD24" s="520" t="s">
        <v>427</v>
      </c>
      <c r="ME24" s="49">
        <f>ME23/ME20</f>
        <v>0.62865107484772986</v>
      </c>
      <c r="MF24" s="49">
        <f>MF23/MF20</f>
        <v>0.59593166131155439</v>
      </c>
      <c r="MG24" s="49">
        <f>MG23/MG20</f>
        <v>0.59295432422001093</v>
      </c>
      <c r="MH24" s="49">
        <f>MH23/MH20</f>
        <v>0.60626589771189554</v>
      </c>
      <c r="MI24" s="49">
        <f>MI23/MI20</f>
        <v>0.6056286058743634</v>
      </c>
      <c r="MJ24" s="566"/>
      <c r="MK24" s="566"/>
    </row>
    <row r="25" spans="1:349" x14ac:dyDescent="0.4">
      <c r="A25" s="48"/>
      <c r="B25" s="520" t="s">
        <v>3</v>
      </c>
      <c r="C25" s="49"/>
      <c r="D25" s="49">
        <f t="shared" ref="D25:M25" si="57">D23/C23-1</f>
        <v>0.11854219819273215</v>
      </c>
      <c r="E25" s="49">
        <f t="shared" si="57"/>
        <v>0.11535082903261218</v>
      </c>
      <c r="F25" s="49">
        <f t="shared" si="57"/>
        <v>0.1172778734924933</v>
      </c>
      <c r="G25" s="49">
        <f t="shared" si="57"/>
        <v>-3.4475162462826336E-2</v>
      </c>
      <c r="H25" s="49">
        <f t="shared" si="57"/>
        <v>-5.2475473420031671E-3</v>
      </c>
      <c r="I25" s="49">
        <f t="shared" si="57"/>
        <v>9.3119266055045946E-2</v>
      </c>
      <c r="J25" s="49">
        <f t="shared" si="57"/>
        <v>-4.6370121695342048E-2</v>
      </c>
      <c r="K25" s="49">
        <f t="shared" si="57"/>
        <v>0.15995599559955997</v>
      </c>
      <c r="L25" s="49">
        <f t="shared" si="57"/>
        <v>0.16748861911987856</v>
      </c>
      <c r="M25" s="49">
        <f t="shared" si="57"/>
        <v>8.5783915515840858E-2</v>
      </c>
      <c r="N25" s="49">
        <f>BV25</f>
        <v>2.8879245847673207E-2</v>
      </c>
      <c r="O25" s="49">
        <f>CC25</f>
        <v>6.7044793484584142E-2</v>
      </c>
      <c r="P25" s="49">
        <f>CJ25</f>
        <v>6.0651492435600307E-2</v>
      </c>
      <c r="Q25" s="49">
        <f>CQ25</f>
        <v>-1.6705217167822806E-3</v>
      </c>
      <c r="R25" s="49">
        <f>CX25</f>
        <v>2.1238254601621875E-2</v>
      </c>
      <c r="S25" s="49">
        <f>DE25</f>
        <v>5.5709604234938315E-2</v>
      </c>
      <c r="T25" s="49">
        <f>DL25</f>
        <v>6.2798471824259794E-2</v>
      </c>
      <c r="U25" s="49">
        <f>DS25</f>
        <v>1.3648618288025105E-2</v>
      </c>
      <c r="V25" s="49">
        <f>DZ25</f>
        <v>3.3966864298775379E-2</v>
      </c>
      <c r="W25" s="49">
        <f>EG25</f>
        <v>-6.2379421221864906E-2</v>
      </c>
      <c r="X25" s="49">
        <f>EN25</f>
        <v>0.11819844535893909</v>
      </c>
      <c r="Y25" s="49">
        <f>EU25</f>
        <v>-0.22081373952157024</v>
      </c>
      <c r="Z25" s="49">
        <f>FB25</f>
        <v>-6.9141957491472006E-2</v>
      </c>
      <c r="AA25" s="49">
        <f>FI25</f>
        <v>-8.3157152924594469E-3</v>
      </c>
      <c r="AB25" s="49">
        <f>FP25</f>
        <v>-5.40079590676521E-2</v>
      </c>
      <c r="AC25" s="49">
        <f>FW25</f>
        <v>4.3269230769230838E-2</v>
      </c>
      <c r="AD25" s="49">
        <f>GD25</f>
        <v>1.7857142857142794E-2</v>
      </c>
      <c r="AE25" s="49">
        <f>GK25</f>
        <v>5.2914544425580079E-2</v>
      </c>
      <c r="AF25" s="49">
        <f>GR25</f>
        <v>4.4074173609244927E-2</v>
      </c>
      <c r="AG25" s="49">
        <f>GY25</f>
        <v>9.2535392535392447E-2</v>
      </c>
      <c r="AH25" s="49">
        <f>HF25</f>
        <v>-0.20308634703734241</v>
      </c>
      <c r="AI25" s="49">
        <f>HM25</f>
        <v>0.11382113821138207</v>
      </c>
      <c r="AJ25" s="49">
        <f>HT25</f>
        <v>0.10484406104844068</v>
      </c>
      <c r="AK25" s="49">
        <f>IA25</f>
        <v>-3.1231231231231282E-3</v>
      </c>
      <c r="AL25" s="49">
        <f>IH25</f>
        <v>3.0606097120134956E-2</v>
      </c>
      <c r="AM25" s="49">
        <f>IO25</f>
        <v>5.8809774348181909E-2</v>
      </c>
      <c r="AN25" s="49">
        <f>IV25</f>
        <v>-9.154151943462896E-2</v>
      </c>
      <c r="AO25" s="49">
        <f>JC25</f>
        <v>-6.6488391880393793E-2</v>
      </c>
      <c r="AP25" s="49">
        <f>JJ25</f>
        <v>-1.171875E-2</v>
      </c>
      <c r="AQ25" s="49">
        <f>JQ25</f>
        <v>-2.753623188405796E-2</v>
      </c>
      <c r="AR25" s="49">
        <f>JX25</f>
        <v>-5.5412545725511464E-2</v>
      </c>
      <c r="AS25" s="49">
        <f>KE25</f>
        <v>-0.10771658060814693</v>
      </c>
      <c r="AT25" s="49">
        <f>KL25</f>
        <v>0.16974762899855333</v>
      </c>
      <c r="AU25" s="49">
        <f>KS25</f>
        <v>0.23017727085337358</v>
      </c>
      <c r="AV25" s="49">
        <f>KZ25</f>
        <v>2.301161751563896E-2</v>
      </c>
      <c r="AW25" s="49">
        <f>LG25</f>
        <v>3.1666302686175207E-3</v>
      </c>
      <c r="AX25" s="49">
        <f>LN25</f>
        <v>1.4476978338957114E-2</v>
      </c>
      <c r="AY25" s="49">
        <f>LU25</f>
        <v>-1.1089182094093597E-2</v>
      </c>
      <c r="AZ25" s="49">
        <f>MB25</f>
        <v>1.1963988023933503E-2</v>
      </c>
      <c r="BA25" s="49">
        <f>MI25</f>
        <v>2.9106239142403512E-2</v>
      </c>
      <c r="BB25" s="49"/>
      <c r="BC25" s="49"/>
      <c r="BD25" s="49"/>
      <c r="BE25" s="49"/>
      <c r="BF25" s="49"/>
      <c r="BG25" s="49"/>
      <c r="BH25" s="49"/>
      <c r="BI25" s="49"/>
      <c r="BJ25" s="49"/>
      <c r="BK25" s="49"/>
      <c r="BL25" s="49"/>
      <c r="BM25" s="49"/>
      <c r="BN25" s="49"/>
      <c r="BO25" s="49"/>
      <c r="BQ25" s="520" t="s">
        <v>3</v>
      </c>
      <c r="BR25" s="51" t="s">
        <v>80</v>
      </c>
      <c r="BS25" s="51" t="s">
        <v>80</v>
      </c>
      <c r="BT25" s="51" t="s">
        <v>80</v>
      </c>
      <c r="BU25" s="51" t="s">
        <v>80</v>
      </c>
      <c r="BV25" s="51">
        <f>BV23/M23-1</f>
        <v>2.8879245847673207E-2</v>
      </c>
      <c r="BX25" s="520" t="s">
        <v>3</v>
      </c>
      <c r="BY25" s="51">
        <f>BY23/BR23-1</f>
        <v>5.0724637681159424E-2</v>
      </c>
      <c r="BZ25" s="51">
        <f>BZ23/BS23-1</f>
        <v>4.7018348623853123E-2</v>
      </c>
      <c r="CA25" s="51">
        <f>CA23/BT23-1</f>
        <v>6.4065230052416933E-2</v>
      </c>
      <c r="CB25" s="51">
        <f>CB23/BU23-1</f>
        <v>0.10517339397384884</v>
      </c>
      <c r="CC25" s="51">
        <f>CC23/BV23-1</f>
        <v>6.7044793484584142E-2</v>
      </c>
      <c r="CE25" s="520" t="s">
        <v>3</v>
      </c>
      <c r="CF25" s="51">
        <f>CF23/BY23-1</f>
        <v>8.3333333333333259E-2</v>
      </c>
      <c r="CG25" s="51">
        <f>CG23/BZ23-1</f>
        <v>5.0930996714129151E-2</v>
      </c>
      <c r="CH25" s="51">
        <f>CH23/CA23-1</f>
        <v>7.4986316365626804E-2</v>
      </c>
      <c r="CI25" s="51">
        <f>CI23/CB23-1</f>
        <v>3.6008230452674983E-2</v>
      </c>
      <c r="CJ25" s="51">
        <f>CJ23/CC23-1</f>
        <v>6.0651492435600307E-2</v>
      </c>
      <c r="CL25" s="520" t="s">
        <v>3</v>
      </c>
      <c r="CM25" s="51">
        <f>CM23/CF23-1</f>
        <v>2.3342175066312976E-2</v>
      </c>
      <c r="CN25" s="51">
        <f>CN23/CG23-1</f>
        <v>8.3376758728503919E-3</v>
      </c>
      <c r="CO25" s="51">
        <f>CO23/CH23-1</f>
        <v>-6.109979633401208E-3</v>
      </c>
      <c r="CP25" s="51">
        <f>CP23/CI23-1</f>
        <v>-3.0287984111221466E-2</v>
      </c>
      <c r="CQ25" s="51">
        <f>CQ23/CJ23-1</f>
        <v>-1.6705217167822806E-3</v>
      </c>
      <c r="CS25" s="520" t="s">
        <v>3</v>
      </c>
      <c r="CT25" s="51">
        <f>CT23/CM23-1</f>
        <v>1.9699326075686807E-2</v>
      </c>
      <c r="CU25" s="51">
        <f>CU23/CN23-1</f>
        <v>2.635658914728678E-2</v>
      </c>
      <c r="CV25" s="51">
        <f>CV23/CO23-1</f>
        <v>1.741803278688514E-2</v>
      </c>
      <c r="CW25" s="51">
        <f>CW23/CP23-1</f>
        <v>2.1505376344086002E-2</v>
      </c>
      <c r="CX25" s="51">
        <f>CX23/CQ23-1</f>
        <v>2.1238254601621875E-2</v>
      </c>
      <c r="CZ25" s="520" t="s">
        <v>3</v>
      </c>
      <c r="DA25" s="51">
        <f>DA23/CT23-1</f>
        <v>3.7620742247076677E-2</v>
      </c>
      <c r="DB25" s="51">
        <f>DB23/CU23-1</f>
        <v>4.0785498489426031E-2</v>
      </c>
      <c r="DC25" s="51">
        <f>DC23/CV23-1</f>
        <v>6.7472306143000926E-2</v>
      </c>
      <c r="DD25" s="51">
        <f>DD23/CW23-1</f>
        <v>7.6691729323308255E-2</v>
      </c>
      <c r="DE25" s="51">
        <f>DE23/CX23-1</f>
        <v>5.5709604234938315E-2</v>
      </c>
      <c r="DG25" s="520" t="s">
        <v>3</v>
      </c>
      <c r="DH25" s="51">
        <f>DH23/DA23-1</f>
        <v>6.2224399804017727E-2</v>
      </c>
      <c r="DI25" s="51">
        <f>DI23/DB23-1</f>
        <v>6.4344460570875617E-2</v>
      </c>
      <c r="DJ25" s="51">
        <f>DJ23/DC23-1</f>
        <v>4.764150943396217E-2</v>
      </c>
      <c r="DK25" s="51">
        <f>DK23/DD23-1</f>
        <v>7.6815642458100575E-2</v>
      </c>
      <c r="DL25" s="51">
        <f>DL23/DE23-1</f>
        <v>6.2798471824259794E-2</v>
      </c>
      <c r="DN25" s="520" t="s">
        <v>3</v>
      </c>
      <c r="DO25" s="51">
        <f>DO23/DH23-1</f>
        <v>2.3062730627306349E-2</v>
      </c>
      <c r="DP25" s="51">
        <f>DP23/DI23-1</f>
        <v>3.3409090909090944E-2</v>
      </c>
      <c r="DQ25" s="51">
        <f>DQ23/DJ23-1</f>
        <v>1.5308419630796877E-2</v>
      </c>
      <c r="DR25" s="51">
        <f>DR23/DK23-1</f>
        <v>-1.5564202334630295E-2</v>
      </c>
      <c r="DS25" s="51">
        <f>DS23/DL23-1</f>
        <v>1.3648618288025105E-2</v>
      </c>
      <c r="DU25" s="520" t="s">
        <v>3</v>
      </c>
      <c r="DV25" s="51">
        <f>DV23/DO23-1</f>
        <v>1.1271415689810604E-2</v>
      </c>
      <c r="DW25" s="51">
        <f>DW23/DP23-1</f>
        <v>-1.2535737849131312E-2</v>
      </c>
      <c r="DX25" s="51">
        <f>DX23/DQ23-1</f>
        <v>7.0066518847006654E-2</v>
      </c>
      <c r="DY25" s="51">
        <f>DY23/DR23-1</f>
        <v>6.6754501537110267E-2</v>
      </c>
      <c r="DZ25" s="51">
        <f>DZ23/DS23-1</f>
        <v>3.3966864298775379E-2</v>
      </c>
      <c r="EB25" s="520" t="s">
        <v>3</v>
      </c>
      <c r="EC25" s="51">
        <f>EC23/DV23-1</f>
        <v>-2.630405706642891E-2</v>
      </c>
      <c r="ED25" s="51">
        <f>ED23/DW23-1</f>
        <v>-4.0534521158129166E-2</v>
      </c>
      <c r="EE25" s="51">
        <f>EE23/DX23-1</f>
        <v>-9.4073767094902561E-2</v>
      </c>
      <c r="EF25" s="51">
        <f>EF23/DY23-1</f>
        <v>-8.4396871140386964E-2</v>
      </c>
      <c r="EG25" s="51">
        <f>EG23/DZ23-1</f>
        <v>-6.2379421221864906E-2</v>
      </c>
      <c r="EI25" s="520" t="s">
        <v>3</v>
      </c>
      <c r="EJ25" s="51">
        <f>EJ23/EC23-1</f>
        <v>4.3956043956044022E-2</v>
      </c>
      <c r="EK25" s="51">
        <f>EK23/ED23-1</f>
        <v>8.7279480037140145E-2</v>
      </c>
      <c r="EL25" s="51">
        <f>EL23/EE23-1</f>
        <v>0.1848124428179323</v>
      </c>
      <c r="EM25" s="51">
        <f>EM23/EF23-1</f>
        <v>0.15557553956834536</v>
      </c>
      <c r="EN25" s="51">
        <f>EN23/EG23-1</f>
        <v>0.11819844535893909</v>
      </c>
      <c r="EP25" s="520" t="s">
        <v>3</v>
      </c>
      <c r="EQ25" s="51">
        <f>EQ23/EJ23-1</f>
        <v>-0.1333333333333333</v>
      </c>
      <c r="ER25" s="51">
        <f>ER23/EK23-1</f>
        <v>-0.14517506404782232</v>
      </c>
      <c r="ES25" s="51">
        <f>ES23/EL23-1</f>
        <v>-0.29922779922779918</v>
      </c>
      <c r="ET25" s="51">
        <f>ET23/EM23-1</f>
        <v>-0.28832684824902721</v>
      </c>
      <c r="EU25" s="51">
        <f>EU23/EN23-1</f>
        <v>-0.22081373952157024</v>
      </c>
      <c r="EW25" s="520" t="s">
        <v>3</v>
      </c>
      <c r="EX25" s="51">
        <f>EX23/EQ23-1</f>
        <v>-7.0850202429149745E-2</v>
      </c>
      <c r="EY25" s="51">
        <f>EY23/ER23-1</f>
        <v>-0.1048951048951049</v>
      </c>
      <c r="EZ25" s="51">
        <f>EZ23/ES23-1</f>
        <v>-4.1873278236914557E-2</v>
      </c>
      <c r="FA25" s="51">
        <f>FA23/ET23-1</f>
        <v>-5.5221432476763255E-2</v>
      </c>
      <c r="FB25" s="51">
        <f>FB23/EU23-1</f>
        <v>-6.9141957491472006E-2</v>
      </c>
      <c r="FD25" s="520" t="s">
        <v>3</v>
      </c>
      <c r="FE25" s="51">
        <f>FE23/EX23-1</f>
        <v>-4.5751633986928053E-2</v>
      </c>
      <c r="FF25" s="51">
        <f>FF23/EY23-1</f>
        <v>-1.6183035714285698E-2</v>
      </c>
      <c r="FG25" s="51">
        <f>FG23/EZ23-1</f>
        <v>2.3001725129384809E-2</v>
      </c>
      <c r="FH25" s="51">
        <f>FH23/FA23-1</f>
        <v>8.1018518518518601E-3</v>
      </c>
      <c r="FI25" s="51">
        <f>FI23/FB23-1</f>
        <v>-8.3157152924594469E-3</v>
      </c>
      <c r="FK25" s="520" t="s">
        <v>3</v>
      </c>
      <c r="FL25" s="51">
        <f>FL23/FE23-1</f>
        <v>2.6255707762557146E-2</v>
      </c>
      <c r="FM25" s="51">
        <f>FM23/FF23-1</f>
        <v>-8.1111741349971678E-2</v>
      </c>
      <c r="FN25" s="51">
        <f>FN23/FG23-1</f>
        <v>-0.10567734682405849</v>
      </c>
      <c r="FO25" s="51">
        <f>FO23/FH23-1</f>
        <v>-5.4535017221584381E-2</v>
      </c>
      <c r="FP25" s="51">
        <f>FP23/FI23-1</f>
        <v>-5.40079590676521E-2</v>
      </c>
      <c r="FR25" s="520" t="s">
        <v>3</v>
      </c>
      <c r="FS25" s="51">
        <f>FS23/FL23-1</f>
        <v>-4.6162402669632896E-2</v>
      </c>
      <c r="FT25" s="51">
        <f>FT23/FM23-1</f>
        <v>4.629629629629628E-2</v>
      </c>
      <c r="FU25" s="51">
        <f>FU23/FN23-1</f>
        <v>5.5311125078566947E-2</v>
      </c>
      <c r="FV25" s="51">
        <f>FV23/FO23-1</f>
        <v>0.12629022465088036</v>
      </c>
      <c r="FW25" s="51">
        <f>FW23/FP23-1</f>
        <v>4.3269230769230838E-2</v>
      </c>
      <c r="FY25" s="520" t="s">
        <v>3</v>
      </c>
      <c r="FZ25" s="51">
        <f>FZ23/FS23-1</f>
        <v>2.2740524781341032E-2</v>
      </c>
      <c r="GA25" s="51">
        <f>GA23/FT23-1</f>
        <v>2.3598820058997161E-2</v>
      </c>
      <c r="GB25" s="51">
        <f>GB23/FU23-1</f>
        <v>5.5390113162596677E-2</v>
      </c>
      <c r="GC25" s="51">
        <f>GC23/FV23-1</f>
        <v>-2.5876010781671122E-2</v>
      </c>
      <c r="GD25" s="51">
        <f>GD23/FW23-1</f>
        <v>1.7857142857142794E-2</v>
      </c>
      <c r="GF25" s="520" t="s">
        <v>3</v>
      </c>
      <c r="GG25" s="51">
        <f>GG23/FZ23-1</f>
        <v>5.1311288483466333E-2</v>
      </c>
      <c r="GH25" s="51">
        <f>GH23/GA23-1</f>
        <v>2.3631123919308328E-2</v>
      </c>
      <c r="GI25" s="51">
        <f>GI23/GB23-1</f>
        <v>8.8600451467268693E-2</v>
      </c>
      <c r="GJ25" s="51">
        <f>GJ23/GC23-1</f>
        <v>4.7592695074709424E-2</v>
      </c>
      <c r="GK25" s="51">
        <f>GK23/GD23-1</f>
        <v>5.2914544425580079E-2</v>
      </c>
      <c r="GM25" s="520" t="s">
        <v>3</v>
      </c>
      <c r="GN25" s="51">
        <f>GN23/GG23-1</f>
        <v>5.0433839479392617E-2</v>
      </c>
      <c r="GO25" s="51">
        <f>GO23/GH23-1</f>
        <v>7.9954954954954971E-2</v>
      </c>
      <c r="GP25" s="51">
        <f>GP23/GI23-1</f>
        <v>7.2576464489373382E-3</v>
      </c>
      <c r="GQ25" s="51">
        <f>GQ23/GJ23-1</f>
        <v>4.1732699418911778E-2</v>
      </c>
      <c r="GR25" s="51">
        <f>GR23/GK23-1</f>
        <v>4.4074173609244927E-2</v>
      </c>
      <c r="GT25" s="520" t="s">
        <v>3</v>
      </c>
      <c r="GU25" s="51">
        <f>GU23/GN23-1</f>
        <v>7.8471863706762957E-2</v>
      </c>
      <c r="GV25" s="51">
        <f>GV23/GO23-1</f>
        <v>0.14181438998957252</v>
      </c>
      <c r="GW25" s="51">
        <f>GW23/GP23-1</f>
        <v>0.1466803911477097</v>
      </c>
      <c r="GX25" s="51">
        <f>GX23/GQ23-1</f>
        <v>5.0709939148072536E-3</v>
      </c>
      <c r="GY25" s="51">
        <f>GY23/GR23-1</f>
        <v>9.2535392535392447E-2</v>
      </c>
      <c r="HA25" s="520" t="s">
        <v>3</v>
      </c>
      <c r="HB25" s="51">
        <f>HB23/GU23-1</f>
        <v>-0.17424605074198185</v>
      </c>
      <c r="HC25" s="51">
        <f>HC23/GV23-1</f>
        <v>-0.26575342465753427</v>
      </c>
      <c r="HD25" s="51">
        <f>HD23/GW23-1</f>
        <v>-0.23922800718132853</v>
      </c>
      <c r="HE25" s="51">
        <f>HE23/GX23-1</f>
        <v>-0.12361251261352169</v>
      </c>
      <c r="HF25" s="51">
        <f>HF23/GY23-1</f>
        <v>-0.20308634703734241</v>
      </c>
      <c r="HH25" s="520" t="s">
        <v>3</v>
      </c>
      <c r="HI25" s="51">
        <f>HI23/HB23-1</f>
        <v>7.7681159420289747E-2</v>
      </c>
      <c r="HJ25" s="51">
        <f>HJ23/HC23-1</f>
        <v>0.15982587064676612</v>
      </c>
      <c r="HK25" s="51">
        <f>HK23/HD23-1</f>
        <v>8.6135693215339204E-2</v>
      </c>
      <c r="HL25" s="51">
        <f>HL23/HE23-1</f>
        <v>0.13413932066781808</v>
      </c>
      <c r="HM25" s="51">
        <f>HM23/HF23-1</f>
        <v>0.11382113821138207</v>
      </c>
      <c r="HO25" s="520" t="s">
        <v>3</v>
      </c>
      <c r="HP25" s="51">
        <f>HP23/HI23-1</f>
        <v>9.575040344271124E-2</v>
      </c>
      <c r="HQ25" s="51">
        <f>HQ23/HJ23-1</f>
        <v>0.12225201072386049</v>
      </c>
      <c r="HR25" s="51">
        <f>HR23/HK23-1</f>
        <v>0.13253666485605642</v>
      </c>
      <c r="HS25" s="51">
        <f>HS23/HL23-1</f>
        <v>7.1065989847715727E-2</v>
      </c>
      <c r="HT25" s="51">
        <f>HT23/HM23-1</f>
        <v>0.10484406104844068</v>
      </c>
      <c r="HV25" s="520" t="s">
        <v>3</v>
      </c>
      <c r="HW25" s="51">
        <f>HW23/HP23-1</f>
        <v>3.5837015218458612E-2</v>
      </c>
      <c r="HX25" s="51">
        <f>HX23/HQ23-1</f>
        <v>-1.1466794075489672E-2</v>
      </c>
      <c r="HY25" s="51">
        <f>HY23/HR23-1</f>
        <v>-2.1582733812949617E-2</v>
      </c>
      <c r="HZ25" s="51">
        <f>HZ23/HS23-1</f>
        <v>-1.4218009478673022E-2</v>
      </c>
      <c r="IA25" s="51">
        <f>IA23/HT23-1</f>
        <v>-3.1231231231231282E-3</v>
      </c>
      <c r="IC25" s="520" t="s">
        <v>3</v>
      </c>
      <c r="ID25" s="51">
        <f>ID23/HW23-1</f>
        <v>-1.2796208530805653E-2</v>
      </c>
      <c r="IE25" s="51">
        <f>IE23/HX23-1</f>
        <v>1.7883035282745263E-2</v>
      </c>
      <c r="IF25" s="51">
        <f>IF23/HY23-1</f>
        <v>5.1470588235294157E-2</v>
      </c>
      <c r="IG25" s="51">
        <f>IG23/HZ23-1</f>
        <v>6.6826923076923173E-2</v>
      </c>
      <c r="IH25" s="51">
        <f>IH23/IA23-1</f>
        <v>3.0606097120134956E-2</v>
      </c>
      <c r="IJ25" s="520" t="s">
        <v>3</v>
      </c>
      <c r="IK25" s="51">
        <f>IK23/ID23-1</f>
        <v>9.1214594335093713E-2</v>
      </c>
      <c r="IL25" s="51">
        <f>IL23/IE23-1</f>
        <v>6.695156695156701E-2</v>
      </c>
      <c r="IM25" s="51">
        <f>IM23/IF23-1</f>
        <v>4.6620046620046596E-2</v>
      </c>
      <c r="IN25" s="51">
        <f>IN23/IG23-1</f>
        <v>3.2447048219918839E-2</v>
      </c>
      <c r="IO25" s="51">
        <f>IO23/IH23-1</f>
        <v>5.8809774348181909E-2</v>
      </c>
      <c r="IQ25" s="520" t="s">
        <v>3</v>
      </c>
      <c r="IR25" s="51">
        <f>IR23/IK23-1</f>
        <v>-3.9155301363836381E-2</v>
      </c>
      <c r="IS25" s="51">
        <f>IS23/IL23-1</f>
        <v>-8.9007565643079656E-2</v>
      </c>
      <c r="IT25" s="51">
        <f>IT23/IM23-1</f>
        <v>-0.10645879732739416</v>
      </c>
      <c r="IU25" s="51">
        <f>IU23/IN23-1</f>
        <v>-0.13138367525098216</v>
      </c>
      <c r="IV25" s="51">
        <f>IV23/IO23-1</f>
        <v>-9.154151943462896E-2</v>
      </c>
      <c r="IX25" s="520" t="s">
        <v>3</v>
      </c>
      <c r="IY25" s="51">
        <f>IY23/IR23-1</f>
        <v>-0.12362637362637363</v>
      </c>
      <c r="IZ25" s="51">
        <f>IZ23/IS23-1</f>
        <v>-8.9399120664386933E-2</v>
      </c>
      <c r="JA25" s="51">
        <f>JA23/IT23-1</f>
        <v>-6.8295114656031886E-2</v>
      </c>
      <c r="JB25" s="51">
        <f>JB23/IU23-1</f>
        <v>2.1608040201005041E-2</v>
      </c>
      <c r="JC25" s="51">
        <f>JC23/IV23-1</f>
        <v>-6.6488391880393793E-2</v>
      </c>
      <c r="JE25" s="520" t="s">
        <v>3</v>
      </c>
      <c r="JF25" s="51">
        <f>JF23/IY23-1</f>
        <v>3.9707419017763756E-2</v>
      </c>
      <c r="JG25" s="51">
        <f>JG23/IZ23-1</f>
        <v>-1.6094420600858417E-3</v>
      </c>
      <c r="JH25" s="51">
        <f>JH23/JA23-1</f>
        <v>2.675227394328461E-3</v>
      </c>
      <c r="JI25" s="51">
        <f>JI23/JB23-1</f>
        <v>-8.2636497786522378E-2</v>
      </c>
      <c r="JJ25" s="51">
        <f>JJ23/JC23-1</f>
        <v>-1.171875E-2</v>
      </c>
      <c r="JL25" s="520" t="s">
        <v>3</v>
      </c>
      <c r="JM25" s="51">
        <f>JM23/JF23-1</f>
        <v>-7.9396984924623104E-2</v>
      </c>
      <c r="JN25" s="51">
        <f>JN23/JG23-1</f>
        <v>-2.2568511552928494E-2</v>
      </c>
      <c r="JO25" s="51">
        <f>JO23/JH23-1</f>
        <v>-2.0277481323372482E-2</v>
      </c>
      <c r="JP25" s="51">
        <f>JP23/JI23-1</f>
        <v>1.5549597855227804E-2</v>
      </c>
      <c r="JQ25" s="51">
        <f>JQ23/JJ23-1</f>
        <v>-2.753623188405796E-2</v>
      </c>
      <c r="JS25" s="520" t="s">
        <v>3</v>
      </c>
      <c r="JT25" s="51">
        <f>JT23/JM23-1</f>
        <v>-2.0742358078602585E-2</v>
      </c>
      <c r="JU25" s="51">
        <f>JU23/JN23-1</f>
        <v>-3.4634414513468936E-2</v>
      </c>
      <c r="JV25" s="51">
        <f>JV23/JO23-1</f>
        <v>-7.8976034858387778E-2</v>
      </c>
      <c r="JW25" s="51">
        <f>JW23/JP23-1</f>
        <v>-8.6061246040126771E-2</v>
      </c>
      <c r="JX25" s="51">
        <f>JX23/JQ23-1</f>
        <v>-5.5412545725511464E-2</v>
      </c>
      <c r="JZ25" s="520" t="s">
        <v>3</v>
      </c>
      <c r="KA25" s="51">
        <f>KA23/JT23-1</f>
        <v>-6.5217391304347783E-2</v>
      </c>
      <c r="KB25" s="51">
        <f>KB23/JU23-1</f>
        <v>-0.18735763097949887</v>
      </c>
      <c r="KC25" s="51">
        <f>KC23/JV23-1</f>
        <v>-0.10881135422826727</v>
      </c>
      <c r="KD25" s="51">
        <f>KD23/JW23-1</f>
        <v>-6.9901790872328173E-2</v>
      </c>
      <c r="KE25" s="51">
        <f>KE23/JX23-1</f>
        <v>-0.10771658060814693</v>
      </c>
      <c r="KG25" s="520" t="s">
        <v>3</v>
      </c>
      <c r="KH25" s="51">
        <f>KH23/KA23-1</f>
        <v>2.0870602265951055E-2</v>
      </c>
      <c r="KI25" s="51">
        <f>KI23/KB23-1</f>
        <v>0.15487035739313249</v>
      </c>
      <c r="KJ25" s="51">
        <f>KJ23/KC23-1</f>
        <v>0.23158593231585933</v>
      </c>
      <c r="KK25" s="51">
        <f>KK23/KD23-1</f>
        <v>0.28012422360248457</v>
      </c>
      <c r="KL25" s="51">
        <f>KL23/KE23-1</f>
        <v>0.16974762899855333</v>
      </c>
      <c r="KN25" s="520" t="s">
        <v>3</v>
      </c>
      <c r="KO25" s="51">
        <f>KO23/KH23-1</f>
        <v>0.24474299065420557</v>
      </c>
      <c r="KP25" s="51">
        <f>KP23/KI23-1</f>
        <v>0.35558252427184467</v>
      </c>
      <c r="KQ25" s="51">
        <f>KQ23/KJ23-1</f>
        <v>0.24784482758620685</v>
      </c>
      <c r="KR25" s="51">
        <f>KR23/KK23-1</f>
        <v>0.10189228529839878</v>
      </c>
      <c r="KS25" s="51">
        <f>KS23/KL23-1</f>
        <v>0.23017727085337358</v>
      </c>
      <c r="KU25" s="520" t="s">
        <v>3</v>
      </c>
      <c r="KV25" s="51">
        <f>KV23/KO23-1</f>
        <v>6.0065696855936102E-2</v>
      </c>
      <c r="KW25" s="51">
        <f>KW23/KP23-1</f>
        <v>-4.4762757385852225E-4</v>
      </c>
      <c r="KX25" s="49">
        <f>KX23/KQ23-1</f>
        <v>-6.4766839378238572E-3</v>
      </c>
      <c r="KY25" s="51">
        <f>KY23/KR23-1</f>
        <v>4.1391457507705898E-2</v>
      </c>
      <c r="KZ25" s="51">
        <f>KZ23/KS23-1</f>
        <v>2.301161751563896E-2</v>
      </c>
      <c r="LB25" s="520" t="s">
        <v>3</v>
      </c>
      <c r="LC25" s="51">
        <f>LC23/KV23-1</f>
        <v>3.7627268702965955E-2</v>
      </c>
      <c r="LD25" s="49">
        <f>LD23/KW23-1</f>
        <v>8.9565606806987219E-3</v>
      </c>
      <c r="LE25" s="49">
        <f>LE23/KX23-1</f>
        <v>-1.5645371577574951E-2</v>
      </c>
      <c r="LF25" s="49">
        <f>LF23/KY23-1</f>
        <v>-1.6913319238900604E-2</v>
      </c>
      <c r="LG25" s="49">
        <f>LG23/KZ23-1</f>
        <v>3.1666302686175207E-3</v>
      </c>
      <c r="LH25" s="566"/>
      <c r="LI25" s="520" t="s">
        <v>3</v>
      </c>
      <c r="LJ25" s="49">
        <f>LJ23/LC23-1</f>
        <v>1.6211604095563104E-2</v>
      </c>
      <c r="LK25" s="49">
        <f>LK23/LD23-1</f>
        <v>1.6866400355082023E-2</v>
      </c>
      <c r="LL25" s="49">
        <f>LL23/LE23-1</f>
        <v>1.5894039735099286E-2</v>
      </c>
      <c r="LM25" s="49">
        <f>LM23/LF23-1</f>
        <v>9.0322580645161299E-3</v>
      </c>
      <c r="LN25" s="49">
        <f>LN23/LG23-1</f>
        <v>1.4476978338957114E-2</v>
      </c>
      <c r="LO25" s="566"/>
      <c r="LP25" s="520" t="s">
        <v>3</v>
      </c>
      <c r="LQ25" s="49">
        <f>LQ23/LJ23-1</f>
        <v>-3.7929040914562173E-2</v>
      </c>
      <c r="LR25" s="49">
        <f>LR23/LK23-1</f>
        <v>-9.3803645223146104E-3</v>
      </c>
      <c r="LS25" s="49">
        <f>LS23/LL23-1</f>
        <v>-1.7369902525573577E-3</v>
      </c>
      <c r="LT25" s="49">
        <f>LT23/LM23-1</f>
        <v>5.320983816407443E-3</v>
      </c>
      <c r="LU25" s="49">
        <f>LU23/LN23-1</f>
        <v>-1.1089182094093597E-2</v>
      </c>
      <c r="LV25" s="566"/>
      <c r="LW25" s="520" t="s">
        <v>3</v>
      </c>
      <c r="LX25" s="49">
        <f>LX23/LQ23-1</f>
        <v>1.3875990484756739E-2</v>
      </c>
      <c r="LY25" s="49">
        <f>LY23/LR23-1</f>
        <v>1.356864198090757E-2</v>
      </c>
      <c r="LZ25" s="49">
        <f>LZ23/LS23-1</f>
        <v>9.781057545746874E-3</v>
      </c>
      <c r="MA25" s="49">
        <f>MA23/LT23-1</f>
        <v>1.0688072335624632E-2</v>
      </c>
      <c r="MB25" s="49">
        <f>MB23/LU23-1</f>
        <v>1.1963988023933503E-2</v>
      </c>
      <c r="MC25" s="566"/>
      <c r="MD25" s="520" t="s">
        <v>3</v>
      </c>
      <c r="ME25" s="49">
        <f>ME23/LX23-1</f>
        <v>2.571527958860309E-2</v>
      </c>
      <c r="MF25" s="49">
        <f>MF23/LY23-1</f>
        <v>3.0370965671675521E-2</v>
      </c>
      <c r="MG25" s="49">
        <f>MG23/LZ23-1</f>
        <v>3.4355455884939268E-2</v>
      </c>
      <c r="MH25" s="49">
        <f>MH23/MA23-1</f>
        <v>2.608322699004284E-2</v>
      </c>
      <c r="MI25" s="49">
        <f>MI23/MB23-1</f>
        <v>2.9106239142403512E-2</v>
      </c>
      <c r="MJ25" s="566"/>
    </row>
    <row r="26" spans="1:349" x14ac:dyDescent="0.4">
      <c r="A26" s="48"/>
      <c r="BR26" s="53"/>
      <c r="BS26" s="53"/>
      <c r="BT26" s="53"/>
      <c r="BU26" s="53"/>
      <c r="BV26" s="53"/>
      <c r="BY26" s="53"/>
      <c r="BZ26" s="53"/>
      <c r="CA26" s="53"/>
      <c r="CB26" s="53"/>
      <c r="CC26" s="53"/>
      <c r="CF26" s="53"/>
      <c r="CG26" s="53"/>
      <c r="CH26" s="53"/>
      <c r="CI26" s="53"/>
      <c r="CJ26" s="53"/>
      <c r="CM26" s="53"/>
      <c r="CN26" s="53"/>
      <c r="CO26" s="53"/>
      <c r="CP26" s="53"/>
      <c r="CQ26" s="53"/>
      <c r="CT26" s="53"/>
      <c r="CU26" s="53"/>
      <c r="CV26" s="53"/>
      <c r="CW26" s="53"/>
      <c r="CX26" s="53"/>
      <c r="DA26" s="53"/>
      <c r="DB26" s="53"/>
      <c r="DC26" s="53"/>
      <c r="DD26" s="53"/>
      <c r="DE26" s="53"/>
      <c r="DH26" s="53"/>
      <c r="DI26" s="53"/>
      <c r="DJ26" s="53"/>
      <c r="DK26" s="53"/>
      <c r="DL26" s="53"/>
      <c r="DO26" s="53"/>
      <c r="DP26" s="53"/>
      <c r="DQ26" s="53"/>
      <c r="DR26" s="53"/>
      <c r="DS26" s="53"/>
      <c r="DV26" s="53"/>
      <c r="DW26" s="53"/>
      <c r="DX26" s="53"/>
      <c r="DY26" s="53"/>
      <c r="DZ26" s="53"/>
      <c r="EC26" s="53"/>
      <c r="ED26" s="53"/>
      <c r="EE26" s="53"/>
      <c r="EF26" s="53"/>
      <c r="EG26" s="53"/>
      <c r="EJ26" s="53"/>
      <c r="EK26" s="53"/>
      <c r="EL26" s="53"/>
      <c r="EM26" s="53"/>
      <c r="EN26" s="53"/>
      <c r="EQ26" s="53"/>
      <c r="ER26" s="53"/>
      <c r="ES26" s="53"/>
      <c r="ET26" s="53"/>
      <c r="EU26" s="53"/>
      <c r="EX26" s="53"/>
      <c r="EY26" s="53"/>
      <c r="EZ26" s="53"/>
      <c r="FA26" s="53"/>
      <c r="FB26" s="53"/>
      <c r="FE26" s="53"/>
      <c r="FF26" s="53"/>
      <c r="FG26" s="53"/>
      <c r="FH26" s="53"/>
      <c r="FI26" s="53"/>
      <c r="FL26" s="53"/>
      <c r="FM26" s="53"/>
      <c r="FN26" s="53"/>
      <c r="FO26" s="53"/>
      <c r="FP26" s="53"/>
      <c r="FS26" s="53"/>
      <c r="FT26" s="53"/>
      <c r="FU26" s="53"/>
      <c r="FV26" s="53"/>
      <c r="FW26" s="53"/>
      <c r="FZ26" s="53"/>
      <c r="GA26" s="53"/>
      <c r="GB26" s="53"/>
      <c r="GC26" s="53"/>
      <c r="GD26" s="53"/>
      <c r="GG26" s="53"/>
      <c r="GH26" s="53"/>
      <c r="GI26" s="53"/>
      <c r="GJ26" s="53"/>
      <c r="GK26" s="53"/>
      <c r="GN26" s="53"/>
      <c r="GO26" s="53"/>
      <c r="GP26" s="53"/>
      <c r="GQ26" s="53"/>
      <c r="GR26" s="53"/>
      <c r="GU26" s="53"/>
      <c r="GV26" s="53"/>
      <c r="GW26" s="53"/>
      <c r="GX26" s="53"/>
      <c r="GY26" s="53"/>
      <c r="HB26" s="53"/>
      <c r="HC26" s="53"/>
      <c r="HD26" s="53"/>
      <c r="HE26" s="53"/>
      <c r="HF26" s="53"/>
      <c r="HI26" s="53"/>
      <c r="HJ26" s="53"/>
      <c r="HK26" s="53"/>
      <c r="HL26" s="53"/>
      <c r="HM26" s="53"/>
      <c r="HP26" s="53"/>
      <c r="HQ26" s="53"/>
      <c r="HR26" s="53"/>
      <c r="HS26" s="53"/>
      <c r="HT26" s="53"/>
      <c r="HW26" s="53"/>
      <c r="HX26" s="53"/>
      <c r="HY26" s="53"/>
      <c r="HZ26" s="53"/>
      <c r="IA26" s="53"/>
      <c r="ID26" s="53"/>
      <c r="IE26" s="53"/>
      <c r="IF26" s="53"/>
      <c r="IG26" s="53"/>
      <c r="IH26" s="53"/>
      <c r="IK26" s="53"/>
      <c r="IL26" s="53"/>
      <c r="IM26" s="53"/>
      <c r="IN26" s="53"/>
      <c r="IO26" s="53"/>
      <c r="IR26" s="53"/>
      <c r="IS26" s="53"/>
      <c r="IT26" s="53"/>
      <c r="IU26" s="53"/>
      <c r="IV26" s="53"/>
      <c r="IY26" s="53"/>
      <c r="IZ26" s="53"/>
      <c r="JA26" s="53"/>
      <c r="JB26" s="53"/>
      <c r="JC26" s="53"/>
      <c r="JF26" s="53"/>
      <c r="JG26" s="53"/>
      <c r="JH26" s="53"/>
      <c r="JI26" s="53"/>
      <c r="JJ26" s="53"/>
      <c r="JM26" s="53"/>
      <c r="JN26" s="53"/>
      <c r="JO26" s="53"/>
      <c r="JP26" s="53"/>
      <c r="JQ26" s="53"/>
      <c r="JT26" s="53"/>
      <c r="JU26" s="53"/>
      <c r="JV26" s="53"/>
      <c r="JW26" s="53"/>
      <c r="JX26" s="53"/>
      <c r="KA26" s="53"/>
      <c r="KB26" s="53"/>
      <c r="KC26" s="53"/>
      <c r="KD26" s="53"/>
      <c r="KE26" s="53"/>
      <c r="KH26" s="53"/>
      <c r="KI26" s="53"/>
      <c r="KJ26" s="53"/>
      <c r="KK26" s="53"/>
      <c r="KL26" s="53"/>
      <c r="KO26" s="53"/>
      <c r="KP26" s="53"/>
      <c r="KQ26" s="53"/>
      <c r="KR26" s="53"/>
      <c r="KS26" s="53"/>
      <c r="KV26" s="53"/>
      <c r="KW26" s="53"/>
      <c r="KZ26" s="53"/>
      <c r="LB26" s="690"/>
      <c r="LC26" s="691"/>
      <c r="LD26" s="691"/>
      <c r="LE26" s="691"/>
      <c r="LF26" s="691"/>
      <c r="LG26" s="691"/>
      <c r="LH26" s="566"/>
      <c r="LI26" s="690"/>
      <c r="LJ26" s="691"/>
      <c r="LK26" s="691"/>
      <c r="LL26" s="691"/>
      <c r="LM26" s="691"/>
      <c r="LN26" s="691"/>
      <c r="LO26" s="566"/>
      <c r="LP26" s="690"/>
      <c r="LQ26" s="691"/>
      <c r="LR26" s="691"/>
      <c r="LS26" s="691"/>
      <c r="LT26" s="691"/>
      <c r="LU26" s="691"/>
      <c r="LV26" s="566"/>
      <c r="LW26" s="690"/>
      <c r="LX26" s="691"/>
      <c r="LY26" s="691"/>
      <c r="LZ26" s="691"/>
      <c r="MA26" s="691"/>
      <c r="MB26" s="691"/>
      <c r="MC26" s="566"/>
      <c r="MD26" s="690"/>
      <c r="ME26" s="691"/>
      <c r="MF26" s="691"/>
      <c r="MG26" s="691"/>
      <c r="MH26" s="691"/>
      <c r="MI26" s="691"/>
      <c r="MJ26" s="566"/>
    </row>
    <row r="27" spans="1:349" x14ac:dyDescent="0.4">
      <c r="A27" s="48"/>
      <c r="B27" s="57" t="s">
        <v>185</v>
      </c>
      <c r="C27" s="58">
        <f>Expense!C32+Expense!C42+Expense!C50+Expense!C59</f>
        <v>1769.287</v>
      </c>
      <c r="D27" s="58">
        <f>Expense!D32+Expense!D42+Expense!D50+Expense!D59</f>
        <v>1974.7</v>
      </c>
      <c r="E27" s="58">
        <f>Expense!E32+Expense!E42+Expense!E50+Expense!E59</f>
        <v>2063.1</v>
      </c>
      <c r="F27" s="58">
        <f>Expense!F32+Expense!F42+Expense!F50+Expense!F59</f>
        <v>2304.6</v>
      </c>
      <c r="G27" s="58">
        <f>Expense!G32+Expense!G42+Expense!G50+Expense!G59</f>
        <v>2232</v>
      </c>
      <c r="H27" s="58">
        <f>Expense!H32+Expense!H42+Expense!H50+Expense!H59</f>
        <v>2380</v>
      </c>
      <c r="I27" s="58">
        <f>Expense!I32+Expense!I42+Expense!I50+Expense!I59</f>
        <v>2534</v>
      </c>
      <c r="J27" s="58">
        <f>Expense!J32+Expense!J42+Expense!J50+Expense!J59</f>
        <v>2287</v>
      </c>
      <c r="K27" s="58">
        <f>Expense!K32+Expense!K42+Expense!K50+Expense!K59</f>
        <v>2160</v>
      </c>
      <c r="L27" s="58">
        <f>Expense!L32+Expense!L42+Expense!L50+Expense!L59</f>
        <v>2593</v>
      </c>
      <c r="M27" s="58">
        <f>Expense!M32+Expense!M42+Expense!M50+Expense!M59</f>
        <v>2736</v>
      </c>
      <c r="N27" s="58">
        <f t="shared" ref="N27:N33" si="58">BV27</f>
        <v>2758</v>
      </c>
      <c r="O27" s="58">
        <f t="shared" ref="O27:O33" si="59">CC27</f>
        <v>2806</v>
      </c>
      <c r="P27" s="58">
        <f t="shared" ref="P27:P33" si="60">CJ27</f>
        <v>2845</v>
      </c>
      <c r="Q27" s="58">
        <f t="shared" ref="Q27:Q33" si="61">CQ27</f>
        <v>2793</v>
      </c>
      <c r="R27" s="58">
        <f t="shared" ref="R27:R33" si="62">CX27</f>
        <v>2807</v>
      </c>
      <c r="S27" s="58">
        <f t="shared" ref="S27:S33" si="63">DE27</f>
        <v>2880</v>
      </c>
      <c r="T27" s="58">
        <f t="shared" ref="T27:T33" si="64">DL27</f>
        <v>2977.5</v>
      </c>
      <c r="U27" s="58">
        <f t="shared" ref="U27:U33" si="65">DS27</f>
        <v>3034</v>
      </c>
      <c r="V27" s="58">
        <f t="shared" ref="V27:V33" si="66">DZ27</f>
        <v>3073</v>
      </c>
      <c r="W27" s="58">
        <f t="shared" ref="W27:W33" si="67">EG27</f>
        <v>2983</v>
      </c>
      <c r="X27" s="58">
        <f t="shared" ref="X27:X33" si="68">EN27</f>
        <v>3306</v>
      </c>
      <c r="Y27" s="58">
        <f t="shared" ref="Y27:Y33" si="69">EU27</f>
        <v>2900</v>
      </c>
      <c r="Z27" s="58">
        <f t="shared" ref="Z27:Z33" si="70">FB27</f>
        <v>2931</v>
      </c>
      <c r="AA27" s="58">
        <f t="shared" ref="AA27:AA33" si="71">FI27</f>
        <v>2892</v>
      </c>
      <c r="AB27" s="58">
        <f t="shared" ref="AB27:AB33" si="72">FP27</f>
        <v>2628</v>
      </c>
      <c r="AC27" s="58">
        <f t="shared" ref="AC27:AC33" si="73">FW27</f>
        <v>2760</v>
      </c>
      <c r="AD27" s="58">
        <f t="shared" ref="AD27:AD33" si="74">GD27</f>
        <v>2864</v>
      </c>
      <c r="AE27" s="58">
        <f t="shared" ref="AE27:AE33" si="75">GK27</f>
        <v>2922</v>
      </c>
      <c r="AF27" s="58">
        <f t="shared" ref="AF27:AF33" si="76">GR27</f>
        <v>2986</v>
      </c>
      <c r="AG27" s="58">
        <f t="shared" ref="AG27:AG33" si="77">GY27</f>
        <v>2955</v>
      </c>
      <c r="AH27" s="58">
        <f t="shared" ref="AH27:AH33" si="78">HF27</f>
        <v>2629</v>
      </c>
      <c r="AI27" s="58">
        <f t="shared" ref="AI27:AI33" si="79">HM27</f>
        <v>2957</v>
      </c>
      <c r="AJ27" s="58">
        <f t="shared" ref="AJ27:AJ33" si="80">HT27</f>
        <v>3073</v>
      </c>
      <c r="AK27" s="58">
        <f t="shared" ref="AK27:AK33" si="81">IA27</f>
        <v>3020</v>
      </c>
      <c r="AL27" s="58">
        <f t="shared" ref="AL27:AL33" si="82">IH27</f>
        <v>3138</v>
      </c>
      <c r="AM27" s="58">
        <f t="shared" ref="AM27:AM33" si="83">IO27</f>
        <v>3377</v>
      </c>
      <c r="AN27" s="58">
        <f t="shared" ref="AN27:AN33" si="84">IV27</f>
        <v>3290</v>
      </c>
      <c r="AO27" s="58">
        <f t="shared" ref="AO27:AO33" si="85">JC27</f>
        <v>3159</v>
      </c>
      <c r="AP27" s="58">
        <f t="shared" ref="AP27:AP33" si="86">JJ27</f>
        <v>2946</v>
      </c>
      <c r="AQ27" s="58">
        <f t="shared" ref="AQ27:AQ33" si="87">JQ27</f>
        <v>2738</v>
      </c>
      <c r="AR27" s="58">
        <f t="shared" ref="AR27:AR33" si="88">JX27</f>
        <v>2616</v>
      </c>
      <c r="AS27" s="58">
        <f t="shared" ref="AS27:AS33" si="89">KE27</f>
        <v>2275</v>
      </c>
      <c r="AT27" s="58">
        <f t="shared" ref="AT27:AT33" si="90">KL27</f>
        <v>2550</v>
      </c>
      <c r="AU27" s="58">
        <f t="shared" ref="AU27:AU33" si="91">KS27</f>
        <v>2861</v>
      </c>
      <c r="AV27" s="58">
        <f t="shared" ref="AV27:AV33" si="92">KZ27</f>
        <v>3052</v>
      </c>
      <c r="AW27" s="58">
        <f t="shared" ref="AW27:AW33" si="93">LG27</f>
        <v>3165</v>
      </c>
      <c r="AX27" s="58">
        <f t="shared" ref="AX27:AX33" si="94">LN27</f>
        <v>3209</v>
      </c>
      <c r="AY27" s="58">
        <f t="shared" ref="AY27:AY33" si="95">LU27</f>
        <v>3180.7282411289793</v>
      </c>
      <c r="AZ27" s="58">
        <f t="shared" ref="AZ27:AZ33" si="96">MB27</f>
        <v>3281.8947175481162</v>
      </c>
      <c r="BA27" s="58">
        <f t="shared" ref="BA27:BA33" si="97">MI27</f>
        <v>3394.2563805499549</v>
      </c>
      <c r="BB27" s="58"/>
      <c r="BC27" s="58"/>
      <c r="BD27" s="58"/>
      <c r="BE27" s="58"/>
      <c r="BF27" s="58"/>
      <c r="BG27" s="58"/>
      <c r="BH27" s="58"/>
      <c r="BI27" s="58"/>
      <c r="BJ27" s="58"/>
      <c r="BK27" s="58"/>
      <c r="BL27" s="58"/>
      <c r="BM27" s="58"/>
      <c r="BN27" s="58"/>
      <c r="BO27" s="58"/>
      <c r="BQ27" s="57" t="s">
        <v>185</v>
      </c>
      <c r="BR27" s="58">
        <f>Expense!BP32+Expense!BP42+Expense!BP50+Expense!BP59</f>
        <v>679</v>
      </c>
      <c r="BS27" s="58">
        <f>Expense!BQ32+Expense!BQ42+Expense!BQ50+Expense!BQ59</f>
        <v>684</v>
      </c>
      <c r="BT27" s="58">
        <f>Expense!BR32+Expense!BR42+Expense!BR50+Expense!BR59</f>
        <v>679</v>
      </c>
      <c r="BU27" s="58">
        <f>Expense!BS32+Expense!BS42+Expense!BS50+Expense!BS59</f>
        <v>716</v>
      </c>
      <c r="BV27" s="58">
        <f t="shared" ref="BV27:BV33" si="98">SUM(BR27:BU27)</f>
        <v>2758</v>
      </c>
      <c r="BX27" s="57" t="s">
        <v>185</v>
      </c>
      <c r="BY27" s="58">
        <f>Expense!BW32+Expense!BW42+Expense!BW50+Expense!BW59</f>
        <v>697</v>
      </c>
      <c r="BZ27" s="58">
        <f>Expense!BX32+Expense!BX42+Expense!BX50+Expense!BX59</f>
        <v>707</v>
      </c>
      <c r="CA27" s="58">
        <f>Expense!BY32+Expense!BY42+Expense!BY50+Expense!BY59</f>
        <v>709</v>
      </c>
      <c r="CB27" s="58">
        <f>Expense!BZ32+Expense!BZ42+Expense!BZ50+Expense!BZ59</f>
        <v>693</v>
      </c>
      <c r="CC27" s="58">
        <f t="shared" ref="CC27:CC33" si="99">SUM(BY27:CB27)</f>
        <v>2806</v>
      </c>
      <c r="CE27" s="57" t="s">
        <v>185</v>
      </c>
      <c r="CF27" s="58">
        <f>Expense!CD32+Expense!CD42+Expense!CD50+Expense!CD59</f>
        <v>695</v>
      </c>
      <c r="CG27" s="58">
        <f>Expense!CE32+Expense!CE42+Expense!CE50+Expense!CE59</f>
        <v>688</v>
      </c>
      <c r="CH27" s="58">
        <f>Expense!CF32+Expense!CF42+Expense!CF50+Expense!CF59</f>
        <v>713</v>
      </c>
      <c r="CI27" s="58">
        <f>Expense!CG32+Expense!CG42+Expense!CG50+Expense!CG59</f>
        <v>749</v>
      </c>
      <c r="CJ27" s="58">
        <f t="shared" ref="CJ27:CJ33" si="100">SUM(CF27:CI27)</f>
        <v>2845</v>
      </c>
      <c r="CL27" s="57" t="s">
        <v>185</v>
      </c>
      <c r="CM27" s="58">
        <f>Expense!CK32+Expense!CK42+Expense!CK50+Expense!CK59</f>
        <v>722</v>
      </c>
      <c r="CN27" s="58">
        <f>Expense!CL32+Expense!CL42+Expense!CL50+Expense!CL59</f>
        <v>699</v>
      </c>
      <c r="CO27" s="58">
        <f>Expense!CM32+Expense!CM42+Expense!CM50+Expense!CM59</f>
        <v>671</v>
      </c>
      <c r="CP27" s="58">
        <f>Expense!CN32+Expense!CN42+Expense!CN50+Expense!CN59</f>
        <v>701</v>
      </c>
      <c r="CQ27" s="58">
        <f t="shared" ref="CQ27:CQ33" si="101">SUM(CM27:CP27)</f>
        <v>2793</v>
      </c>
      <c r="CS27" s="57" t="s">
        <v>185</v>
      </c>
      <c r="CT27" s="58">
        <f>Expense!CR32+Expense!CR42+Expense!CR50+Expense!CR59</f>
        <v>706</v>
      </c>
      <c r="CU27" s="58">
        <f>Expense!CS32+Expense!CS42+Expense!CS50+Expense!CS59</f>
        <v>684</v>
      </c>
      <c r="CV27" s="58">
        <f>Expense!CT32+Expense!CT42+Expense!CT50+Expense!CT59</f>
        <v>697</v>
      </c>
      <c r="CW27" s="58">
        <f>Expense!CU32+Expense!CU42+Expense!CU50+Expense!CU59</f>
        <v>720</v>
      </c>
      <c r="CX27" s="58">
        <f t="shared" ref="CX27:CX33" si="102">SUM(CT27:CW27)</f>
        <v>2807</v>
      </c>
      <c r="CZ27" s="57" t="s">
        <v>185</v>
      </c>
      <c r="DA27" s="58">
        <f>Expense!CY32+Expense!CY42+Expense!CY50+Expense!CY59</f>
        <v>724</v>
      </c>
      <c r="DB27" s="58">
        <f>Expense!CZ32+Expense!CZ42+Expense!CZ50+Expense!CZ59</f>
        <v>706</v>
      </c>
      <c r="DC27" s="58">
        <f>Expense!DA32+Expense!DA42+Expense!DA50+Expense!DA59</f>
        <v>712</v>
      </c>
      <c r="DD27" s="58">
        <f>Expense!DB32+Expense!DB42+Expense!DB50+Expense!DB59</f>
        <v>738</v>
      </c>
      <c r="DE27" s="58">
        <f t="shared" ref="DE27:DE33" si="103">SUM(DA27:DD27)</f>
        <v>2880</v>
      </c>
      <c r="DG27" s="57" t="s">
        <v>185</v>
      </c>
      <c r="DH27" s="58">
        <f>Expense!DF32+Expense!DF42+Expense!DF50+Expense!DF59</f>
        <v>743</v>
      </c>
      <c r="DI27" s="58">
        <f>Expense!DG32+Expense!DG42+Expense!DG50+Expense!DG59</f>
        <v>733</v>
      </c>
      <c r="DJ27" s="58">
        <f>Expense!DH32+Expense!DH42+Expense!DH50+Expense!DH59</f>
        <v>742.5</v>
      </c>
      <c r="DK27" s="58">
        <f>Expense!DI32+Expense!DI42+Expense!DI50+Expense!DI59</f>
        <v>759</v>
      </c>
      <c r="DL27" s="58">
        <f t="shared" ref="DL27:DL33" si="104">SUM(DH27:DK27)</f>
        <v>2977.5</v>
      </c>
      <c r="DN27" s="57" t="s">
        <v>185</v>
      </c>
      <c r="DO27" s="58">
        <f>Expense!DM32+Expense!DM42+Expense!DM50+Expense!DM59</f>
        <v>765</v>
      </c>
      <c r="DP27" s="58">
        <f>Expense!DN32+Expense!DN42+Expense!DN50+Expense!DN59</f>
        <v>767</v>
      </c>
      <c r="DQ27" s="58">
        <f>Expense!DO32+Expense!DO42+Expense!DO50+Expense!DO59</f>
        <v>757</v>
      </c>
      <c r="DR27" s="58">
        <f>Expense!DP32+Expense!DP42+Expense!DP50+Expense!DP59</f>
        <v>745</v>
      </c>
      <c r="DS27" s="58">
        <f t="shared" ref="DS27:DS33" si="105">SUM(DO27:DR27)</f>
        <v>3034</v>
      </c>
      <c r="DU27" s="57" t="s">
        <v>185</v>
      </c>
      <c r="DV27" s="58">
        <f>Expense!DT32+Expense!DT42+Expense!DT50+Expense!DT59</f>
        <v>762</v>
      </c>
      <c r="DW27" s="58">
        <f>Expense!DU32+Expense!DU42+Expense!DU50+Expense!DU59</f>
        <v>755</v>
      </c>
      <c r="DX27" s="58">
        <f>Expense!DV32+Expense!DV42+Expense!DV50+Expense!DV59</f>
        <v>780</v>
      </c>
      <c r="DY27" s="58">
        <f>Expense!DW32+Expense!DW42+Expense!DW50+Expense!DW59</f>
        <v>776</v>
      </c>
      <c r="DZ27" s="58">
        <f t="shared" ref="DZ27:DZ33" si="106">SUM(DV27:DY27)</f>
        <v>3073</v>
      </c>
      <c r="EB27" s="57" t="s">
        <v>185</v>
      </c>
      <c r="EC27" s="58">
        <f>Expense!EA32+Expense!EA42+Expense!EA50</f>
        <v>773</v>
      </c>
      <c r="ED27" s="58">
        <f>Expense!EB32+Expense!EB42+Expense!EB50</f>
        <v>719</v>
      </c>
      <c r="EE27" s="58">
        <f>Expense!EC32+Expense!EC42+Expense!EC50</f>
        <v>748</v>
      </c>
      <c r="EF27" s="58">
        <f>Expense!ED32+Expense!ED42+Expense!ED50</f>
        <v>743</v>
      </c>
      <c r="EG27" s="58">
        <f t="shared" ref="EG27:EG33" si="107">SUM(EC27:EF27)</f>
        <v>2983</v>
      </c>
      <c r="EI27" s="57" t="s">
        <v>185</v>
      </c>
      <c r="EJ27" s="58">
        <f>Expense!EH32+Expense!EH42+Expense!EH50</f>
        <v>796</v>
      </c>
      <c r="EK27" s="58">
        <f>Expense!EI32+Expense!EI42+Expense!EI50</f>
        <v>806</v>
      </c>
      <c r="EL27" s="58">
        <f>Expense!EJ32+Expense!EJ42+Expense!EJ50</f>
        <v>873</v>
      </c>
      <c r="EM27" s="58">
        <f>Expense!EK32+Expense!EK42+Expense!EK50</f>
        <v>831</v>
      </c>
      <c r="EN27" s="58">
        <f t="shared" ref="EN27:EN33" si="108">SUM(EJ27:EM27)</f>
        <v>3306</v>
      </c>
      <c r="EP27" s="57" t="s">
        <v>185</v>
      </c>
      <c r="EQ27" s="58">
        <f>Expense!EO32+Expense!EO42+Expense!EO50</f>
        <v>727</v>
      </c>
      <c r="ER27" s="58">
        <f>Expense!EP32+Expense!EP42+Expense!EP50</f>
        <v>730</v>
      </c>
      <c r="ES27" s="58">
        <f>Expense!EQ32+Expense!EQ42+Expense!EQ50</f>
        <v>727</v>
      </c>
      <c r="ET27" s="58">
        <f>Expense!ER32+Expense!ER42+Expense!ER50</f>
        <v>716</v>
      </c>
      <c r="EU27" s="58">
        <f t="shared" ref="EU27:EU33" si="109">SUM(EQ27:ET27)</f>
        <v>2900</v>
      </c>
      <c r="EW27" s="57" t="s">
        <v>185</v>
      </c>
      <c r="EX27" s="58">
        <f>Expense!EV32+Expense!EV42+Expense!EV50</f>
        <v>753</v>
      </c>
      <c r="EY27" s="58">
        <f>Expense!EW32+Expense!EW42+Expense!EW50</f>
        <v>740</v>
      </c>
      <c r="EZ27" s="58">
        <f>Expense!EX32+Expense!EX42+Expense!EX50</f>
        <v>708</v>
      </c>
      <c r="FA27" s="58">
        <f>Expense!EY32+Expense!EY42+Expense!EY50</f>
        <v>730</v>
      </c>
      <c r="FB27" s="58">
        <f t="shared" ref="FB27:FB33" si="110">SUM(EX27:FA27)</f>
        <v>2931</v>
      </c>
      <c r="FD27" s="57" t="s">
        <v>185</v>
      </c>
      <c r="FE27" s="58">
        <f>Expense!FC32+Expense!FC42+Expense!FC50</f>
        <v>729</v>
      </c>
      <c r="FF27" s="58">
        <f>Expense!FD32+Expense!FD42+Expense!FD50</f>
        <v>717</v>
      </c>
      <c r="FG27" s="58">
        <f>Expense!FE32+Expense!FE42+Expense!FE50</f>
        <v>718</v>
      </c>
      <c r="FH27" s="58">
        <f>Expense!FF32+Expense!FF42+Expense!FF50</f>
        <v>728</v>
      </c>
      <c r="FI27" s="58">
        <f t="shared" ref="FI27:FI33" si="111">SUM(FE27:FH27)</f>
        <v>2892</v>
      </c>
      <c r="FK27" s="57" t="s">
        <v>185</v>
      </c>
      <c r="FL27" s="58">
        <f>Expense!FJ32+Expense!FJ42</f>
        <v>667</v>
      </c>
      <c r="FM27" s="58">
        <f>Expense!FK32+Expense!FK42</f>
        <v>663</v>
      </c>
      <c r="FN27" s="58">
        <f>Expense!FL32+Expense!FL42</f>
        <v>643</v>
      </c>
      <c r="FO27" s="58">
        <f>Expense!FM32+Expense!FM42</f>
        <v>655</v>
      </c>
      <c r="FP27" s="58">
        <f t="shared" ref="FP27:FP33" si="112">SUM(FL27:FO27)</f>
        <v>2628</v>
      </c>
      <c r="FR27" s="57" t="s">
        <v>185</v>
      </c>
      <c r="FS27" s="58">
        <f>Expense!FQ32+Expense!FQ42</f>
        <v>685</v>
      </c>
      <c r="FT27" s="58">
        <f>Expense!FR32+Expense!FR42</f>
        <v>664</v>
      </c>
      <c r="FU27" s="58">
        <f>Expense!FS32+Expense!FS42</f>
        <v>671</v>
      </c>
      <c r="FV27" s="58">
        <f>Expense!FT32+Expense!FT42</f>
        <v>740</v>
      </c>
      <c r="FW27" s="58">
        <f t="shared" ref="FW27:FW33" si="113">SUM(FS27:FV27)</f>
        <v>2760</v>
      </c>
      <c r="FY27" s="57" t="s">
        <v>185</v>
      </c>
      <c r="FZ27" s="58">
        <f>Expense!FX32+Expense!FX42</f>
        <v>702</v>
      </c>
      <c r="GA27" s="58">
        <f>Expense!FY32+Expense!FY42</f>
        <v>706</v>
      </c>
      <c r="GB27" s="58">
        <f>Expense!FZ32+Expense!FZ42</f>
        <v>725</v>
      </c>
      <c r="GC27" s="58">
        <f>Expense!GA32+Expense!GA42</f>
        <v>731</v>
      </c>
      <c r="GD27" s="58">
        <f t="shared" ref="GD27:GD33" si="114">SUM(FZ27:GC27)</f>
        <v>2864</v>
      </c>
      <c r="GF27" s="57" t="s">
        <v>185</v>
      </c>
      <c r="GG27" s="58">
        <f>Expense!GE32+Expense!GE42</f>
        <v>718</v>
      </c>
      <c r="GH27" s="58">
        <f>Expense!GF32+Expense!GF42</f>
        <v>715</v>
      </c>
      <c r="GI27" s="58">
        <f>Expense!GG32+Expense!GG42</f>
        <v>736</v>
      </c>
      <c r="GJ27" s="58">
        <f>Expense!GH32+Expense!GH42</f>
        <v>753</v>
      </c>
      <c r="GK27" s="58">
        <f t="shared" ref="GK27:GK33" si="115">SUM(GG27:GJ27)</f>
        <v>2922</v>
      </c>
      <c r="GM27" s="57" t="s">
        <v>185</v>
      </c>
      <c r="GN27" s="58">
        <f>Expense!GL32+Expense!GL42</f>
        <v>734</v>
      </c>
      <c r="GO27" s="58">
        <f>Expense!GM32+Expense!GM42</f>
        <v>743</v>
      </c>
      <c r="GP27" s="58">
        <f>Expense!GN32+Expense!GN42</f>
        <v>748</v>
      </c>
      <c r="GQ27" s="58">
        <f>Expense!GO32+Expense!GO42</f>
        <v>761</v>
      </c>
      <c r="GR27" s="58">
        <f t="shared" ref="GR27:GR33" si="116">SUM(GN27:GQ27)</f>
        <v>2986</v>
      </c>
      <c r="GT27" s="57" t="s">
        <v>185</v>
      </c>
      <c r="GU27" s="58">
        <f>Expense!GS32+Expense!GS42</f>
        <v>745</v>
      </c>
      <c r="GV27" s="58">
        <f>Expense!GT32+Expense!GT42</f>
        <v>733</v>
      </c>
      <c r="GW27" s="58">
        <f>Expense!GU32+Expense!GU42</f>
        <v>754</v>
      </c>
      <c r="GX27" s="58">
        <f>Expense!GV32+Expense!GV42</f>
        <v>723</v>
      </c>
      <c r="GY27" s="58">
        <f t="shared" ref="GY27:GY33" si="117">SUM(GU27:GX27)</f>
        <v>2955</v>
      </c>
      <c r="HA27" s="57" t="s">
        <v>185</v>
      </c>
      <c r="HB27" s="58">
        <v>662</v>
      </c>
      <c r="HC27" s="58">
        <v>654</v>
      </c>
      <c r="HD27" s="58">
        <v>653</v>
      </c>
      <c r="HE27" s="58">
        <v>660</v>
      </c>
      <c r="HF27" s="58">
        <f t="shared" ref="HF27:HF33" si="118">SUM(HB27:HE27)</f>
        <v>2629</v>
      </c>
      <c r="HH27" s="57" t="s">
        <v>185</v>
      </c>
      <c r="HI27" s="58">
        <v>729</v>
      </c>
      <c r="HJ27" s="58">
        <v>721</v>
      </c>
      <c r="HK27" s="58">
        <v>731</v>
      </c>
      <c r="HL27" s="58">
        <v>776</v>
      </c>
      <c r="HM27" s="58">
        <f t="shared" ref="HM27:HM33" si="119">SUM(HI27:HL27)</f>
        <v>2957</v>
      </c>
      <c r="HO27" s="57" t="s">
        <v>185</v>
      </c>
      <c r="HP27" s="58">
        <v>765</v>
      </c>
      <c r="HQ27" s="58">
        <v>764</v>
      </c>
      <c r="HR27" s="58">
        <v>765</v>
      </c>
      <c r="HS27" s="58">
        <v>779</v>
      </c>
      <c r="HT27" s="58">
        <f t="shared" ref="HT27:HT33" si="120">SUM(HP27:HS27)</f>
        <v>3073</v>
      </c>
      <c r="HV27" s="57" t="s">
        <v>185</v>
      </c>
      <c r="HW27" s="58">
        <v>770</v>
      </c>
      <c r="HX27" s="58">
        <v>744</v>
      </c>
      <c r="HY27" s="58">
        <v>754</v>
      </c>
      <c r="HZ27" s="58">
        <v>752</v>
      </c>
      <c r="IA27" s="58">
        <f t="shared" ref="IA27:IA33" si="121">SUM(HW27:HZ27)</f>
        <v>3020</v>
      </c>
      <c r="IC27" s="57" t="s">
        <v>185</v>
      </c>
      <c r="ID27" s="58">
        <v>767</v>
      </c>
      <c r="IE27" s="58">
        <v>777</v>
      </c>
      <c r="IF27" s="58">
        <v>791</v>
      </c>
      <c r="IG27" s="58">
        <v>803</v>
      </c>
      <c r="IH27" s="58">
        <f t="shared" ref="IH27:IH33" si="122">SUM(ID27:IG27)</f>
        <v>3138</v>
      </c>
      <c r="IJ27" s="57" t="s">
        <v>185</v>
      </c>
      <c r="IK27" s="58">
        <v>814</v>
      </c>
      <c r="IL27" s="58">
        <v>809</v>
      </c>
      <c r="IM27" s="58">
        <v>845</v>
      </c>
      <c r="IN27" s="58">
        <v>909</v>
      </c>
      <c r="IO27" s="58">
        <f t="shared" ref="IO27:IO33" si="123">SUM(IK27:IN27)</f>
        <v>3377</v>
      </c>
      <c r="IQ27" s="57" t="s">
        <v>185</v>
      </c>
      <c r="IR27" s="58">
        <v>879</v>
      </c>
      <c r="IS27" s="58">
        <v>825</v>
      </c>
      <c r="IT27" s="58">
        <v>787</v>
      </c>
      <c r="IU27" s="58">
        <v>799</v>
      </c>
      <c r="IV27" s="58">
        <f t="shared" ref="IV27:IV33" si="124">SUM(IR27:IU27)</f>
        <v>3290</v>
      </c>
      <c r="IX27" s="57" t="s">
        <v>185</v>
      </c>
      <c r="IY27" s="58">
        <v>796</v>
      </c>
      <c r="IZ27" s="58">
        <v>749</v>
      </c>
      <c r="JA27" s="58">
        <v>762</v>
      </c>
      <c r="JB27" s="58">
        <v>852</v>
      </c>
      <c r="JC27" s="58">
        <f t="shared" ref="JC27:JC33" si="125">SUM(IY27:JB27)</f>
        <v>3159</v>
      </c>
      <c r="JE27" s="57" t="s">
        <v>185</v>
      </c>
      <c r="JF27" s="58">
        <v>795</v>
      </c>
      <c r="JG27" s="58">
        <v>751</v>
      </c>
      <c r="JH27" s="58">
        <v>725</v>
      </c>
      <c r="JI27" s="58">
        <v>675</v>
      </c>
      <c r="JJ27" s="58">
        <f t="shared" ref="JJ27:JJ33" si="126">SUM(JF27:JI27)</f>
        <v>2946</v>
      </c>
      <c r="JL27" s="57" t="s">
        <v>185</v>
      </c>
      <c r="JM27" s="58">
        <v>696</v>
      </c>
      <c r="JN27" s="58">
        <v>669</v>
      </c>
      <c r="JO27" s="58">
        <v>695</v>
      </c>
      <c r="JP27" s="58">
        <v>678</v>
      </c>
      <c r="JQ27" s="58">
        <f t="shared" ref="JQ27:JQ33" si="127">SUM(JM27:JP27)</f>
        <v>2738</v>
      </c>
      <c r="JS27" s="57" t="s">
        <v>185</v>
      </c>
      <c r="JT27" s="58">
        <v>672</v>
      </c>
      <c r="JU27" s="58">
        <v>648</v>
      </c>
      <c r="JV27" s="58">
        <v>638</v>
      </c>
      <c r="JW27" s="58">
        <v>658</v>
      </c>
      <c r="JX27" s="58">
        <f t="shared" ref="JX27:JX33" si="128">SUM(JT27:JW27)</f>
        <v>2616</v>
      </c>
      <c r="JZ27" s="57" t="s">
        <v>185</v>
      </c>
      <c r="KA27" s="58">
        <v>606</v>
      </c>
      <c r="KB27" s="58">
        <v>507</v>
      </c>
      <c r="KC27" s="58">
        <v>574</v>
      </c>
      <c r="KD27" s="58">
        <v>588</v>
      </c>
      <c r="KE27" s="58">
        <f t="shared" ref="KE27:KE33" si="129">SUM(KA27:KD27)</f>
        <v>2275</v>
      </c>
      <c r="KG27" s="57" t="s">
        <v>185</v>
      </c>
      <c r="KH27" s="58">
        <v>620</v>
      </c>
      <c r="KI27" s="58">
        <v>596</v>
      </c>
      <c r="KJ27" s="58">
        <v>631</v>
      </c>
      <c r="KK27" s="58">
        <v>703</v>
      </c>
      <c r="KL27" s="58">
        <f t="shared" ref="KL27:KL33" si="130">SUM(KH27:KK27)</f>
        <v>2550</v>
      </c>
      <c r="KN27" s="57" t="s">
        <v>185</v>
      </c>
      <c r="KO27" s="58">
        <v>692</v>
      </c>
      <c r="KP27" s="58">
        <v>684</v>
      </c>
      <c r="KQ27" s="58">
        <v>759</v>
      </c>
      <c r="KR27" s="58">
        <v>726</v>
      </c>
      <c r="KS27" s="58">
        <f t="shared" ref="KS27:KS33" si="131">SUM(KO27:KR27)</f>
        <v>2861</v>
      </c>
      <c r="KU27" s="57" t="s">
        <v>185</v>
      </c>
      <c r="KV27" s="58">
        <f>723+7</f>
        <v>730</v>
      </c>
      <c r="KW27" s="58">
        <f>741+7</f>
        <v>748</v>
      </c>
      <c r="KX27" s="58">
        <v>761</v>
      </c>
      <c r="KY27" s="58">
        <f>808+5</f>
        <v>813</v>
      </c>
      <c r="KZ27" s="58">
        <f t="shared" ref="KZ27:KZ33" si="132">SUM(KV27:KY27)</f>
        <v>3052</v>
      </c>
      <c r="LB27" s="57" t="s">
        <v>185</v>
      </c>
      <c r="LC27" s="58">
        <f>Expense!LA7</f>
        <v>805</v>
      </c>
      <c r="LD27" s="127">
        <f>Expense!LB7</f>
        <v>766</v>
      </c>
      <c r="LE27" s="127">
        <f>Expense!LC7</f>
        <v>806</v>
      </c>
      <c r="LF27" s="127">
        <f>Expense!LD7</f>
        <v>788</v>
      </c>
      <c r="LG27" s="127">
        <f>Expense!LE7</f>
        <v>3165</v>
      </c>
      <c r="LH27" s="558"/>
      <c r="LI27" s="57" t="s">
        <v>185</v>
      </c>
      <c r="LJ27" s="127">
        <f>Expense!LH7</f>
        <v>821</v>
      </c>
      <c r="LK27" s="127">
        <f>Expense!LI7</f>
        <v>791</v>
      </c>
      <c r="LL27" s="127">
        <f>Expense!LJ7</f>
        <v>793</v>
      </c>
      <c r="LM27" s="127">
        <f>Expense!LK7</f>
        <v>804</v>
      </c>
      <c r="LN27" s="127">
        <f>Expense!LL7</f>
        <v>3209</v>
      </c>
      <c r="LO27" s="558"/>
      <c r="LP27" s="57" t="s">
        <v>185</v>
      </c>
      <c r="LQ27" s="127">
        <f>Expense!LO7</f>
        <v>811.48396724042209</v>
      </c>
      <c r="LR27" s="127">
        <f>Expense!LP7</f>
        <v>777.24665993194378</v>
      </c>
      <c r="LS27" s="127">
        <f>Expense!LQ7</f>
        <v>785.9609538131042</v>
      </c>
      <c r="LT27" s="127">
        <f>Expense!LR7</f>
        <v>806.03666014350938</v>
      </c>
      <c r="LU27" s="127">
        <f>Expense!LS7</f>
        <v>3180.7282411289793</v>
      </c>
      <c r="LV27" s="558"/>
      <c r="LW27" s="57" t="s">
        <v>185</v>
      </c>
      <c r="LX27" s="127">
        <f>Expense!LV7</f>
        <v>835.11461942884307</v>
      </c>
      <c r="LY27" s="127">
        <f>Expense!LW7</f>
        <v>802.15631522490423</v>
      </c>
      <c r="LZ27" s="127">
        <f>Expense!LX7</f>
        <v>811.22336997851767</v>
      </c>
      <c r="MA27" s="127">
        <f>Expense!LY7</f>
        <v>833.40041291585123</v>
      </c>
      <c r="MB27" s="127">
        <f>Expense!LZ7</f>
        <v>3281.8947175481162</v>
      </c>
      <c r="MC27" s="558"/>
      <c r="MD27" s="57" t="s">
        <v>185</v>
      </c>
      <c r="ME27" s="127">
        <f>Expense!MC7</f>
        <v>862.30726787428478</v>
      </c>
      <c r="MF27" s="127">
        <f>Expense!MD7</f>
        <v>829.17262414663969</v>
      </c>
      <c r="MG27" s="127">
        <f>Expense!ME7</f>
        <v>839.4500444194415</v>
      </c>
      <c r="MH27" s="127">
        <f>Expense!MF7</f>
        <v>863.32644410958915</v>
      </c>
      <c r="MI27" s="127">
        <f>Expense!MG7</f>
        <v>3394.2563805499549</v>
      </c>
      <c r="MJ27" s="558"/>
    </row>
    <row r="28" spans="1:349" x14ac:dyDescent="0.4">
      <c r="A28" s="48"/>
      <c r="B28" s="57" t="s">
        <v>281</v>
      </c>
      <c r="C28" s="58">
        <f>SUM(Expense!C33,Expense!C43)+Expense!C51+Expense!C60</f>
        <v>1073.4100000000001</v>
      </c>
      <c r="D28" s="58">
        <f>SUM(Expense!D33,Expense!D43)+Expense!D51+Expense!D60</f>
        <v>1202.9000000000001</v>
      </c>
      <c r="E28" s="58">
        <f>SUM(Expense!E33,Expense!E43)+Expense!E51+Expense!E60</f>
        <v>1395.2</v>
      </c>
      <c r="F28" s="58">
        <f>SUM(Expense!F33,Expense!F43)+Expense!F51+Expense!F60</f>
        <v>1533</v>
      </c>
      <c r="G28" s="58">
        <f>SUM(Expense!G33,Expense!G43)+Expense!G51+Expense!G60</f>
        <v>813</v>
      </c>
      <c r="H28" s="58">
        <f>SUM(Expense!H33,Expense!H43)+Expense!H51+Expense!H60</f>
        <v>675</v>
      </c>
      <c r="I28" s="58">
        <f>SUM(Expense!I33,Expense!I43)+Expense!I51+Expense!I60</f>
        <v>848</v>
      </c>
      <c r="J28" s="58">
        <f>SUM(Expense!J33,Expense!J43)+Expense!J51+Expense!J60</f>
        <v>918</v>
      </c>
      <c r="K28" s="58">
        <f>SUM(Expense!K33,Expense!K43)+Expense!K51+Expense!K60</f>
        <v>965</v>
      </c>
      <c r="L28" s="58">
        <f>SUM(Expense!L33,Expense!L43)+Expense!L51+Expense!L60</f>
        <v>1941</v>
      </c>
      <c r="M28" s="58">
        <f>SUM(Expense!M33,Expense!M43)+Expense!M51+Expense!M60</f>
        <v>2336</v>
      </c>
      <c r="N28" s="58">
        <f t="shared" si="58"/>
        <v>2247</v>
      </c>
      <c r="O28" s="58">
        <f t="shared" si="59"/>
        <v>1916</v>
      </c>
      <c r="P28" s="58">
        <f t="shared" si="60"/>
        <v>2058</v>
      </c>
      <c r="Q28" s="58">
        <f t="shared" si="61"/>
        <v>2012</v>
      </c>
      <c r="R28" s="58">
        <f t="shared" si="62"/>
        <v>2002</v>
      </c>
      <c r="S28" s="58">
        <f t="shared" si="63"/>
        <v>2148</v>
      </c>
      <c r="T28" s="58">
        <f t="shared" si="64"/>
        <v>2422.5</v>
      </c>
      <c r="U28" s="58">
        <f t="shared" si="65"/>
        <v>2469.5</v>
      </c>
      <c r="V28" s="58">
        <f t="shared" si="66"/>
        <v>2450</v>
      </c>
      <c r="W28" s="58">
        <f t="shared" si="67"/>
        <v>2459</v>
      </c>
      <c r="X28" s="58">
        <f t="shared" si="68"/>
        <v>2638</v>
      </c>
      <c r="Y28" s="58">
        <f t="shared" si="69"/>
        <v>1814</v>
      </c>
      <c r="Z28" s="58">
        <f t="shared" si="70"/>
        <v>1657</v>
      </c>
      <c r="AA28" s="58">
        <f t="shared" si="71"/>
        <v>1699</v>
      </c>
      <c r="AB28" s="58">
        <f t="shared" si="72"/>
        <v>1530</v>
      </c>
      <c r="AC28" s="58">
        <f t="shared" si="73"/>
        <v>1724</v>
      </c>
      <c r="AD28" s="58">
        <f t="shared" si="74"/>
        <v>1776</v>
      </c>
      <c r="AE28" s="58">
        <f t="shared" si="75"/>
        <v>1964</v>
      </c>
      <c r="AF28" s="58">
        <f t="shared" si="76"/>
        <v>1924</v>
      </c>
      <c r="AG28" s="58">
        <f t="shared" si="77"/>
        <v>2135</v>
      </c>
      <c r="AH28" s="58">
        <f t="shared" si="78"/>
        <v>1863</v>
      </c>
      <c r="AI28" s="58">
        <f t="shared" si="79"/>
        <v>2075</v>
      </c>
      <c r="AJ28" s="58">
        <f t="shared" si="80"/>
        <v>2229</v>
      </c>
      <c r="AK28" s="58">
        <f t="shared" si="81"/>
        <v>2156</v>
      </c>
      <c r="AL28" s="58">
        <f t="shared" si="82"/>
        <v>2275</v>
      </c>
      <c r="AM28" s="58">
        <f t="shared" si="83"/>
        <v>2484</v>
      </c>
      <c r="AN28" s="58">
        <f t="shared" si="84"/>
        <v>2336</v>
      </c>
      <c r="AO28" s="58">
        <f t="shared" si="85"/>
        <v>2073</v>
      </c>
      <c r="AP28" s="58">
        <f t="shared" si="86"/>
        <v>2114</v>
      </c>
      <c r="AQ28" s="58">
        <f t="shared" si="87"/>
        <v>1967</v>
      </c>
      <c r="AR28" s="58">
        <f t="shared" si="88"/>
        <v>1784</v>
      </c>
      <c r="AS28" s="58">
        <f t="shared" si="89"/>
        <v>1684</v>
      </c>
      <c r="AT28" s="58">
        <f t="shared" si="90"/>
        <v>2132</v>
      </c>
      <c r="AU28" s="58">
        <f t="shared" si="91"/>
        <v>2685</v>
      </c>
      <c r="AV28" s="58">
        <f t="shared" si="92"/>
        <v>2792</v>
      </c>
      <c r="AW28" s="58">
        <f t="shared" si="93"/>
        <v>2852</v>
      </c>
      <c r="AX28" s="58">
        <f t="shared" si="94"/>
        <v>2979</v>
      </c>
      <c r="AY28" s="58">
        <f t="shared" si="95"/>
        <v>2934.8989221749998</v>
      </c>
      <c r="AZ28" s="58">
        <f t="shared" si="96"/>
        <v>2883.4269992561603</v>
      </c>
      <c r="BA28" s="58">
        <f t="shared" si="97"/>
        <v>2955.1465010158845</v>
      </c>
      <c r="BB28" s="58"/>
      <c r="BC28" s="58"/>
      <c r="BD28" s="58"/>
      <c r="BE28" s="58"/>
      <c r="BF28" s="58"/>
      <c r="BG28" s="58"/>
      <c r="BH28" s="58"/>
      <c r="BI28" s="58"/>
      <c r="BJ28" s="58"/>
      <c r="BK28" s="58"/>
      <c r="BL28" s="58"/>
      <c r="BM28" s="58"/>
      <c r="BN28" s="58"/>
      <c r="BO28" s="58"/>
      <c r="BQ28" s="57" t="s">
        <v>281</v>
      </c>
      <c r="BR28" s="58">
        <f>SUM(Expense!BP33,Expense!BP43)+Expense!BP51+Expense!BP60</f>
        <v>569</v>
      </c>
      <c r="BS28" s="58">
        <f>SUM(Expense!BQ33,Expense!BQ43)+Expense!BQ51+Expense!BQ60</f>
        <v>630</v>
      </c>
      <c r="BT28" s="58">
        <f>SUM(Expense!BR33,Expense!BR43)+Expense!BR51+Expense!BR60</f>
        <v>624</v>
      </c>
      <c r="BU28" s="58">
        <f>SUM(Expense!BS33,Expense!BS43)+Expense!BS51+Expense!BS60</f>
        <v>424</v>
      </c>
      <c r="BV28" s="58">
        <f t="shared" si="98"/>
        <v>2247</v>
      </c>
      <c r="BX28" s="57" t="s">
        <v>281</v>
      </c>
      <c r="BY28" s="58">
        <f>SUM(Expense!BW33,Expense!BW43)+Expense!BW51+Expense!BW60</f>
        <v>432</v>
      </c>
      <c r="BZ28" s="58">
        <f>SUM(Expense!BX33,Expense!BX43)+Expense!BX51+Expense!BX60</f>
        <v>478</v>
      </c>
      <c r="CA28" s="58">
        <f>SUM(Expense!BY33,Expense!BY43)+Expense!BY51+Expense!BY60</f>
        <v>477</v>
      </c>
      <c r="CB28" s="58">
        <f>SUM(Expense!BZ33,Expense!BZ43)+Expense!BZ51+Expense!BZ60</f>
        <v>529</v>
      </c>
      <c r="CC28" s="58">
        <f t="shared" si="99"/>
        <v>1916</v>
      </c>
      <c r="CE28" s="57" t="s">
        <v>281</v>
      </c>
      <c r="CF28" s="58">
        <f>SUM(Expense!CD33,Expense!CD43)+Expense!CD51+Expense!CD60</f>
        <v>485</v>
      </c>
      <c r="CG28" s="58">
        <f>SUM(Expense!CE33,Expense!CE43)+Expense!CE51+Expense!CE60</f>
        <v>531</v>
      </c>
      <c r="CH28" s="58">
        <f>SUM(Expense!CF33,Expense!CF43)+Expense!CF51+Expense!CF60</f>
        <v>531</v>
      </c>
      <c r="CI28" s="58">
        <f>SUM(Expense!CG33,Expense!CG43)+Expense!CG51+Expense!CG60</f>
        <v>511</v>
      </c>
      <c r="CJ28" s="58">
        <f t="shared" si="100"/>
        <v>2058</v>
      </c>
      <c r="CL28" s="57" t="s">
        <v>281</v>
      </c>
      <c r="CM28" s="58">
        <f>SUM(Expense!CK33,Expense!CK43)+Expense!CK51+Expense!CK60</f>
        <v>482</v>
      </c>
      <c r="CN28" s="58">
        <f>SUM(Expense!CL33,Expense!CL43)+Expense!CL51+Expense!CL60</f>
        <v>503</v>
      </c>
      <c r="CO28" s="58">
        <f>SUM(Expense!CM33,Expense!CM43)+Expense!CM51+Expense!CM60</f>
        <v>528</v>
      </c>
      <c r="CP28" s="58">
        <f>SUM(Expense!CN33,Expense!CN43)+Expense!CN51+Expense!CN60</f>
        <v>499</v>
      </c>
      <c r="CQ28" s="58">
        <f t="shared" si="101"/>
        <v>2012</v>
      </c>
      <c r="CS28" s="57" t="s">
        <v>281</v>
      </c>
      <c r="CT28" s="58">
        <f>SUM(Expense!CR33,Expense!CR43)+Expense!CR51+Expense!CR60</f>
        <v>494</v>
      </c>
      <c r="CU28" s="58">
        <f>SUM(Expense!CS33,Expense!CS43)+Expense!CS51+Expense!CS60</f>
        <v>507</v>
      </c>
      <c r="CV28" s="58">
        <f>SUM(Expense!CT33,Expense!CT43)+Expense!CT51+Expense!CT60</f>
        <v>509</v>
      </c>
      <c r="CW28" s="58">
        <f>SUM(Expense!CU33,Expense!CU43)+Expense!CU51+Expense!CU60</f>
        <v>492</v>
      </c>
      <c r="CX28" s="58">
        <f t="shared" si="102"/>
        <v>2002</v>
      </c>
      <c r="CZ28" s="57" t="s">
        <v>281</v>
      </c>
      <c r="DA28" s="58">
        <f>SUM(Expense!CY33,Expense!CY43)+Expense!CY51+Expense!CY60</f>
        <v>519</v>
      </c>
      <c r="DB28" s="58">
        <f>SUM(Expense!CZ33,Expense!CZ43)+Expense!CZ51+Expense!CZ60</f>
        <v>538</v>
      </c>
      <c r="DC28" s="58">
        <f>SUM(Expense!DA33,Expense!DA43)+Expense!DA51+Expense!DA60</f>
        <v>542</v>
      </c>
      <c r="DD28" s="58">
        <f>SUM(Expense!DB33,Expense!DB43)+Expense!DB51+Expense!DB60</f>
        <v>549</v>
      </c>
      <c r="DE28" s="58">
        <f t="shared" si="103"/>
        <v>2148</v>
      </c>
      <c r="DG28" s="57" t="s">
        <v>281</v>
      </c>
      <c r="DH28" s="58">
        <f>SUM(Expense!DF33,Expense!DF43)+Expense!DF51+Expense!DF60</f>
        <v>565</v>
      </c>
      <c r="DI28" s="58">
        <f>SUM(Expense!DG33,Expense!DG43)+Expense!DG51+Expense!DG60</f>
        <v>609</v>
      </c>
      <c r="DJ28" s="58">
        <f>SUM(Expense!DH33,Expense!DH43)+Expense!DH51+Expense!DH60</f>
        <v>610.5</v>
      </c>
      <c r="DK28" s="58">
        <f>SUM(Expense!DI33,Expense!DI43)+Expense!DI51+Expense!DI60</f>
        <v>638</v>
      </c>
      <c r="DL28" s="58">
        <f t="shared" si="104"/>
        <v>2422.5</v>
      </c>
      <c r="DN28" s="57" t="s">
        <v>281</v>
      </c>
      <c r="DO28" s="58">
        <f>SUM(Expense!DM33,Expense!DM43)+Expense!DM51+Expense!DM60</f>
        <v>605</v>
      </c>
      <c r="DP28" s="58">
        <f>SUM(Expense!DN33,Expense!DN43)+Expense!DN51+Expense!DN60</f>
        <v>621.5</v>
      </c>
      <c r="DQ28" s="58">
        <f>SUM(Expense!DO33,Expense!DO43)+Expense!DO51+Expense!DO60</f>
        <v>625</v>
      </c>
      <c r="DR28" s="58">
        <f>SUM(Expense!DP33,Expense!DP43)+Expense!DP51+Expense!DP60</f>
        <v>618</v>
      </c>
      <c r="DS28" s="58">
        <f t="shared" si="105"/>
        <v>2469.5</v>
      </c>
      <c r="DU28" s="57" t="s">
        <v>281</v>
      </c>
      <c r="DV28" s="58">
        <f>SUM(Expense!DT33,Expense!DT43)+Expense!DT51+Expense!DT60</f>
        <v>600</v>
      </c>
      <c r="DW28" s="58">
        <f>SUM(Expense!DU33,Expense!DU43)+Expense!DU51+Expense!DU60</f>
        <v>605</v>
      </c>
      <c r="DX28" s="58">
        <f>SUM(Expense!DV33,Expense!DV43)+Expense!DV51+Expense!DV60</f>
        <v>616</v>
      </c>
      <c r="DY28" s="58">
        <f>SUM(Expense!DW33,Expense!DW43)+Expense!DW51+Expense!DW60</f>
        <v>629</v>
      </c>
      <c r="DZ28" s="58">
        <f t="shared" si="106"/>
        <v>2450</v>
      </c>
      <c r="EB28" s="57" t="s">
        <v>281</v>
      </c>
      <c r="EC28" s="58">
        <f>SUM(Expense!EA33,Expense!EA43)+Expense!EA51</f>
        <v>580</v>
      </c>
      <c r="ED28" s="58">
        <f>SUM(Expense!EB33,Expense!EB43)+Expense!EB51</f>
        <v>612</v>
      </c>
      <c r="EE28" s="58">
        <f>SUM(Expense!EC33,Expense!EC43)+Expense!EC51</f>
        <v>622</v>
      </c>
      <c r="EF28" s="58">
        <f>SUM(Expense!ED33,Expense!ED43)+Expense!ED51</f>
        <v>645</v>
      </c>
      <c r="EG28" s="58">
        <f t="shared" si="107"/>
        <v>2459</v>
      </c>
      <c r="EI28" s="57" t="s">
        <v>281</v>
      </c>
      <c r="EJ28" s="58">
        <f>SUM(Expense!EH33,Expense!EH43)+Expense!EH51</f>
        <v>618</v>
      </c>
      <c r="EK28" s="58">
        <f>SUM(Expense!EI33,Expense!EI43)+Expense!EI51</f>
        <v>651</v>
      </c>
      <c r="EL28" s="58">
        <f>SUM(Expense!EJ33,Expense!EJ43)+Expense!EJ51</f>
        <v>691</v>
      </c>
      <c r="EM28" s="58">
        <f>SUM(Expense!EK33,Expense!EK43)+Expense!EK51</f>
        <v>678</v>
      </c>
      <c r="EN28" s="58">
        <f t="shared" si="108"/>
        <v>2638</v>
      </c>
      <c r="EP28" s="57" t="s">
        <v>281</v>
      </c>
      <c r="EQ28" s="58">
        <f>SUM(Expense!EO33,Expense!EO43)+Expense!EO51</f>
        <v>470</v>
      </c>
      <c r="ER28" s="58">
        <f>SUM(Expense!EP33,Expense!EP43)+Expense!EP51</f>
        <v>486</v>
      </c>
      <c r="ES28" s="58">
        <f>SUM(Expense!EQ33,Expense!EQ43)+Expense!EQ51</f>
        <v>429</v>
      </c>
      <c r="ET28" s="58">
        <f>SUM(Expense!ER33,Expense!ER43)+Expense!ER51</f>
        <v>429</v>
      </c>
      <c r="EU28" s="58">
        <f t="shared" si="109"/>
        <v>1814</v>
      </c>
      <c r="EW28" s="57" t="s">
        <v>281</v>
      </c>
      <c r="EX28" s="58">
        <f>SUM(Expense!EV33,Expense!EV43)+Expense!EV51</f>
        <v>422</v>
      </c>
      <c r="EY28" s="58">
        <f>SUM(Expense!EW33,Expense!EW43)+Expense!EW51</f>
        <v>416</v>
      </c>
      <c r="EZ28" s="58">
        <f>SUM(Expense!EX33,Expense!EX43)+Expense!EX51</f>
        <v>420</v>
      </c>
      <c r="FA28" s="58">
        <f>SUM(Expense!EY33,Expense!EY43)+Expense!EY51</f>
        <v>399</v>
      </c>
      <c r="FB28" s="58">
        <f t="shared" si="110"/>
        <v>1657</v>
      </c>
      <c r="FD28" s="57" t="s">
        <v>281</v>
      </c>
      <c r="FE28" s="58">
        <f>SUM(Expense!FC33,Expense!FC43)+Expense!FC51</f>
        <v>436</v>
      </c>
      <c r="FF28" s="58">
        <f>SUM(Expense!FD33,Expense!FD43)+Expense!FD51</f>
        <v>439</v>
      </c>
      <c r="FG28" s="58">
        <f>SUM(Expense!FE33,Expense!FE43)+Expense!FE51</f>
        <v>427</v>
      </c>
      <c r="FH28" s="58">
        <f>SUM(Expense!FF33,Expense!FF43)+Expense!FF51</f>
        <v>397</v>
      </c>
      <c r="FI28" s="58">
        <f t="shared" si="111"/>
        <v>1699</v>
      </c>
      <c r="FK28" s="57" t="s">
        <v>281</v>
      </c>
      <c r="FL28" s="58">
        <f>SUM(Expense!FJ33,Expense!FJ43)</f>
        <v>388</v>
      </c>
      <c r="FM28" s="58">
        <f>SUM(Expense!FK33,Expense!FK43)</f>
        <v>378</v>
      </c>
      <c r="FN28" s="58">
        <f>SUM(Expense!FL33,Expense!FL43)</f>
        <v>366</v>
      </c>
      <c r="FO28" s="58">
        <f>SUM(Expense!FM33,Expense!FM43)</f>
        <v>398</v>
      </c>
      <c r="FP28" s="58">
        <f t="shared" si="112"/>
        <v>1530</v>
      </c>
      <c r="FR28" s="57" t="s">
        <v>281</v>
      </c>
      <c r="FS28" s="58">
        <f>SUM(Expense!FQ33,Expense!FQ43)</f>
        <v>416</v>
      </c>
      <c r="FT28" s="58">
        <f>SUM(Expense!FR33,Expense!FR43)</f>
        <v>432</v>
      </c>
      <c r="FU28" s="58">
        <f>SUM(Expense!FS33,Expense!FS43)</f>
        <v>410</v>
      </c>
      <c r="FV28" s="58">
        <f>SUM(Expense!FT33,Expense!FT43)</f>
        <v>466</v>
      </c>
      <c r="FW28" s="58">
        <f t="shared" si="113"/>
        <v>1724</v>
      </c>
      <c r="FY28" s="57" t="s">
        <v>281</v>
      </c>
      <c r="FZ28" s="58">
        <f>SUM(Expense!FX33,Expense!FX43)</f>
        <v>462</v>
      </c>
      <c r="GA28" s="58">
        <f>SUM(Expense!FY33,Expense!FY43)</f>
        <v>439</v>
      </c>
      <c r="GB28" s="58">
        <f>SUM(Expense!FZ33,Expense!FZ43)</f>
        <v>454</v>
      </c>
      <c r="GC28" s="58">
        <f>SUM(Expense!GA33,Expense!GA43)</f>
        <v>421</v>
      </c>
      <c r="GD28" s="58">
        <f t="shared" si="114"/>
        <v>1776</v>
      </c>
      <c r="GF28" s="57" t="s">
        <v>281</v>
      </c>
      <c r="GG28" s="58">
        <f>SUM(Expense!GE33,Expense!GE43)</f>
        <v>482</v>
      </c>
      <c r="GH28" s="58">
        <f>SUM(Expense!GF33,Expense!GF43)</f>
        <v>489</v>
      </c>
      <c r="GI28" s="58">
        <f>SUM(Expense!GG33,Expense!GG43)</f>
        <v>497</v>
      </c>
      <c r="GJ28" s="58">
        <f>SUM(Expense!GH33,Expense!GH43)</f>
        <v>496</v>
      </c>
      <c r="GK28" s="58">
        <f t="shared" si="115"/>
        <v>1964</v>
      </c>
      <c r="GM28" s="57" t="s">
        <v>281</v>
      </c>
      <c r="GN28" s="58">
        <f>SUM(Expense!GL33,Expense!GL43)</f>
        <v>539</v>
      </c>
      <c r="GO28" s="58">
        <f>SUM(Expense!GM33,Expense!GM43)</f>
        <v>470</v>
      </c>
      <c r="GP28" s="58">
        <f>SUM(Expense!GN33,Expense!GN43)</f>
        <v>471</v>
      </c>
      <c r="GQ28" s="58">
        <f>SUM(Expense!GO33,Expense!GO43)</f>
        <v>444</v>
      </c>
      <c r="GR28" s="58">
        <f t="shared" si="116"/>
        <v>1924</v>
      </c>
      <c r="GT28" s="57" t="s">
        <v>281</v>
      </c>
      <c r="GU28" s="58">
        <f>SUM(Expense!GS33,Expense!GS43)</f>
        <v>507</v>
      </c>
      <c r="GV28" s="58">
        <f>SUM(Expense!GT33,Expense!GT43)</f>
        <v>513</v>
      </c>
      <c r="GW28" s="58">
        <f>SUM(Expense!GU33,Expense!GU43)</f>
        <v>568</v>
      </c>
      <c r="GX28" s="58">
        <f>SUM(Expense!GV33,Expense!GV43)</f>
        <v>547</v>
      </c>
      <c r="GY28" s="58">
        <f t="shared" si="117"/>
        <v>2135</v>
      </c>
      <c r="HA28" s="57" t="s">
        <v>281</v>
      </c>
      <c r="HB28" s="58">
        <v>477</v>
      </c>
      <c r="HC28" s="58">
        <v>444</v>
      </c>
      <c r="HD28" s="58">
        <v>500</v>
      </c>
      <c r="HE28" s="58">
        <v>442</v>
      </c>
      <c r="HF28" s="58">
        <f t="shared" si="118"/>
        <v>1863</v>
      </c>
      <c r="HH28" s="57" t="s">
        <v>281</v>
      </c>
      <c r="HI28" s="58">
        <v>519</v>
      </c>
      <c r="HJ28" s="58">
        <v>551</v>
      </c>
      <c r="HK28" s="58">
        <v>509</v>
      </c>
      <c r="HL28" s="58">
        <v>496</v>
      </c>
      <c r="HM28" s="58">
        <f t="shared" si="119"/>
        <v>2075</v>
      </c>
      <c r="HO28" s="57" t="s">
        <v>281</v>
      </c>
      <c r="HP28" s="58">
        <v>530</v>
      </c>
      <c r="HQ28" s="58">
        <v>557</v>
      </c>
      <c r="HR28" s="58">
        <v>562</v>
      </c>
      <c r="HS28" s="58">
        <v>580</v>
      </c>
      <c r="HT28" s="58">
        <f t="shared" si="120"/>
        <v>2229</v>
      </c>
      <c r="HV28" s="57" t="s">
        <v>281</v>
      </c>
      <c r="HW28" s="58">
        <v>542</v>
      </c>
      <c r="HX28" s="58">
        <v>550</v>
      </c>
      <c r="HY28" s="58">
        <v>525</v>
      </c>
      <c r="HZ28" s="58">
        <v>539</v>
      </c>
      <c r="IA28" s="58">
        <f t="shared" si="121"/>
        <v>2156</v>
      </c>
      <c r="IC28" s="57" t="s">
        <v>281</v>
      </c>
      <c r="ID28" s="58">
        <v>507</v>
      </c>
      <c r="IE28" s="58">
        <v>560</v>
      </c>
      <c r="IF28" s="58">
        <v>576</v>
      </c>
      <c r="IG28" s="58">
        <v>632</v>
      </c>
      <c r="IH28" s="58">
        <f t="shared" si="122"/>
        <v>2275</v>
      </c>
      <c r="IJ28" s="57" t="s">
        <v>281</v>
      </c>
      <c r="IK28" s="58">
        <v>629</v>
      </c>
      <c r="IL28" s="58">
        <v>621</v>
      </c>
      <c r="IM28" s="58">
        <v>610</v>
      </c>
      <c r="IN28" s="58">
        <v>624</v>
      </c>
      <c r="IO28" s="58">
        <f t="shared" si="123"/>
        <v>2484</v>
      </c>
      <c r="IQ28" s="57" t="s">
        <v>281</v>
      </c>
      <c r="IR28" s="58">
        <v>627</v>
      </c>
      <c r="IS28" s="58">
        <v>559</v>
      </c>
      <c r="IT28" s="58">
        <v>580</v>
      </c>
      <c r="IU28" s="58">
        <v>570</v>
      </c>
      <c r="IV28" s="58">
        <f t="shared" si="124"/>
        <v>2336</v>
      </c>
      <c r="IX28" s="57" t="s">
        <v>281</v>
      </c>
      <c r="IY28" s="58">
        <v>550</v>
      </c>
      <c r="IZ28" s="58">
        <v>519</v>
      </c>
      <c r="JA28" s="58">
        <v>507</v>
      </c>
      <c r="JB28" s="58">
        <v>497</v>
      </c>
      <c r="JC28" s="58">
        <f t="shared" si="125"/>
        <v>2073</v>
      </c>
      <c r="JE28" s="57" t="s">
        <v>281</v>
      </c>
      <c r="JF28" s="58">
        <v>571</v>
      </c>
      <c r="JG28" s="58">
        <v>496</v>
      </c>
      <c r="JH28" s="58">
        <v>523</v>
      </c>
      <c r="JI28" s="58">
        <v>524</v>
      </c>
      <c r="JJ28" s="58">
        <f t="shared" si="126"/>
        <v>2114</v>
      </c>
      <c r="JL28" s="57" t="s">
        <v>281</v>
      </c>
      <c r="JM28" s="58">
        <v>482</v>
      </c>
      <c r="JN28" s="58">
        <v>469</v>
      </c>
      <c r="JO28" s="58">
        <v>474</v>
      </c>
      <c r="JP28" s="58">
        <v>542</v>
      </c>
      <c r="JQ28" s="58">
        <f t="shared" si="127"/>
        <v>1967</v>
      </c>
      <c r="JS28" s="57" t="s">
        <v>281</v>
      </c>
      <c r="JT28" s="58">
        <v>478</v>
      </c>
      <c r="JU28" s="58">
        <v>455</v>
      </c>
      <c r="JV28" s="58">
        <v>415</v>
      </c>
      <c r="JW28" s="58">
        <v>436</v>
      </c>
      <c r="JX28" s="58">
        <f t="shared" si="128"/>
        <v>1784</v>
      </c>
      <c r="JZ28" s="57" t="s">
        <v>281</v>
      </c>
      <c r="KA28" s="58">
        <v>454</v>
      </c>
      <c r="KB28" s="58">
        <v>407</v>
      </c>
      <c r="KC28" s="58">
        <v>378</v>
      </c>
      <c r="KD28" s="58">
        <v>445</v>
      </c>
      <c r="KE28" s="58">
        <f t="shared" si="129"/>
        <v>1684</v>
      </c>
      <c r="KG28" s="57" t="s">
        <v>281</v>
      </c>
      <c r="KH28" s="58">
        <v>469</v>
      </c>
      <c r="KI28" s="58">
        <v>441</v>
      </c>
      <c r="KJ28" s="58">
        <v>577</v>
      </c>
      <c r="KK28" s="58">
        <v>645</v>
      </c>
      <c r="KL28" s="58">
        <f t="shared" si="130"/>
        <v>2132</v>
      </c>
      <c r="KN28" s="57" t="s">
        <v>281</v>
      </c>
      <c r="KO28" s="58">
        <v>675</v>
      </c>
      <c r="KP28" s="58">
        <v>647</v>
      </c>
      <c r="KQ28" s="58">
        <v>664</v>
      </c>
      <c r="KR28" s="58">
        <v>699</v>
      </c>
      <c r="KS28" s="58">
        <f t="shared" si="131"/>
        <v>2685</v>
      </c>
      <c r="KU28" s="57" t="s">
        <v>281</v>
      </c>
      <c r="KV28" s="58">
        <f>688+10</f>
        <v>698</v>
      </c>
      <c r="KW28" s="58">
        <f>684+7</f>
        <v>691</v>
      </c>
      <c r="KX28" s="58">
        <v>700</v>
      </c>
      <c r="KY28" s="58">
        <v>703</v>
      </c>
      <c r="KZ28" s="58">
        <f t="shared" si="132"/>
        <v>2792</v>
      </c>
      <c r="LB28" s="57" t="s">
        <v>281</v>
      </c>
      <c r="LC28" s="58">
        <f>Expense!LA8</f>
        <v>721</v>
      </c>
      <c r="LD28" s="127">
        <f>Expense!LB8</f>
        <v>699</v>
      </c>
      <c r="LE28" s="127">
        <f>Expense!LC8</f>
        <v>675</v>
      </c>
      <c r="LF28" s="127">
        <f>Expense!LD8</f>
        <v>757</v>
      </c>
      <c r="LG28" s="127">
        <f>Expense!LE8</f>
        <v>2852</v>
      </c>
      <c r="LH28" s="558"/>
      <c r="LI28" s="57" t="s">
        <v>281</v>
      </c>
      <c r="LJ28" s="127">
        <f>Expense!LH8</f>
        <v>774</v>
      </c>
      <c r="LK28" s="127">
        <f>Expense!LI8</f>
        <v>710</v>
      </c>
      <c r="LL28" s="127">
        <f>Expense!LJ8</f>
        <v>717</v>
      </c>
      <c r="LM28" s="127">
        <f>Expense!LK8</f>
        <v>778</v>
      </c>
      <c r="LN28" s="127">
        <f>Expense!LL8</f>
        <v>2979</v>
      </c>
      <c r="LO28" s="558"/>
      <c r="LP28" s="57" t="s">
        <v>281</v>
      </c>
      <c r="LQ28" s="127">
        <f>Expense!LO8</f>
        <v>709.46757212499995</v>
      </c>
      <c r="LR28" s="127">
        <f>Expense!LP8</f>
        <v>716.27031522499999</v>
      </c>
      <c r="LS28" s="127">
        <f>Expense!LQ8</f>
        <v>737.08289585</v>
      </c>
      <c r="LT28" s="127">
        <f>Expense!LR8</f>
        <v>772.078138975</v>
      </c>
      <c r="LU28" s="127">
        <f>Expense!LS8</f>
        <v>2934.8989221749998</v>
      </c>
      <c r="LV28" s="558"/>
      <c r="LW28" s="57" t="s">
        <v>281</v>
      </c>
      <c r="LX28" s="127">
        <f>Expense!LV8</f>
        <v>707.50579215880077</v>
      </c>
      <c r="LY28" s="127">
        <f>Expense!LW8</f>
        <v>704.65629672726243</v>
      </c>
      <c r="LZ28" s="127">
        <f>Expense!LX8</f>
        <v>717.06210764834373</v>
      </c>
      <c r="MA28" s="127">
        <f>Expense!LY8</f>
        <v>754.2028027217533</v>
      </c>
      <c r="MB28" s="127">
        <f>Expense!LZ8</f>
        <v>2883.4269992561603</v>
      </c>
      <c r="MC28" s="558"/>
      <c r="MD28" s="57" t="s">
        <v>281</v>
      </c>
      <c r="ME28" s="127">
        <f>Expense!MC8</f>
        <v>720.28515597868295</v>
      </c>
      <c r="MF28" s="127">
        <f>Expense!MD8</f>
        <v>723.85858199167308</v>
      </c>
      <c r="MG28" s="127">
        <f>Expense!ME8</f>
        <v>744.48372636298416</v>
      </c>
      <c r="MH28" s="127">
        <f>Expense!MF8</f>
        <v>766.51903668254386</v>
      </c>
      <c r="MI28" s="127">
        <f>Expense!MG8</f>
        <v>2955.1465010158845</v>
      </c>
      <c r="MJ28" s="558"/>
    </row>
    <row r="29" spans="1:349" x14ac:dyDescent="0.4">
      <c r="A29" s="48"/>
      <c r="B29" s="57" t="s">
        <v>188</v>
      </c>
      <c r="C29" s="58">
        <f>SUM(Expense!C36,Expense!C46)+Expense!C54+Expense!C62</f>
        <v>156.04</v>
      </c>
      <c r="D29" s="58">
        <f>SUM(Expense!D36,Expense!D46)+Expense!D54+Expense!D62</f>
        <v>160.69999999999999</v>
      </c>
      <c r="E29" s="58">
        <f>SUM(Expense!E36,Expense!E46)+Expense!E54+Expense!E62</f>
        <v>158</v>
      </c>
      <c r="F29" s="58">
        <f>SUM(Expense!F36,Expense!F46)+Expense!F54+Expense!F62</f>
        <v>169</v>
      </c>
      <c r="G29" s="58">
        <f>SUM(Expense!G36,Expense!G46)+Expense!G54+Expense!G62</f>
        <v>283</v>
      </c>
      <c r="H29" s="58">
        <f>SUM(Expense!H36,Expense!H46)+Expense!H54+Expense!H62</f>
        <v>258</v>
      </c>
      <c r="I29" s="58">
        <f>SUM(Expense!I36,Expense!I46)+Expense!I54+Expense!I62</f>
        <v>295</v>
      </c>
      <c r="J29" s="58">
        <f>SUM(Expense!J36,Expense!J46)+Expense!J54+Expense!J62</f>
        <v>285</v>
      </c>
      <c r="K29" s="58">
        <f>SUM(Expense!K36,Expense!K46)+Expense!K54+Expense!K62</f>
        <v>329</v>
      </c>
      <c r="L29" s="58">
        <f>SUM(Expense!L36,Expense!L46)+Expense!L54+Expense!L62</f>
        <v>438</v>
      </c>
      <c r="M29" s="58">
        <f>SUM(Expense!M36,Expense!M46)+Expense!M54+Expense!M62</f>
        <v>452</v>
      </c>
      <c r="N29" s="58">
        <f t="shared" si="58"/>
        <v>433</v>
      </c>
      <c r="O29" s="58">
        <f t="shared" si="59"/>
        <v>456</v>
      </c>
      <c r="P29" s="58">
        <f t="shared" si="60"/>
        <v>481</v>
      </c>
      <c r="Q29" s="58">
        <f t="shared" si="61"/>
        <v>483</v>
      </c>
      <c r="R29" s="58">
        <f t="shared" si="62"/>
        <v>519</v>
      </c>
      <c r="S29" s="58">
        <f t="shared" si="63"/>
        <v>527</v>
      </c>
      <c r="T29" s="58">
        <f t="shared" si="64"/>
        <v>552</v>
      </c>
      <c r="U29" s="58">
        <f t="shared" si="65"/>
        <v>602</v>
      </c>
      <c r="V29" s="58">
        <f t="shared" si="66"/>
        <v>610</v>
      </c>
      <c r="W29" s="58">
        <f t="shared" si="67"/>
        <v>598</v>
      </c>
      <c r="X29" s="58">
        <f t="shared" si="68"/>
        <v>600</v>
      </c>
      <c r="Y29" s="58">
        <f t="shared" si="69"/>
        <v>572</v>
      </c>
      <c r="Z29" s="58">
        <f t="shared" si="70"/>
        <v>613</v>
      </c>
      <c r="AA29" s="58">
        <f t="shared" si="71"/>
        <v>631</v>
      </c>
      <c r="AB29" s="58">
        <f t="shared" si="72"/>
        <v>611</v>
      </c>
      <c r="AC29" s="58">
        <f t="shared" si="73"/>
        <v>702</v>
      </c>
      <c r="AD29" s="58">
        <f t="shared" si="74"/>
        <v>818</v>
      </c>
      <c r="AE29" s="58">
        <f t="shared" si="75"/>
        <v>856</v>
      </c>
      <c r="AF29" s="58">
        <f t="shared" si="76"/>
        <v>883</v>
      </c>
      <c r="AG29" s="58">
        <f t="shared" si="77"/>
        <v>904</v>
      </c>
      <c r="AH29" s="58">
        <f t="shared" si="78"/>
        <v>905</v>
      </c>
      <c r="AI29" s="58">
        <f t="shared" si="79"/>
        <v>947</v>
      </c>
      <c r="AJ29" s="58">
        <f t="shared" si="80"/>
        <v>976</v>
      </c>
      <c r="AK29" s="58">
        <f t="shared" si="81"/>
        <v>1059</v>
      </c>
      <c r="AL29" s="58">
        <f t="shared" si="82"/>
        <v>1104</v>
      </c>
      <c r="AM29" s="58">
        <f t="shared" si="83"/>
        <v>1151</v>
      </c>
      <c r="AN29" s="58">
        <f t="shared" si="84"/>
        <v>1208</v>
      </c>
      <c r="AO29" s="58">
        <f t="shared" si="85"/>
        <v>1301</v>
      </c>
      <c r="AP29" s="58">
        <f t="shared" si="86"/>
        <v>1315</v>
      </c>
      <c r="AQ29" s="58">
        <f t="shared" si="87"/>
        <v>1331</v>
      </c>
      <c r="AR29" s="58">
        <f t="shared" si="88"/>
        <v>1349</v>
      </c>
      <c r="AS29" s="58">
        <f t="shared" si="89"/>
        <v>1383</v>
      </c>
      <c r="AT29" s="58">
        <f t="shared" si="90"/>
        <v>1420</v>
      </c>
      <c r="AU29" s="58">
        <f t="shared" si="91"/>
        <v>1500</v>
      </c>
      <c r="AV29" s="58">
        <f t="shared" si="92"/>
        <v>1617</v>
      </c>
      <c r="AW29" s="58">
        <f t="shared" si="93"/>
        <v>1658</v>
      </c>
      <c r="AX29" s="58">
        <f t="shared" si="94"/>
        <v>1680</v>
      </c>
      <c r="AY29" s="58">
        <f t="shared" si="95"/>
        <v>1682</v>
      </c>
      <c r="AZ29" s="58">
        <f t="shared" si="96"/>
        <v>1726</v>
      </c>
      <c r="BA29" s="58">
        <f t="shared" si="97"/>
        <v>1782</v>
      </c>
      <c r="BB29" s="58"/>
      <c r="BC29" s="58"/>
      <c r="BD29" s="58"/>
      <c r="BE29" s="58"/>
      <c r="BF29" s="58"/>
      <c r="BG29" s="58"/>
      <c r="BH29" s="58"/>
      <c r="BI29" s="58"/>
      <c r="BJ29" s="58"/>
      <c r="BK29" s="58"/>
      <c r="BL29" s="58"/>
      <c r="BM29" s="58"/>
      <c r="BN29" s="58"/>
      <c r="BO29" s="58"/>
      <c r="BQ29" s="57" t="s">
        <v>188</v>
      </c>
      <c r="BR29" s="58">
        <f>SUM(Expense!BP36,Expense!BP46)+Expense!BP54+Expense!BP62</f>
        <v>113</v>
      </c>
      <c r="BS29" s="58">
        <f>SUM(Expense!BQ36,Expense!BQ46)+Expense!BQ54+Expense!BQ62</f>
        <v>114</v>
      </c>
      <c r="BT29" s="58">
        <f>SUM(Expense!BR36,Expense!BR46)+Expense!BR54+Expense!BR62</f>
        <v>109</v>
      </c>
      <c r="BU29" s="58">
        <f>SUM(Expense!BS36,Expense!BS46)+Expense!BS54+Expense!BS62</f>
        <v>97</v>
      </c>
      <c r="BV29" s="58">
        <f t="shared" si="98"/>
        <v>433</v>
      </c>
      <c r="BX29" s="57" t="s">
        <v>188</v>
      </c>
      <c r="BY29" s="58">
        <f>SUM(Expense!BW36,Expense!BW46)+Expense!BW54+Expense!BW62</f>
        <v>114</v>
      </c>
      <c r="BZ29" s="58">
        <f>SUM(Expense!BX36,Expense!BX46)+Expense!BX54+Expense!BX62</f>
        <v>112</v>
      </c>
      <c r="CA29" s="58">
        <f>SUM(Expense!BY36,Expense!BY46)+Expense!BY54+Expense!BY62</f>
        <v>110</v>
      </c>
      <c r="CB29" s="58">
        <f>SUM(Expense!BZ36,Expense!BZ46)+Expense!BZ54+Expense!BZ62</f>
        <v>120</v>
      </c>
      <c r="CC29" s="58">
        <f t="shared" si="99"/>
        <v>456</v>
      </c>
      <c r="CE29" s="57" t="s">
        <v>188</v>
      </c>
      <c r="CF29" s="58">
        <f>SUM(Expense!CD36,Expense!CD46)+Expense!CD54+Expense!CD62</f>
        <v>121</v>
      </c>
      <c r="CG29" s="58">
        <f>SUM(Expense!CE36,Expense!CE46)+Expense!CE54+Expense!CE62</f>
        <v>111</v>
      </c>
      <c r="CH29" s="58">
        <f>SUM(Expense!CF36,Expense!CF46)+Expense!CF54+Expense!CF62</f>
        <v>122</v>
      </c>
      <c r="CI29" s="58">
        <f>SUM(Expense!CG36,Expense!CG46)+Expense!CG54+Expense!CG62</f>
        <v>127</v>
      </c>
      <c r="CJ29" s="58">
        <f t="shared" si="100"/>
        <v>481</v>
      </c>
      <c r="CL29" s="57" t="s">
        <v>188</v>
      </c>
      <c r="CM29" s="58">
        <f>SUM(Expense!CK36,Expense!CK46)+Expense!CK54+Expense!CK62</f>
        <v>119</v>
      </c>
      <c r="CN29" s="58">
        <f>SUM(Expense!CL36,Expense!CL46)+Expense!CL54+Expense!CL62</f>
        <v>123</v>
      </c>
      <c r="CO29" s="58">
        <f>SUM(Expense!CM36,Expense!CM46)+Expense!CM54+Expense!CM62</f>
        <v>124</v>
      </c>
      <c r="CP29" s="58">
        <f>SUM(Expense!CN36,Expense!CN46)+Expense!CN54+Expense!CN62</f>
        <v>117</v>
      </c>
      <c r="CQ29" s="58">
        <f t="shared" si="101"/>
        <v>483</v>
      </c>
      <c r="CS29" s="57" t="s">
        <v>188</v>
      </c>
      <c r="CT29" s="58">
        <f>SUM(Expense!CR36,Expense!CR46)+Expense!CR54+Expense!CR62</f>
        <v>129</v>
      </c>
      <c r="CU29" s="58">
        <f>SUM(Expense!CS36,Expense!CS46)+Expense!CS54+Expense!CS62</f>
        <v>131</v>
      </c>
      <c r="CV29" s="58">
        <f>SUM(Expense!CT36,Expense!CT46)+Expense!CT54+Expense!CT62</f>
        <v>130</v>
      </c>
      <c r="CW29" s="58">
        <f>SUM(Expense!CU36,Expense!CU46)+Expense!CU54+Expense!CU62</f>
        <v>129</v>
      </c>
      <c r="CX29" s="58">
        <f t="shared" si="102"/>
        <v>519</v>
      </c>
      <c r="CZ29" s="57" t="s">
        <v>188</v>
      </c>
      <c r="DA29" s="58">
        <f>SUM(Expense!CY36,Expense!CY46)+Expense!CY54+Expense!CY62</f>
        <v>131</v>
      </c>
      <c r="DB29" s="58">
        <f>SUM(Expense!CZ36,Expense!CZ46)+Expense!CZ54+Expense!CZ62</f>
        <v>132</v>
      </c>
      <c r="DC29" s="58">
        <f>SUM(Expense!DA36,Expense!DA46)+Expense!DA54+Expense!DA62</f>
        <v>132</v>
      </c>
      <c r="DD29" s="58">
        <f>SUM(Expense!DB36,Expense!DB46)+Expense!DB54+Expense!DB62</f>
        <v>132</v>
      </c>
      <c r="DE29" s="58">
        <f t="shared" si="103"/>
        <v>527</v>
      </c>
      <c r="DG29" s="57" t="s">
        <v>188</v>
      </c>
      <c r="DH29" s="58">
        <f>SUM(Expense!DF36,Expense!DF46)+Expense!DF54+Expense!DF62</f>
        <v>137</v>
      </c>
      <c r="DI29" s="58">
        <f>SUM(Expense!DG36,Expense!DG46)+Expense!DG54+Expense!DG62</f>
        <v>138</v>
      </c>
      <c r="DJ29" s="58">
        <f>SUM(Expense!DH36,Expense!DH46)+Expense!DH54+Expense!DH62</f>
        <v>137</v>
      </c>
      <c r="DK29" s="58">
        <f>SUM(Expense!DI36,Expense!DI46)+Expense!DI54+Expense!DI62</f>
        <v>140</v>
      </c>
      <c r="DL29" s="58">
        <f t="shared" si="104"/>
        <v>552</v>
      </c>
      <c r="DN29" s="57" t="s">
        <v>188</v>
      </c>
      <c r="DO29" s="58">
        <f>SUM(Expense!DM36,Expense!DM46)+Expense!DM54+Expense!DM62</f>
        <v>151</v>
      </c>
      <c r="DP29" s="58">
        <f>SUM(Expense!DN36,Expense!DN46)+Expense!DN54+Expense!DN62</f>
        <v>152</v>
      </c>
      <c r="DQ29" s="58">
        <f>SUM(Expense!DO36,Expense!DO46)+Expense!DO54+Expense!DO62</f>
        <v>147</v>
      </c>
      <c r="DR29" s="58">
        <f>SUM(Expense!DP36,Expense!DP46)+Expense!DP54+Expense!DP62</f>
        <v>152</v>
      </c>
      <c r="DS29" s="58">
        <f t="shared" si="105"/>
        <v>602</v>
      </c>
      <c r="DU29" s="57" t="s">
        <v>188</v>
      </c>
      <c r="DV29" s="58">
        <f>SUM(Expense!DT36,Expense!DT46)+Expense!DT54+Expense!DT62</f>
        <v>153</v>
      </c>
      <c r="DW29" s="58">
        <f>SUM(Expense!DU36,Expense!DU46)+Expense!DU54+Expense!DU62</f>
        <v>155</v>
      </c>
      <c r="DX29" s="58">
        <f>SUM(Expense!DV36,Expense!DV46)+Expense!DV54+Expense!DV62</f>
        <v>155</v>
      </c>
      <c r="DY29" s="58">
        <f>SUM(Expense!DW36,Expense!DW46)+Expense!DW54+Expense!DW62</f>
        <v>147</v>
      </c>
      <c r="DZ29" s="58">
        <f t="shared" si="106"/>
        <v>610</v>
      </c>
      <c r="EB29" s="57" t="s">
        <v>188</v>
      </c>
      <c r="EC29" s="58">
        <f>SUM(Expense!EA36,Expense!EA46)+Expense!EA54</f>
        <v>150</v>
      </c>
      <c r="ED29" s="58">
        <f>SUM(Expense!EB36,Expense!EB46)+Expense!EB54</f>
        <v>150</v>
      </c>
      <c r="EE29" s="58">
        <f>SUM(Expense!EC36,Expense!EC46)+Expense!EC54</f>
        <v>149</v>
      </c>
      <c r="EF29" s="58">
        <f>SUM(Expense!ED36,Expense!ED46)+Expense!ED54</f>
        <v>149</v>
      </c>
      <c r="EG29" s="58">
        <f t="shared" si="107"/>
        <v>598</v>
      </c>
      <c r="EI29" s="57" t="s">
        <v>188</v>
      </c>
      <c r="EJ29" s="58">
        <f>SUM(Expense!EH36,Expense!EH46)+Expense!EH54</f>
        <v>164</v>
      </c>
      <c r="EK29" s="58">
        <f>SUM(Expense!EI36,Expense!EI46)+Expense!EI54</f>
        <v>156</v>
      </c>
      <c r="EL29" s="58">
        <f>SUM(Expense!EJ36,Expense!EJ46)+Expense!EJ54</f>
        <v>155</v>
      </c>
      <c r="EM29" s="58">
        <f>SUM(Expense!EK36,Expense!EK46)+Expense!EK54</f>
        <v>125</v>
      </c>
      <c r="EN29" s="58">
        <f t="shared" si="108"/>
        <v>600</v>
      </c>
      <c r="EP29" s="57" t="s">
        <v>188</v>
      </c>
      <c r="EQ29" s="58">
        <f>SUM(Expense!EO36,Expense!EO46)+Expense!EO54</f>
        <v>138</v>
      </c>
      <c r="ER29" s="58">
        <f>SUM(Expense!EP36,Expense!EP46)+Expense!EP54</f>
        <v>140</v>
      </c>
      <c r="ES29" s="58">
        <f>SUM(Expense!EQ36,Expense!EQ46)+Expense!EQ54</f>
        <v>148</v>
      </c>
      <c r="ET29" s="58">
        <f>SUM(Expense!ER36,Expense!ER46)+Expense!ER54</f>
        <v>146</v>
      </c>
      <c r="EU29" s="58">
        <f t="shared" si="109"/>
        <v>572</v>
      </c>
      <c r="EW29" s="57" t="s">
        <v>188</v>
      </c>
      <c r="EX29" s="58">
        <f>SUM(Expense!EV36,Expense!EV46)+Expense!EV54</f>
        <v>155</v>
      </c>
      <c r="EY29" s="58">
        <f>SUM(Expense!EW36,Expense!EW46)+Expense!EW54</f>
        <v>153</v>
      </c>
      <c r="EZ29" s="58">
        <f>SUM(Expense!EX36,Expense!EX46)+Expense!EX54</f>
        <v>154</v>
      </c>
      <c r="FA29" s="58">
        <f>SUM(Expense!EY36,Expense!EY46)+Expense!EY54</f>
        <v>151</v>
      </c>
      <c r="FB29" s="58">
        <f t="shared" si="110"/>
        <v>613</v>
      </c>
      <c r="FD29" s="57" t="s">
        <v>188</v>
      </c>
      <c r="FE29" s="58">
        <f>SUM(Expense!FC36,Expense!FC46)+Expense!FC54</f>
        <v>151</v>
      </c>
      <c r="FF29" s="58">
        <f>SUM(Expense!FD36,Expense!FD46)+Expense!FD54</f>
        <v>153</v>
      </c>
      <c r="FG29" s="58">
        <f>SUM(Expense!FE36,Expense!FE46)+Expense!FE54</f>
        <v>161</v>
      </c>
      <c r="FH29" s="58">
        <f>SUM(Expense!FF36,Expense!FF46)+Expense!FF54</f>
        <v>166</v>
      </c>
      <c r="FI29" s="58">
        <f t="shared" si="111"/>
        <v>631</v>
      </c>
      <c r="FK29" s="57" t="s">
        <v>188</v>
      </c>
      <c r="FL29" s="58">
        <f>SUM(Expense!FJ36,Expense!FJ46)</f>
        <v>153</v>
      </c>
      <c r="FM29" s="58">
        <f>SUM(Expense!FK36,Expense!FK46)</f>
        <v>156</v>
      </c>
      <c r="FN29" s="58">
        <f>SUM(Expense!FL36,Expense!FL46)</f>
        <v>152</v>
      </c>
      <c r="FO29" s="58">
        <f>SUM(Expense!FM36,Expense!FM46)</f>
        <v>150</v>
      </c>
      <c r="FP29" s="58">
        <f t="shared" si="112"/>
        <v>611</v>
      </c>
      <c r="FR29" s="57" t="s">
        <v>188</v>
      </c>
      <c r="FS29" s="58">
        <f>SUM(Expense!FQ36,Expense!FQ46)</f>
        <v>160</v>
      </c>
      <c r="FT29" s="58">
        <f>SUM(Expense!FR36,Expense!FR46)</f>
        <v>157</v>
      </c>
      <c r="FU29" s="58">
        <f>SUM(Expense!FS36,Expense!FS46)</f>
        <v>170</v>
      </c>
      <c r="FV29" s="58">
        <f>SUM(Expense!FT36,Expense!FT46)</f>
        <v>215</v>
      </c>
      <c r="FW29" s="58">
        <f t="shared" si="113"/>
        <v>702</v>
      </c>
      <c r="FY29" s="57" t="s">
        <v>188</v>
      </c>
      <c r="FZ29" s="58">
        <f>SUM(Expense!FX36,Expense!FX46)</f>
        <v>203</v>
      </c>
      <c r="GA29" s="58">
        <f>SUM(Expense!FY36,Expense!FY46)</f>
        <v>203</v>
      </c>
      <c r="GB29" s="58">
        <f>SUM(Expense!FZ36,Expense!FZ46)</f>
        <v>204</v>
      </c>
      <c r="GC29" s="58">
        <f>SUM(Expense!GA36,Expense!GA46)</f>
        <v>208</v>
      </c>
      <c r="GD29" s="58">
        <f t="shared" si="114"/>
        <v>818</v>
      </c>
      <c r="GF29" s="57" t="s">
        <v>188</v>
      </c>
      <c r="GG29" s="58">
        <f>SUM(Expense!GE36,Expense!GE46)</f>
        <v>211</v>
      </c>
      <c r="GH29" s="58">
        <f>SUM(Expense!GF36,Expense!GF46)</f>
        <v>216</v>
      </c>
      <c r="GI29" s="58">
        <f>SUM(Expense!GG36,Expense!GG46)</f>
        <v>213</v>
      </c>
      <c r="GJ29" s="58">
        <f>SUM(Expense!GH36,Expense!GH46)</f>
        <v>216</v>
      </c>
      <c r="GK29" s="58">
        <f t="shared" si="115"/>
        <v>856</v>
      </c>
      <c r="GM29" s="57" t="s">
        <v>188</v>
      </c>
      <c r="GN29" s="58">
        <f>SUM(Expense!GL36,Expense!GL46)</f>
        <v>221</v>
      </c>
      <c r="GO29" s="58">
        <f>SUM(Expense!GM36,Expense!GM46)</f>
        <v>222</v>
      </c>
      <c r="GP29" s="58">
        <f>SUM(Expense!GN36,Expense!GN46)</f>
        <v>220</v>
      </c>
      <c r="GQ29" s="58">
        <f>SUM(Expense!GO36,Expense!GO46)</f>
        <v>220</v>
      </c>
      <c r="GR29" s="58">
        <f t="shared" si="116"/>
        <v>883</v>
      </c>
      <c r="GT29" s="57" t="s">
        <v>188</v>
      </c>
      <c r="GU29" s="58">
        <f>SUM(Expense!GS36,Expense!GS46)</f>
        <v>222</v>
      </c>
      <c r="GV29" s="58">
        <f>SUM(Expense!GT36,Expense!GT46)</f>
        <v>227</v>
      </c>
      <c r="GW29" s="58">
        <f>SUM(Expense!GU36,Expense!GU46)</f>
        <v>227</v>
      </c>
      <c r="GX29" s="58">
        <f>SUM(Expense!GV36,Expense!GV46)</f>
        <v>228</v>
      </c>
      <c r="GY29" s="58">
        <f t="shared" si="117"/>
        <v>904</v>
      </c>
      <c r="HA29" s="57" t="s">
        <v>188</v>
      </c>
      <c r="HB29" s="58">
        <v>224</v>
      </c>
      <c r="HC29" s="58">
        <v>227</v>
      </c>
      <c r="HD29" s="58">
        <v>227</v>
      </c>
      <c r="HE29" s="58">
        <v>227</v>
      </c>
      <c r="HF29" s="58">
        <f t="shared" si="118"/>
        <v>905</v>
      </c>
      <c r="HH29" s="57" t="s">
        <v>188</v>
      </c>
      <c r="HI29" s="58">
        <v>228</v>
      </c>
      <c r="HJ29" s="58">
        <v>230</v>
      </c>
      <c r="HK29" s="58">
        <v>232</v>
      </c>
      <c r="HL29" s="58">
        <v>257</v>
      </c>
      <c r="HM29" s="58">
        <f t="shared" si="119"/>
        <v>947</v>
      </c>
      <c r="HO29" s="57" t="s">
        <v>188</v>
      </c>
      <c r="HP29" s="58">
        <v>243</v>
      </c>
      <c r="HQ29" s="58">
        <v>246</v>
      </c>
      <c r="HR29" s="58">
        <v>251</v>
      </c>
      <c r="HS29" s="58">
        <v>236</v>
      </c>
      <c r="HT29" s="58">
        <f t="shared" si="120"/>
        <v>976</v>
      </c>
      <c r="HV29" s="57" t="s">
        <v>188</v>
      </c>
      <c r="HW29" s="58">
        <v>257</v>
      </c>
      <c r="HX29" s="58">
        <v>263</v>
      </c>
      <c r="HY29" s="58">
        <v>268</v>
      </c>
      <c r="HZ29" s="58">
        <v>271</v>
      </c>
      <c r="IA29" s="58">
        <f t="shared" si="121"/>
        <v>1059</v>
      </c>
      <c r="IC29" s="57" t="s">
        <v>188</v>
      </c>
      <c r="ID29" s="58">
        <v>270</v>
      </c>
      <c r="IE29" s="58">
        <v>276</v>
      </c>
      <c r="IF29" s="58">
        <v>277</v>
      </c>
      <c r="IG29" s="58">
        <v>281</v>
      </c>
      <c r="IH29" s="58">
        <f t="shared" si="122"/>
        <v>1104</v>
      </c>
      <c r="IJ29" s="57" t="s">
        <v>188</v>
      </c>
      <c r="IK29" s="58">
        <v>283</v>
      </c>
      <c r="IL29" s="58">
        <v>287</v>
      </c>
      <c r="IM29" s="58">
        <v>291</v>
      </c>
      <c r="IN29" s="58">
        <v>290</v>
      </c>
      <c r="IO29" s="58">
        <f t="shared" si="123"/>
        <v>1151</v>
      </c>
      <c r="IQ29" s="57" t="s">
        <v>188</v>
      </c>
      <c r="IR29" s="58">
        <v>295</v>
      </c>
      <c r="IS29" s="58">
        <v>299</v>
      </c>
      <c r="IT29" s="58">
        <v>302</v>
      </c>
      <c r="IU29" s="58">
        <v>312</v>
      </c>
      <c r="IV29" s="58">
        <f t="shared" si="124"/>
        <v>1208</v>
      </c>
      <c r="IX29" s="57" t="s">
        <v>188</v>
      </c>
      <c r="IY29" s="58">
        <v>313</v>
      </c>
      <c r="IZ29" s="58">
        <v>319</v>
      </c>
      <c r="JA29" s="58">
        <v>321</v>
      </c>
      <c r="JB29" s="58">
        <v>348</v>
      </c>
      <c r="JC29" s="58">
        <f t="shared" si="125"/>
        <v>1301</v>
      </c>
      <c r="JE29" s="57" t="s">
        <v>188</v>
      </c>
      <c r="JF29" s="58">
        <v>320</v>
      </c>
      <c r="JG29" s="58">
        <v>327</v>
      </c>
      <c r="JH29" s="58">
        <v>331</v>
      </c>
      <c r="JI29" s="58">
        <v>337</v>
      </c>
      <c r="JJ29" s="58">
        <f t="shared" si="126"/>
        <v>1315</v>
      </c>
      <c r="JL29" s="57" t="s">
        <v>188</v>
      </c>
      <c r="JM29" s="58">
        <v>323</v>
      </c>
      <c r="JN29" s="58">
        <v>329</v>
      </c>
      <c r="JO29" s="58">
        <v>334</v>
      </c>
      <c r="JP29" s="58">
        <v>345</v>
      </c>
      <c r="JQ29" s="58">
        <f t="shared" si="127"/>
        <v>1331</v>
      </c>
      <c r="JS29" s="57" t="s">
        <v>188</v>
      </c>
      <c r="JT29" s="58">
        <v>330</v>
      </c>
      <c r="JU29" s="58">
        <v>337</v>
      </c>
      <c r="JV29" s="58">
        <v>338</v>
      </c>
      <c r="JW29" s="58">
        <v>344</v>
      </c>
      <c r="JX29" s="58">
        <f t="shared" si="128"/>
        <v>1349</v>
      </c>
      <c r="JZ29" s="57" t="s">
        <v>188</v>
      </c>
      <c r="KA29" s="58">
        <v>344</v>
      </c>
      <c r="KB29" s="58">
        <v>344</v>
      </c>
      <c r="KC29" s="58">
        <v>348</v>
      </c>
      <c r="KD29" s="58">
        <v>347</v>
      </c>
      <c r="KE29" s="58">
        <f t="shared" si="129"/>
        <v>1383</v>
      </c>
      <c r="KG29" s="57" t="s">
        <v>188</v>
      </c>
      <c r="KH29" s="58">
        <v>345</v>
      </c>
      <c r="KI29" s="58">
        <v>348</v>
      </c>
      <c r="KJ29" s="58">
        <v>367</v>
      </c>
      <c r="KK29" s="58">
        <v>360</v>
      </c>
      <c r="KL29" s="58">
        <f t="shared" si="130"/>
        <v>1420</v>
      </c>
      <c r="KN29" s="57" t="s">
        <v>188</v>
      </c>
      <c r="KO29" s="58">
        <v>360</v>
      </c>
      <c r="KP29" s="58">
        <v>369</v>
      </c>
      <c r="KQ29" s="58">
        <v>378</v>
      </c>
      <c r="KR29" s="58">
        <v>393</v>
      </c>
      <c r="KS29" s="58">
        <f t="shared" si="131"/>
        <v>1500</v>
      </c>
      <c r="KU29" s="57" t="s">
        <v>188</v>
      </c>
      <c r="KV29" s="58">
        <v>393</v>
      </c>
      <c r="KW29" s="58">
        <f>402+2</f>
        <v>404</v>
      </c>
      <c r="KX29" s="58">
        <v>403</v>
      </c>
      <c r="KY29" s="58">
        <v>417</v>
      </c>
      <c r="KZ29" s="58">
        <f t="shared" si="132"/>
        <v>1617</v>
      </c>
      <c r="LB29" s="57" t="s">
        <v>188</v>
      </c>
      <c r="LC29" s="58">
        <f>Expense!LA9</f>
        <v>410</v>
      </c>
      <c r="LD29" s="127">
        <f>Expense!LB9</f>
        <v>410</v>
      </c>
      <c r="LE29" s="127">
        <f>Expense!LC9</f>
        <v>416</v>
      </c>
      <c r="LF29" s="127">
        <f>Expense!LD9</f>
        <v>422</v>
      </c>
      <c r="LG29" s="127">
        <f>Expense!LE9</f>
        <v>1658</v>
      </c>
      <c r="LH29" s="558"/>
      <c r="LI29" s="57" t="s">
        <v>188</v>
      </c>
      <c r="LJ29" s="127">
        <f>Expense!LH9</f>
        <v>425</v>
      </c>
      <c r="LK29" s="127">
        <f>Expense!LI9</f>
        <v>427</v>
      </c>
      <c r="LL29" s="127">
        <f>Expense!LJ9</f>
        <v>424</v>
      </c>
      <c r="LM29" s="127">
        <f>Expense!LK9</f>
        <v>404</v>
      </c>
      <c r="LN29" s="127">
        <f>Expense!LL9</f>
        <v>1680</v>
      </c>
      <c r="LO29" s="558"/>
      <c r="LP29" s="57" t="s">
        <v>188</v>
      </c>
      <c r="LQ29" s="127">
        <f>Expense!LO9</f>
        <v>419</v>
      </c>
      <c r="LR29" s="127">
        <f>Expense!LP9</f>
        <v>420</v>
      </c>
      <c r="LS29" s="127">
        <f>Expense!LQ9</f>
        <v>421</v>
      </c>
      <c r="LT29" s="127">
        <f>Expense!LR9</f>
        <v>422</v>
      </c>
      <c r="LU29" s="127">
        <f>Expense!LS9</f>
        <v>1682</v>
      </c>
      <c r="LV29" s="558"/>
      <c r="LW29" s="57" t="s">
        <v>188</v>
      </c>
      <c r="LX29" s="127">
        <f>Expense!LV9</f>
        <v>427</v>
      </c>
      <c r="LY29" s="127">
        <f>Expense!LW9</f>
        <v>430</v>
      </c>
      <c r="LZ29" s="127">
        <f>Expense!LX9</f>
        <v>433</v>
      </c>
      <c r="MA29" s="127">
        <f>Expense!LY9</f>
        <v>436</v>
      </c>
      <c r="MB29" s="127">
        <f>Expense!LZ9</f>
        <v>1726</v>
      </c>
      <c r="MC29" s="558"/>
      <c r="MD29" s="57" t="s">
        <v>188</v>
      </c>
      <c r="ME29" s="127">
        <f>Expense!MC9</f>
        <v>441</v>
      </c>
      <c r="MF29" s="127">
        <f>Expense!MD9</f>
        <v>444</v>
      </c>
      <c r="MG29" s="127">
        <f>Expense!ME9</f>
        <v>447</v>
      </c>
      <c r="MH29" s="127">
        <f>Expense!MF9</f>
        <v>450</v>
      </c>
      <c r="MI29" s="127">
        <f>Expense!MG9</f>
        <v>1782</v>
      </c>
      <c r="MJ29" s="558"/>
    </row>
    <row r="30" spans="1:349" x14ac:dyDescent="0.4">
      <c r="A30" s="48"/>
      <c r="B30" s="57" t="s">
        <v>23</v>
      </c>
      <c r="C30" s="58">
        <f>SUM(Expense!C37,Expense!C47)+Expense!C55+Expense!C63</f>
        <v>228.691</v>
      </c>
      <c r="D30" s="58">
        <f>SUM(Expense!D37,Expense!D47)+Expense!D55+Expense!D63</f>
        <v>334</v>
      </c>
      <c r="E30" s="58">
        <f>SUM(Expense!E37,Expense!E47)+Expense!E55+Expense!E63</f>
        <v>462.2</v>
      </c>
      <c r="F30" s="58">
        <f>SUM(Expense!F37,Expense!F47)+Expense!F55+Expense!F63</f>
        <v>554.9</v>
      </c>
      <c r="G30" s="58">
        <f>SUM(Expense!G37,Expense!G47)+Expense!G55+Expense!G63</f>
        <v>446</v>
      </c>
      <c r="H30" s="58">
        <f>SUM(Expense!H37,Expense!H47)+Expense!H55+Expense!H63</f>
        <v>392</v>
      </c>
      <c r="I30" s="58">
        <f>SUM(Expense!I37,Expense!I47)+Expense!I55+Expense!I63</f>
        <v>447</v>
      </c>
      <c r="J30" s="58">
        <f>SUM(Expense!J37,Expense!J47)+Expense!J55+Expense!J63</f>
        <v>405</v>
      </c>
      <c r="K30" s="58">
        <f>SUM(Expense!K37,Expense!K47)+Expense!K55+Expense!K63</f>
        <v>249</v>
      </c>
      <c r="L30" s="58">
        <f>SUM(Expense!L37,Expense!L47)+Expense!L55+Expense!L63</f>
        <v>377</v>
      </c>
      <c r="M30" s="58">
        <f>SUM(Expense!M37,Expense!M47)+Expense!M55+Expense!M63</f>
        <v>351</v>
      </c>
      <c r="N30" s="58">
        <f t="shared" si="58"/>
        <v>368</v>
      </c>
      <c r="O30" s="58">
        <f t="shared" si="59"/>
        <v>421</v>
      </c>
      <c r="P30" s="58">
        <f t="shared" si="60"/>
        <v>444</v>
      </c>
      <c r="Q30" s="58">
        <f t="shared" si="61"/>
        <v>398</v>
      </c>
      <c r="R30" s="58">
        <f t="shared" si="62"/>
        <v>377</v>
      </c>
      <c r="S30" s="58">
        <f t="shared" si="63"/>
        <v>384</v>
      </c>
      <c r="T30" s="58">
        <f t="shared" si="64"/>
        <v>435</v>
      </c>
      <c r="U30" s="58">
        <f t="shared" si="65"/>
        <v>561</v>
      </c>
      <c r="V30" s="58">
        <f t="shared" si="66"/>
        <v>554</v>
      </c>
      <c r="W30" s="58">
        <f t="shared" si="67"/>
        <v>393</v>
      </c>
      <c r="X30" s="58">
        <f t="shared" si="68"/>
        <v>472</v>
      </c>
      <c r="Y30" s="58">
        <f t="shared" si="69"/>
        <v>650</v>
      </c>
      <c r="Z30" s="58">
        <f t="shared" si="70"/>
        <v>585</v>
      </c>
      <c r="AA30" s="58">
        <f t="shared" si="71"/>
        <v>515</v>
      </c>
      <c r="AB30" s="58">
        <f t="shared" si="72"/>
        <v>566</v>
      </c>
      <c r="AC30" s="58">
        <f t="shared" si="73"/>
        <v>656</v>
      </c>
      <c r="AD30" s="58">
        <f t="shared" si="74"/>
        <v>783</v>
      </c>
      <c r="AE30" s="58">
        <f t="shared" si="75"/>
        <v>1112</v>
      </c>
      <c r="AF30" s="58">
        <f t="shared" si="76"/>
        <v>1312</v>
      </c>
      <c r="AG30" s="58">
        <f t="shared" si="77"/>
        <v>1817</v>
      </c>
      <c r="AH30" s="58">
        <f t="shared" si="78"/>
        <v>849</v>
      </c>
      <c r="AI30" s="58">
        <f t="shared" si="79"/>
        <v>1212</v>
      </c>
      <c r="AJ30" s="58">
        <f t="shared" si="80"/>
        <v>1668</v>
      </c>
      <c r="AK30" s="58">
        <f t="shared" si="81"/>
        <v>1672</v>
      </c>
      <c r="AL30" s="58">
        <f t="shared" si="82"/>
        <v>1656</v>
      </c>
      <c r="AM30" s="58">
        <f t="shared" si="83"/>
        <v>1616</v>
      </c>
      <c r="AN30" s="58">
        <f t="shared" si="84"/>
        <v>957</v>
      </c>
      <c r="AO30" s="58">
        <f t="shared" si="85"/>
        <v>713</v>
      </c>
      <c r="AP30" s="58">
        <f t="shared" si="86"/>
        <v>864</v>
      </c>
      <c r="AQ30" s="58">
        <f t="shared" si="87"/>
        <v>1046</v>
      </c>
      <c r="AR30" s="58">
        <f t="shared" si="88"/>
        <v>906</v>
      </c>
      <c r="AS30" s="58">
        <f t="shared" si="89"/>
        <v>541</v>
      </c>
      <c r="AT30" s="58">
        <f t="shared" si="90"/>
        <v>913</v>
      </c>
      <c r="AU30" s="58">
        <f t="shared" si="91"/>
        <v>1626</v>
      </c>
      <c r="AV30" s="58">
        <f t="shared" si="92"/>
        <v>1377</v>
      </c>
      <c r="AW30" s="58">
        <f t="shared" si="93"/>
        <v>1168</v>
      </c>
      <c r="AX30" s="58">
        <f t="shared" si="94"/>
        <v>1095</v>
      </c>
      <c r="AY30" s="58">
        <f t="shared" si="95"/>
        <v>1058.6545755415689</v>
      </c>
      <c r="AZ30" s="58">
        <f t="shared" si="96"/>
        <v>1078.9382059201002</v>
      </c>
      <c r="BA30" s="58">
        <f t="shared" si="97"/>
        <v>1102.4666254103731</v>
      </c>
      <c r="BB30" s="58"/>
      <c r="BC30" s="58"/>
      <c r="BD30" s="58"/>
      <c r="BE30" s="58"/>
      <c r="BF30" s="58"/>
      <c r="BG30" s="58"/>
      <c r="BH30" s="58"/>
      <c r="BI30" s="58"/>
      <c r="BJ30" s="58"/>
      <c r="BK30" s="58"/>
      <c r="BL30" s="58"/>
      <c r="BM30" s="58"/>
      <c r="BN30" s="58"/>
      <c r="BO30" s="58"/>
      <c r="BQ30" s="57" t="s">
        <v>23</v>
      </c>
      <c r="BR30" s="58">
        <f>SUM(Expense!BP37,Expense!BP47)+Expense!BP55+Expense!BP63</f>
        <v>89</v>
      </c>
      <c r="BS30" s="58">
        <f>SUM(Expense!BQ37,Expense!BQ47)+Expense!BQ55+Expense!BQ63</f>
        <v>92</v>
      </c>
      <c r="BT30" s="58">
        <f>SUM(Expense!BR37,Expense!BR47)+Expense!BR55+Expense!BR63</f>
        <v>83</v>
      </c>
      <c r="BU30" s="58">
        <f>SUM(Expense!BS37,Expense!BS47)+Expense!BS55+Expense!BS63</f>
        <v>104</v>
      </c>
      <c r="BV30" s="58">
        <f t="shared" si="98"/>
        <v>368</v>
      </c>
      <c r="BX30" s="57" t="s">
        <v>23</v>
      </c>
      <c r="BY30" s="58">
        <f>SUM(Expense!BW37,Expense!BW47)+Expense!BW55+Expense!BW63</f>
        <v>111</v>
      </c>
      <c r="BZ30" s="58">
        <f>SUM(Expense!BX37,Expense!BX47)+Expense!BX55+Expense!BX63</f>
        <v>94</v>
      </c>
      <c r="CA30" s="58">
        <f>SUM(Expense!BY37,Expense!BY47)+Expense!BY55+Expense!BY63</f>
        <v>94</v>
      </c>
      <c r="CB30" s="58">
        <f>SUM(Expense!BZ37,Expense!BZ47)+Expense!BZ55+Expense!BZ63</f>
        <v>122</v>
      </c>
      <c r="CC30" s="58">
        <f t="shared" si="99"/>
        <v>421</v>
      </c>
      <c r="CE30" s="57" t="s">
        <v>23</v>
      </c>
      <c r="CF30" s="58">
        <f>SUM(Expense!CD37,Expense!CD47)+Expense!CD55+Expense!CD63</f>
        <v>131</v>
      </c>
      <c r="CG30" s="58">
        <f>SUM(Expense!CE37,Expense!CE47)+Expense!CE55+Expense!CE63</f>
        <v>96</v>
      </c>
      <c r="CH30" s="58">
        <f>SUM(Expense!CF37,Expense!CF47)+Expense!CF55+Expense!CF63</f>
        <v>98</v>
      </c>
      <c r="CI30" s="58">
        <f>SUM(Expense!CG37,Expense!CG47)+Expense!CG55+Expense!CG63</f>
        <v>119</v>
      </c>
      <c r="CJ30" s="58">
        <f t="shared" si="100"/>
        <v>444</v>
      </c>
      <c r="CL30" s="57" t="s">
        <v>23</v>
      </c>
      <c r="CM30" s="58">
        <f>SUM(Expense!CK37,Expense!CK47)+Expense!CK55+Expense!CK63</f>
        <v>93</v>
      </c>
      <c r="CN30" s="58">
        <f>SUM(Expense!CL37,Expense!CL47)+Expense!CL55+Expense!CL63</f>
        <v>93</v>
      </c>
      <c r="CO30" s="58">
        <f>SUM(Expense!CM37,Expense!CM47)+Expense!CM55+Expense!CM63</f>
        <v>99</v>
      </c>
      <c r="CP30" s="58">
        <f>SUM(Expense!CN37,Expense!CN47)+Expense!CN55+Expense!CN63</f>
        <v>113</v>
      </c>
      <c r="CQ30" s="58">
        <f t="shared" si="101"/>
        <v>398</v>
      </c>
      <c r="CS30" s="57" t="s">
        <v>23</v>
      </c>
      <c r="CT30" s="58">
        <f>SUM(Expense!CR37,Expense!CR47)+Expense!CR55+Expense!CR63</f>
        <v>100</v>
      </c>
      <c r="CU30" s="58">
        <f>SUM(Expense!CS37,Expense!CS47)+Expense!CS55+Expense!CS63</f>
        <v>98</v>
      </c>
      <c r="CV30" s="58">
        <f>SUM(Expense!CT37,Expense!CT47)+Expense!CT55+Expense!CT63</f>
        <v>82</v>
      </c>
      <c r="CW30" s="58">
        <f>SUM(Expense!CU37,Expense!CU47)+Expense!CU55+Expense!CU63</f>
        <v>97</v>
      </c>
      <c r="CX30" s="58">
        <f t="shared" si="102"/>
        <v>377</v>
      </c>
      <c r="CZ30" s="57" t="s">
        <v>23</v>
      </c>
      <c r="DA30" s="58">
        <f>SUM(Expense!CY37,Expense!CY47)+Expense!CY55+Expense!CY63</f>
        <v>92</v>
      </c>
      <c r="DB30" s="58">
        <f>SUM(Expense!CZ37,Expense!CZ47)+Expense!CZ55+Expense!CZ63</f>
        <v>91</v>
      </c>
      <c r="DC30" s="58">
        <f>SUM(Expense!DA37,Expense!DA47)+Expense!DA55+Expense!DA63</f>
        <v>98</v>
      </c>
      <c r="DD30" s="58">
        <f>SUM(Expense!DB37,Expense!DB47)+Expense!DB55+Expense!DB63</f>
        <v>103</v>
      </c>
      <c r="DE30" s="58">
        <f t="shared" si="103"/>
        <v>384</v>
      </c>
      <c r="DG30" s="57" t="s">
        <v>23</v>
      </c>
      <c r="DH30" s="58">
        <f>SUM(Expense!DF37,Expense!DF47)+Expense!DF55+Expense!DF63</f>
        <v>108</v>
      </c>
      <c r="DI30" s="58">
        <f>SUM(Expense!DG37,Expense!DG47)+Expense!DG55+Expense!DG63</f>
        <v>110</v>
      </c>
      <c r="DJ30" s="58">
        <f>SUM(Expense!DH37,Expense!DH47)+Expense!DH55+Expense!DH63</f>
        <v>106</v>
      </c>
      <c r="DK30" s="58">
        <f>SUM(Expense!DI37,Expense!DI47)+Expense!DI55+Expense!DI63</f>
        <v>111</v>
      </c>
      <c r="DL30" s="58">
        <f t="shared" si="104"/>
        <v>435</v>
      </c>
      <c r="DN30" s="57" t="s">
        <v>23</v>
      </c>
      <c r="DO30" s="58">
        <f>SUM(Expense!DM37,Expense!DM47)+Expense!DM55+Expense!DM63</f>
        <v>132</v>
      </c>
      <c r="DP30" s="58">
        <f>SUM(Expense!DN37,Expense!DN47)+Expense!DN55+Expense!DN63</f>
        <v>139</v>
      </c>
      <c r="DQ30" s="58">
        <f>SUM(Expense!DO37,Expense!DO47)+Expense!DO55+Expense!DO63</f>
        <v>125</v>
      </c>
      <c r="DR30" s="58">
        <f>SUM(Expense!DP37,Expense!DP47)+Expense!DP55+Expense!DP63</f>
        <v>165</v>
      </c>
      <c r="DS30" s="58">
        <f t="shared" si="105"/>
        <v>561</v>
      </c>
      <c r="DU30" s="57" t="s">
        <v>23</v>
      </c>
      <c r="DV30" s="58">
        <f>SUM(Expense!DT37,Expense!DT47)+Expense!DT55+Expense!DT63</f>
        <v>153</v>
      </c>
      <c r="DW30" s="58">
        <f>SUM(Expense!DU37,Expense!DU47)+Expense!DU55+Expense!DU63</f>
        <v>131</v>
      </c>
      <c r="DX30" s="58">
        <f>SUM(Expense!DV37,Expense!DV47)+Expense!DV55+Expense!DV63</f>
        <v>126</v>
      </c>
      <c r="DY30" s="58">
        <f>SUM(Expense!DW37,Expense!DW47)+Expense!DW55+Expense!DW63</f>
        <v>144</v>
      </c>
      <c r="DZ30" s="58">
        <f t="shared" si="106"/>
        <v>554</v>
      </c>
      <c r="EB30" s="57" t="s">
        <v>23</v>
      </c>
      <c r="EC30" s="58">
        <f>SUM(Expense!EA37,Expense!EA47)+Expense!EA55</f>
        <v>109</v>
      </c>
      <c r="ED30" s="58">
        <f>SUM(Expense!EB37,Expense!EB47)+Expense!EB55</f>
        <v>97</v>
      </c>
      <c r="EE30" s="58">
        <f>SUM(Expense!EC37,Expense!EC47)+Expense!EC55</f>
        <v>89</v>
      </c>
      <c r="EF30" s="58">
        <f>SUM(Expense!ED37,Expense!ED47)+Expense!ED55</f>
        <v>98</v>
      </c>
      <c r="EG30" s="58">
        <f t="shared" si="107"/>
        <v>393</v>
      </c>
      <c r="EI30" s="57" t="s">
        <v>23</v>
      </c>
      <c r="EJ30" s="58">
        <f>SUM(Expense!EH37,Expense!EH47)+Expense!EH55</f>
        <v>83</v>
      </c>
      <c r="EK30" s="58">
        <f>SUM(Expense!EI37,Expense!EI47)+Expense!EI55</f>
        <v>98</v>
      </c>
      <c r="EL30" s="58">
        <f>SUM(Expense!EJ37,Expense!EJ47)+Expense!EJ55</f>
        <v>127</v>
      </c>
      <c r="EM30" s="58">
        <f>SUM(Expense!EK37,Expense!EK47)+Expense!EK55</f>
        <v>164</v>
      </c>
      <c r="EN30" s="58">
        <f t="shared" si="108"/>
        <v>472</v>
      </c>
      <c r="EP30" s="57" t="s">
        <v>23</v>
      </c>
      <c r="EQ30" s="58">
        <f>SUM(Expense!EO37,Expense!EO47)+Expense!EO55</f>
        <v>156</v>
      </c>
      <c r="ER30" s="58">
        <f>SUM(Expense!EP37,Expense!EP47)+Expense!EP55</f>
        <v>151</v>
      </c>
      <c r="ES30" s="58">
        <f>SUM(Expense!EQ37,Expense!EQ47)+Expense!EQ55</f>
        <v>156</v>
      </c>
      <c r="ET30" s="58">
        <f>SUM(Expense!ER37,Expense!ER47)+Expense!ER55</f>
        <v>187</v>
      </c>
      <c r="EU30" s="58">
        <f t="shared" si="109"/>
        <v>650</v>
      </c>
      <c r="EW30" s="57" t="s">
        <v>23</v>
      </c>
      <c r="EX30" s="58">
        <f>SUM(Expense!EV37,Expense!EV47)+Expense!EV55</f>
        <v>170</v>
      </c>
      <c r="EY30" s="58">
        <f>SUM(Expense!EW37,Expense!EW47)+Expense!EW55</f>
        <v>146</v>
      </c>
      <c r="EZ30" s="58">
        <f>SUM(Expense!EX37,Expense!EX47)+Expense!EX55</f>
        <v>138</v>
      </c>
      <c r="FA30" s="58">
        <f>SUM(Expense!EY37,Expense!EY47)+Expense!EY55</f>
        <v>131</v>
      </c>
      <c r="FB30" s="58">
        <f t="shared" si="110"/>
        <v>585</v>
      </c>
      <c r="FD30" s="57" t="s">
        <v>23</v>
      </c>
      <c r="FE30" s="58">
        <f>SUM(Expense!FC37,Expense!FC47)+Expense!FC55</f>
        <v>116</v>
      </c>
      <c r="FF30" s="58">
        <f>SUM(Expense!FD37,Expense!FD47)+Expense!FD55</f>
        <v>128</v>
      </c>
      <c r="FG30" s="58">
        <f>SUM(Expense!FE37,Expense!FE47)+Expense!FE55</f>
        <v>128</v>
      </c>
      <c r="FH30" s="58">
        <f>SUM(Expense!FF37,Expense!FF47)+Expense!FF55</f>
        <v>143</v>
      </c>
      <c r="FI30" s="58">
        <f t="shared" si="111"/>
        <v>515</v>
      </c>
      <c r="FK30" s="57" t="s">
        <v>23</v>
      </c>
      <c r="FL30" s="58">
        <f>SUM(Expense!FJ37,Expense!FJ47)</f>
        <v>158</v>
      </c>
      <c r="FM30" s="58">
        <f>SUM(Expense!FK37,Expense!FK47)</f>
        <v>136</v>
      </c>
      <c r="FN30" s="58">
        <f>SUM(Expense!FL37,Expense!FL47)</f>
        <v>132</v>
      </c>
      <c r="FO30" s="58">
        <f>SUM(Expense!FM37,Expense!FM47)</f>
        <v>140</v>
      </c>
      <c r="FP30" s="58">
        <f t="shared" si="112"/>
        <v>566</v>
      </c>
      <c r="FR30" s="57" t="s">
        <v>23</v>
      </c>
      <c r="FS30" s="58">
        <f>SUM(Expense!FQ37,Expense!FQ47)</f>
        <v>154</v>
      </c>
      <c r="FT30" s="58">
        <f>SUM(Expense!FR37,Expense!FR47)</f>
        <v>151</v>
      </c>
      <c r="FU30" s="58">
        <f>SUM(Expense!FS37,Expense!FS47)</f>
        <v>162</v>
      </c>
      <c r="FV30" s="58">
        <f>SUM(Expense!FT37,Expense!FT47)</f>
        <v>189</v>
      </c>
      <c r="FW30" s="58">
        <f t="shared" si="113"/>
        <v>656</v>
      </c>
      <c r="FY30" s="57" t="s">
        <v>23</v>
      </c>
      <c r="FZ30" s="58">
        <f>SUM(Expense!FX37,Expense!FX47)</f>
        <v>179</v>
      </c>
      <c r="GA30" s="58">
        <f>SUM(Expense!FY37,Expense!FY47)</f>
        <v>176</v>
      </c>
      <c r="GB30" s="58">
        <f>SUM(Expense!FZ37,Expense!FZ47)</f>
        <v>188</v>
      </c>
      <c r="GC30" s="58">
        <f>SUM(Expense!GA37,Expense!GA47)</f>
        <v>240</v>
      </c>
      <c r="GD30" s="58">
        <f t="shared" si="114"/>
        <v>783</v>
      </c>
      <c r="GF30" s="57" t="s">
        <v>23</v>
      </c>
      <c r="GG30" s="58">
        <f>SUM(Expense!GE37,Expense!GE47)</f>
        <v>253</v>
      </c>
      <c r="GH30" s="58">
        <f>SUM(Expense!GF37,Expense!GF47)</f>
        <v>288</v>
      </c>
      <c r="GI30" s="58">
        <f>SUM(Expense!GG37,Expense!GG47)</f>
        <v>300</v>
      </c>
      <c r="GJ30" s="58">
        <f>SUM(Expense!GH37,Expense!GH47)</f>
        <v>271</v>
      </c>
      <c r="GK30" s="58">
        <f t="shared" si="115"/>
        <v>1112</v>
      </c>
      <c r="GM30" s="57" t="s">
        <v>23</v>
      </c>
      <c r="GN30" s="58">
        <f>SUM(Expense!GL37,Expense!GL47)</f>
        <v>284</v>
      </c>
      <c r="GO30" s="58">
        <f>SUM(Expense!GM37,Expense!GM47)</f>
        <v>316</v>
      </c>
      <c r="GP30" s="58">
        <f>SUM(Expense!GN37,Expense!GN47)</f>
        <v>330</v>
      </c>
      <c r="GQ30" s="58">
        <f>SUM(Expense!GO37,Expense!GO47)</f>
        <v>382</v>
      </c>
      <c r="GR30" s="58">
        <f t="shared" si="116"/>
        <v>1312</v>
      </c>
      <c r="GT30" s="57" t="s">
        <v>23</v>
      </c>
      <c r="GU30" s="58">
        <f>SUM(Expense!GS37,Expense!GS47)</f>
        <v>441</v>
      </c>
      <c r="GV30" s="58">
        <f>SUM(Expense!GT37,Expense!GT47)</f>
        <v>537</v>
      </c>
      <c r="GW30" s="58">
        <f>SUM(Expense!GU37,Expense!GU47)</f>
        <v>508</v>
      </c>
      <c r="GX30" s="58">
        <f>SUM(Expense!GV37,Expense!GV47)</f>
        <v>331</v>
      </c>
      <c r="GY30" s="58">
        <f t="shared" si="117"/>
        <v>1817</v>
      </c>
      <c r="HA30" s="57" t="s">
        <v>23</v>
      </c>
      <c r="HB30" s="58">
        <v>191</v>
      </c>
      <c r="HC30" s="58">
        <v>185</v>
      </c>
      <c r="HD30" s="58">
        <v>223</v>
      </c>
      <c r="HE30" s="58">
        <v>250</v>
      </c>
      <c r="HF30" s="58">
        <f t="shared" si="118"/>
        <v>849</v>
      </c>
      <c r="HH30" s="57" t="s">
        <v>23</v>
      </c>
      <c r="HI30" s="58">
        <v>283</v>
      </c>
      <c r="HJ30" s="58">
        <v>304</v>
      </c>
      <c r="HK30" s="58">
        <v>279</v>
      </c>
      <c r="HL30" s="58">
        <v>346</v>
      </c>
      <c r="HM30" s="58">
        <f t="shared" si="119"/>
        <v>1212</v>
      </c>
      <c r="HO30" s="57" t="s">
        <v>23</v>
      </c>
      <c r="HP30" s="58">
        <v>402</v>
      </c>
      <c r="HQ30" s="58">
        <v>431</v>
      </c>
      <c r="HR30" s="58">
        <v>412</v>
      </c>
      <c r="HS30" s="58">
        <v>423</v>
      </c>
      <c r="HT30" s="58">
        <f t="shared" si="120"/>
        <v>1668</v>
      </c>
      <c r="HV30" s="57" t="s">
        <v>23</v>
      </c>
      <c r="HW30" s="58">
        <v>444</v>
      </c>
      <c r="HX30" s="58">
        <v>410</v>
      </c>
      <c r="HY30" s="58">
        <v>397</v>
      </c>
      <c r="HZ30" s="58">
        <v>421</v>
      </c>
      <c r="IA30" s="58">
        <f t="shared" si="121"/>
        <v>1672</v>
      </c>
      <c r="IC30" s="57" t="s">
        <v>23</v>
      </c>
      <c r="ID30" s="58">
        <v>444</v>
      </c>
      <c r="IE30" s="58">
        <v>397</v>
      </c>
      <c r="IF30" s="58">
        <v>407</v>
      </c>
      <c r="IG30" s="58">
        <v>408</v>
      </c>
      <c r="IH30" s="58">
        <f t="shared" si="122"/>
        <v>1656</v>
      </c>
      <c r="IJ30" s="57" t="s">
        <v>23</v>
      </c>
      <c r="IK30" s="58">
        <v>446</v>
      </c>
      <c r="IL30" s="58">
        <v>416</v>
      </c>
      <c r="IM30" s="58">
        <v>393</v>
      </c>
      <c r="IN30" s="58">
        <v>361</v>
      </c>
      <c r="IO30" s="58">
        <f t="shared" si="123"/>
        <v>1616</v>
      </c>
      <c r="IQ30" s="57" t="s">
        <v>23</v>
      </c>
      <c r="IR30" s="58">
        <v>270</v>
      </c>
      <c r="IS30" s="58">
        <v>263</v>
      </c>
      <c r="IT30" s="58">
        <v>223</v>
      </c>
      <c r="IU30" s="58">
        <v>201</v>
      </c>
      <c r="IV30" s="58">
        <f t="shared" si="124"/>
        <v>957</v>
      </c>
      <c r="IX30" s="57" t="s">
        <v>23</v>
      </c>
      <c r="IY30" s="58">
        <v>150</v>
      </c>
      <c r="IZ30" s="58">
        <v>172</v>
      </c>
      <c r="JA30" s="58">
        <v>174</v>
      </c>
      <c r="JB30" s="58">
        <v>217</v>
      </c>
      <c r="JC30" s="58">
        <f t="shared" si="125"/>
        <v>713</v>
      </c>
      <c r="JE30" s="57" t="s">
        <v>23</v>
      </c>
      <c r="JF30" s="58">
        <v>218</v>
      </c>
      <c r="JG30" s="58">
        <v>198</v>
      </c>
      <c r="JH30" s="58">
        <v>205</v>
      </c>
      <c r="JI30" s="58">
        <v>243</v>
      </c>
      <c r="JJ30" s="58">
        <f t="shared" si="126"/>
        <v>864</v>
      </c>
      <c r="JL30" s="57" t="s">
        <v>23</v>
      </c>
      <c r="JM30" s="58">
        <v>255</v>
      </c>
      <c r="JN30" s="58">
        <v>270</v>
      </c>
      <c r="JO30" s="58">
        <v>268</v>
      </c>
      <c r="JP30" s="58">
        <v>253</v>
      </c>
      <c r="JQ30" s="58">
        <f t="shared" si="127"/>
        <v>1046</v>
      </c>
      <c r="JS30" s="57" t="s">
        <v>23</v>
      </c>
      <c r="JT30" s="58">
        <v>233</v>
      </c>
      <c r="JU30" s="58">
        <v>234</v>
      </c>
      <c r="JV30" s="58">
        <v>223</v>
      </c>
      <c r="JW30" s="58">
        <v>216</v>
      </c>
      <c r="JX30" s="58">
        <f t="shared" si="128"/>
        <v>906</v>
      </c>
      <c r="JZ30" s="57" t="s">
        <v>23</v>
      </c>
      <c r="KA30" s="58">
        <v>192</v>
      </c>
      <c r="KB30" s="58">
        <v>91</v>
      </c>
      <c r="KC30" s="58">
        <v>119</v>
      </c>
      <c r="KD30" s="58">
        <v>139</v>
      </c>
      <c r="KE30" s="58">
        <f t="shared" si="129"/>
        <v>541</v>
      </c>
      <c r="KG30" s="57" t="s">
        <v>23</v>
      </c>
      <c r="KH30" s="58">
        <v>190</v>
      </c>
      <c r="KI30" s="58">
        <v>194</v>
      </c>
      <c r="KJ30" s="58">
        <v>247</v>
      </c>
      <c r="KK30" s="58">
        <v>282</v>
      </c>
      <c r="KL30" s="58">
        <f t="shared" si="130"/>
        <v>913</v>
      </c>
      <c r="KN30" s="57" t="s">
        <v>23</v>
      </c>
      <c r="KO30" s="58">
        <v>331</v>
      </c>
      <c r="KP30" s="58">
        <v>446</v>
      </c>
      <c r="KQ30" s="58">
        <v>438</v>
      </c>
      <c r="KR30" s="58">
        <v>411</v>
      </c>
      <c r="KS30" s="58">
        <f t="shared" si="131"/>
        <v>1626</v>
      </c>
      <c r="KU30" s="57" t="s">
        <v>23</v>
      </c>
      <c r="KV30" s="58">
        <v>364</v>
      </c>
      <c r="KW30" s="58">
        <v>312</v>
      </c>
      <c r="KX30" s="58">
        <v>349</v>
      </c>
      <c r="KY30" s="58">
        <v>352</v>
      </c>
      <c r="KZ30" s="58">
        <f t="shared" si="132"/>
        <v>1377</v>
      </c>
      <c r="LB30" s="57" t="s">
        <v>23</v>
      </c>
      <c r="LC30" s="58">
        <f>Expense!LA10</f>
        <v>325</v>
      </c>
      <c r="LD30" s="127">
        <f>Expense!LB10</f>
        <v>301</v>
      </c>
      <c r="LE30" s="127">
        <f>Expense!LC10</f>
        <v>276</v>
      </c>
      <c r="LF30" s="127">
        <f>Expense!LD10</f>
        <v>266</v>
      </c>
      <c r="LG30" s="127">
        <f>Expense!LE10</f>
        <v>1168</v>
      </c>
      <c r="LH30" s="558"/>
      <c r="LI30" s="57" t="s">
        <v>23</v>
      </c>
      <c r="LJ30" s="127">
        <f>Expense!LH10</f>
        <v>275</v>
      </c>
      <c r="LK30" s="127">
        <f>Expense!LI10</f>
        <v>269</v>
      </c>
      <c r="LL30" s="127">
        <f>Expense!LJ10</f>
        <v>281</v>
      </c>
      <c r="LM30" s="127">
        <f>Expense!LK10</f>
        <v>270</v>
      </c>
      <c r="LN30" s="127">
        <f>Expense!LL10</f>
        <v>1095</v>
      </c>
      <c r="LO30" s="558"/>
      <c r="LP30" s="57" t="s">
        <v>23</v>
      </c>
      <c r="LQ30" s="127">
        <f>Expense!LO10</f>
        <v>261.72023212609128</v>
      </c>
      <c r="LR30" s="127">
        <f>Expense!LP10</f>
        <v>270.54919648493353</v>
      </c>
      <c r="LS30" s="127">
        <f>Expense!LQ10</f>
        <v>264.06491616576147</v>
      </c>
      <c r="LT30" s="127">
        <f>Expense!LR10</f>
        <v>262.32023076478265</v>
      </c>
      <c r="LU30" s="127">
        <f>Expense!LS10</f>
        <v>1058.6545755415689</v>
      </c>
      <c r="LV30" s="558"/>
      <c r="LW30" s="57" t="s">
        <v>23</v>
      </c>
      <c r="LX30" s="127">
        <f>Expense!LV10</f>
        <v>266.75393255876429</v>
      </c>
      <c r="LY30" s="127">
        <f>Expense!LW10</f>
        <v>275.88521798517939</v>
      </c>
      <c r="LZ30" s="127">
        <f>Expense!LX10</f>
        <v>269.03656610949139</v>
      </c>
      <c r="MA30" s="127">
        <f>Expense!LY10</f>
        <v>267.26248926666517</v>
      </c>
      <c r="MB30" s="127">
        <f>Expense!LZ10</f>
        <v>1078.9382059201002</v>
      </c>
      <c r="MC30" s="558"/>
      <c r="MD30" s="57" t="s">
        <v>23</v>
      </c>
      <c r="ME30" s="127">
        <f>Expense!MC10</f>
        <v>272.41535991205353</v>
      </c>
      <c r="MF30" s="127">
        <f>Expense!MD10</f>
        <v>281.65835394473788</v>
      </c>
      <c r="MG30" s="127">
        <f>Expense!ME10</f>
        <v>275.16252895676013</v>
      </c>
      <c r="MH30" s="127">
        <f>Expense!MF10</f>
        <v>273.23038259682158</v>
      </c>
      <c r="MI30" s="127">
        <f>Expense!MG10</f>
        <v>1102.4666254103731</v>
      </c>
      <c r="MJ30" s="558"/>
    </row>
    <row r="31" spans="1:349" x14ac:dyDescent="0.4">
      <c r="A31" s="48"/>
      <c r="B31" s="57" t="s">
        <v>186</v>
      </c>
      <c r="C31" s="58">
        <f>SUM(Expense!C34,Expense!C44)+Expense!C52+Expense!C61</f>
        <v>0</v>
      </c>
      <c r="D31" s="58">
        <f>SUM(Expense!D34,Expense!D44)+Expense!D52+Expense!D61</f>
        <v>0</v>
      </c>
      <c r="E31" s="58">
        <f>SUM(Expense!E34,Expense!E44)+Expense!E52+Expense!E61</f>
        <v>0</v>
      </c>
      <c r="F31" s="58">
        <f>SUM(Expense!F34,Expense!F44)+Expense!F52+Expense!F61</f>
        <v>0</v>
      </c>
      <c r="G31" s="58">
        <f>SUM(Expense!G34,Expense!G44)+Expense!G52+Expense!G61</f>
        <v>415</v>
      </c>
      <c r="H31" s="58">
        <f>SUM(Expense!H34,Expense!H44)+Expense!H52+Expense!H61</f>
        <v>497</v>
      </c>
      <c r="I31" s="58">
        <f>SUM(Expense!I34,Expense!I44)+Expense!I52+Expense!I61</f>
        <v>514</v>
      </c>
      <c r="J31" s="58">
        <f>SUM(Expense!J34,Expense!J44)+Expense!J52+Expense!J61</f>
        <v>509</v>
      </c>
      <c r="K31" s="58">
        <f>SUM(Expense!K34,Expense!K44)+Expense!K52+Expense!K61</f>
        <v>498</v>
      </c>
      <c r="L31" s="58">
        <f>SUM(Expense!L34,Expense!L44)+Expense!L52+Expense!L61</f>
        <v>667</v>
      </c>
      <c r="M31" s="58">
        <f>SUM(Expense!M34,Expense!M44)+Expense!M52+Expense!M61</f>
        <v>806</v>
      </c>
      <c r="N31" s="58">
        <f t="shared" si="58"/>
        <v>875</v>
      </c>
      <c r="O31" s="58">
        <f t="shared" si="59"/>
        <v>914</v>
      </c>
      <c r="P31" s="58">
        <f t="shared" si="60"/>
        <v>1028</v>
      </c>
      <c r="Q31" s="58">
        <f t="shared" si="61"/>
        <v>1029</v>
      </c>
      <c r="R31" s="58">
        <f t="shared" si="62"/>
        <v>1011</v>
      </c>
      <c r="S31" s="58">
        <f t="shared" si="63"/>
        <v>1060</v>
      </c>
      <c r="T31" s="58">
        <f t="shared" si="64"/>
        <v>1101</v>
      </c>
      <c r="U31" s="58">
        <f t="shared" si="65"/>
        <v>1103</v>
      </c>
      <c r="V31" s="58">
        <f t="shared" si="66"/>
        <v>1066</v>
      </c>
      <c r="W31" s="58">
        <f t="shared" si="67"/>
        <v>1056</v>
      </c>
      <c r="X31" s="58">
        <f t="shared" si="68"/>
        <v>1165</v>
      </c>
      <c r="Y31" s="58">
        <f t="shared" si="69"/>
        <v>718</v>
      </c>
      <c r="Z31" s="58">
        <f t="shared" si="70"/>
        <v>625</v>
      </c>
      <c r="AA31" s="58">
        <f t="shared" si="71"/>
        <v>610</v>
      </c>
      <c r="AB31" s="58">
        <f t="shared" si="72"/>
        <v>562</v>
      </c>
      <c r="AC31" s="58">
        <f t="shared" si="73"/>
        <v>570</v>
      </c>
      <c r="AD31" s="58">
        <f t="shared" si="74"/>
        <v>533</v>
      </c>
      <c r="AE31" s="58">
        <f t="shared" si="75"/>
        <v>512</v>
      </c>
      <c r="AF31" s="58">
        <f t="shared" si="76"/>
        <v>451</v>
      </c>
      <c r="AG31" s="58">
        <f t="shared" si="77"/>
        <v>425</v>
      </c>
      <c r="AH31" s="58">
        <f t="shared" si="78"/>
        <v>391</v>
      </c>
      <c r="AI31" s="58">
        <f t="shared" si="79"/>
        <v>374</v>
      </c>
      <c r="AJ31" s="58">
        <f t="shared" si="80"/>
        <v>379</v>
      </c>
      <c r="AK31" s="58">
        <f t="shared" si="81"/>
        <v>392</v>
      </c>
      <c r="AL31" s="58">
        <f t="shared" si="82"/>
        <v>380</v>
      </c>
      <c r="AM31" s="58">
        <f t="shared" si="83"/>
        <v>428</v>
      </c>
      <c r="AN31" s="58">
        <f t="shared" si="84"/>
        <v>436</v>
      </c>
      <c r="AO31" s="58">
        <f t="shared" si="85"/>
        <v>447</v>
      </c>
      <c r="AP31" s="58">
        <f t="shared" si="86"/>
        <v>429</v>
      </c>
      <c r="AQ31" s="58">
        <f t="shared" si="87"/>
        <v>395</v>
      </c>
      <c r="AR31" s="58">
        <f t="shared" si="88"/>
        <v>408</v>
      </c>
      <c r="AS31" s="58">
        <f t="shared" si="89"/>
        <v>338</v>
      </c>
      <c r="AT31" s="58">
        <f t="shared" si="90"/>
        <v>364</v>
      </c>
      <c r="AU31" s="58">
        <f t="shared" si="91"/>
        <v>396</v>
      </c>
      <c r="AV31" s="58">
        <f t="shared" si="92"/>
        <v>354</v>
      </c>
      <c r="AW31" s="58">
        <f t="shared" si="93"/>
        <v>355</v>
      </c>
      <c r="AX31" s="58">
        <f t="shared" si="94"/>
        <v>357</v>
      </c>
      <c r="AY31" s="58">
        <f t="shared" si="95"/>
        <v>360.36708403749998</v>
      </c>
      <c r="AZ31" s="58">
        <f t="shared" si="96"/>
        <v>356.65677629644495</v>
      </c>
      <c r="BA31" s="58">
        <f t="shared" si="97"/>
        <v>364.51865994758543</v>
      </c>
      <c r="BB31" s="58"/>
      <c r="BC31" s="58"/>
      <c r="BD31" s="58"/>
      <c r="BE31" s="58"/>
      <c r="BF31" s="58"/>
      <c r="BG31" s="58"/>
      <c r="BH31" s="58"/>
      <c r="BI31" s="58"/>
      <c r="BJ31" s="58"/>
      <c r="BK31" s="58"/>
      <c r="BL31" s="58"/>
      <c r="BM31" s="58"/>
      <c r="BN31" s="58"/>
      <c r="BO31" s="58"/>
      <c r="BQ31" s="57" t="s">
        <v>186</v>
      </c>
      <c r="BR31" s="58">
        <f>SUM(Expense!BP34,Expense!BP44)+Expense!BP52+Expense!BP61</f>
        <v>204</v>
      </c>
      <c r="BS31" s="58">
        <f>SUM(Expense!BQ34,Expense!BQ44)+Expense!BQ52+Expense!BQ61</f>
        <v>221</v>
      </c>
      <c r="BT31" s="58">
        <f>SUM(Expense!BR34,Expense!BR44)+Expense!BR52+Expense!BR61</f>
        <v>221</v>
      </c>
      <c r="BU31" s="58">
        <f>SUM(Expense!BS34,Expense!BS44)+Expense!BS52+Expense!BS61</f>
        <v>229</v>
      </c>
      <c r="BV31" s="58">
        <f t="shared" si="98"/>
        <v>875</v>
      </c>
      <c r="BX31" s="57" t="s">
        <v>186</v>
      </c>
      <c r="BY31" s="58">
        <f>SUM(Expense!BW34,Expense!BW44)+Expense!BW52+Expense!BW61</f>
        <v>216</v>
      </c>
      <c r="BZ31" s="58">
        <f>SUM(Expense!BX34,Expense!BX44)+Expense!BX52+Expense!BX61</f>
        <v>231</v>
      </c>
      <c r="CA31" s="58">
        <f>SUM(Expense!BY34,Expense!BY44)+Expense!BY52+Expense!BY61</f>
        <v>217</v>
      </c>
      <c r="CB31" s="58">
        <f>SUM(Expense!BZ34,Expense!BZ44)+Expense!BZ52+Expense!BZ61</f>
        <v>250</v>
      </c>
      <c r="CC31" s="58">
        <f t="shared" si="99"/>
        <v>914</v>
      </c>
      <c r="CE31" s="57" t="s">
        <v>186</v>
      </c>
      <c r="CF31" s="58">
        <f>SUM(Expense!CD34,Expense!CD44)+Expense!CD52+Expense!CD61</f>
        <v>248</v>
      </c>
      <c r="CG31" s="58">
        <f>SUM(Expense!CE34,Expense!CE44)+Expense!CE52+Expense!CE61</f>
        <v>257</v>
      </c>
      <c r="CH31" s="58">
        <f>SUM(Expense!CF34,Expense!CF44)+Expense!CF52+Expense!CF61</f>
        <v>256</v>
      </c>
      <c r="CI31" s="58">
        <f>SUM(Expense!CG34,Expense!CG44)+Expense!CG52+Expense!CG61</f>
        <v>267</v>
      </c>
      <c r="CJ31" s="58">
        <f t="shared" si="100"/>
        <v>1028</v>
      </c>
      <c r="CL31" s="57" t="s">
        <v>186</v>
      </c>
      <c r="CM31" s="58">
        <f>SUM(Expense!CK34,Expense!CK44)+Expense!CK52+Expense!CK61</f>
        <v>258</v>
      </c>
      <c r="CN31" s="58">
        <f>SUM(Expense!CL34,Expense!CL44)+Expense!CL52+Expense!CL61</f>
        <v>251</v>
      </c>
      <c r="CO31" s="58">
        <f>SUM(Expense!CM34,Expense!CM44)+Expense!CM52+Expense!CM61</f>
        <v>257</v>
      </c>
      <c r="CP31" s="58">
        <f>SUM(Expense!CN34,Expense!CN44)+Expense!CN52+Expense!CN61</f>
        <v>263</v>
      </c>
      <c r="CQ31" s="58">
        <f t="shared" si="101"/>
        <v>1029</v>
      </c>
      <c r="CS31" s="57" t="s">
        <v>186</v>
      </c>
      <c r="CT31" s="58">
        <f>SUM(Expense!CR34,Expense!CR44)+Expense!CR52+Expense!CR61</f>
        <v>261</v>
      </c>
      <c r="CU31" s="58">
        <f>SUM(Expense!CS34,Expense!CS44)+Expense!CS52+Expense!CS61</f>
        <v>255</v>
      </c>
      <c r="CV31" s="58">
        <f>SUM(Expense!CT34,Expense!CT44)+Expense!CT52+Expense!CT61</f>
        <v>254</v>
      </c>
      <c r="CW31" s="58">
        <f>SUM(Expense!CU34,Expense!CU44)+Expense!CU52+Expense!CU61</f>
        <v>241</v>
      </c>
      <c r="CX31" s="58">
        <f t="shared" si="102"/>
        <v>1011</v>
      </c>
      <c r="CZ31" s="57" t="s">
        <v>186</v>
      </c>
      <c r="DA31" s="58">
        <f>SUM(Expense!CY34,Expense!CY44)+Expense!CY52+Expense!CY61</f>
        <v>263</v>
      </c>
      <c r="DB31" s="58">
        <f>SUM(Expense!CZ34,Expense!CZ44)+Expense!CZ52+Expense!CZ61</f>
        <v>271</v>
      </c>
      <c r="DC31" s="58">
        <f>SUM(Expense!DA34,Expense!DA44)+Expense!DA52+Expense!DA61</f>
        <v>273</v>
      </c>
      <c r="DD31" s="58">
        <f>SUM(Expense!DB34,Expense!DB44)+Expense!DB52+Expense!DB61</f>
        <v>253</v>
      </c>
      <c r="DE31" s="58">
        <f t="shared" si="103"/>
        <v>1060</v>
      </c>
      <c r="DG31" s="57" t="s">
        <v>186</v>
      </c>
      <c r="DH31" s="58">
        <f>SUM(Expense!DF34,Expense!DF44)+Expense!DF52+Expense!DF61</f>
        <v>272</v>
      </c>
      <c r="DI31" s="58">
        <f>SUM(Expense!DG34,Expense!DG44)+Expense!DG52+Expense!DG61</f>
        <v>266</v>
      </c>
      <c r="DJ31" s="58">
        <f>SUM(Expense!DH34,Expense!DH44)+Expense!DH52+Expense!DH61</f>
        <v>270</v>
      </c>
      <c r="DK31" s="58">
        <f>SUM(Expense!DI34,Expense!DI44)+Expense!DI52+Expense!DI61</f>
        <v>293</v>
      </c>
      <c r="DL31" s="58">
        <f t="shared" si="104"/>
        <v>1101</v>
      </c>
      <c r="DN31" s="57" t="s">
        <v>186</v>
      </c>
      <c r="DO31" s="58">
        <f>SUM(Expense!DM34,Expense!DM44)+Expense!DM52+Expense!DM61</f>
        <v>280</v>
      </c>
      <c r="DP31" s="58">
        <f>SUM(Expense!DN34,Expense!DN44)+Expense!DN52+Expense!DN61</f>
        <v>277</v>
      </c>
      <c r="DQ31" s="58">
        <f>SUM(Expense!DO34,Expense!DO44)+Expense!DO52+Expense!DO61</f>
        <v>271</v>
      </c>
      <c r="DR31" s="58">
        <f>SUM(Expense!DP34,Expense!DP44)+Expense!DP52+Expense!DP61</f>
        <v>275</v>
      </c>
      <c r="DS31" s="58">
        <f t="shared" si="105"/>
        <v>1103</v>
      </c>
      <c r="DU31" s="57" t="s">
        <v>186</v>
      </c>
      <c r="DV31" s="58">
        <f>SUM(Expense!DT34,Expense!DT44)+Expense!DT52+Expense!DT61</f>
        <v>274</v>
      </c>
      <c r="DW31" s="58">
        <f>SUM(Expense!DU34,Expense!DU44)+Expense!DU52+Expense!DU61</f>
        <v>263</v>
      </c>
      <c r="DX31" s="58">
        <f>SUM(Expense!DV34,Expense!DV44)+Expense!DV52+Expense!DV61</f>
        <v>264</v>
      </c>
      <c r="DY31" s="58">
        <f>SUM(Expense!DW34,Expense!DW44)+Expense!DW52+Expense!DW61</f>
        <v>265</v>
      </c>
      <c r="DZ31" s="58">
        <f t="shared" si="106"/>
        <v>1066</v>
      </c>
      <c r="EB31" s="57" t="s">
        <v>186</v>
      </c>
      <c r="EC31" s="58">
        <f>SUM(Expense!EA34,Expense!EA44)+Expense!EA52</f>
        <v>254</v>
      </c>
      <c r="ED31" s="58">
        <f>SUM(Expense!EB34,Expense!EB44)+Expense!EB52</f>
        <v>264</v>
      </c>
      <c r="EE31" s="58">
        <f>SUM(Expense!EC34,Expense!EC44)+Expense!EC52</f>
        <v>264</v>
      </c>
      <c r="EF31" s="58">
        <f>SUM(Expense!ED34,Expense!ED44)+Expense!ED52</f>
        <v>274</v>
      </c>
      <c r="EG31" s="58">
        <f t="shared" si="107"/>
        <v>1056</v>
      </c>
      <c r="EI31" s="57" t="s">
        <v>186</v>
      </c>
      <c r="EJ31" s="58">
        <f>SUM(Expense!EH34,Expense!EH44)+Expense!EH52</f>
        <v>294</v>
      </c>
      <c r="EK31" s="58">
        <f>SUM(Expense!EI34,Expense!EI44)+Expense!EI52</f>
        <v>268</v>
      </c>
      <c r="EL31" s="58">
        <f>SUM(Expense!EJ34,Expense!EJ44)+Expense!EJ52</f>
        <v>300</v>
      </c>
      <c r="EM31" s="58">
        <f>SUM(Expense!EK34,Expense!EK44)+Expense!EK52</f>
        <v>303</v>
      </c>
      <c r="EN31" s="58">
        <f t="shared" si="108"/>
        <v>1165</v>
      </c>
      <c r="EP31" s="57" t="s">
        <v>186</v>
      </c>
      <c r="EQ31" s="58">
        <f>SUM(Expense!EO34,Expense!EO44)+Expense!EO52</f>
        <v>188</v>
      </c>
      <c r="ER31" s="58">
        <f>SUM(Expense!EP34,Expense!EP44)+Expense!EP52</f>
        <v>188</v>
      </c>
      <c r="ES31" s="58">
        <f>SUM(Expense!EQ34,Expense!EQ44)+Expense!EQ52</f>
        <v>176</v>
      </c>
      <c r="ET31" s="58">
        <f>SUM(Expense!ER34,Expense!ER44)+Expense!ER52</f>
        <v>166</v>
      </c>
      <c r="EU31" s="58">
        <f t="shared" si="109"/>
        <v>718</v>
      </c>
      <c r="EW31" s="57" t="s">
        <v>186</v>
      </c>
      <c r="EX31" s="58">
        <f>SUM(Expense!EV34,Expense!EV44)+Expense!EV52</f>
        <v>163</v>
      </c>
      <c r="EY31" s="58">
        <f>SUM(Expense!EW34,Expense!EW44)+Expense!EW52</f>
        <v>159</v>
      </c>
      <c r="EZ31" s="58">
        <f>SUM(Expense!EX34,Expense!EX44)+Expense!EX52</f>
        <v>155</v>
      </c>
      <c r="FA31" s="58">
        <f>SUM(Expense!EY34,Expense!EY44)+Expense!EY52</f>
        <v>148</v>
      </c>
      <c r="FB31" s="58">
        <f t="shared" si="110"/>
        <v>625</v>
      </c>
      <c r="FD31" s="57" t="s">
        <v>186</v>
      </c>
      <c r="FE31" s="58">
        <f>SUM(Expense!FC34,Expense!FC44)+Expense!FC52</f>
        <v>150</v>
      </c>
      <c r="FF31" s="58">
        <f>SUM(Expense!FD34,Expense!FD44)+Expense!FD52</f>
        <v>155</v>
      </c>
      <c r="FG31" s="58">
        <f>SUM(Expense!FE34,Expense!FE44)+Expense!FE52</f>
        <v>164</v>
      </c>
      <c r="FH31" s="58">
        <f>SUM(Expense!FF34,Expense!FF44)+Expense!FF52</f>
        <v>141</v>
      </c>
      <c r="FI31" s="58">
        <f t="shared" si="111"/>
        <v>610</v>
      </c>
      <c r="FK31" s="57" t="s">
        <v>186</v>
      </c>
      <c r="FL31" s="58">
        <f>SUM(Expense!FJ34,Expense!FJ44)</f>
        <v>138</v>
      </c>
      <c r="FM31" s="58">
        <f>SUM(Expense!FK34,Expense!FK44)</f>
        <v>131</v>
      </c>
      <c r="FN31" s="58">
        <f>SUM(Expense!FL34,Expense!FL44)</f>
        <v>147</v>
      </c>
      <c r="FO31" s="58">
        <f>SUM(Expense!FM34,Expense!FM44)</f>
        <v>146</v>
      </c>
      <c r="FP31" s="58">
        <f t="shared" si="112"/>
        <v>562</v>
      </c>
      <c r="FR31" s="57" t="s">
        <v>186</v>
      </c>
      <c r="FS31" s="58">
        <f>SUM(Expense!FQ34,Expense!FQ44)</f>
        <v>140</v>
      </c>
      <c r="FT31" s="58">
        <f>SUM(Expense!FR34,Expense!FR44)</f>
        <v>144</v>
      </c>
      <c r="FU31" s="58">
        <f>SUM(Expense!FS34,Expense!FS44)</f>
        <v>140</v>
      </c>
      <c r="FV31" s="58">
        <f>SUM(Expense!FT34,Expense!FT44)</f>
        <v>146</v>
      </c>
      <c r="FW31" s="58">
        <f t="shared" si="113"/>
        <v>570</v>
      </c>
      <c r="FY31" s="57" t="s">
        <v>186</v>
      </c>
      <c r="FZ31" s="58">
        <f>SUM(Expense!FX34,Expense!FX44)</f>
        <v>135</v>
      </c>
      <c r="GA31" s="58">
        <f>SUM(Expense!FY34,Expense!FY44)</f>
        <v>137</v>
      </c>
      <c r="GB31" s="58">
        <f>SUM(Expense!FZ34,Expense!FZ44)</f>
        <v>129</v>
      </c>
      <c r="GC31" s="58">
        <f>SUM(Expense!GA34,Expense!GA44)</f>
        <v>132</v>
      </c>
      <c r="GD31" s="58">
        <f t="shared" si="114"/>
        <v>533</v>
      </c>
      <c r="GF31" s="57" t="s">
        <v>186</v>
      </c>
      <c r="GG31" s="58">
        <f>SUM(Expense!GE34,Expense!GE44)</f>
        <v>124</v>
      </c>
      <c r="GH31" s="58">
        <f>SUM(Expense!GF34,Expense!GF44)</f>
        <v>132</v>
      </c>
      <c r="GI31" s="58">
        <f>SUM(Expense!GG34,Expense!GG44)</f>
        <v>135</v>
      </c>
      <c r="GJ31" s="58">
        <f>SUM(Expense!GH34,Expense!GH44)</f>
        <v>121</v>
      </c>
      <c r="GK31" s="58">
        <f t="shared" si="115"/>
        <v>512</v>
      </c>
      <c r="GM31" s="57" t="s">
        <v>186</v>
      </c>
      <c r="GN31" s="58">
        <f>SUM(Expense!GL34,Expense!GL44)</f>
        <v>120</v>
      </c>
      <c r="GO31" s="58">
        <f>SUM(Expense!GM34,Expense!GM44)</f>
        <v>107</v>
      </c>
      <c r="GP31" s="58">
        <f>SUM(Expense!GN34,Expense!GN44)</f>
        <v>114</v>
      </c>
      <c r="GQ31" s="58">
        <f>SUM(Expense!GO34,Expense!GO44)</f>
        <v>110</v>
      </c>
      <c r="GR31" s="58">
        <f t="shared" si="116"/>
        <v>451</v>
      </c>
      <c r="GT31" s="57" t="s">
        <v>186</v>
      </c>
      <c r="GU31" s="58">
        <f>SUM(Expense!GS34,Expense!GS44)</f>
        <v>111</v>
      </c>
      <c r="GV31" s="58">
        <f>SUM(Expense!GT34,Expense!GT44)</f>
        <v>112</v>
      </c>
      <c r="GW31" s="58">
        <f>SUM(Expense!GU34,Expense!GU44)</f>
        <v>106</v>
      </c>
      <c r="GX31" s="58">
        <f>SUM(Expense!GV34,Expense!GV44)</f>
        <v>96</v>
      </c>
      <c r="GY31" s="58">
        <f t="shared" si="117"/>
        <v>425</v>
      </c>
      <c r="HA31" s="57" t="s">
        <v>186</v>
      </c>
      <c r="HB31" s="58">
        <v>113</v>
      </c>
      <c r="HC31" s="58">
        <v>98</v>
      </c>
      <c r="HD31" s="58">
        <v>92</v>
      </c>
      <c r="HE31" s="58">
        <v>88</v>
      </c>
      <c r="HF31" s="58">
        <f t="shared" si="118"/>
        <v>391</v>
      </c>
      <c r="HH31" s="57" t="s">
        <v>186</v>
      </c>
      <c r="HI31" s="58">
        <v>100</v>
      </c>
      <c r="HJ31" s="58">
        <v>89</v>
      </c>
      <c r="HK31" s="58">
        <v>90</v>
      </c>
      <c r="HL31" s="58">
        <v>95</v>
      </c>
      <c r="HM31" s="58">
        <f t="shared" si="119"/>
        <v>374</v>
      </c>
      <c r="HO31" s="57" t="s">
        <v>186</v>
      </c>
      <c r="HP31" s="58">
        <v>97</v>
      </c>
      <c r="HQ31" s="58">
        <v>95</v>
      </c>
      <c r="HR31" s="58">
        <v>95</v>
      </c>
      <c r="HS31" s="58">
        <v>92</v>
      </c>
      <c r="HT31" s="58">
        <f t="shared" si="120"/>
        <v>379</v>
      </c>
      <c r="HV31" s="57" t="s">
        <v>186</v>
      </c>
      <c r="HW31" s="58">
        <v>97</v>
      </c>
      <c r="HX31" s="58">
        <v>102</v>
      </c>
      <c r="HY31" s="58">
        <v>96</v>
      </c>
      <c r="HZ31" s="58">
        <v>97</v>
      </c>
      <c r="IA31" s="58">
        <f t="shared" si="121"/>
        <v>392</v>
      </c>
      <c r="IC31" s="57" t="s">
        <v>186</v>
      </c>
      <c r="ID31" s="58">
        <v>95</v>
      </c>
      <c r="IE31" s="58">
        <v>96</v>
      </c>
      <c r="IF31" s="58">
        <v>94</v>
      </c>
      <c r="IG31" s="58">
        <v>95</v>
      </c>
      <c r="IH31" s="58">
        <f t="shared" si="122"/>
        <v>380</v>
      </c>
      <c r="IJ31" s="57" t="s">
        <v>186</v>
      </c>
      <c r="IK31" s="58">
        <v>101</v>
      </c>
      <c r="IL31" s="58">
        <v>114</v>
      </c>
      <c r="IM31" s="58">
        <v>106</v>
      </c>
      <c r="IN31" s="58">
        <v>107</v>
      </c>
      <c r="IO31" s="58">
        <f t="shared" si="123"/>
        <v>428</v>
      </c>
      <c r="IQ31" s="57" t="s">
        <v>186</v>
      </c>
      <c r="IR31" s="58">
        <v>113</v>
      </c>
      <c r="IS31" s="58">
        <v>101</v>
      </c>
      <c r="IT31" s="58">
        <v>114</v>
      </c>
      <c r="IU31" s="58">
        <v>108</v>
      </c>
      <c r="IV31" s="58">
        <f t="shared" si="124"/>
        <v>436</v>
      </c>
      <c r="IX31" s="57" t="s">
        <v>186</v>
      </c>
      <c r="IY31" s="58">
        <v>105</v>
      </c>
      <c r="IZ31" s="58">
        <v>105</v>
      </c>
      <c r="JA31" s="58">
        <v>105</v>
      </c>
      <c r="JB31" s="58">
        <v>132</v>
      </c>
      <c r="JC31" s="58">
        <f t="shared" si="125"/>
        <v>447</v>
      </c>
      <c r="JE31" s="57" t="s">
        <v>186</v>
      </c>
      <c r="JF31" s="58">
        <v>99</v>
      </c>
      <c r="JG31" s="58">
        <v>105</v>
      </c>
      <c r="JH31" s="58">
        <v>109</v>
      </c>
      <c r="JI31" s="58">
        <v>116</v>
      </c>
      <c r="JJ31" s="58">
        <f t="shared" si="126"/>
        <v>429</v>
      </c>
      <c r="JL31" s="57" t="s">
        <v>186</v>
      </c>
      <c r="JM31" s="58">
        <v>101</v>
      </c>
      <c r="JN31" s="58">
        <v>112</v>
      </c>
      <c r="JO31" s="58">
        <v>89</v>
      </c>
      <c r="JP31" s="58">
        <v>93</v>
      </c>
      <c r="JQ31" s="58">
        <f t="shared" si="127"/>
        <v>395</v>
      </c>
      <c r="JS31" s="57" t="s">
        <v>186</v>
      </c>
      <c r="JT31" s="58">
        <v>100</v>
      </c>
      <c r="JU31" s="58">
        <v>103</v>
      </c>
      <c r="JV31" s="58">
        <v>104</v>
      </c>
      <c r="JW31" s="58">
        <v>101</v>
      </c>
      <c r="JX31" s="58">
        <f t="shared" si="128"/>
        <v>408</v>
      </c>
      <c r="JZ31" s="57" t="s">
        <v>186</v>
      </c>
      <c r="KA31" s="58">
        <v>81</v>
      </c>
      <c r="KB31" s="58">
        <v>78</v>
      </c>
      <c r="KC31" s="58">
        <v>88</v>
      </c>
      <c r="KD31" s="58">
        <v>91</v>
      </c>
      <c r="KE31" s="58">
        <f t="shared" si="129"/>
        <v>338</v>
      </c>
      <c r="KG31" s="57" t="s">
        <v>186</v>
      </c>
      <c r="KH31" s="58">
        <v>88</v>
      </c>
      <c r="KI31" s="58">
        <v>87</v>
      </c>
      <c r="KJ31" s="58">
        <v>94</v>
      </c>
      <c r="KK31" s="58">
        <v>95</v>
      </c>
      <c r="KL31" s="58">
        <f t="shared" si="130"/>
        <v>364</v>
      </c>
      <c r="KN31" s="57" t="s">
        <v>186</v>
      </c>
      <c r="KO31" s="58">
        <v>100</v>
      </c>
      <c r="KP31" s="58">
        <v>95</v>
      </c>
      <c r="KQ31" s="58">
        <v>104</v>
      </c>
      <c r="KR31" s="58">
        <v>97</v>
      </c>
      <c r="KS31" s="58">
        <f t="shared" si="131"/>
        <v>396</v>
      </c>
      <c r="KU31" s="57" t="s">
        <v>186</v>
      </c>
      <c r="KV31" s="58">
        <v>82</v>
      </c>
      <c r="KW31" s="58">
        <v>90</v>
      </c>
      <c r="KX31" s="58">
        <v>94</v>
      </c>
      <c r="KY31" s="58">
        <v>88</v>
      </c>
      <c r="KZ31" s="58">
        <f t="shared" si="132"/>
        <v>354</v>
      </c>
      <c r="LB31" s="57" t="s">
        <v>186</v>
      </c>
      <c r="LC31" s="58">
        <f>Expense!LA11</f>
        <v>84</v>
      </c>
      <c r="LD31" s="127">
        <f>Expense!LB11</f>
        <v>85</v>
      </c>
      <c r="LE31" s="127">
        <f>Expense!LC11</f>
        <v>91</v>
      </c>
      <c r="LF31" s="127">
        <f>Expense!LD11</f>
        <v>95</v>
      </c>
      <c r="LG31" s="127">
        <f>Expense!LE11</f>
        <v>355</v>
      </c>
      <c r="LH31" s="558"/>
      <c r="LI31" s="57" t="s">
        <v>186</v>
      </c>
      <c r="LJ31" s="127">
        <f>Expense!LH11</f>
        <v>87</v>
      </c>
      <c r="LK31" s="127">
        <f>Expense!LI11</f>
        <v>94</v>
      </c>
      <c r="LL31" s="127">
        <f>Expense!LJ11</f>
        <v>86</v>
      </c>
      <c r="LM31" s="127">
        <f>Expense!LK11</f>
        <v>90</v>
      </c>
      <c r="LN31" s="127">
        <f>Expense!LL11</f>
        <v>357</v>
      </c>
      <c r="LO31" s="558"/>
      <c r="LP31" s="57" t="s">
        <v>186</v>
      </c>
      <c r="LQ31" s="127">
        <f>Expense!LO11</f>
        <v>89.981253049999992</v>
      </c>
      <c r="LR31" s="127">
        <f>Expense!LP11</f>
        <v>85.443413237499996</v>
      </c>
      <c r="LS31" s="127">
        <f>Expense!LQ11</f>
        <v>88.894419599999992</v>
      </c>
      <c r="LT31" s="127">
        <f>Expense!LR11</f>
        <v>96.047998149999998</v>
      </c>
      <c r="LU31" s="127">
        <f>Expense!LS11</f>
        <v>360.36708403749998</v>
      </c>
      <c r="LV31" s="558"/>
      <c r="LW31" s="57" t="s">
        <v>186</v>
      </c>
      <c r="LX31" s="127">
        <f>Expense!LV11</f>
        <v>87.07763595800624</v>
      </c>
      <c r="LY31" s="127">
        <f>Expense!LW11</f>
        <v>87.60591797149749</v>
      </c>
      <c r="LZ31" s="127">
        <f>Expense!LX11</f>
        <v>89.148262031956236</v>
      </c>
      <c r="MA31" s="127">
        <f>Expense!LY11</f>
        <v>92.824960334985022</v>
      </c>
      <c r="MB31" s="127">
        <f>Expense!LZ11</f>
        <v>356.65677629644495</v>
      </c>
      <c r="MC31" s="558"/>
      <c r="MD31" s="57" t="s">
        <v>186</v>
      </c>
      <c r="ME31" s="127">
        <f>Expense!MC11</f>
        <v>87.192413618472145</v>
      </c>
      <c r="MF31" s="127">
        <f>Expense!MD11</f>
        <v>91.476633987958678</v>
      </c>
      <c r="MG31" s="127">
        <f>Expense!ME11</f>
        <v>93.06046579537302</v>
      </c>
      <c r="MH31" s="127">
        <f>Expense!MF11</f>
        <v>92.78914654578162</v>
      </c>
      <c r="MI31" s="127">
        <f>Expense!MG11</f>
        <v>364.51865994758543</v>
      </c>
      <c r="MJ31" s="558"/>
    </row>
    <row r="32" spans="1:349" hidden="1" outlineLevel="1" x14ac:dyDescent="0.4">
      <c r="A32" s="48"/>
      <c r="B32" s="60" t="s">
        <v>189</v>
      </c>
      <c r="C32" s="61">
        <f>SUM(Expense!C45,Expense!C35)+Expense!C53</f>
        <v>0</v>
      </c>
      <c r="D32" s="61">
        <f>SUM(Expense!D45,Expense!D35)+Expense!D53</f>
        <v>0</v>
      </c>
      <c r="E32" s="61">
        <f>SUM(Expense!E45,Expense!E35)+Expense!E53</f>
        <v>0</v>
      </c>
      <c r="F32" s="61">
        <f>SUM(Expense!F45,Expense!F35)+Expense!F53</f>
        <v>0</v>
      </c>
      <c r="G32" s="61">
        <f>SUM(Expense!G45,Expense!G35)+Expense!G53</f>
        <v>0</v>
      </c>
      <c r="H32" s="61">
        <f>SUM(Expense!H45,Expense!H35)+Expense!H53</f>
        <v>0</v>
      </c>
      <c r="I32" s="61">
        <f>SUM(Expense!I45,Expense!I35)+Expense!I53</f>
        <v>0</v>
      </c>
      <c r="J32" s="61">
        <f>SUM(Expense!J45,Expense!J35)+Expense!J53</f>
        <v>0</v>
      </c>
      <c r="K32" s="61">
        <f>SUM(Expense!K45,Expense!K35)+Expense!K53</f>
        <v>0</v>
      </c>
      <c r="L32" s="61">
        <f>SUM(Expense!L45,Expense!L35)+Expense!L53</f>
        <v>0</v>
      </c>
      <c r="M32" s="61">
        <f>SUM(Expense!M45,Expense!M35)+Expense!M53</f>
        <v>0</v>
      </c>
      <c r="N32" s="61">
        <f t="shared" si="58"/>
        <v>189</v>
      </c>
      <c r="O32" s="61">
        <f t="shared" si="59"/>
        <v>823</v>
      </c>
      <c r="P32" s="61">
        <f t="shared" si="60"/>
        <v>964</v>
      </c>
      <c r="Q32" s="61">
        <f t="shared" si="61"/>
        <v>1059</v>
      </c>
      <c r="R32" s="61">
        <f t="shared" si="62"/>
        <v>1083</v>
      </c>
      <c r="S32" s="61">
        <f t="shared" si="63"/>
        <v>1229</v>
      </c>
      <c r="T32" s="61">
        <f t="shared" si="64"/>
        <v>1141</v>
      </c>
      <c r="U32" s="61">
        <f t="shared" si="65"/>
        <v>954</v>
      </c>
      <c r="V32" s="61">
        <f t="shared" si="66"/>
        <v>955</v>
      </c>
      <c r="W32" s="61">
        <f t="shared" si="67"/>
        <v>923</v>
      </c>
      <c r="X32" s="61">
        <f t="shared" si="68"/>
        <v>935</v>
      </c>
      <c r="Y32" s="61">
        <f t="shared" si="69"/>
        <v>377</v>
      </c>
      <c r="Z32" s="61">
        <f t="shared" si="70"/>
        <v>354</v>
      </c>
      <c r="AA32" s="61">
        <f t="shared" si="71"/>
        <v>411</v>
      </c>
      <c r="AB32" s="61">
        <f t="shared" si="72"/>
        <v>298</v>
      </c>
      <c r="AC32" s="61">
        <f t="shared" si="73"/>
        <v>293</v>
      </c>
      <c r="AD32" s="61">
        <f t="shared" si="74"/>
        <v>230</v>
      </c>
      <c r="AE32" s="61">
        <f t="shared" si="75"/>
        <v>242</v>
      </c>
      <c r="AF32" s="61">
        <f t="shared" si="76"/>
        <v>240</v>
      </c>
      <c r="AG32" s="61">
        <f t="shared" si="77"/>
        <v>253</v>
      </c>
      <c r="AH32" s="61">
        <f t="shared" si="78"/>
        <v>128</v>
      </c>
      <c r="AI32" s="61">
        <f t="shared" si="79"/>
        <v>0</v>
      </c>
      <c r="AJ32" s="61">
        <f t="shared" si="80"/>
        <v>0</v>
      </c>
      <c r="AK32" s="61">
        <f t="shared" si="81"/>
        <v>0</v>
      </c>
      <c r="AL32" s="61">
        <f t="shared" si="82"/>
        <v>0</v>
      </c>
      <c r="AM32" s="61">
        <f t="shared" si="83"/>
        <v>0</v>
      </c>
      <c r="AN32" s="61">
        <f t="shared" si="84"/>
        <v>0</v>
      </c>
      <c r="AO32" s="61">
        <f t="shared" si="85"/>
        <v>0</v>
      </c>
      <c r="AP32" s="61">
        <f t="shared" si="86"/>
        <v>0</v>
      </c>
      <c r="AQ32" s="61">
        <f t="shared" si="87"/>
        <v>0</v>
      </c>
      <c r="AR32" s="61">
        <f t="shared" si="88"/>
        <v>0</v>
      </c>
      <c r="AS32" s="61">
        <f t="shared" si="89"/>
        <v>0</v>
      </c>
      <c r="AT32" s="61">
        <f t="shared" si="90"/>
        <v>0</v>
      </c>
      <c r="AU32" s="61">
        <f t="shared" si="91"/>
        <v>0</v>
      </c>
      <c r="AV32" s="61">
        <f t="shared" si="92"/>
        <v>0</v>
      </c>
      <c r="AW32" s="61">
        <f t="shared" si="93"/>
        <v>0</v>
      </c>
      <c r="AX32" s="61">
        <f t="shared" si="94"/>
        <v>0</v>
      </c>
      <c r="AY32" s="61">
        <f t="shared" si="95"/>
        <v>0</v>
      </c>
      <c r="AZ32" s="61">
        <f t="shared" si="96"/>
        <v>0</v>
      </c>
      <c r="BA32" s="61">
        <f t="shared" si="97"/>
        <v>0</v>
      </c>
      <c r="BB32" s="61"/>
      <c r="BC32" s="61"/>
      <c r="BD32" s="61"/>
      <c r="BE32" s="61"/>
      <c r="BF32" s="61"/>
      <c r="BG32" s="61"/>
      <c r="BH32" s="61"/>
      <c r="BI32" s="61"/>
      <c r="BJ32" s="61"/>
      <c r="BK32" s="61"/>
      <c r="BL32" s="61"/>
      <c r="BM32" s="61"/>
      <c r="BN32" s="61"/>
      <c r="BO32" s="61"/>
      <c r="BQ32" s="60" t="s">
        <v>189</v>
      </c>
      <c r="BR32" s="61">
        <f>SUM(Expense!BP45,Expense!BP35)+Expense!BP53</f>
        <v>0</v>
      </c>
      <c r="BS32" s="61">
        <f>SUM(Expense!BQ45,Expense!BQ35)+Expense!BQ53</f>
        <v>0</v>
      </c>
      <c r="BT32" s="61">
        <f>SUM(Expense!BR45,Expense!BR35)+Expense!BR53</f>
        <v>0</v>
      </c>
      <c r="BU32" s="61">
        <f>SUM(Expense!BS45,Expense!BS35)+Expense!BS53</f>
        <v>189</v>
      </c>
      <c r="BV32" s="61">
        <f t="shared" si="98"/>
        <v>189</v>
      </c>
      <c r="BX32" s="60" t="s">
        <v>189</v>
      </c>
      <c r="BY32" s="61">
        <f>SUM(Expense!BW45,Expense!BW35)+Expense!BW53</f>
        <v>176</v>
      </c>
      <c r="BZ32" s="61">
        <f>SUM(Expense!BX45,Expense!BX35)+Expense!BX53</f>
        <v>199</v>
      </c>
      <c r="CA32" s="61">
        <f>SUM(Expense!BY45,Expense!BY35)+Expense!BY53</f>
        <v>212</v>
      </c>
      <c r="CB32" s="61">
        <f>SUM(Expense!BZ45,Expense!BZ35)+Expense!BZ53</f>
        <v>236</v>
      </c>
      <c r="CC32" s="61">
        <f t="shared" si="99"/>
        <v>823</v>
      </c>
      <c r="CE32" s="60" t="s">
        <v>189</v>
      </c>
      <c r="CF32" s="61">
        <f>SUM(Expense!CD45,Expense!CD35)+Expense!CD53</f>
        <v>216</v>
      </c>
      <c r="CG32" s="61">
        <f>SUM(Expense!CE45,Expense!CE35)+Expense!CE53</f>
        <v>242</v>
      </c>
      <c r="CH32" s="61">
        <f>SUM(Expense!CF45,Expense!CF35)+Expense!CF53</f>
        <v>244</v>
      </c>
      <c r="CI32" s="61">
        <f>SUM(Expense!CG45,Expense!CG35)+Expense!CG53</f>
        <v>262</v>
      </c>
      <c r="CJ32" s="61">
        <f t="shared" si="100"/>
        <v>964</v>
      </c>
      <c r="CL32" s="60" t="s">
        <v>189</v>
      </c>
      <c r="CM32" s="61">
        <f>SUM(Expense!CK45,Expense!CK35)+Expense!CK53</f>
        <v>269</v>
      </c>
      <c r="CN32" s="61">
        <f>SUM(Expense!CL45,Expense!CL35)+Expense!CL53</f>
        <v>263</v>
      </c>
      <c r="CO32" s="61">
        <f>SUM(Expense!CM45,Expense!CM35)+Expense!CM53</f>
        <v>269</v>
      </c>
      <c r="CP32" s="61">
        <f>SUM(Expense!CN45,Expense!CN35)+Expense!CN53</f>
        <v>258</v>
      </c>
      <c r="CQ32" s="61">
        <f t="shared" si="101"/>
        <v>1059</v>
      </c>
      <c r="CS32" s="60" t="s">
        <v>189</v>
      </c>
      <c r="CT32" s="61">
        <f>SUM(Expense!CR45,Expense!CR35)+Expense!CR53</f>
        <v>257</v>
      </c>
      <c r="CU32" s="61">
        <f>SUM(Expense!CS45,Expense!CS35)+Expense!CS53</f>
        <v>264</v>
      </c>
      <c r="CV32" s="61">
        <f>SUM(Expense!CT45,Expense!CT35)+Expense!CT53</f>
        <v>280</v>
      </c>
      <c r="CW32" s="61">
        <f>SUM(Expense!CU45,Expense!CU35)+Expense!CU53</f>
        <v>282</v>
      </c>
      <c r="CX32" s="61">
        <f t="shared" si="102"/>
        <v>1083</v>
      </c>
      <c r="CZ32" s="60" t="s">
        <v>189</v>
      </c>
      <c r="DA32" s="61">
        <f>SUM(Expense!CY45,Expense!CY35)+Expense!CY53</f>
        <v>283</v>
      </c>
      <c r="DB32" s="61">
        <f>SUM(Expense!CZ45,Expense!CZ35)+Expense!CZ53</f>
        <v>292</v>
      </c>
      <c r="DC32" s="61">
        <f>SUM(Expense!DA45,Expense!DA35)+Expense!DA53</f>
        <v>319</v>
      </c>
      <c r="DD32" s="61">
        <f>SUM(Expense!DB45,Expense!DB35)+Expense!DB53</f>
        <v>335</v>
      </c>
      <c r="DE32" s="61">
        <f t="shared" si="103"/>
        <v>1229</v>
      </c>
      <c r="DG32" s="60" t="s">
        <v>189</v>
      </c>
      <c r="DH32" s="61">
        <f>SUM(Expense!DF45,Expense!DF35)+Expense!DF53</f>
        <v>276</v>
      </c>
      <c r="DI32" s="61">
        <f>SUM(Expense!DG45,Expense!DG35)+Expense!DG53</f>
        <v>285</v>
      </c>
      <c r="DJ32" s="61">
        <f>SUM(Expense!DH45,Expense!DH35)+Expense!DH53</f>
        <v>284</v>
      </c>
      <c r="DK32" s="61">
        <f>SUM(Expense!DI45,Expense!DI35)+Expense!DI53</f>
        <v>296</v>
      </c>
      <c r="DL32" s="61">
        <f t="shared" si="104"/>
        <v>1141</v>
      </c>
      <c r="DN32" s="60" t="s">
        <v>189</v>
      </c>
      <c r="DO32" s="61">
        <f>SUM(Expense!DM45,Expense!DM35)+Expense!DM53</f>
        <v>222</v>
      </c>
      <c r="DP32" s="61">
        <f>SUM(Expense!DN45,Expense!DN35)+Expense!DN53</f>
        <v>242</v>
      </c>
      <c r="DQ32" s="61">
        <f>SUM(Expense!DO45,Expense!DO35)+Expense!DO53</f>
        <v>249</v>
      </c>
      <c r="DR32" s="61">
        <f>SUM(Expense!DP45,Expense!DP35)+Expense!DP53</f>
        <v>241</v>
      </c>
      <c r="DS32" s="61">
        <f t="shared" si="105"/>
        <v>954</v>
      </c>
      <c r="DU32" s="60" t="s">
        <v>189</v>
      </c>
      <c r="DV32" s="61">
        <f>SUM(Expense!DT45,Expense!DT35)+Expense!DT53</f>
        <v>224</v>
      </c>
      <c r="DW32" s="61">
        <f>SUM(Expense!DU45,Expense!DU35)+Expense!DU53</f>
        <v>240</v>
      </c>
      <c r="DX32" s="61">
        <f>SUM(Expense!DV45,Expense!DV35)+Expense!DV53</f>
        <v>251</v>
      </c>
      <c r="DY32" s="61">
        <f>SUM(Expense!DW45,Expense!DW35)+Expense!DW53</f>
        <v>240</v>
      </c>
      <c r="DZ32" s="61">
        <f t="shared" si="106"/>
        <v>955</v>
      </c>
      <c r="EB32" s="60" t="s">
        <v>189</v>
      </c>
      <c r="EC32" s="61">
        <f>SUM(Expense!EA45,Expense!EA35)+Expense!EA53</f>
        <v>231</v>
      </c>
      <c r="ED32" s="61">
        <f>SUM(Expense!EB45,Expense!EB35)+Expense!EB53</f>
        <v>230</v>
      </c>
      <c r="EE32" s="61">
        <f>SUM(Expense!EC45,Expense!EC35)+Expense!EC53</f>
        <v>236</v>
      </c>
      <c r="EF32" s="61">
        <f>SUM(Expense!ED45,Expense!ED35)+Expense!ED53</f>
        <v>226</v>
      </c>
      <c r="EG32" s="61">
        <f t="shared" si="107"/>
        <v>923</v>
      </c>
      <c r="EI32" s="60" t="s">
        <v>189</v>
      </c>
      <c r="EJ32" s="61">
        <f>SUM(Expense!EH45,Expense!EH35)+Expense!EH53</f>
        <v>229</v>
      </c>
      <c r="EK32" s="61">
        <f>SUM(Expense!EI45,Expense!EI35)+Expense!EI53</f>
        <v>235</v>
      </c>
      <c r="EL32" s="61">
        <f>SUM(Expense!EJ45,Expense!EJ35)+Expense!EJ53</f>
        <v>243</v>
      </c>
      <c r="EM32" s="61">
        <f>SUM(Expense!EK45,Expense!EK35)+Expense!EK53</f>
        <v>228</v>
      </c>
      <c r="EN32" s="61">
        <f t="shared" si="108"/>
        <v>935</v>
      </c>
      <c r="EP32" s="60" t="s">
        <v>189</v>
      </c>
      <c r="EQ32" s="61">
        <f>SUM(Expense!EO45,Expense!EO35)+Expense!EO53</f>
        <v>88</v>
      </c>
      <c r="ER32" s="61">
        <f>SUM(Expense!EP45,Expense!EP35)+Expense!EP53</f>
        <v>95</v>
      </c>
      <c r="ES32" s="61">
        <f>SUM(Expense!EQ45,Expense!EQ35)+Expense!EQ53</f>
        <v>98</v>
      </c>
      <c r="ET32" s="61">
        <f>SUM(Expense!ER45,Expense!ER35)+Expense!ER53</f>
        <v>96</v>
      </c>
      <c r="EU32" s="61">
        <f t="shared" si="109"/>
        <v>377</v>
      </c>
      <c r="EW32" s="60" t="s">
        <v>189</v>
      </c>
      <c r="EX32" s="61">
        <f>SUM(Expense!EV45,Expense!EV35)+Expense!EV53</f>
        <v>90</v>
      </c>
      <c r="EY32" s="61">
        <f>SUM(Expense!EW45,Expense!EW35)+Expense!EW53</f>
        <v>87</v>
      </c>
      <c r="EZ32" s="61">
        <f>SUM(Expense!EX45,Expense!EX35)+Expense!EX53</f>
        <v>88</v>
      </c>
      <c r="FA32" s="61">
        <f>SUM(Expense!EY45,Expense!EY35)+Expense!EY53</f>
        <v>89</v>
      </c>
      <c r="FB32" s="61">
        <f t="shared" si="110"/>
        <v>354</v>
      </c>
      <c r="FD32" s="60" t="s">
        <v>189</v>
      </c>
      <c r="FE32" s="61">
        <f>SUM(Expense!FC45,Expense!FC35)+Expense!FC53</f>
        <v>91</v>
      </c>
      <c r="FF32" s="61">
        <f>SUM(Expense!FD45,Expense!FD35)+Expense!FD53</f>
        <v>99</v>
      </c>
      <c r="FG32" s="61">
        <f>SUM(Expense!FE45,Expense!FE35)+Expense!FE53</f>
        <v>114</v>
      </c>
      <c r="FH32" s="61">
        <f>SUM(Expense!FF45,Expense!FF35)+Expense!FF53</f>
        <v>107</v>
      </c>
      <c r="FI32" s="61">
        <f t="shared" si="111"/>
        <v>411</v>
      </c>
      <c r="FK32" s="60" t="s">
        <v>189</v>
      </c>
      <c r="FL32" s="61">
        <f>SUM(Expense!FJ45,Expense!FJ35)</f>
        <v>74</v>
      </c>
      <c r="FM32" s="61">
        <f>SUM(Expense!FK45,Expense!FK35)</f>
        <v>77</v>
      </c>
      <c r="FN32" s="61">
        <f>SUM(Expense!FL45,Expense!FL35)</f>
        <v>74</v>
      </c>
      <c r="FO32" s="61">
        <f>SUM(Expense!FM45,Expense!FM35)</f>
        <v>73</v>
      </c>
      <c r="FP32" s="61">
        <f t="shared" si="112"/>
        <v>298</v>
      </c>
      <c r="FR32" s="60" t="s">
        <v>189</v>
      </c>
      <c r="FS32" s="61">
        <f>SUM(Expense!FQ45,Expense!FQ35)</f>
        <v>74</v>
      </c>
      <c r="FT32" s="61">
        <f>SUM(Expense!FR45,Expense!FR35)</f>
        <v>70</v>
      </c>
      <c r="FU32" s="61">
        <f>SUM(Expense!FS45,Expense!FS35)</f>
        <v>72</v>
      </c>
      <c r="FV32" s="61">
        <f>SUM(Expense!FT45,Expense!FT35)</f>
        <v>77</v>
      </c>
      <c r="FW32" s="61">
        <f t="shared" si="113"/>
        <v>293</v>
      </c>
      <c r="FY32" s="60" t="s">
        <v>189</v>
      </c>
      <c r="FZ32" s="61">
        <f>SUM(Expense!FX45,Expense!FX35)</f>
        <v>56</v>
      </c>
      <c r="GA32" s="61">
        <f>SUM(Expense!FY45,Expense!FY35)</f>
        <v>64</v>
      </c>
      <c r="GB32" s="61">
        <f>SUM(Expense!FZ45,Expense!FZ35)</f>
        <v>55</v>
      </c>
      <c r="GC32" s="61">
        <f>SUM(Expense!GA45,Expense!GA35)</f>
        <v>55</v>
      </c>
      <c r="GD32" s="61">
        <f t="shared" si="114"/>
        <v>230</v>
      </c>
      <c r="GF32" s="60" t="s">
        <v>189</v>
      </c>
      <c r="GG32" s="61">
        <f>SUM(Expense!GE45,Expense!GE35)</f>
        <v>56</v>
      </c>
      <c r="GH32" s="61">
        <f>SUM(Expense!GF45,Expense!GF35)</f>
        <v>62</v>
      </c>
      <c r="GI32" s="61">
        <f>SUM(Expense!GG45,Expense!GG35)</f>
        <v>63</v>
      </c>
      <c r="GJ32" s="61">
        <f>SUM(Expense!GH45,Expense!GH35)</f>
        <v>61</v>
      </c>
      <c r="GK32" s="61">
        <f t="shared" si="115"/>
        <v>242</v>
      </c>
      <c r="GM32" s="60" t="s">
        <v>189</v>
      </c>
      <c r="GN32" s="61">
        <f>SUM(Expense!GL45,Expense!GL35)</f>
        <v>57</v>
      </c>
      <c r="GO32" s="61">
        <f>SUM(Expense!GM45,Expense!GM35)</f>
        <v>60</v>
      </c>
      <c r="GP32" s="61">
        <f>SUM(Expense!GN45,Expense!GN35)</f>
        <v>60</v>
      </c>
      <c r="GQ32" s="61">
        <f>SUM(Expense!GO45,Expense!GO35)</f>
        <v>63</v>
      </c>
      <c r="GR32" s="61">
        <f t="shared" si="116"/>
        <v>240</v>
      </c>
      <c r="GT32" s="60" t="s">
        <v>189</v>
      </c>
      <c r="GU32" s="61">
        <f>SUM(Expense!GS45,Expense!GS35)</f>
        <v>63</v>
      </c>
      <c r="GV32" s="61">
        <f>SUM(Expense!GT45,Expense!GT35)</f>
        <v>68</v>
      </c>
      <c r="GW32" s="61">
        <f>SUM(Expense!GU45,Expense!GU35)</f>
        <v>65</v>
      </c>
      <c r="GX32" s="61">
        <f>SUM(Expense!GV45,Expense!GV35)</f>
        <v>57</v>
      </c>
      <c r="GY32" s="61">
        <f t="shared" si="117"/>
        <v>253</v>
      </c>
      <c r="HA32" s="60" t="s">
        <v>189</v>
      </c>
      <c r="HB32" s="61">
        <v>58</v>
      </c>
      <c r="HC32" s="61">
        <v>0</v>
      </c>
      <c r="HD32" s="61">
        <v>0</v>
      </c>
      <c r="HE32" s="61">
        <v>70</v>
      </c>
      <c r="HF32" s="61">
        <f t="shared" si="118"/>
        <v>128</v>
      </c>
      <c r="HH32" s="60" t="s">
        <v>189</v>
      </c>
      <c r="HI32" s="61">
        <v>0</v>
      </c>
      <c r="HJ32" s="61">
        <v>0</v>
      </c>
      <c r="HK32" s="61">
        <v>0</v>
      </c>
      <c r="HL32" s="61">
        <v>0</v>
      </c>
      <c r="HM32" s="61">
        <f t="shared" si="119"/>
        <v>0</v>
      </c>
      <c r="HO32" s="60" t="s">
        <v>189</v>
      </c>
      <c r="HP32" s="61">
        <v>0</v>
      </c>
      <c r="HQ32" s="61">
        <v>0</v>
      </c>
      <c r="HR32" s="61">
        <v>0</v>
      </c>
      <c r="HS32" s="61">
        <v>0</v>
      </c>
      <c r="HT32" s="61">
        <f t="shared" si="120"/>
        <v>0</v>
      </c>
      <c r="HV32" s="60" t="s">
        <v>189</v>
      </c>
      <c r="HW32" s="61">
        <v>0</v>
      </c>
      <c r="HX32" s="61">
        <v>0</v>
      </c>
      <c r="HY32" s="61">
        <v>0</v>
      </c>
      <c r="HZ32" s="61">
        <v>0</v>
      </c>
      <c r="IA32" s="61">
        <f t="shared" si="121"/>
        <v>0</v>
      </c>
      <c r="IC32" s="60" t="s">
        <v>189</v>
      </c>
      <c r="ID32" s="61">
        <v>0</v>
      </c>
      <c r="IE32" s="61">
        <v>0</v>
      </c>
      <c r="IF32" s="61">
        <v>0</v>
      </c>
      <c r="IG32" s="61">
        <v>0</v>
      </c>
      <c r="IH32" s="61">
        <f t="shared" si="122"/>
        <v>0</v>
      </c>
      <c r="IJ32" s="60" t="s">
        <v>189</v>
      </c>
      <c r="IK32" s="61">
        <v>0</v>
      </c>
      <c r="IL32" s="61">
        <v>0</v>
      </c>
      <c r="IM32" s="61">
        <v>0</v>
      </c>
      <c r="IN32" s="61">
        <v>0</v>
      </c>
      <c r="IO32" s="61">
        <f t="shared" si="123"/>
        <v>0</v>
      </c>
      <c r="IQ32" s="60" t="s">
        <v>189</v>
      </c>
      <c r="IR32" s="61">
        <v>0</v>
      </c>
      <c r="IS32" s="61">
        <v>0</v>
      </c>
      <c r="IT32" s="61">
        <v>0</v>
      </c>
      <c r="IU32" s="61">
        <v>0</v>
      </c>
      <c r="IV32" s="61">
        <f t="shared" si="124"/>
        <v>0</v>
      </c>
      <c r="IX32" s="60" t="s">
        <v>189</v>
      </c>
      <c r="IY32" s="61">
        <v>0</v>
      </c>
      <c r="IZ32" s="61">
        <v>0</v>
      </c>
      <c r="JA32" s="61">
        <v>0</v>
      </c>
      <c r="JB32" s="61">
        <v>0</v>
      </c>
      <c r="JC32" s="61">
        <f t="shared" si="125"/>
        <v>0</v>
      </c>
      <c r="JE32" s="60" t="s">
        <v>189</v>
      </c>
      <c r="JF32" s="61">
        <v>0</v>
      </c>
      <c r="JG32" s="61">
        <v>0</v>
      </c>
      <c r="JH32" s="61">
        <v>0</v>
      </c>
      <c r="JI32" s="61">
        <v>0</v>
      </c>
      <c r="JJ32" s="61">
        <f t="shared" si="126"/>
        <v>0</v>
      </c>
      <c r="JL32" s="60" t="s">
        <v>189</v>
      </c>
      <c r="JM32" s="61">
        <v>0</v>
      </c>
      <c r="JN32" s="61">
        <v>0</v>
      </c>
      <c r="JO32" s="61">
        <v>0</v>
      </c>
      <c r="JP32" s="61">
        <v>0</v>
      </c>
      <c r="JQ32" s="61">
        <f t="shared" si="127"/>
        <v>0</v>
      </c>
      <c r="JS32" s="60" t="s">
        <v>189</v>
      </c>
      <c r="JT32" s="61">
        <v>0</v>
      </c>
      <c r="JU32" s="61">
        <v>0</v>
      </c>
      <c r="JV32" s="61">
        <v>0</v>
      </c>
      <c r="JW32" s="61">
        <v>0</v>
      </c>
      <c r="JX32" s="61">
        <f t="shared" si="128"/>
        <v>0</v>
      </c>
      <c r="JZ32" s="60" t="s">
        <v>189</v>
      </c>
      <c r="KA32" s="61">
        <v>0</v>
      </c>
      <c r="KB32" s="61">
        <v>0</v>
      </c>
      <c r="KC32" s="61">
        <v>0</v>
      </c>
      <c r="KD32" s="61">
        <v>0</v>
      </c>
      <c r="KE32" s="61">
        <f t="shared" si="129"/>
        <v>0</v>
      </c>
      <c r="KG32" s="60" t="s">
        <v>189</v>
      </c>
      <c r="KH32" s="61">
        <v>0</v>
      </c>
      <c r="KI32" s="61">
        <v>0</v>
      </c>
      <c r="KJ32" s="61">
        <v>0</v>
      </c>
      <c r="KK32" s="61">
        <v>0</v>
      </c>
      <c r="KL32" s="61">
        <f t="shared" si="130"/>
        <v>0</v>
      </c>
      <c r="KN32" s="60" t="s">
        <v>189</v>
      </c>
      <c r="KO32" s="61">
        <v>0</v>
      </c>
      <c r="KP32" s="61">
        <v>0</v>
      </c>
      <c r="KQ32" s="61">
        <v>0</v>
      </c>
      <c r="KR32" s="61">
        <v>0</v>
      </c>
      <c r="KS32" s="61">
        <f t="shared" si="131"/>
        <v>0</v>
      </c>
      <c r="KU32" s="60" t="s">
        <v>189</v>
      </c>
      <c r="KV32" s="61">
        <v>0</v>
      </c>
      <c r="KW32" s="61">
        <v>0</v>
      </c>
      <c r="KX32" s="61">
        <v>0</v>
      </c>
      <c r="KY32" s="61">
        <v>0</v>
      </c>
      <c r="KZ32" s="61">
        <f t="shared" si="132"/>
        <v>0</v>
      </c>
      <c r="LB32" s="60" t="s">
        <v>189</v>
      </c>
      <c r="LC32" s="61">
        <f>Expense!LA12</f>
        <v>0</v>
      </c>
      <c r="LD32" s="129">
        <f>Expense!LB12</f>
        <v>0</v>
      </c>
      <c r="LE32" s="129">
        <f>Expense!LC12</f>
        <v>0</v>
      </c>
      <c r="LF32" s="129">
        <f>Expense!LD12</f>
        <v>0</v>
      </c>
      <c r="LG32" s="129">
        <f>Expense!LE12</f>
        <v>0</v>
      </c>
      <c r="LH32" s="558"/>
      <c r="LI32" s="60" t="s">
        <v>189</v>
      </c>
      <c r="LJ32" s="129">
        <f>Expense!LH12</f>
        <v>0</v>
      </c>
      <c r="LK32" s="129">
        <f>Expense!LI12</f>
        <v>0</v>
      </c>
      <c r="LL32" s="129">
        <f>Expense!LJ12</f>
        <v>0</v>
      </c>
      <c r="LM32" s="129">
        <f>Expense!LK12</f>
        <v>0</v>
      </c>
      <c r="LN32" s="129">
        <f>Expense!LL12</f>
        <v>0</v>
      </c>
      <c r="LO32" s="558"/>
      <c r="LP32" s="60" t="s">
        <v>189</v>
      </c>
      <c r="LQ32" s="129">
        <f>Expense!LO12</f>
        <v>0</v>
      </c>
      <c r="LR32" s="129">
        <f>Expense!LP12</f>
        <v>0</v>
      </c>
      <c r="LS32" s="129">
        <f>Expense!LQ12</f>
        <v>0</v>
      </c>
      <c r="LT32" s="129">
        <f>Expense!LR12</f>
        <v>0</v>
      </c>
      <c r="LU32" s="129">
        <f>Expense!LS12</f>
        <v>0</v>
      </c>
      <c r="LV32" s="558"/>
      <c r="LW32" s="60" t="s">
        <v>189</v>
      </c>
      <c r="LX32" s="129">
        <f>Expense!LV12</f>
        <v>0</v>
      </c>
      <c r="LY32" s="129">
        <f>Expense!LW12</f>
        <v>0</v>
      </c>
      <c r="LZ32" s="129">
        <f>Expense!LX12</f>
        <v>0</v>
      </c>
      <c r="MA32" s="129">
        <f>Expense!LY12</f>
        <v>0</v>
      </c>
      <c r="MB32" s="129">
        <f>Expense!LZ12</f>
        <v>0</v>
      </c>
      <c r="MC32" s="558"/>
      <c r="MD32" s="60" t="s">
        <v>189</v>
      </c>
      <c r="ME32" s="129">
        <f>Expense!MC12</f>
        <v>0</v>
      </c>
      <c r="MF32" s="129">
        <f>Expense!MD12</f>
        <v>0</v>
      </c>
      <c r="MG32" s="129">
        <f>Expense!ME12</f>
        <v>0</v>
      </c>
      <c r="MH32" s="129">
        <f>Expense!MF12</f>
        <v>0</v>
      </c>
      <c r="MI32" s="129">
        <f>Expense!MG12</f>
        <v>0</v>
      </c>
      <c r="MJ32" s="558"/>
    </row>
    <row r="33" spans="1:349" collapsed="1" x14ac:dyDescent="0.4">
      <c r="A33" s="48"/>
      <c r="B33" s="57" t="s">
        <v>245</v>
      </c>
      <c r="C33" s="58">
        <f t="shared" ref="C33:M33" si="133">C23-SUM(C27:C32)</f>
        <v>29.311000000000149</v>
      </c>
      <c r="D33" s="58">
        <f t="shared" si="133"/>
        <v>-29.5</v>
      </c>
      <c r="E33" s="58">
        <f t="shared" si="133"/>
        <v>-15.5</v>
      </c>
      <c r="F33" s="58">
        <f t="shared" si="133"/>
        <v>-22</v>
      </c>
      <c r="G33" s="58">
        <f t="shared" si="133"/>
        <v>194</v>
      </c>
      <c r="H33" s="58">
        <f t="shared" si="133"/>
        <v>158</v>
      </c>
      <c r="I33" s="58">
        <f t="shared" si="133"/>
        <v>128</v>
      </c>
      <c r="J33" s="58">
        <f t="shared" si="133"/>
        <v>141</v>
      </c>
      <c r="K33" s="58">
        <f t="shared" si="133"/>
        <v>1071</v>
      </c>
      <c r="L33" s="58">
        <f t="shared" si="133"/>
        <v>139</v>
      </c>
      <c r="M33" s="58">
        <f t="shared" si="133"/>
        <v>2</v>
      </c>
      <c r="N33" s="58">
        <f t="shared" si="58"/>
        <v>6</v>
      </c>
      <c r="O33" s="58">
        <f t="shared" si="59"/>
        <v>1</v>
      </c>
      <c r="P33" s="58">
        <f t="shared" si="60"/>
        <v>-38</v>
      </c>
      <c r="Q33" s="58">
        <f t="shared" si="61"/>
        <v>-5</v>
      </c>
      <c r="R33" s="58">
        <f t="shared" si="62"/>
        <v>135</v>
      </c>
      <c r="S33" s="58">
        <f t="shared" si="63"/>
        <v>148</v>
      </c>
      <c r="T33" s="58">
        <f t="shared" si="64"/>
        <v>273</v>
      </c>
      <c r="U33" s="58">
        <f t="shared" si="65"/>
        <v>300</v>
      </c>
      <c r="V33" s="58">
        <f t="shared" si="66"/>
        <v>622</v>
      </c>
      <c r="W33" s="58">
        <f t="shared" si="67"/>
        <v>336</v>
      </c>
      <c r="X33" s="58">
        <f t="shared" si="68"/>
        <v>666</v>
      </c>
      <c r="Y33" s="58">
        <f t="shared" si="69"/>
        <v>591</v>
      </c>
      <c r="Z33" s="58">
        <f t="shared" si="70"/>
        <v>330</v>
      </c>
      <c r="AA33" s="58">
        <f t="shared" si="71"/>
        <v>278</v>
      </c>
      <c r="AB33" s="58">
        <f t="shared" si="72"/>
        <v>461</v>
      </c>
      <c r="AC33" s="58">
        <f t="shared" si="73"/>
        <v>239</v>
      </c>
      <c r="AD33" s="58">
        <f t="shared" si="74"/>
        <v>64</v>
      </c>
      <c r="AE33" s="58">
        <f t="shared" si="75"/>
        <v>-166</v>
      </c>
      <c r="AF33" s="58">
        <f t="shared" si="76"/>
        <v>-26</v>
      </c>
      <c r="AG33" s="58">
        <f t="shared" si="77"/>
        <v>0</v>
      </c>
      <c r="AH33" s="58">
        <f t="shared" si="78"/>
        <v>0</v>
      </c>
      <c r="AI33" s="58">
        <f t="shared" si="79"/>
        <v>-30</v>
      </c>
      <c r="AJ33" s="58">
        <f t="shared" si="80"/>
        <v>0</v>
      </c>
      <c r="AK33" s="58">
        <f t="shared" si="81"/>
        <v>0</v>
      </c>
      <c r="AL33" s="58">
        <f t="shared" si="82"/>
        <v>0</v>
      </c>
      <c r="AM33" s="58">
        <f t="shared" si="83"/>
        <v>0</v>
      </c>
      <c r="AN33" s="58">
        <f t="shared" si="84"/>
        <v>0</v>
      </c>
      <c r="AO33" s="58">
        <f t="shared" si="85"/>
        <v>-13</v>
      </c>
      <c r="AP33" s="58">
        <f t="shared" si="86"/>
        <v>-78</v>
      </c>
      <c r="AQ33" s="58">
        <f t="shared" si="87"/>
        <v>-96</v>
      </c>
      <c r="AR33" s="58">
        <f t="shared" si="88"/>
        <v>-91</v>
      </c>
      <c r="AS33" s="58">
        <f t="shared" si="89"/>
        <v>0</v>
      </c>
      <c r="AT33" s="58">
        <f t="shared" si="90"/>
        <v>-102</v>
      </c>
      <c r="AU33" s="58">
        <f t="shared" si="91"/>
        <v>-116</v>
      </c>
      <c r="AV33" s="58">
        <f t="shared" si="92"/>
        <v>-34</v>
      </c>
      <c r="AW33" s="58">
        <f t="shared" si="93"/>
        <v>-11</v>
      </c>
      <c r="AX33" s="58">
        <f t="shared" si="94"/>
        <v>0</v>
      </c>
      <c r="AY33" s="58">
        <f t="shared" si="95"/>
        <v>0</v>
      </c>
      <c r="AZ33" s="58">
        <f t="shared" si="96"/>
        <v>0</v>
      </c>
      <c r="BA33" s="58">
        <f t="shared" si="97"/>
        <v>0</v>
      </c>
      <c r="BB33" s="58"/>
      <c r="BC33" s="58"/>
      <c r="BD33" s="58"/>
      <c r="BE33" s="58"/>
      <c r="BF33" s="58"/>
      <c r="BG33" s="58"/>
      <c r="BH33" s="58"/>
      <c r="BI33" s="58"/>
      <c r="BJ33" s="58"/>
      <c r="BK33" s="58"/>
      <c r="BL33" s="58"/>
      <c r="BM33" s="58"/>
      <c r="BN33" s="58"/>
      <c r="BO33" s="58"/>
      <c r="BQ33" s="57" t="s">
        <v>245</v>
      </c>
      <c r="BR33" s="58">
        <f>Expense!BP39+Expense!BP56+Expense!BP70+Expense!BP67+Revenue!BP545</f>
        <v>2</v>
      </c>
      <c r="BS33" s="58">
        <f>Expense!BQ39+Expense!BQ56+Expense!BQ70+Expense!BQ67+Revenue!BQ545</f>
        <v>3</v>
      </c>
      <c r="BT33" s="58">
        <f>Expense!BR39+Expense!BR56+Expense!BR70+Expense!BR67+Revenue!BR545</f>
        <v>1</v>
      </c>
      <c r="BU33" s="58">
        <f>Expense!BS39+Expense!BS56+Expense!BS70+Expense!BS67+Revenue!BS545</f>
        <v>0</v>
      </c>
      <c r="BV33" s="58">
        <f t="shared" si="98"/>
        <v>6</v>
      </c>
      <c r="BX33" s="57" t="s">
        <v>245</v>
      </c>
      <c r="BY33" s="58">
        <f>Expense!BW39+Expense!BW56+Expense!BW70+Expense!BW67+Revenue!BW545</f>
        <v>-6</v>
      </c>
      <c r="BZ33" s="58">
        <f>Expense!BX39+Expense!BX56+Expense!BX70+Expense!BX67+Revenue!BX545</f>
        <v>5</v>
      </c>
      <c r="CA33" s="58">
        <f>Expense!BY39+Expense!BY56+Expense!BY70+Expense!BY67+Revenue!BY545</f>
        <v>8</v>
      </c>
      <c r="CB33" s="58">
        <f>Expense!BZ39+Expense!BZ56+Expense!BZ70+Expense!BZ67+Revenue!BZ545</f>
        <v>-6</v>
      </c>
      <c r="CC33" s="58">
        <f t="shared" si="99"/>
        <v>1</v>
      </c>
      <c r="CE33" s="57" t="s">
        <v>245</v>
      </c>
      <c r="CF33" s="58">
        <f>Expense!CD39+Expense!CD56+Expense!CD70+Expense!CD67+Revenue!CD545</f>
        <v>-11</v>
      </c>
      <c r="CG33" s="58">
        <f>Expense!CE39+Expense!CE56+Expense!CE70+Expense!CE67+Revenue!CE545</f>
        <v>-6</v>
      </c>
      <c r="CH33" s="58">
        <f>Expense!CF39+Expense!CF56+Expense!CF70+Expense!CF67+Revenue!CF545</f>
        <v>0</v>
      </c>
      <c r="CI33" s="58">
        <f>Expense!CG39+Expense!CG56+Expense!CG70+Expense!CG67+Revenue!CG545</f>
        <v>-21</v>
      </c>
      <c r="CJ33" s="58">
        <f t="shared" si="100"/>
        <v>-38</v>
      </c>
      <c r="CL33" s="57" t="s">
        <v>245</v>
      </c>
      <c r="CM33" s="58">
        <f>Expense!CK39+Expense!CK56+Expense!CK70+Expense!CK67+Revenue!CK545</f>
        <v>-14</v>
      </c>
      <c r="CN33" s="58">
        <f>Expense!CL39+Expense!CL56+Expense!CL70+Expense!CL67+Revenue!CL545</f>
        <v>3</v>
      </c>
      <c r="CO33" s="58">
        <f>Expense!CM39+Expense!CM56+Expense!CM70+Expense!CM67+Revenue!CM545</f>
        <v>4</v>
      </c>
      <c r="CP33" s="58">
        <f>Expense!CN39+Expense!CN56+Expense!CN70+Expense!CN67+Revenue!CN545</f>
        <v>2</v>
      </c>
      <c r="CQ33" s="58">
        <f t="shared" si="101"/>
        <v>-5</v>
      </c>
      <c r="CS33" s="57" t="s">
        <v>245</v>
      </c>
      <c r="CT33" s="58">
        <f>Expense!CR39+Expense!CR56+Expense!CR70+Expense!CR67+Revenue!CR545</f>
        <v>20</v>
      </c>
      <c r="CU33" s="58">
        <f>Expense!CS39+Expense!CS56+Expense!CS70+Expense!CS67+Revenue!CS545</f>
        <v>47</v>
      </c>
      <c r="CV33" s="58">
        <f>Expense!CT39+Expense!CT56+Expense!CT70+Expense!CT67+Revenue!CT545</f>
        <v>34</v>
      </c>
      <c r="CW33" s="58">
        <f>Expense!CU39+Expense!CU56+Expense!CU70+Expense!CU67+Revenue!CU545</f>
        <v>34</v>
      </c>
      <c r="CX33" s="58">
        <f t="shared" si="102"/>
        <v>135</v>
      </c>
      <c r="CZ33" s="57" t="s">
        <v>245</v>
      </c>
      <c r="DA33" s="58">
        <f>Expense!CY39+Expense!CY56+Expense!CY70+Expense!CY67+Revenue!CY545</f>
        <v>29</v>
      </c>
      <c r="DB33" s="58">
        <f>Expense!CZ39+Expense!CZ56+Expense!CZ70+Expense!CZ67+Revenue!CZ545</f>
        <v>37</v>
      </c>
      <c r="DC33" s="58">
        <f>Expense!DA39+Expense!DA56+Expense!DA70+Expense!DA67+Revenue!DA545</f>
        <v>44</v>
      </c>
      <c r="DD33" s="58">
        <f>Expense!DB39+Expense!DB56+Expense!DB70+Expense!DB67+Revenue!DB545</f>
        <v>38</v>
      </c>
      <c r="DE33" s="58">
        <f t="shared" si="103"/>
        <v>148</v>
      </c>
      <c r="DG33" s="57" t="s">
        <v>245</v>
      </c>
      <c r="DH33" s="58">
        <f>Expense!DF39+Expense!DF56+Expense!DF70+Expense!DF67</f>
        <v>67</v>
      </c>
      <c r="DI33" s="58">
        <f>Expense!DG39+Expense!DG56+Expense!DG70+Expense!DG67</f>
        <v>59</v>
      </c>
      <c r="DJ33" s="58">
        <f>Expense!DH39+Expense!DH56+Expense!DH70+Expense!DH67</f>
        <v>71</v>
      </c>
      <c r="DK33" s="58">
        <f>Expense!DI39+Expense!DI56+Expense!DI70+Expense!DI67</f>
        <v>76</v>
      </c>
      <c r="DL33" s="58">
        <f t="shared" si="104"/>
        <v>273</v>
      </c>
      <c r="DN33" s="57" t="s">
        <v>245</v>
      </c>
      <c r="DO33" s="58">
        <f>Expense!DM39+Expense!DM56+Expense!DM70+Expense!DM67</f>
        <v>63</v>
      </c>
      <c r="DP33" s="58">
        <f>Expense!DN39+Expense!DN56+Expense!DN70+Expense!DN67</f>
        <v>75</v>
      </c>
      <c r="DQ33" s="58">
        <f>Expense!DO39+Expense!DO56+Expense!DO70+Expense!DO67</f>
        <v>81</v>
      </c>
      <c r="DR33" s="58">
        <f>Expense!DP39+Expense!DP56+Expense!DP70+Expense!DP67</f>
        <v>81</v>
      </c>
      <c r="DS33" s="58">
        <f t="shared" si="105"/>
        <v>300</v>
      </c>
      <c r="DU33" s="57" t="s">
        <v>245</v>
      </c>
      <c r="DV33" s="58">
        <f>Expense!DT39+Expense!DT56+Expense!DT70+Expense!DT67</f>
        <v>77</v>
      </c>
      <c r="DW33" s="58">
        <f>Expense!DU39+Expense!DU56+Expense!DU70+Expense!DU67</f>
        <v>96</v>
      </c>
      <c r="DX33" s="58">
        <f>Expense!DV39+Expense!DV56+Expense!DV70+Expense!DV67</f>
        <v>221</v>
      </c>
      <c r="DY33" s="58">
        <f>Expense!DW39+Expense!DW56+Expense!DW70+Expense!DW67</f>
        <v>228</v>
      </c>
      <c r="DZ33" s="58">
        <f t="shared" si="106"/>
        <v>622</v>
      </c>
      <c r="EB33" s="57" t="s">
        <v>245</v>
      </c>
      <c r="EC33" s="58">
        <f>Expense!EA39+Expense!EA56+Expense!EA70+Expense!EA67</f>
        <v>87</v>
      </c>
      <c r="ED33" s="58">
        <f>Expense!EB39+Expense!EB56+Expense!EB70+Expense!EB67</f>
        <v>82</v>
      </c>
      <c r="EE33" s="58">
        <f>Expense!EC39+Expense!EC56+Expense!EC70+Expense!EC67</f>
        <v>78</v>
      </c>
      <c r="EF33" s="58">
        <f>Expense!ED39+Expense!ED56+Expense!ED70+Expense!ED67</f>
        <v>89</v>
      </c>
      <c r="EG33" s="58">
        <f t="shared" si="107"/>
        <v>336</v>
      </c>
      <c r="EI33" s="57" t="s">
        <v>245</v>
      </c>
      <c r="EJ33" s="58">
        <f>Expense!EH39+Expense!EH56+Expense!EH70+Expense!EH67</f>
        <v>96</v>
      </c>
      <c r="EK33" s="58">
        <f>Expense!EI39+Expense!EI56+Expense!EI70+Expense!EI67</f>
        <v>128</v>
      </c>
      <c r="EL33" s="58">
        <f>Expense!EJ39+Expense!EJ56+Expense!EJ70+Expense!EJ67</f>
        <v>201</v>
      </c>
      <c r="EM33" s="58">
        <f>Expense!EK39+Expense!EK56+Expense!EK70+Expense!EK67</f>
        <v>241</v>
      </c>
      <c r="EN33" s="58">
        <f t="shared" si="108"/>
        <v>666</v>
      </c>
      <c r="EP33" s="57" t="s">
        <v>245</v>
      </c>
      <c r="EQ33" s="58">
        <f>Expense!EO39+Expense!EO56+Expense!EO70+Expense!EO67</f>
        <v>209</v>
      </c>
      <c r="ER33" s="58">
        <f>Expense!EP39+Expense!EP56+Expense!EP70+Expense!EP67</f>
        <v>212</v>
      </c>
      <c r="ES33" s="58">
        <f>Expense!EQ39+Expense!EQ56+Expense!EQ70</f>
        <v>81</v>
      </c>
      <c r="ET33" s="58">
        <f>Expense!ER39+Expense!ER56+Expense!ER70</f>
        <v>89</v>
      </c>
      <c r="EU33" s="58">
        <f t="shared" si="109"/>
        <v>591</v>
      </c>
      <c r="EW33" s="57" t="s">
        <v>245</v>
      </c>
      <c r="EX33" s="58">
        <f>Expense!EV39+Expense!EV56+Expense!EV70</f>
        <v>83</v>
      </c>
      <c r="EY33" s="58">
        <f>Expense!EW39+Expense!EW56+Expense!EW70</f>
        <v>91</v>
      </c>
      <c r="EZ33" s="58">
        <f>Expense!EX39+Expense!EX56+Expense!EX70</f>
        <v>76</v>
      </c>
      <c r="FA33" s="58">
        <f>Expense!EY39+Expense!EY56+Expense!EY70</f>
        <v>80</v>
      </c>
      <c r="FB33" s="58">
        <f t="shared" si="110"/>
        <v>330</v>
      </c>
      <c r="FD33" s="57" t="s">
        <v>245</v>
      </c>
      <c r="FE33" s="58">
        <f>Expense!FC39+Expense!FC56+Expense!FC70</f>
        <v>79</v>
      </c>
      <c r="FF33" s="58">
        <f>Expense!FD39+Expense!FD56+Expense!FD70</f>
        <v>72</v>
      </c>
      <c r="FG33" s="58">
        <f>Expense!FE39+Expense!FE56+Expense!FE70</f>
        <v>67</v>
      </c>
      <c r="FH33" s="58">
        <f>Expense!FF39+Expense!FF56+Expense!FF70</f>
        <v>60</v>
      </c>
      <c r="FI33" s="58">
        <f t="shared" si="111"/>
        <v>278</v>
      </c>
      <c r="FK33" s="57" t="s">
        <v>245</v>
      </c>
      <c r="FL33" s="58">
        <f>Expense!FJ39+Expense!FJ56+Expense!FJ70</f>
        <v>220</v>
      </c>
      <c r="FM33" s="58">
        <f>Expense!FK39+Expense!FK56+Expense!FK70</f>
        <v>79</v>
      </c>
      <c r="FN33" s="58">
        <f>Expense!FL39+Expense!FL56+Expense!FL70</f>
        <v>77</v>
      </c>
      <c r="FO33" s="58">
        <f>Expense!FM39+Expense!FM56+Expense!FM70</f>
        <v>85</v>
      </c>
      <c r="FP33" s="58">
        <f t="shared" si="112"/>
        <v>461</v>
      </c>
      <c r="FR33" s="57" t="s">
        <v>245</v>
      </c>
      <c r="FS33" s="58">
        <f>Expense!FQ39+Expense!FQ70</f>
        <v>86</v>
      </c>
      <c r="FT33" s="58">
        <f>Expense!FR39+Expense!FR56+Expense!FR70</f>
        <v>77</v>
      </c>
      <c r="FU33" s="58">
        <f>Expense!FS39+Expense!FS70</f>
        <v>54</v>
      </c>
      <c r="FV33" s="58">
        <f>Expense!FT39+Expense!FT70</f>
        <v>22</v>
      </c>
      <c r="FW33" s="58">
        <f t="shared" si="113"/>
        <v>239</v>
      </c>
      <c r="FY33" s="57" t="s">
        <v>245</v>
      </c>
      <c r="FZ33" s="58">
        <f>Expense!FX39+Expense!FX70</f>
        <v>17</v>
      </c>
      <c r="GA33" s="58">
        <f>Expense!FY39+Expense!FY70</f>
        <v>10</v>
      </c>
      <c r="GB33" s="58">
        <f>Expense!FZ39+Expense!FZ70</f>
        <v>17</v>
      </c>
      <c r="GC33" s="58">
        <f>Expense!GA39+Expense!GA70</f>
        <v>20</v>
      </c>
      <c r="GD33" s="58">
        <f t="shared" si="114"/>
        <v>64</v>
      </c>
      <c r="GF33" s="57" t="s">
        <v>245</v>
      </c>
      <c r="GG33" s="58">
        <v>0</v>
      </c>
      <c r="GH33" s="58">
        <v>-126</v>
      </c>
      <c r="GI33" s="58">
        <v>-15</v>
      </c>
      <c r="GJ33" s="58">
        <f>2-27</f>
        <v>-25</v>
      </c>
      <c r="GK33" s="58">
        <f t="shared" si="115"/>
        <v>-166</v>
      </c>
      <c r="GM33" s="57" t="s">
        <v>245</v>
      </c>
      <c r="GN33" s="58">
        <v>-18</v>
      </c>
      <c r="GO33" s="58">
        <v>0</v>
      </c>
      <c r="GP33" s="58">
        <v>0</v>
      </c>
      <c r="GQ33" s="58">
        <v>-8</v>
      </c>
      <c r="GR33" s="58">
        <f t="shared" si="116"/>
        <v>-26</v>
      </c>
      <c r="GT33" s="57" t="s">
        <v>245</v>
      </c>
      <c r="GU33" s="58">
        <f>Expense!GS39</f>
        <v>0</v>
      </c>
      <c r="GV33" s="58">
        <f>Expense!GT39</f>
        <v>0</v>
      </c>
      <c r="GW33" s="58">
        <f>Expense!GU39</f>
        <v>0</v>
      </c>
      <c r="GX33" s="58">
        <f>Expense!GV39</f>
        <v>0</v>
      </c>
      <c r="GY33" s="58">
        <f t="shared" si="117"/>
        <v>0</v>
      </c>
      <c r="HA33" s="57" t="s">
        <v>245</v>
      </c>
      <c r="HB33" s="58">
        <v>0</v>
      </c>
      <c r="HC33" s="58">
        <v>0</v>
      </c>
      <c r="HD33" s="58">
        <v>0</v>
      </c>
      <c r="HE33" s="58">
        <v>0</v>
      </c>
      <c r="HF33" s="58">
        <f t="shared" si="118"/>
        <v>0</v>
      </c>
      <c r="HH33" s="57" t="s">
        <v>245</v>
      </c>
      <c r="HI33" s="58">
        <v>0</v>
      </c>
      <c r="HJ33" s="58">
        <v>-30</v>
      </c>
      <c r="HK33" s="58">
        <v>0</v>
      </c>
      <c r="HL33" s="58">
        <v>0</v>
      </c>
      <c r="HM33" s="58">
        <f t="shared" si="119"/>
        <v>-30</v>
      </c>
      <c r="HO33" s="57" t="s">
        <v>245</v>
      </c>
      <c r="HP33" s="58">
        <v>0</v>
      </c>
      <c r="HQ33" s="58">
        <v>0</v>
      </c>
      <c r="HR33" s="58">
        <v>0</v>
      </c>
      <c r="HS33" s="58">
        <v>0</v>
      </c>
      <c r="HT33" s="58">
        <f t="shared" si="120"/>
        <v>0</v>
      </c>
      <c r="HV33" s="57" t="s">
        <v>245</v>
      </c>
      <c r="HW33" s="58">
        <v>0</v>
      </c>
      <c r="HX33" s="58">
        <v>0</v>
      </c>
      <c r="HY33" s="58">
        <v>0</v>
      </c>
      <c r="HZ33" s="58">
        <v>0</v>
      </c>
      <c r="IA33" s="58">
        <f t="shared" si="121"/>
        <v>0</v>
      </c>
      <c r="IC33" s="57" t="s">
        <v>245</v>
      </c>
      <c r="ID33" s="58">
        <v>0</v>
      </c>
      <c r="IE33" s="58">
        <v>0</v>
      </c>
      <c r="IF33" s="58">
        <v>0</v>
      </c>
      <c r="IG33" s="58">
        <v>0</v>
      </c>
      <c r="IH33" s="58">
        <f t="shared" si="122"/>
        <v>0</v>
      </c>
      <c r="IJ33" s="57" t="s">
        <v>245</v>
      </c>
      <c r="IK33" s="58">
        <v>0</v>
      </c>
      <c r="IL33" s="58">
        <v>0</v>
      </c>
      <c r="IM33" s="58">
        <v>0</v>
      </c>
      <c r="IN33" s="58">
        <v>0</v>
      </c>
      <c r="IO33" s="58">
        <f t="shared" si="123"/>
        <v>0</v>
      </c>
      <c r="IQ33" s="57" t="s">
        <v>245</v>
      </c>
      <c r="IR33" s="58">
        <v>0</v>
      </c>
      <c r="IS33" s="58">
        <v>0</v>
      </c>
      <c r="IT33" s="58">
        <v>0</v>
      </c>
      <c r="IU33" s="58">
        <v>0</v>
      </c>
      <c r="IV33" s="58">
        <f t="shared" si="124"/>
        <v>0</v>
      </c>
      <c r="IX33" s="57" t="s">
        <v>245</v>
      </c>
      <c r="IY33" s="58">
        <v>0</v>
      </c>
      <c r="IZ33" s="58">
        <v>0</v>
      </c>
      <c r="JA33" s="58">
        <v>0</v>
      </c>
      <c r="JB33" s="58">
        <v>-13</v>
      </c>
      <c r="JC33" s="58">
        <f t="shared" si="125"/>
        <v>-13</v>
      </c>
      <c r="JE33" s="57" t="s">
        <v>245</v>
      </c>
      <c r="JF33" s="58">
        <f>-13+110-110</f>
        <v>-13</v>
      </c>
      <c r="JG33" s="58">
        <v>-16</v>
      </c>
      <c r="JH33" s="58">
        <v>-19</v>
      </c>
      <c r="JI33" s="58">
        <f>-172+142</f>
        <v>-30</v>
      </c>
      <c r="JJ33" s="58">
        <f t="shared" si="126"/>
        <v>-78</v>
      </c>
      <c r="JL33" s="57" t="s">
        <v>245</v>
      </c>
      <c r="JM33" s="58">
        <v>-25</v>
      </c>
      <c r="JN33" s="58">
        <v>-30</v>
      </c>
      <c r="JO33" s="58">
        <v>-24</v>
      </c>
      <c r="JP33" s="58">
        <v>-17</v>
      </c>
      <c r="JQ33" s="58">
        <f t="shared" si="127"/>
        <v>-96</v>
      </c>
      <c r="JS33" s="57" t="s">
        <v>245</v>
      </c>
      <c r="JT33" s="58">
        <v>-19</v>
      </c>
      <c r="JU33" s="58">
        <v>-21</v>
      </c>
      <c r="JV33" s="58">
        <v>-27</v>
      </c>
      <c r="JW33" s="58">
        <v>-24</v>
      </c>
      <c r="JX33" s="58">
        <f t="shared" si="128"/>
        <v>-91</v>
      </c>
      <c r="JZ33" s="57" t="s">
        <v>245</v>
      </c>
      <c r="KA33" s="58">
        <v>0</v>
      </c>
      <c r="KB33" s="58">
        <v>0</v>
      </c>
      <c r="KC33" s="58">
        <v>0</v>
      </c>
      <c r="KD33" s="58">
        <v>0</v>
      </c>
      <c r="KE33" s="58">
        <f t="shared" si="129"/>
        <v>0</v>
      </c>
      <c r="KG33" s="57" t="s">
        <v>245</v>
      </c>
      <c r="KH33" s="58">
        <v>0</v>
      </c>
      <c r="KI33" s="58">
        <f>-367+349</f>
        <v>-18</v>
      </c>
      <c r="KJ33" s="58">
        <v>-60</v>
      </c>
      <c r="KK33" s="58">
        <v>-24</v>
      </c>
      <c r="KL33" s="58">
        <f t="shared" si="130"/>
        <v>-102</v>
      </c>
      <c r="KN33" s="57" t="s">
        <v>245</v>
      </c>
      <c r="KO33" s="58">
        <v>-27</v>
      </c>
      <c r="KP33" s="58">
        <f>-129+122</f>
        <v>-7</v>
      </c>
      <c r="KQ33" s="58">
        <v>-27</v>
      </c>
      <c r="KR33" s="58">
        <v>-55</v>
      </c>
      <c r="KS33" s="58">
        <f t="shared" si="131"/>
        <v>-116</v>
      </c>
      <c r="KU33" s="57" t="s">
        <v>245</v>
      </c>
      <c r="KV33" s="58">
        <v>-8</v>
      </c>
      <c r="KW33" s="58">
        <v>-12</v>
      </c>
      <c r="KX33" s="58">
        <v>-6</v>
      </c>
      <c r="KY33" s="58">
        <v>-8</v>
      </c>
      <c r="KZ33" s="58">
        <f t="shared" si="132"/>
        <v>-34</v>
      </c>
      <c r="LB33" s="57" t="s">
        <v>245</v>
      </c>
      <c r="LC33" s="58">
        <f>Expense!LA13</f>
        <v>-1</v>
      </c>
      <c r="LD33" s="127">
        <f>Expense!LB13</f>
        <v>-8</v>
      </c>
      <c r="LE33" s="127">
        <f>Expense!LC13</f>
        <v>1</v>
      </c>
      <c r="LF33" s="127">
        <f>Expense!LD13</f>
        <v>-3</v>
      </c>
      <c r="LG33" s="127">
        <f>Expense!LE13</f>
        <v>-11</v>
      </c>
      <c r="LH33" s="558"/>
      <c r="LI33" s="57" t="s">
        <v>245</v>
      </c>
      <c r="LJ33" s="127">
        <f>Expense!LH13</f>
        <v>0</v>
      </c>
      <c r="LK33" s="127">
        <f>Expense!LI13</f>
        <v>0</v>
      </c>
      <c r="LL33" s="127">
        <f>Expense!LJ13</f>
        <v>0</v>
      </c>
      <c r="LM33" s="127">
        <f>Expense!LK13</f>
        <v>0</v>
      </c>
      <c r="LN33" s="127">
        <f>Expense!LL13</f>
        <v>0</v>
      </c>
      <c r="LO33" s="558"/>
      <c r="LP33" s="57" t="s">
        <v>245</v>
      </c>
      <c r="LQ33" s="127">
        <f>Expense!LO13</f>
        <v>0</v>
      </c>
      <c r="LR33" s="127">
        <f>Expense!LP13</f>
        <v>0</v>
      </c>
      <c r="LS33" s="127">
        <f>Expense!LQ13</f>
        <v>0</v>
      </c>
      <c r="LT33" s="127">
        <f>Expense!LR13</f>
        <v>0</v>
      </c>
      <c r="LU33" s="127">
        <f>Expense!LS13</f>
        <v>0</v>
      </c>
      <c r="LV33" s="558"/>
      <c r="LW33" s="57" t="s">
        <v>245</v>
      </c>
      <c r="LX33" s="127">
        <f>Expense!LV13</f>
        <v>0</v>
      </c>
      <c r="LY33" s="127">
        <f>Expense!LW13</f>
        <v>0</v>
      </c>
      <c r="LZ33" s="127">
        <f>Expense!LX13</f>
        <v>0</v>
      </c>
      <c r="MA33" s="127">
        <f>Expense!LY13</f>
        <v>0</v>
      </c>
      <c r="MB33" s="127">
        <f>Expense!LZ13</f>
        <v>0</v>
      </c>
      <c r="MC33" s="558"/>
      <c r="MD33" s="57" t="s">
        <v>245</v>
      </c>
      <c r="ME33" s="127">
        <f>Expense!MC13</f>
        <v>0</v>
      </c>
      <c r="MF33" s="127">
        <f>Expense!MD13</f>
        <v>0</v>
      </c>
      <c r="MG33" s="127">
        <f>Expense!ME13</f>
        <v>0</v>
      </c>
      <c r="MH33" s="127">
        <f>Expense!MF13</f>
        <v>0</v>
      </c>
      <c r="MI33" s="127">
        <f>Expense!MG13</f>
        <v>0</v>
      </c>
      <c r="MJ33" s="558"/>
    </row>
    <row r="34" spans="1:349" x14ac:dyDescent="0.4">
      <c r="A34" s="48"/>
      <c r="BR34" s="53"/>
      <c r="BS34" s="53"/>
      <c r="BT34" s="53"/>
      <c r="BU34" s="53"/>
      <c r="BV34" s="53"/>
      <c r="BY34" s="53"/>
      <c r="BZ34" s="53"/>
      <c r="CA34" s="53"/>
      <c r="CB34" s="53"/>
      <c r="CC34" s="53"/>
      <c r="CF34" s="53"/>
      <c r="CG34" s="53"/>
      <c r="CH34" s="53"/>
      <c r="CI34" s="53"/>
      <c r="CJ34" s="53"/>
      <c r="CM34" s="53"/>
      <c r="CN34" s="53"/>
      <c r="CO34" s="53"/>
      <c r="CP34" s="53"/>
      <c r="CQ34" s="53"/>
      <c r="CT34" s="53"/>
      <c r="CU34" s="53"/>
      <c r="CV34" s="53"/>
      <c r="CW34" s="53"/>
      <c r="CX34" s="53"/>
      <c r="DA34" s="53"/>
      <c r="DB34" s="53"/>
      <c r="DC34" s="53"/>
      <c r="DD34" s="53"/>
      <c r="DE34" s="53"/>
      <c r="DH34" s="53"/>
      <c r="DI34" s="53"/>
      <c r="DJ34" s="53"/>
      <c r="DK34" s="53"/>
      <c r="DL34" s="53"/>
      <c r="DO34" s="53"/>
      <c r="DP34" s="53"/>
      <c r="DQ34" s="53"/>
      <c r="DR34" s="53"/>
      <c r="DS34" s="53"/>
      <c r="DV34" s="53"/>
      <c r="DW34" s="53"/>
      <c r="DX34" s="53"/>
      <c r="DY34" s="53"/>
      <c r="DZ34" s="53"/>
      <c r="EC34" s="53"/>
      <c r="ED34" s="53"/>
      <c r="EE34" s="53"/>
      <c r="EF34" s="53"/>
      <c r="EG34" s="53"/>
      <c r="EJ34" s="53"/>
      <c r="EK34" s="53"/>
      <c r="EL34" s="53"/>
      <c r="EM34" s="53"/>
      <c r="EN34" s="53"/>
      <c r="EQ34" s="53"/>
      <c r="ER34" s="53"/>
      <c r="ES34" s="53"/>
      <c r="ET34" s="53"/>
      <c r="EU34" s="53"/>
      <c r="EX34" s="53"/>
      <c r="EY34" s="53"/>
      <c r="EZ34" s="53"/>
      <c r="FA34" s="53"/>
      <c r="FB34" s="53"/>
      <c r="FE34" s="53"/>
      <c r="FF34" s="53"/>
      <c r="FG34" s="53"/>
      <c r="FH34" s="53"/>
      <c r="FI34" s="53"/>
      <c r="FL34" s="53"/>
      <c r="FM34" s="53"/>
      <c r="FN34" s="53"/>
      <c r="FO34" s="53"/>
      <c r="FP34" s="53"/>
      <c r="FS34" s="53"/>
      <c r="FT34" s="53"/>
      <c r="FU34" s="53"/>
      <c r="FV34" s="53"/>
      <c r="FW34" s="53"/>
      <c r="FZ34" s="53"/>
      <c r="GA34" s="53"/>
      <c r="GB34" s="53"/>
      <c r="GC34" s="53"/>
      <c r="GD34" s="53"/>
      <c r="GG34" s="53"/>
      <c r="GH34" s="53"/>
      <c r="GI34" s="53"/>
      <c r="GJ34" s="53"/>
      <c r="GK34" s="53"/>
      <c r="GN34" s="53"/>
      <c r="GO34" s="53"/>
      <c r="GP34" s="53"/>
      <c r="GQ34" s="53"/>
      <c r="GR34" s="53"/>
      <c r="GU34" s="53"/>
      <c r="GV34" s="53"/>
      <c r="GW34" s="53"/>
      <c r="GX34" s="53"/>
      <c r="GY34" s="53"/>
      <c r="HB34" s="53"/>
      <c r="HC34" s="53"/>
      <c r="HD34" s="53"/>
      <c r="HE34" s="53"/>
      <c r="HF34" s="53"/>
      <c r="HI34" s="53"/>
      <c r="HJ34" s="53"/>
      <c r="HK34" s="53"/>
      <c r="HL34" s="53"/>
      <c r="HM34" s="53"/>
      <c r="HP34" s="53"/>
      <c r="HQ34" s="53"/>
      <c r="HR34" s="53"/>
      <c r="HS34" s="53"/>
      <c r="HT34" s="53"/>
      <c r="HW34" s="53"/>
      <c r="HX34" s="53"/>
      <c r="HY34" s="53"/>
      <c r="HZ34" s="53"/>
      <c r="IA34" s="53"/>
      <c r="ID34" s="53"/>
      <c r="IE34" s="53"/>
      <c r="IF34" s="53"/>
      <c r="IG34" s="53"/>
      <c r="IH34" s="53"/>
      <c r="IK34" s="53"/>
      <c r="IL34" s="53"/>
      <c r="IM34" s="53"/>
      <c r="IN34" s="53"/>
      <c r="IO34" s="53"/>
      <c r="IR34" s="53"/>
      <c r="IS34" s="53"/>
      <c r="IT34" s="53"/>
      <c r="IU34" s="53"/>
      <c r="IV34" s="53"/>
      <c r="IY34" s="53"/>
      <c r="IZ34" s="53"/>
      <c r="JA34" s="53"/>
      <c r="JB34" s="53"/>
      <c r="JC34" s="53"/>
      <c r="JF34" s="53"/>
      <c r="JG34" s="53"/>
      <c r="JH34" s="53"/>
      <c r="JI34" s="53"/>
      <c r="JJ34" s="53"/>
      <c r="JM34" s="53"/>
      <c r="JN34" s="53"/>
      <c r="JO34" s="53"/>
      <c r="JP34" s="53"/>
      <c r="JQ34" s="53"/>
      <c r="JT34" s="53"/>
      <c r="JU34" s="53"/>
      <c r="JV34" s="53"/>
      <c r="JW34" s="53"/>
      <c r="JX34" s="53"/>
      <c r="KA34" s="53"/>
      <c r="KB34" s="53"/>
      <c r="KC34" s="53"/>
      <c r="KD34" s="53"/>
      <c r="KE34" s="53"/>
      <c r="KH34" s="53"/>
      <c r="KI34" s="53"/>
      <c r="KJ34" s="53"/>
      <c r="KK34" s="53"/>
      <c r="KL34" s="53"/>
      <c r="KO34" s="53"/>
      <c r="KP34" s="53"/>
      <c r="KQ34" s="53"/>
      <c r="KR34" s="53"/>
      <c r="KS34" s="53"/>
      <c r="KV34" s="53"/>
      <c r="KW34" s="53"/>
      <c r="KZ34" s="53"/>
      <c r="LB34" s="692"/>
      <c r="LC34" s="686"/>
      <c r="LD34" s="686"/>
      <c r="LE34" s="686"/>
      <c r="LF34" s="686"/>
      <c r="LG34" s="686"/>
      <c r="LH34" s="661"/>
      <c r="LI34" s="692"/>
      <c r="LJ34" s="686"/>
      <c r="LK34" s="686"/>
      <c r="LL34" s="686"/>
      <c r="LM34" s="686"/>
      <c r="LN34" s="686"/>
      <c r="LO34" s="661"/>
      <c r="LP34" s="692"/>
      <c r="LQ34" s="686"/>
      <c r="LR34" s="686"/>
      <c r="LS34" s="686"/>
      <c r="LT34" s="686"/>
      <c r="LU34" s="686"/>
      <c r="LV34" s="661"/>
      <c r="LW34" s="692"/>
      <c r="LX34" s="686"/>
      <c r="LY34" s="686"/>
      <c r="LZ34" s="686"/>
      <c r="MA34" s="686"/>
      <c r="MB34" s="686"/>
      <c r="MC34" s="661"/>
      <c r="MD34" s="692"/>
      <c r="ME34" s="686"/>
      <c r="MF34" s="686"/>
      <c r="MG34" s="686"/>
      <c r="MH34" s="686"/>
      <c r="MI34" s="686"/>
      <c r="MJ34" s="661"/>
    </row>
    <row r="35" spans="1:349" x14ac:dyDescent="0.4">
      <c r="A35" s="48"/>
      <c r="B35" s="688" t="s">
        <v>26</v>
      </c>
      <c r="C35" s="689">
        <f t="shared" ref="C35:M35" si="134">C20-C23</f>
        <v>366.78600000000006</v>
      </c>
      <c r="D35" s="689">
        <f t="shared" si="134"/>
        <v>577.09999999999945</v>
      </c>
      <c r="E35" s="689">
        <f t="shared" si="134"/>
        <v>660.39999999999964</v>
      </c>
      <c r="F35" s="689">
        <f t="shared" si="134"/>
        <v>805.69999999999982</v>
      </c>
      <c r="G35" s="689">
        <f t="shared" si="134"/>
        <v>472</v>
      </c>
      <c r="H35" s="689">
        <f t="shared" si="134"/>
        <v>542</v>
      </c>
      <c r="I35" s="689">
        <f t="shared" si="134"/>
        <v>831</v>
      </c>
      <c r="J35" s="689">
        <f t="shared" si="134"/>
        <v>816</v>
      </c>
      <c r="K35" s="689">
        <f t="shared" si="134"/>
        <v>752</v>
      </c>
      <c r="L35" s="689">
        <f t="shared" si="134"/>
        <v>795</v>
      </c>
      <c r="M35" s="689">
        <f t="shared" si="134"/>
        <v>909</v>
      </c>
      <c r="N35" s="689">
        <f>BV35</f>
        <v>869.00000000000091</v>
      </c>
      <c r="O35" s="689">
        <f>CC35</f>
        <v>868.31700000000092</v>
      </c>
      <c r="P35" s="689">
        <f>CJ35</f>
        <v>854.30000000000109</v>
      </c>
      <c r="Q35" s="689">
        <f>CQ35</f>
        <v>965.10000000000036</v>
      </c>
      <c r="R35" s="689">
        <f>CX35</f>
        <v>1006.5</v>
      </c>
      <c r="S35" s="689">
        <f>DE35</f>
        <v>1232</v>
      </c>
      <c r="T35" s="689">
        <f>DL35</f>
        <v>1402</v>
      </c>
      <c r="U35" s="689">
        <f>DS35</f>
        <v>1512.5</v>
      </c>
      <c r="V35" s="689">
        <f>DZ35</f>
        <v>1633</v>
      </c>
      <c r="W35" s="689">
        <f>EG35</f>
        <v>1113</v>
      </c>
      <c r="X35" s="689">
        <f>EN35</f>
        <v>1029</v>
      </c>
      <c r="Y35" s="689">
        <f>EU35</f>
        <v>813</v>
      </c>
      <c r="Z35" s="689">
        <f>FB35</f>
        <v>1015</v>
      </c>
      <c r="AA35" s="689">
        <f>FI35</f>
        <v>1116</v>
      </c>
      <c r="AB35" s="689">
        <f>FP35</f>
        <v>911</v>
      </c>
      <c r="AC35" s="689">
        <f>FW35</f>
        <v>1081</v>
      </c>
      <c r="AD35" s="689">
        <f>GD35</f>
        <v>1533</v>
      </c>
      <c r="AE35" s="689">
        <f>GK35</f>
        <v>2124</v>
      </c>
      <c r="AF35" s="689">
        <f>GR35</f>
        <v>2260</v>
      </c>
      <c r="AG35" s="689">
        <f>GY35</f>
        <v>2766</v>
      </c>
      <c r="AH35" s="689">
        <f>HF35</f>
        <v>2276</v>
      </c>
      <c r="AI35" s="689">
        <f>HM35</f>
        <v>3101</v>
      </c>
      <c r="AJ35" s="689">
        <f>HT35</f>
        <v>3418</v>
      </c>
      <c r="AK35" s="689">
        <f>IA35</f>
        <v>3457</v>
      </c>
      <c r="AL35" s="689">
        <f>IH35</f>
        <v>3505</v>
      </c>
      <c r="AM35" s="689">
        <f>IO35</f>
        <v>3613</v>
      </c>
      <c r="AN35" s="689">
        <f>IV35</f>
        <v>3584</v>
      </c>
      <c r="AO35" s="689">
        <f>JC35</f>
        <v>3389</v>
      </c>
      <c r="AP35" s="689">
        <f>JJ35</f>
        <v>3818</v>
      </c>
      <c r="AQ35" s="689">
        <f>JQ35</f>
        <v>4869</v>
      </c>
      <c r="AR35" s="689">
        <f>JX35</f>
        <v>4965</v>
      </c>
      <c r="AS35" s="689">
        <f>KE35</f>
        <v>4362</v>
      </c>
      <c r="AT35" s="689">
        <f>KL35</f>
        <v>5245</v>
      </c>
      <c r="AU35" s="689">
        <f>KS35</f>
        <v>5901</v>
      </c>
      <c r="AV35" s="689">
        <f>KZ35</f>
        <v>5499</v>
      </c>
      <c r="AW35" s="689">
        <f>LG35</f>
        <v>5353</v>
      </c>
      <c r="AX35" s="689">
        <f>LN35</f>
        <v>4772</v>
      </c>
      <c r="AY35" s="689">
        <f>LU35</f>
        <v>5278.1464521169491</v>
      </c>
      <c r="AZ35" s="689">
        <f>MB35</f>
        <v>5853.9891611633975</v>
      </c>
      <c r="BA35" s="689">
        <f>MI35</f>
        <v>6250.2492221016582</v>
      </c>
      <c r="BB35" s="689"/>
      <c r="BC35" s="689"/>
      <c r="BD35" s="689"/>
      <c r="BE35" s="689"/>
      <c r="BF35" s="689"/>
      <c r="BG35" s="689"/>
      <c r="BH35" s="689"/>
      <c r="BI35" s="689"/>
      <c r="BJ35" s="689"/>
      <c r="BK35" s="689"/>
      <c r="BL35" s="689"/>
      <c r="BM35" s="689"/>
      <c r="BN35" s="689"/>
      <c r="BO35" s="689"/>
      <c r="BQ35" s="688" t="s">
        <v>26</v>
      </c>
      <c r="BR35" s="535">
        <f>BR20-BR23</f>
        <v>187.79999999999995</v>
      </c>
      <c r="BS35" s="535">
        <f>BS20-BS23</f>
        <v>230</v>
      </c>
      <c r="BT35" s="535">
        <f>BT20-BT23</f>
        <v>175.90000000000009</v>
      </c>
      <c r="BU35" s="535">
        <f>BU20-BU23</f>
        <v>275.29999999999995</v>
      </c>
      <c r="BV35" s="535">
        <f>BV20-BV23</f>
        <v>869.00000000000091</v>
      </c>
      <c r="BX35" s="688" t="s">
        <v>26</v>
      </c>
      <c r="BY35" s="535">
        <f>BY20-BY23</f>
        <v>167.70000000000005</v>
      </c>
      <c r="BZ35" s="535">
        <f>BZ20-BZ23</f>
        <v>220.90000000000009</v>
      </c>
      <c r="CA35" s="535">
        <f>CA20-CA23</f>
        <v>236</v>
      </c>
      <c r="CB35" s="535">
        <f>CB20-CB23</f>
        <v>243.7170000000001</v>
      </c>
      <c r="CC35" s="535">
        <f>CC20-CC23</f>
        <v>868.31700000000092</v>
      </c>
      <c r="CE35" s="688" t="s">
        <v>26</v>
      </c>
      <c r="CF35" s="535">
        <f>CF20-CF23</f>
        <v>145.29999999999995</v>
      </c>
      <c r="CG35" s="535">
        <f>CG20-CG23</f>
        <v>206</v>
      </c>
      <c r="CH35" s="535">
        <f>CH20-CH23</f>
        <v>240.90000000000009</v>
      </c>
      <c r="CI35" s="535">
        <f>CI20-CI23</f>
        <v>262.09999999999991</v>
      </c>
      <c r="CJ35" s="535">
        <f>CJ20-CJ23</f>
        <v>854.30000000000109</v>
      </c>
      <c r="CL35" s="688" t="s">
        <v>26</v>
      </c>
      <c r="CM35" s="535">
        <f>CM20-CM23</f>
        <v>157.40000000000009</v>
      </c>
      <c r="CN35" s="535">
        <f>CN20-CN23</f>
        <v>253.19999999999982</v>
      </c>
      <c r="CO35" s="535">
        <f>CO20-CO23</f>
        <v>262.30000000000018</v>
      </c>
      <c r="CP35" s="535">
        <f>CP20-CP23</f>
        <v>292.19999999999982</v>
      </c>
      <c r="CQ35" s="535">
        <f>CQ20-CQ23</f>
        <v>965.10000000000036</v>
      </c>
      <c r="CS35" s="688" t="s">
        <v>26</v>
      </c>
      <c r="CT35" s="535">
        <f>CT20-CT23</f>
        <v>156.30000000000018</v>
      </c>
      <c r="CU35" s="535">
        <f>CU20-CU23</f>
        <v>277.5</v>
      </c>
      <c r="CV35" s="535">
        <f>CV20-CV23</f>
        <v>252.69999999999982</v>
      </c>
      <c r="CW35" s="535">
        <f>CW20-CW23</f>
        <v>320</v>
      </c>
      <c r="CX35" s="535">
        <f>CX20-CX23</f>
        <v>1006.5</v>
      </c>
      <c r="CZ35" s="688" t="s">
        <v>26</v>
      </c>
      <c r="DA35" s="535">
        <f>DA20-DA23</f>
        <v>186</v>
      </c>
      <c r="DB35" s="535">
        <f>DB20-DB23</f>
        <v>304</v>
      </c>
      <c r="DC35" s="535">
        <f>DC20-DC23</f>
        <v>350</v>
      </c>
      <c r="DD35" s="535">
        <f>DD20-DD23</f>
        <v>392</v>
      </c>
      <c r="DE35" s="535">
        <f>DE20-DE23</f>
        <v>1232</v>
      </c>
      <c r="DG35" s="688" t="s">
        <v>26</v>
      </c>
      <c r="DH35" s="535">
        <f>DH20-DH23</f>
        <v>276</v>
      </c>
      <c r="DI35" s="535">
        <f>DI20-DI23</f>
        <v>349</v>
      </c>
      <c r="DJ35" s="535">
        <f>DJ20-DJ23</f>
        <v>380</v>
      </c>
      <c r="DK35" s="535">
        <f>DK20-DK23</f>
        <v>397</v>
      </c>
      <c r="DL35" s="535">
        <f>DL20-DL23</f>
        <v>1402</v>
      </c>
      <c r="DN35" s="688" t="s">
        <v>26</v>
      </c>
      <c r="DO35" s="535">
        <f>DO20-DO23</f>
        <v>296</v>
      </c>
      <c r="DP35" s="535">
        <f>DP20-DP23</f>
        <v>398.5</v>
      </c>
      <c r="DQ35" s="535">
        <f>DQ20-DQ23</f>
        <v>392</v>
      </c>
      <c r="DR35" s="535">
        <f>DR20-DR23</f>
        <v>426</v>
      </c>
      <c r="DS35" s="535">
        <f>DS20-DS23</f>
        <v>1512.5</v>
      </c>
      <c r="DU35" s="688" t="s">
        <v>26</v>
      </c>
      <c r="DV35" s="535">
        <f>DV20-DV23</f>
        <v>324</v>
      </c>
      <c r="DW35" s="535">
        <f>DW20-DW23</f>
        <v>433</v>
      </c>
      <c r="DX35" s="535">
        <f>DX20-DX23</f>
        <v>402</v>
      </c>
      <c r="DY35" s="535">
        <f>DY20-DY23</f>
        <v>474</v>
      </c>
      <c r="DZ35" s="535">
        <f>DZ20-DZ23</f>
        <v>1633</v>
      </c>
      <c r="EB35" s="688" t="s">
        <v>26</v>
      </c>
      <c r="EC35" s="535">
        <f>EC20-EC23</f>
        <v>258</v>
      </c>
      <c r="ED35" s="535">
        <f>ED20-ED23</f>
        <v>336</v>
      </c>
      <c r="EE35" s="535">
        <f>EE20-EE23</f>
        <v>243</v>
      </c>
      <c r="EF35" s="535">
        <f>EF20-EF23</f>
        <v>276</v>
      </c>
      <c r="EG35" s="535">
        <f>EG20-EG23</f>
        <v>1113</v>
      </c>
      <c r="EI35" s="688" t="s">
        <v>26</v>
      </c>
      <c r="EJ35" s="535">
        <f>EJ20-EJ23</f>
        <v>261</v>
      </c>
      <c r="EK35" s="535">
        <f>EK20-EK23</f>
        <v>274</v>
      </c>
      <c r="EL35" s="535">
        <f>EL20-EL23</f>
        <v>316</v>
      </c>
      <c r="EM35" s="535">
        <f>EM20-EM23</f>
        <v>178</v>
      </c>
      <c r="EN35" s="535">
        <f>EN20-EN23</f>
        <v>1029</v>
      </c>
      <c r="EP35" s="688" t="s">
        <v>26</v>
      </c>
      <c r="EQ35" s="535">
        <f>EQ20-EQ23</f>
        <v>171</v>
      </c>
      <c r="ER35" s="535">
        <f>ER20-ER23</f>
        <v>200</v>
      </c>
      <c r="ES35" s="535">
        <f>ES20-ES23</f>
        <v>224</v>
      </c>
      <c r="ET35" s="535">
        <f>ET20-ET23</f>
        <v>218</v>
      </c>
      <c r="EU35" s="535">
        <f>EU20-EU23</f>
        <v>813</v>
      </c>
      <c r="EW35" s="688" t="s">
        <v>26</v>
      </c>
      <c r="EX35" s="535">
        <f>EX20-EX23</f>
        <v>189</v>
      </c>
      <c r="EY35" s="535">
        <f>EY20-EY23</f>
        <v>265</v>
      </c>
      <c r="EZ35" s="535">
        <f>EZ20-EZ23</f>
        <v>280</v>
      </c>
      <c r="FA35" s="535">
        <f>FA20-FA23</f>
        <v>281</v>
      </c>
      <c r="FB35" s="535">
        <f>FB20-FB23</f>
        <v>1015</v>
      </c>
      <c r="FD35" s="688" t="s">
        <v>26</v>
      </c>
      <c r="FE35" s="535">
        <f>FE20-FE23</f>
        <v>212</v>
      </c>
      <c r="FF35" s="535">
        <f>FF20-FF23</f>
        <v>310</v>
      </c>
      <c r="FG35" s="535">
        <f>FG20-FG23</f>
        <v>276</v>
      </c>
      <c r="FH35" s="535">
        <f>FH20-FH23</f>
        <v>318</v>
      </c>
      <c r="FI35" s="535">
        <f>FI20-FI23</f>
        <v>1116</v>
      </c>
      <c r="FK35" s="688" t="s">
        <v>26</v>
      </c>
      <c r="FL35" s="535">
        <f>FL20-FL23</f>
        <v>162</v>
      </c>
      <c r="FM35" s="535">
        <f>FM20-FM23</f>
        <v>268</v>
      </c>
      <c r="FN35" s="535">
        <f>FN20-FN23</f>
        <v>232</v>
      </c>
      <c r="FO35" s="535">
        <f>FO20-FO23</f>
        <v>249</v>
      </c>
      <c r="FP35" s="535">
        <f>FP20-FP23</f>
        <v>911</v>
      </c>
      <c r="FR35" s="688" t="s">
        <v>26</v>
      </c>
      <c r="FS35" s="535">
        <f>FS20-FS23</f>
        <v>205</v>
      </c>
      <c r="FT35" s="535">
        <f>FT20-FT23</f>
        <v>300</v>
      </c>
      <c r="FU35" s="535">
        <f>FU20-FU23</f>
        <v>259</v>
      </c>
      <c r="FV35" s="535">
        <f>FV20-FV23</f>
        <v>317</v>
      </c>
      <c r="FW35" s="535">
        <f>FW20-FW23</f>
        <v>1081</v>
      </c>
      <c r="FY35" s="688" t="s">
        <v>26</v>
      </c>
      <c r="FZ35" s="535">
        <f>FZ20-FZ23</f>
        <v>354</v>
      </c>
      <c r="GA35" s="535">
        <f>GA20-GA23</f>
        <v>414</v>
      </c>
      <c r="GB35" s="535">
        <f>GB20-GB23</f>
        <v>353</v>
      </c>
      <c r="GC35" s="535">
        <f>GC20-GC23</f>
        <v>412</v>
      </c>
      <c r="GD35" s="535">
        <f>GD20-GD23</f>
        <v>1533</v>
      </c>
      <c r="GF35" s="688" t="s">
        <v>26</v>
      </c>
      <c r="GG35" s="535">
        <f>GG20-GG23</f>
        <v>487</v>
      </c>
      <c r="GH35" s="535">
        <f>GH20-GH23</f>
        <v>645</v>
      </c>
      <c r="GI35" s="535">
        <f>GI20-GI23</f>
        <v>489</v>
      </c>
      <c r="GJ35" s="535">
        <f>GJ20-GJ23</f>
        <v>503</v>
      </c>
      <c r="GK35" s="535">
        <f>GK20-GK23</f>
        <v>2124</v>
      </c>
      <c r="GM35" s="688" t="s">
        <v>26</v>
      </c>
      <c r="GN35" s="535">
        <f>GN20-GN23</f>
        <v>485</v>
      </c>
      <c r="GO35" s="535">
        <f>GO20-GO23</f>
        <v>612</v>
      </c>
      <c r="GP35" s="535">
        <f>GP20-GP23</f>
        <v>558</v>
      </c>
      <c r="GQ35" s="535">
        <f>GQ20-GQ23</f>
        <v>605</v>
      </c>
      <c r="GR35" s="535">
        <f>GR20-GR23</f>
        <v>2260</v>
      </c>
      <c r="GT35" s="688" t="s">
        <v>26</v>
      </c>
      <c r="GU35" s="535">
        <f>GU20-GU23</f>
        <v>624</v>
      </c>
      <c r="GV35" s="535">
        <f>GV20-GV23</f>
        <v>717</v>
      </c>
      <c r="GW35" s="535">
        <f>GW20-GW23</f>
        <v>733</v>
      </c>
      <c r="GX35" s="535">
        <f>GX20-GX23</f>
        <v>692</v>
      </c>
      <c r="GY35" s="535">
        <f>GY20-GY23</f>
        <v>2766</v>
      </c>
      <c r="HA35" s="688" t="s">
        <v>26</v>
      </c>
      <c r="HB35" s="535">
        <f>HB20-HB23</f>
        <v>522</v>
      </c>
      <c r="HC35" s="535">
        <f>HC20-HC23</f>
        <v>577</v>
      </c>
      <c r="HD35" s="535">
        <f>HD20-HD23</f>
        <v>594</v>
      </c>
      <c r="HE35" s="535">
        <f>HE20-HE23</f>
        <v>583</v>
      </c>
      <c r="HF35" s="535">
        <f>HF20-HF23</f>
        <v>2276</v>
      </c>
      <c r="HH35" s="688" t="s">
        <v>26</v>
      </c>
      <c r="HI35" s="535">
        <f>HI20-HI23</f>
        <v>632</v>
      </c>
      <c r="HJ35" s="535">
        <f>HJ20-HJ23</f>
        <v>798</v>
      </c>
      <c r="HK35" s="535">
        <f>HK20-HK23</f>
        <v>825</v>
      </c>
      <c r="HL35" s="535">
        <f>HL20-HL23</f>
        <v>846</v>
      </c>
      <c r="HM35" s="535">
        <f>HM20-HM23</f>
        <v>3101</v>
      </c>
      <c r="HO35" s="688" t="s">
        <v>26</v>
      </c>
      <c r="HP35" s="535">
        <f>HP20-HP23</f>
        <v>773</v>
      </c>
      <c r="HQ35" s="535">
        <f>HQ20-HQ23</f>
        <v>926</v>
      </c>
      <c r="HR35" s="535">
        <f>HR20-HR23</f>
        <v>878</v>
      </c>
      <c r="HS35" s="535">
        <f>HS20-HS23</f>
        <v>841</v>
      </c>
      <c r="HT35" s="535">
        <f>HT20-HT23</f>
        <v>3418</v>
      </c>
      <c r="HV35" s="688" t="s">
        <v>26</v>
      </c>
      <c r="HW35" s="535">
        <f>HW20-HW23</f>
        <v>856</v>
      </c>
      <c r="HX35" s="535">
        <f>HX20-HX23</f>
        <v>943</v>
      </c>
      <c r="HY35" s="535">
        <f>HY20-HY23</f>
        <v>854</v>
      </c>
      <c r="HZ35" s="535">
        <f>HZ20-HZ23</f>
        <v>804</v>
      </c>
      <c r="IA35" s="535">
        <f>IA20-IA23</f>
        <v>3457</v>
      </c>
      <c r="IC35" s="688" t="s">
        <v>26</v>
      </c>
      <c r="ID35" s="535">
        <f>ID20-ID23</f>
        <v>875</v>
      </c>
      <c r="IE35" s="535">
        <f>IE20-IE23</f>
        <v>963</v>
      </c>
      <c r="IF35" s="535">
        <f>IF20-IF23</f>
        <v>854</v>
      </c>
      <c r="IG35" s="535">
        <f>IG20-IG23</f>
        <v>813</v>
      </c>
      <c r="IH35" s="535">
        <f>IH20-IH23</f>
        <v>3505</v>
      </c>
      <c r="IJ35" s="688" t="s">
        <v>26</v>
      </c>
      <c r="IK35" s="535">
        <f>IK20-IK23</f>
        <v>739</v>
      </c>
      <c r="IL35" s="535">
        <f>IL20-IL23</f>
        <v>997</v>
      </c>
      <c r="IM35" s="535">
        <f>IM20-IM23</f>
        <v>976</v>
      </c>
      <c r="IN35" s="535">
        <f>IN20-IN23</f>
        <v>901</v>
      </c>
      <c r="IO35" s="535">
        <f>IO20-IO23</f>
        <v>3613</v>
      </c>
      <c r="IQ35" s="688" t="s">
        <v>26</v>
      </c>
      <c r="IR35" s="535">
        <f>IR20-IR23</f>
        <v>843</v>
      </c>
      <c r="IS35" s="535">
        <f>IS20-IS23</f>
        <v>1017</v>
      </c>
      <c r="IT35" s="535">
        <f>IT20-IT23</f>
        <v>933</v>
      </c>
      <c r="IU35" s="535">
        <f>IU20-IU23</f>
        <v>791</v>
      </c>
      <c r="IV35" s="535">
        <f>IV20-IV23</f>
        <v>3584</v>
      </c>
      <c r="IX35" s="688" t="s">
        <v>26</v>
      </c>
      <c r="IY35" s="535">
        <f>IY20-IY23</f>
        <v>704</v>
      </c>
      <c r="IZ35" s="535">
        <f>IZ20-IZ23</f>
        <v>840</v>
      </c>
      <c r="JA35" s="535">
        <f>JA20-JA23</f>
        <v>841</v>
      </c>
      <c r="JB35" s="535">
        <f>JB20-JB23</f>
        <v>1004</v>
      </c>
      <c r="JC35" s="535">
        <f>JC20-JC23</f>
        <v>3389</v>
      </c>
      <c r="JE35" s="688" t="s">
        <v>26</v>
      </c>
      <c r="JF35" s="535">
        <f>JF20-JF23</f>
        <v>879</v>
      </c>
      <c r="JG35" s="535">
        <f>JG20-JG23</f>
        <v>1072</v>
      </c>
      <c r="JH35" s="535">
        <f>JH20-JH23</f>
        <v>869</v>
      </c>
      <c r="JI35" s="535">
        <f>JI20-JI23</f>
        <v>998</v>
      </c>
      <c r="JJ35" s="535">
        <f>JJ20-JJ23</f>
        <v>3818</v>
      </c>
      <c r="JL35" s="688" t="s">
        <v>26</v>
      </c>
      <c r="JM35" s="535">
        <f>JM20-JM23</f>
        <v>1044</v>
      </c>
      <c r="JN35" s="535">
        <f>JN20-JN23</f>
        <v>1283</v>
      </c>
      <c r="JO35" s="535">
        <f>JO20-JO23</f>
        <v>1293</v>
      </c>
      <c r="JP35" s="535">
        <f>JP20-JP23</f>
        <v>1249</v>
      </c>
      <c r="JQ35" s="535">
        <f>JQ20-JQ23</f>
        <v>4869</v>
      </c>
      <c r="JS35" s="688" t="s">
        <v>26</v>
      </c>
      <c r="JT35" s="535">
        <f>JT20-JT23</f>
        <v>1219</v>
      </c>
      <c r="JU35" s="535">
        <f>JU20-JU23</f>
        <v>1305</v>
      </c>
      <c r="JV35" s="535">
        <f>JV20-JV23</f>
        <v>1287</v>
      </c>
      <c r="JW35" s="535">
        <f>JW20-JW23</f>
        <v>1154</v>
      </c>
      <c r="JX35" s="535">
        <f>JX20-JX23</f>
        <v>4965</v>
      </c>
      <c r="JZ35" s="688" t="s">
        <v>26</v>
      </c>
      <c r="KA35" s="535">
        <f>KA20-KA23</f>
        <v>1178</v>
      </c>
      <c r="KB35" s="535">
        <f>KB20-KB23</f>
        <v>828</v>
      </c>
      <c r="KC35" s="535">
        <f>KC20-KC23</f>
        <v>1141</v>
      </c>
      <c r="KD35" s="535">
        <f>KD20-KD23</f>
        <v>1215</v>
      </c>
      <c r="KE35" s="535">
        <f>KE20-KE23</f>
        <v>4362</v>
      </c>
      <c r="KG35" s="688" t="s">
        <v>26</v>
      </c>
      <c r="KH35" s="535">
        <f>KH20-KH23</f>
        <v>1101</v>
      </c>
      <c r="KI35" s="535">
        <f>KI20-KI23</f>
        <v>1342</v>
      </c>
      <c r="KJ35" s="535">
        <f>KJ20-KJ23</f>
        <v>1436</v>
      </c>
      <c r="KK35" s="535">
        <f>KK20-KK23</f>
        <v>1366</v>
      </c>
      <c r="KL35" s="535">
        <f>KL20-KL23</f>
        <v>5245</v>
      </c>
      <c r="KN35" s="688" t="s">
        <v>26</v>
      </c>
      <c r="KO35" s="535">
        <f>KO20-KO23</f>
        <v>1282</v>
      </c>
      <c r="KP35" s="535">
        <f>KP20-KP23</f>
        <v>1581</v>
      </c>
      <c r="KQ35" s="535">
        <f>KQ20-KQ23</f>
        <v>1579</v>
      </c>
      <c r="KR35" s="535">
        <f>KR20-KR23</f>
        <v>1459</v>
      </c>
      <c r="KS35" s="535">
        <f>KS20-KS23</f>
        <v>5901</v>
      </c>
      <c r="KU35" s="688" t="s">
        <v>26</v>
      </c>
      <c r="KV35" s="535">
        <f>KV20-KV23</f>
        <v>1447</v>
      </c>
      <c r="KW35" s="535">
        <f>KW20-KW23</f>
        <v>1466</v>
      </c>
      <c r="KX35" s="689">
        <f>KX20-KX23</f>
        <v>1271</v>
      </c>
      <c r="KY35" s="535">
        <f>KY20-KY23</f>
        <v>1315</v>
      </c>
      <c r="KZ35" s="535">
        <f>KZ20-KZ23</f>
        <v>5499</v>
      </c>
      <c r="LB35" s="688" t="s">
        <v>26</v>
      </c>
      <c r="LC35" s="535">
        <f>LC20-LC23</f>
        <v>1337</v>
      </c>
      <c r="LD35" s="689">
        <f>LD20-LD23</f>
        <v>1448</v>
      </c>
      <c r="LE35" s="689">
        <f>LE20-LE23</f>
        <v>1354</v>
      </c>
      <c r="LF35" s="689">
        <f>LF20-LF23</f>
        <v>1214</v>
      </c>
      <c r="LG35" s="689">
        <f>LG20-LG23</f>
        <v>5353</v>
      </c>
      <c r="LH35" s="661"/>
      <c r="LI35" s="688" t="s">
        <v>26</v>
      </c>
      <c r="LJ35" s="689">
        <f>LJ20-LJ23</f>
        <v>1041</v>
      </c>
      <c r="LK35" s="689">
        <f>LK20-LK23</f>
        <v>1283</v>
      </c>
      <c r="LL35" s="689">
        <f>LL20-LL23</f>
        <v>1286</v>
      </c>
      <c r="LM35" s="689">
        <f>LM20-LM23</f>
        <v>1162</v>
      </c>
      <c r="LN35" s="689">
        <f>LN20-LN23</f>
        <v>4772</v>
      </c>
      <c r="LO35" s="661"/>
      <c r="LP35" s="688" t="s">
        <v>26</v>
      </c>
      <c r="LQ35" s="689">
        <f>LQ20-LQ23</f>
        <v>1169.1644004584869</v>
      </c>
      <c r="LR35" s="689">
        <f>LR20-LR23</f>
        <v>1366.3803401206228</v>
      </c>
      <c r="LS35" s="689">
        <f>LS20-LS23</f>
        <v>1406.9309645711342</v>
      </c>
      <c r="LT35" s="689">
        <f>LT20-LT23</f>
        <v>1335.6707469667085</v>
      </c>
      <c r="LU35" s="689">
        <f>LU20-LU23</f>
        <v>5278.1464521169491</v>
      </c>
      <c r="LV35" s="661"/>
      <c r="LW35" s="688" t="s">
        <v>26</v>
      </c>
      <c r="LX35" s="689">
        <f>LX20-LX23</f>
        <v>1304.7828514791786</v>
      </c>
      <c r="LY35" s="689">
        <f>LY20-LY23</f>
        <v>1508.6492073736563</v>
      </c>
      <c r="LZ35" s="689">
        <f>LZ20-LZ23</f>
        <v>1556.5410869254406</v>
      </c>
      <c r="MA35" s="689">
        <f>MA20-MA23</f>
        <v>1484.0160153851211</v>
      </c>
      <c r="MB35" s="689">
        <f>MB20-MB23</f>
        <v>5853.9891611633975</v>
      </c>
      <c r="MC35" s="661"/>
      <c r="MD35" s="688" t="s">
        <v>26</v>
      </c>
      <c r="ME35" s="689">
        <f>ME20-ME23</f>
        <v>1407.7743077674691</v>
      </c>
      <c r="MF35" s="689">
        <f>MF20-MF23</f>
        <v>1607.0787619271941</v>
      </c>
      <c r="MG35" s="689">
        <f>MG20-MG23</f>
        <v>1646.9504429599201</v>
      </c>
      <c r="MH35" s="689">
        <f>MH20-MH23</f>
        <v>1588.4457094470736</v>
      </c>
      <c r="MI35" s="689">
        <f>MI20-MI23</f>
        <v>6250.2492221016582</v>
      </c>
      <c r="MJ35" s="661"/>
      <c r="MK35" s="753"/>
    </row>
    <row r="36" spans="1:349" x14ac:dyDescent="0.4">
      <c r="A36" s="48"/>
      <c r="B36" s="520" t="s">
        <v>5</v>
      </c>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Q36" s="520" t="s">
        <v>5</v>
      </c>
      <c r="BR36" s="51"/>
      <c r="BS36" s="51"/>
      <c r="BT36" s="51"/>
      <c r="BU36" s="51"/>
      <c r="BV36" s="51"/>
      <c r="BX36" s="520" t="s">
        <v>5</v>
      </c>
      <c r="BY36" s="51"/>
      <c r="BZ36" s="51"/>
      <c r="CA36" s="51"/>
      <c r="CB36" s="51"/>
      <c r="CC36" s="51"/>
      <c r="CE36" s="520" t="s">
        <v>5</v>
      </c>
      <c r="CF36" s="51"/>
      <c r="CG36" s="51"/>
      <c r="CH36" s="51"/>
      <c r="CI36" s="51"/>
      <c r="CJ36" s="51"/>
      <c r="CL36" s="520" t="s">
        <v>5</v>
      </c>
      <c r="CM36" s="51"/>
      <c r="CN36" s="51"/>
      <c r="CO36" s="51"/>
      <c r="CP36" s="51"/>
      <c r="CQ36" s="51"/>
      <c r="CS36" s="520" t="s">
        <v>5</v>
      </c>
      <c r="CT36" s="51"/>
      <c r="CU36" s="51"/>
      <c r="CV36" s="51"/>
      <c r="CW36" s="51"/>
      <c r="CX36" s="51"/>
      <c r="CZ36" s="520" t="s">
        <v>5</v>
      </c>
      <c r="DA36" s="51"/>
      <c r="DB36" s="51"/>
      <c r="DC36" s="51"/>
      <c r="DD36" s="51"/>
      <c r="DE36" s="51"/>
      <c r="DG36" s="520" t="s">
        <v>5</v>
      </c>
      <c r="DH36" s="51"/>
      <c r="DI36" s="51"/>
      <c r="DJ36" s="51"/>
      <c r="DK36" s="51"/>
      <c r="DL36" s="51"/>
      <c r="DN36" s="520" t="s">
        <v>5</v>
      </c>
      <c r="DO36" s="51"/>
      <c r="DP36" s="51"/>
      <c r="DQ36" s="51"/>
      <c r="DR36" s="51"/>
      <c r="DS36" s="51"/>
      <c r="DU36" s="520" t="s">
        <v>5</v>
      </c>
      <c r="DV36" s="51"/>
      <c r="DW36" s="51"/>
      <c r="DX36" s="51"/>
      <c r="DY36" s="51"/>
      <c r="DZ36" s="51"/>
      <c r="EB36" s="520" t="s">
        <v>5</v>
      </c>
      <c r="EC36" s="51"/>
      <c r="ED36" s="51"/>
      <c r="EE36" s="51"/>
      <c r="EF36" s="51"/>
      <c r="EG36" s="51"/>
      <c r="EI36" s="520" t="s">
        <v>5</v>
      </c>
      <c r="EJ36" s="51"/>
      <c r="EK36" s="51"/>
      <c r="EL36" s="51"/>
      <c r="EM36" s="51"/>
      <c r="EN36" s="51"/>
      <c r="EP36" s="520" t="s">
        <v>5</v>
      </c>
      <c r="EQ36" s="51"/>
      <c r="ER36" s="51"/>
      <c r="ES36" s="51"/>
      <c r="ET36" s="51"/>
      <c r="EU36" s="51"/>
      <c r="EW36" s="520" t="s">
        <v>5</v>
      </c>
      <c r="EX36" s="51"/>
      <c r="EY36" s="51"/>
      <c r="EZ36" s="51"/>
      <c r="FA36" s="51"/>
      <c r="FB36" s="51"/>
      <c r="FD36" s="520" t="s">
        <v>5</v>
      </c>
      <c r="FE36" s="51"/>
      <c r="FF36" s="51"/>
      <c r="FG36" s="51"/>
      <c r="FH36" s="51"/>
      <c r="FI36" s="51"/>
      <c r="FK36" s="520" t="s">
        <v>5</v>
      </c>
      <c r="FL36" s="51"/>
      <c r="FM36" s="51"/>
      <c r="FN36" s="51"/>
      <c r="FO36" s="51"/>
      <c r="FP36" s="51"/>
      <c r="FR36" s="520" t="s">
        <v>5</v>
      </c>
      <c r="FS36" s="51"/>
      <c r="FT36" s="51"/>
      <c r="FU36" s="51"/>
      <c r="FV36" s="51"/>
      <c r="FW36" s="51"/>
      <c r="FY36" s="520" t="s">
        <v>5</v>
      </c>
      <c r="FZ36" s="51" t="s">
        <v>80</v>
      </c>
      <c r="GA36" s="51" t="s">
        <v>80</v>
      </c>
      <c r="GB36" s="51" t="s">
        <v>80</v>
      </c>
      <c r="GC36" s="51" t="s">
        <v>80</v>
      </c>
      <c r="GD36" s="51" t="s">
        <v>80</v>
      </c>
      <c r="GF36" s="520" t="s">
        <v>5</v>
      </c>
      <c r="GG36" s="51">
        <f>((GG35-FZ35)/(GG20-FZ20))</f>
        <v>0.5964125560538116</v>
      </c>
      <c r="GH36" s="51">
        <f>((GH35-GA35)/(GH20-GA20))</f>
        <v>0.84926470588235292</v>
      </c>
      <c r="GI36" s="51">
        <f>((GI35-GB35)/(GI20-GB20))</f>
        <v>0.46416382252559729</v>
      </c>
      <c r="GJ36" s="51">
        <f>((GJ35-GC35)/(GJ20-GC20))</f>
        <v>0.51412429378531077</v>
      </c>
      <c r="GK36" s="51">
        <f>((GK35-GD35)/(GK20-GD20))</f>
        <v>0.61243523316062176</v>
      </c>
      <c r="GM36" s="520" t="s">
        <v>5</v>
      </c>
      <c r="GN36" s="51">
        <f>((GN35-GG35)/(GN20-GG20))</f>
        <v>-2.197802197802198E-2</v>
      </c>
      <c r="GO36" s="51">
        <f>((GO35-GH35)/(GO20-GH20))</f>
        <v>-0.30275229357798167</v>
      </c>
      <c r="GP36" s="51">
        <f>((GP35-GI35)/(GP20-GI20))</f>
        <v>0.83132530120481929</v>
      </c>
      <c r="GQ36" s="51">
        <f>((GQ35-GJ35)/(GQ20-GJ20))</f>
        <v>0.56353591160220995</v>
      </c>
      <c r="GR36" s="51">
        <f>((GR35-GK35)/(GR20-GK20))</f>
        <v>0.29310344827586204</v>
      </c>
      <c r="GT36" s="520" t="s">
        <v>5</v>
      </c>
      <c r="GU36" s="51">
        <f>((GU35-GN35)/(GU20-GN20))</f>
        <v>0.47766323024054985</v>
      </c>
      <c r="GV36" s="51">
        <f>((GV35-GO35)/(GV20-GO20))</f>
        <v>0.27851458885941643</v>
      </c>
      <c r="GW36" s="51">
        <f>((GW35-GP35)/(GW20-GP20))</f>
        <v>0.38043478260869568</v>
      </c>
      <c r="GX36" s="51">
        <f>((GX35-GQ35)/(GX20-GQ20))</f>
        <v>0.89690721649484539</v>
      </c>
      <c r="GY36" s="51">
        <f>((GY35-GR35)/(GY20-GR20))</f>
        <v>0.41306122448979593</v>
      </c>
      <c r="HA36" s="520" t="s">
        <v>5</v>
      </c>
      <c r="HB36" s="51">
        <f>((HB35-GU35)/(HB20-GU20))</f>
        <v>0.21888412017167383</v>
      </c>
      <c r="HC36" s="51">
        <f>((HC35-GV35)/(HC20-GV20))</f>
        <v>0.19390581717451524</v>
      </c>
      <c r="HD36" s="51">
        <f>((HD35-GW35)/(HD20-GW20))</f>
        <v>0.20684523809523808</v>
      </c>
      <c r="HE36" s="51">
        <f>((HE35-GX35)/(HE20-GX20))</f>
        <v>0.30790960451977401</v>
      </c>
      <c r="HF36" s="51">
        <f>((HF35-GY35)/(HF20-GY20))</f>
        <v>0.22131887985546522</v>
      </c>
      <c r="HH36" s="520" t="s">
        <v>5</v>
      </c>
      <c r="HI36" s="51">
        <f>((HI35-HB35)/(HI20-HB20))</f>
        <v>0.45081967213114754</v>
      </c>
      <c r="HJ36" s="51">
        <f>((HJ35-HC35)/(HJ20-HC20))</f>
        <v>0.46234309623430964</v>
      </c>
      <c r="HK36" s="51">
        <f>((HK35-HD35)/(HK20-HD20))</f>
        <v>0.61273209549071617</v>
      </c>
      <c r="HL36" s="51">
        <f>((HL35-HE35)/(HL20-HE20))</f>
        <v>0.530241935483871</v>
      </c>
      <c r="HM36" s="51">
        <f>((HM35-HF35)/(HM20-HF20))</f>
        <v>0.51724137931034486</v>
      </c>
      <c r="HO36" s="520" t="s">
        <v>5</v>
      </c>
      <c r="HP36" s="51">
        <f>((HP35-HI35)/(HP20-HI20))</f>
        <v>0.44200626959247646</v>
      </c>
      <c r="HQ36" s="51">
        <f>((HQ35-HJ35)/(HQ20-HJ20))</f>
        <v>0.3595505617977528</v>
      </c>
      <c r="HR36" s="51">
        <f>((HR35-HK35)/(HR20-HK20))</f>
        <v>0.17845117845117844</v>
      </c>
      <c r="HS36" s="51">
        <f>((HS35-HL35)/(HS20-HL20))</f>
        <v>-3.7037037037037035E-2</v>
      </c>
      <c r="HT36" s="51">
        <f>((HT35-HM35)/(HT20-HM20))</f>
        <v>0.28635953026196931</v>
      </c>
      <c r="HV36" s="520" t="s">
        <v>5</v>
      </c>
      <c r="HW36" s="51">
        <f>((HW35-HP35)/(HW20-HP20))</f>
        <v>0.53205128205128205</v>
      </c>
      <c r="HX36" s="51" t="s">
        <v>196</v>
      </c>
      <c r="HY36" s="51">
        <f>((HY35-HR35)/(HY20-HR20))</f>
        <v>0.34782608695652173</v>
      </c>
      <c r="HZ36" s="51">
        <f>((HZ35-HS35)/(HZ20-HS20))</f>
        <v>0.55223880597014929</v>
      </c>
      <c r="IA36" s="51" t="s">
        <v>196</v>
      </c>
      <c r="IC36" s="520" t="s">
        <v>5</v>
      </c>
      <c r="ID36" s="51" t="s">
        <v>196</v>
      </c>
      <c r="IE36" s="51">
        <f>((IE35-HX35)/(IE20-HX20))</f>
        <v>0.35087719298245612</v>
      </c>
      <c r="IF36" s="51">
        <f>((IF35-HY35)/(IF20-HY20))</f>
        <v>0</v>
      </c>
      <c r="IG36" s="51">
        <f>((IG35-HZ35)/(IG20-HZ20))</f>
        <v>6.0810810810810814E-2</v>
      </c>
      <c r="IH36" s="51">
        <f>((IH35-IA35)/(IH20-IA20))</f>
        <v>0.15894039735099338</v>
      </c>
      <c r="IJ36" s="520" t="s">
        <v>5</v>
      </c>
      <c r="IK36" s="51" t="s">
        <v>196</v>
      </c>
      <c r="IL36" s="51">
        <f>((IL35-IE35)/(IL20-IE20))</f>
        <v>0.19428571428571428</v>
      </c>
      <c r="IM36" s="51">
        <f>((IM35-IF35)/(IM20-IF20))</f>
        <v>0.5495495495495496</v>
      </c>
      <c r="IN36" s="51">
        <f>((IN35-IG35)/(IN20-IG20))</f>
        <v>0.55000000000000004</v>
      </c>
      <c r="IO36" s="51">
        <f>((IO35-IH35)/(IO20-IH20))</f>
        <v>0.176759410801964</v>
      </c>
      <c r="IQ36" s="520" t="s">
        <v>5</v>
      </c>
      <c r="IR36" s="51" t="s">
        <v>196</v>
      </c>
      <c r="IS36" s="51">
        <f>((IS35-IL35)/(IS20-IL20))</f>
        <v>-0.1111111111111111</v>
      </c>
      <c r="IT36" s="51">
        <f>((IT35-IM35)/(IT20-IM20))</f>
        <v>0.1524822695035461</v>
      </c>
      <c r="IU36" s="51">
        <f>((IU35-IN35)/(IU20-IN20))</f>
        <v>0.26763990267639903</v>
      </c>
      <c r="IV36" s="51">
        <f>((IV35-IO35)/(IV20-IO20))</f>
        <v>3.37995337995338E-2</v>
      </c>
      <c r="IX36" s="520" t="s">
        <v>5</v>
      </c>
      <c r="IY36" s="51">
        <f>((IY35-IR35)/(IY20-IR20))</f>
        <v>0.33985330073349634</v>
      </c>
      <c r="IZ36" s="51">
        <f>((IZ35-IS35)/(IZ20-IS20))</f>
        <v>0.49166666666666664</v>
      </c>
      <c r="JA36" s="51">
        <f>((JA35-IT35)/(JA20-IT20))</f>
        <v>0.40174672489082969</v>
      </c>
      <c r="JB36" s="51">
        <f>((JB35-IU35)/(JB20-IU20))</f>
        <v>0.83203125</v>
      </c>
      <c r="JC36" s="51">
        <f>((JC35-IV35)/(JC20-IV20))</f>
        <v>0.26280323450134768</v>
      </c>
      <c r="JE36" s="520" t="s">
        <v>5</v>
      </c>
      <c r="JF36" s="51"/>
      <c r="JG36" s="51">
        <f>((JG35-IZ35)/(JG20-IZ20))</f>
        <v>1.0131004366812226</v>
      </c>
      <c r="JH36" s="51">
        <f>((JH35-JA35)/(JH20-JA20))</f>
        <v>0.84848484848484851</v>
      </c>
      <c r="JI36" s="51">
        <f>((JI35-JB35)/(JI20-JB20))</f>
        <v>3.4482758620689655E-2</v>
      </c>
      <c r="JJ36" s="51">
        <f>((JJ35-JC35)/(JJ20-JC20))</f>
        <v>1.2654867256637168</v>
      </c>
      <c r="JL36" s="520" t="s">
        <v>5</v>
      </c>
      <c r="JM36" s="51">
        <f>((JM35-JF35)/(JM20-JF20))</f>
        <v>23.571428571428573</v>
      </c>
      <c r="JN36" s="51">
        <f>((JN35-JG35)/(JN20-JG20))</f>
        <v>1.2485207100591715</v>
      </c>
      <c r="JO36" s="51">
        <f>((JO35-JH35)/(JO20-JH20))</f>
        <v>1.0984455958549222</v>
      </c>
      <c r="JP36" s="51">
        <f>((JP35-JI35)/(JP20-JI20))</f>
        <v>0.89642857142857146</v>
      </c>
      <c r="JQ36" s="51">
        <f>((JQ35-JJ35)/(JQ20-JJ20))</f>
        <v>1.2482185273159145</v>
      </c>
      <c r="JS36" s="520" t="s">
        <v>5</v>
      </c>
      <c r="JT36" s="51">
        <f>((JT35-JM35)/(JT20-JM20))</f>
        <v>1.2773722627737227</v>
      </c>
      <c r="JU36" s="51">
        <f>((JU35-JN35)/(JU20-JN20))</f>
        <v>-0.53658536585365857</v>
      </c>
      <c r="JV36" s="51">
        <f>((JV35-JO35)/(JV20-JO20))</f>
        <v>3.9735099337748346E-2</v>
      </c>
      <c r="JW36" s="51">
        <f>((JW35-JP35)/(JW20-JP20))</f>
        <v>0.36821705426356588</v>
      </c>
      <c r="JX36" s="51">
        <f>((JX35-JQ35)/(JX20-JQ20))</f>
        <v>-0.30670926517571884</v>
      </c>
      <c r="JZ36" s="520" t="s">
        <v>5</v>
      </c>
      <c r="KA36" s="51">
        <f>((KA35-JT35)/(KA20-JT20))</f>
        <v>0.25949367088607594</v>
      </c>
      <c r="KB36" s="51">
        <f>((KB35-JU35)/(KB20-JU20))</f>
        <v>0.59181141439205953</v>
      </c>
      <c r="KC36" s="51">
        <f>((KC35-JV35)/(KC20-JV20))</f>
        <v>0.44242424242424244</v>
      </c>
      <c r="KD36" s="51">
        <f>((KD35-JW35)/(KD20-JW20))</f>
        <v>-1.0166666666666666</v>
      </c>
      <c r="KE36" s="51">
        <f>((KE35-JX35)/(KE20-JX20))</f>
        <v>0.44534711964549484</v>
      </c>
      <c r="KG36" s="520" t="s">
        <v>5</v>
      </c>
      <c r="KH36" s="51">
        <f>((KH35-KA35)/(KH20-KA20))</f>
        <v>1.8333333333333333</v>
      </c>
      <c r="KI36" s="51">
        <f>((KI35-KB35)/(KI20-KB20))</f>
        <v>0.69931972789115648</v>
      </c>
      <c r="KJ36" s="51">
        <f>((KJ35-KC35)/(KJ20-KC20))</f>
        <v>0.45807453416149069</v>
      </c>
      <c r="KK36" s="51">
        <f>((KK35-KD35)/(KK20-KD20))</f>
        <v>0.25083056478405313</v>
      </c>
      <c r="KL36" s="51">
        <f>((KL35-KE35)/(KL20-KE20))</f>
        <v>0.4553893759669933</v>
      </c>
      <c r="KN36" s="520" t="s">
        <v>5</v>
      </c>
      <c r="KO36" s="51">
        <f>((KO35-KH35)/(KO20-KH20))</f>
        <v>0.30166666666666669</v>
      </c>
      <c r="KP36" s="51">
        <f>((KP35-KI35)/(KP20-KI20))</f>
        <v>0.28969696969696968</v>
      </c>
      <c r="KQ36" s="51">
        <f>((KQ35-KJ35)/(KQ20-KJ20))</f>
        <v>0.23714759535655058</v>
      </c>
      <c r="KR36" s="51">
        <f>((KR35-KK35)/(KR20-KK20))</f>
        <v>0.30693069306930693</v>
      </c>
      <c r="KS36" s="51">
        <f>((KS35-KL35)/(KS20-KL20))</f>
        <v>0.28142428142428144</v>
      </c>
      <c r="KU36" s="520" t="s">
        <v>5</v>
      </c>
      <c r="KV36" s="51">
        <f>((KV35-KO35)/(KV20-KO20))</f>
        <v>0.56313993174061439</v>
      </c>
      <c r="KW36" s="51">
        <f>((KW35-KP35)/(KW20-KP20))</f>
        <v>0.99137931034482762</v>
      </c>
      <c r="KX36" s="49">
        <f>((KX35-KQ35)/(KX20-KQ20))</f>
        <v>0.95356037151702788</v>
      </c>
      <c r="KY36" s="51">
        <f>((KY35-KR35)/(KY20-KR20))</f>
        <v>2.88</v>
      </c>
      <c r="KZ36" s="51">
        <f>((KZ35-KS35)/(KZ20-KS20))</f>
        <v>2.0510204081632653</v>
      </c>
      <c r="LB36" s="520" t="s">
        <v>5</v>
      </c>
      <c r="LC36" s="51">
        <f>((LC35-KV35)/(LC20-KV20))</f>
        <v>4.4000000000000004</v>
      </c>
      <c r="LD36" s="49">
        <f>((LD35-KW35)/(LD20-KW20))</f>
        <v>-9</v>
      </c>
      <c r="LE36" s="49">
        <f>((LE35-KX35)/(LE20-KX20))</f>
        <v>1.7659574468085106</v>
      </c>
      <c r="LF36" s="49">
        <f>((LF35-KY35)/(LF20-KY20))</f>
        <v>0.71631205673758869</v>
      </c>
      <c r="LG36" s="49">
        <f>((LG35-KZ35)/(LG20-KZ20))</f>
        <v>1.2478632478632479</v>
      </c>
      <c r="LH36" s="566"/>
      <c r="LI36" s="520" t="s">
        <v>5</v>
      </c>
      <c r="LJ36" s="49">
        <f>((LJ35-LC35)/(LJ20-LC20))</f>
        <v>1.1472868217054264</v>
      </c>
      <c r="LK36" s="49">
        <f>((LK35-LD35)/(LK20-LD20))</f>
        <v>1.2992125984251968</v>
      </c>
      <c r="LL36" s="49">
        <f>((LL35-LE35)/(LL20-LE20))</f>
        <v>2.125</v>
      </c>
      <c r="LM36" s="49">
        <f>((LM35-LF35)/(LM20-LF20))</f>
        <v>1.6774193548387097</v>
      </c>
      <c r="LN36" s="49">
        <f>((LN35-LG35)/(LN20-LG20))</f>
        <v>1.296875</v>
      </c>
      <c r="LO36" s="566"/>
      <c r="LP36" s="520" t="s">
        <v>5</v>
      </c>
      <c r="LQ36" s="49">
        <f>((LQ35-LJ35)/(LQ20-LJ20))</f>
        <v>3.3890303334636815</v>
      </c>
      <c r="LR36" s="49">
        <f>((LR35-LK35)/(LR20-LK20))</f>
        <v>1.34723608278121</v>
      </c>
      <c r="LS36" s="49">
        <f>((LS35-LL35)/(LS20-LL20))</f>
        <v>1.0341800455310495</v>
      </c>
      <c r="LT36" s="49">
        <f>((LT35-LM35)/(LT20-LM20))</f>
        <v>0.9329423857598822</v>
      </c>
      <c r="LU36" s="49">
        <f>((LU35-LN35)/(LU20-LN20))</f>
        <v>1.2565848795444614</v>
      </c>
      <c r="LV36" s="566"/>
      <c r="LW36" s="520" t="s">
        <v>5</v>
      </c>
      <c r="LX36" s="49">
        <f>((LX35-LQ35)/(LX20-LQ20))</f>
        <v>0.81006183161113354</v>
      </c>
      <c r="LY36" s="49">
        <f>((LY35-LR35)/(LY20-LR20))</f>
        <v>0.8220638863239631</v>
      </c>
      <c r="LZ36" s="49">
        <f>((LZ35-LS35)/(LZ20-LS20))</f>
        <v>0.86943584178978894</v>
      </c>
      <c r="MA36" s="49">
        <f>((MA35-LT35)/(MA20-LT20))</f>
        <v>0.85475531443696906</v>
      </c>
      <c r="MB36" s="49">
        <f>((MB35-LU35)/(MB20-LU20))</f>
        <v>0.83928556340787741</v>
      </c>
      <c r="MC36" s="566"/>
      <c r="MD36" s="520" t="s">
        <v>5</v>
      </c>
      <c r="ME36" s="49">
        <f>((ME35-LX35)/(ME20-LX20))</f>
        <v>0.632860162679724</v>
      </c>
      <c r="MF36" s="49">
        <f>((MF35-LY35)/(MF20-LY20))</f>
        <v>0.58487363710064311</v>
      </c>
      <c r="MG36" s="49">
        <f>((MG35-LZ35)/(MG20-LZ20))</f>
        <v>0.53152016473112973</v>
      </c>
      <c r="MH36" s="49">
        <f>((MH35-MA35)/(MH20-MA20))</f>
        <v>0.62681370056098196</v>
      </c>
      <c r="MI36" s="49">
        <f>((MI35-MB35)/(MI20-MB20))</f>
        <v>0.59344219019569044</v>
      </c>
      <c r="MJ36" s="566"/>
    </row>
    <row r="37" spans="1:349" x14ac:dyDescent="0.4">
      <c r="A37" s="48"/>
      <c r="BR37" s="53"/>
      <c r="BS37" s="53"/>
      <c r="BT37" s="53"/>
      <c r="BU37" s="53"/>
      <c r="BV37" s="53"/>
      <c r="BY37" s="53"/>
      <c r="BZ37" s="53"/>
      <c r="CA37" s="53"/>
      <c r="CB37" s="53"/>
      <c r="CC37" s="53"/>
      <c r="CF37" s="53"/>
      <c r="CG37" s="53"/>
      <c r="CH37" s="53"/>
      <c r="CI37" s="53"/>
      <c r="CJ37" s="53"/>
      <c r="CM37" s="53"/>
      <c r="CN37" s="53"/>
      <c r="CO37" s="53"/>
      <c r="CP37" s="53"/>
      <c r="CQ37" s="53"/>
      <c r="CT37" s="53"/>
      <c r="CU37" s="53"/>
      <c r="CV37" s="53"/>
      <c r="CW37" s="53"/>
      <c r="CX37" s="53"/>
      <c r="DA37" s="53"/>
      <c r="DB37" s="53"/>
      <c r="DC37" s="53"/>
      <c r="DD37" s="53"/>
      <c r="DE37" s="53"/>
      <c r="DH37" s="53"/>
      <c r="DI37" s="53"/>
      <c r="DJ37" s="53"/>
      <c r="DK37" s="53"/>
      <c r="DL37" s="53"/>
      <c r="DO37" s="53"/>
      <c r="DP37" s="53"/>
      <c r="DQ37" s="53"/>
      <c r="DR37" s="53"/>
      <c r="DS37" s="53"/>
      <c r="DV37" s="53"/>
      <c r="DW37" s="53"/>
      <c r="DX37" s="53"/>
      <c r="DY37" s="53"/>
      <c r="DZ37" s="53"/>
      <c r="EC37" s="53"/>
      <c r="ED37" s="53"/>
      <c r="EE37" s="53"/>
      <c r="EF37" s="53"/>
      <c r="EG37" s="53"/>
      <c r="EJ37" s="53"/>
      <c r="EK37" s="53"/>
      <c r="EL37" s="53"/>
      <c r="EM37" s="53"/>
      <c r="EN37" s="53"/>
      <c r="EQ37" s="53"/>
      <c r="ER37" s="53"/>
      <c r="ES37" s="53"/>
      <c r="ET37" s="53"/>
      <c r="EU37" s="53"/>
      <c r="EX37" s="53"/>
      <c r="EY37" s="53"/>
      <c r="EZ37" s="53"/>
      <c r="FA37" s="53"/>
      <c r="FB37" s="53"/>
      <c r="FE37" s="53"/>
      <c r="FF37" s="53"/>
      <c r="FG37" s="53"/>
      <c r="FH37" s="53"/>
      <c r="FI37" s="53"/>
      <c r="FL37" s="53"/>
      <c r="FM37" s="53"/>
      <c r="FN37" s="53"/>
      <c r="FO37" s="53"/>
      <c r="FP37" s="53"/>
      <c r="FS37" s="53"/>
      <c r="FT37" s="53"/>
      <c r="FU37" s="53"/>
      <c r="FV37" s="53"/>
      <c r="FW37" s="53"/>
      <c r="FZ37" s="53"/>
      <c r="GA37" s="53"/>
      <c r="GB37" s="53"/>
      <c r="GC37" s="53"/>
      <c r="GD37" s="53"/>
      <c r="GG37" s="53"/>
      <c r="GH37" s="53"/>
      <c r="GI37" s="53"/>
      <c r="GJ37" s="53"/>
      <c r="GK37" s="53"/>
      <c r="GN37" s="53"/>
      <c r="GO37" s="53"/>
      <c r="GP37" s="53"/>
      <c r="GQ37" s="53"/>
      <c r="GR37" s="53"/>
      <c r="GU37" s="53"/>
      <c r="GV37" s="53"/>
      <c r="GW37" s="53"/>
      <c r="GX37" s="53"/>
      <c r="GY37" s="53"/>
      <c r="HB37" s="53"/>
      <c r="HC37" s="53"/>
      <c r="HD37" s="53"/>
      <c r="HE37" s="53"/>
      <c r="HF37" s="53"/>
      <c r="HI37" s="53"/>
      <c r="HJ37" s="53"/>
      <c r="HK37" s="53"/>
      <c r="HL37" s="53"/>
      <c r="HM37" s="53"/>
      <c r="HP37" s="53"/>
      <c r="HQ37" s="53"/>
      <c r="HR37" s="53"/>
      <c r="HS37" s="53"/>
      <c r="HT37" s="53"/>
      <c r="HW37" s="53"/>
      <c r="HX37" s="53"/>
      <c r="HY37" s="53"/>
      <c r="HZ37" s="53"/>
      <c r="IA37" s="53"/>
      <c r="ID37" s="53"/>
      <c r="IE37" s="53"/>
      <c r="IF37" s="53"/>
      <c r="IG37" s="53"/>
      <c r="IH37" s="53"/>
      <c r="IK37" s="53"/>
      <c r="IL37" s="53"/>
      <c r="IM37" s="53"/>
      <c r="IN37" s="53"/>
      <c r="IO37" s="53"/>
      <c r="IR37" s="53"/>
      <c r="IS37" s="53"/>
      <c r="IT37" s="53"/>
      <c r="IU37" s="53"/>
      <c r="IV37" s="53"/>
      <c r="IY37" s="53"/>
      <c r="IZ37" s="53"/>
      <c r="JA37" s="53"/>
      <c r="JB37" s="53"/>
      <c r="JC37" s="53"/>
      <c r="JF37" s="53"/>
      <c r="JG37" s="53"/>
      <c r="JH37" s="53"/>
      <c r="JI37" s="53"/>
      <c r="JJ37" s="53"/>
      <c r="JM37" s="53"/>
      <c r="JN37" s="53"/>
      <c r="JO37" s="53"/>
      <c r="JP37" s="53"/>
      <c r="JQ37" s="53"/>
      <c r="JT37" s="53"/>
      <c r="JU37" s="53"/>
      <c r="JV37" s="53"/>
      <c r="JW37" s="53"/>
      <c r="JX37" s="53"/>
      <c r="KA37" s="53"/>
      <c r="KB37" s="53"/>
      <c r="KC37" s="53"/>
      <c r="KD37" s="53"/>
      <c r="KE37" s="53"/>
      <c r="KH37" s="53"/>
      <c r="KI37" s="53"/>
      <c r="KJ37" s="53"/>
      <c r="KK37" s="53"/>
      <c r="KL37" s="53"/>
      <c r="KO37" s="53"/>
      <c r="KP37" s="53"/>
      <c r="KQ37" s="53"/>
      <c r="KR37" s="53"/>
      <c r="KS37" s="53"/>
      <c r="KV37" s="53"/>
      <c r="KW37" s="53"/>
      <c r="KZ37" s="53"/>
      <c r="LB37" s="693"/>
      <c r="LC37" s="548"/>
      <c r="LD37" s="548"/>
      <c r="LE37" s="548"/>
      <c r="LF37" s="548"/>
      <c r="LG37" s="548"/>
      <c r="LI37" s="693"/>
      <c r="LJ37" s="548"/>
      <c r="LK37" s="548"/>
      <c r="LL37" s="548"/>
      <c r="LM37" s="548"/>
      <c r="LN37" s="548"/>
      <c r="LP37" s="693"/>
      <c r="LQ37" s="548"/>
      <c r="LR37" s="548"/>
      <c r="LS37" s="548"/>
      <c r="LT37" s="548"/>
      <c r="LU37" s="548"/>
      <c r="LW37" s="693"/>
      <c r="LX37" s="548"/>
      <c r="LY37" s="548"/>
      <c r="LZ37" s="548"/>
      <c r="MA37" s="548"/>
      <c r="MB37" s="548"/>
      <c r="MD37" s="693"/>
      <c r="ME37" s="548"/>
      <c r="MF37" s="548"/>
      <c r="MG37" s="548"/>
      <c r="MH37" s="548"/>
      <c r="MI37" s="548"/>
    </row>
    <row r="38" spans="1:349" x14ac:dyDescent="0.4">
      <c r="A38" s="48"/>
      <c r="B38" s="57" t="s">
        <v>190</v>
      </c>
      <c r="C38" s="58">
        <v>18</v>
      </c>
      <c r="D38" s="58">
        <v>47</v>
      </c>
      <c r="E38" s="58">
        <v>38</v>
      </c>
      <c r="F38" s="58">
        <v>70</v>
      </c>
      <c r="G38" s="58">
        <v>75</v>
      </c>
      <c r="H38" s="58">
        <v>11</v>
      </c>
      <c r="I38" s="58">
        <v>21</v>
      </c>
      <c r="J38" s="58">
        <v>-12</v>
      </c>
      <c r="K38" s="58">
        <v>66</v>
      </c>
      <c r="L38" s="58">
        <v>117</v>
      </c>
      <c r="M38" s="58">
        <v>116</v>
      </c>
      <c r="N38" s="58">
        <f>BV38</f>
        <v>168</v>
      </c>
      <c r="O38" s="58">
        <f>CC38</f>
        <v>41</v>
      </c>
      <c r="P38" s="58">
        <f>CJ38</f>
        <v>94</v>
      </c>
      <c r="Q38" s="58">
        <f>CQ38</f>
        <v>3</v>
      </c>
      <c r="R38" s="58">
        <f>CX38</f>
        <v>18</v>
      </c>
      <c r="S38" s="58">
        <f>DE38</f>
        <v>-7</v>
      </c>
      <c r="T38" s="58">
        <f>DL38</f>
        <v>37.700000000000003</v>
      </c>
      <c r="U38" s="58">
        <f>DS38</f>
        <v>24</v>
      </c>
      <c r="V38" s="58">
        <f>DZ38</f>
        <v>12</v>
      </c>
      <c r="W38" s="58">
        <f>EG38</f>
        <v>-25</v>
      </c>
      <c r="X38" s="58">
        <f>EN38</f>
        <v>13</v>
      </c>
      <c r="Y38" s="58">
        <f>EU38</f>
        <v>15</v>
      </c>
      <c r="Z38" s="58">
        <f>FB38</f>
        <v>20.8</v>
      </c>
      <c r="AA38" s="58">
        <f>FI38</f>
        <v>41</v>
      </c>
      <c r="AB38" s="58">
        <f>FP38</f>
        <v>93</v>
      </c>
      <c r="AC38" s="58">
        <f>FW38</f>
        <v>56</v>
      </c>
      <c r="AD38" s="58">
        <f>GD38</f>
        <v>101</v>
      </c>
      <c r="AE38" s="58">
        <f>GK38</f>
        <v>67</v>
      </c>
      <c r="AF38" s="58">
        <f>GR38</f>
        <v>89</v>
      </c>
      <c r="AG38" s="58">
        <f>GY38</f>
        <v>46</v>
      </c>
      <c r="AH38" s="58">
        <f>HF38</f>
        <v>22</v>
      </c>
      <c r="AI38" s="58">
        <f>HM38</f>
        <v>32</v>
      </c>
      <c r="AJ38" s="58">
        <f>HT38</f>
        <v>22</v>
      </c>
      <c r="AK38" s="58">
        <f>IA38</f>
        <v>16</v>
      </c>
      <c r="AL38" s="58">
        <f>IH38</f>
        <v>11</v>
      </c>
      <c r="AM38" s="58">
        <f>IO38</f>
        <v>-24</v>
      </c>
      <c r="AN38" s="58">
        <f>IV38</f>
        <v>98</v>
      </c>
      <c r="AO38" s="58">
        <f>JC38</f>
        <v>46</v>
      </c>
      <c r="AP38" s="58">
        <f>JJ38</f>
        <v>53</v>
      </c>
      <c r="AQ38" s="58">
        <f>JQ38</f>
        <v>74</v>
      </c>
      <c r="AR38" s="58">
        <f>JX38</f>
        <v>88</v>
      </c>
      <c r="AS38" s="58">
        <f>KE38</f>
        <v>19</v>
      </c>
      <c r="AT38" s="58">
        <f>KL38</f>
        <v>79</v>
      </c>
      <c r="AU38" s="58">
        <f>KS38</f>
        <v>133</v>
      </c>
      <c r="AV38" s="58">
        <f>KZ38</f>
        <v>139</v>
      </c>
      <c r="AW38" s="58">
        <f>LG38</f>
        <v>142</v>
      </c>
      <c r="AX38" s="58">
        <f>LN38</f>
        <v>92</v>
      </c>
      <c r="AY38" s="58">
        <f>LU38</f>
        <v>92</v>
      </c>
      <c r="AZ38" s="58">
        <f>MB38</f>
        <v>92</v>
      </c>
      <c r="BA38" s="58">
        <f>MI38</f>
        <v>92</v>
      </c>
      <c r="BB38" s="58"/>
      <c r="BC38" s="58"/>
      <c r="BD38" s="58"/>
      <c r="BE38" s="58"/>
      <c r="BF38" s="58"/>
      <c r="BG38" s="58"/>
      <c r="BH38" s="58"/>
      <c r="BI38" s="58"/>
      <c r="BJ38" s="58"/>
      <c r="BK38" s="58"/>
      <c r="BL38" s="58"/>
      <c r="BM38" s="58"/>
      <c r="BN38" s="58"/>
      <c r="BO38" s="58"/>
      <c r="BQ38" s="57" t="s">
        <v>190</v>
      </c>
      <c r="BR38" s="58">
        <v>34</v>
      </c>
      <c r="BS38" s="58">
        <v>74</v>
      </c>
      <c r="BT38" s="58">
        <v>64</v>
      </c>
      <c r="BU38" s="58">
        <v>-4</v>
      </c>
      <c r="BV38" s="58">
        <v>168</v>
      </c>
      <c r="BX38" s="57" t="s">
        <v>190</v>
      </c>
      <c r="BY38" s="58">
        <v>5</v>
      </c>
      <c r="BZ38" s="58">
        <v>17</v>
      </c>
      <c r="CA38" s="58">
        <v>-3</v>
      </c>
      <c r="CB38" s="58">
        <v>22</v>
      </c>
      <c r="CC38" s="58">
        <v>41</v>
      </c>
      <c r="CE38" s="57" t="s">
        <v>190</v>
      </c>
      <c r="CF38" s="58">
        <v>19</v>
      </c>
      <c r="CG38" s="58">
        <v>57</v>
      </c>
      <c r="CH38" s="58">
        <v>-6</v>
      </c>
      <c r="CI38" s="58">
        <v>24</v>
      </c>
      <c r="CJ38" s="58">
        <v>94</v>
      </c>
      <c r="CL38" s="57" t="s">
        <v>190</v>
      </c>
      <c r="CM38" s="58">
        <v>4</v>
      </c>
      <c r="CN38" s="58">
        <v>3</v>
      </c>
      <c r="CO38" s="58">
        <v>1</v>
      </c>
      <c r="CP38" s="58">
        <v>-5</v>
      </c>
      <c r="CQ38" s="58">
        <v>3</v>
      </c>
      <c r="CS38" s="57" t="s">
        <v>190</v>
      </c>
      <c r="CT38" s="58">
        <v>-1</v>
      </c>
      <c r="CU38" s="58">
        <v>30</v>
      </c>
      <c r="CV38" s="58">
        <v>1</v>
      </c>
      <c r="CW38" s="58">
        <v>-12</v>
      </c>
      <c r="CX38" s="58">
        <v>18</v>
      </c>
      <c r="CZ38" s="57" t="s">
        <v>190</v>
      </c>
      <c r="DA38" s="58">
        <v>-1</v>
      </c>
      <c r="DB38" s="58">
        <v>18</v>
      </c>
      <c r="DC38" s="58">
        <v>-6</v>
      </c>
      <c r="DD38" s="58">
        <v>-18</v>
      </c>
      <c r="DE38" s="58">
        <v>-7</v>
      </c>
      <c r="DG38" s="57" t="s">
        <v>190</v>
      </c>
      <c r="DH38" s="58">
        <v>-12</v>
      </c>
      <c r="DI38" s="58">
        <v>9</v>
      </c>
      <c r="DJ38" s="58">
        <v>16</v>
      </c>
      <c r="DK38" s="58">
        <v>24.700000000000003</v>
      </c>
      <c r="DL38" s="58">
        <v>37.700000000000003</v>
      </c>
      <c r="DN38" s="57" t="s">
        <v>190</v>
      </c>
      <c r="DO38" s="58">
        <v>-12</v>
      </c>
      <c r="DP38" s="58">
        <v>4</v>
      </c>
      <c r="DQ38" s="58">
        <v>8</v>
      </c>
      <c r="DR38" s="58">
        <v>24</v>
      </c>
      <c r="DS38" s="58">
        <v>24</v>
      </c>
      <c r="DU38" s="57" t="s">
        <v>190</v>
      </c>
      <c r="DV38" s="58">
        <v>-7</v>
      </c>
      <c r="DW38" s="58">
        <v>5</v>
      </c>
      <c r="DX38" s="58">
        <v>10</v>
      </c>
      <c r="DY38" s="58">
        <v>4</v>
      </c>
      <c r="DZ38" s="58">
        <v>12</v>
      </c>
      <c r="EB38" s="57" t="s">
        <v>190</v>
      </c>
      <c r="EC38" s="58">
        <v>-22</v>
      </c>
      <c r="ED38" s="58">
        <v>-5</v>
      </c>
      <c r="EE38" s="58">
        <v>-5</v>
      </c>
      <c r="EF38" s="58">
        <v>7</v>
      </c>
      <c r="EG38" s="58">
        <v>-25</v>
      </c>
      <c r="EI38" s="57" t="s">
        <v>190</v>
      </c>
      <c r="EJ38" s="58">
        <v>-47</v>
      </c>
      <c r="EK38" s="58">
        <v>-4</v>
      </c>
      <c r="EL38" s="58">
        <v>17</v>
      </c>
      <c r="EM38" s="58">
        <v>47</v>
      </c>
      <c r="EN38" s="58">
        <v>13</v>
      </c>
      <c r="EP38" s="57" t="s">
        <v>190</v>
      </c>
      <c r="EQ38" s="58">
        <v>-5</v>
      </c>
      <c r="ER38" s="58">
        <v>24</v>
      </c>
      <c r="ES38" s="58">
        <v>3</v>
      </c>
      <c r="ET38" s="58">
        <v>-7</v>
      </c>
      <c r="EU38" s="58">
        <v>15</v>
      </c>
      <c r="EW38" s="57" t="s">
        <v>190</v>
      </c>
      <c r="EX38" s="58">
        <v>-17.2</v>
      </c>
      <c r="EY38" s="58">
        <v>37</v>
      </c>
      <c r="EZ38" s="58">
        <v>4</v>
      </c>
      <c r="FA38" s="58">
        <v>-3</v>
      </c>
      <c r="FB38" s="58">
        <v>20.8</v>
      </c>
      <c r="FD38" s="57" t="s">
        <v>190</v>
      </c>
      <c r="FE38" s="58">
        <v>9</v>
      </c>
      <c r="FF38" s="58">
        <v>4</v>
      </c>
      <c r="FG38" s="58">
        <v>28</v>
      </c>
      <c r="FH38" s="58">
        <v>0</v>
      </c>
      <c r="FI38" s="58">
        <v>41</v>
      </c>
      <c r="FK38" s="57" t="s">
        <v>190</v>
      </c>
      <c r="FL38" s="58">
        <v>0</v>
      </c>
      <c r="FM38" s="58">
        <v>28</v>
      </c>
      <c r="FN38" s="58">
        <v>30</v>
      </c>
      <c r="FO38" s="58">
        <v>35</v>
      </c>
      <c r="FP38" s="58">
        <v>93</v>
      </c>
      <c r="FR38" s="57" t="s">
        <v>190</v>
      </c>
      <c r="FS38" s="58">
        <v>-4</v>
      </c>
      <c r="FT38" s="58">
        <v>6</v>
      </c>
      <c r="FU38" s="58">
        <v>16</v>
      </c>
      <c r="FV38" s="58">
        <v>38</v>
      </c>
      <c r="FW38" s="58">
        <v>56</v>
      </c>
      <c r="FY38" s="57" t="s">
        <v>190</v>
      </c>
      <c r="FZ38" s="58">
        <v>-2</v>
      </c>
      <c r="GA38" s="58">
        <v>30</v>
      </c>
      <c r="GB38" s="58">
        <v>11</v>
      </c>
      <c r="GC38" s="58">
        <v>62</v>
      </c>
      <c r="GD38" s="58">
        <f>SUM(FZ38:GC38)</f>
        <v>101</v>
      </c>
      <c r="GF38" s="57" t="s">
        <v>190</v>
      </c>
      <c r="GG38" s="58">
        <f>-3+9</f>
        <v>6</v>
      </c>
      <c r="GH38" s="58">
        <f>11+1</f>
        <v>12</v>
      </c>
      <c r="GI38" s="58">
        <v>25</v>
      </c>
      <c r="GJ38" s="58">
        <f>62+2-26/(1-0.35)</f>
        <v>24</v>
      </c>
      <c r="GK38" s="58">
        <f>GG38+GH38+GI38+GJ38</f>
        <v>67</v>
      </c>
      <c r="GM38" s="57" t="s">
        <v>190</v>
      </c>
      <c r="GN38" s="58">
        <f>-8</f>
        <v>-8</v>
      </c>
      <c r="GO38" s="58">
        <v>3</v>
      </c>
      <c r="GP38" s="58">
        <v>14</v>
      </c>
      <c r="GQ38" s="58">
        <v>80</v>
      </c>
      <c r="GR38" s="58">
        <f>GN38+GO38+GP38+GQ38</f>
        <v>89</v>
      </c>
      <c r="GT38" s="57" t="s">
        <v>190</v>
      </c>
      <c r="GU38" s="58">
        <f>55-30</f>
        <v>25</v>
      </c>
      <c r="GV38" s="58">
        <v>6</v>
      </c>
      <c r="GW38" s="58">
        <v>8</v>
      </c>
      <c r="GX38" s="58">
        <f>-172+179</f>
        <v>7</v>
      </c>
      <c r="GY38" s="58">
        <f>SUM(GU38:GX38)</f>
        <v>46</v>
      </c>
      <c r="HA38" s="57" t="s">
        <v>190</v>
      </c>
      <c r="HB38" s="58">
        <f>4+1-14</f>
        <v>-9</v>
      </c>
      <c r="HC38" s="58">
        <v>10</v>
      </c>
      <c r="HD38" s="58">
        <v>6</v>
      </c>
      <c r="HE38" s="58">
        <v>15</v>
      </c>
      <c r="HF38" s="58">
        <f>SUM(HB38:HE38)</f>
        <v>22</v>
      </c>
      <c r="HH38" s="57" t="s">
        <v>190</v>
      </c>
      <c r="HI38" s="58">
        <v>11</v>
      </c>
      <c r="HJ38" s="58">
        <v>9</v>
      </c>
      <c r="HK38" s="58">
        <v>8</v>
      </c>
      <c r="HL38" s="58">
        <v>4</v>
      </c>
      <c r="HM38" s="58">
        <f>SUM(HI38:HL38)</f>
        <v>32</v>
      </c>
      <c r="HO38" s="57" t="s">
        <v>190</v>
      </c>
      <c r="HP38" s="58">
        <v>5</v>
      </c>
      <c r="HQ38" s="58">
        <v>0</v>
      </c>
      <c r="HR38" s="58">
        <v>6</v>
      </c>
      <c r="HS38" s="58">
        <v>11</v>
      </c>
      <c r="HT38" s="58">
        <f>SUM(HP38:HS38)</f>
        <v>22</v>
      </c>
      <c r="HV38" s="57" t="s">
        <v>190</v>
      </c>
      <c r="HW38" s="58">
        <v>4</v>
      </c>
      <c r="HX38" s="58">
        <v>5</v>
      </c>
      <c r="HY38" s="58">
        <v>5</v>
      </c>
      <c r="HZ38" s="58">
        <f>59-57</f>
        <v>2</v>
      </c>
      <c r="IA38" s="58">
        <f>SUM(HW38:HZ38)</f>
        <v>16</v>
      </c>
      <c r="IC38" s="57" t="s">
        <v>190</v>
      </c>
      <c r="ID38" s="58">
        <v>-3</v>
      </c>
      <c r="IE38" s="58">
        <v>9</v>
      </c>
      <c r="IF38" s="58">
        <v>5</v>
      </c>
      <c r="IG38" s="58">
        <v>0</v>
      </c>
      <c r="IH38" s="58">
        <f>SUM(ID38:IG38)</f>
        <v>11</v>
      </c>
      <c r="IJ38" s="57" t="s">
        <v>190</v>
      </c>
      <c r="IK38" s="58">
        <v>7</v>
      </c>
      <c r="IL38" s="58">
        <v>-12</v>
      </c>
      <c r="IM38" s="58">
        <v>-26</v>
      </c>
      <c r="IN38" s="58">
        <v>7</v>
      </c>
      <c r="IO38" s="58">
        <f>SUM(IK38:IN38)</f>
        <v>-24</v>
      </c>
      <c r="IQ38" s="57" t="s">
        <v>190</v>
      </c>
      <c r="IR38" s="58">
        <v>2</v>
      </c>
      <c r="IS38" s="58">
        <v>4</v>
      </c>
      <c r="IT38" s="58">
        <v>2</v>
      </c>
      <c r="IU38" s="58">
        <v>90</v>
      </c>
      <c r="IV38" s="58">
        <f>SUM(IR38:IU38)</f>
        <v>98</v>
      </c>
      <c r="IX38" s="57" t="s">
        <v>190</v>
      </c>
      <c r="IY38" s="58">
        <v>7</v>
      </c>
      <c r="IZ38" s="58">
        <v>8</v>
      </c>
      <c r="JA38" s="58">
        <v>13</v>
      </c>
      <c r="JB38" s="58">
        <f>18-115+115</f>
        <v>18</v>
      </c>
      <c r="JC38" s="58">
        <f>SUM(IY38:JB38)</f>
        <v>46</v>
      </c>
      <c r="JE38" s="57" t="s">
        <v>190</v>
      </c>
      <c r="JF38" s="58">
        <f>13-63+63</f>
        <v>13</v>
      </c>
      <c r="JG38" s="58">
        <f>14-7+7</f>
        <v>14</v>
      </c>
      <c r="JH38" s="58">
        <v>14</v>
      </c>
      <c r="JI38" s="58">
        <f>12-15+15</f>
        <v>12</v>
      </c>
      <c r="JJ38" s="58">
        <f>SUM(JF38:JI38)</f>
        <v>53</v>
      </c>
      <c r="JL38" s="57" t="s">
        <v>190</v>
      </c>
      <c r="JM38" s="58">
        <v>17</v>
      </c>
      <c r="JN38" s="58">
        <v>18</v>
      </c>
      <c r="JO38" s="58">
        <v>19</v>
      </c>
      <c r="JP38" s="58">
        <v>20</v>
      </c>
      <c r="JQ38" s="58">
        <f>SUM(JM38:JP38)</f>
        <v>74</v>
      </c>
      <c r="JS38" s="57" t="s">
        <v>190</v>
      </c>
      <c r="JT38" s="58">
        <v>23</v>
      </c>
      <c r="JU38" s="58">
        <v>25</v>
      </c>
      <c r="JV38" s="58">
        <v>24</v>
      </c>
      <c r="JW38" s="58">
        <v>16</v>
      </c>
      <c r="JX38" s="58">
        <f>SUM(JT38:JW38)</f>
        <v>88</v>
      </c>
      <c r="JZ38" s="57" t="s">
        <v>190</v>
      </c>
      <c r="KA38" s="58">
        <v>22</v>
      </c>
      <c r="KB38" s="58">
        <v>15</v>
      </c>
      <c r="KC38" s="58">
        <v>14</v>
      </c>
      <c r="KD38" s="58">
        <v>-32</v>
      </c>
      <c r="KE38" s="58">
        <f>SUM(KA38:KD38)</f>
        <v>19</v>
      </c>
      <c r="KG38" s="57" t="s">
        <v>190</v>
      </c>
      <c r="KH38" s="58">
        <v>20</v>
      </c>
      <c r="KI38" s="58">
        <v>20</v>
      </c>
      <c r="KJ38" s="58">
        <v>20</v>
      </c>
      <c r="KK38" s="58">
        <v>19</v>
      </c>
      <c r="KL38" s="58">
        <f>SUM(KH38:KK38)</f>
        <v>79</v>
      </c>
      <c r="KN38" s="57" t="s">
        <v>190</v>
      </c>
      <c r="KO38" s="58">
        <v>26</v>
      </c>
      <c r="KP38" s="58">
        <v>26</v>
      </c>
      <c r="KQ38" s="58">
        <v>37</v>
      </c>
      <c r="KR38" s="58">
        <v>44</v>
      </c>
      <c r="KS38" s="58">
        <f>SUM(KO38:KR38)</f>
        <v>133</v>
      </c>
      <c r="KU38" s="57" t="s">
        <v>190</v>
      </c>
      <c r="KV38" s="58">
        <v>41</v>
      </c>
      <c r="KW38" s="58">
        <v>31</v>
      </c>
      <c r="KX38" s="58">
        <v>34</v>
      </c>
      <c r="KY38" s="58">
        <v>33</v>
      </c>
      <c r="KZ38" s="58">
        <f>SUM(KV38:KY38)</f>
        <v>139</v>
      </c>
      <c r="LB38" s="57" t="s">
        <v>190</v>
      </c>
      <c r="LC38" s="58">
        <v>41</v>
      </c>
      <c r="LD38" s="127">
        <v>28</v>
      </c>
      <c r="LE38" s="58">
        <v>36</v>
      </c>
      <c r="LF38" s="58">
        <v>37</v>
      </c>
      <c r="LG38" s="127">
        <f>SUM(LC38:LF38)</f>
        <v>142</v>
      </c>
      <c r="LH38" s="558"/>
      <c r="LI38" s="57" t="s">
        <v>190</v>
      </c>
      <c r="LJ38" s="58">
        <v>26</v>
      </c>
      <c r="LK38" s="58">
        <v>22</v>
      </c>
      <c r="LL38" s="58">
        <v>21</v>
      </c>
      <c r="LM38" s="127">
        <v>23</v>
      </c>
      <c r="LN38" s="127">
        <f>SUM(LJ38:LM38)</f>
        <v>92</v>
      </c>
      <c r="LO38" s="558"/>
      <c r="LP38" s="57" t="s">
        <v>190</v>
      </c>
      <c r="LQ38" s="509">
        <v>23</v>
      </c>
      <c r="LR38" s="509">
        <v>23</v>
      </c>
      <c r="LS38" s="509">
        <v>23</v>
      </c>
      <c r="LT38" s="509">
        <v>23</v>
      </c>
      <c r="LU38" s="127">
        <f>SUM(LQ38:LT38)</f>
        <v>92</v>
      </c>
      <c r="LV38" s="558"/>
      <c r="LW38" s="57" t="s">
        <v>190</v>
      </c>
      <c r="LX38" s="509">
        <v>23</v>
      </c>
      <c r="LY38" s="509">
        <v>23</v>
      </c>
      <c r="LZ38" s="509">
        <v>23</v>
      </c>
      <c r="MA38" s="509">
        <v>23</v>
      </c>
      <c r="MB38" s="127">
        <f>SUM(LX38:MA38)</f>
        <v>92</v>
      </c>
      <c r="MC38" s="558"/>
      <c r="MD38" s="57" t="s">
        <v>190</v>
      </c>
      <c r="ME38" s="509">
        <v>23</v>
      </c>
      <c r="MF38" s="509">
        <v>23</v>
      </c>
      <c r="MG38" s="509">
        <v>23</v>
      </c>
      <c r="MH38" s="509">
        <v>23</v>
      </c>
      <c r="MI38" s="127">
        <f>SUM(ME38:MH38)</f>
        <v>92</v>
      </c>
      <c r="MJ38" s="558"/>
    </row>
    <row r="39" spans="1:349" hidden="1" outlineLevel="1" x14ac:dyDescent="0.4">
      <c r="A39" s="48"/>
      <c r="B39" s="60" t="s">
        <v>317</v>
      </c>
      <c r="C39" s="61"/>
      <c r="D39" s="61"/>
      <c r="E39" s="61"/>
      <c r="F39" s="61"/>
      <c r="G39" s="61"/>
      <c r="H39" s="61"/>
      <c r="I39" s="61"/>
      <c r="J39" s="61"/>
      <c r="K39" s="61"/>
      <c r="L39" s="61"/>
      <c r="M39" s="61"/>
      <c r="N39" s="61">
        <f>BV39</f>
        <v>0</v>
      </c>
      <c r="O39" s="61">
        <f>CC39</f>
        <v>0</v>
      </c>
      <c r="P39" s="61">
        <f>CJ39</f>
        <v>0</v>
      </c>
      <c r="Q39" s="61">
        <f>CQ39</f>
        <v>0</v>
      </c>
      <c r="R39" s="61">
        <f>CX39</f>
        <v>0</v>
      </c>
      <c r="S39" s="61">
        <f>DE39</f>
        <v>0</v>
      </c>
      <c r="T39" s="61">
        <f>DL39</f>
        <v>0</v>
      </c>
      <c r="U39" s="61">
        <f>DS39</f>
        <v>0</v>
      </c>
      <c r="V39" s="61">
        <f>DZ39</f>
        <v>93.606000000000009</v>
      </c>
      <c r="W39" s="61">
        <f>EG39</f>
        <v>170.40882340016998</v>
      </c>
      <c r="X39" s="61">
        <f>EN39</f>
        <v>14.088000000000001</v>
      </c>
      <c r="Y39" s="61">
        <f>EU39</f>
        <v>0</v>
      </c>
      <c r="Z39" s="61">
        <f>FB39</f>
        <v>0</v>
      </c>
      <c r="AA39" s="61">
        <f>FI39</f>
        <v>0</v>
      </c>
      <c r="AB39" s="61">
        <f>FP39</f>
        <v>0</v>
      </c>
      <c r="AC39" s="61">
        <f>FW39</f>
        <v>0</v>
      </c>
      <c r="AD39" s="61">
        <f>GD39</f>
        <v>0</v>
      </c>
      <c r="AE39" s="61">
        <f>GK39</f>
        <v>0</v>
      </c>
      <c r="AF39" s="61">
        <f>GR39</f>
        <v>0</v>
      </c>
      <c r="AG39" s="61">
        <f>GY39</f>
        <v>0</v>
      </c>
      <c r="AH39" s="61">
        <f>HF39</f>
        <v>0</v>
      </c>
      <c r="AI39" s="61">
        <f>HM39</f>
        <v>0</v>
      </c>
      <c r="AJ39" s="61">
        <f>HT39</f>
        <v>0</v>
      </c>
      <c r="AK39" s="61">
        <f>IA39</f>
        <v>0</v>
      </c>
      <c r="AL39" s="61">
        <f>IH39</f>
        <v>0</v>
      </c>
      <c r="AM39" s="61">
        <f>IO39</f>
        <v>0</v>
      </c>
      <c r="AN39" s="61">
        <f>IV39</f>
        <v>0</v>
      </c>
      <c r="AO39" s="61">
        <f>JC39</f>
        <v>0</v>
      </c>
      <c r="AP39" s="61">
        <f>JJ39</f>
        <v>0</v>
      </c>
      <c r="AQ39" s="61">
        <f>JQ39</f>
        <v>0</v>
      </c>
      <c r="AR39" s="61">
        <f>JX39</f>
        <v>0</v>
      </c>
      <c r="AS39" s="61">
        <f>KE39</f>
        <v>0</v>
      </c>
      <c r="AT39" s="61">
        <f>KL39</f>
        <v>0</v>
      </c>
      <c r="AU39" s="61">
        <f>KS39</f>
        <v>0</v>
      </c>
      <c r="AV39" s="61">
        <f>KZ39</f>
        <v>0</v>
      </c>
      <c r="AW39" s="61">
        <f>LG39</f>
        <v>0</v>
      </c>
      <c r="AX39" s="61">
        <f>LN39</f>
        <v>0</v>
      </c>
      <c r="AY39" s="61">
        <f>LU39</f>
        <v>0</v>
      </c>
      <c r="AZ39" s="61">
        <f>MB39</f>
        <v>0</v>
      </c>
      <c r="BA39" s="61">
        <f>MI39</f>
        <v>0</v>
      </c>
      <c r="BB39" s="61"/>
      <c r="BC39" s="61"/>
      <c r="BD39" s="61"/>
      <c r="BE39" s="61"/>
      <c r="BF39" s="61"/>
      <c r="BG39" s="61"/>
      <c r="BH39" s="61"/>
      <c r="BI39" s="61"/>
      <c r="BJ39" s="61"/>
      <c r="BK39" s="61"/>
      <c r="BL39" s="61"/>
      <c r="BM39" s="61"/>
      <c r="BN39" s="61"/>
      <c r="BO39" s="61"/>
      <c r="BQ39" s="60" t="s">
        <v>317</v>
      </c>
      <c r="BR39" s="61"/>
      <c r="BS39" s="61"/>
      <c r="BT39" s="61"/>
      <c r="BU39" s="61"/>
      <c r="BV39" s="61"/>
      <c r="BX39" s="60" t="s">
        <v>317</v>
      </c>
      <c r="BY39" s="61"/>
      <c r="BZ39" s="61"/>
      <c r="CA39" s="61"/>
      <c r="CB39" s="61"/>
      <c r="CC39" s="61"/>
      <c r="CE39" s="60" t="s">
        <v>317</v>
      </c>
      <c r="CF39" s="61"/>
      <c r="CG39" s="61"/>
      <c r="CH39" s="61"/>
      <c r="CI39" s="61"/>
      <c r="CJ39" s="61"/>
      <c r="CL39" s="60" t="s">
        <v>317</v>
      </c>
      <c r="CM39" s="61"/>
      <c r="CN39" s="61"/>
      <c r="CO39" s="61"/>
      <c r="CP39" s="61"/>
      <c r="CQ39" s="61"/>
      <c r="CS39" s="60" t="s">
        <v>317</v>
      </c>
      <c r="CT39" s="61"/>
      <c r="CU39" s="61"/>
      <c r="CV39" s="61"/>
      <c r="CW39" s="61"/>
      <c r="CX39" s="61"/>
      <c r="CZ39" s="60" t="s">
        <v>317</v>
      </c>
      <c r="DA39" s="61"/>
      <c r="DB39" s="61"/>
      <c r="DC39" s="61"/>
      <c r="DD39" s="61"/>
      <c r="DE39" s="61"/>
      <c r="DG39" s="60" t="s">
        <v>317</v>
      </c>
      <c r="DH39" s="61"/>
      <c r="DI39" s="61"/>
      <c r="DJ39" s="61"/>
      <c r="DK39" s="61"/>
      <c r="DL39" s="61"/>
      <c r="DN39" s="60" t="s">
        <v>317</v>
      </c>
      <c r="DO39" s="61"/>
      <c r="DP39" s="61"/>
      <c r="DQ39" s="61"/>
      <c r="DR39" s="61"/>
      <c r="DS39" s="61"/>
      <c r="DU39" s="60" t="s">
        <v>317</v>
      </c>
      <c r="DV39" s="61"/>
      <c r="DW39" s="61">
        <v>13.360000000000001</v>
      </c>
      <c r="DX39" s="61">
        <v>37.380000000000003</v>
      </c>
      <c r="DY39" s="61">
        <v>42.866000000000007</v>
      </c>
      <c r="DZ39" s="61">
        <v>93.606000000000009</v>
      </c>
      <c r="EB39" s="60" t="s">
        <v>317</v>
      </c>
      <c r="EC39" s="61">
        <v>31.68</v>
      </c>
      <c r="ED39" s="61">
        <v>44.708823400169983</v>
      </c>
      <c r="EE39" s="61">
        <v>51</v>
      </c>
      <c r="EF39" s="61">
        <v>43.02</v>
      </c>
      <c r="EG39" s="61">
        <v>170.40882340016998</v>
      </c>
      <c r="EI39" s="60" t="s">
        <v>317</v>
      </c>
      <c r="EJ39" s="61">
        <v>14.088000000000001</v>
      </c>
      <c r="EK39" s="61"/>
      <c r="EL39" s="61"/>
      <c r="EM39" s="61"/>
      <c r="EN39" s="61">
        <v>14.088000000000001</v>
      </c>
      <c r="EP39" s="60" t="s">
        <v>317</v>
      </c>
      <c r="EQ39" s="61"/>
      <c r="ER39" s="61"/>
      <c r="ES39" s="61"/>
      <c r="ET39" s="61"/>
      <c r="EU39" s="61"/>
      <c r="EW39" s="60" t="s">
        <v>317</v>
      </c>
      <c r="EX39" s="61"/>
      <c r="EY39" s="61"/>
      <c r="EZ39" s="61"/>
      <c r="FA39" s="61"/>
      <c r="FB39" s="61"/>
      <c r="FD39" s="60" t="s">
        <v>317</v>
      </c>
      <c r="FE39" s="61"/>
      <c r="FF39" s="61"/>
      <c r="FG39" s="61"/>
      <c r="FH39" s="61"/>
      <c r="FI39" s="61"/>
      <c r="FK39" s="60" t="s">
        <v>317</v>
      </c>
      <c r="FL39" s="61"/>
      <c r="FM39" s="61"/>
      <c r="FN39" s="61"/>
      <c r="FO39" s="61"/>
      <c r="FP39" s="61"/>
      <c r="FR39" s="60" t="s">
        <v>317</v>
      </c>
      <c r="FS39" s="61"/>
      <c r="FT39" s="61"/>
      <c r="FU39" s="61"/>
      <c r="FV39" s="61"/>
      <c r="FW39" s="61"/>
      <c r="FY39" s="60" t="s">
        <v>317</v>
      </c>
      <c r="FZ39" s="61"/>
      <c r="GA39" s="61"/>
      <c r="GB39" s="61"/>
      <c r="GC39" s="61"/>
      <c r="GD39" s="61"/>
      <c r="GF39" s="60" t="s">
        <v>317</v>
      </c>
      <c r="GG39" s="61"/>
      <c r="GH39" s="61"/>
      <c r="GI39" s="61"/>
      <c r="GJ39" s="61"/>
      <c r="GK39" s="61"/>
      <c r="GM39" s="60" t="s">
        <v>317</v>
      </c>
      <c r="GN39" s="61"/>
      <c r="GO39" s="61"/>
      <c r="GP39" s="61"/>
      <c r="GQ39" s="61"/>
      <c r="GR39" s="61"/>
      <c r="GT39" s="60" t="s">
        <v>317</v>
      </c>
      <c r="GU39" s="61"/>
      <c r="GV39" s="61"/>
      <c r="GW39" s="61"/>
      <c r="GX39" s="61"/>
      <c r="GY39" s="61"/>
      <c r="HA39" s="60" t="s">
        <v>317</v>
      </c>
      <c r="HB39" s="61"/>
      <c r="HC39" s="61"/>
      <c r="HD39" s="61"/>
      <c r="HE39" s="61"/>
      <c r="HF39" s="61"/>
      <c r="HH39" s="60" t="s">
        <v>317</v>
      </c>
      <c r="HI39" s="61"/>
      <c r="HJ39" s="61"/>
      <c r="HK39" s="61"/>
      <c r="HL39" s="61"/>
      <c r="HM39" s="61"/>
      <c r="HO39" s="60" t="s">
        <v>317</v>
      </c>
      <c r="HP39" s="61"/>
      <c r="HQ39" s="61"/>
      <c r="HR39" s="61"/>
      <c r="HS39" s="61"/>
      <c r="HT39" s="61"/>
      <c r="HV39" s="60" t="s">
        <v>317</v>
      </c>
      <c r="HW39" s="61"/>
      <c r="HX39" s="61"/>
      <c r="HY39" s="61"/>
      <c r="HZ39" s="61"/>
      <c r="IA39" s="61"/>
      <c r="IC39" s="60" t="s">
        <v>317</v>
      </c>
      <c r="ID39" s="61"/>
      <c r="IE39" s="61"/>
      <c r="IF39" s="61"/>
      <c r="IG39" s="61"/>
      <c r="IH39" s="61"/>
      <c r="IJ39" s="60" t="s">
        <v>317</v>
      </c>
      <c r="IK39" s="61"/>
      <c r="IL39" s="61"/>
      <c r="IM39" s="61"/>
      <c r="IN39" s="61"/>
      <c r="IO39" s="61"/>
      <c r="IQ39" s="60" t="s">
        <v>317</v>
      </c>
      <c r="IR39" s="61"/>
      <c r="IS39" s="61"/>
      <c r="IT39" s="61"/>
      <c r="IU39" s="61"/>
      <c r="IV39" s="61"/>
      <c r="IX39" s="60" t="s">
        <v>317</v>
      </c>
      <c r="IY39" s="61"/>
      <c r="IZ39" s="61"/>
      <c r="JA39" s="61"/>
      <c r="JB39" s="61"/>
      <c r="JC39" s="61"/>
      <c r="JE39" s="60" t="s">
        <v>317</v>
      </c>
      <c r="JF39" s="61"/>
      <c r="JG39" s="61"/>
      <c r="JH39" s="61"/>
      <c r="JI39" s="61"/>
      <c r="JJ39" s="61"/>
      <c r="JL39" s="60" t="s">
        <v>317</v>
      </c>
      <c r="JM39" s="61"/>
      <c r="JN39" s="61"/>
      <c r="JO39" s="61"/>
      <c r="JP39" s="61"/>
      <c r="JQ39" s="61"/>
      <c r="JS39" s="60" t="s">
        <v>317</v>
      </c>
      <c r="JT39" s="61"/>
      <c r="JU39" s="61"/>
      <c r="JV39" s="61"/>
      <c r="JW39" s="61"/>
      <c r="JX39" s="61"/>
      <c r="JZ39" s="60" t="s">
        <v>317</v>
      </c>
      <c r="KA39" s="61"/>
      <c r="KB39" s="61"/>
      <c r="KC39" s="61"/>
      <c r="KD39" s="61"/>
      <c r="KE39" s="61"/>
      <c r="KG39" s="60" t="s">
        <v>317</v>
      </c>
      <c r="KH39" s="61"/>
      <c r="KI39" s="61"/>
      <c r="KJ39" s="61"/>
      <c r="KK39" s="61"/>
      <c r="KL39" s="61"/>
      <c r="KN39" s="60" t="s">
        <v>317</v>
      </c>
      <c r="KO39" s="61"/>
      <c r="KP39" s="61"/>
      <c r="KQ39" s="61"/>
      <c r="KR39" s="61"/>
      <c r="KS39" s="61"/>
      <c r="KU39" s="60" t="s">
        <v>317</v>
      </c>
      <c r="KV39" s="61"/>
      <c r="KW39" s="61"/>
      <c r="KX39" s="61"/>
      <c r="KY39" s="61"/>
      <c r="KZ39" s="61"/>
      <c r="LB39" s="60" t="s">
        <v>317</v>
      </c>
      <c r="LC39" s="61"/>
      <c r="LD39" s="129"/>
      <c r="LE39" s="129"/>
      <c r="LF39" s="61"/>
      <c r="LG39" s="129"/>
      <c r="LH39" s="558"/>
      <c r="LI39" s="60" t="s">
        <v>317</v>
      </c>
      <c r="LJ39" s="61"/>
      <c r="LK39" s="61"/>
      <c r="LL39" s="61"/>
      <c r="LM39" s="129"/>
      <c r="LN39" s="129"/>
      <c r="LO39" s="558"/>
      <c r="LP39" s="60" t="s">
        <v>317</v>
      </c>
      <c r="LQ39" s="129"/>
      <c r="LR39" s="129"/>
      <c r="LS39" s="129"/>
      <c r="LT39" s="129"/>
      <c r="LU39" s="129"/>
      <c r="LV39" s="558"/>
      <c r="LW39" s="60" t="s">
        <v>317</v>
      </c>
      <c r="LX39" s="129"/>
      <c r="LY39" s="129"/>
      <c r="LZ39" s="129"/>
      <c r="MA39" s="129"/>
      <c r="MB39" s="129"/>
      <c r="MC39" s="558"/>
      <c r="MD39" s="60" t="s">
        <v>317</v>
      </c>
      <c r="ME39" s="129"/>
      <c r="MF39" s="129"/>
      <c r="MG39" s="129"/>
      <c r="MH39" s="129"/>
      <c r="MI39" s="129"/>
      <c r="MJ39" s="558"/>
    </row>
    <row r="40" spans="1:349" collapsed="1" x14ac:dyDescent="0.4">
      <c r="A40" s="48"/>
      <c r="B40" s="57" t="s">
        <v>27</v>
      </c>
      <c r="C40" s="58">
        <v>-182</v>
      </c>
      <c r="D40" s="58">
        <v>-186</v>
      </c>
      <c r="E40" s="58">
        <v>-176</v>
      </c>
      <c r="F40" s="58">
        <v>-182</v>
      </c>
      <c r="G40" s="58">
        <v>-171</v>
      </c>
      <c r="H40" s="58">
        <v>-208</v>
      </c>
      <c r="I40" s="58">
        <v>-237</v>
      </c>
      <c r="J40" s="58">
        <v>-216</v>
      </c>
      <c r="K40" s="58">
        <v>-287</v>
      </c>
      <c r="L40" s="58">
        <v>-324</v>
      </c>
      <c r="M40" s="58">
        <v>-347</v>
      </c>
      <c r="N40" s="58">
        <f>BV40</f>
        <v>-343</v>
      </c>
      <c r="O40" s="58">
        <f>CC40</f>
        <v>-319</v>
      </c>
      <c r="P40" s="58">
        <f>CJ40</f>
        <v>-306</v>
      </c>
      <c r="Q40" s="58">
        <f>CQ40</f>
        <v>-276</v>
      </c>
      <c r="R40" s="58">
        <f>CX40</f>
        <v>-298</v>
      </c>
      <c r="S40" s="58">
        <f>DE40</f>
        <v>-281</v>
      </c>
      <c r="T40" s="58">
        <f>DL40</f>
        <v>-270</v>
      </c>
      <c r="U40" s="58">
        <f>DS40</f>
        <v>-240</v>
      </c>
      <c r="V40" s="58">
        <f>DZ40</f>
        <v>-451</v>
      </c>
      <c r="W40" s="58">
        <f>EG40</f>
        <v>-507</v>
      </c>
      <c r="X40" s="58">
        <f>EN40</f>
        <v>-521</v>
      </c>
      <c r="Y40" s="58">
        <f>EU40</f>
        <v>-543</v>
      </c>
      <c r="Z40" s="58">
        <f>FB40</f>
        <v>-516</v>
      </c>
      <c r="AA40" s="58">
        <f>FI40</f>
        <v>-445</v>
      </c>
      <c r="AB40" s="58">
        <f>FP40</f>
        <v>-418</v>
      </c>
      <c r="AC40" s="58">
        <f>FW40</f>
        <v>-435</v>
      </c>
      <c r="AD40" s="58">
        <f>GD40</f>
        <v>-423</v>
      </c>
      <c r="AE40" s="58">
        <f>GK40</f>
        <v>-392</v>
      </c>
      <c r="AF40" s="58">
        <f>GR40</f>
        <v>-417</v>
      </c>
      <c r="AG40" s="58">
        <f>GY40</f>
        <v>-519</v>
      </c>
      <c r="AH40" s="58">
        <f>HF40</f>
        <v>-558</v>
      </c>
      <c r="AI40" s="58">
        <f>HM40</f>
        <v>-557</v>
      </c>
      <c r="AJ40" s="58">
        <f>HT40</f>
        <v>-552</v>
      </c>
      <c r="AK40" s="58">
        <f>IA40</f>
        <v>-566</v>
      </c>
      <c r="AL40" s="58">
        <f>IH40</f>
        <v>-562</v>
      </c>
      <c r="AM40" s="58">
        <f>IO40</f>
        <v>-545</v>
      </c>
      <c r="AN40" s="58">
        <f>IV40</f>
        <v>-544</v>
      </c>
      <c r="AO40" s="58">
        <f>JC40</f>
        <v>-579</v>
      </c>
      <c r="AP40" s="58">
        <f>JJ40</f>
        <v>-546</v>
      </c>
      <c r="AQ40" s="58">
        <f>JQ40</f>
        <v>-639</v>
      </c>
      <c r="AR40" s="58">
        <f>JX40</f>
        <v>-737</v>
      </c>
      <c r="AS40" s="58">
        <f>KE40</f>
        <v>-754</v>
      </c>
      <c r="AT40" s="58">
        <f>KL40</f>
        <v>-722</v>
      </c>
      <c r="AU40" s="58">
        <f>KS40</f>
        <v>-742</v>
      </c>
      <c r="AV40" s="58">
        <f>KZ40</f>
        <v>-809</v>
      </c>
      <c r="AW40" s="58">
        <f>LG40</f>
        <v>-832</v>
      </c>
      <c r="AX40" s="58">
        <f>LN40</f>
        <v>-844</v>
      </c>
      <c r="AY40" s="58">
        <f>LU40</f>
        <v>-836</v>
      </c>
      <c r="AZ40" s="58">
        <f>MB40</f>
        <v>-852</v>
      </c>
      <c r="BA40" s="58">
        <f>MI40</f>
        <v>-840</v>
      </c>
      <c r="BB40" s="58"/>
      <c r="BC40" s="58"/>
      <c r="BD40" s="58"/>
      <c r="BE40" s="58"/>
      <c r="BF40" s="58"/>
      <c r="BG40" s="58"/>
      <c r="BH40" s="58"/>
      <c r="BI40" s="58"/>
      <c r="BJ40" s="58"/>
      <c r="BK40" s="58"/>
      <c r="BL40" s="58"/>
      <c r="BM40" s="58"/>
      <c r="BN40" s="58"/>
      <c r="BO40" s="58"/>
      <c r="BQ40" s="57" t="s">
        <v>27</v>
      </c>
      <c r="BR40" s="58">
        <v>-97</v>
      </c>
      <c r="BS40" s="58">
        <v>-81</v>
      </c>
      <c r="BT40" s="58">
        <v>-82</v>
      </c>
      <c r="BU40" s="58">
        <v>-83</v>
      </c>
      <c r="BV40" s="58">
        <f>SUM(BR40:BU40)</f>
        <v>-343</v>
      </c>
      <c r="BX40" s="57" t="s">
        <v>27</v>
      </c>
      <c r="BY40" s="58">
        <v>-77</v>
      </c>
      <c r="BZ40" s="58">
        <v>-79</v>
      </c>
      <c r="CA40" s="58">
        <v>-82</v>
      </c>
      <c r="CB40" s="58">
        <v>-81</v>
      </c>
      <c r="CC40" s="58">
        <f>SUM(BY40:CB40)</f>
        <v>-319</v>
      </c>
      <c r="CE40" s="57" t="s">
        <v>27</v>
      </c>
      <c r="CF40" s="58">
        <v>-78</v>
      </c>
      <c r="CG40" s="58">
        <v>-79</v>
      </c>
      <c r="CH40" s="58">
        <v>-75</v>
      </c>
      <c r="CI40" s="58">
        <v>-74</v>
      </c>
      <c r="CJ40" s="58">
        <f>SUM(CF40:CI40)</f>
        <v>-306</v>
      </c>
      <c r="CL40" s="57" t="s">
        <v>27</v>
      </c>
      <c r="CM40" s="58">
        <v>-68</v>
      </c>
      <c r="CN40" s="58">
        <v>-66</v>
      </c>
      <c r="CO40" s="58">
        <v>-71</v>
      </c>
      <c r="CP40" s="58">
        <v>-71</v>
      </c>
      <c r="CQ40" s="58">
        <f>SUM(CM40:CP40)</f>
        <v>-276</v>
      </c>
      <c r="CS40" s="57" t="s">
        <v>27</v>
      </c>
      <c r="CT40" s="58">
        <v>-74</v>
      </c>
      <c r="CU40" s="58">
        <v>-75</v>
      </c>
      <c r="CV40" s="58">
        <v>-74</v>
      </c>
      <c r="CW40" s="58">
        <v>-75</v>
      </c>
      <c r="CX40" s="58">
        <f>SUM(CT40:CW40)</f>
        <v>-298</v>
      </c>
      <c r="CZ40" s="57" t="s">
        <v>27</v>
      </c>
      <c r="DA40" s="58">
        <v>-67</v>
      </c>
      <c r="DB40" s="58">
        <v>-71</v>
      </c>
      <c r="DC40" s="58">
        <v>-69</v>
      </c>
      <c r="DD40" s="58">
        <v>-74</v>
      </c>
      <c r="DE40" s="58">
        <f>SUM(DA40:DD40)</f>
        <v>-281</v>
      </c>
      <c r="DG40" s="57" t="s">
        <v>27</v>
      </c>
      <c r="DH40" s="58">
        <v>-67</v>
      </c>
      <c r="DI40" s="58">
        <v>-68</v>
      </c>
      <c r="DJ40" s="58">
        <v>-68</v>
      </c>
      <c r="DK40" s="58">
        <v>-67</v>
      </c>
      <c r="DL40" s="58">
        <f>SUM(DH40:DK40)</f>
        <v>-270</v>
      </c>
      <c r="DN40" s="57" t="s">
        <v>27</v>
      </c>
      <c r="DO40" s="58">
        <v>-60</v>
      </c>
      <c r="DP40" s="58">
        <v>-62</v>
      </c>
      <c r="DQ40" s="58">
        <v>-57</v>
      </c>
      <c r="DR40" s="58">
        <v>-61</v>
      </c>
      <c r="DS40" s="58">
        <f>SUM(DO40:DR40)</f>
        <v>-240</v>
      </c>
      <c r="DU40" s="57" t="s">
        <v>27</v>
      </c>
      <c r="DV40" s="58">
        <v>-84</v>
      </c>
      <c r="DW40" s="58">
        <v>-111</v>
      </c>
      <c r="DX40" s="58">
        <v>-125</v>
      </c>
      <c r="DY40" s="58">
        <v>-131</v>
      </c>
      <c r="DZ40" s="58">
        <f>SUM(DV40:DY40)</f>
        <v>-451</v>
      </c>
      <c r="EB40" s="57" t="s">
        <v>27</v>
      </c>
      <c r="EC40" s="58">
        <v>-124</v>
      </c>
      <c r="ED40" s="58">
        <v>-124</v>
      </c>
      <c r="EE40" s="58">
        <v>-120</v>
      </c>
      <c r="EF40" s="58">
        <v>-139</v>
      </c>
      <c r="EG40" s="58">
        <f>SUM(EC40:EF40)</f>
        <v>-507</v>
      </c>
      <c r="EI40" s="57" t="s">
        <v>27</v>
      </c>
      <c r="EJ40" s="58">
        <v>-133</v>
      </c>
      <c r="EK40" s="58">
        <v>-127</v>
      </c>
      <c r="EL40" s="58">
        <v>-133</v>
      </c>
      <c r="EM40" s="58">
        <v>-128</v>
      </c>
      <c r="EN40" s="58">
        <f>SUM(EJ40:EM40)</f>
        <v>-521</v>
      </c>
      <c r="EP40" s="57" t="s">
        <v>27</v>
      </c>
      <c r="EQ40" s="58">
        <v>-134</v>
      </c>
      <c r="ER40" s="58">
        <v>-139</v>
      </c>
      <c r="ES40" s="58">
        <v>-140</v>
      </c>
      <c r="ET40" s="58">
        <v>-130</v>
      </c>
      <c r="EU40" s="58">
        <f>SUM(EQ40:ET40)</f>
        <v>-543</v>
      </c>
      <c r="EW40" s="57" t="s">
        <v>27</v>
      </c>
      <c r="EX40" s="58">
        <v>-133</v>
      </c>
      <c r="EY40" s="58">
        <v>-135</v>
      </c>
      <c r="EZ40" s="58">
        <v>-129</v>
      </c>
      <c r="FA40" s="58">
        <v>-119</v>
      </c>
      <c r="FB40" s="58">
        <f>SUM(EX40:FA40)</f>
        <v>-516</v>
      </c>
      <c r="FD40" s="57" t="s">
        <v>27</v>
      </c>
      <c r="FE40" s="58">
        <v>-114</v>
      </c>
      <c r="FF40" s="58">
        <v>-116</v>
      </c>
      <c r="FG40" s="58">
        <v>-108</v>
      </c>
      <c r="FH40" s="58">
        <v>-107</v>
      </c>
      <c r="FI40" s="58">
        <f>SUM(FE40:FH40)</f>
        <v>-445</v>
      </c>
      <c r="FK40" s="57" t="s">
        <v>27</v>
      </c>
      <c r="FL40" s="58">
        <v>-103</v>
      </c>
      <c r="FM40" s="58">
        <v>-105</v>
      </c>
      <c r="FN40" s="58">
        <v>-103</v>
      </c>
      <c r="FO40" s="58">
        <v>-107</v>
      </c>
      <c r="FP40" s="58">
        <f>SUM(FL40:FO40)</f>
        <v>-418</v>
      </c>
      <c r="FR40" s="57" t="s">
        <v>27</v>
      </c>
      <c r="FS40" s="58">
        <v>-108</v>
      </c>
      <c r="FT40" s="58">
        <v>-109</v>
      </c>
      <c r="FU40" s="58">
        <v>-106</v>
      </c>
      <c r="FV40" s="58">
        <v>-112</v>
      </c>
      <c r="FW40" s="58">
        <f>SUM(FS40:FV40)</f>
        <v>-435</v>
      </c>
      <c r="FY40" s="57" t="s">
        <v>27</v>
      </c>
      <c r="FZ40" s="58">
        <v>-114</v>
      </c>
      <c r="GA40" s="58">
        <v>-110</v>
      </c>
      <c r="GB40" s="58">
        <v>-100</v>
      </c>
      <c r="GC40" s="58">
        <v>-99</v>
      </c>
      <c r="GD40" s="58">
        <f>SUM(FZ40:GC40)</f>
        <v>-423</v>
      </c>
      <c r="GF40" s="57" t="s">
        <v>27</v>
      </c>
      <c r="GG40" s="58">
        <v>-98</v>
      </c>
      <c r="GH40" s="58">
        <v>-98</v>
      </c>
      <c r="GI40" s="58">
        <v>-97</v>
      </c>
      <c r="GJ40" s="58">
        <v>-99</v>
      </c>
      <c r="GK40" s="58">
        <f>SUM(GG40:GJ40)</f>
        <v>-392</v>
      </c>
      <c r="GM40" s="57" t="s">
        <v>27</v>
      </c>
      <c r="GN40" s="58">
        <v>-99</v>
      </c>
      <c r="GO40" s="58">
        <v>-101</v>
      </c>
      <c r="GP40" s="58">
        <v>-102</v>
      </c>
      <c r="GQ40" s="58">
        <v>-115</v>
      </c>
      <c r="GR40" s="58">
        <f>SUM(GN40:GQ40)</f>
        <v>-417</v>
      </c>
      <c r="GT40" s="57" t="s">
        <v>27</v>
      </c>
      <c r="GU40" s="58">
        <v>-119</v>
      </c>
      <c r="GV40" s="58">
        <v>-133</v>
      </c>
      <c r="GW40" s="58">
        <v>-131</v>
      </c>
      <c r="GX40" s="58">
        <v>-136</v>
      </c>
      <c r="GY40" s="58">
        <f>SUM(GU40:GX40)</f>
        <v>-519</v>
      </c>
      <c r="HA40" s="57" t="s">
        <v>27</v>
      </c>
      <c r="HB40" s="58">
        <v>-141</v>
      </c>
      <c r="HC40" s="58">
        <v>-139</v>
      </c>
      <c r="HD40" s="58">
        <v>-140</v>
      </c>
      <c r="HE40" s="58">
        <v>-138</v>
      </c>
      <c r="HF40" s="58">
        <f>SUM(HB40:HE40)</f>
        <v>-558</v>
      </c>
      <c r="HH40" s="57" t="s">
        <v>27</v>
      </c>
      <c r="HI40" s="58">
        <v>-142</v>
      </c>
      <c r="HJ40" s="58">
        <v>-135</v>
      </c>
      <c r="HK40" s="58">
        <v>-131</v>
      </c>
      <c r="HL40" s="58">
        <v>-149</v>
      </c>
      <c r="HM40" s="58">
        <f>SUM(HI40:HL40)</f>
        <v>-557</v>
      </c>
      <c r="HO40" s="57" t="s">
        <v>27</v>
      </c>
      <c r="HP40" s="58">
        <v>-140</v>
      </c>
      <c r="HQ40" s="58">
        <v>-134</v>
      </c>
      <c r="HR40" s="58">
        <v>-138</v>
      </c>
      <c r="HS40" s="58">
        <v>-140</v>
      </c>
      <c r="HT40" s="58">
        <f>SUM(HP40:HS40)</f>
        <v>-552</v>
      </c>
      <c r="HV40" s="57" t="s">
        <v>27</v>
      </c>
      <c r="HW40" s="58">
        <v>-144</v>
      </c>
      <c r="HX40" s="58">
        <v>-139</v>
      </c>
      <c r="HY40" s="58">
        <v>-138</v>
      </c>
      <c r="HZ40" s="58">
        <v>-145</v>
      </c>
      <c r="IA40" s="58">
        <f>SUM(HW40:HZ40)</f>
        <v>-566</v>
      </c>
      <c r="IC40" s="57" t="s">
        <v>27</v>
      </c>
      <c r="ID40" s="58">
        <v>-147</v>
      </c>
      <c r="IE40" s="58">
        <v>-140</v>
      </c>
      <c r="IF40" s="58">
        <v>-136</v>
      </c>
      <c r="IG40" s="58">
        <v>-139</v>
      </c>
      <c r="IH40" s="58">
        <f>SUM(ID40:IG40)</f>
        <v>-562</v>
      </c>
      <c r="IJ40" s="57" t="s">
        <v>27</v>
      </c>
      <c r="IK40" s="58">
        <v>-140</v>
      </c>
      <c r="IL40" s="58">
        <v>-135</v>
      </c>
      <c r="IM40" s="58">
        <v>-137</v>
      </c>
      <c r="IN40" s="58">
        <v>-133</v>
      </c>
      <c r="IO40" s="58">
        <f>SUM(IK40:IN40)</f>
        <v>-545</v>
      </c>
      <c r="IQ40" s="57" t="s">
        <v>27</v>
      </c>
      <c r="IR40" s="58">
        <v>-134</v>
      </c>
      <c r="IS40" s="58">
        <v>-134</v>
      </c>
      <c r="IT40" s="58">
        <v>-136</v>
      </c>
      <c r="IU40" s="58">
        <v>-140</v>
      </c>
      <c r="IV40" s="58">
        <f>SUM(IR40:IU40)</f>
        <v>-544</v>
      </c>
      <c r="IX40" s="57" t="s">
        <v>27</v>
      </c>
      <c r="IY40" s="58">
        <v>-143</v>
      </c>
      <c r="IZ40" s="58">
        <v>-141</v>
      </c>
      <c r="JA40" s="58">
        <v>-139</v>
      </c>
      <c r="JB40" s="58">
        <v>-156</v>
      </c>
      <c r="JC40" s="58">
        <f>SUM(IY40:JB40)</f>
        <v>-579</v>
      </c>
      <c r="JE40" s="57" t="s">
        <v>27</v>
      </c>
      <c r="JF40" s="58">
        <v>-137</v>
      </c>
      <c r="JG40" s="58">
        <v>-137</v>
      </c>
      <c r="JH40" s="58">
        <v>-132</v>
      </c>
      <c r="JI40" s="58">
        <v>-140</v>
      </c>
      <c r="JJ40" s="58">
        <f>SUM(JF40:JI40)</f>
        <v>-546</v>
      </c>
      <c r="JL40" s="57" t="s">
        <v>27</v>
      </c>
      <c r="JM40" s="58">
        <v>-149</v>
      </c>
      <c r="JN40" s="58">
        <v>-157</v>
      </c>
      <c r="JO40" s="58">
        <v>-162</v>
      </c>
      <c r="JP40" s="58">
        <v>-171</v>
      </c>
      <c r="JQ40" s="58">
        <f>SUM(JM40:JP40)</f>
        <v>-639</v>
      </c>
      <c r="JS40" s="57" t="s">
        <v>27</v>
      </c>
      <c r="JT40" s="58">
        <v>-178</v>
      </c>
      <c r="JU40" s="58">
        <v>-184</v>
      </c>
      <c r="JV40" s="58">
        <v>-186</v>
      </c>
      <c r="JW40" s="58">
        <v>-189</v>
      </c>
      <c r="JX40" s="58">
        <f>SUM(JT40:JW40)</f>
        <v>-737</v>
      </c>
      <c r="JZ40" s="57" t="s">
        <v>27</v>
      </c>
      <c r="KA40" s="58">
        <v>-187</v>
      </c>
      <c r="KB40" s="58">
        <v>-191</v>
      </c>
      <c r="KC40" s="58">
        <v>-187</v>
      </c>
      <c r="KD40" s="58">
        <v>-189</v>
      </c>
      <c r="KE40" s="58">
        <f>SUM(KA40:KD40)</f>
        <v>-754</v>
      </c>
      <c r="KG40" s="57" t="s">
        <v>27</v>
      </c>
      <c r="KH40" s="58">
        <v>-184</v>
      </c>
      <c r="KI40" s="58">
        <v>-181</v>
      </c>
      <c r="KJ40" s="58">
        <v>-177</v>
      </c>
      <c r="KK40" s="58">
        <v>-180</v>
      </c>
      <c r="KL40" s="58">
        <f>SUM(KH40:KK40)</f>
        <v>-722</v>
      </c>
      <c r="KN40" s="57" t="s">
        <v>27</v>
      </c>
      <c r="KO40" s="58">
        <v>-179</v>
      </c>
      <c r="KP40" s="58">
        <v>-171</v>
      </c>
      <c r="KQ40" s="58">
        <v>-193</v>
      </c>
      <c r="KR40" s="58">
        <v>-199</v>
      </c>
      <c r="KS40" s="58">
        <f>SUM(KO40:KR40)</f>
        <v>-742</v>
      </c>
      <c r="KU40" s="57" t="s">
        <v>27</v>
      </c>
      <c r="KV40" s="58">
        <v>-201</v>
      </c>
      <c r="KW40" s="58">
        <v>-201</v>
      </c>
      <c r="KX40" s="58">
        <v>-203</v>
      </c>
      <c r="KY40" s="58">
        <v>-204</v>
      </c>
      <c r="KZ40" s="58">
        <f>SUM(KV40:KY40)</f>
        <v>-809</v>
      </c>
      <c r="LB40" s="57" t="s">
        <v>27</v>
      </c>
      <c r="LC40" s="58">
        <v>-210</v>
      </c>
      <c r="LD40" s="127">
        <v>-209</v>
      </c>
      <c r="LE40" s="127">
        <v>-206</v>
      </c>
      <c r="LF40" s="58">
        <v>-207</v>
      </c>
      <c r="LG40" s="127">
        <f>SUM(LC40:LF40)</f>
        <v>-832</v>
      </c>
      <c r="LH40" s="558"/>
      <c r="LI40" s="57" t="s">
        <v>27</v>
      </c>
      <c r="LJ40" s="58">
        <v>-209</v>
      </c>
      <c r="LK40" s="58">
        <v>-212</v>
      </c>
      <c r="LL40" s="58">
        <v>-210</v>
      </c>
      <c r="LM40" s="127">
        <v>-213</v>
      </c>
      <c r="LN40" s="127">
        <f>SUM(LJ40:LM40)</f>
        <v>-844</v>
      </c>
      <c r="LO40" s="558"/>
      <c r="LP40" s="57" t="s">
        <v>27</v>
      </c>
      <c r="LQ40" s="509">
        <v>-209</v>
      </c>
      <c r="LR40" s="509">
        <v>-209</v>
      </c>
      <c r="LS40" s="509">
        <v>-209</v>
      </c>
      <c r="LT40" s="509">
        <v>-209</v>
      </c>
      <c r="LU40" s="127">
        <f>SUM(LQ40:LT40)</f>
        <v>-836</v>
      </c>
      <c r="LV40" s="558"/>
      <c r="LW40" s="57" t="s">
        <v>27</v>
      </c>
      <c r="LX40" s="509">
        <v>-213</v>
      </c>
      <c r="LY40" s="509">
        <v>-213</v>
      </c>
      <c r="LZ40" s="509">
        <v>-213</v>
      </c>
      <c r="MA40" s="509">
        <v>-213</v>
      </c>
      <c r="MB40" s="127">
        <f>SUM(LX40:MA40)</f>
        <v>-852</v>
      </c>
      <c r="MC40" s="558"/>
      <c r="MD40" s="57" t="s">
        <v>27</v>
      </c>
      <c r="ME40" s="509">
        <v>-210</v>
      </c>
      <c r="MF40" s="509">
        <v>-210</v>
      </c>
      <c r="MG40" s="509">
        <v>-210</v>
      </c>
      <c r="MH40" s="509">
        <v>-210</v>
      </c>
      <c r="MI40" s="127">
        <f>SUM(ME40:MH40)</f>
        <v>-840</v>
      </c>
      <c r="MJ40" s="558"/>
    </row>
    <row r="41" spans="1:349" hidden="1" outlineLevel="1" x14ac:dyDescent="0.4">
      <c r="A41" s="48"/>
      <c r="B41" s="62" t="s">
        <v>445</v>
      </c>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Q41" s="62" t="s">
        <v>445</v>
      </c>
      <c r="BR41" s="63"/>
      <c r="BS41" s="63"/>
      <c r="BT41" s="63"/>
      <c r="BU41" s="63"/>
      <c r="BV41" s="63"/>
      <c r="BX41" s="62" t="s">
        <v>445</v>
      </c>
      <c r="BY41" s="63"/>
      <c r="BZ41" s="63"/>
      <c r="CA41" s="63"/>
      <c r="CB41" s="63"/>
      <c r="CC41" s="63"/>
      <c r="CE41" s="62" t="s">
        <v>445</v>
      </c>
      <c r="CF41" s="63"/>
      <c r="CG41" s="63"/>
      <c r="CH41" s="63"/>
      <c r="CI41" s="63"/>
      <c r="CJ41" s="63"/>
      <c r="CL41" s="62" t="s">
        <v>445</v>
      </c>
      <c r="CM41" s="63"/>
      <c r="CN41" s="63"/>
      <c r="CO41" s="63"/>
      <c r="CP41" s="63"/>
      <c r="CQ41" s="63"/>
      <c r="CS41" s="62" t="s">
        <v>445</v>
      </c>
      <c r="CT41" s="63"/>
      <c r="CU41" s="63"/>
      <c r="CV41" s="63"/>
      <c r="CW41" s="63"/>
      <c r="CX41" s="63"/>
      <c r="CZ41" s="62" t="s">
        <v>445</v>
      </c>
      <c r="DA41" s="63"/>
      <c r="DB41" s="63"/>
      <c r="DC41" s="63"/>
      <c r="DD41" s="63"/>
      <c r="DE41" s="63"/>
      <c r="DG41" s="62" t="s">
        <v>445</v>
      </c>
      <c r="DH41" s="63"/>
      <c r="DI41" s="63"/>
      <c r="DJ41" s="63"/>
      <c r="DK41" s="63"/>
      <c r="DL41" s="63"/>
      <c r="DN41" s="62" t="s">
        <v>445</v>
      </c>
      <c r="DO41" s="63"/>
      <c r="DP41" s="63"/>
      <c r="DQ41" s="63"/>
      <c r="DR41" s="63"/>
      <c r="DS41" s="63"/>
      <c r="DU41" s="62" t="s">
        <v>445</v>
      </c>
      <c r="DV41" s="63"/>
      <c r="DW41" s="63"/>
      <c r="DX41" s="63"/>
      <c r="DY41" s="63"/>
      <c r="DZ41" s="63"/>
      <c r="EB41" s="62" t="s">
        <v>445</v>
      </c>
      <c r="EC41" s="63"/>
      <c r="ED41" s="63"/>
      <c r="EE41" s="63"/>
      <c r="EF41" s="63"/>
      <c r="EG41" s="63"/>
      <c r="EI41" s="62" t="s">
        <v>445</v>
      </c>
      <c r="EJ41" s="63"/>
      <c r="EK41" s="63"/>
      <c r="EL41" s="63"/>
      <c r="EM41" s="63"/>
      <c r="EN41" s="63"/>
      <c r="EP41" s="62" t="s">
        <v>445</v>
      </c>
      <c r="EQ41" s="63"/>
      <c r="ER41" s="63"/>
      <c r="ES41" s="63"/>
      <c r="ET41" s="63"/>
      <c r="EU41" s="63"/>
      <c r="EW41" s="62" t="s">
        <v>445</v>
      </c>
      <c r="EX41" s="63"/>
      <c r="EY41" s="63"/>
      <c r="EZ41" s="63"/>
      <c r="FA41" s="63"/>
      <c r="FB41" s="63"/>
      <c r="FD41" s="62" t="s">
        <v>445</v>
      </c>
      <c r="FE41" s="63"/>
      <c r="FF41" s="63"/>
      <c r="FG41" s="63"/>
      <c r="FH41" s="63"/>
      <c r="FI41" s="63"/>
      <c r="FK41" s="62" t="s">
        <v>445</v>
      </c>
      <c r="FL41" s="63"/>
      <c r="FM41" s="63"/>
      <c r="FN41" s="63"/>
      <c r="FO41" s="63"/>
      <c r="FP41" s="63"/>
      <c r="FR41" s="62" t="s">
        <v>445</v>
      </c>
      <c r="FS41" s="63"/>
      <c r="FT41" s="63"/>
      <c r="FU41" s="63"/>
      <c r="FV41" s="63"/>
      <c r="FW41" s="63"/>
      <c r="FY41" s="62" t="s">
        <v>445</v>
      </c>
      <c r="FZ41" s="63"/>
      <c r="GA41" s="63">
        <f>-GA40*4/CF!AR144</f>
        <v>6.6986374362487625E-2</v>
      </c>
      <c r="GB41" s="63">
        <f>-GB40*4/CF!AS144</f>
        <v>6.6544668108467805E-2</v>
      </c>
      <c r="GC41" s="63">
        <f>-GC40*4/CF!AT144</f>
        <v>6.5813528336380253E-2</v>
      </c>
      <c r="GD41" s="63">
        <f>-GD40*4/CF!AU144</f>
        <v>0.28064355614529773</v>
      </c>
      <c r="GF41" s="62" t="s">
        <v>445</v>
      </c>
      <c r="GG41" s="63">
        <f>-GG40*4/CF!AX144</f>
        <v>6.5409644585349577E-2</v>
      </c>
      <c r="GH41" s="63">
        <f>-GH40*4/CF!AY144</f>
        <v>6.5887889738633493E-2</v>
      </c>
      <c r="GI41" s="63">
        <f>-GI40*4/CF!AZ144</f>
        <v>6.5013404825737267E-2</v>
      </c>
      <c r="GJ41" s="63">
        <f>-GJ40*4/CF!BA144</f>
        <v>6.6287244727150987E-2</v>
      </c>
      <c r="GK41" s="63">
        <f>-GK40*4/CF!BB144</f>
        <v>0.26170408078110657</v>
      </c>
      <c r="GM41" s="62" t="s">
        <v>445</v>
      </c>
      <c r="GN41" s="63">
        <f>-GN40*4/CF!BE144</f>
        <v>6.6677891900993436E-2</v>
      </c>
      <c r="GO41" s="63">
        <f>-GO40*4/CF!BF144</f>
        <v>6.7876344086021501E-2</v>
      </c>
      <c r="GP41" s="63">
        <f>-GP40*4/CF!BG144</f>
        <v>6.3314711359404099E-2</v>
      </c>
      <c r="GQ41" s="63">
        <f>-GQ40*4/CF!BH144</f>
        <v>6.4957989126597476E-2</v>
      </c>
      <c r="GR41" s="63">
        <f>-GR40*4/CF!BI144</f>
        <v>0.25255507608448785</v>
      </c>
      <c r="GT41" s="62" t="s">
        <v>445</v>
      </c>
      <c r="GU41" s="63">
        <f>-GU40*4/CF!BL144</f>
        <v>6.1586233665415963E-2</v>
      </c>
      <c r="GV41" s="63">
        <f>-GV40*4/CF!BM144</f>
        <v>6.5760197775030907E-2</v>
      </c>
      <c r="GW41" s="63">
        <f>-GW40*4/CF!BN144</f>
        <v>6.5982497009381094E-2</v>
      </c>
      <c r="GX41" s="63">
        <f>-GX40*4/CF!BO144</f>
        <v>6.9136430069263524E-2</v>
      </c>
      <c r="GY41" s="63">
        <f>-GY40*4/CF!BP144</f>
        <v>0.27522206018825401</v>
      </c>
      <c r="HA41" s="62" t="s">
        <v>445</v>
      </c>
      <c r="HB41" s="63">
        <f>-HB40*4/CF!BS144</f>
        <v>6.9888475836431221E-2</v>
      </c>
      <c r="HC41" s="63">
        <f>-HC40*4/CF!BT144</f>
        <v>6.7149758454106284E-2</v>
      </c>
      <c r="HD41" s="63">
        <f>-HD40*4/CF!BU144</f>
        <v>6.7990044314939602E-2</v>
      </c>
      <c r="HE41" s="63">
        <f>-HE40*4/CF!BV144</f>
        <v>6.8022181146025873E-2</v>
      </c>
      <c r="HF41" s="63">
        <f>-HF40*4/CF!BW144</f>
        <v>0.28183597449333925</v>
      </c>
      <c r="HH41" s="62" t="s">
        <v>445</v>
      </c>
      <c r="HI41" s="63">
        <f>-HI40*4/CF!BZ144</f>
        <v>7.1013314996561855E-2</v>
      </c>
      <c r="HJ41" s="63">
        <f>-HJ40*4/CF!CA144</f>
        <v>6.7826414620360487E-2</v>
      </c>
      <c r="HK41" s="63">
        <f>-HK40*4/CF!CB144</f>
        <v>6.6178327860570846E-2</v>
      </c>
      <c r="HL41" s="63">
        <f>-HL40*4/CF!CC144</f>
        <v>7.1954605819147657E-2</v>
      </c>
      <c r="HM41" s="63">
        <f>-HM40*4/CF!CD144</f>
        <v>0.26727447216890593</v>
      </c>
      <c r="HO41" s="62" t="s">
        <v>445</v>
      </c>
      <c r="HP41" s="63">
        <f>-HP40*4/CF!CG144</f>
        <v>6.6650797429183534E-2</v>
      </c>
      <c r="HQ41" s="63">
        <f>-HQ40*4/CF!CH144</f>
        <v>6.3733650416171225E-2</v>
      </c>
      <c r="HR41" s="63">
        <f>-HR40*4/CF!CI144</f>
        <v>6.3689858082381451E-2</v>
      </c>
      <c r="HS41" s="63">
        <f>-HS40*4/CF!CJ144</f>
        <v>6.2587314892428053E-2</v>
      </c>
      <c r="HT41" s="63">
        <f>-HT40*4/CF!CK144</f>
        <v>0.24663501815135436</v>
      </c>
      <c r="HV41" s="62" t="s">
        <v>445</v>
      </c>
      <c r="HW41" s="63">
        <f>-HW40*4/CF!CN144</f>
        <v>6.272459980398562E-2</v>
      </c>
      <c r="HX41" s="63">
        <f>-HX40*4/CF!CO144</f>
        <v>6.1051938069616778E-2</v>
      </c>
      <c r="HY41" s="63">
        <f>-HY40*4/CF!CP144</f>
        <v>6.0819744380784489E-2</v>
      </c>
      <c r="HZ41" s="63">
        <f>-HZ40*4/CF!CQ144</f>
        <v>6.1391902619740674E-2</v>
      </c>
      <c r="IA41" s="63">
        <f>-IA40*4/CF!CR144</f>
        <v>0.23740365962355162</v>
      </c>
      <c r="IC41" s="62" t="s">
        <v>445</v>
      </c>
      <c r="ID41" s="63">
        <f>-ID40*4/CF!CU144</f>
        <v>6.1090909090909092E-2</v>
      </c>
      <c r="IE41" s="63">
        <f>-IE40*4/CF!CV144</f>
        <v>5.9596658330229341E-2</v>
      </c>
      <c r="IF41" s="63">
        <f>-IF40*4/CF!CW144</f>
        <v>5.904699880603495E-2</v>
      </c>
      <c r="IG41" s="63">
        <f>-IG40*4/CF!CX144</f>
        <v>5.976566698914329E-2</v>
      </c>
      <c r="IH41" s="63">
        <f>-IH40*4/CF!CY144</f>
        <v>0.2319079795739413</v>
      </c>
      <c r="IJ41" s="62" t="s">
        <v>445</v>
      </c>
      <c r="IK41" s="63">
        <f>-IK40*4/CF!DB144</f>
        <v>5.9256124014602403E-2</v>
      </c>
      <c r="IL41" s="63">
        <f>-IL40*4/CF!DC144</f>
        <v>5.7893326186009113E-2</v>
      </c>
      <c r="IM41" s="63">
        <f>-IM40*4/CF!DD144</f>
        <v>5.7909753777871713E-2</v>
      </c>
      <c r="IN41" s="63">
        <f>-IN40*4/CF!DE144</f>
        <v>5.496151660726277E-2</v>
      </c>
      <c r="IO41" s="63">
        <f>-IO40*4/CF!DF144</f>
        <v>0.22594185624708504</v>
      </c>
      <c r="IQ41" s="62" t="s">
        <v>445</v>
      </c>
      <c r="IR41" s="63">
        <f>-IR40*4/CF!DI144</f>
        <v>5.5022327157008673E-2</v>
      </c>
      <c r="IS41" s="63">
        <f>-IS40*4/CF!DJ144</f>
        <v>5.3961542333635357E-2</v>
      </c>
      <c r="IT41" s="63">
        <f>-IT40*4/CF!DK144</f>
        <v>5.3778854233601896E-2</v>
      </c>
      <c r="IU41" s="63">
        <f>-IU40*4/CF!DL144</f>
        <v>5.382286510644433E-2</v>
      </c>
      <c r="IV41" s="63">
        <f>-IV40*4/CF!DM144</f>
        <v>0.21286378087551969</v>
      </c>
      <c r="IX41" s="62" t="s">
        <v>445</v>
      </c>
      <c r="IY41" s="63">
        <f>-IY40*4/CF!DP144</f>
        <v>5.3863176232402658E-2</v>
      </c>
      <c r="IZ41" s="63">
        <f>-IZ40*4/CF!DQ144</f>
        <v>5.3528211455416884E-2</v>
      </c>
      <c r="JA41" s="63">
        <f>-JA40*4/CF!DR144</f>
        <v>5.2811550151975681E-2</v>
      </c>
      <c r="JB41" s="63">
        <f>-JB40*4/CF!DS144</f>
        <v>5.7216211259856958E-2</v>
      </c>
      <c r="JC41" s="63">
        <f>-JC40*4/CF!DT144</f>
        <v>0.21058374249863612</v>
      </c>
      <c r="JE41" s="62" t="s">
        <v>445</v>
      </c>
      <c r="JF41" s="63">
        <f>-JF40*4/CF!DW144</f>
        <v>4.8523486961526544E-2</v>
      </c>
      <c r="JG41" s="63">
        <f>-JG40*4/CF!DX144</f>
        <v>4.7406894761884165E-2</v>
      </c>
      <c r="JH41" s="63">
        <f>-JH40*4/CF!DY144</f>
        <v>4.4685172647257958E-2</v>
      </c>
      <c r="JI41" s="63">
        <f>-JI40*4/CF!DZ144</f>
        <v>4.7425474254742549E-2</v>
      </c>
      <c r="JJ41" s="63">
        <f>-JJ40*4/CF!EA144</f>
        <v>0.18907453900095231</v>
      </c>
      <c r="JL41" s="62" t="s">
        <v>445</v>
      </c>
      <c r="JM41" s="63">
        <f>-JM40*4/CF!ED144</f>
        <v>4.6569776527582436E-2</v>
      </c>
      <c r="JN41" s="63">
        <f>-JN40*4/CF!EE144</f>
        <v>4.5548504079782413E-2</v>
      </c>
      <c r="JO41" s="63">
        <f>-JO40*4/CF!EF144</f>
        <v>4.7024673439767781E-2</v>
      </c>
      <c r="JP41" s="63">
        <f>-JP40*4/CF!EG144</f>
        <v>4.7951207543201653E-2</v>
      </c>
      <c r="JQ41" s="63">
        <f>-JQ40*4/CF!EH144</f>
        <v>0.19242640969660468</v>
      </c>
      <c r="JS41" s="62" t="s">
        <v>445</v>
      </c>
      <c r="JT41" s="63">
        <f>-JT40*4/CF!EK144</f>
        <v>4.6653343380401661E-2</v>
      </c>
      <c r="JU41" s="63">
        <f>-JU40*4/CF!EL144</f>
        <v>4.6681254558716266E-2</v>
      </c>
      <c r="JV41" s="63">
        <f>-JV40*4/CF!EM144</f>
        <v>4.5778981048486343E-2</v>
      </c>
      <c r="JW41" s="63">
        <f>-JW40*4/CF!EN144</f>
        <v>4.5852918877937833E-2</v>
      </c>
      <c r="JX41" s="63">
        <f>-JX40*4/CF!EO144</f>
        <v>0.19022422971447009</v>
      </c>
      <c r="JZ41" s="62" t="s">
        <v>445</v>
      </c>
      <c r="KA41" s="63">
        <f>-KA40*4/CF!ER144</f>
        <v>4.5374582954200791E-2</v>
      </c>
      <c r="KB41" s="63">
        <f>-KB40*4/CF!ES144</f>
        <v>4.597147842830495E-2</v>
      </c>
      <c r="KC41" s="63">
        <f>-KC40*4/CF!ET144</f>
        <v>4.5336080974604523E-2</v>
      </c>
      <c r="KD41" s="63">
        <f>-KD40*4/CF!EU144</f>
        <v>4.5546284302798445E-2</v>
      </c>
      <c r="KE41" s="63">
        <f>-KE40*4/CF!EV144</f>
        <v>0.18310414959171903</v>
      </c>
      <c r="KG41" s="62" t="s">
        <v>445</v>
      </c>
      <c r="KH41" s="63">
        <f>-KH40*4/CF!EY144</f>
        <v>4.4535882851264676E-2</v>
      </c>
      <c r="KI41" s="63">
        <f>-KI40*4/CF!EZ144</f>
        <v>4.428405407058536E-2</v>
      </c>
      <c r="KJ41" s="63">
        <f>-KJ40*4/CF!FA144</f>
        <v>4.3244563889567551E-2</v>
      </c>
      <c r="KK41" s="63">
        <f>-KK40*4/CF!FB144</f>
        <v>4.3957385756585976E-2</v>
      </c>
      <c r="KL41" s="63">
        <f>-KL40*4/CF!FC144</f>
        <v>0.17465453116023102</v>
      </c>
      <c r="KN41" s="62" t="s">
        <v>445</v>
      </c>
      <c r="KO41" s="63">
        <f>-KO40*4/CF!FF144</f>
        <v>4.3789370680692309E-2</v>
      </c>
      <c r="KP41" s="63">
        <f>-KP40*4/CF!FG144</f>
        <v>4.2032815092484486E-2</v>
      </c>
      <c r="KQ41" s="63">
        <f>-KQ40*4/CF!FH144</f>
        <v>4.5067133683596029E-2</v>
      </c>
      <c r="KR41" s="63">
        <f>-KR40*4/CF!FI144</f>
        <v>4.4103388093193342E-2</v>
      </c>
      <c r="KS41" s="63">
        <f>-KS40*4/CF!FJ144</f>
        <v>0.17249295324441344</v>
      </c>
      <c r="KU41" s="62" t="s">
        <v>445</v>
      </c>
      <c r="KV41" s="63">
        <f>-KV40*4/CF!FM144</f>
        <v>4.4705162779059747E-2</v>
      </c>
      <c r="KW41" s="63">
        <f>-KW40*4/CF!FN144</f>
        <v>4.4878593357521632E-2</v>
      </c>
      <c r="KX41" s="63">
        <f>-KX40*4/CF!FO144</f>
        <v>4.4652185867473194E-2</v>
      </c>
      <c r="KY41" s="63">
        <f>-KY40*4/CF!FP144</f>
        <v>4.411406946884714E-2</v>
      </c>
      <c r="KZ41" s="63"/>
      <c r="LB41" s="62" t="s">
        <v>445</v>
      </c>
      <c r="LC41" s="63">
        <f>-LC40*4/CF!FT144</f>
        <v>4.5363719825025649E-2</v>
      </c>
      <c r="LD41" s="63">
        <f>-LD40*4/CF!FU144</f>
        <v>4.5178199897322274E-2</v>
      </c>
      <c r="LE41" s="63">
        <f>-LE40*4/CF!FV144</f>
        <v>4.4481632432724232E-2</v>
      </c>
      <c r="LF41" s="63">
        <f>-LF40*4/CF!FW144</f>
        <v>4.470359572400389E-2</v>
      </c>
      <c r="LG41" s="694"/>
      <c r="LH41" s="567"/>
      <c r="LI41" s="62" t="s">
        <v>445</v>
      </c>
      <c r="LJ41" s="63">
        <f>-LJ40*4/CF!GA144</f>
        <v>4.4433814345318769E-2</v>
      </c>
      <c r="LK41" s="63">
        <f>-LK40*4/CF!GB144</f>
        <v>4.4291235767262092E-2</v>
      </c>
      <c r="LL41" s="63">
        <f>-LL40*4/CF!GC144</f>
        <v>4.3832185347526614E-2</v>
      </c>
      <c r="LM41" s="63">
        <f>-LM40*4/CF!GD144</f>
        <v>4.3890377086338347E-2</v>
      </c>
      <c r="LN41" s="694"/>
      <c r="LO41" s="567"/>
      <c r="LP41" s="62" t="s">
        <v>445</v>
      </c>
      <c r="LQ41" s="63">
        <f>-LQ40*4/CF!GH144</f>
        <v>4.4120751530504536E-2</v>
      </c>
      <c r="LR41" s="63">
        <f>-LR40*4/CF!GI144</f>
        <v>4.3774217195517856E-2</v>
      </c>
      <c r="LS41" s="63">
        <f>-LS40*4/CF!GJ144</f>
        <v>4.3433083956774733E-2</v>
      </c>
      <c r="LT41" s="63">
        <f>-LT40*4/CF!GK144</f>
        <v>4.3097226518197751E-2</v>
      </c>
      <c r="LU41" s="694"/>
      <c r="LV41" s="567"/>
      <c r="LW41" s="62" t="s">
        <v>445</v>
      </c>
      <c r="LX41" s="63">
        <f>-LX40*4/CF!GO144</f>
        <v>4.3612909830820813E-2</v>
      </c>
      <c r="LY41" s="63">
        <f>-LY40*4/CF!GP144</f>
        <v>4.3335622186617836E-2</v>
      </c>
      <c r="LZ41" s="63">
        <f>-LZ40*4/CF!GQ144</f>
        <v>4.3061838214854313E-2</v>
      </c>
      <c r="MA41" s="63">
        <f>-MA40*4/CF!GR144</f>
        <v>4.2791491926370509E-2</v>
      </c>
      <c r="MB41" s="694"/>
      <c r="MC41" s="567"/>
      <c r="MD41" s="62" t="s">
        <v>445</v>
      </c>
      <c r="ME41" s="63">
        <f>-ME40*4/CF!GV144</f>
        <v>4.1925582091787081E-2</v>
      </c>
      <c r="MF41" s="63">
        <f>-MF40*4/CF!GW144</f>
        <v>4.1665633292825077E-2</v>
      </c>
      <c r="MG41" s="63">
        <f>-MG40*4/CF!GX144</f>
        <v>4.1408888122057626E-2</v>
      </c>
      <c r="MH41" s="63">
        <f>-MH40*4/CF!GY144</f>
        <v>4.1155287719556108E-2</v>
      </c>
      <c r="MI41" s="694"/>
      <c r="MJ41" s="567"/>
    </row>
    <row r="42" spans="1:349" collapsed="1" x14ac:dyDescent="0.4">
      <c r="A42" s="48"/>
      <c r="BR42" s="53"/>
      <c r="BS42" s="53"/>
      <c r="BT42" s="53"/>
      <c r="BU42" s="53"/>
      <c r="BV42" s="53"/>
      <c r="BY42" s="53"/>
      <c r="BZ42" s="53"/>
      <c r="CA42" s="53"/>
      <c r="CB42" s="53"/>
      <c r="CC42" s="53"/>
      <c r="CF42" s="53"/>
      <c r="CG42" s="53"/>
      <c r="CH42" s="53"/>
      <c r="CI42" s="53"/>
      <c r="CJ42" s="53"/>
      <c r="CM42" s="53"/>
      <c r="CN42" s="53"/>
      <c r="CO42" s="53"/>
      <c r="CP42" s="53"/>
      <c r="CQ42" s="53"/>
      <c r="CT42" s="53"/>
      <c r="CU42" s="53"/>
      <c r="CV42" s="53"/>
      <c r="CW42" s="53"/>
      <c r="CX42" s="53"/>
      <c r="DA42" s="53"/>
      <c r="DB42" s="53"/>
      <c r="DC42" s="53"/>
      <c r="DD42" s="53"/>
      <c r="DE42" s="53"/>
      <c r="DH42" s="53"/>
      <c r="DI42" s="53"/>
      <c r="DJ42" s="53"/>
      <c r="DK42" s="53"/>
      <c r="DL42" s="53"/>
      <c r="DO42" s="53"/>
      <c r="DP42" s="53"/>
      <c r="DQ42" s="53"/>
      <c r="DR42" s="53"/>
      <c r="DS42" s="53"/>
      <c r="DV42" s="53"/>
      <c r="DW42" s="53"/>
      <c r="DX42" s="53"/>
      <c r="DY42" s="53"/>
      <c r="DZ42" s="53"/>
      <c r="EC42" s="53"/>
      <c r="ED42" s="53"/>
      <c r="EE42" s="53"/>
      <c r="EF42" s="53"/>
      <c r="EG42" s="53"/>
      <c r="EJ42" s="53"/>
      <c r="EK42" s="53"/>
      <c r="EL42" s="53"/>
      <c r="EM42" s="53"/>
      <c r="EN42" s="53"/>
      <c r="EQ42" s="53"/>
      <c r="ER42" s="53"/>
      <c r="ES42" s="53"/>
      <c r="ET42" s="53"/>
      <c r="EU42" s="53"/>
      <c r="EX42" s="53"/>
      <c r="EY42" s="53"/>
      <c r="EZ42" s="53"/>
      <c r="FA42" s="53"/>
      <c r="FB42" s="53"/>
      <c r="FE42" s="53"/>
      <c r="FF42" s="53"/>
      <c r="FG42" s="53"/>
      <c r="FH42" s="53"/>
      <c r="FI42" s="53"/>
      <c r="FL42" s="53"/>
      <c r="FM42" s="53"/>
      <c r="FN42" s="53"/>
      <c r="FO42" s="53"/>
      <c r="FP42" s="53"/>
      <c r="FS42" s="53"/>
      <c r="FT42" s="53"/>
      <c r="FU42" s="53"/>
      <c r="FV42" s="53"/>
      <c r="FW42" s="53"/>
      <c r="FZ42" s="53"/>
      <c r="GA42" s="53"/>
      <c r="GB42" s="53"/>
      <c r="GC42" s="53"/>
      <c r="GD42" s="53"/>
      <c r="GG42" s="53"/>
      <c r="GH42" s="53"/>
      <c r="GI42" s="53"/>
      <c r="GJ42" s="53"/>
      <c r="GK42" s="53"/>
      <c r="GN42" s="53"/>
      <c r="GO42" s="53"/>
      <c r="GP42" s="53"/>
      <c r="GQ42" s="53"/>
      <c r="GR42" s="53"/>
      <c r="GU42" s="53"/>
      <c r="GV42" s="53"/>
      <c r="GW42" s="53"/>
      <c r="GX42" s="53"/>
      <c r="GY42" s="53"/>
      <c r="HB42" s="53"/>
      <c r="HC42" s="53"/>
      <c r="HD42" s="53"/>
      <c r="HE42" s="53"/>
      <c r="HF42" s="53"/>
      <c r="HI42" s="53"/>
      <c r="HJ42" s="53"/>
      <c r="HK42" s="53"/>
      <c r="HL42" s="53"/>
      <c r="HM42" s="53"/>
      <c r="HP42" s="53"/>
      <c r="HQ42" s="53"/>
      <c r="HR42" s="53"/>
      <c r="HS42" s="53"/>
      <c r="HT42" s="53"/>
      <c r="HW42" s="53"/>
      <c r="HX42" s="53"/>
      <c r="HY42" s="53"/>
      <c r="HZ42" s="53"/>
      <c r="IA42" s="53"/>
      <c r="ID42" s="53"/>
      <c r="IE42" s="53"/>
      <c r="IF42" s="53"/>
      <c r="IG42" s="53"/>
      <c r="IH42" s="53"/>
      <c r="IK42" s="53"/>
      <c r="IL42" s="53"/>
      <c r="IM42" s="53"/>
      <c r="IN42" s="53"/>
      <c r="IO42" s="53"/>
      <c r="IR42" s="53"/>
      <c r="IS42" s="53"/>
      <c r="IT42" s="53"/>
      <c r="IU42" s="53"/>
      <c r="IV42" s="53"/>
      <c r="IY42" s="53"/>
      <c r="IZ42" s="53"/>
      <c r="JA42" s="53"/>
      <c r="JB42" s="53"/>
      <c r="JC42" s="53"/>
      <c r="JF42" s="53"/>
      <c r="JG42" s="53"/>
      <c r="JH42" s="53"/>
      <c r="JI42" s="53"/>
      <c r="JJ42" s="53"/>
      <c r="JM42" s="53"/>
      <c r="JN42" s="53"/>
      <c r="JO42" s="53"/>
      <c r="JP42" s="53"/>
      <c r="JQ42" s="53"/>
      <c r="JT42" s="53"/>
      <c r="JU42" s="53"/>
      <c r="JV42" s="53"/>
      <c r="JW42" s="53"/>
      <c r="JX42" s="53"/>
      <c r="KA42" s="53"/>
      <c r="KB42" s="53"/>
      <c r="KC42" s="53"/>
      <c r="KD42" s="53"/>
      <c r="KE42" s="53"/>
      <c r="KH42" s="53"/>
      <c r="KI42" s="53"/>
      <c r="KJ42" s="53"/>
      <c r="KK42" s="53"/>
      <c r="KL42" s="53"/>
      <c r="KO42" s="53"/>
      <c r="KP42" s="53"/>
      <c r="KQ42" s="53"/>
      <c r="KR42" s="53"/>
      <c r="KS42" s="53"/>
      <c r="KV42" s="53"/>
      <c r="KW42" s="53"/>
      <c r="KZ42" s="53"/>
      <c r="LC42" s="53"/>
      <c r="LJ42" s="623"/>
      <c r="LK42" s="623"/>
      <c r="LL42" s="623"/>
      <c r="LM42" s="623"/>
      <c r="LN42" s="623"/>
    </row>
    <row r="43" spans="1:349" x14ac:dyDescent="0.4">
      <c r="A43" s="48"/>
      <c r="B43" s="54" t="s">
        <v>28</v>
      </c>
      <c r="C43" s="55">
        <f t="shared" ref="C43:M43" si="135">C35+C40+C38+C39</f>
        <v>202.78600000000006</v>
      </c>
      <c r="D43" s="55">
        <f t="shared" si="135"/>
        <v>438.09999999999945</v>
      </c>
      <c r="E43" s="55">
        <f t="shared" si="135"/>
        <v>522.39999999999964</v>
      </c>
      <c r="F43" s="55">
        <f t="shared" si="135"/>
        <v>693.69999999999982</v>
      </c>
      <c r="G43" s="55">
        <f t="shared" si="135"/>
        <v>376</v>
      </c>
      <c r="H43" s="55">
        <f t="shared" si="135"/>
        <v>345</v>
      </c>
      <c r="I43" s="55">
        <f t="shared" si="135"/>
        <v>615</v>
      </c>
      <c r="J43" s="55">
        <f t="shared" si="135"/>
        <v>588</v>
      </c>
      <c r="K43" s="55">
        <f t="shared" si="135"/>
        <v>531</v>
      </c>
      <c r="L43" s="55">
        <f t="shared" si="135"/>
        <v>588</v>
      </c>
      <c r="M43" s="55">
        <f t="shared" si="135"/>
        <v>678</v>
      </c>
      <c r="N43" s="55">
        <f>BV43</f>
        <v>694.00000000000091</v>
      </c>
      <c r="O43" s="55">
        <f>CC43</f>
        <v>590.31700000000092</v>
      </c>
      <c r="P43" s="55">
        <f>CJ43</f>
        <v>642.30000000000109</v>
      </c>
      <c r="Q43" s="55">
        <f>CQ43</f>
        <v>692.10000000000036</v>
      </c>
      <c r="R43" s="55">
        <f>CX43</f>
        <v>726.5</v>
      </c>
      <c r="S43" s="55">
        <f>DE43</f>
        <v>944</v>
      </c>
      <c r="T43" s="55">
        <f>DL43</f>
        <v>1169.7</v>
      </c>
      <c r="U43" s="55">
        <f>DS43</f>
        <v>1296.5</v>
      </c>
      <c r="V43" s="55">
        <f>DZ43</f>
        <v>1287.606</v>
      </c>
      <c r="W43" s="55">
        <f>EG43</f>
        <v>751.40882340016992</v>
      </c>
      <c r="X43" s="55">
        <f>EN43</f>
        <v>535.08799999999997</v>
      </c>
      <c r="Y43" s="55">
        <f>EU43</f>
        <v>285</v>
      </c>
      <c r="Z43" s="55">
        <f>FB43</f>
        <v>519.79999999999995</v>
      </c>
      <c r="AA43" s="55">
        <f>FI43</f>
        <v>712</v>
      </c>
      <c r="AB43" s="55">
        <f>FP43</f>
        <v>586</v>
      </c>
      <c r="AC43" s="55">
        <f>FW43</f>
        <v>702</v>
      </c>
      <c r="AD43" s="55">
        <f>GD43</f>
        <v>1211</v>
      </c>
      <c r="AE43" s="55">
        <f>GK43</f>
        <v>1799</v>
      </c>
      <c r="AF43" s="55">
        <f>GR43</f>
        <v>1932</v>
      </c>
      <c r="AG43" s="55">
        <f>GY43</f>
        <v>2293</v>
      </c>
      <c r="AH43" s="55">
        <f>HF43</f>
        <v>1740</v>
      </c>
      <c r="AI43" s="55">
        <f>HM43</f>
        <v>2576</v>
      </c>
      <c r="AJ43" s="55">
        <f>HT43</f>
        <v>2888</v>
      </c>
      <c r="AK43" s="55">
        <f>IA43</f>
        <v>2907</v>
      </c>
      <c r="AL43" s="55">
        <f>IH43</f>
        <v>2954</v>
      </c>
      <c r="AM43" s="55">
        <f>IO43</f>
        <v>3044</v>
      </c>
      <c r="AN43" s="55">
        <f>IV43</f>
        <v>3138</v>
      </c>
      <c r="AO43" s="55">
        <f>JC43</f>
        <v>2856</v>
      </c>
      <c r="AP43" s="55">
        <f>JJ43</f>
        <v>3325</v>
      </c>
      <c r="AQ43" s="55">
        <f>JQ43</f>
        <v>4304</v>
      </c>
      <c r="AR43" s="55">
        <f>JX43</f>
        <v>4316</v>
      </c>
      <c r="AS43" s="55">
        <f>KE43</f>
        <v>3627</v>
      </c>
      <c r="AT43" s="55">
        <f>KL43</f>
        <v>4602</v>
      </c>
      <c r="AU43" s="55">
        <f>KS43</f>
        <v>5292</v>
      </c>
      <c r="AV43" s="55">
        <f>KZ43</f>
        <v>4829</v>
      </c>
      <c r="AW43" s="55">
        <f>LG43</f>
        <v>4663</v>
      </c>
      <c r="AX43" s="55">
        <f>LN43</f>
        <v>4020</v>
      </c>
      <c r="AY43" s="55">
        <f>LU43</f>
        <v>4534.1464521169491</v>
      </c>
      <c r="AZ43" s="55">
        <f>MB43</f>
        <v>5093.9891611633975</v>
      </c>
      <c r="BA43" s="55">
        <f>MI43</f>
        <v>5502.2492221016582</v>
      </c>
      <c r="BB43" s="55"/>
      <c r="BC43" s="55"/>
      <c r="BD43" s="55"/>
      <c r="BE43" s="55"/>
      <c r="BF43" s="55"/>
      <c r="BG43" s="55"/>
      <c r="BH43" s="55"/>
      <c r="BI43" s="55"/>
      <c r="BJ43" s="55"/>
      <c r="BK43" s="55"/>
      <c r="BL43" s="55"/>
      <c r="BM43" s="55"/>
      <c r="BN43" s="55"/>
      <c r="BO43" s="55"/>
      <c r="BQ43" s="54" t="s">
        <v>28</v>
      </c>
      <c r="BR43" s="56">
        <f>BR35+BR40+BR38+BR39</f>
        <v>124.79999999999995</v>
      </c>
      <c r="BS43" s="56">
        <f>BS35+BS40+BS38+BS39</f>
        <v>223</v>
      </c>
      <c r="BT43" s="56">
        <f>BT35+BT40+BT38+BT39</f>
        <v>157.90000000000009</v>
      </c>
      <c r="BU43" s="56">
        <f>BU35+BU40+BU38+BU39</f>
        <v>188.29999999999995</v>
      </c>
      <c r="BV43" s="56">
        <f>BV35+BV40+BV38+BV39</f>
        <v>694.00000000000091</v>
      </c>
      <c r="BX43" s="54" t="s">
        <v>28</v>
      </c>
      <c r="BY43" s="56">
        <f>BY35+BY40+BY38+BY39</f>
        <v>95.700000000000045</v>
      </c>
      <c r="BZ43" s="56">
        <f>BZ35+BZ40+BZ38+BZ39</f>
        <v>158.90000000000009</v>
      </c>
      <c r="CA43" s="56">
        <f>CA35+CA40+CA38+CA39</f>
        <v>151</v>
      </c>
      <c r="CB43" s="56">
        <f>CB35+CB40+CB38+CB39</f>
        <v>184.7170000000001</v>
      </c>
      <c r="CC43" s="56">
        <f>CC35+CC40+CC38+CC39</f>
        <v>590.31700000000092</v>
      </c>
      <c r="CE43" s="54" t="s">
        <v>28</v>
      </c>
      <c r="CF43" s="56">
        <f>CF35+CF40+CF38+CF39</f>
        <v>86.299999999999955</v>
      </c>
      <c r="CG43" s="56">
        <f>CG35+CG40+CG38+CG39</f>
        <v>184</v>
      </c>
      <c r="CH43" s="56">
        <f>CH35+CH40+CH38+CH39</f>
        <v>159.90000000000009</v>
      </c>
      <c r="CI43" s="56">
        <f>CI35+CI40+CI38+CI39</f>
        <v>212.09999999999991</v>
      </c>
      <c r="CJ43" s="56">
        <f>CJ35+CJ40+CJ38+CJ39</f>
        <v>642.30000000000109</v>
      </c>
      <c r="CL43" s="54" t="s">
        <v>28</v>
      </c>
      <c r="CM43" s="56">
        <f>CM35+CM40+CM38+CM39</f>
        <v>93.400000000000091</v>
      </c>
      <c r="CN43" s="56">
        <f>CN35+CN40+CN38+CN39</f>
        <v>190.19999999999982</v>
      </c>
      <c r="CO43" s="56">
        <f>CO35+CO40+CO38+CO39</f>
        <v>192.30000000000018</v>
      </c>
      <c r="CP43" s="56">
        <f>CP35+CP40+CP38+CP39</f>
        <v>216.19999999999982</v>
      </c>
      <c r="CQ43" s="56">
        <f>CQ35+CQ40+CQ38+CQ39</f>
        <v>692.10000000000036</v>
      </c>
      <c r="CS43" s="54" t="s">
        <v>28</v>
      </c>
      <c r="CT43" s="56">
        <f>CT35+CT40+CT38+CT39</f>
        <v>81.300000000000182</v>
      </c>
      <c r="CU43" s="56">
        <f>CU35+CU40+CU38+CU39</f>
        <v>232.5</v>
      </c>
      <c r="CV43" s="56">
        <f>CV35+CV40+CV38+CV39</f>
        <v>179.69999999999982</v>
      </c>
      <c r="CW43" s="56">
        <f>CW35+CW40+CW38+CW39</f>
        <v>233</v>
      </c>
      <c r="CX43" s="56">
        <f>CX35+CX40+CX38+CX39</f>
        <v>726.5</v>
      </c>
      <c r="CZ43" s="54" t="s">
        <v>28</v>
      </c>
      <c r="DA43" s="56">
        <f>DA35+DA40+DA38+DA39</f>
        <v>118</v>
      </c>
      <c r="DB43" s="56">
        <f>DB35+DB40+DB38+DB39</f>
        <v>251</v>
      </c>
      <c r="DC43" s="56">
        <f>DC35+DC40+DC38+DC39</f>
        <v>275</v>
      </c>
      <c r="DD43" s="56">
        <f>DD35+DD40+DD38+DD39</f>
        <v>300</v>
      </c>
      <c r="DE43" s="56">
        <f>DE35+DE40+DE38+DE39</f>
        <v>944</v>
      </c>
      <c r="DG43" s="54" t="s">
        <v>28</v>
      </c>
      <c r="DH43" s="56">
        <f>DH35+DH40+DH38+DH39</f>
        <v>197</v>
      </c>
      <c r="DI43" s="56">
        <f>DI35+DI40+DI38+DI39</f>
        <v>290</v>
      </c>
      <c r="DJ43" s="56">
        <f>DJ35+DJ40+DJ38+DJ39</f>
        <v>328</v>
      </c>
      <c r="DK43" s="56">
        <f>DK35+DK40+DK38+DK39</f>
        <v>354.7</v>
      </c>
      <c r="DL43" s="56">
        <f>DL35+DL40+DL38+DL39</f>
        <v>1169.7</v>
      </c>
      <c r="DN43" s="54" t="s">
        <v>28</v>
      </c>
      <c r="DO43" s="56">
        <f>DO35+DO40+DO38+DO39</f>
        <v>224</v>
      </c>
      <c r="DP43" s="56">
        <f>DP35+DP40+DP38+DP39</f>
        <v>340.5</v>
      </c>
      <c r="DQ43" s="56">
        <f>DQ35+DQ40+DQ38+DQ39</f>
        <v>343</v>
      </c>
      <c r="DR43" s="56">
        <f>DR35+DR40+DR38+DR39</f>
        <v>389</v>
      </c>
      <c r="DS43" s="56">
        <f>DS35+DS40+DS38+DS39</f>
        <v>1296.5</v>
      </c>
      <c r="DU43" s="54" t="s">
        <v>28</v>
      </c>
      <c r="DV43" s="56">
        <f>DV35+DV40+DV38+DV39</f>
        <v>233</v>
      </c>
      <c r="DW43" s="56">
        <f>DW35+DW40+DW38+DW39</f>
        <v>340.36</v>
      </c>
      <c r="DX43" s="56">
        <f>DX35+DX40+DX38+DX39</f>
        <v>324.38</v>
      </c>
      <c r="DY43" s="56">
        <f>DY35+DY40+DY38+DY39</f>
        <v>389.86599999999999</v>
      </c>
      <c r="DZ43" s="56">
        <f>DZ35+DZ40+DZ38+DZ39</f>
        <v>1287.606</v>
      </c>
      <c r="EB43" s="54" t="s">
        <v>28</v>
      </c>
      <c r="EC43" s="56">
        <f>EC35+EC40+EC38+EC39</f>
        <v>143.68</v>
      </c>
      <c r="ED43" s="56">
        <f>ED35+ED40+ED38+ED39</f>
        <v>251.70882340016999</v>
      </c>
      <c r="EE43" s="56">
        <f>EE35+EE40+EE38+EE39</f>
        <v>169</v>
      </c>
      <c r="EF43" s="56">
        <f>EF35+EF40+EF38+EF39</f>
        <v>187.02</v>
      </c>
      <c r="EG43" s="56">
        <f>EG35+EG40+EG38+EG39</f>
        <v>751.40882340016992</v>
      </c>
      <c r="EI43" s="54" t="s">
        <v>28</v>
      </c>
      <c r="EJ43" s="56">
        <f>EJ35+EJ40+EJ38+EJ39</f>
        <v>95.087999999999994</v>
      </c>
      <c r="EK43" s="56">
        <f>EK35+EK40+EK38+EK39</f>
        <v>143</v>
      </c>
      <c r="EL43" s="56">
        <f>EL35+EL40+EL38+EL39</f>
        <v>200</v>
      </c>
      <c r="EM43" s="56">
        <f>EM35+EM40+EM38+EM39</f>
        <v>97</v>
      </c>
      <c r="EN43" s="56">
        <f>EN35+EN40+EN38+EN39</f>
        <v>535.08799999999997</v>
      </c>
      <c r="EP43" s="54" t="s">
        <v>28</v>
      </c>
      <c r="EQ43" s="56">
        <f>EQ35+EQ40+EQ38</f>
        <v>32</v>
      </c>
      <c r="ER43" s="56">
        <f>ER35+ER40+ER38</f>
        <v>85</v>
      </c>
      <c r="ES43" s="56">
        <f>ES35+ES40+ES38</f>
        <v>87</v>
      </c>
      <c r="ET43" s="56">
        <f>ET35+ET40+ET38</f>
        <v>81</v>
      </c>
      <c r="EU43" s="56">
        <f>EU35+EU40+EU38</f>
        <v>285</v>
      </c>
      <c r="EW43" s="54" t="s">
        <v>28</v>
      </c>
      <c r="EX43" s="56">
        <f>EX35+EX40+EX38</f>
        <v>38.799999999999997</v>
      </c>
      <c r="EY43" s="56">
        <f>EY35+EY40+EY38</f>
        <v>167</v>
      </c>
      <c r="EZ43" s="56">
        <f>EZ35+EZ40+EZ38</f>
        <v>155</v>
      </c>
      <c r="FA43" s="56">
        <f>FA35+FA40+FA38</f>
        <v>159</v>
      </c>
      <c r="FB43" s="56">
        <f>FB35+FB40+FB38</f>
        <v>519.79999999999995</v>
      </c>
      <c r="FD43" s="54" t="s">
        <v>28</v>
      </c>
      <c r="FE43" s="56">
        <f>FE35+FE40+FE38</f>
        <v>107</v>
      </c>
      <c r="FF43" s="56">
        <f>FF35+FF40+FF38</f>
        <v>198</v>
      </c>
      <c r="FG43" s="56">
        <f>FG35+FG40+FG38</f>
        <v>196</v>
      </c>
      <c r="FH43" s="56">
        <f>FH35+FH40+FH38</f>
        <v>211</v>
      </c>
      <c r="FI43" s="56">
        <f>FI35+FI40+FI38</f>
        <v>712</v>
      </c>
      <c r="FK43" s="54" t="s">
        <v>28</v>
      </c>
      <c r="FL43" s="56">
        <f>FL35+FL40+FL38</f>
        <v>59</v>
      </c>
      <c r="FM43" s="56">
        <f>FM35+FM40+FM38</f>
        <v>191</v>
      </c>
      <c r="FN43" s="56">
        <f>FN35+FN40+FN38</f>
        <v>159</v>
      </c>
      <c r="FO43" s="56">
        <f>FO35+FO40+FO38</f>
        <v>177</v>
      </c>
      <c r="FP43" s="56">
        <f>FP35+FP40+FP38</f>
        <v>586</v>
      </c>
      <c r="FR43" s="54" t="s">
        <v>28</v>
      </c>
      <c r="FS43" s="56">
        <f>FS35+FS40+FS38</f>
        <v>93</v>
      </c>
      <c r="FT43" s="56">
        <f>FT35+FT40+FT38</f>
        <v>197</v>
      </c>
      <c r="FU43" s="56">
        <f>FU35+FU40+FU38</f>
        <v>169</v>
      </c>
      <c r="FV43" s="56">
        <f>FV35+FV40+FV38</f>
        <v>243</v>
      </c>
      <c r="FW43" s="56">
        <f>FW35+FW40+FW38</f>
        <v>702</v>
      </c>
      <c r="FY43" s="54" t="s">
        <v>28</v>
      </c>
      <c r="FZ43" s="56">
        <f>FZ35+FZ40+FZ38</f>
        <v>238</v>
      </c>
      <c r="GA43" s="56">
        <f>GA35+GA40+GA38</f>
        <v>334</v>
      </c>
      <c r="GB43" s="56">
        <f>GB35+GB40+GB38</f>
        <v>264</v>
      </c>
      <c r="GC43" s="56">
        <f>GC35+GC40+GC38</f>
        <v>375</v>
      </c>
      <c r="GD43" s="56">
        <f>GD35+GD40+GD38</f>
        <v>1211</v>
      </c>
      <c r="GF43" s="54" t="s">
        <v>28</v>
      </c>
      <c r="GG43" s="56">
        <f>GG35+GG40+GG38</f>
        <v>395</v>
      </c>
      <c r="GH43" s="56">
        <f>GH35+GH40+GH38</f>
        <v>559</v>
      </c>
      <c r="GI43" s="56">
        <f>GI35+GI40+GI38</f>
        <v>417</v>
      </c>
      <c r="GJ43" s="56">
        <f>GJ35+GJ40+GJ38</f>
        <v>428</v>
      </c>
      <c r="GK43" s="56">
        <f>GK35+GK40+GK38</f>
        <v>1799</v>
      </c>
      <c r="GM43" s="54" t="s">
        <v>28</v>
      </c>
      <c r="GN43" s="56">
        <f>GN35+GN40+GN38</f>
        <v>378</v>
      </c>
      <c r="GO43" s="56">
        <f>GO35+GO40+GO38</f>
        <v>514</v>
      </c>
      <c r="GP43" s="56">
        <f>GP35+GP40+GP38</f>
        <v>470</v>
      </c>
      <c r="GQ43" s="56">
        <f>GQ35+GQ40+GQ38</f>
        <v>570</v>
      </c>
      <c r="GR43" s="56">
        <f>GR35+GR40+GR38</f>
        <v>1932</v>
      </c>
      <c r="GT43" s="54" t="s">
        <v>28</v>
      </c>
      <c r="GU43" s="56">
        <f>GU35+GU40+GU38</f>
        <v>530</v>
      </c>
      <c r="GV43" s="56">
        <f>GV35+GV40+GV38</f>
        <v>590</v>
      </c>
      <c r="GW43" s="56">
        <f>GW35+GW40+GW38</f>
        <v>610</v>
      </c>
      <c r="GX43" s="56">
        <f>GX35+GX40+GX38</f>
        <v>563</v>
      </c>
      <c r="GY43" s="56">
        <f>GY35+GY40+GY38</f>
        <v>2293</v>
      </c>
      <c r="HA43" s="54" t="s">
        <v>28</v>
      </c>
      <c r="HB43" s="56">
        <f>HB35+HB40+HB38</f>
        <v>372</v>
      </c>
      <c r="HC43" s="56">
        <f>HC35+HC40+HC38</f>
        <v>448</v>
      </c>
      <c r="HD43" s="56">
        <f>HD35+HD40+HD38</f>
        <v>460</v>
      </c>
      <c r="HE43" s="56">
        <f>HE35+HE40+HE38</f>
        <v>460</v>
      </c>
      <c r="HF43" s="56">
        <f>HF35+HF40+HF38</f>
        <v>1740</v>
      </c>
      <c r="HH43" s="54" t="s">
        <v>28</v>
      </c>
      <c r="HI43" s="56">
        <f>HI35+HI40+HI38</f>
        <v>501</v>
      </c>
      <c r="HJ43" s="56">
        <f>HJ35+HJ40+HJ38</f>
        <v>672</v>
      </c>
      <c r="HK43" s="56">
        <f>HK35+HK40+HK38</f>
        <v>702</v>
      </c>
      <c r="HL43" s="56">
        <f>HL35+HL40+HL38</f>
        <v>701</v>
      </c>
      <c r="HM43" s="56">
        <f>HM35+HM40+HM38</f>
        <v>2576</v>
      </c>
      <c r="HO43" s="54" t="s">
        <v>28</v>
      </c>
      <c r="HP43" s="56">
        <f>HP35+HP40+HP38</f>
        <v>638</v>
      </c>
      <c r="HQ43" s="56">
        <f>HQ35+HQ40+HQ38</f>
        <v>792</v>
      </c>
      <c r="HR43" s="56">
        <f>HR35+HR40+HR38</f>
        <v>746</v>
      </c>
      <c r="HS43" s="56">
        <f>HS35+HS40+HS38</f>
        <v>712</v>
      </c>
      <c r="HT43" s="56">
        <f>HT35+HT40+HT38</f>
        <v>2888</v>
      </c>
      <c r="HV43" s="54" t="s">
        <v>28</v>
      </c>
      <c r="HW43" s="56">
        <f>HW35+HW40+HW38</f>
        <v>716</v>
      </c>
      <c r="HX43" s="56">
        <f>HX35+HX40+HX38</f>
        <v>809</v>
      </c>
      <c r="HY43" s="56">
        <f>HY35+HY40+HY38</f>
        <v>721</v>
      </c>
      <c r="HZ43" s="56">
        <f>HZ35+HZ40+HZ38</f>
        <v>661</v>
      </c>
      <c r="IA43" s="56">
        <f>IA35+IA40+IA38</f>
        <v>2907</v>
      </c>
      <c r="IC43" s="54" t="s">
        <v>28</v>
      </c>
      <c r="ID43" s="56">
        <f>ID35+ID40+ID38</f>
        <v>725</v>
      </c>
      <c r="IE43" s="56">
        <f>IE35+IE40+IE38</f>
        <v>832</v>
      </c>
      <c r="IF43" s="56">
        <f>IF35+IF40+IF38</f>
        <v>723</v>
      </c>
      <c r="IG43" s="56">
        <f>IG35+IG40+IG38</f>
        <v>674</v>
      </c>
      <c r="IH43" s="56">
        <f>IH35+IH40+IH38</f>
        <v>2954</v>
      </c>
      <c r="IJ43" s="54" t="s">
        <v>28</v>
      </c>
      <c r="IK43" s="56">
        <f>IK35+IK40+IK38</f>
        <v>606</v>
      </c>
      <c r="IL43" s="56">
        <f>IL35+IL40+IL38</f>
        <v>850</v>
      </c>
      <c r="IM43" s="56">
        <f>IM35+IM40+IM38</f>
        <v>813</v>
      </c>
      <c r="IN43" s="56">
        <f>IN35+IN40+IN38</f>
        <v>775</v>
      </c>
      <c r="IO43" s="56">
        <f>IO35+IO40+IO38</f>
        <v>3044</v>
      </c>
      <c r="IQ43" s="54" t="s">
        <v>28</v>
      </c>
      <c r="IR43" s="56">
        <f>IR35+IR40+IR38</f>
        <v>711</v>
      </c>
      <c r="IS43" s="56">
        <f>IS35+IS40+IS38</f>
        <v>887</v>
      </c>
      <c r="IT43" s="56">
        <f>IT35+IT40+IT38</f>
        <v>799</v>
      </c>
      <c r="IU43" s="56">
        <f>IU35+IU40+IU38</f>
        <v>741</v>
      </c>
      <c r="IV43" s="56">
        <f>IV35+IV40+IV38</f>
        <v>3138</v>
      </c>
      <c r="IX43" s="54" t="s">
        <v>28</v>
      </c>
      <c r="IY43" s="56">
        <f>IY35+IY40+IY38</f>
        <v>568</v>
      </c>
      <c r="IZ43" s="56">
        <f>IZ35+IZ40+IZ38</f>
        <v>707</v>
      </c>
      <c r="JA43" s="56">
        <f>JA35+JA40+JA38</f>
        <v>715</v>
      </c>
      <c r="JB43" s="56">
        <f>JB35+JB40+JB38</f>
        <v>866</v>
      </c>
      <c r="JC43" s="56">
        <f>JC35+JC40+JC38</f>
        <v>2856</v>
      </c>
      <c r="JE43" s="54" t="s">
        <v>28</v>
      </c>
      <c r="JF43" s="56">
        <f>JF35+JF40+JF38</f>
        <v>755</v>
      </c>
      <c r="JG43" s="56">
        <f>JG35+JG40+JG38</f>
        <v>949</v>
      </c>
      <c r="JH43" s="56">
        <f>JH35+JH40+JH38</f>
        <v>751</v>
      </c>
      <c r="JI43" s="56">
        <f>JI35+JI40+JI38</f>
        <v>870</v>
      </c>
      <c r="JJ43" s="56">
        <f>JJ35+JJ40+JJ38</f>
        <v>3325</v>
      </c>
      <c r="JL43" s="54" t="s">
        <v>28</v>
      </c>
      <c r="JM43" s="56">
        <f>JM35+JM40+JM38</f>
        <v>912</v>
      </c>
      <c r="JN43" s="56">
        <f>JN35+JN40+JN38</f>
        <v>1144</v>
      </c>
      <c r="JO43" s="56">
        <f>JO35+JO40+JO38</f>
        <v>1150</v>
      </c>
      <c r="JP43" s="56">
        <f>JP35+JP40+JP38</f>
        <v>1098</v>
      </c>
      <c r="JQ43" s="56">
        <f>JQ35+JQ40+JQ38</f>
        <v>4304</v>
      </c>
      <c r="JS43" s="54" t="s">
        <v>28</v>
      </c>
      <c r="JT43" s="56">
        <f>JT35+JT40+JT38</f>
        <v>1064</v>
      </c>
      <c r="JU43" s="56">
        <f>JU35+JU40+JU38</f>
        <v>1146</v>
      </c>
      <c r="JV43" s="56">
        <f>JV35+JV40+JV38</f>
        <v>1125</v>
      </c>
      <c r="JW43" s="56">
        <f>JW35+JW40+JW38</f>
        <v>981</v>
      </c>
      <c r="JX43" s="56">
        <f>JX35+JX40+JX38</f>
        <v>4316</v>
      </c>
      <c r="JZ43" s="54" t="s">
        <v>28</v>
      </c>
      <c r="KA43" s="56">
        <f>KA35+KA40+KA38</f>
        <v>1013</v>
      </c>
      <c r="KB43" s="56">
        <f>KB35+KB40+KB38</f>
        <v>652</v>
      </c>
      <c r="KC43" s="56">
        <f>KC35+KC40+KC38</f>
        <v>968</v>
      </c>
      <c r="KD43" s="56">
        <f>KD35+KD40+KD38</f>
        <v>994</v>
      </c>
      <c r="KE43" s="56">
        <f>KE35+KE40+KE38</f>
        <v>3627</v>
      </c>
      <c r="KG43" s="54" t="s">
        <v>28</v>
      </c>
      <c r="KH43" s="56">
        <f>KH35+KH40+KH38</f>
        <v>937</v>
      </c>
      <c r="KI43" s="56">
        <f>KI35+KI40+KI38</f>
        <v>1181</v>
      </c>
      <c r="KJ43" s="56">
        <f>KJ35+KJ40+KJ38</f>
        <v>1279</v>
      </c>
      <c r="KK43" s="56">
        <f>KK35+KK40+KK38</f>
        <v>1205</v>
      </c>
      <c r="KL43" s="56">
        <f>KL35+KL40+KL38</f>
        <v>4602</v>
      </c>
      <c r="KN43" s="54" t="s">
        <v>28</v>
      </c>
      <c r="KO43" s="56">
        <f>KO35+KO40+KO38</f>
        <v>1129</v>
      </c>
      <c r="KP43" s="56">
        <f>KP35+KP40+KP38</f>
        <v>1436</v>
      </c>
      <c r="KQ43" s="56">
        <f>KQ35+KQ40+KQ38</f>
        <v>1423</v>
      </c>
      <c r="KR43" s="56">
        <f>KR35+KR40+KR38</f>
        <v>1304</v>
      </c>
      <c r="KS43" s="56">
        <f>KS35+KS40+KS38</f>
        <v>5292</v>
      </c>
      <c r="KU43" s="54" t="s">
        <v>28</v>
      </c>
      <c r="KV43" s="56">
        <f>KV35+KV40+KV38</f>
        <v>1287</v>
      </c>
      <c r="KW43" s="56">
        <f>KW35+KW40+KW38</f>
        <v>1296</v>
      </c>
      <c r="KX43" s="55">
        <f>KX35+KX40+KX38</f>
        <v>1102</v>
      </c>
      <c r="KY43" s="56">
        <f>KY35+KY40+KY38</f>
        <v>1144</v>
      </c>
      <c r="KZ43" s="56">
        <f>KZ35+KZ40+KZ38</f>
        <v>4829</v>
      </c>
      <c r="LB43" s="54" t="s">
        <v>28</v>
      </c>
      <c r="LC43" s="56">
        <f>LC35+LC40+LC38</f>
        <v>1168</v>
      </c>
      <c r="LD43" s="55">
        <f>LD35+LD40+LD38</f>
        <v>1267</v>
      </c>
      <c r="LE43" s="55">
        <f>LE35+LE40+LE38</f>
        <v>1184</v>
      </c>
      <c r="LF43" s="55">
        <f>LF35+LF40+LF38</f>
        <v>1044</v>
      </c>
      <c r="LG43" s="55">
        <f>LG35+LG40+LG38</f>
        <v>4663</v>
      </c>
      <c r="LH43" s="558"/>
      <c r="LI43" s="54" t="s">
        <v>28</v>
      </c>
      <c r="LJ43" s="55">
        <f>LJ35+LJ40+LJ38</f>
        <v>858</v>
      </c>
      <c r="LK43" s="55">
        <f>LK35+LK40+LK38</f>
        <v>1093</v>
      </c>
      <c r="LL43" s="55">
        <f>LL35+LL40+LL38</f>
        <v>1097</v>
      </c>
      <c r="LM43" s="55">
        <f>LM35+LM40+LM38</f>
        <v>972</v>
      </c>
      <c r="LN43" s="55">
        <f>LN35+LN40+LN38</f>
        <v>4020</v>
      </c>
      <c r="LO43" s="558"/>
      <c r="LP43" s="54" t="s">
        <v>28</v>
      </c>
      <c r="LQ43" s="55">
        <f>LQ35+LQ40+LQ38</f>
        <v>983.16440045848685</v>
      </c>
      <c r="LR43" s="55">
        <f>LR35+LR40+LR38</f>
        <v>1180.3803401206228</v>
      </c>
      <c r="LS43" s="55">
        <f>LS35+LS40+LS38</f>
        <v>1220.9309645711342</v>
      </c>
      <c r="LT43" s="55">
        <f>LT35+LT40+LT38</f>
        <v>1149.6707469667085</v>
      </c>
      <c r="LU43" s="55">
        <f>LU35+LU40+LU38</f>
        <v>4534.1464521169491</v>
      </c>
      <c r="LV43" s="754"/>
      <c r="LW43" s="54" t="s">
        <v>28</v>
      </c>
      <c r="LX43" s="55">
        <f>LX35+LX40+LX38</f>
        <v>1114.7828514791786</v>
      </c>
      <c r="LY43" s="55">
        <f>LY35+LY40+LY38</f>
        <v>1318.6492073736563</v>
      </c>
      <c r="LZ43" s="55">
        <f>LZ35+LZ40+LZ38</f>
        <v>1366.5410869254406</v>
      </c>
      <c r="MA43" s="55">
        <f>MA35+MA40+MA38</f>
        <v>1294.0160153851211</v>
      </c>
      <c r="MB43" s="55">
        <f>MB35+MB40+MB38</f>
        <v>5093.9891611633975</v>
      </c>
      <c r="MC43" s="558"/>
      <c r="MD43" s="54" t="s">
        <v>28</v>
      </c>
      <c r="ME43" s="55">
        <f>ME35+ME40+ME38</f>
        <v>1220.7743077674691</v>
      </c>
      <c r="MF43" s="55">
        <f>MF35+MF40+MF38</f>
        <v>1420.0787619271941</v>
      </c>
      <c r="MG43" s="55">
        <f>MG35+MG40+MG38</f>
        <v>1459.9504429599201</v>
      </c>
      <c r="MH43" s="55">
        <f>MH35+MH40+MH38</f>
        <v>1401.4457094470736</v>
      </c>
      <c r="MI43" s="55">
        <f>MI35+MI40+MI38</f>
        <v>5502.2492221016582</v>
      </c>
      <c r="MJ43" s="558"/>
      <c r="MK43" s="623"/>
    </row>
    <row r="44" spans="1:349" s="50" customFormat="1" x14ac:dyDescent="0.4">
      <c r="A44" s="48"/>
      <c r="B44" s="520" t="s">
        <v>3</v>
      </c>
      <c r="C44" s="49"/>
      <c r="D44" s="49"/>
      <c r="E44" s="49"/>
      <c r="F44" s="49"/>
      <c r="G44" s="49"/>
      <c r="H44" s="49"/>
      <c r="I44" s="49"/>
      <c r="J44" s="49"/>
      <c r="K44" s="49"/>
      <c r="L44" s="49"/>
      <c r="M44" s="49"/>
      <c r="N44" s="49">
        <f>BV44</f>
        <v>0</v>
      </c>
      <c r="O44" s="49">
        <f>CC44</f>
        <v>0</v>
      </c>
      <c r="P44" s="49">
        <f>CJ44</f>
        <v>0</v>
      </c>
      <c r="Q44" s="49">
        <f>CQ44</f>
        <v>0</v>
      </c>
      <c r="R44" s="49">
        <f>CX44</f>
        <v>0</v>
      </c>
      <c r="S44" s="49">
        <f>DE44</f>
        <v>0</v>
      </c>
      <c r="T44" s="49">
        <f>DL44</f>
        <v>0</v>
      </c>
      <c r="U44" s="49">
        <f>DS44</f>
        <v>0</v>
      </c>
      <c r="V44" s="49">
        <f>DZ44</f>
        <v>0</v>
      </c>
      <c r="W44" s="49">
        <f>EG44</f>
        <v>0</v>
      </c>
      <c r="X44" s="49">
        <f>EN44</f>
        <v>0</v>
      </c>
      <c r="Y44" s="49">
        <f>EU44</f>
        <v>0</v>
      </c>
      <c r="Z44" s="49">
        <f>FB44</f>
        <v>0</v>
      </c>
      <c r="AA44" s="49">
        <f>FI44</f>
        <v>0</v>
      </c>
      <c r="AB44" s="49">
        <f>FP44</f>
        <v>0</v>
      </c>
      <c r="AC44" s="49">
        <f>FW44</f>
        <v>0</v>
      </c>
      <c r="AD44" s="49" t="str">
        <f>GD44</f>
        <v>-</v>
      </c>
      <c r="AE44" s="49">
        <f>GK44</f>
        <v>0.48554913294797686</v>
      </c>
      <c r="AF44" s="49">
        <f>GR44</f>
        <v>7.3929961089494123E-2</v>
      </c>
      <c r="AG44" s="49">
        <f>GY44</f>
        <v>0.18685300207039335</v>
      </c>
      <c r="AH44" s="49">
        <f>HF44</f>
        <v>-0.24116877453118191</v>
      </c>
      <c r="AI44" s="49">
        <f>HM44</f>
        <v>0.48045977011494245</v>
      </c>
      <c r="AJ44" s="49">
        <f>HT44</f>
        <v>0.12111801242236031</v>
      </c>
      <c r="AK44" s="49">
        <f>IA44</f>
        <v>6.5789473684210176E-3</v>
      </c>
      <c r="AL44" s="49">
        <f>IH44</f>
        <v>1.6167870657034733E-2</v>
      </c>
      <c r="AM44" s="49">
        <f>IO44</f>
        <v>3.0467163168584888E-2</v>
      </c>
      <c r="AN44" s="49">
        <f>IV44</f>
        <v>3.088042049934292E-2</v>
      </c>
      <c r="AO44" s="49">
        <f>JC44</f>
        <v>-8.9866156787762885E-2</v>
      </c>
      <c r="AP44" s="49">
        <f>JJ44</f>
        <v>0.16421568627450989</v>
      </c>
      <c r="AQ44" s="49">
        <f>JQ44</f>
        <v>0.29443609022556383</v>
      </c>
      <c r="AR44" s="49">
        <f>JX44</f>
        <v>2.7881040892192566E-3</v>
      </c>
      <c r="AS44" s="49">
        <f>KE44</f>
        <v>-0.15963855421686746</v>
      </c>
      <c r="AT44" s="49">
        <f>KL44</f>
        <v>0.26881720430107525</v>
      </c>
      <c r="AU44" s="49">
        <f>KS44</f>
        <v>0.1499348109517602</v>
      </c>
      <c r="AV44" s="49">
        <f>KZ44</f>
        <v>-8.7490551776266079E-2</v>
      </c>
      <c r="AW44" s="49">
        <f>LG44</f>
        <v>-3.4375647131911324E-2</v>
      </c>
      <c r="AX44" s="49">
        <f>LN44</f>
        <v>-0.1378940596182715</v>
      </c>
      <c r="AY44" s="49">
        <f>LU44</f>
        <v>0.12789712739227599</v>
      </c>
      <c r="AZ44" s="49">
        <f>MB44</f>
        <v>0.12347256864300515</v>
      </c>
      <c r="BA44" s="49">
        <f>MI44</f>
        <v>8.0145451437320991E-2</v>
      </c>
      <c r="BB44" s="49"/>
      <c r="BC44" s="49"/>
      <c r="BD44" s="49"/>
      <c r="BE44" s="49"/>
      <c r="BF44" s="49"/>
      <c r="BG44" s="49"/>
      <c r="BH44" s="49"/>
      <c r="BI44" s="49"/>
      <c r="BJ44" s="49"/>
      <c r="BK44" s="49"/>
      <c r="BL44" s="49"/>
      <c r="BM44" s="49"/>
      <c r="BN44" s="49"/>
      <c r="BO44" s="49"/>
      <c r="BQ44" s="520" t="s">
        <v>3</v>
      </c>
      <c r="BR44" s="51"/>
      <c r="BS44" s="51"/>
      <c r="BT44" s="51"/>
      <c r="BU44" s="51"/>
      <c r="BV44" s="51"/>
      <c r="BX44" s="520" t="s">
        <v>3</v>
      </c>
      <c r="BY44" s="51"/>
      <c r="BZ44" s="51"/>
      <c r="CA44" s="51"/>
      <c r="CB44" s="51"/>
      <c r="CC44" s="51"/>
      <c r="CE44" s="520" t="s">
        <v>3</v>
      </c>
      <c r="CF44" s="51"/>
      <c r="CG44" s="51"/>
      <c r="CH44" s="51"/>
      <c r="CI44" s="51"/>
      <c r="CJ44" s="51"/>
      <c r="CL44" s="520" t="s">
        <v>3</v>
      </c>
      <c r="CM44" s="51"/>
      <c r="CN44" s="51"/>
      <c r="CO44" s="51"/>
      <c r="CP44" s="51"/>
      <c r="CQ44" s="51"/>
      <c r="CS44" s="520" t="s">
        <v>3</v>
      </c>
      <c r="CT44" s="51"/>
      <c r="CU44" s="51"/>
      <c r="CV44" s="51"/>
      <c r="CW44" s="51"/>
      <c r="CX44" s="51"/>
      <c r="CZ44" s="520" t="s">
        <v>3</v>
      </c>
      <c r="DA44" s="51"/>
      <c r="DB44" s="51"/>
      <c r="DC44" s="51"/>
      <c r="DD44" s="51"/>
      <c r="DE44" s="51"/>
      <c r="DG44" s="520" t="s">
        <v>3</v>
      </c>
      <c r="DH44" s="51"/>
      <c r="DI44" s="51"/>
      <c r="DJ44" s="51"/>
      <c r="DK44" s="51"/>
      <c r="DL44" s="51"/>
      <c r="DN44" s="520" t="s">
        <v>3</v>
      </c>
      <c r="DO44" s="51"/>
      <c r="DP44" s="51"/>
      <c r="DQ44" s="51"/>
      <c r="DR44" s="51"/>
      <c r="DS44" s="51"/>
      <c r="DU44" s="520" t="s">
        <v>3</v>
      </c>
      <c r="DV44" s="51"/>
      <c r="DW44" s="51"/>
      <c r="DX44" s="51"/>
      <c r="DY44" s="51"/>
      <c r="DZ44" s="51"/>
      <c r="EB44" s="520" t="s">
        <v>3</v>
      </c>
      <c r="EC44" s="51"/>
      <c r="ED44" s="51"/>
      <c r="EE44" s="51"/>
      <c r="EF44" s="51"/>
      <c r="EG44" s="51"/>
      <c r="EI44" s="520" t="s">
        <v>3</v>
      </c>
      <c r="EJ44" s="51"/>
      <c r="EK44" s="51"/>
      <c r="EL44" s="51"/>
      <c r="EM44" s="51"/>
      <c r="EN44" s="51"/>
      <c r="EP44" s="520" t="s">
        <v>3</v>
      </c>
      <c r="EQ44" s="51"/>
      <c r="ER44" s="51"/>
      <c r="ES44" s="51"/>
      <c r="ET44" s="51"/>
      <c r="EU44" s="51"/>
      <c r="EW44" s="520" t="s">
        <v>3</v>
      </c>
      <c r="EX44" s="51"/>
      <c r="EY44" s="51"/>
      <c r="EZ44" s="51"/>
      <c r="FA44" s="51"/>
      <c r="FB44" s="51"/>
      <c r="FD44" s="520" t="s">
        <v>3</v>
      </c>
      <c r="FE44" s="51"/>
      <c r="FF44" s="51"/>
      <c r="FG44" s="51"/>
      <c r="FH44" s="51"/>
      <c r="FI44" s="51"/>
      <c r="FK44" s="520" t="s">
        <v>3</v>
      </c>
      <c r="FL44" s="51"/>
      <c r="FM44" s="51"/>
      <c r="FN44" s="51"/>
      <c r="FO44" s="51"/>
      <c r="FP44" s="51"/>
      <c r="FR44" s="520" t="s">
        <v>3</v>
      </c>
      <c r="FS44" s="51"/>
      <c r="FT44" s="51"/>
      <c r="FU44" s="51"/>
      <c r="FV44" s="51"/>
      <c r="FW44" s="51"/>
      <c r="FY44" s="520" t="s">
        <v>3</v>
      </c>
      <c r="FZ44" s="51" t="s">
        <v>80</v>
      </c>
      <c r="GA44" s="51" t="s">
        <v>80</v>
      </c>
      <c r="GB44" s="51" t="s">
        <v>80</v>
      </c>
      <c r="GC44" s="51" t="s">
        <v>80</v>
      </c>
      <c r="GD44" s="51" t="s">
        <v>80</v>
      </c>
      <c r="GF44" s="520" t="s">
        <v>3</v>
      </c>
      <c r="GG44" s="51">
        <f>GG43/FZ43-1</f>
        <v>0.65966386554621859</v>
      </c>
      <c r="GH44" s="51">
        <f>GH43/GA43-1</f>
        <v>0.67365269461077837</v>
      </c>
      <c r="GI44" s="51">
        <f>GI43/GB43-1</f>
        <v>0.57954545454545459</v>
      </c>
      <c r="GJ44" s="51">
        <f>GJ43/GC43-1</f>
        <v>0.14133333333333331</v>
      </c>
      <c r="GK44" s="51">
        <f>GK43/GD43-1</f>
        <v>0.48554913294797686</v>
      </c>
      <c r="GM44" s="520" t="s">
        <v>3</v>
      </c>
      <c r="GN44" s="51">
        <f>GN43/GG43-1</f>
        <v>-4.3037974683544311E-2</v>
      </c>
      <c r="GO44" s="51">
        <f>GO43/GH43-1</f>
        <v>-8.0500894454382799E-2</v>
      </c>
      <c r="GP44" s="51">
        <f>GP43/GI43-1</f>
        <v>0.12709832134292576</v>
      </c>
      <c r="GQ44" s="51">
        <f>GQ43/GJ43-1</f>
        <v>0.33177570093457942</v>
      </c>
      <c r="GR44" s="51">
        <f>GR43/GK43-1</f>
        <v>7.3929961089494123E-2</v>
      </c>
      <c r="GT44" s="520" t="s">
        <v>3</v>
      </c>
      <c r="GU44" s="51">
        <f>GU43/GN43-1</f>
        <v>0.40211640211640209</v>
      </c>
      <c r="GV44" s="51">
        <f>GV43/GO43-1</f>
        <v>0.14785992217898825</v>
      </c>
      <c r="GW44" s="51">
        <f>GW43/GP43-1</f>
        <v>0.2978723404255319</v>
      </c>
      <c r="GX44" s="51">
        <f>GX43/GQ43-1</f>
        <v>-1.2280701754386003E-2</v>
      </c>
      <c r="GY44" s="51">
        <f>GY43/GR43-1</f>
        <v>0.18685300207039335</v>
      </c>
      <c r="HA44" s="520" t="s">
        <v>3</v>
      </c>
      <c r="HB44" s="51">
        <f>HB43/GU43-1</f>
        <v>-0.29811320754716986</v>
      </c>
      <c r="HC44" s="51">
        <f>HC43/GV43-1</f>
        <v>-0.2406779661016949</v>
      </c>
      <c r="HD44" s="51">
        <f>HD43/GW43-1</f>
        <v>-0.24590163934426235</v>
      </c>
      <c r="HE44" s="51">
        <f>HE43/GX43-1</f>
        <v>-0.18294849023090587</v>
      </c>
      <c r="HF44" s="51">
        <f>HF43/GY43-1</f>
        <v>-0.24116877453118191</v>
      </c>
      <c r="HH44" s="520" t="s">
        <v>3</v>
      </c>
      <c r="HI44" s="51">
        <f>HI43/HB43-1</f>
        <v>0.34677419354838701</v>
      </c>
      <c r="HJ44" s="51">
        <f>HJ43/HC43-1</f>
        <v>0.5</v>
      </c>
      <c r="HK44" s="51">
        <f>HK43/HD43-1</f>
        <v>0.5260869565217392</v>
      </c>
      <c r="HL44" s="51">
        <f>HL43/HE43-1</f>
        <v>0.52391304347826084</v>
      </c>
      <c r="HM44" s="51">
        <f>HM43/HF43-1</f>
        <v>0.48045977011494245</v>
      </c>
      <c r="HO44" s="520" t="s">
        <v>3</v>
      </c>
      <c r="HP44" s="51">
        <f>HP43/HI43-1</f>
        <v>0.27345309381237515</v>
      </c>
      <c r="HQ44" s="51">
        <f>HQ43/HJ43-1</f>
        <v>0.1785714285714286</v>
      </c>
      <c r="HR44" s="51">
        <f>HR43/HK43-1</f>
        <v>6.2678062678062751E-2</v>
      </c>
      <c r="HS44" s="51">
        <f>HS43/HL43-1</f>
        <v>1.5691868758915817E-2</v>
      </c>
      <c r="HT44" s="51">
        <f>HT43/HM43-1</f>
        <v>0.12111801242236031</v>
      </c>
      <c r="HV44" s="520" t="s">
        <v>3</v>
      </c>
      <c r="HW44" s="51">
        <f>HW43/HP43-1</f>
        <v>0.12225705329153613</v>
      </c>
      <c r="HX44" s="51">
        <f>HX43/HQ43-1</f>
        <v>2.1464646464646409E-2</v>
      </c>
      <c r="HY44" s="51">
        <f>HY43/HR43-1</f>
        <v>-3.3512064343163561E-2</v>
      </c>
      <c r="HZ44" s="51">
        <f>HZ43/HS43-1</f>
        <v>-7.1629213483146104E-2</v>
      </c>
      <c r="IA44" s="51">
        <f>IA43/HT43-1</f>
        <v>6.5789473684210176E-3</v>
      </c>
      <c r="IC44" s="520" t="s">
        <v>3</v>
      </c>
      <c r="ID44" s="51">
        <f>ID43/HW43-1</f>
        <v>1.2569832402234526E-2</v>
      </c>
      <c r="IE44" s="51">
        <f>IE43/HX43-1</f>
        <v>2.8430160692212603E-2</v>
      </c>
      <c r="IF44" s="51">
        <f>IF43/HY43-1</f>
        <v>2.7739251040221902E-3</v>
      </c>
      <c r="IG44" s="51">
        <f>IG43/HZ43-1</f>
        <v>1.9667170953101332E-2</v>
      </c>
      <c r="IH44" s="51">
        <f>IH43/IA43-1</f>
        <v>1.6167870657034733E-2</v>
      </c>
      <c r="IJ44" s="520" t="s">
        <v>3</v>
      </c>
      <c r="IK44" s="51">
        <f>IK43/ID43-1</f>
        <v>-0.16413793103448271</v>
      </c>
      <c r="IL44" s="51">
        <f>IL43/IE43-1</f>
        <v>2.1634615384615419E-2</v>
      </c>
      <c r="IM44" s="51">
        <f>IM43/IF43-1</f>
        <v>0.12448132780082988</v>
      </c>
      <c r="IN44" s="51">
        <f>IN43/IG43-1</f>
        <v>0.14985163204747765</v>
      </c>
      <c r="IO44" s="51">
        <f>IO43/IH43-1</f>
        <v>3.0467163168584888E-2</v>
      </c>
      <c r="IQ44" s="520" t="s">
        <v>3</v>
      </c>
      <c r="IR44" s="51">
        <f>IR43/IK43-1</f>
        <v>0.1732673267326732</v>
      </c>
      <c r="IS44" s="51">
        <f>IS43/IL43-1</f>
        <v>4.3529411764705817E-2</v>
      </c>
      <c r="IT44" s="51">
        <f>IT43/IM43-1</f>
        <v>-1.7220172201722006E-2</v>
      </c>
      <c r="IU44" s="51">
        <f>IU43/IN43-1</f>
        <v>-4.387096774193544E-2</v>
      </c>
      <c r="IV44" s="51">
        <f>IV43/IO43-1</f>
        <v>3.088042049934292E-2</v>
      </c>
      <c r="IX44" s="520" t="s">
        <v>3</v>
      </c>
      <c r="IY44" s="51">
        <f>IY43/IR43-1</f>
        <v>-0.20112517580872014</v>
      </c>
      <c r="IZ44" s="51">
        <f>IZ43/IS43-1</f>
        <v>-0.2029312288613303</v>
      </c>
      <c r="JA44" s="51">
        <f>JA43/IT43-1</f>
        <v>-0.10513141426783479</v>
      </c>
      <c r="JB44" s="51">
        <f>JB43/IU43-1</f>
        <v>0.1686909581646423</v>
      </c>
      <c r="JC44" s="51">
        <f>JC43/IV43-1</f>
        <v>-8.9866156787762885E-2</v>
      </c>
      <c r="JE44" s="520" t="s">
        <v>3</v>
      </c>
      <c r="JF44" s="51">
        <f>JF43/IY43-1</f>
        <v>0.32922535211267601</v>
      </c>
      <c r="JG44" s="51">
        <f>JG43/IZ43-1</f>
        <v>0.34229137199434234</v>
      </c>
      <c r="JH44" s="51">
        <f>JH43/JA43-1</f>
        <v>5.0349650349650332E-2</v>
      </c>
      <c r="JI44" s="51">
        <f>JI43/JB43-1</f>
        <v>4.6189376443417363E-3</v>
      </c>
      <c r="JJ44" s="51">
        <f>JJ43/JC43-1</f>
        <v>0.16421568627450989</v>
      </c>
      <c r="JL44" s="520" t="s">
        <v>3</v>
      </c>
      <c r="JM44" s="51">
        <f>JM43/JF43-1</f>
        <v>0.20794701986754971</v>
      </c>
      <c r="JN44" s="51">
        <f>JN43/JG43-1</f>
        <v>0.20547945205479445</v>
      </c>
      <c r="JO44" s="51">
        <f>JO43/JH43-1</f>
        <v>0.5312916111850865</v>
      </c>
      <c r="JP44" s="51">
        <f>JP43/JI43-1</f>
        <v>0.26206896551724146</v>
      </c>
      <c r="JQ44" s="51">
        <f>JQ43/JJ43-1</f>
        <v>0.29443609022556383</v>
      </c>
      <c r="JS44" s="520" t="s">
        <v>3</v>
      </c>
      <c r="JT44" s="51">
        <f>JT43/JM43-1</f>
        <v>0.16666666666666674</v>
      </c>
      <c r="JU44" s="51">
        <f>JU43/JN43-1</f>
        <v>1.7482517482516613E-3</v>
      </c>
      <c r="JV44" s="51">
        <f>JV43/JO43-1</f>
        <v>-2.1739130434782594E-2</v>
      </c>
      <c r="JW44" s="51">
        <f>JW43/JP43-1</f>
        <v>-0.10655737704918034</v>
      </c>
      <c r="JX44" s="51">
        <f>JX43/JQ43-1</f>
        <v>2.7881040892192566E-3</v>
      </c>
      <c r="JZ44" s="520" t="s">
        <v>3</v>
      </c>
      <c r="KA44" s="51">
        <f>KA43/JT43-1</f>
        <v>-4.7932330827067715E-2</v>
      </c>
      <c r="KB44" s="51">
        <f>KB43/JU43-1</f>
        <v>-0.43106457242582896</v>
      </c>
      <c r="KC44" s="51">
        <f>KC43/JV43-1</f>
        <v>-0.13955555555555554</v>
      </c>
      <c r="KD44" s="51">
        <f>KD43/JW43-1</f>
        <v>1.3251783893985625E-2</v>
      </c>
      <c r="KE44" s="51">
        <f>KE43/JX43-1</f>
        <v>-0.15963855421686746</v>
      </c>
      <c r="KG44" s="520" t="s">
        <v>3</v>
      </c>
      <c r="KH44" s="51">
        <f>KH43/KA43-1</f>
        <v>-7.5024679170779818E-2</v>
      </c>
      <c r="KI44" s="51">
        <f>KI43/KB43-1</f>
        <v>0.81134969325153383</v>
      </c>
      <c r="KJ44" s="51">
        <f>KJ43/KC43-1</f>
        <v>0.32128099173553726</v>
      </c>
      <c r="KK44" s="51">
        <f>KK43/KD43-1</f>
        <v>0.21227364185110664</v>
      </c>
      <c r="KL44" s="51">
        <f>KL43/KE43-1</f>
        <v>0.26881720430107525</v>
      </c>
      <c r="KN44" s="520" t="s">
        <v>3</v>
      </c>
      <c r="KO44" s="51">
        <f>KO43/KH43-1</f>
        <v>0.20490928495197447</v>
      </c>
      <c r="KP44" s="51">
        <f>KP43/KI43-1</f>
        <v>0.21591871295512277</v>
      </c>
      <c r="KQ44" s="51">
        <f>KQ43/KJ43-1</f>
        <v>0.11258795934323684</v>
      </c>
      <c r="KR44" s="51">
        <f>KR43/KK43-1</f>
        <v>8.2157676348547648E-2</v>
      </c>
      <c r="KS44" s="51">
        <f>KS43/KL43-1</f>
        <v>0.1499348109517602</v>
      </c>
      <c r="KU44" s="520" t="s">
        <v>3</v>
      </c>
      <c r="KV44" s="51">
        <f>KV43/KO43-1</f>
        <v>0.13994685562444631</v>
      </c>
      <c r="KW44" s="51">
        <f>KW43/KP43-1</f>
        <v>-9.7493036211699136E-2</v>
      </c>
      <c r="KX44" s="49">
        <f>KX43/KQ43-1</f>
        <v>-0.2255797610681658</v>
      </c>
      <c r="KY44" s="51">
        <f>KY43/KR43-1</f>
        <v>-0.12269938650306744</v>
      </c>
      <c r="KZ44" s="51">
        <f>KZ43/KS43-1</f>
        <v>-8.7490551776266079E-2</v>
      </c>
      <c r="LB44" s="520" t="s">
        <v>3</v>
      </c>
      <c r="LC44" s="51">
        <f>LC43/KV43-1</f>
        <v>-9.2463092463092478E-2</v>
      </c>
      <c r="LD44" s="49">
        <f>LD43/KW43-1</f>
        <v>-2.2376543209876587E-2</v>
      </c>
      <c r="LE44" s="49">
        <f>LE43/KX43-1</f>
        <v>7.4410163339382995E-2</v>
      </c>
      <c r="LF44" s="49">
        <f>LF43/KY43-1</f>
        <v>-8.7412587412587395E-2</v>
      </c>
      <c r="LG44" s="49">
        <f>LG43/KZ43-1</f>
        <v>-3.4375647131911324E-2</v>
      </c>
      <c r="LH44" s="566"/>
      <c r="LI44" s="520" t="s">
        <v>3</v>
      </c>
      <c r="LJ44" s="49">
        <f>LJ43/LC43-1</f>
        <v>-0.2654109589041096</v>
      </c>
      <c r="LK44" s="49">
        <f>LK43/LD43-1</f>
        <v>-0.13733228097868977</v>
      </c>
      <c r="LL44" s="49">
        <f>LL43/LE43-1</f>
        <v>-7.3479729729729715E-2</v>
      </c>
      <c r="LM44" s="49">
        <f>LM43/LF43-1</f>
        <v>-6.8965517241379337E-2</v>
      </c>
      <c r="LN44" s="49">
        <f>LN43/LG43-1</f>
        <v>-0.1378940596182715</v>
      </c>
      <c r="LO44" s="566"/>
      <c r="LP44" s="520" t="s">
        <v>3</v>
      </c>
      <c r="LQ44" s="49">
        <f>LQ43/LJ43-1</f>
        <v>0.14587925461362095</v>
      </c>
      <c r="LR44" s="49">
        <f>LR43/LK43-1</f>
        <v>7.9945416395812208E-2</v>
      </c>
      <c r="LS44" s="49">
        <f>LS43/LL43-1</f>
        <v>0.11297262039301192</v>
      </c>
      <c r="LT44" s="49">
        <f>LT43/LM43-1</f>
        <v>0.18278883432788939</v>
      </c>
      <c r="LU44" s="49">
        <f>LU43/LN43-1</f>
        <v>0.12789712739227599</v>
      </c>
      <c r="LV44" s="566"/>
      <c r="LW44" s="520" t="s">
        <v>3</v>
      </c>
      <c r="LX44" s="49">
        <f>LX43/LQ43-1</f>
        <v>0.13387227096436072</v>
      </c>
      <c r="LY44" s="49">
        <f>LY43/LR43-1</f>
        <v>0.11713924957349242</v>
      </c>
      <c r="LZ44" s="49">
        <f>LZ43/LS43-1</f>
        <v>0.11926155251984594</v>
      </c>
      <c r="MA44" s="49">
        <f>MA43/LT43-1</f>
        <v>0.12555357157625635</v>
      </c>
      <c r="MB44" s="49">
        <f>MB43/LU43-1</f>
        <v>0.12347256864300515</v>
      </c>
      <c r="MC44" s="566"/>
      <c r="MD44" s="520" t="s">
        <v>3</v>
      </c>
      <c r="ME44" s="49">
        <f>ME43/LX43-1</f>
        <v>9.5078118709534198E-2</v>
      </c>
      <c r="MF44" s="49">
        <f>MF43/LY43-1</f>
        <v>7.6919285270382387E-2</v>
      </c>
      <c r="MG44" s="49">
        <f>MG43/LZ43-1</f>
        <v>6.8354590233828727E-2</v>
      </c>
      <c r="MH44" s="49">
        <f>MH43/MA43-1</f>
        <v>8.3020374388472762E-2</v>
      </c>
      <c r="MI44" s="49">
        <f>MI43/MB43-1</f>
        <v>8.0145451437320991E-2</v>
      </c>
      <c r="MJ44" s="566"/>
    </row>
    <row r="45" spans="1:349" x14ac:dyDescent="0.4">
      <c r="A45" s="48"/>
      <c r="BR45" s="53"/>
      <c r="BS45" s="53"/>
      <c r="BT45" s="53"/>
      <c r="BU45" s="53"/>
      <c r="BV45" s="53"/>
      <c r="BY45" s="53"/>
      <c r="BZ45" s="53"/>
      <c r="CA45" s="53"/>
      <c r="CB45" s="53"/>
      <c r="CC45" s="53"/>
      <c r="CF45" s="53"/>
      <c r="CG45" s="53"/>
      <c r="CH45" s="53"/>
      <c r="CI45" s="53"/>
      <c r="CJ45" s="53"/>
      <c r="CM45" s="53"/>
      <c r="CN45" s="53"/>
      <c r="CO45" s="53"/>
      <c r="CP45" s="53"/>
      <c r="CQ45" s="53"/>
      <c r="CT45" s="53"/>
      <c r="CU45" s="53"/>
      <c r="CV45" s="53"/>
      <c r="CW45" s="53"/>
      <c r="CX45" s="53"/>
      <c r="DA45" s="53"/>
      <c r="DB45" s="53"/>
      <c r="DC45" s="53"/>
      <c r="DD45" s="53"/>
      <c r="DE45" s="53"/>
      <c r="DH45" s="53"/>
      <c r="DI45" s="53"/>
      <c r="DJ45" s="53"/>
      <c r="DK45" s="53"/>
      <c r="DL45" s="53"/>
      <c r="DO45" s="53"/>
      <c r="DP45" s="53"/>
      <c r="DQ45" s="53"/>
      <c r="DR45" s="53"/>
      <c r="DS45" s="53"/>
      <c r="DV45" s="53"/>
      <c r="DW45" s="53"/>
      <c r="DX45" s="53"/>
      <c r="DY45" s="53"/>
      <c r="DZ45" s="53"/>
      <c r="EC45" s="53"/>
      <c r="ED45" s="53"/>
      <c r="EE45" s="53"/>
      <c r="EF45" s="53"/>
      <c r="EG45" s="53"/>
      <c r="EJ45" s="53"/>
      <c r="EK45" s="53"/>
      <c r="EL45" s="53"/>
      <c r="EM45" s="53"/>
      <c r="EN45" s="53"/>
      <c r="EQ45" s="53"/>
      <c r="ER45" s="53"/>
      <c r="ES45" s="53"/>
      <c r="ET45" s="53"/>
      <c r="EU45" s="53"/>
      <c r="EX45" s="53"/>
      <c r="EY45" s="53"/>
      <c r="EZ45" s="53"/>
      <c r="FA45" s="53"/>
      <c r="FB45" s="53"/>
      <c r="FE45" s="53"/>
      <c r="FF45" s="53"/>
      <c r="FG45" s="53"/>
      <c r="FH45" s="53"/>
      <c r="FI45" s="53"/>
      <c r="FL45" s="53"/>
      <c r="FM45" s="53"/>
      <c r="FN45" s="53"/>
      <c r="FO45" s="53"/>
      <c r="FP45" s="53"/>
      <c r="FS45" s="53"/>
      <c r="FT45" s="53"/>
      <c r="FU45" s="53"/>
      <c r="FV45" s="53"/>
      <c r="FW45" s="53"/>
      <c r="FZ45" s="53"/>
      <c r="GA45" s="53"/>
      <c r="GB45" s="53"/>
      <c r="GC45" s="53"/>
      <c r="GD45" s="53"/>
      <c r="GG45" s="53"/>
      <c r="GH45" s="53"/>
      <c r="GI45" s="53"/>
      <c r="GJ45" s="53"/>
      <c r="GK45" s="53"/>
      <c r="GN45" s="53"/>
      <c r="GO45" s="53"/>
      <c r="GP45" s="53"/>
      <c r="GQ45" s="53"/>
      <c r="GR45" s="53"/>
      <c r="GU45" s="53"/>
      <c r="GV45" s="53"/>
      <c r="GW45" s="53"/>
      <c r="GX45" s="53"/>
      <c r="GY45" s="53"/>
      <c r="HB45" s="53"/>
      <c r="HC45" s="53"/>
      <c r="HD45" s="53"/>
      <c r="HE45" s="53"/>
      <c r="HF45" s="53"/>
      <c r="HI45" s="53"/>
      <c r="HJ45" s="53"/>
      <c r="HK45" s="53"/>
      <c r="HL45" s="53"/>
      <c r="HM45" s="53"/>
      <c r="HP45" s="53"/>
      <c r="HQ45" s="53"/>
      <c r="HR45" s="53"/>
      <c r="HS45" s="53"/>
      <c r="HT45" s="53"/>
      <c r="HW45" s="53"/>
      <c r="HX45" s="53"/>
      <c r="HY45" s="53"/>
      <c r="HZ45" s="53"/>
      <c r="IA45" s="53"/>
      <c r="ID45" s="53"/>
      <c r="IE45" s="53"/>
      <c r="IF45" s="53"/>
      <c r="IG45" s="53"/>
      <c r="IH45" s="53"/>
      <c r="IK45" s="53"/>
      <c r="IL45" s="53"/>
      <c r="IM45" s="53"/>
      <c r="IN45" s="53"/>
      <c r="IO45" s="53"/>
      <c r="IR45" s="53"/>
      <c r="IS45" s="53"/>
      <c r="IT45" s="53"/>
      <c r="IU45" s="53"/>
      <c r="IV45" s="53"/>
      <c r="IY45" s="53"/>
      <c r="IZ45" s="53"/>
      <c r="JA45" s="53"/>
      <c r="JB45" s="53"/>
      <c r="JC45" s="53"/>
      <c r="JF45" s="53"/>
      <c r="JG45" s="53"/>
      <c r="JH45" s="53"/>
      <c r="JI45" s="53"/>
      <c r="JJ45" s="53"/>
      <c r="JM45" s="53"/>
      <c r="JN45" s="53"/>
      <c r="JO45" s="53"/>
      <c r="JP45" s="53"/>
      <c r="JQ45" s="53"/>
      <c r="JT45" s="53"/>
      <c r="JU45" s="53"/>
      <c r="JV45" s="53"/>
      <c r="JW45" s="53"/>
      <c r="JX45" s="53"/>
      <c r="KA45" s="53"/>
      <c r="KB45" s="53"/>
      <c r="KC45" s="53"/>
      <c r="KD45" s="53"/>
      <c r="KE45" s="53"/>
      <c r="KH45" s="53"/>
      <c r="KI45" s="53"/>
      <c r="KJ45" s="53"/>
      <c r="KK45" s="53"/>
      <c r="KL45" s="53"/>
      <c r="KO45" s="53"/>
      <c r="KP45" s="53"/>
      <c r="KQ45" s="53"/>
      <c r="KR45" s="53"/>
      <c r="KS45" s="53"/>
      <c r="KV45" s="53"/>
      <c r="KW45" s="53"/>
      <c r="KZ45" s="53"/>
      <c r="LC45" s="53"/>
    </row>
    <row r="46" spans="1:349" x14ac:dyDescent="0.4">
      <c r="A46" s="48"/>
      <c r="B46" s="57" t="s">
        <v>29</v>
      </c>
      <c r="C46" s="58">
        <v>-27</v>
      </c>
      <c r="D46" s="58">
        <v>-116</v>
      </c>
      <c r="E46" s="58">
        <v>-185</v>
      </c>
      <c r="F46" s="58">
        <v>-239</v>
      </c>
      <c r="G46" s="58">
        <f>-(136-(171-133))</f>
        <v>-98</v>
      </c>
      <c r="H46" s="58">
        <v>-121</v>
      </c>
      <c r="I46" s="58">
        <v>-256</v>
      </c>
      <c r="J46" s="58">
        <f>-(136+82)</f>
        <v>-218</v>
      </c>
      <c r="K46" s="58">
        <v>-217</v>
      </c>
      <c r="L46" s="58">
        <v>-215</v>
      </c>
      <c r="M46" s="58">
        <f>-(-22+246)</f>
        <v>-224</v>
      </c>
      <c r="N46" s="58">
        <f>BV46</f>
        <v>-265</v>
      </c>
      <c r="O46" s="58">
        <f>CC46</f>
        <v>-192</v>
      </c>
      <c r="P46" s="58">
        <f>CJ46</f>
        <v>-228</v>
      </c>
      <c r="Q46" s="58">
        <f>CQ46</f>
        <v>-222</v>
      </c>
      <c r="R46" s="58">
        <f>CX46</f>
        <v>-255.77100000000002</v>
      </c>
      <c r="S46" s="58">
        <f>DE46</f>
        <v>-329</v>
      </c>
      <c r="T46" s="58">
        <f>DL46</f>
        <v>-432.58960000000002</v>
      </c>
      <c r="U46" s="58">
        <f>DS46</f>
        <v>-454.17500000000001</v>
      </c>
      <c r="V46" s="58">
        <f>DZ46</f>
        <v>-395.09</v>
      </c>
      <c r="W46" s="58">
        <f>EG46</f>
        <v>-225.5</v>
      </c>
      <c r="X46" s="58">
        <f>EN46</f>
        <v>-208.6</v>
      </c>
      <c r="Y46" s="58">
        <f>EU46</f>
        <v>-94.365700000000004</v>
      </c>
      <c r="Z46" s="58">
        <f>FB46</f>
        <v>-183.10599999999999</v>
      </c>
      <c r="AA46" s="58">
        <f>FI46</f>
        <v>-251.90523000000002</v>
      </c>
      <c r="AB46" s="58">
        <f>FP46</f>
        <v>-199.98000000000002</v>
      </c>
      <c r="AC46" s="58">
        <f>FW46</f>
        <v>-251.29949999999999</v>
      </c>
      <c r="AD46" s="58">
        <f>GD46</f>
        <v>-449.50997799999999</v>
      </c>
      <c r="AE46" s="58">
        <f>GK46</f>
        <v>-604.85</v>
      </c>
      <c r="AF46" s="58">
        <f>GR46</f>
        <v>-694.12</v>
      </c>
      <c r="AG46" s="58">
        <f>GY46</f>
        <v>-858.2</v>
      </c>
      <c r="AH46" s="58">
        <f>HF46</f>
        <v>-635</v>
      </c>
      <c r="AI46" s="58">
        <f>HM46</f>
        <v>-988</v>
      </c>
      <c r="AJ46" s="58">
        <f>HT46</f>
        <v>-1095</v>
      </c>
      <c r="AK46" s="58">
        <f>IA46</f>
        <v>-1092.3399999999999</v>
      </c>
      <c r="AL46" s="58">
        <f>IH46</f>
        <v>-1099</v>
      </c>
      <c r="AM46" s="58">
        <f>IO46</f>
        <v>-1117</v>
      </c>
      <c r="AN46" s="58">
        <f>IV46</f>
        <v>-1170</v>
      </c>
      <c r="AO46" s="58">
        <f>JC46</f>
        <v>-1071.8499999999999</v>
      </c>
      <c r="AP46" s="58">
        <f>JJ46</f>
        <v>-1228</v>
      </c>
      <c r="AQ46" s="58">
        <f>JQ46</f>
        <v>-995</v>
      </c>
      <c r="AR46" s="58">
        <f>JX46</f>
        <v>-985</v>
      </c>
      <c r="AS46" s="58">
        <f>KE46</f>
        <v>-862</v>
      </c>
      <c r="AT46" s="58">
        <f>KL46</f>
        <v>-1088.56783</v>
      </c>
      <c r="AU46" s="58">
        <f>KS46</f>
        <v>-1218.2439024390244</v>
      </c>
      <c r="AV46" s="58">
        <f>KZ46</f>
        <v>-1161</v>
      </c>
      <c r="AW46" s="58">
        <f>LG46</f>
        <v>-1111</v>
      </c>
      <c r="AX46" s="58">
        <f>LN46</f>
        <v>-939.35434782608695</v>
      </c>
      <c r="AY46" s="58">
        <f>LU46</f>
        <v>-1065.2017335687344</v>
      </c>
      <c r="AZ46" s="58">
        <f>MB46</f>
        <v>-1208.487372310733</v>
      </c>
      <c r="BA46" s="58">
        <f>MI46</f>
        <v>-1337.7990506332694</v>
      </c>
      <c r="BB46" s="58"/>
      <c r="BC46" s="58"/>
      <c r="BD46" s="58"/>
      <c r="BE46" s="58"/>
      <c r="BF46" s="58"/>
      <c r="BG46" s="58"/>
      <c r="BH46" s="58"/>
      <c r="BI46" s="58"/>
      <c r="BJ46" s="58"/>
      <c r="BK46" s="58"/>
      <c r="BL46" s="58"/>
      <c r="BM46" s="58"/>
      <c r="BN46" s="58"/>
      <c r="BO46" s="58"/>
      <c r="BQ46" s="57" t="s">
        <v>29</v>
      </c>
      <c r="BR46" s="58">
        <v>-48</v>
      </c>
      <c r="BS46" s="58">
        <v>-91</v>
      </c>
      <c r="BT46" s="58">
        <v>-64</v>
      </c>
      <c r="BU46" s="58">
        <v>-62</v>
      </c>
      <c r="BV46" s="58">
        <f>BR46+BS46+BT46+BU46</f>
        <v>-265</v>
      </c>
      <c r="BX46" s="57" t="s">
        <v>29</v>
      </c>
      <c r="BY46" s="58">
        <f>-(17+20)</f>
        <v>-37</v>
      </c>
      <c r="BZ46" s="58">
        <v>-50</v>
      </c>
      <c r="CA46" s="58">
        <v>-50</v>
      </c>
      <c r="CB46" s="58">
        <v>-55</v>
      </c>
      <c r="CC46" s="58">
        <f>BY46+BZ46+CA46+CB46</f>
        <v>-192</v>
      </c>
      <c r="CE46" s="57" t="s">
        <v>29</v>
      </c>
      <c r="CF46" s="58">
        <v>-29</v>
      </c>
      <c r="CG46" s="58">
        <v>-69</v>
      </c>
      <c r="CH46" s="58">
        <v>-52</v>
      </c>
      <c r="CI46" s="58">
        <f>-(-187+265)</f>
        <v>-78</v>
      </c>
      <c r="CJ46" s="58">
        <f>CF46+CG46+CH46+CI46</f>
        <v>-228</v>
      </c>
      <c r="CL46" s="57" t="s">
        <v>29</v>
      </c>
      <c r="CM46" s="58">
        <v>-31</v>
      </c>
      <c r="CN46" s="58">
        <f>-(-186+249)</f>
        <v>-63</v>
      </c>
      <c r="CO46" s="58">
        <v>-64</v>
      </c>
      <c r="CP46" s="58">
        <v>-64</v>
      </c>
      <c r="CQ46" s="58">
        <f>CM46+CN46+CO46+CP46</f>
        <v>-222</v>
      </c>
      <c r="CS46" s="57" t="s">
        <v>29</v>
      </c>
      <c r="CT46" s="58">
        <f>-(32-3)</f>
        <v>-29</v>
      </c>
      <c r="CU46" s="58">
        <f>-0.3388*CU43</f>
        <v>-78.771000000000001</v>
      </c>
      <c r="CV46" s="58">
        <f>-(116-50)</f>
        <v>-66</v>
      </c>
      <c r="CW46" s="58">
        <v>-82</v>
      </c>
      <c r="CX46" s="58">
        <f>CT46+CU46+CV46+CW46</f>
        <v>-255.77100000000002</v>
      </c>
      <c r="CZ46" s="57" t="s">
        <v>29</v>
      </c>
      <c r="DA46" s="58">
        <v>-44</v>
      </c>
      <c r="DB46" s="58">
        <v>-89</v>
      </c>
      <c r="DC46" s="58">
        <v>-98</v>
      </c>
      <c r="DD46" s="58">
        <f>-(123-25)</f>
        <v>-98</v>
      </c>
      <c r="DE46" s="58">
        <f>DA46+DB46+DC46+DD46</f>
        <v>-329</v>
      </c>
      <c r="DG46" s="57" t="s">
        <v>29</v>
      </c>
      <c r="DH46" s="58">
        <v>-76</v>
      </c>
      <c r="DI46" s="58">
        <v>-106</v>
      </c>
      <c r="DJ46" s="58">
        <v>-121.58959999999999</v>
      </c>
      <c r="DK46" s="58">
        <f>-(155-26)</f>
        <v>-129</v>
      </c>
      <c r="DL46" s="58">
        <f>DH46+DI46+DJ46+DK46</f>
        <v>-432.58960000000002</v>
      </c>
      <c r="DN46" s="57" t="s">
        <v>29</v>
      </c>
      <c r="DO46" s="58">
        <v>-78</v>
      </c>
      <c r="DP46" s="58">
        <v>-119.175</v>
      </c>
      <c r="DQ46" s="58">
        <v>-121</v>
      </c>
      <c r="DR46" s="58">
        <v>-136</v>
      </c>
      <c r="DS46" s="58">
        <f>DO46+DP46+DQ46+DR46</f>
        <v>-454.17500000000001</v>
      </c>
      <c r="DU46" s="57" t="s">
        <v>29</v>
      </c>
      <c r="DV46" s="58">
        <v>-82</v>
      </c>
      <c r="DW46" s="58">
        <v>-113</v>
      </c>
      <c r="DX46" s="58">
        <f>-(97-3.48-3.13)</f>
        <v>-90.39</v>
      </c>
      <c r="DY46" s="58">
        <f>-(95+14.7)</f>
        <v>-109.7</v>
      </c>
      <c r="DZ46" s="58">
        <f>DV46+DW46+DX46+DY46</f>
        <v>-395.09</v>
      </c>
      <c r="EB46" s="57" t="s">
        <v>29</v>
      </c>
      <c r="EC46" s="58">
        <f>-(35+6)</f>
        <v>-41</v>
      </c>
      <c r="ED46" s="58">
        <f>-(64+16)</f>
        <v>-80</v>
      </c>
      <c r="EE46" s="58">
        <f>-(101-64-11+17.5)</f>
        <v>-43.5</v>
      </c>
      <c r="EF46" s="58">
        <f>-(36+22+3)</f>
        <v>-61</v>
      </c>
      <c r="EG46" s="58">
        <f>EC46+ED46+EE46+EF46</f>
        <v>-225.5</v>
      </c>
      <c r="EI46" s="57" t="s">
        <v>29</v>
      </c>
      <c r="EJ46" s="58">
        <f>-(34-5.4)</f>
        <v>-28.6</v>
      </c>
      <c r="EK46" s="58">
        <f>-(56-9)</f>
        <v>-47</v>
      </c>
      <c r="EL46" s="58">
        <f>-(15+62)</f>
        <v>-77</v>
      </c>
      <c r="EM46" s="58">
        <f>-(-16+72)</f>
        <v>-56</v>
      </c>
      <c r="EN46" s="58">
        <f>EJ46+EK46+EL46+EM46</f>
        <v>-208.6</v>
      </c>
      <c r="EP46" s="57" t="s">
        <v>29</v>
      </c>
      <c r="EQ46" s="58">
        <f>-(12-(9*(0.2927)))</f>
        <v>-9.3657000000000004</v>
      </c>
      <c r="ER46" s="58">
        <f>-(26+4)</f>
        <v>-30</v>
      </c>
      <c r="ES46" s="58">
        <v>-28</v>
      </c>
      <c r="ET46" s="58">
        <v>-27</v>
      </c>
      <c r="EU46" s="58">
        <f>EQ46+ER46+ES46+ET46</f>
        <v>-94.365700000000004</v>
      </c>
      <c r="EW46" s="57" t="s">
        <v>29</v>
      </c>
      <c r="EX46" s="58">
        <f>-(7+(13.8*0.37))</f>
        <v>-12.106</v>
      </c>
      <c r="EY46" s="58">
        <v>-59</v>
      </c>
      <c r="EZ46" s="58">
        <v>-57</v>
      </c>
      <c r="FA46" s="58">
        <f>-(32+23)</f>
        <v>-55</v>
      </c>
      <c r="FB46" s="58">
        <f>EX46+EY46+EZ46+FA46</f>
        <v>-183.10599999999999</v>
      </c>
      <c r="FD46" s="57" t="s">
        <v>29</v>
      </c>
      <c r="FE46" s="58">
        <v>-39</v>
      </c>
      <c r="FF46" s="58">
        <f>-(74-(11*0.35407))</f>
        <v>-70.105230000000006</v>
      </c>
      <c r="FG46" s="58">
        <v>-68.8</v>
      </c>
      <c r="FH46" s="58">
        <v>-74</v>
      </c>
      <c r="FI46" s="58">
        <f>FE46+FF46+FG46+FH46</f>
        <v>-251.90523000000002</v>
      </c>
      <c r="FK46" s="57" t="s">
        <v>29</v>
      </c>
      <c r="FL46" s="58">
        <v>-22</v>
      </c>
      <c r="FM46" s="58">
        <v>-68</v>
      </c>
      <c r="FN46" s="58">
        <f>-(-80+87+41+(10*0.398))</f>
        <v>-51.980000000000004</v>
      </c>
      <c r="FO46" s="58">
        <f>-(53+5)</f>
        <v>-58</v>
      </c>
      <c r="FP46" s="58">
        <f>FL46+FM46+FN46+FO46</f>
        <v>-199.98000000000002</v>
      </c>
      <c r="FR46" s="57" t="s">
        <v>29</v>
      </c>
      <c r="FS46" s="58">
        <f>-(13+20)</f>
        <v>-33</v>
      </c>
      <c r="FT46" s="58">
        <f>-(60+(15*0.3533))</f>
        <v>-65.299499999999995</v>
      </c>
      <c r="FU46" s="58">
        <v>-69</v>
      </c>
      <c r="FV46" s="58">
        <v>-84</v>
      </c>
      <c r="FW46" s="58">
        <f>FS46+FT46+FU46+FV46</f>
        <v>-251.29949999999999</v>
      </c>
      <c r="FY46" s="57" t="s">
        <v>29</v>
      </c>
      <c r="FZ46" s="58">
        <v>-84</v>
      </c>
      <c r="GA46" s="58">
        <f>-(-6+71+69-(17*0.381766))</f>
        <v>-127.509978</v>
      </c>
      <c r="GB46" s="58">
        <v>-100</v>
      </c>
      <c r="GC46" s="58">
        <v>-138</v>
      </c>
      <c r="GD46" s="58">
        <f>SUM(FZ46:GC46)</f>
        <v>-449.50997799999999</v>
      </c>
      <c r="GF46" s="57" t="s">
        <v>29</v>
      </c>
      <c r="GG46" s="58">
        <v>-150</v>
      </c>
      <c r="GH46" s="58">
        <f>-(169-(126-78)+41)</f>
        <v>-162</v>
      </c>
      <c r="GI46" s="58">
        <f>-(89-15*0.38+69)</f>
        <v>-152.30000000000001</v>
      </c>
      <c r="GJ46" s="58">
        <f>-(123+41-27*0.35-(26/(1-0.35)-26))</f>
        <v>-140.55000000000001</v>
      </c>
      <c r="GK46" s="58">
        <f>SUM(GG46:GJ46)</f>
        <v>-604.85</v>
      </c>
      <c r="GM46" s="57" t="s">
        <v>29</v>
      </c>
      <c r="GN46" s="58">
        <f>-(138-18*0.5)</f>
        <v>-129</v>
      </c>
      <c r="GO46" s="58">
        <v>-190</v>
      </c>
      <c r="GP46" s="58">
        <v>-173</v>
      </c>
      <c r="GQ46" s="58">
        <f>-(205-8*0.36)</f>
        <v>-202.12</v>
      </c>
      <c r="GR46" s="58">
        <f>SUM(GN46:GQ46)</f>
        <v>-694.12</v>
      </c>
      <c r="GT46" s="57" t="s">
        <v>29</v>
      </c>
      <c r="GU46" s="58">
        <f>-(211-(2+30)*0.375)</f>
        <v>-199</v>
      </c>
      <c r="GV46" s="58">
        <f>-(205+17.6)</f>
        <v>-222.6</v>
      </c>
      <c r="GW46" s="58">
        <v>-228</v>
      </c>
      <c r="GX46" s="58">
        <f>-(137+179*0.4)</f>
        <v>-208.60000000000002</v>
      </c>
      <c r="GY46" s="58">
        <f>GU46+GV46+GW46+GX46</f>
        <v>-858.2</v>
      </c>
      <c r="HA46" s="57" t="s">
        <v>29</v>
      </c>
      <c r="HB46" s="58">
        <v>-126</v>
      </c>
      <c r="HC46" s="58">
        <v>-168</v>
      </c>
      <c r="HD46" s="58">
        <v>-171</v>
      </c>
      <c r="HE46" s="58">
        <f>-(155+15)</f>
        <v>-170</v>
      </c>
      <c r="HF46" s="58">
        <f>HB46+HC46+HD46+HE46</f>
        <v>-635</v>
      </c>
      <c r="HH46" s="57" t="s">
        <v>29</v>
      </c>
      <c r="HI46" s="58">
        <f>-197</f>
        <v>-197</v>
      </c>
      <c r="HJ46" s="58">
        <f>-(228+11+15)</f>
        <v>-254</v>
      </c>
      <c r="HK46" s="58">
        <f>-(288-22)</f>
        <v>-266</v>
      </c>
      <c r="HL46" s="58">
        <v>-271</v>
      </c>
      <c r="HM46" s="58">
        <f>HI46+HJ46+HK46+HL46</f>
        <v>-988</v>
      </c>
      <c r="HO46" s="57" t="s">
        <v>29</v>
      </c>
      <c r="HP46" s="58">
        <v>-243</v>
      </c>
      <c r="HQ46" s="58">
        <f>-(286+14)</f>
        <v>-300</v>
      </c>
      <c r="HR46" s="58">
        <f>-282</f>
        <v>-282</v>
      </c>
      <c r="HS46" s="58">
        <f>-(255+15)</f>
        <v>-270</v>
      </c>
      <c r="HT46" s="58">
        <f>HP46+HQ46+HR46+HS46</f>
        <v>-1095</v>
      </c>
      <c r="HV46" s="57" t="s">
        <v>29</v>
      </c>
      <c r="HW46" s="58">
        <f>-267</f>
        <v>-267</v>
      </c>
      <c r="HX46" s="58">
        <f>-(297+9)</f>
        <v>-306</v>
      </c>
      <c r="HY46" s="58">
        <f>-266</f>
        <v>-266</v>
      </c>
      <c r="HZ46" s="58">
        <f>-(275-57*0.38)</f>
        <v>-253.34</v>
      </c>
      <c r="IA46" s="58">
        <f>HW46+HX46+HY46+HZ46</f>
        <v>-1092.3399999999999</v>
      </c>
      <c r="IC46" s="57" t="s">
        <v>29</v>
      </c>
      <c r="ID46" s="58">
        <f>-266</f>
        <v>-266</v>
      </c>
      <c r="IE46" s="58">
        <f>-(297+17)</f>
        <v>-314</v>
      </c>
      <c r="IF46" s="58">
        <f>-(260+11)</f>
        <v>-271</v>
      </c>
      <c r="IG46" s="58">
        <f>-248</f>
        <v>-248</v>
      </c>
      <c r="IH46" s="58">
        <f>SUM(ID46:IG46)</f>
        <v>-1099</v>
      </c>
      <c r="IJ46" s="57" t="s">
        <v>29</v>
      </c>
      <c r="IK46" s="58">
        <v>-208</v>
      </c>
      <c r="IL46" s="58">
        <v>-321</v>
      </c>
      <c r="IM46" s="58">
        <v>-304</v>
      </c>
      <c r="IN46" s="58">
        <v>-284</v>
      </c>
      <c r="IO46" s="58">
        <f>SUM(IK46:IN46)</f>
        <v>-1117</v>
      </c>
      <c r="IQ46" s="57" t="s">
        <v>29</v>
      </c>
      <c r="IR46" s="58">
        <v>-269</v>
      </c>
      <c r="IS46" s="58">
        <v>-334</v>
      </c>
      <c r="IT46" s="58">
        <v>-292</v>
      </c>
      <c r="IU46" s="58">
        <v>-275</v>
      </c>
      <c r="IV46" s="58">
        <f>SUM(IR46:IU46)</f>
        <v>-1170</v>
      </c>
      <c r="IX46" s="57" t="s">
        <v>29</v>
      </c>
      <c r="IY46" s="58">
        <v>-212</v>
      </c>
      <c r="IZ46" s="58">
        <v>-262</v>
      </c>
      <c r="JA46" s="58">
        <v>-260</v>
      </c>
      <c r="JB46" s="58">
        <f>-293-115*0.39</f>
        <v>-337.85</v>
      </c>
      <c r="JC46" s="58">
        <f>SUM(IY46:JB46)</f>
        <v>-1071.8499999999999</v>
      </c>
      <c r="JE46" s="57" t="s">
        <v>29</v>
      </c>
      <c r="JF46" s="58">
        <f>-220-(110+63-108)</f>
        <v>-285</v>
      </c>
      <c r="JG46" s="58">
        <f>-317-(115+7-81)</f>
        <v>-358</v>
      </c>
      <c r="JH46" s="58">
        <f>-291+(-1+4)</f>
        <v>-288</v>
      </c>
      <c r="JI46" s="58">
        <f>3157-(3577-142)-(14+15-10)</f>
        <v>-297</v>
      </c>
      <c r="JJ46" s="58">
        <f>SUM(JF46:JI46)</f>
        <v>-1228</v>
      </c>
      <c r="JL46" s="57" t="s">
        <v>29</v>
      </c>
      <c r="JM46" s="58">
        <v>-217</v>
      </c>
      <c r="JN46" s="58">
        <v>-267</v>
      </c>
      <c r="JO46" s="58">
        <v>-256</v>
      </c>
      <c r="JP46" s="58">
        <v>-255</v>
      </c>
      <c r="JQ46" s="58">
        <f>SUM(JM46:JP46)</f>
        <v>-995</v>
      </c>
      <c r="JS46" s="57" t="s">
        <v>29</v>
      </c>
      <c r="JT46" s="58">
        <v>-230</v>
      </c>
      <c r="JU46" s="58">
        <v>-276</v>
      </c>
      <c r="JV46" s="58">
        <v>-269</v>
      </c>
      <c r="JW46" s="58">
        <v>-210</v>
      </c>
      <c r="JX46" s="58">
        <f>SUM(JT46:JW46)</f>
        <v>-985</v>
      </c>
      <c r="JZ46" s="57" t="s">
        <v>29</v>
      </c>
      <c r="KA46" s="58">
        <v>-243</v>
      </c>
      <c r="KB46" s="58">
        <v>-153</v>
      </c>
      <c r="KC46" s="58">
        <v>-232</v>
      </c>
      <c r="KD46" s="58">
        <v>-234</v>
      </c>
      <c r="KE46" s="58">
        <f>SUM(KA46:KD46)</f>
        <v>-862</v>
      </c>
      <c r="KG46" s="57" t="s">
        <v>29</v>
      </c>
      <c r="KH46" s="58">
        <v>-231</v>
      </c>
      <c r="KI46" s="58">
        <f>-357+349*0.23333</f>
        <v>-275.56783000000001</v>
      </c>
      <c r="KJ46" s="58">
        <v>-311</v>
      </c>
      <c r="KK46" s="58">
        <v>-271</v>
      </c>
      <c r="KL46" s="58">
        <f>SUM(KH46:KK46)</f>
        <v>-1088.56783</v>
      </c>
      <c r="KN46" s="57" t="s">
        <v>29</v>
      </c>
      <c r="KO46" s="58">
        <v>-270</v>
      </c>
      <c r="KP46" s="58">
        <f>-380+122*0.24390243902439</f>
        <v>-350.2439024390244</v>
      </c>
      <c r="KQ46" s="58">
        <v>-312</v>
      </c>
      <c r="KR46" s="58">
        <v>-286</v>
      </c>
      <c r="KS46" s="58">
        <f>SUM(KO46:KR46)</f>
        <v>-1218.2439024390244</v>
      </c>
      <c r="KU46" s="57" t="s">
        <v>29</v>
      </c>
      <c r="KV46" s="58">
        <f>-317+4</f>
        <v>-313</v>
      </c>
      <c r="KW46" s="58">
        <f>-316+4</f>
        <v>-312</v>
      </c>
      <c r="KX46" s="58">
        <f>-280+6</f>
        <v>-274</v>
      </c>
      <c r="KY46" s="58">
        <f>-263+1</f>
        <v>-262</v>
      </c>
      <c r="KZ46" s="58">
        <f>SUM(KV46:KY46)</f>
        <v>-1161</v>
      </c>
      <c r="LB46" s="57" t="s">
        <v>29</v>
      </c>
      <c r="LC46" s="58">
        <f>-292+4</f>
        <v>-288</v>
      </c>
      <c r="LD46" s="127">
        <f>-304</f>
        <v>-304</v>
      </c>
      <c r="LE46" s="127">
        <v>-290</v>
      </c>
      <c r="LF46" s="127">
        <f>-203-26</f>
        <v>-229</v>
      </c>
      <c r="LG46" s="127">
        <f>SUM(LC46:LF46)</f>
        <v>-1111</v>
      </c>
      <c r="LH46" s="558"/>
      <c r="LI46" s="57" t="s">
        <v>29</v>
      </c>
      <c r="LJ46" s="127">
        <v>-212</v>
      </c>
      <c r="LK46" s="127">
        <v>-264</v>
      </c>
      <c r="LL46" s="127">
        <f>-204-40-((22+13)*23%)</f>
        <v>-252.05</v>
      </c>
      <c r="LM46" s="127">
        <f>-200-((31+21)*(200/920))</f>
        <v>-211.30434782608697</v>
      </c>
      <c r="LN46" s="127">
        <f>SUM(LJ46:LM46)</f>
        <v>-939.35434782608695</v>
      </c>
      <c r="LO46" s="558"/>
      <c r="LP46" s="57" t="s">
        <v>29</v>
      </c>
      <c r="LQ46" s="127">
        <f>-LQ43*LQ47</f>
        <v>-235.95945611003683</v>
      </c>
      <c r="LR46" s="127">
        <f>-LR43*LR47</f>
        <v>-283.29128162894943</v>
      </c>
      <c r="LS46" s="127">
        <f>-LS43*LS47</f>
        <v>-293.02343149707218</v>
      </c>
      <c r="LT46" s="127">
        <f>-LT43*LT47</f>
        <v>-252.92756433267587</v>
      </c>
      <c r="LU46" s="127">
        <f>SUM(LQ46:LT46)</f>
        <v>-1065.2017335687344</v>
      </c>
      <c r="LV46" s="558"/>
      <c r="LW46" s="57" t="s">
        <v>29</v>
      </c>
      <c r="LX46" s="127">
        <f>-LX43*LX47</f>
        <v>-265.31831865204447</v>
      </c>
      <c r="LY46" s="127">
        <f>-LY43*LY47</f>
        <v>-313.83851135493018</v>
      </c>
      <c r="LZ46" s="127">
        <f>-LZ43*LZ47</f>
        <v>-325.23677868825484</v>
      </c>
      <c r="MA46" s="127">
        <f>-MA43*MA47</f>
        <v>-304.09376361550346</v>
      </c>
      <c r="MB46" s="127">
        <f>SUM(LX46:MA46)</f>
        <v>-1208.487372310733</v>
      </c>
      <c r="MC46" s="558"/>
      <c r="MD46" s="57" t="s">
        <v>29</v>
      </c>
      <c r="ME46" s="127">
        <f>-ME43*ME47</f>
        <v>-296.03776963361122</v>
      </c>
      <c r="MF46" s="127">
        <f>-MF43*MF47</f>
        <v>-344.36909976734455</v>
      </c>
      <c r="MG46" s="127">
        <f>-MG43*MG47</f>
        <v>-354.0379824177806</v>
      </c>
      <c r="MH46" s="127">
        <f>-MH43*MH47</f>
        <v>-343.35419881453299</v>
      </c>
      <c r="MI46" s="127">
        <f>SUM(ME46:MH46)</f>
        <v>-1337.7990506332694</v>
      </c>
      <c r="MJ46" s="558"/>
    </row>
    <row r="47" spans="1:349" s="50" customFormat="1" x14ac:dyDescent="0.4">
      <c r="A47" s="48"/>
      <c r="B47" s="65" t="s">
        <v>198</v>
      </c>
      <c r="C47" s="66"/>
      <c r="D47" s="66"/>
      <c r="E47" s="66"/>
      <c r="F47" s="66"/>
      <c r="G47" s="66"/>
      <c r="H47" s="66"/>
      <c r="I47" s="66"/>
      <c r="J47" s="66"/>
      <c r="K47" s="66"/>
      <c r="L47" s="66"/>
      <c r="M47" s="66"/>
      <c r="N47" s="66">
        <f>BV47</f>
        <v>0</v>
      </c>
      <c r="O47" s="66">
        <f>CC47</f>
        <v>0</v>
      </c>
      <c r="P47" s="66">
        <f>CJ47</f>
        <v>0</v>
      </c>
      <c r="Q47" s="66">
        <f>CQ47</f>
        <v>0</v>
      </c>
      <c r="R47" s="66">
        <f>CX47</f>
        <v>0</v>
      </c>
      <c r="S47" s="66">
        <f>DE47</f>
        <v>0</v>
      </c>
      <c r="T47" s="66">
        <f>DL47</f>
        <v>0</v>
      </c>
      <c r="U47" s="66">
        <f>DS47</f>
        <v>0</v>
      </c>
      <c r="V47" s="66">
        <f>DZ47</f>
        <v>0</v>
      </c>
      <c r="W47" s="66">
        <f>EG47</f>
        <v>0</v>
      </c>
      <c r="X47" s="66">
        <f>EN47</f>
        <v>0</v>
      </c>
      <c r="Y47" s="66">
        <f>EU47</f>
        <v>0</v>
      </c>
      <c r="Z47" s="66">
        <f>FB47</f>
        <v>0</v>
      </c>
      <c r="AA47" s="66">
        <f>FI47</f>
        <v>0</v>
      </c>
      <c r="AB47" s="66">
        <f>FP47</f>
        <v>0</v>
      </c>
      <c r="AC47" s="66">
        <f>FW47</f>
        <v>0</v>
      </c>
      <c r="AD47" s="66">
        <f>GD47</f>
        <v>0.37118908175061932</v>
      </c>
      <c r="AE47" s="66">
        <f>GK47</f>
        <v>0.33621456364647029</v>
      </c>
      <c r="AF47" s="66">
        <f>GR47</f>
        <v>0.35927536231884061</v>
      </c>
      <c r="AG47" s="66">
        <f>GY47</f>
        <v>0.37426951591801139</v>
      </c>
      <c r="AH47" s="66">
        <f>HF47</f>
        <v>0.36494252873563221</v>
      </c>
      <c r="AI47" s="66">
        <f>HM47</f>
        <v>0.38354037267080743</v>
      </c>
      <c r="AJ47" s="66">
        <f>HT47</f>
        <v>0.37915512465373963</v>
      </c>
      <c r="AK47" s="66">
        <f>IA47</f>
        <v>0.37576195390436873</v>
      </c>
      <c r="AL47" s="66">
        <f>IH47</f>
        <v>0.37203791469194314</v>
      </c>
      <c r="AM47" s="66">
        <f>IO47</f>
        <v>0.36695137976346914</v>
      </c>
      <c r="AN47" s="66">
        <f>IV47</f>
        <v>0.37284894837476101</v>
      </c>
      <c r="AO47" s="66">
        <f>JC47</f>
        <v>0.37529761904761899</v>
      </c>
      <c r="AP47" s="66">
        <f>JJ47</f>
        <v>0.36932330827067666</v>
      </c>
      <c r="AQ47" s="66">
        <f>JQ47</f>
        <v>0.23118029739776952</v>
      </c>
      <c r="AR47" s="66">
        <f>JX47</f>
        <v>0.22822057460611678</v>
      </c>
      <c r="AS47" s="66">
        <f>KE47</f>
        <v>0.23766197959746346</v>
      </c>
      <c r="AT47" s="66">
        <f>KL47</f>
        <v>0.23654233594089524</v>
      </c>
      <c r="AU47" s="66">
        <f>KS47</f>
        <v>0.23020481905499326</v>
      </c>
      <c r="AV47" s="66">
        <f>KZ47</f>
        <v>0.24042244771174157</v>
      </c>
      <c r="AW47" s="66">
        <f>LG47</f>
        <v>0.23825863178211451</v>
      </c>
      <c r="AX47" s="66">
        <f>LN47</f>
        <v>0.23367023577763357</v>
      </c>
      <c r="AY47" s="66">
        <f>LU47</f>
        <v>0.23492883276220644</v>
      </c>
      <c r="AZ47" s="66">
        <f>MB47</f>
        <v>0.23723791591946203</v>
      </c>
      <c r="BA47" s="66">
        <f>MI47</f>
        <v>0.24313676037420184</v>
      </c>
      <c r="BB47" s="66"/>
      <c r="BC47" s="66"/>
      <c r="BD47" s="66"/>
      <c r="BE47" s="66"/>
      <c r="BF47" s="66"/>
      <c r="BG47" s="66"/>
      <c r="BH47" s="66"/>
      <c r="BI47" s="66"/>
      <c r="BJ47" s="66"/>
      <c r="BK47" s="66"/>
      <c r="BL47" s="66"/>
      <c r="BM47" s="66"/>
      <c r="BN47" s="66"/>
      <c r="BO47" s="66"/>
      <c r="BQ47" s="65" t="s">
        <v>198</v>
      </c>
      <c r="BR47" s="66"/>
      <c r="BS47" s="66"/>
      <c r="BT47" s="66"/>
      <c r="BU47" s="66"/>
      <c r="BV47" s="66"/>
      <c r="BX47" s="65" t="s">
        <v>198</v>
      </c>
      <c r="BY47" s="66"/>
      <c r="BZ47" s="66"/>
      <c r="CA47" s="66"/>
      <c r="CB47" s="66"/>
      <c r="CC47" s="66"/>
      <c r="CE47" s="65" t="s">
        <v>198</v>
      </c>
      <c r="CF47" s="66"/>
      <c r="CG47" s="66"/>
      <c r="CH47" s="66"/>
      <c r="CI47" s="66"/>
      <c r="CJ47" s="66"/>
      <c r="CL47" s="65" t="s">
        <v>198</v>
      </c>
      <c r="CM47" s="66"/>
      <c r="CN47" s="66"/>
      <c r="CO47" s="66"/>
      <c r="CP47" s="66"/>
      <c r="CQ47" s="66"/>
      <c r="CS47" s="65" t="s">
        <v>198</v>
      </c>
      <c r="CT47" s="66"/>
      <c r="CU47" s="66"/>
      <c r="CV47" s="66"/>
      <c r="CW47" s="66"/>
      <c r="CX47" s="66"/>
      <c r="CZ47" s="65" t="s">
        <v>198</v>
      </c>
      <c r="DA47" s="66"/>
      <c r="DB47" s="66"/>
      <c r="DC47" s="66"/>
      <c r="DD47" s="66"/>
      <c r="DE47" s="66"/>
      <c r="DG47" s="65" t="s">
        <v>198</v>
      </c>
      <c r="DH47" s="66"/>
      <c r="DI47" s="66"/>
      <c r="DJ47" s="66"/>
      <c r="DK47" s="66"/>
      <c r="DL47" s="66"/>
      <c r="DN47" s="65" t="s">
        <v>198</v>
      </c>
      <c r="DO47" s="66"/>
      <c r="DP47" s="66"/>
      <c r="DQ47" s="66"/>
      <c r="DR47" s="66"/>
      <c r="DS47" s="66"/>
      <c r="DU47" s="65" t="s">
        <v>198</v>
      </c>
      <c r="DV47" s="66"/>
      <c r="DW47" s="66"/>
      <c r="DX47" s="66"/>
      <c r="DY47" s="66"/>
      <c r="DZ47" s="66"/>
      <c r="EB47" s="65" t="s">
        <v>198</v>
      </c>
      <c r="EC47" s="66"/>
      <c r="ED47" s="66"/>
      <c r="EE47" s="66"/>
      <c r="EF47" s="66"/>
      <c r="EG47" s="66"/>
      <c r="EI47" s="65" t="s">
        <v>198</v>
      </c>
      <c r="EJ47" s="66"/>
      <c r="EK47" s="66"/>
      <c r="EL47" s="66"/>
      <c r="EM47" s="66"/>
      <c r="EN47" s="66"/>
      <c r="EP47" s="65" t="s">
        <v>198</v>
      </c>
      <c r="EQ47" s="66"/>
      <c r="ER47" s="66"/>
      <c r="ES47" s="66"/>
      <c r="ET47" s="66"/>
      <c r="EU47" s="66"/>
      <c r="EW47" s="65" t="s">
        <v>198</v>
      </c>
      <c r="EX47" s="66"/>
      <c r="EY47" s="66"/>
      <c r="EZ47" s="66"/>
      <c r="FA47" s="66"/>
      <c r="FB47" s="66"/>
      <c r="FD47" s="65" t="s">
        <v>198</v>
      </c>
      <c r="FE47" s="66"/>
      <c r="FF47" s="66"/>
      <c r="FG47" s="66"/>
      <c r="FH47" s="66"/>
      <c r="FI47" s="66"/>
      <c r="FK47" s="65" t="s">
        <v>198</v>
      </c>
      <c r="FL47" s="66"/>
      <c r="FM47" s="66"/>
      <c r="FN47" s="66"/>
      <c r="FO47" s="66"/>
      <c r="FP47" s="66"/>
      <c r="FR47" s="65" t="s">
        <v>198</v>
      </c>
      <c r="FS47" s="66"/>
      <c r="FT47" s="66"/>
      <c r="FU47" s="66"/>
      <c r="FV47" s="66"/>
      <c r="FW47" s="66"/>
      <c r="FY47" s="65" t="s">
        <v>198</v>
      </c>
      <c r="FZ47" s="66">
        <f>-FZ46/FZ43</f>
        <v>0.35294117647058826</v>
      </c>
      <c r="GA47" s="66" t="s">
        <v>196</v>
      </c>
      <c r="GB47" s="66">
        <f>-GB46/GB43</f>
        <v>0.37878787878787878</v>
      </c>
      <c r="GC47" s="66">
        <f>-GC46/GC43</f>
        <v>0.36799999999999999</v>
      </c>
      <c r="GD47" s="66">
        <f>-GD46/GD43</f>
        <v>0.37118908175061932</v>
      </c>
      <c r="GF47" s="65" t="s">
        <v>198</v>
      </c>
      <c r="GG47" s="66">
        <f>-GG46/GG43</f>
        <v>0.379746835443038</v>
      </c>
      <c r="GH47" s="66">
        <f>-GH46/GH43</f>
        <v>0.28980322003577819</v>
      </c>
      <c r="GI47" s="66">
        <f>-GI46/GI43</f>
        <v>0.36522781774580337</v>
      </c>
      <c r="GJ47" s="66">
        <f>-GJ46/GJ43</f>
        <v>0.32838785046728974</v>
      </c>
      <c r="GK47" s="66">
        <f>-GK46/GK43</f>
        <v>0.33621456364647029</v>
      </c>
      <c r="GM47" s="65" t="s">
        <v>198</v>
      </c>
      <c r="GN47" s="66">
        <f>-GN46/GN43</f>
        <v>0.34126984126984128</v>
      </c>
      <c r="GO47" s="66">
        <f>-GO46/GO43</f>
        <v>0.36964980544747084</v>
      </c>
      <c r="GP47" s="66">
        <f>-GP46/GP43</f>
        <v>0.3680851063829787</v>
      </c>
      <c r="GQ47" s="66">
        <f>-GQ46/GQ43</f>
        <v>0.35459649122807019</v>
      </c>
      <c r="GR47" s="66">
        <f>-GR46/GR43</f>
        <v>0.35927536231884061</v>
      </c>
      <c r="GT47" s="65" t="s">
        <v>198</v>
      </c>
      <c r="GU47" s="66">
        <f>-GU46/GU43</f>
        <v>0.37547169811320757</v>
      </c>
      <c r="GV47" s="66">
        <f>-GV46/GV43</f>
        <v>0.37728813559322033</v>
      </c>
      <c r="GW47" s="66">
        <f>-GW46/GW43</f>
        <v>0.3737704918032787</v>
      </c>
      <c r="GX47" s="66">
        <f>-GX46/GX43</f>
        <v>0.37051509769094143</v>
      </c>
      <c r="GY47" s="66">
        <f>-GY46/GY43</f>
        <v>0.37426951591801139</v>
      </c>
      <c r="HA47" s="65" t="s">
        <v>198</v>
      </c>
      <c r="HB47" s="66">
        <f>-HB46/HB43</f>
        <v>0.33870967741935482</v>
      </c>
      <c r="HC47" s="66">
        <f>-HC46/HC43</f>
        <v>0.375</v>
      </c>
      <c r="HD47" s="66">
        <f>-HD46/HD43</f>
        <v>0.37173913043478263</v>
      </c>
      <c r="HE47" s="66">
        <f>-HE46/HE43</f>
        <v>0.36956521739130432</v>
      </c>
      <c r="HF47" s="66">
        <f>-HF46/HF43</f>
        <v>0.36494252873563221</v>
      </c>
      <c r="HH47" s="65" t="s">
        <v>198</v>
      </c>
      <c r="HI47" s="66">
        <f>-HI46/HI43</f>
        <v>0.39321357285429143</v>
      </c>
      <c r="HJ47" s="66">
        <f>-HJ46/HJ43</f>
        <v>0.37797619047619047</v>
      </c>
      <c r="HK47" s="66">
        <f>-HK46/HK43</f>
        <v>0.37891737891737892</v>
      </c>
      <c r="HL47" s="66">
        <f>-HL46/HL43</f>
        <v>0.38659058487874465</v>
      </c>
      <c r="HM47" s="66">
        <f>-HM46/HM43</f>
        <v>0.38354037267080743</v>
      </c>
      <c r="HO47" s="65" t="s">
        <v>198</v>
      </c>
      <c r="HP47" s="66">
        <f>-HP46/HP43</f>
        <v>0.38087774294670845</v>
      </c>
      <c r="HQ47" s="66">
        <f>-HQ46/HQ43</f>
        <v>0.37878787878787878</v>
      </c>
      <c r="HR47" s="66">
        <f>-HR46/HR43</f>
        <v>0.37801608579088469</v>
      </c>
      <c r="HS47" s="66">
        <f>-HS46/HS43</f>
        <v>0.3792134831460674</v>
      </c>
      <c r="HT47" s="66">
        <f>-HT46/HT43</f>
        <v>0.37915512465373963</v>
      </c>
      <c r="HV47" s="65" t="s">
        <v>198</v>
      </c>
      <c r="HW47" s="66">
        <f>-HW46/HW43</f>
        <v>0.37290502793296088</v>
      </c>
      <c r="HX47" s="66">
        <f>-HX46/HX43</f>
        <v>0.37824474660074164</v>
      </c>
      <c r="HY47" s="66">
        <f>-HY46/HY43</f>
        <v>0.36893203883495146</v>
      </c>
      <c r="HZ47" s="66">
        <f>-HZ46/HZ43</f>
        <v>0.383267776096823</v>
      </c>
      <c r="IA47" s="66">
        <f>-IA46/IA43</f>
        <v>0.37576195390436873</v>
      </c>
      <c r="IC47" s="65" t="s">
        <v>198</v>
      </c>
      <c r="ID47" s="66">
        <f>-ID46/ID43</f>
        <v>0.36689655172413793</v>
      </c>
      <c r="IE47" s="66">
        <f>-IE46/IE43</f>
        <v>0.37740384615384615</v>
      </c>
      <c r="IF47" s="66">
        <f>-IF46/IF43</f>
        <v>0.37482710926694329</v>
      </c>
      <c r="IG47" s="66">
        <f>-IG46/IG43</f>
        <v>0.36795252225519287</v>
      </c>
      <c r="IH47" s="66">
        <f>-IH46/IH43</f>
        <v>0.37203791469194314</v>
      </c>
      <c r="IJ47" s="65" t="s">
        <v>198</v>
      </c>
      <c r="IK47" s="66">
        <f>-IK46/IK43</f>
        <v>0.34323432343234322</v>
      </c>
      <c r="IL47" s="66">
        <f>-IL46/IL43</f>
        <v>0.37764705882352939</v>
      </c>
      <c r="IM47" s="66">
        <f>-IM46/IM43</f>
        <v>0.37392373923739236</v>
      </c>
      <c r="IN47" s="66">
        <f>-IN46/IN43</f>
        <v>0.36645161290322581</v>
      </c>
      <c r="IO47" s="66">
        <f>-IO46/IO43</f>
        <v>0.36695137976346914</v>
      </c>
      <c r="IQ47" s="65" t="s">
        <v>198</v>
      </c>
      <c r="IR47" s="66">
        <f>-IR46/IR43</f>
        <v>0.37834036568213786</v>
      </c>
      <c r="IS47" s="66">
        <f>-IS46/IS43</f>
        <v>0.3765501691093574</v>
      </c>
      <c r="IT47" s="66">
        <f>-IT46/IT43</f>
        <v>0.36545682102628285</v>
      </c>
      <c r="IU47" s="66">
        <f>-IU46/IU43</f>
        <v>0.37112010796221323</v>
      </c>
      <c r="IV47" s="66">
        <f>-IV46/IV43</f>
        <v>0.37284894837476101</v>
      </c>
      <c r="IX47" s="65" t="s">
        <v>198</v>
      </c>
      <c r="IY47" s="66">
        <f>-IY46/IY43</f>
        <v>0.37323943661971831</v>
      </c>
      <c r="IZ47" s="66">
        <f>-IZ46/IZ43</f>
        <v>0.37057991513437055</v>
      </c>
      <c r="JA47" s="66">
        <f>-JA46/JA43</f>
        <v>0.36363636363636365</v>
      </c>
      <c r="JB47" s="66">
        <f>-JB46/JB43</f>
        <v>0.39012702078521944</v>
      </c>
      <c r="JC47" s="66">
        <f>-JC46/JC43</f>
        <v>0.37529761904761899</v>
      </c>
      <c r="JE47" s="65" t="s">
        <v>198</v>
      </c>
      <c r="JF47" s="66">
        <f>-JF46/JF43</f>
        <v>0.37748344370860926</v>
      </c>
      <c r="JG47" s="66">
        <f>-JG46/JG43</f>
        <v>0.37723919915700738</v>
      </c>
      <c r="JH47" s="66">
        <f>-JH46/JH43</f>
        <v>0.38348868175765644</v>
      </c>
      <c r="JI47" s="66">
        <f>-JI46/JI43</f>
        <v>0.3413793103448276</v>
      </c>
      <c r="JJ47" s="66">
        <f>-JJ46/JJ43</f>
        <v>0.36932330827067666</v>
      </c>
      <c r="JL47" s="65" t="s">
        <v>198</v>
      </c>
      <c r="JM47" s="66">
        <f>-JM46/JM43</f>
        <v>0.23793859649122806</v>
      </c>
      <c r="JN47" s="66">
        <f>-JN46/JN43</f>
        <v>0.23339160839160839</v>
      </c>
      <c r="JO47" s="66">
        <f>-JO46/JO43</f>
        <v>0.22260869565217392</v>
      </c>
      <c r="JP47" s="66">
        <f>-JP46/JP43</f>
        <v>0.23224043715846995</v>
      </c>
      <c r="JQ47" s="66">
        <f>-JQ46/JQ43</f>
        <v>0.23118029739776952</v>
      </c>
      <c r="JS47" s="65" t="s">
        <v>198</v>
      </c>
      <c r="JT47" s="66">
        <f>-JT46/JT43</f>
        <v>0.21616541353383459</v>
      </c>
      <c r="JU47" s="66">
        <f>-JU46/JU43</f>
        <v>0.24083769633507854</v>
      </c>
      <c r="JV47" s="66">
        <f>-JV46/JV43</f>
        <v>0.23911111111111111</v>
      </c>
      <c r="JW47" s="66">
        <f>-JW46/JW43</f>
        <v>0.21406727828746178</v>
      </c>
      <c r="JX47" s="66">
        <f>-JX46/JX43</f>
        <v>0.22822057460611678</v>
      </c>
      <c r="JZ47" s="65" t="s">
        <v>198</v>
      </c>
      <c r="KA47" s="66">
        <f>-KA46/KA43</f>
        <v>0.23988153998025666</v>
      </c>
      <c r="KB47" s="66">
        <f>-KB46/KB43</f>
        <v>0.23466257668711657</v>
      </c>
      <c r="KC47" s="66">
        <f>-KC46/KC43</f>
        <v>0.23966942148760331</v>
      </c>
      <c r="KD47" s="66">
        <f>-KD46/KD43</f>
        <v>0.23541247484909456</v>
      </c>
      <c r="KE47" s="66">
        <f>-KE46/KE43</f>
        <v>0.23766197959746346</v>
      </c>
      <c r="KG47" s="65" t="s">
        <v>198</v>
      </c>
      <c r="KH47" s="66">
        <f>-KH46/KH43</f>
        <v>0.24653148345784417</v>
      </c>
      <c r="KI47" s="66">
        <f>-KI46/KI43</f>
        <v>0.23333431837425911</v>
      </c>
      <c r="KJ47" s="66">
        <f>-KJ46/KJ43</f>
        <v>0.24315871774824083</v>
      </c>
      <c r="KK47" s="66">
        <f>-KK46/KK43</f>
        <v>0.22489626556016598</v>
      </c>
      <c r="KL47" s="66">
        <f>-KL46/KL43</f>
        <v>0.23654233594089524</v>
      </c>
      <c r="KN47" s="65" t="s">
        <v>198</v>
      </c>
      <c r="KO47" s="66">
        <f>-KO46/KO43</f>
        <v>0.23914968999114261</v>
      </c>
      <c r="KP47" s="66">
        <f>-KP46/KP43</f>
        <v>0.24390243902439024</v>
      </c>
      <c r="KQ47" s="66">
        <f>-KQ46/KQ43</f>
        <v>0.21925509486999298</v>
      </c>
      <c r="KR47" s="66">
        <f>-KR46/KR43</f>
        <v>0.21932515337423314</v>
      </c>
      <c r="KS47" s="66">
        <f>-KS46/KS43</f>
        <v>0.23020481905499326</v>
      </c>
      <c r="KU47" s="65" t="s">
        <v>198</v>
      </c>
      <c r="KV47" s="66">
        <f>-KV46/KV43</f>
        <v>0.2432012432012432</v>
      </c>
      <c r="KW47" s="66">
        <f>-KW46/KW43</f>
        <v>0.24074074074074073</v>
      </c>
      <c r="KX47" s="66">
        <f>-KX46/KX43</f>
        <v>0.24863883847549909</v>
      </c>
      <c r="KY47" s="66">
        <f>-KY46/KY43</f>
        <v>0.22902097902097901</v>
      </c>
      <c r="KZ47" s="66">
        <f>-KZ46/KZ43</f>
        <v>0.24042244771174157</v>
      </c>
      <c r="LB47" s="65" t="s">
        <v>198</v>
      </c>
      <c r="LC47" s="66">
        <f>-LC46/LC43</f>
        <v>0.24657534246575341</v>
      </c>
      <c r="LD47" s="66">
        <f>-LD46/LD43</f>
        <v>0.23993685872138912</v>
      </c>
      <c r="LE47" s="66">
        <f>-LE46/LE43</f>
        <v>0.24493243243243243</v>
      </c>
      <c r="LF47" s="66">
        <f>-LF46/LF43</f>
        <v>0.21934865900383141</v>
      </c>
      <c r="LG47" s="49">
        <f>-LG46/LG43</f>
        <v>0.23825863178211451</v>
      </c>
      <c r="LH47" s="566"/>
      <c r="LI47" s="71" t="s">
        <v>198</v>
      </c>
      <c r="LJ47" s="66">
        <f>-LJ46/LJ43</f>
        <v>0.24708624708624707</v>
      </c>
      <c r="LK47" s="66">
        <f>-LK46/LK43</f>
        <v>0.24153705397987191</v>
      </c>
      <c r="LL47" s="66">
        <f>-LL46/LL43</f>
        <v>0.22976298997265271</v>
      </c>
      <c r="LM47" s="66">
        <f>-LM46/LM43</f>
        <v>0.21739130434782611</v>
      </c>
      <c r="LN47" s="49">
        <f>-LN46/LN43</f>
        <v>0.23367023577763357</v>
      </c>
      <c r="LO47" s="566"/>
      <c r="LP47" s="71" t="s">
        <v>198</v>
      </c>
      <c r="LQ47" s="519">
        <v>0.24</v>
      </c>
      <c r="LR47" s="519">
        <v>0.24</v>
      </c>
      <c r="LS47" s="519">
        <v>0.24</v>
      </c>
      <c r="LT47" s="519">
        <v>0.22</v>
      </c>
      <c r="LU47" s="49">
        <f>-LU46/LU43</f>
        <v>0.23492883276220644</v>
      </c>
      <c r="LV47" s="566"/>
      <c r="LW47" s="71" t="s">
        <v>198</v>
      </c>
      <c r="LX47" s="519">
        <v>0.23799999999999999</v>
      </c>
      <c r="LY47" s="519">
        <v>0.23799999999999999</v>
      </c>
      <c r="LZ47" s="519">
        <v>0.23799999999999999</v>
      </c>
      <c r="MA47" s="519">
        <v>0.23499999999999999</v>
      </c>
      <c r="MB47" s="49">
        <f>-MB46/MB43</f>
        <v>0.23723791591946203</v>
      </c>
      <c r="MC47" s="566"/>
      <c r="MD47" s="71" t="s">
        <v>198</v>
      </c>
      <c r="ME47" s="519">
        <v>0.24249999999999999</v>
      </c>
      <c r="MF47" s="519">
        <v>0.24249999999999999</v>
      </c>
      <c r="MG47" s="519">
        <v>0.24249999999999999</v>
      </c>
      <c r="MH47" s="519">
        <v>0.245</v>
      </c>
      <c r="MI47" s="49">
        <f>-MI46/MI43</f>
        <v>0.24313676037420184</v>
      </c>
      <c r="MJ47" s="566"/>
    </row>
    <row r="48" spans="1:349" x14ac:dyDescent="0.4">
      <c r="A48" s="48"/>
      <c r="BR48" s="53"/>
      <c r="BS48" s="53"/>
      <c r="BT48" s="53"/>
      <c r="BU48" s="53"/>
      <c r="BV48" s="53"/>
      <c r="BY48" s="53"/>
      <c r="BZ48" s="53"/>
      <c r="CA48" s="53"/>
      <c r="CB48" s="53"/>
      <c r="CC48" s="53"/>
      <c r="CF48" s="53"/>
      <c r="CG48" s="53"/>
      <c r="CH48" s="53"/>
      <c r="CI48" s="53"/>
      <c r="CJ48" s="53"/>
      <c r="CM48" s="53"/>
      <c r="CN48" s="53"/>
      <c r="CO48" s="53"/>
      <c r="CP48" s="53"/>
      <c r="CQ48" s="53"/>
      <c r="CT48" s="53"/>
      <c r="CU48" s="53"/>
      <c r="CV48" s="53"/>
      <c r="CW48" s="53"/>
      <c r="CX48" s="53"/>
      <c r="DA48" s="53"/>
      <c r="DB48" s="53"/>
      <c r="DC48" s="53"/>
      <c r="DD48" s="53"/>
      <c r="DE48" s="53"/>
      <c r="DH48" s="53"/>
      <c r="DI48" s="53"/>
      <c r="DJ48" s="53"/>
      <c r="DK48" s="53"/>
      <c r="DL48" s="53"/>
      <c r="DO48" s="53"/>
      <c r="DP48" s="53"/>
      <c r="DQ48" s="53"/>
      <c r="DR48" s="53"/>
      <c r="DS48" s="53"/>
      <c r="DV48" s="53"/>
      <c r="DW48" s="53"/>
      <c r="DX48" s="53"/>
      <c r="DY48" s="53"/>
      <c r="DZ48" s="53"/>
      <c r="EC48" s="53"/>
      <c r="ED48" s="53"/>
      <c r="EE48" s="53"/>
      <c r="EF48" s="53"/>
      <c r="EG48" s="53"/>
      <c r="EJ48" s="53"/>
      <c r="EK48" s="53"/>
      <c r="EL48" s="53"/>
      <c r="EM48" s="53"/>
      <c r="EN48" s="53"/>
      <c r="EQ48" s="53"/>
      <c r="ER48" s="53"/>
      <c r="ES48" s="53"/>
      <c r="ET48" s="53"/>
      <c r="EU48" s="53"/>
      <c r="EX48" s="53"/>
      <c r="EY48" s="53"/>
      <c r="EZ48" s="53"/>
      <c r="FA48" s="53"/>
      <c r="FB48" s="53"/>
      <c r="FE48" s="53"/>
      <c r="FF48" s="53"/>
      <c r="FG48" s="53"/>
      <c r="FH48" s="53"/>
      <c r="FI48" s="53"/>
      <c r="FL48" s="53"/>
      <c r="FM48" s="53"/>
      <c r="FN48" s="53"/>
      <c r="FO48" s="53"/>
      <c r="FP48" s="53"/>
      <c r="FS48" s="53"/>
      <c r="FT48" s="53"/>
      <c r="FU48" s="53"/>
      <c r="FV48" s="53"/>
      <c r="FW48" s="53"/>
      <c r="FZ48" s="53"/>
      <c r="GA48" s="53"/>
      <c r="GB48" s="53"/>
      <c r="GC48" s="53"/>
      <c r="GD48" s="53"/>
      <c r="GG48" s="53"/>
      <c r="GH48" s="53"/>
      <c r="GI48" s="53"/>
      <c r="GJ48" s="53"/>
      <c r="GK48" s="53"/>
      <c r="GN48" s="53"/>
      <c r="GO48" s="53"/>
      <c r="GP48" s="53"/>
      <c r="GQ48" s="53"/>
      <c r="GR48" s="53"/>
      <c r="GU48" s="53"/>
      <c r="GV48" s="53"/>
      <c r="GW48" s="53"/>
      <c r="GX48" s="53"/>
      <c r="GY48" s="53"/>
      <c r="HB48" s="53"/>
      <c r="HC48" s="53"/>
      <c r="HD48" s="53"/>
      <c r="HE48" s="53"/>
      <c r="HF48" s="53"/>
      <c r="HI48" s="53"/>
      <c r="HJ48" s="53"/>
      <c r="HK48" s="53"/>
      <c r="HL48" s="53"/>
      <c r="HM48" s="53"/>
      <c r="HP48" s="53"/>
      <c r="HQ48" s="53"/>
      <c r="HR48" s="53"/>
      <c r="HS48" s="53"/>
      <c r="HT48" s="53"/>
      <c r="HW48" s="53"/>
      <c r="HX48" s="53"/>
      <c r="HY48" s="53"/>
      <c r="HZ48" s="53"/>
      <c r="IA48" s="53"/>
      <c r="ID48" s="53"/>
      <c r="IE48" s="53"/>
      <c r="IF48" s="53"/>
      <c r="IG48" s="53"/>
      <c r="IH48" s="53"/>
      <c r="IK48" s="53"/>
      <c r="IL48" s="53"/>
      <c r="IM48" s="53"/>
      <c r="IN48" s="53"/>
      <c r="IO48" s="53"/>
      <c r="IR48" s="53"/>
      <c r="IS48" s="53"/>
      <c r="IT48" s="53"/>
      <c r="IU48" s="53"/>
      <c r="IV48" s="53"/>
      <c r="IY48" s="53"/>
      <c r="IZ48" s="53"/>
      <c r="JA48" s="53"/>
      <c r="JB48" s="53"/>
      <c r="JC48" s="53"/>
      <c r="JF48" s="53"/>
      <c r="JG48" s="53"/>
      <c r="JH48" s="53"/>
      <c r="JI48" s="53"/>
      <c r="JJ48" s="53"/>
      <c r="JM48" s="53"/>
      <c r="JN48" s="53"/>
      <c r="JO48" s="53"/>
      <c r="JP48" s="53"/>
      <c r="JQ48" s="53"/>
      <c r="JT48" s="53"/>
      <c r="JU48" s="53"/>
      <c r="JV48" s="53"/>
      <c r="JW48" s="53"/>
      <c r="JX48" s="53"/>
      <c r="KA48" s="53"/>
      <c r="KB48" s="53"/>
      <c r="KC48" s="53"/>
      <c r="KD48" s="53"/>
      <c r="KE48" s="53"/>
      <c r="KH48" s="53"/>
      <c r="KI48" s="53"/>
      <c r="KJ48" s="53"/>
      <c r="KK48" s="53"/>
      <c r="KL48" s="53"/>
      <c r="KO48" s="53"/>
      <c r="KP48" s="53"/>
      <c r="KQ48" s="53"/>
      <c r="KR48" s="53"/>
      <c r="KS48" s="53"/>
      <c r="KV48" s="53"/>
      <c r="KW48" s="53"/>
      <c r="KZ48" s="53"/>
      <c r="LB48" s="639"/>
      <c r="LC48" s="641"/>
      <c r="LD48" s="395"/>
      <c r="LE48" s="395"/>
      <c r="LF48" s="395"/>
      <c r="LG48" s="695"/>
      <c r="LH48" s="574"/>
      <c r="LI48" s="696"/>
      <c r="LJ48" s="395"/>
      <c r="LK48" s="395"/>
      <c r="LL48" s="395"/>
      <c r="LM48" s="395"/>
      <c r="LN48" s="695"/>
      <c r="LO48" s="574"/>
      <c r="LP48" s="696"/>
      <c r="LQ48" s="395"/>
      <c r="LR48" s="395"/>
      <c r="LS48" s="395"/>
      <c r="LT48" s="395"/>
      <c r="LU48" s="695"/>
      <c r="LV48" s="574"/>
      <c r="LW48" s="696"/>
      <c r="LX48" s="395"/>
      <c r="LY48" s="395"/>
      <c r="LZ48" s="395"/>
      <c r="MA48" s="395"/>
      <c r="MB48" s="695"/>
      <c r="MC48" s="574"/>
      <c r="MD48" s="696"/>
      <c r="ME48" s="395"/>
      <c r="MF48" s="395"/>
      <c r="MG48" s="395"/>
      <c r="MH48" s="395"/>
      <c r="MI48" s="695"/>
      <c r="MJ48" s="574"/>
    </row>
    <row r="49" spans="1:349" s="68" customFormat="1" ht="12.75" x14ac:dyDescent="0.35">
      <c r="A49" s="538"/>
      <c r="B49" s="697" t="s">
        <v>229</v>
      </c>
      <c r="C49" s="539">
        <f t="shared" ref="C49:M49" si="136">C43+C46</f>
        <v>175.78600000000006</v>
      </c>
      <c r="D49" s="539">
        <f t="shared" si="136"/>
        <v>322.09999999999945</v>
      </c>
      <c r="E49" s="539">
        <f t="shared" si="136"/>
        <v>337.39999999999964</v>
      </c>
      <c r="F49" s="539">
        <f t="shared" si="136"/>
        <v>454.69999999999982</v>
      </c>
      <c r="G49" s="539">
        <f t="shared" si="136"/>
        <v>278</v>
      </c>
      <c r="H49" s="539">
        <f t="shared" si="136"/>
        <v>224</v>
      </c>
      <c r="I49" s="539">
        <f t="shared" si="136"/>
        <v>359</v>
      </c>
      <c r="J49" s="539">
        <f t="shared" si="136"/>
        <v>370</v>
      </c>
      <c r="K49" s="539">
        <f t="shared" si="136"/>
        <v>314</v>
      </c>
      <c r="L49" s="539">
        <f t="shared" si="136"/>
        <v>373</v>
      </c>
      <c r="M49" s="539">
        <f t="shared" si="136"/>
        <v>454</v>
      </c>
      <c r="N49" s="539">
        <f>BV49</f>
        <v>429.00000000000091</v>
      </c>
      <c r="O49" s="539">
        <f>CC49</f>
        <v>398.31700000000092</v>
      </c>
      <c r="P49" s="539">
        <f>CJ49</f>
        <v>414.30000000000109</v>
      </c>
      <c r="Q49" s="539">
        <f>CQ49</f>
        <v>470.10000000000036</v>
      </c>
      <c r="R49" s="539">
        <f>CX49</f>
        <v>470.72899999999998</v>
      </c>
      <c r="S49" s="539">
        <f>DE49</f>
        <v>615</v>
      </c>
      <c r="T49" s="539">
        <f>DL49</f>
        <v>737.11040000000003</v>
      </c>
      <c r="U49" s="539">
        <f>DS49</f>
        <v>842.32500000000005</v>
      </c>
      <c r="V49" s="539">
        <f>DZ49</f>
        <v>892.51600000000008</v>
      </c>
      <c r="W49" s="539">
        <f>EG49</f>
        <v>525.90882340016992</v>
      </c>
      <c r="X49" s="539">
        <f>EN49</f>
        <v>326.48799999999994</v>
      </c>
      <c r="Y49" s="539">
        <f>EU49</f>
        <v>190.6343</v>
      </c>
      <c r="Z49" s="539">
        <f>FB49</f>
        <v>336.69399999999996</v>
      </c>
      <c r="AA49" s="539">
        <f>FI49</f>
        <v>460.09476999999998</v>
      </c>
      <c r="AB49" s="539">
        <f>FP49</f>
        <v>386.02</v>
      </c>
      <c r="AC49" s="539">
        <f>FW49</f>
        <v>450.70050000000003</v>
      </c>
      <c r="AD49" s="539">
        <f>GD49</f>
        <v>761.49002199999995</v>
      </c>
      <c r="AE49" s="539">
        <f>GK49</f>
        <v>1194.1500000000001</v>
      </c>
      <c r="AF49" s="539">
        <f>GR49</f>
        <v>1237.8800000000001</v>
      </c>
      <c r="AG49" s="539">
        <f>GY49</f>
        <v>1434.8000000000002</v>
      </c>
      <c r="AH49" s="539">
        <f>HF49</f>
        <v>1105</v>
      </c>
      <c r="AI49" s="539">
        <f>HM49</f>
        <v>1588</v>
      </c>
      <c r="AJ49" s="539">
        <f>HT49</f>
        <v>1793</v>
      </c>
      <c r="AK49" s="539">
        <f>IA49</f>
        <v>1814.6599999999999</v>
      </c>
      <c r="AL49" s="539">
        <f>IH49</f>
        <v>1855</v>
      </c>
      <c r="AM49" s="539">
        <f>IO49</f>
        <v>1927</v>
      </c>
      <c r="AN49" s="539">
        <f>IV49</f>
        <v>1968</v>
      </c>
      <c r="AO49" s="539">
        <f>JC49</f>
        <v>1784.15</v>
      </c>
      <c r="AP49" s="539">
        <f>JJ49</f>
        <v>2097</v>
      </c>
      <c r="AQ49" s="539">
        <f>JQ49</f>
        <v>3309</v>
      </c>
      <c r="AR49" s="539">
        <f>JX49</f>
        <v>3331</v>
      </c>
      <c r="AS49" s="539">
        <f>KE49</f>
        <v>2765</v>
      </c>
      <c r="AT49" s="539">
        <f>KL49</f>
        <v>3513.43217</v>
      </c>
      <c r="AU49" s="539">
        <f>KS49</f>
        <v>4073.7560975609758</v>
      </c>
      <c r="AV49" s="539">
        <f>KZ49</f>
        <v>3668</v>
      </c>
      <c r="AW49" s="539">
        <f>LG49</f>
        <v>3552</v>
      </c>
      <c r="AX49" s="539">
        <f>LN49</f>
        <v>3080.6456521739128</v>
      </c>
      <c r="AY49" s="539">
        <f>LU49</f>
        <v>3468.9447185482177</v>
      </c>
      <c r="AZ49" s="539">
        <f>MB49</f>
        <v>3885.5017888526631</v>
      </c>
      <c r="BA49" s="539">
        <f>MI49</f>
        <v>4164.4501714683884</v>
      </c>
      <c r="BB49" s="539"/>
      <c r="BC49" s="539"/>
      <c r="BD49" s="539"/>
      <c r="BE49" s="539"/>
      <c r="BF49" s="539"/>
      <c r="BG49" s="539"/>
      <c r="BH49" s="539"/>
      <c r="BI49" s="539"/>
      <c r="BJ49" s="539"/>
      <c r="BK49" s="539"/>
      <c r="BL49" s="539"/>
      <c r="BM49" s="539"/>
      <c r="BN49" s="539"/>
      <c r="BO49" s="539"/>
      <c r="BQ49" s="697" t="s">
        <v>229</v>
      </c>
      <c r="BR49" s="539">
        <f>BR43+BR46</f>
        <v>76.799999999999955</v>
      </c>
      <c r="BS49" s="539">
        <f>BS43+BS46</f>
        <v>132</v>
      </c>
      <c r="BT49" s="539">
        <f>BT43+BT46</f>
        <v>93.900000000000091</v>
      </c>
      <c r="BU49" s="539">
        <f>BU43+BU46</f>
        <v>126.29999999999995</v>
      </c>
      <c r="BV49" s="539">
        <f>BV43+BV46</f>
        <v>429.00000000000091</v>
      </c>
      <c r="BX49" s="697" t="s">
        <v>229</v>
      </c>
      <c r="BY49" s="539">
        <f>BY43+BY46</f>
        <v>58.700000000000045</v>
      </c>
      <c r="BZ49" s="539">
        <f>BZ43+BZ46</f>
        <v>108.90000000000009</v>
      </c>
      <c r="CA49" s="539">
        <f>CA43+CA46</f>
        <v>101</v>
      </c>
      <c r="CB49" s="539">
        <f>CB43+CB46</f>
        <v>129.7170000000001</v>
      </c>
      <c r="CC49" s="539">
        <f>CC43+CC46</f>
        <v>398.31700000000092</v>
      </c>
      <c r="CE49" s="697" t="s">
        <v>229</v>
      </c>
      <c r="CF49" s="539">
        <f>CF43+CF46</f>
        <v>57.299999999999955</v>
      </c>
      <c r="CG49" s="539">
        <f>CG43+CG46</f>
        <v>115</v>
      </c>
      <c r="CH49" s="539">
        <f>CH43+CH46</f>
        <v>107.90000000000009</v>
      </c>
      <c r="CI49" s="539">
        <f>CI43+CI46</f>
        <v>134.09999999999991</v>
      </c>
      <c r="CJ49" s="539">
        <f>CJ43+CJ46</f>
        <v>414.30000000000109</v>
      </c>
      <c r="CL49" s="697" t="s">
        <v>229</v>
      </c>
      <c r="CM49" s="539">
        <f>CM43+CM46</f>
        <v>62.400000000000091</v>
      </c>
      <c r="CN49" s="539">
        <f>CN43+CN46</f>
        <v>127.19999999999982</v>
      </c>
      <c r="CO49" s="539">
        <f>CO43+CO46</f>
        <v>128.30000000000018</v>
      </c>
      <c r="CP49" s="539">
        <f>CP43+CP46</f>
        <v>152.19999999999982</v>
      </c>
      <c r="CQ49" s="539">
        <f>CQ43+CQ46</f>
        <v>470.10000000000036</v>
      </c>
      <c r="CS49" s="697" t="s">
        <v>229</v>
      </c>
      <c r="CT49" s="539">
        <f>CT43+CT46</f>
        <v>52.300000000000182</v>
      </c>
      <c r="CU49" s="539">
        <f>CU43+CU46</f>
        <v>153.72899999999998</v>
      </c>
      <c r="CV49" s="539">
        <f>CV43+CV46</f>
        <v>113.69999999999982</v>
      </c>
      <c r="CW49" s="539">
        <f>CW43+CW46</f>
        <v>151</v>
      </c>
      <c r="CX49" s="539">
        <f>CX43+CX46</f>
        <v>470.72899999999998</v>
      </c>
      <c r="CZ49" s="697" t="s">
        <v>229</v>
      </c>
      <c r="DA49" s="539">
        <f>DA43+DA46</f>
        <v>74</v>
      </c>
      <c r="DB49" s="539">
        <f>DB43+DB46</f>
        <v>162</v>
      </c>
      <c r="DC49" s="539">
        <f>DC43+DC46</f>
        <v>177</v>
      </c>
      <c r="DD49" s="539">
        <f>DD43+DD46</f>
        <v>202</v>
      </c>
      <c r="DE49" s="539">
        <f>DE43+DE46</f>
        <v>615</v>
      </c>
      <c r="DG49" s="697" t="s">
        <v>229</v>
      </c>
      <c r="DH49" s="539">
        <f>DH43+DH46</f>
        <v>121</v>
      </c>
      <c r="DI49" s="539">
        <f>DI43+DI46</f>
        <v>184</v>
      </c>
      <c r="DJ49" s="539">
        <f>DJ43+DJ46</f>
        <v>206.41040000000001</v>
      </c>
      <c r="DK49" s="539">
        <f>DK43+DK46</f>
        <v>225.7</v>
      </c>
      <c r="DL49" s="539">
        <f>DL43+DL46</f>
        <v>737.11040000000003</v>
      </c>
      <c r="DN49" s="697" t="s">
        <v>229</v>
      </c>
      <c r="DO49" s="539">
        <f>DO43+DO46</f>
        <v>146</v>
      </c>
      <c r="DP49" s="539">
        <f>DP43+DP46</f>
        <v>221.32499999999999</v>
      </c>
      <c r="DQ49" s="539">
        <f>DQ43+DQ46</f>
        <v>222</v>
      </c>
      <c r="DR49" s="539">
        <f>DR43+DR46</f>
        <v>253</v>
      </c>
      <c r="DS49" s="539">
        <f>DS43+DS46</f>
        <v>842.32500000000005</v>
      </c>
      <c r="DU49" s="697" t="s">
        <v>229</v>
      </c>
      <c r="DV49" s="539">
        <f>DV43+DV46</f>
        <v>151</v>
      </c>
      <c r="DW49" s="539">
        <f>DW43+DW46</f>
        <v>227.36</v>
      </c>
      <c r="DX49" s="539">
        <f>DX43+DX46</f>
        <v>233.99</v>
      </c>
      <c r="DY49" s="539">
        <f>DY43+DY46</f>
        <v>280.166</v>
      </c>
      <c r="DZ49" s="539">
        <f>DZ43+DZ46</f>
        <v>892.51600000000008</v>
      </c>
      <c r="EB49" s="697" t="s">
        <v>229</v>
      </c>
      <c r="EC49" s="539">
        <f>EC43+EC46</f>
        <v>102.68</v>
      </c>
      <c r="ED49" s="539">
        <f>ED43+ED46</f>
        <v>171.70882340016999</v>
      </c>
      <c r="EE49" s="539">
        <f>EE43+EE46</f>
        <v>125.5</v>
      </c>
      <c r="EF49" s="539">
        <f>EF43+EF46</f>
        <v>126.02000000000001</v>
      </c>
      <c r="EG49" s="539">
        <f>EG43+EG46</f>
        <v>525.90882340016992</v>
      </c>
      <c r="EI49" s="697" t="s">
        <v>229</v>
      </c>
      <c r="EJ49" s="539">
        <f>EJ43+EJ46</f>
        <v>66.488</v>
      </c>
      <c r="EK49" s="539">
        <f>EK43+EK46</f>
        <v>96</v>
      </c>
      <c r="EL49" s="539">
        <f>EL43+EL46</f>
        <v>123</v>
      </c>
      <c r="EM49" s="539">
        <f>EM43+EM46</f>
        <v>41</v>
      </c>
      <c r="EN49" s="539">
        <f>EN43+EN46</f>
        <v>326.48799999999994</v>
      </c>
      <c r="EP49" s="697" t="s">
        <v>229</v>
      </c>
      <c r="EQ49" s="539">
        <f>EQ43+EQ46</f>
        <v>22.6343</v>
      </c>
      <c r="ER49" s="539">
        <f>ER43+ER46</f>
        <v>55</v>
      </c>
      <c r="ES49" s="539">
        <f>ES43+ES46</f>
        <v>59</v>
      </c>
      <c r="ET49" s="539">
        <f>ET43+ET46</f>
        <v>54</v>
      </c>
      <c r="EU49" s="539">
        <f>EU43+EU46</f>
        <v>190.6343</v>
      </c>
      <c r="EW49" s="697" t="s">
        <v>229</v>
      </c>
      <c r="EX49" s="539">
        <f>EX43+EX46</f>
        <v>26.693999999999996</v>
      </c>
      <c r="EY49" s="539">
        <f>EY43+EY46</f>
        <v>108</v>
      </c>
      <c r="EZ49" s="539">
        <f>EZ43+EZ46</f>
        <v>98</v>
      </c>
      <c r="FA49" s="539">
        <f>FA43+FA46</f>
        <v>104</v>
      </c>
      <c r="FB49" s="539">
        <f>FB43+FB46</f>
        <v>336.69399999999996</v>
      </c>
      <c r="FD49" s="697" t="s">
        <v>229</v>
      </c>
      <c r="FE49" s="539">
        <f>FE43+FE46</f>
        <v>68</v>
      </c>
      <c r="FF49" s="539">
        <f>FF43+FF46</f>
        <v>127.89476999999999</v>
      </c>
      <c r="FG49" s="539">
        <f>FG43+FG46</f>
        <v>127.2</v>
      </c>
      <c r="FH49" s="539">
        <f>FH43+FH46</f>
        <v>137</v>
      </c>
      <c r="FI49" s="539">
        <f>FI43+FI46</f>
        <v>460.09476999999998</v>
      </c>
      <c r="FK49" s="697" t="s">
        <v>229</v>
      </c>
      <c r="FL49" s="539">
        <f>FL43+FL46</f>
        <v>37</v>
      </c>
      <c r="FM49" s="539">
        <f>FM43+FM46</f>
        <v>123</v>
      </c>
      <c r="FN49" s="539">
        <f>FN43+FN46</f>
        <v>107.02</v>
      </c>
      <c r="FO49" s="539">
        <f>FO43+FO46</f>
        <v>119</v>
      </c>
      <c r="FP49" s="539">
        <f>FP43+FP46</f>
        <v>386.02</v>
      </c>
      <c r="FR49" s="697" t="s">
        <v>229</v>
      </c>
      <c r="FS49" s="539">
        <f>FS43+FS46</f>
        <v>60</v>
      </c>
      <c r="FT49" s="539">
        <f>FT43+FT46</f>
        <v>131.70050000000001</v>
      </c>
      <c r="FU49" s="539">
        <f>FU43+FU46</f>
        <v>100</v>
      </c>
      <c r="FV49" s="539">
        <f>FV43+FV46</f>
        <v>159</v>
      </c>
      <c r="FW49" s="539">
        <f>FW43+FW46</f>
        <v>450.70050000000003</v>
      </c>
      <c r="FY49" s="697" t="s">
        <v>229</v>
      </c>
      <c r="FZ49" s="539">
        <f>FZ43+FZ46</f>
        <v>154</v>
      </c>
      <c r="GA49" s="539">
        <f>GA43+GA46</f>
        <v>206.49002200000001</v>
      </c>
      <c r="GB49" s="539">
        <f>GB43+GB46</f>
        <v>164</v>
      </c>
      <c r="GC49" s="539">
        <f>GC43+GC46</f>
        <v>237</v>
      </c>
      <c r="GD49" s="539">
        <f>SUM(FZ49:GC49)</f>
        <v>761.49002199999995</v>
      </c>
      <c r="GF49" s="697" t="s">
        <v>229</v>
      </c>
      <c r="GG49" s="539">
        <f>GG43+GG46</f>
        <v>245</v>
      </c>
      <c r="GH49" s="539">
        <f>GH43+GH46</f>
        <v>397</v>
      </c>
      <c r="GI49" s="539">
        <f>GI43+GI46</f>
        <v>264.7</v>
      </c>
      <c r="GJ49" s="539">
        <f>GJ43+GJ46</f>
        <v>287.45</v>
      </c>
      <c r="GK49" s="539">
        <f>SUM(GG49:GJ49)</f>
        <v>1194.1500000000001</v>
      </c>
      <c r="GM49" s="697" t="s">
        <v>229</v>
      </c>
      <c r="GN49" s="539">
        <f>GN43+GN46</f>
        <v>249</v>
      </c>
      <c r="GO49" s="539">
        <f>GO43+GO46</f>
        <v>324</v>
      </c>
      <c r="GP49" s="539">
        <f>GP43+GP46</f>
        <v>297</v>
      </c>
      <c r="GQ49" s="539">
        <f>GQ43+GQ46</f>
        <v>367.88</v>
      </c>
      <c r="GR49" s="539">
        <f>SUM(GN49:GQ49)</f>
        <v>1237.8800000000001</v>
      </c>
      <c r="GT49" s="697" t="s">
        <v>229</v>
      </c>
      <c r="GU49" s="539">
        <f>GU43+GU46</f>
        <v>331</v>
      </c>
      <c r="GV49" s="539">
        <f>GV43+GV46</f>
        <v>367.4</v>
      </c>
      <c r="GW49" s="539">
        <f>GW43+GW46</f>
        <v>382</v>
      </c>
      <c r="GX49" s="539">
        <f>GX43+GX46</f>
        <v>354.4</v>
      </c>
      <c r="GY49" s="539">
        <f>SUM(GU49:GX49)</f>
        <v>1434.8000000000002</v>
      </c>
      <c r="HA49" s="697" t="s">
        <v>229</v>
      </c>
      <c r="HB49" s="539">
        <f>HB43+HB46</f>
        <v>246</v>
      </c>
      <c r="HC49" s="539">
        <f>HC43+HC46</f>
        <v>280</v>
      </c>
      <c r="HD49" s="539">
        <f>HD43+HD46</f>
        <v>289</v>
      </c>
      <c r="HE49" s="539">
        <f>HE43+HE46</f>
        <v>290</v>
      </c>
      <c r="HF49" s="539">
        <f>SUM(HB49:HE49)</f>
        <v>1105</v>
      </c>
      <c r="HH49" s="697" t="s">
        <v>229</v>
      </c>
      <c r="HI49" s="539">
        <f>HI43+HI46</f>
        <v>304</v>
      </c>
      <c r="HJ49" s="539">
        <f>HJ43+HJ46</f>
        <v>418</v>
      </c>
      <c r="HK49" s="539">
        <f>HK43+HK46</f>
        <v>436</v>
      </c>
      <c r="HL49" s="539">
        <f>HL43+HL46</f>
        <v>430</v>
      </c>
      <c r="HM49" s="539">
        <f>SUM(HI49:HL49)</f>
        <v>1588</v>
      </c>
      <c r="HO49" s="697" t="s">
        <v>229</v>
      </c>
      <c r="HP49" s="539">
        <f>HP43+HP46</f>
        <v>395</v>
      </c>
      <c r="HQ49" s="539">
        <f>HQ43+HQ46</f>
        <v>492</v>
      </c>
      <c r="HR49" s="539">
        <f>HR43+HR46</f>
        <v>464</v>
      </c>
      <c r="HS49" s="539">
        <f>HS43+HS46</f>
        <v>442</v>
      </c>
      <c r="HT49" s="539">
        <f>SUM(HP49:HS49)</f>
        <v>1793</v>
      </c>
      <c r="HV49" s="697" t="s">
        <v>229</v>
      </c>
      <c r="HW49" s="539">
        <f>HW43+HW46</f>
        <v>449</v>
      </c>
      <c r="HX49" s="539">
        <f>HX43+HX46</f>
        <v>503</v>
      </c>
      <c r="HY49" s="539">
        <f>HY43+HY46</f>
        <v>455</v>
      </c>
      <c r="HZ49" s="539">
        <f>HZ43+HZ46</f>
        <v>407.65999999999997</v>
      </c>
      <c r="IA49" s="539">
        <f>SUM(HW49:HZ49)</f>
        <v>1814.6599999999999</v>
      </c>
      <c r="IC49" s="697" t="s">
        <v>229</v>
      </c>
      <c r="ID49" s="539">
        <f>ID43+ID46</f>
        <v>459</v>
      </c>
      <c r="IE49" s="539">
        <f>IE43+IE46</f>
        <v>518</v>
      </c>
      <c r="IF49" s="539">
        <f>IF43+IF46</f>
        <v>452</v>
      </c>
      <c r="IG49" s="539">
        <f>IG43+IG46</f>
        <v>426</v>
      </c>
      <c r="IH49" s="539">
        <f>SUM(ID49:IG49)</f>
        <v>1855</v>
      </c>
      <c r="IJ49" s="697" t="s">
        <v>229</v>
      </c>
      <c r="IK49" s="539">
        <f>IK43+IK46</f>
        <v>398</v>
      </c>
      <c r="IL49" s="539">
        <f>IL43+IL46</f>
        <v>529</v>
      </c>
      <c r="IM49" s="539">
        <f>IM43+IM46</f>
        <v>509</v>
      </c>
      <c r="IN49" s="539">
        <f>IN43+IN46</f>
        <v>491</v>
      </c>
      <c r="IO49" s="539">
        <f>SUM(IK49:IN49)</f>
        <v>1927</v>
      </c>
      <c r="IQ49" s="697" t="s">
        <v>229</v>
      </c>
      <c r="IR49" s="539">
        <f>IR43+IR46</f>
        <v>442</v>
      </c>
      <c r="IS49" s="539">
        <f>IS43+IS46</f>
        <v>553</v>
      </c>
      <c r="IT49" s="539">
        <f>IT43+IT46</f>
        <v>507</v>
      </c>
      <c r="IU49" s="539">
        <f>IU43+IU46</f>
        <v>466</v>
      </c>
      <c r="IV49" s="539">
        <f>SUM(IR49:IU49)</f>
        <v>1968</v>
      </c>
      <c r="IX49" s="697" t="s">
        <v>229</v>
      </c>
      <c r="IY49" s="539">
        <f>IY43+IY46</f>
        <v>356</v>
      </c>
      <c r="IZ49" s="539">
        <f>IZ43+IZ46</f>
        <v>445</v>
      </c>
      <c r="JA49" s="539">
        <f>JA43+JA46</f>
        <v>455</v>
      </c>
      <c r="JB49" s="539">
        <f>JB43+JB46</f>
        <v>528.15</v>
      </c>
      <c r="JC49" s="539">
        <f>SUM(IY49:JB49)</f>
        <v>1784.15</v>
      </c>
      <c r="JE49" s="697" t="s">
        <v>229</v>
      </c>
      <c r="JF49" s="539">
        <f>JF43+JF46</f>
        <v>470</v>
      </c>
      <c r="JG49" s="539">
        <f>JG43+JG46</f>
        <v>591</v>
      </c>
      <c r="JH49" s="539">
        <f>JH43+JH46</f>
        <v>463</v>
      </c>
      <c r="JI49" s="539">
        <f>JI43+JI46</f>
        <v>573</v>
      </c>
      <c r="JJ49" s="539">
        <f>SUM(JF49:JI49)</f>
        <v>2097</v>
      </c>
      <c r="JL49" s="697" t="s">
        <v>229</v>
      </c>
      <c r="JM49" s="539">
        <f>JM43+JM46</f>
        <v>695</v>
      </c>
      <c r="JN49" s="539">
        <f>JN43+JN46</f>
        <v>877</v>
      </c>
      <c r="JO49" s="539">
        <f>JO43+JO46</f>
        <v>894</v>
      </c>
      <c r="JP49" s="539">
        <f>JP43+JP46</f>
        <v>843</v>
      </c>
      <c r="JQ49" s="539">
        <f>SUM(JM49:JP49)</f>
        <v>3309</v>
      </c>
      <c r="JS49" s="697" t="s">
        <v>229</v>
      </c>
      <c r="JT49" s="539">
        <f>JT43+JT46</f>
        <v>834</v>
      </c>
      <c r="JU49" s="539">
        <f>JU43+JU46</f>
        <v>870</v>
      </c>
      <c r="JV49" s="539">
        <f>JV43+JV46</f>
        <v>856</v>
      </c>
      <c r="JW49" s="539">
        <f>JW43+JW46</f>
        <v>771</v>
      </c>
      <c r="JX49" s="539">
        <f>SUM(JT49:JW49)</f>
        <v>3331</v>
      </c>
      <c r="JZ49" s="697" t="s">
        <v>229</v>
      </c>
      <c r="KA49" s="539">
        <f>KA43+KA46</f>
        <v>770</v>
      </c>
      <c r="KB49" s="539">
        <f>KB43+KB46</f>
        <v>499</v>
      </c>
      <c r="KC49" s="539">
        <f>KC43+KC46</f>
        <v>736</v>
      </c>
      <c r="KD49" s="539">
        <f>KD43+KD46</f>
        <v>760</v>
      </c>
      <c r="KE49" s="539">
        <f>SUM(KA49:KD49)</f>
        <v>2765</v>
      </c>
      <c r="KG49" s="697" t="s">
        <v>229</v>
      </c>
      <c r="KH49" s="539">
        <f>KH43+KH46</f>
        <v>706</v>
      </c>
      <c r="KI49" s="539">
        <f>KI43+KI46</f>
        <v>905.43217000000004</v>
      </c>
      <c r="KJ49" s="539">
        <f>KJ43+KJ46</f>
        <v>968</v>
      </c>
      <c r="KK49" s="539">
        <f>KK43+KK46</f>
        <v>934</v>
      </c>
      <c r="KL49" s="539">
        <f>SUM(KH49:KK49)</f>
        <v>3513.43217</v>
      </c>
      <c r="KN49" s="697" t="s">
        <v>229</v>
      </c>
      <c r="KO49" s="539">
        <f>KO43+KO46</f>
        <v>859</v>
      </c>
      <c r="KP49" s="539">
        <f>KP43+KP46</f>
        <v>1085.7560975609756</v>
      </c>
      <c r="KQ49" s="539">
        <f>KQ43+KQ46</f>
        <v>1111</v>
      </c>
      <c r="KR49" s="539">
        <f>KR43+KR46</f>
        <v>1018</v>
      </c>
      <c r="KS49" s="539">
        <f>SUM(KO49:KR49)</f>
        <v>4073.7560975609758</v>
      </c>
      <c r="KU49" s="697" t="s">
        <v>229</v>
      </c>
      <c r="KV49" s="539">
        <f>KV43+KV46</f>
        <v>974</v>
      </c>
      <c r="KW49" s="539">
        <f>KW43+KW46</f>
        <v>984</v>
      </c>
      <c r="KX49" s="539">
        <f>KX43+KX46</f>
        <v>828</v>
      </c>
      <c r="KY49" s="539">
        <f>KY43+KY46</f>
        <v>882</v>
      </c>
      <c r="KZ49" s="539">
        <f>SUM(KV49:KY49)</f>
        <v>3668</v>
      </c>
      <c r="LB49" s="697" t="s">
        <v>229</v>
      </c>
      <c r="LC49" s="539">
        <f>LC43+LC46</f>
        <v>880</v>
      </c>
      <c r="LD49" s="698">
        <f>LD43+LD46</f>
        <v>963</v>
      </c>
      <c r="LE49" s="698">
        <f>LE43+LE46</f>
        <v>894</v>
      </c>
      <c r="LF49" s="698">
        <f>LF43+LF46</f>
        <v>815</v>
      </c>
      <c r="LG49" s="698">
        <f>SUM(LC49:LF49)</f>
        <v>3552</v>
      </c>
      <c r="LH49" s="558"/>
      <c r="LI49" s="697" t="s">
        <v>229</v>
      </c>
      <c r="LJ49" s="698">
        <f>LJ43+LJ46</f>
        <v>646</v>
      </c>
      <c r="LK49" s="698">
        <f>LK43+LK46</f>
        <v>829</v>
      </c>
      <c r="LL49" s="698">
        <f>LL43+LL46</f>
        <v>844.95</v>
      </c>
      <c r="LM49" s="698">
        <f>LM43+LM46</f>
        <v>760.695652173913</v>
      </c>
      <c r="LN49" s="698">
        <f>SUM(LJ49:LM49)</f>
        <v>3080.6456521739128</v>
      </c>
      <c r="LO49" s="558"/>
      <c r="LP49" s="697" t="s">
        <v>229</v>
      </c>
      <c r="LQ49" s="698">
        <f>LQ43+LQ46</f>
        <v>747.20494434845</v>
      </c>
      <c r="LR49" s="698">
        <f>LR43+LR46</f>
        <v>897.08905849167331</v>
      </c>
      <c r="LS49" s="698">
        <f>LS43+LS46</f>
        <v>927.90753307406203</v>
      </c>
      <c r="LT49" s="698">
        <f>LT43+LT46</f>
        <v>896.74318263403268</v>
      </c>
      <c r="LU49" s="698">
        <f>SUM(LQ49:LT49)</f>
        <v>3468.9447185482177</v>
      </c>
      <c r="LV49" s="558"/>
      <c r="LW49" s="697" t="s">
        <v>229</v>
      </c>
      <c r="LX49" s="698">
        <f>LX43+LX46</f>
        <v>849.46453282713412</v>
      </c>
      <c r="LY49" s="698">
        <f>LY43+LY46</f>
        <v>1004.810696018726</v>
      </c>
      <c r="LZ49" s="698">
        <f>LZ43+LZ46</f>
        <v>1041.3043082371858</v>
      </c>
      <c r="MA49" s="698">
        <f>MA43+MA46</f>
        <v>989.92225176961767</v>
      </c>
      <c r="MB49" s="698">
        <f>SUM(LX49:MA49)</f>
        <v>3885.5017888526631</v>
      </c>
      <c r="MC49" s="558"/>
      <c r="MD49" s="697" t="s">
        <v>229</v>
      </c>
      <c r="ME49" s="698">
        <f>ME43+ME46</f>
        <v>924.73653813385783</v>
      </c>
      <c r="MF49" s="698">
        <f>MF43+MF46</f>
        <v>1075.7096621598496</v>
      </c>
      <c r="MG49" s="698">
        <f>MG43+MG46</f>
        <v>1105.9124605421396</v>
      </c>
      <c r="MH49" s="698">
        <f>MH43+MH46</f>
        <v>1058.0915106325406</v>
      </c>
      <c r="MI49" s="698">
        <f>SUM(ME49:MH49)</f>
        <v>4164.4501714683884</v>
      </c>
      <c r="MJ49" s="558"/>
    </row>
    <row r="50" spans="1:349" x14ac:dyDescent="0.4">
      <c r="A50" s="48"/>
      <c r="B50" s="65" t="s">
        <v>4</v>
      </c>
      <c r="C50" s="66">
        <f t="shared" ref="C50:M50" si="137">C49/C20</f>
        <v>4.8512429195327771E-2</v>
      </c>
      <c r="D50" s="66">
        <f t="shared" si="137"/>
        <v>7.6328822957889869E-2</v>
      </c>
      <c r="E50" s="66">
        <f t="shared" si="137"/>
        <v>7.1431595884320548E-2</v>
      </c>
      <c r="F50" s="66">
        <f t="shared" si="137"/>
        <v>8.5066975978447923E-2</v>
      </c>
      <c r="G50" s="66">
        <f t="shared" si="137"/>
        <v>5.7260556127703401E-2</v>
      </c>
      <c r="H50" s="66">
        <f t="shared" si="137"/>
        <v>4.5695634434924519E-2</v>
      </c>
      <c r="I50" s="66">
        <f t="shared" si="137"/>
        <v>6.4141504377345004E-2</v>
      </c>
      <c r="J50" s="66">
        <f t="shared" si="137"/>
        <v>6.9016974445066215E-2</v>
      </c>
      <c r="K50" s="66">
        <f t="shared" si="137"/>
        <v>5.212483399734396E-2</v>
      </c>
      <c r="L50" s="66">
        <f t="shared" si="137"/>
        <v>5.3669064748201441E-2</v>
      </c>
      <c r="M50" s="66">
        <f t="shared" si="137"/>
        <v>5.9799789251844045E-2</v>
      </c>
      <c r="N50" s="66">
        <f>BV50</f>
        <v>5.5390574564235101E-2</v>
      </c>
      <c r="O50" s="66">
        <f>CC50</f>
        <v>4.8543767413251782E-2</v>
      </c>
      <c r="P50" s="66">
        <f>CJ50</f>
        <v>4.7971932424765357E-2</v>
      </c>
      <c r="Q50" s="66">
        <f>CQ50</f>
        <v>5.3823519309373645E-2</v>
      </c>
      <c r="R50" s="66">
        <f>CX50</f>
        <v>5.2651305855377216E-2</v>
      </c>
      <c r="S50" s="66">
        <f>DE50</f>
        <v>6.4009159034138216E-2</v>
      </c>
      <c r="T50" s="66">
        <f>DL50</f>
        <v>7.1536335403726711E-2</v>
      </c>
      <c r="U50" s="66">
        <f>DS50</f>
        <v>7.994732346241458E-2</v>
      </c>
      <c r="V50" s="66">
        <f>DZ50</f>
        <v>8.1411657393049355E-2</v>
      </c>
      <c r="W50" s="66">
        <f>EG50</f>
        <v>5.3332199918889558E-2</v>
      </c>
      <c r="X50" s="66">
        <f>EN50</f>
        <v>3.0199611506798625E-2</v>
      </c>
      <c r="Y50" s="66">
        <f>EU50</f>
        <v>2.2600391227030232E-2</v>
      </c>
      <c r="Z50" s="66">
        <f>FB50</f>
        <v>4.1515906288532668E-2</v>
      </c>
      <c r="AA50" s="66">
        <f>FI50</f>
        <v>5.6439495829244353E-2</v>
      </c>
      <c r="AB50" s="66">
        <f>FP50</f>
        <v>5.1013611735165852E-2</v>
      </c>
      <c r="AC50" s="66">
        <f>FW50</f>
        <v>5.6162056074766362E-2</v>
      </c>
      <c r="AD50" s="66">
        <f>GD50</f>
        <v>8.8535056621323091E-2</v>
      </c>
      <c r="AE50" s="66">
        <f>GK50</f>
        <v>0.12483274095755803</v>
      </c>
      <c r="AF50" s="66">
        <f>GR50</f>
        <v>0.12341774675972085</v>
      </c>
      <c r="AG50" s="66">
        <f>GY50</f>
        <v>0.12748111950244337</v>
      </c>
      <c r="AH50" s="66">
        <f>HF50</f>
        <v>0.12222099325295874</v>
      </c>
      <c r="AI50" s="66">
        <f>HM50</f>
        <v>0.14930424971793907</v>
      </c>
      <c r="AJ50" s="66">
        <f>HT50</f>
        <v>0.1526867069743677</v>
      </c>
      <c r="AK50" s="66">
        <f>IA50</f>
        <v>0.15436032664171487</v>
      </c>
      <c r="AL50" s="66">
        <f>IH50</f>
        <v>0.15383977442361918</v>
      </c>
      <c r="AM50" s="66">
        <f>IO50</f>
        <v>0.15210355987055016</v>
      </c>
      <c r="AN50" s="66">
        <f>IV50</f>
        <v>0.16662433324866649</v>
      </c>
      <c r="AO50" s="66">
        <f>JC50</f>
        <v>0.16118438883367966</v>
      </c>
      <c r="AP50" s="66">
        <f>JJ50</f>
        <v>0.18381837307152876</v>
      </c>
      <c r="AQ50" s="66">
        <f>JQ50</f>
        <v>0.27012244897959181</v>
      </c>
      <c r="AR50" s="66">
        <f>JX50</f>
        <v>0.27904833710312471</v>
      </c>
      <c r="AS50" s="66">
        <f>KE50</f>
        <v>0.26126807143532077</v>
      </c>
      <c r="AT50" s="66">
        <f>KL50</f>
        <v>0.2805807514773998</v>
      </c>
      <c r="AU50" s="66">
        <f>KS50</f>
        <v>0.45506658819939411</v>
      </c>
      <c r="AV50" s="66">
        <f>KZ50</f>
        <v>0.4005241319065298</v>
      </c>
      <c r="AW50" s="66">
        <f>LG50</f>
        <v>0.38663328616523346</v>
      </c>
      <c r="AX50" s="66">
        <f>LN50</f>
        <v>0.33054137898861724</v>
      </c>
      <c r="AY50" s="66">
        <f>LU50</f>
        <v>0.37637809416536949</v>
      </c>
      <c r="AZ50" s="66">
        <f>MB50</f>
        <v>0.4165901673873188</v>
      </c>
      <c r="BA50" s="66">
        <f>MI50</f>
        <v>0.43386973927759576</v>
      </c>
      <c r="BB50" s="66"/>
      <c r="BC50" s="66"/>
      <c r="BD50" s="66"/>
      <c r="BE50" s="66"/>
      <c r="BF50" s="66"/>
      <c r="BG50" s="66"/>
      <c r="BH50" s="66"/>
      <c r="BI50" s="66"/>
      <c r="BJ50" s="66"/>
      <c r="BK50" s="66"/>
      <c r="BL50" s="66"/>
      <c r="BM50" s="66"/>
      <c r="BN50" s="66"/>
      <c r="BO50" s="66"/>
      <c r="BQ50" s="65" t="s">
        <v>4</v>
      </c>
      <c r="BR50" s="66">
        <f>BR49/BR20</f>
        <v>4.1653107712333201E-2</v>
      </c>
      <c r="BS50" s="66">
        <f>BS49/BS20</f>
        <v>6.6869300911854099E-2</v>
      </c>
      <c r="BT50" s="66">
        <f>BT49/BT20</f>
        <v>4.9606424005494261E-2</v>
      </c>
      <c r="BU50" s="66">
        <f>BU49/BU20</f>
        <v>6.2085238165462298E-2</v>
      </c>
      <c r="BV50" s="66">
        <f>BV49/BV20</f>
        <v>5.5390574564235101E-2</v>
      </c>
      <c r="BX50" s="65" t="s">
        <v>4</v>
      </c>
      <c r="BY50" s="66">
        <f>BY49/BY20</f>
        <v>3.0770037217591889E-2</v>
      </c>
      <c r="BZ50" s="66">
        <f>BZ49/BZ20</f>
        <v>5.3202403634764805E-2</v>
      </c>
      <c r="CA50" s="66">
        <f>CA49/CA20</f>
        <v>4.8957828405235097E-2</v>
      </c>
      <c r="CB50" s="66">
        <f>CB49/CB20</f>
        <v>5.9293318102844238E-2</v>
      </c>
      <c r="CC50" s="66">
        <f>CC49/CC20</f>
        <v>4.8543767413251782E-2</v>
      </c>
      <c r="CE50" s="65" t="s">
        <v>4</v>
      </c>
      <c r="CF50" s="66">
        <f>CF49/CF20</f>
        <v>2.8222430182731593E-2</v>
      </c>
      <c r="CG50" s="66">
        <f>CG49/CG20</f>
        <v>5.4117647058823527E-2</v>
      </c>
      <c r="CH50" s="66">
        <f>CH49/CH20</f>
        <v>4.8936459703387947E-2</v>
      </c>
      <c r="CI50" s="66">
        <f>CI49/CI20</f>
        <v>5.8916567813364927E-2</v>
      </c>
      <c r="CJ50" s="66">
        <f>CJ49/CJ20</f>
        <v>4.7971932424765357E-2</v>
      </c>
      <c r="CL50" s="65" t="s">
        <v>4</v>
      </c>
      <c r="CM50" s="66">
        <f>CM49/CM20</f>
        <v>2.9907975460122742E-2</v>
      </c>
      <c r="CN50" s="66">
        <f>CN49/CN20</f>
        <v>5.8129969838223119E-2</v>
      </c>
      <c r="CO50" s="66">
        <f>CO49/CO20</f>
        <v>5.7941561667344162E-2</v>
      </c>
      <c r="CP50" s="66">
        <f>CP49/CP20</f>
        <v>6.7789061108141743E-2</v>
      </c>
      <c r="CQ50" s="66">
        <f>CQ49/CQ20</f>
        <v>5.3823519309373645E-2</v>
      </c>
      <c r="CS50" s="65" t="s">
        <v>4</v>
      </c>
      <c r="CT50" s="66">
        <f>CT49/CT20</f>
        <v>2.4631469881787868E-2</v>
      </c>
      <c r="CU50" s="66">
        <f>CU49/CU20</f>
        <v>6.7916500994035775E-2</v>
      </c>
      <c r="CV50" s="66">
        <f>CV49/CV20</f>
        <v>5.0788403984455187E-2</v>
      </c>
      <c r="CW50" s="66">
        <f>CW49/CW20</f>
        <v>6.5226781857451399E-2</v>
      </c>
      <c r="CX50" s="66">
        <f>CX49/CX20</f>
        <v>5.2651305855377216E-2</v>
      </c>
      <c r="CZ50" s="65" t="s">
        <v>4</v>
      </c>
      <c r="DA50" s="66">
        <f>DA49/DA20</f>
        <v>3.3228558599012123E-2</v>
      </c>
      <c r="DB50" s="66">
        <f>DB49/DB20</f>
        <v>6.8325601012231132E-2</v>
      </c>
      <c r="DC50" s="66">
        <f>DC49/DC20</f>
        <v>7.1659919028340083E-2</v>
      </c>
      <c r="DD50" s="66">
        <f>DD49/DD20</f>
        <v>7.9527559055118116E-2</v>
      </c>
      <c r="DE50" s="66">
        <f>DE49/DE20</f>
        <v>6.4009159034138216E-2</v>
      </c>
      <c r="DG50" s="65" t="s">
        <v>4</v>
      </c>
      <c r="DH50" s="66">
        <f>DH49/DH20</f>
        <v>4.9509001636661214E-2</v>
      </c>
      <c r="DI50" s="66">
        <f>DI49/DI20</f>
        <v>7.2185170655158892E-2</v>
      </c>
      <c r="DJ50" s="66">
        <f>DJ49/DJ20</f>
        <v>7.9358093041138028E-2</v>
      </c>
      <c r="DK50" s="66">
        <f>DK49/DK20</f>
        <v>8.3284132841328407E-2</v>
      </c>
      <c r="DL50" s="66">
        <f>DL49/DL20</f>
        <v>7.1536335403726711E-2</v>
      </c>
      <c r="DN50" s="65" t="s">
        <v>4</v>
      </c>
      <c r="DO50" s="66">
        <f>DO49/DO20</f>
        <v>5.8074781225139219E-2</v>
      </c>
      <c r="DP50" s="66">
        <f>DP49/DP20</f>
        <v>8.2831212574850294E-2</v>
      </c>
      <c r="DQ50" s="66">
        <f>DQ49/DQ20</f>
        <v>8.3868530411786935E-2</v>
      </c>
      <c r="DR50" s="66">
        <f>DR49/DR20</f>
        <v>9.3599704032556422E-2</v>
      </c>
      <c r="DS50" s="66">
        <f>DS49/DS20</f>
        <v>7.994732346241458E-2</v>
      </c>
      <c r="DU50" s="65" t="s">
        <v>4</v>
      </c>
      <c r="DV50" s="66">
        <f>DV49/DV20</f>
        <v>5.8823529411764705E-2</v>
      </c>
      <c r="DW50" s="66">
        <f>DW49/DW20</f>
        <v>8.4899178491411501E-2</v>
      </c>
      <c r="DX50" s="66">
        <f>DX49/DX20</f>
        <v>8.3122557726465374E-2</v>
      </c>
      <c r="DY50" s="66">
        <f>DY49/DY20</f>
        <v>9.6509128487771267E-2</v>
      </c>
      <c r="DZ50" s="66">
        <f>DZ49/DZ20</f>
        <v>8.1411657393049355E-2</v>
      </c>
      <c r="EB50" s="65" t="s">
        <v>4</v>
      </c>
      <c r="EC50" s="66">
        <f>EC49/EC20</f>
        <v>4.2047502047502051E-2</v>
      </c>
      <c r="ED50" s="66">
        <f>ED49/ED20</f>
        <v>6.8959366827377508E-2</v>
      </c>
      <c r="EE50" s="66">
        <f>EE49/EE20</f>
        <v>5.1667352820090572E-2</v>
      </c>
      <c r="EF50" s="66">
        <f>EF49/EF20</f>
        <v>5.0408000000000001E-2</v>
      </c>
      <c r="EG50" s="66">
        <f>EG49/EG20</f>
        <v>5.3332199918889558E-2</v>
      </c>
      <c r="EI50" s="65" t="s">
        <v>4</v>
      </c>
      <c r="EJ50" s="66">
        <f>EJ49/EJ20</f>
        <v>2.6166076347894529E-2</v>
      </c>
      <c r="EK50" s="66">
        <f>EK49/EK20</f>
        <v>3.669724770642202E-2</v>
      </c>
      <c r="EL50" s="66">
        <f>EL49/EL20</f>
        <v>4.2326221610461116E-2</v>
      </c>
      <c r="EM50" s="66">
        <f>EM49/EM20</f>
        <v>1.4919941775836972E-2</v>
      </c>
      <c r="EN50" s="66">
        <f>EN49/EN20</f>
        <v>3.0199611506798625E-2</v>
      </c>
      <c r="EP50" s="65" t="s">
        <v>4</v>
      </c>
      <c r="EQ50" s="66">
        <f>EQ49/EQ20</f>
        <v>1.0542291569632045E-2</v>
      </c>
      <c r="ER50" s="66">
        <f>ER49/ER20</f>
        <v>2.4977293369663943E-2</v>
      </c>
      <c r="ES50" s="66">
        <f>ES49/ES20</f>
        <v>2.8935752820009809E-2</v>
      </c>
      <c r="ET50" s="66">
        <f>ET49/ET20</f>
        <v>2.6380068392769906E-2</v>
      </c>
      <c r="EU50" s="66">
        <f>EU49/EU20</f>
        <v>2.2600391227030232E-2</v>
      </c>
      <c r="EW50" s="65" t="s">
        <v>4</v>
      </c>
      <c r="EX50" s="66">
        <f>EX49/EX20</f>
        <v>1.318222222222222E-2</v>
      </c>
      <c r="EY50" s="66">
        <f>EY49/EY20</f>
        <v>5.2503646086533788E-2</v>
      </c>
      <c r="EZ50" s="66">
        <f>EZ49/EZ20</f>
        <v>4.8538880633977217E-2</v>
      </c>
      <c r="FA50" s="66">
        <f>FA49/FA20</f>
        <v>5.1767048282727726E-2</v>
      </c>
      <c r="FB50" s="66">
        <f>FB49/FB20</f>
        <v>4.1515906288532668E-2</v>
      </c>
      <c r="FD50" s="65" t="s">
        <v>4</v>
      </c>
      <c r="FE50" s="66">
        <f>FE49/FE20</f>
        <v>3.4623217922606926E-2</v>
      </c>
      <c r="FF50" s="66">
        <f>FF49/FF20</f>
        <v>6.1695499276410999E-2</v>
      </c>
      <c r="FG50" s="66">
        <f>FG49/FG20</f>
        <v>6.1897810218978104E-2</v>
      </c>
      <c r="FH50" s="66">
        <f>FH49/FH20</f>
        <v>6.650485436893204E-2</v>
      </c>
      <c r="FI50" s="66">
        <f>FI49/FI20</f>
        <v>5.6439495829244353E-2</v>
      </c>
      <c r="FK50" s="65" t="s">
        <v>4</v>
      </c>
      <c r="FL50" s="66">
        <f>FL49/FL20</f>
        <v>1.8877551020408164E-2</v>
      </c>
      <c r="FM50" s="66">
        <f>FM49/FM20</f>
        <v>6.514830508474577E-2</v>
      </c>
      <c r="FN50" s="66">
        <f>FN49/FN20</f>
        <v>5.8705430608886451E-2</v>
      </c>
      <c r="FO50" s="66">
        <f>FO49/FO20</f>
        <v>6.2763713080168773E-2</v>
      </c>
      <c r="FP50" s="66">
        <f>FP49/FP20</f>
        <v>5.1013611735165852E-2</v>
      </c>
      <c r="FR50" s="65" t="s">
        <v>4</v>
      </c>
      <c r="FS50" s="66">
        <f>FS49/FS20</f>
        <v>3.125E-2</v>
      </c>
      <c r="FT50" s="66">
        <f>FT49/FT20</f>
        <v>6.6015288220551374E-2</v>
      </c>
      <c r="FU50" s="66">
        <f>FU49/FU20</f>
        <v>5.159958720330237E-2</v>
      </c>
      <c r="FV50" s="66">
        <f>FV49/FV20</f>
        <v>7.3204419889502756E-2</v>
      </c>
      <c r="FW50" s="66">
        <f>FW49/FW20</f>
        <v>5.6162056074766362E-2</v>
      </c>
      <c r="FY50" s="65" t="s">
        <v>4</v>
      </c>
      <c r="FZ50" s="66">
        <f>FZ49/FZ20</f>
        <v>7.3055028462998106E-2</v>
      </c>
      <c r="GA50" s="66">
        <f>GA49/GA20</f>
        <v>9.6086562121917171E-2</v>
      </c>
      <c r="GB50" s="66">
        <f>GB49/GB20</f>
        <v>7.7176470588235291E-2</v>
      </c>
      <c r="GC50" s="66">
        <f>GC49/GC20</f>
        <v>0.10680486705723299</v>
      </c>
      <c r="GD50" s="66">
        <f>GD49/GD20</f>
        <v>8.8535056621323091E-2</v>
      </c>
      <c r="GF50" s="65" t="s">
        <v>4</v>
      </c>
      <c r="GG50" s="66">
        <f>GG49/GG20</f>
        <v>0.10510510510510511</v>
      </c>
      <c r="GH50" s="66">
        <f>GH49/GH20</f>
        <v>0.16398182569186287</v>
      </c>
      <c r="GI50" s="66">
        <f>GI49/GI20</f>
        <v>0.10947063688999173</v>
      </c>
      <c r="GJ50" s="66">
        <f>GJ49/GJ20</f>
        <v>0.11997078464106845</v>
      </c>
      <c r="GK50" s="66">
        <f>GK49/GK20</f>
        <v>0.12483274095755803</v>
      </c>
      <c r="GM50" s="65" t="s">
        <v>4</v>
      </c>
      <c r="GN50" s="66">
        <f>GN49/GN20</f>
        <v>0.1028075970272502</v>
      </c>
      <c r="GO50" s="66">
        <f>GO49/GO20</f>
        <v>0.12806324110671938</v>
      </c>
      <c r="GP50" s="66">
        <f>GP49/GP20</f>
        <v>0.11875249900039984</v>
      </c>
      <c r="GQ50" s="66">
        <f>GQ49/GQ20</f>
        <v>0.14275514163756306</v>
      </c>
      <c r="GR50" s="66">
        <f>GR49/GR20</f>
        <v>0.12341774675972085</v>
      </c>
      <c r="GT50" s="65" t="s">
        <v>4</v>
      </c>
      <c r="GU50" s="66">
        <f>GU49/GU20</f>
        <v>0.12200516033910799</v>
      </c>
      <c r="GV50" s="66">
        <f>GV49/GV20</f>
        <v>0.1263845889232886</v>
      </c>
      <c r="GW50" s="66">
        <f>GW49/GW20</f>
        <v>0.12901046943600136</v>
      </c>
      <c r="GX50" s="66">
        <f>GX49/GX20</f>
        <v>0.13253552729992521</v>
      </c>
      <c r="GY50" s="66">
        <f>GY49/GY20</f>
        <v>0.12748111950244337</v>
      </c>
      <c r="HA50" s="65" t="s">
        <v>4</v>
      </c>
      <c r="HB50" s="66">
        <f>HB49/HB20</f>
        <v>0.10947930574098798</v>
      </c>
      <c r="HC50" s="66">
        <f>HC49/HC20</f>
        <v>0.12814645308924486</v>
      </c>
      <c r="HD50" s="66">
        <f>HD49/HD20</f>
        <v>0.12625600698995196</v>
      </c>
      <c r="HE50" s="66">
        <f>HE49/HE20</f>
        <v>0.125</v>
      </c>
      <c r="HF50" s="66">
        <f>HF49/HF20</f>
        <v>0.12222099325295874</v>
      </c>
      <c r="HH50" s="65" t="s">
        <v>4</v>
      </c>
      <c r="HI50" s="66">
        <f>HI49/HI20</f>
        <v>0.12203934162986753</v>
      </c>
      <c r="HJ50" s="66">
        <f>HJ49/HJ20</f>
        <v>0.15696582801351858</v>
      </c>
      <c r="HK50" s="66">
        <f>HK49/HK20</f>
        <v>0.16354088522130533</v>
      </c>
      <c r="HL50" s="66">
        <f>HL49/HL20</f>
        <v>0.15269886363636365</v>
      </c>
      <c r="HM50" s="66">
        <f>HM49/HM20</f>
        <v>0.14930424971793907</v>
      </c>
      <c r="HO50" s="65" t="s">
        <v>4</v>
      </c>
      <c r="HP50" s="66">
        <f>HP49/HP20</f>
        <v>0.14056939501779359</v>
      </c>
      <c r="HQ50" s="66">
        <f>HQ49/HQ20</f>
        <v>0.16296787015568068</v>
      </c>
      <c r="HR50" s="66">
        <f>HR49/HR20</f>
        <v>0.15659804252446843</v>
      </c>
      <c r="HS50" s="66">
        <f>HS49/HS20</f>
        <v>0.14977973568281938</v>
      </c>
      <c r="HT50" s="66">
        <f>HT49/HT20</f>
        <v>0.1526867069743677</v>
      </c>
      <c r="HV50" s="65" t="s">
        <v>4</v>
      </c>
      <c r="HW50" s="66">
        <f>HW49/HW20</f>
        <v>0.15138233310856372</v>
      </c>
      <c r="HX50" s="66">
        <f>HX49/HX20</f>
        <v>0.16699867197875165</v>
      </c>
      <c r="HY50" s="66">
        <f>HY49/HY20</f>
        <v>0.15722183828610919</v>
      </c>
      <c r="HZ50" s="66">
        <f>HZ49/HZ20</f>
        <v>0.1413522884882108</v>
      </c>
      <c r="IA50" s="66">
        <f>IA49/IA20</f>
        <v>0.15436032664171487</v>
      </c>
      <c r="IC50" s="65" t="s">
        <v>4</v>
      </c>
      <c r="ID50" s="66">
        <f>ID49/ID20</f>
        <v>0.15517241379310345</v>
      </c>
      <c r="IE50" s="66">
        <f>IE49/IE20</f>
        <v>0.16878462039752362</v>
      </c>
      <c r="IF50" s="66">
        <f>IF49/IF20</f>
        <v>0.15071690563521173</v>
      </c>
      <c r="IG50" s="66">
        <f>IG49/IG20</f>
        <v>0.14050131926121373</v>
      </c>
      <c r="IH50" s="66">
        <f>IH49/IH20</f>
        <v>0.15383977442361918</v>
      </c>
      <c r="IJ50" s="65" t="s">
        <v>4</v>
      </c>
      <c r="IK50" s="66">
        <f>IK49/IK20</f>
        <v>0.13213811420982735</v>
      </c>
      <c r="IL50" s="66">
        <f>IL49/IL20</f>
        <v>0.16307028360049322</v>
      </c>
      <c r="IM50" s="66">
        <f>IM49/IM20</f>
        <v>0.15802545793231915</v>
      </c>
      <c r="IN50" s="66">
        <f>IN49/IN20</f>
        <v>0.15382205513784461</v>
      </c>
      <c r="IO50" s="66">
        <f>IO49/IO20</f>
        <v>0.15210355987055016</v>
      </c>
      <c r="IQ50" s="65" t="s">
        <v>4</v>
      </c>
      <c r="IR50" s="66">
        <f>IR49/IR20</f>
        <v>0.14601916088536504</v>
      </c>
      <c r="IS50" s="66">
        <f>IS49/IS20</f>
        <v>0.18048302872062663</v>
      </c>
      <c r="IT50" s="66">
        <f>IT49/IT20</f>
        <v>0.17250765566519224</v>
      </c>
      <c r="IU50" s="66">
        <f>IU49/IU20</f>
        <v>0.1675656238763035</v>
      </c>
      <c r="IV50" s="66">
        <f>IV49/IV20</f>
        <v>0.16662433324866649</v>
      </c>
      <c r="IX50" s="65" t="s">
        <v>4</v>
      </c>
      <c r="IY50" s="66">
        <f>IY49/IY20</f>
        <v>0.1359816653934301</v>
      </c>
      <c r="IZ50" s="66">
        <f>IZ49/IZ20</f>
        <v>0.16457100591715976</v>
      </c>
      <c r="JA50" s="66">
        <f>JA49/JA20</f>
        <v>0.16789667896678967</v>
      </c>
      <c r="JB50" s="66">
        <f>JB49/JB20</f>
        <v>0.17390516957523872</v>
      </c>
      <c r="JC50" s="66">
        <f>JC49/JC20</f>
        <v>0.16118438883367966</v>
      </c>
      <c r="JE50" s="65" t="s">
        <v>4</v>
      </c>
      <c r="JF50" s="66">
        <f>JF49/JF20</f>
        <v>0.16382014639247125</v>
      </c>
      <c r="JG50" s="66">
        <f>JG49/JG20</f>
        <v>0.20150017047391749</v>
      </c>
      <c r="JH50" s="66">
        <f>JH49/JH20</f>
        <v>0.16879329201604082</v>
      </c>
      <c r="JI50" s="66">
        <f>JI49/JI20</f>
        <v>0.20013971358714636</v>
      </c>
      <c r="JJ50" s="66">
        <f>JJ49/JJ20</f>
        <v>0.18381837307152876</v>
      </c>
      <c r="JL50" s="65" t="s">
        <v>4</v>
      </c>
      <c r="JM50" s="66">
        <f>JM49/JM20</f>
        <v>0.24165507649513213</v>
      </c>
      <c r="JN50" s="66">
        <f>JN49/JN20</f>
        <v>0.28272082527401676</v>
      </c>
      <c r="JO50" s="66">
        <f>JO49/JO20</f>
        <v>0.2857142857142857</v>
      </c>
      <c r="JP50" s="66">
        <f>JP49/JP20</f>
        <v>0.26821508113267578</v>
      </c>
      <c r="JQ50" s="66">
        <f>JQ49/JQ20</f>
        <v>0.27012244897959181</v>
      </c>
      <c r="JS50" s="65" t="s">
        <v>4</v>
      </c>
      <c r="JT50" s="66">
        <f>JT49/JT20</f>
        <v>0.27680053103219382</v>
      </c>
      <c r="JU50" s="66">
        <f>JU49/JU20</f>
        <v>0.28422084286180987</v>
      </c>
      <c r="JV50" s="66">
        <f>JV49/JV20</f>
        <v>0.28744123572867697</v>
      </c>
      <c r="JW50" s="66">
        <f>JW49/JW20</f>
        <v>0.26724436741767765</v>
      </c>
      <c r="JX50" s="66">
        <f>JX49/JX20</f>
        <v>0.27904833710312471</v>
      </c>
      <c r="JZ50" s="65" t="s">
        <v>4</v>
      </c>
      <c r="KA50" s="66">
        <f>KA49/KA20</f>
        <v>0.26970227670753066</v>
      </c>
      <c r="KB50" s="66">
        <f>KB49/KB20</f>
        <v>0.2212860310421286</v>
      </c>
      <c r="KC50" s="66">
        <f>KC49/KC20</f>
        <v>0.27794561933534745</v>
      </c>
      <c r="KD50" s="66">
        <f>KD49/KD20</f>
        <v>0.26902654867256637</v>
      </c>
      <c r="KE50" s="66">
        <f>KE49/KE20</f>
        <v>0.26126807143532077</v>
      </c>
      <c r="KG50" s="65" t="s">
        <v>4</v>
      </c>
      <c r="KH50" s="66">
        <f>KH49/KH20</f>
        <v>0.25097760398151442</v>
      </c>
      <c r="KI50" s="66">
        <f>KI49/KI20</f>
        <v>0.3028201237458194</v>
      </c>
      <c r="KJ50" s="66">
        <f>KJ49/KJ20</f>
        <v>0.29404617253948967</v>
      </c>
      <c r="KK50" s="66">
        <f>KK49/KK20</f>
        <v>0.27254158155821417</v>
      </c>
      <c r="KL50" s="66">
        <f>KL49/KL20</f>
        <v>0.2805807514773998</v>
      </c>
      <c r="KN50" s="65" t="s">
        <v>4</v>
      </c>
      <c r="KO50" s="66">
        <f>KO49/KO20</f>
        <v>0.25168473483738646</v>
      </c>
      <c r="KP50" s="66">
        <f>KP49/KP20</f>
        <v>0.28460186043538022</v>
      </c>
      <c r="KQ50" s="66">
        <f>KQ49/KQ20</f>
        <v>0.2852374839537869</v>
      </c>
      <c r="KR50" s="66">
        <f>KR49/KR20</f>
        <v>0.27292225201072384</v>
      </c>
      <c r="KS50" s="66">
        <f>KS49/KS23</f>
        <v>0.45506658819939411</v>
      </c>
      <c r="KU50" s="65" t="s">
        <v>4</v>
      </c>
      <c r="KV50" s="66">
        <f>KV49/KV20</f>
        <v>0.26281705342687534</v>
      </c>
      <c r="KW50" s="66">
        <f>KW49/KW20</f>
        <v>0.26601784266017842</v>
      </c>
      <c r="KX50" s="66">
        <f>KX49/KX20</f>
        <v>0.23180291153415453</v>
      </c>
      <c r="KY50" s="66">
        <f>KY49/KY20</f>
        <v>0.23967391304347826</v>
      </c>
      <c r="KZ50" s="66">
        <f>KZ49/KZ23</f>
        <v>0.4005241319065298</v>
      </c>
      <c r="LB50" s="65" t="s">
        <v>4</v>
      </c>
      <c r="LC50" s="66">
        <f>LC49/LC20</f>
        <v>0.23906547133930997</v>
      </c>
      <c r="LD50" s="49">
        <f>LD49/LD20</f>
        <v>0.26019994596055118</v>
      </c>
      <c r="LE50" s="49">
        <f>LE49/LE20</f>
        <v>0.24702956617850236</v>
      </c>
      <c r="LF50" s="49">
        <f>LF49/LF20</f>
        <v>0.23029104266742018</v>
      </c>
      <c r="LG50" s="49">
        <f>LG49/LG23</f>
        <v>0.38663328616523346</v>
      </c>
      <c r="LH50" s="566"/>
      <c r="LI50" s="71" t="s">
        <v>4</v>
      </c>
      <c r="LJ50" s="49">
        <f>LJ49/LJ20</f>
        <v>0.18872334209757521</v>
      </c>
      <c r="LK50" s="49">
        <f>LK49/LK20</f>
        <v>0.23195299384443202</v>
      </c>
      <c r="LL50" s="49">
        <f>LL49/LL20</f>
        <v>0.23555896292166156</v>
      </c>
      <c r="LM50" s="49">
        <f>LM49/LM20</f>
        <v>0.21684596698230132</v>
      </c>
      <c r="LN50" s="49">
        <f>LN49/LN23</f>
        <v>0.33054137898861724</v>
      </c>
      <c r="LO50" s="566"/>
      <c r="LP50" s="71" t="s">
        <v>4</v>
      </c>
      <c r="LQ50" s="49">
        <f>LQ49/LQ20</f>
        <v>0.21590417886561875</v>
      </c>
      <c r="LR50" s="49">
        <f>LR49/LR20</f>
        <v>0.24673163296924433</v>
      </c>
      <c r="LS50" s="49">
        <f>LS49/LS20</f>
        <v>0.25051944648477675</v>
      </c>
      <c r="LT50" s="49">
        <f>LT49/LT20</f>
        <v>0.24274657668630284</v>
      </c>
      <c r="LU50" s="49">
        <f>LU49/LU23</f>
        <v>0.37637809416536949</v>
      </c>
      <c r="LV50" s="566"/>
      <c r="LW50" s="71" t="s">
        <v>4</v>
      </c>
      <c r="LX50" s="49">
        <f>LX49/LX20</f>
        <v>0.23412611703977648</v>
      </c>
      <c r="LY50" s="49">
        <f>LY49/LY20</f>
        <v>0.26380233828438082</v>
      </c>
      <c r="LZ50" s="49">
        <f>LZ49/LZ20</f>
        <v>0.2686535726391403</v>
      </c>
      <c r="MA50" s="49">
        <f>MA49/MA20</f>
        <v>0.25594553401081893</v>
      </c>
      <c r="MB50" s="49">
        <f>MB49/MB23</f>
        <v>0.4165901673873188</v>
      </c>
      <c r="MC50" s="566"/>
      <c r="MD50" s="71" t="s">
        <v>4</v>
      </c>
      <c r="ME50" s="49">
        <f>ME49/ME20</f>
        <v>0.24393108866265861</v>
      </c>
      <c r="MF50" s="49">
        <f>MF49/MF20</f>
        <v>0.27046603215563558</v>
      </c>
      <c r="MG50" s="49">
        <f>MG49/MG20</f>
        <v>0.27332752286453621</v>
      </c>
      <c r="MH50" s="49">
        <f>MH49/MH20</f>
        <v>0.2622731822685872</v>
      </c>
      <c r="MI50" s="49">
        <f>MI49/MI23</f>
        <v>0.43386973927759576</v>
      </c>
      <c r="MJ50" s="566"/>
    </row>
    <row r="51" spans="1:349" s="50" customFormat="1" x14ac:dyDescent="0.4">
      <c r="A51" s="48"/>
      <c r="B51" s="65" t="s">
        <v>3</v>
      </c>
      <c r="C51" s="66"/>
      <c r="D51" s="66">
        <f t="shared" ref="D51:M51" si="138">D49/C49-1</f>
        <v>0.83234159716928158</v>
      </c>
      <c r="E51" s="66">
        <f t="shared" si="138"/>
        <v>4.7500776156473856E-2</v>
      </c>
      <c r="F51" s="66">
        <f t="shared" si="138"/>
        <v>0.34765856550089014</v>
      </c>
      <c r="G51" s="66">
        <f t="shared" si="138"/>
        <v>-0.3886078733230699</v>
      </c>
      <c r="H51" s="66">
        <f t="shared" si="138"/>
        <v>-0.19424460431654678</v>
      </c>
      <c r="I51" s="66">
        <f t="shared" si="138"/>
        <v>0.6026785714285714</v>
      </c>
      <c r="J51" s="66">
        <f t="shared" si="138"/>
        <v>3.0640668523676862E-2</v>
      </c>
      <c r="K51" s="66">
        <f t="shared" si="138"/>
        <v>-0.15135135135135136</v>
      </c>
      <c r="L51" s="66">
        <f t="shared" si="138"/>
        <v>0.18789808917197459</v>
      </c>
      <c r="M51" s="66">
        <f t="shared" si="138"/>
        <v>0.21715817694369965</v>
      </c>
      <c r="N51" s="66">
        <f>BV51</f>
        <v>-5.506607929515217E-2</v>
      </c>
      <c r="O51" s="66">
        <f>CC51</f>
        <v>-7.1522144522144337E-2</v>
      </c>
      <c r="P51" s="66">
        <f>CJ51</f>
        <v>4.0126331539954707E-2</v>
      </c>
      <c r="Q51" s="66">
        <f>CQ51</f>
        <v>0.13468501086169238</v>
      </c>
      <c r="R51" s="66">
        <f>CX51</f>
        <v>1.3380131886824298E-3</v>
      </c>
      <c r="S51" s="66">
        <f>DE51</f>
        <v>0.30648419791429893</v>
      </c>
      <c r="T51" s="66">
        <f>DL51</f>
        <v>0.1985534959349593</v>
      </c>
      <c r="U51" s="66">
        <f>DS51</f>
        <v>0.14273926945000381</v>
      </c>
      <c r="V51" s="66">
        <f>DZ51</f>
        <v>5.9586264209182893E-2</v>
      </c>
      <c r="W51" s="66">
        <f>EG51</f>
        <v>-0.41075697981865888</v>
      </c>
      <c r="X51" s="66">
        <f>EN51</f>
        <v>-0.37919276978631034</v>
      </c>
      <c r="Y51" s="66">
        <f>EU51</f>
        <v>-0.41610625811668411</v>
      </c>
      <c r="Z51" s="66">
        <f>FB51</f>
        <v>0.76617744026127488</v>
      </c>
      <c r="AA51" s="66">
        <f>FI51</f>
        <v>0.3665071845652137</v>
      </c>
      <c r="AB51" s="66">
        <f>FP51</f>
        <v>-0.16099893941415588</v>
      </c>
      <c r="AC51" s="66">
        <f>FW51</f>
        <v>0.16755738044660906</v>
      </c>
      <c r="AD51" s="66">
        <f>GD51</f>
        <v>0.6895699516641316</v>
      </c>
      <c r="AE51" s="66">
        <f>GK51</f>
        <v>0.56817550525960825</v>
      </c>
      <c r="AF51" s="66">
        <f>GR51</f>
        <v>3.6620190093371807E-2</v>
      </c>
      <c r="AG51" s="66">
        <f>GY51</f>
        <v>0.15907842440301168</v>
      </c>
      <c r="AH51" s="66">
        <f>HF51</f>
        <v>-0.22985781990521337</v>
      </c>
      <c r="AI51" s="66">
        <f>HM51</f>
        <v>0.43710407239819005</v>
      </c>
      <c r="AJ51" s="66">
        <f>HT51</f>
        <v>0.12909319899244331</v>
      </c>
      <c r="AK51" s="66">
        <f>IA51</f>
        <v>1.208031232571094E-2</v>
      </c>
      <c r="AL51" s="66">
        <f>IH51</f>
        <v>2.2230059625494736E-2</v>
      </c>
      <c r="AM51" s="66">
        <f>IO51</f>
        <v>3.8814016172506793E-2</v>
      </c>
      <c r="AN51" s="66">
        <f>IV51</f>
        <v>2.1276595744680771E-2</v>
      </c>
      <c r="AO51" s="66">
        <f>JC51</f>
        <v>-9.3419715447154439E-2</v>
      </c>
      <c r="AP51" s="66">
        <f>JJ51</f>
        <v>0.17534960625507945</v>
      </c>
      <c r="AQ51" s="66">
        <f>JQ51</f>
        <v>0.57796852646638053</v>
      </c>
      <c r="AR51" s="66">
        <f>JX51</f>
        <v>6.6485343003928055E-3</v>
      </c>
      <c r="AS51" s="66">
        <f>KE51</f>
        <v>-0.16991894326028223</v>
      </c>
      <c r="AT51" s="66">
        <f>KL51</f>
        <v>0.270680712477396</v>
      </c>
      <c r="AU51" s="66">
        <f>KS51</f>
        <v>0.15948050238322264</v>
      </c>
      <c r="AV51" s="66">
        <f>KZ51</f>
        <v>-9.960245234217846E-2</v>
      </c>
      <c r="AW51" s="66">
        <f>LG51</f>
        <v>-3.1624863685932425E-2</v>
      </c>
      <c r="AX51" s="66">
        <f>LN51</f>
        <v>-0.1327011114375245</v>
      </c>
      <c r="AY51" s="66">
        <f>LU51</f>
        <v>0.12604470303174753</v>
      </c>
      <c r="AZ51" s="66">
        <f>MB51</f>
        <v>0.12008178397226743</v>
      </c>
      <c r="BA51" s="66">
        <f>MI51</f>
        <v>7.1792112775759476E-2</v>
      </c>
      <c r="BB51" s="66"/>
      <c r="BC51" s="66"/>
      <c r="BD51" s="66"/>
      <c r="BE51" s="66"/>
      <c r="BF51" s="66"/>
      <c r="BG51" s="66"/>
      <c r="BH51" s="66"/>
      <c r="BI51" s="66"/>
      <c r="BJ51" s="66"/>
      <c r="BK51" s="66"/>
      <c r="BL51" s="66"/>
      <c r="BM51" s="66"/>
      <c r="BN51" s="66"/>
      <c r="BO51" s="66"/>
      <c r="BQ51" s="65" t="s">
        <v>3</v>
      </c>
      <c r="BR51" s="66">
        <f>BR49/I49-1</f>
        <v>-0.78607242339832883</v>
      </c>
      <c r="BS51" s="66">
        <f>BS49/J49-1</f>
        <v>-0.64324324324324322</v>
      </c>
      <c r="BT51" s="66">
        <f>BT49/K49-1</f>
        <v>-0.70095541401273853</v>
      </c>
      <c r="BU51" s="66">
        <f>BU49/L49-1</f>
        <v>-0.6613941018766758</v>
      </c>
      <c r="BV51" s="66">
        <f>BV49/M49-1</f>
        <v>-5.506607929515217E-2</v>
      </c>
      <c r="BX51" s="65" t="s">
        <v>3</v>
      </c>
      <c r="BY51" s="66">
        <f>BY49/BR49-1</f>
        <v>-0.23567708333333226</v>
      </c>
      <c r="BZ51" s="66">
        <f>BZ49/BS49-1</f>
        <v>-0.17499999999999927</v>
      </c>
      <c r="CA51" s="66">
        <f>CA49/BT49-1</f>
        <v>7.561235356762408E-2</v>
      </c>
      <c r="CB51" s="66">
        <f>CB49/BU49-1</f>
        <v>2.7054631828979714E-2</v>
      </c>
      <c r="CC51" s="66">
        <f>CC49/BV49-1</f>
        <v>-7.1522144522144337E-2</v>
      </c>
      <c r="CE51" s="65" t="s">
        <v>3</v>
      </c>
      <c r="CF51" s="66">
        <f>CF49/BY49-1</f>
        <v>-2.3850085178877212E-2</v>
      </c>
      <c r="CG51" s="66">
        <f>CG49/BZ49-1</f>
        <v>5.6014692378327791E-2</v>
      </c>
      <c r="CH51" s="66">
        <f>CH49/CA49-1</f>
        <v>6.8316831683169266E-2</v>
      </c>
      <c r="CI51" s="66">
        <f>CI49/CB49-1</f>
        <v>3.3788940539789092E-2</v>
      </c>
      <c r="CJ51" s="66">
        <f>CJ49/CC49-1</f>
        <v>4.0126331539954707E-2</v>
      </c>
      <c r="CL51" s="65" t="s">
        <v>3</v>
      </c>
      <c r="CM51" s="66">
        <f>CM49/CF49-1</f>
        <v>8.9005235602096722E-2</v>
      </c>
      <c r="CN51" s="66">
        <f>CN49/CG49-1</f>
        <v>0.1060869565217375</v>
      </c>
      <c r="CO51" s="66">
        <f>CO49/CH49-1</f>
        <v>0.1890639481000933</v>
      </c>
      <c r="CP51" s="66">
        <f>CP49/CI49-1</f>
        <v>0.13497390007457066</v>
      </c>
      <c r="CQ51" s="66">
        <f>CQ49/CJ49-1</f>
        <v>0.13468501086169238</v>
      </c>
      <c r="CS51" s="65" t="s">
        <v>3</v>
      </c>
      <c r="CT51" s="66">
        <f>CT49/CM49-1</f>
        <v>-0.16185897435897267</v>
      </c>
      <c r="CU51" s="66">
        <f>CU49/CN49-1</f>
        <v>0.20856132075471856</v>
      </c>
      <c r="CV51" s="66">
        <f>CV49/CO49-1</f>
        <v>-0.11379579111457794</v>
      </c>
      <c r="CW51" s="66">
        <f>CW49/CP49-1</f>
        <v>-7.8843626806821554E-3</v>
      </c>
      <c r="CX51" s="66">
        <f>CX49/CQ49-1</f>
        <v>1.3380131886824298E-3</v>
      </c>
      <c r="CZ51" s="65" t="s">
        <v>3</v>
      </c>
      <c r="DA51" s="66">
        <f>DA49/CT49-1</f>
        <v>0.41491395793498542</v>
      </c>
      <c r="DB51" s="66">
        <f>DB49/CU49-1</f>
        <v>5.3802470581347794E-2</v>
      </c>
      <c r="DC51" s="66">
        <f>DC49/CV49-1</f>
        <v>0.55672823218997602</v>
      </c>
      <c r="DD51" s="66">
        <f>DD49/CW49-1</f>
        <v>0.33774834437086088</v>
      </c>
      <c r="DE51" s="66">
        <f>DE49/CX49-1</f>
        <v>0.30648419791429893</v>
      </c>
      <c r="DG51" s="65" t="s">
        <v>3</v>
      </c>
      <c r="DH51" s="66">
        <f>DH49/DA49-1</f>
        <v>0.63513513513513509</v>
      </c>
      <c r="DI51" s="66">
        <f>DI49/DB49-1</f>
        <v>0.13580246913580241</v>
      </c>
      <c r="DJ51" s="66">
        <f>DJ49/DC49-1</f>
        <v>0.16616045197740115</v>
      </c>
      <c r="DK51" s="66">
        <f>DK49/DD49-1</f>
        <v>0.11732673267326721</v>
      </c>
      <c r="DL51" s="66">
        <f>DL49/DE49-1</f>
        <v>0.1985534959349593</v>
      </c>
      <c r="DN51" s="65" t="s">
        <v>3</v>
      </c>
      <c r="DO51" s="66">
        <f>DO49/DH49-1</f>
        <v>0.20661157024793386</v>
      </c>
      <c r="DP51" s="66">
        <f>DP49/DI49-1</f>
        <v>0.20285326086956523</v>
      </c>
      <c r="DQ51" s="66">
        <f>DQ49/DJ49-1</f>
        <v>7.552720211772268E-2</v>
      </c>
      <c r="DR51" s="66">
        <f>DR49/DK49-1</f>
        <v>0.12095702259636698</v>
      </c>
      <c r="DS51" s="66">
        <f>DS49/DL49-1</f>
        <v>0.14273926945000381</v>
      </c>
      <c r="DU51" s="65" t="s">
        <v>3</v>
      </c>
      <c r="DV51" s="66">
        <f>DV49/DO49-1</f>
        <v>3.4246575342465668E-2</v>
      </c>
      <c r="DW51" s="66">
        <f>DW49/DP49-1</f>
        <v>2.7267592906359495E-2</v>
      </c>
      <c r="DX51" s="66">
        <f>DX49/DQ49-1</f>
        <v>5.4009009009009068E-2</v>
      </c>
      <c r="DY51" s="66">
        <f>DY49/DR49-1</f>
        <v>0.10737549407114622</v>
      </c>
      <c r="DZ51" s="66">
        <f>DZ49/DS49-1</f>
        <v>5.9586264209182893E-2</v>
      </c>
      <c r="EB51" s="65" t="s">
        <v>3</v>
      </c>
      <c r="EC51" s="66">
        <f>EC49/DV49-1</f>
        <v>-0.31999999999999995</v>
      </c>
      <c r="ED51" s="66">
        <f>ED49/DW49-1</f>
        <v>-0.24477118490424887</v>
      </c>
      <c r="EE51" s="66">
        <f>EE49/DX49-1</f>
        <v>-0.46365229283302711</v>
      </c>
      <c r="EF51" s="66">
        <f>EF49/DY49-1</f>
        <v>-0.5501952413926029</v>
      </c>
      <c r="EG51" s="66">
        <f>EG49/DZ49-1</f>
        <v>-0.41075697981865888</v>
      </c>
      <c r="EI51" s="65" t="s">
        <v>3</v>
      </c>
      <c r="EJ51" s="66">
        <f>EJ49/EC49-1</f>
        <v>-0.35247370471367356</v>
      </c>
      <c r="EK51" s="66">
        <f>EK49/ED49-1</f>
        <v>-0.44091399557103383</v>
      </c>
      <c r="EL51" s="66">
        <f>EL49/EE49-1</f>
        <v>-1.9920318725099584E-2</v>
      </c>
      <c r="EM51" s="66">
        <f>EM49/EF49-1</f>
        <v>-0.67465481669576266</v>
      </c>
      <c r="EN51" s="66">
        <f>EN49/EG49-1</f>
        <v>-0.37919276978631034</v>
      </c>
      <c r="EP51" s="65" t="s">
        <v>3</v>
      </c>
      <c r="EQ51" s="66">
        <f>EQ49/EJ49-1</f>
        <v>-0.65957315605823608</v>
      </c>
      <c r="ER51" s="66">
        <f>ER49/EK49-1</f>
        <v>-0.42708333333333337</v>
      </c>
      <c r="ES51" s="66">
        <f>ES49/EL49-1</f>
        <v>-0.52032520325203246</v>
      </c>
      <c r="ET51" s="66">
        <f>ET49/EM49-1</f>
        <v>0.31707317073170738</v>
      </c>
      <c r="EU51" s="66">
        <f>EU49/EN49-1</f>
        <v>-0.41610625811668411</v>
      </c>
      <c r="EW51" s="65" t="s">
        <v>3</v>
      </c>
      <c r="EX51" s="66">
        <f>EX49/EQ49-1</f>
        <v>0.17936052804813918</v>
      </c>
      <c r="EY51" s="66">
        <f>EY49/ER49-1</f>
        <v>0.96363636363636362</v>
      </c>
      <c r="EZ51" s="66">
        <f>EZ49/ES49-1</f>
        <v>0.66101694915254239</v>
      </c>
      <c r="FA51" s="66">
        <f>FA49/ET49-1</f>
        <v>0.92592592592592582</v>
      </c>
      <c r="FB51" s="66">
        <f>FB49/EU49-1</f>
        <v>0.76617744026127488</v>
      </c>
      <c r="FD51" s="65" t="s">
        <v>3</v>
      </c>
      <c r="FE51" s="66">
        <f>FE49/EX49-1</f>
        <v>1.5473889263504912</v>
      </c>
      <c r="FF51" s="66">
        <f>FF49/EY49-1</f>
        <v>0.18421083333333321</v>
      </c>
      <c r="FG51" s="66">
        <f>FG49/EZ49-1</f>
        <v>0.29795918367346941</v>
      </c>
      <c r="FH51" s="66">
        <f>FH49/FA49-1</f>
        <v>0.31730769230769229</v>
      </c>
      <c r="FI51" s="66">
        <f>FI49/FB49-1</f>
        <v>0.3665071845652137</v>
      </c>
      <c r="FK51" s="65" t="s">
        <v>3</v>
      </c>
      <c r="FL51" s="66">
        <f>FL49/FE49-1</f>
        <v>-0.45588235294117652</v>
      </c>
      <c r="FM51" s="66">
        <f>FM49/FF49-1</f>
        <v>-3.8271854275198192E-2</v>
      </c>
      <c r="FN51" s="66">
        <f>FN49/FG49-1</f>
        <v>-0.15864779874213841</v>
      </c>
      <c r="FO51" s="66">
        <f>FO49/FH49-1</f>
        <v>-0.13138686131386856</v>
      </c>
      <c r="FP51" s="66">
        <f>FP49/FI49-1</f>
        <v>-0.16099893941415588</v>
      </c>
      <c r="FR51" s="65" t="s">
        <v>3</v>
      </c>
      <c r="FS51" s="66">
        <f>FS49/FL49-1</f>
        <v>0.62162162162162171</v>
      </c>
      <c r="FT51" s="66">
        <f>FT49/FM49-1</f>
        <v>7.0735772357723548E-2</v>
      </c>
      <c r="FU51" s="66">
        <f>FU49/FN49-1</f>
        <v>-6.5595215847505051E-2</v>
      </c>
      <c r="FV51" s="66">
        <f>FV49/FO49-1</f>
        <v>0.33613445378151252</v>
      </c>
      <c r="FW51" s="66">
        <f>FW49/FP49-1</f>
        <v>0.16755738044660906</v>
      </c>
      <c r="FY51" s="65" t="s">
        <v>3</v>
      </c>
      <c r="FZ51" s="66">
        <f>FZ49/FS49-1</f>
        <v>1.5666666666666669</v>
      </c>
      <c r="GA51" s="66">
        <f>GA49/FT49-1</f>
        <v>0.56787576356961433</v>
      </c>
      <c r="GB51" s="66">
        <f>GB49/FU49-1</f>
        <v>0.6399999999999999</v>
      </c>
      <c r="GC51" s="66">
        <f>GC49/FV49-1</f>
        <v>0.49056603773584895</v>
      </c>
      <c r="GD51" s="66">
        <f>GD49/FW49-1</f>
        <v>0.6895699516641316</v>
      </c>
      <c r="GF51" s="65" t="s">
        <v>3</v>
      </c>
      <c r="GG51" s="66">
        <f>GG49/FZ49-1</f>
        <v>0.59090909090909083</v>
      </c>
      <c r="GH51" s="66">
        <f>GH49/GA49-1</f>
        <v>0.92261105962785939</v>
      </c>
      <c r="GI51" s="66">
        <f>GI49/GB49-1</f>
        <v>0.61402439024390243</v>
      </c>
      <c r="GJ51" s="66">
        <f>GJ49/GC49-1</f>
        <v>0.21286919831223616</v>
      </c>
      <c r="GK51" s="66">
        <f>GK49/GD49-1</f>
        <v>0.56817550525960825</v>
      </c>
      <c r="GM51" s="65" t="s">
        <v>3</v>
      </c>
      <c r="GN51" s="66">
        <f>GN49/GG49-1</f>
        <v>1.6326530612244872E-2</v>
      </c>
      <c r="GO51" s="66">
        <f>GO49/GH49-1</f>
        <v>-0.18387909319899243</v>
      </c>
      <c r="GP51" s="66">
        <f>GP49/GI49-1</f>
        <v>0.12202493388741975</v>
      </c>
      <c r="GQ51" s="66">
        <f>GQ49/GJ49-1</f>
        <v>0.2798051835101758</v>
      </c>
      <c r="GR51" s="66">
        <f>GR49/GK49-1</f>
        <v>3.6620190093371807E-2</v>
      </c>
      <c r="GT51" s="65" t="s">
        <v>3</v>
      </c>
      <c r="GU51" s="66">
        <f>GU49/GN49-1</f>
        <v>0.32931726907630532</v>
      </c>
      <c r="GV51" s="66">
        <f>GV49/GO49-1</f>
        <v>0.13395061728395063</v>
      </c>
      <c r="GW51" s="66">
        <f>GW49/GP49-1</f>
        <v>0.28619528619528611</v>
      </c>
      <c r="GX51" s="66">
        <f>GX49/GQ49-1</f>
        <v>-3.6642383385886768E-2</v>
      </c>
      <c r="GY51" s="66">
        <f>GY49/GR49-1</f>
        <v>0.15907842440301168</v>
      </c>
      <c r="HA51" s="65" t="s">
        <v>3</v>
      </c>
      <c r="HB51" s="66">
        <f>HB49/GU49-1</f>
        <v>-0.25679758308157097</v>
      </c>
      <c r="HC51" s="66">
        <f>HC49/GV49-1</f>
        <v>-0.23788786064235157</v>
      </c>
      <c r="HD51" s="66">
        <f>HD49/GW49-1</f>
        <v>-0.24345549738219896</v>
      </c>
      <c r="HE51" s="66">
        <f>HE49/GX49-1</f>
        <v>-0.18171557562076746</v>
      </c>
      <c r="HF51" s="66">
        <f>HF49/GY49-1</f>
        <v>-0.22985781990521337</v>
      </c>
      <c r="HH51" s="65" t="s">
        <v>3</v>
      </c>
      <c r="HI51" s="66">
        <f>HI49/HB49-1</f>
        <v>0.2357723577235773</v>
      </c>
      <c r="HJ51" s="66">
        <f>HJ49/HC49-1</f>
        <v>0.49285714285714288</v>
      </c>
      <c r="HK51" s="66">
        <f>HK49/HD49-1</f>
        <v>0.50865051903114189</v>
      </c>
      <c r="HL51" s="66">
        <f>HL49/HE49-1</f>
        <v>0.48275862068965525</v>
      </c>
      <c r="HM51" s="66">
        <f>HM49/HF49-1</f>
        <v>0.43710407239819005</v>
      </c>
      <c r="HO51" s="65" t="s">
        <v>3</v>
      </c>
      <c r="HP51" s="66">
        <f>HP49/HI49-1</f>
        <v>0.29934210526315796</v>
      </c>
      <c r="HQ51" s="66">
        <f>HQ49/HJ49-1</f>
        <v>0.17703349282296643</v>
      </c>
      <c r="HR51" s="66">
        <f>HR49/HK49-1</f>
        <v>6.4220183486238591E-2</v>
      </c>
      <c r="HS51" s="66">
        <f>HS49/HL49-1</f>
        <v>2.7906976744185963E-2</v>
      </c>
      <c r="HT51" s="66">
        <f>HT49/HM49-1</f>
        <v>0.12909319899244331</v>
      </c>
      <c r="HV51" s="65" t="s">
        <v>3</v>
      </c>
      <c r="HW51" s="66">
        <f>HW49/HP49-1</f>
        <v>0.13670886075949373</v>
      </c>
      <c r="HX51" s="66">
        <f>HX49/HQ49-1</f>
        <v>2.2357723577235866E-2</v>
      </c>
      <c r="HY51" s="66">
        <f>HY49/HR49-1</f>
        <v>-1.93965517241379E-2</v>
      </c>
      <c r="HZ51" s="66">
        <f>HZ49/HS49-1</f>
        <v>-7.7692307692307727E-2</v>
      </c>
      <c r="IA51" s="66">
        <f>IA49/HT49-1</f>
        <v>1.208031232571094E-2</v>
      </c>
      <c r="IC51" s="65" t="s">
        <v>3</v>
      </c>
      <c r="ID51" s="66">
        <f>ID49/HW49-1</f>
        <v>2.2271714922049046E-2</v>
      </c>
      <c r="IE51" s="66">
        <f>IE49/HX49-1</f>
        <v>2.9821073558648159E-2</v>
      </c>
      <c r="IF51" s="66">
        <f>IF49/HY49-1</f>
        <v>-6.59340659340657E-3</v>
      </c>
      <c r="IG51" s="66">
        <f>IG49/HZ49-1</f>
        <v>4.498847078447743E-2</v>
      </c>
      <c r="IH51" s="66">
        <f>IH49/IA49-1</f>
        <v>2.2230059625494736E-2</v>
      </c>
      <c r="IJ51" s="65" t="s">
        <v>3</v>
      </c>
      <c r="IK51" s="66">
        <f>IK49/ID49-1</f>
        <v>-0.13289760348583879</v>
      </c>
      <c r="IL51" s="66">
        <f>IL49/IE49-1</f>
        <v>2.1235521235521304E-2</v>
      </c>
      <c r="IM51" s="66">
        <f>IM49/IF49-1</f>
        <v>0.12610619469026552</v>
      </c>
      <c r="IN51" s="66">
        <f>IN49/IG49-1</f>
        <v>0.15258215962441324</v>
      </c>
      <c r="IO51" s="66">
        <f>IO49/IH49-1</f>
        <v>3.8814016172506793E-2</v>
      </c>
      <c r="IQ51" s="65" t="s">
        <v>3</v>
      </c>
      <c r="IR51" s="66">
        <f>IR49/IK49-1</f>
        <v>0.11055276381909551</v>
      </c>
      <c r="IS51" s="66">
        <f>IS49/IL49-1</f>
        <v>4.5368620037807172E-2</v>
      </c>
      <c r="IT51" s="66">
        <f>IT49/IM49-1</f>
        <v>-3.9292730844793233E-3</v>
      </c>
      <c r="IU51" s="66">
        <f>IU49/IN49-1</f>
        <v>-5.0916496945010215E-2</v>
      </c>
      <c r="IV51" s="66">
        <f>IV49/IO49-1</f>
        <v>2.1276595744680771E-2</v>
      </c>
      <c r="IX51" s="65" t="s">
        <v>3</v>
      </c>
      <c r="IY51" s="66">
        <f>IY49/IR49-1</f>
        <v>-0.19457013574660631</v>
      </c>
      <c r="IZ51" s="66">
        <f>IZ49/IS49-1</f>
        <v>-0.19529837251356241</v>
      </c>
      <c r="JA51" s="66">
        <f>JA49/IT49-1</f>
        <v>-0.10256410256410253</v>
      </c>
      <c r="JB51" s="66">
        <f>JB49/IU49-1</f>
        <v>0.13336909871244629</v>
      </c>
      <c r="JC51" s="66">
        <f>JC49/IV49-1</f>
        <v>-9.3419715447154439E-2</v>
      </c>
      <c r="JE51" s="65" t="s">
        <v>3</v>
      </c>
      <c r="JF51" s="66">
        <f>JF49/IY49-1</f>
        <v>0.3202247191011236</v>
      </c>
      <c r="JG51" s="66">
        <f>JG49/IZ49-1</f>
        <v>0.32808988764044944</v>
      </c>
      <c r="JH51" s="66">
        <f>JH49/JA49-1</f>
        <v>1.758241758241752E-2</v>
      </c>
      <c r="JI51" s="66">
        <f>JI49/JB49-1</f>
        <v>8.4919057086055183E-2</v>
      </c>
      <c r="JJ51" s="66">
        <f>JJ49/JC49-1</f>
        <v>0.17534960625507945</v>
      </c>
      <c r="JL51" s="65" t="s">
        <v>3</v>
      </c>
      <c r="JM51" s="66">
        <f>JM49/JF49-1</f>
        <v>0.47872340425531923</v>
      </c>
      <c r="JN51" s="66">
        <f>JN49/JG49-1</f>
        <v>0.4839255499153976</v>
      </c>
      <c r="JO51" s="66">
        <f>JO49/JH49-1</f>
        <v>0.93088552915766742</v>
      </c>
      <c r="JP51" s="66">
        <f>JP49/JI49-1</f>
        <v>0.47120418848167533</v>
      </c>
      <c r="JQ51" s="66">
        <f>JQ49/JJ49-1</f>
        <v>0.57796852646638053</v>
      </c>
      <c r="JS51" s="65" t="s">
        <v>3</v>
      </c>
      <c r="JT51" s="66">
        <f>JT49/JM49-1</f>
        <v>0.19999999999999996</v>
      </c>
      <c r="JU51" s="66">
        <f>JU49/JN49-1</f>
        <v>-7.9817559863170073E-3</v>
      </c>
      <c r="JV51" s="66">
        <f>JV49/JO49-1</f>
        <v>-4.2505592841163287E-2</v>
      </c>
      <c r="JW51" s="66">
        <f>JW49/JP49-1</f>
        <v>-8.5409252669039093E-2</v>
      </c>
      <c r="JX51" s="66">
        <f>JX49/JQ49-1</f>
        <v>6.6485343003928055E-3</v>
      </c>
      <c r="JZ51" s="65" t="s">
        <v>3</v>
      </c>
      <c r="KA51" s="66">
        <f>KA49/JT49-1</f>
        <v>-7.6738609112709799E-2</v>
      </c>
      <c r="KB51" s="66">
        <f>KB49/JU49-1</f>
        <v>-0.4264367816091954</v>
      </c>
      <c r="KC51" s="66">
        <f>KC49/JV49-1</f>
        <v>-0.14018691588785048</v>
      </c>
      <c r="KD51" s="66">
        <f>KD49/JW49-1</f>
        <v>-1.4267185473411104E-2</v>
      </c>
      <c r="KE51" s="66">
        <f>KE49/JX49-1</f>
        <v>-0.16991894326028223</v>
      </c>
      <c r="KG51" s="65" t="s">
        <v>3</v>
      </c>
      <c r="KH51" s="66">
        <f>KH49/KA49-1</f>
        <v>-8.3116883116883145E-2</v>
      </c>
      <c r="KI51" s="66">
        <f>KI49/KB49-1</f>
        <v>0.81449332665330676</v>
      </c>
      <c r="KJ51" s="66">
        <f>KJ49/KC49-1</f>
        <v>0.31521739130434789</v>
      </c>
      <c r="KK51" s="66">
        <f>KK49/KD49-1</f>
        <v>0.22894736842105257</v>
      </c>
      <c r="KL51" s="66">
        <f>KL49/KE49-1</f>
        <v>0.270680712477396</v>
      </c>
      <c r="KN51" s="65" t="s">
        <v>3</v>
      </c>
      <c r="KO51" s="66">
        <f>KO49/KH49-1</f>
        <v>0.21671388101983013</v>
      </c>
      <c r="KP51" s="66">
        <f>KP49/KI49-1</f>
        <v>0.19915785360373883</v>
      </c>
      <c r="KQ51" s="66">
        <f>KQ49/KJ49-1</f>
        <v>0.14772727272727271</v>
      </c>
      <c r="KR51" s="66">
        <f>KR49/KK49-1</f>
        <v>8.9935760171306223E-2</v>
      </c>
      <c r="KS51" s="66">
        <f>KS49/KL49-1</f>
        <v>0.15948050238322264</v>
      </c>
      <c r="KU51" s="65" t="s">
        <v>3</v>
      </c>
      <c r="KV51" s="66">
        <f>KV49/KO49-1</f>
        <v>0.13387660069848661</v>
      </c>
      <c r="KW51" s="66">
        <f>KW49/KP49-1</f>
        <v>-9.3719112229310841E-2</v>
      </c>
      <c r="KX51" s="66">
        <f>KX49/KQ49-1</f>
        <v>-0.25472547254725475</v>
      </c>
      <c r="KY51" s="66">
        <f>KY49/KR49-1</f>
        <v>-0.13359528487229866</v>
      </c>
      <c r="KZ51" s="66">
        <f>KZ49/KS49-1</f>
        <v>-9.960245234217846E-2</v>
      </c>
      <c r="LB51" s="65" t="s">
        <v>3</v>
      </c>
      <c r="LC51" s="66">
        <f>LC49/KV49-1</f>
        <v>-9.6509240246406613E-2</v>
      </c>
      <c r="LD51" s="49">
        <f>LD49/KW49-1</f>
        <v>-2.1341463414634165E-2</v>
      </c>
      <c r="LE51" s="49">
        <f>LE49/KX49-1</f>
        <v>7.9710144927536142E-2</v>
      </c>
      <c r="LF51" s="49">
        <f>LF49/KY49-1</f>
        <v>-7.5963718820861725E-2</v>
      </c>
      <c r="LG51" s="49">
        <f>LG49/KZ49-1</f>
        <v>-3.1624863685932425E-2</v>
      </c>
      <c r="LH51" s="566"/>
      <c r="LI51" s="71" t="s">
        <v>3</v>
      </c>
      <c r="LJ51" s="49">
        <f>LJ49/LC49-1</f>
        <v>-0.26590909090909087</v>
      </c>
      <c r="LK51" s="49">
        <f>LK49/LD49-1</f>
        <v>-0.13914849428868126</v>
      </c>
      <c r="LL51" s="49">
        <f>LL49/LE49-1</f>
        <v>-5.4865771812080522E-2</v>
      </c>
      <c r="LM51" s="49">
        <f>LM49/LF49-1</f>
        <v>-6.663110162710062E-2</v>
      </c>
      <c r="LN51" s="49">
        <f>LN49/LG49-1</f>
        <v>-0.1327011114375245</v>
      </c>
      <c r="LO51" s="566"/>
      <c r="LP51" s="71" t="s">
        <v>3</v>
      </c>
      <c r="LQ51" s="49">
        <f>LQ49/LJ49-1</f>
        <v>0.15666400053939622</v>
      </c>
      <c r="LR51" s="49">
        <f>LR49/LK49-1</f>
        <v>8.213396681745877E-2</v>
      </c>
      <c r="LS51" s="49">
        <f>LS49/LL49-1</f>
        <v>9.8180404845330527E-2</v>
      </c>
      <c r="LT51" s="49">
        <f>LT49/LM49-1</f>
        <v>0.17884620488012981</v>
      </c>
      <c r="LU51" s="49">
        <f>LU49/LN49-1</f>
        <v>0.12604470303174753</v>
      </c>
      <c r="LV51" s="566"/>
      <c r="LW51" s="71" t="s">
        <v>3</v>
      </c>
      <c r="LX51" s="49">
        <f>LX49/LQ49-1</f>
        <v>0.13685614536163526</v>
      </c>
      <c r="LY51" s="49">
        <f>LY49/LR49-1</f>
        <v>0.12007908970394898</v>
      </c>
      <c r="LZ51" s="49">
        <f>LZ49/LS49-1</f>
        <v>0.12220697765805588</v>
      </c>
      <c r="MA51" s="49">
        <f>MA49/LT49-1</f>
        <v>0.10390831058440519</v>
      </c>
      <c r="MB51" s="49">
        <f>MB49/LU49-1</f>
        <v>0.12008178397226743</v>
      </c>
      <c r="MC51" s="566"/>
      <c r="MD51" s="71" t="s">
        <v>3</v>
      </c>
      <c r="ME51" s="49">
        <f>ME49/LX49-1</f>
        <v>8.8611121945501692E-2</v>
      </c>
      <c r="MF51" s="49">
        <f>MF49/LY49-1</f>
        <v>7.05595257116991E-2</v>
      </c>
      <c r="MG51" s="49">
        <f>MG49/LZ49-1</f>
        <v>6.2045409582841771E-2</v>
      </c>
      <c r="MH51" s="49">
        <f>MH49/MA49-1</f>
        <v>6.8863245311499233E-2</v>
      </c>
      <c r="MI51" s="49">
        <f>MI49/MB49-1</f>
        <v>7.1792112775759476E-2</v>
      </c>
      <c r="MJ51" s="566"/>
    </row>
    <row r="52" spans="1:349" outlineLevel="1" x14ac:dyDescent="0.4">
      <c r="A52" s="48"/>
      <c r="BR52" s="53"/>
      <c r="BS52" s="53"/>
      <c r="BT52" s="53"/>
      <c r="BU52" s="53"/>
      <c r="BV52" s="53"/>
      <c r="BY52" s="53"/>
      <c r="BZ52" s="53"/>
      <c r="CA52" s="53"/>
      <c r="CB52" s="53"/>
      <c r="CC52" s="53"/>
      <c r="CF52" s="53"/>
      <c r="CG52" s="53"/>
      <c r="CH52" s="53"/>
      <c r="CI52" s="53"/>
      <c r="CJ52" s="53"/>
      <c r="CM52" s="53"/>
      <c r="CN52" s="53"/>
      <c r="CO52" s="53"/>
      <c r="CP52" s="53"/>
      <c r="CQ52" s="53"/>
      <c r="CT52" s="53"/>
      <c r="CU52" s="53"/>
      <c r="CV52" s="53"/>
      <c r="CW52" s="53"/>
      <c r="CX52" s="53"/>
      <c r="DA52" s="53"/>
      <c r="DB52" s="53"/>
      <c r="DC52" s="53"/>
      <c r="DD52" s="53"/>
      <c r="DE52" s="53"/>
      <c r="DH52" s="53"/>
      <c r="DI52" s="53"/>
      <c r="DJ52" s="53"/>
      <c r="DK52" s="53"/>
      <c r="DL52" s="53"/>
      <c r="DO52" s="53"/>
      <c r="DP52" s="53"/>
      <c r="DQ52" s="53"/>
      <c r="DR52" s="53"/>
      <c r="DS52" s="53"/>
      <c r="DV52" s="53"/>
      <c r="DW52" s="53"/>
      <c r="DX52" s="53"/>
      <c r="DY52" s="53"/>
      <c r="DZ52" s="53"/>
      <c r="EC52" s="53"/>
      <c r="ED52" s="53"/>
      <c r="EE52" s="53"/>
      <c r="EF52" s="53"/>
      <c r="EG52" s="53"/>
      <c r="EJ52" s="53"/>
      <c r="EK52" s="53"/>
      <c r="EL52" s="53"/>
      <c r="EM52" s="53"/>
      <c r="EN52" s="53"/>
      <c r="EQ52" s="53"/>
      <c r="ER52" s="53"/>
      <c r="ES52" s="53"/>
      <c r="ET52" s="53"/>
      <c r="EU52" s="53"/>
      <c r="EX52" s="53"/>
      <c r="EY52" s="53"/>
      <c r="EZ52" s="53"/>
      <c r="FA52" s="53"/>
      <c r="FB52" s="53"/>
      <c r="FE52" s="53"/>
      <c r="FF52" s="53"/>
      <c r="FG52" s="53"/>
      <c r="FH52" s="53"/>
      <c r="FI52" s="53"/>
      <c r="FL52" s="53"/>
      <c r="FM52" s="53"/>
      <c r="FN52" s="53"/>
      <c r="FO52" s="53"/>
      <c r="FP52" s="53"/>
      <c r="FS52" s="53"/>
      <c r="FT52" s="53"/>
      <c r="FU52" s="53"/>
      <c r="FV52" s="53"/>
      <c r="FW52" s="53"/>
      <c r="FZ52" s="53"/>
      <c r="GA52" s="53"/>
      <c r="GB52" s="53"/>
      <c r="GC52" s="53"/>
      <c r="GD52" s="53"/>
      <c r="GG52" s="53"/>
      <c r="GH52" s="53"/>
      <c r="GI52" s="53"/>
      <c r="GJ52" s="53"/>
      <c r="GK52" s="53"/>
      <c r="GN52" s="53"/>
      <c r="GO52" s="53"/>
      <c r="GP52" s="53"/>
      <c r="GQ52" s="53"/>
      <c r="GR52" s="53"/>
      <c r="GU52" s="53"/>
      <c r="GV52" s="53"/>
      <c r="GW52" s="53"/>
      <c r="GX52" s="53"/>
      <c r="GY52" s="53"/>
      <c r="HB52" s="53"/>
      <c r="HC52" s="53"/>
      <c r="HD52" s="53"/>
      <c r="HE52" s="53"/>
      <c r="HF52" s="53"/>
      <c r="HI52" s="53"/>
      <c r="HJ52" s="53"/>
      <c r="HK52" s="53"/>
      <c r="HL52" s="53"/>
      <c r="HM52" s="53"/>
      <c r="HP52" s="53"/>
      <c r="HQ52" s="53"/>
      <c r="HR52" s="53"/>
      <c r="HS52" s="53"/>
      <c r="HT52" s="53"/>
      <c r="HW52" s="53"/>
      <c r="HX52" s="53"/>
      <c r="HY52" s="53"/>
      <c r="HZ52" s="53"/>
      <c r="IA52" s="53"/>
      <c r="ID52" s="53"/>
      <c r="IE52" s="53"/>
      <c r="IF52" s="53"/>
      <c r="IG52" s="53"/>
      <c r="IH52" s="53"/>
      <c r="IK52" s="53"/>
      <c r="IL52" s="53"/>
      <c r="IM52" s="53"/>
      <c r="IN52" s="53"/>
      <c r="IO52" s="53"/>
      <c r="IR52" s="53"/>
      <c r="IS52" s="53"/>
      <c r="IT52" s="53"/>
      <c r="IU52" s="53"/>
      <c r="IV52" s="53"/>
      <c r="IY52" s="53"/>
      <c r="IZ52" s="53"/>
      <c r="JA52" s="53"/>
      <c r="JB52" s="53"/>
      <c r="JC52" s="53"/>
      <c r="JF52" s="53"/>
      <c r="JG52" s="53"/>
      <c r="JH52" s="53"/>
      <c r="JI52" s="53"/>
      <c r="JJ52" s="53"/>
      <c r="JM52" s="53"/>
      <c r="JN52" s="53"/>
      <c r="JO52" s="53"/>
      <c r="JP52" s="53"/>
      <c r="JQ52" s="53"/>
      <c r="JT52" s="53"/>
      <c r="JU52" s="53"/>
      <c r="JV52" s="53"/>
      <c r="JW52" s="53"/>
      <c r="JX52" s="53"/>
      <c r="KA52" s="53"/>
      <c r="KB52" s="53"/>
      <c r="KC52" s="53"/>
      <c r="KD52" s="53"/>
      <c r="KE52" s="53"/>
      <c r="KH52" s="53"/>
      <c r="KI52" s="53"/>
      <c r="KJ52" s="53"/>
      <c r="KK52" s="53"/>
      <c r="KL52" s="53"/>
      <c r="KO52" s="53"/>
      <c r="KP52" s="53"/>
      <c r="KQ52" s="53"/>
      <c r="KR52" s="53"/>
      <c r="KS52" s="53"/>
      <c r="KV52" s="53"/>
      <c r="KW52" s="53"/>
      <c r="KZ52" s="53"/>
      <c r="LC52" s="53"/>
    </row>
    <row r="53" spans="1:349" outlineLevel="1" x14ac:dyDescent="0.4">
      <c r="A53" s="48"/>
      <c r="B53" s="57" t="s">
        <v>193</v>
      </c>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Q53" s="57" t="s">
        <v>193</v>
      </c>
      <c r="BR53" s="58"/>
      <c r="BS53" s="58"/>
      <c r="BT53" s="58"/>
      <c r="BU53" s="58"/>
      <c r="BV53" s="58"/>
      <c r="BX53" s="57" t="s">
        <v>193</v>
      </c>
      <c r="BY53" s="58"/>
      <c r="BZ53" s="58"/>
      <c r="CA53" s="58"/>
      <c r="CB53" s="58"/>
      <c r="CC53" s="58"/>
      <c r="CE53" s="57" t="s">
        <v>193</v>
      </c>
      <c r="CF53" s="58"/>
      <c r="CG53" s="58"/>
      <c r="CH53" s="58"/>
      <c r="CI53" s="58"/>
      <c r="CJ53" s="58"/>
      <c r="CL53" s="57" t="s">
        <v>193</v>
      </c>
      <c r="CM53" s="58"/>
      <c r="CN53" s="58"/>
      <c r="CO53" s="58"/>
      <c r="CP53" s="58"/>
      <c r="CQ53" s="58"/>
      <c r="CS53" s="57" t="s">
        <v>193</v>
      </c>
      <c r="CT53" s="58"/>
      <c r="CU53" s="58"/>
      <c r="CV53" s="58"/>
      <c r="CW53" s="58"/>
      <c r="CX53" s="58"/>
      <c r="CZ53" s="57" t="s">
        <v>193</v>
      </c>
      <c r="DA53" s="58"/>
      <c r="DB53" s="58"/>
      <c r="DC53" s="58"/>
      <c r="DD53" s="58"/>
      <c r="DE53" s="58"/>
      <c r="DG53" s="57" t="s">
        <v>193</v>
      </c>
      <c r="DH53" s="58"/>
      <c r="DI53" s="58"/>
      <c r="DJ53" s="58"/>
      <c r="DK53" s="58"/>
      <c r="DL53" s="58"/>
      <c r="DN53" s="57" t="s">
        <v>193</v>
      </c>
      <c r="DO53" s="58"/>
      <c r="DP53" s="58"/>
      <c r="DQ53" s="58"/>
      <c r="DR53" s="58"/>
      <c r="DS53" s="58"/>
      <c r="DU53" s="57" t="s">
        <v>193</v>
      </c>
      <c r="DV53" s="58"/>
      <c r="DW53" s="58"/>
      <c r="DX53" s="58"/>
      <c r="DY53" s="58"/>
      <c r="DZ53" s="58"/>
      <c r="EB53" s="57" t="s">
        <v>193</v>
      </c>
      <c r="EC53" s="58"/>
      <c r="ED53" s="58"/>
      <c r="EE53" s="58"/>
      <c r="EF53" s="58"/>
      <c r="EG53" s="58"/>
      <c r="EI53" s="57" t="s">
        <v>193</v>
      </c>
      <c r="EJ53" s="58"/>
      <c r="EK53" s="58"/>
      <c r="EL53" s="58"/>
      <c r="EM53" s="58"/>
      <c r="EN53" s="58"/>
      <c r="EP53" s="57" t="s">
        <v>193</v>
      </c>
      <c r="EQ53" s="58"/>
      <c r="ER53" s="58"/>
      <c r="ES53" s="58"/>
      <c r="ET53" s="58"/>
      <c r="EU53" s="58"/>
      <c r="EW53" s="57" t="s">
        <v>193</v>
      </c>
      <c r="EX53" s="58"/>
      <c r="EY53" s="58"/>
      <c r="EZ53" s="58"/>
      <c r="FA53" s="58"/>
      <c r="FB53" s="58"/>
      <c r="FD53" s="57" t="s">
        <v>193</v>
      </c>
      <c r="FE53" s="58"/>
      <c r="FF53" s="58"/>
      <c r="FG53" s="58"/>
      <c r="FH53" s="58"/>
      <c r="FI53" s="58"/>
      <c r="FK53" s="57" t="s">
        <v>193</v>
      </c>
      <c r="FL53" s="58">
        <v>10</v>
      </c>
      <c r="FM53" s="58">
        <v>13</v>
      </c>
      <c r="FN53" s="58">
        <v>18</v>
      </c>
      <c r="FO53" s="58">
        <v>11</v>
      </c>
      <c r="FP53" s="58">
        <f>FL53+FM53+FN53+FO53</f>
        <v>52</v>
      </c>
      <c r="FR53" s="57" t="s">
        <v>193</v>
      </c>
      <c r="FS53" s="58">
        <v>3</v>
      </c>
      <c r="FT53" s="58">
        <v>1</v>
      </c>
      <c r="FU53" s="58">
        <v>9</v>
      </c>
      <c r="FV53" s="58">
        <v>-92.5</v>
      </c>
      <c r="FW53" s="58">
        <f>FS53+FT53+FU53+FV53</f>
        <v>-79.5</v>
      </c>
      <c r="FY53" s="57" t="s">
        <v>193</v>
      </c>
      <c r="FZ53" s="58">
        <v>425</v>
      </c>
      <c r="GA53" s="58">
        <v>0</v>
      </c>
      <c r="GB53" s="58">
        <v>0</v>
      </c>
      <c r="GC53" s="58">
        <v>0</v>
      </c>
      <c r="GD53" s="58">
        <f>SUM(FZ53:GC53)</f>
        <v>425</v>
      </c>
      <c r="GF53" s="57" t="s">
        <v>193</v>
      </c>
      <c r="GG53" s="58">
        <v>0</v>
      </c>
      <c r="GH53" s="58">
        <v>0</v>
      </c>
      <c r="GI53" s="58">
        <v>0</v>
      </c>
      <c r="GJ53" s="58">
        <v>0</v>
      </c>
      <c r="GK53" s="58">
        <f>SUM(GG53:GJ53)</f>
        <v>0</v>
      </c>
      <c r="GM53" s="57" t="s">
        <v>193</v>
      </c>
      <c r="GN53" s="58">
        <v>0</v>
      </c>
      <c r="GO53" s="58">
        <v>0</v>
      </c>
      <c r="GP53" s="58">
        <v>110</v>
      </c>
      <c r="GQ53" s="58">
        <v>0</v>
      </c>
      <c r="GR53" s="58">
        <f>SUM(GN53:GQ53)</f>
        <v>110</v>
      </c>
      <c r="GT53" s="57" t="s">
        <v>193</v>
      </c>
      <c r="GU53" s="58">
        <v>0</v>
      </c>
      <c r="GV53" s="58">
        <v>-7</v>
      </c>
      <c r="GW53" s="58">
        <v>2</v>
      </c>
      <c r="GX53" s="58">
        <v>-114</v>
      </c>
      <c r="GY53" s="58">
        <f>SUM(GU53:GX53)</f>
        <v>-119</v>
      </c>
      <c r="HA53" s="57" t="s">
        <v>193</v>
      </c>
      <c r="HB53" s="58">
        <v>-8</v>
      </c>
      <c r="HC53" s="58">
        <v>23</v>
      </c>
      <c r="HD53" s="58">
        <v>0</v>
      </c>
      <c r="HE53" s="58">
        <v>0</v>
      </c>
      <c r="HF53" s="58">
        <f>SUM(HB53:HE53)</f>
        <v>15</v>
      </c>
      <c r="HH53" s="57" t="s">
        <v>193</v>
      </c>
      <c r="HI53" s="58">
        <v>0</v>
      </c>
      <c r="HJ53" s="58">
        <v>0</v>
      </c>
      <c r="HK53" s="58">
        <v>0</v>
      </c>
      <c r="HL53" s="58">
        <v>0</v>
      </c>
      <c r="HM53" s="58">
        <f>SUM(HI53:HL53)</f>
        <v>0</v>
      </c>
      <c r="HO53" s="57" t="s">
        <v>193</v>
      </c>
      <c r="HP53" s="58">
        <v>0</v>
      </c>
      <c r="HQ53" s="58">
        <v>0</v>
      </c>
      <c r="HR53" s="58">
        <v>0</v>
      </c>
      <c r="HS53" s="58">
        <v>0</v>
      </c>
      <c r="HT53" s="58">
        <f>SUM(HP53:HS53)</f>
        <v>0</v>
      </c>
      <c r="HV53" s="57" t="s">
        <v>193</v>
      </c>
      <c r="HW53" s="58">
        <v>0</v>
      </c>
      <c r="HX53" s="58">
        <v>0</v>
      </c>
      <c r="HY53" s="58">
        <v>0</v>
      </c>
      <c r="HZ53" s="58">
        <v>0</v>
      </c>
      <c r="IA53" s="58">
        <f>SUM(HW53:HZ53)</f>
        <v>0</v>
      </c>
      <c r="IC53" s="57" t="s">
        <v>193</v>
      </c>
      <c r="ID53" s="58">
        <v>0</v>
      </c>
      <c r="IE53" s="58">
        <v>0</v>
      </c>
      <c r="IF53" s="58">
        <v>0</v>
      </c>
      <c r="IG53" s="58">
        <v>0</v>
      </c>
      <c r="IH53" s="58">
        <f>SUM(ID53:IG53)</f>
        <v>0</v>
      </c>
      <c r="IJ53" s="57" t="s">
        <v>193</v>
      </c>
      <c r="IK53" s="58">
        <v>0</v>
      </c>
      <c r="IL53" s="58">
        <v>0</v>
      </c>
      <c r="IM53" s="58">
        <v>0</v>
      </c>
      <c r="IN53" s="58">
        <v>0</v>
      </c>
      <c r="IO53" s="58">
        <f>SUM(IK53:IN53)</f>
        <v>0</v>
      </c>
      <c r="IQ53" s="57" t="s">
        <v>193</v>
      </c>
      <c r="IR53" s="58">
        <v>0</v>
      </c>
      <c r="IS53" s="58">
        <v>0</v>
      </c>
      <c r="IT53" s="58">
        <v>0</v>
      </c>
      <c r="IU53" s="58">
        <v>0</v>
      </c>
      <c r="IV53" s="58">
        <f>SUM(IR53:IU53)</f>
        <v>0</v>
      </c>
      <c r="IX53" s="57" t="s">
        <v>193</v>
      </c>
      <c r="IY53" s="58">
        <v>0</v>
      </c>
      <c r="IZ53" s="58">
        <v>0</v>
      </c>
      <c r="JA53" s="58">
        <v>0</v>
      </c>
      <c r="JB53" s="58">
        <v>0</v>
      </c>
      <c r="JC53" s="58">
        <f>SUM(IY53:JB53)</f>
        <v>0</v>
      </c>
      <c r="JE53" s="57" t="s">
        <v>193</v>
      </c>
      <c r="JF53" s="58">
        <v>0</v>
      </c>
      <c r="JG53" s="58">
        <v>0</v>
      </c>
      <c r="JH53" s="58">
        <v>0</v>
      </c>
      <c r="JI53" s="58">
        <v>0</v>
      </c>
      <c r="JJ53" s="58">
        <f>SUM(JF53:JI53)</f>
        <v>0</v>
      </c>
      <c r="JL53" s="57" t="s">
        <v>193</v>
      </c>
      <c r="JM53" s="58">
        <v>0</v>
      </c>
      <c r="JN53" s="58">
        <v>0</v>
      </c>
      <c r="JO53" s="58">
        <v>0</v>
      </c>
      <c r="JP53" s="58">
        <v>0</v>
      </c>
      <c r="JQ53" s="58">
        <f>SUM(JM53:JP53)</f>
        <v>0</v>
      </c>
      <c r="JS53" s="57" t="s">
        <v>193</v>
      </c>
      <c r="JT53" s="58">
        <v>0</v>
      </c>
      <c r="JU53" s="58">
        <v>0</v>
      </c>
      <c r="JV53" s="58">
        <v>0</v>
      </c>
      <c r="JW53" s="58">
        <v>0</v>
      </c>
      <c r="JX53" s="58">
        <f>SUM(JT53:JW53)</f>
        <v>0</v>
      </c>
      <c r="JZ53" s="57" t="s">
        <v>193</v>
      </c>
      <c r="KA53" s="58">
        <v>0</v>
      </c>
      <c r="KB53" s="58">
        <v>0</v>
      </c>
      <c r="KC53" s="58">
        <v>0</v>
      </c>
      <c r="KD53" s="58">
        <v>0</v>
      </c>
      <c r="KE53" s="58">
        <f>SUM(KA53:KD53)</f>
        <v>0</v>
      </c>
      <c r="KG53" s="57" t="s">
        <v>193</v>
      </c>
      <c r="KH53" s="58">
        <v>0</v>
      </c>
      <c r="KI53" s="58">
        <v>0</v>
      </c>
      <c r="KJ53" s="58">
        <v>0</v>
      </c>
      <c r="KK53" s="58">
        <v>0</v>
      </c>
      <c r="KL53" s="58">
        <f>SUM(KH53:KK53)</f>
        <v>0</v>
      </c>
      <c r="KN53" s="57" t="s">
        <v>193</v>
      </c>
      <c r="KO53" s="58">
        <v>0</v>
      </c>
      <c r="KP53" s="58">
        <v>0</v>
      </c>
      <c r="KQ53" s="58">
        <v>0</v>
      </c>
      <c r="KR53" s="58">
        <v>0</v>
      </c>
      <c r="KS53" s="58">
        <f>SUM(KO53:KR53)</f>
        <v>0</v>
      </c>
      <c r="KU53" s="57" t="s">
        <v>193</v>
      </c>
      <c r="KV53" s="58">
        <v>0</v>
      </c>
      <c r="KW53" s="58">
        <v>0</v>
      </c>
      <c r="KX53" s="58">
        <v>0</v>
      </c>
      <c r="KY53" s="58">
        <v>0</v>
      </c>
      <c r="KZ53" s="58">
        <f>SUM(KV53:KY53)</f>
        <v>0</v>
      </c>
      <c r="LB53" s="57" t="s">
        <v>193</v>
      </c>
      <c r="LC53" s="58">
        <v>0</v>
      </c>
      <c r="LD53" s="127">
        <v>0</v>
      </c>
      <c r="LE53" s="127">
        <v>0</v>
      </c>
      <c r="LF53" s="127">
        <v>0</v>
      </c>
      <c r="LG53" s="127">
        <f>SUM(LC53:LF53)</f>
        <v>0</v>
      </c>
      <c r="LH53" s="558"/>
      <c r="LI53" s="57" t="s">
        <v>193</v>
      </c>
      <c r="LJ53" s="127">
        <v>0</v>
      </c>
      <c r="LK53" s="127">
        <v>0</v>
      </c>
      <c r="LL53" s="127">
        <v>0</v>
      </c>
      <c r="LM53" s="127">
        <v>0</v>
      </c>
      <c r="LN53" s="127">
        <f>SUM(LJ53:LM53)</f>
        <v>0</v>
      </c>
      <c r="LO53" s="558"/>
      <c r="LP53" s="57" t="s">
        <v>193</v>
      </c>
      <c r="LQ53" s="127">
        <v>0</v>
      </c>
      <c r="LR53" s="127">
        <v>0</v>
      </c>
      <c r="LS53" s="127">
        <v>0</v>
      </c>
      <c r="LT53" s="127">
        <v>0</v>
      </c>
      <c r="LU53" s="127">
        <f>SUM(LQ53:LT53)</f>
        <v>0</v>
      </c>
      <c r="LV53" s="558"/>
      <c r="LW53" s="57" t="s">
        <v>193</v>
      </c>
      <c r="LX53" s="127">
        <v>0</v>
      </c>
      <c r="LY53" s="127">
        <v>0</v>
      </c>
      <c r="LZ53" s="127">
        <v>0</v>
      </c>
      <c r="MA53" s="127">
        <v>0</v>
      </c>
      <c r="MB53" s="127">
        <f>SUM(LX53:MA53)</f>
        <v>0</v>
      </c>
      <c r="MC53" s="558"/>
      <c r="MD53" s="57" t="s">
        <v>193</v>
      </c>
      <c r="ME53" s="127">
        <v>0</v>
      </c>
      <c r="MF53" s="127">
        <v>0</v>
      </c>
      <c r="MG53" s="127">
        <v>0</v>
      </c>
      <c r="MH53" s="127">
        <v>0</v>
      </c>
      <c r="MI53" s="127">
        <f>SUM(ME53:MH53)</f>
        <v>0</v>
      </c>
      <c r="MJ53" s="558"/>
    </row>
    <row r="54" spans="1:349" outlineLevel="1" x14ac:dyDescent="0.4">
      <c r="A54" s="48"/>
      <c r="B54" s="69"/>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Q54" s="69"/>
      <c r="BR54" s="53"/>
      <c r="BS54" s="53"/>
      <c r="BT54" s="53"/>
      <c r="BU54" s="53"/>
      <c r="BV54" s="53"/>
      <c r="BX54" s="69"/>
      <c r="BY54" s="53"/>
      <c r="BZ54" s="53"/>
      <c r="CA54" s="53"/>
      <c r="CB54" s="53"/>
      <c r="CC54" s="53"/>
      <c r="CE54" s="69"/>
      <c r="CF54" s="53"/>
      <c r="CG54" s="53"/>
      <c r="CH54" s="53"/>
      <c r="CI54" s="53"/>
      <c r="CJ54" s="53"/>
      <c r="CL54" s="69"/>
      <c r="CM54" s="53"/>
      <c r="CN54" s="53"/>
      <c r="CO54" s="53"/>
      <c r="CP54" s="53"/>
      <c r="CQ54" s="53"/>
      <c r="CS54" s="69"/>
      <c r="CT54" s="53"/>
      <c r="CU54" s="53"/>
      <c r="CV54" s="53"/>
      <c r="CW54" s="53"/>
      <c r="CX54" s="53"/>
      <c r="CZ54" s="69"/>
      <c r="DA54" s="53"/>
      <c r="DB54" s="53"/>
      <c r="DC54" s="53"/>
      <c r="DD54" s="53"/>
      <c r="DE54" s="53"/>
      <c r="DG54" s="69"/>
      <c r="DH54" s="53"/>
      <c r="DI54" s="53"/>
      <c r="DJ54" s="53"/>
      <c r="DK54" s="53"/>
      <c r="DL54" s="53"/>
      <c r="DN54" s="69"/>
      <c r="DO54" s="53"/>
      <c r="DP54" s="53"/>
      <c r="DQ54" s="53"/>
      <c r="DR54" s="53"/>
      <c r="DS54" s="53"/>
      <c r="DU54" s="69"/>
      <c r="DV54" s="53"/>
      <c r="DW54" s="53"/>
      <c r="DX54" s="53"/>
      <c r="DY54" s="53"/>
      <c r="DZ54" s="53"/>
      <c r="EB54" s="69"/>
      <c r="EC54" s="53"/>
      <c r="ED54" s="53"/>
      <c r="EE54" s="53"/>
      <c r="EF54" s="53"/>
      <c r="EG54" s="53"/>
      <c r="EI54" s="69"/>
      <c r="EJ54" s="53"/>
      <c r="EK54" s="53"/>
      <c r="EL54" s="53"/>
      <c r="EM54" s="53"/>
      <c r="EN54" s="53"/>
      <c r="EP54" s="69"/>
      <c r="EQ54" s="53"/>
      <c r="ER54" s="53"/>
      <c r="ES54" s="53"/>
      <c r="ET54" s="53"/>
      <c r="EU54" s="53"/>
      <c r="EW54" s="69"/>
      <c r="EX54" s="53"/>
      <c r="EY54" s="53"/>
      <c r="EZ54" s="53"/>
      <c r="FA54" s="53"/>
      <c r="FB54" s="53"/>
      <c r="FD54" s="69"/>
      <c r="FE54" s="53"/>
      <c r="FF54" s="53"/>
      <c r="FG54" s="53"/>
      <c r="FH54" s="53"/>
      <c r="FI54" s="53"/>
      <c r="FK54" s="69"/>
      <c r="FL54" s="53"/>
      <c r="FM54" s="53"/>
      <c r="FN54" s="53"/>
      <c r="FO54" s="53"/>
      <c r="FP54" s="53"/>
      <c r="FR54" s="69"/>
      <c r="FS54" s="53"/>
      <c r="FT54" s="53"/>
      <c r="FU54" s="53"/>
      <c r="FV54" s="53"/>
      <c r="FW54" s="53"/>
      <c r="FY54" s="69"/>
      <c r="FZ54" s="53"/>
      <c r="GA54" s="53"/>
      <c r="GB54" s="53"/>
      <c r="GC54" s="53"/>
      <c r="GD54" s="53"/>
      <c r="GF54" s="69"/>
      <c r="GG54" s="53"/>
      <c r="GH54" s="53"/>
      <c r="GI54" s="53"/>
      <c r="GJ54" s="53"/>
      <c r="GK54" s="53"/>
      <c r="GM54" s="69"/>
      <c r="GN54" s="53"/>
      <c r="GO54" s="53"/>
      <c r="GP54" s="53"/>
      <c r="GQ54" s="53"/>
      <c r="GR54" s="53"/>
      <c r="GT54" s="69"/>
      <c r="GU54" s="53"/>
      <c r="GV54" s="53"/>
      <c r="GW54" s="53"/>
      <c r="GX54" s="53"/>
      <c r="GY54" s="53"/>
      <c r="HA54" s="69"/>
      <c r="HB54" s="53"/>
      <c r="HC54" s="53"/>
      <c r="HD54" s="53"/>
      <c r="HE54" s="53"/>
      <c r="HF54" s="53"/>
      <c r="HH54" s="69"/>
      <c r="HI54" s="53"/>
      <c r="HJ54" s="53"/>
      <c r="HK54" s="53"/>
      <c r="HL54" s="53"/>
      <c r="HM54" s="53"/>
      <c r="HO54" s="69"/>
      <c r="HP54" s="53"/>
      <c r="HQ54" s="53"/>
      <c r="HR54" s="53"/>
      <c r="HS54" s="53"/>
      <c r="HT54" s="53"/>
      <c r="HV54" s="69"/>
      <c r="HW54" s="53"/>
      <c r="HX54" s="53"/>
      <c r="HY54" s="53"/>
      <c r="HZ54" s="53"/>
      <c r="IA54" s="53"/>
      <c r="IC54" s="69"/>
      <c r="ID54" s="53"/>
      <c r="IE54" s="53"/>
      <c r="IF54" s="53"/>
      <c r="IG54" s="53"/>
      <c r="IH54" s="53"/>
      <c r="IJ54" s="69"/>
      <c r="IK54" s="53"/>
      <c r="IL54" s="53"/>
      <c r="IM54" s="53"/>
      <c r="IN54" s="53"/>
      <c r="IO54" s="53"/>
      <c r="IQ54" s="69"/>
      <c r="IR54" s="53"/>
      <c r="IS54" s="53"/>
      <c r="IT54" s="53"/>
      <c r="IU54" s="53"/>
      <c r="IV54" s="53"/>
      <c r="IX54" s="69"/>
      <c r="IY54" s="53"/>
      <c r="IZ54" s="53"/>
      <c r="JA54" s="53"/>
      <c r="JB54" s="53"/>
      <c r="JC54" s="53"/>
      <c r="JE54" s="69"/>
      <c r="JF54" s="53"/>
      <c r="JG54" s="53"/>
      <c r="JH54" s="53"/>
      <c r="JI54" s="53"/>
      <c r="JJ54" s="53"/>
      <c r="JL54" s="69"/>
      <c r="JM54" s="53"/>
      <c r="JN54" s="53"/>
      <c r="JO54" s="53"/>
      <c r="JP54" s="53"/>
      <c r="JQ54" s="53"/>
      <c r="JS54" s="69"/>
      <c r="JT54" s="53"/>
      <c r="JU54" s="53"/>
      <c r="JV54" s="53"/>
      <c r="JW54" s="53"/>
      <c r="JX54" s="53"/>
      <c r="JZ54" s="69"/>
      <c r="KA54" s="53"/>
      <c r="KB54" s="53"/>
      <c r="KC54" s="53"/>
      <c r="KD54" s="53"/>
      <c r="KE54" s="53"/>
      <c r="KG54" s="69"/>
      <c r="KH54" s="53"/>
      <c r="KI54" s="53"/>
      <c r="KJ54" s="53"/>
      <c r="KK54" s="53"/>
      <c r="KL54" s="53"/>
      <c r="KN54" s="69"/>
      <c r="KO54" s="53"/>
      <c r="KP54" s="53"/>
      <c r="KQ54" s="53"/>
      <c r="KR54" s="53"/>
      <c r="KS54" s="53"/>
      <c r="KU54" s="69"/>
      <c r="KV54" s="53"/>
      <c r="KW54" s="53"/>
      <c r="KX54" s="53"/>
      <c r="KY54" s="53"/>
      <c r="KZ54" s="53"/>
      <c r="LB54" s="69"/>
      <c r="LC54" s="53"/>
      <c r="LI54" s="69"/>
      <c r="LP54" s="69"/>
      <c r="LW54" s="69"/>
      <c r="MD54" s="69"/>
    </row>
    <row r="55" spans="1:349" outlineLevel="1" x14ac:dyDescent="0.4">
      <c r="A55" s="48"/>
      <c r="B55" s="69" t="s">
        <v>231</v>
      </c>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Q55" s="69" t="s">
        <v>231</v>
      </c>
      <c r="BR55" s="53"/>
      <c r="BS55" s="53"/>
      <c r="BT55" s="53"/>
      <c r="BU55" s="53"/>
      <c r="BV55" s="53"/>
      <c r="BX55" s="69" t="s">
        <v>231</v>
      </c>
      <c r="BY55" s="53"/>
      <c r="BZ55" s="53"/>
      <c r="CA55" s="53"/>
      <c r="CB55" s="53"/>
      <c r="CC55" s="53"/>
      <c r="CE55" s="69" t="s">
        <v>231</v>
      </c>
      <c r="CF55" s="53"/>
      <c r="CG55" s="53"/>
      <c r="CH55" s="53"/>
      <c r="CI55" s="53"/>
      <c r="CJ55" s="53"/>
      <c r="CL55" s="69" t="s">
        <v>231</v>
      </c>
      <c r="CM55" s="53"/>
      <c r="CN55" s="53"/>
      <c r="CO55" s="53"/>
      <c r="CP55" s="53"/>
      <c r="CQ55" s="53"/>
      <c r="CS55" s="69" t="s">
        <v>231</v>
      </c>
      <c r="CT55" s="53"/>
      <c r="CU55" s="53"/>
      <c r="CV55" s="53"/>
      <c r="CW55" s="53"/>
      <c r="CX55" s="53"/>
      <c r="CZ55" s="69" t="s">
        <v>231</v>
      </c>
      <c r="DA55" s="53"/>
      <c r="DB55" s="53"/>
      <c r="DC55" s="53"/>
      <c r="DD55" s="53"/>
      <c r="DE55" s="53"/>
      <c r="DG55" s="69" t="s">
        <v>231</v>
      </c>
      <c r="DH55" s="53"/>
      <c r="DI55" s="53"/>
      <c r="DJ55" s="53"/>
      <c r="DK55" s="53"/>
      <c r="DL55" s="53"/>
      <c r="DN55" s="69" t="s">
        <v>231</v>
      </c>
      <c r="DO55" s="53"/>
      <c r="DP55" s="53"/>
      <c r="DQ55" s="53"/>
      <c r="DR55" s="53"/>
      <c r="DS55" s="53"/>
      <c r="DU55" s="69" t="s">
        <v>231</v>
      </c>
      <c r="DV55" s="53"/>
      <c r="DW55" s="53"/>
      <c r="DX55" s="53"/>
      <c r="DY55" s="53"/>
      <c r="DZ55" s="53"/>
      <c r="EB55" s="69" t="s">
        <v>231</v>
      </c>
      <c r="EC55" s="53"/>
      <c r="ED55" s="53"/>
      <c r="EE55" s="53"/>
      <c r="EF55" s="53"/>
      <c r="EG55" s="53"/>
      <c r="EI55" s="69" t="s">
        <v>231</v>
      </c>
      <c r="EJ55" s="53"/>
      <c r="EK55" s="53"/>
      <c r="EL55" s="53"/>
      <c r="EM55" s="53"/>
      <c r="EN55" s="53"/>
      <c r="EP55" s="69" t="s">
        <v>231</v>
      </c>
      <c r="EQ55" s="53"/>
      <c r="ER55" s="53"/>
      <c r="ES55" s="53"/>
      <c r="ET55" s="53"/>
      <c r="EU55" s="53"/>
      <c r="EW55" s="69" t="s">
        <v>231</v>
      </c>
      <c r="EX55" s="53"/>
      <c r="EY55" s="53"/>
      <c r="EZ55" s="53"/>
      <c r="FA55" s="53"/>
      <c r="FB55" s="53"/>
      <c r="FD55" s="69" t="s">
        <v>231</v>
      </c>
      <c r="FE55" s="53"/>
      <c r="FF55" s="53"/>
      <c r="FG55" s="53"/>
      <c r="FH55" s="53"/>
      <c r="FI55" s="53"/>
      <c r="FK55" s="69" t="s">
        <v>231</v>
      </c>
      <c r="FL55" s="53"/>
      <c r="FM55" s="53"/>
      <c r="FN55" s="53"/>
      <c r="FO55" s="53"/>
      <c r="FP55" s="53"/>
      <c r="FR55" s="69" t="s">
        <v>231</v>
      </c>
      <c r="FS55" s="53"/>
      <c r="FT55" s="53"/>
      <c r="FU55" s="53"/>
      <c r="FV55" s="53"/>
      <c r="FW55" s="53"/>
      <c r="FY55" s="69" t="s">
        <v>231</v>
      </c>
      <c r="FZ55" s="53"/>
      <c r="GA55" s="53"/>
      <c r="GB55" s="53"/>
      <c r="GC55" s="53"/>
      <c r="GD55" s="53"/>
      <c r="GF55" s="69" t="s">
        <v>231</v>
      </c>
      <c r="GG55" s="53"/>
      <c r="GH55" s="53"/>
      <c r="GI55" s="53"/>
      <c r="GJ55" s="53"/>
      <c r="GK55" s="53"/>
      <c r="GM55" s="69" t="s">
        <v>231</v>
      </c>
      <c r="GN55" s="53"/>
      <c r="GO55" s="53"/>
      <c r="GP55" s="53"/>
      <c r="GQ55" s="53"/>
      <c r="GR55" s="53"/>
      <c r="GT55" s="69" t="s">
        <v>231</v>
      </c>
      <c r="GU55" s="53"/>
      <c r="GV55" s="53"/>
      <c r="GW55" s="53"/>
      <c r="GX55" s="53"/>
      <c r="GY55" s="53"/>
      <c r="HA55" s="69" t="s">
        <v>231</v>
      </c>
      <c r="HB55" s="53"/>
      <c r="HC55" s="53"/>
      <c r="HD55" s="53"/>
      <c r="HE55" s="53"/>
      <c r="HF55" s="53"/>
      <c r="HH55" s="69" t="s">
        <v>231</v>
      </c>
      <c r="HI55" s="53"/>
      <c r="HJ55" s="53"/>
      <c r="HK55" s="53"/>
      <c r="HL55" s="53"/>
      <c r="HM55" s="53"/>
      <c r="HO55" s="69" t="s">
        <v>231</v>
      </c>
      <c r="HP55" s="53"/>
      <c r="HQ55" s="53"/>
      <c r="HR55" s="53"/>
      <c r="HS55" s="53"/>
      <c r="HT55" s="53"/>
      <c r="HV55" s="69" t="s">
        <v>231</v>
      </c>
      <c r="HW55" s="53"/>
      <c r="HX55" s="53"/>
      <c r="HY55" s="53"/>
      <c r="HZ55" s="53"/>
      <c r="IA55" s="53"/>
      <c r="IC55" s="69" t="s">
        <v>231</v>
      </c>
      <c r="ID55" s="53"/>
      <c r="IE55" s="53"/>
      <c r="IF55" s="53"/>
      <c r="IG55" s="53"/>
      <c r="IH55" s="53"/>
      <c r="IJ55" s="69" t="s">
        <v>231</v>
      </c>
      <c r="IK55" s="53"/>
      <c r="IL55" s="53"/>
      <c r="IM55" s="53"/>
      <c r="IN55" s="53"/>
      <c r="IO55" s="53"/>
      <c r="IQ55" s="69" t="s">
        <v>231</v>
      </c>
      <c r="IR55" s="53"/>
      <c r="IS55" s="53"/>
      <c r="IT55" s="53"/>
      <c r="IU55" s="53"/>
      <c r="IV55" s="53"/>
      <c r="IX55" s="69" t="s">
        <v>231</v>
      </c>
      <c r="IY55" s="53"/>
      <c r="IZ55" s="53"/>
      <c r="JA55" s="53"/>
      <c r="JB55" s="53"/>
      <c r="JC55" s="53"/>
      <c r="JE55" s="69" t="s">
        <v>231</v>
      </c>
      <c r="JF55" s="53"/>
      <c r="JG55" s="53"/>
      <c r="JH55" s="53"/>
      <c r="JI55" s="53"/>
      <c r="JJ55" s="53"/>
      <c r="JL55" s="69" t="s">
        <v>231</v>
      </c>
      <c r="JM55" s="53"/>
      <c r="JN55" s="53"/>
      <c r="JO55" s="53"/>
      <c r="JP55" s="53"/>
      <c r="JQ55" s="53"/>
      <c r="JS55" s="69" t="s">
        <v>231</v>
      </c>
      <c r="JT55" s="53"/>
      <c r="JU55" s="53"/>
      <c r="JV55" s="53"/>
      <c r="JW55" s="53"/>
      <c r="JX55" s="53"/>
      <c r="JZ55" s="69" t="s">
        <v>231</v>
      </c>
      <c r="KA55" s="53"/>
      <c r="KB55" s="53"/>
      <c r="KC55" s="53"/>
      <c r="KD55" s="53"/>
      <c r="KE55" s="53"/>
      <c r="KG55" s="69" t="s">
        <v>231</v>
      </c>
      <c r="KH55" s="53"/>
      <c r="KI55" s="53"/>
      <c r="KJ55" s="53"/>
      <c r="KK55" s="53"/>
      <c r="KL55" s="53"/>
      <c r="KN55" s="69" t="s">
        <v>231</v>
      </c>
      <c r="KO55" s="53"/>
      <c r="KP55" s="53"/>
      <c r="KQ55" s="53"/>
      <c r="KR55" s="53"/>
      <c r="KS55" s="53"/>
      <c r="KU55" s="69" t="s">
        <v>231</v>
      </c>
      <c r="KV55" s="53"/>
      <c r="KW55" s="53"/>
      <c r="KX55" s="53"/>
      <c r="KY55" s="53"/>
      <c r="KZ55" s="53"/>
      <c r="LB55" s="69" t="s">
        <v>231</v>
      </c>
      <c r="LC55" s="53"/>
      <c r="LI55" s="69" t="s">
        <v>231</v>
      </c>
      <c r="LP55" s="69" t="s">
        <v>231</v>
      </c>
      <c r="LW55" s="69" t="s">
        <v>231</v>
      </c>
      <c r="MD55" s="69" t="s">
        <v>231</v>
      </c>
    </row>
    <row r="56" spans="1:349" outlineLevel="1" x14ac:dyDescent="0.4">
      <c r="A56" s="48"/>
      <c r="B56" s="57" t="s">
        <v>192</v>
      </c>
      <c r="C56" s="58"/>
      <c r="D56" s="58"/>
      <c r="E56" s="58"/>
      <c r="F56" s="58"/>
      <c r="G56" s="58"/>
      <c r="H56" s="58"/>
      <c r="I56" s="58"/>
      <c r="J56" s="58"/>
      <c r="K56" s="58"/>
      <c r="L56" s="58"/>
      <c r="M56" s="58"/>
      <c r="N56" s="58">
        <f>BV56</f>
        <v>0</v>
      </c>
      <c r="O56" s="58">
        <f>CC56</f>
        <v>0</v>
      </c>
      <c r="P56" s="58">
        <f>CJ56</f>
        <v>0</v>
      </c>
      <c r="Q56" s="58">
        <f>CQ56</f>
        <v>0</v>
      </c>
      <c r="R56" s="58">
        <f>CX56</f>
        <v>0</v>
      </c>
      <c r="S56" s="58">
        <f>DE56</f>
        <v>0</v>
      </c>
      <c r="T56" s="58">
        <f>DL56</f>
        <v>0</v>
      </c>
      <c r="U56" s="58">
        <f>DS56</f>
        <v>0</v>
      </c>
      <c r="V56" s="58">
        <f>DZ56</f>
        <v>0</v>
      </c>
      <c r="W56" s="58">
        <f>EG56</f>
        <v>84.776899999999998</v>
      </c>
      <c r="X56" s="58">
        <f>EN56</f>
        <v>-49.4</v>
      </c>
      <c r="Y56" s="58">
        <f>EU56</f>
        <v>0</v>
      </c>
      <c r="Z56" s="58">
        <f>FB56</f>
        <v>0</v>
      </c>
      <c r="AA56" s="58">
        <f>FI56</f>
        <v>0</v>
      </c>
      <c r="AB56" s="58">
        <f>FP56</f>
        <v>0</v>
      </c>
      <c r="AC56" s="58">
        <f>FW56</f>
        <v>0</v>
      </c>
      <c r="AD56" s="58">
        <f>GD56</f>
        <v>0</v>
      </c>
      <c r="AE56" s="58">
        <f>GK56</f>
        <v>0</v>
      </c>
      <c r="AF56" s="58">
        <f>GR56</f>
        <v>0</v>
      </c>
      <c r="AG56" s="58">
        <f>GY56</f>
        <v>0</v>
      </c>
      <c r="AH56" s="58">
        <f>HF56</f>
        <v>0</v>
      </c>
      <c r="AI56" s="58">
        <f>HM56</f>
        <v>0</v>
      </c>
      <c r="AJ56" s="58">
        <f>HT56</f>
        <v>0</v>
      </c>
      <c r="AK56" s="58">
        <f>IA56</f>
        <v>0</v>
      </c>
      <c r="AL56" s="58">
        <f>IH56</f>
        <v>0</v>
      </c>
      <c r="AM56" s="58">
        <f>IO56</f>
        <v>0</v>
      </c>
      <c r="AN56" s="58">
        <f>IV56</f>
        <v>0</v>
      </c>
      <c r="AO56" s="58">
        <f>JC56</f>
        <v>0</v>
      </c>
      <c r="AP56" s="58">
        <f>JJ56</f>
        <v>-203</v>
      </c>
      <c r="AQ56" s="58">
        <f>JQ56</f>
        <v>0</v>
      </c>
      <c r="AR56" s="58">
        <f>JX56</f>
        <v>0</v>
      </c>
      <c r="AS56" s="58">
        <f>KE56</f>
        <v>0</v>
      </c>
      <c r="AT56" s="58">
        <f>KL56</f>
        <v>0</v>
      </c>
      <c r="AU56" s="58">
        <f>KS56</f>
        <v>0</v>
      </c>
      <c r="AV56" s="58">
        <f>KZ56</f>
        <v>0</v>
      </c>
      <c r="AW56" s="58">
        <f>LG56</f>
        <v>-82</v>
      </c>
      <c r="AX56" s="58">
        <f>LN56</f>
        <v>-191.64565217391302</v>
      </c>
      <c r="AY56" s="58">
        <f>LU56</f>
        <v>0</v>
      </c>
      <c r="AZ56" s="58">
        <f>MB56</f>
        <v>0</v>
      </c>
      <c r="BA56" s="58">
        <f>MI56</f>
        <v>0</v>
      </c>
      <c r="BB56" s="58"/>
      <c r="BC56" s="58"/>
      <c r="BD56" s="58"/>
      <c r="BE56" s="58"/>
      <c r="BF56" s="58"/>
      <c r="BG56" s="58"/>
      <c r="BH56" s="58"/>
      <c r="BI56" s="58"/>
      <c r="BJ56" s="58"/>
      <c r="BK56" s="58"/>
      <c r="BL56" s="58"/>
      <c r="BM56" s="58"/>
      <c r="BN56" s="58"/>
      <c r="BO56" s="58"/>
      <c r="BQ56" s="57" t="s">
        <v>192</v>
      </c>
      <c r="BR56" s="58"/>
      <c r="BS56" s="58"/>
      <c r="BT56" s="58"/>
      <c r="BU56" s="58"/>
      <c r="BV56" s="58"/>
      <c r="BX56" s="57" t="s">
        <v>192</v>
      </c>
      <c r="BY56" s="58"/>
      <c r="BZ56" s="58"/>
      <c r="CA56" s="58"/>
      <c r="CB56" s="58"/>
      <c r="CC56" s="58"/>
      <c r="CE56" s="57" t="s">
        <v>192</v>
      </c>
      <c r="CF56" s="58"/>
      <c r="CG56" s="58"/>
      <c r="CH56" s="58"/>
      <c r="CI56" s="58"/>
      <c r="CJ56" s="58"/>
      <c r="CL56" s="57" t="s">
        <v>192</v>
      </c>
      <c r="CM56" s="58"/>
      <c r="CN56" s="58"/>
      <c r="CO56" s="58"/>
      <c r="CP56" s="58"/>
      <c r="CQ56" s="58"/>
      <c r="CS56" s="57" t="s">
        <v>192</v>
      </c>
      <c r="CT56" s="58"/>
      <c r="CU56" s="58"/>
      <c r="CV56" s="58"/>
      <c r="CW56" s="58"/>
      <c r="CX56" s="58"/>
      <c r="CZ56" s="57" t="s">
        <v>192</v>
      </c>
      <c r="DA56" s="58"/>
      <c r="DB56" s="58"/>
      <c r="DC56" s="58"/>
      <c r="DD56" s="58"/>
      <c r="DE56" s="58"/>
      <c r="DG56" s="57" t="s">
        <v>192</v>
      </c>
      <c r="DH56" s="58"/>
      <c r="DI56" s="58"/>
      <c r="DJ56" s="58"/>
      <c r="DK56" s="58"/>
      <c r="DL56" s="58"/>
      <c r="DN56" s="57" t="s">
        <v>192</v>
      </c>
      <c r="DO56" s="58"/>
      <c r="DP56" s="58"/>
      <c r="DQ56" s="58"/>
      <c r="DR56" s="58"/>
      <c r="DS56" s="58"/>
      <c r="DU56" s="57" t="s">
        <v>192</v>
      </c>
      <c r="DV56" s="58"/>
      <c r="DW56" s="58"/>
      <c r="DX56" s="58"/>
      <c r="DY56" s="58"/>
      <c r="DZ56" s="58"/>
      <c r="EB56" s="57" t="s">
        <v>192</v>
      </c>
      <c r="EC56" s="58">
        <f>(-19-10-9)*(1-0.36255)</f>
        <v>-24.223100000000002</v>
      </c>
      <c r="ED56" s="58"/>
      <c r="EE56" s="58">
        <f>90+19</f>
        <v>109</v>
      </c>
      <c r="EF56" s="58"/>
      <c r="EG56" s="58">
        <f>SUM(EC56:EF56)</f>
        <v>84.776899999999998</v>
      </c>
      <c r="EI56" s="57" t="s">
        <v>192</v>
      </c>
      <c r="EJ56" s="58">
        <v>-49.4</v>
      </c>
      <c r="EK56" s="58"/>
      <c r="EL56" s="58"/>
      <c r="EM56" s="58"/>
      <c r="EN56" s="58">
        <f>SUM(EJ56:EM56)</f>
        <v>-49.4</v>
      </c>
      <c r="EP56" s="57" t="s">
        <v>192</v>
      </c>
      <c r="EQ56" s="58"/>
      <c r="ER56" s="58"/>
      <c r="ES56" s="58"/>
      <c r="ET56" s="58"/>
      <c r="EU56" s="58"/>
      <c r="EW56" s="57" t="s">
        <v>192</v>
      </c>
      <c r="EX56" s="58"/>
      <c r="EY56" s="58"/>
      <c r="EZ56" s="58"/>
      <c r="FA56" s="58"/>
      <c r="FB56" s="58"/>
      <c r="FD56" s="57" t="s">
        <v>192</v>
      </c>
      <c r="FE56" s="58"/>
      <c r="FF56" s="58"/>
      <c r="FG56" s="58"/>
      <c r="FH56" s="58"/>
      <c r="FI56" s="58"/>
      <c r="FK56" s="57" t="s">
        <v>192</v>
      </c>
      <c r="FL56" s="58"/>
      <c r="FM56" s="58"/>
      <c r="FN56" s="58"/>
      <c r="FO56" s="58"/>
      <c r="FP56" s="58"/>
      <c r="FR56" s="57" t="s">
        <v>192</v>
      </c>
      <c r="FS56" s="58"/>
      <c r="FT56" s="58"/>
      <c r="FU56" s="58"/>
      <c r="FV56" s="58"/>
      <c r="FW56" s="58"/>
      <c r="FY56" s="57" t="s">
        <v>192</v>
      </c>
      <c r="FZ56" s="58">
        <v>0</v>
      </c>
      <c r="GA56" s="58">
        <v>0</v>
      </c>
      <c r="GB56" s="58">
        <v>0</v>
      </c>
      <c r="GC56" s="58">
        <v>0</v>
      </c>
      <c r="GD56" s="58">
        <f>SUM(FZ56:GC56)</f>
        <v>0</v>
      </c>
      <c r="GF56" s="57" t="s">
        <v>192</v>
      </c>
      <c r="GG56" s="58">
        <v>0</v>
      </c>
      <c r="GH56" s="58">
        <v>0</v>
      </c>
      <c r="GI56" s="58">
        <v>0</v>
      </c>
      <c r="GJ56" s="58">
        <v>0</v>
      </c>
      <c r="GK56" s="58">
        <f>SUM(GG56:GJ56)</f>
        <v>0</v>
      </c>
      <c r="GM56" s="57" t="s">
        <v>192</v>
      </c>
      <c r="GN56" s="58">
        <v>0</v>
      </c>
      <c r="GO56" s="58">
        <v>0</v>
      </c>
      <c r="GP56" s="58">
        <v>0</v>
      </c>
      <c r="GQ56" s="58">
        <v>0</v>
      </c>
      <c r="GR56" s="58">
        <f>SUM(GN56:GQ56)</f>
        <v>0</v>
      </c>
      <c r="GT56" s="57" t="s">
        <v>192</v>
      </c>
      <c r="GU56" s="58">
        <v>0</v>
      </c>
      <c r="GV56" s="58">
        <v>0</v>
      </c>
      <c r="GW56" s="58">
        <v>0</v>
      </c>
      <c r="GX56" s="58">
        <v>0</v>
      </c>
      <c r="GY56" s="58">
        <f>SUM(GU56:GX56)</f>
        <v>0</v>
      </c>
      <c r="HA56" s="57" t="s">
        <v>192</v>
      </c>
      <c r="HB56" s="58">
        <v>0</v>
      </c>
      <c r="HC56" s="58">
        <v>0</v>
      </c>
      <c r="HD56" s="58">
        <v>0</v>
      </c>
      <c r="HE56" s="58">
        <v>0</v>
      </c>
      <c r="HF56" s="58">
        <f>SUM(HB56:HE56)</f>
        <v>0</v>
      </c>
      <c r="HH56" s="57" t="s">
        <v>192</v>
      </c>
      <c r="HI56" s="58">
        <v>0</v>
      </c>
      <c r="HJ56" s="58"/>
      <c r="HK56" s="58">
        <v>0</v>
      </c>
      <c r="HL56" s="58">
        <v>0</v>
      </c>
      <c r="HM56" s="58">
        <f>SUM(HI56:HL56)</f>
        <v>0</v>
      </c>
      <c r="HO56" s="57" t="s">
        <v>192</v>
      </c>
      <c r="HP56" s="58">
        <v>0</v>
      </c>
      <c r="HQ56" s="58">
        <v>0</v>
      </c>
      <c r="HR56" s="58">
        <v>0</v>
      </c>
      <c r="HS56" s="58">
        <v>0</v>
      </c>
      <c r="HT56" s="58">
        <f>SUM(HP56:HS56)</f>
        <v>0</v>
      </c>
      <c r="HV56" s="57" t="s">
        <v>192</v>
      </c>
      <c r="HW56" s="58">
        <v>0</v>
      </c>
      <c r="HX56" s="58">
        <v>0</v>
      </c>
      <c r="HY56" s="58">
        <v>0</v>
      </c>
      <c r="HZ56" s="58">
        <v>0</v>
      </c>
      <c r="IA56" s="58">
        <f>SUM(HW56:HZ56)</f>
        <v>0</v>
      </c>
      <c r="IC56" s="57" t="s">
        <v>192</v>
      </c>
      <c r="ID56" s="58">
        <v>0</v>
      </c>
      <c r="IE56" s="58">
        <v>0</v>
      </c>
      <c r="IF56" s="58">
        <v>0</v>
      </c>
      <c r="IG56" s="58">
        <v>0</v>
      </c>
      <c r="IH56" s="58">
        <f>SUM(ID56:IG56)</f>
        <v>0</v>
      </c>
      <c r="IJ56" s="57" t="s">
        <v>192</v>
      </c>
      <c r="IK56" s="58">
        <v>0</v>
      </c>
      <c r="IL56" s="58">
        <v>0</v>
      </c>
      <c r="IM56" s="58">
        <v>0</v>
      </c>
      <c r="IN56" s="58">
        <v>0</v>
      </c>
      <c r="IO56" s="58">
        <f>SUM(IK56:IN56)</f>
        <v>0</v>
      </c>
      <c r="IQ56" s="57" t="s">
        <v>192</v>
      </c>
      <c r="IR56" s="58">
        <v>0</v>
      </c>
      <c r="IS56" s="58">
        <v>0</v>
      </c>
      <c r="IT56" s="58">
        <v>0</v>
      </c>
      <c r="IU56" s="58">
        <v>0</v>
      </c>
      <c r="IV56" s="58">
        <f>SUM(IR56:IU56)</f>
        <v>0</v>
      </c>
      <c r="IX56" s="57" t="s">
        <v>192</v>
      </c>
      <c r="IY56" s="58">
        <v>0</v>
      </c>
      <c r="IZ56" s="58">
        <v>0</v>
      </c>
      <c r="JA56" s="58">
        <v>0</v>
      </c>
      <c r="JB56" s="58">
        <v>0</v>
      </c>
      <c r="JC56" s="58">
        <f>SUM(IY56:JB56)</f>
        <v>0</v>
      </c>
      <c r="JE56" s="57" t="s">
        <v>192</v>
      </c>
      <c r="JF56" s="58">
        <v>-108</v>
      </c>
      <c r="JG56" s="58">
        <f>-81</f>
        <v>-81</v>
      </c>
      <c r="JH56" s="58">
        <v>-4</v>
      </c>
      <c r="JI56" s="58">
        <v>-10</v>
      </c>
      <c r="JJ56" s="58">
        <f>SUM(JF56:JI56)</f>
        <v>-203</v>
      </c>
      <c r="JL56" s="57" t="s">
        <v>192</v>
      </c>
      <c r="JM56" s="58">
        <v>0</v>
      </c>
      <c r="JN56" s="58">
        <v>0</v>
      </c>
      <c r="JO56" s="58">
        <v>0</v>
      </c>
      <c r="JP56" s="58">
        <v>0</v>
      </c>
      <c r="JQ56" s="58">
        <f>SUM(JM56:JP56)</f>
        <v>0</v>
      </c>
      <c r="JS56" s="57" t="s">
        <v>192</v>
      </c>
      <c r="JT56" s="58">
        <v>0</v>
      </c>
      <c r="JU56" s="58">
        <v>0</v>
      </c>
      <c r="JV56" s="58">
        <v>0</v>
      </c>
      <c r="JW56" s="58">
        <v>0</v>
      </c>
      <c r="JX56" s="58">
        <f>SUM(JT56:JW56)</f>
        <v>0</v>
      </c>
      <c r="JZ56" s="57" t="s">
        <v>192</v>
      </c>
      <c r="KA56" s="58">
        <v>0</v>
      </c>
      <c r="KB56" s="58">
        <v>0</v>
      </c>
      <c r="KC56" s="58">
        <v>0</v>
      </c>
      <c r="KD56" s="58">
        <v>0</v>
      </c>
      <c r="KE56" s="58">
        <f>SUM(KA56:KD56)</f>
        <v>0</v>
      </c>
      <c r="KG56" s="57" t="s">
        <v>192</v>
      </c>
      <c r="KH56" s="58">
        <v>0</v>
      </c>
      <c r="KI56" s="58">
        <v>0</v>
      </c>
      <c r="KJ56" s="58">
        <v>0</v>
      </c>
      <c r="KK56" s="58">
        <v>0</v>
      </c>
      <c r="KL56" s="58">
        <f>SUM(KH56:KK56)</f>
        <v>0</v>
      </c>
      <c r="KN56" s="57" t="s">
        <v>192</v>
      </c>
      <c r="KO56" s="58">
        <v>0</v>
      </c>
      <c r="KP56" s="58">
        <v>0</v>
      </c>
      <c r="KQ56" s="58">
        <v>0</v>
      </c>
      <c r="KR56" s="58">
        <v>0</v>
      </c>
      <c r="KS56" s="58">
        <f>SUM(KO56:KR56)</f>
        <v>0</v>
      </c>
      <c r="KU56" s="57" t="s">
        <v>192</v>
      </c>
      <c r="KV56" s="58">
        <v>0</v>
      </c>
      <c r="KW56" s="58">
        <v>0</v>
      </c>
      <c r="KX56" s="58">
        <v>0</v>
      </c>
      <c r="KY56" s="58">
        <v>0</v>
      </c>
      <c r="KZ56" s="58">
        <f>SUM(KV56:KY56)</f>
        <v>0</v>
      </c>
      <c r="LB56" s="57" t="s">
        <v>192</v>
      </c>
      <c r="LC56" s="58">
        <v>0</v>
      </c>
      <c r="LD56" s="127">
        <v>0</v>
      </c>
      <c r="LE56" s="127">
        <v>0</v>
      </c>
      <c r="LF56" s="127">
        <f>-108+26</f>
        <v>-82</v>
      </c>
      <c r="LG56" s="127">
        <f>SUM(LC56:LF56)</f>
        <v>-82</v>
      </c>
      <c r="LH56" s="558"/>
      <c r="LI56" s="57" t="s">
        <v>192</v>
      </c>
      <c r="LJ56" s="127">
        <v>0</v>
      </c>
      <c r="LK56" s="127">
        <v>0</v>
      </c>
      <c r="LL56" s="127">
        <f>-(22+13)*(1-23%)-124</f>
        <v>-150.94999999999999</v>
      </c>
      <c r="LM56" s="127">
        <f>-(31+21)*(1-LM47)</f>
        <v>-40.695652173913039</v>
      </c>
      <c r="LN56" s="127">
        <f>SUM(LJ56:LM56)</f>
        <v>-191.64565217391302</v>
      </c>
      <c r="LO56" s="558"/>
      <c r="LP56" s="57" t="s">
        <v>192</v>
      </c>
      <c r="LQ56" s="127">
        <v>0</v>
      </c>
      <c r="LR56" s="127">
        <v>0</v>
      </c>
      <c r="LS56" s="127">
        <v>0</v>
      </c>
      <c r="LT56" s="127">
        <v>0</v>
      </c>
      <c r="LU56" s="127">
        <f>SUM(LQ56:LT56)</f>
        <v>0</v>
      </c>
      <c r="LV56" s="558"/>
      <c r="LW56" s="57" t="s">
        <v>192</v>
      </c>
      <c r="LX56" s="127">
        <v>0</v>
      </c>
      <c r="LY56" s="127">
        <v>0</v>
      </c>
      <c r="LZ56" s="127">
        <v>0</v>
      </c>
      <c r="MA56" s="127">
        <v>0</v>
      </c>
      <c r="MB56" s="127">
        <f>SUM(LX56:MA56)</f>
        <v>0</v>
      </c>
      <c r="MC56" s="558"/>
      <c r="MD56" s="57" t="s">
        <v>192</v>
      </c>
      <c r="ME56" s="127">
        <v>0</v>
      </c>
      <c r="MF56" s="127">
        <v>0</v>
      </c>
      <c r="MG56" s="127">
        <v>0</v>
      </c>
      <c r="MH56" s="127">
        <v>0</v>
      </c>
      <c r="MI56" s="127">
        <f>SUM(ME56:MH56)</f>
        <v>0</v>
      </c>
      <c r="MJ56" s="558"/>
    </row>
    <row r="57" spans="1:349" outlineLevel="1" x14ac:dyDescent="0.4">
      <c r="A57" s="48"/>
      <c r="B57" s="57" t="s">
        <v>191</v>
      </c>
      <c r="C57" s="58"/>
      <c r="D57" s="58"/>
      <c r="E57" s="58"/>
      <c r="F57" s="58"/>
      <c r="G57" s="58"/>
      <c r="H57" s="58"/>
      <c r="I57" s="58"/>
      <c r="J57" s="58"/>
      <c r="K57" s="58"/>
      <c r="L57" s="58"/>
      <c r="M57" s="58"/>
      <c r="N57" s="58">
        <f>BV57</f>
        <v>0</v>
      </c>
      <c r="O57" s="58">
        <f>CC57</f>
        <v>0</v>
      </c>
      <c r="P57" s="58">
        <f>CJ57</f>
        <v>0</v>
      </c>
      <c r="Q57" s="58">
        <f>CQ57</f>
        <v>0</v>
      </c>
      <c r="R57" s="58">
        <f>CX57</f>
        <v>0</v>
      </c>
      <c r="S57" s="58">
        <f>DE57</f>
        <v>0</v>
      </c>
      <c r="T57" s="58">
        <f>DL57</f>
        <v>0</v>
      </c>
      <c r="U57" s="58">
        <f>DS57</f>
        <v>0</v>
      </c>
      <c r="V57" s="58">
        <f>DZ57</f>
        <v>0</v>
      </c>
      <c r="W57" s="58">
        <f>EG57</f>
        <v>0</v>
      </c>
      <c r="X57" s="58">
        <f>EN57</f>
        <v>0</v>
      </c>
      <c r="Y57" s="58">
        <f>EU57</f>
        <v>0</v>
      </c>
      <c r="Z57" s="58">
        <f>FB57</f>
        <v>0</v>
      </c>
      <c r="AA57" s="58">
        <f>FI57</f>
        <v>0</v>
      </c>
      <c r="AB57" s="58">
        <f>FP57</f>
        <v>0</v>
      </c>
      <c r="AC57" s="58">
        <f>FW57</f>
        <v>0</v>
      </c>
      <c r="AD57" s="58">
        <f>GD57</f>
        <v>-52</v>
      </c>
      <c r="AE57" s="58">
        <f>GK57</f>
        <v>0</v>
      </c>
      <c r="AF57" s="58">
        <f>GR57</f>
        <v>0</v>
      </c>
      <c r="AG57" s="58">
        <f>GY57</f>
        <v>0</v>
      </c>
      <c r="AH57" s="58">
        <f>HF57</f>
        <v>0</v>
      </c>
      <c r="AI57" s="58">
        <f>HM57</f>
        <v>0</v>
      </c>
      <c r="AJ57" s="58">
        <f>HT57</f>
        <v>0</v>
      </c>
      <c r="AK57" s="58">
        <f>IA57</f>
        <v>0</v>
      </c>
      <c r="AL57" s="58">
        <f>IH57</f>
        <v>0</v>
      </c>
      <c r="AM57" s="58">
        <f>IO57</f>
        <v>0</v>
      </c>
      <c r="AN57" s="58">
        <f>IV57</f>
        <v>0</v>
      </c>
      <c r="AO57" s="58">
        <f>JC57</f>
        <v>-115</v>
      </c>
      <c r="AP57" s="58">
        <f>JJ57</f>
        <v>0</v>
      </c>
      <c r="AQ57" s="58">
        <f>JQ57</f>
        <v>0</v>
      </c>
      <c r="AR57" s="58">
        <f>JX57</f>
        <v>0</v>
      </c>
      <c r="AS57" s="58">
        <f>KE57</f>
        <v>0</v>
      </c>
      <c r="AT57" s="58">
        <f>KL57</f>
        <v>0</v>
      </c>
      <c r="AU57" s="58">
        <f>KS57</f>
        <v>0</v>
      </c>
      <c r="AV57" s="58">
        <f>KZ57</f>
        <v>0</v>
      </c>
      <c r="AW57" s="58">
        <f>LG57</f>
        <v>0</v>
      </c>
      <c r="AX57" s="58">
        <f>LN57</f>
        <v>0</v>
      </c>
      <c r="AY57" s="58">
        <f>LU57</f>
        <v>0</v>
      </c>
      <c r="AZ57" s="58">
        <f>MB57</f>
        <v>0</v>
      </c>
      <c r="BA57" s="58">
        <f>MI57</f>
        <v>0</v>
      </c>
      <c r="BB57" s="58"/>
      <c r="BC57" s="58"/>
      <c r="BD57" s="58"/>
      <c r="BE57" s="58"/>
      <c r="BF57" s="58"/>
      <c r="BG57" s="58"/>
      <c r="BH57" s="58"/>
      <c r="BI57" s="58"/>
      <c r="BJ57" s="58"/>
      <c r="BK57" s="58"/>
      <c r="BL57" s="58"/>
      <c r="BM57" s="58"/>
      <c r="BN57" s="58"/>
      <c r="BO57" s="58"/>
      <c r="BQ57" s="57" t="s">
        <v>191</v>
      </c>
      <c r="BR57" s="58"/>
      <c r="BS57" s="58"/>
      <c r="BT57" s="58"/>
      <c r="BU57" s="58"/>
      <c r="BV57" s="58"/>
      <c r="BX57" s="57" t="s">
        <v>191</v>
      </c>
      <c r="BY57" s="58"/>
      <c r="BZ57" s="58"/>
      <c r="CA57" s="58"/>
      <c r="CB57" s="58"/>
      <c r="CC57" s="58"/>
      <c r="CE57" s="57" t="s">
        <v>191</v>
      </c>
      <c r="CF57" s="58"/>
      <c r="CG57" s="58"/>
      <c r="CH57" s="58"/>
      <c r="CI57" s="58"/>
      <c r="CJ57" s="58"/>
      <c r="CL57" s="57" t="s">
        <v>191</v>
      </c>
      <c r="CM57" s="58"/>
      <c r="CN57" s="58"/>
      <c r="CO57" s="58"/>
      <c r="CP57" s="58"/>
      <c r="CQ57" s="58"/>
      <c r="CS57" s="57" t="s">
        <v>191</v>
      </c>
      <c r="CT57" s="58"/>
      <c r="CU57" s="58"/>
      <c r="CV57" s="58"/>
      <c r="CW57" s="58"/>
      <c r="CX57" s="58"/>
      <c r="CZ57" s="57" t="s">
        <v>191</v>
      </c>
      <c r="DA57" s="58"/>
      <c r="DB57" s="58"/>
      <c r="DC57" s="58"/>
      <c r="DD57" s="58"/>
      <c r="DE57" s="58"/>
      <c r="DG57" s="57" t="s">
        <v>191</v>
      </c>
      <c r="DH57" s="58"/>
      <c r="DI57" s="58"/>
      <c r="DJ57" s="58"/>
      <c r="DK57" s="58"/>
      <c r="DL57" s="58"/>
      <c r="DN57" s="57" t="s">
        <v>191</v>
      </c>
      <c r="DO57" s="58"/>
      <c r="DP57" s="58"/>
      <c r="DQ57" s="58"/>
      <c r="DR57" s="58"/>
      <c r="DS57" s="58"/>
      <c r="DU57" s="57" t="s">
        <v>191</v>
      </c>
      <c r="DV57" s="58"/>
      <c r="DW57" s="58"/>
      <c r="DX57" s="58"/>
      <c r="DY57" s="58"/>
      <c r="DZ57" s="58"/>
      <c r="EB57" s="57" t="s">
        <v>191</v>
      </c>
      <c r="EC57" s="58"/>
      <c r="ED57" s="58"/>
      <c r="EE57" s="58"/>
      <c r="EF57" s="58"/>
      <c r="EG57" s="58"/>
      <c r="EI57" s="57" t="s">
        <v>191</v>
      </c>
      <c r="EJ57" s="58"/>
      <c r="EK57" s="58"/>
      <c r="EL57" s="58"/>
      <c r="EM57" s="58"/>
      <c r="EN57" s="58"/>
      <c r="EP57" s="57" t="s">
        <v>191</v>
      </c>
      <c r="EQ57" s="58"/>
      <c r="ER57" s="58"/>
      <c r="ES57" s="58"/>
      <c r="ET57" s="58"/>
      <c r="EU57" s="58"/>
      <c r="EW57" s="57" t="s">
        <v>191</v>
      </c>
      <c r="EX57" s="58"/>
      <c r="EY57" s="58"/>
      <c r="EZ57" s="58"/>
      <c r="FA57" s="58"/>
      <c r="FB57" s="58"/>
      <c r="FD57" s="57" t="s">
        <v>191</v>
      </c>
      <c r="FE57" s="58"/>
      <c r="FF57" s="58"/>
      <c r="FG57" s="58"/>
      <c r="FH57" s="58"/>
      <c r="FI57" s="58"/>
      <c r="FK57" s="57" t="s">
        <v>191</v>
      </c>
      <c r="FL57" s="58"/>
      <c r="FM57" s="58"/>
      <c r="FN57" s="58"/>
      <c r="FO57" s="58"/>
      <c r="FP57" s="58"/>
      <c r="FR57" s="57" t="s">
        <v>191</v>
      </c>
      <c r="FS57" s="58"/>
      <c r="FT57" s="58"/>
      <c r="FU57" s="58"/>
      <c r="FV57" s="58"/>
      <c r="FW57" s="58"/>
      <c r="FY57" s="57" t="s">
        <v>191</v>
      </c>
      <c r="FZ57" s="58">
        <v>0</v>
      </c>
      <c r="GA57" s="58">
        <f>71-123</f>
        <v>-52</v>
      </c>
      <c r="GB57" s="58">
        <v>0</v>
      </c>
      <c r="GC57" s="58">
        <v>0</v>
      </c>
      <c r="GD57" s="58">
        <f>SUM(FZ57:GC57)</f>
        <v>-52</v>
      </c>
      <c r="GF57" s="57" t="s">
        <v>191</v>
      </c>
      <c r="GG57" s="58">
        <v>0</v>
      </c>
      <c r="GH57" s="58">
        <v>0</v>
      </c>
      <c r="GI57" s="58">
        <v>0</v>
      </c>
      <c r="GJ57" s="58">
        <v>0</v>
      </c>
      <c r="GK57" s="58">
        <f>SUM(GG57:GJ57)</f>
        <v>0</v>
      </c>
      <c r="GM57" s="57" t="s">
        <v>191</v>
      </c>
      <c r="GN57" s="58">
        <v>0</v>
      </c>
      <c r="GO57" s="58">
        <v>0</v>
      </c>
      <c r="GP57" s="58">
        <v>0</v>
      </c>
      <c r="GQ57" s="58">
        <v>0</v>
      </c>
      <c r="GR57" s="58">
        <f>SUM(GN57:GQ57)</f>
        <v>0</v>
      </c>
      <c r="GT57" s="57" t="s">
        <v>191</v>
      </c>
      <c r="GU57" s="58">
        <v>0</v>
      </c>
      <c r="GV57" s="58">
        <v>0</v>
      </c>
      <c r="GW57" s="58">
        <v>0</v>
      </c>
      <c r="GX57" s="58">
        <v>0</v>
      </c>
      <c r="GY57" s="58">
        <f>SUM(GU57:GX57)</f>
        <v>0</v>
      </c>
      <c r="HA57" s="57" t="s">
        <v>191</v>
      </c>
      <c r="HB57" s="58">
        <v>0</v>
      </c>
      <c r="HC57" s="58">
        <v>0</v>
      </c>
      <c r="HD57" s="58">
        <v>0</v>
      </c>
      <c r="HE57" s="58">
        <v>0</v>
      </c>
      <c r="HF57" s="58">
        <f>SUM(HB57:HE57)</f>
        <v>0</v>
      </c>
      <c r="HH57" s="57" t="s">
        <v>191</v>
      </c>
      <c r="HI57" s="58">
        <v>0</v>
      </c>
      <c r="HJ57" s="58">
        <v>0</v>
      </c>
      <c r="HK57" s="58">
        <v>0</v>
      </c>
      <c r="HL57" s="58">
        <v>0</v>
      </c>
      <c r="HM57" s="58">
        <f>SUM(HI57:HL57)</f>
        <v>0</v>
      </c>
      <c r="HO57" s="57" t="s">
        <v>191</v>
      </c>
      <c r="HP57" s="58">
        <v>0</v>
      </c>
      <c r="HQ57" s="58">
        <v>0</v>
      </c>
      <c r="HR57" s="58">
        <v>0</v>
      </c>
      <c r="HS57" s="58">
        <v>0</v>
      </c>
      <c r="HT57" s="58">
        <f>SUM(HP57:HS57)</f>
        <v>0</v>
      </c>
      <c r="HV57" s="57" t="s">
        <v>191</v>
      </c>
      <c r="HW57" s="58">
        <v>0</v>
      </c>
      <c r="HX57" s="58">
        <v>0</v>
      </c>
      <c r="HY57" s="58">
        <v>0</v>
      </c>
      <c r="HZ57" s="58">
        <v>0</v>
      </c>
      <c r="IA57" s="58">
        <f>SUM(HW57:HZ57)</f>
        <v>0</v>
      </c>
      <c r="IC57" s="57" t="s">
        <v>191</v>
      </c>
      <c r="ID57" s="58">
        <v>0</v>
      </c>
      <c r="IE57" s="58">
        <v>0</v>
      </c>
      <c r="IF57" s="58">
        <v>0</v>
      </c>
      <c r="IG57" s="58">
        <v>0</v>
      </c>
      <c r="IH57" s="58">
        <f>SUM(ID57:IG57)</f>
        <v>0</v>
      </c>
      <c r="IJ57" s="57" t="s">
        <v>191</v>
      </c>
      <c r="IK57" s="58">
        <v>0</v>
      </c>
      <c r="IL57" s="58">
        <v>0</v>
      </c>
      <c r="IM57" s="58">
        <v>0</v>
      </c>
      <c r="IN57" s="58">
        <v>0</v>
      </c>
      <c r="IO57" s="58">
        <f>SUM(IK57:IN57)</f>
        <v>0</v>
      </c>
      <c r="IQ57" s="57" t="s">
        <v>191</v>
      </c>
      <c r="IR57" s="58">
        <v>0</v>
      </c>
      <c r="IS57" s="58">
        <v>0</v>
      </c>
      <c r="IT57" s="58">
        <v>0</v>
      </c>
      <c r="IU57" s="58">
        <v>0</v>
      </c>
      <c r="IV57" s="58">
        <f>SUM(IR57:IU57)</f>
        <v>0</v>
      </c>
      <c r="IX57" s="57" t="s">
        <v>191</v>
      </c>
      <c r="IY57" s="58">
        <v>0</v>
      </c>
      <c r="IZ57" s="58">
        <v>0</v>
      </c>
      <c r="JA57" s="58">
        <v>0</v>
      </c>
      <c r="JB57" s="58">
        <v>-115</v>
      </c>
      <c r="JC57" s="58">
        <f>SUM(IY57:JB57)</f>
        <v>-115</v>
      </c>
      <c r="JE57" s="57" t="s">
        <v>191</v>
      </c>
      <c r="JF57" s="58">
        <v>0</v>
      </c>
      <c r="JG57" s="58">
        <v>0</v>
      </c>
      <c r="JH57" s="58">
        <v>0</v>
      </c>
      <c r="JI57" s="58">
        <v>0</v>
      </c>
      <c r="JJ57" s="58">
        <f>SUM(JF57:JI57)</f>
        <v>0</v>
      </c>
      <c r="JL57" s="57" t="s">
        <v>191</v>
      </c>
      <c r="JM57" s="58">
        <v>0</v>
      </c>
      <c r="JN57" s="58">
        <v>0</v>
      </c>
      <c r="JO57" s="58">
        <v>0</v>
      </c>
      <c r="JP57" s="58">
        <v>0</v>
      </c>
      <c r="JQ57" s="58">
        <f>SUM(JM57:JP57)</f>
        <v>0</v>
      </c>
      <c r="JS57" s="57" t="s">
        <v>191</v>
      </c>
      <c r="JT57" s="58">
        <v>0</v>
      </c>
      <c r="JU57" s="58">
        <v>0</v>
      </c>
      <c r="JV57" s="58">
        <v>0</v>
      </c>
      <c r="JW57" s="58">
        <v>0</v>
      </c>
      <c r="JX57" s="58">
        <f>SUM(JT57:JW57)</f>
        <v>0</v>
      </c>
      <c r="JZ57" s="57" t="s">
        <v>191</v>
      </c>
      <c r="KA57" s="58">
        <v>0</v>
      </c>
      <c r="KB57" s="58">
        <v>0</v>
      </c>
      <c r="KC57" s="58">
        <v>0</v>
      </c>
      <c r="KD57" s="58">
        <v>0</v>
      </c>
      <c r="KE57" s="58">
        <f>SUM(KA57:KD57)</f>
        <v>0</v>
      </c>
      <c r="KG57" s="57" t="s">
        <v>191</v>
      </c>
      <c r="KH57" s="58">
        <v>0</v>
      </c>
      <c r="KI57" s="58">
        <v>0</v>
      </c>
      <c r="KJ57" s="58">
        <v>0</v>
      </c>
      <c r="KK57" s="58">
        <v>0</v>
      </c>
      <c r="KL57" s="58">
        <f>SUM(KH57:KK57)</f>
        <v>0</v>
      </c>
      <c r="KN57" s="57" t="s">
        <v>191</v>
      </c>
      <c r="KO57" s="58">
        <v>0</v>
      </c>
      <c r="KP57" s="58">
        <v>0</v>
      </c>
      <c r="KQ57" s="58">
        <v>0</v>
      </c>
      <c r="KR57" s="58">
        <v>0</v>
      </c>
      <c r="KS57" s="58">
        <f>SUM(KO57:KR57)</f>
        <v>0</v>
      </c>
      <c r="KU57" s="57" t="s">
        <v>191</v>
      </c>
      <c r="KV57" s="58">
        <v>0</v>
      </c>
      <c r="KW57" s="58">
        <v>0</v>
      </c>
      <c r="KX57" s="58">
        <v>0</v>
      </c>
      <c r="KY57" s="58">
        <v>0</v>
      </c>
      <c r="KZ57" s="58">
        <f>SUM(KV57:KY57)</f>
        <v>0</v>
      </c>
      <c r="LB57" s="57" t="s">
        <v>191</v>
      </c>
      <c r="LC57" s="58">
        <v>0</v>
      </c>
      <c r="LD57" s="127">
        <v>0</v>
      </c>
      <c r="LE57" s="127">
        <v>0</v>
      </c>
      <c r="LF57" s="127">
        <v>0</v>
      </c>
      <c r="LG57" s="127">
        <f>SUM(LC57:LF57)</f>
        <v>0</v>
      </c>
      <c r="LH57" s="558"/>
      <c r="LI57" s="57" t="s">
        <v>191</v>
      </c>
      <c r="LJ57" s="127">
        <v>0</v>
      </c>
      <c r="LK57" s="127">
        <v>0</v>
      </c>
      <c r="LL57" s="127">
        <v>0</v>
      </c>
      <c r="LM57" s="127">
        <v>0</v>
      </c>
      <c r="LN57" s="127">
        <f>SUM(LJ57:LM57)</f>
        <v>0</v>
      </c>
      <c r="LO57" s="558"/>
      <c r="LP57" s="57" t="s">
        <v>191</v>
      </c>
      <c r="LQ57" s="127">
        <v>0</v>
      </c>
      <c r="LR57" s="127">
        <v>0</v>
      </c>
      <c r="LS57" s="127">
        <v>0</v>
      </c>
      <c r="LT57" s="127">
        <v>0</v>
      </c>
      <c r="LU57" s="127">
        <f>SUM(LQ57:LT57)</f>
        <v>0</v>
      </c>
      <c r="LV57" s="558"/>
      <c r="LW57" s="57" t="s">
        <v>191</v>
      </c>
      <c r="LX57" s="127">
        <v>0</v>
      </c>
      <c r="LY57" s="127">
        <v>0</v>
      </c>
      <c r="LZ57" s="127">
        <v>0</v>
      </c>
      <c r="MA57" s="127">
        <v>0</v>
      </c>
      <c r="MB57" s="127">
        <f>SUM(LX57:MA57)</f>
        <v>0</v>
      </c>
      <c r="MC57" s="558"/>
      <c r="MD57" s="57" t="s">
        <v>191</v>
      </c>
      <c r="ME57" s="127">
        <v>0</v>
      </c>
      <c r="MF57" s="127">
        <v>0</v>
      </c>
      <c r="MG57" s="127">
        <v>0</v>
      </c>
      <c r="MH57" s="127">
        <v>0</v>
      </c>
      <c r="MI57" s="127">
        <f>SUM(ME57:MH57)</f>
        <v>0</v>
      </c>
      <c r="MJ57" s="558"/>
    </row>
    <row r="58" spans="1:349" outlineLevel="1" x14ac:dyDescent="0.4">
      <c r="A58" s="48"/>
      <c r="B58" s="57" t="s">
        <v>12</v>
      </c>
      <c r="C58" s="58">
        <v>-45</v>
      </c>
      <c r="D58" s="58">
        <v>-85</v>
      </c>
      <c r="E58" s="58">
        <v>-55</v>
      </c>
      <c r="F58" s="58">
        <v>-22</v>
      </c>
      <c r="G58" s="58">
        <f>133+3</f>
        <v>136</v>
      </c>
      <c r="H58" s="58">
        <v>48</v>
      </c>
      <c r="I58" s="58">
        <v>55</v>
      </c>
      <c r="J58" s="58">
        <f>-559+71</f>
        <v>-488</v>
      </c>
      <c r="K58" s="58">
        <f>44+60</f>
        <v>104</v>
      </c>
      <c r="L58" s="58">
        <f>-294+59</f>
        <v>-235</v>
      </c>
      <c r="M58" s="58">
        <f>-492+5+180</f>
        <v>-307</v>
      </c>
      <c r="N58" s="58">
        <f>BV58</f>
        <v>25</v>
      </c>
      <c r="O58" s="58">
        <f>CC58</f>
        <v>18</v>
      </c>
      <c r="P58" s="58">
        <f>CJ58</f>
        <v>-686</v>
      </c>
      <c r="Q58" s="58">
        <f>CQ58</f>
        <v>-450</v>
      </c>
      <c r="R58" s="58">
        <f>CX58</f>
        <v>-111</v>
      </c>
      <c r="S58" s="58">
        <f>DE58</f>
        <v>-46.7</v>
      </c>
      <c r="T58" s="58">
        <f>DL58</f>
        <v>-118.41120000000001</v>
      </c>
      <c r="U58" s="58">
        <f>DS58</f>
        <v>12.675000000000001</v>
      </c>
      <c r="V58" s="58">
        <f>DZ58</f>
        <v>-42.96</v>
      </c>
      <c r="W58" s="58">
        <f>EG58</f>
        <v>-99.941500000000005</v>
      </c>
      <c r="X58" s="58">
        <f>EN58</f>
        <v>-278.39999999999998</v>
      </c>
      <c r="Y58" s="58">
        <f>EU58</f>
        <v>374.3657</v>
      </c>
      <c r="Z58" s="58">
        <f>FB58</f>
        <v>-45.694000000000003</v>
      </c>
      <c r="AA58" s="58">
        <f>FI58</f>
        <v>-35.854399999999998</v>
      </c>
      <c r="AB58" s="58">
        <f>FP58</f>
        <v>-168</v>
      </c>
      <c r="AC58" s="58">
        <f>FW58</f>
        <v>-28.700500000000005</v>
      </c>
      <c r="AD58" s="58">
        <f>GD58</f>
        <v>10.509977999999998</v>
      </c>
      <c r="AE58" s="58">
        <f>GK58</f>
        <v>282.25</v>
      </c>
      <c r="AF58" s="58">
        <f>GR58</f>
        <v>13.219999999999999</v>
      </c>
      <c r="AG58" s="58">
        <f>GY58</f>
        <v>-34.000000000000007</v>
      </c>
      <c r="AH58" s="58">
        <f>HF58</f>
        <v>15</v>
      </c>
      <c r="AI58" s="58">
        <f>HM58</f>
        <v>-26</v>
      </c>
      <c r="AJ58" s="58">
        <f>HT58</f>
        <v>29</v>
      </c>
      <c r="AK58" s="58">
        <f>IA58</f>
        <v>44.339999999999996</v>
      </c>
      <c r="AL58" s="58">
        <f>IH58</f>
        <v>28</v>
      </c>
      <c r="AM58" s="58">
        <f>IO58</f>
        <v>0</v>
      </c>
      <c r="AN58" s="58">
        <f>IV58</f>
        <v>0</v>
      </c>
      <c r="AO58" s="58">
        <f>JC58</f>
        <v>44.85</v>
      </c>
      <c r="AP58" s="58">
        <f>JJ58</f>
        <v>3577</v>
      </c>
      <c r="AQ58" s="58">
        <f>JQ58</f>
        <v>0</v>
      </c>
      <c r="AR58" s="58">
        <f>JX58</f>
        <v>0</v>
      </c>
      <c r="AS58" s="58">
        <f>KE58</f>
        <v>0</v>
      </c>
      <c r="AT58" s="58">
        <f>KL58</f>
        <v>267.56783000000001</v>
      </c>
      <c r="AU58" s="58">
        <f>KS58</f>
        <v>92.231999999999999</v>
      </c>
      <c r="AV58" s="58">
        <f>KZ58</f>
        <v>0</v>
      </c>
      <c r="AW58" s="58">
        <f>LG58</f>
        <v>0</v>
      </c>
      <c r="AX58" s="58">
        <f>LN58</f>
        <v>0</v>
      </c>
      <c r="AY58" s="58">
        <f>LU58</f>
        <v>0</v>
      </c>
      <c r="AZ58" s="58">
        <f>MB58</f>
        <v>0</v>
      </c>
      <c r="BA58" s="58">
        <f>MI58</f>
        <v>0</v>
      </c>
      <c r="BB58" s="58"/>
      <c r="BC58" s="58"/>
      <c r="BD58" s="58"/>
      <c r="BE58" s="58"/>
      <c r="BF58" s="58"/>
      <c r="BG58" s="58"/>
      <c r="BH58" s="58"/>
      <c r="BI58" s="58"/>
      <c r="BJ58" s="58"/>
      <c r="BK58" s="58"/>
      <c r="BL58" s="58"/>
      <c r="BM58" s="58"/>
      <c r="BN58" s="58"/>
      <c r="BO58" s="58"/>
      <c r="BQ58" s="57" t="s">
        <v>12</v>
      </c>
      <c r="BR58" s="58">
        <v>5</v>
      </c>
      <c r="BS58" s="58">
        <f>-2+23</f>
        <v>21</v>
      </c>
      <c r="BT58" s="58"/>
      <c r="BU58" s="58">
        <v>-1</v>
      </c>
      <c r="BV58" s="58">
        <f>SUM(BR58:BU58)</f>
        <v>25</v>
      </c>
      <c r="BX58" s="57" t="s">
        <v>12</v>
      </c>
      <c r="BY58" s="58">
        <f>-33-1+52</f>
        <v>18</v>
      </c>
      <c r="BZ58" s="58"/>
      <c r="CA58" s="58"/>
      <c r="CB58" s="58"/>
      <c r="CC58" s="58">
        <f>SUM(BY58:CB58)</f>
        <v>18</v>
      </c>
      <c r="CE58" s="57" t="s">
        <v>12</v>
      </c>
      <c r="CF58" s="58">
        <v>-196</v>
      </c>
      <c r="CG58" s="58"/>
      <c r="CH58" s="58"/>
      <c r="CI58" s="58">
        <v>-490</v>
      </c>
      <c r="CJ58" s="58">
        <f>SUM(CF58:CI58)</f>
        <v>-686</v>
      </c>
      <c r="CL58" s="57" t="s">
        <v>12</v>
      </c>
      <c r="CM58" s="58"/>
      <c r="CN58" s="58">
        <v>-450</v>
      </c>
      <c r="CO58" s="58"/>
      <c r="CP58" s="58"/>
      <c r="CQ58" s="58">
        <f>SUM(CM58:CP58)</f>
        <v>-450</v>
      </c>
      <c r="CS58" s="57" t="s">
        <v>12</v>
      </c>
      <c r="CT58" s="58">
        <v>-61</v>
      </c>
      <c r="CU58" s="58"/>
      <c r="CV58" s="58">
        <v>-50</v>
      </c>
      <c r="CW58" s="58"/>
      <c r="CX58" s="58">
        <f>SUM(CT58:CW58)</f>
        <v>-111</v>
      </c>
      <c r="CZ58" s="57" t="s">
        <v>12</v>
      </c>
      <c r="DA58" s="58"/>
      <c r="DB58" s="58"/>
      <c r="DC58" s="58"/>
      <c r="DD58" s="58">
        <f>-4.7-42</f>
        <v>-46.7</v>
      </c>
      <c r="DE58" s="58">
        <f>SUM(DA58:DD58)</f>
        <v>-46.7</v>
      </c>
      <c r="DG58" s="57" t="s">
        <v>12</v>
      </c>
      <c r="DH58" s="58"/>
      <c r="DI58" s="58">
        <f>-257*(1-0.3774)-8*(1-0.375)</f>
        <v>-165.00820000000002</v>
      </c>
      <c r="DJ58" s="58">
        <f>(-13+6)*(1-37.1%)</f>
        <v>-4.4030000000000005</v>
      </c>
      <c r="DK58" s="58">
        <v>51</v>
      </c>
      <c r="DL58" s="58">
        <f>SUM(DH58:DK58)</f>
        <v>-118.41120000000001</v>
      </c>
      <c r="DN58" s="57" t="s">
        <v>12</v>
      </c>
      <c r="DO58" s="58"/>
      <c r="DP58" s="58">
        <f>(9.5+19-9)*(1-35%)</f>
        <v>12.675000000000001</v>
      </c>
      <c r="DQ58" s="58"/>
      <c r="DR58" s="58"/>
      <c r="DS58" s="58">
        <f>SUM(DO58:DR58)</f>
        <v>12.675000000000001</v>
      </c>
      <c r="DU58" s="57" t="s">
        <v>12</v>
      </c>
      <c r="DV58" s="58"/>
      <c r="DW58" s="58"/>
      <c r="DX58" s="58">
        <f>-16+(6.22)</f>
        <v>-9.7800000000000011</v>
      </c>
      <c r="DY58" s="58">
        <f>-27.3-5.88</f>
        <v>-33.18</v>
      </c>
      <c r="DZ58" s="58">
        <f>SUM(DV58:DY58)</f>
        <v>-42.96</v>
      </c>
      <c r="EB58" s="57" t="s">
        <v>12</v>
      </c>
      <c r="EC58" s="58">
        <f>20*(1-0.36255)</f>
        <v>12.749000000000002</v>
      </c>
      <c r="ED58" s="58">
        <f>(-32-9-11.3)*(1-0.365)</f>
        <v>-33.210499999999996</v>
      </c>
      <c r="EE58" s="58">
        <f>-32.5-12</f>
        <v>-44.5</v>
      </c>
      <c r="EF58" s="58">
        <f>(-55-5)*(1-0.367)+3</f>
        <v>-34.980000000000004</v>
      </c>
      <c r="EG58" s="58">
        <f>SUM(EC58:EF58)</f>
        <v>-99.941500000000005</v>
      </c>
      <c r="EI58" s="57" t="s">
        <v>12</v>
      </c>
      <c r="EJ58" s="58">
        <v>9.6</v>
      </c>
      <c r="EK58" s="58">
        <v>17</v>
      </c>
      <c r="EL58" s="58">
        <v>-236</v>
      </c>
      <c r="EM58" s="58">
        <f>-34-35</f>
        <v>-69</v>
      </c>
      <c r="EN58" s="58">
        <f>SUM(EJ58:EM58)</f>
        <v>-278.39999999999998</v>
      </c>
      <c r="EP58" s="57" t="s">
        <v>12</v>
      </c>
      <c r="EQ58" s="58">
        <f>9*(1-0.2927)</f>
        <v>6.3657000000000004</v>
      </c>
      <c r="ER58" s="58"/>
      <c r="ES58" s="58">
        <f>365+3</f>
        <v>368</v>
      </c>
      <c r="ET58" s="58"/>
      <c r="EU58" s="58">
        <f>SUM(EQ58:ET58)</f>
        <v>374.3657</v>
      </c>
      <c r="EW58" s="57" t="s">
        <v>12</v>
      </c>
      <c r="EX58" s="58">
        <f>-13.8*(1-0.37)</f>
        <v>-8.6940000000000008</v>
      </c>
      <c r="EY58" s="58"/>
      <c r="EZ58" s="58"/>
      <c r="FA58" s="58">
        <v>-37</v>
      </c>
      <c r="FB58" s="58">
        <f>SUM(EX58:FA58)</f>
        <v>-45.694000000000003</v>
      </c>
      <c r="FD58" s="57" t="s">
        <v>12</v>
      </c>
      <c r="FE58" s="58">
        <v>-43</v>
      </c>
      <c r="FF58" s="58">
        <f>11*(1-0.3504)</f>
        <v>7.1456</v>
      </c>
      <c r="FG58" s="58"/>
      <c r="FH58" s="58"/>
      <c r="FI58" s="58">
        <f>SUM(FE58:FH58)</f>
        <v>-35.854399999999998</v>
      </c>
      <c r="FK58" s="57" t="s">
        <v>12</v>
      </c>
      <c r="FL58" s="58">
        <v>57</v>
      </c>
      <c r="FM58" s="58"/>
      <c r="FN58" s="58">
        <f>-145-73</f>
        <v>-218</v>
      </c>
      <c r="FO58" s="58">
        <v>-7</v>
      </c>
      <c r="FP58" s="58">
        <f>SUM(FL58:FO58)</f>
        <v>-168</v>
      </c>
      <c r="FR58" s="57" t="s">
        <v>12</v>
      </c>
      <c r="FS58" s="58">
        <v>-33</v>
      </c>
      <c r="FT58" s="58">
        <f>-15*(1-0.3533)</f>
        <v>-9.7005000000000017</v>
      </c>
      <c r="FU58" s="58">
        <v>14</v>
      </c>
      <c r="FV58" s="58"/>
      <c r="FW58" s="58">
        <f>SUM(FS58:FV58)</f>
        <v>-28.700500000000005</v>
      </c>
      <c r="FY58" s="57" t="s">
        <v>12</v>
      </c>
      <c r="FZ58" s="58">
        <v>0</v>
      </c>
      <c r="GA58" s="58">
        <f>17*(1-0.381766)</f>
        <v>10.509977999999998</v>
      </c>
      <c r="GB58" s="58">
        <v>0</v>
      </c>
      <c r="GC58" s="58">
        <v>0</v>
      </c>
      <c r="GD58" s="58">
        <f>+SUM(FZ58:GC58)</f>
        <v>10.509977999999998</v>
      </c>
      <c r="GF58" s="57" t="s">
        <v>12</v>
      </c>
      <c r="GG58" s="58">
        <v>0</v>
      </c>
      <c r="GH58" s="58">
        <f>78+41</f>
        <v>119</v>
      </c>
      <c r="GI58" s="58">
        <f>15*(1-0.38)+69.4</f>
        <v>78.7</v>
      </c>
      <c r="GJ58" s="58">
        <f>27*(1-0.35)+41+26</f>
        <v>84.55</v>
      </c>
      <c r="GK58" s="58">
        <f>+SUM(GG58:GJ58)</f>
        <v>282.25</v>
      </c>
      <c r="GM58" s="57" t="s">
        <v>12</v>
      </c>
      <c r="GN58" s="58">
        <f>18*(1-0.55)</f>
        <v>8.1</v>
      </c>
      <c r="GO58" s="58">
        <v>0</v>
      </c>
      <c r="GP58" s="58">
        <v>0</v>
      </c>
      <c r="GQ58" s="58">
        <f>8*(1-0.36)</f>
        <v>5.12</v>
      </c>
      <c r="GR58" s="58">
        <f>+SUM(GN58:GQ58)</f>
        <v>13.219999999999999</v>
      </c>
      <c r="GT58" s="57" t="s">
        <v>12</v>
      </c>
      <c r="GU58" s="58">
        <f>(2+30)*(1-0.375)</f>
        <v>20</v>
      </c>
      <c r="GV58" s="58">
        <v>17.600000000000001</v>
      </c>
      <c r="GW58" s="58">
        <v>0</v>
      </c>
      <c r="GX58" s="58">
        <f>-179*0.4</f>
        <v>-71.600000000000009</v>
      </c>
      <c r="GY58" s="58">
        <f>+SUM(GU58:GX58)</f>
        <v>-34.000000000000007</v>
      </c>
      <c r="HA58" s="57" t="s">
        <v>12</v>
      </c>
      <c r="HB58" s="58">
        <v>0</v>
      </c>
      <c r="HC58" s="58">
        <v>0</v>
      </c>
      <c r="HD58" s="58">
        <v>0</v>
      </c>
      <c r="HE58" s="58">
        <v>15</v>
      </c>
      <c r="HF58" s="58">
        <f>+SUM(HB58:HE58)</f>
        <v>15</v>
      </c>
      <c r="HH58" s="57" t="s">
        <v>12</v>
      </c>
      <c r="HI58" s="58">
        <v>0</v>
      </c>
      <c r="HJ58" s="58">
        <f>15-19</f>
        <v>-4</v>
      </c>
      <c r="HK58" s="58">
        <v>-22</v>
      </c>
      <c r="HL58" s="58">
        <v>0</v>
      </c>
      <c r="HM58" s="58">
        <f>+SUM(HI58:HL58)</f>
        <v>-26</v>
      </c>
      <c r="HO58" s="57" t="s">
        <v>12</v>
      </c>
      <c r="HP58" s="58">
        <v>0</v>
      </c>
      <c r="HQ58" s="58">
        <v>14</v>
      </c>
      <c r="HR58" s="58"/>
      <c r="HS58" s="58">
        <v>15</v>
      </c>
      <c r="HT58" s="58">
        <f>+SUM(HP58:HS58)</f>
        <v>29</v>
      </c>
      <c r="HV58" s="57" t="s">
        <v>12</v>
      </c>
      <c r="HW58" s="58">
        <v>0</v>
      </c>
      <c r="HX58" s="58">
        <v>9</v>
      </c>
      <c r="HY58" s="58"/>
      <c r="HZ58" s="58">
        <f>57*(1-0.38)</f>
        <v>35.339999999999996</v>
      </c>
      <c r="IA58" s="58">
        <f>+SUM(HW58:HZ58)</f>
        <v>44.339999999999996</v>
      </c>
      <c r="IC58" s="57" t="s">
        <v>12</v>
      </c>
      <c r="ID58" s="58">
        <v>0</v>
      </c>
      <c r="IE58" s="58">
        <v>17</v>
      </c>
      <c r="IF58" s="58">
        <v>11</v>
      </c>
      <c r="IG58" s="58">
        <v>0</v>
      </c>
      <c r="IH58" s="58">
        <f>+SUM(ID58:IG58)</f>
        <v>28</v>
      </c>
      <c r="IJ58" s="57" t="s">
        <v>12</v>
      </c>
      <c r="IK58" s="58">
        <v>0</v>
      </c>
      <c r="IL58" s="58">
        <v>0</v>
      </c>
      <c r="IM58" s="58">
        <v>0</v>
      </c>
      <c r="IN58" s="58">
        <v>0</v>
      </c>
      <c r="IO58" s="58">
        <f>+SUM(IK58:IN58)</f>
        <v>0</v>
      </c>
      <c r="IQ58" s="57" t="s">
        <v>12</v>
      </c>
      <c r="IR58" s="58">
        <v>0</v>
      </c>
      <c r="IS58" s="58">
        <v>0</v>
      </c>
      <c r="IT58" s="58">
        <v>0</v>
      </c>
      <c r="IU58" s="58">
        <v>0</v>
      </c>
      <c r="IV58" s="58">
        <f>+SUM(IR58:IU58)</f>
        <v>0</v>
      </c>
      <c r="IX58" s="57" t="s">
        <v>12</v>
      </c>
      <c r="IY58" s="58">
        <v>0</v>
      </c>
      <c r="IZ58" s="58">
        <v>0</v>
      </c>
      <c r="JA58" s="58">
        <v>0</v>
      </c>
      <c r="JB58" s="58">
        <f>-JB57*0.39</f>
        <v>44.85</v>
      </c>
      <c r="JC58" s="58">
        <f>+SUM(IY58:JB58)</f>
        <v>44.85</v>
      </c>
      <c r="JE58" s="57" t="s">
        <v>12</v>
      </c>
      <c r="JF58" s="58">
        <v>0</v>
      </c>
      <c r="JG58" s="58">
        <v>0</v>
      </c>
      <c r="JH58" s="58">
        <v>0</v>
      </c>
      <c r="JI58" s="58">
        <v>3577</v>
      </c>
      <c r="JJ58" s="58">
        <f>+SUM(JF58:JI58)</f>
        <v>3577</v>
      </c>
      <c r="JL58" s="57" t="s">
        <v>12</v>
      </c>
      <c r="JM58" s="58">
        <v>0</v>
      </c>
      <c r="JN58" s="58">
        <v>0</v>
      </c>
      <c r="JO58" s="58">
        <v>0</v>
      </c>
      <c r="JP58" s="58">
        <v>0</v>
      </c>
      <c r="JQ58" s="58">
        <f>+SUM(JM58:JP58)</f>
        <v>0</v>
      </c>
      <c r="JS58" s="57" t="s">
        <v>12</v>
      </c>
      <c r="JT58" s="58">
        <v>0</v>
      </c>
      <c r="JU58" s="58">
        <v>0</v>
      </c>
      <c r="JV58" s="58">
        <v>0</v>
      </c>
      <c r="JW58" s="58">
        <v>0</v>
      </c>
      <c r="JX58" s="58">
        <f>+SUM(JT58:JW58)</f>
        <v>0</v>
      </c>
      <c r="JZ58" s="57" t="s">
        <v>12</v>
      </c>
      <c r="KA58" s="58">
        <v>0</v>
      </c>
      <c r="KB58" s="58">
        <v>0</v>
      </c>
      <c r="KC58" s="58">
        <v>0</v>
      </c>
      <c r="KD58" s="58">
        <v>0</v>
      </c>
      <c r="KE58" s="58">
        <f>+SUM(KA58:KD58)</f>
        <v>0</v>
      </c>
      <c r="KG58" s="57" t="s">
        <v>12</v>
      </c>
      <c r="KH58" s="58">
        <v>0</v>
      </c>
      <c r="KI58" s="58">
        <f>349*(1-0.23333)</f>
        <v>267.56783000000001</v>
      </c>
      <c r="KJ58" s="58">
        <v>0</v>
      </c>
      <c r="KK58" s="58">
        <v>0</v>
      </c>
      <c r="KL58" s="58">
        <f>+SUM(KH58:KK58)</f>
        <v>267.56783000000001</v>
      </c>
      <c r="KN58" s="57" t="s">
        <v>12</v>
      </c>
      <c r="KO58" s="58">
        <v>0</v>
      </c>
      <c r="KP58" s="58">
        <f>122*(1-0.244)</f>
        <v>92.231999999999999</v>
      </c>
      <c r="KQ58" s="58">
        <v>0</v>
      </c>
      <c r="KR58" s="58">
        <v>0</v>
      </c>
      <c r="KS58" s="58">
        <f>SUM(KO58:KR58)</f>
        <v>92.231999999999999</v>
      </c>
      <c r="KU58" s="57" t="s">
        <v>12</v>
      </c>
      <c r="KV58" s="58">
        <v>0</v>
      </c>
      <c r="KW58" s="58">
        <v>0</v>
      </c>
      <c r="KX58" s="58">
        <v>0</v>
      </c>
      <c r="KY58" s="58">
        <v>0</v>
      </c>
      <c r="KZ58" s="58">
        <f>SUM(KV58:KY58)</f>
        <v>0</v>
      </c>
      <c r="LB58" s="57" t="s">
        <v>12</v>
      </c>
      <c r="LC58" s="58">
        <v>0</v>
      </c>
      <c r="LD58" s="127">
        <v>0</v>
      </c>
      <c r="LE58" s="127">
        <v>0</v>
      </c>
      <c r="LF58" s="127">
        <v>0</v>
      </c>
      <c r="LG58" s="127">
        <f>SUM(LC58:LF58)</f>
        <v>0</v>
      </c>
      <c r="LH58" s="558"/>
      <c r="LI58" s="57" t="s">
        <v>12</v>
      </c>
      <c r="LJ58" s="127">
        <v>0</v>
      </c>
      <c r="LK58" s="127">
        <v>0</v>
      </c>
      <c r="LL58" s="127">
        <v>0</v>
      </c>
      <c r="LM58" s="127">
        <v>0</v>
      </c>
      <c r="LN58" s="127">
        <f>SUM(LJ58:LM58)</f>
        <v>0</v>
      </c>
      <c r="LO58" s="558"/>
      <c r="LP58" s="57" t="s">
        <v>12</v>
      </c>
      <c r="LQ58" s="127">
        <v>0</v>
      </c>
      <c r="LR58" s="127">
        <v>0</v>
      </c>
      <c r="LS58" s="127">
        <v>0</v>
      </c>
      <c r="LT58" s="127">
        <v>0</v>
      </c>
      <c r="LU58" s="127">
        <f>SUM(LQ58:LT58)</f>
        <v>0</v>
      </c>
      <c r="LV58" s="558"/>
      <c r="LW58" s="57" t="s">
        <v>12</v>
      </c>
      <c r="LX58" s="127">
        <v>0</v>
      </c>
      <c r="LY58" s="127">
        <v>0</v>
      </c>
      <c r="LZ58" s="127">
        <v>0</v>
      </c>
      <c r="MA58" s="127">
        <v>0</v>
      </c>
      <c r="MB58" s="127">
        <f>SUM(LX58:MA58)</f>
        <v>0</v>
      </c>
      <c r="MC58" s="558"/>
      <c r="MD58" s="57" t="s">
        <v>12</v>
      </c>
      <c r="ME58" s="127">
        <v>0</v>
      </c>
      <c r="MF58" s="127">
        <v>0</v>
      </c>
      <c r="MG58" s="127">
        <v>0</v>
      </c>
      <c r="MH58" s="127">
        <v>0</v>
      </c>
      <c r="MI58" s="127">
        <f>SUM(ME58:MH58)</f>
        <v>0</v>
      </c>
      <c r="MJ58" s="558"/>
    </row>
    <row r="59" spans="1:349" x14ac:dyDescent="0.4">
      <c r="A59" s="48"/>
      <c r="BR59" s="53"/>
      <c r="BS59" s="53"/>
      <c r="BT59" s="53"/>
      <c r="BU59" s="53"/>
      <c r="BV59" s="53"/>
      <c r="BY59" s="53"/>
      <c r="BZ59" s="53"/>
      <c r="CA59" s="53"/>
      <c r="CB59" s="53"/>
      <c r="CC59" s="53"/>
      <c r="CF59" s="53"/>
      <c r="CG59" s="53"/>
      <c r="CH59" s="53"/>
      <c r="CI59" s="53"/>
      <c r="CJ59" s="53"/>
      <c r="CM59" s="53"/>
      <c r="CN59" s="53"/>
      <c r="CO59" s="53"/>
      <c r="CP59" s="53"/>
      <c r="CQ59" s="53"/>
      <c r="CT59" s="53"/>
      <c r="CU59" s="53"/>
      <c r="CV59" s="53"/>
      <c r="CW59" s="53"/>
      <c r="CX59" s="53"/>
      <c r="DA59" s="53"/>
      <c r="DB59" s="53"/>
      <c r="DC59" s="53"/>
      <c r="DD59" s="53"/>
      <c r="DE59" s="53"/>
      <c r="DH59" s="53"/>
      <c r="DI59" s="53"/>
      <c r="DJ59" s="53"/>
      <c r="DK59" s="53"/>
      <c r="DL59" s="53"/>
      <c r="DO59" s="53"/>
      <c r="DP59" s="53"/>
      <c r="DQ59" s="53"/>
      <c r="DR59" s="53"/>
      <c r="DS59" s="53"/>
      <c r="DV59" s="53"/>
      <c r="DW59" s="53"/>
      <c r="DX59" s="53"/>
      <c r="DY59" s="53"/>
      <c r="DZ59" s="53"/>
      <c r="EC59" s="53"/>
      <c r="ED59" s="53"/>
      <c r="EE59" s="53"/>
      <c r="EF59" s="53"/>
      <c r="EG59" s="53"/>
      <c r="EJ59" s="53"/>
      <c r="EK59" s="53"/>
      <c r="EL59" s="53"/>
      <c r="EM59" s="53"/>
      <c r="EN59" s="53"/>
      <c r="EQ59" s="53"/>
      <c r="ER59" s="53"/>
      <c r="ES59" s="53"/>
      <c r="ET59" s="53"/>
      <c r="EU59" s="53"/>
      <c r="EX59" s="53"/>
      <c r="EY59" s="53"/>
      <c r="EZ59" s="53"/>
      <c r="FA59" s="53"/>
      <c r="FB59" s="53"/>
      <c r="FE59" s="53"/>
      <c r="FF59" s="53"/>
      <c r="FG59" s="53"/>
      <c r="FH59" s="53"/>
      <c r="FI59" s="53"/>
      <c r="FL59" s="53"/>
      <c r="FM59" s="53"/>
      <c r="FN59" s="53"/>
      <c r="FO59" s="53"/>
      <c r="FP59" s="53"/>
      <c r="FS59" s="53"/>
      <c r="FT59" s="53"/>
      <c r="FU59" s="53"/>
      <c r="FV59" s="53"/>
      <c r="FW59" s="53"/>
      <c r="FZ59" s="53"/>
      <c r="GA59" s="53"/>
      <c r="GB59" s="53"/>
      <c r="GC59" s="53"/>
      <c r="GD59" s="53"/>
      <c r="GG59" s="53"/>
      <c r="GH59" s="53"/>
      <c r="GI59" s="53"/>
      <c r="GJ59" s="53"/>
      <c r="GK59" s="53"/>
      <c r="GN59" s="53"/>
      <c r="GO59" s="53"/>
      <c r="GP59" s="53"/>
      <c r="GQ59" s="53"/>
      <c r="GR59" s="53"/>
      <c r="GU59" s="53"/>
      <c r="GV59" s="53"/>
      <c r="GW59" s="53"/>
      <c r="GX59" s="53"/>
      <c r="GY59" s="53"/>
      <c r="HB59" s="53"/>
      <c r="HC59" s="53"/>
      <c r="HD59" s="53"/>
      <c r="HE59" s="53"/>
      <c r="HF59" s="53"/>
      <c r="HI59" s="53"/>
      <c r="HJ59" s="53"/>
      <c r="HK59" s="53"/>
      <c r="HL59" s="53"/>
      <c r="HM59" s="53"/>
      <c r="HP59" s="53"/>
      <c r="HQ59" s="53"/>
      <c r="HR59" s="53"/>
      <c r="HS59" s="53"/>
      <c r="HT59" s="53"/>
      <c r="HW59" s="53"/>
      <c r="HX59" s="53"/>
      <c r="HY59" s="53"/>
      <c r="HZ59" s="53"/>
      <c r="IA59" s="53"/>
      <c r="ID59" s="53"/>
      <c r="IE59" s="53"/>
      <c r="IF59" s="53"/>
      <c r="IG59" s="53"/>
      <c r="IH59" s="53"/>
      <c r="IK59" s="53"/>
      <c r="IL59" s="53"/>
      <c r="IM59" s="53"/>
      <c r="IN59" s="53"/>
      <c r="IO59" s="53"/>
      <c r="IR59" s="53"/>
      <c r="IS59" s="53"/>
      <c r="IT59" s="53"/>
      <c r="IU59" s="53"/>
      <c r="IV59" s="53"/>
      <c r="IY59" s="53"/>
      <c r="IZ59" s="53"/>
      <c r="JA59" s="53"/>
      <c r="JB59" s="53"/>
      <c r="JC59" s="53"/>
      <c r="JF59" s="53"/>
      <c r="JG59" s="53"/>
      <c r="JH59" s="53"/>
      <c r="JI59" s="53"/>
      <c r="JJ59" s="53"/>
      <c r="JM59" s="53"/>
      <c r="JN59" s="53"/>
      <c r="JO59" s="53"/>
      <c r="JP59" s="53">
        <f>JP60/833</f>
        <v>3</v>
      </c>
      <c r="JQ59" s="53"/>
      <c r="JT59" s="53"/>
      <c r="JU59" s="53"/>
      <c r="JV59" s="53"/>
      <c r="JW59" s="53"/>
      <c r="JX59" s="53"/>
      <c r="KA59" s="53"/>
      <c r="KB59" s="53"/>
      <c r="KC59" s="53"/>
      <c r="KD59" s="53"/>
      <c r="KE59" s="53"/>
      <c r="KH59" s="53"/>
      <c r="KI59" s="53"/>
      <c r="KJ59" s="53"/>
      <c r="KK59" s="53"/>
      <c r="KL59" s="53"/>
      <c r="KO59" s="53"/>
      <c r="KP59" s="53"/>
      <c r="KQ59" s="53"/>
      <c r="KR59" s="53"/>
      <c r="KS59" s="53"/>
      <c r="KV59" s="53"/>
      <c r="KW59" s="53"/>
      <c r="KY59" s="70"/>
      <c r="KZ59" s="53"/>
      <c r="LC59" s="53"/>
      <c r="LF59" s="70"/>
      <c r="LJ59" s="732"/>
      <c r="LK59" s="732"/>
      <c r="LL59" s="732"/>
      <c r="LU59" s="623"/>
      <c r="LV59" s="707"/>
      <c r="MB59" s="623"/>
      <c r="MI59" s="623"/>
    </row>
    <row r="60" spans="1:349" x14ac:dyDescent="0.4">
      <c r="A60" s="48"/>
      <c r="B60" s="57" t="s">
        <v>7</v>
      </c>
      <c r="C60" s="58">
        <v>4209.851772</v>
      </c>
      <c r="D60" s="58">
        <v>4184.232876</v>
      </c>
      <c r="E60" s="58">
        <v>4265.8761239999994</v>
      </c>
      <c r="F60" s="58">
        <v>4450.1232599999994</v>
      </c>
      <c r="G60" s="58">
        <v>4513.2479999999996</v>
      </c>
      <c r="H60" s="58">
        <v>4718.8080000000009</v>
      </c>
      <c r="I60" s="58">
        <v>5313.8879999999999</v>
      </c>
      <c r="J60" s="58">
        <v>5437.6559999999999</v>
      </c>
      <c r="K60" s="58">
        <v>5519.8440000000001</v>
      </c>
      <c r="L60" s="58">
        <v>5560.0559999999996</v>
      </c>
      <c r="M60" s="58">
        <v>5272.2483480000001</v>
      </c>
      <c r="N60" s="58">
        <f>BV60</f>
        <v>3645.2241809999996</v>
      </c>
      <c r="O60" s="58">
        <f>CC60</f>
        <v>3537.0149579999998</v>
      </c>
      <c r="P60" s="58">
        <f>CJ60</f>
        <v>3617.1718110000006</v>
      </c>
      <c r="Q60" s="58">
        <f>CQ60</f>
        <v>3704.6076209999992</v>
      </c>
      <c r="R60" s="58">
        <f>CX60</f>
        <v>3740.8907789999998</v>
      </c>
      <c r="S60" s="58">
        <f>DE60</f>
        <v>3767.4629999999997</v>
      </c>
      <c r="T60" s="58">
        <f>DL60</f>
        <v>3784.8600000000006</v>
      </c>
      <c r="U60" s="58">
        <f>DS60</f>
        <v>3845.3940000000002</v>
      </c>
      <c r="V60" s="58">
        <f>DZ60</f>
        <v>3920.3279999999995</v>
      </c>
      <c r="W60" s="58">
        <f>EG60</f>
        <v>3795.489</v>
      </c>
      <c r="X60" s="58">
        <f>EN60</f>
        <v>3790.9485</v>
      </c>
      <c r="Y60" s="58">
        <f>EU60</f>
        <v>3797.8514999999998</v>
      </c>
      <c r="Z60" s="58">
        <f>FB60</f>
        <v>3810.0240000000003</v>
      </c>
      <c r="AA60" s="58">
        <f>FI60</f>
        <v>3829.1220000000003</v>
      </c>
      <c r="AB60" s="58">
        <f>FP60</f>
        <v>3851.3520000000003</v>
      </c>
      <c r="AC60" s="58">
        <f>FW60</f>
        <v>3866.3279999999995</v>
      </c>
      <c r="AD60" s="58">
        <f>GD60</f>
        <v>3895.7999999999997</v>
      </c>
      <c r="AE60" s="58">
        <f>GK60</f>
        <v>3960.8999999999996</v>
      </c>
      <c r="AF60" s="58">
        <f>GR60</f>
        <v>3873.8999999999996</v>
      </c>
      <c r="AG60" s="58">
        <f>GY60</f>
        <v>3606.6000000000004</v>
      </c>
      <c r="AH60" s="58">
        <f>HF60</f>
        <v>3528</v>
      </c>
      <c r="AI60" s="58">
        <f>HM60</f>
        <v>3429</v>
      </c>
      <c r="AJ60" s="58">
        <f>HT60</f>
        <v>3249</v>
      </c>
      <c r="AK60" s="58">
        <f>IA60</f>
        <v>3114</v>
      </c>
      <c r="AL60" s="58">
        <f>IH60</f>
        <v>3057</v>
      </c>
      <c r="AM60" s="58">
        <f>IO60</f>
        <v>3003</v>
      </c>
      <c r="AN60" s="58">
        <f>IV60</f>
        <v>2949</v>
      </c>
      <c r="AO60" s="58">
        <f>JC60</f>
        <v>2841</v>
      </c>
      <c r="AP60" s="58">
        <f>JJ60</f>
        <v>2733</v>
      </c>
      <c r="AQ60" s="58">
        <f>JQ60</f>
        <v>2571</v>
      </c>
      <c r="AR60" s="58">
        <f>JX60</f>
        <v>2388</v>
      </c>
      <c r="AS60" s="58">
        <f>KE60</f>
        <v>2301</v>
      </c>
      <c r="AT60" s="58">
        <f>KL60</f>
        <v>2251.5</v>
      </c>
      <c r="AU60" s="58">
        <f>KS60</f>
        <v>2136</v>
      </c>
      <c r="AV60" s="58">
        <f>KZ60</f>
        <v>2008</v>
      </c>
      <c r="AW60" s="58">
        <f>LG60</f>
        <v>1938.75</v>
      </c>
      <c r="AX60" s="58">
        <f>LN60</f>
        <v>1870.5</v>
      </c>
      <c r="AY60" s="58">
        <f>LU60</f>
        <v>1827.2563790000002</v>
      </c>
      <c r="AZ60" s="58">
        <f>MB60</f>
        <v>1759.3813790000002</v>
      </c>
      <c r="BA60" s="58">
        <f>MI60</f>
        <v>1690.3813790000002</v>
      </c>
      <c r="BB60" s="58"/>
      <c r="BC60" s="58"/>
      <c r="BD60" s="58"/>
      <c r="BE60" s="58"/>
      <c r="BF60" s="58"/>
      <c r="BG60" s="58"/>
      <c r="BH60" s="58"/>
      <c r="BI60" s="58"/>
      <c r="BJ60" s="58"/>
      <c r="BK60" s="58"/>
      <c r="BL60" s="58"/>
      <c r="BM60" s="58"/>
      <c r="BN60" s="58"/>
      <c r="BO60" s="58"/>
      <c r="BQ60" s="57" t="s">
        <v>7</v>
      </c>
      <c r="BR60" s="58">
        <v>3798.8357399999995</v>
      </c>
      <c r="BS60" s="58">
        <v>3665.9529360000001</v>
      </c>
      <c r="BT60" s="58">
        <v>3588.4577159999999</v>
      </c>
      <c r="BU60" s="58">
        <v>3527.6503320000002</v>
      </c>
      <c r="BV60" s="58">
        <v>3645.2241809999996</v>
      </c>
      <c r="BX60" s="57" t="s">
        <v>7</v>
      </c>
      <c r="BY60" s="58">
        <v>3524.5196639999999</v>
      </c>
      <c r="BZ60" s="58">
        <v>3536.2340999999997</v>
      </c>
      <c r="CA60" s="58">
        <v>3541.7360520000002</v>
      </c>
      <c r="CB60" s="58">
        <v>3545.5700159999997</v>
      </c>
      <c r="CC60" s="58">
        <v>3537.0149579999998</v>
      </c>
      <c r="CE60" s="57" t="s">
        <v>7</v>
      </c>
      <c r="CF60" s="58">
        <v>3556.7449560000005</v>
      </c>
      <c r="CG60" s="58">
        <v>3584.80188</v>
      </c>
      <c r="CH60" s="58">
        <v>3644.8235999999997</v>
      </c>
      <c r="CI60" s="58">
        <v>3682.316808</v>
      </c>
      <c r="CJ60" s="58">
        <v>3617.1718110000006</v>
      </c>
      <c r="CL60" s="57" t="s">
        <v>7</v>
      </c>
      <c r="CM60" s="58">
        <v>3693.7023119999994</v>
      </c>
      <c r="CN60" s="58">
        <v>3703.7843639999996</v>
      </c>
      <c r="CO60" s="58">
        <v>3707.6878079999997</v>
      </c>
      <c r="CP60" s="58">
        <v>3713.2559999999999</v>
      </c>
      <c r="CQ60" s="58">
        <v>3704.6076209999992</v>
      </c>
      <c r="CS60" s="57" t="s">
        <v>7</v>
      </c>
      <c r="CT60" s="58">
        <v>3731.9040000000005</v>
      </c>
      <c r="CU60" s="58">
        <v>3740.5800000000004</v>
      </c>
      <c r="CV60" s="58">
        <v>3743.8391159999996</v>
      </c>
      <c r="CW60" s="58">
        <v>3747.24</v>
      </c>
      <c r="CX60" s="58">
        <v>3740.8907789999998</v>
      </c>
      <c r="CZ60" s="57" t="s">
        <v>7</v>
      </c>
      <c r="DA60" s="58">
        <v>3760.2719999999999</v>
      </c>
      <c r="DB60" s="58">
        <v>3769.3439999999996</v>
      </c>
      <c r="DC60" s="58">
        <v>3770.3159999999998</v>
      </c>
      <c r="DD60" s="58">
        <v>3769.9199999999996</v>
      </c>
      <c r="DE60" s="58">
        <v>3767.4629999999997</v>
      </c>
      <c r="DG60" s="57" t="s">
        <v>7</v>
      </c>
      <c r="DH60" s="58">
        <v>3777.9480000000003</v>
      </c>
      <c r="DI60" s="58">
        <v>3785.9040000000005</v>
      </c>
      <c r="DJ60" s="58">
        <v>3788.712</v>
      </c>
      <c r="DK60" s="58">
        <v>3789</v>
      </c>
      <c r="DL60" s="58">
        <v>3784.8600000000006</v>
      </c>
      <c r="DN60" s="57" t="s">
        <v>7</v>
      </c>
      <c r="DO60" s="58">
        <v>3797.3520000000003</v>
      </c>
      <c r="DP60" s="58">
        <v>3810.2039999999997</v>
      </c>
      <c r="DQ60" s="58">
        <v>3867.462</v>
      </c>
      <c r="DR60" s="58">
        <v>3902.9220000000005</v>
      </c>
      <c r="DS60" s="58">
        <v>3845.3940000000002</v>
      </c>
      <c r="DU60" s="57" t="s">
        <v>7</v>
      </c>
      <c r="DV60" s="58">
        <v>3765.636</v>
      </c>
      <c r="DW60" s="58">
        <v>3771.4139999999998</v>
      </c>
      <c r="DX60" s="58">
        <v>3785.598</v>
      </c>
      <c r="DY60" s="58">
        <v>3790.44</v>
      </c>
      <c r="DZ60" s="58">
        <v>3920.3279999999995</v>
      </c>
      <c r="EB60" s="57" t="s">
        <v>7</v>
      </c>
      <c r="EC60" s="58">
        <v>3797.982</v>
      </c>
      <c r="ED60" s="58">
        <v>3805.8119999999999</v>
      </c>
      <c r="EE60" s="58">
        <v>3794.5800000000004</v>
      </c>
      <c r="EF60" s="58">
        <v>3783.5819999999999</v>
      </c>
      <c r="EG60" s="58">
        <v>3795.489</v>
      </c>
      <c r="EI60" s="57" t="s">
        <v>7</v>
      </c>
      <c r="EJ60" s="58">
        <v>3782.232</v>
      </c>
      <c r="EK60" s="58">
        <v>3789.3059999999996</v>
      </c>
      <c r="EL60" s="58">
        <v>3794.2200000000003</v>
      </c>
      <c r="EM60" s="58">
        <v>3798.0360000000005</v>
      </c>
      <c r="EN60" s="58">
        <v>3790.9485</v>
      </c>
      <c r="EP60" s="57" t="s">
        <v>7</v>
      </c>
      <c r="EQ60" s="58">
        <v>3801.4560000000001</v>
      </c>
      <c r="ER60" s="58">
        <v>3798.288</v>
      </c>
      <c r="ES60" s="58">
        <v>3796.8119999999999</v>
      </c>
      <c r="ET60" s="58">
        <v>3794.8499999999995</v>
      </c>
      <c r="EU60" s="58">
        <v>3797.8514999999998</v>
      </c>
      <c r="EW60" s="57" t="s">
        <v>7</v>
      </c>
      <c r="EX60" s="58">
        <v>3803.3820000000005</v>
      </c>
      <c r="EY60" s="58">
        <v>3810.366</v>
      </c>
      <c r="EZ60" s="58">
        <v>3813.6780000000003</v>
      </c>
      <c r="FA60" s="58">
        <v>3810.0299999999997</v>
      </c>
      <c r="FB60" s="58">
        <v>3810.0240000000003</v>
      </c>
      <c r="FD60" s="57" t="s">
        <v>7</v>
      </c>
      <c r="FE60" s="58">
        <v>3816.9539999999997</v>
      </c>
      <c r="FF60" s="58">
        <v>3825.99</v>
      </c>
      <c r="FG60" s="58">
        <v>3834.7380000000003</v>
      </c>
      <c r="FH60" s="58">
        <v>3829.1099999999997</v>
      </c>
      <c r="FI60" s="58">
        <v>3829.1220000000003</v>
      </c>
      <c r="FK60" s="57" t="s">
        <v>7</v>
      </c>
      <c r="FL60" s="58">
        <v>3849.5880000000006</v>
      </c>
      <c r="FM60" s="58">
        <v>3849.2820000000002</v>
      </c>
      <c r="FN60" s="58">
        <v>3851.19</v>
      </c>
      <c r="FO60" s="58">
        <v>3851.34</v>
      </c>
      <c r="FP60" s="58">
        <v>3851.3520000000003</v>
      </c>
      <c r="FR60" s="57" t="s">
        <v>7</v>
      </c>
      <c r="FS60" s="58">
        <v>3864.06</v>
      </c>
      <c r="FT60" s="58">
        <v>3865.212</v>
      </c>
      <c r="FU60" s="58">
        <v>3866.7779999999998</v>
      </c>
      <c r="FV60" s="58">
        <v>3866.34</v>
      </c>
      <c r="FW60" s="58">
        <v>3866.3279999999995</v>
      </c>
      <c r="FY60" s="57" t="s">
        <v>7</v>
      </c>
      <c r="FZ60" s="58">
        <v>3876.4079999999999</v>
      </c>
      <c r="GA60" s="58">
        <v>3895.5240000000003</v>
      </c>
      <c r="GB60" s="58">
        <v>3900.69</v>
      </c>
      <c r="GC60" s="58">
        <v>4139.4870000000001</v>
      </c>
      <c r="GD60" s="58">
        <v>3895.7999999999997</v>
      </c>
      <c r="GF60" s="57" t="s">
        <v>7</v>
      </c>
      <c r="GG60" s="58">
        <v>3954.2579999999998</v>
      </c>
      <c r="GH60" s="58">
        <v>3994.335</v>
      </c>
      <c r="GI60" s="58">
        <v>3960.7920000000004</v>
      </c>
      <c r="GJ60" s="58">
        <v>4171.7160000000003</v>
      </c>
      <c r="GK60" s="58">
        <v>3960.8999999999996</v>
      </c>
      <c r="GM60" s="57" t="s">
        <v>7</v>
      </c>
      <c r="GN60" s="58">
        <v>3938.7330000000002</v>
      </c>
      <c r="GO60" s="58">
        <v>3947.652</v>
      </c>
      <c r="GP60" s="58">
        <v>3892.761</v>
      </c>
      <c r="GQ60" s="58">
        <v>3829.2750000000005</v>
      </c>
      <c r="GR60" s="58">
        <v>3873.8999999999996</v>
      </c>
      <c r="GT60" s="57" t="s">
        <v>7</v>
      </c>
      <c r="GU60" s="58">
        <v>3639.1629630000002</v>
      </c>
      <c r="GV60" s="58">
        <v>3655.8486330000001</v>
      </c>
      <c r="GW60" s="58">
        <v>3620.0196539999997</v>
      </c>
      <c r="GX60" s="58">
        <v>3561.0787350000001</v>
      </c>
      <c r="GY60" s="58">
        <v>3606.6000000000004</v>
      </c>
      <c r="HA60" s="57" t="s">
        <v>7</v>
      </c>
      <c r="HB60" s="58">
        <v>3520.4436030000002</v>
      </c>
      <c r="HC60" s="58">
        <v>3528.2468250000002</v>
      </c>
      <c r="HD60" s="58">
        <v>3531.1717529999996</v>
      </c>
      <c r="HE60" s="58">
        <v>3572.4547109999999</v>
      </c>
      <c r="HF60" s="58">
        <v>3528</v>
      </c>
      <c r="HH60" s="57" t="s">
        <v>7</v>
      </c>
      <c r="HI60" s="58">
        <v>3519.7148429999997</v>
      </c>
      <c r="HJ60" s="58">
        <v>3447</v>
      </c>
      <c r="HK60" s="58">
        <v>3402</v>
      </c>
      <c r="HL60" s="58">
        <v>3384</v>
      </c>
      <c r="HM60" s="58">
        <v>3429</v>
      </c>
      <c r="HO60" s="57" t="s">
        <v>7</v>
      </c>
      <c r="HP60" s="58">
        <v>3324</v>
      </c>
      <c r="HQ60" s="58">
        <v>3306</v>
      </c>
      <c r="HR60" s="58">
        <v>3213</v>
      </c>
      <c r="HS60" s="58">
        <v>3168</v>
      </c>
      <c r="HT60" s="58">
        <v>3249</v>
      </c>
      <c r="HV60" s="57" t="s">
        <v>7</v>
      </c>
      <c r="HW60" s="58">
        <v>3141</v>
      </c>
      <c r="HX60" s="58">
        <v>3123</v>
      </c>
      <c r="HY60" s="58">
        <v>3114</v>
      </c>
      <c r="HZ60" s="58">
        <v>3084</v>
      </c>
      <c r="IA60" s="58">
        <v>3114</v>
      </c>
      <c r="IC60" s="57" t="s">
        <v>7</v>
      </c>
      <c r="ID60" s="58">
        <v>3066</v>
      </c>
      <c r="IE60" s="58">
        <v>3066</v>
      </c>
      <c r="IF60" s="58">
        <v>3051</v>
      </c>
      <c r="IG60" s="58">
        <v>3039</v>
      </c>
      <c r="IH60" s="58">
        <v>3057</v>
      </c>
      <c r="IJ60" s="57" t="s">
        <v>7</v>
      </c>
      <c r="IK60" s="58">
        <v>3024</v>
      </c>
      <c r="IL60" s="58">
        <v>3009</v>
      </c>
      <c r="IM60" s="58">
        <v>2997</v>
      </c>
      <c r="IN60" s="58">
        <v>2985</v>
      </c>
      <c r="IO60" s="58">
        <v>3003</v>
      </c>
      <c r="IQ60" s="57" t="s">
        <v>7</v>
      </c>
      <c r="IR60" s="58">
        <v>2973</v>
      </c>
      <c r="IS60" s="58">
        <v>2964</v>
      </c>
      <c r="IT60" s="58">
        <v>2943</v>
      </c>
      <c r="IU60" s="58">
        <v>2919</v>
      </c>
      <c r="IV60" s="58">
        <v>2949</v>
      </c>
      <c r="IX60" s="57" t="s">
        <v>7</v>
      </c>
      <c r="IY60" s="58">
        <v>2886</v>
      </c>
      <c r="IZ60" s="58">
        <v>2856</v>
      </c>
      <c r="JA60" s="58">
        <v>2826</v>
      </c>
      <c r="JB60" s="58">
        <v>2805</v>
      </c>
      <c r="JC60" s="58">
        <v>2841</v>
      </c>
      <c r="JE60" s="57" t="s">
        <v>7</v>
      </c>
      <c r="JF60" s="58">
        <v>2781</v>
      </c>
      <c r="JG60" s="58">
        <v>2760</v>
      </c>
      <c r="JH60" s="58">
        <v>2706</v>
      </c>
      <c r="JI60" s="58">
        <v>2688</v>
      </c>
      <c r="JJ60" s="58">
        <v>2733</v>
      </c>
      <c r="JL60" s="57" t="s">
        <v>7</v>
      </c>
      <c r="JM60" s="58">
        <v>2655</v>
      </c>
      <c r="JN60" s="58">
        <v>2592</v>
      </c>
      <c r="JO60" s="58">
        <v>2550</v>
      </c>
      <c r="JP60" s="58">
        <v>2499</v>
      </c>
      <c r="JQ60" s="58">
        <v>2571</v>
      </c>
      <c r="JS60" s="57" t="s">
        <v>7</v>
      </c>
      <c r="JT60" s="58">
        <v>2442</v>
      </c>
      <c r="JU60" s="58">
        <v>2415</v>
      </c>
      <c r="JV60" s="58">
        <v>2370</v>
      </c>
      <c r="JW60" s="58">
        <v>2334</v>
      </c>
      <c r="JX60" s="58">
        <v>2388</v>
      </c>
      <c r="JZ60" s="57" t="s">
        <v>7</v>
      </c>
      <c r="KA60" s="58">
        <v>2316</v>
      </c>
      <c r="KB60" s="58">
        <v>2298</v>
      </c>
      <c r="KC60" s="58">
        <v>2295</v>
      </c>
      <c r="KD60" s="58">
        <v>2295</v>
      </c>
      <c r="KE60" s="58">
        <v>2301</v>
      </c>
      <c r="KG60" s="57" t="s">
        <v>7</v>
      </c>
      <c r="KH60" s="58">
        <v>2283</v>
      </c>
      <c r="KI60" s="58">
        <f>KH60-11</f>
        <v>2272</v>
      </c>
      <c r="KJ60" s="58">
        <f>KI60-34</f>
        <v>2238</v>
      </c>
      <c r="KK60" s="58">
        <f>KK61-4</f>
        <v>2213</v>
      </c>
      <c r="KL60" s="58">
        <f>AVERAGE(KH60:KK60)</f>
        <v>2251.5</v>
      </c>
      <c r="KN60" s="57" t="s">
        <v>7</v>
      </c>
      <c r="KO60" s="58">
        <v>2189</v>
      </c>
      <c r="KP60" s="58">
        <v>2158</v>
      </c>
      <c r="KQ60" s="58">
        <v>2122</v>
      </c>
      <c r="KR60" s="58">
        <f>KR61-4</f>
        <v>2081</v>
      </c>
      <c r="KS60" s="58">
        <v>2136</v>
      </c>
      <c r="KU60" s="57" t="s">
        <v>7</v>
      </c>
      <c r="KV60" s="58">
        <v>2054</v>
      </c>
      <c r="KW60" s="58">
        <v>2020</v>
      </c>
      <c r="KX60" s="58">
        <v>1994</v>
      </c>
      <c r="KY60" s="58">
        <f>KX61-KW61+KX60</f>
        <v>1968</v>
      </c>
      <c r="KZ60" s="58">
        <v>2008</v>
      </c>
      <c r="LB60" s="57" t="s">
        <v>7</v>
      </c>
      <c r="LC60" s="58">
        <v>1958</v>
      </c>
      <c r="LD60" s="58">
        <v>1944</v>
      </c>
      <c r="LE60" s="58">
        <v>1936</v>
      </c>
      <c r="LF60" s="58">
        <v>1917</v>
      </c>
      <c r="LG60" s="127">
        <f>AVERAGE(LC60:LF60)</f>
        <v>1938.75</v>
      </c>
      <c r="LH60" s="755"/>
      <c r="LI60" s="57" t="s">
        <v>7</v>
      </c>
      <c r="LJ60" s="58">
        <v>1890</v>
      </c>
      <c r="LK60" s="58">
        <v>1867</v>
      </c>
      <c r="LL60" s="58">
        <v>1864</v>
      </c>
      <c r="LM60" s="58">
        <f>LM61-LL61+LL60</f>
        <v>1861</v>
      </c>
      <c r="LN60" s="127">
        <f>AVERAGE(LJ60:LM60)</f>
        <v>1870.5</v>
      </c>
      <c r="LO60" s="558"/>
      <c r="LP60" s="57" t="s">
        <v>7</v>
      </c>
      <c r="LQ60" s="58">
        <f t="shared" ref="LQ60:LT60" si="139">LQ93</f>
        <v>1852.3813790000002</v>
      </c>
      <c r="LR60" s="58">
        <f t="shared" si="139"/>
        <v>1835.8813790000002</v>
      </c>
      <c r="LS60" s="58">
        <f>LS93</f>
        <v>1818.8813790000002</v>
      </c>
      <c r="LT60" s="58">
        <f t="shared" si="139"/>
        <v>1801.8813790000002</v>
      </c>
      <c r="LU60" s="58">
        <f>AVERAGE(LQ60:LT60)</f>
        <v>1827.2563790000002</v>
      </c>
      <c r="LV60" s="558"/>
      <c r="LW60" s="57" t="s">
        <v>7</v>
      </c>
      <c r="LX60" s="58">
        <f t="shared" ref="LX60:MA60" si="140">LX93</f>
        <v>1784.8813790000002</v>
      </c>
      <c r="LY60" s="58">
        <f t="shared" si="140"/>
        <v>1767.8813790000002</v>
      </c>
      <c r="LZ60" s="58">
        <f t="shared" si="140"/>
        <v>1750.8813790000002</v>
      </c>
      <c r="MA60" s="58">
        <f t="shared" si="140"/>
        <v>1733.8813790000002</v>
      </c>
      <c r="MB60" s="58">
        <f>AVERAGE(LX60:MA60)</f>
        <v>1759.3813790000002</v>
      </c>
      <c r="MC60" s="558"/>
      <c r="MD60" s="57" t="s">
        <v>7</v>
      </c>
      <c r="ME60" s="58">
        <f t="shared" ref="ME60:MH60" si="141">ME93</f>
        <v>1716.6313790000002</v>
      </c>
      <c r="MF60" s="58">
        <f t="shared" si="141"/>
        <v>1699.1313790000002</v>
      </c>
      <c r="MG60" s="58">
        <f t="shared" si="141"/>
        <v>1681.6313790000002</v>
      </c>
      <c r="MH60" s="58">
        <f t="shared" si="141"/>
        <v>1664.1313790000002</v>
      </c>
      <c r="MI60" s="58">
        <f>AVERAGE(ME60:MH60)</f>
        <v>1690.3813790000002</v>
      </c>
      <c r="MJ60" s="558"/>
    </row>
    <row r="61" spans="1:349" x14ac:dyDescent="0.4">
      <c r="A61" s="48"/>
      <c r="B61" s="57" t="s">
        <v>8</v>
      </c>
      <c r="C61" s="58">
        <f t="shared" ref="C61:L61" si="142">D61-D60+C60</f>
        <v>4255.5357719999993</v>
      </c>
      <c r="D61" s="58">
        <f t="shared" si="142"/>
        <v>4229.9168759999993</v>
      </c>
      <c r="E61" s="58">
        <f t="shared" si="142"/>
        <v>4311.5601239999987</v>
      </c>
      <c r="F61" s="58">
        <f t="shared" si="142"/>
        <v>4495.8072599999987</v>
      </c>
      <c r="G61" s="58">
        <f t="shared" si="142"/>
        <v>4558.9319999999989</v>
      </c>
      <c r="H61" s="58">
        <f t="shared" si="142"/>
        <v>4764.4920000000002</v>
      </c>
      <c r="I61" s="58">
        <f t="shared" si="142"/>
        <v>5359.5719999999992</v>
      </c>
      <c r="J61" s="58">
        <f t="shared" si="142"/>
        <v>5483.3399999999992</v>
      </c>
      <c r="K61" s="58">
        <f t="shared" si="142"/>
        <v>5565.5279999999993</v>
      </c>
      <c r="L61" s="58">
        <f t="shared" si="142"/>
        <v>5605.7399999999989</v>
      </c>
      <c r="M61" s="58">
        <f>BR61-BR60+M60</f>
        <v>5317.9323479999994</v>
      </c>
      <c r="N61" s="58">
        <f>BV61</f>
        <v>3690.9081809999989</v>
      </c>
      <c r="O61" s="58">
        <f>CC61</f>
        <v>3582.698957999999</v>
      </c>
      <c r="P61" s="58">
        <f>CJ61</f>
        <v>3662.8558109999999</v>
      </c>
      <c r="Q61" s="58">
        <f>CQ61</f>
        <v>3750.2916209999985</v>
      </c>
      <c r="R61" s="58">
        <f>CX61</f>
        <v>3786.5747789999991</v>
      </c>
      <c r="S61" s="58">
        <f>DE61</f>
        <v>3813.146999999999</v>
      </c>
      <c r="T61" s="58">
        <f>DL61</f>
        <v>3830.5439999999999</v>
      </c>
      <c r="U61" s="58">
        <f>DS61</f>
        <v>3891.69</v>
      </c>
      <c r="V61" s="58">
        <f>DZ61</f>
        <v>3974.2559999999999</v>
      </c>
      <c r="W61" s="58">
        <f>EG61</f>
        <v>3855.2759999999998</v>
      </c>
      <c r="X61" s="58">
        <f>EN61</f>
        <v>3809.7314999999999</v>
      </c>
      <c r="Y61" s="58">
        <f>EU61</f>
        <v>3803.8724999999999</v>
      </c>
      <c r="Z61" s="58">
        <f>FB61</f>
        <v>3823.3755000000006</v>
      </c>
      <c r="AA61" s="58">
        <f>FI61</f>
        <v>3843.2430000000004</v>
      </c>
      <c r="AB61" s="58">
        <f>FP61</f>
        <v>3944.9880000000003</v>
      </c>
      <c r="AC61" s="58">
        <f>FW61</f>
        <v>4044.2849999999999</v>
      </c>
      <c r="AD61" s="58">
        <f>GD61</f>
        <v>4104.2999999999993</v>
      </c>
      <c r="AE61" s="58">
        <f>GK61</f>
        <v>4193.3999999999996</v>
      </c>
      <c r="AF61" s="58">
        <f>GR61</f>
        <v>4035</v>
      </c>
      <c r="AG61" s="58">
        <f>GY61</f>
        <v>3677.7000000000003</v>
      </c>
      <c r="AH61" s="58">
        <f>HF61</f>
        <v>3561</v>
      </c>
      <c r="AI61" s="58">
        <f>HM61</f>
        <v>3462</v>
      </c>
      <c r="AJ61" s="58">
        <f>HT61</f>
        <v>3267</v>
      </c>
      <c r="AK61" s="58">
        <f>IA61</f>
        <v>3120</v>
      </c>
      <c r="AL61" s="58">
        <f>IH61</f>
        <v>3057</v>
      </c>
      <c r="AM61" s="58">
        <f>IO61</f>
        <v>3006</v>
      </c>
      <c r="AN61" s="58">
        <f>IV61</f>
        <v>2952</v>
      </c>
      <c r="AO61" s="58">
        <f>JC61</f>
        <v>2844</v>
      </c>
      <c r="AP61" s="58">
        <f>JJ61</f>
        <v>2742</v>
      </c>
      <c r="AQ61" s="58">
        <f>JQ61</f>
        <v>2583</v>
      </c>
      <c r="AR61" s="58">
        <f>JX61</f>
        <v>2394</v>
      </c>
      <c r="AS61" s="58">
        <f>KE61</f>
        <v>2304</v>
      </c>
      <c r="AT61" s="58">
        <f>KL61</f>
        <v>2255</v>
      </c>
      <c r="AU61" s="58">
        <f>KS61</f>
        <v>2141</v>
      </c>
      <c r="AV61" s="58">
        <f>KZ61</f>
        <v>2013</v>
      </c>
      <c r="AW61" s="58">
        <f>LG61</f>
        <v>1942.75</v>
      </c>
      <c r="AX61" s="58">
        <f>LN61</f>
        <v>1873</v>
      </c>
      <c r="AY61" s="58">
        <f>LU61</f>
        <v>1830.2563790000002</v>
      </c>
      <c r="AZ61" s="58">
        <f>MB61</f>
        <v>1762.3813790000002</v>
      </c>
      <c r="BA61" s="58">
        <f>MI61</f>
        <v>1693.3813790000002</v>
      </c>
      <c r="BB61" s="58"/>
      <c r="BC61" s="58"/>
      <c r="BD61" s="58"/>
      <c r="BE61" s="58"/>
      <c r="BF61" s="58"/>
      <c r="BG61" s="58"/>
      <c r="BH61" s="58"/>
      <c r="BI61" s="58"/>
      <c r="BJ61" s="58"/>
      <c r="BK61" s="58"/>
      <c r="BL61" s="58"/>
      <c r="BM61" s="58"/>
      <c r="BN61" s="58"/>
      <c r="BO61" s="58"/>
      <c r="BQ61" s="57" t="s">
        <v>8</v>
      </c>
      <c r="BR61" s="58">
        <f>BS61-BS60+BR60</f>
        <v>3844.5197399999988</v>
      </c>
      <c r="BS61" s="58">
        <f>BT61-BT60+BS60</f>
        <v>3711.6369359999994</v>
      </c>
      <c r="BT61" s="58">
        <f>BU61-BU60+BT60</f>
        <v>3634.1417159999992</v>
      </c>
      <c r="BU61" s="58">
        <f>BV61-BV60+BU60</f>
        <v>3573.3343319999994</v>
      </c>
      <c r="BV61" s="58">
        <f>BY61-BY60+BV60</f>
        <v>3690.9081809999989</v>
      </c>
      <c r="BX61" s="57" t="s">
        <v>8</v>
      </c>
      <c r="BY61" s="58">
        <f>BZ61-BZ60+BY60</f>
        <v>3570.2036639999992</v>
      </c>
      <c r="BZ61" s="58">
        <f>CA61-CA60+BZ60</f>
        <v>3581.918099999999</v>
      </c>
      <c r="CA61" s="58">
        <f>CB61-CB60+CA60</f>
        <v>3587.4200519999995</v>
      </c>
      <c r="CB61" s="58">
        <f>CC61-CC60+CB60</f>
        <v>3591.254015999999</v>
      </c>
      <c r="CC61" s="58">
        <f>CF61-CF60+CC60</f>
        <v>3582.698957999999</v>
      </c>
      <c r="CE61" s="57" t="s">
        <v>8</v>
      </c>
      <c r="CF61" s="58">
        <f>CG61-CG60+CF60</f>
        <v>3602.4289559999997</v>
      </c>
      <c r="CG61" s="58">
        <f>CH61-CH60+CG60</f>
        <v>3630.4858799999993</v>
      </c>
      <c r="CH61" s="58">
        <f>CI61-CI60+CH60</f>
        <v>3690.507599999999</v>
      </c>
      <c r="CI61" s="58">
        <f>CJ61-CJ60+CI60</f>
        <v>3728.0008079999993</v>
      </c>
      <c r="CJ61" s="58">
        <f>CM61-CM60+CJ60</f>
        <v>3662.8558109999999</v>
      </c>
      <c r="CL61" s="57" t="s">
        <v>8</v>
      </c>
      <c r="CM61" s="58">
        <f>CN61-CN60+CM60</f>
        <v>3739.3863119999987</v>
      </c>
      <c r="CN61" s="58">
        <f>CO61-CO60+CN60</f>
        <v>3749.4683639999989</v>
      </c>
      <c r="CO61" s="58">
        <f>CP61-CP60+CO60</f>
        <v>3753.371807999999</v>
      </c>
      <c r="CP61" s="58">
        <f>CQ61-CQ60+CP60</f>
        <v>3758.9399999999991</v>
      </c>
      <c r="CQ61" s="58">
        <f>CT61-CT60+CQ60</f>
        <v>3750.2916209999985</v>
      </c>
      <c r="CS61" s="57" t="s">
        <v>8</v>
      </c>
      <c r="CT61" s="58">
        <f>CU61-CU60+CT60</f>
        <v>3777.5879999999997</v>
      </c>
      <c r="CU61" s="58">
        <f>CV61-CV60+CU60</f>
        <v>3786.2639999999997</v>
      </c>
      <c r="CV61" s="58">
        <f>CW61-CW60+CV60</f>
        <v>3789.5231159999989</v>
      </c>
      <c r="CW61" s="58">
        <f>CX61-CX60+CW60</f>
        <v>3792.9239999999991</v>
      </c>
      <c r="CX61" s="58">
        <f>DA61-DA60+CX60</f>
        <v>3786.5747789999991</v>
      </c>
      <c r="CZ61" s="57" t="s">
        <v>8</v>
      </c>
      <c r="DA61" s="58">
        <f>DB61-DB60+DA60</f>
        <v>3805.9559999999992</v>
      </c>
      <c r="DB61" s="58">
        <f>DC61-DC60+DB60</f>
        <v>3815.0279999999989</v>
      </c>
      <c r="DC61" s="58">
        <f>DD61-DD60+DC60</f>
        <v>3815.9999999999991</v>
      </c>
      <c r="DD61" s="58">
        <f>DE61-DE60+DD60</f>
        <v>3815.6039999999989</v>
      </c>
      <c r="DE61" s="58">
        <f>DH61-DH60+DE60</f>
        <v>3813.146999999999</v>
      </c>
      <c r="DG61" s="57" t="s">
        <v>8</v>
      </c>
      <c r="DH61" s="58">
        <f>DI61-DI60+DH60</f>
        <v>3823.6319999999996</v>
      </c>
      <c r="DI61" s="58">
        <f>DJ61-DJ60+DI60</f>
        <v>3831.5879999999997</v>
      </c>
      <c r="DJ61" s="58">
        <f>DK61-DK60+DJ60</f>
        <v>3834.3959999999993</v>
      </c>
      <c r="DK61" s="58">
        <f>DL61-DL60+DK60</f>
        <v>3834.6839999999993</v>
      </c>
      <c r="DL61" s="58">
        <f>DO61-DO60+DL60</f>
        <v>3830.5439999999999</v>
      </c>
      <c r="DN61" s="57" t="s">
        <v>8</v>
      </c>
      <c r="DO61" s="58">
        <f>DP61-DP60+DO60</f>
        <v>3843.0359999999996</v>
      </c>
      <c r="DP61" s="58">
        <f>DQ61-DQ60+DP60</f>
        <v>3855.887999999999</v>
      </c>
      <c r="DQ61" s="58">
        <f>DR61-DR60+DQ60</f>
        <v>3913.1459999999993</v>
      </c>
      <c r="DR61" s="58">
        <v>3948.6059999999998</v>
      </c>
      <c r="DS61" s="58">
        <v>3891.69</v>
      </c>
      <c r="DU61" s="57" t="s">
        <v>8</v>
      </c>
      <c r="DV61" s="58">
        <v>3826.3140000000003</v>
      </c>
      <c r="DW61" s="58">
        <v>3846.4920000000002</v>
      </c>
      <c r="DX61" s="58">
        <f>DW61-DW60+DX60</f>
        <v>3860.6760000000004</v>
      </c>
      <c r="DY61" s="58">
        <v>3881.8979999999997</v>
      </c>
      <c r="DZ61" s="58">
        <v>3974.2559999999999</v>
      </c>
      <c r="EB61" s="57" t="s">
        <v>8</v>
      </c>
      <c r="EC61" s="58">
        <v>3882.3119999999999</v>
      </c>
      <c r="ED61" s="58">
        <v>3878.82</v>
      </c>
      <c r="EE61" s="58">
        <v>3833.2619999999997</v>
      </c>
      <c r="EF61" s="58">
        <v>3826.71</v>
      </c>
      <c r="EG61" s="58">
        <v>3855.2759999999998</v>
      </c>
      <c r="EI61" s="57" t="s">
        <v>8</v>
      </c>
      <c r="EJ61" s="58">
        <v>3809.8439999999996</v>
      </c>
      <c r="EK61" s="58">
        <v>3836.826</v>
      </c>
      <c r="EL61" s="58">
        <v>3794.2200000000003</v>
      </c>
      <c r="EM61" s="58">
        <v>3798.0360000000005</v>
      </c>
      <c r="EN61" s="58">
        <v>3809.7314999999999</v>
      </c>
      <c r="EP61" s="57" t="s">
        <v>8</v>
      </c>
      <c r="EQ61" s="58">
        <v>3816.2699999999995</v>
      </c>
      <c r="ER61" s="58">
        <v>3801.7980000000002</v>
      </c>
      <c r="ES61" s="58">
        <v>3802.5719999999997</v>
      </c>
      <c r="ET61" s="58">
        <v>3794.8499999999995</v>
      </c>
      <c r="EU61" s="58">
        <v>3803.8724999999999</v>
      </c>
      <c r="EW61" s="57" t="s">
        <v>8</v>
      </c>
      <c r="EX61" s="58">
        <v>3814.1460000000002</v>
      </c>
      <c r="EY61" s="58">
        <v>3824.3520000000003</v>
      </c>
      <c r="EZ61" s="58">
        <v>3826.4220000000005</v>
      </c>
      <c r="FA61" s="58">
        <v>3828.5819999999999</v>
      </c>
      <c r="FB61" s="58">
        <v>3823.3755000000006</v>
      </c>
      <c r="FD61" s="57" t="s">
        <v>8</v>
      </c>
      <c r="FE61" s="58">
        <v>3837.4199999999996</v>
      </c>
      <c r="FF61" s="58">
        <v>3843.7380000000003</v>
      </c>
      <c r="FG61" s="58">
        <v>3845.3940000000002</v>
      </c>
      <c r="FH61" s="58">
        <v>3846.4199999999996</v>
      </c>
      <c r="FI61" s="58">
        <v>3843.2430000000004</v>
      </c>
      <c r="FK61" s="57" t="s">
        <v>8</v>
      </c>
      <c r="FL61" s="58">
        <v>3854.9519999999998</v>
      </c>
      <c r="FM61" s="58">
        <v>4023</v>
      </c>
      <c r="FN61" s="58">
        <v>3861</v>
      </c>
      <c r="FO61" s="58">
        <v>4041</v>
      </c>
      <c r="FP61" s="58">
        <v>3944.9880000000003</v>
      </c>
      <c r="FR61" s="57" t="s">
        <v>8</v>
      </c>
      <c r="FS61" s="58">
        <v>4047.84</v>
      </c>
      <c r="FT61" s="58">
        <v>4047.7860000000005</v>
      </c>
      <c r="FU61" s="58">
        <v>4024.7999999999997</v>
      </c>
      <c r="FV61" s="58">
        <v>4056.7139999999995</v>
      </c>
      <c r="FW61" s="58">
        <v>4044.2849999999999</v>
      </c>
      <c r="FY61" s="57" t="s">
        <v>8</v>
      </c>
      <c r="FZ61" s="58">
        <v>4072.4280000000003</v>
      </c>
      <c r="GA61" s="58">
        <v>4094.1540000000005</v>
      </c>
      <c r="GB61" s="58">
        <v>4111.6139999999996</v>
      </c>
      <c r="GC61" s="58">
        <v>4139.4870000000001</v>
      </c>
      <c r="GD61" s="58">
        <v>4104.2999999999993</v>
      </c>
      <c r="GF61" s="57" t="s">
        <v>8</v>
      </c>
      <c r="GG61" s="58">
        <v>4179.2759999999998</v>
      </c>
      <c r="GH61" s="58">
        <v>4231.8539999999994</v>
      </c>
      <c r="GI61" s="58">
        <v>4190.7690000000002</v>
      </c>
      <c r="GJ61" s="58">
        <v>4171.7160000000003</v>
      </c>
      <c r="GK61" s="58">
        <v>4193.3999999999996</v>
      </c>
      <c r="GM61" s="57" t="s">
        <v>8</v>
      </c>
      <c r="GN61" s="58">
        <v>4168.5839999999998</v>
      </c>
      <c r="GO61" s="58">
        <v>4130.3069999999998</v>
      </c>
      <c r="GP61" s="58">
        <v>4009.9319999999998</v>
      </c>
      <c r="GQ61" s="58">
        <v>3829.2750000000005</v>
      </c>
      <c r="GR61" s="58">
        <v>4035</v>
      </c>
      <c r="GT61" s="57" t="s">
        <v>8</v>
      </c>
      <c r="GU61" s="58">
        <v>3736.8936779999999</v>
      </c>
      <c r="GV61" s="58">
        <v>3736.0118400000001</v>
      </c>
      <c r="GW61" s="58">
        <v>3676.3776870000002</v>
      </c>
      <c r="GX61" s="58">
        <v>3561.0787350000001</v>
      </c>
      <c r="GY61" s="58">
        <v>3677.7000000000003</v>
      </c>
      <c r="HA61" s="57" t="s">
        <v>8</v>
      </c>
      <c r="HB61" s="58">
        <v>3546.9129630000002</v>
      </c>
      <c r="HC61" s="58">
        <v>3558.3336180000001</v>
      </c>
      <c r="HD61" s="58">
        <v>3567.0007320000004</v>
      </c>
      <c r="HE61" s="58">
        <v>3572.4547109999999</v>
      </c>
      <c r="HF61" s="58">
        <v>3561</v>
      </c>
      <c r="HH61" s="57" t="s">
        <v>8</v>
      </c>
      <c r="HI61" s="58">
        <v>3548.9106449999999</v>
      </c>
      <c r="HJ61" s="58">
        <v>3477</v>
      </c>
      <c r="HK61" s="58">
        <v>3435</v>
      </c>
      <c r="HL61" s="58">
        <v>3384</v>
      </c>
      <c r="HM61" s="58">
        <v>3462</v>
      </c>
      <c r="HO61" s="57" t="s">
        <v>8</v>
      </c>
      <c r="HP61" s="58">
        <v>3345</v>
      </c>
      <c r="HQ61" s="58">
        <v>3327</v>
      </c>
      <c r="HR61" s="58">
        <v>3231</v>
      </c>
      <c r="HS61" s="58">
        <v>3168</v>
      </c>
      <c r="HT61" s="58">
        <v>3267</v>
      </c>
      <c r="HV61" s="57" t="s">
        <v>8</v>
      </c>
      <c r="HW61" s="58">
        <v>3147</v>
      </c>
      <c r="HX61" s="58">
        <v>3129</v>
      </c>
      <c r="HY61" s="58">
        <v>3120</v>
      </c>
      <c r="HZ61" s="58">
        <v>3084</v>
      </c>
      <c r="IA61" s="58">
        <v>3120</v>
      </c>
      <c r="IC61" s="57" t="s">
        <v>8</v>
      </c>
      <c r="ID61" s="58">
        <v>3069</v>
      </c>
      <c r="IE61" s="58">
        <v>3069</v>
      </c>
      <c r="IF61" s="58">
        <v>3054</v>
      </c>
      <c r="IG61" s="58">
        <v>3039</v>
      </c>
      <c r="IH61" s="58">
        <v>3057</v>
      </c>
      <c r="IJ61" s="57" t="s">
        <v>8</v>
      </c>
      <c r="IK61" s="58">
        <v>3024</v>
      </c>
      <c r="IL61" s="58">
        <v>3009</v>
      </c>
      <c r="IM61" s="58">
        <v>2997</v>
      </c>
      <c r="IN61" s="58">
        <v>2985</v>
      </c>
      <c r="IO61" s="58">
        <v>3006</v>
      </c>
      <c r="IQ61" s="57" t="s">
        <v>8</v>
      </c>
      <c r="IR61" s="58">
        <v>2976</v>
      </c>
      <c r="IS61" s="58">
        <v>2967</v>
      </c>
      <c r="IT61" s="58">
        <v>2946</v>
      </c>
      <c r="IU61" s="58">
        <v>2919</v>
      </c>
      <c r="IV61" s="58">
        <v>2952</v>
      </c>
      <c r="IX61" s="57" t="s">
        <v>8</v>
      </c>
      <c r="IY61" s="58">
        <v>2889</v>
      </c>
      <c r="IZ61" s="58">
        <v>2856</v>
      </c>
      <c r="JA61" s="58">
        <v>2829</v>
      </c>
      <c r="JB61" s="58">
        <v>2805</v>
      </c>
      <c r="JC61" s="58">
        <v>2844</v>
      </c>
      <c r="JE61" s="57" t="s">
        <v>8</v>
      </c>
      <c r="JF61" s="58">
        <v>2787</v>
      </c>
      <c r="JG61" s="58">
        <v>2772</v>
      </c>
      <c r="JH61" s="58">
        <v>2718</v>
      </c>
      <c r="JI61" s="58">
        <v>2688</v>
      </c>
      <c r="JJ61" s="58">
        <v>2742</v>
      </c>
      <c r="JL61" s="57" t="s">
        <v>8</v>
      </c>
      <c r="JM61" s="58">
        <v>2664</v>
      </c>
      <c r="JN61" s="58">
        <v>2604</v>
      </c>
      <c r="JO61" s="58">
        <v>2562</v>
      </c>
      <c r="JP61" s="58">
        <v>2499</v>
      </c>
      <c r="JQ61" s="58">
        <v>2583</v>
      </c>
      <c r="JS61" s="57" t="s">
        <v>8</v>
      </c>
      <c r="JT61" s="58">
        <v>2451</v>
      </c>
      <c r="JU61" s="58">
        <v>2421</v>
      </c>
      <c r="JV61" s="58">
        <v>2376</v>
      </c>
      <c r="JW61" s="58">
        <v>2334</v>
      </c>
      <c r="JX61" s="58">
        <v>2394</v>
      </c>
      <c r="JZ61" s="57" t="s">
        <v>8</v>
      </c>
      <c r="KA61" s="58">
        <v>2319</v>
      </c>
      <c r="KB61" s="58">
        <v>2301</v>
      </c>
      <c r="KC61" s="58">
        <v>2301</v>
      </c>
      <c r="KD61" s="58">
        <v>2298</v>
      </c>
      <c r="KE61" s="58">
        <v>2304</v>
      </c>
      <c r="KG61" s="57" t="s">
        <v>8</v>
      </c>
      <c r="KH61" s="58">
        <v>2286</v>
      </c>
      <c r="KI61" s="58">
        <v>2275</v>
      </c>
      <c r="KJ61" s="58">
        <v>2242</v>
      </c>
      <c r="KK61" s="58">
        <v>2217</v>
      </c>
      <c r="KL61" s="58">
        <v>2255</v>
      </c>
      <c r="KN61" s="57" t="s">
        <v>8</v>
      </c>
      <c r="KO61" s="58">
        <v>2193</v>
      </c>
      <c r="KP61" s="58">
        <v>2163</v>
      </c>
      <c r="KQ61" s="58">
        <v>2126</v>
      </c>
      <c r="KR61" s="58">
        <v>2085</v>
      </c>
      <c r="KS61" s="58">
        <v>2141</v>
      </c>
      <c r="KU61" s="57" t="s">
        <v>8</v>
      </c>
      <c r="KV61" s="58">
        <v>2058</v>
      </c>
      <c r="KW61" s="58">
        <v>2025</v>
      </c>
      <c r="KX61" s="58">
        <v>1999</v>
      </c>
      <c r="KY61" s="58">
        <v>1969</v>
      </c>
      <c r="KZ61" s="58">
        <v>2013</v>
      </c>
      <c r="LB61" s="57" t="s">
        <v>8</v>
      </c>
      <c r="LC61" s="58">
        <v>1962</v>
      </c>
      <c r="LD61" s="127">
        <v>1948</v>
      </c>
      <c r="LE61" s="58">
        <v>1940</v>
      </c>
      <c r="LF61" s="58">
        <v>1921</v>
      </c>
      <c r="LG61" s="127">
        <f>AVERAGE(LC61:LF61)</f>
        <v>1942.75</v>
      </c>
      <c r="LH61" s="558"/>
      <c r="LI61" s="57" t="s">
        <v>8</v>
      </c>
      <c r="LJ61" s="58">
        <v>1892</v>
      </c>
      <c r="LK61" s="58">
        <v>1869</v>
      </c>
      <c r="LL61" s="58">
        <v>1867</v>
      </c>
      <c r="LM61" s="58">
        <v>1864</v>
      </c>
      <c r="LN61" s="127">
        <f>AVERAGE(LJ61:LM61)</f>
        <v>1873</v>
      </c>
      <c r="LO61" s="558"/>
      <c r="LP61" s="57" t="s">
        <v>8</v>
      </c>
      <c r="LQ61" s="58">
        <f t="shared" ref="LQ61:LT61" si="143">LQ95</f>
        <v>1855.3813790000002</v>
      </c>
      <c r="LR61" s="58">
        <f t="shared" si="143"/>
        <v>1838.8813790000002</v>
      </c>
      <c r="LS61" s="58">
        <f t="shared" si="143"/>
        <v>1821.8813790000002</v>
      </c>
      <c r="LT61" s="58">
        <f t="shared" si="143"/>
        <v>1804.8813790000002</v>
      </c>
      <c r="LU61" s="58">
        <f>AVERAGE(LQ61:LT61)</f>
        <v>1830.2563790000002</v>
      </c>
      <c r="LV61" s="755"/>
      <c r="LW61" s="57" t="s">
        <v>8</v>
      </c>
      <c r="LX61" s="58">
        <f t="shared" ref="LX61:MA61" si="144">LX95</f>
        <v>1787.8813790000002</v>
      </c>
      <c r="LY61" s="58">
        <f t="shared" si="144"/>
        <v>1770.8813790000002</v>
      </c>
      <c r="LZ61" s="58">
        <f t="shared" si="144"/>
        <v>1753.8813790000002</v>
      </c>
      <c r="MA61" s="58">
        <f t="shared" si="144"/>
        <v>1736.8813790000002</v>
      </c>
      <c r="MB61" s="58">
        <f>AVERAGE(LX61:MA61)</f>
        <v>1762.3813790000002</v>
      </c>
      <c r="MC61" s="558"/>
      <c r="MD61" s="57" t="s">
        <v>8</v>
      </c>
      <c r="ME61" s="58">
        <f t="shared" ref="ME61:MH61" si="145">ME95</f>
        <v>1719.6313790000002</v>
      </c>
      <c r="MF61" s="58">
        <f t="shared" si="145"/>
        <v>1702.1313790000002</v>
      </c>
      <c r="MG61" s="58">
        <f t="shared" si="145"/>
        <v>1684.6313790000002</v>
      </c>
      <c r="MH61" s="58">
        <f t="shared" si="145"/>
        <v>1667.1313790000002</v>
      </c>
      <c r="MI61" s="58">
        <f>AVERAGE(ME61:MH61)</f>
        <v>1693.3813790000002</v>
      </c>
      <c r="MJ61" s="558"/>
    </row>
    <row r="62" spans="1:349" ht="13.5" thickBot="1" x14ac:dyDescent="0.45">
      <c r="A62" s="48"/>
      <c r="B62" s="699" t="s">
        <v>194</v>
      </c>
      <c r="C62" s="540">
        <f t="shared" ref="C62:M62" si="146">C49/C61</f>
        <v>4.1307607177599841E-2</v>
      </c>
      <c r="D62" s="540">
        <f t="shared" si="146"/>
        <v>7.6148068494573298E-2</v>
      </c>
      <c r="E62" s="540">
        <f t="shared" si="146"/>
        <v>7.8254736173545641E-2</v>
      </c>
      <c r="F62" s="540">
        <f t="shared" si="146"/>
        <v>0.10113867737292634</v>
      </c>
      <c r="G62" s="540">
        <f t="shared" si="146"/>
        <v>6.0979194249881345E-2</v>
      </c>
      <c r="H62" s="540">
        <f t="shared" si="146"/>
        <v>4.7014456105708646E-2</v>
      </c>
      <c r="I62" s="540">
        <f t="shared" si="146"/>
        <v>6.6982960579688083E-2</v>
      </c>
      <c r="J62" s="540">
        <f t="shared" si="146"/>
        <v>6.7477121608362792E-2</v>
      </c>
      <c r="K62" s="540">
        <f t="shared" si="146"/>
        <v>5.6418726129847885E-2</v>
      </c>
      <c r="L62" s="540">
        <f t="shared" si="146"/>
        <v>6.6538940443188602E-2</v>
      </c>
      <c r="M62" s="540">
        <f t="shared" si="146"/>
        <v>8.5371526053869995E-2</v>
      </c>
      <c r="N62" s="540">
        <f>BV62</f>
        <v>0.11623155574782397</v>
      </c>
      <c r="O62" s="540">
        <f>CC62</f>
        <v>0.11117791493772529</v>
      </c>
      <c r="P62" s="540">
        <f>CJ62</f>
        <v>0.1131084654645176</v>
      </c>
      <c r="Q62" s="540">
        <f>CQ62</f>
        <v>0.12535025206243836</v>
      </c>
      <c r="R62" s="540">
        <f>CX62</f>
        <v>0.1243152525629813</v>
      </c>
      <c r="S62" s="540">
        <f>DE62</f>
        <v>0.16128410470406732</v>
      </c>
      <c r="T62" s="540">
        <f>DL62</f>
        <v>0.19242969144852534</v>
      </c>
      <c r="U62" s="540">
        <f>DS62</f>
        <v>0.21644195709319089</v>
      </c>
      <c r="V62" s="540">
        <f>DZ62</f>
        <v>0.2245743605847233</v>
      </c>
      <c r="W62" s="540">
        <f>EG62</f>
        <v>0.13641275576642761</v>
      </c>
      <c r="X62" s="540">
        <f>EN62</f>
        <v>8.5698427828837798E-2</v>
      </c>
      <c r="Y62" s="540">
        <f>EU62</f>
        <v>5.0115849045939367E-2</v>
      </c>
      <c r="Z62" s="540">
        <f>FB62</f>
        <v>8.8061975602448647E-2</v>
      </c>
      <c r="AA62" s="540">
        <f>FI62</f>
        <v>0.11971524309027556</v>
      </c>
      <c r="AB62" s="540">
        <f>FP62</f>
        <v>9.7850741244333309E-2</v>
      </c>
      <c r="AC62" s="540">
        <f>FW62</f>
        <v>0.11144133017331866</v>
      </c>
      <c r="AD62" s="540">
        <f>GD62</f>
        <v>0.18553468849742955</v>
      </c>
      <c r="AE62" s="540">
        <f>GK62</f>
        <v>0.28476892259264563</v>
      </c>
      <c r="AF62" s="540">
        <f>GR62</f>
        <v>0.30678562577447338</v>
      </c>
      <c r="AG62" s="540">
        <f>GY62</f>
        <v>0.39013513880958212</v>
      </c>
      <c r="AH62" s="540">
        <f>HF62</f>
        <v>0.31030609379387813</v>
      </c>
      <c r="AI62" s="540">
        <f>HM62</f>
        <v>0.45869439630271519</v>
      </c>
      <c r="AJ62" s="540">
        <f>HT62</f>
        <v>0.54882154882154888</v>
      </c>
      <c r="AK62" s="540">
        <f>IA62</f>
        <v>0.58162179487179477</v>
      </c>
      <c r="AL62" s="540">
        <f>IH62</f>
        <v>0.60680405626431144</v>
      </c>
      <c r="AM62" s="540">
        <f>IO62</f>
        <v>0.64105123087159011</v>
      </c>
      <c r="AN62" s="540">
        <f>IV62</f>
        <v>0.66666666666666663</v>
      </c>
      <c r="AO62" s="540">
        <f>JC62</f>
        <v>0.62733825597749648</v>
      </c>
      <c r="AP62" s="540">
        <f>JJ62</f>
        <v>0.76477024070021882</v>
      </c>
      <c r="AQ62" s="540">
        <f>JQ62</f>
        <v>1.2810685249709639</v>
      </c>
      <c r="AR62" s="540">
        <f>JX62</f>
        <v>1.3913951545530492</v>
      </c>
      <c r="AS62" s="540">
        <f>KE62</f>
        <v>1.2000868055555556</v>
      </c>
      <c r="AT62" s="540">
        <f>KL62</f>
        <v>1.5580630465631928</v>
      </c>
      <c r="AU62" s="540">
        <f>KS62</f>
        <v>1.9027352160490312</v>
      </c>
      <c r="AV62" s="540">
        <f>KZ62</f>
        <v>1.8221559860904124</v>
      </c>
      <c r="AW62" s="540">
        <f>LG62</f>
        <v>1.8283361214772873</v>
      </c>
      <c r="AX62" s="540">
        <f>LN62</f>
        <v>1.6447654309524362</v>
      </c>
      <c r="AY62" s="540">
        <f>LU62</f>
        <v>1.8953326748920007</v>
      </c>
      <c r="AZ62" s="540">
        <f>MB62</f>
        <v>2.204688403515334</v>
      </c>
      <c r="BA62" s="540">
        <f>MI62</f>
        <v>2.4592511900229108</v>
      </c>
      <c r="BB62" s="540"/>
      <c r="BC62" s="540"/>
      <c r="BD62" s="540"/>
      <c r="BE62" s="540"/>
      <c r="BF62" s="540"/>
      <c r="BG62" s="540"/>
      <c r="BH62" s="540"/>
      <c r="BI62" s="540"/>
      <c r="BJ62" s="540"/>
      <c r="BK62" s="540"/>
      <c r="BL62" s="540"/>
      <c r="BM62" s="540"/>
      <c r="BN62" s="540"/>
      <c r="BO62" s="540"/>
      <c r="BQ62" s="699" t="s">
        <v>194</v>
      </c>
      <c r="BR62" s="540">
        <f>BR49/BR61</f>
        <v>1.9976487362242019E-2</v>
      </c>
      <c r="BS62" s="540">
        <f>BS49/BS61</f>
        <v>3.5563823260756564E-2</v>
      </c>
      <c r="BT62" s="540">
        <f>BT49/BT61</f>
        <v>2.5838287919975025E-2</v>
      </c>
      <c r="BU62" s="540">
        <f>BU49/BU61</f>
        <v>3.5345139375556188E-2</v>
      </c>
      <c r="BV62" s="540">
        <f>BV49/BV61</f>
        <v>0.11623155574782397</v>
      </c>
      <c r="BX62" s="699" t="s">
        <v>194</v>
      </c>
      <c r="BY62" s="540">
        <f>BY49/BY61</f>
        <v>1.644163905602895E-2</v>
      </c>
      <c r="BZ62" s="540">
        <f>BZ49/BZ61</f>
        <v>3.040270518748045E-2</v>
      </c>
      <c r="CA62" s="540">
        <f>CA49/CA61</f>
        <v>2.8153937519441622E-2</v>
      </c>
      <c r="CB62" s="540">
        <f>CB49/CB61</f>
        <v>3.6120251984982435E-2</v>
      </c>
      <c r="CC62" s="540">
        <f>CC49/CC61</f>
        <v>0.11117791493772529</v>
      </c>
      <c r="CE62" s="699" t="s">
        <v>194</v>
      </c>
      <c r="CF62" s="540">
        <f>CF49/CF61</f>
        <v>1.5905934773415682E-2</v>
      </c>
      <c r="CG62" s="540">
        <f>CG49/CG61</f>
        <v>3.1676200872595053E-2</v>
      </c>
      <c r="CH62" s="540">
        <f>CH49/CH61</f>
        <v>2.9237170518223596E-2</v>
      </c>
      <c r="CI62" s="540">
        <f>CI49/CI61</f>
        <v>3.5971022246623914E-2</v>
      </c>
      <c r="CJ62" s="540">
        <f>CJ49/CJ61</f>
        <v>0.1131084654645176</v>
      </c>
      <c r="CL62" s="699" t="s">
        <v>194</v>
      </c>
      <c r="CM62" s="540">
        <f>CM49/CM61</f>
        <v>1.6687230147832906E-2</v>
      </c>
      <c r="CN62" s="540">
        <f>CN49/CN61</f>
        <v>3.39248095066738E-2</v>
      </c>
      <c r="CO62" s="540">
        <f>CO49/CO61</f>
        <v>3.4182598091278736E-2</v>
      </c>
      <c r="CP62" s="540">
        <f>CP49/CP61</f>
        <v>4.0490138177252055E-2</v>
      </c>
      <c r="CQ62" s="540">
        <f>CQ49/CQ61</f>
        <v>0.12535025206243836</v>
      </c>
      <c r="CS62" s="699" t="s">
        <v>194</v>
      </c>
      <c r="CT62" s="540">
        <f>CT49/CT61</f>
        <v>1.3844813145319232E-2</v>
      </c>
      <c r="CU62" s="540">
        <f>CU49/CU61</f>
        <v>4.060176469469641E-2</v>
      </c>
      <c r="CV62" s="540">
        <f>CV49/CV61</f>
        <v>3.0003775282419955E-2</v>
      </c>
      <c r="CW62" s="540">
        <f>CW49/CW61</f>
        <v>3.981097433009468E-2</v>
      </c>
      <c r="CX62" s="540">
        <f>CX49/CX61</f>
        <v>0.1243152525629813</v>
      </c>
      <c r="CZ62" s="699" t="s">
        <v>194</v>
      </c>
      <c r="DA62" s="540">
        <f>DA49/DA61</f>
        <v>1.9443209537892716E-2</v>
      </c>
      <c r="DB62" s="540">
        <f>DB49/DB61</f>
        <v>4.2463646400498253E-2</v>
      </c>
      <c r="DC62" s="540">
        <f>DC49/DC61</f>
        <v>4.6383647798742149E-2</v>
      </c>
      <c r="DD62" s="540">
        <f>DD49/DD61</f>
        <v>5.2940504308099073E-2</v>
      </c>
      <c r="DE62" s="540">
        <f>DE49/DE61</f>
        <v>0.16128410470406732</v>
      </c>
      <c r="DG62" s="699" t="s">
        <v>194</v>
      </c>
      <c r="DH62" s="540">
        <f>DH49/DH61</f>
        <v>3.1645304778284103E-2</v>
      </c>
      <c r="DI62" s="540">
        <f>DI49/DI61</f>
        <v>4.8021864563726584E-2</v>
      </c>
      <c r="DJ62" s="540">
        <f>DJ49/DJ61</f>
        <v>5.383126834056786E-2</v>
      </c>
      <c r="DK62" s="540">
        <f>DK49/DK61</f>
        <v>5.8857522549446067E-2</v>
      </c>
      <c r="DL62" s="540">
        <f>DL49/DL61</f>
        <v>0.19242969144852534</v>
      </c>
      <c r="DN62" s="699" t="s">
        <v>194</v>
      </c>
      <c r="DO62" s="540">
        <f>DO49/DO61</f>
        <v>3.7990796859566245E-2</v>
      </c>
      <c r="DP62" s="540">
        <f>DP49/DP61</f>
        <v>5.7399229438199459E-2</v>
      </c>
      <c r="DQ62" s="540">
        <f>DQ49/DQ61</f>
        <v>5.6731846958943018E-2</v>
      </c>
      <c r="DR62" s="540">
        <f>DR49/DR61</f>
        <v>6.4073245089532868E-2</v>
      </c>
      <c r="DS62" s="540">
        <f>DS49/DS61</f>
        <v>0.21644195709319089</v>
      </c>
      <c r="DU62" s="699" t="s">
        <v>194</v>
      </c>
      <c r="DV62" s="540">
        <f>DV49/DV61</f>
        <v>3.9463567286950309E-2</v>
      </c>
      <c r="DW62" s="540">
        <f>DW49/DW61</f>
        <v>5.9108403189191604E-2</v>
      </c>
      <c r="DX62" s="540">
        <f>DX49/DX61</f>
        <v>6.0608556636195313E-2</v>
      </c>
      <c r="DY62" s="540">
        <f>DY49/DY61</f>
        <v>7.2172426993187364E-2</v>
      </c>
      <c r="DZ62" s="540">
        <f>DZ49/DZ61</f>
        <v>0.2245743605847233</v>
      </c>
      <c r="EB62" s="699" t="s">
        <v>194</v>
      </c>
      <c r="EC62" s="540">
        <f>EC49/EC61</f>
        <v>2.6448157695723583E-2</v>
      </c>
      <c r="ED62" s="540">
        <f>ED49/ED61</f>
        <v>4.42683144358774E-2</v>
      </c>
      <c r="EE62" s="540">
        <f>EE49/EE61</f>
        <v>3.2739739678634021E-2</v>
      </c>
      <c r="EF62" s="540">
        <f>EF49/EF61</f>
        <v>3.2931682829375628E-2</v>
      </c>
      <c r="EG62" s="540">
        <f>EG49/EG61</f>
        <v>0.13641275576642761</v>
      </c>
      <c r="EI62" s="699" t="s">
        <v>194</v>
      </c>
      <c r="EJ62" s="540">
        <f>EJ49/EJ61</f>
        <v>1.7451633190230364E-2</v>
      </c>
      <c r="EK62" s="540">
        <f>EK49/EK61</f>
        <v>2.5020681156768643E-2</v>
      </c>
      <c r="EL62" s="540">
        <f>EL49/EL61</f>
        <v>3.2417730126350075E-2</v>
      </c>
      <c r="EM62" s="540">
        <f>EM49/EM61</f>
        <v>1.0795053022140915E-2</v>
      </c>
      <c r="EN62" s="540">
        <f>EN49/EN61</f>
        <v>8.5698427828837798E-2</v>
      </c>
      <c r="EP62" s="699" t="s">
        <v>194</v>
      </c>
      <c r="EQ62" s="540">
        <f>EQ49/EQ61</f>
        <v>5.9310006891545941E-3</v>
      </c>
      <c r="ER62" s="540">
        <f>ER49/ER61</f>
        <v>1.4466839111388874E-2</v>
      </c>
      <c r="ES62" s="540">
        <f>ES49/ES61</f>
        <v>1.5515814033238557E-2</v>
      </c>
      <c r="ET62" s="540">
        <f>ET49/ET61</f>
        <v>1.4229811454998223E-2</v>
      </c>
      <c r="EU62" s="540">
        <f>EU49/EU61</f>
        <v>5.0115849045939367E-2</v>
      </c>
      <c r="EW62" s="699" t="s">
        <v>194</v>
      </c>
      <c r="EX62" s="540">
        <f>EX49/EX61</f>
        <v>6.9986833225576563E-3</v>
      </c>
      <c r="EY62" s="540">
        <f>EY49/EY61</f>
        <v>2.8240078319150538E-2</v>
      </c>
      <c r="EZ62" s="540">
        <f>EZ49/EZ61</f>
        <v>2.5611393620463187E-2</v>
      </c>
      <c r="FA62" s="540">
        <f>FA49/FA61</f>
        <v>2.7164104099115547E-2</v>
      </c>
      <c r="FB62" s="540">
        <f>FB49/FB61</f>
        <v>8.8061975602448647E-2</v>
      </c>
      <c r="FD62" s="699" t="s">
        <v>194</v>
      </c>
      <c r="FE62" s="540">
        <f>FE49/FE61</f>
        <v>1.7720239118991406E-2</v>
      </c>
      <c r="FF62" s="540">
        <f>FF49/FF61</f>
        <v>3.3273539975929675E-2</v>
      </c>
      <c r="FG62" s="540">
        <f>FG49/FG61</f>
        <v>3.3078534995373686E-2</v>
      </c>
      <c r="FH62" s="540">
        <f>FH49/FH61</f>
        <v>3.5617535266559558E-2</v>
      </c>
      <c r="FI62" s="540">
        <f>FI49/FI61</f>
        <v>0.11971524309027556</v>
      </c>
      <c r="FK62" s="699" t="s">
        <v>194</v>
      </c>
      <c r="FL62" s="540">
        <f>FL49/FL61</f>
        <v>9.5980442817446242E-3</v>
      </c>
      <c r="FM62" s="540">
        <f>FM49/FM61</f>
        <v>3.0574198359433258E-2</v>
      </c>
      <c r="FN62" s="540">
        <f>FN49/FN61</f>
        <v>2.7718207718207717E-2</v>
      </c>
      <c r="FO62" s="540">
        <f>FO49/FO61</f>
        <v>2.9448156396931453E-2</v>
      </c>
      <c r="FP62" s="540">
        <f>FP49/FP61</f>
        <v>9.7850741244333309E-2</v>
      </c>
      <c r="FR62" s="699" t="s">
        <v>194</v>
      </c>
      <c r="FS62" s="540">
        <f>FS49/FS61</f>
        <v>1.4822720265623146E-2</v>
      </c>
      <c r="FT62" s="540">
        <f>FT49/FT61</f>
        <v>3.2536428556252724E-2</v>
      </c>
      <c r="FU62" s="540">
        <f>FU49/FU61</f>
        <v>2.484595507851322E-2</v>
      </c>
      <c r="FV62" s="540">
        <f>FV49/FV61</f>
        <v>3.9194283846482651E-2</v>
      </c>
      <c r="FW62" s="540">
        <f>FW49/FW61</f>
        <v>0.11144133017331866</v>
      </c>
      <c r="FY62" s="699" t="s">
        <v>194</v>
      </c>
      <c r="FZ62" s="540">
        <f>FZ49/FZ61</f>
        <v>3.781527874771512E-2</v>
      </c>
      <c r="GA62" s="540">
        <f>GA49/GA61</f>
        <v>5.0435333404654538E-2</v>
      </c>
      <c r="GB62" s="540">
        <f>GB49/GB61</f>
        <v>3.9887012740009158E-2</v>
      </c>
      <c r="GC62" s="540">
        <f>GC49/GC61</f>
        <v>5.725347126346815E-2</v>
      </c>
      <c r="GD62" s="540">
        <f>GD49/GD61</f>
        <v>0.18553468849742955</v>
      </c>
      <c r="GF62" s="699" t="s">
        <v>194</v>
      </c>
      <c r="GG62" s="540">
        <f>GG49/GG61</f>
        <v>5.8622593961250705E-2</v>
      </c>
      <c r="GH62" s="540">
        <f>GH49/GH61</f>
        <v>9.3812310160038617E-2</v>
      </c>
      <c r="GI62" s="540">
        <f>GI49/GI61+0.01</f>
        <v>7.316263196563684E-2</v>
      </c>
      <c r="GJ62" s="540">
        <f>GJ49/GJ61</f>
        <v>6.8904498772207876E-2</v>
      </c>
      <c r="GK62" s="540">
        <f>GK49/GK61</f>
        <v>0.28476892259264563</v>
      </c>
      <c r="GM62" s="699" t="s">
        <v>194</v>
      </c>
      <c r="GN62" s="540">
        <f>GN49/GN61</f>
        <v>5.9732513486594009E-2</v>
      </c>
      <c r="GO62" s="540">
        <f>GO49/GO61</f>
        <v>7.8444532089261165E-2</v>
      </c>
      <c r="GP62" s="540">
        <f>GP49/GP61</f>
        <v>7.4066093888873932E-2</v>
      </c>
      <c r="GQ62" s="540">
        <f>GQ49/GQ61</f>
        <v>9.607040497222058E-2</v>
      </c>
      <c r="GR62" s="540">
        <f>GR49/GR61</f>
        <v>0.30678562577447338</v>
      </c>
      <c r="GT62" s="699" t="s">
        <v>194</v>
      </c>
      <c r="GU62" s="540">
        <f>GU49/GU61</f>
        <v>8.857624233428886E-2</v>
      </c>
      <c r="GV62" s="540">
        <f>GV49/GV61</f>
        <v>9.8340159435897287E-2</v>
      </c>
      <c r="GW62" s="540">
        <f>GW49/GW61</f>
        <v>0.10390662563065436</v>
      </c>
      <c r="GX62" s="540">
        <f>GX49/GX61</f>
        <v>9.9520405577328511E-2</v>
      </c>
      <c r="GY62" s="540">
        <f>GY49/GY61</f>
        <v>0.39013513880958212</v>
      </c>
      <c r="HA62" s="699" t="s">
        <v>194</v>
      </c>
      <c r="HB62" s="540">
        <f>HB49/HB61</f>
        <v>6.9356085860063435E-2</v>
      </c>
      <c r="HC62" s="540">
        <f>HC49/HC61</f>
        <v>7.8688518295082471E-2</v>
      </c>
      <c r="HD62" s="540">
        <f>HD49/HD61</f>
        <v>8.1020448750499435E-2</v>
      </c>
      <c r="HE62" s="540">
        <f>HE49/HE61</f>
        <v>8.1176676392021585E-2</v>
      </c>
      <c r="HF62" s="540">
        <f>HF49/HF61</f>
        <v>0.31030609379387813</v>
      </c>
      <c r="HH62" s="699" t="s">
        <v>194</v>
      </c>
      <c r="HI62" s="540">
        <f>HI49/HI61</f>
        <v>8.5660088519923835E-2</v>
      </c>
      <c r="HJ62" s="540">
        <f>HJ49/HJ61</f>
        <v>0.12021857923497267</v>
      </c>
      <c r="HK62" s="540">
        <f>HK49/HK61</f>
        <v>0.12692867540029112</v>
      </c>
      <c r="HL62" s="540">
        <f>HL49/HL61</f>
        <v>0.12706855791962174</v>
      </c>
      <c r="HM62" s="540">
        <f>HM49/HM61</f>
        <v>0.45869439630271519</v>
      </c>
      <c r="HO62" s="699" t="s">
        <v>194</v>
      </c>
      <c r="HP62" s="540">
        <f>HP49/HP61</f>
        <v>0.11808669656203288</v>
      </c>
      <c r="HQ62" s="540">
        <f>HQ49/HQ61</f>
        <v>0.14788097385031559</v>
      </c>
      <c r="HR62" s="540">
        <f>HR49/HR61</f>
        <v>0.14360878984834416</v>
      </c>
      <c r="HS62" s="540">
        <f>HS49/HS61</f>
        <v>0.13952020202020202</v>
      </c>
      <c r="HT62" s="540">
        <f>HT49/HT61</f>
        <v>0.54882154882154888</v>
      </c>
      <c r="HV62" s="699" t="s">
        <v>194</v>
      </c>
      <c r="HW62" s="540">
        <f>HW49/HW61</f>
        <v>0.1426755640292342</v>
      </c>
      <c r="HX62" s="540">
        <f>HX49/HX61</f>
        <v>0.16075423457973795</v>
      </c>
      <c r="HY62" s="540">
        <f>HY49/HY61</f>
        <v>0.14583333333333334</v>
      </c>
      <c r="HZ62" s="540">
        <f>HZ49/HZ61</f>
        <v>0.13218547341115433</v>
      </c>
      <c r="IA62" s="540">
        <f>IA49/IA61</f>
        <v>0.58162179487179477</v>
      </c>
      <c r="IC62" s="699" t="s">
        <v>194</v>
      </c>
      <c r="ID62" s="540">
        <f>ID49/ID61</f>
        <v>0.14956011730205279</v>
      </c>
      <c r="IE62" s="540">
        <f>IE49/IE61</f>
        <v>0.16878462039752362</v>
      </c>
      <c r="IF62" s="540">
        <f>IF49/IF61</f>
        <v>0.14800261951538965</v>
      </c>
      <c r="IG62" s="540">
        <f>IG49/IG61</f>
        <v>0.140177690029615</v>
      </c>
      <c r="IH62" s="540">
        <f>IH49/IH61</f>
        <v>0.60680405626431144</v>
      </c>
      <c r="IJ62" s="699" t="s">
        <v>194</v>
      </c>
      <c r="IK62" s="540">
        <f>IK49/IK61</f>
        <v>0.13161375661375663</v>
      </c>
      <c r="IL62" s="540">
        <f>IL49/IL61</f>
        <v>0.1758059155865736</v>
      </c>
      <c r="IM62" s="540">
        <f>IM49/IM61</f>
        <v>0.16983650316983651</v>
      </c>
      <c r="IN62" s="540">
        <f>IN49/IN61</f>
        <v>0.16448911222780568</v>
      </c>
      <c r="IO62" s="540">
        <f>IO49/IO61</f>
        <v>0.64105123087159011</v>
      </c>
      <c r="IQ62" s="699" t="s">
        <v>194</v>
      </c>
      <c r="IR62" s="540">
        <f>IR49/IR61</f>
        <v>0.14852150537634409</v>
      </c>
      <c r="IS62" s="540">
        <f>IS49/IS61</f>
        <v>0.18638355240984159</v>
      </c>
      <c r="IT62" s="540">
        <f>IT49/IT61</f>
        <v>0.17209775967413443</v>
      </c>
      <c r="IU62" s="540">
        <f>IU49/IU61</f>
        <v>0.15964371360054813</v>
      </c>
      <c r="IV62" s="540">
        <f>IV49/IV61</f>
        <v>0.66666666666666663</v>
      </c>
      <c r="IX62" s="699" t="s">
        <v>194</v>
      </c>
      <c r="IY62" s="540">
        <f>IY49/IY61</f>
        <v>0.12322602976808585</v>
      </c>
      <c r="IZ62" s="540">
        <f>IZ49/IZ61</f>
        <v>0.15581232492997199</v>
      </c>
      <c r="JA62" s="540">
        <f>JA49/JA61</f>
        <v>0.16083421703782255</v>
      </c>
      <c r="JB62" s="540">
        <f>JB49/JB61</f>
        <v>0.18828877005347594</v>
      </c>
      <c r="JC62" s="540">
        <f>JC49/JC61</f>
        <v>0.62733825597749648</v>
      </c>
      <c r="JE62" s="699" t="s">
        <v>194</v>
      </c>
      <c r="JF62" s="540">
        <f>JF49/JF61</f>
        <v>0.16864011481880159</v>
      </c>
      <c r="JG62" s="540">
        <f>JG49/JG61</f>
        <v>0.2132034632034632</v>
      </c>
      <c r="JH62" s="540">
        <f>JH49/JH61</f>
        <v>0.170345842531273</v>
      </c>
      <c r="JI62" s="540">
        <f>JI49/JI61</f>
        <v>0.21316964285714285</v>
      </c>
      <c r="JJ62" s="540">
        <f>JJ49/JJ61</f>
        <v>0.76477024070021882</v>
      </c>
      <c r="JL62" s="699" t="s">
        <v>194</v>
      </c>
      <c r="JM62" s="540">
        <f>JM49/JM61</f>
        <v>0.2608858858858859</v>
      </c>
      <c r="JN62" s="540">
        <f>JN49/JN61</f>
        <v>0.33678955453149001</v>
      </c>
      <c r="JO62" s="540">
        <f>JO49/JO61</f>
        <v>0.34894613583138173</v>
      </c>
      <c r="JP62" s="540">
        <f>JP49/JP61</f>
        <v>0.33733493397358943</v>
      </c>
      <c r="JQ62" s="540">
        <f>JQ49/JQ61</f>
        <v>1.2810685249709639</v>
      </c>
      <c r="JS62" s="699" t="s">
        <v>194</v>
      </c>
      <c r="JT62" s="540">
        <f>JT49/JT61</f>
        <v>0.34026927784577721</v>
      </c>
      <c r="JU62" s="540">
        <f>JU49/JU61</f>
        <v>0.3593556381660471</v>
      </c>
      <c r="JV62" s="540">
        <f>JV49/JV61</f>
        <v>0.36026936026936029</v>
      </c>
      <c r="JW62" s="540">
        <f>JW49/JW61</f>
        <v>0.33033419023136246</v>
      </c>
      <c r="JX62" s="540">
        <f>JX49/JX61</f>
        <v>1.3913951545530492</v>
      </c>
      <c r="JZ62" s="699" t="s">
        <v>194</v>
      </c>
      <c r="KA62" s="540">
        <f>KA49/KA61</f>
        <v>0.33203967227253128</v>
      </c>
      <c r="KB62" s="540">
        <f>KB49/KB61</f>
        <v>0.21686223381138636</v>
      </c>
      <c r="KC62" s="540">
        <f>KC49/KC61</f>
        <v>0.31986093003042154</v>
      </c>
      <c r="KD62" s="540">
        <f>KD49/KD61</f>
        <v>0.3307223672758921</v>
      </c>
      <c r="KE62" s="540">
        <f>KE49/KE61</f>
        <v>1.2000868055555556</v>
      </c>
      <c r="KG62" s="699" t="s">
        <v>194</v>
      </c>
      <c r="KH62" s="540">
        <f>KH49/KH61</f>
        <v>0.30883639545056868</v>
      </c>
      <c r="KI62" s="540">
        <f>KI49/KI61</f>
        <v>0.39799216263736265</v>
      </c>
      <c r="KJ62" s="540">
        <f>KJ49/KJ61</f>
        <v>0.43175735950044603</v>
      </c>
      <c r="KK62" s="540">
        <f>KK49/KK61</f>
        <v>0.42129003157419936</v>
      </c>
      <c r="KL62" s="540">
        <f>KL49/KL61</f>
        <v>1.5580630465631928</v>
      </c>
      <c r="KN62" s="699" t="s">
        <v>194</v>
      </c>
      <c r="KO62" s="540">
        <f>KO49/KO61</f>
        <v>0.39170086639306884</v>
      </c>
      <c r="KP62" s="540">
        <f>KP49/KP61</f>
        <v>0.50196768264492631</v>
      </c>
      <c r="KQ62" s="540">
        <f>KQ49/KQ61</f>
        <v>0.52257761053621821</v>
      </c>
      <c r="KR62" s="540">
        <f>KR49/KR61</f>
        <v>0.48824940047961629</v>
      </c>
      <c r="KS62" s="540">
        <f>KS49/KS61</f>
        <v>1.9027352160490312</v>
      </c>
      <c r="KU62" s="699" t="s">
        <v>194</v>
      </c>
      <c r="KV62" s="540">
        <f>KV49/KV61</f>
        <v>0.47327502429543244</v>
      </c>
      <c r="KW62" s="540">
        <f>KW49/KW61</f>
        <v>0.48592592592592593</v>
      </c>
      <c r="KX62" s="540">
        <f>KX49/KX61</f>
        <v>0.41420710355177587</v>
      </c>
      <c r="KY62" s="540">
        <f>KY49/KY61</f>
        <v>0.44794311833417977</v>
      </c>
      <c r="KZ62" s="540">
        <f>KZ49/KZ61</f>
        <v>1.8221559860904124</v>
      </c>
      <c r="LB62" s="699" t="s">
        <v>194</v>
      </c>
      <c r="LC62" s="540">
        <f>LC49/LC61</f>
        <v>0.44852191641182465</v>
      </c>
      <c r="LD62" s="700">
        <f>LD49/LD61</f>
        <v>0.49435318275154005</v>
      </c>
      <c r="LE62" s="700">
        <f>LE49/LE61</f>
        <v>0.46082474226804121</v>
      </c>
      <c r="LF62" s="700">
        <f>LF49/LF61</f>
        <v>0.42425819885476312</v>
      </c>
      <c r="LG62" s="700">
        <f>LG49/LG61</f>
        <v>1.8283361214772873</v>
      </c>
      <c r="LH62" s="701"/>
      <c r="LI62" s="699" t="s">
        <v>194</v>
      </c>
      <c r="LJ62" s="700">
        <f>LJ49/LJ61</f>
        <v>0.34143763213530653</v>
      </c>
      <c r="LK62" s="700">
        <f>LK49/LK61</f>
        <v>0.44355270197966828</v>
      </c>
      <c r="LL62" s="700">
        <f>LL49/LL61</f>
        <v>0.45257096946973757</v>
      </c>
      <c r="LM62" s="700">
        <f>LM49/LM61</f>
        <v>0.40809852584437395</v>
      </c>
      <c r="LN62" s="700">
        <f>LN49/LN61</f>
        <v>1.6447654309524362</v>
      </c>
      <c r="LO62" s="701"/>
      <c r="LP62" s="699" t="s">
        <v>194</v>
      </c>
      <c r="LQ62" s="700">
        <f>LQ49/LQ61</f>
        <v>0.40272310200244277</v>
      </c>
      <c r="LR62" s="700">
        <f>LR49/LR61</f>
        <v>0.4878449848567819</v>
      </c>
      <c r="LS62" s="700">
        <f>LS49/LS61</f>
        <v>0.50931281463745726</v>
      </c>
      <c r="LT62" s="700">
        <f>LT49/LT61</f>
        <v>0.49684327904744402</v>
      </c>
      <c r="LU62" s="700">
        <f>LU49/LU61</f>
        <v>1.8953326748920007</v>
      </c>
      <c r="LV62" s="701"/>
      <c r="LW62" s="699" t="s">
        <v>194</v>
      </c>
      <c r="LX62" s="700">
        <f>LX49/LX61</f>
        <v>0.47512354164248727</v>
      </c>
      <c r="LY62" s="700">
        <f>LY49/LY61</f>
        <v>0.56740711598996718</v>
      </c>
      <c r="LZ62" s="700">
        <f>LZ49/LZ61</f>
        <v>0.59371421619796194</v>
      </c>
      <c r="MA62" s="700">
        <f>MA49/MA61</f>
        <v>0.5699423482446222</v>
      </c>
      <c r="MB62" s="700">
        <f>MB49/MB61</f>
        <v>2.204688403515334</v>
      </c>
      <c r="MC62" s="701"/>
      <c r="MD62" s="699" t="s">
        <v>194</v>
      </c>
      <c r="ME62" s="700">
        <f>ME49/ME61</f>
        <v>0.53775277040571945</v>
      </c>
      <c r="MF62" s="700">
        <f>MF49/MF61</f>
        <v>0.63197804554418557</v>
      </c>
      <c r="MG62" s="700">
        <f>MG49/MG61</f>
        <v>0.65647148351149132</v>
      </c>
      <c r="MH62" s="700">
        <f>MH49/MH61</f>
        <v>0.63467794077945938</v>
      </c>
      <c r="MI62" s="700">
        <f>MI49/MI61</f>
        <v>2.4592511900229108</v>
      </c>
      <c r="MJ62" s="701"/>
      <c r="MK62" s="623"/>
    </row>
    <row r="63" spans="1:349" s="50" customFormat="1" x14ac:dyDescent="0.4">
      <c r="A63" s="48"/>
      <c r="B63" s="71" t="s">
        <v>3</v>
      </c>
      <c r="C63" s="51" t="s">
        <v>80</v>
      </c>
      <c r="D63" s="51">
        <f t="shared" ref="D63:AV63" si="147">D62/C62-1</f>
        <v>0.84343934925058139</v>
      </c>
      <c r="E63" s="51">
        <f t="shared" si="147"/>
        <v>2.7665411882672686E-2</v>
      </c>
      <c r="F63" s="51">
        <f t="shared" si="147"/>
        <v>0.29242883329937941</v>
      </c>
      <c r="G63" s="51">
        <f t="shared" si="147"/>
        <v>-0.39707344574979808</v>
      </c>
      <c r="H63" s="51">
        <f t="shared" si="147"/>
        <v>-0.22900824315499824</v>
      </c>
      <c r="I63" s="51">
        <f t="shared" si="147"/>
        <v>0.42473115990285382</v>
      </c>
      <c r="J63" s="51">
        <f t="shared" si="147"/>
        <v>7.377413963164825E-3</v>
      </c>
      <c r="K63" s="51">
        <f t="shared" si="147"/>
        <v>-0.16388362773827003</v>
      </c>
      <c r="L63" s="51">
        <f t="shared" si="147"/>
        <v>0.17937686664617369</v>
      </c>
      <c r="M63" s="51">
        <f t="shared" si="147"/>
        <v>0.28303104145099489</v>
      </c>
      <c r="N63" s="51">
        <f t="shared" si="147"/>
        <v>0.36147918539585544</v>
      </c>
      <c r="O63" s="51">
        <f t="shared" si="147"/>
        <v>-4.3479077412187928E-2</v>
      </c>
      <c r="P63" s="51">
        <f t="shared" si="147"/>
        <v>1.7364514596929448E-2</v>
      </c>
      <c r="Q63" s="51">
        <f t="shared" si="147"/>
        <v>0.10823050730682082</v>
      </c>
      <c r="R63" s="51">
        <f t="shared" si="147"/>
        <v>-8.2568601373175232E-3</v>
      </c>
      <c r="S63" s="51">
        <f t="shared" si="147"/>
        <v>0.29737985789279264</v>
      </c>
      <c r="T63" s="51">
        <f t="shared" si="147"/>
        <v>0.19311008237052008</v>
      </c>
      <c r="U63" s="51">
        <f t="shared" si="147"/>
        <v>0.12478461854775036</v>
      </c>
      <c r="V63" s="51">
        <f t="shared" si="147"/>
        <v>3.757313785529548E-2</v>
      </c>
      <c r="W63" s="51">
        <f t="shared" si="147"/>
        <v>-0.39257199525693709</v>
      </c>
      <c r="X63" s="51">
        <f t="shared" si="147"/>
        <v>-0.37177115624308099</v>
      </c>
      <c r="Y63" s="51">
        <f t="shared" si="147"/>
        <v>-0.41520690267464599</v>
      </c>
      <c r="Z63" s="51">
        <f t="shared" si="147"/>
        <v>0.75716818688885135</v>
      </c>
      <c r="AA63" s="51">
        <f t="shared" si="147"/>
        <v>0.35944307712018642</v>
      </c>
      <c r="AB63" s="51">
        <f t="shared" si="147"/>
        <v>-0.18263757631477673</v>
      </c>
      <c r="AC63" s="51">
        <f t="shared" si="147"/>
        <v>0.13889101662551173</v>
      </c>
      <c r="AD63" s="51">
        <f t="shared" si="147"/>
        <v>0.6648642672236369</v>
      </c>
      <c r="AE63" s="51">
        <f t="shared" si="147"/>
        <v>0.5348554219099082</v>
      </c>
      <c r="AF63" s="51">
        <f t="shared" si="147"/>
        <v>7.7314276366182266E-2</v>
      </c>
      <c r="AG63" s="51">
        <f t="shared" si="147"/>
        <v>0.27168650038506459</v>
      </c>
      <c r="AH63" s="51">
        <f t="shared" si="147"/>
        <v>-0.20461895654743134</v>
      </c>
      <c r="AI63" s="51">
        <f t="shared" si="147"/>
        <v>0.47819976944250575</v>
      </c>
      <c r="AJ63" s="51">
        <f t="shared" si="147"/>
        <v>0.19648627331246993</v>
      </c>
      <c r="AK63" s="51">
        <f t="shared" si="147"/>
        <v>5.9764865502595299E-2</v>
      </c>
      <c r="AL63" s="51">
        <f t="shared" si="147"/>
        <v>4.3296626114342152E-2</v>
      </c>
      <c r="AM63" s="51">
        <f t="shared" si="147"/>
        <v>5.6438605269245823E-2</v>
      </c>
      <c r="AN63" s="51">
        <f t="shared" si="147"/>
        <v>3.9958484691229978E-2</v>
      </c>
      <c r="AO63" s="51">
        <f t="shared" si="147"/>
        <v>-5.8992616033755274E-2</v>
      </c>
      <c r="AP63" s="51">
        <f t="shared" si="147"/>
        <v>0.21907158285537776</v>
      </c>
      <c r="AQ63" s="51">
        <f t="shared" si="147"/>
        <v>0.67510247757290553</v>
      </c>
      <c r="AR63" s="51">
        <f t="shared" si="147"/>
        <v>8.6120787008318711E-2</v>
      </c>
      <c r="AS63" s="51">
        <f t="shared" si="147"/>
        <v>-0.13749390198138689</v>
      </c>
      <c r="AT63" s="51">
        <f t="shared" si="147"/>
        <v>0.29829195634054106</v>
      </c>
      <c r="AU63" s="51">
        <f t="shared" si="147"/>
        <v>0.22121837126303912</v>
      </c>
      <c r="AV63" s="51">
        <f t="shared" si="147"/>
        <v>-4.2349155720121101E-2</v>
      </c>
      <c r="AW63" s="51">
        <f>AW62/AV62-1</f>
        <v>3.3916609961230915E-3</v>
      </c>
      <c r="AX63" s="51">
        <f>AX62/AW62-1</f>
        <v>-0.10040314161518993</v>
      </c>
      <c r="AY63" s="51">
        <f>AY62/AX62-1</f>
        <v>0.15234223629959698</v>
      </c>
      <c r="AZ63" s="51">
        <f>AZ62/AY62-1</f>
        <v>0.16321975172034686</v>
      </c>
      <c r="BA63" s="51">
        <f>BA62/AZ62-1</f>
        <v>0.11546429241505574</v>
      </c>
      <c r="BB63" s="51"/>
      <c r="BC63" s="51"/>
      <c r="BD63" s="51"/>
      <c r="BE63" s="51"/>
      <c r="BF63" s="51"/>
      <c r="BG63" s="51"/>
      <c r="BH63" s="51"/>
      <c r="BI63" s="51"/>
      <c r="BJ63" s="51"/>
      <c r="BK63" s="51"/>
      <c r="BL63" s="51"/>
      <c r="BM63" s="51"/>
      <c r="BN63" s="51"/>
      <c r="BO63" s="51"/>
      <c r="BQ63" s="71" t="s">
        <v>3</v>
      </c>
      <c r="BR63" s="51" t="s">
        <v>80</v>
      </c>
      <c r="BS63" s="51" t="s">
        <v>80</v>
      </c>
      <c r="BT63" s="51" t="s">
        <v>80</v>
      </c>
      <c r="BU63" s="51" t="s">
        <v>80</v>
      </c>
      <c r="BV63" s="51" t="s">
        <v>80</v>
      </c>
      <c r="BX63" s="71" t="s">
        <v>3</v>
      </c>
      <c r="BY63" s="51">
        <f>+BY62/BR62-1</f>
        <v>-0.17695044389507442</v>
      </c>
      <c r="BZ63" s="51">
        <f>+BZ62/BS62-1</f>
        <v>-0.14512270054415743</v>
      </c>
      <c r="CA63" s="51">
        <f>+CA62/BT62-1</f>
        <v>8.9620860586371087E-2</v>
      </c>
      <c r="CB63" s="51">
        <f>+CB62/BU62-1</f>
        <v>2.1929821840292352E-2</v>
      </c>
      <c r="CC63" s="51">
        <f>+CC62/BV62-1</f>
        <v>-4.3479077412187928E-2</v>
      </c>
      <c r="CE63" s="71" t="s">
        <v>3</v>
      </c>
      <c r="CF63" s="51">
        <f>+CF62/BY62-1</f>
        <v>-3.2582170231795216E-2</v>
      </c>
      <c r="CG63" s="51">
        <f>+CG62/BZ62-1</f>
        <v>4.1887578005361803E-2</v>
      </c>
      <c r="CH63" s="51">
        <f>+CH62/CA62-1</f>
        <v>3.8475364166520309E-2</v>
      </c>
      <c r="CI63" s="51">
        <f>+CI62/CB62-1</f>
        <v>-4.1314700246434244E-3</v>
      </c>
      <c r="CJ63" s="51">
        <f>+CJ62/CC62-1</f>
        <v>1.7364514596929448E-2</v>
      </c>
      <c r="CL63" s="71" t="s">
        <v>3</v>
      </c>
      <c r="CM63" s="51">
        <f>+CM62/CF62-1</f>
        <v>4.9119739615872016E-2</v>
      </c>
      <c r="CN63" s="51">
        <f>+CN62/CG62-1</f>
        <v>7.0987320831904066E-2</v>
      </c>
      <c r="CO63" s="51">
        <f>+CO62/CH62-1</f>
        <v>0.16914863803159896</v>
      </c>
      <c r="CP63" s="51">
        <f>+CP62/CI62-1</f>
        <v>0.12563212409267255</v>
      </c>
      <c r="CQ63" s="51">
        <f>+CQ62/CJ62-1</f>
        <v>0.10823050730682082</v>
      </c>
      <c r="CS63" s="71" t="s">
        <v>3</v>
      </c>
      <c r="CT63" s="51">
        <f>+CT62/CM62-1</f>
        <v>-0.17033485949031546</v>
      </c>
      <c r="CU63" s="51">
        <f>+CU62/CN62-1</f>
        <v>0.19681629123692201</v>
      </c>
      <c r="CV63" s="51">
        <f>+CV62/CO62-1</f>
        <v>-0.12225000562274269</v>
      </c>
      <c r="CW63" s="51">
        <f>+CW62/CP62-1</f>
        <v>-1.6773562100090289E-2</v>
      </c>
      <c r="CX63" s="51">
        <f>+CX62/CQ62-1</f>
        <v>-8.2568601373175232E-3</v>
      </c>
      <c r="CZ63" s="71" t="s">
        <v>3</v>
      </c>
      <c r="DA63" s="51">
        <f>+DA62/CT62-1</f>
        <v>0.40436778263535</v>
      </c>
      <c r="DB63" s="51">
        <f>+DB62/CU62-1</f>
        <v>4.5857162116036188E-2</v>
      </c>
      <c r="DC63" s="51">
        <f>+DC62/CV62-1</f>
        <v>0.54592704958431071</v>
      </c>
      <c r="DD63" s="51">
        <f>+DD62/CW62-1</f>
        <v>0.32979675074365788</v>
      </c>
      <c r="DE63" s="51">
        <f>+DE62/CX62-1</f>
        <v>0.29737985789279264</v>
      </c>
      <c r="DG63" s="71" t="s">
        <v>3</v>
      </c>
      <c r="DH63" s="51">
        <f>+DH62/DA62-1</f>
        <v>0.62757618368566259</v>
      </c>
      <c r="DI63" s="51">
        <f>+DI62/DB62-1</f>
        <v>0.13089356742484348</v>
      </c>
      <c r="DJ63" s="51">
        <f>+DJ62/DC62-1</f>
        <v>0.16056564964749676</v>
      </c>
      <c r="DK63" s="51">
        <f>+DK62/DD62-1</f>
        <v>0.11176731915721061</v>
      </c>
      <c r="DL63" s="51">
        <f>+DL62/DE62-1</f>
        <v>0.19311008237052008</v>
      </c>
      <c r="DN63" s="71" t="s">
        <v>3</v>
      </c>
      <c r="DO63" s="51">
        <f>+DO62/DH62-1</f>
        <v>0.20051922791518173</v>
      </c>
      <c r="DP63" s="51">
        <f>+DP62/DI62-1</f>
        <v>0.19527281915571626</v>
      </c>
      <c r="DQ63" s="51">
        <f>+DQ62/DJ62-1</f>
        <v>5.3882784258851402E-2</v>
      </c>
      <c r="DR63" s="51">
        <f>+DR62/DK62-1</f>
        <v>8.8616073428933184E-2</v>
      </c>
      <c r="DS63" s="51">
        <f>+DS62/DL62-1</f>
        <v>0.12478461854775036</v>
      </c>
      <c r="DU63" s="71" t="s">
        <v>3</v>
      </c>
      <c r="DV63" s="51">
        <f>+DV62/DO62-1</f>
        <v>3.8766505288851727E-2</v>
      </c>
      <c r="DW63" s="51">
        <f>+DW62/DP62-1</f>
        <v>2.9776945922808551E-2</v>
      </c>
      <c r="DX63" s="51">
        <f>+DX62/DQ62-1</f>
        <v>6.8333923273428354E-2</v>
      </c>
      <c r="DY63" s="51">
        <f>+DY62/DR62-1</f>
        <v>0.12640505241052002</v>
      </c>
      <c r="DZ63" s="51">
        <f>+DZ62/DS62-1</f>
        <v>3.757313785529548E-2</v>
      </c>
      <c r="EB63" s="71" t="s">
        <v>3</v>
      </c>
      <c r="EC63" s="51">
        <f>+EC62/DV62-1</f>
        <v>-0.32980823797778214</v>
      </c>
      <c r="ED63" s="51">
        <f>+ED62/DW62-1</f>
        <v>-0.25106563453955433</v>
      </c>
      <c r="EE63" s="51">
        <f>+EE62/DX62-1</f>
        <v>-0.45981654248664439</v>
      </c>
      <c r="EF63" s="51">
        <f>+EF62/DY62-1</f>
        <v>-0.54370825256459532</v>
      </c>
      <c r="EG63" s="51">
        <f>+EG62/DZ62-1</f>
        <v>-0.39257199525693709</v>
      </c>
      <c r="EI63" s="71" t="s">
        <v>3</v>
      </c>
      <c r="EJ63" s="51">
        <f>+EJ62/EC62-1</f>
        <v>-0.34015694435109456</v>
      </c>
      <c r="EK63" s="51">
        <f>+EK62/ED62-1</f>
        <v>-0.43479480807856219</v>
      </c>
      <c r="EL63" s="51">
        <f>+EL62/EE62-1</f>
        <v>-9.8354341068291884E-3</v>
      </c>
      <c r="EM63" s="51">
        <f>+EM62/EF62-1</f>
        <v>-0.67219856093987573</v>
      </c>
      <c r="EN63" s="51">
        <f>+EN62/EG62-1</f>
        <v>-0.37177115624308099</v>
      </c>
      <c r="EP63" s="71" t="s">
        <v>3</v>
      </c>
      <c r="EQ63" s="51">
        <f>+EQ62/EJ62-1</f>
        <v>-0.66014638145873705</v>
      </c>
      <c r="ER63" s="51">
        <f>+ER62/EK62-1</f>
        <v>-0.4218047454125653</v>
      </c>
      <c r="ES63" s="51">
        <f>+ES62/EL62-1</f>
        <v>-0.52137876486833812</v>
      </c>
      <c r="ET63" s="51">
        <f>+ET62/EM62-1</f>
        <v>0.31817893120233287</v>
      </c>
      <c r="EU63" s="51">
        <f>+EU62/EN62-1</f>
        <v>-0.41520690267464599</v>
      </c>
      <c r="EW63" s="71" t="s">
        <v>3</v>
      </c>
      <c r="EX63" s="51">
        <f>+EX62/EQ62-1</f>
        <v>0.18001728365255842</v>
      </c>
      <c r="EY63" s="51">
        <f>+EY62/ER62-1</f>
        <v>0.95205587770163413</v>
      </c>
      <c r="EZ63" s="51">
        <f>+EZ62/ES62-1</f>
        <v>0.6506638688500328</v>
      </c>
      <c r="FA63" s="51">
        <f>+FA62/ET62-1</f>
        <v>0.90895741556534482</v>
      </c>
      <c r="FB63" s="51">
        <f>+FB62/EU62-1</f>
        <v>0.75716818688885135</v>
      </c>
      <c r="FD63" s="71" t="s">
        <v>3</v>
      </c>
      <c r="FE63" s="51">
        <f>+FE62/EX62-1</f>
        <v>1.5319389808475541</v>
      </c>
      <c r="FF63" s="51">
        <f>+FF62/EY62-1</f>
        <v>0.17823823290765373</v>
      </c>
      <c r="FG63" s="51">
        <f>+FG62/EZ62-1</f>
        <v>0.29155544932722233</v>
      </c>
      <c r="FH63" s="51">
        <f>+FH62/FA62-1</f>
        <v>0.31119860005687627</v>
      </c>
      <c r="FI63" s="51">
        <f>+FI62/FB62-1</f>
        <v>0.35944307712018642</v>
      </c>
      <c r="FK63" s="71" t="s">
        <v>3</v>
      </c>
      <c r="FL63" s="51">
        <f>+FL62/FE62-1</f>
        <v>-0.45835695459334624</v>
      </c>
      <c r="FM63" s="51">
        <f>+FM62/FF62-1</f>
        <v>-8.1125771963221904E-2</v>
      </c>
      <c r="FN63" s="51">
        <f>+FN62/FG62-1</f>
        <v>-0.16204850903813173</v>
      </c>
      <c r="FO63" s="51">
        <f>+FO62/FH62-1</f>
        <v>-0.17321184139937906</v>
      </c>
      <c r="FP63" s="51">
        <f>+FP62/FI62-1</f>
        <v>-0.18263757631477673</v>
      </c>
      <c r="FR63" s="71" t="s">
        <v>3</v>
      </c>
      <c r="FS63" s="51">
        <f>+FS62/FL62-1</f>
        <v>0.54434797657849932</v>
      </c>
      <c r="FT63" s="51">
        <f>+FT62/FM62-1</f>
        <v>6.4179285217924376E-2</v>
      </c>
      <c r="FU63" s="51">
        <f>+FU62/FN62-1</f>
        <v>-0.10362331752812981</v>
      </c>
      <c r="FV63" s="51">
        <f>+FV62/FO62-1</f>
        <v>0.33095883213139832</v>
      </c>
      <c r="FW63" s="51">
        <f>+FW62/FP62-1</f>
        <v>0.13889101662551173</v>
      </c>
      <c r="FY63" s="71" t="s">
        <v>3</v>
      </c>
      <c r="FZ63" s="51">
        <f>+FZ62/FS62-1</f>
        <v>1.5511699654358528</v>
      </c>
      <c r="GA63" s="51">
        <f>+GA62/FT62-1</f>
        <v>0.55011891724551543</v>
      </c>
      <c r="GB63" s="51">
        <f>+GB62/FU62-1</f>
        <v>0.60537248875988836</v>
      </c>
      <c r="GC63" s="51">
        <f>+GC62/FV62-1</f>
        <v>0.46076074479942708</v>
      </c>
      <c r="GD63" s="51">
        <f>+GD62/FW62-1</f>
        <v>0.6648642672236369</v>
      </c>
      <c r="GF63" s="71" t="s">
        <v>3</v>
      </c>
      <c r="GG63" s="51">
        <f>+GG62/FZ62-1</f>
        <v>0.55023566935343049</v>
      </c>
      <c r="GH63" s="51">
        <f>+GH62/GA62-1</f>
        <v>0.86005135343035</v>
      </c>
      <c r="GI63" s="51">
        <f>+GI62/GB62-1</f>
        <v>0.83424696260219466</v>
      </c>
      <c r="GJ63" s="51">
        <f>+GJ62/GC62-1</f>
        <v>0.20349905868806117</v>
      </c>
      <c r="GK63" s="51">
        <f>+GK62/GD62-1</f>
        <v>0.5348554219099082</v>
      </c>
      <c r="GM63" s="71" t="s">
        <v>3</v>
      </c>
      <c r="GN63" s="51">
        <f>+GN62/GG62-1</f>
        <v>1.8933306262035376E-2</v>
      </c>
      <c r="GO63" s="51">
        <f>+GO62/GH62-1</f>
        <v>-0.16381408841292655</v>
      </c>
      <c r="GP63" s="51">
        <f>+GP62/GI62-1</f>
        <v>1.2348679906177162E-2</v>
      </c>
      <c r="GQ63" s="51">
        <f>+GQ62/GJ62-1</f>
        <v>0.39425446355572169</v>
      </c>
      <c r="GR63" s="51">
        <f>+GR62/GK62-1</f>
        <v>7.7314276366182266E-2</v>
      </c>
      <c r="GT63" s="71" t="s">
        <v>3</v>
      </c>
      <c r="GU63" s="51">
        <f>+GU62/GN62-1</f>
        <v>0.48288155250939435</v>
      </c>
      <c r="GV63" s="51">
        <f>+GV62/GO62-1</f>
        <v>0.25362669413334138</v>
      </c>
      <c r="GW63" s="51">
        <f>+GW62/GP62-1</f>
        <v>0.40289058292384206</v>
      </c>
      <c r="GX63" s="51">
        <f>+GX62/GQ62-1</f>
        <v>3.5911169585529645E-2</v>
      </c>
      <c r="GY63" s="51">
        <f>+GY62/GR62-1</f>
        <v>0.27168650038506459</v>
      </c>
      <c r="HA63" s="71" t="s">
        <v>3</v>
      </c>
      <c r="HB63" s="51">
        <f>+HB62/GU62-1</f>
        <v>-0.21698997347040416</v>
      </c>
      <c r="HC63" s="51">
        <f>+HC62/GV62-1</f>
        <v>-0.1998333260139229</v>
      </c>
      <c r="HD63" s="51">
        <f>+HD62/GW62-1</f>
        <v>-0.22025714665690277</v>
      </c>
      <c r="HE63" s="51">
        <f>+HE62/GX62-1</f>
        <v>-0.18432128646274093</v>
      </c>
      <c r="HF63" s="51">
        <f>+HF62/GY62-1</f>
        <v>-0.20461895654743134</v>
      </c>
      <c r="HH63" s="71" t="s">
        <v>3</v>
      </c>
      <c r="HI63" s="51">
        <f>+HI62/HB62-1</f>
        <v>0.23507674139449319</v>
      </c>
      <c r="HJ63" s="51">
        <f>+HJ62/HC62-1</f>
        <v>0.52777790000000002</v>
      </c>
      <c r="HK63" s="51">
        <f>+HK62/HD62-1</f>
        <v>0.56662518361463277</v>
      </c>
      <c r="HL63" s="51">
        <f>+HL62/HE62-1</f>
        <v>0.5653333391721691</v>
      </c>
      <c r="HM63" s="51">
        <f>+HM62/HF62-1</f>
        <v>0.47819976944250575</v>
      </c>
      <c r="HO63" s="71" t="s">
        <v>3</v>
      </c>
      <c r="HP63" s="51">
        <f>+HP62/HI62-1</f>
        <v>0.37854978441409015</v>
      </c>
      <c r="HQ63" s="51">
        <f>+HQ62/HJ62-1</f>
        <v>0.23010082793671605</v>
      </c>
      <c r="HR63" s="51">
        <f>+HR62/HK62-1</f>
        <v>0.13141328699326182</v>
      </c>
      <c r="HS63" s="51">
        <f>+HS62/HL62-1</f>
        <v>9.7991543340380627E-2</v>
      </c>
      <c r="HT63" s="51">
        <f>+HT62/HM62-1</f>
        <v>0.19648627331246993</v>
      </c>
      <c r="HV63" s="71" t="s">
        <v>3</v>
      </c>
      <c r="HW63" s="51">
        <f>+HW62/HP62-1</f>
        <v>0.20822724475389465</v>
      </c>
      <c r="HX63" s="51">
        <f>+HX62/HQ62-1</f>
        <v>8.7051500908106094E-2</v>
      </c>
      <c r="HY63" s="51">
        <f>+HY62/HR62-1</f>
        <v>1.5490301724138122E-2</v>
      </c>
      <c r="HZ63" s="51">
        <f>+HZ62/HS62-1</f>
        <v>-5.2571086501047692E-2</v>
      </c>
      <c r="IA63" s="51">
        <f>+IA62/HT62-1</f>
        <v>5.9764865502595299E-2</v>
      </c>
      <c r="IC63" s="71" t="s">
        <v>3</v>
      </c>
      <c r="ID63" s="51">
        <f>+ID62/HW62-1</f>
        <v>4.8253205232873242E-2</v>
      </c>
      <c r="IE63" s="51">
        <f>+IE62/HX62-1</f>
        <v>4.995442788042026E-2</v>
      </c>
      <c r="IF63" s="51">
        <f>+IF62/HY62-1</f>
        <v>1.48751052483862E-2</v>
      </c>
      <c r="IG63" s="51">
        <f>+IG62/HZ62-1</f>
        <v>6.0462140144563303E-2</v>
      </c>
      <c r="IH63" s="51">
        <f>+IH62/IA62-1</f>
        <v>4.3296626114342152E-2</v>
      </c>
      <c r="IJ63" s="71" t="s">
        <v>3</v>
      </c>
      <c r="IK63" s="51">
        <f>+IK62/ID62-1</f>
        <v>-0.11999429401390183</v>
      </c>
      <c r="IL63" s="51">
        <f>+IL62/IE62-1</f>
        <v>4.1599140801533485E-2</v>
      </c>
      <c r="IM63" s="51">
        <f>+IM62/IF62-1</f>
        <v>0.14752362982451483</v>
      </c>
      <c r="IN63" s="51">
        <f>+IN62/IG62-1</f>
        <v>0.17343289216033209</v>
      </c>
      <c r="IO63" s="51">
        <f>+IO62/IH62-1</f>
        <v>5.6438605269245823E-2</v>
      </c>
      <c r="IQ63" s="71" t="s">
        <v>3</v>
      </c>
      <c r="IR63" s="51">
        <f>+IR62/IK62-1</f>
        <v>0.12846490517101627</v>
      </c>
      <c r="IS63" s="51">
        <f>+IS62/IL62-1</f>
        <v>6.0166558036320206E-2</v>
      </c>
      <c r="IT63" s="51">
        <f>+IT62/IM62-1</f>
        <v>1.3314313837683445E-2</v>
      </c>
      <c r="IU63" s="51">
        <f>+IU62/IN62-1</f>
        <v>-2.9457260493612636E-2</v>
      </c>
      <c r="IV63" s="51">
        <f>+IV62/IO62-1</f>
        <v>3.9958484691229978E-2</v>
      </c>
      <c r="IX63" s="71" t="s">
        <v>3</v>
      </c>
      <c r="IY63" s="51">
        <f>+IY62/IR62-1</f>
        <v>-0.17031523848456231</v>
      </c>
      <c r="IZ63" s="51">
        <f>+IZ62/IS62-1</f>
        <v>-0.16402320421839622</v>
      </c>
      <c r="JA63" s="51">
        <f>+JA62/IT62-1</f>
        <v>-6.5448514016912762E-2</v>
      </c>
      <c r="JB63" s="51">
        <f>+JB62/IU62-1</f>
        <v>0.17943115833926249</v>
      </c>
      <c r="JC63" s="51">
        <f>+JC62/IV62-1</f>
        <v>-5.8992616033755274E-2</v>
      </c>
      <c r="JE63" s="71" t="s">
        <v>3</v>
      </c>
      <c r="JF63" s="51">
        <f>+JF62/IY62-1</f>
        <v>0.3685429542458365</v>
      </c>
      <c r="JG63" s="51">
        <f>+JG62/IZ62-1</f>
        <v>0.36833503575076598</v>
      </c>
      <c r="JH63" s="51">
        <f>+JH62/JA62-1</f>
        <v>5.9139315430706052E-2</v>
      </c>
      <c r="JI63" s="51">
        <f>+JI62/JB62-1</f>
        <v>0.13214209640118457</v>
      </c>
      <c r="JJ63" s="51">
        <f>+JJ62/JC62-1</f>
        <v>0.21907158285537776</v>
      </c>
      <c r="JL63" s="71" t="s">
        <v>3</v>
      </c>
      <c r="JM63" s="51">
        <f>+JM62/JF62-1</f>
        <v>0.54699779566800855</v>
      </c>
      <c r="JN63" s="51">
        <f>+JN62/JG62-1</f>
        <v>0.57966268216800398</v>
      </c>
      <c r="JO63" s="51">
        <f>+JO62/JH62-1</f>
        <v>1.0484570133686728</v>
      </c>
      <c r="JP63" s="51">
        <f>+JP62/JI62-1</f>
        <v>0.58247173214835679</v>
      </c>
      <c r="JQ63" s="51">
        <f>+JQ62/JJ62-1</f>
        <v>0.67510247757290553</v>
      </c>
      <c r="JS63" s="71" t="s">
        <v>3</v>
      </c>
      <c r="JT63" s="51">
        <f>+JT62/JM62-1</f>
        <v>0.30428396572827388</v>
      </c>
      <c r="JU63" s="51">
        <f>+JU62/JN62-1</f>
        <v>6.7003514007282439E-2</v>
      </c>
      <c r="JV63" s="51">
        <f>+JV62/JO62-1</f>
        <v>3.244977741622046E-2</v>
      </c>
      <c r="JW63" s="51">
        <f>+JW62/JP62-1</f>
        <v>-2.0753094438701325E-2</v>
      </c>
      <c r="JX63" s="51">
        <f>+JX62/JQ62-1</f>
        <v>8.6120787008318711E-2</v>
      </c>
      <c r="JZ63" s="71" t="s">
        <v>3</v>
      </c>
      <c r="KA63" s="51">
        <f>+KA62/JT62-1</f>
        <v>-2.4185567458064439E-2</v>
      </c>
      <c r="KB63" s="51">
        <f>+KB62/JU62-1</f>
        <v>-0.396524749359349</v>
      </c>
      <c r="KC63" s="51">
        <f>+KC62/JV62-1</f>
        <v>-0.11216171757911031</v>
      </c>
      <c r="KD63" s="51">
        <f>+KD62/JW62-1</f>
        <v>1.1751040491987386E-3</v>
      </c>
      <c r="KE63" s="51">
        <f>+KE62/JX62-1</f>
        <v>-0.13749390198138689</v>
      </c>
      <c r="KG63" s="71" t="s">
        <v>3</v>
      </c>
      <c r="KH63" s="51">
        <f>+KH62/KA62-1</f>
        <v>-6.9881037597573137E-2</v>
      </c>
      <c r="KI63" s="51">
        <f>+KI62/KB62-1</f>
        <v>0.83523039324363002</v>
      </c>
      <c r="KJ63" s="51">
        <f>+KJ62/KC62-1</f>
        <v>0.34982837528604116</v>
      </c>
      <c r="KK63" s="51">
        <f>+KK62/KD62-1</f>
        <v>0.27384801652303947</v>
      </c>
      <c r="KL63" s="51">
        <f>+KL62/KE62-1</f>
        <v>0.29829195634054106</v>
      </c>
      <c r="KN63" s="71" t="s">
        <v>3</v>
      </c>
      <c r="KO63" s="51">
        <f>+KO62/KH62-1</f>
        <v>0.26831187050220295</v>
      </c>
      <c r="KP63" s="51">
        <f>+KP62/KI62-1</f>
        <v>0.26125016964794545</v>
      </c>
      <c r="KQ63" s="51">
        <f>+KQ62/KJ62-1</f>
        <v>0.21035020952706729</v>
      </c>
      <c r="KR63" s="51">
        <f>+KR62/KK62-1</f>
        <v>0.15893888743395013</v>
      </c>
      <c r="KS63" s="51">
        <f>+KS62/KL62-1</f>
        <v>0.22121837126303912</v>
      </c>
      <c r="KU63" s="71" t="s">
        <v>3</v>
      </c>
      <c r="KV63" s="51">
        <f>+KV62/KO62-1</f>
        <v>0.20825626109416007</v>
      </c>
      <c r="KW63" s="51">
        <f>+KW62/KP62-1</f>
        <v>-3.1957748025678634E-2</v>
      </c>
      <c r="KX63" s="51">
        <f>+KX62/KQ62-1</f>
        <v>-0.2073768657506071</v>
      </c>
      <c r="KY63" s="51">
        <f>+KY62/KR62-1</f>
        <v>-8.255265056309935E-2</v>
      </c>
      <c r="KZ63" s="51">
        <f>+KZ62/KS62-1</f>
        <v>-4.2349155720121101E-2</v>
      </c>
      <c r="LB63" s="71" t="s">
        <v>3</v>
      </c>
      <c r="LC63" s="51">
        <f>+LC62/KV62-1</f>
        <v>-5.2301741298218518E-2</v>
      </c>
      <c r="LD63" s="49">
        <f>+LD62/KW62-1</f>
        <v>1.7342677918565697E-2</v>
      </c>
      <c r="LE63" s="49">
        <f>+LE62/KX62-1</f>
        <v>0.11254669057223965</v>
      </c>
      <c r="LF63" s="49">
        <f>+LF62/KY62-1</f>
        <v>-5.2874837250534434E-2</v>
      </c>
      <c r="LG63" s="49">
        <f>+LG62/KZ62-1</f>
        <v>3.3916609961230915E-3</v>
      </c>
      <c r="LH63" s="566"/>
      <c r="LI63" s="71" t="s">
        <v>3</v>
      </c>
      <c r="LJ63" s="49">
        <f>+LJ62/LC62-1</f>
        <v>-0.23874927926196421</v>
      </c>
      <c r="LK63" s="49">
        <f>+LK62/LD62-1</f>
        <v>-0.1027615125063408</v>
      </c>
      <c r="LL63" s="49">
        <f>+LL62/LE62-1</f>
        <v>-1.7910871620479885E-2</v>
      </c>
      <c r="LM63" s="49">
        <f>+LM62/LF62-1</f>
        <v>-3.8089241537371255E-2</v>
      </c>
      <c r="LN63" s="49">
        <f>+LN62/LG62-1</f>
        <v>-0.10040314161518993</v>
      </c>
      <c r="LO63" s="566"/>
      <c r="LP63" s="71" t="s">
        <v>3</v>
      </c>
      <c r="LQ63" s="49">
        <f>+LQ62/LJ62-1</f>
        <v>0.17949242877495619</v>
      </c>
      <c r="LR63" s="49">
        <f>+LR62/LK62-1</f>
        <v>9.9857993603528872E-2</v>
      </c>
      <c r="LS63" s="49">
        <f>+LS62/LL62-1</f>
        <v>0.12537667900838234</v>
      </c>
      <c r="LT63" s="49">
        <f>+LT62/LM62-1</f>
        <v>0.21745913690683705</v>
      </c>
      <c r="LU63" s="49">
        <f>+LU62/LN62-1</f>
        <v>0.15234223629959698</v>
      </c>
      <c r="LV63" s="566"/>
      <c r="LW63" s="71" t="s">
        <v>3</v>
      </c>
      <c r="LX63" s="49">
        <f>+LX62/LQ62-1</f>
        <v>0.17977721983181727</v>
      </c>
      <c r="LY63" s="49">
        <f>+LY62/LR62-1</f>
        <v>0.16308895981895266</v>
      </c>
      <c r="LZ63" s="49">
        <f>+LZ62/LS62-1</f>
        <v>0.16571623398202528</v>
      </c>
      <c r="MA63" s="49">
        <f>+MA62/LT62-1</f>
        <v>0.14712701626421287</v>
      </c>
      <c r="MB63" s="49">
        <f>+MB62/LU62-1</f>
        <v>0.16321975172034686</v>
      </c>
      <c r="MC63" s="566"/>
      <c r="MD63" s="71" t="s">
        <v>3</v>
      </c>
      <c r="ME63" s="49">
        <f>+ME62/LX62-1</f>
        <v>0.13181672401818889</v>
      </c>
      <c r="MF63" s="49">
        <f>+MF62/LY62-1</f>
        <v>0.11379999956743614</v>
      </c>
      <c r="MG63" s="49">
        <f>+MG62/LZ62-1</f>
        <v>0.10570282065235959</v>
      </c>
      <c r="MH63" s="49">
        <f>+MH62/MA62-1</f>
        <v>0.11358270311763596</v>
      </c>
      <c r="MI63" s="49">
        <f>+MI62/MB62-1</f>
        <v>0.11546429241505574</v>
      </c>
      <c r="MJ63" s="566"/>
    </row>
    <row r="64" spans="1:349" outlineLevel="1" x14ac:dyDescent="0.4">
      <c r="A64" s="48"/>
      <c r="B64" s="69"/>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Q64" s="69"/>
      <c r="BR64" s="53"/>
      <c r="BS64" s="53"/>
      <c r="BT64" s="53"/>
      <c r="BU64" s="53"/>
      <c r="BV64" s="53"/>
      <c r="BX64" s="69"/>
      <c r="BY64" s="53"/>
      <c r="BZ64" s="53"/>
      <c r="CA64" s="53"/>
      <c r="CB64" s="53"/>
      <c r="CC64" s="53"/>
      <c r="CE64" s="69"/>
      <c r="CF64" s="53"/>
      <c r="CG64" s="53"/>
      <c r="CH64" s="53"/>
      <c r="CI64" s="53"/>
      <c r="CJ64" s="53"/>
      <c r="CL64" s="69"/>
      <c r="CM64" s="53"/>
      <c r="CN64" s="53"/>
      <c r="CO64" s="53"/>
      <c r="CP64" s="53"/>
      <c r="CQ64" s="53"/>
      <c r="CS64" s="69"/>
      <c r="CT64" s="53"/>
      <c r="CU64" s="53"/>
      <c r="CV64" s="53"/>
      <c r="CW64" s="53"/>
      <c r="CX64" s="53"/>
      <c r="CZ64" s="69"/>
      <c r="DA64" s="53"/>
      <c r="DB64" s="53"/>
      <c r="DC64" s="53"/>
      <c r="DD64" s="53"/>
      <c r="DE64" s="53"/>
      <c r="DG64" s="69"/>
      <c r="DH64" s="53"/>
      <c r="DI64" s="53"/>
      <c r="DJ64" s="53"/>
      <c r="DK64" s="53"/>
      <c r="DL64" s="53"/>
      <c r="DN64" s="69"/>
      <c r="DO64" s="53"/>
      <c r="DP64" s="53"/>
      <c r="DQ64" s="53"/>
      <c r="DR64" s="53"/>
      <c r="DS64" s="53"/>
      <c r="DU64" s="69"/>
      <c r="DV64" s="53"/>
      <c r="DW64" s="53"/>
      <c r="DX64" s="53"/>
      <c r="DY64" s="53"/>
      <c r="DZ64" s="53"/>
      <c r="EB64" s="69"/>
      <c r="EC64" s="53"/>
      <c r="ED64" s="53"/>
      <c r="EE64" s="53"/>
      <c r="EF64" s="53"/>
      <c r="EG64" s="53"/>
      <c r="EI64" s="69"/>
      <c r="EJ64" s="53"/>
      <c r="EK64" s="53"/>
      <c r="EL64" s="53"/>
      <c r="EM64" s="53"/>
      <c r="EN64" s="53"/>
      <c r="EP64" s="69"/>
      <c r="EQ64" s="53"/>
      <c r="ER64" s="53"/>
      <c r="ES64" s="53"/>
      <c r="ET64" s="53"/>
      <c r="EU64" s="53"/>
      <c r="EW64" s="69"/>
      <c r="EX64" s="53"/>
      <c r="EY64" s="53"/>
      <c r="EZ64" s="53"/>
      <c r="FA64" s="53"/>
      <c r="FB64" s="53"/>
      <c r="FD64" s="69"/>
      <c r="FE64" s="53"/>
      <c r="FF64" s="53"/>
      <c r="FG64" s="53"/>
      <c r="FH64" s="53"/>
      <c r="FI64" s="53"/>
      <c r="FK64" s="69"/>
      <c r="FL64" s="53"/>
      <c r="FM64" s="53"/>
      <c r="FN64" s="53"/>
      <c r="FO64" s="53"/>
      <c r="FP64" s="53"/>
      <c r="FR64" s="69"/>
      <c r="FS64" s="53"/>
      <c r="FT64" s="53"/>
      <c r="FU64" s="53"/>
      <c r="FV64" s="53"/>
      <c r="FW64" s="53"/>
      <c r="FY64" s="69"/>
      <c r="FZ64" s="53"/>
      <c r="GA64" s="53"/>
      <c r="GB64" s="53"/>
      <c r="GC64" s="53"/>
      <c r="GD64" s="53"/>
      <c r="GF64" s="69"/>
      <c r="GG64" s="53"/>
      <c r="GH64" s="53"/>
      <c r="GI64" s="53"/>
      <c r="GJ64" s="53"/>
      <c r="GK64" s="53"/>
      <c r="GM64" s="69"/>
      <c r="GN64" s="53"/>
      <c r="GO64" s="53"/>
      <c r="GP64" s="53"/>
      <c r="GQ64" s="53"/>
      <c r="GR64" s="53"/>
      <c r="GT64" s="69"/>
      <c r="GU64" s="53"/>
      <c r="GV64" s="53"/>
      <c r="GW64" s="53"/>
      <c r="GX64" s="53"/>
      <c r="GY64" s="53"/>
      <c r="HA64" s="69"/>
      <c r="HB64" s="53"/>
      <c r="HC64" s="53"/>
      <c r="HD64" s="53"/>
      <c r="HE64" s="53"/>
      <c r="HF64" s="53"/>
      <c r="HH64" s="69"/>
      <c r="HI64" s="53"/>
      <c r="HJ64" s="53"/>
      <c r="HK64" s="53"/>
      <c r="HL64" s="53"/>
      <c r="HM64" s="53"/>
      <c r="HO64" s="69"/>
      <c r="HP64" s="53"/>
      <c r="HQ64" s="53"/>
      <c r="HR64" s="53"/>
      <c r="HS64" s="53"/>
      <c r="HT64" s="53"/>
      <c r="HV64" s="69"/>
      <c r="HW64" s="53"/>
      <c r="HX64" s="53"/>
      <c r="HY64" s="53"/>
      <c r="HZ64" s="53"/>
      <c r="IA64" s="53"/>
      <c r="IC64" s="69"/>
      <c r="ID64" s="53"/>
      <c r="IE64" s="53"/>
      <c r="IF64" s="53"/>
      <c r="IG64" s="53"/>
      <c r="IH64" s="53"/>
      <c r="IJ64" s="69"/>
      <c r="IK64" s="53"/>
      <c r="IL64" s="53"/>
      <c r="IM64" s="53"/>
      <c r="IN64" s="53"/>
      <c r="IO64" s="53"/>
      <c r="IQ64" s="69"/>
      <c r="IR64" s="53"/>
      <c r="IS64" s="53"/>
      <c r="IT64" s="53"/>
      <c r="IU64" s="53"/>
      <c r="IV64" s="53"/>
      <c r="IX64" s="69"/>
      <c r="IY64" s="53"/>
      <c r="IZ64" s="53"/>
      <c r="JA64" s="53"/>
      <c r="JB64" s="53"/>
      <c r="JC64" s="53"/>
      <c r="JE64" s="69"/>
      <c r="JF64" s="53"/>
      <c r="JG64" s="53"/>
      <c r="JH64" s="53"/>
      <c r="JI64" s="53"/>
      <c r="JJ64" s="53"/>
      <c r="JL64" s="69"/>
      <c r="JM64" s="53"/>
      <c r="JN64" s="53"/>
      <c r="JO64" s="53"/>
      <c r="JP64" s="53"/>
      <c r="JQ64" s="53"/>
      <c r="JS64" s="69"/>
      <c r="JT64" s="53"/>
      <c r="JU64" s="53"/>
      <c r="JV64" s="53"/>
      <c r="JW64" s="53"/>
      <c r="JX64" s="53"/>
      <c r="JZ64" s="69"/>
      <c r="KA64" s="53"/>
      <c r="KB64" s="53"/>
      <c r="KC64" s="53"/>
      <c r="KD64" s="53"/>
      <c r="KE64" s="53"/>
      <c r="KG64" s="69"/>
      <c r="KH64" s="53"/>
      <c r="KI64" s="53"/>
      <c r="KJ64" s="53"/>
      <c r="KK64" s="53"/>
      <c r="KL64" s="53"/>
      <c r="KN64" s="69"/>
      <c r="KO64" s="53"/>
      <c r="KP64" s="53"/>
      <c r="KQ64" s="53"/>
      <c r="KR64" s="53"/>
      <c r="KS64" s="53"/>
      <c r="KU64" s="69"/>
      <c r="KV64" s="53"/>
      <c r="KW64" s="53"/>
      <c r="KX64" s="53"/>
      <c r="KZ64" s="53"/>
      <c r="LB64" s="702"/>
      <c r="LC64" s="703"/>
      <c r="LD64" s="703"/>
      <c r="LE64" s="703"/>
      <c r="LF64" s="703"/>
      <c r="LG64" s="703"/>
      <c r="LH64" s="704"/>
      <c r="LI64" s="702"/>
      <c r="LJ64" s="703"/>
      <c r="LK64" s="703"/>
      <c r="LL64" s="703"/>
      <c r="LM64" s="703"/>
      <c r="LN64" s="703"/>
      <c r="LO64" s="704"/>
      <c r="LP64" s="702"/>
      <c r="LQ64" s="703"/>
      <c r="LR64" s="703"/>
      <c r="LS64" s="703"/>
      <c r="LT64" s="703"/>
      <c r="LU64" s="703"/>
      <c r="LV64" s="704"/>
      <c r="LW64" s="702"/>
      <c r="LX64" s="703"/>
      <c r="LY64" s="703"/>
      <c r="LZ64" s="703"/>
      <c r="MA64" s="703"/>
      <c r="MB64" s="703"/>
      <c r="MC64" s="704"/>
      <c r="MD64" s="702"/>
      <c r="ME64" s="703"/>
      <c r="MF64" s="703"/>
      <c r="MG64" s="703"/>
      <c r="MH64" s="703"/>
      <c r="MI64" s="703"/>
      <c r="MJ64" s="704"/>
    </row>
    <row r="65" spans="1:348" outlineLevel="1" x14ac:dyDescent="0.4">
      <c r="A65" s="48"/>
      <c r="B65" s="705" t="s">
        <v>232</v>
      </c>
      <c r="C65" s="56">
        <f t="shared" ref="C65:M65" si="148">+C49+C53+SUM(C56:C58)</f>
        <v>130.78600000000006</v>
      </c>
      <c r="D65" s="56">
        <f t="shared" si="148"/>
        <v>237.09999999999945</v>
      </c>
      <c r="E65" s="56">
        <f t="shared" si="148"/>
        <v>282.39999999999964</v>
      </c>
      <c r="F65" s="56">
        <f t="shared" si="148"/>
        <v>432.69999999999982</v>
      </c>
      <c r="G65" s="56">
        <f t="shared" si="148"/>
        <v>414</v>
      </c>
      <c r="H65" s="56">
        <f t="shared" si="148"/>
        <v>272</v>
      </c>
      <c r="I65" s="56">
        <f t="shared" si="148"/>
        <v>414</v>
      </c>
      <c r="J65" s="56">
        <f t="shared" si="148"/>
        <v>-118</v>
      </c>
      <c r="K65" s="56">
        <f t="shared" si="148"/>
        <v>418</v>
      </c>
      <c r="L65" s="56">
        <f t="shared" si="148"/>
        <v>138</v>
      </c>
      <c r="M65" s="56">
        <f t="shared" si="148"/>
        <v>147</v>
      </c>
      <c r="N65" s="56">
        <f>BV65</f>
        <v>454.00000000000091</v>
      </c>
      <c r="O65" s="56">
        <f>CC65</f>
        <v>416.31700000000092</v>
      </c>
      <c r="P65" s="56">
        <f>CJ65</f>
        <v>-271.69999999999891</v>
      </c>
      <c r="Q65" s="56">
        <f>CQ65</f>
        <v>20.100000000000364</v>
      </c>
      <c r="R65" s="56">
        <f>CX65</f>
        <v>359.72899999999998</v>
      </c>
      <c r="S65" s="56">
        <f>DE65</f>
        <v>568.29999999999995</v>
      </c>
      <c r="T65" s="56">
        <f>DL65</f>
        <v>618.69920000000002</v>
      </c>
      <c r="U65" s="56">
        <f>DS65</f>
        <v>855</v>
      </c>
      <c r="V65" s="56">
        <f>DZ65</f>
        <v>849.55600000000004</v>
      </c>
      <c r="W65" s="56">
        <f>EG65</f>
        <v>510.74422340016991</v>
      </c>
      <c r="X65" s="56">
        <f>EN65</f>
        <v>-1.3120000000000118</v>
      </c>
      <c r="Y65" s="56">
        <f>EU65</f>
        <v>565</v>
      </c>
      <c r="Z65" s="56">
        <f>FB65</f>
        <v>290.99999999999994</v>
      </c>
      <c r="AA65" s="56">
        <f>FI65</f>
        <v>424.24036999999998</v>
      </c>
      <c r="AB65" s="56">
        <f>FP65</f>
        <v>270.02</v>
      </c>
      <c r="AC65" s="56">
        <f>FW65</f>
        <v>342.5</v>
      </c>
      <c r="AD65" s="56">
        <f>GD65</f>
        <v>1145</v>
      </c>
      <c r="AE65" s="56">
        <f>GK65</f>
        <v>1476.4</v>
      </c>
      <c r="AF65" s="56">
        <f>GR65</f>
        <v>1361.1000000000001</v>
      </c>
      <c r="AG65" s="56">
        <f>GY65</f>
        <v>1281.8000000000002</v>
      </c>
      <c r="AH65" s="56">
        <f>HF65</f>
        <v>1135</v>
      </c>
      <c r="AI65" s="56">
        <f>HM65</f>
        <v>1562</v>
      </c>
      <c r="AJ65" s="56">
        <f>HT65</f>
        <v>1822</v>
      </c>
      <c r="AK65" s="56">
        <f>IA65</f>
        <v>1858.9999999999998</v>
      </c>
      <c r="AL65" s="56">
        <f>IH65</f>
        <v>1883</v>
      </c>
      <c r="AM65" s="56">
        <f>IO65</f>
        <v>1927</v>
      </c>
      <c r="AN65" s="56">
        <f>IV65</f>
        <v>1968</v>
      </c>
      <c r="AO65" s="56">
        <f>JC65</f>
        <v>1714</v>
      </c>
      <c r="AP65" s="56">
        <f>JJ65</f>
        <v>5471</v>
      </c>
      <c r="AQ65" s="56">
        <f>JQ65</f>
        <v>3309</v>
      </c>
      <c r="AR65" s="56">
        <f>JX65</f>
        <v>3331</v>
      </c>
      <c r="AS65" s="56">
        <f>KE65</f>
        <v>2765</v>
      </c>
      <c r="AT65" s="56">
        <f>KL65</f>
        <v>3781</v>
      </c>
      <c r="AU65" s="56">
        <f>KS65</f>
        <v>4165.9880975609758</v>
      </c>
      <c r="AV65" s="56">
        <f>KZ65</f>
        <v>3668</v>
      </c>
      <c r="AW65" s="56">
        <f>LG65</f>
        <v>3470</v>
      </c>
      <c r="AX65" s="56">
        <f>LN65</f>
        <v>2889</v>
      </c>
      <c r="AY65" s="56">
        <f>LU65</f>
        <v>3468.9447185482177</v>
      </c>
      <c r="AZ65" s="56">
        <f>MB65</f>
        <v>3885.5017888526631</v>
      </c>
      <c r="BA65" s="56">
        <f>MI65</f>
        <v>4164.4501714683884</v>
      </c>
      <c r="BB65" s="56"/>
      <c r="BC65" s="56"/>
      <c r="BD65" s="56"/>
      <c r="BE65" s="56"/>
      <c r="BF65" s="56"/>
      <c r="BG65" s="56"/>
      <c r="BH65" s="56"/>
      <c r="BI65" s="56"/>
      <c r="BJ65" s="56"/>
      <c r="BK65" s="56"/>
      <c r="BL65" s="56"/>
      <c r="BM65" s="56"/>
      <c r="BN65" s="56"/>
      <c r="BO65" s="56"/>
      <c r="BQ65" s="705" t="s">
        <v>232</v>
      </c>
      <c r="BR65" s="56">
        <f>+BR49+BR53+SUM(BR56:BR58)</f>
        <v>81.799999999999955</v>
      </c>
      <c r="BS65" s="56">
        <f>+BS49+BS53+SUM(BS56:BS58)</f>
        <v>153</v>
      </c>
      <c r="BT65" s="56">
        <f>+BT49+BT53+SUM(BT56:BT58)</f>
        <v>93.900000000000091</v>
      </c>
      <c r="BU65" s="56">
        <f>+BU49+BU53+SUM(BU56:BU58)</f>
        <v>125.29999999999995</v>
      </c>
      <c r="BV65" s="56">
        <f>+BV49+BV53+SUM(BV56:BV58)</f>
        <v>454.00000000000091</v>
      </c>
      <c r="BX65" s="705" t="s">
        <v>232</v>
      </c>
      <c r="BY65" s="56">
        <f>+BY49+BY53+SUM(BY56:BY58)</f>
        <v>76.700000000000045</v>
      </c>
      <c r="BZ65" s="56">
        <f>+BZ49+BZ53+SUM(BZ56:BZ58)</f>
        <v>108.90000000000009</v>
      </c>
      <c r="CA65" s="56">
        <f>+CA49+CA53+SUM(CA56:CA58)</f>
        <v>101</v>
      </c>
      <c r="CB65" s="56">
        <f>+CB49+CB53+SUM(CB56:CB58)</f>
        <v>129.7170000000001</v>
      </c>
      <c r="CC65" s="56">
        <f>+CC49+CC53+SUM(CC56:CC58)</f>
        <v>416.31700000000092</v>
      </c>
      <c r="CE65" s="705" t="s">
        <v>232</v>
      </c>
      <c r="CF65" s="56">
        <f>+CF49+CF53+SUM(CF56:CF58)</f>
        <v>-138.70000000000005</v>
      </c>
      <c r="CG65" s="56">
        <f>+CG49+CG53+SUM(CG56:CG58)</f>
        <v>115</v>
      </c>
      <c r="CH65" s="56">
        <f>+CH49+CH53+SUM(CH56:CH58)</f>
        <v>107.90000000000009</v>
      </c>
      <c r="CI65" s="56">
        <f>+CI49+CI53+SUM(CI56:CI58)</f>
        <v>-355.90000000000009</v>
      </c>
      <c r="CJ65" s="56">
        <f>+CJ49+CJ53+SUM(CJ56:CJ58)</f>
        <v>-271.69999999999891</v>
      </c>
      <c r="CL65" s="705" t="s">
        <v>232</v>
      </c>
      <c r="CM65" s="56">
        <f>+CM49+CM53+SUM(CM56:CM58)</f>
        <v>62.400000000000091</v>
      </c>
      <c r="CN65" s="56">
        <f>+CN49+CN53+SUM(CN56:CN58)</f>
        <v>-322.80000000000018</v>
      </c>
      <c r="CO65" s="56">
        <f>+CO49+CO53+SUM(CO56:CO58)</f>
        <v>128.30000000000018</v>
      </c>
      <c r="CP65" s="56">
        <f>+CP49+CP53+SUM(CP56:CP58)</f>
        <v>152.19999999999982</v>
      </c>
      <c r="CQ65" s="56">
        <f>+CQ49+CQ53+SUM(CQ56:CQ58)</f>
        <v>20.100000000000364</v>
      </c>
      <c r="CS65" s="705" t="s">
        <v>232</v>
      </c>
      <c r="CT65" s="56">
        <f>+CT49+CT53+SUM(CT56:CT58)</f>
        <v>-8.6999999999998181</v>
      </c>
      <c r="CU65" s="56">
        <f>+CU49+CU53+SUM(CU56:CU58)</f>
        <v>153.72899999999998</v>
      </c>
      <c r="CV65" s="56">
        <f>+CV49+CV53+SUM(CV56:CV58)</f>
        <v>63.699999999999818</v>
      </c>
      <c r="CW65" s="56">
        <f>+CW49+CW53+SUM(CW56:CW58)</f>
        <v>151</v>
      </c>
      <c r="CX65" s="56">
        <f>+CX49+CX53+SUM(CX56:CX58)</f>
        <v>359.72899999999998</v>
      </c>
      <c r="CZ65" s="705" t="s">
        <v>232</v>
      </c>
      <c r="DA65" s="56">
        <f>+DA49+DA53+SUM(DA56:DA58)</f>
        <v>74</v>
      </c>
      <c r="DB65" s="56">
        <f>+DB49+DB53+SUM(DB56:DB58)</f>
        <v>162</v>
      </c>
      <c r="DC65" s="56">
        <f>+DC49+DC53+SUM(DC56:DC58)</f>
        <v>177</v>
      </c>
      <c r="DD65" s="56">
        <f>+DD49+DD53+SUM(DD56:DD58)</f>
        <v>155.30000000000001</v>
      </c>
      <c r="DE65" s="56">
        <f>+DE49+DE53+SUM(DE56:DE58)</f>
        <v>568.29999999999995</v>
      </c>
      <c r="DG65" s="705" t="s">
        <v>232</v>
      </c>
      <c r="DH65" s="56">
        <f>+DH49+DH53+SUM(DH56:DH58)</f>
        <v>121</v>
      </c>
      <c r="DI65" s="56">
        <f>+DI49+DI53+SUM(DI56:DI58)</f>
        <v>18.991799999999984</v>
      </c>
      <c r="DJ65" s="56">
        <f>+DJ49+DJ53+SUM(DJ56:DJ58)</f>
        <v>202.00740000000002</v>
      </c>
      <c r="DK65" s="56">
        <f>+DK49+DK53+SUM(DK56:DK58)</f>
        <v>276.7</v>
      </c>
      <c r="DL65" s="56">
        <f>+DL49+DL53+SUM(DL56:DL58)</f>
        <v>618.69920000000002</v>
      </c>
      <c r="DN65" s="705" t="s">
        <v>232</v>
      </c>
      <c r="DO65" s="56">
        <f>+DO49+DO53+SUM(DO56:DO58)</f>
        <v>146</v>
      </c>
      <c r="DP65" s="56">
        <f>+DP49+DP53+SUM(DP56:DP58)</f>
        <v>234</v>
      </c>
      <c r="DQ65" s="56">
        <f>+DQ49+DQ53+SUM(DQ56:DQ58)</f>
        <v>222</v>
      </c>
      <c r="DR65" s="56">
        <f>+DR49+DR53+SUM(DR56:DR58)</f>
        <v>253</v>
      </c>
      <c r="DS65" s="56">
        <f>+DS49+DS53+SUM(DS56:DS58)</f>
        <v>855</v>
      </c>
      <c r="DU65" s="705" t="s">
        <v>232</v>
      </c>
      <c r="DV65" s="56">
        <f>+DV49+DV53+SUM(DV56:DV58)</f>
        <v>151</v>
      </c>
      <c r="DW65" s="56">
        <f>+DW49+DW53+SUM(DW56:DW58)</f>
        <v>227.36</v>
      </c>
      <c r="DX65" s="56">
        <f>+DX49+DX53+SUM(DX56:DX58)</f>
        <v>224.21</v>
      </c>
      <c r="DY65" s="56">
        <f>+DY49+DY53+SUM(DY56:DY58)</f>
        <v>246.98599999999999</v>
      </c>
      <c r="DZ65" s="56">
        <f>+DZ49+DZ53+SUM(DZ56:DZ58)</f>
        <v>849.55600000000004</v>
      </c>
      <c r="EB65" s="705" t="s">
        <v>232</v>
      </c>
      <c r="EC65" s="56">
        <f>+EC49+EC53+SUM(EC56:EC58)</f>
        <v>91.205900000000014</v>
      </c>
      <c r="ED65" s="56">
        <f>+ED49+ED53+SUM(ED56:ED58)</f>
        <v>138.49832340016999</v>
      </c>
      <c r="EE65" s="56">
        <f>+EE49+EE53+SUM(EE56:EE58)</f>
        <v>190</v>
      </c>
      <c r="EF65" s="56">
        <f>+EF49+EF53+SUM(EF56:EF58)</f>
        <v>91.04</v>
      </c>
      <c r="EG65" s="56">
        <f>+EG49+EG53+SUM(EG56:EG58)</f>
        <v>510.74422340016991</v>
      </c>
      <c r="EI65" s="705" t="s">
        <v>232</v>
      </c>
      <c r="EJ65" s="56">
        <f>+EJ49+EJ53+SUM(EJ56:EJ58)</f>
        <v>26.688000000000002</v>
      </c>
      <c r="EK65" s="56">
        <f>+EK49+EK53+SUM(EK56:EK58)</f>
        <v>113</v>
      </c>
      <c r="EL65" s="56">
        <f>+EL49+EL53+SUM(EL56:EL58)</f>
        <v>-113</v>
      </c>
      <c r="EM65" s="56">
        <f>+EM49+EM53+SUM(EM56:EM58)</f>
        <v>-28</v>
      </c>
      <c r="EN65" s="56">
        <f>+EN49+EN53+SUM(EN56:EN58)</f>
        <v>-1.3120000000000118</v>
      </c>
      <c r="EP65" s="705" t="s">
        <v>232</v>
      </c>
      <c r="EQ65" s="56">
        <f>+EQ49+EQ53+SUM(EQ56:EQ58)</f>
        <v>29</v>
      </c>
      <c r="ER65" s="56">
        <f>+ER49+ER53+SUM(ER56:ER58)</f>
        <v>55</v>
      </c>
      <c r="ES65" s="56">
        <f>+ES49+ES53+SUM(ES56:ES58)</f>
        <v>427</v>
      </c>
      <c r="ET65" s="56">
        <f>+ET49+ET53+SUM(ET56:ET58)</f>
        <v>54</v>
      </c>
      <c r="EU65" s="56">
        <f>+EU49+EU53+SUM(EU56:EU58)</f>
        <v>565</v>
      </c>
      <c r="EW65" s="705" t="s">
        <v>232</v>
      </c>
      <c r="EX65" s="56">
        <f>+EX49+EX53+SUM(EX56:EX58)</f>
        <v>17.999999999999993</v>
      </c>
      <c r="EY65" s="56">
        <f>+EY49+EY53+SUM(EY56:EY58)</f>
        <v>108</v>
      </c>
      <c r="EZ65" s="56">
        <f>+EZ49+EZ53+SUM(EZ56:EZ58)</f>
        <v>98</v>
      </c>
      <c r="FA65" s="56">
        <f>+FA49+FA53+SUM(FA56:FA58)</f>
        <v>67</v>
      </c>
      <c r="FB65" s="56">
        <f>+FB49+FB53+SUM(FB56:FB58)</f>
        <v>290.99999999999994</v>
      </c>
      <c r="FD65" s="705" t="s">
        <v>232</v>
      </c>
      <c r="FE65" s="56">
        <f>+FE49+FE53+SUM(FE56:FE58)</f>
        <v>25</v>
      </c>
      <c r="FF65" s="56">
        <f>+FF49+FF53+SUM(FF56:FF58)</f>
        <v>135.04037</v>
      </c>
      <c r="FG65" s="56">
        <f>+FG49+FG53+SUM(FG56:FG58)</f>
        <v>127.2</v>
      </c>
      <c r="FH65" s="56">
        <f>+FH49+FH53+SUM(FH56:FH58)</f>
        <v>137</v>
      </c>
      <c r="FI65" s="56">
        <f>+FI49+FI53+SUM(FI56:FI58)</f>
        <v>424.24036999999998</v>
      </c>
      <c r="FK65" s="705" t="s">
        <v>232</v>
      </c>
      <c r="FL65" s="56">
        <f>+FL49+FL53+SUM(FL56:FL58)</f>
        <v>104</v>
      </c>
      <c r="FM65" s="56">
        <f>+FM49+FM53+SUM(FM56:FM58)</f>
        <v>136</v>
      </c>
      <c r="FN65" s="56">
        <f>+FN49+FN53+SUM(FN56:FN58)</f>
        <v>-92.98</v>
      </c>
      <c r="FO65" s="56">
        <f>+FO49+FO53+SUM(FO56:FO58)</f>
        <v>123</v>
      </c>
      <c r="FP65" s="56">
        <f>+FP49+FP53+SUM(FP56:FP58)</f>
        <v>270.02</v>
      </c>
      <c r="FR65" s="705" t="s">
        <v>232</v>
      </c>
      <c r="FS65" s="56">
        <f>+FS49+FS53+SUM(FS56:FS58)</f>
        <v>30</v>
      </c>
      <c r="FT65" s="56">
        <f>+FT49+FT53+SUM(FT56:FT58)</f>
        <v>123</v>
      </c>
      <c r="FU65" s="56">
        <f>+FU49+FU53+SUM(FU56:FU58)</f>
        <v>123</v>
      </c>
      <c r="FV65" s="56">
        <f>+FV49+FV53+SUM(FV56:FV58)</f>
        <v>66.5</v>
      </c>
      <c r="FW65" s="56">
        <f>+FW49+FW53+SUM(FW56:FW58)</f>
        <v>342.5</v>
      </c>
      <c r="FY65" s="705" t="s">
        <v>232</v>
      </c>
      <c r="FZ65" s="56">
        <f>+FZ49+FZ53+SUM(FZ56:FZ58)</f>
        <v>579</v>
      </c>
      <c r="GA65" s="56">
        <f>+GA49+GA53+SUM(GA56:GA58)</f>
        <v>165</v>
      </c>
      <c r="GB65" s="56">
        <f>+GB49+GB53+SUM(GB56:GB58)</f>
        <v>164</v>
      </c>
      <c r="GC65" s="56">
        <f>+GC49+GC53+SUM(GC56:GC58)</f>
        <v>237</v>
      </c>
      <c r="GD65" s="56">
        <f>+GD49+GD53+SUM(GD56:GD58)</f>
        <v>1145</v>
      </c>
      <c r="GF65" s="705" t="s">
        <v>232</v>
      </c>
      <c r="GG65" s="56">
        <f>+GG49+GG53+SUM(GG56:GG58)</f>
        <v>245</v>
      </c>
      <c r="GH65" s="56">
        <f>+GH49+GH53+SUM(GH56:GH58)</f>
        <v>516</v>
      </c>
      <c r="GI65" s="56">
        <f>+GI49+GI53+SUM(GI56:GI58)</f>
        <v>343.4</v>
      </c>
      <c r="GJ65" s="56">
        <f>+GJ49+GJ53+SUM(GJ56:GJ58)</f>
        <v>372</v>
      </c>
      <c r="GK65" s="56">
        <f>+GK49+GK53+SUM(GK56:GK58)</f>
        <v>1476.4</v>
      </c>
      <c r="GM65" s="705" t="s">
        <v>232</v>
      </c>
      <c r="GN65" s="56">
        <f>+GN49+GN53+SUM(GN56:GN58)</f>
        <v>257.10000000000002</v>
      </c>
      <c r="GO65" s="56">
        <f>+GO49+GO53+SUM(GO56:GO58)</f>
        <v>324</v>
      </c>
      <c r="GP65" s="56">
        <f>+GP49+GP53+SUM(GP56:GP58)</f>
        <v>407</v>
      </c>
      <c r="GQ65" s="56">
        <f>+GQ49+GQ53+SUM(GQ56:GQ58)</f>
        <v>373</v>
      </c>
      <c r="GR65" s="56">
        <f>+GR49+GR53+SUM(GR56:GR58)</f>
        <v>1361.1000000000001</v>
      </c>
      <c r="GT65" s="705" t="s">
        <v>232</v>
      </c>
      <c r="GU65" s="56">
        <f>+GU49+GU53+SUM(GU56:GU58)</f>
        <v>351</v>
      </c>
      <c r="GV65" s="56">
        <f>+GV49+GV53+SUM(GV56:GV58)</f>
        <v>378</v>
      </c>
      <c r="GW65" s="56">
        <f>+GW49+GW53+SUM(GW56:GW58)</f>
        <v>384</v>
      </c>
      <c r="GX65" s="56">
        <f>+GX49+GX53+SUM(GX56:GX58)</f>
        <v>168.79999999999995</v>
      </c>
      <c r="GY65" s="56">
        <f>+GY49+GY53+SUM(GY56:GY58)</f>
        <v>1281.8000000000002</v>
      </c>
      <c r="HA65" s="705" t="s">
        <v>232</v>
      </c>
      <c r="HB65" s="56">
        <f>+HB49+HB53+SUM(HB56:HB58)</f>
        <v>238</v>
      </c>
      <c r="HC65" s="56">
        <f>+HC49+HC53+SUM(HC56:HC58)</f>
        <v>303</v>
      </c>
      <c r="HD65" s="56">
        <f>+HD49+HD53+SUM(HD56:HD58)</f>
        <v>289</v>
      </c>
      <c r="HE65" s="56">
        <f>+HE49+HE53+SUM(HE56:HE58)</f>
        <v>305</v>
      </c>
      <c r="HF65" s="56">
        <f>+HF49+HF53+SUM(HF56:HF58)</f>
        <v>1135</v>
      </c>
      <c r="HH65" s="705" t="s">
        <v>232</v>
      </c>
      <c r="HI65" s="56">
        <f>+HI49+HI53+SUM(HI56:HI58)</f>
        <v>304</v>
      </c>
      <c r="HJ65" s="56">
        <f>+HJ49+HJ53+SUM(HJ56:HJ58)</f>
        <v>414</v>
      </c>
      <c r="HK65" s="56">
        <f>+HK49+HK53+SUM(HK56:HK58)</f>
        <v>414</v>
      </c>
      <c r="HL65" s="56">
        <f>+HL49+HL53+SUM(HL56:HL58)</f>
        <v>430</v>
      </c>
      <c r="HM65" s="56">
        <f>+HM49+HM53+SUM(HM56:HM58)</f>
        <v>1562</v>
      </c>
      <c r="HO65" s="705" t="s">
        <v>232</v>
      </c>
      <c r="HP65" s="56">
        <f>+HP49+HP53+SUM(HP56:HP58)</f>
        <v>395</v>
      </c>
      <c r="HQ65" s="56">
        <f>+HQ49+HQ53+SUM(HQ56:HQ58)</f>
        <v>506</v>
      </c>
      <c r="HR65" s="56">
        <f>+HR49+HR53+SUM(HR56:HR58)</f>
        <v>464</v>
      </c>
      <c r="HS65" s="56">
        <f>+HS49+HS53+SUM(HS56:HS58)</f>
        <v>457</v>
      </c>
      <c r="HT65" s="56">
        <f>+HT49+HT53+SUM(HT56:HT58)</f>
        <v>1822</v>
      </c>
      <c r="HV65" s="705" t="s">
        <v>232</v>
      </c>
      <c r="HW65" s="56">
        <f>+HW49+HW53+SUM(HW56:HW58)</f>
        <v>449</v>
      </c>
      <c r="HX65" s="56">
        <f>+HX49+HX53+SUM(HX56:HX58)</f>
        <v>512</v>
      </c>
      <c r="HY65" s="56">
        <f>+HY49+HY53+SUM(HY56:HY58)</f>
        <v>455</v>
      </c>
      <c r="HZ65" s="56">
        <f>+HZ49+HZ53+SUM(HZ56:HZ58)</f>
        <v>442.99999999999994</v>
      </c>
      <c r="IA65" s="56">
        <f>+IA49+IA53+SUM(IA56:IA58)</f>
        <v>1858.9999999999998</v>
      </c>
      <c r="IC65" s="705" t="s">
        <v>232</v>
      </c>
      <c r="ID65" s="56">
        <f>+ID49+ID53+SUM(ID56:ID58)</f>
        <v>459</v>
      </c>
      <c r="IE65" s="56">
        <f>+IE49+IE53+SUM(IE56:IE58)</f>
        <v>535</v>
      </c>
      <c r="IF65" s="56">
        <f>+IF49+IF53+SUM(IF56:IF58)</f>
        <v>463</v>
      </c>
      <c r="IG65" s="56">
        <f>+IG49+IG53+SUM(IG56:IG58)</f>
        <v>426</v>
      </c>
      <c r="IH65" s="56">
        <f>+IH49+IH53+SUM(IH56:IH58)</f>
        <v>1883</v>
      </c>
      <c r="IJ65" s="705" t="s">
        <v>232</v>
      </c>
      <c r="IK65" s="56">
        <f>+IK49+IK53+SUM(IK56:IK58)</f>
        <v>398</v>
      </c>
      <c r="IL65" s="56">
        <f>+IL49+IL53+SUM(IL56:IL58)</f>
        <v>529</v>
      </c>
      <c r="IM65" s="56">
        <f>+IM49+IM53+SUM(IM56:IM58)</f>
        <v>509</v>
      </c>
      <c r="IN65" s="56">
        <f>+IN49+IN53+SUM(IN56:IN58)</f>
        <v>491</v>
      </c>
      <c r="IO65" s="56">
        <f>+IO49+IO53+SUM(IO56:IO58)</f>
        <v>1927</v>
      </c>
      <c r="IQ65" s="705" t="s">
        <v>232</v>
      </c>
      <c r="IR65" s="56">
        <f>+IR49+IR53+SUM(IR56:IR58)</f>
        <v>442</v>
      </c>
      <c r="IS65" s="56">
        <f>+IS49+IS53+SUM(IS56:IS58)</f>
        <v>553</v>
      </c>
      <c r="IT65" s="56">
        <f>+IT49+IT53+SUM(IT56:IT58)</f>
        <v>507</v>
      </c>
      <c r="IU65" s="56">
        <f>+IU49+IU53+SUM(IU56:IU58)</f>
        <v>466</v>
      </c>
      <c r="IV65" s="56">
        <f>+IV49+IV53+SUM(IV56:IV58)</f>
        <v>1968</v>
      </c>
      <c r="IX65" s="705" t="s">
        <v>232</v>
      </c>
      <c r="IY65" s="56">
        <f>+IY49+IY53+SUM(IY56:IY58)</f>
        <v>356</v>
      </c>
      <c r="IZ65" s="56">
        <f>+IZ49+IZ53+SUM(IZ56:IZ58)</f>
        <v>445</v>
      </c>
      <c r="JA65" s="56">
        <f>+JA49+JA53+SUM(JA56:JA58)</f>
        <v>455</v>
      </c>
      <c r="JB65" s="56">
        <f>+JB49+JB53+SUM(JB56:JB58)</f>
        <v>458</v>
      </c>
      <c r="JC65" s="56">
        <f>+JC49+JC53+SUM(JC56:JC58)</f>
        <v>1714</v>
      </c>
      <c r="JE65" s="705" t="s">
        <v>232</v>
      </c>
      <c r="JF65" s="56">
        <f>+JF49+JF53+SUM(JF56:JF58)</f>
        <v>362</v>
      </c>
      <c r="JG65" s="56">
        <f>+JG49+JG53+SUM(JG56:JG58)</f>
        <v>510</v>
      </c>
      <c r="JH65" s="56">
        <f>+JH49+JH53+SUM(JH56:JH58)</f>
        <v>459</v>
      </c>
      <c r="JI65" s="56">
        <f>+JI49+JI53+SUM(JI56:JI58)</f>
        <v>4140</v>
      </c>
      <c r="JJ65" s="56">
        <f>+JJ49+JJ53+SUM(JJ56:JJ58)</f>
        <v>5471</v>
      </c>
      <c r="JL65" s="705" t="s">
        <v>232</v>
      </c>
      <c r="JM65" s="56">
        <f>+JM49+JM53+SUM(JM56:JM58)</f>
        <v>695</v>
      </c>
      <c r="JN65" s="56">
        <f>+JN49+JN53+SUM(JN56:JN58)</f>
        <v>877</v>
      </c>
      <c r="JO65" s="56">
        <f>+JO49+JO53+SUM(JO56:JO58)</f>
        <v>894</v>
      </c>
      <c r="JP65" s="56">
        <f>+JP49+JP53+SUM(JP56:JP58)</f>
        <v>843</v>
      </c>
      <c r="JQ65" s="56">
        <f>+JQ49+JQ53+SUM(JQ56:JQ58)</f>
        <v>3309</v>
      </c>
      <c r="JS65" s="705" t="s">
        <v>232</v>
      </c>
      <c r="JT65" s="56">
        <f>+JT49+JT53+SUM(JT56:JT58)</f>
        <v>834</v>
      </c>
      <c r="JU65" s="56">
        <f>+JU49+JU53+SUM(JU56:JU58)</f>
        <v>870</v>
      </c>
      <c r="JV65" s="56">
        <f>+JV49+JV53+SUM(JV56:JV58)</f>
        <v>856</v>
      </c>
      <c r="JW65" s="56">
        <f>+JW49+JW53+SUM(JW56:JW58)</f>
        <v>771</v>
      </c>
      <c r="JX65" s="56">
        <f>+JX49+JX53+SUM(JX56:JX58)</f>
        <v>3331</v>
      </c>
      <c r="JZ65" s="705" t="s">
        <v>232</v>
      </c>
      <c r="KA65" s="56">
        <f>+KA49+KA53+SUM(KA56:KA58)</f>
        <v>770</v>
      </c>
      <c r="KB65" s="56">
        <f>+KB49+KB53+SUM(KB56:KB58)</f>
        <v>499</v>
      </c>
      <c r="KC65" s="56">
        <f>+KC49+KC53+SUM(KC56:KC58)</f>
        <v>736</v>
      </c>
      <c r="KD65" s="56">
        <f>+KD49+KD53+SUM(KD56:KD58)</f>
        <v>760</v>
      </c>
      <c r="KE65" s="56">
        <f>+KE49+KE53+SUM(KE56:KE58)</f>
        <v>2765</v>
      </c>
      <c r="KG65" s="705" t="s">
        <v>232</v>
      </c>
      <c r="KH65" s="56">
        <f>+KH49+KH53+SUM(KH56:KH58)</f>
        <v>706</v>
      </c>
      <c r="KI65" s="56">
        <f>+KI49+KI53+SUM(KI56:KI58)</f>
        <v>1173</v>
      </c>
      <c r="KJ65" s="56">
        <f>+KJ49+KJ53+SUM(KJ56:KJ58)</f>
        <v>968</v>
      </c>
      <c r="KK65" s="56">
        <f>+KK49+KK53+SUM(KK56:KK58)</f>
        <v>934</v>
      </c>
      <c r="KL65" s="56">
        <f>+KL49+KL53+SUM(KL56:KL58)</f>
        <v>3781</v>
      </c>
      <c r="KN65" s="705" t="s">
        <v>232</v>
      </c>
      <c r="KO65" s="56">
        <f>+KO49+KO53+SUM(KO56:KO58)</f>
        <v>859</v>
      </c>
      <c r="KP65" s="56">
        <f>+KP49+KP53+SUM(KP56:KP58)</f>
        <v>1177.9880975609756</v>
      </c>
      <c r="KQ65" s="56">
        <f>+KQ49+KQ53+SUM(KQ56:KQ58)</f>
        <v>1111</v>
      </c>
      <c r="KR65" s="56">
        <f>+KR49+KR53+SUM(KR56:KR58)</f>
        <v>1018</v>
      </c>
      <c r="KS65" s="56">
        <f>+KS49+KS53+SUM(KS56:KS58)</f>
        <v>4165.9880975609758</v>
      </c>
      <c r="KU65" s="705" t="s">
        <v>232</v>
      </c>
      <c r="KV65" s="56">
        <f>+KV49+KV53+SUM(KV56:KV58)</f>
        <v>974</v>
      </c>
      <c r="KW65" s="56">
        <f>+KW49+KW53+SUM(KW56:KW58)</f>
        <v>984</v>
      </c>
      <c r="KX65" s="56">
        <f>+KX49+KX53+SUM(KX56:KX58)</f>
        <v>828</v>
      </c>
      <c r="KY65" s="56">
        <f>+KY49+KY53+SUM(KY56:KY58)</f>
        <v>882</v>
      </c>
      <c r="KZ65" s="56">
        <f>+KZ49+KZ53+SUM(KZ56:KZ58)</f>
        <v>3668</v>
      </c>
      <c r="LB65" s="705" t="s">
        <v>232</v>
      </c>
      <c r="LC65" s="56">
        <f>+LC49+LC53+SUM(LC56:LC58)</f>
        <v>880</v>
      </c>
      <c r="LD65" s="55">
        <f>+LD49+LD53+SUM(LD56:LD58)</f>
        <v>963</v>
      </c>
      <c r="LE65" s="55">
        <f>+LE49+LE53+SUM(LE56:LE58)</f>
        <v>894</v>
      </c>
      <c r="LF65" s="55">
        <f>+LF49+LF53+SUM(LF56:LF58)</f>
        <v>733</v>
      </c>
      <c r="LG65" s="55">
        <f>+LG49+LG53+SUM(LG56:LG58)</f>
        <v>3470</v>
      </c>
      <c r="LH65" s="558"/>
      <c r="LI65" s="705" t="s">
        <v>232</v>
      </c>
      <c r="LJ65" s="55">
        <f>+LJ49+LJ53+SUM(LJ56:LJ58)</f>
        <v>646</v>
      </c>
      <c r="LK65" s="55">
        <f>+LK49+LK53+SUM(LK56:LK58)</f>
        <v>829</v>
      </c>
      <c r="LL65" s="55">
        <f>+LL49+LL53+SUM(LL56:LL58)</f>
        <v>694</v>
      </c>
      <c r="LM65" s="55">
        <f>+LM49+LM53+SUM(LM56:LM58)</f>
        <v>720</v>
      </c>
      <c r="LN65" s="55">
        <f>+LN49+LN53+SUM(LN56:LN58)</f>
        <v>2889</v>
      </c>
      <c r="LO65" s="558"/>
      <c r="LP65" s="705" t="s">
        <v>232</v>
      </c>
      <c r="LQ65" s="55">
        <f>+LQ49+LQ53+SUM(LQ56:LQ58)</f>
        <v>747.20494434845</v>
      </c>
      <c r="LR65" s="55">
        <f>+LR49+LR53+SUM(LR56:LR58)</f>
        <v>897.08905849167331</v>
      </c>
      <c r="LS65" s="55">
        <f>+LS49+LS53+SUM(LS56:LS58)</f>
        <v>927.90753307406203</v>
      </c>
      <c r="LT65" s="55">
        <f>+LT49+LT53+SUM(LT56:LT58)</f>
        <v>896.74318263403268</v>
      </c>
      <c r="LU65" s="55">
        <f>+LU49+LU53+SUM(LU56:LU58)</f>
        <v>3468.9447185482177</v>
      </c>
      <c r="LV65" s="558"/>
      <c r="LW65" s="705" t="s">
        <v>232</v>
      </c>
      <c r="LX65" s="55">
        <f>+LX49+LX53+SUM(LX56:LX58)</f>
        <v>849.46453282713412</v>
      </c>
      <c r="LY65" s="55">
        <f>+LY49+LY53+SUM(LY56:LY58)</f>
        <v>1004.810696018726</v>
      </c>
      <c r="LZ65" s="55">
        <f>+LZ49+LZ53+SUM(LZ56:LZ58)</f>
        <v>1041.3043082371858</v>
      </c>
      <c r="MA65" s="55">
        <f>+MA49+MA53+SUM(MA56:MA58)</f>
        <v>989.92225176961767</v>
      </c>
      <c r="MB65" s="55">
        <f>+MB49+MB53+SUM(MB56:MB58)</f>
        <v>3885.5017888526631</v>
      </c>
      <c r="MC65" s="558"/>
      <c r="MD65" s="705" t="s">
        <v>232</v>
      </c>
      <c r="ME65" s="55">
        <f>+ME49+ME53+SUM(ME56:ME58)</f>
        <v>924.73653813385783</v>
      </c>
      <c r="MF65" s="55">
        <f>+MF49+MF53+SUM(MF56:MF58)</f>
        <v>1075.7096621598496</v>
      </c>
      <c r="MG65" s="55">
        <f>+MG49+MG53+SUM(MG56:MG58)</f>
        <v>1105.9124605421396</v>
      </c>
      <c r="MH65" s="55">
        <f>+MH49+MH53+SUM(MH56:MH58)</f>
        <v>1058.0915106325406</v>
      </c>
      <c r="MI65" s="55">
        <f>+MI49+MI53+SUM(MI56:MI58)</f>
        <v>4164.4501714683884</v>
      </c>
      <c r="MJ65" s="558"/>
    </row>
    <row r="66" spans="1:348" outlineLevel="1" x14ac:dyDescent="0.4">
      <c r="A66" s="48"/>
      <c r="BR66" s="53"/>
      <c r="BS66" s="53"/>
      <c r="BT66" s="53"/>
      <c r="BU66" s="53"/>
      <c r="BV66" s="53"/>
      <c r="BY66" s="53"/>
      <c r="BZ66" s="53"/>
      <c r="CA66" s="53"/>
      <c r="CB66" s="53"/>
      <c r="CC66" s="53"/>
      <c r="CF66" s="53"/>
      <c r="CG66" s="53"/>
      <c r="CH66" s="53"/>
      <c r="CI66" s="53"/>
      <c r="CJ66" s="53"/>
      <c r="CM66" s="53"/>
      <c r="CN66" s="53"/>
      <c r="CO66" s="53"/>
      <c r="CP66" s="53"/>
      <c r="CQ66" s="53"/>
      <c r="CT66" s="53"/>
      <c r="CU66" s="53"/>
      <c r="CV66" s="53"/>
      <c r="CW66" s="53"/>
      <c r="CX66" s="53"/>
      <c r="DA66" s="53"/>
      <c r="DB66" s="53"/>
      <c r="DC66" s="53"/>
      <c r="DD66" s="53"/>
      <c r="DE66" s="53"/>
      <c r="DH66" s="53"/>
      <c r="DI66" s="53"/>
      <c r="DJ66" s="53"/>
      <c r="DK66" s="53"/>
      <c r="DL66" s="53"/>
      <c r="DO66" s="53"/>
      <c r="DP66" s="53"/>
      <c r="DQ66" s="53"/>
      <c r="DR66" s="53"/>
      <c r="DS66" s="53"/>
      <c r="DV66" s="53"/>
      <c r="DW66" s="53"/>
      <c r="DX66" s="53"/>
      <c r="DY66" s="53"/>
      <c r="DZ66" s="53"/>
      <c r="EC66" s="53"/>
      <c r="ED66" s="53"/>
      <c r="EE66" s="53"/>
      <c r="EF66" s="53"/>
      <c r="EG66" s="53"/>
      <c r="EJ66" s="53"/>
      <c r="EK66" s="53"/>
      <c r="EL66" s="53"/>
      <c r="EM66" s="53"/>
      <c r="EN66" s="53"/>
      <c r="EQ66" s="53"/>
      <c r="ER66" s="53"/>
      <c r="ES66" s="53"/>
      <c r="ET66" s="53"/>
      <c r="EU66" s="53"/>
      <c r="EX66" s="53"/>
      <c r="EY66" s="53"/>
      <c r="EZ66" s="53"/>
      <c r="FA66" s="53"/>
      <c r="FB66" s="53"/>
      <c r="FE66" s="53"/>
      <c r="FF66" s="53"/>
      <c r="FG66" s="53"/>
      <c r="FH66" s="53"/>
      <c r="FI66" s="53"/>
      <c r="FL66" s="53"/>
      <c r="FM66" s="53"/>
      <c r="FN66" s="53"/>
      <c r="FO66" s="53"/>
      <c r="FP66" s="53"/>
      <c r="FS66" s="53"/>
      <c r="FT66" s="53"/>
      <c r="FU66" s="53"/>
      <c r="FV66" s="53"/>
      <c r="FW66" s="53"/>
      <c r="FZ66" s="53"/>
      <c r="GA66" s="53"/>
      <c r="GB66" s="53"/>
      <c r="GC66" s="53"/>
      <c r="GD66" s="53"/>
      <c r="GG66" s="53"/>
      <c r="GH66" s="53"/>
      <c r="GI66" s="53"/>
      <c r="GJ66" s="53"/>
      <c r="GK66" s="53"/>
      <c r="GN66" s="53"/>
      <c r="GO66" s="53"/>
      <c r="GP66" s="53"/>
      <c r="GQ66" s="53"/>
      <c r="GR66" s="53"/>
      <c r="GU66" s="53"/>
      <c r="GV66" s="53"/>
      <c r="GW66" s="53"/>
      <c r="GX66" s="53"/>
      <c r="GY66" s="53"/>
      <c r="HB66" s="53"/>
      <c r="HC66" s="53"/>
      <c r="HD66" s="53"/>
      <c r="HE66" s="53"/>
      <c r="HF66" s="53"/>
      <c r="HI66" s="53"/>
      <c r="HJ66" s="53"/>
      <c r="HK66" s="53"/>
      <c r="HL66" s="53"/>
      <c r="HM66" s="53"/>
      <c r="HP66" s="53"/>
      <c r="HQ66" s="53"/>
      <c r="HR66" s="53"/>
      <c r="HS66" s="53"/>
      <c r="HT66" s="53"/>
      <c r="HW66" s="53"/>
      <c r="HX66" s="53"/>
      <c r="HY66" s="53"/>
      <c r="HZ66" s="53"/>
      <c r="IA66" s="53"/>
      <c r="ID66" s="53"/>
      <c r="IE66" s="53"/>
      <c r="IF66" s="53"/>
      <c r="IG66" s="53"/>
      <c r="IH66" s="53"/>
      <c r="IK66" s="53"/>
      <c r="IL66" s="53"/>
      <c r="IM66" s="53"/>
      <c r="IN66" s="53"/>
      <c r="IO66" s="53"/>
      <c r="IR66" s="53"/>
      <c r="IS66" s="53"/>
      <c r="IT66" s="53"/>
      <c r="IU66" s="53"/>
      <c r="IV66" s="53"/>
      <c r="IY66" s="53"/>
      <c r="IZ66" s="53"/>
      <c r="JA66" s="53"/>
      <c r="JB66" s="53"/>
      <c r="JC66" s="53"/>
      <c r="JF66" s="53"/>
      <c r="JG66" s="53"/>
      <c r="JH66" s="53"/>
      <c r="JI66" s="53"/>
      <c r="JJ66" s="53"/>
      <c r="JM66" s="53"/>
      <c r="JN66" s="53"/>
      <c r="JO66" s="53"/>
      <c r="JP66" s="53"/>
      <c r="JQ66" s="53"/>
      <c r="JT66" s="53"/>
      <c r="JU66" s="53"/>
      <c r="JV66" s="53"/>
      <c r="JW66" s="53"/>
      <c r="JX66" s="53"/>
      <c r="KA66" s="53"/>
      <c r="KB66" s="53"/>
      <c r="KC66" s="53"/>
      <c r="KD66" s="53"/>
      <c r="KE66" s="53"/>
      <c r="KH66" s="53"/>
      <c r="KI66" s="53"/>
      <c r="KJ66" s="53"/>
      <c r="KK66" s="53"/>
      <c r="KL66" s="53"/>
      <c r="KO66" s="53"/>
      <c r="KP66" s="53"/>
      <c r="KQ66" s="53"/>
      <c r="KR66" s="53"/>
      <c r="KS66" s="53"/>
      <c r="KV66" s="53"/>
      <c r="KW66" s="53"/>
      <c r="KZ66" s="53"/>
      <c r="LC66" s="53"/>
      <c r="LU66" s="648"/>
      <c r="MB66" s="522">
        <f>MB62/LG62/3</f>
        <v>0.40194804766604869</v>
      </c>
      <c r="MI66" s="522">
        <f>MI62/LN62/3</f>
        <v>0.49839957798700191</v>
      </c>
    </row>
    <row r="67" spans="1:348" outlineLevel="1" x14ac:dyDescent="0.4">
      <c r="A67" s="48"/>
      <c r="B67" s="706" t="s">
        <v>230</v>
      </c>
      <c r="C67" s="542">
        <f t="shared" ref="C67:M67" si="149">+C65/C61</f>
        <v>3.0733145485588007E-2</v>
      </c>
      <c r="D67" s="542">
        <f t="shared" si="149"/>
        <v>5.6053110959525976E-2</v>
      </c>
      <c r="E67" s="542">
        <f t="shared" si="149"/>
        <v>6.5498332825753666E-2</v>
      </c>
      <c r="F67" s="542">
        <f t="shared" si="149"/>
        <v>9.6245229160468931E-2</v>
      </c>
      <c r="G67" s="542">
        <f t="shared" si="149"/>
        <v>9.0810742516010345E-2</v>
      </c>
      <c r="H67" s="542">
        <f t="shared" si="149"/>
        <v>5.7088982414074785E-2</v>
      </c>
      <c r="I67" s="542">
        <f t="shared" si="149"/>
        <v>7.7244974038971778E-2</v>
      </c>
      <c r="J67" s="542">
        <f t="shared" si="149"/>
        <v>-2.1519730675099488E-2</v>
      </c>
      <c r="K67" s="542">
        <f t="shared" si="149"/>
        <v>7.5105183191963104E-2</v>
      </c>
      <c r="L67" s="542">
        <f t="shared" si="149"/>
        <v>2.4617624078177018E-2</v>
      </c>
      <c r="M67" s="542">
        <f t="shared" si="149"/>
        <v>2.7642322312596675E-2</v>
      </c>
      <c r="N67" s="542">
        <f>BV67</f>
        <v>0.12300495643242908</v>
      </c>
      <c r="O67" s="542">
        <f>CC67</f>
        <v>0.11620206020111865</v>
      </c>
      <c r="P67" s="542">
        <f>CJ67</f>
        <v>-7.4177094054330747E-2</v>
      </c>
      <c r="Q67" s="542">
        <f>CQ67</f>
        <v>5.3595832087961169E-3</v>
      </c>
      <c r="R67" s="542">
        <f>CX67</f>
        <v>9.5001160942344107E-2</v>
      </c>
      <c r="S67" s="542">
        <f>DE67</f>
        <v>0.14903700276962836</v>
      </c>
      <c r="T67" s="542">
        <f>DL67</f>
        <v>0.16151731973317629</v>
      </c>
      <c r="U67" s="542">
        <f>DS67</f>
        <v>0.21969889688027566</v>
      </c>
      <c r="V67" s="542">
        <f>DZ67</f>
        <v>0.21376479018966069</v>
      </c>
      <c r="W67" s="542">
        <f>EG67</f>
        <v>0.13247928900555236</v>
      </c>
      <c r="X67" s="542">
        <f>EN67</f>
        <v>-3.4438122476610541E-4</v>
      </c>
      <c r="Y67" s="542">
        <f>EU67</f>
        <v>0.14853284383217366</v>
      </c>
      <c r="Z67" s="542">
        <f>FB67</f>
        <v>7.6110756058357307E-2</v>
      </c>
      <c r="AA67" s="542">
        <f>FI67</f>
        <v>0.11038603856170426</v>
      </c>
      <c r="AB67" s="542">
        <f>FP67</f>
        <v>6.8446342549077457E-2</v>
      </c>
      <c r="AC67" s="542">
        <f>FW67</f>
        <v>8.4687404572130795E-2</v>
      </c>
      <c r="AD67" s="542">
        <f>GD67</f>
        <v>0.27897570840338187</v>
      </c>
      <c r="AE67" s="542">
        <f>GK67</f>
        <v>0.35207707349644685</v>
      </c>
      <c r="AF67" s="542">
        <f>GR67</f>
        <v>0.33732342007434946</v>
      </c>
      <c r="AG67" s="542">
        <f>GY67</f>
        <v>0.34853305054789679</v>
      </c>
      <c r="AH67" s="542">
        <f>HF67</f>
        <v>0.31873069362538614</v>
      </c>
      <c r="AI67" s="542">
        <f>HM67</f>
        <v>0.45118428653957249</v>
      </c>
      <c r="AJ67" s="542">
        <f>HT67</f>
        <v>0.55769819406183041</v>
      </c>
      <c r="AK67" s="542">
        <f>IA67</f>
        <v>0.59583333333333321</v>
      </c>
      <c r="AL67" s="542">
        <f>IH67</f>
        <v>0.61596336277396135</v>
      </c>
      <c r="AM67" s="542">
        <f>IO67</f>
        <v>0.64105123087159011</v>
      </c>
      <c r="AN67" s="542">
        <f>IV67</f>
        <v>0.66666666666666663</v>
      </c>
      <c r="AO67" s="542">
        <f>JC67</f>
        <v>0.60267229254571031</v>
      </c>
      <c r="AP67" s="542">
        <f>JJ67</f>
        <v>1.9952589350838803</v>
      </c>
      <c r="AQ67" s="542">
        <f>JQ67</f>
        <v>1.2810685249709639</v>
      </c>
      <c r="AR67" s="542">
        <f>JX67</f>
        <v>1.3913951545530492</v>
      </c>
      <c r="AS67" s="542">
        <f>KE67</f>
        <v>1.2000868055555556</v>
      </c>
      <c r="AT67" s="542">
        <f>KL67</f>
        <v>1.6767184035476719</v>
      </c>
      <c r="AU67" s="542">
        <f>KS67</f>
        <v>1.945814151126098</v>
      </c>
      <c r="AV67" s="542">
        <f>KZ67</f>
        <v>1.8221559860904124</v>
      </c>
      <c r="AW67" s="542">
        <f>LG67</f>
        <v>1.7861279114657058</v>
      </c>
      <c r="AX67" s="542">
        <f>LN67</f>
        <v>1.5424452749599573</v>
      </c>
      <c r="AY67" s="542">
        <f>LU67</f>
        <v>1.8953326748920007</v>
      </c>
      <c r="AZ67" s="542">
        <f>MB67</f>
        <v>2.204688403515334</v>
      </c>
      <c r="BA67" s="542">
        <f>MI67</f>
        <v>2.4592511900229108</v>
      </c>
      <c r="BB67" s="542"/>
      <c r="BC67" s="542"/>
      <c r="BD67" s="542"/>
      <c r="BE67" s="542"/>
      <c r="BF67" s="542"/>
      <c r="BG67" s="542"/>
      <c r="BH67" s="542"/>
      <c r="BI67" s="542"/>
      <c r="BJ67" s="542"/>
      <c r="BK67" s="542"/>
      <c r="BL67" s="542"/>
      <c r="BM67" s="542"/>
      <c r="BN67" s="542"/>
      <c r="BO67" s="542"/>
      <c r="BQ67" s="706" t="s">
        <v>230</v>
      </c>
      <c r="BR67" s="542">
        <f>+BR65/BR61</f>
        <v>2.1277039924887987E-2</v>
      </c>
      <c r="BS67" s="542">
        <f>+BS65/BS61</f>
        <v>4.1221704234058743E-2</v>
      </c>
      <c r="BT67" s="542">
        <f>+BT65/BT61</f>
        <v>2.5838287919975025E-2</v>
      </c>
      <c r="BU67" s="542">
        <f>+BU65/BU61</f>
        <v>3.5065288707499531E-2</v>
      </c>
      <c r="BV67" s="542">
        <f>+BV65/BV61</f>
        <v>0.12300495643242908</v>
      </c>
      <c r="BX67" s="706" t="s">
        <v>230</v>
      </c>
      <c r="BY67" s="542">
        <f>+BY65/BY61</f>
        <v>2.1483368238456903E-2</v>
      </c>
      <c r="BZ67" s="542">
        <f>+BZ65/BZ61</f>
        <v>3.040270518748045E-2</v>
      </c>
      <c r="CA67" s="542">
        <f>+CA65/CA61</f>
        <v>2.8153937519441622E-2</v>
      </c>
      <c r="CB67" s="542">
        <f>+CB65/CB61</f>
        <v>3.6120251984982435E-2</v>
      </c>
      <c r="CC67" s="542">
        <f>+CC65/CC61</f>
        <v>0.11620206020111865</v>
      </c>
      <c r="CE67" s="706" t="s">
        <v>230</v>
      </c>
      <c r="CF67" s="542">
        <f>+CF65/CF61</f>
        <v>-3.8501800228145859E-2</v>
      </c>
      <c r="CG67" s="542">
        <f>+CG65/CG61</f>
        <v>3.1676200872595053E-2</v>
      </c>
      <c r="CH67" s="542">
        <f>+CH65/CH61</f>
        <v>2.9237170518223596E-2</v>
      </c>
      <c r="CI67" s="542">
        <f>+CI65/CI61</f>
        <v>-9.5466717506140664E-2</v>
      </c>
      <c r="CJ67" s="542">
        <f>+CJ65/CJ61</f>
        <v>-7.4177094054330747E-2</v>
      </c>
      <c r="CL67" s="706" t="s">
        <v>230</v>
      </c>
      <c r="CM67" s="542">
        <f>+CM65/CM61</f>
        <v>1.6687230147832906E-2</v>
      </c>
      <c r="CN67" s="542">
        <f>+CN65/CN61</f>
        <v>-8.6092205257502552E-2</v>
      </c>
      <c r="CO67" s="542">
        <f>+CO65/CO61</f>
        <v>3.4182598091278736E-2</v>
      </c>
      <c r="CP67" s="542">
        <f>+CP65/CP61</f>
        <v>4.0490138177252055E-2</v>
      </c>
      <c r="CQ67" s="542">
        <f>+CQ65/CQ61</f>
        <v>5.3595832087961169E-3</v>
      </c>
      <c r="CS67" s="706" t="s">
        <v>230</v>
      </c>
      <c r="CT67" s="542">
        <f>+CT65/CT61</f>
        <v>-2.3030568712098351E-3</v>
      </c>
      <c r="CU67" s="542">
        <f>+CU65/CU61</f>
        <v>4.060176469469641E-2</v>
      </c>
      <c r="CV67" s="542">
        <f>+CV65/CV61</f>
        <v>1.6809502950660939E-2</v>
      </c>
      <c r="CW67" s="542">
        <f>+CW65/CW61</f>
        <v>3.981097433009468E-2</v>
      </c>
      <c r="CX67" s="542">
        <f>+CX65/CX61</f>
        <v>9.5001160942344107E-2</v>
      </c>
      <c r="CZ67" s="706" t="s">
        <v>230</v>
      </c>
      <c r="DA67" s="542">
        <f>+DA65/DA61</f>
        <v>1.9443209537892716E-2</v>
      </c>
      <c r="DB67" s="542">
        <f>+DB65/DB61</f>
        <v>4.2463646400498253E-2</v>
      </c>
      <c r="DC67" s="542">
        <f>+DC65/DC61</f>
        <v>4.6383647798742149E-2</v>
      </c>
      <c r="DD67" s="542">
        <f>+DD65/DD61</f>
        <v>4.0701288708157361E-2</v>
      </c>
      <c r="DE67" s="542">
        <f>+DE65/DE61</f>
        <v>0.14903700276962836</v>
      </c>
      <c r="DG67" s="706" t="s">
        <v>230</v>
      </c>
      <c r="DH67" s="542">
        <f>+DH65/DH61</f>
        <v>3.1645304778284103E-2</v>
      </c>
      <c r="DI67" s="542">
        <f>+DI65/DI61</f>
        <v>4.9566393881596837E-3</v>
      </c>
      <c r="DJ67" s="542">
        <f>+DJ65/DJ61</f>
        <v>5.2682977970976409E-2</v>
      </c>
      <c r="DK67" s="542">
        <f>+DK65/DK61</f>
        <v>7.2157184268638569E-2</v>
      </c>
      <c r="DL67" s="542">
        <f>+DL65/DL61</f>
        <v>0.16151731973317629</v>
      </c>
      <c r="DN67" s="706" t="s">
        <v>230</v>
      </c>
      <c r="DO67" s="542">
        <f>+DO65/DO61</f>
        <v>3.7990796859566245E-2</v>
      </c>
      <c r="DP67" s="542">
        <f>+DP65/DP61</f>
        <v>6.0686409978713093E-2</v>
      </c>
      <c r="DQ67" s="542">
        <f>+DQ65/DQ61</f>
        <v>5.6731846958943018E-2</v>
      </c>
      <c r="DR67" s="542">
        <f>+DR65/DR61</f>
        <v>6.4073245089532868E-2</v>
      </c>
      <c r="DS67" s="542">
        <f>+DS65/DS61</f>
        <v>0.21969889688027566</v>
      </c>
      <c r="DU67" s="706" t="s">
        <v>230</v>
      </c>
      <c r="DV67" s="542">
        <f>+DV65/DV61</f>
        <v>3.9463567286950309E-2</v>
      </c>
      <c r="DW67" s="542">
        <f>+DW65/DW61</f>
        <v>5.9108403189191604E-2</v>
      </c>
      <c r="DX67" s="542">
        <f>+DX65/DX61</f>
        <v>5.8075321524002528E-2</v>
      </c>
      <c r="DY67" s="542">
        <f>+DY65/DY61</f>
        <v>6.3625061761025156E-2</v>
      </c>
      <c r="DZ67" s="542">
        <f>+DZ65/DZ61</f>
        <v>0.21376479018966069</v>
      </c>
      <c r="EB67" s="706" t="s">
        <v>230</v>
      </c>
      <c r="EC67" s="542">
        <f>+EC65/EC61</f>
        <v>2.3492676528831278E-2</v>
      </c>
      <c r="ED67" s="542">
        <f>+ED65/ED61</f>
        <v>3.570630330878205E-2</v>
      </c>
      <c r="EE67" s="542">
        <f>+EE65/EE61</f>
        <v>4.9566139752513658E-2</v>
      </c>
      <c r="EF67" s="542">
        <f>+EF65/EF61</f>
        <v>2.3790671359993312E-2</v>
      </c>
      <c r="EG67" s="542">
        <f>+EG65/EG61</f>
        <v>0.13247928900555236</v>
      </c>
      <c r="EI67" s="706" t="s">
        <v>230</v>
      </c>
      <c r="EJ67" s="542">
        <f>+EJ65/EJ61</f>
        <v>7.0050112288062199E-3</v>
      </c>
      <c r="EK67" s="542">
        <f>+EK65/EK61</f>
        <v>2.9451426778279756E-2</v>
      </c>
      <c r="EL67" s="542">
        <f>+EL65/EL61</f>
        <v>-2.9782142311199664E-2</v>
      </c>
      <c r="EM67" s="542">
        <f>+EM65/EM61</f>
        <v>-7.3722313321937958E-3</v>
      </c>
      <c r="EN67" s="542">
        <f>+EN65/EN61</f>
        <v>-3.4438122476610541E-4</v>
      </c>
      <c r="EP67" s="706" t="s">
        <v>230</v>
      </c>
      <c r="EQ67" s="542">
        <f>+EQ65/EQ61</f>
        <v>7.5990430446483091E-3</v>
      </c>
      <c r="ER67" s="542">
        <f>+ER65/ER61</f>
        <v>1.4466839111388874E-2</v>
      </c>
      <c r="ES67" s="542">
        <f>+ES65/ES61</f>
        <v>0.11229241681682819</v>
      </c>
      <c r="ET67" s="542">
        <f>+ET65/ET61</f>
        <v>1.4229811454998223E-2</v>
      </c>
      <c r="EU67" s="542">
        <f>+EU65/EU61</f>
        <v>0.14853284383217366</v>
      </c>
      <c r="EW67" s="706" t="s">
        <v>230</v>
      </c>
      <c r="EX67" s="542">
        <f>+EX65/EX61</f>
        <v>4.719273986889855E-3</v>
      </c>
      <c r="EY67" s="542">
        <f>+EY65/EY61</f>
        <v>2.8240078319150538E-2</v>
      </c>
      <c r="EZ67" s="542">
        <f>+EZ65/EZ61</f>
        <v>2.5611393620463187E-2</v>
      </c>
      <c r="FA67" s="542">
        <f>+FA65/FA61</f>
        <v>1.7499951679237902E-2</v>
      </c>
      <c r="FB67" s="542">
        <f>+FB65/FB61</f>
        <v>7.6110756058357307E-2</v>
      </c>
      <c r="FD67" s="706" t="s">
        <v>230</v>
      </c>
      <c r="FE67" s="542">
        <f>+FE65/FE61</f>
        <v>6.5147937937468413E-3</v>
      </c>
      <c r="FF67" s="542">
        <f>+FF65/FF61</f>
        <v>3.5132563665889814E-2</v>
      </c>
      <c r="FG67" s="542">
        <f>+FG65/FG61</f>
        <v>3.3078534995373686E-2</v>
      </c>
      <c r="FH67" s="542">
        <f>+FH65/FH61</f>
        <v>3.5617535266559558E-2</v>
      </c>
      <c r="FI67" s="542">
        <f>+FI65/FI61</f>
        <v>0.11038603856170426</v>
      </c>
      <c r="FK67" s="706" t="s">
        <v>230</v>
      </c>
      <c r="FL67" s="542">
        <f>+FL65/FL61</f>
        <v>2.6978286629768672E-2</v>
      </c>
      <c r="FM67" s="542">
        <f>+FM65/FM61</f>
        <v>3.3805617698235146E-2</v>
      </c>
      <c r="FN67" s="542">
        <f>+FN65/FN61</f>
        <v>-2.4081844081844082E-2</v>
      </c>
      <c r="FO67" s="542">
        <f>+FO65/FO61</f>
        <v>3.0438010393466965E-2</v>
      </c>
      <c r="FP67" s="542">
        <f>+FP65/FP61</f>
        <v>6.8446342549077457E-2</v>
      </c>
      <c r="FR67" s="706" t="s">
        <v>230</v>
      </c>
      <c r="FS67" s="542">
        <f>+FS65/FS61</f>
        <v>7.411360132811573E-3</v>
      </c>
      <c r="FT67" s="542">
        <f>+FT65/FT61</f>
        <v>3.0386981920486899E-2</v>
      </c>
      <c r="FU67" s="542">
        <f>+FU65/FU61</f>
        <v>3.0560524746571262E-2</v>
      </c>
      <c r="FV67" s="542">
        <f>+FV65/FV61</f>
        <v>1.6392577835164127E-2</v>
      </c>
      <c r="FW67" s="542">
        <f>+FW65/FW61</f>
        <v>8.4687404572130795E-2</v>
      </c>
      <c r="FY67" s="706" t="s">
        <v>230</v>
      </c>
      <c r="FZ67" s="542">
        <f>+FZ65/FZ61</f>
        <v>0.14217562594108477</v>
      </c>
      <c r="GA67" s="542">
        <f>+GA65/GA61</f>
        <v>4.0301366289592425E-2</v>
      </c>
      <c r="GB67" s="542">
        <f>+GB65/GB61</f>
        <v>3.9887012740009158E-2</v>
      </c>
      <c r="GC67" s="542">
        <f>+GC65/GC61</f>
        <v>5.725347126346815E-2</v>
      </c>
      <c r="GD67" s="542">
        <f>+GD65/GD61</f>
        <v>0.27897570840338187</v>
      </c>
      <c r="GF67" s="706" t="s">
        <v>230</v>
      </c>
      <c r="GG67" s="542">
        <f>+GG65/GG61</f>
        <v>5.8622593961250705E-2</v>
      </c>
      <c r="GH67" s="542">
        <f>+GH65/GH61</f>
        <v>0.12193237290322399</v>
      </c>
      <c r="GI67" s="542">
        <f>+GI65/GI61</f>
        <v>8.1942001575367185E-2</v>
      </c>
      <c r="GJ67" s="542">
        <f>+GJ65/GJ61</f>
        <v>8.9171937878800941E-2</v>
      </c>
      <c r="GK67" s="542">
        <f>+GK65/GK61</f>
        <v>0.35207707349644685</v>
      </c>
      <c r="GM67" s="706" t="s">
        <v>230</v>
      </c>
      <c r="GN67" s="542">
        <f>+GN65/GN61</f>
        <v>6.167561934700129E-2</v>
      </c>
      <c r="GO67" s="542">
        <f>+GO65/GO61</f>
        <v>7.8444532089261165E-2</v>
      </c>
      <c r="GP67" s="542">
        <f>+GP65/GP61</f>
        <v>0.10149798051438279</v>
      </c>
      <c r="GQ67" s="542">
        <f>+GQ65/GQ61</f>
        <v>9.7407472693917238E-2</v>
      </c>
      <c r="GR67" s="542">
        <f>+GR65/GR61</f>
        <v>0.33732342007434946</v>
      </c>
      <c r="GT67" s="706" t="s">
        <v>230</v>
      </c>
      <c r="GU67" s="542">
        <f>+GU65/GU61</f>
        <v>9.3928281146028372E-2</v>
      </c>
      <c r="GV67" s="542">
        <f>+GV65/GV61</f>
        <v>0.10117740954482628</v>
      </c>
      <c r="GW67" s="542">
        <f>+GW65/GW61</f>
        <v>0.10445063937741171</v>
      </c>
      <c r="GX67" s="542">
        <f>+GX65/GX61</f>
        <v>4.7401366990556013E-2</v>
      </c>
      <c r="GY67" s="542">
        <f>+GY65/GY61</f>
        <v>0.34853305054789679</v>
      </c>
      <c r="HA67" s="706" t="s">
        <v>230</v>
      </c>
      <c r="HB67" s="542">
        <f>+HB65/HB61</f>
        <v>6.7100603393069502E-2</v>
      </c>
      <c r="HC67" s="542">
        <f>+HC65/HC61</f>
        <v>8.5152218012178524E-2</v>
      </c>
      <c r="HD67" s="542">
        <f>+HD65/HD61</f>
        <v>8.1020448750499435E-2</v>
      </c>
      <c r="HE67" s="542">
        <f>+HE65/HE61</f>
        <v>8.5375469998505468E-2</v>
      </c>
      <c r="HF67" s="542">
        <f>+HF65/HF61</f>
        <v>0.31873069362538614</v>
      </c>
      <c r="HH67" s="706" t="s">
        <v>230</v>
      </c>
      <c r="HI67" s="542">
        <f>+HI65/HI61</f>
        <v>8.5660088519923835E-2</v>
      </c>
      <c r="HJ67" s="542">
        <f>+HJ65/HJ61</f>
        <v>0.11906816220880069</v>
      </c>
      <c r="HK67" s="542">
        <f>+HK65/HK61</f>
        <v>0.1205240174672489</v>
      </c>
      <c r="HL67" s="542">
        <f>+HL65/HL61</f>
        <v>0.12706855791962174</v>
      </c>
      <c r="HM67" s="542">
        <f>+HM65/HM61</f>
        <v>0.45118428653957249</v>
      </c>
      <c r="HO67" s="706" t="s">
        <v>230</v>
      </c>
      <c r="HP67" s="542">
        <f>+HP65/HP61</f>
        <v>0.11808669656203288</v>
      </c>
      <c r="HQ67" s="542">
        <f>+HQ65/HQ61</f>
        <v>0.15208896904117825</v>
      </c>
      <c r="HR67" s="542">
        <f>+HR65/HR61</f>
        <v>0.14360878984834416</v>
      </c>
      <c r="HS67" s="542">
        <f>+HS65/HS61</f>
        <v>0.1442550505050505</v>
      </c>
      <c r="HT67" s="542">
        <f>+HT65/HT61</f>
        <v>0.55769819406183041</v>
      </c>
      <c r="HV67" s="706" t="s">
        <v>230</v>
      </c>
      <c r="HW67" s="542">
        <f>+HW65/HW61</f>
        <v>0.1426755640292342</v>
      </c>
      <c r="HX67" s="542">
        <f>+HX65/HX61</f>
        <v>0.16363055289229786</v>
      </c>
      <c r="HY67" s="542">
        <f>+HY65/HY61</f>
        <v>0.14583333333333334</v>
      </c>
      <c r="HZ67" s="542">
        <f>+HZ65/HZ61</f>
        <v>0.14364461738002593</v>
      </c>
      <c r="IA67" s="542">
        <f>+IA65/IA61</f>
        <v>0.59583333333333321</v>
      </c>
      <c r="IC67" s="706" t="s">
        <v>230</v>
      </c>
      <c r="ID67" s="542">
        <f>+ID65/ID61</f>
        <v>0.14956011730205279</v>
      </c>
      <c r="IE67" s="542">
        <f>+IE65/IE61</f>
        <v>0.17432388400130336</v>
      </c>
      <c r="IF67" s="542">
        <f>+IF65/IF61</f>
        <v>0.15160445317616242</v>
      </c>
      <c r="IG67" s="542">
        <f>+IG65/IG61</f>
        <v>0.140177690029615</v>
      </c>
      <c r="IH67" s="542">
        <f>+IH65/IH61</f>
        <v>0.61596336277396135</v>
      </c>
      <c r="IJ67" s="706" t="s">
        <v>230</v>
      </c>
      <c r="IK67" s="542">
        <f>+IK65/IK61</f>
        <v>0.13161375661375663</v>
      </c>
      <c r="IL67" s="542">
        <f>+IL65/IL61</f>
        <v>0.1758059155865736</v>
      </c>
      <c r="IM67" s="542">
        <f>+IM65/IM61</f>
        <v>0.16983650316983651</v>
      </c>
      <c r="IN67" s="542">
        <f>+IN65/IN61</f>
        <v>0.16448911222780568</v>
      </c>
      <c r="IO67" s="542">
        <f>+IO65/IO61</f>
        <v>0.64105123087159011</v>
      </c>
      <c r="IQ67" s="706" t="s">
        <v>230</v>
      </c>
      <c r="IR67" s="542">
        <f>+IR65/IR61</f>
        <v>0.14852150537634409</v>
      </c>
      <c r="IS67" s="542">
        <f>+IS65/IS61</f>
        <v>0.18638355240984159</v>
      </c>
      <c r="IT67" s="542">
        <f>+IT65/IT61</f>
        <v>0.17209775967413443</v>
      </c>
      <c r="IU67" s="542">
        <f>+IU65/IU61</f>
        <v>0.15964371360054813</v>
      </c>
      <c r="IV67" s="542">
        <f>+IV65/IV61</f>
        <v>0.66666666666666663</v>
      </c>
      <c r="IX67" s="706" t="s">
        <v>230</v>
      </c>
      <c r="IY67" s="542">
        <f>+IY65/IY61</f>
        <v>0.12322602976808585</v>
      </c>
      <c r="IZ67" s="542">
        <f>+IZ65/IZ61</f>
        <v>0.15581232492997199</v>
      </c>
      <c r="JA67" s="542">
        <f>+JA65/JA61</f>
        <v>0.16083421703782255</v>
      </c>
      <c r="JB67" s="542">
        <f>+JB65/JB61</f>
        <v>0.16327985739750445</v>
      </c>
      <c r="JC67" s="542">
        <f>+JC65/JC61</f>
        <v>0.60267229254571031</v>
      </c>
      <c r="JE67" s="706" t="s">
        <v>230</v>
      </c>
      <c r="JF67" s="542">
        <f>+JF65/JF61</f>
        <v>0.12988876928597057</v>
      </c>
      <c r="JG67" s="542">
        <f>+JG65/JG61</f>
        <v>0.18398268398268397</v>
      </c>
      <c r="JH67" s="542">
        <f>+JH65/JH61</f>
        <v>0.16887417218543047</v>
      </c>
      <c r="JI67" s="542">
        <f>+JI65/JI61</f>
        <v>1.5401785714285714</v>
      </c>
      <c r="JJ67" s="542">
        <f>+JJ65/JJ61</f>
        <v>1.9952589350838803</v>
      </c>
      <c r="JL67" s="706" t="s">
        <v>230</v>
      </c>
      <c r="JM67" s="542">
        <f>+JM65/JM61</f>
        <v>0.2608858858858859</v>
      </c>
      <c r="JN67" s="542">
        <f>+JN65/JN61</f>
        <v>0.33678955453149001</v>
      </c>
      <c r="JO67" s="542">
        <f>+JO65/JO61</f>
        <v>0.34894613583138173</v>
      </c>
      <c r="JP67" s="542">
        <f>+JP65/JP61</f>
        <v>0.33733493397358943</v>
      </c>
      <c r="JQ67" s="542">
        <f>+JQ65/JQ61</f>
        <v>1.2810685249709639</v>
      </c>
      <c r="JS67" s="706" t="s">
        <v>230</v>
      </c>
      <c r="JT67" s="542">
        <f>+JT65/JT61</f>
        <v>0.34026927784577721</v>
      </c>
      <c r="JU67" s="542">
        <f>+JU65/JU61</f>
        <v>0.3593556381660471</v>
      </c>
      <c r="JV67" s="542">
        <f>+JV65/JV61</f>
        <v>0.36026936026936029</v>
      </c>
      <c r="JW67" s="542">
        <f>+JW65/JW61</f>
        <v>0.33033419023136246</v>
      </c>
      <c r="JX67" s="542">
        <f>+JX65/JX61</f>
        <v>1.3913951545530492</v>
      </c>
      <c r="JZ67" s="706" t="s">
        <v>230</v>
      </c>
      <c r="KA67" s="542">
        <f>+KA65/KA61</f>
        <v>0.33203967227253128</v>
      </c>
      <c r="KB67" s="542">
        <f>+KB65/KB61</f>
        <v>0.21686223381138636</v>
      </c>
      <c r="KC67" s="542">
        <f>+KC65/KC61</f>
        <v>0.31986093003042154</v>
      </c>
      <c r="KD67" s="542">
        <f>+KD65/KD61</f>
        <v>0.3307223672758921</v>
      </c>
      <c r="KE67" s="542">
        <f>+KE65/KE61</f>
        <v>1.2000868055555556</v>
      </c>
      <c r="KG67" s="706" t="s">
        <v>230</v>
      </c>
      <c r="KH67" s="542">
        <f>+KH65/KH61</f>
        <v>0.30883639545056868</v>
      </c>
      <c r="KI67" s="542">
        <f>+KI65/KI61</f>
        <v>0.51560439560439564</v>
      </c>
      <c r="KJ67" s="542">
        <f>+KJ65/KJ61</f>
        <v>0.43175735950044603</v>
      </c>
      <c r="KK67" s="542">
        <f>+KK65/KK61</f>
        <v>0.42129003157419936</v>
      </c>
      <c r="KL67" s="542">
        <f>+KL65/KL61</f>
        <v>1.6767184035476719</v>
      </c>
      <c r="KN67" s="706" t="s">
        <v>230</v>
      </c>
      <c r="KO67" s="542">
        <f>+KO65/KO61</f>
        <v>0.39170086639306884</v>
      </c>
      <c r="KP67" s="542">
        <f>+KP65/KP61</f>
        <v>0.54460845934395541</v>
      </c>
      <c r="KQ67" s="542">
        <f>+KQ65/KQ61</f>
        <v>0.52257761053621821</v>
      </c>
      <c r="KR67" s="542">
        <f>+KR65/KR61</f>
        <v>0.48824940047961629</v>
      </c>
      <c r="KS67" s="542">
        <f>+KS65/KS61</f>
        <v>1.945814151126098</v>
      </c>
      <c r="KU67" s="706" t="s">
        <v>230</v>
      </c>
      <c r="KV67" s="542">
        <f>+KV65/KV61</f>
        <v>0.47327502429543244</v>
      </c>
      <c r="KW67" s="542">
        <f>+KW65/KW61</f>
        <v>0.48592592592592593</v>
      </c>
      <c r="KX67" s="542">
        <f>+KX65/KX61</f>
        <v>0.41420710355177587</v>
      </c>
      <c r="KY67" s="542">
        <f>+KY65/KY61</f>
        <v>0.44794311833417977</v>
      </c>
      <c r="KZ67" s="542">
        <f>+KZ65/KZ61</f>
        <v>1.8221559860904124</v>
      </c>
      <c r="LB67" s="706" t="s">
        <v>230</v>
      </c>
      <c r="LC67" s="542">
        <f>+LC65/LC61</f>
        <v>0.44852191641182465</v>
      </c>
      <c r="LD67" s="541">
        <f>+LD65/LD61</f>
        <v>0.49435318275154005</v>
      </c>
      <c r="LE67" s="541">
        <f>+LE65/LE61</f>
        <v>0.46082474226804121</v>
      </c>
      <c r="LF67" s="541">
        <f>+LF65/LF61</f>
        <v>0.38157209786569496</v>
      </c>
      <c r="LG67" s="541">
        <f>+LG65/LG61</f>
        <v>1.7861279114657058</v>
      </c>
      <c r="LH67" s="707"/>
      <c r="LI67" s="706" t="s">
        <v>230</v>
      </c>
      <c r="LJ67" s="541">
        <f>+LJ65/LJ61</f>
        <v>0.34143763213530653</v>
      </c>
      <c r="LK67" s="541">
        <f>+LK65/LK61</f>
        <v>0.44355270197966828</v>
      </c>
      <c r="LL67" s="541">
        <f>+LL65/LL61</f>
        <v>0.37171933583288697</v>
      </c>
      <c r="LM67" s="541">
        <f>+LM65/LM61</f>
        <v>0.38626609442060084</v>
      </c>
      <c r="LN67" s="541">
        <f>+LN65/LN61</f>
        <v>1.5424452749599573</v>
      </c>
      <c r="LO67" s="707"/>
      <c r="LP67" s="706" t="s">
        <v>230</v>
      </c>
      <c r="LQ67" s="541">
        <f>+LQ65/LQ61</f>
        <v>0.40272310200244277</v>
      </c>
      <c r="LR67" s="541">
        <f>+LR65/LR61</f>
        <v>0.4878449848567819</v>
      </c>
      <c r="LS67" s="541">
        <f>+LS65/LS61</f>
        <v>0.50931281463745726</v>
      </c>
      <c r="LT67" s="541">
        <f>+LT65/LT61</f>
        <v>0.49684327904744402</v>
      </c>
      <c r="LU67" s="541">
        <f>+LU65/LU61</f>
        <v>1.8953326748920007</v>
      </c>
      <c r="LV67" s="707"/>
      <c r="LW67" s="706" t="s">
        <v>230</v>
      </c>
      <c r="LX67" s="541">
        <f>+LX65/LX61</f>
        <v>0.47512354164248727</v>
      </c>
      <c r="LY67" s="541">
        <f>+LY65/LY61</f>
        <v>0.56740711598996718</v>
      </c>
      <c r="LZ67" s="541">
        <f>+LZ65/LZ61</f>
        <v>0.59371421619796194</v>
      </c>
      <c r="MA67" s="541">
        <f>+MA65/MA61</f>
        <v>0.5699423482446222</v>
      </c>
      <c r="MB67" s="541">
        <f>+MB65/MB61</f>
        <v>2.204688403515334</v>
      </c>
      <c r="MC67" s="707"/>
      <c r="MD67" s="706" t="s">
        <v>230</v>
      </c>
      <c r="ME67" s="541">
        <f>+ME65/ME61</f>
        <v>0.53775277040571945</v>
      </c>
      <c r="MF67" s="541">
        <f>+MF65/MF61</f>
        <v>0.63197804554418557</v>
      </c>
      <c r="MG67" s="541">
        <f>+MG65/MG61</f>
        <v>0.65647148351149132</v>
      </c>
      <c r="MH67" s="541">
        <f>+MH65/MH61</f>
        <v>0.63467794077945938</v>
      </c>
      <c r="MI67" s="541">
        <f>+MI65/MI61</f>
        <v>2.4592511900229108</v>
      </c>
      <c r="MJ67" s="707"/>
    </row>
    <row r="68" spans="1:348" outlineLevel="1" x14ac:dyDescent="0.4">
      <c r="A68" s="48"/>
      <c r="B68" s="708" t="s">
        <v>3</v>
      </c>
      <c r="C68" s="544" t="s">
        <v>80</v>
      </c>
      <c r="D68" s="544" t="s">
        <v>80</v>
      </c>
      <c r="E68" s="544" t="s">
        <v>80</v>
      </c>
      <c r="F68" s="544" t="s">
        <v>80</v>
      </c>
      <c r="G68" s="544" t="s">
        <v>80</v>
      </c>
      <c r="H68" s="544" t="s">
        <v>80</v>
      </c>
      <c r="I68" s="544" t="s">
        <v>80</v>
      </c>
      <c r="J68" s="544" t="s">
        <v>80</v>
      </c>
      <c r="K68" s="544" t="s">
        <v>80</v>
      </c>
      <c r="L68" s="544" t="s">
        <v>80</v>
      </c>
      <c r="M68" s="544" t="s">
        <v>80</v>
      </c>
      <c r="N68" s="544" t="str">
        <f>BV68</f>
        <v>-</v>
      </c>
      <c r="O68" s="544" t="str">
        <f>CC68</f>
        <v>-</v>
      </c>
      <c r="P68" s="544" t="str">
        <f>CJ68</f>
        <v>-</v>
      </c>
      <c r="Q68" s="544" t="str">
        <f>CQ68</f>
        <v>-</v>
      </c>
      <c r="R68" s="544" t="str">
        <f>CX68</f>
        <v>-</v>
      </c>
      <c r="S68" s="544" t="str">
        <f>DE68</f>
        <v>-</v>
      </c>
      <c r="T68" s="544" t="str">
        <f>DL68</f>
        <v>-</v>
      </c>
      <c r="U68" s="544" t="str">
        <f>DS68</f>
        <v>-</v>
      </c>
      <c r="V68" s="544" t="str">
        <f>DZ68</f>
        <v>-</v>
      </c>
      <c r="W68" s="544" t="str">
        <f>EG68</f>
        <v>-</v>
      </c>
      <c r="X68" s="544" t="str">
        <f>EN68</f>
        <v>-</v>
      </c>
      <c r="Y68" s="544" t="str">
        <f>EU68</f>
        <v>-</v>
      </c>
      <c r="Z68" s="544" t="str">
        <f>FB68</f>
        <v>-</v>
      </c>
      <c r="AA68" s="544" t="str">
        <f>FI68</f>
        <v>-</v>
      </c>
      <c r="AB68" s="544" t="str">
        <f>FP68</f>
        <v>-</v>
      </c>
      <c r="AC68" s="544" t="str">
        <f>FW68</f>
        <v>-</v>
      </c>
      <c r="AD68" s="544" t="str">
        <f>GD68</f>
        <v>-</v>
      </c>
      <c r="AE68" s="544">
        <f>GK68</f>
        <v>0.26203487576547291</v>
      </c>
      <c r="AF68" s="544">
        <f>GR68</f>
        <v>-4.1904612747374115E-2</v>
      </c>
      <c r="AG68" s="544">
        <f>GY68</f>
        <v>3.3231106429184809E-2</v>
      </c>
      <c r="AH68" s="544">
        <f>HF68</f>
        <v>-8.550797944602706E-2</v>
      </c>
      <c r="AI68" s="544">
        <f>HM68</f>
        <v>0.41556585406820923</v>
      </c>
      <c r="AJ68" s="544">
        <f>HT68</f>
        <v>0.23607627902820538</v>
      </c>
      <c r="AK68" s="544">
        <f>IA68</f>
        <v>6.837952799121827E-2</v>
      </c>
      <c r="AL68" s="544">
        <f>IH68</f>
        <v>3.3784664795459829E-2</v>
      </c>
      <c r="AM68" s="544">
        <f>IO68</f>
        <v>4.0729481027323988E-2</v>
      </c>
      <c r="AN68" s="544">
        <f>IV68</f>
        <v>3.9958484691229978E-2</v>
      </c>
      <c r="AO68" s="544">
        <f>JC68</f>
        <v>-9.5991561181434482E-2</v>
      </c>
      <c r="AP68" s="544">
        <f>JJ68</f>
        <v>2.3106863543632179</v>
      </c>
      <c r="AQ68" s="544">
        <f>JQ68</f>
        <v>-0.35794372226825388</v>
      </c>
      <c r="AR68" s="544">
        <f>JX68</f>
        <v>8.6120787008318711E-2</v>
      </c>
      <c r="AS68" s="544">
        <f>KE68</f>
        <v>-0.13749390198138689</v>
      </c>
      <c r="AT68" s="544">
        <f>KL68</f>
        <v>0.39716426827263507</v>
      </c>
      <c r="AU68" s="544">
        <f>KS68</f>
        <v>0.16048952943384043</v>
      </c>
      <c r="AV68" s="544">
        <f>KZ68</f>
        <v>-6.3550861198188535E-2</v>
      </c>
      <c r="AW68" s="544">
        <f>LG68</f>
        <v>-1.9772223069665862E-2</v>
      </c>
      <c r="AX68" s="544">
        <f>LN68</f>
        <v>-0.13643067494857142</v>
      </c>
      <c r="AY68" s="544">
        <f>LU68</f>
        <v>0.2287843890871295</v>
      </c>
      <c r="AZ68" s="544">
        <f>MB68</f>
        <v>0.16321975172034686</v>
      </c>
      <c r="BA68" s="544">
        <f>MI68</f>
        <v>0.11546429241505574</v>
      </c>
      <c r="BB68" s="544"/>
      <c r="BC68" s="544"/>
      <c r="BD68" s="544"/>
      <c r="BE68" s="544"/>
      <c r="BF68" s="544"/>
      <c r="BG68" s="544"/>
      <c r="BH68" s="544"/>
      <c r="BI68" s="544"/>
      <c r="BJ68" s="544"/>
      <c r="BK68" s="544"/>
      <c r="BL68" s="544"/>
      <c r="BM68" s="544"/>
      <c r="BN68" s="544"/>
      <c r="BO68" s="544"/>
      <c r="BQ68" s="708" t="s">
        <v>3</v>
      </c>
      <c r="BR68" s="544" t="s">
        <v>80</v>
      </c>
      <c r="BS68" s="544" t="s">
        <v>80</v>
      </c>
      <c r="BT68" s="544" t="s">
        <v>80</v>
      </c>
      <c r="BU68" s="544" t="s">
        <v>80</v>
      </c>
      <c r="BV68" s="544" t="s">
        <v>80</v>
      </c>
      <c r="BX68" s="708" t="s">
        <v>3</v>
      </c>
      <c r="BY68" s="544" t="s">
        <v>80</v>
      </c>
      <c r="BZ68" s="544" t="s">
        <v>80</v>
      </c>
      <c r="CA68" s="544" t="s">
        <v>80</v>
      </c>
      <c r="CB68" s="544" t="s">
        <v>80</v>
      </c>
      <c r="CC68" s="544" t="s">
        <v>80</v>
      </c>
      <c r="CE68" s="708" t="s">
        <v>3</v>
      </c>
      <c r="CF68" s="544" t="s">
        <v>80</v>
      </c>
      <c r="CG68" s="544" t="s">
        <v>80</v>
      </c>
      <c r="CH68" s="544" t="s">
        <v>80</v>
      </c>
      <c r="CI68" s="544" t="s">
        <v>80</v>
      </c>
      <c r="CJ68" s="544" t="s">
        <v>80</v>
      </c>
      <c r="CL68" s="708" t="s">
        <v>3</v>
      </c>
      <c r="CM68" s="544" t="s">
        <v>80</v>
      </c>
      <c r="CN68" s="544" t="s">
        <v>80</v>
      </c>
      <c r="CO68" s="544" t="s">
        <v>80</v>
      </c>
      <c r="CP68" s="544" t="s">
        <v>80</v>
      </c>
      <c r="CQ68" s="544" t="s">
        <v>80</v>
      </c>
      <c r="CS68" s="708" t="s">
        <v>3</v>
      </c>
      <c r="CT68" s="544" t="s">
        <v>80</v>
      </c>
      <c r="CU68" s="544" t="s">
        <v>80</v>
      </c>
      <c r="CV68" s="544" t="s">
        <v>80</v>
      </c>
      <c r="CW68" s="544" t="s">
        <v>80</v>
      </c>
      <c r="CX68" s="544" t="s">
        <v>80</v>
      </c>
      <c r="CZ68" s="708" t="s">
        <v>3</v>
      </c>
      <c r="DA68" s="544" t="s">
        <v>80</v>
      </c>
      <c r="DB68" s="544" t="s">
        <v>80</v>
      </c>
      <c r="DC68" s="544" t="s">
        <v>80</v>
      </c>
      <c r="DD68" s="544" t="s">
        <v>80</v>
      </c>
      <c r="DE68" s="544" t="s">
        <v>80</v>
      </c>
      <c r="DG68" s="708" t="s">
        <v>3</v>
      </c>
      <c r="DH68" s="544" t="s">
        <v>80</v>
      </c>
      <c r="DI68" s="544" t="s">
        <v>80</v>
      </c>
      <c r="DJ68" s="544" t="s">
        <v>80</v>
      </c>
      <c r="DK68" s="544" t="s">
        <v>80</v>
      </c>
      <c r="DL68" s="544" t="s">
        <v>80</v>
      </c>
      <c r="DN68" s="708" t="s">
        <v>3</v>
      </c>
      <c r="DO68" s="544" t="s">
        <v>80</v>
      </c>
      <c r="DP68" s="544" t="s">
        <v>80</v>
      </c>
      <c r="DQ68" s="544" t="s">
        <v>80</v>
      </c>
      <c r="DR68" s="544" t="s">
        <v>80</v>
      </c>
      <c r="DS68" s="544" t="s">
        <v>80</v>
      </c>
      <c r="DU68" s="708" t="s">
        <v>3</v>
      </c>
      <c r="DV68" s="544" t="s">
        <v>80</v>
      </c>
      <c r="DW68" s="544" t="s">
        <v>80</v>
      </c>
      <c r="DX68" s="544" t="s">
        <v>80</v>
      </c>
      <c r="DY68" s="544" t="s">
        <v>80</v>
      </c>
      <c r="DZ68" s="544" t="s">
        <v>80</v>
      </c>
      <c r="EB68" s="708" t="s">
        <v>3</v>
      </c>
      <c r="EC68" s="544" t="s">
        <v>80</v>
      </c>
      <c r="ED68" s="544" t="s">
        <v>80</v>
      </c>
      <c r="EE68" s="544" t="s">
        <v>80</v>
      </c>
      <c r="EF68" s="544" t="s">
        <v>80</v>
      </c>
      <c r="EG68" s="544" t="s">
        <v>80</v>
      </c>
      <c r="EI68" s="708" t="s">
        <v>3</v>
      </c>
      <c r="EJ68" s="544" t="s">
        <v>80</v>
      </c>
      <c r="EK68" s="544" t="s">
        <v>80</v>
      </c>
      <c r="EL68" s="544" t="s">
        <v>80</v>
      </c>
      <c r="EM68" s="544" t="s">
        <v>80</v>
      </c>
      <c r="EN68" s="544" t="s">
        <v>80</v>
      </c>
      <c r="EP68" s="708" t="s">
        <v>3</v>
      </c>
      <c r="EQ68" s="544" t="s">
        <v>80</v>
      </c>
      <c r="ER68" s="544" t="s">
        <v>80</v>
      </c>
      <c r="ES68" s="544" t="s">
        <v>80</v>
      </c>
      <c r="ET68" s="544" t="s">
        <v>80</v>
      </c>
      <c r="EU68" s="544" t="s">
        <v>80</v>
      </c>
      <c r="EW68" s="708" t="s">
        <v>3</v>
      </c>
      <c r="EX68" s="544" t="s">
        <v>80</v>
      </c>
      <c r="EY68" s="544" t="s">
        <v>80</v>
      </c>
      <c r="EZ68" s="544" t="s">
        <v>80</v>
      </c>
      <c r="FA68" s="544" t="s">
        <v>80</v>
      </c>
      <c r="FB68" s="544" t="s">
        <v>80</v>
      </c>
      <c r="FD68" s="708" t="s">
        <v>3</v>
      </c>
      <c r="FE68" s="544" t="s">
        <v>80</v>
      </c>
      <c r="FF68" s="544" t="s">
        <v>80</v>
      </c>
      <c r="FG68" s="544" t="s">
        <v>80</v>
      </c>
      <c r="FH68" s="544" t="s">
        <v>80</v>
      </c>
      <c r="FI68" s="544" t="s">
        <v>80</v>
      </c>
      <c r="FK68" s="708" t="s">
        <v>3</v>
      </c>
      <c r="FL68" s="544" t="s">
        <v>80</v>
      </c>
      <c r="FM68" s="544" t="s">
        <v>80</v>
      </c>
      <c r="FN68" s="544" t="s">
        <v>80</v>
      </c>
      <c r="FO68" s="544" t="s">
        <v>80</v>
      </c>
      <c r="FP68" s="544" t="s">
        <v>80</v>
      </c>
      <c r="FR68" s="708" t="s">
        <v>3</v>
      </c>
      <c r="FS68" s="544" t="s">
        <v>80</v>
      </c>
      <c r="FT68" s="544" t="s">
        <v>80</v>
      </c>
      <c r="FU68" s="544" t="s">
        <v>80</v>
      </c>
      <c r="FV68" s="544" t="s">
        <v>80</v>
      </c>
      <c r="FW68" s="544" t="s">
        <v>80</v>
      </c>
      <c r="FY68" s="708" t="s">
        <v>3</v>
      </c>
      <c r="FZ68" s="544" t="s">
        <v>80</v>
      </c>
      <c r="GA68" s="544" t="s">
        <v>80</v>
      </c>
      <c r="GB68" s="544" t="s">
        <v>80</v>
      </c>
      <c r="GC68" s="544" t="s">
        <v>80</v>
      </c>
      <c r="GD68" s="544" t="s">
        <v>80</v>
      </c>
      <c r="GF68" s="708" t="s">
        <v>3</v>
      </c>
      <c r="GG68" s="544">
        <f>+GG67/FZ67-1</f>
        <v>-0.58767479606143636</v>
      </c>
      <c r="GH68" s="544">
        <f>+GH67/GA67-1</f>
        <v>2.0255146197044009</v>
      </c>
      <c r="GI68" s="544">
        <f>+GI67/GB67-1</f>
        <v>1.0543529321054983</v>
      </c>
      <c r="GJ68" s="544">
        <f>+GJ67/GC67-1</f>
        <v>0.55749399837174729</v>
      </c>
      <c r="GK68" s="544">
        <f>+GK67/GD67-1</f>
        <v>0.26203487576547291</v>
      </c>
      <c r="GM68" s="708" t="s">
        <v>3</v>
      </c>
      <c r="GN68" s="544">
        <f>+GN67/GG67-1</f>
        <v>5.2079329477788372E-2</v>
      </c>
      <c r="GO68" s="544">
        <f>+GO67/GH67-1</f>
        <v>-0.35665541298436398</v>
      </c>
      <c r="GP68" s="544">
        <f>+GP67/GI67-1</f>
        <v>0.23865634916214185</v>
      </c>
      <c r="GQ68" s="544">
        <f>+GQ67/GJ67-1</f>
        <v>9.2355678378434725E-2</v>
      </c>
      <c r="GR68" s="544">
        <f>+GR67/GK67-1</f>
        <v>-4.1904612747374115E-2</v>
      </c>
      <c r="GT68" s="708" t="s">
        <v>3</v>
      </c>
      <c r="GU68" s="544">
        <f>+GU67/GN67-1</f>
        <v>0.52294021755284126</v>
      </c>
      <c r="GV68" s="544">
        <f>+GV67/GO67-1</f>
        <v>0.28979556445945298</v>
      </c>
      <c r="GW68" s="544">
        <f>+GW67/GP67-1</f>
        <v>2.9090813906494484E-2</v>
      </c>
      <c r="GX68" s="544">
        <f>+GX67/GQ67-1</f>
        <v>-0.51337032283441975</v>
      </c>
      <c r="GY68" s="544">
        <f>+GY67/GR67-1</f>
        <v>3.3231106429184809E-2</v>
      </c>
      <c r="HA68" s="708" t="s">
        <v>3</v>
      </c>
      <c r="HB68" s="544">
        <f>+HB67/GU67-1</f>
        <v>-0.28561874470214599</v>
      </c>
      <c r="HC68" s="544">
        <f>+HC67/GV67-1</f>
        <v>-0.15838705106941731</v>
      </c>
      <c r="HD68" s="544">
        <f>+HD67/GW67-1</f>
        <v>-0.22431830735139802</v>
      </c>
      <c r="HE68" s="544">
        <f>+HE67/GX67-1</f>
        <v>0.80111830984779853</v>
      </c>
      <c r="HF68" s="544">
        <f>+HF67/GY67-1</f>
        <v>-8.550797944602706E-2</v>
      </c>
      <c r="HH68" s="708" t="s">
        <v>3</v>
      </c>
      <c r="HI68" s="544">
        <f>+HI67/HB67-1</f>
        <v>0.27659192597918203</v>
      </c>
      <c r="HJ68" s="544">
        <f>+HJ67/HC67-1</f>
        <v>0.39829783637311111</v>
      </c>
      <c r="HK68" s="544">
        <f>+HK67/HD67-1</f>
        <v>0.48757528902857317</v>
      </c>
      <c r="HL68" s="544">
        <f>+HL67/HE67-1</f>
        <v>0.48834973232763601</v>
      </c>
      <c r="HM68" s="544">
        <f>+HM67/HF67-1</f>
        <v>0.41556585406820923</v>
      </c>
      <c r="HO68" s="708" t="s">
        <v>3</v>
      </c>
      <c r="HP68" s="544">
        <f>+HP67/HI67-1</f>
        <v>0.37854978441409015</v>
      </c>
      <c r="HQ68" s="544">
        <f>+HQ67/HJ67-1</f>
        <v>0.27732692115018542</v>
      </c>
      <c r="HR68" s="544">
        <f>+HR67/HK67-1</f>
        <v>0.19153669837937737</v>
      </c>
      <c r="HS68" s="544">
        <f>+HS67/HL67-1</f>
        <v>0.13525369978858359</v>
      </c>
      <c r="HT68" s="544">
        <f>+HT67/HM67-1</f>
        <v>0.23607627902820538</v>
      </c>
      <c r="HV68" s="708" t="s">
        <v>3</v>
      </c>
      <c r="HW68" s="544">
        <f>+HW67/HP67-1</f>
        <v>0.20822724475389465</v>
      </c>
      <c r="HX68" s="544">
        <f>+HX67/HQ67-1</f>
        <v>7.5887054293823919E-2</v>
      </c>
      <c r="HY68" s="544">
        <f>+HY67/HR67-1</f>
        <v>1.5490301724138122E-2</v>
      </c>
      <c r="HZ68" s="544">
        <f>+HZ67/HS67-1</f>
        <v>-4.2316239389011967E-3</v>
      </c>
      <c r="IA68" s="544">
        <f>+IA67/HT67-1</f>
        <v>6.837952799121827E-2</v>
      </c>
      <c r="IC68" s="708" t="s">
        <v>3</v>
      </c>
      <c r="ID68" s="544">
        <f>+ID67/HW67-1</f>
        <v>4.8253205232873242E-2</v>
      </c>
      <c r="IE68" s="544">
        <f>+IE67/HX67-1</f>
        <v>6.5350455156402809E-2</v>
      </c>
      <c r="IF68" s="544">
        <f>+IF67/HY67-1</f>
        <v>3.9573393207970708E-2</v>
      </c>
      <c r="IG68" s="544">
        <f>+IG67/HZ67-1</f>
        <v>-2.4135449094057182E-2</v>
      </c>
      <c r="IH68" s="544">
        <f>+IH67/IA67-1</f>
        <v>3.3784664795459829E-2</v>
      </c>
      <c r="IJ68" s="708" t="s">
        <v>3</v>
      </c>
      <c r="IK68" s="544">
        <f>+IK67/ID67-1</f>
        <v>-0.11999429401390183</v>
      </c>
      <c r="IL68" s="544">
        <f>+IL67/IE67-1</f>
        <v>8.501598009709177E-3</v>
      </c>
      <c r="IM68" s="544">
        <f>+IM67/IF67-1</f>
        <v>0.12026064941831671</v>
      </c>
      <c r="IN68" s="544">
        <f>+IN67/IG67-1</f>
        <v>0.17343289216033209</v>
      </c>
      <c r="IO68" s="544">
        <f>+IO67/IH67-1</f>
        <v>4.0729481027323988E-2</v>
      </c>
      <c r="IQ68" s="708" t="s">
        <v>3</v>
      </c>
      <c r="IR68" s="544">
        <f>+IR67/IK67-1</f>
        <v>0.12846490517101627</v>
      </c>
      <c r="IS68" s="544">
        <f>+IS67/IL67-1</f>
        <v>6.0166558036320206E-2</v>
      </c>
      <c r="IT68" s="544">
        <f>+IT67/IM67-1</f>
        <v>1.3314313837683445E-2</v>
      </c>
      <c r="IU68" s="544">
        <f>+IU67/IN67-1</f>
        <v>-2.9457260493612636E-2</v>
      </c>
      <c r="IV68" s="544">
        <f>+IV67/IO67-1</f>
        <v>3.9958484691229978E-2</v>
      </c>
      <c r="IX68" s="708" t="s">
        <v>3</v>
      </c>
      <c r="IY68" s="544">
        <f>+IY67/IR67-1</f>
        <v>-0.17031523848456231</v>
      </c>
      <c r="IZ68" s="544">
        <f>+IZ67/IS67-1</f>
        <v>-0.16402320421839622</v>
      </c>
      <c r="JA68" s="544">
        <f>+JA67/IT67-1</f>
        <v>-6.5448514016912762E-2</v>
      </c>
      <c r="JB68" s="544">
        <f>+JB67/IU67-1</f>
        <v>2.2776617474925986E-2</v>
      </c>
      <c r="JC68" s="544">
        <f>+JC67/IV67-1</f>
        <v>-9.5991561181434482E-2</v>
      </c>
      <c r="JE68" s="708" t="s">
        <v>3</v>
      </c>
      <c r="JF68" s="544">
        <f>+JF67/IY67-1</f>
        <v>5.4069254121261068E-2</v>
      </c>
      <c r="JG68" s="544">
        <f>+JG67/IZ67-1</f>
        <v>0.18079673135852903</v>
      </c>
      <c r="JH68" s="544">
        <f>+JH67/JA67-1</f>
        <v>4.9989083763918307E-2</v>
      </c>
      <c r="JI68" s="544">
        <f>+JI67/JB67-1</f>
        <v>8.432753041172802</v>
      </c>
      <c r="JJ68" s="544">
        <f>+JJ67/JC67-1</f>
        <v>2.3106863543632179</v>
      </c>
      <c r="JL68" s="708" t="s">
        <v>3</v>
      </c>
      <c r="JM68" s="544">
        <f>+JM67/JF67-1</f>
        <v>1.00853304962421</v>
      </c>
      <c r="JN68" s="544">
        <f>+JN67/JG67-1</f>
        <v>0.83055028462998104</v>
      </c>
      <c r="JO68" s="544">
        <f>+JO67/JH67-1</f>
        <v>1.0663084906093583</v>
      </c>
      <c r="JP68" s="544">
        <f>+JP67/JI67-1</f>
        <v>-0.78097673852149552</v>
      </c>
      <c r="JQ68" s="544">
        <f>+JQ67/JJ67-1</f>
        <v>-0.35794372226825388</v>
      </c>
      <c r="JS68" s="708" t="s">
        <v>3</v>
      </c>
      <c r="JT68" s="544">
        <f>+JT67/JM67-1</f>
        <v>0.30428396572827388</v>
      </c>
      <c r="JU68" s="544">
        <f>+JU67/JN67-1</f>
        <v>6.7003514007282439E-2</v>
      </c>
      <c r="JV68" s="544">
        <f>+JV67/JO67-1</f>
        <v>3.244977741622046E-2</v>
      </c>
      <c r="JW68" s="544">
        <f>+JW67/JP67-1</f>
        <v>-2.0753094438701325E-2</v>
      </c>
      <c r="JX68" s="544">
        <f>+JX67/JQ67-1</f>
        <v>8.6120787008318711E-2</v>
      </c>
      <c r="JZ68" s="708" t="s">
        <v>3</v>
      </c>
      <c r="KA68" s="544">
        <f>+KA67/JT67-1</f>
        <v>-2.4185567458064439E-2</v>
      </c>
      <c r="KB68" s="544">
        <f>+KB67/JU67-1</f>
        <v>-0.396524749359349</v>
      </c>
      <c r="KC68" s="544">
        <f>+KC67/JV67-1</f>
        <v>-0.11216171757911031</v>
      </c>
      <c r="KD68" s="544">
        <f>+KD67/JW67-1</f>
        <v>1.1751040491987386E-3</v>
      </c>
      <c r="KE68" s="544">
        <f>+KE67/JX67-1</f>
        <v>-0.13749390198138689</v>
      </c>
      <c r="KG68" s="708" t="s">
        <v>3</v>
      </c>
      <c r="KH68" s="544">
        <f>+KH67/KA67-1</f>
        <v>-6.9881037597573137E-2</v>
      </c>
      <c r="KI68" s="544">
        <f>+KI67/KB67-1</f>
        <v>1.3775665616948181</v>
      </c>
      <c r="KJ68" s="544">
        <f>+KJ67/KC67-1</f>
        <v>0.34982837528604116</v>
      </c>
      <c r="KK68" s="544">
        <f>+KK67/KD67-1</f>
        <v>0.27384801652303947</v>
      </c>
      <c r="KL68" s="544">
        <f>+KL67/KE67-1</f>
        <v>0.39716426827263507</v>
      </c>
      <c r="KN68" s="708" t="s">
        <v>3</v>
      </c>
      <c r="KO68" s="544">
        <f>+KO67/KH67-1</f>
        <v>0.26831187050220295</v>
      </c>
      <c r="KP68" s="544">
        <f>+KP67/KI67-1</f>
        <v>5.6252553288574925E-2</v>
      </c>
      <c r="KQ68" s="544">
        <f>+KQ67/KJ67-1</f>
        <v>0.21035020952706729</v>
      </c>
      <c r="KR68" s="544">
        <f>+KR67/KK67-1</f>
        <v>0.15893888743395013</v>
      </c>
      <c r="KS68" s="544">
        <f>+KS67/KL67-1</f>
        <v>0.16048952943384043</v>
      </c>
      <c r="KU68" s="708" t="s">
        <v>3</v>
      </c>
      <c r="KV68" s="544">
        <f>+KV67/KO67-1</f>
        <v>0.20825626109416007</v>
      </c>
      <c r="KW68" s="544">
        <f>+KW67/KP67-1</f>
        <v>-0.10775178462839052</v>
      </c>
      <c r="KX68" s="544">
        <f>+KX67/KQ67-1</f>
        <v>-0.2073768657506071</v>
      </c>
      <c r="KY68" s="544">
        <f>+KY67/KR67-1</f>
        <v>-8.255265056309935E-2</v>
      </c>
      <c r="KZ68" s="544">
        <f>+KZ67/KS67-1</f>
        <v>-6.3550861198188535E-2</v>
      </c>
      <c r="LB68" s="708" t="s">
        <v>3</v>
      </c>
      <c r="LC68" s="544">
        <f>+LC67/KV67-1</f>
        <v>-5.2301741298218518E-2</v>
      </c>
      <c r="LD68" s="543">
        <f>+LD67/KW67-1</f>
        <v>1.7342677918565697E-2</v>
      </c>
      <c r="LE68" s="543">
        <f>+LE67/KX67-1</f>
        <v>0.11254669057223965</v>
      </c>
      <c r="LF68" s="543">
        <f>+LF67/KY67-1</f>
        <v>-0.14816841190753582</v>
      </c>
      <c r="LG68" s="543">
        <f>+LG67/KZ67-1</f>
        <v>-1.9772223069665862E-2</v>
      </c>
      <c r="LH68" s="709"/>
      <c r="LI68" s="708" t="s">
        <v>3</v>
      </c>
      <c r="LJ68" s="543">
        <f>+LJ67/LC67-1</f>
        <v>-0.23874927926196421</v>
      </c>
      <c r="LK68" s="543">
        <f>+LK67/LD67-1</f>
        <v>-0.1027615125063408</v>
      </c>
      <c r="LL68" s="543">
        <f>+LL67/LE67-1</f>
        <v>-0.19336072537382465</v>
      </c>
      <c r="LM68" s="543">
        <f>+LM67/LF67-1</f>
        <v>1.2301729034071229E-2</v>
      </c>
      <c r="LN68" s="543">
        <f>+LN67/LG67-1</f>
        <v>-0.13643067494857142</v>
      </c>
      <c r="LO68" s="709"/>
      <c r="LP68" s="708" t="s">
        <v>3</v>
      </c>
      <c r="LQ68" s="543">
        <f>+LQ67/LJ67-1</f>
        <v>0.17949242877495619</v>
      </c>
      <c r="LR68" s="543">
        <f>+LR67/LK67-1</f>
        <v>9.9857993603528872E-2</v>
      </c>
      <c r="LS68" s="543">
        <f>+LS67/LL67-1</f>
        <v>0.37015421459385123</v>
      </c>
      <c r="LT68" s="543">
        <f>+LT67/LM67-1</f>
        <v>0.28627204464504952</v>
      </c>
      <c r="LU68" s="543">
        <f>+LU67/LN67-1</f>
        <v>0.2287843890871295</v>
      </c>
      <c r="LV68" s="709"/>
      <c r="LW68" s="708" t="s">
        <v>3</v>
      </c>
      <c r="LX68" s="543">
        <f>+LX67/LQ67-1</f>
        <v>0.17977721983181727</v>
      </c>
      <c r="LY68" s="543">
        <f>+LY67/LR67-1</f>
        <v>0.16308895981895266</v>
      </c>
      <c r="LZ68" s="543">
        <f>+LZ67/LS67-1</f>
        <v>0.16571623398202528</v>
      </c>
      <c r="MA68" s="543">
        <f>+MA67/LT67-1</f>
        <v>0.14712701626421287</v>
      </c>
      <c r="MB68" s="543">
        <f>+MB67/LU67-1</f>
        <v>0.16321975172034686</v>
      </c>
      <c r="MC68" s="709"/>
      <c r="MD68" s="708" t="s">
        <v>3</v>
      </c>
      <c r="ME68" s="543">
        <f>+ME67/LX67-1</f>
        <v>0.13181672401818889</v>
      </c>
      <c r="MF68" s="543">
        <f>+MF67/LY67-1</f>
        <v>0.11379999956743614</v>
      </c>
      <c r="MG68" s="543">
        <f>+MG67/LZ67-1</f>
        <v>0.10570282065235959</v>
      </c>
      <c r="MH68" s="543">
        <f>+MH67/MA67-1</f>
        <v>0.11358270311763596</v>
      </c>
      <c r="MI68" s="543">
        <f>+MI67/MB67-1</f>
        <v>0.11546429241505574</v>
      </c>
      <c r="MJ68" s="709"/>
    </row>
    <row r="69" spans="1:348" outlineLevel="1" x14ac:dyDescent="0.4">
      <c r="A69" s="48"/>
      <c r="B69" s="69"/>
      <c r="C69" s="53"/>
      <c r="D69" s="53"/>
      <c r="E69" s="53"/>
      <c r="F69" s="53"/>
      <c r="G69" s="53"/>
      <c r="H69" s="53"/>
      <c r="I69" s="53"/>
      <c r="J69" s="53"/>
      <c r="K69" s="53"/>
      <c r="L69" s="53"/>
      <c r="M69" s="53"/>
      <c r="N69" s="53">
        <f>BV69</f>
        <v>0</v>
      </c>
      <c r="O69" s="53">
        <f>CC69</f>
        <v>0</v>
      </c>
      <c r="P69" s="53">
        <f>CJ69</f>
        <v>0</v>
      </c>
      <c r="Q69" s="53">
        <f>CQ69</f>
        <v>0</v>
      </c>
      <c r="R69" s="53">
        <f>CX69</f>
        <v>0</v>
      </c>
      <c r="S69" s="53">
        <f>DE69</f>
        <v>0</v>
      </c>
      <c r="T69" s="53">
        <f>DL69</f>
        <v>0</v>
      </c>
      <c r="U69" s="53">
        <f>DS69</f>
        <v>0</v>
      </c>
      <c r="V69" s="53">
        <f>DZ69</f>
        <v>0</v>
      </c>
      <c r="W69" s="53">
        <f>EG69</f>
        <v>0</v>
      </c>
      <c r="X69" s="53">
        <f>EN69</f>
        <v>0</v>
      </c>
      <c r="Y69" s="53">
        <f>EU69</f>
        <v>0</v>
      </c>
      <c r="Z69" s="53">
        <f>FB69</f>
        <v>0</v>
      </c>
      <c r="AA69" s="53">
        <f>FI69</f>
        <v>0</v>
      </c>
      <c r="AB69" s="53">
        <f>FP69</f>
        <v>0</v>
      </c>
      <c r="AC69" s="53">
        <f>FW69</f>
        <v>0</v>
      </c>
      <c r="AD69" s="53">
        <f>GD69</f>
        <v>0</v>
      </c>
      <c r="AE69" s="53">
        <f>GK69</f>
        <v>0</v>
      </c>
      <c r="AF69" s="53">
        <f>GR69</f>
        <v>0</v>
      </c>
      <c r="AG69" s="53">
        <f>GY69</f>
        <v>0</v>
      </c>
      <c r="AH69" s="53">
        <f>HF69</f>
        <v>0</v>
      </c>
      <c r="AI69" s="53">
        <f>HM69</f>
        <v>0</v>
      </c>
      <c r="AJ69" s="53">
        <f>HT69</f>
        <v>0</v>
      </c>
      <c r="AK69" s="53">
        <f>IA69</f>
        <v>0</v>
      </c>
      <c r="AL69" s="53">
        <f>IH69</f>
        <v>0</v>
      </c>
      <c r="AM69" s="53">
        <f>IO69</f>
        <v>0</v>
      </c>
      <c r="AN69" s="53">
        <f>IV69</f>
        <v>0</v>
      </c>
      <c r="AO69" s="53">
        <f>JC69</f>
        <v>0</v>
      </c>
      <c r="AP69" s="53">
        <f>JJ69</f>
        <v>0</v>
      </c>
      <c r="AQ69" s="53">
        <f>JQ69</f>
        <v>0</v>
      </c>
      <c r="AR69" s="53">
        <f>JX69</f>
        <v>0</v>
      </c>
      <c r="AS69" s="53">
        <f>KE69</f>
        <v>0</v>
      </c>
      <c r="AT69" s="53">
        <f>KL69</f>
        <v>0</v>
      </c>
      <c r="AU69" s="53">
        <f>KS69</f>
        <v>0</v>
      </c>
      <c r="AV69" s="53">
        <f>KZ69</f>
        <v>0</v>
      </c>
      <c r="AW69" s="53">
        <f>LG69</f>
        <v>0</v>
      </c>
      <c r="AX69" s="53">
        <f>LN69</f>
        <v>0</v>
      </c>
      <c r="AY69" s="53">
        <f>LU69</f>
        <v>0</v>
      </c>
      <c r="AZ69" s="53">
        <f>MB69</f>
        <v>0</v>
      </c>
      <c r="BA69" s="53">
        <f>MI69</f>
        <v>0</v>
      </c>
      <c r="BB69" s="53"/>
      <c r="BC69" s="53"/>
      <c r="BD69" s="53"/>
      <c r="BE69" s="53"/>
      <c r="BF69" s="53"/>
      <c r="BG69" s="53"/>
      <c r="BH69" s="53"/>
      <c r="BI69" s="53"/>
      <c r="BJ69" s="53"/>
      <c r="BK69" s="53"/>
      <c r="BL69" s="53"/>
      <c r="BM69" s="53"/>
      <c r="BN69" s="53"/>
      <c r="BO69" s="53"/>
      <c r="BQ69" s="69"/>
      <c r="BR69" s="53"/>
      <c r="BS69" s="53"/>
      <c r="BT69" s="53"/>
      <c r="BU69" s="53"/>
      <c r="BV69" s="53"/>
      <c r="BX69" s="69"/>
      <c r="BY69" s="53"/>
      <c r="BZ69" s="53"/>
      <c r="CA69" s="53"/>
      <c r="CB69" s="53"/>
      <c r="CC69" s="53"/>
      <c r="CE69" s="69"/>
      <c r="CF69" s="53"/>
      <c r="CG69" s="53"/>
      <c r="CH69" s="53"/>
      <c r="CI69" s="53"/>
      <c r="CJ69" s="53"/>
      <c r="CL69" s="69"/>
      <c r="CM69" s="53"/>
      <c r="CN69" s="53"/>
      <c r="CO69" s="53"/>
      <c r="CP69" s="53"/>
      <c r="CQ69" s="53"/>
      <c r="CS69" s="69"/>
      <c r="CT69" s="53"/>
      <c r="CU69" s="53"/>
      <c r="CV69" s="53"/>
      <c r="CW69" s="53"/>
      <c r="CX69" s="53"/>
      <c r="CZ69" s="69"/>
      <c r="DA69" s="53"/>
      <c r="DB69" s="53"/>
      <c r="DC69" s="53"/>
      <c r="DD69" s="53"/>
      <c r="DE69" s="53"/>
      <c r="DG69" s="69"/>
      <c r="DH69" s="53"/>
      <c r="DI69" s="53"/>
      <c r="DJ69" s="53"/>
      <c r="DK69" s="53"/>
      <c r="DL69" s="53"/>
      <c r="DN69" s="69"/>
      <c r="DO69" s="53"/>
      <c r="DP69" s="53"/>
      <c r="DQ69" s="53"/>
      <c r="DR69" s="53"/>
      <c r="DS69" s="53"/>
      <c r="DU69" s="69"/>
      <c r="DV69" s="53"/>
      <c r="DW69" s="53"/>
      <c r="DX69" s="53"/>
      <c r="DY69" s="53"/>
      <c r="DZ69" s="53"/>
      <c r="EB69" s="69"/>
      <c r="EC69" s="53"/>
      <c r="ED69" s="53"/>
      <c r="EE69" s="53"/>
      <c r="EF69" s="53"/>
      <c r="EG69" s="53"/>
      <c r="EI69" s="69"/>
      <c r="EJ69" s="53"/>
      <c r="EK69" s="53"/>
      <c r="EL69" s="53"/>
      <c r="EM69" s="53"/>
      <c r="EN69" s="53"/>
      <c r="EP69" s="69"/>
      <c r="EQ69" s="53"/>
      <c r="ER69" s="53"/>
      <c r="ES69" s="53"/>
      <c r="ET69" s="53"/>
      <c r="EU69" s="53"/>
      <c r="EW69" s="69"/>
      <c r="EX69" s="53"/>
      <c r="EY69" s="53"/>
      <c r="EZ69" s="53"/>
      <c r="FA69" s="53"/>
      <c r="FB69" s="53"/>
      <c r="FD69" s="69"/>
      <c r="FE69" s="53"/>
      <c r="FF69" s="53"/>
      <c r="FG69" s="53"/>
      <c r="FH69" s="53"/>
      <c r="FI69" s="53"/>
      <c r="FK69" s="69"/>
      <c r="FL69" s="53"/>
      <c r="FM69" s="53"/>
      <c r="FN69" s="53"/>
      <c r="FO69" s="53"/>
      <c r="FP69" s="53"/>
      <c r="FR69" s="69"/>
      <c r="FS69" s="53"/>
      <c r="FT69" s="53"/>
      <c r="FU69" s="53"/>
      <c r="FV69" s="53"/>
      <c r="FW69" s="53"/>
      <c r="FY69" s="69"/>
      <c r="FZ69" s="53"/>
      <c r="GA69" s="53"/>
      <c r="GB69" s="53"/>
      <c r="GC69" s="53"/>
      <c r="GD69" s="53"/>
      <c r="GF69" s="69"/>
      <c r="GG69" s="53"/>
      <c r="GH69" s="53"/>
      <c r="GI69" s="53"/>
      <c r="GJ69" s="53"/>
      <c r="GK69" s="53"/>
      <c r="GM69" s="69"/>
      <c r="GN69" s="53"/>
      <c r="GO69" s="53"/>
      <c r="GP69" s="53"/>
      <c r="GQ69" s="53"/>
      <c r="GR69" s="53"/>
      <c r="GT69" s="69"/>
      <c r="GU69" s="53"/>
      <c r="GV69" s="53"/>
      <c r="GW69" s="53"/>
      <c r="GX69" s="53"/>
      <c r="GY69" s="53"/>
      <c r="HA69" s="69"/>
      <c r="HB69" s="53"/>
      <c r="HC69" s="53"/>
      <c r="HD69" s="53"/>
      <c r="HE69" s="53"/>
      <c r="HF69" s="53"/>
      <c r="HH69" s="69"/>
      <c r="HI69" s="53"/>
      <c r="HJ69" s="53"/>
      <c r="HK69" s="53"/>
      <c r="HL69" s="53"/>
      <c r="HM69" s="53"/>
      <c r="HO69" s="69"/>
      <c r="HP69" s="53"/>
      <c r="HQ69" s="53"/>
      <c r="HR69" s="53"/>
      <c r="HS69" s="53"/>
      <c r="HT69" s="53"/>
      <c r="HV69" s="69"/>
      <c r="HW69" s="53"/>
      <c r="HX69" s="53"/>
      <c r="HY69" s="53"/>
      <c r="HZ69" s="53"/>
      <c r="IA69" s="53"/>
      <c r="IC69" s="69"/>
      <c r="ID69" s="53"/>
      <c r="IE69" s="53"/>
      <c r="IF69" s="53"/>
      <c r="IG69" s="53"/>
      <c r="IH69" s="53"/>
      <c r="IJ69" s="69"/>
      <c r="IK69" s="53"/>
      <c r="IL69" s="53"/>
      <c r="IM69" s="53"/>
      <c r="IN69" s="53"/>
      <c r="IO69" s="53"/>
      <c r="IQ69" s="69"/>
      <c r="IR69" s="53"/>
      <c r="IS69" s="53"/>
      <c r="IT69" s="53"/>
      <c r="IU69" s="53"/>
      <c r="IV69" s="53"/>
      <c r="IX69" s="69"/>
      <c r="IY69" s="53"/>
      <c r="IZ69" s="53"/>
      <c r="JA69" s="53"/>
      <c r="JB69" s="53"/>
      <c r="JC69" s="53"/>
      <c r="JE69" s="69"/>
      <c r="JF69" s="53"/>
      <c r="JG69" s="53"/>
      <c r="JH69" s="53"/>
      <c r="JI69" s="53"/>
      <c r="JJ69" s="53"/>
      <c r="JL69" s="69"/>
      <c r="JM69" s="53"/>
      <c r="JN69" s="53"/>
      <c r="JO69" s="53"/>
      <c r="JP69" s="53"/>
      <c r="JQ69" s="53"/>
      <c r="JS69" s="69"/>
      <c r="JT69" s="53"/>
      <c r="JU69" s="53"/>
      <c r="JV69" s="53"/>
      <c r="JW69" s="53"/>
      <c r="JX69" s="53"/>
      <c r="JZ69" s="69"/>
      <c r="KA69" s="53"/>
      <c r="KB69" s="53"/>
      <c r="KC69" s="53"/>
      <c r="KD69" s="53"/>
      <c r="KE69" s="53"/>
      <c r="KG69" s="69"/>
      <c r="KH69" s="53"/>
      <c r="KI69" s="53"/>
      <c r="KJ69" s="53"/>
      <c r="KK69" s="53"/>
      <c r="KL69" s="53"/>
      <c r="KN69" s="69"/>
      <c r="KO69" s="53"/>
      <c r="KP69" s="53"/>
      <c r="KQ69" s="53"/>
      <c r="KR69" s="53"/>
      <c r="KS69" s="53"/>
      <c r="KU69" s="69"/>
      <c r="KV69" s="53"/>
      <c r="KW69" s="53"/>
      <c r="KX69" s="53"/>
      <c r="KZ69" s="53"/>
      <c r="LB69" s="69"/>
      <c r="LC69" s="53"/>
      <c r="LI69" s="69"/>
      <c r="LP69" s="69"/>
      <c r="LW69" s="69"/>
      <c r="MD69" s="69"/>
    </row>
    <row r="70" spans="1:348" outlineLevel="1" x14ac:dyDescent="0.4">
      <c r="A70" s="48"/>
      <c r="B70" s="706" t="s">
        <v>9</v>
      </c>
      <c r="C70" s="542"/>
      <c r="D70" s="542"/>
      <c r="E70" s="542">
        <v>2.3055555555555555E-2</v>
      </c>
      <c r="F70" s="542">
        <v>2.4999999999999998E-2</v>
      </c>
      <c r="G70" s="542">
        <v>2.6388888888888889E-2</v>
      </c>
      <c r="H70" s="542">
        <v>2.75E-2</v>
      </c>
      <c r="I70" s="542">
        <v>2.8888888888888891E-2</v>
      </c>
      <c r="J70" s="542">
        <v>3.138888888888889E-2</v>
      </c>
      <c r="K70" s="542">
        <v>3.2222222222222222E-2</v>
      </c>
      <c r="L70" s="542">
        <v>3.2777777777777774E-2</v>
      </c>
      <c r="M70" s="542">
        <v>3.4444444444444444E-2</v>
      </c>
      <c r="N70" s="542">
        <f>BV70</f>
        <v>3.5555555555555556E-2</v>
      </c>
      <c r="O70" s="542">
        <f>CC70</f>
        <v>3.8888888888888883E-2</v>
      </c>
      <c r="P70" s="542">
        <f>CJ70</f>
        <v>3.9722222222222221E-2</v>
      </c>
      <c r="Q70" s="542">
        <f>CQ70</f>
        <v>4.2222222222222223E-2</v>
      </c>
      <c r="R70" s="542">
        <f>CX70</f>
        <v>4.3888888888888887E-2</v>
      </c>
      <c r="S70" s="542">
        <f>DE70</f>
        <v>4.8888888888888891E-2</v>
      </c>
      <c r="T70" s="542">
        <f>DL70</f>
        <v>5.1111111111111107E-2</v>
      </c>
      <c r="U70" s="542">
        <f>DS70</f>
        <v>5.7777777777777782E-2</v>
      </c>
      <c r="V70" s="542">
        <f>DZ70</f>
        <v>0.06</v>
      </c>
      <c r="W70" s="542">
        <f>EG70</f>
        <v>6.6666666666666666E-2</v>
      </c>
      <c r="X70" s="542">
        <f>EN70</f>
        <v>6.6666666666666666E-2</v>
      </c>
      <c r="Y70" s="542">
        <f>EU70</f>
        <v>6.6666666666666666E-2</v>
      </c>
      <c r="Z70" s="542">
        <f>FB70</f>
        <v>4.4444444444444446E-2</v>
      </c>
      <c r="AA70" s="542">
        <f>FI70</f>
        <v>2.2222222222222223E-2</v>
      </c>
      <c r="AB70" s="542">
        <f>FP70</f>
        <v>2.2222222222222223E-2</v>
      </c>
      <c r="AC70" s="542">
        <f>FW70</f>
        <v>2.2222222222222223E-2</v>
      </c>
      <c r="AD70" s="542">
        <f>GD70</f>
        <v>2.6666666666666668E-2</v>
      </c>
      <c r="AE70" s="542">
        <f>GK70</f>
        <v>3.3333333333333333E-2</v>
      </c>
      <c r="AF70" s="542">
        <f>GR70</f>
        <v>0.06</v>
      </c>
      <c r="AG70" s="542">
        <f>GY70</f>
        <v>8.3333333333333329E-2</v>
      </c>
      <c r="AH70" s="542">
        <f>HF70</f>
        <v>9.3333333333333338E-2</v>
      </c>
      <c r="AI70" s="542">
        <f>HM70</f>
        <v>0.10999999999999999</v>
      </c>
      <c r="AJ70" s="542">
        <f>HT70</f>
        <v>0.15</v>
      </c>
      <c r="AK70" s="542">
        <f>IA70</f>
        <v>0.18000000000000002</v>
      </c>
      <c r="AL70" s="542">
        <f>IH70</f>
        <v>0.19666666666666668</v>
      </c>
      <c r="AM70" s="542">
        <f>IO70</f>
        <v>0.21</v>
      </c>
      <c r="AN70" s="542">
        <f>IV70</f>
        <v>0.23333333333333331</v>
      </c>
      <c r="AO70" s="542">
        <f>JC70</f>
        <v>0.24</v>
      </c>
      <c r="AP70" s="542">
        <f>JJ70</f>
        <v>0.26</v>
      </c>
      <c r="AQ70" s="542">
        <f>JQ70</f>
        <v>0.29333333333333333</v>
      </c>
      <c r="AR70" s="542">
        <f>JX70</f>
        <v>0.32</v>
      </c>
      <c r="AS70" s="542">
        <f>KE70</f>
        <v>0.34666666666666668</v>
      </c>
      <c r="AT70" s="542">
        <f>KL70</f>
        <v>0.37333333333333335</v>
      </c>
      <c r="AU70" s="542">
        <f>KS70</f>
        <v>0.4</v>
      </c>
      <c r="AV70" s="542">
        <f>KZ70</f>
        <v>0.44</v>
      </c>
      <c r="AW70" s="542">
        <f>LG70</f>
        <v>0.48</v>
      </c>
      <c r="AX70" s="542">
        <f>LN70</f>
        <v>0.52</v>
      </c>
      <c r="AY70" s="542">
        <f>LU70</f>
        <v>0.6</v>
      </c>
      <c r="AZ70" s="542">
        <f>MB70</f>
        <v>0.6</v>
      </c>
      <c r="BA70" s="542">
        <f>MI70</f>
        <v>0.6</v>
      </c>
      <c r="BB70" s="542"/>
      <c r="BC70" s="542"/>
      <c r="BD70" s="542"/>
      <c r="BE70" s="542"/>
      <c r="BF70" s="542"/>
      <c r="BG70" s="542"/>
      <c r="BH70" s="542"/>
      <c r="BI70" s="542"/>
      <c r="BJ70" s="542"/>
      <c r="BK70" s="542"/>
      <c r="BL70" s="542"/>
      <c r="BM70" s="542"/>
      <c r="BN70" s="542"/>
      <c r="BO70" s="542"/>
      <c r="BQ70" s="706" t="s">
        <v>9</v>
      </c>
      <c r="BR70" s="542">
        <v>8.611111111111111E-3</v>
      </c>
      <c r="BS70" s="542">
        <v>8.611111111111111E-3</v>
      </c>
      <c r="BT70" s="542">
        <v>8.611111111111111E-3</v>
      </c>
      <c r="BU70" s="542">
        <v>9.7222222222222206E-3</v>
      </c>
      <c r="BV70" s="542">
        <v>3.5555555555555556E-2</v>
      </c>
      <c r="BX70" s="706" t="s">
        <v>9</v>
      </c>
      <c r="BY70" s="542">
        <v>9.7222222222222206E-3</v>
      </c>
      <c r="BZ70" s="542">
        <v>9.7222222222222206E-3</v>
      </c>
      <c r="CA70" s="542">
        <v>9.7222222222222206E-3</v>
      </c>
      <c r="CB70" s="542">
        <v>9.7222222222222206E-3</v>
      </c>
      <c r="CC70" s="542">
        <v>3.8888888888888883E-2</v>
      </c>
      <c r="CE70" s="706" t="s">
        <v>9</v>
      </c>
      <c r="CF70" s="542">
        <v>9.7222222222222206E-3</v>
      </c>
      <c r="CG70" s="542">
        <v>9.7222222222222206E-3</v>
      </c>
      <c r="CH70" s="542">
        <v>9.7222222222222206E-3</v>
      </c>
      <c r="CI70" s="542">
        <v>1.0555555555555556E-2</v>
      </c>
      <c r="CJ70" s="542">
        <v>3.9722222222222221E-2</v>
      </c>
      <c r="CL70" s="706" t="s">
        <v>9</v>
      </c>
      <c r="CM70" s="542">
        <v>1.0555555555555556E-2</v>
      </c>
      <c r="CN70" s="542">
        <v>1.0555555555555556E-2</v>
      </c>
      <c r="CO70" s="542">
        <v>1.0555555555555556E-2</v>
      </c>
      <c r="CP70" s="542">
        <v>1.0555555555555556E-2</v>
      </c>
      <c r="CQ70" s="542">
        <v>4.2222222222222223E-2</v>
      </c>
      <c r="CS70" s="706" t="s">
        <v>9</v>
      </c>
      <c r="CT70" s="542">
        <v>1.0555555555555556E-2</v>
      </c>
      <c r="CU70" s="542">
        <v>1.0555555555555556E-2</v>
      </c>
      <c r="CV70" s="542">
        <v>1.0555555555555556E-2</v>
      </c>
      <c r="CW70" s="542">
        <v>1.2222222222222223E-2</v>
      </c>
      <c r="CX70" s="542">
        <v>4.3888888888888887E-2</v>
      </c>
      <c r="CZ70" s="706" t="s">
        <v>9</v>
      </c>
      <c r="DA70" s="542">
        <v>1.2222222222222223E-2</v>
      </c>
      <c r="DB70" s="542">
        <v>1.2222222222222223E-2</v>
      </c>
      <c r="DC70" s="542">
        <v>1.2222222222222223E-2</v>
      </c>
      <c r="DD70" s="542">
        <v>1.2222222222222223E-2</v>
      </c>
      <c r="DE70" s="542">
        <v>4.8888888888888891E-2</v>
      </c>
      <c r="DG70" s="706" t="s">
        <v>9</v>
      </c>
      <c r="DH70" s="542">
        <v>1.2222222222222223E-2</v>
      </c>
      <c r="DI70" s="542">
        <v>1.2222222222222223E-2</v>
      </c>
      <c r="DJ70" s="542">
        <v>1.2222222222222223E-2</v>
      </c>
      <c r="DK70" s="542">
        <v>1.4444444444444446E-2</v>
      </c>
      <c r="DL70" s="542">
        <v>5.1111111111111107E-2</v>
      </c>
      <c r="DN70" s="706" t="s">
        <v>9</v>
      </c>
      <c r="DO70" s="542">
        <v>1.4444444444444446E-2</v>
      </c>
      <c r="DP70" s="542">
        <v>1.4444444444444446E-2</v>
      </c>
      <c r="DQ70" s="542">
        <v>1.4444444444444446E-2</v>
      </c>
      <c r="DR70" s="542">
        <v>1.4444444444444446E-2</v>
      </c>
      <c r="DS70" s="542">
        <v>5.7777777777777782E-2</v>
      </c>
      <c r="DU70" s="706" t="s">
        <v>9</v>
      </c>
      <c r="DV70" s="542">
        <v>1.4444444444444446E-2</v>
      </c>
      <c r="DW70" s="542">
        <v>1.4444444444444446E-2</v>
      </c>
      <c r="DX70" s="542">
        <v>1.4444444444444446E-2</v>
      </c>
      <c r="DY70" s="542">
        <v>1.6666666666666666E-2</v>
      </c>
      <c r="DZ70" s="542">
        <v>0.06</v>
      </c>
      <c r="EB70" s="706" t="s">
        <v>9</v>
      </c>
      <c r="EC70" s="542">
        <v>1.6666666666666666E-2</v>
      </c>
      <c r="ED70" s="542">
        <v>1.6666666666666666E-2</v>
      </c>
      <c r="EE70" s="542">
        <v>1.6666666666666666E-2</v>
      </c>
      <c r="EF70" s="542">
        <v>1.6666666666666666E-2</v>
      </c>
      <c r="EG70" s="542">
        <v>6.6666666666666666E-2</v>
      </c>
      <c r="EI70" s="706" t="s">
        <v>9</v>
      </c>
      <c r="EJ70" s="542">
        <v>1.6666666666666666E-2</v>
      </c>
      <c r="EK70" s="542">
        <v>1.6666666666666666E-2</v>
      </c>
      <c r="EL70" s="542">
        <v>1.6666666666666666E-2</v>
      </c>
      <c r="EM70" s="542">
        <v>1.6666666666666666E-2</v>
      </c>
      <c r="EN70" s="542">
        <v>6.6666666666666666E-2</v>
      </c>
      <c r="EP70" s="706" t="s">
        <v>9</v>
      </c>
      <c r="EQ70" s="542">
        <v>1.6666666666666666E-2</v>
      </c>
      <c r="ER70" s="542">
        <v>1.6666666666666666E-2</v>
      </c>
      <c r="ES70" s="542">
        <v>1.6666666666666666E-2</v>
      </c>
      <c r="ET70" s="542">
        <v>1.6666666666666666E-2</v>
      </c>
      <c r="EU70" s="542">
        <v>6.6666666666666666E-2</v>
      </c>
      <c r="EW70" s="706" t="s">
        <v>9</v>
      </c>
      <c r="EX70" s="542">
        <v>1.6666666666666666E-2</v>
      </c>
      <c r="EY70" s="542">
        <v>1.6666666666666666E-2</v>
      </c>
      <c r="EZ70" s="542">
        <v>5.5555555555555558E-3</v>
      </c>
      <c r="FA70" s="542">
        <v>5.5555555555555558E-3</v>
      </c>
      <c r="FB70" s="542">
        <v>4.4444444444444446E-2</v>
      </c>
      <c r="FD70" s="706" t="s">
        <v>9</v>
      </c>
      <c r="FE70" s="542">
        <v>5.5555555555555558E-3</v>
      </c>
      <c r="FF70" s="542">
        <v>5.5555555555555558E-3</v>
      </c>
      <c r="FG70" s="542">
        <v>5.5555555555555558E-3</v>
      </c>
      <c r="FH70" s="542">
        <v>5.5555555555555558E-3</v>
      </c>
      <c r="FI70" s="542">
        <v>2.2222222222222223E-2</v>
      </c>
      <c r="FK70" s="706" t="s">
        <v>9</v>
      </c>
      <c r="FL70" s="542">
        <v>5.5555555555555558E-3</v>
      </c>
      <c r="FM70" s="542">
        <v>5.5555555555555558E-3</v>
      </c>
      <c r="FN70" s="542">
        <v>5.5555555555555558E-3</v>
      </c>
      <c r="FO70" s="542">
        <v>5.5555555555555558E-3</v>
      </c>
      <c r="FP70" s="542">
        <v>2.2222222222222223E-2</v>
      </c>
      <c r="FR70" s="706" t="s">
        <v>9</v>
      </c>
      <c r="FS70" s="542">
        <v>5.5555555555555558E-3</v>
      </c>
      <c r="FT70" s="542">
        <v>5.5555555555555558E-3</v>
      </c>
      <c r="FU70" s="542">
        <v>5.5555555555555558E-3</v>
      </c>
      <c r="FV70" s="542">
        <v>5.5555555555555558E-3</v>
      </c>
      <c r="FW70" s="542">
        <v>2.2222222222222223E-2</v>
      </c>
      <c r="FY70" s="706" t="s">
        <v>9</v>
      </c>
      <c r="FZ70" s="542">
        <v>6.6666666666666671E-3</v>
      </c>
      <c r="GA70" s="542">
        <v>6.6666666666666671E-3</v>
      </c>
      <c r="GB70" s="542">
        <v>6.6666666666666671E-3</v>
      </c>
      <c r="GC70" s="542">
        <v>6.6666666666666671E-3</v>
      </c>
      <c r="GD70" s="542">
        <v>2.6666666666666668E-2</v>
      </c>
      <c r="GF70" s="706" t="s">
        <v>9</v>
      </c>
      <c r="GG70" s="542">
        <v>6.6666666666666671E-3</v>
      </c>
      <c r="GH70" s="542">
        <v>6.6666666666666671E-3</v>
      </c>
      <c r="GI70" s="542">
        <v>0.01</v>
      </c>
      <c r="GJ70" s="542">
        <v>0.01</v>
      </c>
      <c r="GK70" s="542">
        <v>3.3333333333333333E-2</v>
      </c>
      <c r="GM70" s="706" t="s">
        <v>9</v>
      </c>
      <c r="GN70" s="542">
        <v>1.3333333333333334E-2</v>
      </c>
      <c r="GO70" s="542">
        <v>1.3333333333333334E-2</v>
      </c>
      <c r="GP70" s="542">
        <v>1.6666666666666666E-2</v>
      </c>
      <c r="GQ70" s="542">
        <v>1.6666666666666666E-2</v>
      </c>
      <c r="GR70" s="542">
        <v>0.06</v>
      </c>
      <c r="GT70" s="706" t="s">
        <v>9</v>
      </c>
      <c r="GU70" s="542">
        <v>1.6666666666666666E-2</v>
      </c>
      <c r="GV70" s="542">
        <v>0.02</v>
      </c>
      <c r="GW70" s="542">
        <v>2.3333333333333334E-2</v>
      </c>
      <c r="GX70" s="542">
        <v>2.3333333333333334E-2</v>
      </c>
      <c r="GY70" s="542">
        <v>8.3333333333333329E-2</v>
      </c>
      <c r="HA70" s="706" t="s">
        <v>9</v>
      </c>
      <c r="HB70" s="542">
        <v>2.3333333333333334E-2</v>
      </c>
      <c r="HC70" s="542">
        <v>2.3333333333333334E-2</v>
      </c>
      <c r="HD70" s="542">
        <v>2.3333333333333334E-2</v>
      </c>
      <c r="HE70" s="542">
        <v>2.3333333333333334E-2</v>
      </c>
      <c r="HF70" s="542">
        <v>9.3333333333333338E-2</v>
      </c>
      <c r="HH70" s="706" t="s">
        <v>9</v>
      </c>
      <c r="HI70" s="542">
        <v>2.6666666666666668E-2</v>
      </c>
      <c r="HJ70" s="542">
        <v>2.6666666666666668E-2</v>
      </c>
      <c r="HK70" s="542">
        <v>2.6666666666666668E-2</v>
      </c>
      <c r="HL70" s="542">
        <v>0.03</v>
      </c>
      <c r="HM70" s="542">
        <v>0.10999999999999999</v>
      </c>
      <c r="HO70" s="706" t="s">
        <v>9</v>
      </c>
      <c r="HP70" s="542">
        <v>0.03</v>
      </c>
      <c r="HQ70" s="542">
        <v>0.04</v>
      </c>
      <c r="HR70" s="542">
        <v>0.04</v>
      </c>
      <c r="HS70" s="542">
        <v>0.04</v>
      </c>
      <c r="HT70" s="542">
        <v>0.15</v>
      </c>
      <c r="HV70" s="706" t="s">
        <v>9</v>
      </c>
      <c r="HW70" s="542">
        <v>0.04</v>
      </c>
      <c r="HX70" s="542">
        <v>4.6666666666666669E-2</v>
      </c>
      <c r="HY70" s="542">
        <v>4.6666666666666669E-2</v>
      </c>
      <c r="HZ70" s="542">
        <v>4.6666666666666669E-2</v>
      </c>
      <c r="IA70" s="542">
        <v>0.18000000000000002</v>
      </c>
      <c r="IC70" s="706" t="s">
        <v>9</v>
      </c>
      <c r="ID70" s="542">
        <v>4.6666666666666669E-2</v>
      </c>
      <c r="IE70" s="542">
        <v>4.9999999999999996E-2</v>
      </c>
      <c r="IF70" s="542">
        <v>4.9999999999999996E-2</v>
      </c>
      <c r="IG70" s="542">
        <v>4.9999999999999996E-2</v>
      </c>
      <c r="IH70" s="542">
        <v>0.19666666666666668</v>
      </c>
      <c r="IJ70" s="706" t="s">
        <v>9</v>
      </c>
      <c r="IK70" s="542">
        <v>4.9999999999999996E-2</v>
      </c>
      <c r="IL70" s="542">
        <v>5.3333333333333337E-2</v>
      </c>
      <c r="IM70" s="542">
        <v>5.3333333333333337E-2</v>
      </c>
      <c r="IN70" s="542">
        <v>5.3333333333333337E-2</v>
      </c>
      <c r="IO70" s="542">
        <v>0.21</v>
      </c>
      <c r="IQ70" s="706" t="s">
        <v>9</v>
      </c>
      <c r="IR70" s="542">
        <v>5.3333333333333337E-2</v>
      </c>
      <c r="IS70" s="542">
        <v>0.06</v>
      </c>
      <c r="IT70" s="542">
        <v>0.06</v>
      </c>
      <c r="IU70" s="542">
        <v>0.06</v>
      </c>
      <c r="IV70" s="542">
        <v>0.23333333333333331</v>
      </c>
      <c r="IX70" s="706" t="s">
        <v>9</v>
      </c>
      <c r="IY70" s="542">
        <v>0.06</v>
      </c>
      <c r="IZ70" s="542">
        <v>0.06</v>
      </c>
      <c r="JA70" s="542">
        <v>0.06</v>
      </c>
      <c r="JB70" s="542">
        <v>0.06</v>
      </c>
      <c r="JC70" s="542">
        <v>0.24</v>
      </c>
      <c r="JE70" s="706" t="s">
        <v>9</v>
      </c>
      <c r="JF70" s="542">
        <v>0.06</v>
      </c>
      <c r="JG70" s="542">
        <v>6.6666666666666666E-2</v>
      </c>
      <c r="JH70" s="542">
        <v>6.6666666666666666E-2</v>
      </c>
      <c r="JI70" s="542">
        <v>6.6666666666666666E-2</v>
      </c>
      <c r="JJ70" s="542">
        <v>0.26</v>
      </c>
      <c r="JL70" s="706" t="s">
        <v>9</v>
      </c>
      <c r="JM70" s="542">
        <v>7.3333333333333334E-2</v>
      </c>
      <c r="JN70" s="542">
        <v>7.3333333333333334E-2</v>
      </c>
      <c r="JO70" s="542">
        <v>7.3333333333333334E-2</v>
      </c>
      <c r="JP70" s="542">
        <v>7.3333333333333334E-2</v>
      </c>
      <c r="JQ70" s="542">
        <v>0.29333333333333333</v>
      </c>
      <c r="JS70" s="706" t="s">
        <v>9</v>
      </c>
      <c r="JT70" s="542">
        <v>0.08</v>
      </c>
      <c r="JU70" s="542">
        <v>0.08</v>
      </c>
      <c r="JV70" s="542">
        <v>0.08</v>
      </c>
      <c r="JW70" s="542">
        <v>0.08</v>
      </c>
      <c r="JX70" s="542">
        <v>0.32</v>
      </c>
      <c r="JZ70" s="706" t="s">
        <v>9</v>
      </c>
      <c r="KA70" s="542">
        <v>8.666666666666667E-2</v>
      </c>
      <c r="KB70" s="542">
        <v>8.666666666666667E-2</v>
      </c>
      <c r="KC70" s="542">
        <v>8.666666666666667E-2</v>
      </c>
      <c r="KD70" s="542">
        <v>8.666666666666667E-2</v>
      </c>
      <c r="KE70" s="542">
        <v>0.34666666666666668</v>
      </c>
      <c r="KG70" s="706" t="s">
        <v>9</v>
      </c>
      <c r="KH70" s="542">
        <v>9.3333333333333338E-2</v>
      </c>
      <c r="KI70" s="542">
        <v>9.3333333333333338E-2</v>
      </c>
      <c r="KJ70" s="542">
        <v>9.3333333333333338E-2</v>
      </c>
      <c r="KK70" s="542">
        <v>9.3333333333333338E-2</v>
      </c>
      <c r="KL70" s="542">
        <v>0.37333333333333335</v>
      </c>
      <c r="KN70" s="706" t="s">
        <v>9</v>
      </c>
      <c r="KO70" s="542">
        <v>0.1</v>
      </c>
      <c r="KP70" s="542">
        <v>0.1</v>
      </c>
      <c r="KQ70" s="542">
        <v>0.1</v>
      </c>
      <c r="KR70" s="542">
        <v>0.1</v>
      </c>
      <c r="KS70" s="542">
        <f>+SUM(KO70:KR70)</f>
        <v>0.4</v>
      </c>
      <c r="KU70" s="706" t="s">
        <v>9</v>
      </c>
      <c r="KV70" s="542">
        <v>0.11</v>
      </c>
      <c r="KW70" s="542">
        <v>0.11</v>
      </c>
      <c r="KX70" s="542">
        <v>0.11</v>
      </c>
      <c r="KY70" s="542">
        <v>0.11</v>
      </c>
      <c r="KZ70" s="542">
        <f>+SUM(KV70:KY70)</f>
        <v>0.44</v>
      </c>
      <c r="LB70" s="706" t="s">
        <v>9</v>
      </c>
      <c r="LC70" s="542">
        <v>0.12</v>
      </c>
      <c r="LD70" s="542">
        <v>0.12</v>
      </c>
      <c r="LE70" s="542">
        <v>0.12</v>
      </c>
      <c r="LF70" s="542">
        <v>0.12</v>
      </c>
      <c r="LG70" s="541">
        <f>+SUM(LC70:LF70)</f>
        <v>0.48</v>
      </c>
      <c r="LH70" s="707"/>
      <c r="LI70" s="706" t="s">
        <v>9</v>
      </c>
      <c r="LJ70" s="542">
        <v>0.13</v>
      </c>
      <c r="LK70" s="542">
        <v>0.13</v>
      </c>
      <c r="LL70" s="542">
        <v>0.13</v>
      </c>
      <c r="LM70" s="541">
        <v>0.13</v>
      </c>
      <c r="LN70" s="541">
        <f>+SUM(LJ70:LM70)</f>
        <v>0.52</v>
      </c>
      <c r="LO70" s="707"/>
      <c r="LP70" s="706" t="s">
        <v>9</v>
      </c>
      <c r="LQ70" s="710">
        <v>0.15</v>
      </c>
      <c r="LR70" s="710">
        <v>0.15</v>
      </c>
      <c r="LS70" s="710">
        <v>0.15</v>
      </c>
      <c r="LT70" s="710">
        <v>0.15</v>
      </c>
      <c r="LU70" s="541">
        <f>+SUM(LQ70:LT70)</f>
        <v>0.6</v>
      </c>
      <c r="LV70" s="707"/>
      <c r="LW70" s="706" t="s">
        <v>9</v>
      </c>
      <c r="LX70" s="710">
        <v>0.15</v>
      </c>
      <c r="LY70" s="710">
        <v>0.15</v>
      </c>
      <c r="LZ70" s="710">
        <v>0.15</v>
      </c>
      <c r="MA70" s="710">
        <v>0.15</v>
      </c>
      <c r="MB70" s="541">
        <f>+SUM(LX70:MA70)</f>
        <v>0.6</v>
      </c>
      <c r="MC70" s="707"/>
      <c r="MD70" s="706" t="s">
        <v>9</v>
      </c>
      <c r="ME70" s="710">
        <v>0.15</v>
      </c>
      <c r="MF70" s="710">
        <v>0.15</v>
      </c>
      <c r="MG70" s="710">
        <v>0.15</v>
      </c>
      <c r="MH70" s="710">
        <v>0.15</v>
      </c>
      <c r="MI70" s="541">
        <f>+SUM(ME70:MH70)</f>
        <v>0.6</v>
      </c>
      <c r="MJ70" s="707"/>
    </row>
    <row r="71" spans="1:348" outlineLevel="1" x14ac:dyDescent="0.4">
      <c r="A71" s="48"/>
      <c r="B71" s="708" t="s">
        <v>10</v>
      </c>
      <c r="C71" s="544"/>
      <c r="D71" s="544"/>
      <c r="E71" s="544">
        <f t="shared" ref="E71:M71" si="150">+E70/E62</f>
        <v>0.29462185527563745</v>
      </c>
      <c r="F71" s="544">
        <f t="shared" si="150"/>
        <v>0.24718535627886518</v>
      </c>
      <c r="G71" s="544">
        <f t="shared" si="150"/>
        <v>0.43275233812949632</v>
      </c>
      <c r="H71" s="544">
        <f t="shared" si="150"/>
        <v>0.5849264732142857</v>
      </c>
      <c r="I71" s="544">
        <f t="shared" si="150"/>
        <v>0.43128713091922005</v>
      </c>
      <c r="J71" s="544">
        <f t="shared" si="150"/>
        <v>0.46517824324324319</v>
      </c>
      <c r="K71" s="544">
        <f t="shared" si="150"/>
        <v>0.57112636942675155</v>
      </c>
      <c r="L71" s="544">
        <f t="shared" si="150"/>
        <v>0.49261045576407492</v>
      </c>
      <c r="M71" s="544">
        <f t="shared" si="150"/>
        <v>0.40346525400881056</v>
      </c>
      <c r="N71" s="544">
        <f>BV71</f>
        <v>0.30590277594405518</v>
      </c>
      <c r="O71" s="544">
        <f>CC71</f>
        <v>0.34978969438914137</v>
      </c>
      <c r="P71" s="544">
        <f>CJ71</f>
        <v>0.35118699611996046</v>
      </c>
      <c r="Q71" s="544">
        <f>CQ71</f>
        <v>0.33683396345458377</v>
      </c>
      <c r="R71" s="544">
        <f>CX71</f>
        <v>0.35304508484711999</v>
      </c>
      <c r="S71" s="544">
        <f>DE71</f>
        <v>0.30312279674796738</v>
      </c>
      <c r="T71" s="544">
        <f>DL71</f>
        <v>0.2656092764394587</v>
      </c>
      <c r="U71" s="544">
        <f>DS71</f>
        <v>0.26694351942539996</v>
      </c>
      <c r="V71" s="544">
        <f>DZ71</f>
        <v>0.26717208430997313</v>
      </c>
      <c r="W71" s="544">
        <f>EG71</f>
        <v>0.4887128501444285</v>
      </c>
      <c r="X71" s="544">
        <f>EN71</f>
        <v>0.77792170003185424</v>
      </c>
      <c r="Y71" s="544">
        <f>EU71</f>
        <v>1.3302511667627495</v>
      </c>
      <c r="Z71" s="544">
        <f>FB71</f>
        <v>0.50469506436111145</v>
      </c>
      <c r="AA71" s="544">
        <f>FI71</f>
        <v>0.1856256701200929</v>
      </c>
      <c r="AB71" s="544">
        <f>FP71</f>
        <v>0.22710325889850269</v>
      </c>
      <c r="AC71" s="544">
        <f>FW71</f>
        <v>0.19940736697651765</v>
      </c>
      <c r="AD71" s="544">
        <f>GD71</f>
        <v>0.14372873818168033</v>
      </c>
      <c r="AE71" s="544">
        <f>GK71</f>
        <v>0.11705397144412341</v>
      </c>
      <c r="AF71" s="544">
        <f>GR71</f>
        <v>0.19557630788121624</v>
      </c>
      <c r="AG71" s="544">
        <f>GY71</f>
        <v>0.21360119877334816</v>
      </c>
      <c r="AH71" s="544">
        <f>HF71</f>
        <v>0.30077828054298644</v>
      </c>
      <c r="AI71" s="544">
        <f>HM71</f>
        <v>0.23981108312342567</v>
      </c>
      <c r="AJ71" s="544">
        <f>HT71</f>
        <v>0.2733128834355828</v>
      </c>
      <c r="AK71" s="544">
        <f>IA71</f>
        <v>0.30947946171734658</v>
      </c>
      <c r="AL71" s="544">
        <f>IH71</f>
        <v>0.32410242587601079</v>
      </c>
      <c r="AM71" s="544">
        <f>IO71</f>
        <v>0.32758692267773742</v>
      </c>
      <c r="AN71" s="544">
        <f>IV71</f>
        <v>0.35</v>
      </c>
      <c r="AO71" s="544">
        <f>JC71</f>
        <v>0.38256873020766191</v>
      </c>
      <c r="AP71" s="544">
        <f>JJ71</f>
        <v>0.33997138769670959</v>
      </c>
      <c r="AQ71" s="544">
        <f>JQ71</f>
        <v>0.22897552130553039</v>
      </c>
      <c r="AR71" s="544">
        <f>JX71</f>
        <v>0.22998498949264487</v>
      </c>
      <c r="AS71" s="544">
        <f>KE71</f>
        <v>0.28886799276672692</v>
      </c>
      <c r="AT71" s="544">
        <f>KL71</f>
        <v>0.23961375257364559</v>
      </c>
      <c r="AU71" s="544">
        <f>KS71</f>
        <v>0.2102236804291599</v>
      </c>
      <c r="AV71" s="544">
        <f>KZ71</f>
        <v>0.24147219193020719</v>
      </c>
      <c r="AW71" s="544">
        <f>LG71</f>
        <v>0.26253378378378378</v>
      </c>
      <c r="AX71" s="544">
        <f>LN71</f>
        <v>0.31615450459636851</v>
      </c>
      <c r="AY71" s="544">
        <f>LU71</f>
        <v>0.31656711665892057</v>
      </c>
      <c r="AZ71" s="544">
        <f>MB71</f>
        <v>0.27214730165193018</v>
      </c>
      <c r="BA71" s="544">
        <f>MI71</f>
        <v>0.24397670414237363</v>
      </c>
      <c r="BB71" s="544"/>
      <c r="BC71" s="544"/>
      <c r="BD71" s="544"/>
      <c r="BE71" s="544"/>
      <c r="BF71" s="544"/>
      <c r="BG71" s="544"/>
      <c r="BH71" s="544"/>
      <c r="BI71" s="544"/>
      <c r="BJ71" s="544"/>
      <c r="BK71" s="544"/>
      <c r="BL71" s="544"/>
      <c r="BM71" s="544"/>
      <c r="BN71" s="544"/>
      <c r="BO71" s="544"/>
      <c r="BQ71" s="708" t="s">
        <v>10</v>
      </c>
      <c r="BR71" s="544">
        <f>+BR70/BR62</f>
        <v>0.43106232617187518</v>
      </c>
      <c r="BS71" s="544">
        <f>+BS70/BS62</f>
        <v>0.24213119742424238</v>
      </c>
      <c r="BT71" s="544">
        <f>+BT70/BT62</f>
        <v>0.33326941544195915</v>
      </c>
      <c r="BU71" s="544">
        <f>+BU70/BU62</f>
        <v>0.27506532422802854</v>
      </c>
      <c r="BV71" s="544">
        <f>+BV70/BV62</f>
        <v>0.30590277594405518</v>
      </c>
      <c r="BX71" s="708" t="s">
        <v>10</v>
      </c>
      <c r="BY71" s="544">
        <f>+BY70/BY62</f>
        <v>0.59131709369676255</v>
      </c>
      <c r="BZ71" s="544">
        <f>+BZ70/BZ62</f>
        <v>0.31978148530762129</v>
      </c>
      <c r="CA71" s="544">
        <f>+CA70/CA62</f>
        <v>0.34532371237623749</v>
      </c>
      <c r="CB71" s="544">
        <f>+CB70/CB62</f>
        <v>0.26916263558361631</v>
      </c>
      <c r="CC71" s="544">
        <f>+CC70/CC62</f>
        <v>0.34978969438914137</v>
      </c>
      <c r="CE71" s="708" t="s">
        <v>10</v>
      </c>
      <c r="CF71" s="544">
        <f>+CF70/CF62</f>
        <v>0.6112323708551487</v>
      </c>
      <c r="CG71" s="544">
        <f>+CG70/CG62</f>
        <v>0.30692513478260858</v>
      </c>
      <c r="CH71" s="544">
        <f>+CH70/CH62</f>
        <v>0.33252951807228875</v>
      </c>
      <c r="CI71" s="544">
        <f>+CI70/CI62</f>
        <v>0.29344608232662212</v>
      </c>
      <c r="CJ71" s="544">
        <f>+CJ70/CJ62</f>
        <v>0.35118699611996046</v>
      </c>
      <c r="CL71" s="708" t="s">
        <v>10</v>
      </c>
      <c r="CM71" s="544">
        <f>+CM70/CM62</f>
        <v>0.63255288397435794</v>
      </c>
      <c r="CN71" s="544">
        <f>+CN70/CN62</f>
        <v>0.31114561022012616</v>
      </c>
      <c r="CO71" s="544">
        <f>+CO70/CO62</f>
        <v>0.30879910085736501</v>
      </c>
      <c r="CP71" s="544">
        <f>+CP70/CP62</f>
        <v>0.2606944809461238</v>
      </c>
      <c r="CQ71" s="544">
        <f>+CQ70/CQ62</f>
        <v>0.33683396345458377</v>
      </c>
      <c r="CS71" s="708" t="s">
        <v>10</v>
      </c>
      <c r="CT71" s="544">
        <f>+CT70/CT62</f>
        <v>0.76241950286806615</v>
      </c>
      <c r="CU71" s="544">
        <f>+CU70/CU62</f>
        <v>0.25997775305895438</v>
      </c>
      <c r="CV71" s="544">
        <f>+CV70/CV62</f>
        <v>0.35180757941952556</v>
      </c>
      <c r="CW71" s="544">
        <f>+CW70/CW62</f>
        <v>0.30700635761589401</v>
      </c>
      <c r="CX71" s="544">
        <f>+CX70/CX62</f>
        <v>0.35304508484711999</v>
      </c>
      <c r="CZ71" s="708" t="s">
        <v>10</v>
      </c>
      <c r="DA71" s="544">
        <f>+DA70/DA62</f>
        <v>0.62861135135135127</v>
      </c>
      <c r="DB71" s="544">
        <f>+DB70/DB62</f>
        <v>0.28782790123456781</v>
      </c>
      <c r="DC71" s="544">
        <f>+DC70/DC62</f>
        <v>0.26350282485875703</v>
      </c>
      <c r="DD71" s="544">
        <f>+DD70/DD62</f>
        <v>0.23086712871287124</v>
      </c>
      <c r="DE71" s="544">
        <f>+DE70/DE62</f>
        <v>0.30312279674796738</v>
      </c>
      <c r="DG71" s="708" t="s">
        <v>10</v>
      </c>
      <c r="DH71" s="544">
        <f>+DH70/DH62</f>
        <v>0.38622545454545454</v>
      </c>
      <c r="DI71" s="544">
        <f>+DI70/DI62</f>
        <v>0.25451369565217391</v>
      </c>
      <c r="DJ71" s="544">
        <f>+DJ70/DJ62</f>
        <v>0.2270468929860123</v>
      </c>
      <c r="DK71" s="544">
        <f>+DK70/DK62</f>
        <v>0.24541373504652189</v>
      </c>
      <c r="DL71" s="544">
        <f>+DL70/DL62</f>
        <v>0.2656092764394587</v>
      </c>
      <c r="DN71" s="708" t="s">
        <v>10</v>
      </c>
      <c r="DO71" s="544">
        <f>+DO70/DO62</f>
        <v>0.38020904109589038</v>
      </c>
      <c r="DP71" s="544">
        <f>+DP70/DP62</f>
        <v>0.25164875183553598</v>
      </c>
      <c r="DQ71" s="544">
        <f>+DQ70/DQ62</f>
        <v>0.25460909909909907</v>
      </c>
      <c r="DR71" s="544">
        <f>+DR70/DR62</f>
        <v>0.22543644268774704</v>
      </c>
      <c r="DS71" s="544">
        <f>+DS70/DS62</f>
        <v>0.26694351942539996</v>
      </c>
      <c r="DU71" s="708" t="s">
        <v>10</v>
      </c>
      <c r="DV71" s="544">
        <f>+DV70/DV62</f>
        <v>0.36601973509933783</v>
      </c>
      <c r="DW71" s="544">
        <f>+DW70/DW62</f>
        <v>0.24437209711470798</v>
      </c>
      <c r="DX71" s="544">
        <f>+DX70/DX62</f>
        <v>0.2383235180990641</v>
      </c>
      <c r="DY71" s="544">
        <f>+DY70/DY62</f>
        <v>0.23092844956204533</v>
      </c>
      <c r="DZ71" s="544">
        <f>+DZ70/DZ62</f>
        <v>0.26717208430997313</v>
      </c>
      <c r="EB71" s="708" t="s">
        <v>10</v>
      </c>
      <c r="EC71" s="544">
        <f>+EC70/EC62</f>
        <v>0.63016361511492003</v>
      </c>
      <c r="ED71" s="544">
        <f>+ED70/ED62</f>
        <v>0.37649200966999347</v>
      </c>
      <c r="EE71" s="544">
        <f>+EE70/EE62</f>
        <v>0.50906533864541825</v>
      </c>
      <c r="EF71" s="544">
        <f>+EF70/EF62</f>
        <v>0.50609823837486112</v>
      </c>
      <c r="EG71" s="544">
        <f>+EG70/EG62</f>
        <v>0.4887128501444285</v>
      </c>
      <c r="EI71" s="708" t="s">
        <v>10</v>
      </c>
      <c r="EJ71" s="544">
        <f>+EJ70/EJ62</f>
        <v>0.95502045481891451</v>
      </c>
      <c r="EK71" s="544">
        <f>+EK70/EK62</f>
        <v>0.66611562499999999</v>
      </c>
      <c r="EL71" s="544">
        <f>+EL70/EL62</f>
        <v>0.51412195121951232</v>
      </c>
      <c r="EM71" s="544">
        <f>+EM70/EM62</f>
        <v>1.5439170731707321</v>
      </c>
      <c r="EN71" s="544">
        <f>+EN70/EN62</f>
        <v>0.77792170003185424</v>
      </c>
      <c r="EP71" s="708" t="s">
        <v>10</v>
      </c>
      <c r="EQ71" s="544">
        <f>+EQ70/EQ62</f>
        <v>2.8100935306150396</v>
      </c>
      <c r="ER71" s="544">
        <f>+ER70/ER62</f>
        <v>1.1520600000000001</v>
      </c>
      <c r="ES71" s="544">
        <f>+ES70/ES62</f>
        <v>1.0741728813559321</v>
      </c>
      <c r="ET71" s="544">
        <f>+ET70/ET62</f>
        <v>1.1712499999999999</v>
      </c>
      <c r="EU71" s="544">
        <f>+EU70/EU62</f>
        <v>1.3302511667627495</v>
      </c>
      <c r="EW71" s="708" t="s">
        <v>10</v>
      </c>
      <c r="EX71" s="544">
        <f>+EX70/EX62</f>
        <v>2.3814003146774563</v>
      </c>
      <c r="EY71" s="544">
        <f>+EY70/EY62</f>
        <v>0.5901777777777778</v>
      </c>
      <c r="EZ71" s="544">
        <f>+EZ70/EZ62</f>
        <v>0.21691734693877554</v>
      </c>
      <c r="FA71" s="544">
        <f>+FA70/FA62</f>
        <v>0.20451826923076924</v>
      </c>
      <c r="FB71" s="544">
        <f>+FB70/FB62</f>
        <v>0.50469506436111145</v>
      </c>
      <c r="FD71" s="708" t="s">
        <v>10</v>
      </c>
      <c r="FE71" s="544">
        <f>+FE70/FE62</f>
        <v>0.31351470588235297</v>
      </c>
      <c r="FF71" s="544">
        <f>+FF70/FF62</f>
        <v>0.16696617070424385</v>
      </c>
      <c r="FG71" s="544">
        <f>+FG70/FG62</f>
        <v>0.16795047169811322</v>
      </c>
      <c r="FH71" s="544">
        <f>+FH70/FH62</f>
        <v>0.155978102189781</v>
      </c>
      <c r="FI71" s="544">
        <f>+FI70/FI62</f>
        <v>0.1856256701200929</v>
      </c>
      <c r="FK71" s="708" t="s">
        <v>10</v>
      </c>
      <c r="FL71" s="544">
        <f>+FL70/FL62</f>
        <v>0.57882162162162165</v>
      </c>
      <c r="FM71" s="544">
        <f>+FM70/FM62</f>
        <v>0.18170731707317075</v>
      </c>
      <c r="FN71" s="544">
        <f>+FN70/FN62</f>
        <v>0.20042982620071018</v>
      </c>
      <c r="FO71" s="544">
        <f>+FO70/FO62</f>
        <v>0.18865546218487395</v>
      </c>
      <c r="FP71" s="544">
        <f>+FP70/FP62</f>
        <v>0.22710325889850269</v>
      </c>
      <c r="FR71" s="708" t="s">
        <v>10</v>
      </c>
      <c r="FS71" s="544">
        <f>+FS70/FS62</f>
        <v>0.37480000000000002</v>
      </c>
      <c r="FT71" s="544">
        <f>+FT70/FT62</f>
        <v>0.17074878227493445</v>
      </c>
      <c r="FU71" s="544">
        <f>+FU70/FU62</f>
        <v>0.22359999999999999</v>
      </c>
      <c r="FV71" s="544">
        <f>+FV70/FV62</f>
        <v>0.14174402515723269</v>
      </c>
      <c r="FW71" s="544">
        <f>+FW70/FW62</f>
        <v>0.19940736697651765</v>
      </c>
      <c r="FY71" s="708" t="s">
        <v>10</v>
      </c>
      <c r="FZ71" s="544">
        <f>+FZ70/FZ62</f>
        <v>0.17629558441558443</v>
      </c>
      <c r="GA71" s="544">
        <f>+GA70/GA62</f>
        <v>0.13218246448731552</v>
      </c>
      <c r="GB71" s="544">
        <f>+GB70/GB62</f>
        <v>0.16713878048780487</v>
      </c>
      <c r="GC71" s="544">
        <f>+GC70/GC62</f>
        <v>0.11644126582278483</v>
      </c>
      <c r="GD71" s="544">
        <f>+GD70/GD62</f>
        <v>0.14372873818168033</v>
      </c>
      <c r="GF71" s="708" t="s">
        <v>10</v>
      </c>
      <c r="GG71" s="544">
        <f>+GG70/GG62</f>
        <v>0.11372179591836735</v>
      </c>
      <c r="GH71" s="544">
        <f>+GH70/GH62</f>
        <v>7.1063879093198987E-2</v>
      </c>
      <c r="GI71" s="544">
        <f>+GI70/GI62</f>
        <v>0.13668179685904164</v>
      </c>
      <c r="GJ71" s="544">
        <f>+GJ70/GJ62</f>
        <v>0.1451284049399896</v>
      </c>
      <c r="GK71" s="544">
        <f>+GK70/GK62</f>
        <v>0.11705397144412341</v>
      </c>
      <c r="GM71" s="708" t="s">
        <v>10</v>
      </c>
      <c r="GN71" s="544">
        <f>+GN70/GN62</f>
        <v>0.22321734939759039</v>
      </c>
      <c r="GO71" s="544">
        <f>+GO70/GO62</f>
        <v>0.16997148148148147</v>
      </c>
      <c r="GP71" s="544">
        <f>+GP70/GP62</f>
        <v>0.2250242424242424</v>
      </c>
      <c r="GQ71" s="544">
        <f>+GQ70/GQ62</f>
        <v>0.17348388061324346</v>
      </c>
      <c r="GR71" s="544">
        <f>+GR70/GR62</f>
        <v>0.19557630788121624</v>
      </c>
      <c r="GT71" s="708" t="s">
        <v>10</v>
      </c>
      <c r="GU71" s="544">
        <f>+GU70/GU62</f>
        <v>0.1881618166163142</v>
      </c>
      <c r="GV71" s="544">
        <f>+GV70/GV62</f>
        <v>0.20337571257485032</v>
      </c>
      <c r="GW71" s="544">
        <f>+GW70/GW62</f>
        <v>0.22456059170157069</v>
      </c>
      <c r="GX71" s="544">
        <f>+GX70/GX62</f>
        <v>0.23445777976862306</v>
      </c>
      <c r="GY71" s="544">
        <f>+GY70/GY62</f>
        <v>0.21360119877334816</v>
      </c>
      <c r="HA71" s="708" t="s">
        <v>10</v>
      </c>
      <c r="HB71" s="544">
        <f>+HB70/HB62</f>
        <v>0.33642805882113824</v>
      </c>
      <c r="HC71" s="544">
        <f>+HC70/HC62</f>
        <v>0.29652780150000002</v>
      </c>
      <c r="HD71" s="544">
        <f>+HD70/HD62</f>
        <v>0.28799313868512116</v>
      </c>
      <c r="HE71" s="544">
        <f>+HE70/HE62</f>
        <v>0.28743888479310348</v>
      </c>
      <c r="HF71" s="544">
        <f>+HF70/HF62</f>
        <v>0.30077828054298644</v>
      </c>
      <c r="HH71" s="708" t="s">
        <v>10</v>
      </c>
      <c r="HI71" s="544">
        <f>+HI70/HI62</f>
        <v>0.31130795131578948</v>
      </c>
      <c r="HJ71" s="544">
        <f>+HJ70/HJ62</f>
        <v>0.22181818181818183</v>
      </c>
      <c r="HK71" s="544">
        <f>+HK70/HK62</f>
        <v>0.21009174311926607</v>
      </c>
      <c r="HL71" s="544">
        <f>+HL70/HL62</f>
        <v>0.23609302325581397</v>
      </c>
      <c r="HM71" s="544">
        <f>+HM70/HM62</f>
        <v>0.23981108312342567</v>
      </c>
      <c r="HO71" s="708" t="s">
        <v>10</v>
      </c>
      <c r="HP71" s="544">
        <f>+HP70/HP62</f>
        <v>0.2540506329113924</v>
      </c>
      <c r="HQ71" s="544">
        <f>+HQ70/HQ62</f>
        <v>0.2704878048780488</v>
      </c>
      <c r="HR71" s="544">
        <f>+HR70/HR62</f>
        <v>0.27853448275862069</v>
      </c>
      <c r="HS71" s="544">
        <f>+HS70/HS62</f>
        <v>0.28669683257918555</v>
      </c>
      <c r="HT71" s="544">
        <f>+HT70/HT62</f>
        <v>0.2733128834355828</v>
      </c>
      <c r="HV71" s="708" t="s">
        <v>10</v>
      </c>
      <c r="HW71" s="544">
        <f>+HW70/HW62</f>
        <v>0.28035634743875276</v>
      </c>
      <c r="HX71" s="544">
        <f>+HX70/HX62</f>
        <v>0.29029821073558648</v>
      </c>
      <c r="HY71" s="544">
        <f>+HY70/HY62</f>
        <v>0.32</v>
      </c>
      <c r="HZ71" s="544">
        <f>+HZ70/HZ62</f>
        <v>0.35303929745376056</v>
      </c>
      <c r="IA71" s="544">
        <f>+IA70/IA62</f>
        <v>0.30947946171734658</v>
      </c>
      <c r="IC71" s="708" t="s">
        <v>10</v>
      </c>
      <c r="ID71" s="544">
        <f>+ID70/ID62</f>
        <v>0.3120261437908497</v>
      </c>
      <c r="IE71" s="544">
        <f>+IE70/IE62</f>
        <v>0.29623552123552122</v>
      </c>
      <c r="IF71" s="544">
        <f>+IF70/IF62</f>
        <v>0.33783185840707963</v>
      </c>
      <c r="IG71" s="544">
        <f>+IG70/IG62</f>
        <v>0.35669014084507039</v>
      </c>
      <c r="IH71" s="544">
        <f>+IH70/IH62</f>
        <v>0.32410242587601079</v>
      </c>
      <c r="IJ71" s="708" t="s">
        <v>10</v>
      </c>
      <c r="IK71" s="544">
        <f>+IK70/IK62</f>
        <v>0.37989949748743712</v>
      </c>
      <c r="IL71" s="544">
        <f>+IL70/IL62</f>
        <v>0.30336483931947072</v>
      </c>
      <c r="IM71" s="544">
        <f>+IM70/IM62</f>
        <v>0.31402750491159137</v>
      </c>
      <c r="IN71" s="544">
        <f>+IN70/IN62</f>
        <v>0.32423625254582489</v>
      </c>
      <c r="IO71" s="544">
        <f>+IO70/IO62</f>
        <v>0.32758692267773742</v>
      </c>
      <c r="IQ71" s="708" t="s">
        <v>10</v>
      </c>
      <c r="IR71" s="544">
        <f>+IR70/IR62</f>
        <v>0.35909502262443438</v>
      </c>
      <c r="IS71" s="544">
        <f>+IS70/IS62</f>
        <v>0.32191681735985533</v>
      </c>
      <c r="IT71" s="544">
        <f>+IT70/IT62</f>
        <v>0.34863905325443784</v>
      </c>
      <c r="IU71" s="544">
        <f>+IU70/IU62</f>
        <v>0.37583690987124463</v>
      </c>
      <c r="IV71" s="544">
        <f>+IV70/IV62</f>
        <v>0.35</v>
      </c>
      <c r="IX71" s="708" t="s">
        <v>10</v>
      </c>
      <c r="IY71" s="544">
        <f>+IY70/IY62</f>
        <v>0.48691011235955051</v>
      </c>
      <c r="IZ71" s="544">
        <f>+IZ70/IZ62</f>
        <v>0.38507865168539324</v>
      </c>
      <c r="JA71" s="544">
        <f>+JA70/JA62</f>
        <v>0.37305494505494502</v>
      </c>
      <c r="JB71" s="544">
        <f>+JB70/JB62</f>
        <v>0.31865947174098264</v>
      </c>
      <c r="JC71" s="544">
        <f>+JC70/JC62</f>
        <v>0.38256873020766191</v>
      </c>
      <c r="JE71" s="708" t="s">
        <v>10</v>
      </c>
      <c r="JF71" s="544">
        <f>+JF70/JF62</f>
        <v>0.35578723404255314</v>
      </c>
      <c r="JG71" s="544">
        <f>+JG70/JG62</f>
        <v>0.31269035532994927</v>
      </c>
      <c r="JH71" s="544">
        <f>+JH70/JH62</f>
        <v>0.39136069114470839</v>
      </c>
      <c r="JI71" s="544">
        <f>+JI70/JI62</f>
        <v>0.31273996509598606</v>
      </c>
      <c r="JJ71" s="544">
        <f>+JJ70/JJ62</f>
        <v>0.33997138769670959</v>
      </c>
      <c r="JL71" s="708" t="s">
        <v>10</v>
      </c>
      <c r="JM71" s="544">
        <f>+JM70/JM62</f>
        <v>0.28109352517985609</v>
      </c>
      <c r="JN71" s="544">
        <f>+JN70/JN62</f>
        <v>0.21774230330672747</v>
      </c>
      <c r="JO71" s="544">
        <f>+JO70/JO62</f>
        <v>0.21015659955257271</v>
      </c>
      <c r="JP71" s="544">
        <f>+JP70/JP62</f>
        <v>0.2173902728351127</v>
      </c>
      <c r="JQ71" s="544">
        <f>+JQ70/JQ62</f>
        <v>0.22897552130553039</v>
      </c>
      <c r="JS71" s="708" t="s">
        <v>10</v>
      </c>
      <c r="JT71" s="544">
        <f>+JT70/JT62</f>
        <v>0.23510791366906478</v>
      </c>
      <c r="JU71" s="544">
        <f>+JU70/JU62</f>
        <v>0.2226206896551724</v>
      </c>
      <c r="JV71" s="544">
        <f>+JV70/JV62</f>
        <v>0.22205607476635514</v>
      </c>
      <c r="JW71" s="544">
        <f>+JW70/JW62</f>
        <v>0.24217898832684825</v>
      </c>
      <c r="JX71" s="544">
        <f>+JX70/JX62</f>
        <v>0.22998498949264487</v>
      </c>
      <c r="JZ71" s="708" t="s">
        <v>10</v>
      </c>
      <c r="KA71" s="544">
        <f>+KA70/KA62</f>
        <v>0.26101298701298703</v>
      </c>
      <c r="KB71" s="544">
        <f>+KB70/KB62</f>
        <v>0.39963927855711423</v>
      </c>
      <c r="KC71" s="544">
        <f>+KC70/KC62</f>
        <v>0.27095108695652176</v>
      </c>
      <c r="KD71" s="544">
        <f>+KD70/KD62</f>
        <v>0.26205263157894737</v>
      </c>
      <c r="KE71" s="544">
        <f>+KE70/KE62</f>
        <v>0.28886799276672692</v>
      </c>
      <c r="KG71" s="708" t="s">
        <v>10</v>
      </c>
      <c r="KH71" s="544">
        <f>+KH70/KH62</f>
        <v>0.30220963172804532</v>
      </c>
      <c r="KI71" s="544">
        <f>+KI70/KI62</f>
        <v>0.23451048059550761</v>
      </c>
      <c r="KJ71" s="544">
        <f>+KJ70/KJ62</f>
        <v>0.21617079889807164</v>
      </c>
      <c r="KK71" s="544">
        <f>+KK70/KK62</f>
        <v>0.22154175588865097</v>
      </c>
      <c r="KL71" s="544">
        <f>+KL70/KL62</f>
        <v>0.23961375257364559</v>
      </c>
      <c r="KN71" s="708" t="s">
        <v>10</v>
      </c>
      <c r="KO71" s="544">
        <f>+KO70/KO62</f>
        <v>0.2552968568102445</v>
      </c>
      <c r="KP71" s="544">
        <f>+KP70/KP62</f>
        <v>0.19921601222032528</v>
      </c>
      <c r="KQ71" s="544">
        <f>+KQ70/KQ62</f>
        <v>0.19135913591359138</v>
      </c>
      <c r="KR71" s="544">
        <f>+KR70/KR62</f>
        <v>0.20481335952848725</v>
      </c>
      <c r="KS71" s="544">
        <f>+KS70/KS62</f>
        <v>0.2102236804291599</v>
      </c>
      <c r="KU71" s="708" t="s">
        <v>10</v>
      </c>
      <c r="KV71" s="544">
        <f>+KV70/KV62</f>
        <v>0.23242299794661192</v>
      </c>
      <c r="KW71" s="544">
        <f>+KW70/KW62</f>
        <v>0.2263719512195122</v>
      </c>
      <c r="KX71" s="544">
        <f>+KX70/KX62</f>
        <v>0.26556763285024154</v>
      </c>
      <c r="KY71" s="544">
        <f>+KY70/KY62</f>
        <v>0.24556689342403629</v>
      </c>
      <c r="KZ71" s="544">
        <f>+KZ70/KZ62</f>
        <v>0.24147219193020719</v>
      </c>
      <c r="LB71" s="708" t="s">
        <v>10</v>
      </c>
      <c r="LC71" s="544">
        <f>+LC70/LC62</f>
        <v>0.26754545454545453</v>
      </c>
      <c r="LD71" s="543">
        <f>+LD70/LD62</f>
        <v>0.24274143302180684</v>
      </c>
      <c r="LE71" s="544">
        <f>+LE70/LE62</f>
        <v>0.26040268456375837</v>
      </c>
      <c r="LF71" s="543">
        <f>+LF70/LF62</f>
        <v>0.2828466257668712</v>
      </c>
      <c r="LG71" s="543">
        <f>+LG70/LG62</f>
        <v>0.26253378378378378</v>
      </c>
      <c r="LH71" s="709"/>
      <c r="LI71" s="708" t="s">
        <v>10</v>
      </c>
      <c r="LJ71" s="543">
        <f>+LJ70/LJ62</f>
        <v>0.38074303405572757</v>
      </c>
      <c r="LK71" s="543">
        <f>+LK70/LK62</f>
        <v>0.29308805790108566</v>
      </c>
      <c r="LL71" s="543">
        <f>+LL70/LL62</f>
        <v>0.2872477661400083</v>
      </c>
      <c r="LM71" s="543">
        <f>+LM70/LM62</f>
        <v>0.31855052583447646</v>
      </c>
      <c r="LN71" s="543">
        <f>+LN70/LN62</f>
        <v>0.31615450459636851</v>
      </c>
      <c r="LO71" s="709"/>
      <c r="LP71" s="708" t="s">
        <v>10</v>
      </c>
      <c r="LQ71" s="543">
        <f>+LQ70/LQ62</f>
        <v>0.3724643539299371</v>
      </c>
      <c r="LR71" s="543">
        <f>+LR70/LR62</f>
        <v>0.30747471974942192</v>
      </c>
      <c r="LS71" s="543">
        <f>+LS70/LS62</f>
        <v>0.29451448243408934</v>
      </c>
      <c r="LT71" s="543">
        <f>+LT70/LT62</f>
        <v>0.30190606641108725</v>
      </c>
      <c r="LU71" s="543">
        <f>+LU70/LU62</f>
        <v>0.31656711665892057</v>
      </c>
      <c r="LV71" s="709"/>
      <c r="LW71" s="708" t="s">
        <v>10</v>
      </c>
      <c r="LX71" s="543">
        <f>+LX70/LX62</f>
        <v>0.31570736209250899</v>
      </c>
      <c r="LY71" s="543">
        <f>+LY70/LY62</f>
        <v>0.26436044909005385</v>
      </c>
      <c r="LZ71" s="543">
        <f>+LZ70/LZ62</f>
        <v>0.25264680532760825</v>
      </c>
      <c r="MA71" s="543">
        <f>+MA70/MA62</f>
        <v>0.2631845141214515</v>
      </c>
      <c r="MB71" s="543">
        <f>+MB70/MB62</f>
        <v>0.27214730165193018</v>
      </c>
      <c r="MC71" s="709"/>
      <c r="MD71" s="708" t="s">
        <v>10</v>
      </c>
      <c r="ME71" s="543">
        <f>+ME70/ME62</f>
        <v>0.27893859084506284</v>
      </c>
      <c r="MF71" s="543">
        <f>+MF70/MF62</f>
        <v>0.23735001723174978</v>
      </c>
      <c r="MG71" s="543">
        <f>+MG70/MG62</f>
        <v>0.22849431204177248</v>
      </c>
      <c r="MH71" s="543">
        <f>+MH70/MH62</f>
        <v>0.23634033950476094</v>
      </c>
      <c r="MI71" s="543">
        <f>+MI70/MI62</f>
        <v>0.24397670414237363</v>
      </c>
      <c r="MJ71" s="709"/>
    </row>
    <row r="72" spans="1:348" x14ac:dyDescent="0.4">
      <c r="A72" s="48"/>
      <c r="B72" s="72"/>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Q72" s="72"/>
      <c r="BR72" s="74"/>
      <c r="BS72" s="74"/>
      <c r="BT72" s="74"/>
      <c r="BU72" s="74"/>
      <c r="BV72" s="74"/>
      <c r="BX72" s="72"/>
      <c r="BY72" s="74"/>
      <c r="BZ72" s="74"/>
      <c r="CA72" s="74"/>
      <c r="CB72" s="74"/>
      <c r="CC72" s="74"/>
      <c r="CE72" s="72"/>
      <c r="CF72" s="74"/>
      <c r="CG72" s="74"/>
      <c r="CH72" s="74"/>
      <c r="CI72" s="74"/>
      <c r="CJ72" s="74"/>
      <c r="CL72" s="72"/>
      <c r="CM72" s="74"/>
      <c r="CN72" s="74"/>
      <c r="CO72" s="74"/>
      <c r="CP72" s="74"/>
      <c r="CQ72" s="74"/>
      <c r="CS72" s="72"/>
      <c r="CT72" s="74"/>
      <c r="CU72" s="74"/>
      <c r="CV72" s="74"/>
      <c r="CW72" s="74"/>
      <c r="CX72" s="74"/>
      <c r="CZ72" s="72"/>
      <c r="DA72" s="74"/>
      <c r="DB72" s="74"/>
      <c r="DC72" s="74"/>
      <c r="DD72" s="74"/>
      <c r="DE72" s="74"/>
      <c r="DG72" s="72"/>
      <c r="DH72" s="74"/>
      <c r="DI72" s="74"/>
      <c r="DJ72" s="74"/>
      <c r="DK72" s="74"/>
      <c r="DL72" s="74"/>
      <c r="DN72" s="72"/>
      <c r="DO72" s="74"/>
      <c r="DP72" s="74"/>
      <c r="DQ72" s="74"/>
      <c r="DR72" s="74"/>
      <c r="DS72" s="74"/>
      <c r="DU72" s="72"/>
      <c r="DV72" s="74"/>
      <c r="DW72" s="74"/>
      <c r="DX72" s="74"/>
      <c r="DY72" s="74"/>
      <c r="DZ72" s="74"/>
      <c r="EB72" s="72"/>
      <c r="EC72" s="74"/>
      <c r="ED72" s="74"/>
      <c r="EE72" s="74"/>
      <c r="EF72" s="74"/>
      <c r="EG72" s="74"/>
      <c r="EI72" s="72"/>
      <c r="EJ72" s="74"/>
      <c r="EK72" s="74"/>
      <c r="EL72" s="74"/>
      <c r="EM72" s="74"/>
      <c r="EN72" s="74"/>
      <c r="EP72" s="72"/>
      <c r="EQ72" s="74"/>
      <c r="ER72" s="74"/>
      <c r="ES72" s="74"/>
      <c r="ET72" s="74"/>
      <c r="EU72" s="74"/>
      <c r="EW72" s="72"/>
      <c r="EX72" s="74"/>
      <c r="EY72" s="74"/>
      <c r="EZ72" s="74"/>
      <c r="FA72" s="74"/>
      <c r="FB72" s="74"/>
      <c r="FD72" s="72"/>
      <c r="FE72" s="74"/>
      <c r="FF72" s="74"/>
      <c r="FG72" s="74"/>
      <c r="FH72" s="74"/>
      <c r="FI72" s="74"/>
      <c r="FK72" s="72"/>
      <c r="FL72" s="74"/>
      <c r="FM72" s="74"/>
      <c r="FN72" s="74"/>
      <c r="FO72" s="74"/>
      <c r="FP72" s="74"/>
      <c r="FR72" s="72"/>
      <c r="FS72" s="74"/>
      <c r="FT72" s="74"/>
      <c r="FU72" s="74"/>
      <c r="FV72" s="74"/>
      <c r="FW72" s="74"/>
      <c r="FY72" s="72"/>
      <c r="FZ72" s="74"/>
      <c r="GA72" s="74"/>
      <c r="GB72" s="74"/>
      <c r="GC72" s="74"/>
      <c r="GD72" s="74"/>
      <c r="GF72" s="72"/>
      <c r="GG72" s="74"/>
      <c r="GH72" s="74"/>
      <c r="GI72" s="74"/>
      <c r="GJ72" s="74"/>
      <c r="GK72" s="74"/>
      <c r="GM72" s="72"/>
      <c r="GN72" s="74"/>
      <c r="GO72" s="74"/>
      <c r="GP72" s="74"/>
      <c r="GQ72" s="74"/>
      <c r="GR72" s="74"/>
      <c r="GT72" s="72"/>
      <c r="GU72" s="74"/>
      <c r="GV72" s="74"/>
      <c r="GW72" s="74"/>
      <c r="GX72" s="74"/>
      <c r="GY72" s="74"/>
      <c r="HA72" s="72"/>
      <c r="HB72" s="74"/>
      <c r="HC72" s="74"/>
      <c r="HD72" s="74"/>
      <c r="HE72" s="74"/>
      <c r="HF72" s="74"/>
      <c r="HH72" s="72"/>
      <c r="HI72" s="74"/>
      <c r="HJ72" s="74"/>
      <c r="HK72" s="74"/>
      <c r="HL72" s="74"/>
      <c r="HM72" s="74"/>
      <c r="HO72" s="72"/>
      <c r="HP72" s="74"/>
      <c r="HQ72" s="74"/>
      <c r="HR72" s="74"/>
      <c r="HS72" s="74"/>
      <c r="HT72" s="74"/>
      <c r="HV72" s="72"/>
      <c r="HW72" s="74"/>
      <c r="HX72" s="74"/>
      <c r="HY72" s="74"/>
      <c r="HZ72" s="74"/>
      <c r="IA72" s="74"/>
      <c r="IC72" s="72"/>
      <c r="ID72" s="74"/>
      <c r="IE72" s="74"/>
      <c r="IF72" s="74"/>
      <c r="IG72" s="74"/>
      <c r="IH72" s="74"/>
      <c r="IJ72" s="72"/>
      <c r="IK72" s="74"/>
      <c r="IL72" s="74"/>
      <c r="IM72" s="74"/>
      <c r="IN72" s="74"/>
      <c r="IO72" s="74"/>
      <c r="IQ72" s="72"/>
      <c r="IR72" s="74"/>
      <c r="IS72" s="74"/>
      <c r="IT72" s="74"/>
      <c r="IU72" s="74"/>
      <c r="IV72" s="74"/>
      <c r="IX72" s="72"/>
      <c r="IY72" s="74"/>
      <c r="IZ72" s="74"/>
      <c r="JA72" s="74"/>
      <c r="JB72" s="74"/>
      <c r="JC72" s="74"/>
      <c r="JE72" s="72"/>
      <c r="JF72" s="74"/>
      <c r="JG72" s="74"/>
      <c r="JH72" s="74"/>
      <c r="JI72" s="74"/>
      <c r="JJ72" s="74"/>
      <c r="JL72" s="72"/>
      <c r="JM72" s="74"/>
      <c r="JN72" s="74"/>
      <c r="JO72" s="74"/>
      <c r="JP72" s="74"/>
      <c r="JQ72" s="74"/>
      <c r="JS72" s="72"/>
      <c r="JT72" s="74"/>
      <c r="JU72" s="74"/>
      <c r="JV72" s="74"/>
      <c r="JW72" s="74"/>
      <c r="JX72" s="74"/>
      <c r="JZ72" s="72"/>
      <c r="KA72" s="74"/>
      <c r="KB72" s="74"/>
      <c r="KC72" s="74"/>
      <c r="KD72" s="74"/>
      <c r="KE72" s="74"/>
      <c r="KG72" s="72"/>
      <c r="KH72" s="74"/>
      <c r="KI72" s="74"/>
      <c r="KJ72" s="74"/>
      <c r="KK72" s="74"/>
      <c r="KL72" s="74"/>
      <c r="KN72" s="72"/>
      <c r="KO72" s="74"/>
      <c r="KP72" s="74"/>
      <c r="KQ72" s="74"/>
      <c r="KR72" s="74"/>
      <c r="KS72" s="74"/>
      <c r="KU72" s="72"/>
      <c r="KV72" s="74"/>
      <c r="KW72" s="74"/>
      <c r="KX72" s="73"/>
      <c r="KY72" s="73"/>
      <c r="KZ72" s="74"/>
      <c r="LB72" s="72"/>
      <c r="LC72" s="74"/>
      <c r="LD72" s="73"/>
      <c r="LE72" s="73"/>
      <c r="LF72" s="73"/>
      <c r="LG72" s="75"/>
      <c r="LI72" s="72"/>
      <c r="LJ72" s="73"/>
      <c r="LK72" s="73"/>
      <c r="LL72" s="73"/>
      <c r="LM72" s="73"/>
      <c r="LN72" s="75"/>
      <c r="LP72" s="72"/>
      <c r="LQ72" s="73"/>
      <c r="LR72" s="73"/>
      <c r="LS72" s="73"/>
      <c r="LT72" s="73"/>
      <c r="LU72" s="75"/>
      <c r="LW72" s="72"/>
      <c r="LX72" s="73"/>
      <c r="LY72" s="73"/>
      <c r="LZ72" s="73"/>
      <c r="MA72" s="73"/>
      <c r="MB72" s="75"/>
      <c r="MD72" s="72"/>
      <c r="ME72" s="73"/>
      <c r="MF72" s="73"/>
      <c r="MG72" s="73"/>
      <c r="MH72" s="73"/>
      <c r="MI72" s="75"/>
    </row>
    <row r="73" spans="1:348" x14ac:dyDescent="0.4">
      <c r="A73" s="48"/>
      <c r="B73" s="36" t="s">
        <v>30</v>
      </c>
      <c r="BQ73" s="36" t="s">
        <v>30</v>
      </c>
      <c r="BX73" s="36" t="s">
        <v>30</v>
      </c>
      <c r="CE73" s="36" t="s">
        <v>30</v>
      </c>
      <c r="CL73" s="36" t="s">
        <v>30</v>
      </c>
      <c r="CS73" s="36" t="s">
        <v>30</v>
      </c>
      <c r="CZ73" s="36" t="s">
        <v>30</v>
      </c>
      <c r="DG73" s="36" t="s">
        <v>30</v>
      </c>
      <c r="DN73" s="36" t="s">
        <v>30</v>
      </c>
      <c r="DU73" s="36" t="s">
        <v>30</v>
      </c>
      <c r="EB73" s="36" t="s">
        <v>30</v>
      </c>
      <c r="EI73" s="36" t="s">
        <v>30</v>
      </c>
      <c r="EP73" s="36" t="s">
        <v>30</v>
      </c>
      <c r="EW73" s="36" t="s">
        <v>30</v>
      </c>
      <c r="FD73" s="36" t="s">
        <v>30</v>
      </c>
      <c r="FK73" s="36" t="s">
        <v>30</v>
      </c>
      <c r="FR73" s="36" t="s">
        <v>30</v>
      </c>
      <c r="FY73" s="36" t="s">
        <v>30</v>
      </c>
      <c r="GF73" s="36" t="s">
        <v>30</v>
      </c>
      <c r="GM73" s="36" t="s">
        <v>30</v>
      </c>
      <c r="GT73" s="36" t="s">
        <v>30</v>
      </c>
      <c r="HA73" s="36" t="s">
        <v>30</v>
      </c>
      <c r="HH73" s="36" t="s">
        <v>30</v>
      </c>
      <c r="HO73" s="36" t="s">
        <v>30</v>
      </c>
      <c r="HV73" s="36" t="s">
        <v>30</v>
      </c>
      <c r="IC73" s="36" t="s">
        <v>30</v>
      </c>
      <c r="IJ73" s="36" t="s">
        <v>30</v>
      </c>
      <c r="IQ73" s="36" t="s">
        <v>30</v>
      </c>
      <c r="IX73" s="36" t="s">
        <v>30</v>
      </c>
      <c r="JE73" s="36" t="s">
        <v>30</v>
      </c>
      <c r="JL73" s="36" t="s">
        <v>30</v>
      </c>
      <c r="JS73" s="36" t="s">
        <v>30</v>
      </c>
      <c r="JZ73" s="36" t="s">
        <v>30</v>
      </c>
      <c r="KG73" s="36" t="s">
        <v>30</v>
      </c>
      <c r="KN73" s="36" t="s">
        <v>30</v>
      </c>
      <c r="KU73" s="36" t="s">
        <v>30</v>
      </c>
      <c r="LB73" s="36" t="s">
        <v>30</v>
      </c>
      <c r="LI73" s="36" t="s">
        <v>30</v>
      </c>
      <c r="LP73" s="36" t="s">
        <v>30</v>
      </c>
      <c r="LT73" s="37">
        <f>130*0.75</f>
        <v>97.5</v>
      </c>
      <c r="LU73" s="623">
        <f>40/LU62</f>
        <v>21.104474443928037</v>
      </c>
      <c r="LW73" s="36" t="s">
        <v>30</v>
      </c>
      <c r="MD73" s="36" t="s">
        <v>30</v>
      </c>
    </row>
    <row r="74" spans="1:348" x14ac:dyDescent="0.4">
      <c r="A74" s="37"/>
      <c r="LT74" s="739">
        <f>+LT73/LU61</f>
        <v>5.3271225342359535E-2</v>
      </c>
    </row>
    <row r="75" spans="1:348" x14ac:dyDescent="0.4">
      <c r="A75" s="38"/>
      <c r="B75" s="652" t="s">
        <v>544</v>
      </c>
      <c r="C75" s="653">
        <f t="shared" ref="C75:M75" si="151">D75-1</f>
        <v>1978</v>
      </c>
      <c r="D75" s="653">
        <f t="shared" si="151"/>
        <v>1979</v>
      </c>
      <c r="E75" s="653">
        <f t="shared" si="151"/>
        <v>1980</v>
      </c>
      <c r="F75" s="653">
        <f t="shared" si="151"/>
        <v>1981</v>
      </c>
      <c r="G75" s="653">
        <f t="shared" si="151"/>
        <v>1982</v>
      </c>
      <c r="H75" s="653">
        <f t="shared" si="151"/>
        <v>1983</v>
      </c>
      <c r="I75" s="653">
        <f t="shared" si="151"/>
        <v>1984</v>
      </c>
      <c r="J75" s="653">
        <f t="shared" si="151"/>
        <v>1985</v>
      </c>
      <c r="K75" s="653">
        <f t="shared" si="151"/>
        <v>1986</v>
      </c>
      <c r="L75" s="653">
        <f t="shared" si="151"/>
        <v>1987</v>
      </c>
      <c r="M75" s="653">
        <f t="shared" si="151"/>
        <v>1988</v>
      </c>
      <c r="N75" s="653">
        <f>CSX!N17</f>
        <v>1989</v>
      </c>
      <c r="O75" s="653">
        <f>CSX!O17</f>
        <v>1990</v>
      </c>
      <c r="P75" s="653">
        <f>CSX!P17</f>
        <v>1991</v>
      </c>
      <c r="Q75" s="653">
        <f>CSX!Q17</f>
        <v>1992</v>
      </c>
      <c r="R75" s="653">
        <f>CSX!R17</f>
        <v>1993</v>
      </c>
      <c r="S75" s="653">
        <f>CSX!S17</f>
        <v>1994</v>
      </c>
      <c r="T75" s="653">
        <f>CSX!T17</f>
        <v>1995</v>
      </c>
      <c r="U75" s="653">
        <f>CSX!U17</f>
        <v>1996</v>
      </c>
      <c r="V75" s="653">
        <f>CSX!V17</f>
        <v>1997</v>
      </c>
      <c r="W75" s="653">
        <f>CSX!W17</f>
        <v>1998</v>
      </c>
      <c r="X75" s="653">
        <f>CSX!X17</f>
        <v>1999</v>
      </c>
      <c r="Y75" s="653">
        <f>CSX!Y17</f>
        <v>2000</v>
      </c>
      <c r="Z75" s="653">
        <f>CSX!Z17</f>
        <v>2001</v>
      </c>
      <c r="AA75" s="653">
        <f>CSX!AA17</f>
        <v>2002</v>
      </c>
      <c r="AB75" s="653">
        <f>CSX!AB17</f>
        <v>2003</v>
      </c>
      <c r="AC75" s="653">
        <f>CSX!AC17</f>
        <v>2004</v>
      </c>
      <c r="AD75" s="653">
        <f>CSX!AD17</f>
        <v>2005</v>
      </c>
      <c r="AE75" s="653">
        <f>CSX!AE17</f>
        <v>2006</v>
      </c>
      <c r="AF75" s="653">
        <f>CSX!AF17</f>
        <v>2007</v>
      </c>
      <c r="AG75" s="653">
        <f>CSX!AG17</f>
        <v>2008</v>
      </c>
      <c r="AH75" s="653">
        <f>CSX!AH17</f>
        <v>2009</v>
      </c>
      <c r="AI75" s="653">
        <f>CSX!AI17</f>
        <v>2010</v>
      </c>
      <c r="AJ75" s="653">
        <f>CSX!AJ17</f>
        <v>2011</v>
      </c>
      <c r="AK75" s="653">
        <f>CSX!AK17</f>
        <v>2012</v>
      </c>
      <c r="AL75" s="653">
        <f>CSX!AL17</f>
        <v>2013</v>
      </c>
      <c r="AM75" s="653">
        <f>CSX!AM17</f>
        <v>2014</v>
      </c>
      <c r="AN75" s="653">
        <f>CSX!AN17</f>
        <v>2015</v>
      </c>
      <c r="AO75" s="653">
        <f>CSX!AO17</f>
        <v>2016</v>
      </c>
      <c r="AP75" s="653">
        <f>CSX!AP17</f>
        <v>2017</v>
      </c>
      <c r="AQ75" s="653">
        <f>CSX!AQ17</f>
        <v>2018</v>
      </c>
      <c r="AR75" s="653">
        <f>CSX!AR17</f>
        <v>2019</v>
      </c>
      <c r="AS75" s="653">
        <f>CSX!AS17</f>
        <v>2020</v>
      </c>
      <c r="AT75" s="653">
        <f>CSX!AT17</f>
        <v>2021</v>
      </c>
      <c r="AU75" s="653">
        <f>CSX!AU17</f>
        <v>2022</v>
      </c>
      <c r="AV75" s="653">
        <f>CSX!AV17</f>
        <v>2023</v>
      </c>
      <c r="AW75" s="653">
        <f>CSX!AW17</f>
        <v>2024</v>
      </c>
      <c r="AX75" s="653">
        <f>CSX!AX17</f>
        <v>2025</v>
      </c>
      <c r="AY75" s="653" t="str">
        <f>CSX!AY17</f>
        <v>2026E</v>
      </c>
      <c r="AZ75" s="653" t="str">
        <f>CSX!AZ17</f>
        <v>2027E</v>
      </c>
      <c r="BA75" s="653" t="str">
        <f>CSX!BA17</f>
        <v>2028E</v>
      </c>
      <c r="BB75" s="653"/>
      <c r="BC75" s="653"/>
      <c r="BD75" s="653"/>
      <c r="BE75" s="653"/>
      <c r="BF75" s="653"/>
      <c r="BG75" s="653"/>
      <c r="BH75" s="653"/>
      <c r="BI75" s="653"/>
      <c r="BJ75" s="653"/>
      <c r="BK75" s="653"/>
      <c r="BL75" s="653"/>
      <c r="BM75" s="653"/>
      <c r="BN75" s="653"/>
      <c r="BO75" s="653"/>
      <c r="BQ75" s="652" t="str">
        <f>$B75</f>
        <v>CSX Share Repurchases</v>
      </c>
      <c r="BR75" s="653" t="str">
        <f>CSX!BR17</f>
        <v>1Q89</v>
      </c>
      <c r="BS75" s="653" t="str">
        <f>CSX!BS17</f>
        <v>2Q89</v>
      </c>
      <c r="BT75" s="653" t="str">
        <f>CSX!BT17</f>
        <v>3Q89</v>
      </c>
      <c r="BU75" s="653" t="str">
        <f>CSX!BU17</f>
        <v>4Q89</v>
      </c>
      <c r="BV75" s="653">
        <f>CSX!BV17</f>
        <v>1989</v>
      </c>
      <c r="BX75" s="652" t="str">
        <f>$B75</f>
        <v>CSX Share Repurchases</v>
      </c>
      <c r="BY75" s="653" t="str">
        <f>CSX!BY17</f>
        <v>1Q90</v>
      </c>
      <c r="BZ75" s="653" t="str">
        <f>CSX!BZ17</f>
        <v>2Q90</v>
      </c>
      <c r="CA75" s="653" t="str">
        <f>CSX!CA17</f>
        <v>3Q90</v>
      </c>
      <c r="CB75" s="653" t="str">
        <f>CSX!CB17</f>
        <v>4Q90</v>
      </c>
      <c r="CC75" s="653">
        <f>CSX!CC17</f>
        <v>1990</v>
      </c>
      <c r="CE75" s="652" t="str">
        <f>$B75</f>
        <v>CSX Share Repurchases</v>
      </c>
      <c r="CF75" s="653" t="str">
        <f>CSX!CF17</f>
        <v>1Q91</v>
      </c>
      <c r="CG75" s="653" t="str">
        <f>CSX!CG17</f>
        <v>2Q91</v>
      </c>
      <c r="CH75" s="653" t="str">
        <f>CSX!CH17</f>
        <v>3Q91</v>
      </c>
      <c r="CI75" s="653" t="str">
        <f>CSX!CI17</f>
        <v>4Q91</v>
      </c>
      <c r="CJ75" s="653">
        <f>CSX!CJ17</f>
        <v>1991</v>
      </c>
      <c r="CL75" s="652" t="str">
        <f>$B75</f>
        <v>CSX Share Repurchases</v>
      </c>
      <c r="CM75" s="653" t="str">
        <f>CSX!CM17</f>
        <v>1Q92</v>
      </c>
      <c r="CN75" s="653" t="str">
        <f>CSX!CN17</f>
        <v>2Q92</v>
      </c>
      <c r="CO75" s="653" t="str">
        <f>CSX!CO17</f>
        <v>3Q92</v>
      </c>
      <c r="CP75" s="653" t="str">
        <f>CSX!CP17</f>
        <v>4Q92</v>
      </c>
      <c r="CQ75" s="653">
        <f>CSX!CQ17</f>
        <v>1992</v>
      </c>
      <c r="CR75" s="68"/>
      <c r="CS75" s="652" t="str">
        <f>$B75</f>
        <v>CSX Share Repurchases</v>
      </c>
      <c r="CT75" s="653" t="str">
        <f>CSX!CT17</f>
        <v>1Q93</v>
      </c>
      <c r="CU75" s="653" t="str">
        <f>CSX!CU17</f>
        <v>2Q93</v>
      </c>
      <c r="CV75" s="653" t="str">
        <f>CSX!CV17</f>
        <v>3Q93</v>
      </c>
      <c r="CW75" s="653" t="str">
        <f>CSX!CW17</f>
        <v>4Q93</v>
      </c>
      <c r="CX75" s="653">
        <f>CSX!CX17</f>
        <v>1993</v>
      </c>
      <c r="CY75" s="68"/>
      <c r="CZ75" s="652" t="str">
        <f>$B75</f>
        <v>CSX Share Repurchases</v>
      </c>
      <c r="DA75" s="653" t="str">
        <f>CSX!DA17</f>
        <v>1Q94</v>
      </c>
      <c r="DB75" s="653" t="str">
        <f>CSX!DB17</f>
        <v>2Q94</v>
      </c>
      <c r="DC75" s="653" t="str">
        <f>CSX!DC17</f>
        <v>3Q94</v>
      </c>
      <c r="DD75" s="653" t="str">
        <f>CSX!DD17</f>
        <v>4Q94</v>
      </c>
      <c r="DE75" s="653">
        <f>CSX!DE17</f>
        <v>1994</v>
      </c>
      <c r="DF75" s="68"/>
      <c r="DG75" s="652" t="str">
        <f>$B75</f>
        <v>CSX Share Repurchases</v>
      </c>
      <c r="DH75" s="653" t="str">
        <f>CSX!DH17</f>
        <v>1Q95</v>
      </c>
      <c r="DI75" s="653" t="str">
        <f>CSX!DI17</f>
        <v>2Q95</v>
      </c>
      <c r="DJ75" s="653" t="str">
        <f>CSX!DJ17</f>
        <v>3Q95</v>
      </c>
      <c r="DK75" s="653" t="str">
        <f>CSX!DK17</f>
        <v>4Q95</v>
      </c>
      <c r="DL75" s="653">
        <f>CSX!DL17</f>
        <v>1995</v>
      </c>
      <c r="DM75" s="68"/>
      <c r="DN75" s="652" t="str">
        <f>$B75</f>
        <v>CSX Share Repurchases</v>
      </c>
      <c r="DO75" s="653" t="str">
        <f>CSX!DO17</f>
        <v>1Q96</v>
      </c>
      <c r="DP75" s="653" t="str">
        <f>CSX!DP17</f>
        <v>2Q96</v>
      </c>
      <c r="DQ75" s="653" t="str">
        <f>CSX!DQ17</f>
        <v>3Q96</v>
      </c>
      <c r="DR75" s="653" t="str">
        <f>CSX!DR17</f>
        <v>4Q96</v>
      </c>
      <c r="DS75" s="653">
        <f>CSX!DS17</f>
        <v>1996</v>
      </c>
      <c r="DT75" s="68"/>
      <c r="DU75" s="652" t="str">
        <f>$B75</f>
        <v>CSX Share Repurchases</v>
      </c>
      <c r="DV75" s="653" t="str">
        <f>CSX!DV17</f>
        <v>1Q97</v>
      </c>
      <c r="DW75" s="653" t="str">
        <f>CSX!DW17</f>
        <v>2Q97</v>
      </c>
      <c r="DX75" s="653" t="str">
        <f>CSX!DX17</f>
        <v>3Q97</v>
      </c>
      <c r="DY75" s="653" t="str">
        <f>CSX!DY17</f>
        <v>4Q97</v>
      </c>
      <c r="DZ75" s="653">
        <f>CSX!DZ17</f>
        <v>1997</v>
      </c>
      <c r="EA75" s="68"/>
      <c r="EB75" s="652" t="str">
        <f>$B75</f>
        <v>CSX Share Repurchases</v>
      </c>
      <c r="EC75" s="653" t="str">
        <f>CSX!EC17</f>
        <v>1Q98</v>
      </c>
      <c r="ED75" s="653" t="str">
        <f>CSX!ED17</f>
        <v>2Q98</v>
      </c>
      <c r="EE75" s="653" t="str">
        <f>CSX!EE17</f>
        <v>3Q98</v>
      </c>
      <c r="EF75" s="653" t="str">
        <f>CSX!EF17</f>
        <v>4Q98</v>
      </c>
      <c r="EG75" s="653">
        <f>CSX!EG17</f>
        <v>1998</v>
      </c>
      <c r="EH75" s="68"/>
      <c r="EI75" s="652" t="str">
        <f>$B75</f>
        <v>CSX Share Repurchases</v>
      </c>
      <c r="EJ75" s="653" t="str">
        <f>CSX!EJ17</f>
        <v>1Q99</v>
      </c>
      <c r="EK75" s="653" t="str">
        <f>CSX!EK17</f>
        <v>2Q99</v>
      </c>
      <c r="EL75" s="653" t="str">
        <f>CSX!EL17</f>
        <v>3Q99</v>
      </c>
      <c r="EM75" s="653" t="str">
        <f>CSX!EM17</f>
        <v>4Q99</v>
      </c>
      <c r="EN75" s="653">
        <f>CSX!EN17</f>
        <v>1999</v>
      </c>
      <c r="EO75" s="68"/>
      <c r="EP75" s="652" t="str">
        <f>$B75</f>
        <v>CSX Share Repurchases</v>
      </c>
      <c r="EQ75" s="653" t="str">
        <f>CSX!EQ17</f>
        <v>1Q00</v>
      </c>
      <c r="ER75" s="653" t="str">
        <f>CSX!ER17</f>
        <v>2Q00</v>
      </c>
      <c r="ES75" s="653" t="str">
        <f>CSX!ES17</f>
        <v>3Q00</v>
      </c>
      <c r="ET75" s="653" t="str">
        <f>CSX!ET17</f>
        <v>4Q00</v>
      </c>
      <c r="EU75" s="653">
        <f>CSX!EU17</f>
        <v>2000</v>
      </c>
      <c r="EW75" s="652" t="str">
        <f>$B75</f>
        <v>CSX Share Repurchases</v>
      </c>
      <c r="EX75" s="653" t="str">
        <f>CSX!EX17</f>
        <v>1Q01</v>
      </c>
      <c r="EY75" s="653" t="str">
        <f>CSX!EY17</f>
        <v>2Q01</v>
      </c>
      <c r="EZ75" s="653" t="str">
        <f>CSX!EZ17</f>
        <v>3Q01</v>
      </c>
      <c r="FA75" s="653" t="str">
        <f>CSX!FA17</f>
        <v>4Q01</v>
      </c>
      <c r="FB75" s="653">
        <f>CSX!FB17</f>
        <v>2001</v>
      </c>
      <c r="FD75" s="652" t="str">
        <f>$B75</f>
        <v>CSX Share Repurchases</v>
      </c>
      <c r="FE75" s="653" t="str">
        <f>CSX!FE17</f>
        <v>1Q02</v>
      </c>
      <c r="FF75" s="653" t="str">
        <f>CSX!FF17</f>
        <v>2Q02</v>
      </c>
      <c r="FG75" s="653" t="str">
        <f>CSX!FG17</f>
        <v>3Q02</v>
      </c>
      <c r="FH75" s="653" t="str">
        <f>CSX!FH17</f>
        <v>4Q02</v>
      </c>
      <c r="FI75" s="653">
        <f>CSX!FI17</f>
        <v>2002</v>
      </c>
      <c r="FK75" s="652" t="str">
        <f>$B75</f>
        <v>CSX Share Repurchases</v>
      </c>
      <c r="FL75" s="653" t="str">
        <f>CSX!FL17</f>
        <v>1Q03</v>
      </c>
      <c r="FM75" s="653" t="str">
        <f>CSX!FM17</f>
        <v>2Q03</v>
      </c>
      <c r="FN75" s="653" t="str">
        <f>CSX!FN17</f>
        <v>3Q03</v>
      </c>
      <c r="FO75" s="653" t="str">
        <f>CSX!FO17</f>
        <v>4Q03</v>
      </c>
      <c r="FP75" s="653">
        <f>CSX!FP17</f>
        <v>2003</v>
      </c>
      <c r="FR75" s="652" t="str">
        <f>$B75</f>
        <v>CSX Share Repurchases</v>
      </c>
      <c r="FS75" s="653" t="str">
        <f>CSX!FS17</f>
        <v>1Q04</v>
      </c>
      <c r="FT75" s="653" t="str">
        <f>CSX!FT17</f>
        <v>2Q04</v>
      </c>
      <c r="FU75" s="653" t="str">
        <f>CSX!FU17</f>
        <v>3Q04</v>
      </c>
      <c r="FV75" s="653" t="str">
        <f>CSX!FV17</f>
        <v>4Q04</v>
      </c>
      <c r="FW75" s="653">
        <f>CSX!FW17</f>
        <v>2004</v>
      </c>
      <c r="FY75" s="652" t="str">
        <f>$B75</f>
        <v>CSX Share Repurchases</v>
      </c>
      <c r="FZ75" s="653" t="str">
        <f>CSX!FZ17</f>
        <v>1Q05</v>
      </c>
      <c r="GA75" s="653" t="str">
        <f>CSX!GA17</f>
        <v>2Q05</v>
      </c>
      <c r="GB75" s="653" t="str">
        <f>CSX!GB17</f>
        <v>3Q05</v>
      </c>
      <c r="GC75" s="653" t="str">
        <f>CSX!GC17</f>
        <v>4Q05</v>
      </c>
      <c r="GD75" s="653">
        <f>CSX!GD17</f>
        <v>2005</v>
      </c>
      <c r="GE75" s="68"/>
      <c r="GF75" s="652" t="str">
        <f>$B75</f>
        <v>CSX Share Repurchases</v>
      </c>
      <c r="GG75" s="653" t="str">
        <f>CSX!GG17</f>
        <v>1Q06</v>
      </c>
      <c r="GH75" s="653" t="str">
        <f>CSX!GH17</f>
        <v>2Q06</v>
      </c>
      <c r="GI75" s="653" t="str">
        <f>CSX!GI17</f>
        <v>3Q06</v>
      </c>
      <c r="GJ75" s="653" t="str">
        <f>CSX!GJ17</f>
        <v>4Q06</v>
      </c>
      <c r="GK75" s="653">
        <f>CSX!GK17</f>
        <v>2006</v>
      </c>
      <c r="GL75" s="68"/>
      <c r="GM75" s="652" t="str">
        <f>$B75</f>
        <v>CSX Share Repurchases</v>
      </c>
      <c r="GN75" s="653" t="str">
        <f>CSX!GN17</f>
        <v>1Q07</v>
      </c>
      <c r="GO75" s="653" t="str">
        <f>CSX!GO17</f>
        <v>2Q07</v>
      </c>
      <c r="GP75" s="653" t="str">
        <f>CSX!GP17</f>
        <v>3Q07</v>
      </c>
      <c r="GQ75" s="653" t="str">
        <f>CSX!GQ17</f>
        <v>4Q07</v>
      </c>
      <c r="GR75" s="653">
        <f>CSX!GR17</f>
        <v>2007</v>
      </c>
      <c r="GS75" s="68"/>
      <c r="GT75" s="652" t="str">
        <f>$B75</f>
        <v>CSX Share Repurchases</v>
      </c>
      <c r="GU75" s="653" t="str">
        <f>CSX!GU17</f>
        <v>1Q08</v>
      </c>
      <c r="GV75" s="653" t="str">
        <f>CSX!GV17</f>
        <v>2Q08</v>
      </c>
      <c r="GW75" s="653" t="str">
        <f>CSX!GW17</f>
        <v>3Q08</v>
      </c>
      <c r="GX75" s="653" t="str">
        <f>CSX!GX17</f>
        <v>4Q08</v>
      </c>
      <c r="GY75" s="653">
        <f>CSX!GY17</f>
        <v>2008</v>
      </c>
      <c r="GZ75" s="68"/>
      <c r="HA75" s="652" t="str">
        <f>$B75</f>
        <v>CSX Share Repurchases</v>
      </c>
      <c r="HB75" s="653" t="str">
        <f>CSX!HB17</f>
        <v>1Q09</v>
      </c>
      <c r="HC75" s="653" t="str">
        <f>CSX!HC17</f>
        <v>2Q09</v>
      </c>
      <c r="HD75" s="653" t="str">
        <f>CSX!HD17</f>
        <v>3Q09</v>
      </c>
      <c r="HE75" s="653" t="str">
        <f>CSX!HE17</f>
        <v>4Q09</v>
      </c>
      <c r="HF75" s="653">
        <f>CSX!HF17</f>
        <v>2009</v>
      </c>
      <c r="HG75" s="68"/>
      <c r="HH75" s="652" t="str">
        <f>$B75</f>
        <v>CSX Share Repurchases</v>
      </c>
      <c r="HI75" s="653" t="str">
        <f>CSX!HI17</f>
        <v>1Q10</v>
      </c>
      <c r="HJ75" s="653" t="str">
        <f>CSX!HJ17</f>
        <v>2Q10</v>
      </c>
      <c r="HK75" s="653" t="str">
        <f>CSX!HK17</f>
        <v>3Q10</v>
      </c>
      <c r="HL75" s="653" t="str">
        <f>CSX!HL17</f>
        <v>4Q10</v>
      </c>
      <c r="HM75" s="653">
        <f>CSX!HM17</f>
        <v>2010</v>
      </c>
      <c r="HN75" s="68"/>
      <c r="HO75" s="652" t="str">
        <f>$B75</f>
        <v>CSX Share Repurchases</v>
      </c>
      <c r="HP75" s="653" t="str">
        <f>CSX!HP17</f>
        <v>1Q11</v>
      </c>
      <c r="HQ75" s="653" t="str">
        <f>CSX!HQ17</f>
        <v>2Q11</v>
      </c>
      <c r="HR75" s="653" t="str">
        <f>CSX!HR17</f>
        <v>3Q11</v>
      </c>
      <c r="HS75" s="653" t="str">
        <f>CSX!HS17</f>
        <v>4Q11</v>
      </c>
      <c r="HT75" s="653">
        <f>CSX!HT17</f>
        <v>2011</v>
      </c>
      <c r="HU75" s="68"/>
      <c r="HV75" s="652" t="str">
        <f>$B75</f>
        <v>CSX Share Repurchases</v>
      </c>
      <c r="HW75" s="653" t="str">
        <f>CSX!HW17</f>
        <v>1Q12</v>
      </c>
      <c r="HX75" s="653" t="str">
        <f>CSX!HX17</f>
        <v>2Q12</v>
      </c>
      <c r="HY75" s="653" t="str">
        <f>CSX!HY17</f>
        <v>3Q12</v>
      </c>
      <c r="HZ75" s="653" t="str">
        <f>CSX!HZ17</f>
        <v>4Q12</v>
      </c>
      <c r="IA75" s="653">
        <f>CSX!IA17</f>
        <v>2012</v>
      </c>
      <c r="IB75" s="68"/>
      <c r="IC75" s="652" t="str">
        <f>$B75</f>
        <v>CSX Share Repurchases</v>
      </c>
      <c r="ID75" s="653" t="str">
        <f>CSX!ID17</f>
        <v>1Q13</v>
      </c>
      <c r="IE75" s="653" t="str">
        <f>CSX!IE17</f>
        <v>2Q13</v>
      </c>
      <c r="IF75" s="653" t="str">
        <f>CSX!IF17</f>
        <v>3Q13</v>
      </c>
      <c r="IG75" s="653" t="str">
        <f>CSX!IG17</f>
        <v>4Q13</v>
      </c>
      <c r="IH75" s="653">
        <f>CSX!IH17</f>
        <v>2013</v>
      </c>
      <c r="II75" s="68"/>
      <c r="IJ75" s="652" t="str">
        <f>$B75</f>
        <v>CSX Share Repurchases</v>
      </c>
      <c r="IK75" s="653" t="str">
        <f>CSX!IK17</f>
        <v>1Q14</v>
      </c>
      <c r="IL75" s="653" t="str">
        <f>CSX!IL17</f>
        <v>2Q14</v>
      </c>
      <c r="IM75" s="653" t="str">
        <f>CSX!IM17</f>
        <v>3Q14</v>
      </c>
      <c r="IN75" s="653" t="str">
        <f>CSX!IN17</f>
        <v>4Q14</v>
      </c>
      <c r="IO75" s="653">
        <f>CSX!IO17</f>
        <v>2014</v>
      </c>
      <c r="IP75" s="68"/>
      <c r="IQ75" s="652" t="str">
        <f>$B75</f>
        <v>CSX Share Repurchases</v>
      </c>
      <c r="IR75" s="653" t="str">
        <f>CSX!IR17</f>
        <v>1Q15</v>
      </c>
      <c r="IS75" s="653" t="str">
        <f>CSX!IS17</f>
        <v>2Q15</v>
      </c>
      <c r="IT75" s="653" t="str">
        <f>CSX!IT17</f>
        <v>3Q15</v>
      </c>
      <c r="IU75" s="653" t="str">
        <f>CSX!IU17</f>
        <v>4Q15</v>
      </c>
      <c r="IV75" s="653">
        <f>CSX!IV17</f>
        <v>2015</v>
      </c>
      <c r="IW75" s="68"/>
      <c r="IX75" s="652" t="str">
        <f>$B75</f>
        <v>CSX Share Repurchases</v>
      </c>
      <c r="IY75" s="653" t="str">
        <f>CSX!IY17</f>
        <v>1Q16</v>
      </c>
      <c r="IZ75" s="653" t="str">
        <f>CSX!IZ17</f>
        <v>2Q16</v>
      </c>
      <c r="JA75" s="653" t="str">
        <f>CSX!JA17</f>
        <v>3Q16</v>
      </c>
      <c r="JB75" s="653" t="str">
        <f>CSX!JB17</f>
        <v>4Q16</v>
      </c>
      <c r="JC75" s="653">
        <f>CSX!JC17</f>
        <v>2016</v>
      </c>
      <c r="JD75" s="68"/>
      <c r="JE75" s="652" t="str">
        <f>$B75</f>
        <v>CSX Share Repurchases</v>
      </c>
      <c r="JF75" s="653" t="str">
        <f>CSX!JF17</f>
        <v>1Q17</v>
      </c>
      <c r="JG75" s="653" t="str">
        <f>CSX!JG17</f>
        <v>2Q17</v>
      </c>
      <c r="JH75" s="653" t="str">
        <f>CSX!JH17</f>
        <v>3Q17</v>
      </c>
      <c r="JI75" s="653" t="str">
        <f>CSX!JI17</f>
        <v>4Q17</v>
      </c>
      <c r="JJ75" s="653">
        <f>CSX!JJ17</f>
        <v>2017</v>
      </c>
      <c r="JK75" s="68"/>
      <c r="JL75" s="652" t="str">
        <f>$B75</f>
        <v>CSX Share Repurchases</v>
      </c>
      <c r="JM75" s="653" t="str">
        <f>CSX!JM17</f>
        <v>1Q18</v>
      </c>
      <c r="JN75" s="653" t="str">
        <f>CSX!JN17</f>
        <v>2Q18</v>
      </c>
      <c r="JO75" s="653" t="str">
        <f>CSX!JO17</f>
        <v>3Q18</v>
      </c>
      <c r="JP75" s="653" t="str">
        <f>CSX!JP17</f>
        <v>4Q18</v>
      </c>
      <c r="JQ75" s="653">
        <f>CSX!JQ17</f>
        <v>2018</v>
      </c>
      <c r="JR75" s="68"/>
      <c r="JS75" s="652" t="str">
        <f>$B75</f>
        <v>CSX Share Repurchases</v>
      </c>
      <c r="JT75" s="653" t="str">
        <f>CSX!JT17</f>
        <v>1Q19</v>
      </c>
      <c r="JU75" s="653" t="str">
        <f>CSX!JU17</f>
        <v>2Q19</v>
      </c>
      <c r="JV75" s="653" t="str">
        <f>CSX!JV17</f>
        <v>3Q19</v>
      </c>
      <c r="JW75" s="653" t="str">
        <f>CSX!JW17</f>
        <v>4Q19</v>
      </c>
      <c r="JX75" s="653">
        <f>CSX!JX17</f>
        <v>2019</v>
      </c>
      <c r="JY75" s="68"/>
      <c r="JZ75" s="652" t="str">
        <f>$B75</f>
        <v>CSX Share Repurchases</v>
      </c>
      <c r="KA75" s="653" t="str">
        <f>CSX!KA17</f>
        <v>1Q20</v>
      </c>
      <c r="KB75" s="653" t="str">
        <f>CSX!KB17</f>
        <v>2Q20</v>
      </c>
      <c r="KC75" s="653" t="str">
        <f>CSX!KC17</f>
        <v>3Q20</v>
      </c>
      <c r="KD75" s="653" t="str">
        <f>CSX!KD17</f>
        <v>4Q20</v>
      </c>
      <c r="KE75" s="653">
        <f>CSX!KE17</f>
        <v>2020</v>
      </c>
      <c r="KF75" s="68"/>
      <c r="KG75" s="652" t="str">
        <f>$B75</f>
        <v>CSX Share Repurchases</v>
      </c>
      <c r="KH75" s="653" t="str">
        <f>CSX!KH17</f>
        <v>1Q21</v>
      </c>
      <c r="KI75" s="653" t="str">
        <f>CSX!KI17</f>
        <v>2Q21</v>
      </c>
      <c r="KJ75" s="653" t="str">
        <f>CSX!KJ17</f>
        <v>3Q21</v>
      </c>
      <c r="KK75" s="653" t="str">
        <f>CSX!KK17</f>
        <v>4Q21</v>
      </c>
      <c r="KL75" s="653">
        <f>CSX!KL17</f>
        <v>2021</v>
      </c>
      <c r="KM75" s="68"/>
      <c r="KN75" s="652" t="str">
        <f>$B75</f>
        <v>CSX Share Repurchases</v>
      </c>
      <c r="KO75" s="653" t="str">
        <f>CSX!KO17</f>
        <v>1Q22</v>
      </c>
      <c r="KP75" s="653" t="str">
        <f>CSX!KP17</f>
        <v>2Q22</v>
      </c>
      <c r="KQ75" s="653" t="str">
        <f>CSX!KQ17</f>
        <v>3Q22</v>
      </c>
      <c r="KR75" s="653" t="str">
        <f>CSX!KR17</f>
        <v>4Q22</v>
      </c>
      <c r="KS75" s="653">
        <f>CSX!KS17</f>
        <v>2022</v>
      </c>
      <c r="KT75" s="68"/>
      <c r="KU75" s="652" t="str">
        <f>$B75</f>
        <v>CSX Share Repurchases</v>
      </c>
      <c r="KV75" s="653" t="str">
        <f>CSX!KV17</f>
        <v>1Q23</v>
      </c>
      <c r="KW75" s="653" t="str">
        <f>CSX!KW17</f>
        <v>2Q23</v>
      </c>
      <c r="KX75" s="653" t="str">
        <f>CSX!KX17</f>
        <v>3Q23</v>
      </c>
      <c r="KY75" s="653" t="str">
        <f>CSX!KY17</f>
        <v>4Q23</v>
      </c>
      <c r="KZ75" s="653">
        <f>CSX!KZ17</f>
        <v>2023</v>
      </c>
      <c r="LA75" s="68"/>
      <c r="LB75" s="652" t="str">
        <f>$B75</f>
        <v>CSX Share Repurchases</v>
      </c>
      <c r="LC75" s="653" t="str">
        <f>CSX!LC17</f>
        <v>1Q24</v>
      </c>
      <c r="LD75" s="653" t="str">
        <f>CSX!LD17</f>
        <v>2Q24</v>
      </c>
      <c r="LE75" s="653" t="str">
        <f>CSX!LE17</f>
        <v>3Q24</v>
      </c>
      <c r="LF75" s="653" t="str">
        <f>CSX!LF17</f>
        <v>4Q24</v>
      </c>
      <c r="LG75" s="653">
        <f>CSX!LG17</f>
        <v>2024</v>
      </c>
      <c r="LH75" s="546"/>
      <c r="LI75" s="652" t="str">
        <f>$B75</f>
        <v>CSX Share Repurchases</v>
      </c>
      <c r="LJ75" s="653" t="str">
        <f>CSX!LJ17</f>
        <v>1Q25</v>
      </c>
      <c r="LK75" s="653" t="str">
        <f>CSX!LK17</f>
        <v>2Q25</v>
      </c>
      <c r="LL75" s="653" t="str">
        <f>CSX!LL17</f>
        <v>3Q25</v>
      </c>
      <c r="LM75" s="653" t="str">
        <f>CSX!LM17</f>
        <v>4Q25</v>
      </c>
      <c r="LN75" s="653">
        <f>CSX!LN17</f>
        <v>2025</v>
      </c>
      <c r="LO75" s="546"/>
      <c r="LP75" s="652" t="str">
        <f>$B75</f>
        <v>CSX Share Repurchases</v>
      </c>
      <c r="LQ75" s="653" t="str">
        <f>CSX!LQ17</f>
        <v>1Q26E</v>
      </c>
      <c r="LR75" s="653" t="str">
        <f>CSX!LR17</f>
        <v>2Q26E</v>
      </c>
      <c r="LS75" s="653" t="str">
        <f>CSX!LS17</f>
        <v>3Q26E</v>
      </c>
      <c r="LT75" s="653" t="str">
        <f>CSX!LT17</f>
        <v>4Q26E</v>
      </c>
      <c r="LU75" s="653" t="str">
        <f>CSX!LU17</f>
        <v>2026E</v>
      </c>
      <c r="LV75" s="546"/>
      <c r="LW75" s="652" t="str">
        <f>$B75</f>
        <v>CSX Share Repurchases</v>
      </c>
      <c r="LX75" s="653" t="str">
        <f>CSX!LX17</f>
        <v>1Q27E</v>
      </c>
      <c r="LY75" s="653" t="str">
        <f>CSX!LY17</f>
        <v>2Q27E</v>
      </c>
      <c r="LZ75" s="653" t="str">
        <f>CSX!LZ17</f>
        <v>3Q27E</v>
      </c>
      <c r="MA75" s="653" t="str">
        <f>CSX!MA17</f>
        <v>4Q27E</v>
      </c>
      <c r="MB75" s="653" t="str">
        <f>CSX!MB17</f>
        <v>2027E</v>
      </c>
      <c r="MC75" s="546"/>
      <c r="MD75" s="652" t="str">
        <f>$B75</f>
        <v>CSX Share Repurchases</v>
      </c>
      <c r="ME75" s="653" t="str">
        <f>CSX!ME17</f>
        <v>1Q28E</v>
      </c>
      <c r="MF75" s="653" t="str">
        <f>CSX!MF17</f>
        <v>2Q28E</v>
      </c>
      <c r="MG75" s="653" t="str">
        <f>CSX!MG17</f>
        <v>3Q28E</v>
      </c>
      <c r="MH75" s="653" t="str">
        <f>CSX!MH17</f>
        <v>4Q28E</v>
      </c>
      <c r="MI75" s="653" t="str">
        <f>CSX!MI17</f>
        <v>2028E</v>
      </c>
      <c r="MJ75" s="546"/>
    </row>
    <row r="76" spans="1:348" x14ac:dyDescent="0.4">
      <c r="A76" s="41"/>
      <c r="B76" s="88" t="s">
        <v>1</v>
      </c>
      <c r="C76" s="407" t="str">
        <f t="shared" ref="C76:M76" si="152">D76</f>
        <v>FY</v>
      </c>
      <c r="D76" s="407" t="str">
        <f t="shared" si="152"/>
        <v>FY</v>
      </c>
      <c r="E76" s="407" t="str">
        <f t="shared" si="152"/>
        <v>FY</v>
      </c>
      <c r="F76" s="407" t="str">
        <f t="shared" si="152"/>
        <v>FY</v>
      </c>
      <c r="G76" s="407" t="str">
        <f t="shared" si="152"/>
        <v>FY</v>
      </c>
      <c r="H76" s="407" t="str">
        <f t="shared" si="152"/>
        <v>FY</v>
      </c>
      <c r="I76" s="407" t="str">
        <f t="shared" si="152"/>
        <v>FY</v>
      </c>
      <c r="J76" s="407" t="str">
        <f t="shared" si="152"/>
        <v>FY</v>
      </c>
      <c r="K76" s="407" t="str">
        <f t="shared" si="152"/>
        <v>FY</v>
      </c>
      <c r="L76" s="407" t="str">
        <f t="shared" si="152"/>
        <v>FY</v>
      </c>
      <c r="M76" s="407" t="str">
        <f t="shared" si="152"/>
        <v>FY</v>
      </c>
      <c r="N76" s="407" t="str">
        <f>CSX!N18</f>
        <v>FY</v>
      </c>
      <c r="O76" s="407" t="str">
        <f>CSX!O18</f>
        <v>FY</v>
      </c>
      <c r="P76" s="407" t="str">
        <f>CSX!P18</f>
        <v>FY</v>
      </c>
      <c r="Q76" s="407" t="str">
        <f>CSX!Q18</f>
        <v>FY</v>
      </c>
      <c r="R76" s="407" t="str">
        <f>CSX!R18</f>
        <v>FY</v>
      </c>
      <c r="S76" s="407" t="str">
        <f>CSX!S18</f>
        <v>FY</v>
      </c>
      <c r="T76" s="407" t="str">
        <f>CSX!T18</f>
        <v>FY</v>
      </c>
      <c r="U76" s="407" t="str">
        <f>CSX!U18</f>
        <v>FY</v>
      </c>
      <c r="V76" s="407" t="str">
        <f>CSX!V18</f>
        <v>FY</v>
      </c>
      <c r="W76" s="407" t="str">
        <f>CSX!W18</f>
        <v>FY</v>
      </c>
      <c r="X76" s="407" t="str">
        <f>CSX!X18</f>
        <v>FY</v>
      </c>
      <c r="Y76" s="407" t="str">
        <f>CSX!Y18</f>
        <v>FY</v>
      </c>
      <c r="Z76" s="407" t="str">
        <f>CSX!Z18</f>
        <v>FY</v>
      </c>
      <c r="AA76" s="407" t="str">
        <f>CSX!AA18</f>
        <v>FY</v>
      </c>
      <c r="AB76" s="407" t="str">
        <f>CSX!AB18</f>
        <v>FY</v>
      </c>
      <c r="AC76" s="407" t="str">
        <f>CSX!AC18</f>
        <v>FY</v>
      </c>
      <c r="AD76" s="407" t="str">
        <f>CSX!AD18</f>
        <v>FY</v>
      </c>
      <c r="AE76" s="407" t="str">
        <f>CSX!AE18</f>
        <v>FY</v>
      </c>
      <c r="AF76" s="407" t="str">
        <f>CSX!AF18</f>
        <v>FY</v>
      </c>
      <c r="AG76" s="407" t="str">
        <f>CSX!AG18</f>
        <v>FY</v>
      </c>
      <c r="AH76" s="407" t="str">
        <f>CSX!AH18</f>
        <v>FY</v>
      </c>
      <c r="AI76" s="407" t="str">
        <f>CSX!AI18</f>
        <v>FY</v>
      </c>
      <c r="AJ76" s="407" t="str">
        <f>CSX!AJ18</f>
        <v>FY</v>
      </c>
      <c r="AK76" s="407" t="str">
        <f>CSX!AK18</f>
        <v>FY</v>
      </c>
      <c r="AL76" s="407" t="str">
        <f>CSX!AL18</f>
        <v>FY</v>
      </c>
      <c r="AM76" s="407" t="str">
        <f>CSX!AM18</f>
        <v>FY</v>
      </c>
      <c r="AN76" s="407" t="str">
        <f>CSX!AN18</f>
        <v>FY</v>
      </c>
      <c r="AO76" s="407" t="str">
        <f>CSX!AO18</f>
        <v>FY</v>
      </c>
      <c r="AP76" s="407" t="str">
        <f>CSX!AP18</f>
        <v>FY</v>
      </c>
      <c r="AQ76" s="407" t="str">
        <f>CSX!AQ18</f>
        <v>FY</v>
      </c>
      <c r="AR76" s="407" t="str">
        <f>CSX!AR18</f>
        <v>FY</v>
      </c>
      <c r="AS76" s="407" t="str">
        <f>CSX!AS18</f>
        <v>FY</v>
      </c>
      <c r="AT76" s="407" t="str">
        <f>CSX!AT18</f>
        <v>FY</v>
      </c>
      <c r="AU76" s="407" t="str">
        <f>CSX!AU18</f>
        <v>FY</v>
      </c>
      <c r="AV76" s="407" t="str">
        <f>CSX!AV18</f>
        <v>FY</v>
      </c>
      <c r="AW76" s="407" t="str">
        <f>CSX!AW18</f>
        <v>FY</v>
      </c>
      <c r="AX76" s="407" t="str">
        <f>CSX!AX18</f>
        <v>FY</v>
      </c>
      <c r="AY76" s="407" t="str">
        <f>CSX!AY18</f>
        <v>FY</v>
      </c>
      <c r="AZ76" s="407" t="str">
        <f>CSX!AZ18</f>
        <v>FY</v>
      </c>
      <c r="BA76" s="407" t="str">
        <f>CSX!BA18</f>
        <v>FY</v>
      </c>
      <c r="BB76" s="407"/>
      <c r="BC76" s="407"/>
      <c r="BD76" s="407"/>
      <c r="BE76" s="407"/>
      <c r="BF76" s="407"/>
      <c r="BG76" s="407"/>
      <c r="BH76" s="407"/>
      <c r="BI76" s="407"/>
      <c r="BJ76" s="407"/>
      <c r="BK76" s="407"/>
      <c r="BL76" s="407"/>
      <c r="BM76" s="407"/>
      <c r="BN76" s="407"/>
      <c r="BO76" s="407"/>
      <c r="BQ76" s="88" t="str">
        <f>$B76</f>
        <v>($ in millions except per share amounts)</v>
      </c>
      <c r="BR76" s="92">
        <f>CSX!BR18</f>
        <v>32598</v>
      </c>
      <c r="BS76" s="92">
        <f>CSX!BS18</f>
        <v>32689</v>
      </c>
      <c r="BT76" s="92">
        <f>CSX!BT18</f>
        <v>32781</v>
      </c>
      <c r="BU76" s="92">
        <f>CSX!BU18</f>
        <v>32873</v>
      </c>
      <c r="BV76" s="92" t="str">
        <f>CSX!BV18</f>
        <v>FY</v>
      </c>
      <c r="BX76" s="88" t="str">
        <f>$B76</f>
        <v>($ in millions except per share amounts)</v>
      </c>
      <c r="BY76" s="92">
        <f>CSX!BY18</f>
        <v>32963</v>
      </c>
      <c r="BZ76" s="92">
        <f>CSX!BZ18</f>
        <v>33054</v>
      </c>
      <c r="CA76" s="92">
        <f>CSX!CA18</f>
        <v>33146</v>
      </c>
      <c r="CB76" s="92">
        <f>CSX!CB18</f>
        <v>33238</v>
      </c>
      <c r="CC76" s="92" t="str">
        <f>CSX!CC18</f>
        <v>FY</v>
      </c>
      <c r="CE76" s="88" t="str">
        <f>$B76</f>
        <v>($ in millions except per share amounts)</v>
      </c>
      <c r="CF76" s="92">
        <f>CSX!CF18</f>
        <v>33328</v>
      </c>
      <c r="CG76" s="92">
        <f>CSX!CG18</f>
        <v>33419</v>
      </c>
      <c r="CH76" s="92">
        <f>CSX!CH18</f>
        <v>33511</v>
      </c>
      <c r="CI76" s="92">
        <f>CSX!CI18</f>
        <v>33603</v>
      </c>
      <c r="CJ76" s="92" t="str">
        <f>CSX!CJ18</f>
        <v>FY</v>
      </c>
      <c r="CL76" s="88" t="str">
        <f>$B76</f>
        <v>($ in millions except per share amounts)</v>
      </c>
      <c r="CM76" s="92">
        <f>CSX!CM18</f>
        <v>33694</v>
      </c>
      <c r="CN76" s="92">
        <f>CSX!CN18</f>
        <v>33785</v>
      </c>
      <c r="CO76" s="92">
        <f>CSX!CO18</f>
        <v>33877</v>
      </c>
      <c r="CP76" s="92">
        <f>CSX!CP18</f>
        <v>33969</v>
      </c>
      <c r="CQ76" s="92" t="str">
        <f>CSX!CQ18</f>
        <v>FY</v>
      </c>
      <c r="CR76" s="655"/>
      <c r="CS76" s="88" t="str">
        <f>$B76</f>
        <v>($ in millions except per share amounts)</v>
      </c>
      <c r="CT76" s="92">
        <f>CSX!CT18</f>
        <v>34059</v>
      </c>
      <c r="CU76" s="92">
        <f>CSX!CU18</f>
        <v>34150</v>
      </c>
      <c r="CV76" s="92">
        <f>CSX!CV18</f>
        <v>34242</v>
      </c>
      <c r="CW76" s="92">
        <f>CSX!CW18</f>
        <v>34334</v>
      </c>
      <c r="CX76" s="92" t="str">
        <f>CSX!CX18</f>
        <v>FY</v>
      </c>
      <c r="CY76" s="655"/>
      <c r="CZ76" s="88" t="str">
        <f>$B76</f>
        <v>($ in millions except per share amounts)</v>
      </c>
      <c r="DA76" s="92">
        <f>CSX!DA18</f>
        <v>34424</v>
      </c>
      <c r="DB76" s="92">
        <f>CSX!DB18</f>
        <v>34515</v>
      </c>
      <c r="DC76" s="92">
        <f>CSX!DC18</f>
        <v>34607</v>
      </c>
      <c r="DD76" s="92">
        <f>CSX!DD18</f>
        <v>34699</v>
      </c>
      <c r="DE76" s="92" t="str">
        <f>CSX!DE18</f>
        <v>FY</v>
      </c>
      <c r="DF76" s="655"/>
      <c r="DG76" s="88" t="str">
        <f>$B76</f>
        <v>($ in millions except per share amounts)</v>
      </c>
      <c r="DH76" s="92">
        <f>CSX!DH18</f>
        <v>34789</v>
      </c>
      <c r="DI76" s="92">
        <f>CSX!DI18</f>
        <v>34880</v>
      </c>
      <c r="DJ76" s="92">
        <f>CSX!DJ18</f>
        <v>34972</v>
      </c>
      <c r="DK76" s="92">
        <f>CSX!DK18</f>
        <v>35064</v>
      </c>
      <c r="DL76" s="92" t="str">
        <f>CSX!DL18</f>
        <v>FY</v>
      </c>
      <c r="DM76" s="655"/>
      <c r="DN76" s="88" t="str">
        <f>$B76</f>
        <v>($ in millions except per share amounts)</v>
      </c>
      <c r="DO76" s="92">
        <f>CSX!DO18</f>
        <v>35155</v>
      </c>
      <c r="DP76" s="92">
        <f>CSX!DP18</f>
        <v>35246</v>
      </c>
      <c r="DQ76" s="92">
        <f>CSX!DQ18</f>
        <v>35338</v>
      </c>
      <c r="DR76" s="92">
        <f>CSX!DR18</f>
        <v>35430</v>
      </c>
      <c r="DS76" s="92" t="str">
        <f>CSX!DS18</f>
        <v>FY</v>
      </c>
      <c r="DT76" s="655"/>
      <c r="DU76" s="88" t="str">
        <f>$B76</f>
        <v>($ in millions except per share amounts)</v>
      </c>
      <c r="DV76" s="92">
        <f>CSX!DV18</f>
        <v>35520</v>
      </c>
      <c r="DW76" s="92">
        <f>CSX!DW18</f>
        <v>35611</v>
      </c>
      <c r="DX76" s="92">
        <f>CSX!DX18</f>
        <v>35703</v>
      </c>
      <c r="DY76" s="92">
        <f>CSX!DY18</f>
        <v>35795</v>
      </c>
      <c r="DZ76" s="92" t="str">
        <f>CSX!DZ18</f>
        <v>FY</v>
      </c>
      <c r="EA76" s="655"/>
      <c r="EB76" s="88" t="str">
        <f>$B76</f>
        <v>($ in millions except per share amounts)</v>
      </c>
      <c r="EC76" s="92">
        <f>CSX!EC18</f>
        <v>35885</v>
      </c>
      <c r="ED76" s="92">
        <f>CSX!ED18</f>
        <v>35976</v>
      </c>
      <c r="EE76" s="92">
        <f>CSX!EE18</f>
        <v>36068</v>
      </c>
      <c r="EF76" s="92">
        <f>CSX!EF18</f>
        <v>36160</v>
      </c>
      <c r="EG76" s="92" t="str">
        <f>CSX!EG18</f>
        <v>FY</v>
      </c>
      <c r="EH76" s="655"/>
      <c r="EI76" s="88" t="str">
        <f>$B76</f>
        <v>($ in millions except per share amounts)</v>
      </c>
      <c r="EJ76" s="92">
        <f>CSX!EJ18</f>
        <v>36250</v>
      </c>
      <c r="EK76" s="92">
        <f>CSX!EK18</f>
        <v>36341</v>
      </c>
      <c r="EL76" s="92">
        <f>CSX!EL18</f>
        <v>36433</v>
      </c>
      <c r="EM76" s="92">
        <f>CSX!EM18</f>
        <v>36525</v>
      </c>
      <c r="EN76" s="92" t="str">
        <f>CSX!EN18</f>
        <v>FY</v>
      </c>
      <c r="EO76" s="655"/>
      <c r="EP76" s="88" t="str">
        <f>$B76</f>
        <v>($ in millions except per share amounts)</v>
      </c>
      <c r="EQ76" s="92">
        <f>CSX!EQ18</f>
        <v>36616</v>
      </c>
      <c r="ER76" s="92">
        <f>CSX!ER18</f>
        <v>36707</v>
      </c>
      <c r="ES76" s="92">
        <f>CSX!ES18</f>
        <v>36799</v>
      </c>
      <c r="ET76" s="92">
        <f>CSX!ET18</f>
        <v>36891</v>
      </c>
      <c r="EU76" s="92" t="str">
        <f>CSX!EU18</f>
        <v>FY</v>
      </c>
      <c r="EW76" s="88" t="str">
        <f>$B76</f>
        <v>($ in millions except per share amounts)</v>
      </c>
      <c r="EX76" s="92">
        <f>CSX!EX18</f>
        <v>36981</v>
      </c>
      <c r="EY76" s="92">
        <f>CSX!EY18</f>
        <v>37072</v>
      </c>
      <c r="EZ76" s="92">
        <f>CSX!EZ18</f>
        <v>37164</v>
      </c>
      <c r="FA76" s="92">
        <f>CSX!FA18</f>
        <v>37256</v>
      </c>
      <c r="FB76" s="92" t="str">
        <f>CSX!FB18</f>
        <v>FY</v>
      </c>
      <c r="FD76" s="88" t="str">
        <f>$B76</f>
        <v>($ in millions except per share amounts)</v>
      </c>
      <c r="FE76" s="92">
        <f>CSX!FE18</f>
        <v>37346</v>
      </c>
      <c r="FF76" s="92">
        <f>CSX!FF18</f>
        <v>37437</v>
      </c>
      <c r="FG76" s="92">
        <f>CSX!FG18</f>
        <v>37529</v>
      </c>
      <c r="FH76" s="92">
        <f>CSX!FH18</f>
        <v>37621</v>
      </c>
      <c r="FI76" s="92" t="str">
        <f>CSX!FI18</f>
        <v>FY</v>
      </c>
      <c r="FK76" s="88" t="str">
        <f>$B76</f>
        <v>($ in millions except per share amounts)</v>
      </c>
      <c r="FL76" s="92">
        <f>CSX!FL18</f>
        <v>37711</v>
      </c>
      <c r="FM76" s="92">
        <f>CSX!FM18</f>
        <v>37802</v>
      </c>
      <c r="FN76" s="92">
        <f>CSX!FN18</f>
        <v>37894</v>
      </c>
      <c r="FO76" s="92">
        <f>CSX!FO18</f>
        <v>37986</v>
      </c>
      <c r="FP76" s="92" t="str">
        <f>CSX!FP18</f>
        <v>FY</v>
      </c>
      <c r="FR76" s="88" t="str">
        <f>$B76</f>
        <v>($ in millions except per share amounts)</v>
      </c>
      <c r="FS76" s="92">
        <f>CSX!FS18</f>
        <v>38077</v>
      </c>
      <c r="FT76" s="92">
        <f>CSX!FT18</f>
        <v>38168</v>
      </c>
      <c r="FU76" s="92">
        <f>CSX!FU18</f>
        <v>38260</v>
      </c>
      <c r="FV76" s="92">
        <f>CSX!FV18</f>
        <v>38352</v>
      </c>
      <c r="FW76" s="92" t="str">
        <f>CSX!FW18</f>
        <v>FY</v>
      </c>
      <c r="FY76" s="88" t="str">
        <f>$B76</f>
        <v>($ in millions except per share amounts)</v>
      </c>
      <c r="FZ76" s="92">
        <f>CSX!FZ18</f>
        <v>38442</v>
      </c>
      <c r="GA76" s="92">
        <f>CSX!GA18</f>
        <v>38533</v>
      </c>
      <c r="GB76" s="92">
        <f>CSX!GB18</f>
        <v>38625</v>
      </c>
      <c r="GC76" s="92">
        <f>CSX!GC18</f>
        <v>38717</v>
      </c>
      <c r="GD76" s="92" t="str">
        <f>CSX!GD18</f>
        <v>FY</v>
      </c>
      <c r="GE76" s="655"/>
      <c r="GF76" s="88" t="str">
        <f>$B76</f>
        <v>($ in millions except per share amounts)</v>
      </c>
      <c r="GG76" s="92">
        <f>CSX!GG18</f>
        <v>38807</v>
      </c>
      <c r="GH76" s="92">
        <f>CSX!GH18</f>
        <v>38898</v>
      </c>
      <c r="GI76" s="92">
        <f>CSX!GI18</f>
        <v>38990</v>
      </c>
      <c r="GJ76" s="92">
        <f>CSX!GJ18</f>
        <v>39082</v>
      </c>
      <c r="GK76" s="92" t="str">
        <f>CSX!GK18</f>
        <v>FY</v>
      </c>
      <c r="GL76" s="655"/>
      <c r="GM76" s="88" t="str">
        <f>$B76</f>
        <v>($ in millions except per share amounts)</v>
      </c>
      <c r="GN76" s="92">
        <f>CSX!GN18</f>
        <v>39172</v>
      </c>
      <c r="GO76" s="92">
        <f>CSX!GO18</f>
        <v>39263</v>
      </c>
      <c r="GP76" s="92">
        <f>CSX!GP18</f>
        <v>39355</v>
      </c>
      <c r="GQ76" s="92">
        <f>CSX!GQ18</f>
        <v>39447</v>
      </c>
      <c r="GR76" s="92" t="str">
        <f>CSX!GR18</f>
        <v>FY</v>
      </c>
      <c r="GS76" s="655"/>
      <c r="GT76" s="88" t="str">
        <f>$B76</f>
        <v>($ in millions except per share amounts)</v>
      </c>
      <c r="GU76" s="92">
        <f>CSX!GU18</f>
        <v>39538</v>
      </c>
      <c r="GV76" s="92">
        <f>CSX!GV18</f>
        <v>39629</v>
      </c>
      <c r="GW76" s="92">
        <f>CSX!GW18</f>
        <v>39721</v>
      </c>
      <c r="GX76" s="92">
        <f>CSX!GX18</f>
        <v>39813</v>
      </c>
      <c r="GY76" s="92" t="str">
        <f>CSX!GY18</f>
        <v>FY</v>
      </c>
      <c r="GZ76" s="655"/>
      <c r="HA76" s="88" t="str">
        <f>$B76</f>
        <v>($ in millions except per share amounts)</v>
      </c>
      <c r="HB76" s="92">
        <f>CSX!HB18</f>
        <v>39903</v>
      </c>
      <c r="HC76" s="92">
        <f>CSX!HC18</f>
        <v>39994</v>
      </c>
      <c r="HD76" s="92">
        <f>CSX!HD18</f>
        <v>40086</v>
      </c>
      <c r="HE76" s="92">
        <f>CSX!HE18</f>
        <v>40178</v>
      </c>
      <c r="HF76" s="92" t="str">
        <f>CSX!HF18</f>
        <v>FY</v>
      </c>
      <c r="HG76" s="655"/>
      <c r="HH76" s="88" t="str">
        <f>$B76</f>
        <v>($ in millions except per share amounts)</v>
      </c>
      <c r="HI76" s="92">
        <f>CSX!HI18</f>
        <v>40268</v>
      </c>
      <c r="HJ76" s="92">
        <f>CSX!HJ18</f>
        <v>40359</v>
      </c>
      <c r="HK76" s="92">
        <f>CSX!HK18</f>
        <v>40451</v>
      </c>
      <c r="HL76" s="92">
        <f>CSX!HL18</f>
        <v>40543</v>
      </c>
      <c r="HM76" s="92" t="str">
        <f>CSX!HM18</f>
        <v>FY</v>
      </c>
      <c r="HN76" s="655"/>
      <c r="HO76" s="88" t="str">
        <f>$B76</f>
        <v>($ in millions except per share amounts)</v>
      </c>
      <c r="HP76" s="92">
        <f>CSX!HP18</f>
        <v>40633</v>
      </c>
      <c r="HQ76" s="92">
        <f>CSX!HQ18</f>
        <v>40724</v>
      </c>
      <c r="HR76" s="92">
        <f>CSX!HR18</f>
        <v>40816</v>
      </c>
      <c r="HS76" s="92">
        <f>CSX!HS18</f>
        <v>40908</v>
      </c>
      <c r="HT76" s="92" t="str">
        <f>CSX!HT18</f>
        <v>FY</v>
      </c>
      <c r="HU76" s="655"/>
      <c r="HV76" s="88" t="str">
        <f>$B76</f>
        <v>($ in millions except per share amounts)</v>
      </c>
      <c r="HW76" s="92">
        <f>CSX!HW18</f>
        <v>40999</v>
      </c>
      <c r="HX76" s="92">
        <f>CSX!HX18</f>
        <v>41090</v>
      </c>
      <c r="HY76" s="92">
        <f>CSX!HY18</f>
        <v>41182</v>
      </c>
      <c r="HZ76" s="92">
        <f>CSX!HZ18</f>
        <v>41274</v>
      </c>
      <c r="IA76" s="92" t="str">
        <f>CSX!IA18</f>
        <v>FY</v>
      </c>
      <c r="IB76" s="655"/>
      <c r="IC76" s="88" t="str">
        <f>$B76</f>
        <v>($ in millions except per share amounts)</v>
      </c>
      <c r="ID76" s="92">
        <f>CSX!ID18</f>
        <v>41364</v>
      </c>
      <c r="IE76" s="92">
        <f>CSX!IE18</f>
        <v>41455</v>
      </c>
      <c r="IF76" s="92">
        <f>CSX!IF18</f>
        <v>41547</v>
      </c>
      <c r="IG76" s="92">
        <f>CSX!IG18</f>
        <v>41639</v>
      </c>
      <c r="IH76" s="92" t="str">
        <f>CSX!IH18</f>
        <v>FY</v>
      </c>
      <c r="II76" s="655"/>
      <c r="IJ76" s="88" t="str">
        <f>$B76</f>
        <v>($ in millions except per share amounts)</v>
      </c>
      <c r="IK76" s="92">
        <f>CSX!IK18</f>
        <v>41729</v>
      </c>
      <c r="IL76" s="92">
        <f>CSX!IL18</f>
        <v>41820</v>
      </c>
      <c r="IM76" s="92">
        <f>CSX!IM18</f>
        <v>41912</v>
      </c>
      <c r="IN76" s="92">
        <f>CSX!IN18</f>
        <v>42004</v>
      </c>
      <c r="IO76" s="92" t="str">
        <f>CSX!IO18</f>
        <v>FY</v>
      </c>
      <c r="IP76" s="655"/>
      <c r="IQ76" s="88" t="str">
        <f>$B76</f>
        <v>($ in millions except per share amounts)</v>
      </c>
      <c r="IR76" s="92">
        <f>CSX!IR18</f>
        <v>42094</v>
      </c>
      <c r="IS76" s="92">
        <f>CSX!IS18</f>
        <v>42185</v>
      </c>
      <c r="IT76" s="92">
        <f>CSX!IT18</f>
        <v>42277</v>
      </c>
      <c r="IU76" s="92">
        <f>CSX!IU18</f>
        <v>42369</v>
      </c>
      <c r="IV76" s="92" t="str">
        <f>CSX!IV18</f>
        <v>FY</v>
      </c>
      <c r="IW76" s="655"/>
      <c r="IX76" s="88" t="str">
        <f>$B76</f>
        <v>($ in millions except per share amounts)</v>
      </c>
      <c r="IY76" s="92">
        <f>CSX!IY18</f>
        <v>42460</v>
      </c>
      <c r="IZ76" s="92">
        <f>CSX!IZ18</f>
        <v>42551</v>
      </c>
      <c r="JA76" s="92">
        <f>CSX!JA18</f>
        <v>42643</v>
      </c>
      <c r="JB76" s="92">
        <f>CSX!JB18</f>
        <v>42735</v>
      </c>
      <c r="JC76" s="92" t="str">
        <f>CSX!JC18</f>
        <v>FY</v>
      </c>
      <c r="JD76" s="655"/>
      <c r="JE76" s="88" t="str">
        <f>$B76</f>
        <v>($ in millions except per share amounts)</v>
      </c>
      <c r="JF76" s="92">
        <f>CSX!JF18</f>
        <v>42825</v>
      </c>
      <c r="JG76" s="92">
        <f>CSX!JG18</f>
        <v>42916</v>
      </c>
      <c r="JH76" s="92">
        <f>CSX!JH18</f>
        <v>43008</v>
      </c>
      <c r="JI76" s="92">
        <f>CSX!JI18</f>
        <v>43100</v>
      </c>
      <c r="JJ76" s="92" t="str">
        <f>CSX!JJ18</f>
        <v>FY</v>
      </c>
      <c r="JK76" s="655"/>
      <c r="JL76" s="88" t="str">
        <f>$B76</f>
        <v>($ in millions except per share amounts)</v>
      </c>
      <c r="JM76" s="92">
        <f>CSX!JM18</f>
        <v>43190</v>
      </c>
      <c r="JN76" s="92">
        <f>CSX!JN18</f>
        <v>43281</v>
      </c>
      <c r="JO76" s="92">
        <f>CSX!JO18</f>
        <v>43373</v>
      </c>
      <c r="JP76" s="92">
        <f>CSX!JP18</f>
        <v>43465</v>
      </c>
      <c r="JQ76" s="92" t="str">
        <f>CSX!JQ18</f>
        <v>FY</v>
      </c>
      <c r="JR76" s="655"/>
      <c r="JS76" s="88" t="str">
        <f>$B76</f>
        <v>($ in millions except per share amounts)</v>
      </c>
      <c r="JT76" s="92">
        <f>CSX!JT18</f>
        <v>43555</v>
      </c>
      <c r="JU76" s="92">
        <f>CSX!JU18</f>
        <v>43646</v>
      </c>
      <c r="JV76" s="92">
        <f>CSX!JV18</f>
        <v>43738</v>
      </c>
      <c r="JW76" s="92">
        <f>CSX!JW18</f>
        <v>43830</v>
      </c>
      <c r="JX76" s="92" t="str">
        <f>CSX!JX18</f>
        <v>FY</v>
      </c>
      <c r="JY76" s="655"/>
      <c r="JZ76" s="88" t="str">
        <f>$B76</f>
        <v>($ in millions except per share amounts)</v>
      </c>
      <c r="KA76" s="92">
        <f>CSX!KA18</f>
        <v>43921</v>
      </c>
      <c r="KB76" s="92">
        <f>CSX!KB18</f>
        <v>44012</v>
      </c>
      <c r="KC76" s="92">
        <f>CSX!KC18</f>
        <v>44104</v>
      </c>
      <c r="KD76" s="92">
        <f>CSX!KD18</f>
        <v>44196</v>
      </c>
      <c r="KE76" s="92" t="str">
        <f>CSX!KE18</f>
        <v>FY</v>
      </c>
      <c r="KF76" s="655"/>
      <c r="KG76" s="88" t="str">
        <f>$B76</f>
        <v>($ in millions except per share amounts)</v>
      </c>
      <c r="KH76" s="92">
        <f>CSX!KH18</f>
        <v>44286</v>
      </c>
      <c r="KI76" s="92">
        <f>CSX!KI18</f>
        <v>44377</v>
      </c>
      <c r="KJ76" s="92">
        <f>CSX!KJ18</f>
        <v>44469</v>
      </c>
      <c r="KK76" s="92">
        <f>CSX!KK18</f>
        <v>44561</v>
      </c>
      <c r="KL76" s="92" t="str">
        <f>CSX!KL18</f>
        <v>FY</v>
      </c>
      <c r="KM76" s="655"/>
      <c r="KN76" s="88" t="str">
        <f>$B76</f>
        <v>($ in millions except per share amounts)</v>
      </c>
      <c r="KO76" s="92">
        <f>CSX!KO18</f>
        <v>44651</v>
      </c>
      <c r="KP76" s="92">
        <f>CSX!KP18</f>
        <v>44742</v>
      </c>
      <c r="KQ76" s="92">
        <f>CSX!KQ18</f>
        <v>44834</v>
      </c>
      <c r="KR76" s="92">
        <f>CSX!KR18</f>
        <v>44926</v>
      </c>
      <c r="KS76" s="92" t="str">
        <f>CSX!KS18</f>
        <v>FY</v>
      </c>
      <c r="KT76" s="655"/>
      <c r="KU76" s="88" t="str">
        <f>$B76</f>
        <v>($ in millions except per share amounts)</v>
      </c>
      <c r="KV76" s="92">
        <f>CSX!KV18</f>
        <v>45016</v>
      </c>
      <c r="KW76" s="92">
        <f>CSX!KW18</f>
        <v>45107</v>
      </c>
      <c r="KX76" s="92">
        <f>CSX!KX18</f>
        <v>45199</v>
      </c>
      <c r="KY76" s="92">
        <f>CSX!KY18</f>
        <v>45291</v>
      </c>
      <c r="KZ76" s="92" t="str">
        <f>CSX!KZ18</f>
        <v>FY</v>
      </c>
      <c r="LA76" s="655"/>
      <c r="LB76" s="88" t="str">
        <f>$B76</f>
        <v>($ in millions except per share amounts)</v>
      </c>
      <c r="LC76" s="92">
        <f>CSX!LC18</f>
        <v>45382</v>
      </c>
      <c r="LD76" s="92">
        <f>CSX!LD18</f>
        <v>45473</v>
      </c>
      <c r="LE76" s="92">
        <f>CSX!LE18</f>
        <v>45565</v>
      </c>
      <c r="LF76" s="92">
        <f>CSX!LF18</f>
        <v>45657</v>
      </c>
      <c r="LG76" s="95" t="str">
        <f>CSX!LG18</f>
        <v>FY</v>
      </c>
      <c r="LH76" s="547"/>
      <c r="LI76" s="88" t="str">
        <f>$B76</f>
        <v>($ in millions except per share amounts)</v>
      </c>
      <c r="LJ76" s="92">
        <f>CSX!LJ18</f>
        <v>45747</v>
      </c>
      <c r="LK76" s="92">
        <f>CSX!LK18</f>
        <v>45838</v>
      </c>
      <c r="LL76" s="92">
        <f>CSX!LL18</f>
        <v>45930</v>
      </c>
      <c r="LM76" s="92">
        <f>CSX!LM18</f>
        <v>46022</v>
      </c>
      <c r="LN76" s="95" t="str">
        <f>CSX!LN18</f>
        <v>FY</v>
      </c>
      <c r="LO76" s="547"/>
      <c r="LP76" s="88" t="str">
        <f>$B76</f>
        <v>($ in millions except per share amounts)</v>
      </c>
      <c r="LQ76" s="92">
        <f>CSX!LQ18</f>
        <v>46112</v>
      </c>
      <c r="LR76" s="92">
        <f>CSX!LR18</f>
        <v>46203</v>
      </c>
      <c r="LS76" s="92">
        <f>CSX!LS18</f>
        <v>46295</v>
      </c>
      <c r="LT76" s="92">
        <f>CSX!LT18</f>
        <v>46387</v>
      </c>
      <c r="LU76" s="95" t="str">
        <f>CSX!LU18</f>
        <v>FY</v>
      </c>
      <c r="LV76" s="547"/>
      <c r="LW76" s="88" t="str">
        <f>$B76</f>
        <v>($ in millions except per share amounts)</v>
      </c>
      <c r="LX76" s="92">
        <f>CSX!LX18</f>
        <v>46477</v>
      </c>
      <c r="LY76" s="92">
        <f>CSX!LY18</f>
        <v>46568</v>
      </c>
      <c r="LZ76" s="92">
        <f>CSX!LZ18</f>
        <v>46660</v>
      </c>
      <c r="MA76" s="92">
        <f>CSX!MA18</f>
        <v>46752</v>
      </c>
      <c r="MB76" s="95" t="str">
        <f>CSX!MB18</f>
        <v>FY</v>
      </c>
      <c r="MC76" s="547"/>
      <c r="MD76" s="88" t="str">
        <f>$B76</f>
        <v>($ in millions except per share amounts)</v>
      </c>
      <c r="ME76" s="92">
        <f>CSX!ME18</f>
        <v>46843</v>
      </c>
      <c r="MF76" s="92">
        <f>CSX!MF18</f>
        <v>46934</v>
      </c>
      <c r="MG76" s="92">
        <f>CSX!MG18</f>
        <v>47026</v>
      </c>
      <c r="MH76" s="92">
        <f>CSX!MH18</f>
        <v>47118</v>
      </c>
      <c r="MI76" s="95" t="str">
        <f>CSX!MI18</f>
        <v>FY</v>
      </c>
      <c r="MJ76" s="547"/>
    </row>
    <row r="78" spans="1:348" x14ac:dyDescent="0.4">
      <c r="B78" s="53" t="s">
        <v>545</v>
      </c>
      <c r="BQ78" s="53" t="str">
        <f>$B$78</f>
        <v>Beginning Share count</v>
      </c>
      <c r="BX78" s="53" t="str">
        <f>$B$78</f>
        <v>Beginning Share count</v>
      </c>
      <c r="CE78" s="53" t="str">
        <f>$B$78</f>
        <v>Beginning Share count</v>
      </c>
      <c r="CL78" s="53" t="str">
        <f>$B$78</f>
        <v>Beginning Share count</v>
      </c>
      <c r="CS78" s="53" t="str">
        <f>$B$78</f>
        <v>Beginning Share count</v>
      </c>
      <c r="CZ78" s="53" t="str">
        <f>$B$78</f>
        <v>Beginning Share count</v>
      </c>
      <c r="DG78" s="53" t="str">
        <f>$B$78</f>
        <v>Beginning Share count</v>
      </c>
      <c r="DN78" s="53" t="str">
        <f>$B$78</f>
        <v>Beginning Share count</v>
      </c>
      <c r="DU78" s="53" t="str">
        <f>$B$78</f>
        <v>Beginning Share count</v>
      </c>
      <c r="EB78" s="53" t="str">
        <f>$B$78</f>
        <v>Beginning Share count</v>
      </c>
      <c r="EI78" s="53" t="str">
        <f>$B$78</f>
        <v>Beginning Share count</v>
      </c>
      <c r="EP78" s="53" t="str">
        <f>$B$78</f>
        <v>Beginning Share count</v>
      </c>
      <c r="EW78" s="53" t="str">
        <f>$B$78</f>
        <v>Beginning Share count</v>
      </c>
      <c r="FD78" s="53" t="str">
        <f>$B$78</f>
        <v>Beginning Share count</v>
      </c>
      <c r="FK78" s="53" t="str">
        <f>$B$78</f>
        <v>Beginning Share count</v>
      </c>
      <c r="FR78" s="53" t="str">
        <f>$B$78</f>
        <v>Beginning Share count</v>
      </c>
      <c r="FY78" s="53" t="str">
        <f>$B$78</f>
        <v>Beginning Share count</v>
      </c>
      <c r="GF78" s="53" t="str">
        <f>$B$78</f>
        <v>Beginning Share count</v>
      </c>
      <c r="GM78" s="53" t="str">
        <f>$B$78</f>
        <v>Beginning Share count</v>
      </c>
      <c r="GT78" s="53" t="str">
        <f>$B$78</f>
        <v>Beginning Share count</v>
      </c>
      <c r="HA78" s="53" t="str">
        <f>$B$78</f>
        <v>Beginning Share count</v>
      </c>
      <c r="HH78" s="53" t="str">
        <f>$B$78</f>
        <v>Beginning Share count</v>
      </c>
      <c r="HO78" s="53" t="str">
        <f>$B$78</f>
        <v>Beginning Share count</v>
      </c>
      <c r="HV78" s="53" t="str">
        <f>$B$78</f>
        <v>Beginning Share count</v>
      </c>
      <c r="IC78" s="53" t="str">
        <f>$B$78</f>
        <v>Beginning Share count</v>
      </c>
      <c r="ID78" s="265">
        <f>HZ81</f>
        <v>3061.4539877709199</v>
      </c>
      <c r="IE78" s="265">
        <f>ID81</f>
        <v>3065.8818286823598</v>
      </c>
      <c r="IF78" s="265">
        <f>IE81</f>
        <v>3056.5118778697602</v>
      </c>
      <c r="IG78" s="265">
        <f>IF81</f>
        <v>3041.02302217954</v>
      </c>
      <c r="IH78" s="265">
        <f>ID78</f>
        <v>3061.4539877709199</v>
      </c>
      <c r="IJ78" s="53" t="str">
        <f>$B$78</f>
        <v>Beginning Share count</v>
      </c>
      <c r="IK78" s="265">
        <f>IG81</f>
        <v>3026.5792134684102</v>
      </c>
      <c r="IL78" s="265">
        <f>IK81</f>
        <v>3013.0877067382398</v>
      </c>
      <c r="IM78" s="265">
        <f>IL81</f>
        <v>2998.7171880256601</v>
      </c>
      <c r="IN78" s="265">
        <f>IM81</f>
        <v>2986.1918492761602</v>
      </c>
      <c r="IO78" s="265">
        <f>IK78</f>
        <v>3026.5792134684102</v>
      </c>
      <c r="IQ78" s="53" t="str">
        <f>$B$78</f>
        <v>Beginning Share count</v>
      </c>
      <c r="IR78" s="265">
        <f>IN81</f>
        <v>2974.7728475045401</v>
      </c>
      <c r="IS78" s="265">
        <f>IR81</f>
        <v>2963.9441647211202</v>
      </c>
      <c r="IT78" s="265">
        <f>IS81</f>
        <v>2951.2116789757702</v>
      </c>
      <c r="IU78" s="265">
        <f>IT81</f>
        <v>2924.83431450331</v>
      </c>
      <c r="IV78" s="265">
        <f>IR78</f>
        <v>2974.7728475045401</v>
      </c>
      <c r="IX78" s="53" t="str">
        <f>$B$78</f>
        <v>Beginning Share count</v>
      </c>
      <c r="IY78" s="265">
        <f>IU81</f>
        <v>2896.5406190691901</v>
      </c>
      <c r="IZ78" s="265">
        <f>IY81</f>
        <v>2867.6011886479801</v>
      </c>
      <c r="JA78" s="265">
        <f>IZ81</f>
        <v>2837.9727782405398</v>
      </c>
      <c r="JB78" s="265">
        <f>JA81</f>
        <v>2809.9832798003299</v>
      </c>
      <c r="JC78" s="265">
        <f>IY78</f>
        <v>2896.5406190691901</v>
      </c>
      <c r="JE78" s="53" t="str">
        <f>$B$78</f>
        <v>Beginning Share count</v>
      </c>
      <c r="JF78" s="265">
        <f>JB81</f>
        <v>2784.5391133092198</v>
      </c>
      <c r="JG78" s="265">
        <f>JF81</f>
        <v>2768.0613766387701</v>
      </c>
      <c r="JH78" s="265">
        <f>JG81</f>
        <v>2739.9389752012198</v>
      </c>
      <c r="JI78" s="265">
        <f>JH81</f>
        <v>2681.1691953766199</v>
      </c>
      <c r="JJ78" s="265">
        <f>JF78</f>
        <v>2784.5391133092198</v>
      </c>
      <c r="JL78" s="53" t="str">
        <f>$B$78</f>
        <v>Beginning Share count</v>
      </c>
      <c r="JM78" s="265">
        <f>JI81</f>
        <v>2669.5532166089301</v>
      </c>
      <c r="JN78" s="265">
        <f>JM81</f>
        <v>2626.06058547879</v>
      </c>
      <c r="JO78" s="265">
        <f>JN81</f>
        <v>2576.4316194713701</v>
      </c>
      <c r="JP78" s="265">
        <f>JO81</f>
        <v>2533.2610323347799</v>
      </c>
      <c r="JQ78" s="265">
        <f>JM78</f>
        <v>2669.5532166089301</v>
      </c>
      <c r="JS78" s="53" t="str">
        <f>$B$78</f>
        <v>Beginning Share count</v>
      </c>
      <c r="JT78" s="265">
        <f>JP81</f>
        <v>2454.5399149092</v>
      </c>
      <c r="JU78" s="265">
        <f>JT81</f>
        <v>2427.4909494501799</v>
      </c>
      <c r="JV78" s="265">
        <f>JU81</f>
        <v>2394.52737610945</v>
      </c>
      <c r="JW78" s="265">
        <f>JV81</f>
        <v>2347.0259530594799</v>
      </c>
      <c r="JX78" s="265">
        <f>JT78</f>
        <v>2454.5399149092</v>
      </c>
      <c r="JZ78" s="53" t="str">
        <f>$B$78</f>
        <v>Beginning Share count</v>
      </c>
      <c r="KA78" s="265">
        <f>JW81</f>
        <v>2320.4124285917501</v>
      </c>
      <c r="KB78" s="265">
        <f>KA81</f>
        <v>2296.3976360720499</v>
      </c>
      <c r="KC78" s="265">
        <f>KB81</f>
        <v>2295.1576010968502</v>
      </c>
      <c r="KD78" s="265">
        <f>KC81</f>
        <v>2294.3248281135002</v>
      </c>
      <c r="KE78" s="265">
        <f>KA78</f>
        <v>2320.4124285917501</v>
      </c>
      <c r="KG78" s="53" t="str">
        <f>$B$78</f>
        <v>Beginning Share count</v>
      </c>
      <c r="KH78" s="265">
        <f>KD81</f>
        <v>2287.58731124825</v>
      </c>
      <c r="KI78" s="265">
        <f>KH81</f>
        <v>2272.2006025559899</v>
      </c>
      <c r="KJ78" s="265">
        <f>KI81</f>
        <v>2254.4960000000001</v>
      </c>
      <c r="KK78" s="265">
        <f>KJ81</f>
        <v>2217.9834110000002</v>
      </c>
      <c r="KL78" s="265">
        <f>KH78</f>
        <v>2287.58731124825</v>
      </c>
      <c r="KN78" s="53" t="str">
        <f>$B$78</f>
        <v>Beginning Share count</v>
      </c>
      <c r="KO78" s="265">
        <f>KK81</f>
        <v>2202</v>
      </c>
      <c r="KP78" s="265">
        <f>KO81</f>
        <v>2174.2599519999999</v>
      </c>
      <c r="KQ78" s="265">
        <f>KP81</f>
        <v>2141.2411360000001</v>
      </c>
      <c r="KR78" s="265">
        <f>KQ81</f>
        <v>2102.4087290000002</v>
      </c>
      <c r="KS78" s="265">
        <f>KO78</f>
        <v>2202</v>
      </c>
      <c r="KU78" s="53" t="str">
        <f>$B$78</f>
        <v>Beginning Share count</v>
      </c>
      <c r="KV78" s="265">
        <f>KR81</f>
        <v>2066</v>
      </c>
      <c r="KW78" s="265">
        <f>KV81</f>
        <v>2033.054922</v>
      </c>
      <c r="KX78" s="265">
        <f>KW81</f>
        <v>2006.3300569999999</v>
      </c>
      <c r="KY78" s="265">
        <f>KX81</f>
        <v>1976.1310350000001</v>
      </c>
      <c r="KZ78" s="265">
        <f>KV78</f>
        <v>2066</v>
      </c>
      <c r="LB78" s="53" t="str">
        <f>$B$78</f>
        <v>Beginning Share count</v>
      </c>
      <c r="LC78" s="37">
        <f>KY81</f>
        <v>1958</v>
      </c>
      <c r="LD78" s="239">
        <f>LC81</f>
        <v>1954.927162</v>
      </c>
      <c r="LE78" s="304">
        <f>LD81</f>
        <v>1938.7396610000001</v>
      </c>
      <c r="LF78" s="265">
        <f>LE81</f>
        <v>1928.4191530000001</v>
      </c>
      <c r="LG78" s="265">
        <f>LC78</f>
        <v>1958</v>
      </c>
      <c r="LI78" s="53" t="str">
        <f>$B$78</f>
        <v>Beginning Share count</v>
      </c>
      <c r="LJ78" s="37">
        <f>LF81</f>
        <v>1900.19</v>
      </c>
      <c r="LK78" s="239">
        <f>LJ81</f>
        <v>1878.377</v>
      </c>
      <c r="LL78" s="239">
        <f>LK81</f>
        <v>1864.28</v>
      </c>
      <c r="LM78" s="265">
        <f>LL81</f>
        <v>1862.1369560000001</v>
      </c>
      <c r="LN78" s="265">
        <f>LJ78</f>
        <v>1900.19</v>
      </c>
      <c r="LO78" s="717"/>
      <c r="LP78" s="53" t="str">
        <f>$B$78</f>
        <v>Beginning Share count</v>
      </c>
      <c r="LQ78" s="265">
        <f>LM81</f>
        <v>1860.3813790000002</v>
      </c>
      <c r="LR78" s="265">
        <f>LQ81</f>
        <v>1844.3813790000002</v>
      </c>
      <c r="LS78" s="265">
        <f>LR81</f>
        <v>1827.3813790000002</v>
      </c>
      <c r="LT78" s="265">
        <f>LS81</f>
        <v>1810.3813790000002</v>
      </c>
      <c r="LU78" s="265">
        <f>LQ78</f>
        <v>1860.3813790000002</v>
      </c>
      <c r="LV78" s="717"/>
      <c r="LW78" s="53" t="str">
        <f>$B$78</f>
        <v>Beginning Share count</v>
      </c>
      <c r="LX78" s="265">
        <f>LT81</f>
        <v>1793.3813790000002</v>
      </c>
      <c r="LY78" s="265">
        <f>LX81</f>
        <v>1776.3813790000002</v>
      </c>
      <c r="LZ78" s="265">
        <f>LY81</f>
        <v>1759.3813790000002</v>
      </c>
      <c r="MA78" s="265">
        <f>LZ81</f>
        <v>1742.3813790000002</v>
      </c>
      <c r="MB78" s="265">
        <f>LX78</f>
        <v>1793.3813790000002</v>
      </c>
      <c r="MC78" s="717"/>
      <c r="MD78" s="53" t="str">
        <f>$B$78</f>
        <v>Beginning Share count</v>
      </c>
      <c r="ME78" s="265">
        <f>MA81</f>
        <v>1725.3813790000002</v>
      </c>
      <c r="MF78" s="265">
        <f>ME81</f>
        <v>1707.8813790000002</v>
      </c>
      <c r="MG78" s="265">
        <f>MF81</f>
        <v>1690.3813790000002</v>
      </c>
      <c r="MH78" s="265">
        <f>MG81</f>
        <v>1672.8813790000002</v>
      </c>
      <c r="MI78" s="265">
        <f>ME78</f>
        <v>1725.3813790000002</v>
      </c>
      <c r="MJ78" s="717"/>
    </row>
    <row r="79" spans="1:348" x14ac:dyDescent="0.4">
      <c r="B79" s="711" t="s">
        <v>546</v>
      </c>
      <c r="BQ79" s="711" t="str">
        <f>$B$79</f>
        <v>(Repurchases of common stock)</v>
      </c>
      <c r="BX79" s="711" t="str">
        <f>$B$79</f>
        <v>(Repurchases of common stock)</v>
      </c>
      <c r="CE79" s="711" t="str">
        <f>$B$79</f>
        <v>(Repurchases of common stock)</v>
      </c>
      <c r="CL79" s="711" t="str">
        <f>$B$79</f>
        <v>(Repurchases of common stock)</v>
      </c>
      <c r="CS79" s="711" t="str">
        <f>$B$79</f>
        <v>(Repurchases of common stock)</v>
      </c>
      <c r="CZ79" s="711" t="str">
        <f>$B$79</f>
        <v>(Repurchases of common stock)</v>
      </c>
      <c r="DG79" s="711" t="str">
        <f>$B$79</f>
        <v>(Repurchases of common stock)</v>
      </c>
      <c r="DN79" s="711" t="str">
        <f>$B$79</f>
        <v>(Repurchases of common stock)</v>
      </c>
      <c r="DU79" s="711" t="str">
        <f>$B$79</f>
        <v>(Repurchases of common stock)</v>
      </c>
      <c r="EB79" s="711" t="str">
        <f>$B$79</f>
        <v>(Repurchases of common stock)</v>
      </c>
      <c r="EI79" s="711" t="str">
        <f>$B$79</f>
        <v>(Repurchases of common stock)</v>
      </c>
      <c r="EP79" s="711" t="str">
        <f>$B$79</f>
        <v>(Repurchases of common stock)</v>
      </c>
      <c r="EW79" s="711" t="str">
        <f>$B$79</f>
        <v>(Repurchases of common stock)</v>
      </c>
      <c r="FD79" s="711" t="str">
        <f>$B$79</f>
        <v>(Repurchases of common stock)</v>
      </c>
      <c r="FK79" s="711" t="str">
        <f>$B$79</f>
        <v>(Repurchases of common stock)</v>
      </c>
      <c r="FR79" s="711" t="str">
        <f>$B$79</f>
        <v>(Repurchases of common stock)</v>
      </c>
      <c r="FY79" s="711" t="str">
        <f>$B$79</f>
        <v>(Repurchases of common stock)</v>
      </c>
      <c r="GF79" s="711" t="str">
        <f>$B$79</f>
        <v>(Repurchases of common stock)</v>
      </c>
      <c r="GM79" s="711" t="str">
        <f>$B$79</f>
        <v>(Repurchases of common stock)</v>
      </c>
      <c r="GT79" s="711" t="str">
        <f>$B$79</f>
        <v>(Repurchases of common stock)</v>
      </c>
      <c r="HA79" s="711" t="str">
        <f>$B$79</f>
        <v>(Repurchases of common stock)</v>
      </c>
      <c r="HH79" s="711" t="str">
        <f>$B$79</f>
        <v>(Repurchases of common stock)</v>
      </c>
      <c r="HO79" s="711" t="str">
        <f>$B$79</f>
        <v>(Repurchases of common stock)</v>
      </c>
      <c r="HV79" s="711" t="str">
        <f>$B$79</f>
        <v>(Repurchases of common stock)</v>
      </c>
      <c r="IC79" s="711" t="str">
        <f>$B$79</f>
        <v>(Repurchases of common stock)</v>
      </c>
      <c r="IE79" s="70">
        <f>-SUM(IE84:IE86)</f>
        <v>-11.493300000000001</v>
      </c>
      <c r="IF79" s="70">
        <f>-SUM(IF84:IF86)</f>
        <v>-15.4053</v>
      </c>
      <c r="IG79" s="70">
        <f>-SUM(IG84:IG86)</f>
        <v>-14.473302</v>
      </c>
      <c r="IH79" s="70">
        <f>SUM(ID79:IG79)</f>
        <v>-41.371902000000006</v>
      </c>
      <c r="IJ79" s="711" t="str">
        <f>$B$79</f>
        <v>(Repurchases of common stock)</v>
      </c>
      <c r="IK79" s="70">
        <f>-SUM(IK84:IK86)</f>
        <v>-13.654872000000001</v>
      </c>
      <c r="IL79" s="70">
        <f>-SUM(IL84:IL86)</f>
        <v>-13.499925000000001</v>
      </c>
      <c r="IM79" s="70">
        <f>-SUM(IM84:IM86)</f>
        <v>-13.252500000000001</v>
      </c>
      <c r="IN79" s="70">
        <f>-SUM(IN84:IN86)</f>
        <v>-11.155424999999999</v>
      </c>
      <c r="IO79" s="70">
        <f>SUM(IK79:IN79)</f>
        <v>-51.562722000000001</v>
      </c>
      <c r="IQ79" s="711" t="str">
        <f>$B$79</f>
        <v>(Repurchases of common stock)</v>
      </c>
      <c r="IR79" s="70">
        <f>-SUM(IR84:IR86)</f>
        <v>-11.477108999999999</v>
      </c>
      <c r="IS79" s="70">
        <f>-SUM(IS84:IS86)</f>
        <v>-13.58376</v>
      </c>
      <c r="IT79" s="70">
        <f>-SUM(IT84:IT86)</f>
        <v>-26.646045000000001</v>
      </c>
      <c r="IU79" s="70">
        <f>-SUM(IU84:IU86)</f>
        <v>-28.481070000000003</v>
      </c>
      <c r="IV79" s="70">
        <f>SUM(IR79:IU79)</f>
        <v>-80.187984</v>
      </c>
      <c r="IX79" s="711" t="str">
        <f>$B$79</f>
        <v>(Repurchases of common stock)</v>
      </c>
      <c r="IY79" s="70">
        <f>-SUM(IY84:IY86)</f>
        <v>-31.29627</v>
      </c>
      <c r="IZ79" s="70">
        <f>-SUM(IZ84:IZ86)</f>
        <v>-30.594492000000002</v>
      </c>
      <c r="JA79" s="70">
        <f>-SUM(JA84:JA86)</f>
        <v>-28.534784999999999</v>
      </c>
      <c r="JB79" s="70">
        <f>-SUM(JB84:JB86)</f>
        <v>-25.529876999999999</v>
      </c>
      <c r="JC79" s="70">
        <f>SUM(IY79:JB79)</f>
        <v>-115.95542399999999</v>
      </c>
      <c r="JE79" s="711" t="str">
        <f>$B$79</f>
        <v>(Repurchases of common stock)</v>
      </c>
      <c r="JF79" s="70">
        <f>-SUM(JF84:JF86)</f>
        <v>-17.642648999999999</v>
      </c>
      <c r="JG79" s="70">
        <f>-SUM(JG84:JG86)</f>
        <v>-28.686284999999998</v>
      </c>
      <c r="JH79" s="70">
        <f>-SUM(JH84:JH86)</f>
        <v>-59.075480999999996</v>
      </c>
      <c r="JI79" s="70">
        <f>-SUM(JI84:JI86)</f>
        <v>-11.963139</v>
      </c>
      <c r="JJ79" s="70">
        <f>SUM(JF79:JI79)</f>
        <v>-117.367554</v>
      </c>
      <c r="JL79" s="711" t="str">
        <f>$B$79</f>
        <v>(Repurchases of common stock)</v>
      </c>
      <c r="JM79" s="70">
        <f>-SUM(JM84:JM86)</f>
        <v>-45.207495000000002</v>
      </c>
      <c r="JN79" s="70">
        <f>-SUM(JN84:JN86)</f>
        <v>-49.222460999999996</v>
      </c>
      <c r="JO79" s="70">
        <f>-SUM(JO84:JO86)</f>
        <v>-43.349538000000003</v>
      </c>
      <c r="JP79" s="70">
        <f>-SUM(JP84:JP86)</f>
        <v>-79.774913999999995</v>
      </c>
      <c r="JQ79" s="70">
        <f>SUM(JM79:JP79)</f>
        <v>-217.554408</v>
      </c>
      <c r="JS79" s="711" t="str">
        <f>$B$79</f>
        <v>(Repurchases of common stock)</v>
      </c>
      <c r="JT79" s="70">
        <f>-SUM(JT84:JT86)</f>
        <v>-34.943199</v>
      </c>
      <c r="JU79" s="70">
        <f>-SUM(JU84:JU86)</f>
        <v>-33.858603000000002</v>
      </c>
      <c r="JV79" s="70">
        <f>-SUM(JV84:JV86)</f>
        <v>-48.617421</v>
      </c>
      <c r="JW79" s="70">
        <f>-SUM(JW84:JW86)</f>
        <v>-26.788041</v>
      </c>
      <c r="JX79" s="70">
        <f>SUM(JT79:JW79)</f>
        <v>-144.20726400000001</v>
      </c>
      <c r="JZ79" s="711" t="str">
        <f>$B$79</f>
        <v>(Repurchases of common stock)</v>
      </c>
      <c r="KA79" s="70">
        <f>-SUM(KA84:KA86)</f>
        <v>-27.021687</v>
      </c>
      <c r="KB79" s="70">
        <f>-SUM(KB84:KB86)</f>
        <v>-1.7910330000000001</v>
      </c>
      <c r="KC79" s="70">
        <f>-SUM(KC84:KC86)</f>
        <v>-2.3631150000000001</v>
      </c>
      <c r="KD79" s="70">
        <f>-SUM(KD84:KD86)</f>
        <v>-7.3141590000000001</v>
      </c>
      <c r="KE79" s="70">
        <f>SUM(KA79:KD79)</f>
        <v>-38.489993999999996</v>
      </c>
      <c r="KG79" s="711" t="str">
        <f>$B$79</f>
        <v>(Repurchases of common stock)</v>
      </c>
      <c r="KH79" s="70">
        <f>-SUM(KH84:KH86)</f>
        <v>-18.388935</v>
      </c>
      <c r="KI79" s="70">
        <f>-SUM(KI84:KI86)</f>
        <v>-21.703014000000003</v>
      </c>
      <c r="KJ79" s="70">
        <f>-SUM(KJ84:KJ86)</f>
        <v>-33.859111999999996</v>
      </c>
      <c r="KK79" s="70">
        <f>-SUM(KK84:KK86)</f>
        <v>-16.479734999999998</v>
      </c>
      <c r="KL79" s="70">
        <f>SUM(KH79:KK79)</f>
        <v>-90.430795999999987</v>
      </c>
      <c r="KN79" s="711" t="str">
        <f>$B$79</f>
        <v>(Repurchases of common stock)</v>
      </c>
      <c r="KO79" s="70">
        <f>-SUM(KO84:KO86)</f>
        <v>-29.365048000000002</v>
      </c>
      <c r="KP79" s="70">
        <f>-SUM(KP84:KP86)</f>
        <v>-46.508398</v>
      </c>
      <c r="KQ79" s="70">
        <f>-SUM(KQ84:KQ86)</f>
        <v>-39.923896999999997</v>
      </c>
      <c r="KR79" s="70">
        <f>-SUM(KR84:KR86)</f>
        <v>-35.621831</v>
      </c>
      <c r="KS79" s="70">
        <f>SUM(KO79:KR79)</f>
        <v>-151.419174</v>
      </c>
      <c r="KU79" s="711" t="str">
        <f>$B$79</f>
        <v>(Repurchases of common stock)</v>
      </c>
      <c r="KV79" s="70">
        <f>-SUM(KV84:KV86)</f>
        <v>-35.156955999999994</v>
      </c>
      <c r="KW79" s="70">
        <f>-SUM(KW84:KW86)</f>
        <v>-27.433911999999999</v>
      </c>
      <c r="KX79" s="70">
        <f>-SUM(KX84:KX86)</f>
        <v>-31.018129999999999</v>
      </c>
      <c r="KY79" s="70">
        <f>-SUM(KY84:KY86)</f>
        <v>-18.874502</v>
      </c>
      <c r="KZ79" s="70">
        <f>SUM(KV79:KY79)</f>
        <v>-112.48349999999999</v>
      </c>
      <c r="LB79" s="711" t="str">
        <f>$B$79</f>
        <v>(Repurchases of common stock)</v>
      </c>
      <c r="LC79" s="70">
        <f>-SUM(LC84:LC86)</f>
        <v>-6.7888710000000003</v>
      </c>
      <c r="LD79" s="70">
        <f>-SUM(LD84:LD86)</f>
        <v>-16.308122999999998</v>
      </c>
      <c r="LE79" s="70">
        <f>-SUM(LE84:LE86)</f>
        <v>-11.925181</v>
      </c>
      <c r="LF79" s="70">
        <f>-SUM(LF84:LF86)</f>
        <v>-29.534084999999997</v>
      </c>
      <c r="LG79" s="70">
        <f>SUM(LC79:LF79)</f>
        <v>-64.556259999999995</v>
      </c>
      <c r="LI79" s="711" t="str">
        <f>$B$79</f>
        <v>(Repurchases of common stock)</v>
      </c>
      <c r="LJ79" s="70">
        <f>-SUM(LJ84:LJ86)</f>
        <v>-23.707267000000002</v>
      </c>
      <c r="LK79" s="70">
        <f>-SUM(LK84:LK86)</f>
        <v>-14.208912</v>
      </c>
      <c r="LL79" s="70">
        <f>-SUM(LL84:LL86)</f>
        <v>-3.387467</v>
      </c>
      <c r="LM79" s="712">
        <v>-3</v>
      </c>
      <c r="LN79" s="70">
        <f>SUM(LJ79:LM79)</f>
        <v>-44.303646000000001</v>
      </c>
      <c r="LO79" s="717"/>
      <c r="LP79" s="711" t="str">
        <f>$B$79</f>
        <v>(Repurchases of common stock)</v>
      </c>
      <c r="LQ79" s="712">
        <v>-17</v>
      </c>
      <c r="LR79" s="712">
        <v>-17</v>
      </c>
      <c r="LS79" s="712">
        <v>-18</v>
      </c>
      <c r="LT79" s="712">
        <v>-18</v>
      </c>
      <c r="LU79" s="70">
        <f>SUM(LQ79:LT79)</f>
        <v>-70</v>
      </c>
      <c r="LV79" s="717"/>
      <c r="LW79" s="711" t="str">
        <f>$B$79</f>
        <v>(Repurchases of common stock)</v>
      </c>
      <c r="LX79" s="712">
        <v>-18</v>
      </c>
      <c r="LY79" s="712">
        <v>-18</v>
      </c>
      <c r="LZ79" s="712">
        <v>-18</v>
      </c>
      <c r="MA79" s="712">
        <v>-18</v>
      </c>
      <c r="MB79" s="70">
        <f>SUM(LX79:MA79)</f>
        <v>-72</v>
      </c>
      <c r="MC79" s="717"/>
      <c r="MD79" s="711" t="str">
        <f>$B$79</f>
        <v>(Repurchases of common stock)</v>
      </c>
      <c r="ME79" s="712">
        <v>-18.5</v>
      </c>
      <c r="MF79" s="712">
        <v>-18.5</v>
      </c>
      <c r="MG79" s="712">
        <v>-18.5</v>
      </c>
      <c r="MH79" s="712">
        <v>-18.5</v>
      </c>
      <c r="MI79" s="70">
        <f>SUM(ME79:MH79)</f>
        <v>-74</v>
      </c>
      <c r="MJ79" s="717"/>
    </row>
    <row r="80" spans="1:348" x14ac:dyDescent="0.4">
      <c r="B80" s="711" t="s">
        <v>547</v>
      </c>
      <c r="BQ80" s="711" t="str">
        <f>$B$80</f>
        <v>Share issuances</v>
      </c>
      <c r="BX80" s="711" t="str">
        <f>$B$80</f>
        <v>Share issuances</v>
      </c>
      <c r="CE80" s="711" t="str">
        <f>$B$80</f>
        <v>Share issuances</v>
      </c>
      <c r="CL80" s="711" t="str">
        <f>$B$80</f>
        <v>Share issuances</v>
      </c>
      <c r="CS80" s="711" t="str">
        <f>$B$80</f>
        <v>Share issuances</v>
      </c>
      <c r="CZ80" s="711" t="str">
        <f>$B$80</f>
        <v>Share issuances</v>
      </c>
      <c r="DG80" s="711" t="str">
        <f>$B$80</f>
        <v>Share issuances</v>
      </c>
      <c r="DN80" s="711" t="str">
        <f>$B$80</f>
        <v>Share issuances</v>
      </c>
      <c r="DU80" s="711" t="str">
        <f>$B$80</f>
        <v>Share issuances</v>
      </c>
      <c r="EB80" s="711" t="str">
        <f>$B$80</f>
        <v>Share issuances</v>
      </c>
      <c r="EI80" s="711" t="str">
        <f>$B$80</f>
        <v>Share issuances</v>
      </c>
      <c r="EP80" s="711" t="str">
        <f>$B$80</f>
        <v>Share issuances</v>
      </c>
      <c r="EW80" s="711" t="str">
        <f>$B$80</f>
        <v>Share issuances</v>
      </c>
      <c r="FD80" s="711" t="str">
        <f>$B$80</f>
        <v>Share issuances</v>
      </c>
      <c r="FK80" s="711" t="str">
        <f>$B$80</f>
        <v>Share issuances</v>
      </c>
      <c r="FR80" s="711" t="str">
        <f>$B$80</f>
        <v>Share issuances</v>
      </c>
      <c r="FY80" s="711" t="str">
        <f>$B$80</f>
        <v>Share issuances</v>
      </c>
      <c r="GF80" s="711" t="str">
        <f>$B$80</f>
        <v>Share issuances</v>
      </c>
      <c r="GM80" s="711" t="str">
        <f>$B$80</f>
        <v>Share issuances</v>
      </c>
      <c r="GT80" s="711" t="str">
        <f>$B$80</f>
        <v>Share issuances</v>
      </c>
      <c r="HA80" s="711" t="str">
        <f>$B$80</f>
        <v>Share issuances</v>
      </c>
      <c r="HH80" s="711" t="str">
        <f>$B$80</f>
        <v>Share issuances</v>
      </c>
      <c r="HO80" s="711" t="str">
        <f>$B$80</f>
        <v>Share issuances</v>
      </c>
      <c r="HV80" s="711" t="str">
        <f>$B$80</f>
        <v>Share issuances</v>
      </c>
      <c r="IC80" s="711" t="str">
        <f>$B$80</f>
        <v>Share issuances</v>
      </c>
      <c r="ID80" s="70">
        <f>ID81-ID78-ID79</f>
        <v>4.4278409114399437</v>
      </c>
      <c r="IE80" s="70">
        <f>IE81-IE78-IE79</f>
        <v>2.1233491874003469</v>
      </c>
      <c r="IF80" s="70">
        <f>IF81-IF78-IF79</f>
        <v>-8.3555690220133982E-2</v>
      </c>
      <c r="IG80" s="70">
        <f>IG81-IG78-IG79</f>
        <v>2.9493288870195755E-2</v>
      </c>
      <c r="IH80" s="70">
        <f>SUM(ID80:IG80)</f>
        <v>6.4971276974903525</v>
      </c>
      <c r="IJ80" s="711" t="str">
        <f>$B$80</f>
        <v>Share issuances</v>
      </c>
      <c r="IK80" s="70">
        <f>IK81-IK78-IK79</f>
        <v>0.1633652698296153</v>
      </c>
      <c r="IL80" s="70">
        <f>IL81-IL78-IL79</f>
        <v>-0.87059371257972273</v>
      </c>
      <c r="IM80" s="70">
        <f>IM81-IM78-IM79</f>
        <v>0.72716125050004976</v>
      </c>
      <c r="IN80" s="70">
        <f>IN81-IN78-IN79</f>
        <v>-0.26357677162006077</v>
      </c>
      <c r="IO80" s="70">
        <f>SUM(IK80:IN80)</f>
        <v>-0.24364396387011844</v>
      </c>
      <c r="IQ80" s="711" t="str">
        <f>$B$80</f>
        <v>Share issuances</v>
      </c>
      <c r="IR80" s="70">
        <f>IR81-IR78-IR79</f>
        <v>0.64842621658006294</v>
      </c>
      <c r="IS80" s="70">
        <f>IS81-IS78-IS79</f>
        <v>0.8512742546499954</v>
      </c>
      <c r="IT80" s="70">
        <f>IT81-IT78-IT79</f>
        <v>0.26868052753984273</v>
      </c>
      <c r="IU80" s="70">
        <f>IU81-IU78-IU79</f>
        <v>0.18737456588014823</v>
      </c>
      <c r="IV80" s="70">
        <f>SUM(IR80:IU80)</f>
        <v>1.9557555646500493</v>
      </c>
      <c r="IX80" s="711" t="str">
        <f>$B$80</f>
        <v>Share issuances</v>
      </c>
      <c r="IY80" s="70">
        <f>IY81-IY78-IY79</f>
        <v>2.3568395787899092</v>
      </c>
      <c r="IZ80" s="70">
        <f>IZ81-IZ78-IZ79</f>
        <v>0.96608159255976034</v>
      </c>
      <c r="JA80" s="70">
        <f>JA81-JA78-JA79</f>
        <v>0.54528655979009955</v>
      </c>
      <c r="JB80" s="70">
        <f>JB81-JB78-JB79</f>
        <v>8.5710508889917492E-2</v>
      </c>
      <c r="JC80" s="70">
        <f>SUM(IY80:JB80)</f>
        <v>3.9539182400296866</v>
      </c>
      <c r="JE80" s="711" t="str">
        <f>$B$80</f>
        <v>Share issuances</v>
      </c>
      <c r="JF80" s="70">
        <f>JF81-JF78-JF79</f>
        <v>1.1649123295502406</v>
      </c>
      <c r="JG80" s="70">
        <f>JG81-JG78-JG79</f>
        <v>0.56388356244974602</v>
      </c>
      <c r="JH80" s="70">
        <f>JH81-JH78-JH79</f>
        <v>0.30570117540005981</v>
      </c>
      <c r="JI80" s="70">
        <f>JI81-JI78-JI79</f>
        <v>0.3471602323102605</v>
      </c>
      <c r="JJ80" s="70">
        <f>SUM(JF80:JI80)</f>
        <v>2.3816572997103069</v>
      </c>
      <c r="JL80" s="711" t="str">
        <f>$B$80</f>
        <v>Share issuances</v>
      </c>
      <c r="JM80" s="70">
        <f>JM81-JM78-JM79</f>
        <v>1.7148638698598759</v>
      </c>
      <c r="JN80" s="70">
        <f>JN81-JN78-JN79</f>
        <v>-0.40650500741988083</v>
      </c>
      <c r="JO80" s="70">
        <f>JO81-JO78-JO79</f>
        <v>0.17895086340974586</v>
      </c>
      <c r="JP80" s="70">
        <f>JP81-JP78-JP79</f>
        <v>1.0537965744200903</v>
      </c>
      <c r="JQ80" s="70">
        <f>SUM(JM80:JP80)</f>
        <v>2.5411063002698313</v>
      </c>
      <c r="JS80" s="711" t="str">
        <f>$B$80</f>
        <v>Share issuances</v>
      </c>
      <c r="JT80" s="70">
        <f>JT81-JT78-JT79</f>
        <v>7.8942335409798901</v>
      </c>
      <c r="JU80" s="70">
        <f>JU81-JU78-JU79</f>
        <v>0.8950296592700937</v>
      </c>
      <c r="JV80" s="70">
        <f>JV81-JV78-JV79</f>
        <v>1.1159979500299286</v>
      </c>
      <c r="JW80" s="70">
        <f>JW81-JW78-JW79</f>
        <v>0.17451653227019648</v>
      </c>
      <c r="JX80" s="70">
        <f>SUM(JT80:JW80)</f>
        <v>10.079777682550109</v>
      </c>
      <c r="JZ80" s="711" t="str">
        <f>$B$80</f>
        <v>Share issuances</v>
      </c>
      <c r="KA80" s="70">
        <f>KA81-KA78-KA79</f>
        <v>3.0068944802997777</v>
      </c>
      <c r="KB80" s="70">
        <f>KB81-KB78-KB79</f>
        <v>0.55099802480029458</v>
      </c>
      <c r="KC80" s="70">
        <f>KC81-KC78-KC79</f>
        <v>1.5303420166500312</v>
      </c>
      <c r="KD80" s="70">
        <f>KD81-KD78-KD79</f>
        <v>0.57664213474980031</v>
      </c>
      <c r="KE80" s="70">
        <f>SUM(KA80:KD80)</f>
        <v>5.6648766564999038</v>
      </c>
      <c r="KG80" s="711" t="str">
        <f>$B$80</f>
        <v>Share issuances</v>
      </c>
      <c r="KH80" s="70">
        <f>KH81-KH78-KH79</f>
        <v>3.002226307739928</v>
      </c>
      <c r="KI80" s="70">
        <f>KI81-KI78-KI79</f>
        <v>3.9984114440101806</v>
      </c>
      <c r="KJ80" s="70">
        <f>KJ81-KJ78-KJ79</f>
        <v>-2.6534769999999384</v>
      </c>
      <c r="KK80" s="70">
        <f>KK81-KK78-KK79</f>
        <v>0.49632399999983789</v>
      </c>
      <c r="KL80" s="70">
        <f>SUM(KH80:KK80)</f>
        <v>4.8434847517500081</v>
      </c>
      <c r="KN80" s="711" t="str">
        <f>$B$80</f>
        <v>Share issuances</v>
      </c>
      <c r="KO80" s="70">
        <f>KO81-KO78-KO79</f>
        <v>1.6249999999998863</v>
      </c>
      <c r="KP80" s="70">
        <f>KP81-KP78-KP79</f>
        <v>13.489582000000212</v>
      </c>
      <c r="KQ80" s="70">
        <f>KQ81-KQ78-KQ79</f>
        <v>1.0914900000001211</v>
      </c>
      <c r="KR80" s="70">
        <f>KR81-KR78-KR79</f>
        <v>-0.78689800000022103</v>
      </c>
      <c r="KS80" s="70">
        <f>SUM(KO80:KR80)</f>
        <v>15.419173999999998</v>
      </c>
      <c r="KU80" s="711" t="str">
        <f>$B$80</f>
        <v>Share issuances</v>
      </c>
      <c r="KV80" s="70">
        <f>KV81-KV78-KV79</f>
        <v>2.2118780000000271</v>
      </c>
      <c r="KW80" s="70">
        <f>KW81-KW78-KW79</f>
        <v>0.7090469999998632</v>
      </c>
      <c r="KX80" s="70">
        <f>KX81-KX78-KX79</f>
        <v>0.81910800000021311</v>
      </c>
      <c r="KY80" s="70">
        <f>KY81-KY78-KY79</f>
        <v>0.74346699999988886</v>
      </c>
      <c r="KZ80" s="70">
        <f>SUM(KV80:KY80)</f>
        <v>4.4834999999999923</v>
      </c>
      <c r="LB80" s="711" t="str">
        <f>$B$80</f>
        <v>Share issuances</v>
      </c>
      <c r="LC80" s="70">
        <f>LC81-LC78-LC79</f>
        <v>3.7160329999999533</v>
      </c>
      <c r="LD80" s="70">
        <f>LD81-LD78-LD79</f>
        <v>0.12062200000011458</v>
      </c>
      <c r="LE80" s="70">
        <f>LE81-LE78-LE79</f>
        <v>1.6046729999999823</v>
      </c>
      <c r="LF80" s="70">
        <f>LF81-LF78-LF79</f>
        <v>1.3049320000000009</v>
      </c>
      <c r="LG80" s="70">
        <f>SUM(LC80:LF80)</f>
        <v>6.746260000000051</v>
      </c>
      <c r="LI80" s="711" t="str">
        <f>$B$80</f>
        <v>Share issuances</v>
      </c>
      <c r="LJ80" s="70">
        <f>LJ81-LJ78-LJ79</f>
        <v>1.8942669999998998</v>
      </c>
      <c r="LK80" s="70">
        <f>LK81-LK78-LK79</f>
        <v>0.11191200000001977</v>
      </c>
      <c r="LL80" s="70">
        <f>LL81-LL78-LL79</f>
        <v>1.244423000000082</v>
      </c>
      <c r="LM80" s="712">
        <f>LL80</f>
        <v>1.244423000000082</v>
      </c>
      <c r="LN80" s="70">
        <f>SUM(LJ80:LM80)</f>
        <v>4.4950250000000835</v>
      </c>
      <c r="LO80" s="717"/>
      <c r="LP80" s="711" t="str">
        <f>$B$80</f>
        <v>Share issuances</v>
      </c>
      <c r="LQ80" s="712">
        <v>1</v>
      </c>
      <c r="LR80" s="712">
        <v>0</v>
      </c>
      <c r="LS80" s="712">
        <v>1</v>
      </c>
      <c r="LT80" s="712">
        <v>1</v>
      </c>
      <c r="LU80" s="70">
        <f>SUM(LQ80:LT80)</f>
        <v>3</v>
      </c>
      <c r="LV80" s="717"/>
      <c r="LW80" s="711" t="str">
        <f>$B$80</f>
        <v>Share issuances</v>
      </c>
      <c r="LX80" s="712">
        <v>1</v>
      </c>
      <c r="LY80" s="712">
        <v>1</v>
      </c>
      <c r="LZ80" s="712">
        <v>1</v>
      </c>
      <c r="MA80" s="712">
        <v>1</v>
      </c>
      <c r="MB80" s="70">
        <f>SUM(LX80:MA80)</f>
        <v>4</v>
      </c>
      <c r="MC80" s="717"/>
      <c r="MD80" s="711" t="str">
        <f>$B$80</f>
        <v>Share issuances</v>
      </c>
      <c r="ME80" s="712">
        <v>1</v>
      </c>
      <c r="MF80" s="712">
        <v>1</v>
      </c>
      <c r="MG80" s="712">
        <v>1</v>
      </c>
      <c r="MH80" s="712">
        <v>1</v>
      </c>
      <c r="MI80" s="70">
        <f>SUM(ME80:MH80)</f>
        <v>4</v>
      </c>
      <c r="MJ80" s="717"/>
    </row>
    <row r="81" spans="1:348" s="68" customFormat="1" ht="12.75" x14ac:dyDescent="0.35">
      <c r="A81" s="713"/>
      <c r="B81" s="369" t="s">
        <v>548</v>
      </c>
      <c r="BQ81" s="369" t="str">
        <f>$B$81</f>
        <v>Ending Share count (BS)</v>
      </c>
      <c r="BX81" s="369" t="str">
        <f>$B$81</f>
        <v>Ending Share count (BS)</v>
      </c>
      <c r="CE81" s="369" t="str">
        <f>$B$81</f>
        <v>Ending Share count (BS)</v>
      </c>
      <c r="CL81" s="369" t="str">
        <f>$B$81</f>
        <v>Ending Share count (BS)</v>
      </c>
      <c r="CS81" s="369" t="str">
        <f>$B$81</f>
        <v>Ending Share count (BS)</v>
      </c>
      <c r="CZ81" s="369" t="str">
        <f>$B$81</f>
        <v>Ending Share count (BS)</v>
      </c>
      <c r="DG81" s="369" t="str">
        <f>$B$81</f>
        <v>Ending Share count (BS)</v>
      </c>
      <c r="DN81" s="369" t="str">
        <f>$B$81</f>
        <v>Ending Share count (BS)</v>
      </c>
      <c r="DU81" s="369" t="str">
        <f>$B$81</f>
        <v>Ending Share count (BS)</v>
      </c>
      <c r="EB81" s="369" t="str">
        <f>$B$81</f>
        <v>Ending Share count (BS)</v>
      </c>
      <c r="EI81" s="369" t="str">
        <f>$B$81</f>
        <v>Ending Share count (BS)</v>
      </c>
      <c r="EP81" s="369" t="str">
        <f>$B$81</f>
        <v>Ending Share count (BS)</v>
      </c>
      <c r="EW81" s="369" t="str">
        <f>$B$81</f>
        <v>Ending Share count (BS)</v>
      </c>
      <c r="FD81" s="369" t="str">
        <f>$B$81</f>
        <v>Ending Share count (BS)</v>
      </c>
      <c r="FK81" s="369" t="str">
        <f>$B$81</f>
        <v>Ending Share count (BS)</v>
      </c>
      <c r="FR81" s="369" t="str">
        <f>$B$81</f>
        <v>Ending Share count (BS)</v>
      </c>
      <c r="FT81" s="68">
        <v>3866.6547253337999</v>
      </c>
      <c r="FU81" s="68">
        <v>3866.9303233227802</v>
      </c>
      <c r="FV81" s="68">
        <v>3879.5218448191199</v>
      </c>
      <c r="FY81" s="369" t="str">
        <f>$B$81</f>
        <v>Ending Share count (BS)</v>
      </c>
      <c r="FZ81" s="68">
        <v>3898.09883407604</v>
      </c>
      <c r="GA81" s="68">
        <v>3905.27118578915</v>
      </c>
      <c r="GB81" s="68">
        <v>3910.3039855878301</v>
      </c>
      <c r="GC81" s="68">
        <v>3927.6451848941902</v>
      </c>
      <c r="GF81" s="369" t="str">
        <f>$B$81</f>
        <v>Ending Share count (BS)</v>
      </c>
      <c r="GG81" s="68">
        <v>3988.5506484579701</v>
      </c>
      <c r="GH81" s="68">
        <v>3991.7771843289102</v>
      </c>
      <c r="GI81" s="68">
        <v>3916.6347023346102</v>
      </c>
      <c r="GJ81" s="68">
        <v>3939.8721434051099</v>
      </c>
      <c r="GM81" s="369" t="str">
        <f>$B$81</f>
        <v>Ending Share count (BS)</v>
      </c>
      <c r="GN81" s="68">
        <v>3934.4104306235799</v>
      </c>
      <c r="GO81" s="68">
        <v>3951.09646595614</v>
      </c>
      <c r="GP81" s="68">
        <v>3783.8291416468301</v>
      </c>
      <c r="GQ81" s="68">
        <v>3670.77939916882</v>
      </c>
      <c r="GT81" s="369" t="str">
        <f>$B$81</f>
        <v>Ending Share count (BS)</v>
      </c>
      <c r="GU81" s="68">
        <v>3643.9969662401199</v>
      </c>
      <c r="GV81" s="68">
        <v>3668.77917624883</v>
      </c>
      <c r="GW81" s="68">
        <v>3550.2240979910298</v>
      </c>
      <c r="GX81" s="68">
        <v>3514.7414824103398</v>
      </c>
      <c r="HA81" s="369" t="str">
        <f>$B$81</f>
        <v>Ending Share count (BS)</v>
      </c>
      <c r="HB81" s="68">
        <v>3523.13780707448</v>
      </c>
      <c r="HC81" s="68">
        <v>3529.7114968115302</v>
      </c>
      <c r="HD81" s="68">
        <v>3533.0301836787899</v>
      </c>
      <c r="HE81" s="68">
        <v>3541.1432423542601</v>
      </c>
      <c r="HH81" s="369" t="str">
        <f>$B$81</f>
        <v>Ending Share count (BS)</v>
      </c>
      <c r="HI81" s="68">
        <v>3503.03354487865</v>
      </c>
      <c r="HJ81" s="68">
        <v>3416.82691332692</v>
      </c>
      <c r="HK81" s="68">
        <v>3367.6614542935399</v>
      </c>
      <c r="HL81" s="68">
        <v>3333.0805846767698</v>
      </c>
      <c r="HO81" s="369" t="str">
        <f>$B$81</f>
        <v>Ending Share count (BS)</v>
      </c>
      <c r="HP81" s="68">
        <v>3308.2939466682401</v>
      </c>
      <c r="HQ81" s="68">
        <v>3285.8444522831101</v>
      </c>
      <c r="HR81" s="68">
        <v>3149.8589970028202</v>
      </c>
      <c r="HS81" s="68">
        <v>3147.4714740505701</v>
      </c>
      <c r="HV81" s="369" t="str">
        <f>$B$81</f>
        <v>Ending Share count (BS)</v>
      </c>
      <c r="HW81" s="68">
        <v>3117.4741236505201</v>
      </c>
      <c r="HX81" s="68">
        <v>3119.96594760068</v>
      </c>
      <c r="HY81" s="68">
        <v>3094.1336951173198</v>
      </c>
      <c r="HZ81" s="68">
        <v>3061.4539877709199</v>
      </c>
      <c r="IC81" s="369" t="str">
        <f>$B$81</f>
        <v>Ending Share count (BS)</v>
      </c>
      <c r="ID81" s="286">
        <v>3065.8818286823598</v>
      </c>
      <c r="IE81" s="286">
        <v>3056.5118778697602</v>
      </c>
      <c r="IF81" s="286">
        <v>3041.02302217954</v>
      </c>
      <c r="IG81" s="286">
        <v>3026.5792134684102</v>
      </c>
      <c r="IH81" s="286">
        <f>IG81</f>
        <v>3026.5792134684102</v>
      </c>
      <c r="IJ81" s="369" t="str">
        <f>$B$81</f>
        <v>Ending Share count (BS)</v>
      </c>
      <c r="IK81" s="286">
        <v>3013.0877067382398</v>
      </c>
      <c r="IL81" s="286">
        <v>2998.7171880256601</v>
      </c>
      <c r="IM81" s="286">
        <v>2986.1918492761602</v>
      </c>
      <c r="IN81" s="286">
        <v>2974.7728475045401</v>
      </c>
      <c r="IO81" s="286">
        <f>IN81</f>
        <v>2974.7728475045401</v>
      </c>
      <c r="IQ81" s="369" t="str">
        <f>$B$81</f>
        <v>Ending Share count (BS)</v>
      </c>
      <c r="IR81" s="286">
        <v>2963.9441647211202</v>
      </c>
      <c r="IS81" s="286">
        <v>2951.2116789757702</v>
      </c>
      <c r="IT81" s="286">
        <v>2924.83431450331</v>
      </c>
      <c r="IU81" s="286">
        <v>2896.5406190691901</v>
      </c>
      <c r="IV81" s="286">
        <f>IU81</f>
        <v>2896.5406190691901</v>
      </c>
      <c r="IX81" s="369" t="str">
        <f>$B$81</f>
        <v>Ending Share count (BS)</v>
      </c>
      <c r="IY81" s="286">
        <v>2867.6011886479801</v>
      </c>
      <c r="IZ81" s="286">
        <v>2837.9727782405398</v>
      </c>
      <c r="JA81" s="286">
        <v>2809.9832798003299</v>
      </c>
      <c r="JB81" s="286">
        <v>2784.5391133092198</v>
      </c>
      <c r="JC81" s="286">
        <f>JB81</f>
        <v>2784.5391133092198</v>
      </c>
      <c r="JE81" s="369" t="str">
        <f>$B$81</f>
        <v>Ending Share count (BS)</v>
      </c>
      <c r="JF81" s="286">
        <v>2768.0613766387701</v>
      </c>
      <c r="JG81" s="286">
        <v>2739.9389752012198</v>
      </c>
      <c r="JH81" s="286">
        <v>2681.1691953766199</v>
      </c>
      <c r="JI81" s="286">
        <v>2669.5532166089301</v>
      </c>
      <c r="JJ81" s="286">
        <f>JI81</f>
        <v>2669.5532166089301</v>
      </c>
      <c r="JL81" s="369" t="str">
        <f>$B$81</f>
        <v>Ending Share count (BS)</v>
      </c>
      <c r="JM81" s="286">
        <v>2626.06058547879</v>
      </c>
      <c r="JN81" s="286">
        <v>2576.4316194713701</v>
      </c>
      <c r="JO81" s="286">
        <v>2533.2610323347799</v>
      </c>
      <c r="JP81" s="286">
        <v>2454.5399149092</v>
      </c>
      <c r="JQ81" s="286">
        <f>JP81</f>
        <v>2454.5399149092</v>
      </c>
      <c r="JS81" s="369" t="str">
        <f>$B$81</f>
        <v>Ending Share count (BS)</v>
      </c>
      <c r="JT81" s="286">
        <v>2427.4909494501799</v>
      </c>
      <c r="JU81" s="286">
        <v>2394.52737610945</v>
      </c>
      <c r="JV81" s="286">
        <v>2347.0259530594799</v>
      </c>
      <c r="JW81" s="286">
        <v>2320.4124285917501</v>
      </c>
      <c r="JX81" s="286">
        <f>JW81</f>
        <v>2320.4124285917501</v>
      </c>
      <c r="JZ81" s="369" t="str">
        <f>$B$81</f>
        <v>Ending Share count (BS)</v>
      </c>
      <c r="KA81" s="286">
        <v>2296.3976360720499</v>
      </c>
      <c r="KB81" s="286">
        <v>2295.1576010968502</v>
      </c>
      <c r="KC81" s="286">
        <v>2294.3248281135002</v>
      </c>
      <c r="KD81" s="286">
        <v>2287.58731124825</v>
      </c>
      <c r="KE81" s="286">
        <f>KD81</f>
        <v>2287.58731124825</v>
      </c>
      <c r="KG81" s="369" t="str">
        <f>$B$81</f>
        <v>Ending Share count (BS)</v>
      </c>
      <c r="KH81" s="286">
        <v>2272.2006025559899</v>
      </c>
      <c r="KI81" s="286">
        <v>2254.4960000000001</v>
      </c>
      <c r="KJ81" s="286">
        <v>2217.9834110000002</v>
      </c>
      <c r="KK81" s="286">
        <v>2202</v>
      </c>
      <c r="KL81" s="286">
        <f>KK81</f>
        <v>2202</v>
      </c>
      <c r="KN81" s="369" t="str">
        <f>$B$81</f>
        <v>Ending Share count (BS)</v>
      </c>
      <c r="KO81" s="286">
        <v>2174.2599519999999</v>
      </c>
      <c r="KP81" s="286">
        <v>2141.2411360000001</v>
      </c>
      <c r="KQ81" s="286">
        <v>2102.4087290000002</v>
      </c>
      <c r="KR81" s="286">
        <v>2066</v>
      </c>
      <c r="KS81" s="286">
        <f>KR81</f>
        <v>2066</v>
      </c>
      <c r="KU81" s="369" t="str">
        <f>$B$81</f>
        <v>Ending Share count (BS)</v>
      </c>
      <c r="KV81" s="286">
        <v>2033.054922</v>
      </c>
      <c r="KW81" s="286">
        <v>2006.3300569999999</v>
      </c>
      <c r="KX81" s="286">
        <v>1976.1310350000001</v>
      </c>
      <c r="KY81" s="286">
        <v>1958</v>
      </c>
      <c r="KZ81" s="286">
        <f>KY81</f>
        <v>1958</v>
      </c>
      <c r="LB81" s="369" t="str">
        <f>$B$81</f>
        <v>Ending Share count (BS)</v>
      </c>
      <c r="LC81" s="286">
        <v>1954.927162</v>
      </c>
      <c r="LD81" s="290">
        <v>1938.7396610000001</v>
      </c>
      <c r="LE81" s="290">
        <v>1928.4191530000001</v>
      </c>
      <c r="LF81" s="286">
        <v>1900.19</v>
      </c>
      <c r="LG81" s="286">
        <f>LF81</f>
        <v>1900.19</v>
      </c>
      <c r="LH81" s="565"/>
      <c r="LI81" s="369" t="str">
        <f>$B$81</f>
        <v>Ending Share count (BS)</v>
      </c>
      <c r="LJ81" s="286">
        <v>1878.377</v>
      </c>
      <c r="LK81" s="286">
        <v>1864.28</v>
      </c>
      <c r="LL81" s="286">
        <v>1862.1369560000001</v>
      </c>
      <c r="LM81" s="286">
        <f>LM78+LM79+LM80</f>
        <v>1860.3813790000002</v>
      </c>
      <c r="LN81" s="286">
        <f>LM81</f>
        <v>1860.3813790000002</v>
      </c>
      <c r="LO81" s="717"/>
      <c r="LP81" s="369" t="str">
        <f>$B$81</f>
        <v>Ending Share count (BS)</v>
      </c>
      <c r="LQ81" s="286">
        <f>LQ78+LQ79+LQ80</f>
        <v>1844.3813790000002</v>
      </c>
      <c r="LR81" s="286">
        <f>LR78+LR79+LR80</f>
        <v>1827.3813790000002</v>
      </c>
      <c r="LS81" s="286">
        <f>LS78+LS79+LS80</f>
        <v>1810.3813790000002</v>
      </c>
      <c r="LT81" s="286">
        <f>LT78+LT79+LT80</f>
        <v>1793.3813790000002</v>
      </c>
      <c r="LU81" s="286">
        <f>LT81</f>
        <v>1793.3813790000002</v>
      </c>
      <c r="LV81" s="717"/>
      <c r="LW81" s="369" t="str">
        <f>$B$81</f>
        <v>Ending Share count (BS)</v>
      </c>
      <c r="LX81" s="286">
        <f>LX78+LX79+LX80</f>
        <v>1776.3813790000002</v>
      </c>
      <c r="LY81" s="286">
        <f>LY78+LY79+LY80</f>
        <v>1759.3813790000002</v>
      </c>
      <c r="LZ81" s="286">
        <f>LZ78+LZ79+LZ80</f>
        <v>1742.3813790000002</v>
      </c>
      <c r="MA81" s="286">
        <f>MA78+MA79+MA80</f>
        <v>1725.3813790000002</v>
      </c>
      <c r="MB81" s="286">
        <f>MA81</f>
        <v>1725.3813790000002</v>
      </c>
      <c r="MC81" s="717"/>
      <c r="MD81" s="369" t="str">
        <f>$B$81</f>
        <v>Ending Share count (BS)</v>
      </c>
      <c r="ME81" s="286">
        <f>ME78+ME79+ME80</f>
        <v>1707.8813790000002</v>
      </c>
      <c r="MF81" s="286">
        <f>MF78+MF79+MF80</f>
        <v>1690.3813790000002</v>
      </c>
      <c r="MG81" s="286">
        <f>MG78+MG79+MG80</f>
        <v>1672.8813790000002</v>
      </c>
      <c r="MH81" s="286">
        <f>MH78+MH79+MH80</f>
        <v>1655.3813790000002</v>
      </c>
      <c r="MI81" s="286">
        <f>MH81</f>
        <v>1655.3813790000002</v>
      </c>
      <c r="MJ81" s="717"/>
    </row>
    <row r="82" spans="1:348" x14ac:dyDescent="0.4">
      <c r="B82" s="369"/>
      <c r="BQ82" s="369"/>
      <c r="BX82" s="369"/>
      <c r="CE82" s="369"/>
      <c r="CL82" s="369"/>
      <c r="CS82" s="369"/>
      <c r="CZ82" s="369"/>
      <c r="DG82" s="369"/>
      <c r="DN82" s="369"/>
      <c r="DU82" s="369"/>
      <c r="EB82" s="369"/>
      <c r="EI82" s="369"/>
      <c r="EP82" s="369"/>
      <c r="EW82" s="369"/>
      <c r="FD82" s="369"/>
      <c r="FK82" s="369"/>
      <c r="FR82" s="369"/>
      <c r="FY82" s="369"/>
      <c r="GF82" s="369"/>
      <c r="GM82" s="369"/>
      <c r="GT82" s="369"/>
      <c r="HA82" s="369"/>
      <c r="HH82" s="369"/>
      <c r="HO82" s="369"/>
      <c r="HV82" s="369"/>
      <c r="IC82" s="369"/>
      <c r="IJ82" s="369"/>
      <c r="IQ82" s="369"/>
      <c r="IX82" s="369"/>
      <c r="JE82" s="369"/>
      <c r="JL82" s="369"/>
      <c r="JS82" s="369"/>
      <c r="JZ82" s="369"/>
      <c r="KG82" s="369"/>
      <c r="KN82" s="369"/>
      <c r="KU82" s="369"/>
      <c r="LB82" s="369"/>
      <c r="LF82" s="265"/>
      <c r="LI82" s="369"/>
      <c r="LN82" s="648">
        <f>LN79/LJ78</f>
        <v>-2.3315376883364294E-2</v>
      </c>
      <c r="LO82" s="717"/>
      <c r="LP82" s="369"/>
      <c r="LU82" s="648">
        <f>LU79/LQ78</f>
        <v>-3.7626693531853501E-2</v>
      </c>
      <c r="LV82" s="717"/>
      <c r="LW82" s="369"/>
      <c r="MB82" s="648">
        <f>MB79/LX78</f>
        <v>-4.0147623279186501E-2</v>
      </c>
      <c r="MC82" s="717"/>
      <c r="MD82" s="369"/>
      <c r="MI82" s="648">
        <f>MI79/ME78</f>
        <v>-4.2889068411581598E-2</v>
      </c>
      <c r="MJ82" s="717"/>
    </row>
    <row r="83" spans="1:348" x14ac:dyDescent="0.4">
      <c r="B83" s="369" t="s">
        <v>549</v>
      </c>
      <c r="BQ83" s="369" t="str">
        <f>$B$83</f>
        <v>Share Repurchases:</v>
      </c>
      <c r="BX83" s="369" t="str">
        <f>$B$83</f>
        <v>Share Repurchases:</v>
      </c>
      <c r="CE83" s="369" t="str">
        <f>$B$83</f>
        <v>Share Repurchases:</v>
      </c>
      <c r="CL83" s="369" t="str">
        <f>$B$83</f>
        <v>Share Repurchases:</v>
      </c>
      <c r="CS83" s="369" t="str">
        <f>$B$83</f>
        <v>Share Repurchases:</v>
      </c>
      <c r="CZ83" s="369" t="str">
        <f>$B$83</f>
        <v>Share Repurchases:</v>
      </c>
      <c r="DG83" s="369" t="str">
        <f>$B$83</f>
        <v>Share Repurchases:</v>
      </c>
      <c r="DN83" s="369" t="str">
        <f>$B$83</f>
        <v>Share Repurchases:</v>
      </c>
      <c r="DU83" s="369" t="str">
        <f>$B$83</f>
        <v>Share Repurchases:</v>
      </c>
      <c r="EB83" s="369" t="str">
        <f>$B$83</f>
        <v>Share Repurchases:</v>
      </c>
      <c r="EI83" s="369" t="str">
        <f>$B$83</f>
        <v>Share Repurchases:</v>
      </c>
      <c r="EP83" s="369" t="str">
        <f>$B$83</f>
        <v>Share Repurchases:</v>
      </c>
      <c r="EW83" s="369" t="str">
        <f>$B$83</f>
        <v>Share Repurchases:</v>
      </c>
      <c r="FD83" s="369" t="str">
        <f>$B$83</f>
        <v>Share Repurchases:</v>
      </c>
      <c r="FK83" s="369" t="str">
        <f>$B$83</f>
        <v>Share Repurchases:</v>
      </c>
      <c r="FR83" s="369" t="str">
        <f>$B$83</f>
        <v>Share Repurchases:</v>
      </c>
      <c r="FY83" s="369" t="str">
        <f>$B$83</f>
        <v>Share Repurchases:</v>
      </c>
      <c r="GF83" s="369" t="str">
        <f>$B$83</f>
        <v>Share Repurchases:</v>
      </c>
      <c r="GM83" s="369" t="str">
        <f>$B$83</f>
        <v>Share Repurchases:</v>
      </c>
      <c r="GT83" s="369" t="str">
        <f>$B$83</f>
        <v>Share Repurchases:</v>
      </c>
      <c r="HA83" s="369" t="str">
        <f>$B$83</f>
        <v>Share Repurchases:</v>
      </c>
      <c r="HH83" s="369" t="str">
        <f>$B$83</f>
        <v>Share Repurchases:</v>
      </c>
      <c r="HO83" s="369" t="str">
        <f>$B$83</f>
        <v>Share Repurchases:</v>
      </c>
      <c r="HV83" s="369" t="str">
        <f>$B$83</f>
        <v>Share Repurchases:</v>
      </c>
      <c r="IC83" s="369" t="str">
        <f>$B$83</f>
        <v>Share Repurchases:</v>
      </c>
      <c r="IJ83" s="369" t="str">
        <f>$B$83</f>
        <v>Share Repurchases:</v>
      </c>
      <c r="IQ83" s="369" t="str">
        <f>$B$83</f>
        <v>Share Repurchases:</v>
      </c>
      <c r="IX83" s="369" t="str">
        <f>$B$83</f>
        <v>Share Repurchases:</v>
      </c>
      <c r="JE83" s="369" t="str">
        <f>$B$83</f>
        <v>Share Repurchases:</v>
      </c>
      <c r="JL83" s="369" t="str">
        <f>$B$83</f>
        <v>Share Repurchases:</v>
      </c>
      <c r="JS83" s="369" t="str">
        <f>$B$83</f>
        <v>Share Repurchases:</v>
      </c>
      <c r="JZ83" s="369" t="str">
        <f>$B$83</f>
        <v>Share Repurchases:</v>
      </c>
      <c r="KG83" s="369" t="str">
        <f>$B$83</f>
        <v>Share Repurchases:</v>
      </c>
      <c r="KN83" s="369" t="str">
        <f>$B$83</f>
        <v>Share Repurchases:</v>
      </c>
      <c r="KU83" s="369" t="str">
        <f>$B$83</f>
        <v>Share Repurchases:</v>
      </c>
      <c r="LB83" s="369" t="str">
        <f>$B$83</f>
        <v>Share Repurchases:</v>
      </c>
      <c r="LI83" s="369" t="str">
        <f>$B$83</f>
        <v>Share Repurchases:</v>
      </c>
      <c r="LO83" s="717"/>
      <c r="LP83" s="369" t="str">
        <f>$B$83</f>
        <v>Share Repurchases:</v>
      </c>
      <c r="LV83" s="717"/>
      <c r="LW83" s="369" t="str">
        <f>$B$83</f>
        <v>Share Repurchases:</v>
      </c>
      <c r="MC83" s="717"/>
      <c r="MD83" s="369" t="str">
        <f>$B$83</f>
        <v>Share Repurchases:</v>
      </c>
      <c r="MJ83" s="717"/>
    </row>
    <row r="84" spans="1:348" s="70" customFormat="1" x14ac:dyDescent="0.4">
      <c r="A84" s="148"/>
      <c r="B84" s="714" t="s">
        <v>480</v>
      </c>
      <c r="BQ84" s="714" t="str">
        <f>$B$84</f>
        <v>Month 1</v>
      </c>
      <c r="BX84" s="714" t="str">
        <f>$B$84</f>
        <v>Month 1</v>
      </c>
      <c r="CE84" s="714" t="str">
        <f>$B$84</f>
        <v>Month 1</v>
      </c>
      <c r="CL84" s="714" t="str">
        <f>$B$84</f>
        <v>Month 1</v>
      </c>
      <c r="CS84" s="714" t="str">
        <f>$B$84</f>
        <v>Month 1</v>
      </c>
      <c r="CZ84" s="714" t="str">
        <f>$B$84</f>
        <v>Month 1</v>
      </c>
      <c r="DG84" s="714" t="str">
        <f>$B$84</f>
        <v>Month 1</v>
      </c>
      <c r="DN84" s="714" t="str">
        <f>$B$84</f>
        <v>Month 1</v>
      </c>
      <c r="DU84" s="714" t="str">
        <f>$B$84</f>
        <v>Month 1</v>
      </c>
      <c r="EB84" s="714" t="str">
        <f>$B$84</f>
        <v>Month 1</v>
      </c>
      <c r="EI84" s="714" t="str">
        <f>$B$84</f>
        <v>Month 1</v>
      </c>
      <c r="EP84" s="714" t="str">
        <f>$B$84</f>
        <v>Month 1</v>
      </c>
      <c r="EW84" s="714" t="str">
        <f>$B$84</f>
        <v>Month 1</v>
      </c>
      <c r="FD84" s="714" t="str">
        <f>$B$84</f>
        <v>Month 1</v>
      </c>
      <c r="FK84" s="714" t="str">
        <f>$B$84</f>
        <v>Month 1</v>
      </c>
      <c r="FR84" s="714" t="str">
        <f>$B$84</f>
        <v>Month 1</v>
      </c>
      <c r="FY84" s="714" t="str">
        <f>$B$84</f>
        <v>Month 1</v>
      </c>
      <c r="GF84" s="714" t="str">
        <f>$B$84</f>
        <v>Month 1</v>
      </c>
      <c r="GM84" s="714" t="str">
        <f>$B$84</f>
        <v>Month 1</v>
      </c>
      <c r="GT84" s="714" t="str">
        <f>$B$84</f>
        <v>Month 1</v>
      </c>
      <c r="HA84" s="714" t="str">
        <f>$B$84</f>
        <v>Month 1</v>
      </c>
      <c r="HH84" s="714" t="str">
        <f>$B$84</f>
        <v>Month 1</v>
      </c>
      <c r="HO84" s="714" t="str">
        <f>$B$84</f>
        <v>Month 1</v>
      </c>
      <c r="HV84" s="714" t="str">
        <f>$B$84</f>
        <v>Month 1</v>
      </c>
      <c r="IC84" s="714" t="str">
        <f>$B$84</f>
        <v>Month 1</v>
      </c>
      <c r="IE84" s="70">
        <v>0.52290000000000003</v>
      </c>
      <c r="IF84" s="70">
        <v>4.6364999999999998</v>
      </c>
      <c r="IG84" s="70">
        <v>4.8253019999999998</v>
      </c>
      <c r="IH84" s="70" t="s">
        <v>80</v>
      </c>
      <c r="IJ84" s="714" t="str">
        <f>$B$84</f>
        <v>Month 1</v>
      </c>
      <c r="IK84" s="70">
        <v>3.7425000000000002</v>
      </c>
      <c r="IL84" s="70">
        <v>4.1523000000000003</v>
      </c>
      <c r="IM84" s="70">
        <v>4.3432500000000003</v>
      </c>
      <c r="IN84" s="70">
        <v>3.882825</v>
      </c>
      <c r="IQ84" s="714" t="str">
        <f>$B$84</f>
        <v>Month 1</v>
      </c>
      <c r="IR84" s="70">
        <v>3.581709</v>
      </c>
      <c r="IS84" s="70">
        <v>0.43845000000000001</v>
      </c>
      <c r="IT84" s="70">
        <v>7.6627890000000001</v>
      </c>
      <c r="IU84" s="70">
        <v>9.1878449999999994</v>
      </c>
      <c r="IX84" s="714" t="str">
        <f>$B$84</f>
        <v>Month 1</v>
      </c>
      <c r="IY84" s="70">
        <v>9.0369600000000005</v>
      </c>
      <c r="IZ84" s="70">
        <v>9.8057400000000001</v>
      </c>
      <c r="JA84" s="70">
        <v>9.2362199999999994</v>
      </c>
      <c r="JB84" s="70">
        <v>8.2736070000000002</v>
      </c>
      <c r="JE84" s="714" t="str">
        <f>$B$84</f>
        <v>Month 1</v>
      </c>
      <c r="JF84" s="70">
        <v>6.1344539999999999</v>
      </c>
      <c r="JG84" s="70">
        <v>0.79381500000000005</v>
      </c>
      <c r="JH84" s="70">
        <v>29.760687000000001</v>
      </c>
      <c r="JI84" s="70">
        <v>0.495921</v>
      </c>
      <c r="JL84" s="714" t="str">
        <f>$B$84</f>
        <v>Month 1</v>
      </c>
      <c r="JM84" s="715">
        <v>9.0515310000000007</v>
      </c>
      <c r="JN84" s="70">
        <v>36.610166999999997</v>
      </c>
      <c r="JO84" s="70">
        <v>29.578880999999999</v>
      </c>
      <c r="JP84" s="70">
        <v>35.145536999999997</v>
      </c>
      <c r="JS84" s="714" t="str">
        <f>$B$84</f>
        <v>Month 1</v>
      </c>
      <c r="JT84" s="70">
        <v>11.276019</v>
      </c>
      <c r="JU84" s="70">
        <v>4.5557639999999999</v>
      </c>
      <c r="JV84" s="70">
        <v>19.792425000000001</v>
      </c>
      <c r="JW84" s="715">
        <v>23.214231000000002</v>
      </c>
      <c r="JZ84" s="714" t="str">
        <f>$B$84</f>
        <v>Month 1</v>
      </c>
      <c r="KA84" s="70">
        <v>1.1986049999999999</v>
      </c>
      <c r="KB84" s="70">
        <v>5.2409999999999998E-2</v>
      </c>
      <c r="KC84" s="70">
        <v>1.9184669999999999</v>
      </c>
      <c r="KD84" s="70">
        <v>2.935152</v>
      </c>
      <c r="KG84" s="714" t="str">
        <f>$B$84</f>
        <v>Month 1</v>
      </c>
      <c r="KH84" s="70">
        <v>1.898838</v>
      </c>
      <c r="KI84" s="70" t="s">
        <v>80</v>
      </c>
      <c r="KJ84" s="715">
        <v>12.631812</v>
      </c>
      <c r="KK84" s="70">
        <v>5.1945790000000001</v>
      </c>
      <c r="KN84" s="714" t="str">
        <f>$B$84</f>
        <v>Month 1</v>
      </c>
      <c r="KO84" s="70">
        <v>10.640461</v>
      </c>
      <c r="KP84" s="70">
        <v>10.174222</v>
      </c>
      <c r="KQ84" s="70">
        <v>17.162465999999998</v>
      </c>
      <c r="KR84" s="70">
        <v>22.101430000000001</v>
      </c>
      <c r="KU84" s="714" t="str">
        <f>$B$84</f>
        <v>Month 1</v>
      </c>
      <c r="KV84" s="70">
        <v>6.9969320000000002</v>
      </c>
      <c r="KW84" s="716">
        <v>6.3099100000000004</v>
      </c>
      <c r="KX84" s="70">
        <v>5.6794510000000002</v>
      </c>
      <c r="KY84" s="70">
        <v>10.791515</v>
      </c>
      <c r="LB84" s="714" t="str">
        <f>$B$84</f>
        <v>Month 1</v>
      </c>
      <c r="LC84" s="70">
        <v>1.6701490000000001</v>
      </c>
      <c r="LD84" s="70">
        <v>8.8699969999999997</v>
      </c>
      <c r="LE84" s="70">
        <v>0</v>
      </c>
      <c r="LF84" s="70">
        <v>8.9288889999999999</v>
      </c>
      <c r="LH84" s="717"/>
      <c r="LI84" s="714" t="str">
        <f>$B$84</f>
        <v>Month 1</v>
      </c>
      <c r="LJ84" s="70">
        <v>6.557512</v>
      </c>
      <c r="LK84" s="70">
        <v>11.094834000000001</v>
      </c>
      <c r="LL84" s="70">
        <v>1.0180469999999999</v>
      </c>
      <c r="LO84" s="717"/>
      <c r="LP84" s="714" t="str">
        <f>$B$84</f>
        <v>Month 1</v>
      </c>
      <c r="LV84" s="717"/>
      <c r="LW84" s="714" t="str">
        <f>$B$84</f>
        <v>Month 1</v>
      </c>
      <c r="MC84" s="717"/>
      <c r="MD84" s="714" t="str">
        <f>$B$84</f>
        <v>Month 1</v>
      </c>
      <c r="MJ84" s="717"/>
    </row>
    <row r="85" spans="1:348" s="70" customFormat="1" x14ac:dyDescent="0.4">
      <c r="A85" s="148"/>
      <c r="B85" s="714" t="s">
        <v>481</v>
      </c>
      <c r="BQ85" s="714" t="str">
        <f>$B$85</f>
        <v>Month 2</v>
      </c>
      <c r="BX85" s="714" t="str">
        <f>$B$85</f>
        <v>Month 2</v>
      </c>
      <c r="CE85" s="714" t="str">
        <f>$B$85</f>
        <v>Month 2</v>
      </c>
      <c r="CL85" s="714" t="str">
        <f>$B$85</f>
        <v>Month 2</v>
      </c>
      <c r="CS85" s="714" t="str">
        <f>$B$85</f>
        <v>Month 2</v>
      </c>
      <c r="CZ85" s="714" t="str">
        <f>$B$85</f>
        <v>Month 2</v>
      </c>
      <c r="DG85" s="714" t="str">
        <f>$B$85</f>
        <v>Month 2</v>
      </c>
      <c r="DN85" s="714" t="str">
        <f>$B$85</f>
        <v>Month 2</v>
      </c>
      <c r="DU85" s="714" t="str">
        <f>$B$85</f>
        <v>Month 2</v>
      </c>
      <c r="EB85" s="714" t="str">
        <f>$B$85</f>
        <v>Month 2</v>
      </c>
      <c r="EI85" s="714" t="str">
        <f>$B$85</f>
        <v>Month 2</v>
      </c>
      <c r="EP85" s="714" t="str">
        <f>$B$85</f>
        <v>Month 2</v>
      </c>
      <c r="EW85" s="714" t="str">
        <f>$B$85</f>
        <v>Month 2</v>
      </c>
      <c r="FD85" s="714" t="str">
        <f>$B$85</f>
        <v>Month 2</v>
      </c>
      <c r="FK85" s="714" t="str">
        <f>$B$85</f>
        <v>Month 2</v>
      </c>
      <c r="FR85" s="714" t="str">
        <f>$B$85</f>
        <v>Month 2</v>
      </c>
      <c r="FY85" s="714" t="str">
        <f>$B$85</f>
        <v>Month 2</v>
      </c>
      <c r="GF85" s="714" t="str">
        <f>$B$85</f>
        <v>Month 2</v>
      </c>
      <c r="GM85" s="714" t="str">
        <f>$B$85</f>
        <v>Month 2</v>
      </c>
      <c r="GT85" s="714" t="str">
        <f>$B$85</f>
        <v>Month 2</v>
      </c>
      <c r="HA85" s="714" t="str">
        <f>$B$85</f>
        <v>Month 2</v>
      </c>
      <c r="HH85" s="714" t="str">
        <f>$B$85</f>
        <v>Month 2</v>
      </c>
      <c r="HO85" s="714" t="str">
        <f>$B$85</f>
        <v>Month 2</v>
      </c>
      <c r="HV85" s="714" t="str">
        <f>$B$85</f>
        <v>Month 2</v>
      </c>
      <c r="IC85" s="714" t="str">
        <f>$B$85</f>
        <v>Month 2</v>
      </c>
      <c r="IE85" s="70">
        <v>4.9557000000000002</v>
      </c>
      <c r="IF85" s="70">
        <v>4.9332000000000003</v>
      </c>
      <c r="IG85" s="70">
        <v>4.6833</v>
      </c>
      <c r="IJ85" s="714" t="str">
        <f>$B$85</f>
        <v>Month 2</v>
      </c>
      <c r="IK85" s="70">
        <v>4.407222</v>
      </c>
      <c r="IL85" s="70">
        <v>4.3673999999999999</v>
      </c>
      <c r="IM85" s="70">
        <v>4.1337000000000002</v>
      </c>
      <c r="IN85" s="70">
        <v>3.4967999999999999</v>
      </c>
      <c r="IQ85" s="714" t="str">
        <f>$B$85</f>
        <v>Month 2</v>
      </c>
      <c r="IR85" s="70">
        <v>3.3887999999999998</v>
      </c>
      <c r="IS85" s="70">
        <v>4.5194099999999997</v>
      </c>
      <c r="IT85" s="70">
        <v>8.1818159999999995</v>
      </c>
      <c r="IU85" s="70">
        <v>9.0896249999999998</v>
      </c>
      <c r="IX85" s="714" t="str">
        <f>$B$85</f>
        <v>Month 2</v>
      </c>
      <c r="IY85" s="70">
        <v>10.3941</v>
      </c>
      <c r="IZ85" s="70">
        <v>9.4113000000000007</v>
      </c>
      <c r="JA85" s="70">
        <v>8.8214550000000003</v>
      </c>
      <c r="JB85" s="70">
        <v>9.3515700000000006</v>
      </c>
      <c r="JE85" s="714" t="str">
        <f>$B$85</f>
        <v>Month 2</v>
      </c>
      <c r="JF85" s="70">
        <v>4.9816950000000002</v>
      </c>
      <c r="JG85" s="70">
        <v>11.864039999999999</v>
      </c>
      <c r="JH85" s="70">
        <v>19.927634999999999</v>
      </c>
      <c r="JI85" s="70">
        <v>4.6816769999999996</v>
      </c>
      <c r="JL85" s="714" t="str">
        <f>$B$85</f>
        <v>Month 2</v>
      </c>
      <c r="JM85" s="715">
        <v>11.635497000000001</v>
      </c>
      <c r="JN85" s="70">
        <v>9.0554249999999996</v>
      </c>
      <c r="JO85" s="70">
        <v>7.1283240000000001</v>
      </c>
      <c r="JP85" s="70">
        <v>28.858115999999999</v>
      </c>
      <c r="JS85" s="714" t="str">
        <f>$B$85</f>
        <v>Month 2</v>
      </c>
      <c r="JT85" s="70">
        <v>12.235701000000001</v>
      </c>
      <c r="JU85" s="70">
        <v>16.35153</v>
      </c>
      <c r="JV85" s="70">
        <v>13.552839000000001</v>
      </c>
      <c r="JW85" s="715">
        <v>3.5738099999999999</v>
      </c>
      <c r="JZ85" s="714" t="str">
        <f>$B$85</f>
        <v>Month 2</v>
      </c>
      <c r="KA85" s="70">
        <v>4.7085900000000001</v>
      </c>
      <c r="KB85" s="70" t="s">
        <v>80</v>
      </c>
      <c r="KC85" s="70">
        <v>0.44283299999999998</v>
      </c>
      <c r="KD85" s="70">
        <v>1.0466549999999999</v>
      </c>
      <c r="KG85" s="714" t="str">
        <f>$B$85</f>
        <v>Month 2</v>
      </c>
      <c r="KH85" s="70">
        <v>8.9550300000000007</v>
      </c>
      <c r="KI85" s="70">
        <v>3.7766549999999999</v>
      </c>
      <c r="KJ85" s="715">
        <v>4.250947</v>
      </c>
      <c r="KK85" s="70">
        <v>4.3005789999999999</v>
      </c>
      <c r="KN85" s="714" t="str">
        <f>$B$85</f>
        <v>Month 2</v>
      </c>
      <c r="KO85" s="70">
        <v>11.546224</v>
      </c>
      <c r="KP85" s="70">
        <v>17.759231</v>
      </c>
      <c r="KQ85" s="70">
        <v>5.653092</v>
      </c>
      <c r="KR85" s="70">
        <v>6.8103509999999998</v>
      </c>
      <c r="KU85" s="714" t="str">
        <f>$B$85</f>
        <v>Month 2</v>
      </c>
      <c r="KV85" s="70">
        <v>11.2113</v>
      </c>
      <c r="KW85" s="716">
        <v>10.730613</v>
      </c>
      <c r="KX85" s="70">
        <v>13.590489</v>
      </c>
      <c r="KY85" s="70">
        <v>6.7567490000000001</v>
      </c>
      <c r="LB85" s="714" t="str">
        <f>$B$85</f>
        <v>Month 2</v>
      </c>
      <c r="LC85" s="70">
        <v>2.0433859999999999</v>
      </c>
      <c r="LD85" s="70">
        <v>7.0102279999999997</v>
      </c>
      <c r="LE85" s="70">
        <v>5.8432760000000004</v>
      </c>
      <c r="LF85" s="70">
        <v>4.1960329999999999</v>
      </c>
      <c r="LH85" s="717"/>
      <c r="LI85" s="714" t="str">
        <f>$B$85</f>
        <v>Month 2</v>
      </c>
      <c r="LJ85" s="70">
        <v>7.8121900000000002</v>
      </c>
      <c r="LK85" s="70">
        <v>2.0147520000000001</v>
      </c>
      <c r="LL85" s="70">
        <v>0</v>
      </c>
      <c r="LO85" s="717"/>
      <c r="LP85" s="714" t="str">
        <f>$B$85</f>
        <v>Month 2</v>
      </c>
      <c r="LV85" s="717"/>
      <c r="LW85" s="714" t="str">
        <f>$B$85</f>
        <v>Month 2</v>
      </c>
      <c r="MC85" s="717"/>
      <c r="MD85" s="714" t="str">
        <f>$B$85</f>
        <v>Month 2</v>
      </c>
      <c r="MJ85" s="717"/>
    </row>
    <row r="86" spans="1:348" s="70" customFormat="1" x14ac:dyDescent="0.4">
      <c r="A86" s="148"/>
      <c r="B86" s="714" t="s">
        <v>482</v>
      </c>
      <c r="BQ86" s="714" t="str">
        <f>$B$86</f>
        <v>Month 3</v>
      </c>
      <c r="BX86" s="714" t="str">
        <f>$B$86</f>
        <v>Month 3</v>
      </c>
      <c r="CE86" s="714" t="str">
        <f>$B$86</f>
        <v>Month 3</v>
      </c>
      <c r="CL86" s="714" t="str">
        <f>$B$86</f>
        <v>Month 3</v>
      </c>
      <c r="CS86" s="714" t="str">
        <f>$B$86</f>
        <v>Month 3</v>
      </c>
      <c r="CZ86" s="714" t="str">
        <f>$B$86</f>
        <v>Month 3</v>
      </c>
      <c r="DG86" s="714" t="str">
        <f>$B$86</f>
        <v>Month 3</v>
      </c>
      <c r="DN86" s="714" t="str">
        <f>$B$86</f>
        <v>Month 3</v>
      </c>
      <c r="DU86" s="714" t="str">
        <f>$B$86</f>
        <v>Month 3</v>
      </c>
      <c r="EB86" s="714" t="str">
        <f>$B$86</f>
        <v>Month 3</v>
      </c>
      <c r="EI86" s="714" t="str">
        <f>$B$86</f>
        <v>Month 3</v>
      </c>
      <c r="EP86" s="714" t="str">
        <f>$B$86</f>
        <v>Month 3</v>
      </c>
      <c r="EW86" s="714" t="str">
        <f>$B$86</f>
        <v>Month 3</v>
      </c>
      <c r="FD86" s="714" t="str">
        <f>$B$86</f>
        <v>Month 3</v>
      </c>
      <c r="FK86" s="714" t="str">
        <f>$B$86</f>
        <v>Month 3</v>
      </c>
      <c r="FR86" s="714" t="str">
        <f>$B$86</f>
        <v>Month 3</v>
      </c>
      <c r="FY86" s="714" t="str">
        <f>$B$86</f>
        <v>Month 3</v>
      </c>
      <c r="GF86" s="714" t="str">
        <f>$B$86</f>
        <v>Month 3</v>
      </c>
      <c r="GM86" s="714" t="str">
        <f>$B$86</f>
        <v>Month 3</v>
      </c>
      <c r="GT86" s="714" t="str">
        <f>$B$86</f>
        <v>Month 3</v>
      </c>
      <c r="HA86" s="714" t="str">
        <f>$B$86</f>
        <v>Month 3</v>
      </c>
      <c r="HH86" s="714" t="str">
        <f>$B$86</f>
        <v>Month 3</v>
      </c>
      <c r="HO86" s="714" t="str">
        <f>$B$86</f>
        <v>Month 3</v>
      </c>
      <c r="HV86" s="714" t="str">
        <f>$B$86</f>
        <v>Month 3</v>
      </c>
      <c r="IC86" s="714" t="str">
        <f>$B$86</f>
        <v>Month 3</v>
      </c>
      <c r="IE86" s="70">
        <v>6.0147000000000004</v>
      </c>
      <c r="IF86" s="70">
        <v>5.8356000000000003</v>
      </c>
      <c r="IG86" s="70">
        <v>4.9646999999999997</v>
      </c>
      <c r="IJ86" s="714" t="str">
        <f>$B$86</f>
        <v>Month 3</v>
      </c>
      <c r="IK86" s="70">
        <v>5.5051500000000004</v>
      </c>
      <c r="IL86" s="70">
        <v>4.9802249999999999</v>
      </c>
      <c r="IM86" s="70">
        <v>4.77555</v>
      </c>
      <c r="IN86" s="70">
        <v>3.7757999999999998</v>
      </c>
      <c r="IQ86" s="714" t="str">
        <f>$B$86</f>
        <v>Month 3</v>
      </c>
      <c r="IR86" s="70">
        <v>4.5065999999999997</v>
      </c>
      <c r="IS86" s="70">
        <v>8.6258999999999997</v>
      </c>
      <c r="IT86" s="70">
        <v>10.801439999999999</v>
      </c>
      <c r="IU86" s="70">
        <v>10.2036</v>
      </c>
      <c r="IX86" s="714" t="str">
        <f>$B$86</f>
        <v>Month 3</v>
      </c>
      <c r="IY86" s="70">
        <v>11.865209999999999</v>
      </c>
      <c r="IZ86" s="70">
        <v>11.377452</v>
      </c>
      <c r="JA86" s="70">
        <v>10.47711</v>
      </c>
      <c r="JB86" s="70">
        <v>7.9047000000000001</v>
      </c>
      <c r="JE86" s="714" t="str">
        <f>$B$86</f>
        <v>Month 3</v>
      </c>
      <c r="JF86" s="70">
        <v>6.5265000000000004</v>
      </c>
      <c r="JG86" s="70">
        <v>16.02843</v>
      </c>
      <c r="JH86" s="70">
        <v>9.3871590000000005</v>
      </c>
      <c r="JI86" s="70">
        <v>6.7855410000000003</v>
      </c>
      <c r="JL86" s="714" t="str">
        <f>$B$86</f>
        <v>Month 3</v>
      </c>
      <c r="JM86" s="715">
        <v>24.520467</v>
      </c>
      <c r="JN86" s="70">
        <v>3.5568689999999998</v>
      </c>
      <c r="JO86" s="70">
        <v>6.6423329999999998</v>
      </c>
      <c r="JP86" s="70">
        <v>15.771261000000001</v>
      </c>
      <c r="JS86" s="714" t="str">
        <f>$B$86</f>
        <v>Month 3</v>
      </c>
      <c r="JT86" s="70">
        <v>11.431479</v>
      </c>
      <c r="JU86" s="70">
        <v>12.951309</v>
      </c>
      <c r="JV86" s="70">
        <v>15.272157</v>
      </c>
      <c r="JW86" s="715" t="s">
        <v>80</v>
      </c>
      <c r="JZ86" s="714" t="str">
        <f>$B$86</f>
        <v>Month 3</v>
      </c>
      <c r="KA86" s="70">
        <v>21.114491999999998</v>
      </c>
      <c r="KB86" s="70">
        <v>1.738623</v>
      </c>
      <c r="KC86" s="70">
        <v>1.815E-3</v>
      </c>
      <c r="KD86" s="70">
        <v>3.3323520000000002</v>
      </c>
      <c r="KG86" s="714" t="str">
        <f>$B$86</f>
        <v>Month 3</v>
      </c>
      <c r="KH86" s="70">
        <v>7.5350669999999997</v>
      </c>
      <c r="KI86" s="70">
        <v>17.926359000000001</v>
      </c>
      <c r="KJ86" s="715">
        <v>16.976353</v>
      </c>
      <c r="KK86" s="70">
        <v>6.9845769999999998</v>
      </c>
      <c r="KN86" s="714" t="str">
        <f>$B$86</f>
        <v>Month 3</v>
      </c>
      <c r="KO86" s="70">
        <v>7.178363</v>
      </c>
      <c r="KP86" s="70">
        <v>18.574945</v>
      </c>
      <c r="KQ86" s="70">
        <v>17.108339000000001</v>
      </c>
      <c r="KR86" s="70">
        <v>6.7100499999999998</v>
      </c>
      <c r="KU86" s="714" t="str">
        <f>$B$86</f>
        <v>Month 3</v>
      </c>
      <c r="KV86" s="70">
        <v>16.948723999999999</v>
      </c>
      <c r="KW86" s="716">
        <v>10.393389000000001</v>
      </c>
      <c r="KX86" s="70">
        <v>11.748189999999999</v>
      </c>
      <c r="KY86" s="70">
        <v>1.326238</v>
      </c>
      <c r="LB86" s="714" t="str">
        <f>$B$86</f>
        <v>Month 3</v>
      </c>
      <c r="LC86" s="70">
        <v>3.0753360000000001</v>
      </c>
      <c r="LD86" s="70">
        <v>0.427898</v>
      </c>
      <c r="LE86" s="70">
        <v>6.0819049999999999</v>
      </c>
      <c r="LF86" s="70">
        <v>16.409162999999999</v>
      </c>
      <c r="LH86" s="717"/>
      <c r="LI86" s="714" t="str">
        <f>$B$86</f>
        <v>Month 3</v>
      </c>
      <c r="LJ86" s="70">
        <v>9.3375649999999997</v>
      </c>
      <c r="LK86" s="70">
        <v>1.099326</v>
      </c>
      <c r="LL86" s="70">
        <v>2.3694199999999999</v>
      </c>
      <c r="LO86" s="717"/>
      <c r="LP86" s="714" t="str">
        <f>$B$86</f>
        <v>Month 3</v>
      </c>
      <c r="LV86" s="717"/>
      <c r="LW86" s="714" t="str">
        <f>$B$86</f>
        <v>Month 3</v>
      </c>
      <c r="MC86" s="717"/>
      <c r="MD86" s="714" t="str">
        <f>$B$86</f>
        <v>Month 3</v>
      </c>
      <c r="MJ86" s="717"/>
    </row>
    <row r="87" spans="1:348" x14ac:dyDescent="0.4">
      <c r="B87" s="369"/>
      <c r="BQ87" s="369"/>
      <c r="BX87" s="369"/>
      <c r="CE87" s="369"/>
      <c r="CL87" s="369"/>
      <c r="CS87" s="369"/>
      <c r="CZ87" s="369"/>
      <c r="DG87" s="369"/>
      <c r="DN87" s="369"/>
      <c r="DU87" s="369"/>
      <c r="EB87" s="369"/>
      <c r="EI87" s="369"/>
      <c r="EP87" s="369"/>
      <c r="EW87" s="369"/>
      <c r="FD87" s="369"/>
      <c r="FK87" s="369"/>
      <c r="FR87" s="369"/>
      <c r="FY87" s="369"/>
      <c r="GF87" s="369"/>
      <c r="GM87" s="369"/>
      <c r="GT87" s="369"/>
      <c r="HA87" s="369"/>
      <c r="HH87" s="369"/>
      <c r="HO87" s="369"/>
      <c r="HV87" s="369"/>
      <c r="IC87" s="369"/>
      <c r="IE87" s="70"/>
      <c r="IF87" s="70"/>
      <c r="IG87" s="70"/>
      <c r="IJ87" s="369"/>
      <c r="IQ87" s="369"/>
      <c r="IX87" s="369"/>
      <c r="JE87" s="369"/>
      <c r="JL87" s="369"/>
      <c r="JS87" s="369"/>
      <c r="JZ87" s="369"/>
      <c r="KG87" s="369"/>
      <c r="KN87" s="369"/>
      <c r="KU87" s="369"/>
      <c r="LB87" s="369"/>
      <c r="LI87" s="369"/>
      <c r="LO87" s="717"/>
      <c r="LP87" s="369"/>
      <c r="LV87" s="717"/>
      <c r="LW87" s="369"/>
      <c r="MC87" s="717"/>
      <c r="MD87" s="369"/>
      <c r="MJ87" s="717"/>
    </row>
    <row r="88" spans="1:348" x14ac:dyDescent="0.4">
      <c r="B88" s="369" t="s">
        <v>550</v>
      </c>
      <c r="BQ88" s="369" t="str">
        <f>$B$88</f>
        <v>Repurchase Price:</v>
      </c>
      <c r="BX88" s="369" t="str">
        <f>$B$88</f>
        <v>Repurchase Price:</v>
      </c>
      <c r="CE88" s="369" t="str">
        <f>$B$88</f>
        <v>Repurchase Price:</v>
      </c>
      <c r="CL88" s="369" t="str">
        <f>$B$88</f>
        <v>Repurchase Price:</v>
      </c>
      <c r="CS88" s="369" t="str">
        <f>$B$88</f>
        <v>Repurchase Price:</v>
      </c>
      <c r="CZ88" s="369" t="str">
        <f>$B$88</f>
        <v>Repurchase Price:</v>
      </c>
      <c r="DG88" s="369" t="str">
        <f>$B$88</f>
        <v>Repurchase Price:</v>
      </c>
      <c r="DN88" s="369" t="str">
        <f>$B$88</f>
        <v>Repurchase Price:</v>
      </c>
      <c r="DU88" s="369" t="str">
        <f>$B$88</f>
        <v>Repurchase Price:</v>
      </c>
      <c r="EB88" s="369" t="str">
        <f>$B$88</f>
        <v>Repurchase Price:</v>
      </c>
      <c r="EI88" s="369" t="str">
        <f>$B$88</f>
        <v>Repurchase Price:</v>
      </c>
      <c r="EP88" s="369" t="str">
        <f>$B$88</f>
        <v>Repurchase Price:</v>
      </c>
      <c r="EW88" s="369" t="str">
        <f>$B$88</f>
        <v>Repurchase Price:</v>
      </c>
      <c r="FD88" s="369" t="str">
        <f>$B$88</f>
        <v>Repurchase Price:</v>
      </c>
      <c r="FK88" s="369" t="str">
        <f>$B$88</f>
        <v>Repurchase Price:</v>
      </c>
      <c r="FR88" s="369" t="str">
        <f>$B$88</f>
        <v>Repurchase Price:</v>
      </c>
      <c r="FY88" s="369" t="str">
        <f>$B$88</f>
        <v>Repurchase Price:</v>
      </c>
      <c r="GF88" s="369" t="str">
        <f>$B$88</f>
        <v>Repurchase Price:</v>
      </c>
      <c r="GM88" s="369" t="str">
        <f>$B$88</f>
        <v>Repurchase Price:</v>
      </c>
      <c r="GT88" s="369" t="str">
        <f>$B$88</f>
        <v>Repurchase Price:</v>
      </c>
      <c r="HA88" s="369" t="str">
        <f>$B$88</f>
        <v>Repurchase Price:</v>
      </c>
      <c r="HH88" s="369" t="str">
        <f>$B$88</f>
        <v>Repurchase Price:</v>
      </c>
      <c r="HO88" s="369" t="str">
        <f>$B$88</f>
        <v>Repurchase Price:</v>
      </c>
      <c r="HV88" s="369" t="str">
        <f>$B$88</f>
        <v>Repurchase Price:</v>
      </c>
      <c r="IC88" s="369" t="str">
        <f>$B$88</f>
        <v>Repurchase Price:</v>
      </c>
      <c r="IE88" s="718">
        <v>8.3033333333333328</v>
      </c>
      <c r="IF88" s="718">
        <v>8.35</v>
      </c>
      <c r="IG88" s="718">
        <v>8.8866666666666667</v>
      </c>
      <c r="IH88" s="718"/>
      <c r="II88" s="718"/>
      <c r="IJ88" s="369" t="str">
        <f>$B$88</f>
        <v>Repurchase Price:</v>
      </c>
      <c r="IK88" s="718">
        <v>9.27</v>
      </c>
      <c r="IL88" s="718">
        <v>9.6833333333333336</v>
      </c>
      <c r="IM88" s="718">
        <v>10.283333333333333</v>
      </c>
      <c r="IN88" s="718">
        <v>11.536666666666667</v>
      </c>
      <c r="IO88" s="718"/>
      <c r="IP88" s="718"/>
      <c r="IQ88" s="369" t="str">
        <f>$B$88</f>
        <v>Repurchase Price:</v>
      </c>
      <c r="IR88" s="718">
        <v>11.593333333333334</v>
      </c>
      <c r="IS88" s="718">
        <v>11.686666666666667</v>
      </c>
      <c r="IT88" s="718">
        <v>9.99</v>
      </c>
      <c r="IU88" s="718">
        <v>9.0766666666666662</v>
      </c>
      <c r="IV88" s="718"/>
      <c r="IW88" s="718"/>
      <c r="IX88" s="369" t="str">
        <f>$B$88</f>
        <v>Repurchase Price:</v>
      </c>
      <c r="IY88" s="718">
        <v>8.0633333333333344</v>
      </c>
      <c r="IZ88" s="718">
        <v>8.7166666666666668</v>
      </c>
      <c r="JA88" s="718">
        <v>9.2866666666666671</v>
      </c>
      <c r="JB88" s="718">
        <v>10.94</v>
      </c>
      <c r="JC88" s="718"/>
      <c r="JD88" s="718"/>
      <c r="JE88" s="369" t="str">
        <f>$B$88</f>
        <v>Repurchase Price:</v>
      </c>
      <c r="JF88" s="718">
        <v>14.883333333333333</v>
      </c>
      <c r="JG88" s="718">
        <v>17.463333333333335</v>
      </c>
      <c r="JH88" s="718">
        <v>17.113333333333333</v>
      </c>
      <c r="JI88" s="718">
        <v>17.803333333333331</v>
      </c>
      <c r="JJ88" s="718"/>
      <c r="JK88" s="718"/>
      <c r="JL88" s="369" t="str">
        <f>$B$88</f>
        <v>Repurchase Price:</v>
      </c>
      <c r="JM88" s="718">
        <v>18.613333333333333</v>
      </c>
      <c r="JN88" s="718">
        <v>19.82</v>
      </c>
      <c r="JO88" s="718">
        <v>23.393333333333334</v>
      </c>
      <c r="JP88" s="718">
        <v>23.263333333333335</v>
      </c>
      <c r="JQ88" s="718"/>
      <c r="JR88" s="718"/>
      <c r="JS88" s="369" t="str">
        <f>$B$88</f>
        <v>Repurchase Price:</v>
      </c>
      <c r="JT88" s="718">
        <v>22.996666666666666</v>
      </c>
      <c r="JU88" s="718">
        <v>25.446666666666669</v>
      </c>
      <c r="JV88" s="718">
        <v>22.983333333333334</v>
      </c>
      <c r="JW88" s="718">
        <v>22.7</v>
      </c>
      <c r="JX88" s="718"/>
      <c r="JY88" s="718"/>
      <c r="JZ88" s="369" t="str">
        <f>$B$88</f>
        <v>Repurchase Price:</v>
      </c>
      <c r="KA88" s="718">
        <v>21.633333333333336</v>
      </c>
      <c r="KB88" s="718">
        <v>22.39</v>
      </c>
      <c r="KC88" s="718">
        <v>22.756666666666664</v>
      </c>
      <c r="KD88" s="718">
        <v>27.933333333333334</v>
      </c>
      <c r="KE88" s="718"/>
      <c r="KF88" s="718"/>
      <c r="KG88" s="369" t="str">
        <f>$B$88</f>
        <v>Repurchase Price:</v>
      </c>
      <c r="KH88" s="718">
        <v>29.943333333333332</v>
      </c>
      <c r="KI88" s="718">
        <v>32.32</v>
      </c>
      <c r="KJ88" s="718">
        <v>31.43</v>
      </c>
      <c r="KK88" s="718">
        <v>34.57</v>
      </c>
      <c r="KL88" s="718"/>
      <c r="KM88" s="718"/>
      <c r="KN88" s="369" t="str">
        <f>$B$88</f>
        <v>Repurchase Price:</v>
      </c>
      <c r="KO88" s="718">
        <v>34.61</v>
      </c>
      <c r="KP88" s="718">
        <v>32.22</v>
      </c>
      <c r="KQ88" s="718">
        <v>29.94</v>
      </c>
      <c r="KR88" s="718">
        <v>28.66</v>
      </c>
      <c r="KS88" s="718"/>
      <c r="KT88" s="718"/>
      <c r="KU88" s="369" t="str">
        <f>$B$88</f>
        <v>Repurchase Price:</v>
      </c>
      <c r="KV88" s="718">
        <v>30.36</v>
      </c>
      <c r="KW88" s="718">
        <v>31.46</v>
      </c>
      <c r="KX88" s="718">
        <v>31.28</v>
      </c>
      <c r="KY88" s="718">
        <v>30.78</v>
      </c>
      <c r="KZ88" s="718"/>
      <c r="LA88" s="718"/>
      <c r="LB88" s="369" t="str">
        <f>$B$88</f>
        <v>Repurchase Price:</v>
      </c>
      <c r="LC88" s="718">
        <v>36.46</v>
      </c>
      <c r="LD88" s="718">
        <v>34.51</v>
      </c>
      <c r="LE88" s="718">
        <v>33.659999999999997</v>
      </c>
      <c r="LF88" s="718">
        <v>33.6</v>
      </c>
      <c r="LI88" s="369" t="str">
        <f>$B$88</f>
        <v>Repurchase Price:</v>
      </c>
      <c r="LO88" s="717"/>
      <c r="LP88" s="369" t="str">
        <f>$B$88</f>
        <v>Repurchase Price:</v>
      </c>
      <c r="LV88" s="717"/>
      <c r="LW88" s="369" t="str">
        <f>$B$88</f>
        <v>Repurchase Price:</v>
      </c>
      <c r="MC88" s="717"/>
      <c r="MD88" s="369" t="str">
        <f>$B$88</f>
        <v>Repurchase Price:</v>
      </c>
      <c r="MJ88" s="717"/>
    </row>
    <row r="89" spans="1:348" x14ac:dyDescent="0.4">
      <c r="B89" s="711" t="s">
        <v>480</v>
      </c>
      <c r="BQ89" s="711" t="str">
        <f>$B$89</f>
        <v>Month 1</v>
      </c>
      <c r="BX89" s="711" t="str">
        <f>$B$89</f>
        <v>Month 1</v>
      </c>
      <c r="CE89" s="711" t="str">
        <f>$B$89</f>
        <v>Month 1</v>
      </c>
      <c r="CL89" s="711" t="str">
        <f>$B$89</f>
        <v>Month 1</v>
      </c>
      <c r="CS89" s="711" t="str">
        <f>$B$89</f>
        <v>Month 1</v>
      </c>
      <c r="CZ89" s="711" t="str">
        <f>$B$89</f>
        <v>Month 1</v>
      </c>
      <c r="DG89" s="711" t="str">
        <f>$B$89</f>
        <v>Month 1</v>
      </c>
      <c r="DN89" s="711" t="str">
        <f>$B$89</f>
        <v>Month 1</v>
      </c>
      <c r="DU89" s="711" t="str">
        <f>$B$89</f>
        <v>Month 1</v>
      </c>
      <c r="EB89" s="711" t="str">
        <f>$B$89</f>
        <v>Month 1</v>
      </c>
      <c r="EI89" s="711" t="str">
        <f>$B$89</f>
        <v>Month 1</v>
      </c>
      <c r="EP89" s="711" t="str">
        <f>$B$89</f>
        <v>Month 1</v>
      </c>
      <c r="EW89" s="711" t="str">
        <f>$B$89</f>
        <v>Month 1</v>
      </c>
      <c r="FD89" s="711" t="str">
        <f>$B$89</f>
        <v>Month 1</v>
      </c>
      <c r="FK89" s="711" t="str">
        <f>$B$89</f>
        <v>Month 1</v>
      </c>
      <c r="FR89" s="711" t="str">
        <f>$B$89</f>
        <v>Month 1</v>
      </c>
      <c r="FY89" s="711" t="str">
        <f>$B$89</f>
        <v>Month 1</v>
      </c>
      <c r="GF89" s="711" t="str">
        <f>$B$89</f>
        <v>Month 1</v>
      </c>
      <c r="GM89" s="711" t="str">
        <f>$B$89</f>
        <v>Month 1</v>
      </c>
      <c r="GT89" s="711" t="str">
        <f>$B$89</f>
        <v>Month 1</v>
      </c>
      <c r="HA89" s="711" t="str">
        <f>$B$89</f>
        <v>Month 1</v>
      </c>
      <c r="HH89" s="711" t="str">
        <f>$B$89</f>
        <v>Month 1</v>
      </c>
      <c r="HO89" s="711" t="str">
        <f>$B$89</f>
        <v>Month 1</v>
      </c>
      <c r="HV89" s="711" t="str">
        <f>$B$89</f>
        <v>Month 1</v>
      </c>
      <c r="IC89" s="711" t="str">
        <f>$B$89</f>
        <v>Month 1</v>
      </c>
      <c r="IE89" s="719">
        <v>7.9333333333333336</v>
      </c>
      <c r="IF89" s="719">
        <v>8.0533333333333328</v>
      </c>
      <c r="IG89" s="719">
        <v>8.5966666666666658</v>
      </c>
      <c r="IH89" s="719"/>
      <c r="II89" s="719"/>
      <c r="IJ89" s="711" t="str">
        <f>$B$89</f>
        <v>Month 1</v>
      </c>
      <c r="IK89" s="719">
        <v>9.4266666666666676</v>
      </c>
      <c r="IL89" s="719">
        <v>9.4966666666666661</v>
      </c>
      <c r="IM89" s="719">
        <v>10.346666666666666</v>
      </c>
      <c r="IN89" s="719">
        <v>10.696666666666667</v>
      </c>
      <c r="IO89" s="719"/>
      <c r="IP89" s="719"/>
      <c r="IQ89" s="711" t="str">
        <f>$B$89</f>
        <v>Month 1</v>
      </c>
      <c r="IR89" s="719">
        <v>11.656666666666666</v>
      </c>
      <c r="IS89" s="719">
        <v>11.1</v>
      </c>
      <c r="IT89" s="719">
        <v>10.863333333333335</v>
      </c>
      <c r="IU89" s="719">
        <v>9.1266666666666669</v>
      </c>
      <c r="IV89" s="719"/>
      <c r="IW89" s="719"/>
      <c r="IX89" s="711" t="str">
        <f>$B$89</f>
        <v>Month 1</v>
      </c>
      <c r="IY89" s="719">
        <v>8.1366666666666667</v>
      </c>
      <c r="IZ89" s="719">
        <v>8.5333333333333332</v>
      </c>
      <c r="JA89" s="719">
        <v>8.8833333333333329</v>
      </c>
      <c r="JB89" s="719">
        <v>10.130000000000001</v>
      </c>
      <c r="JC89" s="719"/>
      <c r="JD89" s="719"/>
      <c r="JE89" s="711" t="str">
        <f>$B$89</f>
        <v>Month 1</v>
      </c>
      <c r="JF89" s="719">
        <v>12.976666666666667</v>
      </c>
      <c r="JG89" s="719">
        <v>15.716666666666667</v>
      </c>
      <c r="JH89" s="719">
        <v>17.413333333333334</v>
      </c>
      <c r="JI89" s="719">
        <v>17.863333333333333</v>
      </c>
      <c r="JJ89" s="719"/>
      <c r="JK89" s="719"/>
      <c r="JL89" s="711" t="str">
        <f>$B$89</f>
        <v>Month 1</v>
      </c>
      <c r="JM89" s="719">
        <v>19.169999999999998</v>
      </c>
      <c r="JN89" s="719">
        <v>19.47</v>
      </c>
      <c r="JO89" s="719">
        <v>22.886666666666667</v>
      </c>
      <c r="JP89" s="719">
        <v>23.63</v>
      </c>
      <c r="JQ89" s="719"/>
      <c r="JR89" s="719"/>
      <c r="JS89" s="711" t="str">
        <f>$B$89</f>
        <v>Month 1</v>
      </c>
      <c r="JT89" s="719">
        <v>21.396666666666665</v>
      </c>
      <c r="JU89" s="719">
        <v>25.27</v>
      </c>
      <c r="JV89" s="719">
        <v>24.24</v>
      </c>
      <c r="JW89" s="719">
        <v>22.58</v>
      </c>
      <c r="JX89" s="719"/>
      <c r="JY89" s="719"/>
      <c r="JZ89" s="711" t="str">
        <f>$B$89</f>
        <v>Month 1</v>
      </c>
      <c r="KA89" s="719">
        <v>25.343333333333334</v>
      </c>
      <c r="KB89" s="719">
        <v>21.23</v>
      </c>
      <c r="KC89" s="719">
        <v>22.7</v>
      </c>
      <c r="KD89" s="719">
        <v>26.17</v>
      </c>
      <c r="KE89" s="719"/>
      <c r="KF89" s="719"/>
      <c r="KG89" s="711" t="str">
        <f>$B$89</f>
        <v>Month 1</v>
      </c>
      <c r="KH89" s="719">
        <v>28.733333333333334</v>
      </c>
      <c r="KI89" s="720" t="s">
        <v>555</v>
      </c>
      <c r="KJ89" s="719">
        <v>31.7</v>
      </c>
      <c r="KK89" s="719">
        <v>31.56</v>
      </c>
      <c r="KL89" s="719"/>
      <c r="KM89" s="719"/>
      <c r="KN89" s="711" t="str">
        <f>$B$89</f>
        <v>Month 1</v>
      </c>
      <c r="KO89" s="719">
        <v>35.08</v>
      </c>
      <c r="KP89" s="719">
        <v>34.799999999999997</v>
      </c>
      <c r="KQ89" s="719">
        <v>28.74</v>
      </c>
      <c r="KR89" s="719">
        <v>27.5</v>
      </c>
      <c r="KS89" s="719"/>
      <c r="KT89" s="719"/>
      <c r="KU89" s="711" t="str">
        <f>$B$89</f>
        <v>Month 1</v>
      </c>
      <c r="KV89" s="719">
        <v>30.95</v>
      </c>
      <c r="KW89" s="719">
        <v>30.1</v>
      </c>
      <c r="KX89" s="719">
        <v>33.159999999999997</v>
      </c>
      <c r="KY89" s="719">
        <v>30.53</v>
      </c>
      <c r="KZ89" s="719"/>
      <c r="LA89" s="719"/>
      <c r="LB89" s="711" t="str">
        <f>$B$89</f>
        <v>Month 1</v>
      </c>
      <c r="LC89" s="719">
        <v>34.74</v>
      </c>
      <c r="LD89" s="719">
        <v>35.19</v>
      </c>
      <c r="LE89" s="719"/>
      <c r="LF89" s="719">
        <v>33.770000000000003</v>
      </c>
      <c r="LI89" s="711" t="str">
        <f>$B$89</f>
        <v>Month 1</v>
      </c>
      <c r="LJ89" s="37">
        <v>32.36</v>
      </c>
      <c r="LK89" s="37">
        <v>27.73</v>
      </c>
      <c r="LL89" s="37">
        <v>33.76</v>
      </c>
      <c r="LO89" s="717"/>
      <c r="LP89" s="711" t="str">
        <f>$B$89</f>
        <v>Month 1</v>
      </c>
      <c r="LV89" s="717"/>
      <c r="LW89" s="711" t="str">
        <f>$B$89</f>
        <v>Month 1</v>
      </c>
      <c r="MC89" s="717"/>
      <c r="MD89" s="711" t="str">
        <f>$B$89</f>
        <v>Month 1</v>
      </c>
      <c r="MJ89" s="717"/>
    </row>
    <row r="90" spans="1:348" x14ac:dyDescent="0.4">
      <c r="B90" s="711" t="s">
        <v>481</v>
      </c>
      <c r="BQ90" s="711" t="str">
        <f>$B$90</f>
        <v>Month 2</v>
      </c>
      <c r="BX90" s="711" t="str">
        <f>$B$90</f>
        <v>Month 2</v>
      </c>
      <c r="CE90" s="711" t="str">
        <f>$B$90</f>
        <v>Month 2</v>
      </c>
      <c r="CL90" s="711" t="str">
        <f>$B$90</f>
        <v>Month 2</v>
      </c>
      <c r="CS90" s="711" t="str">
        <f>$B$90</f>
        <v>Month 2</v>
      </c>
      <c r="CZ90" s="711" t="str">
        <f>$B$90</f>
        <v>Month 2</v>
      </c>
      <c r="DG90" s="711" t="str">
        <f>$B$90</f>
        <v>Month 2</v>
      </c>
      <c r="DN90" s="711" t="str">
        <f>$B$90</f>
        <v>Month 2</v>
      </c>
      <c r="DU90" s="711" t="str">
        <f>$B$90</f>
        <v>Month 2</v>
      </c>
      <c r="EB90" s="711" t="str">
        <f>$B$90</f>
        <v>Month 2</v>
      </c>
      <c r="EI90" s="711" t="str">
        <f>$B$90</f>
        <v>Month 2</v>
      </c>
      <c r="EP90" s="711" t="str">
        <f>$B$90</f>
        <v>Month 2</v>
      </c>
      <c r="EW90" s="711" t="str">
        <f>$B$90</f>
        <v>Month 2</v>
      </c>
      <c r="FD90" s="711" t="str">
        <f>$B$90</f>
        <v>Month 2</v>
      </c>
      <c r="FK90" s="711" t="str">
        <f>$B$90</f>
        <v>Month 2</v>
      </c>
      <c r="FR90" s="711" t="str">
        <f>$B$90</f>
        <v>Month 2</v>
      </c>
      <c r="FY90" s="711" t="str">
        <f>$B$90</f>
        <v>Month 2</v>
      </c>
      <c r="GF90" s="711" t="str">
        <f>$B$90</f>
        <v>Month 2</v>
      </c>
      <c r="GM90" s="711" t="str">
        <f>$B$90</f>
        <v>Month 2</v>
      </c>
      <c r="GT90" s="711" t="str">
        <f>$B$90</f>
        <v>Month 2</v>
      </c>
      <c r="HA90" s="711" t="str">
        <f>$B$90</f>
        <v>Month 2</v>
      </c>
      <c r="HH90" s="711" t="str">
        <f>$B$90</f>
        <v>Month 2</v>
      </c>
      <c r="HO90" s="711" t="str">
        <f>$B$90</f>
        <v>Month 2</v>
      </c>
      <c r="HV90" s="711" t="str">
        <f>$B$90</f>
        <v>Month 2</v>
      </c>
      <c r="IC90" s="711" t="str">
        <f>$B$90</f>
        <v>Month 2</v>
      </c>
      <c r="IE90" s="721">
        <v>8.3733333333333331</v>
      </c>
      <c r="IF90" s="721">
        <v>8.41</v>
      </c>
      <c r="IG90" s="721">
        <v>8.8633333333333333</v>
      </c>
      <c r="IH90" s="721"/>
      <c r="II90" s="721"/>
      <c r="IJ90" s="711" t="str">
        <f>$B$90</f>
        <v>Month 2</v>
      </c>
      <c r="IK90" s="721">
        <v>8.9466666666666672</v>
      </c>
      <c r="IL90" s="721">
        <v>9.5033333333333339</v>
      </c>
      <c r="IM90" s="721">
        <v>10.043333333333333</v>
      </c>
      <c r="IN90" s="721">
        <v>11.87</v>
      </c>
      <c r="IO90" s="721"/>
      <c r="IP90" s="721"/>
      <c r="IQ90" s="711" t="str">
        <f>$B$90</f>
        <v>Month 2</v>
      </c>
      <c r="IR90" s="721">
        <v>11.633333333333333</v>
      </c>
      <c r="IS90" s="721">
        <v>11.963333333333333</v>
      </c>
      <c r="IT90" s="721">
        <v>10.166666666666666</v>
      </c>
      <c r="IU90" s="721">
        <v>9.15</v>
      </c>
      <c r="IV90" s="721"/>
      <c r="IW90" s="721"/>
      <c r="IX90" s="711" t="str">
        <f>$B$90</f>
        <v>Month 2</v>
      </c>
      <c r="IY90" s="721">
        <v>7.6000000000000005</v>
      </c>
      <c r="IZ90" s="721">
        <v>8.8366666666666678</v>
      </c>
      <c r="JA90" s="721">
        <v>9.4266666666666676</v>
      </c>
      <c r="JB90" s="721">
        <v>10.673333333333334</v>
      </c>
      <c r="JC90" s="721"/>
      <c r="JD90" s="721"/>
      <c r="JE90" s="711" t="str">
        <f>$B$90</f>
        <v>Month 2</v>
      </c>
      <c r="JF90" s="721">
        <v>15.86</v>
      </c>
      <c r="JG90" s="721">
        <v>17.126666666666669</v>
      </c>
      <c r="JH90" s="721">
        <v>16.616666666666667</v>
      </c>
      <c r="JI90" s="721">
        <v>16.723333333333333</v>
      </c>
      <c r="JJ90" s="721"/>
      <c r="JK90" s="721"/>
      <c r="JL90" s="711" t="str">
        <f>$B$90</f>
        <v>Month 2</v>
      </c>
      <c r="JM90" s="721">
        <v>17.989999999999998</v>
      </c>
      <c r="JN90" s="721">
        <v>20.553333333333331</v>
      </c>
      <c r="JO90" s="721">
        <v>24.303333333333331</v>
      </c>
      <c r="JP90" s="721">
        <v>23.143333333333334</v>
      </c>
      <c r="JQ90" s="721"/>
      <c r="JR90" s="721"/>
      <c r="JS90" s="711" t="str">
        <f>$B$90</f>
        <v>Month 2</v>
      </c>
      <c r="JT90" s="721">
        <v>23.293333333333333</v>
      </c>
      <c r="JU90" s="721">
        <v>25.383333333333336</v>
      </c>
      <c r="JV90" s="721">
        <v>22.176666666666666</v>
      </c>
      <c r="JW90" s="721">
        <v>23.473333333333333</v>
      </c>
      <c r="JX90" s="721"/>
      <c r="JY90" s="721"/>
      <c r="JZ90" s="711" t="str">
        <f>$B$90</f>
        <v>Month 2</v>
      </c>
      <c r="KA90" s="721">
        <v>25.793333333333333</v>
      </c>
      <c r="KB90" s="722" t="s">
        <v>80</v>
      </c>
      <c r="KC90" s="721">
        <v>22.996666666666666</v>
      </c>
      <c r="KD90" s="721">
        <v>26.27</v>
      </c>
      <c r="KE90" s="721"/>
      <c r="KF90" s="721"/>
      <c r="KG90" s="711" t="str">
        <f>$B$90</f>
        <v>Month 2</v>
      </c>
      <c r="KH90" s="721">
        <v>29.566666666666666</v>
      </c>
      <c r="KI90" s="721">
        <v>33.35</v>
      </c>
      <c r="KJ90" s="721">
        <v>32.9</v>
      </c>
      <c r="KK90" s="721">
        <v>35.6</v>
      </c>
      <c r="KL90" s="721"/>
      <c r="KM90" s="721"/>
      <c r="KN90" s="711" t="str">
        <f>$B$90</f>
        <v>Month 2</v>
      </c>
      <c r="KO90" s="721">
        <v>34.07</v>
      </c>
      <c r="KP90" s="721">
        <v>32.72</v>
      </c>
      <c r="KQ90" s="721">
        <v>33.72</v>
      </c>
      <c r="KR90" s="721">
        <v>29.8</v>
      </c>
      <c r="KS90" s="721"/>
      <c r="KT90" s="721"/>
      <c r="KU90" s="711" t="str">
        <f>$B$90</f>
        <v>Month 2</v>
      </c>
      <c r="KV90" s="721">
        <v>31.15</v>
      </c>
      <c r="KW90" s="721">
        <v>31.43</v>
      </c>
      <c r="KX90" s="721">
        <v>31.19</v>
      </c>
      <c r="KY90" s="721">
        <v>30.66</v>
      </c>
      <c r="KZ90" s="721"/>
      <c r="LA90" s="721"/>
      <c r="LB90" s="711" t="str">
        <f>$B$90</f>
        <v>Month 2</v>
      </c>
      <c r="LC90" s="721">
        <v>36.65</v>
      </c>
      <c r="LD90" s="721">
        <v>33.71</v>
      </c>
      <c r="LE90" s="721">
        <v>33.57</v>
      </c>
      <c r="LF90" s="721">
        <v>34.85</v>
      </c>
      <c r="LI90" s="711" t="str">
        <f>$B$90</f>
        <v>Month 2</v>
      </c>
      <c r="LJ90" s="37">
        <v>32.56</v>
      </c>
      <c r="LK90" s="37">
        <v>29.26</v>
      </c>
      <c r="LO90" s="717"/>
      <c r="LP90" s="711" t="str">
        <f>$B$90</f>
        <v>Month 2</v>
      </c>
      <c r="LV90" s="717"/>
      <c r="LW90" s="711" t="str">
        <f>$B$90</f>
        <v>Month 2</v>
      </c>
      <c r="MC90" s="717"/>
      <c r="MD90" s="711" t="str">
        <f>$B$90</f>
        <v>Month 2</v>
      </c>
      <c r="MJ90" s="717"/>
    </row>
    <row r="91" spans="1:348" x14ac:dyDescent="0.4">
      <c r="B91" s="711" t="s">
        <v>482</v>
      </c>
      <c r="BQ91" s="711" t="str">
        <f>$B$91</f>
        <v>Month 3</v>
      </c>
      <c r="BX91" s="711" t="str">
        <f>$B$91</f>
        <v>Month 3</v>
      </c>
      <c r="CE91" s="711" t="str">
        <f>$B$91</f>
        <v>Month 3</v>
      </c>
      <c r="CL91" s="711" t="str">
        <f>$B$91</f>
        <v>Month 3</v>
      </c>
      <c r="CS91" s="711" t="str">
        <f>$B$91</f>
        <v>Month 3</v>
      </c>
      <c r="CZ91" s="711" t="str">
        <f>$B$91</f>
        <v>Month 3</v>
      </c>
      <c r="DG91" s="711" t="str">
        <f>$B$91</f>
        <v>Month 3</v>
      </c>
      <c r="DN91" s="711" t="str">
        <f>$B$91</f>
        <v>Month 3</v>
      </c>
      <c r="DU91" s="711" t="str">
        <f>$B$91</f>
        <v>Month 3</v>
      </c>
      <c r="EB91" s="711" t="str">
        <f>$B$91</f>
        <v>Month 3</v>
      </c>
      <c r="EI91" s="711" t="str">
        <f>$B$91</f>
        <v>Month 3</v>
      </c>
      <c r="EP91" s="711" t="str">
        <f>$B$91</f>
        <v>Month 3</v>
      </c>
      <c r="EW91" s="711" t="str">
        <f>$B$91</f>
        <v>Month 3</v>
      </c>
      <c r="FD91" s="711" t="str">
        <f>$B$91</f>
        <v>Month 3</v>
      </c>
      <c r="FK91" s="711" t="str">
        <f>$B$91</f>
        <v>Month 3</v>
      </c>
      <c r="FR91" s="711" t="str">
        <f>$B$91</f>
        <v>Month 3</v>
      </c>
      <c r="FY91" s="711" t="str">
        <f>$B$91</f>
        <v>Month 3</v>
      </c>
      <c r="GF91" s="711" t="str">
        <f>$B$91</f>
        <v>Month 3</v>
      </c>
      <c r="GM91" s="711" t="str">
        <f>$B$91</f>
        <v>Month 3</v>
      </c>
      <c r="GT91" s="711" t="str">
        <f>$B$91</f>
        <v>Month 3</v>
      </c>
      <c r="HA91" s="711" t="str">
        <f>$B$91</f>
        <v>Month 3</v>
      </c>
      <c r="HH91" s="711" t="str">
        <f>$B$91</f>
        <v>Month 3</v>
      </c>
      <c r="HO91" s="711" t="str">
        <f>$B$91</f>
        <v>Month 3</v>
      </c>
      <c r="HV91" s="711" t="str">
        <f>$B$91</f>
        <v>Month 3</v>
      </c>
      <c r="IC91" s="711" t="str">
        <f>$B$91</f>
        <v>Month 3</v>
      </c>
      <c r="IE91" s="721">
        <v>8.2799999999999994</v>
      </c>
      <c r="IF91" s="721">
        <v>8.5333333333333332</v>
      </c>
      <c r="IG91" s="721">
        <v>9.1933333333333334</v>
      </c>
      <c r="IH91" s="721"/>
      <c r="II91" s="721"/>
      <c r="IJ91" s="711" t="str">
        <f>$B$91</f>
        <v>Month 3</v>
      </c>
      <c r="IK91" s="721">
        <v>9.42</v>
      </c>
      <c r="IL91" s="721">
        <v>10</v>
      </c>
      <c r="IM91" s="721">
        <v>10.433333333333334</v>
      </c>
      <c r="IN91" s="721">
        <v>12.086666666666666</v>
      </c>
      <c r="IO91" s="721"/>
      <c r="IP91" s="721"/>
      <c r="IQ91" s="711" t="str">
        <f>$B$91</f>
        <v>Month 3</v>
      </c>
      <c r="IR91" s="721">
        <v>11.513333333333334</v>
      </c>
      <c r="IS91" s="721">
        <v>11.57</v>
      </c>
      <c r="IT91" s="721">
        <v>9.24</v>
      </c>
      <c r="IU91" s="721">
        <v>8.9633333333333329</v>
      </c>
      <c r="IV91" s="721"/>
      <c r="IW91" s="721"/>
      <c r="IX91" s="711" t="str">
        <f>$B$91</f>
        <v>Month 3</v>
      </c>
      <c r="IY91" s="721">
        <v>8.4133333333333322</v>
      </c>
      <c r="IZ91" s="721">
        <v>8.77</v>
      </c>
      <c r="JA91" s="721">
        <v>9.5266666666666655</v>
      </c>
      <c r="JB91" s="721">
        <v>12.1</v>
      </c>
      <c r="JC91" s="721"/>
      <c r="JD91" s="721"/>
      <c r="JE91" s="711" t="str">
        <f>$B$91</f>
        <v>Month 3</v>
      </c>
      <c r="JF91" s="721">
        <v>15.926666666666668</v>
      </c>
      <c r="JG91" s="721">
        <v>17.796666666666667</v>
      </c>
      <c r="JH91" s="721">
        <v>17.213333333333335</v>
      </c>
      <c r="JI91" s="721">
        <v>18.546666666666667</v>
      </c>
      <c r="JJ91" s="721"/>
      <c r="JK91" s="721"/>
      <c r="JL91" s="711" t="str">
        <f>$B$91</f>
        <v>Month 3</v>
      </c>
      <c r="JM91" s="721">
        <v>18.703333333333333</v>
      </c>
      <c r="JN91" s="721">
        <v>21.536666666666665</v>
      </c>
      <c r="JO91" s="721">
        <v>24.66333333333333</v>
      </c>
      <c r="JP91" s="721">
        <v>22.67</v>
      </c>
      <c r="JQ91" s="721"/>
      <c r="JR91" s="721"/>
      <c r="JS91" s="711" t="str">
        <f>$B$91</f>
        <v>Month 3</v>
      </c>
      <c r="JT91" s="721">
        <v>24.26</v>
      </c>
      <c r="JU91" s="721">
        <v>25.58666666666667</v>
      </c>
      <c r="JV91" s="721">
        <v>22.073333333333334</v>
      </c>
      <c r="JW91" s="722" t="s">
        <v>80</v>
      </c>
      <c r="JX91" s="722"/>
      <c r="JY91" s="722"/>
      <c r="JZ91" s="711" t="str">
        <f>$B$91</f>
        <v>Month 3</v>
      </c>
      <c r="KA91" s="721">
        <v>20.496666666666666</v>
      </c>
      <c r="KB91" s="721">
        <v>22.426666666666666</v>
      </c>
      <c r="KC91" s="721">
        <v>26.069999999999997</v>
      </c>
      <c r="KD91" s="721">
        <v>30.01</v>
      </c>
      <c r="KE91" s="721"/>
      <c r="KF91" s="721"/>
      <c r="KG91" s="711" t="str">
        <f>$B$91</f>
        <v>Month 3</v>
      </c>
      <c r="KH91" s="721">
        <v>30.693333333333332</v>
      </c>
      <c r="KI91" s="721">
        <v>32.11</v>
      </c>
      <c r="KJ91" s="721">
        <v>30.86</v>
      </c>
      <c r="KK91" s="721">
        <v>36.17</v>
      </c>
      <c r="KL91" s="721"/>
      <c r="KM91" s="721"/>
      <c r="KN91" s="711" t="str">
        <f>$B$91</f>
        <v>Month 3</v>
      </c>
      <c r="KO91" s="721">
        <v>34.79</v>
      </c>
      <c r="KP91" s="721">
        <v>30.34</v>
      </c>
      <c r="KQ91" s="721">
        <v>29.89</v>
      </c>
      <c r="KR91" s="721">
        <v>31.33</v>
      </c>
      <c r="KS91" s="721"/>
      <c r="KT91" s="721"/>
      <c r="KU91" s="711" t="str">
        <f>$B$91</f>
        <v>Month 3</v>
      </c>
      <c r="KV91" s="721">
        <v>29.59</v>
      </c>
      <c r="KW91" s="721">
        <v>32.299999999999997</v>
      </c>
      <c r="KX91" s="721">
        <v>30.47</v>
      </c>
      <c r="KY91" s="721">
        <v>33.450000000000003</v>
      </c>
      <c r="KZ91" s="721"/>
      <c r="LA91" s="721"/>
      <c r="LB91" s="711" t="str">
        <f>$B$91</f>
        <v>Month 3</v>
      </c>
      <c r="LC91" s="721">
        <v>37.26</v>
      </c>
      <c r="LD91" s="721">
        <v>33.299999999999997</v>
      </c>
      <c r="LE91" s="721">
        <v>33.74</v>
      </c>
      <c r="LF91" s="721">
        <v>33.19</v>
      </c>
      <c r="LI91" s="711" t="str">
        <f>$B$91</f>
        <v>Month 3</v>
      </c>
      <c r="LJ91" s="37">
        <v>30.41</v>
      </c>
      <c r="LK91" s="37">
        <v>32.03</v>
      </c>
      <c r="LL91" s="37">
        <v>32.770000000000003</v>
      </c>
      <c r="LO91" s="717"/>
      <c r="LP91" s="711" t="str">
        <f>$B$91</f>
        <v>Month 3</v>
      </c>
      <c r="LV91" s="717"/>
      <c r="LW91" s="711" t="str">
        <f>$B$91</f>
        <v>Month 3</v>
      </c>
      <c r="MC91" s="717"/>
      <c r="MD91" s="711" t="str">
        <f>$B$91</f>
        <v>Month 3</v>
      </c>
      <c r="MJ91" s="717"/>
    </row>
    <row r="92" spans="1:348" x14ac:dyDescent="0.4">
      <c r="B92" s="369"/>
      <c r="BQ92" s="369"/>
      <c r="BX92" s="369"/>
      <c r="CE92" s="369"/>
      <c r="CL92" s="369"/>
      <c r="CS92" s="369"/>
      <c r="CZ92" s="369"/>
      <c r="DG92" s="369"/>
      <c r="DN92" s="369"/>
      <c r="DU92" s="369"/>
      <c r="EB92" s="369"/>
      <c r="EI92" s="369"/>
      <c r="EP92" s="369"/>
      <c r="EW92" s="369"/>
      <c r="FD92" s="369"/>
      <c r="FK92" s="369"/>
      <c r="FR92" s="369"/>
      <c r="FY92" s="369"/>
      <c r="GF92" s="369"/>
      <c r="GM92" s="369"/>
      <c r="GT92" s="369"/>
      <c r="HA92" s="369"/>
      <c r="HH92" s="369"/>
      <c r="HO92" s="369"/>
      <c r="HV92" s="369"/>
      <c r="IC92" s="369"/>
      <c r="IJ92" s="369"/>
      <c r="IQ92" s="369"/>
      <c r="IX92" s="369"/>
      <c r="JE92" s="369"/>
      <c r="JL92" s="369"/>
      <c r="JS92" s="369"/>
      <c r="JZ92" s="369"/>
      <c r="KG92" s="369"/>
      <c r="KN92" s="369"/>
      <c r="KU92" s="369"/>
      <c r="LB92" s="369"/>
      <c r="LI92" s="369"/>
      <c r="LO92" s="717"/>
      <c r="LP92" s="369"/>
      <c r="LV92" s="717"/>
      <c r="LW92" s="369"/>
      <c r="MC92" s="717"/>
      <c r="MD92" s="369"/>
      <c r="MJ92" s="717"/>
    </row>
    <row r="93" spans="1:348" x14ac:dyDescent="0.4">
      <c r="B93" s="53" t="s">
        <v>560</v>
      </c>
      <c r="BQ93" s="53" t="str">
        <f>$B$93</f>
        <v>Average basic shares</v>
      </c>
      <c r="BR93" s="70">
        <f>CSX!BR60</f>
        <v>3798.8357399999995</v>
      </c>
      <c r="BS93" s="70">
        <f>CSX!BS60</f>
        <v>3665.9529360000001</v>
      </c>
      <c r="BT93" s="70">
        <f>CSX!BT60</f>
        <v>3588.4577159999999</v>
      </c>
      <c r="BU93" s="70">
        <f>CSX!BU60</f>
        <v>3527.6503320000002</v>
      </c>
      <c r="BV93" s="70">
        <f>CSX!BV60</f>
        <v>3645.2241809999996</v>
      </c>
      <c r="BX93" s="53" t="str">
        <f>$B$93</f>
        <v>Average basic shares</v>
      </c>
      <c r="BY93" s="70">
        <f>CSX!BY60</f>
        <v>3524.5196639999999</v>
      </c>
      <c r="BZ93" s="70">
        <f>CSX!BZ60</f>
        <v>3536.2340999999997</v>
      </c>
      <c r="CA93" s="70">
        <f>CSX!CA60</f>
        <v>3541.7360520000002</v>
      </c>
      <c r="CB93" s="70">
        <f>CSX!CB60</f>
        <v>3545.5700159999997</v>
      </c>
      <c r="CC93" s="70">
        <f>CSX!CC60</f>
        <v>3537.0149579999998</v>
      </c>
      <c r="CE93" s="53" t="str">
        <f>$B$93</f>
        <v>Average basic shares</v>
      </c>
      <c r="CF93" s="70">
        <f>CSX!CF60</f>
        <v>3556.7449560000005</v>
      </c>
      <c r="CG93" s="70">
        <f>CSX!CG60</f>
        <v>3584.80188</v>
      </c>
      <c r="CH93" s="70">
        <f>CSX!CH60</f>
        <v>3644.8235999999997</v>
      </c>
      <c r="CI93" s="70">
        <f>CSX!CI60</f>
        <v>3682.316808</v>
      </c>
      <c r="CJ93" s="70">
        <f>CSX!CJ60</f>
        <v>3617.1718110000006</v>
      </c>
      <c r="CL93" s="53" t="str">
        <f>$B$93</f>
        <v>Average basic shares</v>
      </c>
      <c r="CM93" s="70">
        <f>CSX!CM60</f>
        <v>3693.7023119999994</v>
      </c>
      <c r="CN93" s="70">
        <f>CSX!CN60</f>
        <v>3703.7843639999996</v>
      </c>
      <c r="CO93" s="70">
        <f>CSX!CO60</f>
        <v>3707.6878079999997</v>
      </c>
      <c r="CP93" s="70">
        <f>CSX!CP60</f>
        <v>3713.2559999999999</v>
      </c>
      <c r="CQ93" s="70">
        <f>CSX!CQ60</f>
        <v>3704.6076209999992</v>
      </c>
      <c r="CS93" s="53" t="str">
        <f>$B$93</f>
        <v>Average basic shares</v>
      </c>
      <c r="CT93" s="70">
        <f>CSX!CT60</f>
        <v>3731.9040000000005</v>
      </c>
      <c r="CU93" s="70">
        <f>CSX!CU60</f>
        <v>3740.5800000000004</v>
      </c>
      <c r="CV93" s="70">
        <f>CSX!CV60</f>
        <v>3743.8391159999996</v>
      </c>
      <c r="CW93" s="70">
        <f>CSX!CW60</f>
        <v>3747.24</v>
      </c>
      <c r="CX93" s="70">
        <f>CSX!CX60</f>
        <v>3740.8907789999998</v>
      </c>
      <c r="CZ93" s="53" t="str">
        <f>$B$93</f>
        <v>Average basic shares</v>
      </c>
      <c r="DA93" s="70">
        <f>CSX!DA60</f>
        <v>3760.2719999999999</v>
      </c>
      <c r="DB93" s="70">
        <f>CSX!DB60</f>
        <v>3769.3439999999996</v>
      </c>
      <c r="DC93" s="70">
        <f>CSX!DC60</f>
        <v>3770.3159999999998</v>
      </c>
      <c r="DD93" s="70">
        <f>CSX!DD60</f>
        <v>3769.9199999999996</v>
      </c>
      <c r="DE93" s="70">
        <f>CSX!DE60</f>
        <v>3767.4629999999997</v>
      </c>
      <c r="DG93" s="53" t="str">
        <f>$B$93</f>
        <v>Average basic shares</v>
      </c>
      <c r="DH93" s="70">
        <f>CSX!DH60</f>
        <v>3777.9480000000003</v>
      </c>
      <c r="DI93" s="70">
        <f>CSX!DI60</f>
        <v>3785.9040000000005</v>
      </c>
      <c r="DJ93" s="70">
        <f>CSX!DJ60</f>
        <v>3788.712</v>
      </c>
      <c r="DK93" s="70">
        <f>CSX!DK60</f>
        <v>3789</v>
      </c>
      <c r="DL93" s="70">
        <f>CSX!DL60</f>
        <v>3784.8600000000006</v>
      </c>
      <c r="DN93" s="53" t="str">
        <f>$B$93</f>
        <v>Average basic shares</v>
      </c>
      <c r="DO93" s="70">
        <f>CSX!DO60</f>
        <v>3797.3520000000003</v>
      </c>
      <c r="DP93" s="70">
        <f>CSX!DP60</f>
        <v>3810.2039999999997</v>
      </c>
      <c r="DQ93" s="70">
        <f>CSX!DQ60</f>
        <v>3867.462</v>
      </c>
      <c r="DR93" s="70">
        <f>CSX!DR60</f>
        <v>3902.9220000000005</v>
      </c>
      <c r="DS93" s="70">
        <f>CSX!DS60</f>
        <v>3845.3940000000002</v>
      </c>
      <c r="DU93" s="53" t="str">
        <f>$B$93</f>
        <v>Average basic shares</v>
      </c>
      <c r="DV93" s="70">
        <f>CSX!DV60</f>
        <v>3765.636</v>
      </c>
      <c r="DW93" s="70">
        <f>CSX!DW60</f>
        <v>3771.4139999999998</v>
      </c>
      <c r="DX93" s="70">
        <f>CSX!DX60</f>
        <v>3785.598</v>
      </c>
      <c r="DY93" s="70">
        <f>CSX!DY60</f>
        <v>3790.44</v>
      </c>
      <c r="DZ93" s="70">
        <f>CSX!DZ60</f>
        <v>3920.3279999999995</v>
      </c>
      <c r="EB93" s="53" t="str">
        <f>$B$93</f>
        <v>Average basic shares</v>
      </c>
      <c r="EC93" s="70">
        <f>CSX!EC60</f>
        <v>3797.982</v>
      </c>
      <c r="ED93" s="70">
        <f>CSX!ED60</f>
        <v>3805.8119999999999</v>
      </c>
      <c r="EE93" s="70">
        <f>CSX!EE60</f>
        <v>3794.5800000000004</v>
      </c>
      <c r="EF93" s="70">
        <f>CSX!EF60</f>
        <v>3783.5819999999999</v>
      </c>
      <c r="EG93" s="70">
        <f>CSX!EG60</f>
        <v>3795.489</v>
      </c>
      <c r="EI93" s="53" t="str">
        <f>$B$93</f>
        <v>Average basic shares</v>
      </c>
      <c r="EJ93" s="70">
        <f>CSX!EJ60</f>
        <v>3782.232</v>
      </c>
      <c r="EK93" s="70">
        <f>CSX!EK60</f>
        <v>3789.3059999999996</v>
      </c>
      <c r="EL93" s="70">
        <f>CSX!EL60</f>
        <v>3794.2200000000003</v>
      </c>
      <c r="EM93" s="70">
        <f>CSX!EM60</f>
        <v>3798.0360000000005</v>
      </c>
      <c r="EN93" s="70">
        <f>CSX!EN60</f>
        <v>3790.9485</v>
      </c>
      <c r="EP93" s="53" t="str">
        <f>$B$93</f>
        <v>Average basic shares</v>
      </c>
      <c r="EQ93" s="70">
        <f>CSX!EQ60</f>
        <v>3801.4560000000001</v>
      </c>
      <c r="ER93" s="70">
        <f>CSX!ER60</f>
        <v>3798.288</v>
      </c>
      <c r="ES93" s="70">
        <f>CSX!ES60</f>
        <v>3796.8119999999999</v>
      </c>
      <c r="ET93" s="70">
        <f>CSX!ET60</f>
        <v>3794.8499999999995</v>
      </c>
      <c r="EU93" s="70">
        <f>CSX!EU60</f>
        <v>3797.8514999999998</v>
      </c>
      <c r="EW93" s="53" t="str">
        <f>$B$93</f>
        <v>Average basic shares</v>
      </c>
      <c r="EX93" s="70">
        <f>CSX!EX60</f>
        <v>3803.3820000000005</v>
      </c>
      <c r="EY93" s="70">
        <f>CSX!EY60</f>
        <v>3810.366</v>
      </c>
      <c r="EZ93" s="70">
        <f>CSX!EZ60</f>
        <v>3813.6780000000003</v>
      </c>
      <c r="FA93" s="70">
        <f>CSX!FA60</f>
        <v>3810.0299999999997</v>
      </c>
      <c r="FB93" s="70">
        <f>CSX!FB60</f>
        <v>3810.0240000000003</v>
      </c>
      <c r="FD93" s="53" t="str">
        <f>$B$93</f>
        <v>Average basic shares</v>
      </c>
      <c r="FE93" s="70">
        <f>CSX!FE60</f>
        <v>3816.9539999999997</v>
      </c>
      <c r="FF93" s="70">
        <f>CSX!FF60</f>
        <v>3825.99</v>
      </c>
      <c r="FG93" s="70">
        <f>CSX!FG60</f>
        <v>3834.7380000000003</v>
      </c>
      <c r="FH93" s="70">
        <f>CSX!FH60</f>
        <v>3829.1099999999997</v>
      </c>
      <c r="FI93" s="70">
        <f>CSX!FI60</f>
        <v>3829.1220000000003</v>
      </c>
      <c r="FK93" s="53" t="str">
        <f>$B$93</f>
        <v>Average basic shares</v>
      </c>
      <c r="FL93" s="70">
        <f>CSX!FL60</f>
        <v>3849.5880000000006</v>
      </c>
      <c r="FM93" s="70">
        <f>CSX!FM60</f>
        <v>3849.2820000000002</v>
      </c>
      <c r="FN93" s="70">
        <f>CSX!FN60</f>
        <v>3851.19</v>
      </c>
      <c r="FO93" s="70">
        <f>CSX!FO60</f>
        <v>3851.34</v>
      </c>
      <c r="FP93" s="70">
        <f>CSX!FP60</f>
        <v>3851.3520000000003</v>
      </c>
      <c r="FR93" s="53" t="str">
        <f>$B$93</f>
        <v>Average basic shares</v>
      </c>
      <c r="FS93" s="70">
        <f>CSX!FS60</f>
        <v>3864.06</v>
      </c>
      <c r="FT93" s="70">
        <f>CSX!FT60</f>
        <v>3865.212</v>
      </c>
      <c r="FU93" s="70">
        <f>CSX!FU60</f>
        <v>3866.7779999999998</v>
      </c>
      <c r="FV93" s="70">
        <f>CSX!FV60</f>
        <v>3866.34</v>
      </c>
      <c r="FW93" s="70">
        <f>CSX!FW60</f>
        <v>3866.3279999999995</v>
      </c>
      <c r="FY93" s="53" t="str">
        <f>$B$93</f>
        <v>Average basic shares</v>
      </c>
      <c r="FZ93" s="70">
        <f>CSX!FZ60</f>
        <v>3876.4079999999999</v>
      </c>
      <c r="GA93" s="70">
        <f>CSX!GA60</f>
        <v>3895.5240000000003</v>
      </c>
      <c r="GB93" s="70">
        <f>CSX!GB60</f>
        <v>3900.69</v>
      </c>
      <c r="GC93" s="70">
        <f>CSX!GC60</f>
        <v>4139.4870000000001</v>
      </c>
      <c r="GD93" s="70">
        <f>CSX!GD60</f>
        <v>3895.7999999999997</v>
      </c>
      <c r="GF93" s="53" t="str">
        <f>$B$93</f>
        <v>Average basic shares</v>
      </c>
      <c r="GG93" s="70">
        <f>CSX!GG60</f>
        <v>3954.2579999999998</v>
      </c>
      <c r="GH93" s="70">
        <f>CSX!GH60</f>
        <v>3994.335</v>
      </c>
      <c r="GI93" s="70">
        <f>CSX!GI60</f>
        <v>3960.7920000000004</v>
      </c>
      <c r="GJ93" s="70">
        <f>CSX!GJ60</f>
        <v>4171.7160000000003</v>
      </c>
      <c r="GK93" s="70">
        <f>CSX!GK60</f>
        <v>3960.8999999999996</v>
      </c>
      <c r="GM93" s="53" t="str">
        <f>$B$93</f>
        <v>Average basic shares</v>
      </c>
      <c r="GN93" s="70">
        <f>CSX!GN60</f>
        <v>3938.7330000000002</v>
      </c>
      <c r="GO93" s="70">
        <f>CSX!GO60</f>
        <v>3947.652</v>
      </c>
      <c r="GP93" s="70">
        <f>CSX!GP60</f>
        <v>3892.761</v>
      </c>
      <c r="GQ93" s="70">
        <f>CSX!GQ60</f>
        <v>3829.2750000000005</v>
      </c>
      <c r="GR93" s="70">
        <f>CSX!GR60</f>
        <v>3873.8999999999996</v>
      </c>
      <c r="GT93" s="53" t="str">
        <f>$B$93</f>
        <v>Average basic shares</v>
      </c>
      <c r="GU93" s="70">
        <f>CSX!GU60</f>
        <v>3639.1629630000002</v>
      </c>
      <c r="GV93" s="70">
        <f>CSX!GV60</f>
        <v>3655.8486330000001</v>
      </c>
      <c r="GW93" s="70">
        <f>CSX!GW60</f>
        <v>3620.0196539999997</v>
      </c>
      <c r="GX93" s="70">
        <f>CSX!GX60</f>
        <v>3561.0787350000001</v>
      </c>
      <c r="GY93" s="70">
        <f>CSX!GY60</f>
        <v>3606.6000000000004</v>
      </c>
      <c r="HA93" s="53" t="str">
        <f>$B$93</f>
        <v>Average basic shares</v>
      </c>
      <c r="HB93" s="70">
        <f>CSX!HB60</f>
        <v>3520.4436030000002</v>
      </c>
      <c r="HC93" s="70">
        <f>CSX!HC60</f>
        <v>3528.2468250000002</v>
      </c>
      <c r="HD93" s="70">
        <f>CSX!HD60</f>
        <v>3531.1717529999996</v>
      </c>
      <c r="HE93" s="70">
        <f>CSX!HE60</f>
        <v>3572.4547109999999</v>
      </c>
      <c r="HF93" s="70">
        <f>CSX!HF60</f>
        <v>3528</v>
      </c>
      <c r="HH93" s="53" t="str">
        <f>$B$93</f>
        <v>Average basic shares</v>
      </c>
      <c r="HI93" s="70">
        <f>CSX!HI60</f>
        <v>3519.7148429999997</v>
      </c>
      <c r="HJ93" s="70">
        <f>CSX!HJ60</f>
        <v>3447</v>
      </c>
      <c r="HK93" s="70">
        <f>CSX!HK60</f>
        <v>3402</v>
      </c>
      <c r="HL93" s="70">
        <f>CSX!HL60</f>
        <v>3384</v>
      </c>
      <c r="HM93" s="70">
        <f>CSX!HM60</f>
        <v>3429</v>
      </c>
      <c r="HO93" s="53" t="str">
        <f>$B$93</f>
        <v>Average basic shares</v>
      </c>
      <c r="HP93" s="70">
        <f>CSX!HP60</f>
        <v>3324</v>
      </c>
      <c r="HQ93" s="70">
        <f>CSX!HQ60</f>
        <v>3306</v>
      </c>
      <c r="HR93" s="70">
        <f>CSX!HR60</f>
        <v>3213</v>
      </c>
      <c r="HS93" s="70">
        <f>CSX!HS60</f>
        <v>3168</v>
      </c>
      <c r="HT93" s="70">
        <f>CSX!HT60</f>
        <v>3249</v>
      </c>
      <c r="HV93" s="53" t="str">
        <f>$B$93</f>
        <v>Average basic shares</v>
      </c>
      <c r="HW93" s="70">
        <f>CSX!HW60</f>
        <v>3141</v>
      </c>
      <c r="HX93" s="70">
        <f>CSX!HX60</f>
        <v>3123</v>
      </c>
      <c r="HY93" s="70">
        <f>CSX!HY60</f>
        <v>3114</v>
      </c>
      <c r="HZ93" s="70">
        <f>CSX!HZ60</f>
        <v>3084</v>
      </c>
      <c r="IA93" s="70">
        <f>CSX!IA60</f>
        <v>3114</v>
      </c>
      <c r="IC93" s="53" t="str">
        <f>$B$93</f>
        <v>Average basic shares</v>
      </c>
      <c r="ID93" s="70">
        <f>CSX!ID60</f>
        <v>3066</v>
      </c>
      <c r="IE93" s="70">
        <f>CSX!IE60</f>
        <v>3066</v>
      </c>
      <c r="IF93" s="70">
        <f>CSX!IF60</f>
        <v>3051</v>
      </c>
      <c r="IG93" s="70">
        <f>CSX!IG60</f>
        <v>3039</v>
      </c>
      <c r="IH93" s="70">
        <f>CSX!IH60</f>
        <v>3057</v>
      </c>
      <c r="IJ93" s="53" t="str">
        <f>$B$93</f>
        <v>Average basic shares</v>
      </c>
      <c r="IK93" s="70">
        <f>CSX!IK60</f>
        <v>3024</v>
      </c>
      <c r="IL93" s="70">
        <f>CSX!IL60</f>
        <v>3009</v>
      </c>
      <c r="IM93" s="70">
        <f>CSX!IM60</f>
        <v>2997</v>
      </c>
      <c r="IN93" s="70">
        <f>CSX!IN60</f>
        <v>2985</v>
      </c>
      <c r="IO93" s="70">
        <f>CSX!IO60</f>
        <v>3003</v>
      </c>
      <c r="IQ93" s="53" t="str">
        <f>$B$93</f>
        <v>Average basic shares</v>
      </c>
      <c r="IR93" s="70">
        <f>CSX!IR60</f>
        <v>2973</v>
      </c>
      <c r="IS93" s="70">
        <f>CSX!IS60</f>
        <v>2964</v>
      </c>
      <c r="IT93" s="70">
        <f>CSX!IT60</f>
        <v>2943</v>
      </c>
      <c r="IU93" s="70">
        <f>CSX!IU60</f>
        <v>2919</v>
      </c>
      <c r="IV93" s="70">
        <f>CSX!IV60</f>
        <v>2949</v>
      </c>
      <c r="IX93" s="53" t="str">
        <f>$B$93</f>
        <v>Average basic shares</v>
      </c>
      <c r="IY93" s="70">
        <f>CSX!IY60</f>
        <v>2886</v>
      </c>
      <c r="IZ93" s="70">
        <f>CSX!IZ60</f>
        <v>2856</v>
      </c>
      <c r="JA93" s="70">
        <f>CSX!JA60</f>
        <v>2826</v>
      </c>
      <c r="JB93" s="70">
        <f>CSX!JB60</f>
        <v>2805</v>
      </c>
      <c r="JC93" s="70">
        <f>CSX!JC60</f>
        <v>2841</v>
      </c>
      <c r="JE93" s="53" t="str">
        <f>$B$93</f>
        <v>Average basic shares</v>
      </c>
      <c r="JF93" s="70">
        <f>CSX!JF60</f>
        <v>2781</v>
      </c>
      <c r="JG93" s="70">
        <f>CSX!JG60</f>
        <v>2760</v>
      </c>
      <c r="JH93" s="70">
        <f>CSX!JH60</f>
        <v>2706</v>
      </c>
      <c r="JI93" s="70">
        <f>CSX!JI60</f>
        <v>2688</v>
      </c>
      <c r="JJ93" s="70">
        <f>CSX!JJ60</f>
        <v>2733</v>
      </c>
      <c r="JL93" s="53" t="str">
        <f>$B$93</f>
        <v>Average basic shares</v>
      </c>
      <c r="JM93" s="70">
        <f>CSX!JM60</f>
        <v>2655</v>
      </c>
      <c r="JN93" s="70">
        <f>CSX!JN60</f>
        <v>2592</v>
      </c>
      <c r="JO93" s="70">
        <f>CSX!JO60</f>
        <v>2550</v>
      </c>
      <c r="JP93" s="70">
        <f>CSX!JP60</f>
        <v>2499</v>
      </c>
      <c r="JQ93" s="70">
        <f>CSX!JQ60</f>
        <v>2571</v>
      </c>
      <c r="JS93" s="53" t="str">
        <f>$B$93</f>
        <v>Average basic shares</v>
      </c>
      <c r="JT93" s="70">
        <f>CSX!JT60</f>
        <v>2442</v>
      </c>
      <c r="JU93" s="70">
        <f>CSX!JU60</f>
        <v>2415</v>
      </c>
      <c r="JV93" s="70">
        <f>CSX!JV60</f>
        <v>2370</v>
      </c>
      <c r="JW93" s="70">
        <f>CSX!JW60</f>
        <v>2334</v>
      </c>
      <c r="JX93" s="70">
        <f>CSX!JX60</f>
        <v>2388</v>
      </c>
      <c r="JZ93" s="53" t="str">
        <f>$B$93</f>
        <v>Average basic shares</v>
      </c>
      <c r="KA93" s="70">
        <f>CSX!KA60</f>
        <v>2316</v>
      </c>
      <c r="KB93" s="70">
        <f>CSX!KB60</f>
        <v>2298</v>
      </c>
      <c r="KC93" s="70">
        <f>CSX!KC60</f>
        <v>2295</v>
      </c>
      <c r="KD93" s="70">
        <f>CSX!KD60</f>
        <v>2295</v>
      </c>
      <c r="KE93" s="70">
        <f>CSX!KE60</f>
        <v>2301</v>
      </c>
      <c r="KG93" s="53" t="str">
        <f>$B$93</f>
        <v>Average basic shares</v>
      </c>
      <c r="KH93" s="70">
        <f>CSX!KH60</f>
        <v>2283</v>
      </c>
      <c r="KI93" s="70">
        <f>CSX!KI60</f>
        <v>2272</v>
      </c>
      <c r="KJ93" s="70">
        <f>CSX!KJ60</f>
        <v>2238</v>
      </c>
      <c r="KK93" s="70">
        <f>CSX!KK60</f>
        <v>2213</v>
      </c>
      <c r="KL93" s="70">
        <f>CSX!KL60</f>
        <v>2251.5</v>
      </c>
      <c r="KN93" s="53" t="str">
        <f>$B$93</f>
        <v>Average basic shares</v>
      </c>
      <c r="KO93" s="70">
        <f>CSX!KO60</f>
        <v>2189</v>
      </c>
      <c r="KP93" s="70">
        <f>CSX!KP60</f>
        <v>2158</v>
      </c>
      <c r="KQ93" s="70">
        <f>CSX!KQ60</f>
        <v>2122</v>
      </c>
      <c r="KR93" s="70">
        <f>CSX!KR60</f>
        <v>2081</v>
      </c>
      <c r="KS93" s="70">
        <f>CSX!KS60</f>
        <v>2136</v>
      </c>
      <c r="KU93" s="53" t="str">
        <f>$B$93</f>
        <v>Average basic shares</v>
      </c>
      <c r="KV93" s="70">
        <f>CSX!KV60</f>
        <v>2054</v>
      </c>
      <c r="KW93" s="70">
        <f>CSX!KW60</f>
        <v>2020</v>
      </c>
      <c r="KX93" s="70">
        <f>CSX!KX60</f>
        <v>1994</v>
      </c>
      <c r="KY93" s="70">
        <f>CSX!KY60</f>
        <v>1968</v>
      </c>
      <c r="KZ93" s="70">
        <f>CSX!KZ60</f>
        <v>2008</v>
      </c>
      <c r="LB93" s="53" t="str">
        <f>$B$93</f>
        <v>Average basic shares</v>
      </c>
      <c r="LC93" s="70">
        <f>CSX!LC60</f>
        <v>1958</v>
      </c>
      <c r="LD93" s="70">
        <f>CSX!LD60</f>
        <v>1944</v>
      </c>
      <c r="LE93" s="70">
        <f>CSX!LE60</f>
        <v>1936</v>
      </c>
      <c r="LF93" s="70">
        <f>CSX!LF60</f>
        <v>1917</v>
      </c>
      <c r="LG93" s="70">
        <f>AVERAGE(LC93:LF93)</f>
        <v>1938.75</v>
      </c>
      <c r="LI93" s="53" t="str">
        <f>$B$93</f>
        <v>Average basic shares</v>
      </c>
      <c r="LJ93" s="70">
        <f>CSX!LJ60</f>
        <v>1890</v>
      </c>
      <c r="LK93" s="70">
        <f>CSX!LK60</f>
        <v>1867</v>
      </c>
      <c r="LL93" s="70">
        <f>CSX!LL60</f>
        <v>1864</v>
      </c>
      <c r="LM93" s="70">
        <f>CSX!LM60</f>
        <v>1861</v>
      </c>
      <c r="LN93" s="70">
        <f>AVERAGE(LJ93:LM93)</f>
        <v>1870.5</v>
      </c>
      <c r="LO93" s="717"/>
      <c r="LP93" s="53" t="str">
        <f>$B$93</f>
        <v>Average basic shares</v>
      </c>
      <c r="LQ93" s="70">
        <f>AVERAGE(LQ81,LQ78)</f>
        <v>1852.3813790000002</v>
      </c>
      <c r="LR93" s="70">
        <f>AVERAGE(LR81,LR78)</f>
        <v>1835.8813790000002</v>
      </c>
      <c r="LS93" s="70">
        <f>AVERAGE(LS81,LS78)</f>
        <v>1818.8813790000002</v>
      </c>
      <c r="LT93" s="70">
        <f>AVERAGE(LT81,LT78)</f>
        <v>1801.8813790000002</v>
      </c>
      <c r="LU93" s="70">
        <f>AVERAGE(LQ93:LT93)</f>
        <v>1827.2563790000002</v>
      </c>
      <c r="LV93" s="717"/>
      <c r="LW93" s="53" t="str">
        <f>$B$93</f>
        <v>Average basic shares</v>
      </c>
      <c r="LX93" s="70">
        <f>AVERAGE(LX81,LX78)</f>
        <v>1784.8813790000002</v>
      </c>
      <c r="LY93" s="70">
        <f>AVERAGE(LY81,LY78)</f>
        <v>1767.8813790000002</v>
      </c>
      <c r="LZ93" s="70">
        <f>AVERAGE(LZ81,LZ78)</f>
        <v>1750.8813790000002</v>
      </c>
      <c r="MA93" s="70">
        <f>AVERAGE(MA81,MA78)</f>
        <v>1733.8813790000002</v>
      </c>
      <c r="MB93" s="70">
        <f>AVERAGE(LX93:MA93)</f>
        <v>1759.3813790000002</v>
      </c>
      <c r="MC93" s="717"/>
      <c r="MD93" s="53" t="str">
        <f>$B$93</f>
        <v>Average basic shares</v>
      </c>
      <c r="ME93" s="70">
        <f>AVERAGE(ME81,ME78)</f>
        <v>1716.6313790000002</v>
      </c>
      <c r="MF93" s="70">
        <f>AVERAGE(MF81,MF78)</f>
        <v>1699.1313790000002</v>
      </c>
      <c r="MG93" s="70">
        <f>AVERAGE(MG81,MG78)</f>
        <v>1681.6313790000002</v>
      </c>
      <c r="MH93" s="70">
        <f>AVERAGE(MH81,MH78)</f>
        <v>1664.1313790000002</v>
      </c>
      <c r="MI93" s="70">
        <f>AVERAGE(ME93:MH93)</f>
        <v>1690.3813790000002</v>
      </c>
      <c r="MJ93" s="717"/>
    </row>
    <row r="94" spans="1:348" x14ac:dyDescent="0.4">
      <c r="B94" s="711" t="s">
        <v>551</v>
      </c>
      <c r="BQ94" s="711" t="str">
        <f>$B$94</f>
        <v>Dilutive effects</v>
      </c>
      <c r="BR94" s="70">
        <f>BR95-BR93</f>
        <v>45.683999999999287</v>
      </c>
      <c r="BS94" s="70">
        <f>BS95-BS93</f>
        <v>45.683999999999287</v>
      </c>
      <c r="BT94" s="70">
        <f>BT95-BT93</f>
        <v>45.683999999999287</v>
      </c>
      <c r="BU94" s="70">
        <f>BU95-BU93</f>
        <v>45.683999999999287</v>
      </c>
      <c r="BV94" s="70">
        <f>BV95-BV93</f>
        <v>45.683999999999287</v>
      </c>
      <c r="BX94" s="711" t="str">
        <f>$B$94</f>
        <v>Dilutive effects</v>
      </c>
      <c r="BY94" s="70">
        <f>BY95-BY93</f>
        <v>45.683999999999287</v>
      </c>
      <c r="BZ94" s="70">
        <f>BZ95-BZ93</f>
        <v>45.683999999999287</v>
      </c>
      <c r="CA94" s="70">
        <f>CA95-CA93</f>
        <v>45.683999999999287</v>
      </c>
      <c r="CB94" s="70">
        <f>CB95-CB93</f>
        <v>45.683999999999287</v>
      </c>
      <c r="CC94" s="70">
        <f>CC95-CC93</f>
        <v>45.683999999999287</v>
      </c>
      <c r="CE94" s="711" t="str">
        <f>$B$94</f>
        <v>Dilutive effects</v>
      </c>
      <c r="CF94" s="70">
        <f>CF95-CF93</f>
        <v>45.683999999999287</v>
      </c>
      <c r="CG94" s="70">
        <f>CG95-CG93</f>
        <v>45.683999999999287</v>
      </c>
      <c r="CH94" s="70">
        <f>CH95-CH93</f>
        <v>45.683999999999287</v>
      </c>
      <c r="CI94" s="70">
        <f>CI95-CI93</f>
        <v>45.683999999999287</v>
      </c>
      <c r="CJ94" s="70">
        <f>CJ95-CJ93</f>
        <v>45.683999999999287</v>
      </c>
      <c r="CL94" s="711" t="str">
        <f>$B$94</f>
        <v>Dilutive effects</v>
      </c>
      <c r="CM94" s="70">
        <f>CM95-CM93</f>
        <v>45.683999999999287</v>
      </c>
      <c r="CN94" s="70">
        <f>CN95-CN93</f>
        <v>45.683999999999287</v>
      </c>
      <c r="CO94" s="70">
        <f>CO95-CO93</f>
        <v>45.683999999999287</v>
      </c>
      <c r="CP94" s="70">
        <f>CP95-CP93</f>
        <v>45.683999999999287</v>
      </c>
      <c r="CQ94" s="70">
        <f>CQ95-CQ93</f>
        <v>45.683999999999287</v>
      </c>
      <c r="CS94" s="711" t="str">
        <f>$B$94</f>
        <v>Dilutive effects</v>
      </c>
      <c r="CT94" s="70">
        <f>CT95-CT93</f>
        <v>45.683999999999287</v>
      </c>
      <c r="CU94" s="70">
        <f>CU95-CU93</f>
        <v>45.683999999999287</v>
      </c>
      <c r="CV94" s="70">
        <f>CV95-CV93</f>
        <v>45.683999999999287</v>
      </c>
      <c r="CW94" s="70">
        <f>CW95-CW93</f>
        <v>45.683999999999287</v>
      </c>
      <c r="CX94" s="70">
        <f>CX95-CX93</f>
        <v>45.683999999999287</v>
      </c>
      <c r="CZ94" s="711" t="str">
        <f>$B$94</f>
        <v>Dilutive effects</v>
      </c>
      <c r="DA94" s="70">
        <f>DA95-DA93</f>
        <v>45.683999999999287</v>
      </c>
      <c r="DB94" s="70">
        <f>DB95-DB93</f>
        <v>45.683999999999287</v>
      </c>
      <c r="DC94" s="70">
        <f>DC95-DC93</f>
        <v>45.683999999999287</v>
      </c>
      <c r="DD94" s="70">
        <f>DD95-DD93</f>
        <v>45.683999999999287</v>
      </c>
      <c r="DE94" s="70">
        <f>DE95-DE93</f>
        <v>45.683999999999287</v>
      </c>
      <c r="DG94" s="711" t="str">
        <f>$B$94</f>
        <v>Dilutive effects</v>
      </c>
      <c r="DH94" s="70">
        <f>DH95-DH93</f>
        <v>45.683999999999287</v>
      </c>
      <c r="DI94" s="70">
        <f>DI95-DI93</f>
        <v>45.683999999999287</v>
      </c>
      <c r="DJ94" s="70">
        <f>DJ95-DJ93</f>
        <v>45.683999999999287</v>
      </c>
      <c r="DK94" s="70">
        <f>DK95-DK93</f>
        <v>45.683999999999287</v>
      </c>
      <c r="DL94" s="70">
        <f>DL95-DL93</f>
        <v>45.683999999999287</v>
      </c>
      <c r="DN94" s="711" t="str">
        <f>$B$94</f>
        <v>Dilutive effects</v>
      </c>
      <c r="DO94" s="70">
        <f>DO95-DO93</f>
        <v>45.683999999999287</v>
      </c>
      <c r="DP94" s="70">
        <f>DP95-DP93</f>
        <v>45.683999999999287</v>
      </c>
      <c r="DQ94" s="70">
        <f>DQ95-DQ93</f>
        <v>45.683999999999287</v>
      </c>
      <c r="DR94" s="70">
        <f>DR95-DR93</f>
        <v>45.683999999999287</v>
      </c>
      <c r="DS94" s="70">
        <f>DS95-DS93</f>
        <v>46.295999999999822</v>
      </c>
      <c r="DU94" s="711" t="str">
        <f>$B$94</f>
        <v>Dilutive effects</v>
      </c>
      <c r="DV94" s="70">
        <f>DV95-DV93</f>
        <v>60.678000000000338</v>
      </c>
      <c r="DW94" s="70">
        <f>DW95-DW93</f>
        <v>75.078000000000429</v>
      </c>
      <c r="DX94" s="70">
        <f>DX95-DX93</f>
        <v>75.078000000000429</v>
      </c>
      <c r="DY94" s="70">
        <f>DY95-DY93</f>
        <v>91.457999999999629</v>
      </c>
      <c r="DZ94" s="70">
        <f>DZ95-DZ93</f>
        <v>53.928000000000338</v>
      </c>
      <c r="EB94" s="711" t="str">
        <f>$B$94</f>
        <v>Dilutive effects</v>
      </c>
      <c r="EC94" s="70">
        <f>EC95-EC93</f>
        <v>84.329999999999927</v>
      </c>
      <c r="ED94" s="70">
        <f>ED95-ED93</f>
        <v>73.008000000000266</v>
      </c>
      <c r="EE94" s="70">
        <f>EE95-EE93</f>
        <v>38.681999999999334</v>
      </c>
      <c r="EF94" s="70">
        <f>EF95-EF93</f>
        <v>43.128000000000156</v>
      </c>
      <c r="EG94" s="70">
        <f>EG95-EG93</f>
        <v>59.786999999999807</v>
      </c>
      <c r="EI94" s="711" t="str">
        <f>$B$94</f>
        <v>Dilutive effects</v>
      </c>
      <c r="EJ94" s="70">
        <f>EJ95-EJ93</f>
        <v>27.611999999999625</v>
      </c>
      <c r="EK94" s="70">
        <f>EK95-EK93</f>
        <v>47.520000000000437</v>
      </c>
      <c r="EL94" s="70">
        <f>EL95-EL93</f>
        <v>0</v>
      </c>
      <c r="EM94" s="70">
        <f>EM95-EM93</f>
        <v>0</v>
      </c>
      <c r="EN94" s="70">
        <f>EN95-EN93</f>
        <v>18.782999999999902</v>
      </c>
      <c r="EP94" s="711" t="str">
        <f>$B$94</f>
        <v>Dilutive effects</v>
      </c>
      <c r="EQ94" s="70">
        <f>EQ95-EQ93</f>
        <v>14.813999999999396</v>
      </c>
      <c r="ER94" s="70">
        <f>ER95-ER93</f>
        <v>3.5100000000002183</v>
      </c>
      <c r="ES94" s="70">
        <f>ES95-ES93</f>
        <v>5.7599999999997635</v>
      </c>
      <c r="ET94" s="70">
        <f>ET95-ET93</f>
        <v>0</v>
      </c>
      <c r="EU94" s="70">
        <f>EU95-EU93</f>
        <v>6.0210000000001855</v>
      </c>
      <c r="EW94" s="711" t="str">
        <f>$B$94</f>
        <v>Dilutive effects</v>
      </c>
      <c r="EX94" s="70">
        <f>EX95-EX93</f>
        <v>10.763999999999669</v>
      </c>
      <c r="EY94" s="70">
        <f>EY95-EY93</f>
        <v>13.986000000000331</v>
      </c>
      <c r="EZ94" s="70">
        <f>EZ95-EZ93</f>
        <v>12.744000000000142</v>
      </c>
      <c r="FA94" s="70">
        <f>FA95-FA93</f>
        <v>18.552000000000135</v>
      </c>
      <c r="FB94" s="70">
        <f>FB95-FB93</f>
        <v>13.351500000000215</v>
      </c>
      <c r="FD94" s="711" t="str">
        <f>$B$94</f>
        <v>Dilutive effects</v>
      </c>
      <c r="FE94" s="70">
        <f>FE95-FE93</f>
        <v>20.465999999999894</v>
      </c>
      <c r="FF94" s="70">
        <f>FF95-FF93</f>
        <v>17.748000000000502</v>
      </c>
      <c r="FG94" s="70">
        <f>FG95-FG93</f>
        <v>10.655999999999949</v>
      </c>
      <c r="FH94" s="70">
        <f>FH95-FH93</f>
        <v>17.309999999999945</v>
      </c>
      <c r="FI94" s="70">
        <f>FI95-FI93</f>
        <v>14.121000000000095</v>
      </c>
      <c r="FK94" s="711" t="str">
        <f>$B$94</f>
        <v>Dilutive effects</v>
      </c>
      <c r="FL94" s="70">
        <f>FL95-FL93</f>
        <v>5.3639999999991232</v>
      </c>
      <c r="FM94" s="70">
        <f>FM95-FM93</f>
        <v>173.71799999999985</v>
      </c>
      <c r="FN94" s="70">
        <f>FN95-FN93</f>
        <v>9.8099999999999454</v>
      </c>
      <c r="FO94" s="70">
        <f>FO95-FO93</f>
        <v>189.65999999999985</v>
      </c>
      <c r="FP94" s="70">
        <f>FP95-FP93</f>
        <v>93.635999999999967</v>
      </c>
      <c r="FR94" s="711" t="str">
        <f>$B$94</f>
        <v>Dilutive effects</v>
      </c>
      <c r="FS94" s="70">
        <f>FS95-FS93</f>
        <v>183.7800000000002</v>
      </c>
      <c r="FT94" s="70">
        <f>FT95-FT93</f>
        <v>182.57400000000052</v>
      </c>
      <c r="FU94" s="70">
        <f>FU95-FU93</f>
        <v>158.02199999999993</v>
      </c>
      <c r="FV94" s="70">
        <f>FV95-FV93</f>
        <v>190.37399999999934</v>
      </c>
      <c r="FW94" s="70">
        <f>FW95-FW93</f>
        <v>177.95700000000033</v>
      </c>
      <c r="FY94" s="711" t="str">
        <f>$B$94</f>
        <v>Dilutive effects</v>
      </c>
      <c r="FZ94" s="70">
        <f>FZ95-FZ93</f>
        <v>196.02000000000044</v>
      </c>
      <c r="GA94" s="70">
        <f>GA95-GA93</f>
        <v>198.63000000000011</v>
      </c>
      <c r="GB94" s="70">
        <f>GB95-GB93</f>
        <v>210.92399999999952</v>
      </c>
      <c r="GC94" s="70">
        <f>GC95-GC93</f>
        <v>0</v>
      </c>
      <c r="GD94" s="70">
        <f>GD95-GD93</f>
        <v>208.49999999999955</v>
      </c>
      <c r="GF94" s="711" t="str">
        <f>$B$94</f>
        <v>Dilutive effects</v>
      </c>
      <c r="GG94" s="70">
        <f>GG95-GG93</f>
        <v>225.01800000000003</v>
      </c>
      <c r="GH94" s="70">
        <f>GH95-GH93</f>
        <v>237.51899999999932</v>
      </c>
      <c r="GI94" s="70">
        <f>GI95-GI93</f>
        <v>229.97699999999986</v>
      </c>
      <c r="GJ94" s="70">
        <f>GJ95-GJ93</f>
        <v>0</v>
      </c>
      <c r="GK94" s="70">
        <f>GK95-GK93</f>
        <v>232.5</v>
      </c>
      <c r="GM94" s="711" t="str">
        <f>$B$94</f>
        <v>Dilutive effects</v>
      </c>
      <c r="GN94" s="70">
        <f>GN95-GN93</f>
        <v>229.85099999999966</v>
      </c>
      <c r="GO94" s="70">
        <f>GO95-GO93</f>
        <v>182.65499999999975</v>
      </c>
      <c r="GP94" s="70">
        <f>GP95-GP93</f>
        <v>117.17099999999982</v>
      </c>
      <c r="GQ94" s="70">
        <f>GQ95-GQ93</f>
        <v>0</v>
      </c>
      <c r="GR94" s="70">
        <f>GR95-GR93</f>
        <v>161.10000000000036</v>
      </c>
      <c r="GT94" s="711" t="str">
        <f>$B$94</f>
        <v>Dilutive effects</v>
      </c>
      <c r="GU94" s="70">
        <f>GU95-GU93</f>
        <v>97.730714999999691</v>
      </c>
      <c r="GV94" s="70">
        <f>GV95-GV93</f>
        <v>80.163207000000057</v>
      </c>
      <c r="GW94" s="70">
        <f>GW95-GW93</f>
        <v>56.358033000000432</v>
      </c>
      <c r="GX94" s="70">
        <f>GX95-GX93</f>
        <v>0</v>
      </c>
      <c r="GY94" s="70">
        <f>GY95-GY93</f>
        <v>71.099999999999909</v>
      </c>
      <c r="HA94" s="711" t="str">
        <f>$B$94</f>
        <v>Dilutive effects</v>
      </c>
      <c r="HB94" s="70">
        <f>HB95-HB93</f>
        <v>26.469360000000052</v>
      </c>
      <c r="HC94" s="70">
        <f>HC95-HC93</f>
        <v>30.086792999999943</v>
      </c>
      <c r="HD94" s="70">
        <f>HD95-HD93</f>
        <v>35.8289790000008</v>
      </c>
      <c r="HE94" s="70">
        <f>HE95-HE93</f>
        <v>0</v>
      </c>
      <c r="HF94" s="70">
        <f>HF95-HF93</f>
        <v>33</v>
      </c>
      <c r="HH94" s="711" t="str">
        <f>$B$94</f>
        <v>Dilutive effects</v>
      </c>
      <c r="HI94" s="70">
        <f>HI95-HI93</f>
        <v>29.195802000000185</v>
      </c>
      <c r="HJ94" s="70">
        <f>HJ95-HJ93</f>
        <v>30</v>
      </c>
      <c r="HK94" s="70">
        <f>HK95-HK93</f>
        <v>33</v>
      </c>
      <c r="HL94" s="70">
        <f>HL95-HL93</f>
        <v>0</v>
      </c>
      <c r="HM94" s="70">
        <f>HM95-HM93</f>
        <v>33</v>
      </c>
      <c r="HO94" s="711" t="str">
        <f>$B$94</f>
        <v>Dilutive effects</v>
      </c>
      <c r="HP94" s="70">
        <f>HP95-HP93</f>
        <v>21</v>
      </c>
      <c r="HQ94" s="70">
        <f>HQ95-HQ93</f>
        <v>21</v>
      </c>
      <c r="HR94" s="70">
        <f>HR95-HR93</f>
        <v>18</v>
      </c>
      <c r="HS94" s="70">
        <f>HS95-HS93</f>
        <v>0</v>
      </c>
      <c r="HT94" s="70">
        <f>HT95-HT93</f>
        <v>18</v>
      </c>
      <c r="HV94" s="711" t="str">
        <f>$B$94</f>
        <v>Dilutive effects</v>
      </c>
      <c r="HW94" s="70">
        <f>HW95-HW93</f>
        <v>6</v>
      </c>
      <c r="HX94" s="70">
        <f>HX95-HX93</f>
        <v>6</v>
      </c>
      <c r="HY94" s="70">
        <f>HY95-HY93</f>
        <v>6</v>
      </c>
      <c r="HZ94" s="70">
        <f>HZ95-HZ93</f>
        <v>0</v>
      </c>
      <c r="IA94" s="70">
        <f>IA95-IA93</f>
        <v>6</v>
      </c>
      <c r="IC94" s="711" t="str">
        <f>$B$94</f>
        <v>Dilutive effects</v>
      </c>
      <c r="ID94" s="70">
        <f>ID95-ID93</f>
        <v>3</v>
      </c>
      <c r="IE94" s="70">
        <f>IE95-IE93</f>
        <v>3</v>
      </c>
      <c r="IF94" s="70">
        <f>IF95-IF93</f>
        <v>3</v>
      </c>
      <c r="IG94" s="70">
        <f>IG95-IG93</f>
        <v>0</v>
      </c>
      <c r="IH94" s="70">
        <f>IH95-IH93</f>
        <v>0</v>
      </c>
      <c r="IJ94" s="711" t="str">
        <f>$B$94</f>
        <v>Dilutive effects</v>
      </c>
      <c r="IK94" s="70">
        <f>IK95-IK93</f>
        <v>0</v>
      </c>
      <c r="IL94" s="70">
        <f>IL95-IL93</f>
        <v>0</v>
      </c>
      <c r="IM94" s="70">
        <f>IM95-IM93</f>
        <v>0</v>
      </c>
      <c r="IN94" s="70">
        <f>IN95-IN93</f>
        <v>0</v>
      </c>
      <c r="IO94" s="70">
        <f>IO95-IO93</f>
        <v>3</v>
      </c>
      <c r="IQ94" s="711" t="str">
        <f>$B$94</f>
        <v>Dilutive effects</v>
      </c>
      <c r="IR94" s="70">
        <f>IR95-IR93</f>
        <v>3</v>
      </c>
      <c r="IS94" s="70">
        <f>IS95-IS93</f>
        <v>3</v>
      </c>
      <c r="IT94" s="70">
        <f>IT95-IT93</f>
        <v>3</v>
      </c>
      <c r="IU94" s="70">
        <f>IU95-IU93</f>
        <v>0</v>
      </c>
      <c r="IV94" s="70">
        <f>IV95-IV93</f>
        <v>3</v>
      </c>
      <c r="IX94" s="711" t="str">
        <f>$B$94</f>
        <v>Dilutive effects</v>
      </c>
      <c r="IY94" s="70">
        <f>IY95-IY93</f>
        <v>3</v>
      </c>
      <c r="IZ94" s="70">
        <f>IZ95-IZ93</f>
        <v>0</v>
      </c>
      <c r="JA94" s="70">
        <f>JA95-JA93</f>
        <v>3</v>
      </c>
      <c r="JB94" s="70">
        <f>JB95-JB93</f>
        <v>0</v>
      </c>
      <c r="JC94" s="70">
        <f>JC95-JC93</f>
        <v>3</v>
      </c>
      <c r="JE94" s="711" t="str">
        <f>$B$94</f>
        <v>Dilutive effects</v>
      </c>
      <c r="JF94" s="70">
        <f>JF95-JF93</f>
        <v>6</v>
      </c>
      <c r="JG94" s="70">
        <f>JG95-JG93</f>
        <v>12</v>
      </c>
      <c r="JH94" s="70">
        <f>JH95-JH93</f>
        <v>12</v>
      </c>
      <c r="JI94" s="70">
        <f>JI95-JI93</f>
        <v>0</v>
      </c>
      <c r="JJ94" s="70">
        <f>JJ95-JJ93</f>
        <v>9</v>
      </c>
      <c r="JL94" s="711" t="str">
        <f>$B$94</f>
        <v>Dilutive effects</v>
      </c>
      <c r="JM94" s="70">
        <f>JM95-JM93</f>
        <v>9</v>
      </c>
      <c r="JN94" s="70">
        <f>JN95-JN93</f>
        <v>12</v>
      </c>
      <c r="JO94" s="70">
        <f>JO95-JO93</f>
        <v>12</v>
      </c>
      <c r="JP94" s="70">
        <f>JP95-JP93</f>
        <v>0</v>
      </c>
      <c r="JQ94" s="70">
        <f>JQ95-JQ93</f>
        <v>12</v>
      </c>
      <c r="JS94" s="711" t="str">
        <f>$B$94</f>
        <v>Dilutive effects</v>
      </c>
      <c r="JT94" s="70">
        <f>JT95-JT93</f>
        <v>9</v>
      </c>
      <c r="JU94" s="70">
        <f>JU95-JU93</f>
        <v>6</v>
      </c>
      <c r="JV94" s="70">
        <f>JV95-JV93</f>
        <v>6</v>
      </c>
      <c r="JW94" s="70">
        <f>JW95-JW93</f>
        <v>0</v>
      </c>
      <c r="JX94" s="70">
        <f>JX95-JX93</f>
        <v>6</v>
      </c>
      <c r="JZ94" s="711" t="str">
        <f>$B$94</f>
        <v>Dilutive effects</v>
      </c>
      <c r="KA94" s="70">
        <f>KA95-KA93</f>
        <v>3</v>
      </c>
      <c r="KB94" s="70">
        <f>KB95-KB93</f>
        <v>3</v>
      </c>
      <c r="KC94" s="70">
        <f>KC95-KC93</f>
        <v>6</v>
      </c>
      <c r="KD94" s="70">
        <f>KD95-KD93</f>
        <v>3</v>
      </c>
      <c r="KE94" s="70">
        <f>KE95-KE93</f>
        <v>3</v>
      </c>
      <c r="KG94" s="711" t="str">
        <f>$B$94</f>
        <v>Dilutive effects</v>
      </c>
      <c r="KH94" s="70">
        <f>KH95-KH93</f>
        <v>3</v>
      </c>
      <c r="KI94" s="70">
        <f>KI95-KI93</f>
        <v>3</v>
      </c>
      <c r="KJ94" s="70">
        <f>KJ95-KJ93</f>
        <v>4</v>
      </c>
      <c r="KK94" s="70">
        <f>KK95-KK93</f>
        <v>4</v>
      </c>
      <c r="KL94" s="70">
        <f>KL95-KL93</f>
        <v>3.5</v>
      </c>
      <c r="KN94" s="711" t="str">
        <f>$B$94</f>
        <v>Dilutive effects</v>
      </c>
      <c r="KO94" s="70">
        <f>KO95-KO93</f>
        <v>4</v>
      </c>
      <c r="KP94" s="70">
        <f>KP95-KP93</f>
        <v>5</v>
      </c>
      <c r="KQ94" s="70">
        <f>KQ95-KQ93</f>
        <v>4</v>
      </c>
      <c r="KR94" s="70">
        <f>KR95-KR93</f>
        <v>4</v>
      </c>
      <c r="KS94" s="70">
        <f>KS95-KS93</f>
        <v>5</v>
      </c>
      <c r="KU94" s="711" t="str">
        <f>$B$94</f>
        <v>Dilutive effects</v>
      </c>
      <c r="KV94" s="70">
        <f>KV95-KV93</f>
        <v>4</v>
      </c>
      <c r="KW94" s="70">
        <f>KW95-KW93</f>
        <v>5</v>
      </c>
      <c r="KX94" s="70">
        <f>KX95-KX93</f>
        <v>5</v>
      </c>
      <c r="KY94" s="70">
        <f>KY95-KY93</f>
        <v>1</v>
      </c>
      <c r="KZ94" s="70">
        <f>KZ95-KZ93</f>
        <v>5</v>
      </c>
      <c r="LB94" s="711" t="str">
        <f>$B$94</f>
        <v>Dilutive effects</v>
      </c>
      <c r="LC94" s="70">
        <f>LC95-LC93</f>
        <v>4</v>
      </c>
      <c r="LD94" s="70">
        <f>LD95-LD93</f>
        <v>4</v>
      </c>
      <c r="LE94" s="70">
        <f>LE95-LE93</f>
        <v>4</v>
      </c>
      <c r="LF94" s="70">
        <f>LF95-LF93</f>
        <v>4</v>
      </c>
      <c r="LG94" s="70">
        <f>LG95-LG93</f>
        <v>4</v>
      </c>
      <c r="LI94" s="711" t="str">
        <f>$B$94</f>
        <v>Dilutive effects</v>
      </c>
      <c r="LJ94" s="70">
        <f>LJ95-LJ93</f>
        <v>2</v>
      </c>
      <c r="LK94" s="70">
        <f>LK95-LK93</f>
        <v>2</v>
      </c>
      <c r="LL94" s="70">
        <f>LL95-LL93</f>
        <v>3</v>
      </c>
      <c r="LM94" s="70">
        <f>LM95-LM93</f>
        <v>3</v>
      </c>
      <c r="LN94" s="712">
        <f t="shared" ref="LN94" si="153">LM94</f>
        <v>3</v>
      </c>
      <c r="LO94" s="717"/>
      <c r="LP94" s="711" t="str">
        <f>$B$94</f>
        <v>Dilutive effects</v>
      </c>
      <c r="LQ94" s="712">
        <f>LM94</f>
        <v>3</v>
      </c>
      <c r="LR94" s="712">
        <f t="shared" ref="LR94:LU94" si="154">LQ94</f>
        <v>3</v>
      </c>
      <c r="LS94" s="712">
        <f t="shared" si="154"/>
        <v>3</v>
      </c>
      <c r="LT94" s="712">
        <f t="shared" si="154"/>
        <v>3</v>
      </c>
      <c r="LU94" s="712">
        <f t="shared" si="154"/>
        <v>3</v>
      </c>
      <c r="LV94" s="717"/>
      <c r="LW94" s="711" t="str">
        <f>$B$94</f>
        <v>Dilutive effects</v>
      </c>
      <c r="LX94" s="712">
        <f>LT94</f>
        <v>3</v>
      </c>
      <c r="LY94" s="712">
        <f t="shared" ref="LY94" si="155">LX94</f>
        <v>3</v>
      </c>
      <c r="LZ94" s="712">
        <f t="shared" ref="LZ94" si="156">LY94</f>
        <v>3</v>
      </c>
      <c r="MA94" s="712">
        <f t="shared" ref="MA94" si="157">LZ94</f>
        <v>3</v>
      </c>
      <c r="MB94" s="712">
        <f t="shared" ref="MB94" si="158">MA94</f>
        <v>3</v>
      </c>
      <c r="MC94" s="717"/>
      <c r="MD94" s="711" t="str">
        <f>$B$94</f>
        <v>Dilutive effects</v>
      </c>
      <c r="ME94" s="712">
        <f>MA94</f>
        <v>3</v>
      </c>
      <c r="MF94" s="712">
        <f t="shared" ref="MF94" si="159">ME94</f>
        <v>3</v>
      </c>
      <c r="MG94" s="712">
        <f t="shared" ref="MG94" si="160">MF94</f>
        <v>3</v>
      </c>
      <c r="MH94" s="712">
        <f t="shared" ref="MH94" si="161">MG94</f>
        <v>3</v>
      </c>
      <c r="MI94" s="712">
        <f t="shared" ref="MI94" si="162">MH94</f>
        <v>3</v>
      </c>
      <c r="MJ94" s="717"/>
    </row>
    <row r="95" spans="1:348" x14ac:dyDescent="0.4">
      <c r="B95" s="369" t="s">
        <v>552</v>
      </c>
      <c r="BQ95" s="369" t="str">
        <f>$B$95</f>
        <v>Average diluted shares</v>
      </c>
      <c r="BR95" s="70">
        <f>CSX!BR61</f>
        <v>3844.5197399999988</v>
      </c>
      <c r="BS95" s="70">
        <f>CSX!BS61</f>
        <v>3711.6369359999994</v>
      </c>
      <c r="BT95" s="70">
        <f>CSX!BT61</f>
        <v>3634.1417159999992</v>
      </c>
      <c r="BU95" s="70">
        <f>CSX!BU61</f>
        <v>3573.3343319999994</v>
      </c>
      <c r="BV95" s="70">
        <f>CSX!BV61</f>
        <v>3690.9081809999989</v>
      </c>
      <c r="BX95" s="369" t="str">
        <f>$B$95</f>
        <v>Average diluted shares</v>
      </c>
      <c r="BY95" s="70">
        <f>CSX!BY61</f>
        <v>3570.2036639999992</v>
      </c>
      <c r="BZ95" s="70">
        <f>CSX!BZ61</f>
        <v>3581.918099999999</v>
      </c>
      <c r="CA95" s="70">
        <f>CSX!CA61</f>
        <v>3587.4200519999995</v>
      </c>
      <c r="CB95" s="70">
        <f>CSX!CB61</f>
        <v>3591.254015999999</v>
      </c>
      <c r="CC95" s="70">
        <f>CSX!CC61</f>
        <v>3582.698957999999</v>
      </c>
      <c r="CE95" s="369" t="str">
        <f>$B$95</f>
        <v>Average diluted shares</v>
      </c>
      <c r="CF95" s="70">
        <f>CSX!CF61</f>
        <v>3602.4289559999997</v>
      </c>
      <c r="CG95" s="70">
        <f>CSX!CG61</f>
        <v>3630.4858799999993</v>
      </c>
      <c r="CH95" s="70">
        <f>CSX!CH61</f>
        <v>3690.507599999999</v>
      </c>
      <c r="CI95" s="70">
        <f>CSX!CI61</f>
        <v>3728.0008079999993</v>
      </c>
      <c r="CJ95" s="70">
        <f>CSX!CJ61</f>
        <v>3662.8558109999999</v>
      </c>
      <c r="CL95" s="369" t="str">
        <f>$B$95</f>
        <v>Average diluted shares</v>
      </c>
      <c r="CM95" s="70">
        <f>CSX!CM61</f>
        <v>3739.3863119999987</v>
      </c>
      <c r="CN95" s="70">
        <f>CSX!CN61</f>
        <v>3749.4683639999989</v>
      </c>
      <c r="CO95" s="70">
        <f>CSX!CO61</f>
        <v>3753.371807999999</v>
      </c>
      <c r="CP95" s="70">
        <f>CSX!CP61</f>
        <v>3758.9399999999991</v>
      </c>
      <c r="CQ95" s="70">
        <f>CSX!CQ61</f>
        <v>3750.2916209999985</v>
      </c>
      <c r="CS95" s="369" t="str">
        <f>$B$95</f>
        <v>Average diluted shares</v>
      </c>
      <c r="CT95" s="70">
        <f>CSX!CT61</f>
        <v>3777.5879999999997</v>
      </c>
      <c r="CU95" s="70">
        <f>CSX!CU61</f>
        <v>3786.2639999999997</v>
      </c>
      <c r="CV95" s="70">
        <f>CSX!CV61</f>
        <v>3789.5231159999989</v>
      </c>
      <c r="CW95" s="70">
        <f>CSX!CW61</f>
        <v>3792.9239999999991</v>
      </c>
      <c r="CX95" s="70">
        <f>CSX!CX61</f>
        <v>3786.5747789999991</v>
      </c>
      <c r="CZ95" s="369" t="str">
        <f>$B$95</f>
        <v>Average diluted shares</v>
      </c>
      <c r="DA95" s="70">
        <f>CSX!DA61</f>
        <v>3805.9559999999992</v>
      </c>
      <c r="DB95" s="70">
        <f>CSX!DB61</f>
        <v>3815.0279999999989</v>
      </c>
      <c r="DC95" s="70">
        <f>CSX!DC61</f>
        <v>3815.9999999999991</v>
      </c>
      <c r="DD95" s="70">
        <f>CSX!DD61</f>
        <v>3815.6039999999989</v>
      </c>
      <c r="DE95" s="70">
        <f>CSX!DE61</f>
        <v>3813.146999999999</v>
      </c>
      <c r="DG95" s="369" t="str">
        <f>$B$95</f>
        <v>Average diluted shares</v>
      </c>
      <c r="DH95" s="70">
        <f>CSX!DH61</f>
        <v>3823.6319999999996</v>
      </c>
      <c r="DI95" s="70">
        <f>CSX!DI61</f>
        <v>3831.5879999999997</v>
      </c>
      <c r="DJ95" s="70">
        <f>CSX!DJ61</f>
        <v>3834.3959999999993</v>
      </c>
      <c r="DK95" s="70">
        <f>CSX!DK61</f>
        <v>3834.6839999999993</v>
      </c>
      <c r="DL95" s="70">
        <f>CSX!DL61</f>
        <v>3830.5439999999999</v>
      </c>
      <c r="DN95" s="369" t="str">
        <f>$B$95</f>
        <v>Average diluted shares</v>
      </c>
      <c r="DO95" s="70">
        <f>CSX!DO61</f>
        <v>3843.0359999999996</v>
      </c>
      <c r="DP95" s="70">
        <f>CSX!DP61</f>
        <v>3855.887999999999</v>
      </c>
      <c r="DQ95" s="70">
        <f>CSX!DQ61</f>
        <v>3913.1459999999993</v>
      </c>
      <c r="DR95" s="70">
        <f>CSX!DR61</f>
        <v>3948.6059999999998</v>
      </c>
      <c r="DS95" s="70">
        <f>CSX!DS61</f>
        <v>3891.69</v>
      </c>
      <c r="DU95" s="369" t="str">
        <f>$B$95</f>
        <v>Average diluted shares</v>
      </c>
      <c r="DV95" s="70">
        <f>CSX!DV61</f>
        <v>3826.3140000000003</v>
      </c>
      <c r="DW95" s="70">
        <f>CSX!DW61</f>
        <v>3846.4920000000002</v>
      </c>
      <c r="DX95" s="70">
        <f>CSX!DX61</f>
        <v>3860.6760000000004</v>
      </c>
      <c r="DY95" s="70">
        <f>CSX!DY61</f>
        <v>3881.8979999999997</v>
      </c>
      <c r="DZ95" s="70">
        <f>CSX!DZ61</f>
        <v>3974.2559999999999</v>
      </c>
      <c r="EB95" s="369" t="str">
        <f>$B$95</f>
        <v>Average diluted shares</v>
      </c>
      <c r="EC95" s="70">
        <f>CSX!EC61</f>
        <v>3882.3119999999999</v>
      </c>
      <c r="ED95" s="70">
        <f>CSX!ED61</f>
        <v>3878.82</v>
      </c>
      <c r="EE95" s="70">
        <f>CSX!EE61</f>
        <v>3833.2619999999997</v>
      </c>
      <c r="EF95" s="70">
        <f>CSX!EF61</f>
        <v>3826.71</v>
      </c>
      <c r="EG95" s="70">
        <f>CSX!EG61</f>
        <v>3855.2759999999998</v>
      </c>
      <c r="EI95" s="369" t="str">
        <f>$B$95</f>
        <v>Average diluted shares</v>
      </c>
      <c r="EJ95" s="70">
        <f>CSX!EJ61</f>
        <v>3809.8439999999996</v>
      </c>
      <c r="EK95" s="70">
        <f>CSX!EK61</f>
        <v>3836.826</v>
      </c>
      <c r="EL95" s="70">
        <f>CSX!EL61</f>
        <v>3794.2200000000003</v>
      </c>
      <c r="EM95" s="70">
        <f>CSX!EM61</f>
        <v>3798.0360000000005</v>
      </c>
      <c r="EN95" s="70">
        <f>CSX!EN61</f>
        <v>3809.7314999999999</v>
      </c>
      <c r="EP95" s="369" t="str">
        <f>$B$95</f>
        <v>Average diluted shares</v>
      </c>
      <c r="EQ95" s="70">
        <f>CSX!EQ61</f>
        <v>3816.2699999999995</v>
      </c>
      <c r="ER95" s="70">
        <f>CSX!ER61</f>
        <v>3801.7980000000002</v>
      </c>
      <c r="ES95" s="70">
        <f>CSX!ES61</f>
        <v>3802.5719999999997</v>
      </c>
      <c r="ET95" s="70">
        <f>CSX!ET61</f>
        <v>3794.8499999999995</v>
      </c>
      <c r="EU95" s="70">
        <f>CSX!EU61</f>
        <v>3803.8724999999999</v>
      </c>
      <c r="EW95" s="369" t="str">
        <f>$B$95</f>
        <v>Average diluted shares</v>
      </c>
      <c r="EX95" s="70">
        <f>CSX!EX61</f>
        <v>3814.1460000000002</v>
      </c>
      <c r="EY95" s="70">
        <f>CSX!EY61</f>
        <v>3824.3520000000003</v>
      </c>
      <c r="EZ95" s="70">
        <f>CSX!EZ61</f>
        <v>3826.4220000000005</v>
      </c>
      <c r="FA95" s="70">
        <f>CSX!FA61</f>
        <v>3828.5819999999999</v>
      </c>
      <c r="FB95" s="70">
        <f>CSX!FB61</f>
        <v>3823.3755000000006</v>
      </c>
      <c r="FD95" s="369" t="str">
        <f>$B$95</f>
        <v>Average diluted shares</v>
      </c>
      <c r="FE95" s="70">
        <f>CSX!FE61</f>
        <v>3837.4199999999996</v>
      </c>
      <c r="FF95" s="70">
        <f>CSX!FF61</f>
        <v>3843.7380000000003</v>
      </c>
      <c r="FG95" s="70">
        <f>CSX!FG61</f>
        <v>3845.3940000000002</v>
      </c>
      <c r="FH95" s="70">
        <f>CSX!FH61</f>
        <v>3846.4199999999996</v>
      </c>
      <c r="FI95" s="70">
        <f>CSX!FI61</f>
        <v>3843.2430000000004</v>
      </c>
      <c r="FK95" s="369" t="str">
        <f>$B$95</f>
        <v>Average diluted shares</v>
      </c>
      <c r="FL95" s="70">
        <f>CSX!FL61</f>
        <v>3854.9519999999998</v>
      </c>
      <c r="FM95" s="70">
        <f>CSX!FM61</f>
        <v>4023</v>
      </c>
      <c r="FN95" s="70">
        <f>CSX!FN61</f>
        <v>3861</v>
      </c>
      <c r="FO95" s="70">
        <f>CSX!FO61</f>
        <v>4041</v>
      </c>
      <c r="FP95" s="70">
        <f>CSX!FP61</f>
        <v>3944.9880000000003</v>
      </c>
      <c r="FR95" s="369" t="str">
        <f>$B$95</f>
        <v>Average diluted shares</v>
      </c>
      <c r="FS95" s="70">
        <f>CSX!FS61</f>
        <v>4047.84</v>
      </c>
      <c r="FT95" s="70">
        <f>CSX!FT61</f>
        <v>4047.7860000000005</v>
      </c>
      <c r="FU95" s="70">
        <f>CSX!FU61</f>
        <v>4024.7999999999997</v>
      </c>
      <c r="FV95" s="70">
        <f>CSX!FV61</f>
        <v>4056.7139999999995</v>
      </c>
      <c r="FW95" s="70">
        <f>CSX!FW61</f>
        <v>4044.2849999999999</v>
      </c>
      <c r="FY95" s="369" t="str">
        <f>$B$95</f>
        <v>Average diluted shares</v>
      </c>
      <c r="FZ95" s="70">
        <f>CSX!FZ61</f>
        <v>4072.4280000000003</v>
      </c>
      <c r="GA95" s="70">
        <f>CSX!GA61</f>
        <v>4094.1540000000005</v>
      </c>
      <c r="GB95" s="70">
        <f>CSX!GB61</f>
        <v>4111.6139999999996</v>
      </c>
      <c r="GC95" s="70">
        <f>CSX!GC61</f>
        <v>4139.4870000000001</v>
      </c>
      <c r="GD95" s="70">
        <f>CSX!GD61</f>
        <v>4104.2999999999993</v>
      </c>
      <c r="GF95" s="369" t="str">
        <f>$B$95</f>
        <v>Average diluted shares</v>
      </c>
      <c r="GG95" s="70">
        <f>CSX!GG61</f>
        <v>4179.2759999999998</v>
      </c>
      <c r="GH95" s="70">
        <f>CSX!GH61</f>
        <v>4231.8539999999994</v>
      </c>
      <c r="GI95" s="70">
        <f>CSX!GI61</f>
        <v>4190.7690000000002</v>
      </c>
      <c r="GJ95" s="70">
        <f>CSX!GJ61</f>
        <v>4171.7160000000003</v>
      </c>
      <c r="GK95" s="70">
        <f>CSX!GK61</f>
        <v>4193.3999999999996</v>
      </c>
      <c r="GM95" s="369" t="str">
        <f>$B$95</f>
        <v>Average diluted shares</v>
      </c>
      <c r="GN95" s="70">
        <f>CSX!GN61</f>
        <v>4168.5839999999998</v>
      </c>
      <c r="GO95" s="70">
        <f>CSX!GO61</f>
        <v>4130.3069999999998</v>
      </c>
      <c r="GP95" s="70">
        <f>CSX!GP61</f>
        <v>4009.9319999999998</v>
      </c>
      <c r="GQ95" s="70">
        <f>CSX!GQ61</f>
        <v>3829.2750000000005</v>
      </c>
      <c r="GR95" s="70">
        <f>CSX!GR61</f>
        <v>4035</v>
      </c>
      <c r="GT95" s="369" t="str">
        <f>$B$95</f>
        <v>Average diluted shares</v>
      </c>
      <c r="GU95" s="70">
        <f>CSX!GU61</f>
        <v>3736.8936779999999</v>
      </c>
      <c r="GV95" s="70">
        <f>CSX!GV61</f>
        <v>3736.0118400000001</v>
      </c>
      <c r="GW95" s="70">
        <f>CSX!GW61</f>
        <v>3676.3776870000002</v>
      </c>
      <c r="GX95" s="70">
        <f>CSX!GX61</f>
        <v>3561.0787350000001</v>
      </c>
      <c r="GY95" s="70">
        <f>CSX!GY61</f>
        <v>3677.7000000000003</v>
      </c>
      <c r="HA95" s="369" t="str">
        <f>$B$95</f>
        <v>Average diluted shares</v>
      </c>
      <c r="HB95" s="70">
        <f>CSX!HB61</f>
        <v>3546.9129630000002</v>
      </c>
      <c r="HC95" s="70">
        <f>CSX!HC61</f>
        <v>3558.3336180000001</v>
      </c>
      <c r="HD95" s="70">
        <f>CSX!HD61</f>
        <v>3567.0007320000004</v>
      </c>
      <c r="HE95" s="70">
        <f>CSX!HE61</f>
        <v>3572.4547109999999</v>
      </c>
      <c r="HF95" s="70">
        <f>CSX!HF61</f>
        <v>3561</v>
      </c>
      <c r="HH95" s="369" t="str">
        <f>$B$95</f>
        <v>Average diluted shares</v>
      </c>
      <c r="HI95" s="70">
        <f>CSX!HI61</f>
        <v>3548.9106449999999</v>
      </c>
      <c r="HJ95" s="70">
        <f>CSX!HJ61</f>
        <v>3477</v>
      </c>
      <c r="HK95" s="70">
        <f>CSX!HK61</f>
        <v>3435</v>
      </c>
      <c r="HL95" s="70">
        <f>CSX!HL61</f>
        <v>3384</v>
      </c>
      <c r="HM95" s="70">
        <f>CSX!HM61</f>
        <v>3462</v>
      </c>
      <c r="HO95" s="369" t="str">
        <f>$B$95</f>
        <v>Average diluted shares</v>
      </c>
      <c r="HP95" s="70">
        <f>CSX!HP61</f>
        <v>3345</v>
      </c>
      <c r="HQ95" s="70">
        <f>CSX!HQ61</f>
        <v>3327</v>
      </c>
      <c r="HR95" s="70">
        <f>CSX!HR61</f>
        <v>3231</v>
      </c>
      <c r="HS95" s="70">
        <f>CSX!HS61</f>
        <v>3168</v>
      </c>
      <c r="HT95" s="70">
        <f>CSX!HT61</f>
        <v>3267</v>
      </c>
      <c r="HV95" s="369" t="str">
        <f>$B$95</f>
        <v>Average diluted shares</v>
      </c>
      <c r="HW95" s="70">
        <f>CSX!HW61</f>
        <v>3147</v>
      </c>
      <c r="HX95" s="70">
        <f>CSX!HX61</f>
        <v>3129</v>
      </c>
      <c r="HY95" s="70">
        <f>CSX!HY61</f>
        <v>3120</v>
      </c>
      <c r="HZ95" s="70">
        <f>CSX!HZ61</f>
        <v>3084</v>
      </c>
      <c r="IA95" s="70">
        <f>CSX!IA61</f>
        <v>3120</v>
      </c>
      <c r="IC95" s="369" t="str">
        <f>$B$95</f>
        <v>Average diluted shares</v>
      </c>
      <c r="ID95" s="70">
        <f>CSX!ID61</f>
        <v>3069</v>
      </c>
      <c r="IE95" s="70">
        <f>CSX!IE61</f>
        <v>3069</v>
      </c>
      <c r="IF95" s="70">
        <f>CSX!IF61</f>
        <v>3054</v>
      </c>
      <c r="IG95" s="70">
        <f>CSX!IG61</f>
        <v>3039</v>
      </c>
      <c r="IH95" s="70">
        <f>CSX!IH61</f>
        <v>3057</v>
      </c>
      <c r="IJ95" s="369" t="str">
        <f>$B$95</f>
        <v>Average diluted shares</v>
      </c>
      <c r="IK95" s="70">
        <f>CSX!IK61</f>
        <v>3024</v>
      </c>
      <c r="IL95" s="70">
        <f>CSX!IL61</f>
        <v>3009</v>
      </c>
      <c r="IM95" s="70">
        <f>CSX!IM61</f>
        <v>2997</v>
      </c>
      <c r="IN95" s="70">
        <f>CSX!IN61</f>
        <v>2985</v>
      </c>
      <c r="IO95" s="70">
        <f>CSX!IO61</f>
        <v>3006</v>
      </c>
      <c r="IQ95" s="369" t="str">
        <f>$B$95</f>
        <v>Average diluted shares</v>
      </c>
      <c r="IR95" s="70">
        <f>CSX!IR61</f>
        <v>2976</v>
      </c>
      <c r="IS95" s="70">
        <f>CSX!IS61</f>
        <v>2967</v>
      </c>
      <c r="IT95" s="70">
        <f>CSX!IT61</f>
        <v>2946</v>
      </c>
      <c r="IU95" s="70">
        <f>CSX!IU61</f>
        <v>2919</v>
      </c>
      <c r="IV95" s="70">
        <f>CSX!IV61</f>
        <v>2952</v>
      </c>
      <c r="IX95" s="369" t="str">
        <f>$B$95</f>
        <v>Average diluted shares</v>
      </c>
      <c r="IY95" s="70">
        <f>CSX!IY61</f>
        <v>2889</v>
      </c>
      <c r="IZ95" s="70">
        <f>CSX!IZ61</f>
        <v>2856</v>
      </c>
      <c r="JA95" s="70">
        <f>CSX!JA61</f>
        <v>2829</v>
      </c>
      <c r="JB95" s="70">
        <f>CSX!JB61</f>
        <v>2805</v>
      </c>
      <c r="JC95" s="70">
        <f>CSX!JC61</f>
        <v>2844</v>
      </c>
      <c r="JE95" s="369" t="str">
        <f>$B$95</f>
        <v>Average diluted shares</v>
      </c>
      <c r="JF95" s="70">
        <f>CSX!JF61</f>
        <v>2787</v>
      </c>
      <c r="JG95" s="70">
        <f>CSX!JG61</f>
        <v>2772</v>
      </c>
      <c r="JH95" s="70">
        <f>CSX!JH61</f>
        <v>2718</v>
      </c>
      <c r="JI95" s="70">
        <f>CSX!JI61</f>
        <v>2688</v>
      </c>
      <c r="JJ95" s="70">
        <f>CSX!JJ61</f>
        <v>2742</v>
      </c>
      <c r="JL95" s="369" t="str">
        <f>$B$95</f>
        <v>Average diluted shares</v>
      </c>
      <c r="JM95" s="70">
        <f>CSX!JM61</f>
        <v>2664</v>
      </c>
      <c r="JN95" s="70">
        <f>CSX!JN61</f>
        <v>2604</v>
      </c>
      <c r="JO95" s="70">
        <f>CSX!JO61</f>
        <v>2562</v>
      </c>
      <c r="JP95" s="70">
        <f>CSX!JP61</f>
        <v>2499</v>
      </c>
      <c r="JQ95" s="70">
        <f>CSX!JQ61</f>
        <v>2583</v>
      </c>
      <c r="JS95" s="369" t="str">
        <f>$B$95</f>
        <v>Average diluted shares</v>
      </c>
      <c r="JT95" s="70">
        <f>CSX!JT61</f>
        <v>2451</v>
      </c>
      <c r="JU95" s="70">
        <f>CSX!JU61</f>
        <v>2421</v>
      </c>
      <c r="JV95" s="70">
        <f>CSX!JV61</f>
        <v>2376</v>
      </c>
      <c r="JW95" s="70">
        <f>CSX!JW61</f>
        <v>2334</v>
      </c>
      <c r="JX95" s="70">
        <f>CSX!JX61</f>
        <v>2394</v>
      </c>
      <c r="JZ95" s="369" t="str">
        <f>$B$95</f>
        <v>Average diluted shares</v>
      </c>
      <c r="KA95" s="70">
        <f>CSX!KA61</f>
        <v>2319</v>
      </c>
      <c r="KB95" s="70">
        <f>CSX!KB61</f>
        <v>2301</v>
      </c>
      <c r="KC95" s="70">
        <f>CSX!KC61</f>
        <v>2301</v>
      </c>
      <c r="KD95" s="70">
        <f>CSX!KD61</f>
        <v>2298</v>
      </c>
      <c r="KE95" s="70">
        <f>CSX!KE61</f>
        <v>2304</v>
      </c>
      <c r="KG95" s="369" t="str">
        <f>$B$95</f>
        <v>Average diluted shares</v>
      </c>
      <c r="KH95" s="70">
        <f>CSX!KH61</f>
        <v>2286</v>
      </c>
      <c r="KI95" s="70">
        <f>CSX!KI61</f>
        <v>2275</v>
      </c>
      <c r="KJ95" s="70">
        <f>CSX!KJ61</f>
        <v>2242</v>
      </c>
      <c r="KK95" s="70">
        <f>CSX!KK61</f>
        <v>2217</v>
      </c>
      <c r="KL95" s="70">
        <f>CSX!KL61</f>
        <v>2255</v>
      </c>
      <c r="KN95" s="369" t="str">
        <f>$B$95</f>
        <v>Average diluted shares</v>
      </c>
      <c r="KO95" s="70">
        <f>CSX!KO61</f>
        <v>2193</v>
      </c>
      <c r="KP95" s="70">
        <f>CSX!KP61</f>
        <v>2163</v>
      </c>
      <c r="KQ95" s="70">
        <f>CSX!KQ61</f>
        <v>2126</v>
      </c>
      <c r="KR95" s="70">
        <f>CSX!KR61</f>
        <v>2085</v>
      </c>
      <c r="KS95" s="70">
        <f>CSX!KS61</f>
        <v>2141</v>
      </c>
      <c r="KU95" s="369" t="str">
        <f>$B$95</f>
        <v>Average diluted shares</v>
      </c>
      <c r="KV95" s="70">
        <f>CSX!KV61</f>
        <v>2058</v>
      </c>
      <c r="KW95" s="70">
        <f>CSX!KW61</f>
        <v>2025</v>
      </c>
      <c r="KX95" s="70">
        <f>CSX!KX61</f>
        <v>1999</v>
      </c>
      <c r="KY95" s="70">
        <f>CSX!KY61</f>
        <v>1969</v>
      </c>
      <c r="KZ95" s="70">
        <f>CSX!KZ61</f>
        <v>2013</v>
      </c>
      <c r="LB95" s="369" t="str">
        <f>$B$95</f>
        <v>Average diluted shares</v>
      </c>
      <c r="LC95" s="70">
        <f>CSX!LC61</f>
        <v>1962</v>
      </c>
      <c r="LD95" s="70">
        <f>CSX!LD61</f>
        <v>1948</v>
      </c>
      <c r="LE95" s="70">
        <f>CSX!LE61</f>
        <v>1940</v>
      </c>
      <c r="LF95" s="70">
        <f>CSX!LF61</f>
        <v>1921</v>
      </c>
      <c r="LG95" s="70">
        <f>CSX!LG61</f>
        <v>1942.75</v>
      </c>
      <c r="LI95" s="369" t="str">
        <f>$B$95</f>
        <v>Average diluted shares</v>
      </c>
      <c r="LJ95" s="70">
        <f>CSX!LJ61</f>
        <v>1892</v>
      </c>
      <c r="LK95" s="70">
        <f>CSX!LK61</f>
        <v>1869</v>
      </c>
      <c r="LL95" s="70">
        <f>CSX!LL61</f>
        <v>1867</v>
      </c>
      <c r="LM95" s="70">
        <f>CSX!LM61</f>
        <v>1864</v>
      </c>
      <c r="LN95" s="70">
        <f t="shared" ref="LN95" si="163">LN93+LN94</f>
        <v>1873.5</v>
      </c>
      <c r="LO95" s="717"/>
      <c r="LP95" s="369" t="str">
        <f>$B$95</f>
        <v>Average diluted shares</v>
      </c>
      <c r="LQ95" s="70">
        <f t="shared" ref="LQ95" si="164">LQ93+LQ94</f>
        <v>1855.3813790000002</v>
      </c>
      <c r="LR95" s="70">
        <f t="shared" ref="LR95" si="165">LR93+LR94</f>
        <v>1838.8813790000002</v>
      </c>
      <c r="LS95" s="70">
        <f t="shared" ref="LS95" si="166">LS93+LS94</f>
        <v>1821.8813790000002</v>
      </c>
      <c r="LT95" s="70">
        <f t="shared" ref="LT95" si="167">LT93+LT94</f>
        <v>1804.8813790000002</v>
      </c>
      <c r="LU95" s="70">
        <f t="shared" ref="LU95" si="168">LU93+LU94</f>
        <v>1830.2563790000002</v>
      </c>
      <c r="LV95" s="717"/>
      <c r="LW95" s="369" t="str">
        <f>$B$95</f>
        <v>Average diluted shares</v>
      </c>
      <c r="LX95" s="70">
        <f t="shared" ref="LX95:MB95" si="169">LX93+LX94</f>
        <v>1787.8813790000002</v>
      </c>
      <c r="LY95" s="70">
        <f t="shared" si="169"/>
        <v>1770.8813790000002</v>
      </c>
      <c r="LZ95" s="70">
        <f t="shared" si="169"/>
        <v>1753.8813790000002</v>
      </c>
      <c r="MA95" s="70">
        <f t="shared" si="169"/>
        <v>1736.8813790000002</v>
      </c>
      <c r="MB95" s="70">
        <f t="shared" si="169"/>
        <v>1762.3813790000002</v>
      </c>
      <c r="MC95" s="717"/>
      <c r="MD95" s="369" t="str">
        <f>$B$95</f>
        <v>Average diluted shares</v>
      </c>
      <c r="ME95" s="70">
        <f t="shared" ref="ME95:MI95" si="170">ME93+ME94</f>
        <v>1719.6313790000002</v>
      </c>
      <c r="MF95" s="70">
        <f t="shared" si="170"/>
        <v>1702.1313790000002</v>
      </c>
      <c r="MG95" s="70">
        <f t="shared" si="170"/>
        <v>1684.6313790000002</v>
      </c>
      <c r="MH95" s="70">
        <f t="shared" si="170"/>
        <v>1667.1313790000002</v>
      </c>
      <c r="MI95" s="70">
        <f t="shared" si="170"/>
        <v>1693.3813790000002</v>
      </c>
      <c r="MJ95" s="717"/>
    </row>
    <row r="96" spans="1:348" x14ac:dyDescent="0.4">
      <c r="B96" s="137" t="s">
        <v>553</v>
      </c>
      <c r="BQ96" s="137" t="str">
        <f>$B$96</f>
        <v>Dilutive effect (%)</v>
      </c>
      <c r="BR96" s="723">
        <f>BR94/BR93</f>
        <v>1.2025789775263957E-2</v>
      </c>
      <c r="BS96" s="723">
        <f>BS94/BS93</f>
        <v>1.2461698444455776E-2</v>
      </c>
      <c r="BT96" s="723">
        <f>BT94/BT93</f>
        <v>1.2730817419502036E-2</v>
      </c>
      <c r="BU96" s="723">
        <f>BU94/BU93</f>
        <v>1.2950263121486522E-2</v>
      </c>
      <c r="BV96" s="723">
        <f>BV94/BV93</f>
        <v>1.253256253432038E-2</v>
      </c>
      <c r="BX96" s="137" t="str">
        <f>$B$96</f>
        <v>Dilutive effect (%)</v>
      </c>
      <c r="BY96" s="723">
        <f>BY94/BY93</f>
        <v>1.2961766241971318E-2</v>
      </c>
      <c r="BZ96" s="723">
        <f>BZ94/BZ93</f>
        <v>1.2918827970127682E-2</v>
      </c>
      <c r="CA96" s="723">
        <f>CA94/CA93</f>
        <v>1.2898759063144123E-2</v>
      </c>
      <c r="CB96" s="723">
        <f>CB94/CB93</f>
        <v>1.2884811128772614E-2</v>
      </c>
      <c r="CC96" s="723">
        <f>CC94/CC93</f>
        <v>1.2915975912590215E-2</v>
      </c>
      <c r="CE96" s="137" t="str">
        <f>$B$96</f>
        <v>Dilutive effect (%)</v>
      </c>
      <c r="CF96" s="723">
        <f>CF94/CF93</f>
        <v>1.2844328329736804E-2</v>
      </c>
      <c r="CG96" s="723">
        <f>CG94/CG93</f>
        <v>1.2743800502581551E-2</v>
      </c>
      <c r="CH96" s="723">
        <f>CH94/CH93</f>
        <v>1.2533939914128983E-2</v>
      </c>
      <c r="CI96" s="723">
        <f>CI94/CI93</f>
        <v>1.2406319820377413E-2</v>
      </c>
      <c r="CJ96" s="723">
        <f>CJ94/CJ93</f>
        <v>1.2629756723490976E-2</v>
      </c>
      <c r="CL96" s="137" t="str">
        <f>$B$96</f>
        <v>Dilutive effect (%)</v>
      </c>
      <c r="CM96" s="723">
        <f>CM94/CM93</f>
        <v>1.2368078459268997E-2</v>
      </c>
      <c r="CN96" s="723">
        <f>CN94/CN93</f>
        <v>1.2334411377735189E-2</v>
      </c>
      <c r="CO96" s="723">
        <f>CO94/CO93</f>
        <v>1.2321425741786535E-2</v>
      </c>
      <c r="CP96" s="723">
        <f>CP94/CP93</f>
        <v>1.2302949217613676E-2</v>
      </c>
      <c r="CQ96" s="723">
        <f>CQ94/CQ93</f>
        <v>1.2331670361264232E-2</v>
      </c>
      <c r="CS96" s="137" t="str">
        <f>$B$96</f>
        <v>Dilutive effect (%)</v>
      </c>
      <c r="CT96" s="723">
        <f>CT94/CT93</f>
        <v>1.2241472449451883E-2</v>
      </c>
      <c r="CU96" s="723">
        <f>CU94/CU93</f>
        <v>1.2213079255088591E-2</v>
      </c>
      <c r="CV96" s="723">
        <f>CV94/CV93</f>
        <v>1.220244743016871E-2</v>
      </c>
      <c r="CW96" s="723">
        <f>CW94/CW93</f>
        <v>1.2191372850417718E-2</v>
      </c>
      <c r="CX96" s="723">
        <f>CX94/CX93</f>
        <v>1.2212064638842878E-2</v>
      </c>
      <c r="CZ96" s="137" t="str">
        <f>$B$96</f>
        <v>Dilutive effect (%)</v>
      </c>
      <c r="DA96" s="723">
        <f>DA94/DA93</f>
        <v>1.2149121127407615E-2</v>
      </c>
      <c r="DB96" s="723">
        <f>DB94/DB93</f>
        <v>1.2119880806845777E-2</v>
      </c>
      <c r="DC96" s="723">
        <f>DC94/DC93</f>
        <v>1.2116756261278706E-2</v>
      </c>
      <c r="DD96" s="723">
        <f>DD94/DD93</f>
        <v>1.2118029029793548E-2</v>
      </c>
      <c r="DE96" s="723">
        <f>DE94/DE93</f>
        <v>1.2125931960048257E-2</v>
      </c>
      <c r="DG96" s="137" t="str">
        <f>$B$96</f>
        <v>Dilutive effect (%)</v>
      </c>
      <c r="DH96" s="723">
        <f>DH94/DH93</f>
        <v>1.2092278665561115E-2</v>
      </c>
      <c r="DI96" s="723">
        <f>DI94/DI93</f>
        <v>1.2066866988703169E-2</v>
      </c>
      <c r="DJ96" s="723">
        <f>DJ94/DJ93</f>
        <v>1.2057923642651985E-2</v>
      </c>
      <c r="DK96" s="723">
        <f>DK94/DK93</f>
        <v>1.2057007125890548E-2</v>
      </c>
      <c r="DL96" s="723">
        <f>DL94/DL93</f>
        <v>1.2070195462975983E-2</v>
      </c>
      <c r="DN96" s="137" t="str">
        <f>$B$96</f>
        <v>Dilutive effect (%)</v>
      </c>
      <c r="DO96" s="723">
        <f>DO94/DO93</f>
        <v>1.2030488614170949E-2</v>
      </c>
      <c r="DP96" s="723">
        <f>DP94/DP93</f>
        <v>1.1989909201711849E-2</v>
      </c>
      <c r="DQ96" s="723">
        <f>DQ94/DQ93</f>
        <v>1.1812397898156281E-2</v>
      </c>
      <c r="DR96" s="723">
        <f>DR94/DR93</f>
        <v>1.1705076350487989E-2</v>
      </c>
      <c r="DS96" s="723">
        <f>DS94/DS93</f>
        <v>1.2039338491712376E-2</v>
      </c>
      <c r="DU96" s="137" t="str">
        <f>$B$96</f>
        <v>Dilutive effect (%)</v>
      </c>
      <c r="DV96" s="723">
        <f>DV94/DV93</f>
        <v>1.6113612680567196E-2</v>
      </c>
      <c r="DW96" s="723">
        <f>DW94/DW93</f>
        <v>1.9907122368427448E-2</v>
      </c>
      <c r="DX96" s="723">
        <f>DX94/DX93</f>
        <v>1.9832533723866199E-2</v>
      </c>
      <c r="DY96" s="723">
        <f>DY94/DY93</f>
        <v>2.4128597207711936E-2</v>
      </c>
      <c r="DZ96" s="723">
        <f>DZ94/DZ93</f>
        <v>1.3755991845580356E-2</v>
      </c>
      <c r="EB96" s="137" t="str">
        <f>$B$96</f>
        <v>Dilutive effect (%)</v>
      </c>
      <c r="EC96" s="723">
        <f>EC94/EC93</f>
        <v>2.2203896700932212E-2</v>
      </c>
      <c r="ED96" s="723">
        <f>ED94/ED93</f>
        <v>1.9183291239819589E-2</v>
      </c>
      <c r="EE96" s="723">
        <f>EE94/EE93</f>
        <v>1.019401356671867E-2</v>
      </c>
      <c r="EF96" s="723">
        <f>EF94/EF93</f>
        <v>1.1398722163283406E-2</v>
      </c>
      <c r="EG96" s="723">
        <f>EG94/EG93</f>
        <v>1.5752120477756572E-2</v>
      </c>
      <c r="EI96" s="137" t="str">
        <f>$B$96</f>
        <v>Dilutive effect (%)</v>
      </c>
      <c r="EJ96" s="723">
        <f>EJ94/EJ93</f>
        <v>7.3004511621708092E-3</v>
      </c>
      <c r="EK96" s="723">
        <f>EK94/EK93</f>
        <v>1.2540554919555308E-2</v>
      </c>
      <c r="EL96" s="723">
        <f>EL94/EL93</f>
        <v>0</v>
      </c>
      <c r="EM96" s="723">
        <f>EM94/EM93</f>
        <v>0</v>
      </c>
      <c r="EN96" s="723">
        <f>EN94/EN93</f>
        <v>4.9546966939803859E-3</v>
      </c>
      <c r="EP96" s="137" t="str">
        <f>$B$96</f>
        <v>Dilutive effect (%)</v>
      </c>
      <c r="EQ96" s="723">
        <f>EQ94/EQ93</f>
        <v>3.8969279139359748E-3</v>
      </c>
      <c r="ER96" s="723">
        <f>ER94/ER93</f>
        <v>9.2410054213904217E-4</v>
      </c>
      <c r="ES96" s="723">
        <f>ES94/ES93</f>
        <v>1.5170622090321469E-3</v>
      </c>
      <c r="ET96" s="723">
        <f>ET94/ET93</f>
        <v>0</v>
      </c>
      <c r="EU96" s="723">
        <f>EU94/EU93</f>
        <v>1.5853700440894506E-3</v>
      </c>
      <c r="EW96" s="137" t="str">
        <f>$B$96</f>
        <v>Dilutive effect (%)</v>
      </c>
      <c r="EX96" s="723">
        <f>EX94/EX93</f>
        <v>2.8301127785743496E-3</v>
      </c>
      <c r="EY96" s="723">
        <f>EY94/EY93</f>
        <v>3.6705135412189618E-3</v>
      </c>
      <c r="EZ96" s="723">
        <f>EZ94/EZ93</f>
        <v>3.3416560076650783E-3</v>
      </c>
      <c r="FA96" s="723">
        <f>FA94/FA93</f>
        <v>4.8692529980079256E-3</v>
      </c>
      <c r="FB96" s="723">
        <f>FB94/FB93</f>
        <v>3.5043086342763756E-3</v>
      </c>
      <c r="FD96" s="137" t="str">
        <f>$B$96</f>
        <v>Dilutive effect (%)</v>
      </c>
      <c r="FE96" s="723">
        <f>FE94/FE93</f>
        <v>5.3618670803996845E-3</v>
      </c>
      <c r="FF96" s="723">
        <f>FF94/FF93</f>
        <v>4.6387993695750649E-3</v>
      </c>
      <c r="FG96" s="723">
        <f>FG94/FG93</f>
        <v>2.778807835111538E-3</v>
      </c>
      <c r="FH96" s="723">
        <f>FH94/FH93</f>
        <v>4.5206327318880754E-3</v>
      </c>
      <c r="FI96" s="723">
        <f>FI94/FI93</f>
        <v>3.6877905692218982E-3</v>
      </c>
      <c r="FK96" s="137" t="str">
        <f>$B$96</f>
        <v>Dilutive effect (%)</v>
      </c>
      <c r="FL96" s="723">
        <f>FL94/FL93</f>
        <v>1.3933958647000984E-3</v>
      </c>
      <c r="FM96" s="723">
        <f>FM94/FM93</f>
        <v>4.5129974888823379E-2</v>
      </c>
      <c r="FN96" s="723">
        <f>FN94/FN93</f>
        <v>2.5472646117174029E-3</v>
      </c>
      <c r="FO96" s="723">
        <f>FO94/FO93</f>
        <v>4.9245197775319723E-2</v>
      </c>
      <c r="FP96" s="723">
        <f>FP94/FP93</f>
        <v>2.4312501168420847E-2</v>
      </c>
      <c r="FR96" s="137" t="str">
        <f>$B$96</f>
        <v>Dilutive effect (%)</v>
      </c>
      <c r="FS96" s="723">
        <f>FS94/FS93</f>
        <v>4.7561373270601441E-2</v>
      </c>
      <c r="FT96" s="723">
        <f>FT94/FT93</f>
        <v>4.7235183995082426E-2</v>
      </c>
      <c r="FU96" s="723">
        <f>FU94/FU93</f>
        <v>4.0866581944968124E-2</v>
      </c>
      <c r="FV96" s="723">
        <f>FV94/FV93</f>
        <v>4.9238815003336316E-2</v>
      </c>
      <c r="FW96" s="723">
        <f>FW94/FW93</f>
        <v>4.6027393433769812E-2</v>
      </c>
      <c r="FY96" s="137" t="str">
        <f>$B$96</f>
        <v>Dilutive effect (%)</v>
      </c>
      <c r="FZ96" s="723">
        <f>FZ94/FZ93</f>
        <v>5.0567432530321997E-2</v>
      </c>
      <c r="GA96" s="723">
        <f>GA94/GA93</f>
        <v>5.0989289245811371E-2</v>
      </c>
      <c r="GB96" s="723">
        <f>GB94/GB93</f>
        <v>5.4073510071294954E-2</v>
      </c>
      <c r="GC96" s="723">
        <f>GC94/GC93</f>
        <v>0</v>
      </c>
      <c r="GD96" s="723">
        <f>GD94/GD93</f>
        <v>5.3519174495610541E-2</v>
      </c>
      <c r="GF96" s="137" t="str">
        <f>$B$96</f>
        <v>Dilutive effect (%)</v>
      </c>
      <c r="GG96" s="723">
        <f>GG94/GG93</f>
        <v>5.6905239870539567E-2</v>
      </c>
      <c r="GH96" s="723">
        <f>GH94/GH93</f>
        <v>5.9463965841623029E-2</v>
      </c>
      <c r="GI96" s="723">
        <f>GI94/GI93</f>
        <v>5.8063387322535451E-2</v>
      </c>
      <c r="GJ96" s="723">
        <f>GJ94/GJ93</f>
        <v>0</v>
      </c>
      <c r="GK96" s="723">
        <f>GK94/GK93</f>
        <v>5.8698780580171181E-2</v>
      </c>
      <c r="GM96" s="137" t="str">
        <f>$B$96</f>
        <v>Dilutive effect (%)</v>
      </c>
      <c r="GN96" s="723">
        <f>GN94/GN93</f>
        <v>5.8356583195662066E-2</v>
      </c>
      <c r="GO96" s="723">
        <f>GO94/GO93</f>
        <v>4.6269276015211004E-2</v>
      </c>
      <c r="GP96" s="723">
        <f>GP94/GP93</f>
        <v>3.0099715857202593E-2</v>
      </c>
      <c r="GQ96" s="723">
        <f>GQ94/GQ93</f>
        <v>0</v>
      </c>
      <c r="GR96" s="723">
        <f>GR94/GR93</f>
        <v>4.158599860605601E-2</v>
      </c>
      <c r="GT96" s="137" t="str">
        <f>$B$96</f>
        <v>Dilutive effect (%)</v>
      </c>
      <c r="GU96" s="723">
        <f>GU94/GU93</f>
        <v>2.6855273037686079E-2</v>
      </c>
      <c r="GV96" s="723">
        <f>GV94/GV93</f>
        <v>2.1927386784123471E-2</v>
      </c>
      <c r="GW96" s="723">
        <f>GW94/GW93</f>
        <v>1.5568432877906258E-2</v>
      </c>
      <c r="GX96" s="723">
        <f>GX94/GX93</f>
        <v>0</v>
      </c>
      <c r="GY96" s="723">
        <f>GY94/GY93</f>
        <v>1.9713857927133562E-2</v>
      </c>
      <c r="HA96" s="137" t="str">
        <f>$B$96</f>
        <v>Dilutive effect (%)</v>
      </c>
      <c r="HB96" s="723">
        <f>HB94/HB93</f>
        <v>7.5187570047830846E-3</v>
      </c>
      <c r="HC96" s="723">
        <f>HC94/HC93</f>
        <v>8.5274059589070684E-3</v>
      </c>
      <c r="HD96" s="723">
        <f>HD94/HD93</f>
        <v>1.0146484370113505E-2</v>
      </c>
      <c r="HE96" s="723">
        <f>HE94/HE93</f>
        <v>0</v>
      </c>
      <c r="HF96" s="723">
        <f>HF94/HF93</f>
        <v>9.3537414965986394E-3</v>
      </c>
      <c r="HH96" s="137" t="str">
        <f>$B$96</f>
        <v>Dilutive effect (%)</v>
      </c>
      <c r="HI96" s="723">
        <f>HI94/HI93</f>
        <v>8.2949339086559031E-3</v>
      </c>
      <c r="HJ96" s="723">
        <f>HJ94/HJ93</f>
        <v>8.7032201914708437E-3</v>
      </c>
      <c r="HK96" s="723">
        <f>HK94/HK93</f>
        <v>9.700176366843033E-3</v>
      </c>
      <c r="HL96" s="723">
        <f>HL94/HL93</f>
        <v>0</v>
      </c>
      <c r="HM96" s="723">
        <f>HM94/HM93</f>
        <v>9.6237970253718278E-3</v>
      </c>
      <c r="HO96" s="137" t="str">
        <f>$B$96</f>
        <v>Dilutive effect (%)</v>
      </c>
      <c r="HP96" s="723">
        <f>HP94/HP93</f>
        <v>6.3176895306859202E-3</v>
      </c>
      <c r="HQ96" s="723">
        <f>HQ94/HQ93</f>
        <v>6.3520871143375682E-3</v>
      </c>
      <c r="HR96" s="723">
        <f>HR94/HR93</f>
        <v>5.6022408963585435E-3</v>
      </c>
      <c r="HS96" s="723">
        <f>HS94/HS93</f>
        <v>0</v>
      </c>
      <c r="HT96" s="723">
        <f>HT94/HT93</f>
        <v>5.5401662049861496E-3</v>
      </c>
      <c r="HV96" s="137" t="str">
        <f>$B$96</f>
        <v>Dilutive effect (%)</v>
      </c>
      <c r="HW96" s="723">
        <f>HW94/HW93</f>
        <v>1.9102196752626551E-3</v>
      </c>
      <c r="HX96" s="723">
        <f>HX94/HX93</f>
        <v>1.9212295869356388E-3</v>
      </c>
      <c r="HY96" s="723">
        <f>HY94/HY93</f>
        <v>1.9267822736030828E-3</v>
      </c>
      <c r="HZ96" s="723">
        <f>HZ94/HZ93</f>
        <v>0</v>
      </c>
      <c r="IA96" s="723">
        <f>IA94/IA93</f>
        <v>1.9267822736030828E-3</v>
      </c>
      <c r="IC96" s="137" t="str">
        <f>$B$96</f>
        <v>Dilutive effect (%)</v>
      </c>
      <c r="ID96" s="723">
        <f>ID94/ID93</f>
        <v>9.7847358121330719E-4</v>
      </c>
      <c r="IE96" s="723">
        <f>IE94/IE93</f>
        <v>9.7847358121330719E-4</v>
      </c>
      <c r="IF96" s="723">
        <f>IF94/IF93</f>
        <v>9.8328416912487715E-4</v>
      </c>
      <c r="IG96" s="723">
        <f>IG94/IG93</f>
        <v>0</v>
      </c>
      <c r="IH96" s="723">
        <f>IH94/IH93</f>
        <v>0</v>
      </c>
      <c r="IJ96" s="137" t="str">
        <f>$B$96</f>
        <v>Dilutive effect (%)</v>
      </c>
      <c r="IK96" s="723">
        <f>IK94/IK93</f>
        <v>0</v>
      </c>
      <c r="IL96" s="723">
        <f>IL94/IL93</f>
        <v>0</v>
      </c>
      <c r="IM96" s="723">
        <f>IM94/IM93</f>
        <v>0</v>
      </c>
      <c r="IN96" s="723">
        <f>IN94/IN93</f>
        <v>0</v>
      </c>
      <c r="IO96" s="723">
        <f>IO94/IO93</f>
        <v>9.99000999000999E-4</v>
      </c>
      <c r="IQ96" s="137" t="str">
        <f>$B$96</f>
        <v>Dilutive effect (%)</v>
      </c>
      <c r="IR96" s="723">
        <f>IR94/IR93</f>
        <v>1.0090817356205853E-3</v>
      </c>
      <c r="IS96" s="723">
        <f>IS94/IS93</f>
        <v>1.0121457489878543E-3</v>
      </c>
      <c r="IT96" s="723">
        <f>IT94/IT93</f>
        <v>1.0193679918450561E-3</v>
      </c>
      <c r="IU96" s="723">
        <f>IU94/IU93</f>
        <v>0</v>
      </c>
      <c r="IV96" s="723">
        <f>IV94/IV93</f>
        <v>1.017293997965412E-3</v>
      </c>
      <c r="IX96" s="137" t="str">
        <f>$B$96</f>
        <v>Dilutive effect (%)</v>
      </c>
      <c r="IY96" s="723">
        <f>IY94/IY93</f>
        <v>1.0395010395010396E-3</v>
      </c>
      <c r="IZ96" s="723">
        <f>IZ94/IZ93</f>
        <v>0</v>
      </c>
      <c r="JA96" s="723">
        <f>JA94/JA93</f>
        <v>1.0615711252653928E-3</v>
      </c>
      <c r="JB96" s="723">
        <f>JB94/JB93</f>
        <v>0</v>
      </c>
      <c r="JC96" s="723">
        <f>JC94/JC93</f>
        <v>1.0559662090813093E-3</v>
      </c>
      <c r="JE96" s="137" t="str">
        <f>$B$96</f>
        <v>Dilutive effect (%)</v>
      </c>
      <c r="JF96" s="723">
        <f>JF94/JF93</f>
        <v>2.1574973031283709E-3</v>
      </c>
      <c r="JG96" s="723">
        <f>JG94/JG93</f>
        <v>4.3478260869565218E-3</v>
      </c>
      <c r="JH96" s="723">
        <f>JH94/JH93</f>
        <v>4.434589800443459E-3</v>
      </c>
      <c r="JI96" s="723">
        <f>JI94/JI93</f>
        <v>0</v>
      </c>
      <c r="JJ96" s="723">
        <f>JJ94/JJ93</f>
        <v>3.2930845225027441E-3</v>
      </c>
      <c r="JL96" s="137" t="str">
        <f>$B$96</f>
        <v>Dilutive effect (%)</v>
      </c>
      <c r="JM96" s="723">
        <f>JM94/JM93</f>
        <v>3.3898305084745762E-3</v>
      </c>
      <c r="JN96" s="723">
        <f>JN94/JN93</f>
        <v>4.6296296296296294E-3</v>
      </c>
      <c r="JO96" s="723">
        <f>JO94/JO93</f>
        <v>4.7058823529411761E-3</v>
      </c>
      <c r="JP96" s="723">
        <f>JP94/JP93</f>
        <v>0</v>
      </c>
      <c r="JQ96" s="723">
        <f>JQ94/JQ93</f>
        <v>4.6674445740956822E-3</v>
      </c>
      <c r="JS96" s="137" t="str">
        <f>$B$96</f>
        <v>Dilutive effect (%)</v>
      </c>
      <c r="JT96" s="723">
        <f>JT94/JT93</f>
        <v>3.6855036855036856E-3</v>
      </c>
      <c r="JU96" s="723">
        <f>JU94/JU93</f>
        <v>2.4844720496894411E-3</v>
      </c>
      <c r="JV96" s="723">
        <f>JV94/JV93</f>
        <v>2.5316455696202532E-3</v>
      </c>
      <c r="JW96" s="723">
        <f>JW94/JW93</f>
        <v>0</v>
      </c>
      <c r="JX96" s="723">
        <f>JX94/JX93</f>
        <v>2.5125628140703518E-3</v>
      </c>
      <c r="JZ96" s="137" t="str">
        <f>$B$96</f>
        <v>Dilutive effect (%)</v>
      </c>
      <c r="KA96" s="723">
        <f>KA94/KA93</f>
        <v>1.2953367875647669E-3</v>
      </c>
      <c r="KB96" s="723">
        <f>KB94/KB93</f>
        <v>1.3054830287206266E-3</v>
      </c>
      <c r="KC96" s="723">
        <f>KC94/KC93</f>
        <v>2.6143790849673201E-3</v>
      </c>
      <c r="KD96" s="723">
        <f>KD94/KD93</f>
        <v>1.30718954248366E-3</v>
      </c>
      <c r="KE96" s="723">
        <f>KE94/KE93</f>
        <v>1.3037809647979139E-3</v>
      </c>
      <c r="KG96" s="137" t="str">
        <f>$B$96</f>
        <v>Dilutive effect (%)</v>
      </c>
      <c r="KH96" s="723">
        <f>KH94/KH93</f>
        <v>1.3140604467805519E-3</v>
      </c>
      <c r="KI96" s="723">
        <f>KI94/KI93</f>
        <v>1.3204225352112676E-3</v>
      </c>
      <c r="KJ96" s="723">
        <f>KJ94/KJ93</f>
        <v>1.7873100983020554E-3</v>
      </c>
      <c r="KK96" s="723">
        <f>KK94/KK93</f>
        <v>1.8075011296882061E-3</v>
      </c>
      <c r="KL96" s="723">
        <f>KL94/KL93</f>
        <v>1.554519209415945E-3</v>
      </c>
      <c r="KN96" s="137" t="str">
        <f>$B$96</f>
        <v>Dilutive effect (%)</v>
      </c>
      <c r="KO96" s="723">
        <f>KO94/KO93</f>
        <v>1.8273184102329831E-3</v>
      </c>
      <c r="KP96" s="723">
        <f>KP94/KP93</f>
        <v>2.3169601482854493E-3</v>
      </c>
      <c r="KQ96" s="723">
        <f>KQ94/KQ93</f>
        <v>1.885014137606032E-3</v>
      </c>
      <c r="KR96" s="723">
        <f>KR94/KR93</f>
        <v>1.9221528111484864E-3</v>
      </c>
      <c r="KS96" s="723">
        <f>KS94/KS93</f>
        <v>2.3408239700374533E-3</v>
      </c>
      <c r="KU96" s="137" t="str">
        <f>$B$96</f>
        <v>Dilutive effect (%)</v>
      </c>
      <c r="KV96" s="723">
        <f>KV94/KV93</f>
        <v>1.9474196689386564E-3</v>
      </c>
      <c r="KW96" s="723">
        <f>KW94/KW93</f>
        <v>2.4752475247524753E-3</v>
      </c>
      <c r="KX96" s="723">
        <f>KX94/KX93</f>
        <v>2.5075225677031092E-3</v>
      </c>
      <c r="KY96" s="723">
        <f>KY94/KY93</f>
        <v>5.0813008130081306E-4</v>
      </c>
      <c r="KZ96" s="723">
        <f>KZ94/KZ93</f>
        <v>2.4900398406374502E-3</v>
      </c>
      <c r="LB96" s="137" t="str">
        <f>$B$96</f>
        <v>Dilutive effect (%)</v>
      </c>
      <c r="LC96" s="723">
        <f>LC94/LC93</f>
        <v>2.0429009193054137E-3</v>
      </c>
      <c r="LD96" s="723">
        <f>LD94/LD93</f>
        <v>2.05761316872428E-3</v>
      </c>
      <c r="LE96" s="723">
        <f>LE94/LE93</f>
        <v>2.0661157024793389E-3</v>
      </c>
      <c r="LF96" s="723">
        <f>LF94/LF93</f>
        <v>2.0865936358894104E-3</v>
      </c>
      <c r="LG96" s="723">
        <f>LG94/LG93</f>
        <v>2.0631850419084463E-3</v>
      </c>
      <c r="LI96" s="137" t="str">
        <f>$B$96</f>
        <v>Dilutive effect (%)</v>
      </c>
      <c r="LJ96" s="723">
        <f>LJ94/LJ93</f>
        <v>1.0582010582010583E-3</v>
      </c>
      <c r="LK96" s="723">
        <f t="shared" ref="LK96:LN96" si="171">LK94/LK93</f>
        <v>1.0712372790573112E-3</v>
      </c>
      <c r="LL96" s="723">
        <f t="shared" si="171"/>
        <v>1.6094420600858369E-3</v>
      </c>
      <c r="LM96" s="723">
        <f t="shared" si="171"/>
        <v>1.6120365394948952E-3</v>
      </c>
      <c r="LN96" s="723">
        <f t="shared" si="171"/>
        <v>1.6038492381716118E-3</v>
      </c>
      <c r="LO96" s="717"/>
      <c r="LP96" s="137" t="str">
        <f>$B$96</f>
        <v>Dilutive effect (%)</v>
      </c>
      <c r="LQ96" s="723">
        <f t="shared" ref="LQ96:LU96" si="172">LQ94/LQ93</f>
        <v>1.6195369020711797E-3</v>
      </c>
      <c r="LR96" s="723">
        <f t="shared" si="172"/>
        <v>1.6340925041867858E-3</v>
      </c>
      <c r="LS96" s="723">
        <f t="shared" si="172"/>
        <v>1.6493653927280101E-3</v>
      </c>
      <c r="LT96" s="723">
        <f t="shared" si="172"/>
        <v>1.6649264679481433E-3</v>
      </c>
      <c r="LU96" s="723">
        <f t="shared" si="172"/>
        <v>1.6418057337097959E-3</v>
      </c>
      <c r="LV96" s="717"/>
      <c r="LW96" s="137" t="str">
        <f>$B$96</f>
        <v>Dilutive effect (%)</v>
      </c>
      <c r="LX96" s="723">
        <f t="shared" ref="LX96:MB96" si="173">LX94/LX93</f>
        <v>1.6807839642995119E-3</v>
      </c>
      <c r="LY96" s="723">
        <f t="shared" si="173"/>
        <v>1.6969464329653985E-3</v>
      </c>
      <c r="LZ96" s="723">
        <f t="shared" si="173"/>
        <v>1.7134227572363711E-3</v>
      </c>
      <c r="MA96" s="723">
        <f t="shared" si="173"/>
        <v>1.7302221687911673E-3</v>
      </c>
      <c r="MB96" s="723">
        <f t="shared" si="173"/>
        <v>1.7051447945329195E-3</v>
      </c>
      <c r="MC96" s="717"/>
      <c r="MD96" s="137" t="str">
        <f>$B$96</f>
        <v>Dilutive effect (%)</v>
      </c>
      <c r="ME96" s="723">
        <f t="shared" ref="ME96:MI96" si="174">ME94/ME93</f>
        <v>1.7476087392434877E-3</v>
      </c>
      <c r="MF96" s="723">
        <f t="shared" si="174"/>
        <v>1.7656080260053861E-3</v>
      </c>
      <c r="MG96" s="723">
        <f t="shared" si="174"/>
        <v>1.7839819341287397E-3</v>
      </c>
      <c r="MH96" s="723">
        <f t="shared" si="174"/>
        <v>1.8027422821644899E-3</v>
      </c>
      <c r="MI96" s="723">
        <f t="shared" si="174"/>
        <v>1.7747474252081191E-3</v>
      </c>
      <c r="MJ96" s="717"/>
    </row>
    <row r="97" spans="1:348" x14ac:dyDescent="0.4">
      <c r="B97" s="137"/>
      <c r="BQ97" s="137"/>
      <c r="BX97" s="137"/>
      <c r="CE97" s="137"/>
      <c r="CL97" s="137"/>
      <c r="CS97" s="137"/>
      <c r="CZ97" s="137"/>
      <c r="DG97" s="137"/>
      <c r="DN97" s="137"/>
      <c r="DU97" s="137"/>
      <c r="EB97" s="137"/>
      <c r="EI97" s="137"/>
      <c r="EP97" s="137"/>
      <c r="EW97" s="137"/>
      <c r="FD97" s="137"/>
      <c r="FK97" s="137"/>
      <c r="FR97" s="137"/>
      <c r="FY97" s="137"/>
      <c r="GF97" s="137"/>
      <c r="GM97" s="137"/>
      <c r="GT97" s="137"/>
      <c r="HA97" s="137"/>
      <c r="HH97" s="137"/>
      <c r="HO97" s="137"/>
      <c r="HV97" s="137"/>
      <c r="IC97" s="137"/>
      <c r="IJ97" s="137"/>
      <c r="IQ97" s="137"/>
      <c r="IX97" s="137"/>
      <c r="JE97" s="137"/>
      <c r="JL97" s="137"/>
      <c r="JS97" s="137"/>
      <c r="JZ97" s="137"/>
      <c r="KG97" s="137"/>
      <c r="KN97" s="137"/>
      <c r="KU97" s="137"/>
      <c r="LB97" s="137"/>
      <c r="LI97" s="137"/>
      <c r="LO97" s="717"/>
      <c r="LP97" s="137"/>
      <c r="LV97" s="717"/>
      <c r="LW97" s="137"/>
      <c r="MC97" s="717"/>
      <c r="MD97" s="137"/>
      <c r="MJ97" s="717"/>
    </row>
    <row r="98" spans="1:348" ht="13.5" thickBot="1" x14ac:dyDescent="0.45">
      <c r="A98" s="48"/>
      <c r="B98" s="699" t="s">
        <v>554</v>
      </c>
      <c r="C98" s="540"/>
      <c r="D98" s="540"/>
      <c r="E98" s="540"/>
      <c r="F98" s="540"/>
      <c r="G98" s="540"/>
      <c r="H98" s="540"/>
      <c r="I98" s="540"/>
      <c r="J98" s="540"/>
      <c r="K98" s="540"/>
      <c r="L98" s="540"/>
      <c r="M98" s="540"/>
      <c r="N98" s="540"/>
      <c r="O98" s="540"/>
      <c r="P98" s="540"/>
      <c r="Q98" s="540"/>
      <c r="R98" s="540"/>
      <c r="S98" s="540"/>
      <c r="T98" s="540"/>
      <c r="U98" s="540"/>
      <c r="V98" s="540"/>
      <c r="W98" s="540"/>
      <c r="X98" s="540"/>
      <c r="Y98" s="540"/>
      <c r="Z98" s="540"/>
      <c r="AA98" s="540"/>
      <c r="AB98" s="540"/>
      <c r="AC98" s="540"/>
      <c r="AD98" s="540"/>
      <c r="AE98" s="540"/>
      <c r="AF98" s="540"/>
      <c r="AG98" s="540"/>
      <c r="AH98" s="540"/>
      <c r="AI98" s="540"/>
      <c r="AJ98" s="540"/>
      <c r="AK98" s="540"/>
      <c r="AL98" s="540"/>
      <c r="AM98" s="540"/>
      <c r="AN98" s="540"/>
      <c r="AO98" s="540"/>
      <c r="AP98" s="540"/>
      <c r="AQ98" s="540"/>
      <c r="AR98" s="540"/>
      <c r="AS98" s="540"/>
      <c r="AT98" s="540"/>
      <c r="AU98" s="540"/>
      <c r="AV98" s="540"/>
      <c r="AW98" s="540"/>
      <c r="AX98" s="540"/>
      <c r="AY98" s="540"/>
      <c r="AZ98" s="540"/>
      <c r="BA98" s="540"/>
      <c r="BB98" s="540"/>
      <c r="BC98" s="540"/>
      <c r="BD98" s="540"/>
      <c r="BE98" s="540"/>
      <c r="BF98" s="540"/>
      <c r="BG98" s="540"/>
      <c r="BH98" s="540"/>
      <c r="BI98" s="540"/>
      <c r="BJ98" s="540"/>
      <c r="BK98" s="540"/>
      <c r="BL98" s="540"/>
      <c r="BM98" s="540"/>
      <c r="BN98" s="540"/>
      <c r="BO98" s="540"/>
      <c r="BQ98" s="699" t="str">
        <f>$B$98</f>
        <v>Repurchases ($MM)</v>
      </c>
      <c r="BR98" s="540"/>
      <c r="BS98" s="540"/>
      <c r="BT98" s="540"/>
      <c r="BU98" s="540"/>
      <c r="BV98" s="540"/>
      <c r="BX98" s="699" t="str">
        <f>$B$98</f>
        <v>Repurchases ($MM)</v>
      </c>
      <c r="BY98" s="540"/>
      <c r="BZ98" s="540"/>
      <c r="CA98" s="540"/>
      <c r="CB98" s="540"/>
      <c r="CC98" s="540"/>
      <c r="CE98" s="699" t="str">
        <f>$B$98</f>
        <v>Repurchases ($MM)</v>
      </c>
      <c r="CF98" s="540"/>
      <c r="CG98" s="540"/>
      <c r="CH98" s="540"/>
      <c r="CI98" s="540"/>
      <c r="CJ98" s="540"/>
      <c r="CL98" s="699" t="str">
        <f>$B$98</f>
        <v>Repurchases ($MM)</v>
      </c>
      <c r="CM98" s="540"/>
      <c r="CN98" s="540"/>
      <c r="CO98" s="540"/>
      <c r="CP98" s="540"/>
      <c r="CQ98" s="540"/>
      <c r="CS98" s="699" t="str">
        <f>$B$98</f>
        <v>Repurchases ($MM)</v>
      </c>
      <c r="CT98" s="540"/>
      <c r="CU98" s="540"/>
      <c r="CV98" s="540"/>
      <c r="CW98" s="540"/>
      <c r="CX98" s="540"/>
      <c r="CZ98" s="699" t="str">
        <f>$B$98</f>
        <v>Repurchases ($MM)</v>
      </c>
      <c r="DA98" s="540"/>
      <c r="DB98" s="540"/>
      <c r="DC98" s="540"/>
      <c r="DD98" s="540"/>
      <c r="DE98" s="540"/>
      <c r="DG98" s="699" t="str">
        <f>$B$98</f>
        <v>Repurchases ($MM)</v>
      </c>
      <c r="DH98" s="540"/>
      <c r="DI98" s="540"/>
      <c r="DJ98" s="540"/>
      <c r="DK98" s="540"/>
      <c r="DL98" s="540"/>
      <c r="DN98" s="699" t="str">
        <f>$B$98</f>
        <v>Repurchases ($MM)</v>
      </c>
      <c r="DO98" s="540"/>
      <c r="DP98" s="540"/>
      <c r="DQ98" s="540"/>
      <c r="DR98" s="540"/>
      <c r="DS98" s="540"/>
      <c r="DU98" s="699" t="str">
        <f>$B$98</f>
        <v>Repurchases ($MM)</v>
      </c>
      <c r="DV98" s="540"/>
      <c r="DW98" s="540"/>
      <c r="DX98" s="540"/>
      <c r="DY98" s="540"/>
      <c r="DZ98" s="540"/>
      <c r="EB98" s="699" t="str">
        <f>$B$98</f>
        <v>Repurchases ($MM)</v>
      </c>
      <c r="EC98" s="540"/>
      <c r="ED98" s="540"/>
      <c r="EE98" s="540"/>
      <c r="EF98" s="540"/>
      <c r="EG98" s="540"/>
      <c r="EI98" s="699" t="str">
        <f>$B$98</f>
        <v>Repurchases ($MM)</v>
      </c>
      <c r="EJ98" s="540"/>
      <c r="EK98" s="540"/>
      <c r="EL98" s="540"/>
      <c r="EM98" s="540"/>
      <c r="EN98" s="540"/>
      <c r="EP98" s="699" t="str">
        <f>$B$98</f>
        <v>Repurchases ($MM)</v>
      </c>
      <c r="EQ98" s="540"/>
      <c r="ER98" s="540"/>
      <c r="ES98" s="540"/>
      <c r="ET98" s="540"/>
      <c r="EU98" s="540"/>
      <c r="EW98" s="699" t="str">
        <f>$B$98</f>
        <v>Repurchases ($MM)</v>
      </c>
      <c r="EX98" s="540"/>
      <c r="EY98" s="540"/>
      <c r="EZ98" s="540"/>
      <c r="FA98" s="540"/>
      <c r="FB98" s="540"/>
      <c r="FD98" s="699" t="str">
        <f>$B$98</f>
        <v>Repurchases ($MM)</v>
      </c>
      <c r="FE98" s="540"/>
      <c r="FF98" s="540"/>
      <c r="FG98" s="540"/>
      <c r="FH98" s="540"/>
      <c r="FI98" s="540"/>
      <c r="FK98" s="699" t="str">
        <f>$B$98</f>
        <v>Repurchases ($MM)</v>
      </c>
      <c r="FL98" s="540"/>
      <c r="FM98" s="540"/>
      <c r="FN98" s="540"/>
      <c r="FO98" s="540"/>
      <c r="FP98" s="540"/>
      <c r="FR98" s="699" t="str">
        <f>$B$98</f>
        <v>Repurchases ($MM)</v>
      </c>
      <c r="FS98" s="540"/>
      <c r="FT98" s="540"/>
      <c r="FU98" s="540"/>
      <c r="FV98" s="540"/>
      <c r="FW98" s="540"/>
      <c r="FY98" s="699" t="str">
        <f>$B$98</f>
        <v>Repurchases ($MM)</v>
      </c>
      <c r="FZ98" s="724">
        <f>CF!AQ55</f>
        <v>0</v>
      </c>
      <c r="GA98" s="724">
        <f>CF!AR55</f>
        <v>0</v>
      </c>
      <c r="GB98" s="724">
        <f>CF!AS55</f>
        <v>0</v>
      </c>
      <c r="GC98" s="724">
        <f>CF!AT55</f>
        <v>0</v>
      </c>
      <c r="GD98" s="724">
        <f>CF!AU55</f>
        <v>0</v>
      </c>
      <c r="GF98" s="699" t="str">
        <f>$B$98</f>
        <v>Repurchases ($MM)</v>
      </c>
      <c r="GG98" s="724">
        <f>CF!AX55</f>
        <v>0</v>
      </c>
      <c r="GH98" s="724">
        <f>CF!AY55</f>
        <v>-149</v>
      </c>
      <c r="GI98" s="724">
        <f>CF!AZ55</f>
        <v>-273</v>
      </c>
      <c r="GJ98" s="724">
        <f>CF!BA55</f>
        <v>-43</v>
      </c>
      <c r="GK98" s="724">
        <f>CF!BB55</f>
        <v>-465</v>
      </c>
      <c r="GM98" s="699" t="str">
        <f>$B$98</f>
        <v>Repurchases ($MM)</v>
      </c>
      <c r="GN98" s="724">
        <f>CF!BE55</f>
        <v>-179</v>
      </c>
      <c r="GO98" s="724">
        <f>CF!BF55</f>
        <v>-548</v>
      </c>
      <c r="GP98" s="724">
        <f>CF!BG55</f>
        <v>-882</v>
      </c>
      <c r="GQ98" s="724">
        <f>CF!BH55</f>
        <v>-565</v>
      </c>
      <c r="GR98" s="724">
        <f>CF!BI55</f>
        <v>-2174</v>
      </c>
      <c r="GT98" s="699" t="str">
        <f>$B$98</f>
        <v>Repurchases ($MM)</v>
      </c>
      <c r="GU98" s="724">
        <f>CF!BL55</f>
        <v>-300</v>
      </c>
      <c r="GV98" s="724">
        <f>CF!BM55</f>
        <v>-153</v>
      </c>
      <c r="GW98" s="724">
        <f>CF!BN55</f>
        <v>-854</v>
      </c>
      <c r="GX98" s="724">
        <f>CF!BO55</f>
        <v>-263</v>
      </c>
      <c r="GY98" s="724">
        <f>CF!BP55</f>
        <v>-1570</v>
      </c>
      <c r="HA98" s="699" t="str">
        <f>$B$98</f>
        <v>Repurchases ($MM)</v>
      </c>
      <c r="HB98" s="724">
        <f>CF!BS55</f>
        <v>0</v>
      </c>
      <c r="HC98" s="724">
        <f>CF!BT55</f>
        <v>0</v>
      </c>
      <c r="HD98" s="724">
        <f>CF!BU55</f>
        <v>0</v>
      </c>
      <c r="HE98" s="724">
        <f>CF!BV55</f>
        <v>0</v>
      </c>
      <c r="HF98" s="724">
        <f>CF!BW55</f>
        <v>0</v>
      </c>
      <c r="HH98" s="699" t="str">
        <f>$B$98</f>
        <v>Repurchases ($MM)</v>
      </c>
      <c r="HI98" s="724">
        <f>CF!BZ55</f>
        <v>-229</v>
      </c>
      <c r="HJ98" s="724">
        <f>CF!CA55</f>
        <v>-594</v>
      </c>
      <c r="HK98" s="724">
        <f>CF!CB55</f>
        <v>-300</v>
      </c>
      <c r="HL98" s="724">
        <f>CF!CC55</f>
        <v>-329</v>
      </c>
      <c r="HM98" s="724">
        <f>CF!CD55</f>
        <v>-1452</v>
      </c>
      <c r="HO98" s="699" t="str">
        <f>$B$98</f>
        <v>Repurchases ($MM)</v>
      </c>
      <c r="HP98" s="724">
        <f>CF!CG55</f>
        <v>-300</v>
      </c>
      <c r="HQ98" s="724">
        <f>CF!CH55</f>
        <v>-228</v>
      </c>
      <c r="HR98" s="724">
        <f>CF!CI55</f>
        <v>-1036</v>
      </c>
      <c r="HS98" s="724">
        <f>CF!CJ55</f>
        <v>0</v>
      </c>
      <c r="HT98" s="724">
        <f>CF!CK55</f>
        <v>-1564</v>
      </c>
      <c r="HV98" s="699" t="str">
        <f>$B$98</f>
        <v>Repurchases ($MM)</v>
      </c>
      <c r="HW98" s="724">
        <f>CF!CN55</f>
        <v>-300</v>
      </c>
      <c r="HX98" s="724">
        <f>CF!CO55</f>
        <v>0</v>
      </c>
      <c r="HY98" s="724">
        <f>CF!CP55</f>
        <v>-200</v>
      </c>
      <c r="HZ98" s="724">
        <f>CF!CQ55</f>
        <v>-234</v>
      </c>
      <c r="IA98" s="724">
        <f>CF!CR55</f>
        <v>-734</v>
      </c>
      <c r="IC98" s="699" t="str">
        <f>$B$98</f>
        <v>Repurchases ($MM)</v>
      </c>
      <c r="ID98" s="724">
        <f>CF!CU55</f>
        <v>0</v>
      </c>
      <c r="IE98" s="724">
        <f>CF!CV55</f>
        <v>-95</v>
      </c>
      <c r="IF98" s="724">
        <f>CF!CW55</f>
        <v>-129</v>
      </c>
      <c r="IG98" s="724">
        <f>CF!CX55</f>
        <v>-129</v>
      </c>
      <c r="IH98" s="724">
        <f>CF!CY55</f>
        <v>-353</v>
      </c>
      <c r="IJ98" s="699" t="str">
        <f>$B$98</f>
        <v>Repurchases ($MM)</v>
      </c>
      <c r="IK98" s="724">
        <f>CF!DB55</f>
        <v>-127</v>
      </c>
      <c r="IL98" s="724">
        <f>CF!DC55</f>
        <v>-130</v>
      </c>
      <c r="IM98" s="724">
        <f>CF!DD55</f>
        <v>-131</v>
      </c>
      <c r="IN98" s="724">
        <f>CF!DE55</f>
        <v>-129</v>
      </c>
      <c r="IO98" s="724">
        <f>CF!DF55</f>
        <v>-517</v>
      </c>
      <c r="IQ98" s="699" t="str">
        <f>$B$98</f>
        <v>Repurchases ($MM)</v>
      </c>
      <c r="IR98" s="724">
        <f>CF!DI55</f>
        <v>-127</v>
      </c>
      <c r="IS98" s="724">
        <f>CF!DJ55</f>
        <v>-157</v>
      </c>
      <c r="IT98" s="724">
        <f>CF!DK55</f>
        <v>-262</v>
      </c>
      <c r="IU98" s="724">
        <f>CF!DL55</f>
        <v>-258</v>
      </c>
      <c r="IV98" s="724">
        <f>CF!DM55</f>
        <v>-804</v>
      </c>
      <c r="IX98" s="699" t="str">
        <f>$B$98</f>
        <v>Repurchases ($MM)</v>
      </c>
      <c r="IY98" s="724">
        <f>CF!DP55</f>
        <v>-249</v>
      </c>
      <c r="IZ98" s="724">
        <f>CF!DQ55</f>
        <v>-266</v>
      </c>
      <c r="JA98" s="724">
        <f>CF!DR55</f>
        <v>-263</v>
      </c>
      <c r="JB98" s="724">
        <f>CF!DS55</f>
        <v>-278</v>
      </c>
      <c r="JC98" s="724">
        <f>CF!DT55</f>
        <v>-1056</v>
      </c>
      <c r="JE98" s="699" t="str">
        <f>$B$98</f>
        <v>Repurchases ($MM)</v>
      </c>
      <c r="JF98" s="724">
        <f>CF!DW55</f>
        <v>-258</v>
      </c>
      <c r="JG98" s="724">
        <f>CF!DX55</f>
        <v>-499</v>
      </c>
      <c r="JH98" s="724">
        <f>CF!DY55</f>
        <v>-1006</v>
      </c>
      <c r="JI98" s="724">
        <f>CF!DZ55</f>
        <v>-207</v>
      </c>
      <c r="JJ98" s="724">
        <f>CF!EA55</f>
        <v>-1970</v>
      </c>
      <c r="JL98" s="699" t="str">
        <f>$B$98</f>
        <v>Repurchases ($MM)</v>
      </c>
      <c r="JM98" s="724">
        <f>CF!ED55</f>
        <v>-836</v>
      </c>
      <c r="JN98" s="724">
        <f>CF!EE55</f>
        <v>-974</v>
      </c>
      <c r="JO98" s="724">
        <f>CF!EF55</f>
        <v>-1006</v>
      </c>
      <c r="JP98" s="724">
        <f>CF!EG55</f>
        <v>-1855</v>
      </c>
      <c r="JQ98" s="724">
        <f>CF!EH55</f>
        <v>-4671</v>
      </c>
      <c r="JS98" s="699" t="str">
        <f>$B$98</f>
        <v>Repurchases ($MM)</v>
      </c>
      <c r="JT98" s="724">
        <f>CF!EK55</f>
        <v>-796</v>
      </c>
      <c r="JU98" s="724">
        <f>CF!EL55</f>
        <v>-860</v>
      </c>
      <c r="JV98" s="724">
        <f>CF!EM55</f>
        <v>-1111</v>
      </c>
      <c r="JW98" s="724">
        <f>CF!EN55</f>
        <v>-606</v>
      </c>
      <c r="JX98" s="724">
        <f>CF!EO55</f>
        <v>-3373</v>
      </c>
      <c r="JZ98" s="699" t="str">
        <f>$B$98</f>
        <v>Repurchases ($MM)</v>
      </c>
      <c r="KA98" s="724">
        <f>CF!ER55</f>
        <v>-577</v>
      </c>
      <c r="KB98" s="724">
        <f>CF!ES55</f>
        <v>-39</v>
      </c>
      <c r="KC98" s="724">
        <f>CF!ET55</f>
        <v>-48</v>
      </c>
      <c r="KD98" s="724">
        <f>CF!EU55</f>
        <v>-203</v>
      </c>
      <c r="KE98" s="724">
        <f>CF!EV55</f>
        <v>-867</v>
      </c>
      <c r="KG98" s="699" t="str">
        <f>$B$98</f>
        <v>Repurchases ($MM)</v>
      </c>
      <c r="KH98" s="724">
        <f>CF!EY55</f>
        <v>-551</v>
      </c>
      <c r="KI98" s="724">
        <f>CF!EZ55</f>
        <v>-701</v>
      </c>
      <c r="KJ98" s="724">
        <f>CF!FA55</f>
        <v>-1064</v>
      </c>
      <c r="KK98" s="724">
        <f>CF!FB55</f>
        <v>-570</v>
      </c>
      <c r="KL98" s="724">
        <f>CF!FC55</f>
        <v>-2886</v>
      </c>
      <c r="KN98" s="699" t="str">
        <f>$B$98</f>
        <v>Repurchases ($MM)</v>
      </c>
      <c r="KO98" s="724">
        <f>CF!FF55</f>
        <v>-1016</v>
      </c>
      <c r="KP98" s="724">
        <f>CF!FG55</f>
        <v>-1499</v>
      </c>
      <c r="KQ98" s="724">
        <f>CF!FH55</f>
        <v>-1195</v>
      </c>
      <c r="KR98" s="724">
        <f>CF!FI55</f>
        <v>-1021</v>
      </c>
      <c r="KS98" s="724">
        <f>CF!FJ55</f>
        <v>-4731</v>
      </c>
      <c r="KU98" s="699" t="str">
        <f>$B$98</f>
        <v>Repurchases ($MM)</v>
      </c>
      <c r="KV98" s="724">
        <f>CF!FM55</f>
        <v>-1067</v>
      </c>
      <c r="KW98" s="724">
        <f>CF!FN55</f>
        <v>-863</v>
      </c>
      <c r="KX98" s="724">
        <f>CF!FO55</f>
        <v>-971</v>
      </c>
      <c r="KY98" s="724">
        <f>CF!FP55</f>
        <v>-581</v>
      </c>
      <c r="KZ98" s="724">
        <f>CF!FQ55</f>
        <v>-3482</v>
      </c>
      <c r="LB98" s="699" t="str">
        <f>$B$98</f>
        <v>Repurchases ($MM)</v>
      </c>
      <c r="LC98" s="724">
        <f>CF!FT55</f>
        <v>-247</v>
      </c>
      <c r="LD98" s="724">
        <f>CF!FU55</f>
        <v>-563</v>
      </c>
      <c r="LE98" s="724">
        <f>CF!FV55</f>
        <v>-402</v>
      </c>
      <c r="LF98" s="724">
        <f>CF!FW55</f>
        <v>-1025</v>
      </c>
      <c r="LG98" s="724">
        <f>CF!FX55</f>
        <v>-2237</v>
      </c>
      <c r="LH98" s="701"/>
      <c r="LI98" s="699" t="str">
        <f>$B$98</f>
        <v>Repurchases ($MM)</v>
      </c>
      <c r="LJ98" s="724">
        <f>CF!GA55</f>
        <v>-751</v>
      </c>
      <c r="LK98" s="724">
        <f>CF!GB55</f>
        <v>-421</v>
      </c>
      <c r="LL98" s="724">
        <f>CF!GC55</f>
        <v>-112</v>
      </c>
      <c r="LM98" s="724">
        <f>CF!GD55</f>
        <v>-112</v>
      </c>
      <c r="LN98" s="724">
        <f>CF!GE55</f>
        <v>-1396</v>
      </c>
      <c r="LO98" s="740"/>
      <c r="LP98" s="699" t="str">
        <f>$B$98</f>
        <v>Repurchases ($MM)</v>
      </c>
      <c r="LQ98" s="724">
        <f>CF!GH55</f>
        <v>-629</v>
      </c>
      <c r="LR98" s="724">
        <f>CF!GI55</f>
        <v>-629</v>
      </c>
      <c r="LS98" s="724">
        <f>CF!GJ55</f>
        <v>-666</v>
      </c>
      <c r="LT98" s="724">
        <f>CF!GK55</f>
        <v>-666</v>
      </c>
      <c r="LU98" s="724">
        <f>CF!GL55</f>
        <v>-2590</v>
      </c>
      <c r="LV98" s="740"/>
      <c r="LW98" s="699" t="str">
        <f>$B$98</f>
        <v>Repurchases ($MM)</v>
      </c>
      <c r="LX98" s="724">
        <f>CF!GO55</f>
        <v>-720</v>
      </c>
      <c r="LY98" s="724">
        <f>CF!GP55</f>
        <v>-720</v>
      </c>
      <c r="LZ98" s="724">
        <f>CF!GQ55</f>
        <v>-720</v>
      </c>
      <c r="MA98" s="724">
        <f>CF!GR55</f>
        <v>-720</v>
      </c>
      <c r="MB98" s="724">
        <f>CF!GS55</f>
        <v>-2880</v>
      </c>
      <c r="MC98" s="740"/>
      <c r="MD98" s="699" t="str">
        <f>$B$98</f>
        <v>Repurchases ($MM)</v>
      </c>
      <c r="ME98" s="724">
        <f>CF!GV55</f>
        <v>-740</v>
      </c>
      <c r="MF98" s="724">
        <f>CF!GW55</f>
        <v>-740</v>
      </c>
      <c r="MG98" s="724">
        <f>CF!GX55</f>
        <v>-740</v>
      </c>
      <c r="MH98" s="724">
        <f>CF!GY55</f>
        <v>-740</v>
      </c>
      <c r="MI98" s="724">
        <f>CF!GZ55</f>
        <v>-2960</v>
      </c>
      <c r="MJ98" s="740"/>
    </row>
    <row r="100" spans="1:348" x14ac:dyDescent="0.4">
      <c r="LC100" s="623"/>
      <c r="LD100" s="623"/>
    </row>
    <row r="104" spans="1:348" x14ac:dyDescent="0.4">
      <c r="LN104" s="756"/>
      <c r="LU104" s="756"/>
      <c r="MB104" s="756"/>
    </row>
    <row r="106" spans="1:348" x14ac:dyDescent="0.4">
      <c r="LU106" s="757"/>
      <c r="MB106" s="757"/>
    </row>
  </sheetData>
  <pageMargins left="0.7" right="0.7" top="0.75" bottom="0.75" header="0.3" footer="0.3"/>
  <pageSetup scale="10" orientation="portrait" r:id="rId1"/>
  <ignoredErrors>
    <ignoredError sqref="HW49:IA53 IH49:IH53 JT50:JU53 IY49:JC53 JT49 KC52:KD52 KC49:KC51 KC53 HB49:HF53 GD52:GD53 GD49:GD50 GG49:GK53 GN49:GR53 GU49:GY53 HM49:HM53 HP49:HT53 IO49:IO53 IR49:IV53 JF49:JJ53 JM49:JQ53" formula="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51ACA-603E-48EE-AF9E-CE536B9F9C67}">
  <sheetPr>
    <tabColor rgb="FFC00000"/>
  </sheetPr>
  <dimension ref="A4:MH569"/>
  <sheetViews>
    <sheetView showGridLines="0" tabSelected="1" topLeftCell="LH1" zoomScale="85" zoomScaleNormal="85" workbookViewId="0">
      <selection activeCell="LO37" sqref="LO37:LR37"/>
    </sheetView>
  </sheetViews>
  <sheetFormatPr defaultColWidth="9.1328125" defaultRowHeight="13.9" outlineLevelRow="1" outlineLevelCol="1" x14ac:dyDescent="0.4"/>
  <cols>
    <col min="1" max="1" width="4.3984375" style="77" customWidth="1"/>
    <col min="2" max="2" width="54.59765625" style="77" bestFit="1" customWidth="1"/>
    <col min="3" max="3" width="8.1328125" style="77" bestFit="1" customWidth="1"/>
    <col min="4" max="4" width="7.3984375" style="77" hidden="1" customWidth="1" outlineLevel="1"/>
    <col min="5" max="13" width="9.86328125" style="77" hidden="1" customWidth="1" outlineLevel="1"/>
    <col min="14" max="25" width="8.59765625" style="77" hidden="1" customWidth="1" outlineLevel="1"/>
    <col min="26" max="30" width="8.73046875" style="77" hidden="1" customWidth="1" outlineLevel="1"/>
    <col min="31" max="31" width="9.265625" style="77" bestFit="1" customWidth="1" collapsed="1"/>
    <col min="32" max="32" width="10.1328125" style="77" bestFit="1" customWidth="1"/>
    <col min="33" max="33" width="11.1328125" style="77" bestFit="1" customWidth="1"/>
    <col min="34" max="34" width="9.73046875" style="77" bestFit="1" customWidth="1"/>
    <col min="35" max="39" width="11.1328125" style="77" bestFit="1" customWidth="1"/>
    <col min="40" max="42" width="10.1328125" style="77" bestFit="1" customWidth="1"/>
    <col min="43" max="43" width="11.1328125" style="77" bestFit="1" customWidth="1"/>
    <col min="44" max="46" width="10.1328125" style="77" bestFit="1" customWidth="1"/>
    <col min="47" max="48" width="11.1328125" style="77" bestFit="1" customWidth="1"/>
    <col min="49" max="51" width="10.1328125" style="77" bestFit="1" customWidth="1"/>
    <col min="52" max="53" width="10.1328125" style="77" customWidth="1"/>
    <col min="54" max="65" width="9.73046875" style="77" hidden="1" customWidth="1" outlineLevel="1"/>
    <col min="66" max="66" width="9.1328125" style="77" collapsed="1"/>
    <col min="67" max="67" width="54.59765625" style="77" bestFit="1" customWidth="1"/>
    <col min="68" max="68" width="11.73046875" style="77" bestFit="1" customWidth="1"/>
    <col min="69" max="69" width="12.73046875" style="77" bestFit="1" customWidth="1"/>
    <col min="70" max="70" width="13.3984375" style="77" bestFit="1" customWidth="1"/>
    <col min="71" max="71" width="11.73046875" style="77" bestFit="1" customWidth="1"/>
    <col min="72" max="72" width="12.265625" style="77" bestFit="1" customWidth="1"/>
    <col min="73" max="73" width="9.1328125" style="77"/>
    <col min="74" max="74" width="54.59765625" style="77" bestFit="1" customWidth="1"/>
    <col min="75" max="79" width="12.265625" style="77" bestFit="1" customWidth="1"/>
    <col min="80" max="80" width="9.1328125" style="77"/>
    <col min="81" max="81" width="54.59765625" style="77" bestFit="1" customWidth="1"/>
    <col min="82" max="82" width="12.265625" style="77" bestFit="1" customWidth="1"/>
    <col min="83" max="83" width="18.86328125" style="77" bestFit="1" customWidth="1"/>
    <col min="84" max="84" width="12.265625" style="77" bestFit="1" customWidth="1"/>
    <col min="85" max="85" width="15.1328125" style="77" bestFit="1" customWidth="1"/>
    <col min="86" max="86" width="12.265625" style="77" bestFit="1" customWidth="1"/>
    <col min="87" max="87" width="9.1328125" style="77"/>
    <col min="88" max="88" width="54.59765625" style="77" bestFit="1" customWidth="1"/>
    <col min="89" max="93" width="12.265625" style="77" bestFit="1" customWidth="1"/>
    <col min="94" max="94" width="9.1328125" style="77"/>
    <col min="95" max="95" width="54.59765625" style="77" bestFit="1" customWidth="1"/>
    <col min="96" max="96" width="12.265625" style="77" bestFit="1" customWidth="1"/>
    <col min="97" max="97" width="37" style="77" bestFit="1" customWidth="1"/>
    <col min="98" max="100" width="12.265625" style="77" bestFit="1" customWidth="1"/>
    <col min="101" max="101" width="9.1328125" style="77"/>
    <col min="102" max="102" width="54.59765625" style="77" bestFit="1" customWidth="1"/>
    <col min="103" max="105" width="12.265625" style="77" bestFit="1" customWidth="1"/>
    <col min="106" max="107" width="12.1328125" style="77" customWidth="1"/>
    <col min="108" max="108" width="9.1328125" style="77"/>
    <col min="109" max="109" width="54.59765625" style="77" bestFit="1" customWidth="1"/>
    <col min="110" max="114" width="12.265625" style="77" bestFit="1" customWidth="1"/>
    <col min="115" max="115" width="9.1328125" style="77"/>
    <col min="116" max="116" width="54.59765625" style="77" bestFit="1" customWidth="1"/>
    <col min="117" max="121" width="12.265625" style="77" bestFit="1" customWidth="1"/>
    <col min="122" max="122" width="9.1328125" style="77"/>
    <col min="123" max="123" width="54.59765625" style="77" bestFit="1" customWidth="1"/>
    <col min="124" max="128" width="12.265625" style="77" bestFit="1" customWidth="1"/>
    <col min="129" max="129" width="9.1328125" style="77"/>
    <col min="130" max="130" width="54.59765625" style="77" bestFit="1" customWidth="1"/>
    <col min="131" max="135" width="12.265625" style="77" bestFit="1" customWidth="1"/>
    <col min="136" max="136" width="9.1328125" style="77"/>
    <col min="137" max="137" width="54.59765625" style="77" bestFit="1" customWidth="1"/>
    <col min="138" max="142" width="12.265625" style="77" bestFit="1" customWidth="1"/>
    <col min="143" max="143" width="9.1328125" style="77"/>
    <col min="144" max="144" width="54.59765625" style="77" bestFit="1" customWidth="1"/>
    <col min="145" max="145" width="12.265625" style="77" bestFit="1" customWidth="1"/>
    <col min="146" max="148" width="11.73046875" style="77" bestFit="1" customWidth="1"/>
    <col min="149" max="149" width="12.265625" style="77" bestFit="1" customWidth="1"/>
    <col min="150" max="150" width="9.1328125" style="77"/>
    <col min="151" max="151" width="54.59765625" style="77" bestFit="1" customWidth="1"/>
    <col min="152" max="152" width="11.73046875" style="77" bestFit="1" customWidth="1"/>
    <col min="153" max="153" width="10.73046875" style="77" bestFit="1" customWidth="1"/>
    <col min="154" max="154" width="11.73046875" style="77" bestFit="1" customWidth="1"/>
    <col min="155" max="155" width="12.265625" style="77" bestFit="1" customWidth="1"/>
    <col min="156" max="156" width="11.73046875" style="77" bestFit="1" customWidth="1"/>
    <col min="157" max="157" width="9.1328125" style="77"/>
    <col min="158" max="158" width="54.59765625" style="77" bestFit="1" customWidth="1"/>
    <col min="159" max="159" width="12.265625" style="77" bestFit="1" customWidth="1"/>
    <col min="160" max="160" width="11.265625" style="77" bestFit="1" customWidth="1"/>
    <col min="161" max="163" width="12.265625" style="77" bestFit="1" customWidth="1"/>
    <col min="164" max="164" width="9.1328125" style="77"/>
    <col min="165" max="165" width="54.59765625" style="77" bestFit="1" customWidth="1"/>
    <col min="166" max="168" width="9" style="77" bestFit="1" customWidth="1"/>
    <col min="169" max="169" width="11.73046875" style="77" bestFit="1" customWidth="1"/>
    <col min="170" max="170" width="9" style="77" bestFit="1" customWidth="1"/>
    <col min="171" max="171" width="9.1328125" style="77"/>
    <col min="172" max="172" width="54.59765625" style="77" bestFit="1" customWidth="1"/>
    <col min="173" max="177" width="9" style="77" bestFit="1" customWidth="1"/>
    <col min="178" max="178" width="9.1328125" style="77"/>
    <col min="179" max="179" width="54.59765625" style="77" bestFit="1" customWidth="1"/>
    <col min="180" max="184" width="9" style="77" bestFit="1" customWidth="1"/>
    <col min="185" max="185" width="9.1328125" style="77"/>
    <col min="186" max="186" width="54.59765625" style="77" bestFit="1" customWidth="1"/>
    <col min="187" max="187" width="12.73046875" style="77" bestFit="1" customWidth="1"/>
    <col min="188" max="188" width="13.59765625" style="77" bestFit="1" customWidth="1"/>
    <col min="189" max="190" width="9" style="77" bestFit="1" customWidth="1"/>
    <col min="191" max="191" width="11.86328125" style="77" bestFit="1" customWidth="1"/>
    <col min="192" max="192" width="9.1328125" style="77"/>
    <col min="193" max="193" width="54.59765625" style="77" bestFit="1" customWidth="1"/>
    <col min="194" max="196" width="9" style="77" bestFit="1" customWidth="1"/>
    <col min="197" max="197" width="9.3984375" style="77" bestFit="1" customWidth="1"/>
    <col min="198" max="198" width="9.86328125" style="77" bestFit="1" customWidth="1"/>
    <col min="199" max="199" width="9.1328125" style="77"/>
    <col min="200" max="200" width="54.59765625" style="77" bestFit="1" customWidth="1"/>
    <col min="201" max="204" width="9.3984375" style="77" bestFit="1" customWidth="1"/>
    <col min="205" max="205" width="10.86328125" style="77" bestFit="1" customWidth="1"/>
    <col min="206" max="206" width="9.1328125" style="77"/>
    <col min="207" max="207" width="54.59765625" style="77" bestFit="1" customWidth="1"/>
    <col min="208" max="212" width="9.3984375" style="77" bestFit="1" customWidth="1"/>
    <col min="213" max="213" width="9.1328125" style="77"/>
    <col min="214" max="214" width="54.59765625" style="77" bestFit="1" customWidth="1"/>
    <col min="215" max="215" width="9.3984375" style="77" bestFit="1" customWidth="1"/>
    <col min="216" max="216" width="11.265625" style="77" bestFit="1" customWidth="1"/>
    <col min="217" max="218" width="9.3984375" style="77" bestFit="1" customWidth="1"/>
    <col min="219" max="219" width="10.86328125" style="77" bestFit="1" customWidth="1"/>
    <col min="220" max="220" width="9.1328125" style="77"/>
    <col min="221" max="221" width="54.59765625" style="77" bestFit="1" customWidth="1"/>
    <col min="222" max="223" width="13.3984375" style="77" bestFit="1" customWidth="1"/>
    <col min="224" max="225" width="9.73046875" style="77" customWidth="1"/>
    <col min="226" max="226" width="10.86328125" style="77" bestFit="1" customWidth="1"/>
    <col min="227" max="227" width="9.1328125" style="77"/>
    <col min="228" max="228" width="54.59765625" style="77" bestFit="1" customWidth="1"/>
    <col min="229" max="229" width="14.86328125" style="77" bestFit="1" customWidth="1"/>
    <col min="230" max="230" width="13.3984375" style="77" bestFit="1" customWidth="1"/>
    <col min="231" max="232" width="13.86328125" style="77" bestFit="1" customWidth="1"/>
    <col min="233" max="233" width="10.86328125" style="77" bestFit="1" customWidth="1"/>
    <col min="234" max="234" width="9.1328125" style="77"/>
    <col min="235" max="235" width="54.59765625" style="77" bestFit="1" customWidth="1"/>
    <col min="236" max="239" width="13.3984375" style="77" bestFit="1" customWidth="1"/>
    <col min="240" max="240" width="10.86328125" style="77" bestFit="1" customWidth="1"/>
    <col min="241" max="241" width="9.1328125" style="77"/>
    <col min="242" max="242" width="54.59765625" style="77" bestFit="1" customWidth="1"/>
    <col min="243" max="243" width="13.86328125" style="77" bestFit="1" customWidth="1"/>
    <col min="244" max="246" width="13.3984375" style="77" bestFit="1" customWidth="1"/>
    <col min="247" max="247" width="10.86328125" style="77" bestFit="1" customWidth="1"/>
    <col min="248" max="248" width="9.1328125" style="77"/>
    <col min="249" max="249" width="54.59765625" style="77" bestFit="1" customWidth="1"/>
    <col min="250" max="253" width="13.3984375" style="77" bestFit="1" customWidth="1"/>
    <col min="254" max="254" width="9.86328125" style="77" bestFit="1" customWidth="1"/>
    <col min="255" max="255" width="9.1328125" style="77"/>
    <col min="256" max="256" width="54.59765625" style="77" bestFit="1" customWidth="1"/>
    <col min="257" max="260" width="13.3984375" style="77" bestFit="1" customWidth="1"/>
    <col min="261" max="261" width="9.86328125" style="77" bestFit="1" customWidth="1"/>
    <col min="262" max="262" width="9.1328125" style="77"/>
    <col min="263" max="263" width="54.59765625" style="77" bestFit="1" customWidth="1"/>
    <col min="264" max="267" width="13.3984375" style="77" bestFit="1" customWidth="1"/>
    <col min="268" max="268" width="9.86328125" style="77" bestFit="1" customWidth="1"/>
    <col min="269" max="269" width="9.1328125" style="77"/>
    <col min="270" max="270" width="54.59765625" style="77" bestFit="1" customWidth="1"/>
    <col min="271" max="274" width="13.3984375" style="77" bestFit="1" customWidth="1"/>
    <col min="275" max="275" width="10.86328125" style="77" bestFit="1" customWidth="1"/>
    <col min="276" max="276" width="9.1328125" style="77"/>
    <col min="277" max="277" width="54.59765625" style="77" bestFit="1" customWidth="1"/>
    <col min="278" max="281" width="13.3984375" style="77" bestFit="1" customWidth="1"/>
    <col min="282" max="282" width="9.86328125" style="77" bestFit="1" customWidth="1"/>
    <col min="283" max="283" width="9.1328125" style="77"/>
    <col min="284" max="284" width="54.59765625" style="77" bestFit="1" customWidth="1"/>
    <col min="285" max="285" width="13.3984375" style="77" bestFit="1" customWidth="1"/>
    <col min="286" max="287" width="9.59765625" style="77" customWidth="1"/>
    <col min="288" max="288" width="13.3984375" style="77" bestFit="1" customWidth="1"/>
    <col min="289" max="289" width="14.3984375" style="77" bestFit="1" customWidth="1"/>
    <col min="290" max="290" width="9.1328125" style="77"/>
    <col min="291" max="291" width="54.59765625" style="77" bestFit="1" customWidth="1"/>
    <col min="292" max="295" width="13.3984375" style="77" bestFit="1" customWidth="1"/>
    <col min="296" max="296" width="9.86328125" style="77" bestFit="1" customWidth="1"/>
    <col min="297" max="297" width="9.1328125" style="77"/>
    <col min="298" max="298" width="54.59765625" style="77" bestFit="1" customWidth="1"/>
    <col min="299" max="302" width="13.3984375" style="77" bestFit="1" customWidth="1"/>
    <col min="303" max="303" width="10.86328125" style="77" bestFit="1" customWidth="1"/>
    <col min="304" max="304" width="9.1328125" style="77"/>
    <col min="305" max="305" width="54.59765625" style="77" bestFit="1" customWidth="1"/>
    <col min="306" max="309" width="13.3984375" style="77" bestFit="1" customWidth="1"/>
    <col min="310" max="310" width="10.86328125" style="77" bestFit="1" customWidth="1"/>
    <col min="311" max="311" width="9.1328125" style="77"/>
    <col min="312" max="312" width="54.59765625" style="77" bestFit="1" customWidth="1"/>
    <col min="313" max="317" width="10.1328125" style="77" customWidth="1"/>
    <col min="318" max="318" width="10.1328125" style="545" customWidth="1"/>
    <col min="319" max="319" width="54.59765625" style="77" bestFit="1" customWidth="1"/>
    <col min="320" max="324" width="10.86328125" style="77" customWidth="1"/>
    <col min="325" max="325" width="10.1328125" style="545" customWidth="1"/>
    <col min="326" max="326" width="54.59765625" style="77" bestFit="1" customWidth="1"/>
    <col min="327" max="331" width="11.1328125" style="77" customWidth="1"/>
    <col min="332" max="332" width="10.1328125" style="545" customWidth="1"/>
    <col min="333" max="333" width="54.59765625" style="77" bestFit="1" customWidth="1"/>
    <col min="334" max="338" width="11.1328125" style="77" customWidth="1"/>
    <col min="339" max="339" width="10.1328125" style="545" customWidth="1"/>
    <col min="340" max="340" width="54.59765625" style="77" bestFit="1" customWidth="1"/>
    <col min="341" max="345" width="11.1328125" style="77" customWidth="1"/>
    <col min="346" max="346" width="10.1328125" style="545" customWidth="1"/>
    <col min="347" max="16384" width="9.1328125" style="77"/>
  </cols>
  <sheetData>
    <row r="4" spans="1:346" s="37" customFormat="1" ht="24.75" x14ac:dyDescent="0.65">
      <c r="A4" s="46"/>
      <c r="B4" s="87" t="s">
        <v>539</v>
      </c>
      <c r="C4" s="89"/>
      <c r="D4" s="89">
        <f t="shared" ref="D4:L4" si="0">E4-1</f>
        <v>1979</v>
      </c>
      <c r="E4" s="89">
        <f t="shared" si="0"/>
        <v>1980</v>
      </c>
      <c r="F4" s="89">
        <f t="shared" si="0"/>
        <v>1981</v>
      </c>
      <c r="G4" s="89">
        <f t="shared" si="0"/>
        <v>1982</v>
      </c>
      <c r="H4" s="89">
        <f t="shared" si="0"/>
        <v>1983</v>
      </c>
      <c r="I4" s="89">
        <f t="shared" si="0"/>
        <v>1984</v>
      </c>
      <c r="J4" s="89">
        <f t="shared" si="0"/>
        <v>1985</v>
      </c>
      <c r="K4" s="89">
        <f t="shared" si="0"/>
        <v>1986</v>
      </c>
      <c r="L4" s="89">
        <f t="shared" si="0"/>
        <v>1987</v>
      </c>
      <c r="M4" s="89">
        <f>N4-1</f>
        <v>1988</v>
      </c>
      <c r="N4" s="89">
        <f>BT4</f>
        <v>1989</v>
      </c>
      <c r="O4" s="89">
        <f>CA4</f>
        <v>1990</v>
      </c>
      <c r="P4" s="89">
        <f>CH4</f>
        <v>1991</v>
      </c>
      <c r="Q4" s="89">
        <f>CO4</f>
        <v>1992</v>
      </c>
      <c r="R4" s="89">
        <f>CV4</f>
        <v>1993</v>
      </c>
      <c r="S4" s="89">
        <f>DC4</f>
        <v>1994</v>
      </c>
      <c r="T4" s="89">
        <f>DJ4</f>
        <v>1995</v>
      </c>
      <c r="U4" s="89">
        <f>DQ4</f>
        <v>1996</v>
      </c>
      <c r="V4" s="89">
        <f>DX4</f>
        <v>1997</v>
      </c>
      <c r="W4" s="89">
        <f>EE4</f>
        <v>1998</v>
      </c>
      <c r="X4" s="89">
        <f>EL4</f>
        <v>1999</v>
      </c>
      <c r="Y4" s="89">
        <f>ES4</f>
        <v>2000</v>
      </c>
      <c r="Z4" s="89">
        <f>EZ4</f>
        <v>2001</v>
      </c>
      <c r="AA4" s="89">
        <f>FG4</f>
        <v>2002</v>
      </c>
      <c r="AB4" s="89">
        <f>FN4</f>
        <v>2003</v>
      </c>
      <c r="AC4" s="89">
        <f>FU4</f>
        <v>2004</v>
      </c>
      <c r="AD4" s="89">
        <f>GB4</f>
        <v>2005</v>
      </c>
      <c r="AE4" s="89">
        <f>GI4</f>
        <v>2006</v>
      </c>
      <c r="AF4" s="89">
        <f>GP4</f>
        <v>2007</v>
      </c>
      <c r="AG4" s="89">
        <f>GW4</f>
        <v>2008</v>
      </c>
      <c r="AH4" s="89">
        <f>HD4</f>
        <v>2009</v>
      </c>
      <c r="AI4" s="89">
        <f>HK4</f>
        <v>2010</v>
      </c>
      <c r="AJ4" s="89">
        <f>HR4</f>
        <v>2011</v>
      </c>
      <c r="AK4" s="89">
        <f>HY4</f>
        <v>2012</v>
      </c>
      <c r="AL4" s="89">
        <f>IF4</f>
        <v>2013</v>
      </c>
      <c r="AM4" s="89">
        <f>IM4</f>
        <v>2014</v>
      </c>
      <c r="AN4" s="89">
        <f>IT4</f>
        <v>2015</v>
      </c>
      <c r="AO4" s="89">
        <f>JA4</f>
        <v>2016</v>
      </c>
      <c r="AP4" s="89">
        <f>JH4</f>
        <v>2017</v>
      </c>
      <c r="AQ4" s="89">
        <f>JO4</f>
        <v>2018</v>
      </c>
      <c r="AR4" s="89">
        <f>JV4</f>
        <v>2019</v>
      </c>
      <c r="AS4" s="89">
        <f>KC4</f>
        <v>2020</v>
      </c>
      <c r="AT4" s="89">
        <f>KJ4</f>
        <v>2021</v>
      </c>
      <c r="AU4" s="89">
        <f>KQ4</f>
        <v>2022</v>
      </c>
      <c r="AV4" s="89">
        <f>KX4</f>
        <v>2023</v>
      </c>
      <c r="AW4" s="89">
        <f>LE4</f>
        <v>2024</v>
      </c>
      <c r="AX4" s="89">
        <f>LL4</f>
        <v>2025</v>
      </c>
      <c r="AY4" s="89" t="str">
        <f>LS4</f>
        <v>2026E</v>
      </c>
      <c r="AZ4" s="646" t="str">
        <f>LZ4</f>
        <v>2027E</v>
      </c>
      <c r="BA4" s="646" t="str">
        <f>MG4</f>
        <v>2028E</v>
      </c>
      <c r="BB4" s="89"/>
      <c r="BC4" s="89"/>
      <c r="BD4" s="89"/>
      <c r="BE4" s="89"/>
      <c r="BF4" s="89"/>
      <c r="BG4" s="89"/>
      <c r="BH4" s="89"/>
      <c r="BI4" s="89"/>
      <c r="BJ4" s="89"/>
      <c r="BK4" s="89"/>
      <c r="BL4" s="89"/>
      <c r="BM4" s="89"/>
      <c r="BO4" s="87" t="str">
        <f>$B4</f>
        <v>CSX Revenues</v>
      </c>
      <c r="BP4" s="91" t="str">
        <f>CSX!BR4</f>
        <v>1Q89</v>
      </c>
      <c r="BQ4" s="91" t="str">
        <f>CSX!BS4</f>
        <v>2Q89</v>
      </c>
      <c r="BR4" s="91" t="str">
        <f>CSX!BT4</f>
        <v>3Q89</v>
      </c>
      <c r="BS4" s="91" t="str">
        <f>CSX!BU4</f>
        <v>4Q89</v>
      </c>
      <c r="BT4" s="91">
        <f>CSX!BV4</f>
        <v>1989</v>
      </c>
      <c r="BU4" s="77"/>
      <c r="BV4" s="87" t="str">
        <f>$B4</f>
        <v>CSX Revenues</v>
      </c>
      <c r="BW4" s="91" t="str">
        <f>CSX!BY4</f>
        <v>1Q90</v>
      </c>
      <c r="BX4" s="91" t="str">
        <f>CSX!BZ4</f>
        <v>2Q90</v>
      </c>
      <c r="BY4" s="91" t="str">
        <f>CSX!CA4</f>
        <v>3Q90</v>
      </c>
      <c r="BZ4" s="91" t="str">
        <f>CSX!CB4</f>
        <v>4Q90</v>
      </c>
      <c r="CA4" s="91">
        <f>CSX!CC4</f>
        <v>1990</v>
      </c>
      <c r="CB4" s="77"/>
      <c r="CC4" s="87" t="str">
        <f>$B4</f>
        <v>CSX Revenues</v>
      </c>
      <c r="CD4" s="91" t="str">
        <f>CSX!CF4</f>
        <v>1Q91</v>
      </c>
      <c r="CE4" s="91" t="str">
        <f>CSX!CG4</f>
        <v>2Q91</v>
      </c>
      <c r="CF4" s="91" t="str">
        <f>CSX!CH4</f>
        <v>3Q91</v>
      </c>
      <c r="CG4" s="91" t="str">
        <f>CSX!CI4</f>
        <v>4Q91</v>
      </c>
      <c r="CH4" s="91">
        <f>CSX!CJ4</f>
        <v>1991</v>
      </c>
      <c r="CI4" s="77"/>
      <c r="CJ4" s="87" t="str">
        <f>$B4</f>
        <v>CSX Revenues</v>
      </c>
      <c r="CK4" s="91" t="str">
        <f>CSX!CM4</f>
        <v>1Q92</v>
      </c>
      <c r="CL4" s="91" t="str">
        <f>CSX!CN4</f>
        <v>2Q92</v>
      </c>
      <c r="CM4" s="91" t="str">
        <f>CSX!CO4</f>
        <v>3Q92</v>
      </c>
      <c r="CN4" s="91" t="str">
        <f>CSX!CP4</f>
        <v>4Q92</v>
      </c>
      <c r="CO4" s="91">
        <f>CSX!CQ4</f>
        <v>1992</v>
      </c>
      <c r="CP4" s="81"/>
      <c r="CQ4" s="87" t="str">
        <f>$B4</f>
        <v>CSX Revenues</v>
      </c>
      <c r="CR4" s="91" t="str">
        <f>CSX!CT4</f>
        <v>1Q93</v>
      </c>
      <c r="CS4" s="91" t="str">
        <f>CSX!CU4</f>
        <v>2Q93</v>
      </c>
      <c r="CT4" s="91" t="str">
        <f>CSX!CV4</f>
        <v>3Q93</v>
      </c>
      <c r="CU4" s="91" t="str">
        <f>CSX!CW4</f>
        <v>4Q93</v>
      </c>
      <c r="CV4" s="91">
        <f>CSX!CX4</f>
        <v>1993</v>
      </c>
      <c r="CW4" s="81"/>
      <c r="CX4" s="87" t="str">
        <f>$B4</f>
        <v>CSX Revenues</v>
      </c>
      <c r="CY4" s="91" t="str">
        <f>CSX!DA4</f>
        <v>1Q94</v>
      </c>
      <c r="CZ4" s="91" t="str">
        <f>CSX!DB4</f>
        <v>2Q94</v>
      </c>
      <c r="DA4" s="91" t="str">
        <f>CSX!DC4</f>
        <v>3Q94</v>
      </c>
      <c r="DB4" s="91" t="str">
        <f>CSX!DD4</f>
        <v>4Q94</v>
      </c>
      <c r="DC4" s="91">
        <f>CSX!DE4</f>
        <v>1994</v>
      </c>
      <c r="DD4" s="81"/>
      <c r="DE4" s="87" t="str">
        <f>$B4</f>
        <v>CSX Revenues</v>
      </c>
      <c r="DF4" s="91" t="str">
        <f>CSX!DH4</f>
        <v>1Q95</v>
      </c>
      <c r="DG4" s="91" t="str">
        <f>CSX!DI4</f>
        <v>2Q95</v>
      </c>
      <c r="DH4" s="91" t="str">
        <f>CSX!DJ4</f>
        <v>3Q95</v>
      </c>
      <c r="DI4" s="91" t="str">
        <f>CSX!DK4</f>
        <v>4Q95</v>
      </c>
      <c r="DJ4" s="91">
        <f>CSX!DL4</f>
        <v>1995</v>
      </c>
      <c r="DK4" s="81"/>
      <c r="DL4" s="87" t="str">
        <f>$B4</f>
        <v>CSX Revenues</v>
      </c>
      <c r="DM4" s="91" t="str">
        <f>CSX!DO4</f>
        <v>1Q96</v>
      </c>
      <c r="DN4" s="91" t="str">
        <f>CSX!DP4</f>
        <v>2Q96</v>
      </c>
      <c r="DO4" s="91" t="str">
        <f>CSX!DQ4</f>
        <v>3Q96</v>
      </c>
      <c r="DP4" s="91" t="str">
        <f>CSX!DR4</f>
        <v>4Q96</v>
      </c>
      <c r="DQ4" s="91">
        <f>CSX!DS4</f>
        <v>1996</v>
      </c>
      <c r="DR4" s="81"/>
      <c r="DS4" s="87" t="str">
        <f>$B4</f>
        <v>CSX Revenues</v>
      </c>
      <c r="DT4" s="91" t="str">
        <f>CSX!DV4</f>
        <v>1Q97</v>
      </c>
      <c r="DU4" s="91" t="str">
        <f>CSX!DW4</f>
        <v>2Q97</v>
      </c>
      <c r="DV4" s="91" t="str">
        <f>CSX!DX4</f>
        <v>3Q97</v>
      </c>
      <c r="DW4" s="91" t="str">
        <f>CSX!DY4</f>
        <v>4Q97</v>
      </c>
      <c r="DX4" s="91">
        <f>CSX!DZ4</f>
        <v>1997</v>
      </c>
      <c r="DY4" s="81"/>
      <c r="DZ4" s="87" t="str">
        <f>$B4</f>
        <v>CSX Revenues</v>
      </c>
      <c r="EA4" s="91" t="str">
        <f>CSX!EC4</f>
        <v>1Q98</v>
      </c>
      <c r="EB4" s="91" t="str">
        <f>CSX!ED4</f>
        <v>2Q98</v>
      </c>
      <c r="EC4" s="91" t="str">
        <f>CSX!EE4</f>
        <v>3Q98</v>
      </c>
      <c r="ED4" s="91" t="str">
        <f>CSX!EF4</f>
        <v>4Q98</v>
      </c>
      <c r="EE4" s="91">
        <f>CSX!EG4</f>
        <v>1998</v>
      </c>
      <c r="EF4" s="81"/>
      <c r="EG4" s="87" t="str">
        <f>$B4</f>
        <v>CSX Revenues</v>
      </c>
      <c r="EH4" s="91" t="str">
        <f>CSX!EJ4</f>
        <v>1Q99</v>
      </c>
      <c r="EI4" s="91" t="str">
        <f>CSX!EK4</f>
        <v>2Q99</v>
      </c>
      <c r="EJ4" s="91" t="str">
        <f>CSX!EL4</f>
        <v>3Q99</v>
      </c>
      <c r="EK4" s="91" t="str">
        <f>CSX!EM4</f>
        <v>4Q99</v>
      </c>
      <c r="EL4" s="91">
        <f>CSX!EN4</f>
        <v>1999</v>
      </c>
      <c r="EM4" s="81"/>
      <c r="EN4" s="87" t="str">
        <f>$B4</f>
        <v>CSX Revenues</v>
      </c>
      <c r="EO4" s="91" t="str">
        <f>CSX!EQ4</f>
        <v>1Q00</v>
      </c>
      <c r="EP4" s="91" t="str">
        <f>CSX!ER4</f>
        <v>2Q00</v>
      </c>
      <c r="EQ4" s="91" t="str">
        <f>CSX!ES4</f>
        <v>3Q00</v>
      </c>
      <c r="ER4" s="91" t="str">
        <f>CSX!ET4</f>
        <v>4Q00</v>
      </c>
      <c r="ES4" s="91">
        <f>CSX!EU4</f>
        <v>2000</v>
      </c>
      <c r="ET4" s="77"/>
      <c r="EU4" s="87" t="str">
        <f>$B4</f>
        <v>CSX Revenues</v>
      </c>
      <c r="EV4" s="91" t="str">
        <f>CSX!EX4</f>
        <v>1Q01</v>
      </c>
      <c r="EW4" s="91" t="str">
        <f>CSX!EY4</f>
        <v>2Q01</v>
      </c>
      <c r="EX4" s="91" t="str">
        <f>CSX!EZ4</f>
        <v>3Q01</v>
      </c>
      <c r="EY4" s="91" t="str">
        <f>CSX!FA4</f>
        <v>4Q01</v>
      </c>
      <c r="EZ4" s="91">
        <f>CSX!FB4</f>
        <v>2001</v>
      </c>
      <c r="FA4" s="77"/>
      <c r="FB4" s="87" t="str">
        <f>$B4</f>
        <v>CSX Revenues</v>
      </c>
      <c r="FC4" s="91" t="str">
        <f>CSX!FE4</f>
        <v>1Q02</v>
      </c>
      <c r="FD4" s="91" t="str">
        <f>CSX!FF4</f>
        <v>2Q02</v>
      </c>
      <c r="FE4" s="91" t="str">
        <f>CSX!FG4</f>
        <v>3Q02</v>
      </c>
      <c r="FF4" s="91" t="str">
        <f>CSX!FH4</f>
        <v>4Q02</v>
      </c>
      <c r="FG4" s="91">
        <f>CSX!FI4</f>
        <v>2002</v>
      </c>
      <c r="FH4" s="77"/>
      <c r="FI4" s="87" t="str">
        <f>$B4</f>
        <v>CSX Revenues</v>
      </c>
      <c r="FJ4" s="91" t="str">
        <f>CSX!FL4</f>
        <v>1Q03</v>
      </c>
      <c r="FK4" s="91" t="str">
        <f>CSX!FM4</f>
        <v>2Q03</v>
      </c>
      <c r="FL4" s="91" t="str">
        <f>CSX!FN4</f>
        <v>3Q03</v>
      </c>
      <c r="FM4" s="91" t="str">
        <f>CSX!FO4</f>
        <v>4Q03</v>
      </c>
      <c r="FN4" s="91">
        <f>CSX!FP4</f>
        <v>2003</v>
      </c>
      <c r="FO4" s="77"/>
      <c r="FP4" s="87" t="str">
        <f>$B4</f>
        <v>CSX Revenues</v>
      </c>
      <c r="FQ4" s="91" t="str">
        <f>CSX!FS4</f>
        <v>1Q04</v>
      </c>
      <c r="FR4" s="91" t="str">
        <f>CSX!FT4</f>
        <v>2Q04</v>
      </c>
      <c r="FS4" s="91" t="str">
        <f>CSX!FU4</f>
        <v>3Q04</v>
      </c>
      <c r="FT4" s="91" t="str">
        <f>CSX!FV4</f>
        <v>4Q04</v>
      </c>
      <c r="FU4" s="91">
        <f>CSX!FW4</f>
        <v>2004</v>
      </c>
      <c r="FV4" s="77"/>
      <c r="FW4" s="87" t="str">
        <f>$B4</f>
        <v>CSX Revenues</v>
      </c>
      <c r="FX4" s="91" t="str">
        <f>CSX!FZ4</f>
        <v>1Q05</v>
      </c>
      <c r="FY4" s="91" t="str">
        <f>CSX!GA4</f>
        <v>2Q05</v>
      </c>
      <c r="FZ4" s="91" t="str">
        <f>CSX!GB4</f>
        <v>3Q05</v>
      </c>
      <c r="GA4" s="91" t="str">
        <f>CSX!GC4</f>
        <v>4Q05</v>
      </c>
      <c r="GB4" s="91">
        <f>CSX!GD4</f>
        <v>2005</v>
      </c>
      <c r="GC4" s="81"/>
      <c r="GD4" s="87" t="str">
        <f>$B4</f>
        <v>CSX Revenues</v>
      </c>
      <c r="GE4" s="91" t="str">
        <f>CSX!GG4</f>
        <v>1Q06</v>
      </c>
      <c r="GF4" s="91" t="str">
        <f>CSX!GH4</f>
        <v>2Q06</v>
      </c>
      <c r="GG4" s="91" t="str">
        <f>CSX!GI4</f>
        <v>3Q06</v>
      </c>
      <c r="GH4" s="91" t="str">
        <f>CSX!GJ4</f>
        <v>4Q06</v>
      </c>
      <c r="GI4" s="91">
        <f>CSX!GK4</f>
        <v>2006</v>
      </c>
      <c r="GJ4" s="81"/>
      <c r="GK4" s="87" t="str">
        <f>$B4</f>
        <v>CSX Revenues</v>
      </c>
      <c r="GL4" s="91" t="str">
        <f>CSX!GN4</f>
        <v>1Q07</v>
      </c>
      <c r="GM4" s="91" t="str">
        <f>CSX!GO4</f>
        <v>2Q07</v>
      </c>
      <c r="GN4" s="91" t="str">
        <f>CSX!GP4</f>
        <v>3Q07</v>
      </c>
      <c r="GO4" s="91" t="str">
        <f>CSX!GQ4</f>
        <v>4Q07</v>
      </c>
      <c r="GP4" s="91">
        <f>CSX!GR4</f>
        <v>2007</v>
      </c>
      <c r="GQ4" s="81"/>
      <c r="GR4" s="87" t="str">
        <f>$B4</f>
        <v>CSX Revenues</v>
      </c>
      <c r="GS4" s="91" t="str">
        <f>CSX!GU4</f>
        <v>1Q08</v>
      </c>
      <c r="GT4" s="91" t="str">
        <f>CSX!GV4</f>
        <v>2Q08</v>
      </c>
      <c r="GU4" s="91" t="str">
        <f>CSX!GW4</f>
        <v>3Q08</v>
      </c>
      <c r="GV4" s="91" t="str">
        <f>CSX!GX4</f>
        <v>4Q08</v>
      </c>
      <c r="GW4" s="91">
        <f>CSX!GY4</f>
        <v>2008</v>
      </c>
      <c r="GX4" s="81"/>
      <c r="GY4" s="87" t="str">
        <f>$B4</f>
        <v>CSX Revenues</v>
      </c>
      <c r="GZ4" s="91" t="str">
        <f>CSX!HB4</f>
        <v>1Q09</v>
      </c>
      <c r="HA4" s="91" t="str">
        <f>CSX!HC4</f>
        <v>2Q09</v>
      </c>
      <c r="HB4" s="91" t="str">
        <f>CSX!HD4</f>
        <v>3Q09</v>
      </c>
      <c r="HC4" s="91" t="str">
        <f>CSX!HE4</f>
        <v>4Q09</v>
      </c>
      <c r="HD4" s="91">
        <f>CSX!HF4</f>
        <v>2009</v>
      </c>
      <c r="HE4" s="81"/>
      <c r="HF4" s="87" t="str">
        <f>$B4</f>
        <v>CSX Revenues</v>
      </c>
      <c r="HG4" s="91" t="str">
        <f>CSX!HI4</f>
        <v>1Q10</v>
      </c>
      <c r="HH4" s="91" t="str">
        <f>CSX!HJ4</f>
        <v>2Q10</v>
      </c>
      <c r="HI4" s="91" t="str">
        <f>CSX!HK4</f>
        <v>3Q10</v>
      </c>
      <c r="HJ4" s="91" t="str">
        <f>CSX!HL4</f>
        <v>4Q10</v>
      </c>
      <c r="HK4" s="91">
        <f>CSX!HM4</f>
        <v>2010</v>
      </c>
      <c r="HL4" s="81"/>
      <c r="HM4" s="87" t="str">
        <f>$B4</f>
        <v>CSX Revenues</v>
      </c>
      <c r="HN4" s="91" t="str">
        <f>CSX!HP4</f>
        <v>1Q11</v>
      </c>
      <c r="HO4" s="91" t="str">
        <f>CSX!HQ4</f>
        <v>2Q11</v>
      </c>
      <c r="HP4" s="91" t="str">
        <f>CSX!HR4</f>
        <v>3Q11</v>
      </c>
      <c r="HQ4" s="91" t="str">
        <f>CSX!HS4</f>
        <v>4Q11</v>
      </c>
      <c r="HR4" s="91">
        <f>CSX!HT4</f>
        <v>2011</v>
      </c>
      <c r="HS4" s="81"/>
      <c r="HT4" s="87" t="str">
        <f>$B4</f>
        <v>CSX Revenues</v>
      </c>
      <c r="HU4" s="91" t="str">
        <f>CSX!HW4</f>
        <v>1Q12</v>
      </c>
      <c r="HV4" s="91" t="str">
        <f>CSX!HX4</f>
        <v>2Q12</v>
      </c>
      <c r="HW4" s="91" t="str">
        <f>CSX!HY4</f>
        <v>3Q12</v>
      </c>
      <c r="HX4" s="91" t="str">
        <f>CSX!HZ4</f>
        <v>4Q12</v>
      </c>
      <c r="HY4" s="91">
        <f>CSX!IA4</f>
        <v>2012</v>
      </c>
      <c r="HZ4" s="81"/>
      <c r="IA4" s="87" t="str">
        <f>$B4</f>
        <v>CSX Revenues</v>
      </c>
      <c r="IB4" s="91" t="str">
        <f>CSX!ID4</f>
        <v>1Q13</v>
      </c>
      <c r="IC4" s="91" t="str">
        <f>CSX!IE4</f>
        <v>2Q13</v>
      </c>
      <c r="ID4" s="91" t="str">
        <f>CSX!IF4</f>
        <v>3Q13</v>
      </c>
      <c r="IE4" s="91" t="str">
        <f>CSX!IG4</f>
        <v>4Q13</v>
      </c>
      <c r="IF4" s="91">
        <f>CSX!IH4</f>
        <v>2013</v>
      </c>
      <c r="IG4" s="81"/>
      <c r="IH4" s="87" t="str">
        <f>$B4</f>
        <v>CSX Revenues</v>
      </c>
      <c r="II4" s="91" t="str">
        <f>CSX!IK4</f>
        <v>1Q14</v>
      </c>
      <c r="IJ4" s="91" t="str">
        <f>CSX!IL4</f>
        <v>2Q14</v>
      </c>
      <c r="IK4" s="91" t="str">
        <f>CSX!IM4</f>
        <v>3Q14</v>
      </c>
      <c r="IL4" s="91" t="str">
        <f>CSX!IN4</f>
        <v>4Q14</v>
      </c>
      <c r="IM4" s="91">
        <f>CSX!IO4</f>
        <v>2014</v>
      </c>
      <c r="IN4" s="81"/>
      <c r="IO4" s="87" t="str">
        <f>$B4</f>
        <v>CSX Revenues</v>
      </c>
      <c r="IP4" s="91" t="str">
        <f>CSX!IR4</f>
        <v>1Q15</v>
      </c>
      <c r="IQ4" s="91" t="str">
        <f>CSX!IS4</f>
        <v>2Q15</v>
      </c>
      <c r="IR4" s="91" t="str">
        <f>CSX!IT4</f>
        <v>3Q15</v>
      </c>
      <c r="IS4" s="91" t="str">
        <f>CSX!IU4</f>
        <v>4Q15</v>
      </c>
      <c r="IT4" s="91">
        <f>CSX!IV4</f>
        <v>2015</v>
      </c>
      <c r="IU4" s="81"/>
      <c r="IV4" s="87" t="str">
        <f>$B4</f>
        <v>CSX Revenues</v>
      </c>
      <c r="IW4" s="91" t="str">
        <f>CSX!IY4</f>
        <v>1Q16</v>
      </c>
      <c r="IX4" s="91" t="str">
        <f>CSX!IZ4</f>
        <v>2Q16</v>
      </c>
      <c r="IY4" s="91" t="str">
        <f>CSX!JA4</f>
        <v>3Q16</v>
      </c>
      <c r="IZ4" s="91" t="str">
        <f>CSX!JB4</f>
        <v>4Q16</v>
      </c>
      <c r="JA4" s="91">
        <f>CSX!JC4</f>
        <v>2016</v>
      </c>
      <c r="JB4" s="81"/>
      <c r="JC4" s="87" t="str">
        <f>$B4</f>
        <v>CSX Revenues</v>
      </c>
      <c r="JD4" s="91" t="str">
        <f>CSX!JF4</f>
        <v>1Q17</v>
      </c>
      <c r="JE4" s="91" t="str">
        <f>CSX!JG4</f>
        <v>2Q17</v>
      </c>
      <c r="JF4" s="91" t="str">
        <f>CSX!JH4</f>
        <v>3Q17</v>
      </c>
      <c r="JG4" s="91" t="str">
        <f>CSX!JI4</f>
        <v>4Q17</v>
      </c>
      <c r="JH4" s="91">
        <f>CSX!JJ4</f>
        <v>2017</v>
      </c>
      <c r="JI4" s="81"/>
      <c r="JJ4" s="87" t="str">
        <f>$B4</f>
        <v>CSX Revenues</v>
      </c>
      <c r="JK4" s="91" t="str">
        <f>CSX!JM4</f>
        <v>1Q18</v>
      </c>
      <c r="JL4" s="91" t="str">
        <f>CSX!JN4</f>
        <v>2Q18</v>
      </c>
      <c r="JM4" s="91" t="str">
        <f>CSX!JO4</f>
        <v>3Q18</v>
      </c>
      <c r="JN4" s="91" t="str">
        <f>CSX!JP4</f>
        <v>4Q18</v>
      </c>
      <c r="JO4" s="91">
        <f>CSX!JQ4</f>
        <v>2018</v>
      </c>
      <c r="JP4" s="81"/>
      <c r="JQ4" s="87" t="str">
        <f>$B4</f>
        <v>CSX Revenues</v>
      </c>
      <c r="JR4" s="91" t="str">
        <f>CSX!JT4</f>
        <v>1Q19</v>
      </c>
      <c r="JS4" s="91" t="str">
        <f>CSX!JU4</f>
        <v>2Q19</v>
      </c>
      <c r="JT4" s="91" t="str">
        <f>CSX!JV4</f>
        <v>3Q19</v>
      </c>
      <c r="JU4" s="91" t="str">
        <f>CSX!JW4</f>
        <v>4Q19</v>
      </c>
      <c r="JV4" s="91">
        <f>CSX!JX4</f>
        <v>2019</v>
      </c>
      <c r="JW4" s="81"/>
      <c r="JX4" s="87" t="str">
        <f>$B4</f>
        <v>CSX Revenues</v>
      </c>
      <c r="JY4" s="91" t="str">
        <f>CSX!KA4</f>
        <v>1Q20</v>
      </c>
      <c r="JZ4" s="91" t="str">
        <f>CSX!KB4</f>
        <v>2Q20</v>
      </c>
      <c r="KA4" s="91" t="str">
        <f>CSX!KC4</f>
        <v>3Q20</v>
      </c>
      <c r="KB4" s="91" t="str">
        <f>CSX!KD4</f>
        <v>4Q20</v>
      </c>
      <c r="KC4" s="91">
        <f>CSX!KE4</f>
        <v>2020</v>
      </c>
      <c r="KD4" s="81"/>
      <c r="KE4" s="87" t="str">
        <f>$B4</f>
        <v>CSX Revenues</v>
      </c>
      <c r="KF4" s="91" t="str">
        <f>CSX!KH4</f>
        <v>1Q21</v>
      </c>
      <c r="KG4" s="91" t="str">
        <f>CSX!KI4</f>
        <v>2Q21</v>
      </c>
      <c r="KH4" s="91" t="str">
        <f>CSX!KJ4</f>
        <v>3Q21</v>
      </c>
      <c r="KI4" s="91" t="str">
        <f>CSX!KK4</f>
        <v>4Q21</v>
      </c>
      <c r="KJ4" s="91">
        <f>CSX!KL4</f>
        <v>2021</v>
      </c>
      <c r="KK4" s="81"/>
      <c r="KL4" s="87" t="str">
        <f>$B4</f>
        <v>CSX Revenues</v>
      </c>
      <c r="KM4" s="91" t="str">
        <f>CSX!KO4</f>
        <v>1Q22</v>
      </c>
      <c r="KN4" s="91" t="str">
        <f>CSX!KP4</f>
        <v>2Q22</v>
      </c>
      <c r="KO4" s="91" t="str">
        <f>CSX!KQ4</f>
        <v>3Q22</v>
      </c>
      <c r="KP4" s="91" t="str">
        <f>CSX!KR4</f>
        <v>4Q22</v>
      </c>
      <c r="KQ4" s="91">
        <f>CSX!KS4</f>
        <v>2022</v>
      </c>
      <c r="KR4" s="81"/>
      <c r="KS4" s="87" t="str">
        <f>$B4</f>
        <v>CSX Revenues</v>
      </c>
      <c r="KT4" s="91" t="str">
        <f>CSX!KV4</f>
        <v>1Q23</v>
      </c>
      <c r="KU4" s="91" t="str">
        <f>CSX!KW4</f>
        <v>2Q23</v>
      </c>
      <c r="KV4" s="91" t="str">
        <f>CSX!KX4</f>
        <v>3Q23</v>
      </c>
      <c r="KW4" s="91" t="str">
        <f>CSX!KY4</f>
        <v>4Q23</v>
      </c>
      <c r="KX4" s="91">
        <f>CSX!KZ4</f>
        <v>2023</v>
      </c>
      <c r="KY4" s="81"/>
      <c r="KZ4" s="87" t="str">
        <f>$B4</f>
        <v>CSX Revenues</v>
      </c>
      <c r="LA4" s="91" t="str">
        <f>CSX!LC4</f>
        <v>1Q24</v>
      </c>
      <c r="LB4" s="91" t="str">
        <f>CSX!LD4</f>
        <v>2Q24</v>
      </c>
      <c r="LC4" s="91" t="str">
        <f>CSX!LE4</f>
        <v>3Q24</v>
      </c>
      <c r="LD4" s="91" t="str">
        <f>CSX!LF4</f>
        <v>4Q24</v>
      </c>
      <c r="LE4" s="93">
        <f>CSX!LG4</f>
        <v>2024</v>
      </c>
      <c r="LF4" s="546"/>
      <c r="LG4" s="87" t="str">
        <f>$B4</f>
        <v>CSX Revenues</v>
      </c>
      <c r="LH4" s="91" t="str">
        <f>CSX!LJ4</f>
        <v>1Q25</v>
      </c>
      <c r="LI4" s="91" t="str">
        <f>CSX!LK4</f>
        <v>2Q25</v>
      </c>
      <c r="LJ4" s="91" t="str">
        <f>CSX!LL4</f>
        <v>3Q25</v>
      </c>
      <c r="LK4" s="91" t="str">
        <f>CSX!LM4</f>
        <v>4Q25</v>
      </c>
      <c r="LL4" s="93">
        <f>CSX!LN4</f>
        <v>2025</v>
      </c>
      <c r="LM4" s="546"/>
      <c r="LN4" s="87" t="str">
        <f>$B4</f>
        <v>CSX Revenues</v>
      </c>
      <c r="LO4" s="91" t="str">
        <f>CSX!LQ4</f>
        <v>1Q26E</v>
      </c>
      <c r="LP4" s="91" t="str">
        <f>CSX!LR4</f>
        <v>2Q26E</v>
      </c>
      <c r="LQ4" s="91" t="str">
        <f>CSX!LS4</f>
        <v>3Q26E</v>
      </c>
      <c r="LR4" s="91" t="str">
        <f>CSX!LT4</f>
        <v>4Q26E</v>
      </c>
      <c r="LS4" s="93" t="str">
        <f>CSX!LU4</f>
        <v>2026E</v>
      </c>
      <c r="LT4" s="546"/>
      <c r="LU4" s="87" t="str">
        <f>$B4</f>
        <v>CSX Revenues</v>
      </c>
      <c r="LV4" s="91" t="str">
        <f>CSX!LX4</f>
        <v>1Q27E</v>
      </c>
      <c r="LW4" s="91" t="str">
        <f>CSX!LY4</f>
        <v>2Q27E</v>
      </c>
      <c r="LX4" s="91" t="str">
        <f>CSX!LZ4</f>
        <v>3Q27E</v>
      </c>
      <c r="LY4" s="91" t="str">
        <f>CSX!MA4</f>
        <v>4Q27E</v>
      </c>
      <c r="LZ4" s="93" t="str">
        <f>CSX!MB4</f>
        <v>2027E</v>
      </c>
      <c r="MA4" s="546"/>
      <c r="MB4" s="87" t="str">
        <f>$B4</f>
        <v>CSX Revenues</v>
      </c>
      <c r="MC4" s="91" t="str">
        <f>CSX!ME4</f>
        <v>1Q28E</v>
      </c>
      <c r="MD4" s="91" t="str">
        <f>CSX!MF4</f>
        <v>2Q28E</v>
      </c>
      <c r="ME4" s="91" t="str">
        <f>CSX!MG4</f>
        <v>3Q28E</v>
      </c>
      <c r="MF4" s="91" t="str">
        <f>CSX!MH4</f>
        <v>4Q28E</v>
      </c>
      <c r="MG4" s="93" t="str">
        <f>CSX!MI4</f>
        <v>2028E</v>
      </c>
      <c r="MH4" s="546"/>
    </row>
    <row r="5" spans="1:346" s="37" customFormat="1" x14ac:dyDescent="0.4">
      <c r="A5" s="46"/>
      <c r="B5" s="88" t="s">
        <v>1</v>
      </c>
      <c r="C5" s="90"/>
      <c r="D5" s="90" t="str">
        <f t="shared" ref="D5:L5" si="1">E5</f>
        <v>FY</v>
      </c>
      <c r="E5" s="90" t="str">
        <f t="shared" si="1"/>
        <v>FY</v>
      </c>
      <c r="F5" s="90" t="str">
        <f t="shared" si="1"/>
        <v>FY</v>
      </c>
      <c r="G5" s="90" t="str">
        <f t="shared" si="1"/>
        <v>FY</v>
      </c>
      <c r="H5" s="90" t="str">
        <f t="shared" si="1"/>
        <v>FY</v>
      </c>
      <c r="I5" s="90" t="str">
        <f t="shared" si="1"/>
        <v>FY</v>
      </c>
      <c r="J5" s="90" t="str">
        <f t="shared" si="1"/>
        <v>FY</v>
      </c>
      <c r="K5" s="90" t="str">
        <f t="shared" si="1"/>
        <v>FY</v>
      </c>
      <c r="L5" s="90" t="str">
        <f t="shared" si="1"/>
        <v>FY</v>
      </c>
      <c r="M5" s="90" t="str">
        <f>N5</f>
        <v>FY</v>
      </c>
      <c r="N5" s="90" t="str">
        <f>BT5</f>
        <v>FY</v>
      </c>
      <c r="O5" s="90" t="str">
        <f>CA5</f>
        <v>FY</v>
      </c>
      <c r="P5" s="90" t="str">
        <f>CH5</f>
        <v>FY</v>
      </c>
      <c r="Q5" s="90" t="str">
        <f>CO5</f>
        <v>FY</v>
      </c>
      <c r="R5" s="90" t="str">
        <f>CV5</f>
        <v>FY</v>
      </c>
      <c r="S5" s="90" t="str">
        <f>DC5</f>
        <v>FY</v>
      </c>
      <c r="T5" s="90" t="str">
        <f>DJ5</f>
        <v>FY</v>
      </c>
      <c r="U5" s="90" t="str">
        <f>DQ5</f>
        <v>FY</v>
      </c>
      <c r="V5" s="90" t="str">
        <f>DX5</f>
        <v>FY</v>
      </c>
      <c r="W5" s="90" t="str">
        <f>EE5</f>
        <v>FY</v>
      </c>
      <c r="X5" s="90" t="str">
        <f>EL5</f>
        <v>FY</v>
      </c>
      <c r="Y5" s="90" t="str">
        <f>ES5</f>
        <v>FY</v>
      </c>
      <c r="Z5" s="90" t="str">
        <f>EZ5</f>
        <v>FY</v>
      </c>
      <c r="AA5" s="90" t="str">
        <f>FG5</f>
        <v>FY</v>
      </c>
      <c r="AB5" s="90" t="str">
        <f>FN5</f>
        <v>FY</v>
      </c>
      <c r="AC5" s="90" t="str">
        <f>FU5</f>
        <v>FY</v>
      </c>
      <c r="AD5" s="90" t="str">
        <f>GB5</f>
        <v>FY</v>
      </c>
      <c r="AE5" s="90" t="str">
        <f>GI5</f>
        <v>FY</v>
      </c>
      <c r="AF5" s="90" t="str">
        <f>GP5</f>
        <v>FY</v>
      </c>
      <c r="AG5" s="90" t="str">
        <f>GW5</f>
        <v>FY</v>
      </c>
      <c r="AH5" s="90" t="str">
        <f>HD5</f>
        <v>FY</v>
      </c>
      <c r="AI5" s="90" t="str">
        <f>HK5</f>
        <v>FY</v>
      </c>
      <c r="AJ5" s="90" t="str">
        <f>HR5</f>
        <v>FY</v>
      </c>
      <c r="AK5" s="90" t="str">
        <f>HY5</f>
        <v>FY</v>
      </c>
      <c r="AL5" s="90" t="str">
        <f>IF5</f>
        <v>FY</v>
      </c>
      <c r="AM5" s="90" t="str">
        <f>IM5</f>
        <v>FY</v>
      </c>
      <c r="AN5" s="90" t="str">
        <f>IT5</f>
        <v>FY</v>
      </c>
      <c r="AO5" s="90" t="str">
        <f>JA5</f>
        <v>FY</v>
      </c>
      <c r="AP5" s="90" t="str">
        <f>JH5</f>
        <v>FY</v>
      </c>
      <c r="AQ5" s="90" t="str">
        <f>JO5</f>
        <v>FY</v>
      </c>
      <c r="AR5" s="90" t="str">
        <f>JV5</f>
        <v>FY</v>
      </c>
      <c r="AS5" s="90" t="str">
        <f>KC5</f>
        <v>FY</v>
      </c>
      <c r="AT5" s="90" t="str">
        <f>KJ5</f>
        <v>FY</v>
      </c>
      <c r="AU5" s="90" t="str">
        <f>KQ5</f>
        <v>FY</v>
      </c>
      <c r="AV5" s="90" t="str">
        <f>KX5</f>
        <v>FY</v>
      </c>
      <c r="AW5" s="90" t="str">
        <f>LE5</f>
        <v>FY</v>
      </c>
      <c r="AX5" s="90" t="str">
        <f>LL5</f>
        <v>FY</v>
      </c>
      <c r="AY5" s="90" t="str">
        <f>LS5</f>
        <v>FY</v>
      </c>
      <c r="AZ5" s="90" t="str">
        <f>LZ5</f>
        <v>FY</v>
      </c>
      <c r="BA5" s="90" t="str">
        <f>MG5</f>
        <v>FY</v>
      </c>
      <c r="BB5" s="90"/>
      <c r="BC5" s="90"/>
      <c r="BD5" s="90"/>
      <c r="BE5" s="90"/>
      <c r="BF5" s="90"/>
      <c r="BG5" s="90"/>
      <c r="BH5" s="90"/>
      <c r="BI5" s="90"/>
      <c r="BJ5" s="90"/>
      <c r="BK5" s="90"/>
      <c r="BL5" s="90"/>
      <c r="BM5" s="90"/>
      <c r="BO5" s="88" t="str">
        <f>$B5</f>
        <v>($ in millions except per share amounts)</v>
      </c>
      <c r="BP5" s="92">
        <f>CSX!BR5</f>
        <v>32598</v>
      </c>
      <c r="BQ5" s="92">
        <f>CSX!BS5</f>
        <v>32689</v>
      </c>
      <c r="BR5" s="92">
        <f>CSX!BT5</f>
        <v>32781</v>
      </c>
      <c r="BS5" s="92">
        <f>CSX!BU5</f>
        <v>32873</v>
      </c>
      <c r="BT5" s="92" t="str">
        <f>CSX!BV5</f>
        <v>FY</v>
      </c>
      <c r="BU5" s="77"/>
      <c r="BV5" s="88" t="str">
        <f>$B5</f>
        <v>($ in millions except per share amounts)</v>
      </c>
      <c r="BW5" s="92">
        <f>CSX!BY5</f>
        <v>32963</v>
      </c>
      <c r="BX5" s="92">
        <f>CSX!BZ5</f>
        <v>33054</v>
      </c>
      <c r="BY5" s="92">
        <f>CSX!CA5</f>
        <v>33146</v>
      </c>
      <c r="BZ5" s="92">
        <f>CSX!CB5</f>
        <v>33238</v>
      </c>
      <c r="CA5" s="92" t="str">
        <f>CSX!CC5</f>
        <v>FY</v>
      </c>
      <c r="CB5" s="77"/>
      <c r="CC5" s="88" t="str">
        <f>$B5</f>
        <v>($ in millions except per share amounts)</v>
      </c>
      <c r="CD5" s="92">
        <f>CSX!CF5</f>
        <v>33328</v>
      </c>
      <c r="CE5" s="92">
        <f>CSX!CG5</f>
        <v>33419</v>
      </c>
      <c r="CF5" s="92">
        <f>CSX!CH5</f>
        <v>33511</v>
      </c>
      <c r="CG5" s="92">
        <f>CSX!CI5</f>
        <v>33603</v>
      </c>
      <c r="CH5" s="92" t="str">
        <f>CSX!CJ5</f>
        <v>FY</v>
      </c>
      <c r="CI5" s="77"/>
      <c r="CJ5" s="88" t="str">
        <f>$B5</f>
        <v>($ in millions except per share amounts)</v>
      </c>
      <c r="CK5" s="92">
        <f>CSX!CM5</f>
        <v>33694</v>
      </c>
      <c r="CL5" s="92">
        <f>CSX!CN5</f>
        <v>33785</v>
      </c>
      <c r="CM5" s="92">
        <f>CSX!CO5</f>
        <v>33877</v>
      </c>
      <c r="CN5" s="92">
        <f>CSX!CP5</f>
        <v>33969</v>
      </c>
      <c r="CO5" s="92" t="str">
        <f>CSX!CQ5</f>
        <v>FY</v>
      </c>
      <c r="CP5" s="94"/>
      <c r="CQ5" s="88" t="str">
        <f>$B5</f>
        <v>($ in millions except per share amounts)</v>
      </c>
      <c r="CR5" s="92">
        <f>CSX!CT5</f>
        <v>34059</v>
      </c>
      <c r="CS5" s="92">
        <f>CSX!CU5</f>
        <v>34150</v>
      </c>
      <c r="CT5" s="92">
        <f>CSX!CV5</f>
        <v>34242</v>
      </c>
      <c r="CU5" s="92">
        <f>CSX!CW5</f>
        <v>34334</v>
      </c>
      <c r="CV5" s="92" t="str">
        <f>CSX!CX5</f>
        <v>FY</v>
      </c>
      <c r="CW5" s="94"/>
      <c r="CX5" s="88" t="str">
        <f>$B5</f>
        <v>($ in millions except per share amounts)</v>
      </c>
      <c r="CY5" s="92">
        <f>CSX!DA5</f>
        <v>34424</v>
      </c>
      <c r="CZ5" s="92">
        <f>CSX!DB5</f>
        <v>34515</v>
      </c>
      <c r="DA5" s="92">
        <f>CSX!DC5</f>
        <v>34607</v>
      </c>
      <c r="DB5" s="92">
        <f>CSX!DD5</f>
        <v>34699</v>
      </c>
      <c r="DC5" s="92" t="str">
        <f>CSX!DE5</f>
        <v>FY</v>
      </c>
      <c r="DD5" s="94"/>
      <c r="DE5" s="88" t="str">
        <f>$B5</f>
        <v>($ in millions except per share amounts)</v>
      </c>
      <c r="DF5" s="92">
        <f>CSX!DH5</f>
        <v>34789</v>
      </c>
      <c r="DG5" s="92">
        <f>CSX!DI5</f>
        <v>34880</v>
      </c>
      <c r="DH5" s="92">
        <f>CSX!DJ5</f>
        <v>34972</v>
      </c>
      <c r="DI5" s="92">
        <f>CSX!DK5</f>
        <v>35064</v>
      </c>
      <c r="DJ5" s="92" t="str">
        <f>CSX!DL5</f>
        <v>FY</v>
      </c>
      <c r="DK5" s="94"/>
      <c r="DL5" s="88" t="str">
        <f>$B5</f>
        <v>($ in millions except per share amounts)</v>
      </c>
      <c r="DM5" s="92">
        <f>CSX!DO5</f>
        <v>35155</v>
      </c>
      <c r="DN5" s="92">
        <f>CSX!DP5</f>
        <v>35246</v>
      </c>
      <c r="DO5" s="92">
        <f>CSX!DQ5</f>
        <v>35338</v>
      </c>
      <c r="DP5" s="92">
        <f>CSX!DR5</f>
        <v>35430</v>
      </c>
      <c r="DQ5" s="92" t="str">
        <f>CSX!DS5</f>
        <v>FY</v>
      </c>
      <c r="DR5" s="94"/>
      <c r="DS5" s="88" t="str">
        <f>$B5</f>
        <v>($ in millions except per share amounts)</v>
      </c>
      <c r="DT5" s="92">
        <f>CSX!DV5</f>
        <v>35520</v>
      </c>
      <c r="DU5" s="92">
        <f>CSX!DW5</f>
        <v>35611</v>
      </c>
      <c r="DV5" s="92">
        <f>CSX!DX5</f>
        <v>35703</v>
      </c>
      <c r="DW5" s="92">
        <f>CSX!DY5</f>
        <v>35795</v>
      </c>
      <c r="DX5" s="92" t="str">
        <f>CSX!DZ5</f>
        <v>FY</v>
      </c>
      <c r="DY5" s="94"/>
      <c r="DZ5" s="88" t="str">
        <f>$B5</f>
        <v>($ in millions except per share amounts)</v>
      </c>
      <c r="EA5" s="92">
        <f>CSX!EC5</f>
        <v>35885</v>
      </c>
      <c r="EB5" s="92">
        <f>CSX!ED5</f>
        <v>35976</v>
      </c>
      <c r="EC5" s="92">
        <f>CSX!EE5</f>
        <v>36068</v>
      </c>
      <c r="ED5" s="92">
        <f>CSX!EF5</f>
        <v>36160</v>
      </c>
      <c r="EE5" s="92" t="str">
        <f>CSX!EG5</f>
        <v>FY</v>
      </c>
      <c r="EF5" s="94"/>
      <c r="EG5" s="88" t="str">
        <f>$B5</f>
        <v>($ in millions except per share amounts)</v>
      </c>
      <c r="EH5" s="92">
        <f>CSX!EJ5</f>
        <v>36250</v>
      </c>
      <c r="EI5" s="92">
        <f>CSX!EK5</f>
        <v>36341</v>
      </c>
      <c r="EJ5" s="92">
        <f>CSX!EL5</f>
        <v>36433</v>
      </c>
      <c r="EK5" s="92">
        <f>CSX!EM5</f>
        <v>36525</v>
      </c>
      <c r="EL5" s="92" t="str">
        <f>CSX!EN5</f>
        <v>FY</v>
      </c>
      <c r="EM5" s="94"/>
      <c r="EN5" s="88" t="str">
        <f>$B5</f>
        <v>($ in millions except per share amounts)</v>
      </c>
      <c r="EO5" s="92">
        <f>CSX!EQ5</f>
        <v>36616</v>
      </c>
      <c r="EP5" s="92">
        <f>CSX!ER5</f>
        <v>36707</v>
      </c>
      <c r="EQ5" s="92">
        <f>CSX!ES5</f>
        <v>36799</v>
      </c>
      <c r="ER5" s="92">
        <f>CSX!ET5</f>
        <v>36891</v>
      </c>
      <c r="ES5" s="92" t="str">
        <f>CSX!EU5</f>
        <v>FY</v>
      </c>
      <c r="ET5" s="77"/>
      <c r="EU5" s="88" t="str">
        <f>$B5</f>
        <v>($ in millions except per share amounts)</v>
      </c>
      <c r="EV5" s="92">
        <f>CSX!EX5</f>
        <v>36981</v>
      </c>
      <c r="EW5" s="92">
        <f>CSX!EY5</f>
        <v>37072</v>
      </c>
      <c r="EX5" s="92">
        <f>CSX!EZ5</f>
        <v>37164</v>
      </c>
      <c r="EY5" s="92">
        <f>CSX!FA5</f>
        <v>37256</v>
      </c>
      <c r="EZ5" s="92" t="str">
        <f>CSX!FB5</f>
        <v>FY</v>
      </c>
      <c r="FA5" s="77"/>
      <c r="FB5" s="88" t="str">
        <f>$B5</f>
        <v>($ in millions except per share amounts)</v>
      </c>
      <c r="FC5" s="92">
        <f>CSX!FE5</f>
        <v>37346</v>
      </c>
      <c r="FD5" s="92">
        <f>CSX!FF5</f>
        <v>37437</v>
      </c>
      <c r="FE5" s="92">
        <f>CSX!FG5</f>
        <v>37529</v>
      </c>
      <c r="FF5" s="92">
        <f>CSX!FH5</f>
        <v>37621</v>
      </c>
      <c r="FG5" s="92" t="str">
        <f>CSX!FI5</f>
        <v>FY</v>
      </c>
      <c r="FH5" s="77"/>
      <c r="FI5" s="88" t="str">
        <f>$B5</f>
        <v>($ in millions except per share amounts)</v>
      </c>
      <c r="FJ5" s="92">
        <f>CSX!FL5</f>
        <v>37711</v>
      </c>
      <c r="FK5" s="92">
        <f>CSX!FM5</f>
        <v>37802</v>
      </c>
      <c r="FL5" s="92">
        <f>CSX!FN5</f>
        <v>37894</v>
      </c>
      <c r="FM5" s="92">
        <f>CSX!FO5</f>
        <v>37986</v>
      </c>
      <c r="FN5" s="92" t="str">
        <f>CSX!FP5</f>
        <v>FY</v>
      </c>
      <c r="FO5" s="77"/>
      <c r="FP5" s="88" t="str">
        <f>$B5</f>
        <v>($ in millions except per share amounts)</v>
      </c>
      <c r="FQ5" s="92">
        <f>CSX!FS5</f>
        <v>38077</v>
      </c>
      <c r="FR5" s="92">
        <f>CSX!FT5</f>
        <v>38168</v>
      </c>
      <c r="FS5" s="92">
        <f>CSX!FU5</f>
        <v>38260</v>
      </c>
      <c r="FT5" s="92">
        <f>CSX!FV5</f>
        <v>38352</v>
      </c>
      <c r="FU5" s="92" t="str">
        <f>CSX!FW5</f>
        <v>FY</v>
      </c>
      <c r="FV5" s="77"/>
      <c r="FW5" s="88" t="str">
        <f>$B5</f>
        <v>($ in millions except per share amounts)</v>
      </c>
      <c r="FX5" s="92">
        <f>CSX!FZ5</f>
        <v>38442</v>
      </c>
      <c r="FY5" s="92">
        <f>CSX!GA5</f>
        <v>38533</v>
      </c>
      <c r="FZ5" s="92">
        <f>CSX!GB5</f>
        <v>38625</v>
      </c>
      <c r="GA5" s="92">
        <f>CSX!GC5</f>
        <v>38717</v>
      </c>
      <c r="GB5" s="92" t="str">
        <f>CSX!GD5</f>
        <v>FY</v>
      </c>
      <c r="GC5" s="94"/>
      <c r="GD5" s="88" t="str">
        <f>$B5</f>
        <v>($ in millions except per share amounts)</v>
      </c>
      <c r="GE5" s="92">
        <f>CSX!GG5</f>
        <v>38807</v>
      </c>
      <c r="GF5" s="92">
        <f>CSX!GH5</f>
        <v>38898</v>
      </c>
      <c r="GG5" s="92">
        <f>CSX!GI5</f>
        <v>38990</v>
      </c>
      <c r="GH5" s="92">
        <f>CSX!GJ5</f>
        <v>39082</v>
      </c>
      <c r="GI5" s="92" t="str">
        <f>CSX!GK5</f>
        <v>FY</v>
      </c>
      <c r="GJ5" s="94"/>
      <c r="GK5" s="88" t="str">
        <f>$B5</f>
        <v>($ in millions except per share amounts)</v>
      </c>
      <c r="GL5" s="92">
        <f>CSX!GN5</f>
        <v>39172</v>
      </c>
      <c r="GM5" s="92">
        <f>CSX!GO5</f>
        <v>39263</v>
      </c>
      <c r="GN5" s="92">
        <f>CSX!GP5</f>
        <v>39355</v>
      </c>
      <c r="GO5" s="92">
        <f>CSX!GQ5</f>
        <v>39447</v>
      </c>
      <c r="GP5" s="92" t="str">
        <f>CSX!GR5</f>
        <v>FY</v>
      </c>
      <c r="GQ5" s="94"/>
      <c r="GR5" s="88" t="str">
        <f>$B5</f>
        <v>($ in millions except per share amounts)</v>
      </c>
      <c r="GS5" s="92">
        <f>CSX!GU5</f>
        <v>39538</v>
      </c>
      <c r="GT5" s="92">
        <f>CSX!GV5</f>
        <v>39629</v>
      </c>
      <c r="GU5" s="92">
        <f>CSX!GW5</f>
        <v>39721</v>
      </c>
      <c r="GV5" s="92">
        <f>CSX!GX5</f>
        <v>39813</v>
      </c>
      <c r="GW5" s="92" t="str">
        <f>CSX!GY5</f>
        <v>FY</v>
      </c>
      <c r="GX5" s="94"/>
      <c r="GY5" s="88" t="str">
        <f>$B5</f>
        <v>($ in millions except per share amounts)</v>
      </c>
      <c r="GZ5" s="92">
        <f>CSX!HB5</f>
        <v>39903</v>
      </c>
      <c r="HA5" s="92">
        <f>CSX!HC5</f>
        <v>39994</v>
      </c>
      <c r="HB5" s="92">
        <f>CSX!HD5</f>
        <v>40086</v>
      </c>
      <c r="HC5" s="92">
        <f>CSX!HE5</f>
        <v>40178</v>
      </c>
      <c r="HD5" s="92" t="str">
        <f>CSX!HF5</f>
        <v>FY</v>
      </c>
      <c r="HE5" s="94"/>
      <c r="HF5" s="88" t="str">
        <f>$B5</f>
        <v>($ in millions except per share amounts)</v>
      </c>
      <c r="HG5" s="92">
        <f>CSX!HI5</f>
        <v>40268</v>
      </c>
      <c r="HH5" s="92">
        <f>CSX!HJ5</f>
        <v>40359</v>
      </c>
      <c r="HI5" s="92">
        <f>CSX!HK5</f>
        <v>40451</v>
      </c>
      <c r="HJ5" s="92">
        <f>CSX!HL5</f>
        <v>40543</v>
      </c>
      <c r="HK5" s="92" t="str">
        <f>CSX!HM5</f>
        <v>FY</v>
      </c>
      <c r="HL5" s="94"/>
      <c r="HM5" s="88" t="str">
        <f>$B5</f>
        <v>($ in millions except per share amounts)</v>
      </c>
      <c r="HN5" s="92">
        <f>CSX!HP5</f>
        <v>40633</v>
      </c>
      <c r="HO5" s="92">
        <f>CSX!HQ5</f>
        <v>40724</v>
      </c>
      <c r="HP5" s="92">
        <f>CSX!HR5</f>
        <v>40816</v>
      </c>
      <c r="HQ5" s="92">
        <f>CSX!HS5</f>
        <v>40908</v>
      </c>
      <c r="HR5" s="92" t="str">
        <f>CSX!HT5</f>
        <v>FY</v>
      </c>
      <c r="HS5" s="94"/>
      <c r="HT5" s="88" t="str">
        <f>$B5</f>
        <v>($ in millions except per share amounts)</v>
      </c>
      <c r="HU5" s="92">
        <f>CSX!HW5</f>
        <v>40999</v>
      </c>
      <c r="HV5" s="92">
        <f>CSX!HX5</f>
        <v>41090</v>
      </c>
      <c r="HW5" s="92">
        <f>CSX!HY5</f>
        <v>41182</v>
      </c>
      <c r="HX5" s="92">
        <f>CSX!HZ5</f>
        <v>41274</v>
      </c>
      <c r="HY5" s="92" t="str">
        <f>CSX!IA5</f>
        <v>FY</v>
      </c>
      <c r="HZ5" s="94"/>
      <c r="IA5" s="88" t="str">
        <f>$B5</f>
        <v>($ in millions except per share amounts)</v>
      </c>
      <c r="IB5" s="92">
        <f>CSX!ID5</f>
        <v>41364</v>
      </c>
      <c r="IC5" s="92">
        <f>CSX!IE5</f>
        <v>41455</v>
      </c>
      <c r="ID5" s="92">
        <f>CSX!IF5</f>
        <v>41547</v>
      </c>
      <c r="IE5" s="92">
        <f>CSX!IG5</f>
        <v>41639</v>
      </c>
      <c r="IF5" s="92" t="str">
        <f>CSX!IH5</f>
        <v>FY</v>
      </c>
      <c r="IG5" s="94"/>
      <c r="IH5" s="88" t="str">
        <f>$B5</f>
        <v>($ in millions except per share amounts)</v>
      </c>
      <c r="II5" s="92">
        <f>CSX!IK5</f>
        <v>41729</v>
      </c>
      <c r="IJ5" s="92">
        <f>CSX!IL5</f>
        <v>41820</v>
      </c>
      <c r="IK5" s="92">
        <f>CSX!IM5</f>
        <v>41912</v>
      </c>
      <c r="IL5" s="92">
        <f>CSX!IN5</f>
        <v>42004</v>
      </c>
      <c r="IM5" s="92" t="str">
        <f>CSX!IO5</f>
        <v>FY</v>
      </c>
      <c r="IN5" s="94"/>
      <c r="IO5" s="88" t="str">
        <f>$B5</f>
        <v>($ in millions except per share amounts)</v>
      </c>
      <c r="IP5" s="92">
        <f>CSX!IR5</f>
        <v>42094</v>
      </c>
      <c r="IQ5" s="92">
        <f>CSX!IS5</f>
        <v>42185</v>
      </c>
      <c r="IR5" s="92">
        <f>CSX!IT5</f>
        <v>42277</v>
      </c>
      <c r="IS5" s="92">
        <f>CSX!IU5</f>
        <v>42369</v>
      </c>
      <c r="IT5" s="92" t="str">
        <f>CSX!IV5</f>
        <v>FY</v>
      </c>
      <c r="IU5" s="94"/>
      <c r="IV5" s="88" t="str">
        <f>$B5</f>
        <v>($ in millions except per share amounts)</v>
      </c>
      <c r="IW5" s="92">
        <f>CSX!IY5</f>
        <v>42460</v>
      </c>
      <c r="IX5" s="92">
        <f>CSX!IZ5</f>
        <v>42551</v>
      </c>
      <c r="IY5" s="92">
        <f>CSX!JA5</f>
        <v>42643</v>
      </c>
      <c r="IZ5" s="92">
        <f>CSX!JB5</f>
        <v>42735</v>
      </c>
      <c r="JA5" s="92" t="str">
        <f>CSX!JC5</f>
        <v>FY</v>
      </c>
      <c r="JB5" s="94"/>
      <c r="JC5" s="88" t="str">
        <f>$B5</f>
        <v>($ in millions except per share amounts)</v>
      </c>
      <c r="JD5" s="92">
        <f>CSX!JF5</f>
        <v>42825</v>
      </c>
      <c r="JE5" s="92">
        <f>CSX!JG5</f>
        <v>42916</v>
      </c>
      <c r="JF5" s="92">
        <f>CSX!JH5</f>
        <v>43008</v>
      </c>
      <c r="JG5" s="92">
        <f>CSX!JI5</f>
        <v>43100</v>
      </c>
      <c r="JH5" s="92" t="str">
        <f>CSX!JJ5</f>
        <v>FY</v>
      </c>
      <c r="JI5" s="94"/>
      <c r="JJ5" s="88" t="str">
        <f>$B5</f>
        <v>($ in millions except per share amounts)</v>
      </c>
      <c r="JK5" s="92">
        <f>CSX!JM5</f>
        <v>43190</v>
      </c>
      <c r="JL5" s="92">
        <f>CSX!JN5</f>
        <v>43281</v>
      </c>
      <c r="JM5" s="92">
        <f>CSX!JO5</f>
        <v>43373</v>
      </c>
      <c r="JN5" s="92">
        <f>CSX!JP5</f>
        <v>43465</v>
      </c>
      <c r="JO5" s="92" t="str">
        <f>CSX!JQ5</f>
        <v>FY</v>
      </c>
      <c r="JP5" s="94"/>
      <c r="JQ5" s="88" t="str">
        <f>$B5</f>
        <v>($ in millions except per share amounts)</v>
      </c>
      <c r="JR5" s="92">
        <f>CSX!JT5</f>
        <v>43555</v>
      </c>
      <c r="JS5" s="92">
        <f>CSX!JU5</f>
        <v>43646</v>
      </c>
      <c r="JT5" s="92">
        <f>CSX!JV5</f>
        <v>43738</v>
      </c>
      <c r="JU5" s="92">
        <f>CSX!JW5</f>
        <v>43830</v>
      </c>
      <c r="JV5" s="92" t="str">
        <f>CSX!JX5</f>
        <v>FY</v>
      </c>
      <c r="JW5" s="94"/>
      <c r="JX5" s="88" t="str">
        <f>$B5</f>
        <v>($ in millions except per share amounts)</v>
      </c>
      <c r="JY5" s="92">
        <f>CSX!KA5</f>
        <v>43921</v>
      </c>
      <c r="JZ5" s="92">
        <f>CSX!KB5</f>
        <v>44012</v>
      </c>
      <c r="KA5" s="92">
        <f>CSX!KC5</f>
        <v>44104</v>
      </c>
      <c r="KB5" s="92">
        <f>CSX!KD5</f>
        <v>44196</v>
      </c>
      <c r="KC5" s="92" t="str">
        <f>CSX!KE5</f>
        <v>FY</v>
      </c>
      <c r="KD5" s="94"/>
      <c r="KE5" s="88" t="str">
        <f>$B5</f>
        <v>($ in millions except per share amounts)</v>
      </c>
      <c r="KF5" s="92">
        <f>CSX!KH5</f>
        <v>44286</v>
      </c>
      <c r="KG5" s="92">
        <f>CSX!KI5</f>
        <v>44377</v>
      </c>
      <c r="KH5" s="92">
        <f>CSX!KJ5</f>
        <v>44469</v>
      </c>
      <c r="KI5" s="92">
        <f>CSX!KK5</f>
        <v>44561</v>
      </c>
      <c r="KJ5" s="92" t="str">
        <f>CSX!KL5</f>
        <v>FY</v>
      </c>
      <c r="KK5" s="94"/>
      <c r="KL5" s="88" t="str">
        <f>$B5</f>
        <v>($ in millions except per share amounts)</v>
      </c>
      <c r="KM5" s="92">
        <f>CSX!KO5</f>
        <v>44651</v>
      </c>
      <c r="KN5" s="92">
        <f>CSX!KP5</f>
        <v>44742</v>
      </c>
      <c r="KO5" s="92">
        <f>CSX!KQ5</f>
        <v>44834</v>
      </c>
      <c r="KP5" s="92">
        <f>CSX!KR5</f>
        <v>44926</v>
      </c>
      <c r="KQ5" s="92" t="str">
        <f>CSX!KS5</f>
        <v>FY</v>
      </c>
      <c r="KR5" s="94"/>
      <c r="KS5" s="88" t="str">
        <f>$B5</f>
        <v>($ in millions except per share amounts)</v>
      </c>
      <c r="KT5" s="92">
        <f>CSX!KV5</f>
        <v>45016</v>
      </c>
      <c r="KU5" s="92">
        <f>CSX!KW5</f>
        <v>45107</v>
      </c>
      <c r="KV5" s="92">
        <f>CSX!KX5</f>
        <v>45199</v>
      </c>
      <c r="KW5" s="92">
        <f>CSX!KY5</f>
        <v>45291</v>
      </c>
      <c r="KX5" s="92" t="str">
        <f>CSX!KZ5</f>
        <v>FY</v>
      </c>
      <c r="KY5" s="94"/>
      <c r="KZ5" s="88" t="str">
        <f>$B5</f>
        <v>($ in millions except per share amounts)</v>
      </c>
      <c r="LA5" s="92">
        <f>CSX!LC5</f>
        <v>45382</v>
      </c>
      <c r="LB5" s="92">
        <f>CSX!LD5</f>
        <v>45473</v>
      </c>
      <c r="LC5" s="92">
        <f>CSX!LE5</f>
        <v>45565</v>
      </c>
      <c r="LD5" s="92">
        <f>CSX!LF5</f>
        <v>45657</v>
      </c>
      <c r="LE5" s="95" t="str">
        <f>CSX!LG5</f>
        <v>FY</v>
      </c>
      <c r="LF5" s="547"/>
      <c r="LG5" s="88" t="str">
        <f>$B5</f>
        <v>($ in millions except per share amounts)</v>
      </c>
      <c r="LH5" s="92">
        <f>CSX!LJ5</f>
        <v>45747</v>
      </c>
      <c r="LI5" s="92">
        <f>CSX!LK5</f>
        <v>45838</v>
      </c>
      <c r="LJ5" s="92">
        <f>CSX!LL5</f>
        <v>45930</v>
      </c>
      <c r="LK5" s="92">
        <f>CSX!LM5</f>
        <v>46022</v>
      </c>
      <c r="LL5" s="95" t="str">
        <f>CSX!LN5</f>
        <v>FY</v>
      </c>
      <c r="LM5" s="547"/>
      <c r="LN5" s="88" t="str">
        <f>$B5</f>
        <v>($ in millions except per share amounts)</v>
      </c>
      <c r="LO5" s="92">
        <f>CSX!LQ5</f>
        <v>46112</v>
      </c>
      <c r="LP5" s="92">
        <f>CSX!LR5</f>
        <v>46203</v>
      </c>
      <c r="LQ5" s="92">
        <f>CSX!LS5</f>
        <v>46295</v>
      </c>
      <c r="LR5" s="92">
        <f>CSX!LT5</f>
        <v>46387</v>
      </c>
      <c r="LS5" s="95" t="str">
        <f>CSX!LU5</f>
        <v>FY</v>
      </c>
      <c r="LT5" s="547"/>
      <c r="LU5" s="88" t="str">
        <f>$B5</f>
        <v>($ in millions except per share amounts)</v>
      </c>
      <c r="LV5" s="92">
        <f>CSX!LX5</f>
        <v>46477</v>
      </c>
      <c r="LW5" s="92">
        <f>CSX!LY5</f>
        <v>46568</v>
      </c>
      <c r="LX5" s="92">
        <f>CSX!LZ5</f>
        <v>46660</v>
      </c>
      <c r="LY5" s="92">
        <f>CSX!MA5</f>
        <v>46752</v>
      </c>
      <c r="LZ5" s="95" t="str">
        <f>CSX!MB5</f>
        <v>FY</v>
      </c>
      <c r="MA5" s="547"/>
      <c r="MB5" s="88" t="str">
        <f>$B5</f>
        <v>($ in millions except per share amounts)</v>
      </c>
      <c r="MC5" s="92">
        <f>CSX!ME5</f>
        <v>46843</v>
      </c>
      <c r="MD5" s="92">
        <f>CSX!MF5</f>
        <v>46934</v>
      </c>
      <c r="ME5" s="92">
        <f>CSX!MG5</f>
        <v>47026</v>
      </c>
      <c r="MF5" s="92">
        <f>CSX!MH5</f>
        <v>47118</v>
      </c>
      <c r="MG5" s="95" t="str">
        <f>CSX!MI5</f>
        <v>FY</v>
      </c>
      <c r="MH5" s="547"/>
    </row>
    <row r="6" spans="1:346" s="37" customFormat="1" ht="13.5" thickBot="1" x14ac:dyDescent="0.45">
      <c r="A6" s="96"/>
      <c r="B6" s="36"/>
      <c r="BO6" s="36"/>
      <c r="BV6" s="36"/>
      <c r="CC6" s="36"/>
      <c r="CJ6" s="36"/>
      <c r="CQ6" s="36"/>
      <c r="CX6" s="36"/>
      <c r="DE6" s="36"/>
      <c r="DL6" s="36"/>
      <c r="DS6" s="36"/>
      <c r="DZ6" s="36"/>
      <c r="EG6" s="36"/>
      <c r="EN6" s="36"/>
      <c r="EU6" s="36"/>
      <c r="FB6" s="36"/>
      <c r="FI6" s="36"/>
      <c r="FP6" s="36"/>
      <c r="FW6" s="36"/>
      <c r="GD6" s="36"/>
      <c r="GK6" s="36"/>
      <c r="GR6" s="36"/>
      <c r="GY6" s="36"/>
      <c r="HF6" s="36"/>
      <c r="HM6" s="36"/>
      <c r="HT6" s="36"/>
      <c r="IA6" s="36"/>
      <c r="IH6" s="36"/>
      <c r="IO6" s="36"/>
      <c r="IV6" s="36"/>
      <c r="JC6" s="36"/>
      <c r="JJ6" s="36"/>
      <c r="JQ6" s="36"/>
      <c r="JX6" s="36"/>
      <c r="KE6" s="36"/>
      <c r="KL6" s="36"/>
      <c r="KS6" s="36"/>
      <c r="KZ6" s="36"/>
      <c r="LF6" s="565"/>
      <c r="LG6" s="36"/>
      <c r="LM6" s="565"/>
      <c r="LN6" s="36"/>
      <c r="LT6" s="565"/>
      <c r="LU6" s="36"/>
      <c r="MA6" s="565"/>
      <c r="MB6" s="36"/>
      <c r="MH6" s="565"/>
    </row>
    <row r="7" spans="1:346" s="37" customFormat="1" ht="13.5" thickBot="1" x14ac:dyDescent="0.45">
      <c r="A7" s="97"/>
      <c r="B7" s="98" t="s">
        <v>2</v>
      </c>
      <c r="C7" s="99"/>
      <c r="D7" s="99"/>
      <c r="E7" s="99"/>
      <c r="F7" s="99"/>
      <c r="G7" s="99"/>
      <c r="H7" s="99"/>
      <c r="I7" s="99"/>
      <c r="J7" s="99"/>
      <c r="K7" s="99"/>
      <c r="L7" s="99"/>
      <c r="M7" s="99"/>
      <c r="N7" s="99"/>
      <c r="O7" s="99"/>
      <c r="P7" s="99"/>
      <c r="Q7" s="99"/>
      <c r="R7" s="99"/>
      <c r="S7" s="99"/>
      <c r="T7" s="99"/>
      <c r="U7" s="99"/>
      <c r="V7" s="99"/>
      <c r="W7" s="99"/>
      <c r="X7" s="99"/>
      <c r="Y7" s="99"/>
      <c r="Z7" s="99"/>
      <c r="AA7" s="99"/>
      <c r="AB7" s="99"/>
      <c r="AC7" s="99"/>
      <c r="AD7" s="99"/>
      <c r="AE7" s="99"/>
      <c r="AF7" s="99"/>
      <c r="AG7" s="99"/>
      <c r="AH7" s="99"/>
      <c r="AI7" s="99"/>
      <c r="AJ7" s="99"/>
      <c r="AK7" s="99"/>
      <c r="AL7" s="99"/>
      <c r="AM7" s="99"/>
      <c r="AN7" s="99"/>
      <c r="AO7" s="99"/>
      <c r="AP7" s="99"/>
      <c r="AQ7" s="99"/>
      <c r="AR7" s="99"/>
      <c r="AS7" s="99"/>
      <c r="AT7" s="99"/>
      <c r="AU7" s="99"/>
      <c r="AV7" s="99"/>
      <c r="AW7" s="99"/>
      <c r="AX7" s="99"/>
      <c r="AY7" s="99"/>
      <c r="AZ7" s="99"/>
      <c r="BA7" s="99"/>
      <c r="BB7" s="99"/>
      <c r="BC7" s="99"/>
      <c r="BD7" s="99"/>
      <c r="BE7" s="99"/>
      <c r="BF7" s="99"/>
      <c r="BG7" s="99"/>
      <c r="BH7" s="99"/>
      <c r="BI7" s="99"/>
      <c r="BJ7" s="99"/>
      <c r="BK7" s="99"/>
      <c r="BL7" s="99"/>
      <c r="BM7" s="99"/>
      <c r="BO7" s="98" t="s">
        <v>2</v>
      </c>
      <c r="BP7" s="99"/>
      <c r="BQ7" s="99"/>
      <c r="BR7" s="99"/>
      <c r="BS7" s="99"/>
      <c r="BT7" s="99"/>
      <c r="BV7" s="98" t="s">
        <v>2</v>
      </c>
      <c r="BW7" s="99"/>
      <c r="BX7" s="99"/>
      <c r="BY7" s="99"/>
      <c r="BZ7" s="99"/>
      <c r="CA7" s="99"/>
      <c r="CC7" s="98" t="s">
        <v>2</v>
      </c>
      <c r="CD7" s="99"/>
      <c r="CE7" s="99"/>
      <c r="CF7" s="99"/>
      <c r="CG7" s="99"/>
      <c r="CH7" s="99"/>
      <c r="CJ7" s="98" t="s">
        <v>2</v>
      </c>
      <c r="CK7" s="99"/>
      <c r="CL7" s="99"/>
      <c r="CM7" s="99"/>
      <c r="CN7" s="99"/>
      <c r="CO7" s="99"/>
      <c r="CQ7" s="98" t="s">
        <v>2</v>
      </c>
      <c r="CR7" s="99"/>
      <c r="CS7" s="99"/>
      <c r="CT7" s="99"/>
      <c r="CU7" s="99"/>
      <c r="CV7" s="99"/>
      <c r="CX7" s="98" t="s">
        <v>2</v>
      </c>
      <c r="CY7" s="99"/>
      <c r="CZ7" s="99"/>
      <c r="DA7" s="99"/>
      <c r="DB7" s="99"/>
      <c r="DC7" s="99"/>
      <c r="DE7" s="98" t="s">
        <v>2</v>
      </c>
      <c r="DF7" s="99"/>
      <c r="DG7" s="99"/>
      <c r="DH7" s="99"/>
      <c r="DI7" s="99"/>
      <c r="DJ7" s="99"/>
      <c r="DL7" s="98" t="s">
        <v>2</v>
      </c>
      <c r="DM7" s="99"/>
      <c r="DN7" s="99"/>
      <c r="DO7" s="99"/>
      <c r="DP7" s="99"/>
      <c r="DQ7" s="99"/>
      <c r="DS7" s="98" t="s">
        <v>2</v>
      </c>
      <c r="DT7" s="99"/>
      <c r="DU7" s="99"/>
      <c r="DV7" s="99"/>
      <c r="DW7" s="99"/>
      <c r="DX7" s="99"/>
      <c r="DZ7" s="98" t="s">
        <v>2</v>
      </c>
      <c r="EA7" s="99"/>
      <c r="EB7" s="99"/>
      <c r="EC7" s="99"/>
      <c r="ED7" s="99"/>
      <c r="EE7" s="99"/>
      <c r="EG7" s="98" t="s">
        <v>2</v>
      </c>
      <c r="EH7" s="99"/>
      <c r="EI7" s="99"/>
      <c r="EJ7" s="99"/>
      <c r="EK7" s="99"/>
      <c r="EL7" s="99"/>
      <c r="EN7" s="98" t="s">
        <v>2</v>
      </c>
      <c r="EO7" s="99"/>
      <c r="EP7" s="99"/>
      <c r="EQ7" s="99"/>
      <c r="ER7" s="99"/>
      <c r="ES7" s="99"/>
      <c r="EU7" s="98" t="s">
        <v>2</v>
      </c>
      <c r="EV7" s="99"/>
      <c r="EW7" s="99"/>
      <c r="EX7" s="99"/>
      <c r="EY7" s="99"/>
      <c r="EZ7" s="99"/>
      <c r="FB7" s="98" t="s">
        <v>2</v>
      </c>
      <c r="FC7" s="99"/>
      <c r="FD7" s="99"/>
      <c r="FE7" s="99"/>
      <c r="FF7" s="99"/>
      <c r="FG7" s="99"/>
      <c r="FI7" s="98" t="s">
        <v>2</v>
      </c>
      <c r="FJ7" s="99"/>
      <c r="FK7" s="99"/>
      <c r="FL7" s="99"/>
      <c r="FM7" s="99"/>
      <c r="FN7" s="99"/>
      <c r="FP7" s="98" t="s">
        <v>2</v>
      </c>
      <c r="FQ7" s="99"/>
      <c r="FR7" s="99"/>
      <c r="FS7" s="99"/>
      <c r="FT7" s="99"/>
      <c r="FU7" s="99"/>
      <c r="FW7" s="98" t="s">
        <v>2</v>
      </c>
      <c r="FX7" s="99"/>
      <c r="FY7" s="99"/>
      <c r="FZ7" s="99"/>
      <c r="GA7" s="99"/>
      <c r="GB7" s="99"/>
      <c r="GD7" s="98" t="s">
        <v>2</v>
      </c>
      <c r="GE7" s="99"/>
      <c r="GF7" s="99"/>
      <c r="GG7" s="99"/>
      <c r="GH7" s="99"/>
      <c r="GI7" s="99"/>
      <c r="GK7" s="98" t="s">
        <v>2</v>
      </c>
      <c r="GL7" s="99"/>
      <c r="GM7" s="99"/>
      <c r="GN7" s="99"/>
      <c r="GO7" s="99"/>
      <c r="GP7" s="99"/>
      <c r="GR7" s="98" t="s">
        <v>2</v>
      </c>
      <c r="GS7" s="99"/>
      <c r="GT7" s="99"/>
      <c r="GU7" s="99"/>
      <c r="GV7" s="99"/>
      <c r="GW7" s="99"/>
      <c r="GY7" s="98" t="s">
        <v>2</v>
      </c>
      <c r="GZ7" s="99"/>
      <c r="HA7" s="99"/>
      <c r="HB7" s="99"/>
      <c r="HC7" s="99"/>
      <c r="HD7" s="99"/>
      <c r="HF7" s="98" t="s">
        <v>2</v>
      </c>
      <c r="HG7" s="99"/>
      <c r="HH7" s="99"/>
      <c r="HI7" s="99"/>
      <c r="HJ7" s="99"/>
      <c r="HK7" s="99"/>
      <c r="HM7" s="98" t="s">
        <v>2</v>
      </c>
      <c r="HN7" s="99"/>
      <c r="HO7" s="99"/>
      <c r="HP7" s="99"/>
      <c r="HQ7" s="99"/>
      <c r="HR7" s="99"/>
      <c r="HT7" s="98" t="s">
        <v>2</v>
      </c>
      <c r="HU7" s="99"/>
      <c r="HV7" s="99"/>
      <c r="HW7" s="99"/>
      <c r="HX7" s="99"/>
      <c r="HY7" s="99"/>
      <c r="IA7" s="98" t="s">
        <v>2</v>
      </c>
      <c r="IB7" s="99"/>
      <c r="IC7" s="99"/>
      <c r="ID7" s="99"/>
      <c r="IE7" s="99"/>
      <c r="IF7" s="99"/>
      <c r="IH7" s="98" t="s">
        <v>2</v>
      </c>
      <c r="II7" s="99"/>
      <c r="IJ7" s="99"/>
      <c r="IK7" s="99"/>
      <c r="IL7" s="99"/>
      <c r="IM7" s="99"/>
      <c r="IO7" s="98" t="s">
        <v>2</v>
      </c>
      <c r="IP7" s="99"/>
      <c r="IQ7" s="99"/>
      <c r="IR7" s="99"/>
      <c r="IS7" s="99"/>
      <c r="IT7" s="99"/>
      <c r="IV7" s="98" t="s">
        <v>2</v>
      </c>
      <c r="IW7" s="99"/>
      <c r="IX7" s="99"/>
      <c r="IY7" s="99"/>
      <c r="IZ7" s="99"/>
      <c r="JA7" s="99"/>
      <c r="JC7" s="98" t="s">
        <v>2</v>
      </c>
      <c r="JD7" s="99"/>
      <c r="JE7" s="99"/>
      <c r="JF7" s="99"/>
      <c r="JG7" s="99"/>
      <c r="JH7" s="99"/>
      <c r="JJ7" s="98" t="s">
        <v>2</v>
      </c>
      <c r="JK7" s="99"/>
      <c r="JL7" s="99"/>
      <c r="JM7" s="99"/>
      <c r="JN7" s="99"/>
      <c r="JO7" s="99"/>
      <c r="JQ7" s="98" t="s">
        <v>2</v>
      </c>
      <c r="JR7" s="99"/>
      <c r="JS7" s="99"/>
      <c r="JT7" s="99"/>
      <c r="JU7" s="99"/>
      <c r="JV7" s="99"/>
      <c r="JX7" s="98" t="s">
        <v>2</v>
      </c>
      <c r="JY7" s="99"/>
      <c r="JZ7" s="99"/>
      <c r="KA7" s="99"/>
      <c r="KB7" s="99"/>
      <c r="KC7" s="99"/>
      <c r="KE7" s="98" t="s">
        <v>2</v>
      </c>
      <c r="KF7" s="99"/>
      <c r="KG7" s="99"/>
      <c r="KH7" s="99"/>
      <c r="KI7" s="99"/>
      <c r="KJ7" s="99"/>
      <c r="KL7" s="98" t="s">
        <v>2</v>
      </c>
      <c r="KM7" s="99"/>
      <c r="KN7" s="99"/>
      <c r="KO7" s="99"/>
      <c r="KP7" s="99"/>
      <c r="KQ7" s="99"/>
      <c r="KS7" s="98" t="s">
        <v>2</v>
      </c>
      <c r="KT7" s="99"/>
      <c r="KU7" s="99"/>
      <c r="KV7" s="99"/>
      <c r="KW7" s="99"/>
      <c r="KX7" s="99"/>
      <c r="KZ7" s="98" t="s">
        <v>2</v>
      </c>
      <c r="LA7" s="99"/>
      <c r="LB7" s="99"/>
      <c r="LC7" s="99"/>
      <c r="LD7" s="99"/>
      <c r="LE7" s="99"/>
      <c r="LF7" s="565"/>
      <c r="LG7" s="98" t="s">
        <v>2</v>
      </c>
      <c r="LH7" s="99"/>
      <c r="LI7" s="99"/>
      <c r="LJ7" s="99"/>
      <c r="LK7" s="99"/>
      <c r="LL7" s="99"/>
      <c r="LM7" s="565"/>
      <c r="LN7" s="98" t="s">
        <v>2</v>
      </c>
      <c r="LO7" s="99"/>
      <c r="LP7" s="99"/>
      <c r="LQ7" s="99"/>
      <c r="LR7" s="99"/>
      <c r="LS7" s="99"/>
      <c r="LT7" s="565"/>
      <c r="LU7" s="98" t="s">
        <v>2</v>
      </c>
      <c r="LV7" s="99"/>
      <c r="LW7" s="99"/>
      <c r="LX7" s="99"/>
      <c r="LY7" s="99"/>
      <c r="LZ7" s="99"/>
      <c r="MA7" s="565"/>
      <c r="MB7" s="98" t="s">
        <v>2</v>
      </c>
      <c r="MC7" s="99"/>
      <c r="MD7" s="99"/>
      <c r="ME7" s="99"/>
      <c r="MF7" s="99"/>
      <c r="MG7" s="99"/>
      <c r="MH7" s="565"/>
    </row>
    <row r="8" spans="1:346" s="37" customFormat="1" ht="13.15" x14ac:dyDescent="0.4">
      <c r="A8" s="97"/>
      <c r="B8" s="36"/>
      <c r="BO8" s="36"/>
      <c r="BV8" s="36"/>
      <c r="CC8" s="36"/>
      <c r="CJ8" s="36"/>
      <c r="CQ8" s="36"/>
      <c r="CX8" s="36"/>
      <c r="DE8" s="36"/>
      <c r="DL8" s="36"/>
      <c r="DS8" s="36"/>
      <c r="DZ8" s="36"/>
      <c r="EG8" s="36"/>
      <c r="EN8" s="36"/>
      <c r="EU8" s="36"/>
      <c r="FB8" s="36"/>
      <c r="FI8" s="36"/>
      <c r="FP8" s="36"/>
      <c r="FW8" s="36"/>
      <c r="GD8" s="36"/>
      <c r="GK8" s="36"/>
      <c r="GR8" s="36"/>
      <c r="GY8" s="36"/>
      <c r="HF8" s="36"/>
      <c r="HM8" s="36"/>
      <c r="HT8" s="36"/>
      <c r="IA8" s="36"/>
      <c r="IH8" s="36"/>
      <c r="IO8" s="36"/>
      <c r="IV8" s="36"/>
      <c r="JC8" s="36"/>
      <c r="JJ8" s="36"/>
      <c r="JQ8" s="36"/>
      <c r="JX8" s="36"/>
      <c r="KE8" s="36"/>
      <c r="KL8" s="36"/>
      <c r="KS8" s="36"/>
      <c r="KZ8" s="36"/>
      <c r="LD8" s="645"/>
      <c r="LE8" s="45"/>
      <c r="LF8" s="565"/>
      <c r="LG8" s="36"/>
      <c r="LL8" s="45"/>
      <c r="LM8" s="565"/>
      <c r="LN8" s="36"/>
      <c r="LS8" s="45"/>
      <c r="LT8" s="565"/>
      <c r="LU8" s="36"/>
      <c r="LZ8" s="45"/>
      <c r="MA8" s="565"/>
      <c r="MB8" s="36"/>
      <c r="MG8" s="45"/>
      <c r="MH8" s="565"/>
    </row>
    <row r="9" spans="1:346" s="521" customFormat="1" ht="13.15" x14ac:dyDescent="0.4">
      <c r="A9" s="597"/>
      <c r="B9" s="598" t="s">
        <v>31</v>
      </c>
      <c r="C9" s="301"/>
      <c r="D9" s="301"/>
      <c r="E9" s="301">
        <v>372.2</v>
      </c>
      <c r="F9" s="301">
        <v>416.2</v>
      </c>
      <c r="G9" s="301">
        <v>367.1</v>
      </c>
      <c r="H9" s="301">
        <v>407</v>
      </c>
      <c r="I9" s="301">
        <v>446</v>
      </c>
      <c r="J9" s="301">
        <v>426</v>
      </c>
      <c r="K9" s="301">
        <v>452</v>
      </c>
      <c r="L9" s="301">
        <v>508</v>
      </c>
      <c r="M9" s="301">
        <v>561</v>
      </c>
      <c r="N9" s="301">
        <f t="shared" ref="N9:N18" si="2">BT9</f>
        <v>565</v>
      </c>
      <c r="O9" s="301">
        <f t="shared" ref="O9:O18" si="3">CA9</f>
        <v>587</v>
      </c>
      <c r="P9" s="301">
        <f t="shared" ref="P9:P18" si="4">CH9</f>
        <v>593</v>
      </c>
      <c r="Q9" s="301">
        <f t="shared" ref="Q9:Q18" si="5">CO9</f>
        <v>619</v>
      </c>
      <c r="R9" s="301">
        <f t="shared" ref="R9:R18" si="6">CV9</f>
        <v>652</v>
      </c>
      <c r="S9" s="301">
        <f t="shared" ref="S9:S18" si="7">DC9</f>
        <v>685</v>
      </c>
      <c r="T9" s="301">
        <f t="shared" ref="T9:T18" si="8">DJ9</f>
        <v>700</v>
      </c>
      <c r="U9" s="301">
        <f t="shared" ref="U9:U18" si="9">DQ9</f>
        <v>720</v>
      </c>
      <c r="V9" s="301">
        <f t="shared" ref="V9:V18" si="10">DX9</f>
        <v>747</v>
      </c>
      <c r="W9" s="301">
        <f t="shared" ref="W9:W18" si="11">EE9</f>
        <v>741</v>
      </c>
      <c r="X9" s="301">
        <f t="shared" ref="X9:X18" si="12">EL9</f>
        <v>909</v>
      </c>
      <c r="Y9" s="301">
        <f t="shared" ref="Y9:Y18" si="13">ES9</f>
        <v>975</v>
      </c>
      <c r="Z9" s="301">
        <f t="shared" ref="Z9:Z18" si="14">EZ9</f>
        <v>937</v>
      </c>
      <c r="AA9" s="301">
        <f t="shared" ref="AA9:AA18" si="15">FG9</f>
        <v>964</v>
      </c>
      <c r="AB9" s="301">
        <f t="shared" ref="AB9:AB18" si="16">FN9</f>
        <v>989</v>
      </c>
      <c r="AC9" s="301">
        <f t="shared" ref="AC9:AC18" si="17">FU9</f>
        <v>1069</v>
      </c>
      <c r="AD9" s="301">
        <f t="shared" ref="AD9:AD18" si="18">GB9</f>
        <v>1088</v>
      </c>
      <c r="AE9" s="301">
        <f t="shared" ref="AE9:AE18" si="19">GI9</f>
        <v>1210</v>
      </c>
      <c r="AF9" s="301">
        <f t="shared" ref="AF9:AF18" si="20">GP9</f>
        <v>1331</v>
      </c>
      <c r="AG9" s="301">
        <f t="shared" ref="AG9:AG18" si="21">GW9</f>
        <v>1454</v>
      </c>
      <c r="AH9" s="301">
        <f t="shared" ref="AH9:AH18" si="22">HD9</f>
        <v>1267</v>
      </c>
      <c r="AI9" s="301">
        <f t="shared" ref="AI9:AI18" si="23">HK9</f>
        <v>1485</v>
      </c>
      <c r="AJ9" s="301">
        <f t="shared" ref="AJ9:AJ18" si="24">HR9</f>
        <v>1596</v>
      </c>
      <c r="AK9" s="301">
        <f t="shared" ref="AK9:AK18" si="25">HY9</f>
        <v>1682</v>
      </c>
      <c r="AL9" s="301">
        <f t="shared" ref="AL9:AL18" si="26">IF9</f>
        <v>2078</v>
      </c>
      <c r="AM9" s="301">
        <f t="shared" ref="AM9:AM18" si="27">IM9</f>
        <v>2375</v>
      </c>
      <c r="AN9" s="301">
        <f t="shared" ref="AN9:AN18" si="28">IT9</f>
        <v>2284</v>
      </c>
      <c r="AO9" s="301">
        <f t="shared" ref="AO9:AO18" si="29">JA9</f>
        <v>2191</v>
      </c>
      <c r="AP9" s="301">
        <f t="shared" ref="AP9:AP18" si="30">JH9</f>
        <v>2210</v>
      </c>
      <c r="AQ9" s="301">
        <f t="shared" ref="AQ9:AQ18" si="31">JO9</f>
        <v>2339</v>
      </c>
      <c r="AR9" s="301">
        <f t="shared" ref="AR9:AR18" si="32">JV9</f>
        <v>2344</v>
      </c>
      <c r="AS9" s="301">
        <f t="shared" ref="AS9:AS18" si="33">KC9</f>
        <v>2309</v>
      </c>
      <c r="AT9" s="301">
        <f t="shared" ref="AT9:AT18" si="34">KJ9</f>
        <v>2421</v>
      </c>
      <c r="AU9" s="301">
        <f t="shared" ref="AU9:AU18" si="35">KQ9</f>
        <v>2584</v>
      </c>
      <c r="AV9" s="301">
        <f t="shared" ref="AV9:AV18" si="36">KX9</f>
        <v>2599</v>
      </c>
      <c r="AW9" s="301">
        <f t="shared" ref="AW9:AW18" si="37">LE9</f>
        <v>2850</v>
      </c>
      <c r="AX9" s="301">
        <f t="shared" ref="AX9:AX18" si="38">LL9</f>
        <v>2776</v>
      </c>
      <c r="AY9" s="301">
        <f t="shared" ref="AY9:AY18" si="39">LS9</f>
        <v>2791.7723000000001</v>
      </c>
      <c r="AZ9" s="301">
        <f t="shared" ref="AZ9:AZ18" si="40">LZ9</f>
        <v>2954.6024193975004</v>
      </c>
      <c r="BA9" s="301">
        <f t="shared" ref="BA9:BA18" si="41">MG9</f>
        <v>3109.7126580751292</v>
      </c>
      <c r="BB9" s="301"/>
      <c r="BC9" s="301"/>
      <c r="BD9" s="301"/>
      <c r="BE9" s="301"/>
      <c r="BF9" s="301"/>
      <c r="BG9" s="301"/>
      <c r="BH9" s="301"/>
      <c r="BI9" s="301"/>
      <c r="BJ9" s="301"/>
      <c r="BK9" s="301"/>
      <c r="BL9" s="301"/>
      <c r="BM9" s="301"/>
      <c r="BO9" s="598" t="s">
        <v>31</v>
      </c>
      <c r="BP9" s="247">
        <f>BW9-5</f>
        <v>144</v>
      </c>
      <c r="BQ9" s="247">
        <f>BX9-4</f>
        <v>142</v>
      </c>
      <c r="BR9" s="247">
        <f>BY9-7</f>
        <v>139</v>
      </c>
      <c r="BS9" s="247">
        <f>BZ9-6</f>
        <v>140</v>
      </c>
      <c r="BT9" s="247">
        <f t="shared" ref="BT9:BT16" si="42">BP9+BQ9+BR9+BS9</f>
        <v>565</v>
      </c>
      <c r="BV9" s="598" t="s">
        <v>31</v>
      </c>
      <c r="BW9" s="247">
        <v>149</v>
      </c>
      <c r="BX9" s="247">
        <v>146</v>
      </c>
      <c r="BY9" s="247">
        <v>146</v>
      </c>
      <c r="BZ9" s="247">
        <v>146</v>
      </c>
      <c r="CA9" s="247">
        <f t="shared" ref="CA9:CA16" si="43">BW9+BX9+BY9+BZ9</f>
        <v>587</v>
      </c>
      <c r="CC9" s="598" t="s">
        <v>31</v>
      </c>
      <c r="CD9" s="247">
        <v>143</v>
      </c>
      <c r="CE9" s="247">
        <v>146</v>
      </c>
      <c r="CF9" s="247">
        <v>152</v>
      </c>
      <c r="CG9" s="247">
        <v>152</v>
      </c>
      <c r="CH9" s="247">
        <f t="shared" ref="CH9:CH16" si="44">CD9+CE9+CF9+CG9</f>
        <v>593</v>
      </c>
      <c r="CJ9" s="598" t="s">
        <v>31</v>
      </c>
      <c r="CK9" s="247">
        <v>154</v>
      </c>
      <c r="CL9" s="247">
        <v>158</v>
      </c>
      <c r="CM9" s="247">
        <v>154</v>
      </c>
      <c r="CN9" s="247">
        <v>153</v>
      </c>
      <c r="CO9" s="247">
        <f t="shared" ref="CO9:CO16" si="45">CK9+CL9+CM9+CN9</f>
        <v>619</v>
      </c>
      <c r="CQ9" s="598" t="s">
        <v>31</v>
      </c>
      <c r="CR9" s="247">
        <v>159</v>
      </c>
      <c r="CS9" s="247">
        <v>164</v>
      </c>
      <c r="CT9" s="247">
        <v>163</v>
      </c>
      <c r="CU9" s="247">
        <v>166</v>
      </c>
      <c r="CV9" s="247">
        <f t="shared" ref="CV9:CV16" si="46">CR9+CS9+CT9+CU9</f>
        <v>652</v>
      </c>
      <c r="CX9" s="598" t="s">
        <v>31</v>
      </c>
      <c r="CY9" s="247">
        <v>168</v>
      </c>
      <c r="CZ9" s="247">
        <v>174</v>
      </c>
      <c r="DA9" s="247">
        <v>169</v>
      </c>
      <c r="DB9" s="247">
        <v>174</v>
      </c>
      <c r="DC9" s="247">
        <f t="shared" ref="DC9:DC16" si="47">CY9+CZ9+DA9+DB9</f>
        <v>685</v>
      </c>
      <c r="DE9" s="598" t="s">
        <v>31</v>
      </c>
      <c r="DF9" s="247">
        <v>178</v>
      </c>
      <c r="DG9" s="247">
        <v>174</v>
      </c>
      <c r="DH9" s="247">
        <v>175</v>
      </c>
      <c r="DI9" s="247">
        <v>173</v>
      </c>
      <c r="DJ9" s="247">
        <f t="shared" ref="DJ9:DJ16" si="48">DF9+DG9+DH9+DI9</f>
        <v>700</v>
      </c>
      <c r="DL9" s="598" t="s">
        <v>31</v>
      </c>
      <c r="DM9" s="247">
        <v>178</v>
      </c>
      <c r="DN9" s="247">
        <v>178</v>
      </c>
      <c r="DO9" s="247">
        <v>183</v>
      </c>
      <c r="DP9" s="247">
        <v>181</v>
      </c>
      <c r="DQ9" s="247">
        <f t="shared" ref="DQ9:DQ16" si="49">DM9+DN9+DO9+DP9</f>
        <v>720</v>
      </c>
      <c r="DS9" s="598" t="s">
        <v>31</v>
      </c>
      <c r="DT9" s="247">
        <v>189</v>
      </c>
      <c r="DU9" s="247">
        <v>191</v>
      </c>
      <c r="DV9" s="247">
        <v>183</v>
      </c>
      <c r="DW9" s="247">
        <v>184</v>
      </c>
      <c r="DX9" s="247">
        <f t="shared" ref="DX9:DX16" si="50">DT9+DU9+DV9+DW9</f>
        <v>747</v>
      </c>
      <c r="DZ9" s="598" t="s">
        <v>31</v>
      </c>
      <c r="EA9" s="247">
        <v>188</v>
      </c>
      <c r="EB9" s="247">
        <v>187</v>
      </c>
      <c r="EC9" s="247">
        <v>188</v>
      </c>
      <c r="ED9" s="247">
        <v>178</v>
      </c>
      <c r="EE9" s="247">
        <f t="shared" ref="EE9:EE16" si="51">EA9+EB9+EC9+ED9</f>
        <v>741</v>
      </c>
      <c r="EG9" s="598" t="s">
        <v>31</v>
      </c>
      <c r="EH9" s="247">
        <v>201</v>
      </c>
      <c r="EI9" s="247">
        <v>219</v>
      </c>
      <c r="EJ9" s="247">
        <v>245</v>
      </c>
      <c r="EK9" s="247">
        <v>244</v>
      </c>
      <c r="EL9" s="247">
        <f t="shared" ref="EL9:EL16" si="52">EH9+EI9+EJ9+EK9</f>
        <v>909</v>
      </c>
      <c r="EN9" s="598" t="s">
        <v>31</v>
      </c>
      <c r="EO9" s="247">
        <v>245</v>
      </c>
      <c r="EP9" s="247">
        <v>250</v>
      </c>
      <c r="EQ9" s="247">
        <v>243</v>
      </c>
      <c r="ER9" s="247">
        <v>237</v>
      </c>
      <c r="ES9" s="247">
        <f>EO9+EP9+EQ9+ER9</f>
        <v>975</v>
      </c>
      <c r="EU9" s="598" t="s">
        <v>31</v>
      </c>
      <c r="EV9" s="247">
        <v>244</v>
      </c>
      <c r="EW9" s="247">
        <v>239</v>
      </c>
      <c r="EX9" s="247">
        <v>230</v>
      </c>
      <c r="EY9" s="247">
        <v>224</v>
      </c>
      <c r="EZ9" s="247">
        <f>EV9+EW9+EX9+EY9</f>
        <v>937</v>
      </c>
      <c r="FB9" s="598" t="s">
        <v>31</v>
      </c>
      <c r="FC9" s="247">
        <v>238</v>
      </c>
      <c r="FD9" s="247">
        <v>246</v>
      </c>
      <c r="FE9" s="247">
        <v>239</v>
      </c>
      <c r="FF9" s="247">
        <v>241</v>
      </c>
      <c r="FG9" s="247">
        <f>FC9+FD9+FE9+FF9</f>
        <v>964</v>
      </c>
      <c r="FI9" s="598" t="s">
        <v>31</v>
      </c>
      <c r="FJ9" s="247">
        <v>250</v>
      </c>
      <c r="FK9" s="247">
        <v>243</v>
      </c>
      <c r="FL9" s="247">
        <v>248</v>
      </c>
      <c r="FM9" s="247">
        <v>248</v>
      </c>
      <c r="FN9" s="247">
        <f>FJ9+FK9+FL9+FM9</f>
        <v>989</v>
      </c>
      <c r="FP9" s="598" t="s">
        <v>31</v>
      </c>
      <c r="FQ9" s="247">
        <v>256</v>
      </c>
      <c r="FR9" s="247">
        <v>264</v>
      </c>
      <c r="FS9" s="247">
        <v>266</v>
      </c>
      <c r="FT9" s="247">
        <v>283</v>
      </c>
      <c r="FU9" s="247">
        <f>FQ9+FR9+FS9+FT9</f>
        <v>1069</v>
      </c>
      <c r="FW9" s="598" t="s">
        <v>31</v>
      </c>
      <c r="FX9" s="247">
        <v>275</v>
      </c>
      <c r="FY9" s="247">
        <v>270</v>
      </c>
      <c r="FZ9" s="247">
        <v>269</v>
      </c>
      <c r="GA9" s="247">
        <v>274</v>
      </c>
      <c r="GB9" s="247">
        <f>SUM(FX9:GA9)</f>
        <v>1088</v>
      </c>
      <c r="GD9" s="598" t="s">
        <v>31</v>
      </c>
      <c r="GE9" s="247">
        <v>295</v>
      </c>
      <c r="GF9" s="247">
        <v>305</v>
      </c>
      <c r="GG9" s="247">
        <v>313</v>
      </c>
      <c r="GH9" s="247">
        <v>297</v>
      </c>
      <c r="GI9" s="247">
        <f>SUM(GE9:GH9)</f>
        <v>1210</v>
      </c>
      <c r="GK9" s="598" t="s">
        <v>31</v>
      </c>
      <c r="GL9" s="247">
        <v>321</v>
      </c>
      <c r="GM9" s="247">
        <v>331</v>
      </c>
      <c r="GN9" s="247">
        <v>341</v>
      </c>
      <c r="GO9" s="247">
        <v>338</v>
      </c>
      <c r="GP9" s="247">
        <f>SUM(GL9:GO9)</f>
        <v>1331</v>
      </c>
      <c r="GR9" s="598" t="s">
        <v>31</v>
      </c>
      <c r="GS9" s="247">
        <v>362</v>
      </c>
      <c r="GT9" s="247">
        <v>381</v>
      </c>
      <c r="GU9" s="247">
        <v>385</v>
      </c>
      <c r="GV9" s="247">
        <v>326</v>
      </c>
      <c r="GW9" s="247">
        <f>SUM(GS9:GV9)</f>
        <v>1454</v>
      </c>
      <c r="GY9" s="598" t="s">
        <v>31</v>
      </c>
      <c r="GZ9" s="247">
        <v>308</v>
      </c>
      <c r="HA9" s="247">
        <v>308</v>
      </c>
      <c r="HB9" s="247">
        <v>332</v>
      </c>
      <c r="HC9" s="247">
        <v>319</v>
      </c>
      <c r="HD9" s="247">
        <f>SUM(GZ9:HC9)</f>
        <v>1267</v>
      </c>
      <c r="HF9" s="598" t="s">
        <v>31</v>
      </c>
      <c r="HG9" s="247">
        <v>351</v>
      </c>
      <c r="HH9" s="247">
        <v>372</v>
      </c>
      <c r="HI9" s="247">
        <v>379</v>
      </c>
      <c r="HJ9" s="247">
        <v>383</v>
      </c>
      <c r="HK9" s="247">
        <f t="shared" ref="HK9:HK15" si="53">SUM(HG9:HJ9)</f>
        <v>1485</v>
      </c>
      <c r="HM9" s="598" t="s">
        <v>31</v>
      </c>
      <c r="HN9" s="247">
        <v>394</v>
      </c>
      <c r="HO9" s="247">
        <v>413</v>
      </c>
      <c r="HP9" s="247">
        <v>407</v>
      </c>
      <c r="HQ9" s="247">
        <v>382</v>
      </c>
      <c r="HR9" s="247">
        <f t="shared" ref="HR9:HR15" si="54">SUM(HN9:HQ9)</f>
        <v>1596</v>
      </c>
      <c r="HT9" s="598" t="s">
        <v>31</v>
      </c>
      <c r="HU9" s="247">
        <v>415</v>
      </c>
      <c r="HV9" s="247">
        <v>430</v>
      </c>
      <c r="HW9" s="247">
        <v>424</v>
      </c>
      <c r="HX9" s="247">
        <v>413</v>
      </c>
      <c r="HY9" s="247">
        <f t="shared" ref="HY9:HY15" si="55">SUM(HU9:HX9)</f>
        <v>1682</v>
      </c>
      <c r="IA9" s="598" t="s">
        <v>31</v>
      </c>
      <c r="IB9" s="247">
        <v>504</v>
      </c>
      <c r="IC9" s="247">
        <v>522</v>
      </c>
      <c r="ID9" s="247">
        <v>523</v>
      </c>
      <c r="IE9" s="247">
        <v>529</v>
      </c>
      <c r="IF9" s="247">
        <f t="shared" ref="IF9:IF15" si="56">SUM(IB9:IE9)</f>
        <v>2078</v>
      </c>
      <c r="IH9" s="598" t="s">
        <v>31</v>
      </c>
      <c r="II9" s="247">
        <v>552</v>
      </c>
      <c r="IJ9" s="247">
        <v>607</v>
      </c>
      <c r="IK9" s="247">
        <v>615</v>
      </c>
      <c r="IL9" s="247">
        <v>601</v>
      </c>
      <c r="IM9" s="247">
        <f t="shared" ref="IM9:IM15" si="57">SUM(II9:IL9)</f>
        <v>2375</v>
      </c>
      <c r="IO9" s="598" t="s">
        <v>31</v>
      </c>
      <c r="IP9" s="247">
        <v>573</v>
      </c>
      <c r="IQ9" s="247">
        <v>581</v>
      </c>
      <c r="IR9" s="247">
        <v>582</v>
      </c>
      <c r="IS9" s="247">
        <v>548</v>
      </c>
      <c r="IT9" s="247">
        <f t="shared" ref="IT9:IT15" si="58">SUM(IP9:IS9)</f>
        <v>2284</v>
      </c>
      <c r="IV9" s="598" t="s">
        <v>31</v>
      </c>
      <c r="IW9" s="247">
        <v>546</v>
      </c>
      <c r="IX9" s="247">
        <v>534</v>
      </c>
      <c r="IY9" s="247">
        <v>542</v>
      </c>
      <c r="IZ9" s="247">
        <v>569</v>
      </c>
      <c r="JA9" s="247">
        <f t="shared" ref="JA9:JA15" si="59">SUM(IW9:IZ9)</f>
        <v>2191</v>
      </c>
      <c r="JC9" s="598" t="s">
        <v>31</v>
      </c>
      <c r="JD9" s="247">
        <v>566</v>
      </c>
      <c r="JE9" s="247">
        <v>552</v>
      </c>
      <c r="JF9" s="247">
        <v>546</v>
      </c>
      <c r="JG9" s="247">
        <v>546</v>
      </c>
      <c r="JH9" s="247">
        <f t="shared" ref="JH9:JH15" si="60">SUM(JD9:JG9)</f>
        <v>2210</v>
      </c>
      <c r="JJ9" s="598" t="s">
        <v>31</v>
      </c>
      <c r="JK9" s="247">
        <v>557</v>
      </c>
      <c r="JL9" s="247">
        <v>588</v>
      </c>
      <c r="JM9" s="247">
        <v>596</v>
      </c>
      <c r="JN9" s="247">
        <v>598</v>
      </c>
      <c r="JO9" s="247">
        <f t="shared" ref="JO9:JO15" si="61">SUM(JK9:JN9)</f>
        <v>2339</v>
      </c>
      <c r="JQ9" s="598" t="s">
        <v>31</v>
      </c>
      <c r="JR9" s="247">
        <v>586</v>
      </c>
      <c r="JS9" s="247">
        <v>592</v>
      </c>
      <c r="JT9" s="247">
        <v>589</v>
      </c>
      <c r="JU9" s="247">
        <v>577</v>
      </c>
      <c r="JV9" s="247">
        <f t="shared" ref="JV9:JV15" si="62">SUM(JR9:JU9)</f>
        <v>2344</v>
      </c>
      <c r="JX9" s="598" t="s">
        <v>31</v>
      </c>
      <c r="JY9" s="247">
        <v>626</v>
      </c>
      <c r="JZ9" s="247">
        <v>531</v>
      </c>
      <c r="KA9" s="247">
        <v>566</v>
      </c>
      <c r="KB9" s="247">
        <v>586</v>
      </c>
      <c r="KC9" s="247">
        <f t="shared" ref="KC9:KC15" si="63">SUM(JY9:KB9)</f>
        <v>2309</v>
      </c>
      <c r="KE9" s="598" t="s">
        <v>31</v>
      </c>
      <c r="KF9" s="247">
        <v>580</v>
      </c>
      <c r="KG9" s="247">
        <v>606</v>
      </c>
      <c r="KH9" s="247">
        <v>624</v>
      </c>
      <c r="KI9" s="247">
        <v>611</v>
      </c>
      <c r="KJ9" s="247">
        <f t="shared" ref="KJ9:KJ15" si="64">SUM(KF9:KI9)</f>
        <v>2421</v>
      </c>
      <c r="KL9" s="598" t="s">
        <v>31</v>
      </c>
      <c r="KM9" s="247">
        <v>618</v>
      </c>
      <c r="KN9" s="247">
        <v>666</v>
      </c>
      <c r="KO9" s="247">
        <v>678</v>
      </c>
      <c r="KP9" s="247">
        <v>622</v>
      </c>
      <c r="KQ9" s="247">
        <f t="shared" ref="KQ9:KQ15" si="65">SUM(KM9:KP9)</f>
        <v>2584</v>
      </c>
      <c r="KS9" s="598" t="s">
        <v>31</v>
      </c>
      <c r="KT9" s="247">
        <v>650</v>
      </c>
      <c r="KU9" s="247">
        <v>642</v>
      </c>
      <c r="KV9" s="301">
        <v>646</v>
      </c>
      <c r="KW9" s="247">
        <v>661</v>
      </c>
      <c r="KX9" s="247">
        <f t="shared" ref="KX9:KX15" si="66">SUM(KT9:KW9)</f>
        <v>2599</v>
      </c>
      <c r="KZ9" s="598" t="s">
        <v>31</v>
      </c>
      <c r="LA9" s="247">
        <v>693</v>
      </c>
      <c r="LB9" s="301">
        <v>722</v>
      </c>
      <c r="LC9" s="301">
        <v>727</v>
      </c>
      <c r="LD9" s="301">
        <v>708</v>
      </c>
      <c r="LE9" s="301">
        <f t="shared" ref="LE9:LE15" si="67">SUM(LA9:LD9)</f>
        <v>2850</v>
      </c>
      <c r="LF9" s="561"/>
      <c r="LG9" s="598" t="s">
        <v>31</v>
      </c>
      <c r="LH9" s="301">
        <v>698</v>
      </c>
      <c r="LI9" s="301">
        <v>701</v>
      </c>
      <c r="LJ9" s="301">
        <v>697</v>
      </c>
      <c r="LK9" s="301">
        <v>680</v>
      </c>
      <c r="LL9" s="301">
        <f t="shared" ref="LL9:LL15" si="68">SUM(LH9:LK9)</f>
        <v>2776</v>
      </c>
      <c r="LM9" s="561"/>
      <c r="LN9" s="598" t="s">
        <v>31</v>
      </c>
      <c r="LO9" s="301">
        <f t="shared" ref="LO9:LR15" si="69">LO69*LO115/1000</f>
        <v>679.92179999999996</v>
      </c>
      <c r="LP9" s="301">
        <f t="shared" si="69"/>
        <v>700.71960000000001</v>
      </c>
      <c r="LQ9" s="301">
        <f t="shared" si="69"/>
        <v>710.73089999999991</v>
      </c>
      <c r="LR9" s="301">
        <f t="shared" si="69"/>
        <v>700.4</v>
      </c>
      <c r="LS9" s="301">
        <f t="shared" ref="LS9:LS15" si="70">SUM(LO9:LR9)</f>
        <v>2791.7723000000001</v>
      </c>
      <c r="LT9" s="561"/>
      <c r="LU9" s="598" t="s">
        <v>31</v>
      </c>
      <c r="LV9" s="301">
        <f t="shared" ref="LV9:LY9" si="71">LV69*LV115/1000</f>
        <v>719.57823898499998</v>
      </c>
      <c r="LW9" s="301">
        <f t="shared" si="71"/>
        <v>741.58907067000018</v>
      </c>
      <c r="LX9" s="301">
        <f t="shared" si="71"/>
        <v>752.18427974250005</v>
      </c>
      <c r="LY9" s="301">
        <f t="shared" si="71"/>
        <v>741.25083000000006</v>
      </c>
      <c r="LZ9" s="301">
        <f t="shared" ref="LZ9:LZ15" si="72">SUM(LV9:LY9)</f>
        <v>2954.6024193975004</v>
      </c>
      <c r="MA9" s="561"/>
      <c r="MB9" s="598" t="s">
        <v>31</v>
      </c>
      <c r="MC9" s="301">
        <f t="shared" ref="MC9:MF9" si="73">MC69*MC115/1000</f>
        <v>761.53864504581259</v>
      </c>
      <c r="MD9" s="301">
        <f t="shared" si="73"/>
        <v>782.93266135985255</v>
      </c>
      <c r="ME9" s="301">
        <f t="shared" si="73"/>
        <v>790.26360890446404</v>
      </c>
      <c r="MF9" s="301">
        <f t="shared" si="73"/>
        <v>774.97774276500013</v>
      </c>
      <c r="MG9" s="301">
        <f t="shared" ref="MG9:MG15" si="74">SUM(MC9:MF9)</f>
        <v>3109.7126580751292</v>
      </c>
      <c r="MH9" s="561"/>
    </row>
    <row r="10" spans="1:346" s="521" customFormat="1" ht="13.15" x14ac:dyDescent="0.4">
      <c r="A10" s="597"/>
      <c r="B10" s="598" t="s">
        <v>141</v>
      </c>
      <c r="C10" s="301"/>
      <c r="D10" s="301"/>
      <c r="E10" s="301">
        <v>285.8</v>
      </c>
      <c r="F10" s="301">
        <v>282.2</v>
      </c>
      <c r="G10" s="301">
        <v>266</v>
      </c>
      <c r="H10" s="301">
        <v>224</v>
      </c>
      <c r="I10" s="301">
        <v>251</v>
      </c>
      <c r="J10" s="301">
        <v>259</v>
      </c>
      <c r="K10" s="301">
        <v>243</v>
      </c>
      <c r="L10" s="301">
        <v>262</v>
      </c>
      <c r="M10" s="301">
        <v>265</v>
      </c>
      <c r="N10" s="301">
        <f t="shared" si="2"/>
        <v>285</v>
      </c>
      <c r="O10" s="301">
        <f t="shared" si="3"/>
        <v>299</v>
      </c>
      <c r="P10" s="301">
        <f t="shared" si="4"/>
        <v>296</v>
      </c>
      <c r="Q10" s="301">
        <f t="shared" si="5"/>
        <v>297</v>
      </c>
      <c r="R10" s="301">
        <f t="shared" si="6"/>
        <v>327</v>
      </c>
      <c r="S10" s="301">
        <f t="shared" si="7"/>
        <v>318</v>
      </c>
      <c r="T10" s="301">
        <f t="shared" si="8"/>
        <v>336</v>
      </c>
      <c r="U10" s="301">
        <f t="shared" si="9"/>
        <v>338</v>
      </c>
      <c r="V10" s="301">
        <f t="shared" si="10"/>
        <v>347</v>
      </c>
      <c r="W10" s="301">
        <f t="shared" si="11"/>
        <v>370</v>
      </c>
      <c r="X10" s="301">
        <f t="shared" si="12"/>
        <v>438</v>
      </c>
      <c r="Y10" s="301">
        <f t="shared" si="13"/>
        <v>633</v>
      </c>
      <c r="Z10" s="301">
        <f t="shared" si="14"/>
        <v>662</v>
      </c>
      <c r="AA10" s="301">
        <f t="shared" si="15"/>
        <v>648</v>
      </c>
      <c r="AB10" s="301">
        <f t="shared" si="16"/>
        <v>805</v>
      </c>
      <c r="AC10" s="301">
        <f t="shared" si="17"/>
        <v>890</v>
      </c>
      <c r="AD10" s="301">
        <f t="shared" si="18"/>
        <v>989</v>
      </c>
      <c r="AE10" s="301">
        <f t="shared" si="19"/>
        <v>1158</v>
      </c>
      <c r="AF10" s="301">
        <f t="shared" si="20"/>
        <v>984</v>
      </c>
      <c r="AG10" s="301">
        <f t="shared" si="21"/>
        <v>1291</v>
      </c>
      <c r="AH10" s="301">
        <f t="shared" si="22"/>
        <v>1193</v>
      </c>
      <c r="AI10" s="301">
        <f t="shared" si="23"/>
        <v>1301</v>
      </c>
      <c r="AJ10" s="301">
        <f t="shared" si="24"/>
        <v>1311</v>
      </c>
      <c r="AK10" s="301">
        <f t="shared" si="25"/>
        <v>1280</v>
      </c>
      <c r="AL10" s="301">
        <f t="shared" si="26"/>
        <v>1282</v>
      </c>
      <c r="AM10" s="301">
        <f t="shared" si="27"/>
        <v>1395</v>
      </c>
      <c r="AN10" s="301">
        <f t="shared" si="28"/>
        <v>1345</v>
      </c>
      <c r="AO10" s="301">
        <f t="shared" si="29"/>
        <v>1286</v>
      </c>
      <c r="AP10" s="301">
        <f t="shared" si="30"/>
        <v>1243</v>
      </c>
      <c r="AQ10" s="301">
        <f t="shared" si="31"/>
        <v>1281</v>
      </c>
      <c r="AR10" s="301">
        <f t="shared" si="32"/>
        <v>1298</v>
      </c>
      <c r="AS10" s="301">
        <f t="shared" si="33"/>
        <v>1386</v>
      </c>
      <c r="AT10" s="301">
        <f t="shared" si="34"/>
        <v>1461</v>
      </c>
      <c r="AU10" s="301">
        <f t="shared" si="35"/>
        <v>1664</v>
      </c>
      <c r="AV10" s="301">
        <f t="shared" si="36"/>
        <v>1657</v>
      </c>
      <c r="AW10" s="301">
        <f t="shared" si="37"/>
        <v>1644</v>
      </c>
      <c r="AX10" s="301">
        <f t="shared" si="38"/>
        <v>1618</v>
      </c>
      <c r="AY10" s="301">
        <f t="shared" si="39"/>
        <v>1621.4837999999997</v>
      </c>
      <c r="AZ10" s="301">
        <f t="shared" si="40"/>
        <v>1707.7264696124998</v>
      </c>
      <c r="BA10" s="301">
        <f t="shared" si="41"/>
        <v>1785.4280239798686</v>
      </c>
      <c r="BB10" s="301"/>
      <c r="BC10" s="301"/>
      <c r="BD10" s="301"/>
      <c r="BE10" s="301"/>
      <c r="BF10" s="301"/>
      <c r="BG10" s="301"/>
      <c r="BH10" s="301"/>
      <c r="BI10" s="301"/>
      <c r="BJ10" s="301"/>
      <c r="BK10" s="301"/>
      <c r="BL10" s="301"/>
      <c r="BM10" s="301"/>
      <c r="BO10" s="598" t="s">
        <v>141</v>
      </c>
      <c r="BP10" s="247">
        <f>BW10-14</f>
        <v>71</v>
      </c>
      <c r="BQ10" s="247">
        <f>BX10</f>
        <v>69</v>
      </c>
      <c r="BR10" s="247">
        <f>BY10-1</f>
        <v>64</v>
      </c>
      <c r="BS10" s="247">
        <f>BZ10+1</f>
        <v>81</v>
      </c>
      <c r="BT10" s="247">
        <f t="shared" si="42"/>
        <v>285</v>
      </c>
      <c r="BV10" s="598" t="s">
        <v>141</v>
      </c>
      <c r="BW10" s="247">
        <v>85</v>
      </c>
      <c r="BX10" s="247">
        <v>69</v>
      </c>
      <c r="BY10" s="247">
        <v>65</v>
      </c>
      <c r="BZ10" s="247">
        <v>80</v>
      </c>
      <c r="CA10" s="247">
        <f t="shared" si="43"/>
        <v>299</v>
      </c>
      <c r="CC10" s="598" t="s">
        <v>141</v>
      </c>
      <c r="CD10" s="247">
        <v>78</v>
      </c>
      <c r="CE10" s="247">
        <v>69</v>
      </c>
      <c r="CF10" s="247">
        <v>72</v>
      </c>
      <c r="CG10" s="247">
        <v>77</v>
      </c>
      <c r="CH10" s="247">
        <f t="shared" si="44"/>
        <v>296</v>
      </c>
      <c r="CJ10" s="598" t="s">
        <v>141</v>
      </c>
      <c r="CK10" s="247">
        <v>74</v>
      </c>
      <c r="CL10" s="247">
        <v>70</v>
      </c>
      <c r="CM10" s="247">
        <v>68</v>
      </c>
      <c r="CN10" s="247">
        <v>85</v>
      </c>
      <c r="CO10" s="247">
        <f t="shared" si="45"/>
        <v>297</v>
      </c>
      <c r="CQ10" s="598" t="s">
        <v>141</v>
      </c>
      <c r="CR10" s="247">
        <v>83</v>
      </c>
      <c r="CS10" s="247">
        <v>78</v>
      </c>
      <c r="CT10" s="247">
        <v>75</v>
      </c>
      <c r="CU10" s="247">
        <v>91</v>
      </c>
      <c r="CV10" s="247">
        <f t="shared" si="46"/>
        <v>327</v>
      </c>
      <c r="CX10" s="598" t="s">
        <v>141</v>
      </c>
      <c r="CY10" s="247">
        <v>82</v>
      </c>
      <c r="CZ10" s="247">
        <v>81</v>
      </c>
      <c r="DA10" s="247">
        <v>68</v>
      </c>
      <c r="DB10" s="247">
        <v>87</v>
      </c>
      <c r="DC10" s="247">
        <f t="shared" si="47"/>
        <v>318</v>
      </c>
      <c r="DE10" s="598" t="s">
        <v>141</v>
      </c>
      <c r="DF10" s="247">
        <v>84</v>
      </c>
      <c r="DG10" s="247">
        <v>83</v>
      </c>
      <c r="DH10" s="247">
        <v>79</v>
      </c>
      <c r="DI10" s="247">
        <v>90</v>
      </c>
      <c r="DJ10" s="247">
        <f t="shared" si="48"/>
        <v>336</v>
      </c>
      <c r="DL10" s="598" t="s">
        <v>141</v>
      </c>
      <c r="DM10" s="247">
        <v>89</v>
      </c>
      <c r="DN10" s="247">
        <v>89</v>
      </c>
      <c r="DO10" s="247">
        <v>67</v>
      </c>
      <c r="DP10" s="247">
        <v>93</v>
      </c>
      <c r="DQ10" s="247">
        <f t="shared" si="49"/>
        <v>338</v>
      </c>
      <c r="DS10" s="598" t="s">
        <v>141</v>
      </c>
      <c r="DT10" s="247">
        <v>92</v>
      </c>
      <c r="DU10" s="247">
        <v>88</v>
      </c>
      <c r="DV10" s="247">
        <v>74</v>
      </c>
      <c r="DW10" s="247">
        <v>93</v>
      </c>
      <c r="DX10" s="247">
        <f t="shared" si="50"/>
        <v>347</v>
      </c>
      <c r="DZ10" s="598" t="s">
        <v>141</v>
      </c>
      <c r="EA10" s="247">
        <v>91</v>
      </c>
      <c r="EB10" s="247">
        <v>87</v>
      </c>
      <c r="EC10" s="247">
        <v>87</v>
      </c>
      <c r="ED10" s="247">
        <v>105</v>
      </c>
      <c r="EE10" s="247">
        <f t="shared" si="51"/>
        <v>370</v>
      </c>
      <c r="EG10" s="598" t="s">
        <v>141</v>
      </c>
      <c r="EH10" s="247">
        <v>100</v>
      </c>
      <c r="EI10" s="247">
        <v>100</v>
      </c>
      <c r="EJ10" s="247">
        <v>112</v>
      </c>
      <c r="EK10" s="247">
        <v>126</v>
      </c>
      <c r="EL10" s="247">
        <f t="shared" si="52"/>
        <v>438</v>
      </c>
      <c r="EN10" s="598" t="s">
        <v>141</v>
      </c>
      <c r="EO10" s="247">
        <v>157</v>
      </c>
      <c r="EP10" s="247">
        <v>153</v>
      </c>
      <c r="EQ10" s="247">
        <v>154</v>
      </c>
      <c r="ER10" s="247">
        <v>169</v>
      </c>
      <c r="ES10" s="247">
        <f>EO10+EP10+EQ10+ER10</f>
        <v>633</v>
      </c>
      <c r="EU10" s="598" t="s">
        <v>141</v>
      </c>
      <c r="EV10" s="247">
        <v>174</v>
      </c>
      <c r="EW10" s="247">
        <v>166</v>
      </c>
      <c r="EX10" s="247">
        <v>157</v>
      </c>
      <c r="EY10" s="247">
        <v>165</v>
      </c>
      <c r="EZ10" s="247">
        <f>EV10+EW10+EX10+EY10</f>
        <v>662</v>
      </c>
      <c r="FB10" s="598" t="s">
        <v>141</v>
      </c>
      <c r="FC10" s="247">
        <v>166</v>
      </c>
      <c r="FD10" s="247">
        <v>159</v>
      </c>
      <c r="FE10" s="247">
        <v>154</v>
      </c>
      <c r="FF10" s="247">
        <v>169</v>
      </c>
      <c r="FG10" s="247">
        <f>FC10+FD10+FE10+FF10</f>
        <v>648</v>
      </c>
      <c r="FI10" s="598" t="s">
        <v>141</v>
      </c>
      <c r="FJ10" s="247">
        <v>168</v>
      </c>
      <c r="FK10" s="247">
        <f>124+90</f>
        <v>214</v>
      </c>
      <c r="FL10" s="247">
        <f>89+116</f>
        <v>205</v>
      </c>
      <c r="FM10" s="247">
        <f>129+89</f>
        <v>218</v>
      </c>
      <c r="FN10" s="247">
        <f>FJ10+FK10+FL10+FM10</f>
        <v>805</v>
      </c>
      <c r="FP10" s="598" t="s">
        <v>141</v>
      </c>
      <c r="FQ10" s="247">
        <f>131+88</f>
        <v>219</v>
      </c>
      <c r="FR10" s="247">
        <f>127+92</f>
        <v>219</v>
      </c>
      <c r="FS10" s="247">
        <f>93+117</f>
        <v>210</v>
      </c>
      <c r="FT10" s="247">
        <f>137+105</f>
        <v>242</v>
      </c>
      <c r="FU10" s="247">
        <f>FQ10+FR10+FS10+FT10</f>
        <v>890</v>
      </c>
      <c r="FW10" s="598" t="s">
        <v>141</v>
      </c>
      <c r="FX10" s="247">
        <v>242</v>
      </c>
      <c r="FY10" s="247">
        <v>242</v>
      </c>
      <c r="FZ10" s="247">
        <v>243</v>
      </c>
      <c r="GA10" s="247">
        <v>262</v>
      </c>
      <c r="GB10" s="247">
        <f>SUM(FX10:GA10)</f>
        <v>989</v>
      </c>
      <c r="GD10" s="598" t="s">
        <v>141</v>
      </c>
      <c r="GE10" s="247">
        <v>275</v>
      </c>
      <c r="GF10" s="247">
        <v>284</v>
      </c>
      <c r="GG10" s="247">
        <v>299</v>
      </c>
      <c r="GH10" s="247">
        <v>300</v>
      </c>
      <c r="GI10" s="247">
        <f>SUM(GE10:GH10)</f>
        <v>1158</v>
      </c>
      <c r="GK10" s="598" t="s">
        <v>141</v>
      </c>
      <c r="GL10" s="247">
        <v>243</v>
      </c>
      <c r="GM10" s="247">
        <v>258</v>
      </c>
      <c r="GN10" s="247">
        <v>190</v>
      </c>
      <c r="GO10" s="247">
        <v>293</v>
      </c>
      <c r="GP10" s="247">
        <f>SUM(GL10:GO10)</f>
        <v>984</v>
      </c>
      <c r="GR10" s="598" t="s">
        <v>141</v>
      </c>
      <c r="GS10" s="247">
        <v>300</v>
      </c>
      <c r="GT10" s="247">
        <v>316</v>
      </c>
      <c r="GU10" s="247">
        <v>331</v>
      </c>
      <c r="GV10" s="247">
        <v>344</v>
      </c>
      <c r="GW10" s="247">
        <f>SUM(GS10:GV10)</f>
        <v>1291</v>
      </c>
      <c r="GY10" s="598" t="s">
        <v>141</v>
      </c>
      <c r="GZ10" s="247">
        <v>309</v>
      </c>
      <c r="HA10" s="247">
        <v>292</v>
      </c>
      <c r="HB10" s="247">
        <v>280</v>
      </c>
      <c r="HC10" s="247">
        <v>312</v>
      </c>
      <c r="HD10" s="247">
        <f>SUM(GZ10:HC10)</f>
        <v>1193</v>
      </c>
      <c r="HF10" s="598" t="s">
        <v>141</v>
      </c>
      <c r="HG10" s="247">
        <v>326</v>
      </c>
      <c r="HH10" s="247">
        <v>314</v>
      </c>
      <c r="HI10" s="247">
        <v>308</v>
      </c>
      <c r="HJ10" s="247">
        <v>353</v>
      </c>
      <c r="HK10" s="247">
        <f t="shared" si="53"/>
        <v>1301</v>
      </c>
      <c r="HM10" s="598" t="s">
        <v>141</v>
      </c>
      <c r="HN10" s="247">
        <v>323</v>
      </c>
      <c r="HO10" s="247">
        <v>343</v>
      </c>
      <c r="HP10" s="247">
        <v>298</v>
      </c>
      <c r="HQ10" s="247">
        <v>347</v>
      </c>
      <c r="HR10" s="247">
        <f t="shared" si="54"/>
        <v>1311</v>
      </c>
      <c r="HT10" s="598" t="s">
        <v>141</v>
      </c>
      <c r="HU10" s="247">
        <v>342</v>
      </c>
      <c r="HV10" s="247">
        <v>329</v>
      </c>
      <c r="HW10" s="247">
        <v>287</v>
      </c>
      <c r="HX10" s="247">
        <v>322</v>
      </c>
      <c r="HY10" s="247">
        <f t="shared" si="55"/>
        <v>1280</v>
      </c>
      <c r="IA10" s="598" t="s">
        <v>141</v>
      </c>
      <c r="IB10" s="247">
        <v>309</v>
      </c>
      <c r="IC10" s="247">
        <v>317</v>
      </c>
      <c r="ID10" s="247">
        <v>287</v>
      </c>
      <c r="IE10" s="247">
        <v>369</v>
      </c>
      <c r="IF10" s="247">
        <f t="shared" si="56"/>
        <v>1282</v>
      </c>
      <c r="IH10" s="598" t="s">
        <v>141</v>
      </c>
      <c r="II10" s="247">
        <v>349</v>
      </c>
      <c r="IJ10" s="247">
        <v>355</v>
      </c>
      <c r="IK10" s="247">
        <v>324</v>
      </c>
      <c r="IL10" s="247">
        <v>367</v>
      </c>
      <c r="IM10" s="247">
        <f t="shared" si="57"/>
        <v>1395</v>
      </c>
      <c r="IO10" s="598" t="s">
        <v>141</v>
      </c>
      <c r="IP10" s="247">
        <v>355</v>
      </c>
      <c r="IQ10" s="247">
        <v>334</v>
      </c>
      <c r="IR10" s="247">
        <v>321</v>
      </c>
      <c r="IS10" s="247">
        <v>335</v>
      </c>
      <c r="IT10" s="247">
        <f t="shared" si="58"/>
        <v>1345</v>
      </c>
      <c r="IV10" s="598" t="s">
        <v>141</v>
      </c>
      <c r="IW10" s="247">
        <v>323</v>
      </c>
      <c r="IX10" s="247">
        <v>307</v>
      </c>
      <c r="IY10" s="247">
        <v>295</v>
      </c>
      <c r="IZ10" s="247">
        <v>361</v>
      </c>
      <c r="JA10" s="247">
        <f t="shared" si="59"/>
        <v>1286</v>
      </c>
      <c r="JC10" s="598" t="s">
        <v>141</v>
      </c>
      <c r="JD10" s="247">
        <v>332</v>
      </c>
      <c r="JE10" s="247">
        <v>321</v>
      </c>
      <c r="JF10" s="247">
        <v>269</v>
      </c>
      <c r="JG10" s="247">
        <v>321</v>
      </c>
      <c r="JH10" s="247">
        <f t="shared" si="60"/>
        <v>1243</v>
      </c>
      <c r="JJ10" s="598" t="s">
        <v>141</v>
      </c>
      <c r="JK10" s="247">
        <v>307</v>
      </c>
      <c r="JL10" s="247">
        <v>327</v>
      </c>
      <c r="JM10" s="247">
        <v>300</v>
      </c>
      <c r="JN10" s="247">
        <v>347</v>
      </c>
      <c r="JO10" s="247">
        <f t="shared" si="61"/>
        <v>1281</v>
      </c>
      <c r="JQ10" s="598" t="s">
        <v>141</v>
      </c>
      <c r="JR10" s="247">
        <v>344</v>
      </c>
      <c r="JS10" s="247">
        <v>358</v>
      </c>
      <c r="JT10" s="247">
        <v>297</v>
      </c>
      <c r="JU10" s="247">
        <v>299</v>
      </c>
      <c r="JV10" s="247">
        <f t="shared" si="62"/>
        <v>1298</v>
      </c>
      <c r="JX10" s="598" t="s">
        <v>141</v>
      </c>
      <c r="JY10" s="247">
        <v>365</v>
      </c>
      <c r="JZ10" s="247">
        <v>311</v>
      </c>
      <c r="KA10" s="247">
        <v>335</v>
      </c>
      <c r="KB10" s="247">
        <v>375</v>
      </c>
      <c r="KC10" s="247">
        <f t="shared" si="63"/>
        <v>1386</v>
      </c>
      <c r="KE10" s="598" t="s">
        <v>141</v>
      </c>
      <c r="KF10" s="247">
        <v>349</v>
      </c>
      <c r="KG10" s="247">
        <v>370</v>
      </c>
      <c r="KH10" s="247">
        <v>343</v>
      </c>
      <c r="KI10" s="247">
        <v>399</v>
      </c>
      <c r="KJ10" s="247">
        <f t="shared" si="64"/>
        <v>1461</v>
      </c>
      <c r="KL10" s="598" t="s">
        <v>141</v>
      </c>
      <c r="KM10" s="247">
        <v>387</v>
      </c>
      <c r="KN10" s="247">
        <v>412</v>
      </c>
      <c r="KO10" s="247">
        <v>428</v>
      </c>
      <c r="KP10" s="247">
        <v>437</v>
      </c>
      <c r="KQ10" s="247">
        <f t="shared" si="65"/>
        <v>1664</v>
      </c>
      <c r="KS10" s="598" t="s">
        <v>141</v>
      </c>
      <c r="KT10" s="247">
        <v>437</v>
      </c>
      <c r="KU10" s="247">
        <v>415</v>
      </c>
      <c r="KV10" s="301">
        <v>376</v>
      </c>
      <c r="KW10" s="247">
        <v>429</v>
      </c>
      <c r="KX10" s="247">
        <f t="shared" si="66"/>
        <v>1657</v>
      </c>
      <c r="KZ10" s="598" t="s">
        <v>141</v>
      </c>
      <c r="LA10" s="247">
        <v>407</v>
      </c>
      <c r="LB10" s="301">
        <v>406</v>
      </c>
      <c r="LC10" s="301">
        <v>416</v>
      </c>
      <c r="LD10" s="301">
        <v>415</v>
      </c>
      <c r="LE10" s="301">
        <f t="shared" si="67"/>
        <v>1644</v>
      </c>
      <c r="LF10" s="561"/>
      <c r="LG10" s="598" t="s">
        <v>141</v>
      </c>
      <c r="LH10" s="301">
        <v>408</v>
      </c>
      <c r="LI10" s="301">
        <v>418</v>
      </c>
      <c r="LJ10" s="301">
        <v>382</v>
      </c>
      <c r="LK10" s="301">
        <v>410</v>
      </c>
      <c r="LL10" s="301">
        <f t="shared" si="68"/>
        <v>1618</v>
      </c>
      <c r="LM10" s="561"/>
      <c r="LN10" s="598" t="s">
        <v>141</v>
      </c>
      <c r="LO10" s="301">
        <f t="shared" si="69"/>
        <v>407.90819999999991</v>
      </c>
      <c r="LP10" s="301">
        <f t="shared" si="69"/>
        <v>411.43740000000003</v>
      </c>
      <c r="LQ10" s="301">
        <f t="shared" si="69"/>
        <v>381.84719999999993</v>
      </c>
      <c r="LR10" s="301">
        <f t="shared" si="69"/>
        <v>420.29099999999994</v>
      </c>
      <c r="LS10" s="301">
        <f t="shared" si="70"/>
        <v>1621.4837999999997</v>
      </c>
      <c r="LT10" s="561"/>
      <c r="LU10" s="598" t="s">
        <v>141</v>
      </c>
      <c r="LV10" s="301">
        <f t="shared" ref="LV10:LY10" si="75">LV70*LV116/1000</f>
        <v>429.60381738749993</v>
      </c>
      <c r="LW10" s="301">
        <f t="shared" si="75"/>
        <v>433.3207267125</v>
      </c>
      <c r="LX10" s="301">
        <f t="shared" si="75"/>
        <v>402.15669795000002</v>
      </c>
      <c r="LY10" s="301">
        <f t="shared" si="75"/>
        <v>442.64522756249994</v>
      </c>
      <c r="LZ10" s="301">
        <f t="shared" si="72"/>
        <v>1707.7264696124998</v>
      </c>
      <c r="MA10" s="561"/>
      <c r="MB10" s="598" t="s">
        <v>141</v>
      </c>
      <c r="MC10" s="301">
        <f t="shared" ref="MC10:MF10" si="76">MC70*MC116/1000</f>
        <v>449.15079107863113</v>
      </c>
      <c r="MD10" s="301">
        <f t="shared" si="76"/>
        <v>453.03681977791877</v>
      </c>
      <c r="ME10" s="301">
        <f t="shared" si="76"/>
        <v>420.45482770672493</v>
      </c>
      <c r="MF10" s="301">
        <f t="shared" si="76"/>
        <v>462.78558541659362</v>
      </c>
      <c r="MG10" s="301">
        <f t="shared" si="74"/>
        <v>1785.4280239798686</v>
      </c>
      <c r="MH10" s="561"/>
    </row>
    <row r="11" spans="1:346" s="521" customFormat="1" ht="13.15" x14ac:dyDescent="0.4">
      <c r="A11" s="597"/>
      <c r="B11" s="598" t="s">
        <v>33</v>
      </c>
      <c r="C11" s="301"/>
      <c r="D11" s="301"/>
      <c r="E11" s="301">
        <v>268.2</v>
      </c>
      <c r="F11" s="301">
        <v>296.2</v>
      </c>
      <c r="G11" s="301">
        <v>255.5</v>
      </c>
      <c r="H11" s="301">
        <v>325</v>
      </c>
      <c r="I11" s="301">
        <v>358</v>
      </c>
      <c r="J11" s="301">
        <v>387</v>
      </c>
      <c r="K11" s="301">
        <v>383</v>
      </c>
      <c r="L11" s="301">
        <v>359</v>
      </c>
      <c r="M11" s="301">
        <v>386</v>
      </c>
      <c r="N11" s="301">
        <f t="shared" si="2"/>
        <v>356</v>
      </c>
      <c r="O11" s="301">
        <f t="shared" si="3"/>
        <v>342</v>
      </c>
      <c r="P11" s="301">
        <f t="shared" si="4"/>
        <v>368</v>
      </c>
      <c r="Q11" s="301">
        <f t="shared" si="5"/>
        <v>413</v>
      </c>
      <c r="R11" s="301">
        <f t="shared" si="6"/>
        <v>461</v>
      </c>
      <c r="S11" s="301">
        <f t="shared" si="7"/>
        <v>493</v>
      </c>
      <c r="T11" s="301">
        <f t="shared" si="8"/>
        <v>503</v>
      </c>
      <c r="U11" s="301">
        <f t="shared" si="9"/>
        <v>520</v>
      </c>
      <c r="V11" s="301">
        <f t="shared" si="10"/>
        <v>543</v>
      </c>
      <c r="W11" s="301">
        <f t="shared" si="11"/>
        <v>539</v>
      </c>
      <c r="X11" s="301">
        <f t="shared" si="12"/>
        <v>758</v>
      </c>
      <c r="Y11" s="301">
        <f t="shared" si="13"/>
        <v>869</v>
      </c>
      <c r="Z11" s="301">
        <f t="shared" si="14"/>
        <v>794</v>
      </c>
      <c r="AA11" s="301">
        <f t="shared" si="15"/>
        <v>845</v>
      </c>
      <c r="AB11" s="301">
        <f t="shared" si="16"/>
        <v>853</v>
      </c>
      <c r="AC11" s="301">
        <f t="shared" si="17"/>
        <v>835</v>
      </c>
      <c r="AD11" s="301">
        <f t="shared" si="18"/>
        <v>844</v>
      </c>
      <c r="AE11" s="301">
        <f t="shared" si="19"/>
        <v>847</v>
      </c>
      <c r="AF11" s="301">
        <f t="shared" si="20"/>
        <v>839</v>
      </c>
      <c r="AG11" s="301">
        <f t="shared" si="21"/>
        <v>784</v>
      </c>
      <c r="AH11" s="301">
        <f t="shared" si="22"/>
        <v>511</v>
      </c>
      <c r="AI11" s="301">
        <f t="shared" si="23"/>
        <v>800</v>
      </c>
      <c r="AJ11" s="301">
        <f t="shared" si="24"/>
        <v>936</v>
      </c>
      <c r="AK11" s="301">
        <f t="shared" si="25"/>
        <v>1154</v>
      </c>
      <c r="AL11" s="301">
        <f t="shared" si="26"/>
        <v>1217</v>
      </c>
      <c r="AM11" s="301">
        <f t="shared" si="27"/>
        <v>1213</v>
      </c>
      <c r="AN11" s="301">
        <f t="shared" si="28"/>
        <v>1175</v>
      </c>
      <c r="AO11" s="301">
        <f t="shared" si="29"/>
        <v>1261</v>
      </c>
      <c r="AP11" s="301">
        <f t="shared" si="30"/>
        <v>1214</v>
      </c>
      <c r="AQ11" s="301">
        <f t="shared" si="31"/>
        <v>1292</v>
      </c>
      <c r="AR11" s="301">
        <f t="shared" si="32"/>
        <v>1348</v>
      </c>
      <c r="AS11" s="301">
        <f t="shared" si="33"/>
        <v>920</v>
      </c>
      <c r="AT11" s="301">
        <f t="shared" si="34"/>
        <v>886</v>
      </c>
      <c r="AU11" s="301">
        <f t="shared" si="35"/>
        <v>1054</v>
      </c>
      <c r="AV11" s="301">
        <f t="shared" si="36"/>
        <v>1219</v>
      </c>
      <c r="AW11" s="301">
        <f t="shared" si="37"/>
        <v>1226</v>
      </c>
      <c r="AX11" s="301">
        <f t="shared" si="38"/>
        <v>1182</v>
      </c>
      <c r="AY11" s="301">
        <f t="shared" si="39"/>
        <v>1183.9500249999999</v>
      </c>
      <c r="AZ11" s="301">
        <f t="shared" si="40"/>
        <v>1249.9552388937498</v>
      </c>
      <c r="BA11" s="301">
        <f t="shared" si="41"/>
        <v>1313.2029739817735</v>
      </c>
      <c r="BB11" s="301"/>
      <c r="BC11" s="301"/>
      <c r="BD11" s="301"/>
      <c r="BE11" s="301"/>
      <c r="BF11" s="301"/>
      <c r="BG11" s="301"/>
      <c r="BH11" s="301"/>
      <c r="BI11" s="301"/>
      <c r="BJ11" s="301"/>
      <c r="BK11" s="301"/>
      <c r="BL11" s="301"/>
      <c r="BM11" s="301"/>
      <c r="BO11" s="598" t="s">
        <v>33</v>
      </c>
      <c r="BP11" s="247">
        <f>BW11+21</f>
        <v>97</v>
      </c>
      <c r="BQ11" s="247">
        <f>BX11+2</f>
        <v>97</v>
      </c>
      <c r="BR11" s="247">
        <f>BY11-13</f>
        <v>72</v>
      </c>
      <c r="BS11" s="247">
        <f>BZ11+4</f>
        <v>90</v>
      </c>
      <c r="BT11" s="247">
        <f t="shared" si="42"/>
        <v>356</v>
      </c>
      <c r="BV11" s="598" t="s">
        <v>33</v>
      </c>
      <c r="BW11" s="247">
        <v>76</v>
      </c>
      <c r="BX11" s="247">
        <v>95</v>
      </c>
      <c r="BY11" s="247">
        <v>85</v>
      </c>
      <c r="BZ11" s="247">
        <v>86</v>
      </c>
      <c r="CA11" s="247">
        <f t="shared" si="43"/>
        <v>342</v>
      </c>
      <c r="CC11" s="598" t="s">
        <v>33</v>
      </c>
      <c r="CD11" s="247">
        <v>81</v>
      </c>
      <c r="CE11" s="247">
        <v>96</v>
      </c>
      <c r="CF11" s="247">
        <v>84</v>
      </c>
      <c r="CG11" s="247">
        <v>107</v>
      </c>
      <c r="CH11" s="247">
        <f t="shared" si="44"/>
        <v>368</v>
      </c>
      <c r="CJ11" s="598" t="s">
        <v>33</v>
      </c>
      <c r="CK11" s="247">
        <v>104</v>
      </c>
      <c r="CL11" s="247">
        <v>110</v>
      </c>
      <c r="CM11" s="247">
        <v>89</v>
      </c>
      <c r="CN11" s="247">
        <v>110</v>
      </c>
      <c r="CO11" s="247">
        <f t="shared" si="45"/>
        <v>413</v>
      </c>
      <c r="CQ11" s="598" t="s">
        <v>33</v>
      </c>
      <c r="CR11" s="247">
        <v>115</v>
      </c>
      <c r="CS11" s="247">
        <v>123</v>
      </c>
      <c r="CT11" s="247">
        <v>96</v>
      </c>
      <c r="CU11" s="247">
        <v>127</v>
      </c>
      <c r="CV11" s="247">
        <f t="shared" si="46"/>
        <v>461</v>
      </c>
      <c r="CX11" s="598" t="s">
        <v>33</v>
      </c>
      <c r="CY11" s="247">
        <v>127</v>
      </c>
      <c r="CZ11" s="247">
        <v>132</v>
      </c>
      <c r="DA11" s="247">
        <v>107</v>
      </c>
      <c r="DB11" s="247">
        <v>127</v>
      </c>
      <c r="DC11" s="247">
        <f t="shared" si="47"/>
        <v>493</v>
      </c>
      <c r="DE11" s="598" t="s">
        <v>33</v>
      </c>
      <c r="DF11" s="247">
        <v>126</v>
      </c>
      <c r="DG11" s="247">
        <v>128</v>
      </c>
      <c r="DH11" s="247">
        <v>111</v>
      </c>
      <c r="DI11" s="247">
        <v>138</v>
      </c>
      <c r="DJ11" s="247">
        <f t="shared" si="48"/>
        <v>503</v>
      </c>
      <c r="DL11" s="598" t="s">
        <v>33</v>
      </c>
      <c r="DM11" s="247">
        <v>122</v>
      </c>
      <c r="DN11" s="247">
        <v>142</v>
      </c>
      <c r="DO11" s="247">
        <v>123</v>
      </c>
      <c r="DP11" s="247">
        <v>133</v>
      </c>
      <c r="DQ11" s="247">
        <f t="shared" si="49"/>
        <v>520</v>
      </c>
      <c r="DS11" s="598" t="s">
        <v>33</v>
      </c>
      <c r="DT11" s="247">
        <v>136</v>
      </c>
      <c r="DU11" s="247">
        <v>140</v>
      </c>
      <c r="DV11" s="247">
        <v>120</v>
      </c>
      <c r="DW11" s="247">
        <v>147</v>
      </c>
      <c r="DX11" s="247">
        <f t="shared" si="50"/>
        <v>543</v>
      </c>
      <c r="DZ11" s="598" t="s">
        <v>33</v>
      </c>
      <c r="EA11" s="247">
        <v>130</v>
      </c>
      <c r="EB11" s="247">
        <v>141</v>
      </c>
      <c r="EC11" s="247">
        <v>111</v>
      </c>
      <c r="ED11" s="247">
        <v>157</v>
      </c>
      <c r="EE11" s="247">
        <f t="shared" si="51"/>
        <v>539</v>
      </c>
      <c r="EG11" s="598" t="s">
        <v>33</v>
      </c>
      <c r="EH11" s="247">
        <v>152</v>
      </c>
      <c r="EI11" s="247">
        <v>177</v>
      </c>
      <c r="EJ11" s="247">
        <v>203</v>
      </c>
      <c r="EK11" s="247">
        <v>226</v>
      </c>
      <c r="EL11" s="247">
        <f t="shared" si="52"/>
        <v>758</v>
      </c>
      <c r="EN11" s="598" t="s">
        <v>33</v>
      </c>
      <c r="EO11" s="247">
        <v>227</v>
      </c>
      <c r="EP11" s="247">
        <v>238</v>
      </c>
      <c r="EQ11" s="247">
        <v>196</v>
      </c>
      <c r="ER11" s="247">
        <v>208</v>
      </c>
      <c r="ES11" s="247">
        <f>EO11+EP11+EQ11+ER11</f>
        <v>869</v>
      </c>
      <c r="EU11" s="598" t="s">
        <v>33</v>
      </c>
      <c r="EV11" s="247">
        <v>194</v>
      </c>
      <c r="EW11" s="247">
        <v>213</v>
      </c>
      <c r="EX11" s="247">
        <v>184</v>
      </c>
      <c r="EY11" s="247">
        <v>203</v>
      </c>
      <c r="EZ11" s="247">
        <f>EV11+EW11+EX11+EY11</f>
        <v>794</v>
      </c>
      <c r="FB11" s="598" t="s">
        <v>33</v>
      </c>
      <c r="FC11" s="247">
        <v>200</v>
      </c>
      <c r="FD11" s="247">
        <v>231</v>
      </c>
      <c r="FE11" s="247">
        <v>195</v>
      </c>
      <c r="FF11" s="247">
        <v>219</v>
      </c>
      <c r="FG11" s="247">
        <f>FC11+FD11+FE11+FF11</f>
        <v>845</v>
      </c>
      <c r="FI11" s="598" t="s">
        <v>33</v>
      </c>
      <c r="FJ11" s="247">
        <v>208</v>
      </c>
      <c r="FK11" s="247">
        <v>224</v>
      </c>
      <c r="FL11" s="247">
        <v>193</v>
      </c>
      <c r="FM11" s="247">
        <v>228</v>
      </c>
      <c r="FN11" s="247">
        <f>FJ11+FK11+FL11+FM11</f>
        <v>853</v>
      </c>
      <c r="FP11" s="598" t="s">
        <v>33</v>
      </c>
      <c r="FQ11" s="247">
        <v>202</v>
      </c>
      <c r="FR11" s="247">
        <v>220</v>
      </c>
      <c r="FS11" s="247">
        <v>185</v>
      </c>
      <c r="FT11" s="247">
        <v>228</v>
      </c>
      <c r="FU11" s="247">
        <f>FQ11+FR11+FS11+FT11</f>
        <v>835</v>
      </c>
      <c r="FW11" s="598" t="s">
        <v>33</v>
      </c>
      <c r="FX11" s="247">
        <v>208</v>
      </c>
      <c r="FY11" s="247">
        <v>211</v>
      </c>
      <c r="FZ11" s="247">
        <v>200</v>
      </c>
      <c r="GA11" s="247">
        <v>225</v>
      </c>
      <c r="GB11" s="247">
        <f>SUM(FX11:GA11)</f>
        <v>844</v>
      </c>
      <c r="GD11" s="598" t="s">
        <v>33</v>
      </c>
      <c r="GE11" s="247">
        <v>231</v>
      </c>
      <c r="GF11" s="247">
        <v>223</v>
      </c>
      <c r="GG11" s="247">
        <v>183</v>
      </c>
      <c r="GH11" s="247">
        <v>210</v>
      </c>
      <c r="GI11" s="247">
        <f>SUM(GE11:GH11)</f>
        <v>847</v>
      </c>
      <c r="GK11" s="598" t="s">
        <v>33</v>
      </c>
      <c r="GL11" s="247">
        <v>203</v>
      </c>
      <c r="GM11" s="247">
        <v>223</v>
      </c>
      <c r="GN11" s="247">
        <v>198</v>
      </c>
      <c r="GO11" s="247">
        <v>215</v>
      </c>
      <c r="GP11" s="247">
        <f>SUM(GL11:GO11)</f>
        <v>839</v>
      </c>
      <c r="GR11" s="598" t="s">
        <v>33</v>
      </c>
      <c r="GS11" s="247">
        <v>202</v>
      </c>
      <c r="GT11" s="247">
        <v>205</v>
      </c>
      <c r="GU11" s="247">
        <v>195</v>
      </c>
      <c r="GV11" s="247">
        <v>182</v>
      </c>
      <c r="GW11" s="247">
        <f>SUM(GS11:GV11)</f>
        <v>784</v>
      </c>
      <c r="GY11" s="598" t="s">
        <v>33</v>
      </c>
      <c r="GZ11" s="247">
        <v>95</v>
      </c>
      <c r="HA11" s="247">
        <v>113</v>
      </c>
      <c r="HB11" s="247">
        <v>127</v>
      </c>
      <c r="HC11" s="247">
        <v>176</v>
      </c>
      <c r="HD11" s="247">
        <f>SUM(GZ11:HC11)</f>
        <v>511</v>
      </c>
      <c r="HF11" s="598" t="s">
        <v>33</v>
      </c>
      <c r="HG11" s="247">
        <v>170</v>
      </c>
      <c r="HH11" s="247">
        <v>204</v>
      </c>
      <c r="HI11" s="247">
        <v>196</v>
      </c>
      <c r="HJ11" s="247">
        <v>230</v>
      </c>
      <c r="HK11" s="247">
        <f t="shared" si="53"/>
        <v>800</v>
      </c>
      <c r="HM11" s="598" t="s">
        <v>33</v>
      </c>
      <c r="HN11" s="247">
        <v>219</v>
      </c>
      <c r="HO11" s="247">
        <v>226</v>
      </c>
      <c r="HP11" s="247">
        <v>228</v>
      </c>
      <c r="HQ11" s="247">
        <v>263</v>
      </c>
      <c r="HR11" s="247">
        <f t="shared" si="54"/>
        <v>936</v>
      </c>
      <c r="HT11" s="598" t="s">
        <v>33</v>
      </c>
      <c r="HU11" s="247">
        <v>281</v>
      </c>
      <c r="HV11" s="247">
        <v>302</v>
      </c>
      <c r="HW11" s="247">
        <v>270</v>
      </c>
      <c r="HX11" s="247">
        <v>301</v>
      </c>
      <c r="HY11" s="247">
        <f t="shared" si="55"/>
        <v>1154</v>
      </c>
      <c r="IA11" s="598" t="s">
        <v>33</v>
      </c>
      <c r="IB11" s="247">
        <v>293</v>
      </c>
      <c r="IC11" s="247">
        <v>318</v>
      </c>
      <c r="ID11" s="247">
        <v>286</v>
      </c>
      <c r="IE11" s="247">
        <v>320</v>
      </c>
      <c r="IF11" s="247">
        <f t="shared" si="56"/>
        <v>1217</v>
      </c>
      <c r="IH11" s="598" t="s">
        <v>33</v>
      </c>
      <c r="II11" s="247">
        <v>275</v>
      </c>
      <c r="IJ11" s="247">
        <v>321</v>
      </c>
      <c r="IK11" s="247">
        <v>305</v>
      </c>
      <c r="IL11" s="247">
        <v>312</v>
      </c>
      <c r="IM11" s="247">
        <f t="shared" si="57"/>
        <v>1213</v>
      </c>
      <c r="IO11" s="598" t="s">
        <v>33</v>
      </c>
      <c r="IP11" s="247">
        <v>267</v>
      </c>
      <c r="IQ11" s="247">
        <v>313</v>
      </c>
      <c r="IR11" s="247">
        <v>287</v>
      </c>
      <c r="IS11" s="247">
        <v>308</v>
      </c>
      <c r="IT11" s="247">
        <f t="shared" si="58"/>
        <v>1175</v>
      </c>
      <c r="IV11" s="598" t="s">
        <v>33</v>
      </c>
      <c r="IW11" s="247">
        <v>290</v>
      </c>
      <c r="IX11" s="247">
        <v>313</v>
      </c>
      <c r="IY11" s="247">
        <v>304</v>
      </c>
      <c r="IZ11" s="247">
        <v>354</v>
      </c>
      <c r="JA11" s="247">
        <f t="shared" si="59"/>
        <v>1261</v>
      </c>
      <c r="JC11" s="598" t="s">
        <v>33</v>
      </c>
      <c r="JD11" s="247">
        <v>316</v>
      </c>
      <c r="JE11" s="247">
        <v>307</v>
      </c>
      <c r="JF11" s="247">
        <v>288</v>
      </c>
      <c r="JG11" s="247">
        <v>303</v>
      </c>
      <c r="JH11" s="247">
        <f t="shared" si="60"/>
        <v>1214</v>
      </c>
      <c r="JJ11" s="598" t="s">
        <v>33</v>
      </c>
      <c r="JK11" s="247">
        <v>304</v>
      </c>
      <c r="JL11" s="247">
        <v>330</v>
      </c>
      <c r="JM11" s="247">
        <v>325</v>
      </c>
      <c r="JN11" s="247">
        <v>333</v>
      </c>
      <c r="JO11" s="247">
        <f t="shared" si="61"/>
        <v>1292</v>
      </c>
      <c r="JQ11" s="598" t="s">
        <v>33</v>
      </c>
      <c r="JR11" s="247">
        <v>311</v>
      </c>
      <c r="JS11" s="247">
        <v>329</v>
      </c>
      <c r="JT11" s="247">
        <v>354</v>
      </c>
      <c r="JU11" s="247">
        <v>354</v>
      </c>
      <c r="JV11" s="247">
        <f t="shared" si="62"/>
        <v>1348</v>
      </c>
      <c r="JX11" s="598" t="s">
        <v>33</v>
      </c>
      <c r="JY11" s="247">
        <v>281</v>
      </c>
      <c r="JZ11" s="247">
        <v>93</v>
      </c>
      <c r="KA11" s="247">
        <v>271</v>
      </c>
      <c r="KB11" s="247">
        <v>275</v>
      </c>
      <c r="KC11" s="247">
        <f t="shared" si="63"/>
        <v>920</v>
      </c>
      <c r="KE11" s="598" t="s">
        <v>33</v>
      </c>
      <c r="KF11" s="247">
        <v>236</v>
      </c>
      <c r="KG11" s="247">
        <v>216</v>
      </c>
      <c r="KH11" s="247">
        <v>209</v>
      </c>
      <c r="KI11" s="247">
        <v>225</v>
      </c>
      <c r="KJ11" s="247">
        <f t="shared" si="64"/>
        <v>886</v>
      </c>
      <c r="KL11" s="598" t="s">
        <v>33</v>
      </c>
      <c r="KM11" s="247">
        <v>227</v>
      </c>
      <c r="KN11" s="247">
        <v>268</v>
      </c>
      <c r="KO11" s="247">
        <v>274</v>
      </c>
      <c r="KP11" s="247">
        <v>285</v>
      </c>
      <c r="KQ11" s="247">
        <f t="shared" si="65"/>
        <v>1054</v>
      </c>
      <c r="KS11" s="598" t="s">
        <v>33</v>
      </c>
      <c r="KT11" s="247">
        <v>274</v>
      </c>
      <c r="KU11" s="247">
        <v>323</v>
      </c>
      <c r="KV11" s="301">
        <v>308</v>
      </c>
      <c r="KW11" s="247">
        <v>314</v>
      </c>
      <c r="KX11" s="247">
        <f t="shared" si="66"/>
        <v>1219</v>
      </c>
      <c r="KZ11" s="598" t="s">
        <v>33</v>
      </c>
      <c r="LA11" s="247">
        <v>293</v>
      </c>
      <c r="LB11" s="301">
        <v>336</v>
      </c>
      <c r="LC11" s="301">
        <v>301</v>
      </c>
      <c r="LD11" s="301">
        <v>296</v>
      </c>
      <c r="LE11" s="301">
        <f t="shared" si="67"/>
        <v>1226</v>
      </c>
      <c r="LF11" s="561"/>
      <c r="LG11" s="598" t="s">
        <v>33</v>
      </c>
      <c r="LH11" s="301">
        <v>271</v>
      </c>
      <c r="LI11" s="301">
        <v>320</v>
      </c>
      <c r="LJ11" s="301">
        <v>306</v>
      </c>
      <c r="LK11" s="301">
        <v>285</v>
      </c>
      <c r="LL11" s="301">
        <f t="shared" si="68"/>
        <v>1182</v>
      </c>
      <c r="LM11" s="561"/>
      <c r="LN11" s="598" t="s">
        <v>33</v>
      </c>
      <c r="LO11" s="301">
        <f t="shared" si="69"/>
        <v>270.9390249999999</v>
      </c>
      <c r="LP11" s="301">
        <f t="shared" si="69"/>
        <v>306.81599999999992</v>
      </c>
      <c r="LQ11" s="301">
        <f t="shared" si="69"/>
        <v>297.96749999999997</v>
      </c>
      <c r="LR11" s="301">
        <f t="shared" si="69"/>
        <v>308.22750000000002</v>
      </c>
      <c r="LS11" s="301">
        <f t="shared" si="70"/>
        <v>1183.9500249999999</v>
      </c>
      <c r="LT11" s="561"/>
      <c r="LU11" s="598" t="s">
        <v>33</v>
      </c>
      <c r="LV11" s="301">
        <f t="shared" ref="LV11:LY11" si="77">LV71*LV117/1000</f>
        <v>286.04387564374997</v>
      </c>
      <c r="LW11" s="301">
        <f t="shared" si="77"/>
        <v>323.9209919999999</v>
      </c>
      <c r="LX11" s="301">
        <f t="shared" si="77"/>
        <v>314.57918812499992</v>
      </c>
      <c r="LY11" s="301">
        <f t="shared" si="77"/>
        <v>325.41118312499998</v>
      </c>
      <c r="LZ11" s="301">
        <f t="shared" si="72"/>
        <v>1249.9552388937498</v>
      </c>
      <c r="MA11" s="561"/>
      <c r="MB11" s="598" t="s">
        <v>33</v>
      </c>
      <c r="MC11" s="301">
        <f t="shared" ref="MC11:MF11" si="78">MC71*MC117/1000</f>
        <v>300.51769575132363</v>
      </c>
      <c r="MD11" s="301">
        <f t="shared" si="78"/>
        <v>340.31139419519991</v>
      </c>
      <c r="ME11" s="301">
        <f t="shared" si="78"/>
        <v>330.49689504412498</v>
      </c>
      <c r="MF11" s="301">
        <f t="shared" si="78"/>
        <v>341.87698899112496</v>
      </c>
      <c r="MG11" s="301">
        <f t="shared" si="74"/>
        <v>1313.2029739817735</v>
      </c>
      <c r="MH11" s="561"/>
    </row>
    <row r="12" spans="1:346" s="521" customFormat="1" ht="13.15" x14ac:dyDescent="0.4">
      <c r="A12" s="597"/>
      <c r="B12" s="598" t="s">
        <v>143</v>
      </c>
      <c r="C12" s="301"/>
      <c r="D12" s="301"/>
      <c r="E12" s="301">
        <v>292</v>
      </c>
      <c r="F12" s="301">
        <v>308.60000000000002</v>
      </c>
      <c r="G12" s="301">
        <v>252.3</v>
      </c>
      <c r="H12" s="301">
        <v>292</v>
      </c>
      <c r="I12" s="301">
        <v>329</v>
      </c>
      <c r="J12" s="301">
        <v>289</v>
      </c>
      <c r="K12" s="301">
        <v>298</v>
      </c>
      <c r="L12" s="301">
        <v>326</v>
      </c>
      <c r="M12" s="301">
        <v>315</v>
      </c>
      <c r="N12" s="301">
        <f t="shared" si="2"/>
        <v>319</v>
      </c>
      <c r="O12" s="301">
        <f t="shared" si="3"/>
        <v>325</v>
      </c>
      <c r="P12" s="301">
        <f t="shared" si="4"/>
        <v>293</v>
      </c>
      <c r="Q12" s="301">
        <f t="shared" si="5"/>
        <v>309</v>
      </c>
      <c r="R12" s="301">
        <f t="shared" si="6"/>
        <v>332</v>
      </c>
      <c r="S12" s="301">
        <f t="shared" si="7"/>
        <v>365</v>
      </c>
      <c r="T12" s="301">
        <f t="shared" si="8"/>
        <v>375</v>
      </c>
      <c r="U12" s="301">
        <f t="shared" si="9"/>
        <v>381</v>
      </c>
      <c r="V12" s="301">
        <f t="shared" si="10"/>
        <v>394</v>
      </c>
      <c r="W12" s="301">
        <f t="shared" si="11"/>
        <v>376</v>
      </c>
      <c r="X12" s="301">
        <f t="shared" si="12"/>
        <v>397</v>
      </c>
      <c r="Y12" s="301">
        <f t="shared" si="13"/>
        <v>0</v>
      </c>
      <c r="Z12" s="301">
        <f t="shared" si="14"/>
        <v>0</v>
      </c>
      <c r="AA12" s="301">
        <f t="shared" si="15"/>
        <v>0</v>
      </c>
      <c r="AB12" s="301">
        <f t="shared" si="16"/>
        <v>0</v>
      </c>
      <c r="AC12" s="301">
        <f t="shared" si="17"/>
        <v>0</v>
      </c>
      <c r="AD12" s="301">
        <f t="shared" si="18"/>
        <v>0</v>
      </c>
      <c r="AE12" s="301">
        <f t="shared" si="19"/>
        <v>0</v>
      </c>
      <c r="AF12" s="301">
        <f t="shared" si="20"/>
        <v>0</v>
      </c>
      <c r="AG12" s="301">
        <f t="shared" si="21"/>
        <v>0</v>
      </c>
      <c r="AH12" s="301">
        <f t="shared" si="22"/>
        <v>0</v>
      </c>
      <c r="AI12" s="301">
        <f t="shared" si="23"/>
        <v>377</v>
      </c>
      <c r="AJ12" s="301">
        <f t="shared" si="24"/>
        <v>423</v>
      </c>
      <c r="AK12" s="301">
        <f t="shared" si="25"/>
        <v>409</v>
      </c>
      <c r="AL12" s="301">
        <f t="shared" si="26"/>
        <v>422</v>
      </c>
      <c r="AM12" s="301">
        <f t="shared" si="27"/>
        <v>448</v>
      </c>
      <c r="AN12" s="301">
        <f t="shared" si="28"/>
        <v>459</v>
      </c>
      <c r="AO12" s="301">
        <f t="shared" si="29"/>
        <v>463</v>
      </c>
      <c r="AP12" s="301">
        <f t="shared" si="30"/>
        <v>550</v>
      </c>
      <c r="AQ12" s="301">
        <f t="shared" si="31"/>
        <v>518</v>
      </c>
      <c r="AR12" s="301">
        <f t="shared" si="32"/>
        <v>553</v>
      </c>
      <c r="AS12" s="301">
        <f t="shared" si="33"/>
        <v>538</v>
      </c>
      <c r="AT12" s="301">
        <f t="shared" si="34"/>
        <v>587</v>
      </c>
      <c r="AU12" s="301">
        <f t="shared" si="35"/>
        <v>658</v>
      </c>
      <c r="AV12" s="301">
        <f t="shared" si="36"/>
        <v>733</v>
      </c>
      <c r="AW12" s="301">
        <f t="shared" si="37"/>
        <v>772</v>
      </c>
      <c r="AX12" s="301">
        <f t="shared" si="38"/>
        <v>832</v>
      </c>
      <c r="AY12" s="301">
        <f t="shared" si="39"/>
        <v>889.43991249999988</v>
      </c>
      <c r="AZ12" s="301">
        <f t="shared" si="40"/>
        <v>950.26065007249997</v>
      </c>
      <c r="BA12" s="301">
        <f t="shared" si="41"/>
        <v>1008.1077671456632</v>
      </c>
      <c r="BB12" s="301"/>
      <c r="BC12" s="301"/>
      <c r="BD12" s="301"/>
      <c r="BE12" s="301"/>
      <c r="BF12" s="301"/>
      <c r="BG12" s="301"/>
      <c r="BH12" s="301"/>
      <c r="BI12" s="301"/>
      <c r="BJ12" s="301"/>
      <c r="BK12" s="301"/>
      <c r="BL12" s="301"/>
      <c r="BM12" s="301"/>
      <c r="BO12" s="598" t="s">
        <v>143</v>
      </c>
      <c r="BP12" s="247">
        <f>BW12-3</f>
        <v>79</v>
      </c>
      <c r="BQ12" s="247">
        <f>BX12-6</f>
        <v>83</v>
      </c>
      <c r="BR12" s="247">
        <f>BY12-2</f>
        <v>78</v>
      </c>
      <c r="BS12" s="247">
        <f>BZ12+5</f>
        <v>79</v>
      </c>
      <c r="BT12" s="247">
        <f t="shared" si="42"/>
        <v>319</v>
      </c>
      <c r="BV12" s="598" t="s">
        <v>143</v>
      </c>
      <c r="BW12" s="247">
        <v>82</v>
      </c>
      <c r="BX12" s="247">
        <v>89</v>
      </c>
      <c r="BY12" s="247">
        <v>80</v>
      </c>
      <c r="BZ12" s="247">
        <v>74</v>
      </c>
      <c r="CA12" s="247">
        <f t="shared" si="43"/>
        <v>325</v>
      </c>
      <c r="CC12" s="598" t="s">
        <v>143</v>
      </c>
      <c r="CD12" s="247">
        <v>70</v>
      </c>
      <c r="CE12" s="247">
        <v>75</v>
      </c>
      <c r="CF12" s="247">
        <v>74</v>
      </c>
      <c r="CG12" s="247">
        <v>74</v>
      </c>
      <c r="CH12" s="247">
        <f t="shared" si="44"/>
        <v>293</v>
      </c>
      <c r="CJ12" s="598" t="s">
        <v>143</v>
      </c>
      <c r="CK12" s="247">
        <v>74</v>
      </c>
      <c r="CL12" s="247">
        <v>79</v>
      </c>
      <c r="CM12" s="247">
        <v>79</v>
      </c>
      <c r="CN12" s="247">
        <v>77</v>
      </c>
      <c r="CO12" s="247">
        <f t="shared" si="45"/>
        <v>309</v>
      </c>
      <c r="CQ12" s="598" t="s">
        <v>143</v>
      </c>
      <c r="CR12" s="247">
        <v>76</v>
      </c>
      <c r="CS12" s="247">
        <v>85</v>
      </c>
      <c r="CT12" s="247">
        <v>86</v>
      </c>
      <c r="CU12" s="247">
        <v>85</v>
      </c>
      <c r="CV12" s="247">
        <f t="shared" si="46"/>
        <v>332</v>
      </c>
      <c r="CX12" s="598" t="s">
        <v>143</v>
      </c>
      <c r="CY12" s="247">
        <v>85</v>
      </c>
      <c r="CZ12" s="247">
        <v>95</v>
      </c>
      <c r="DA12" s="247">
        <v>96</v>
      </c>
      <c r="DB12" s="247">
        <v>89</v>
      </c>
      <c r="DC12" s="247">
        <f t="shared" si="47"/>
        <v>365</v>
      </c>
      <c r="DE12" s="598" t="s">
        <v>143</v>
      </c>
      <c r="DF12" s="247">
        <v>92</v>
      </c>
      <c r="DG12" s="247">
        <v>97</v>
      </c>
      <c r="DH12" s="247">
        <v>96</v>
      </c>
      <c r="DI12" s="247">
        <v>90</v>
      </c>
      <c r="DJ12" s="247">
        <f t="shared" si="48"/>
        <v>375</v>
      </c>
      <c r="DL12" s="598" t="s">
        <v>143</v>
      </c>
      <c r="DM12" s="247">
        <v>87</v>
      </c>
      <c r="DN12" s="247">
        <v>100</v>
      </c>
      <c r="DO12" s="247">
        <v>99</v>
      </c>
      <c r="DP12" s="247">
        <v>95</v>
      </c>
      <c r="DQ12" s="247">
        <f t="shared" si="49"/>
        <v>381</v>
      </c>
      <c r="DS12" s="598" t="s">
        <v>143</v>
      </c>
      <c r="DT12" s="247">
        <v>93</v>
      </c>
      <c r="DU12" s="247">
        <v>99</v>
      </c>
      <c r="DV12" s="247">
        <v>104</v>
      </c>
      <c r="DW12" s="247">
        <v>98</v>
      </c>
      <c r="DX12" s="247">
        <f t="shared" si="50"/>
        <v>394</v>
      </c>
      <c r="DZ12" s="598" t="s">
        <v>143</v>
      </c>
      <c r="EA12" s="247">
        <v>94</v>
      </c>
      <c r="EB12" s="247">
        <v>100</v>
      </c>
      <c r="EC12" s="247">
        <v>93</v>
      </c>
      <c r="ED12" s="247">
        <v>89</v>
      </c>
      <c r="EE12" s="247">
        <f t="shared" si="51"/>
        <v>376</v>
      </c>
      <c r="EG12" s="598" t="s">
        <v>143</v>
      </c>
      <c r="EH12" s="247">
        <v>103</v>
      </c>
      <c r="EI12" s="247">
        <v>99</v>
      </c>
      <c r="EJ12" s="247">
        <v>99</v>
      </c>
      <c r="EK12" s="247">
        <v>96</v>
      </c>
      <c r="EL12" s="247">
        <f t="shared" si="52"/>
        <v>397</v>
      </c>
      <c r="EN12" s="598" t="s">
        <v>143</v>
      </c>
      <c r="EO12" s="247"/>
      <c r="EP12" s="247"/>
      <c r="EQ12" s="247"/>
      <c r="ER12" s="247"/>
      <c r="ES12" s="247"/>
      <c r="EU12" s="598" t="s">
        <v>143</v>
      </c>
      <c r="EV12" s="247"/>
      <c r="EW12" s="247"/>
      <c r="EX12" s="247"/>
      <c r="EY12" s="247"/>
      <c r="EZ12" s="247"/>
      <c r="FB12" s="598" t="s">
        <v>143</v>
      </c>
      <c r="FC12" s="247"/>
      <c r="FD12" s="247"/>
      <c r="FE12" s="247"/>
      <c r="FF12" s="247"/>
      <c r="FG12" s="247"/>
      <c r="FI12" s="598" t="s">
        <v>143</v>
      </c>
      <c r="FJ12" s="247"/>
      <c r="FK12" s="247"/>
      <c r="FL12" s="247"/>
      <c r="FM12" s="247"/>
      <c r="FN12" s="247"/>
      <c r="FP12" s="598" t="s">
        <v>143</v>
      </c>
      <c r="FQ12" s="247"/>
      <c r="FR12" s="247"/>
      <c r="FS12" s="247"/>
      <c r="FT12" s="247"/>
      <c r="FU12" s="247"/>
      <c r="FW12" s="598" t="s">
        <v>143</v>
      </c>
      <c r="FX12" s="247"/>
      <c r="FY12" s="247"/>
      <c r="FZ12" s="247"/>
      <c r="GA12" s="247"/>
      <c r="GB12" s="247"/>
      <c r="GD12" s="598" t="s">
        <v>143</v>
      </c>
      <c r="GE12" s="247"/>
      <c r="GF12" s="247"/>
      <c r="GG12" s="247"/>
      <c r="GH12" s="247"/>
      <c r="GI12" s="247"/>
      <c r="GK12" s="598" t="s">
        <v>143</v>
      </c>
      <c r="GL12" s="247"/>
      <c r="GM12" s="247"/>
      <c r="GN12" s="247"/>
      <c r="GO12" s="247"/>
      <c r="GP12" s="247"/>
      <c r="GR12" s="598" t="s">
        <v>143</v>
      </c>
      <c r="GS12" s="247"/>
      <c r="GT12" s="247"/>
      <c r="GU12" s="247"/>
      <c r="GV12" s="247"/>
      <c r="GW12" s="247"/>
      <c r="GY12" s="598" t="s">
        <v>143</v>
      </c>
      <c r="GZ12" s="247"/>
      <c r="HA12" s="247"/>
      <c r="HB12" s="247"/>
      <c r="HC12" s="247"/>
      <c r="HD12" s="247"/>
      <c r="HF12" s="598" t="s">
        <v>143</v>
      </c>
      <c r="HG12" s="247">
        <v>77</v>
      </c>
      <c r="HH12" s="247">
        <v>102</v>
      </c>
      <c r="HI12" s="247">
        <v>102</v>
      </c>
      <c r="HJ12" s="247">
        <v>96</v>
      </c>
      <c r="HK12" s="247">
        <f t="shared" si="53"/>
        <v>377</v>
      </c>
      <c r="HM12" s="598" t="s">
        <v>143</v>
      </c>
      <c r="HN12" s="247">
        <v>91</v>
      </c>
      <c r="HO12" s="247">
        <v>113</v>
      </c>
      <c r="HP12" s="247">
        <v>114</v>
      </c>
      <c r="HQ12" s="247">
        <v>105</v>
      </c>
      <c r="HR12" s="247">
        <f t="shared" si="54"/>
        <v>423</v>
      </c>
      <c r="HT12" s="598" t="s">
        <v>143</v>
      </c>
      <c r="HU12" s="247">
        <v>94</v>
      </c>
      <c r="HV12" s="247">
        <v>107</v>
      </c>
      <c r="HW12" s="247">
        <v>104</v>
      </c>
      <c r="HX12" s="247">
        <v>104</v>
      </c>
      <c r="HY12" s="247">
        <f t="shared" si="55"/>
        <v>409</v>
      </c>
      <c r="IA12" s="598" t="s">
        <v>143</v>
      </c>
      <c r="IB12" s="247">
        <v>94</v>
      </c>
      <c r="IC12" s="247">
        <v>112</v>
      </c>
      <c r="ID12" s="247">
        <v>111</v>
      </c>
      <c r="IE12" s="247">
        <v>105</v>
      </c>
      <c r="IF12" s="247">
        <f t="shared" si="56"/>
        <v>422</v>
      </c>
      <c r="IH12" s="598" t="s">
        <v>143</v>
      </c>
      <c r="II12" s="247">
        <v>93</v>
      </c>
      <c r="IJ12" s="247">
        <v>120</v>
      </c>
      <c r="IK12" s="247">
        <v>123</v>
      </c>
      <c r="IL12" s="247">
        <v>112</v>
      </c>
      <c r="IM12" s="247">
        <f t="shared" si="57"/>
        <v>448</v>
      </c>
      <c r="IO12" s="598" t="s">
        <v>143</v>
      </c>
      <c r="IP12" s="247">
        <v>100</v>
      </c>
      <c r="IQ12" s="247">
        <v>121</v>
      </c>
      <c r="IR12" s="247">
        <v>125</v>
      </c>
      <c r="IS12" s="247">
        <v>113</v>
      </c>
      <c r="IT12" s="247">
        <f t="shared" si="58"/>
        <v>459</v>
      </c>
      <c r="IV12" s="598" t="s">
        <v>143</v>
      </c>
      <c r="IW12" s="247">
        <v>94</v>
      </c>
      <c r="IX12" s="247">
        <v>126</v>
      </c>
      <c r="IY12" s="247">
        <v>125</v>
      </c>
      <c r="IZ12" s="247">
        <v>118</v>
      </c>
      <c r="JA12" s="247">
        <f t="shared" si="59"/>
        <v>463</v>
      </c>
      <c r="JC12" s="598" t="s">
        <v>143</v>
      </c>
      <c r="JD12" s="247">
        <v>114</v>
      </c>
      <c r="JE12" s="247">
        <v>128</v>
      </c>
      <c r="JF12" s="247">
        <v>120</v>
      </c>
      <c r="JG12" s="247">
        <v>188</v>
      </c>
      <c r="JH12" s="247">
        <f t="shared" si="60"/>
        <v>550</v>
      </c>
      <c r="JJ12" s="598" t="s">
        <v>143</v>
      </c>
      <c r="JK12" s="247">
        <v>114</v>
      </c>
      <c r="JL12" s="247">
        <v>137</v>
      </c>
      <c r="JM12" s="247">
        <v>137</v>
      </c>
      <c r="JN12" s="247">
        <v>130</v>
      </c>
      <c r="JO12" s="247">
        <f t="shared" si="61"/>
        <v>518</v>
      </c>
      <c r="JQ12" s="598" t="s">
        <v>143</v>
      </c>
      <c r="JR12" s="247">
        <v>123</v>
      </c>
      <c r="JS12" s="247">
        <v>147</v>
      </c>
      <c r="JT12" s="247">
        <v>145</v>
      </c>
      <c r="JU12" s="247">
        <v>138</v>
      </c>
      <c r="JV12" s="247">
        <f t="shared" si="62"/>
        <v>553</v>
      </c>
      <c r="JX12" s="598" t="s">
        <v>143</v>
      </c>
      <c r="JY12" s="247">
        <v>127</v>
      </c>
      <c r="JZ12" s="247">
        <v>134</v>
      </c>
      <c r="KA12" s="247">
        <v>144</v>
      </c>
      <c r="KB12" s="247">
        <v>133</v>
      </c>
      <c r="KC12" s="247">
        <f t="shared" si="63"/>
        <v>538</v>
      </c>
      <c r="KE12" s="598" t="s">
        <v>143</v>
      </c>
      <c r="KF12" s="247">
        <v>125</v>
      </c>
      <c r="KG12" s="247">
        <v>152</v>
      </c>
      <c r="KH12" s="247">
        <v>162</v>
      </c>
      <c r="KI12" s="247">
        <v>148</v>
      </c>
      <c r="KJ12" s="247">
        <f t="shared" si="64"/>
        <v>587</v>
      </c>
      <c r="KL12" s="598" t="s">
        <v>143</v>
      </c>
      <c r="KM12" s="247">
        <v>144</v>
      </c>
      <c r="KN12" s="247">
        <v>170</v>
      </c>
      <c r="KO12" s="247">
        <v>180</v>
      </c>
      <c r="KP12" s="247">
        <v>164</v>
      </c>
      <c r="KQ12" s="247">
        <f t="shared" si="65"/>
        <v>658</v>
      </c>
      <c r="KS12" s="598" t="s">
        <v>143</v>
      </c>
      <c r="KT12" s="247">
        <v>173</v>
      </c>
      <c r="KU12" s="247">
        <v>191</v>
      </c>
      <c r="KV12" s="301">
        <v>190</v>
      </c>
      <c r="KW12" s="247">
        <v>179</v>
      </c>
      <c r="KX12" s="247">
        <f t="shared" si="66"/>
        <v>733</v>
      </c>
      <c r="KZ12" s="598" t="s">
        <v>143</v>
      </c>
      <c r="LA12" s="247">
        <v>174</v>
      </c>
      <c r="LB12" s="301">
        <v>207</v>
      </c>
      <c r="LC12" s="301">
        <v>202</v>
      </c>
      <c r="LD12" s="301">
        <v>189</v>
      </c>
      <c r="LE12" s="301">
        <f t="shared" si="67"/>
        <v>772</v>
      </c>
      <c r="LF12" s="561"/>
      <c r="LG12" s="598" t="s">
        <v>143</v>
      </c>
      <c r="LH12" s="301">
        <v>181</v>
      </c>
      <c r="LI12" s="301">
        <v>218</v>
      </c>
      <c r="LJ12" s="301">
        <v>226</v>
      </c>
      <c r="LK12" s="301">
        <v>207</v>
      </c>
      <c r="LL12" s="301">
        <f t="shared" si="68"/>
        <v>832</v>
      </c>
      <c r="LM12" s="561"/>
      <c r="LN12" s="598" t="s">
        <v>143</v>
      </c>
      <c r="LO12" s="301">
        <f t="shared" si="69"/>
        <v>194.36006250000003</v>
      </c>
      <c r="LP12" s="301">
        <f t="shared" si="69"/>
        <v>231.829375</v>
      </c>
      <c r="LQ12" s="301">
        <f t="shared" si="69"/>
        <v>235.0795499999999</v>
      </c>
      <c r="LR12" s="301">
        <f t="shared" si="69"/>
        <v>228.17092499999993</v>
      </c>
      <c r="LS12" s="301">
        <f t="shared" si="70"/>
        <v>889.43991249999988</v>
      </c>
      <c r="LT12" s="561"/>
      <c r="LU12" s="598" t="s">
        <v>143</v>
      </c>
      <c r="LV12" s="301">
        <f t="shared" ref="LV12:LY12" si="79">LV72*LV118/1000</f>
        <v>208.70383511250003</v>
      </c>
      <c r="LW12" s="301">
        <f t="shared" si="79"/>
        <v>246.52735737499998</v>
      </c>
      <c r="LX12" s="301">
        <f t="shared" si="79"/>
        <v>251.20600712999993</v>
      </c>
      <c r="LY12" s="301">
        <f t="shared" si="79"/>
        <v>243.82345045499994</v>
      </c>
      <c r="LZ12" s="301">
        <f t="shared" si="72"/>
        <v>950.26065007249997</v>
      </c>
      <c r="MA12" s="561"/>
      <c r="MB12" s="598" t="s">
        <v>143</v>
      </c>
      <c r="MC12" s="301">
        <f t="shared" ref="MC12:MF12" si="80">MC72*MC118/1000</f>
        <v>221.4086810749734</v>
      </c>
      <c r="MD12" s="301">
        <f t="shared" si="80"/>
        <v>261.53471025520309</v>
      </c>
      <c r="ME12" s="301">
        <f t="shared" si="80"/>
        <v>266.49817281403864</v>
      </c>
      <c r="MF12" s="301">
        <f t="shared" si="80"/>
        <v>258.66620300144803</v>
      </c>
      <c r="MG12" s="301">
        <f t="shared" si="74"/>
        <v>1008.1077671456632</v>
      </c>
      <c r="MH12" s="561"/>
    </row>
    <row r="13" spans="1:346" s="521" customFormat="1" ht="13.15" x14ac:dyDescent="0.4">
      <c r="A13" s="597"/>
      <c r="B13" s="598" t="s">
        <v>144</v>
      </c>
      <c r="C13" s="301"/>
      <c r="D13" s="301"/>
      <c r="E13" s="301">
        <v>303.60000000000002</v>
      </c>
      <c r="F13" s="301">
        <v>360.7</v>
      </c>
      <c r="G13" s="301">
        <v>206.9</v>
      </c>
      <c r="H13" s="301">
        <v>214</v>
      </c>
      <c r="I13" s="301">
        <v>247</v>
      </c>
      <c r="J13" s="301">
        <v>233</v>
      </c>
      <c r="K13" s="301">
        <v>213</v>
      </c>
      <c r="L13" s="301">
        <v>242</v>
      </c>
      <c r="M13" s="301">
        <v>264</v>
      </c>
      <c r="N13" s="301">
        <f t="shared" si="2"/>
        <v>236</v>
      </c>
      <c r="O13" s="301">
        <f t="shared" si="3"/>
        <v>221</v>
      </c>
      <c r="P13" s="301">
        <f t="shared" si="4"/>
        <v>202</v>
      </c>
      <c r="Q13" s="301">
        <f t="shared" si="5"/>
        <v>220</v>
      </c>
      <c r="R13" s="301">
        <f t="shared" si="6"/>
        <v>243</v>
      </c>
      <c r="S13" s="301">
        <f t="shared" si="7"/>
        <v>285</v>
      </c>
      <c r="T13" s="301">
        <f t="shared" si="8"/>
        <v>291</v>
      </c>
      <c r="U13" s="301">
        <f t="shared" si="9"/>
        <v>290</v>
      </c>
      <c r="V13" s="301">
        <f t="shared" si="10"/>
        <v>314</v>
      </c>
      <c r="W13" s="301">
        <f t="shared" si="11"/>
        <v>311</v>
      </c>
      <c r="X13" s="301">
        <f t="shared" si="12"/>
        <v>369</v>
      </c>
      <c r="Y13" s="301">
        <f t="shared" si="13"/>
        <v>407</v>
      </c>
      <c r="Z13" s="301">
        <f t="shared" si="14"/>
        <v>395</v>
      </c>
      <c r="AA13" s="301">
        <f t="shared" si="15"/>
        <v>401</v>
      </c>
      <c r="AB13" s="301">
        <f t="shared" si="16"/>
        <v>435</v>
      </c>
      <c r="AC13" s="301">
        <f t="shared" si="17"/>
        <v>511</v>
      </c>
      <c r="AD13" s="301">
        <f t="shared" si="18"/>
        <v>570</v>
      </c>
      <c r="AE13" s="301">
        <f t="shared" si="19"/>
        <v>673</v>
      </c>
      <c r="AF13" s="301">
        <f t="shared" si="20"/>
        <v>767</v>
      </c>
      <c r="AG13" s="301">
        <f t="shared" si="21"/>
        <v>752</v>
      </c>
      <c r="AH13" s="301">
        <f t="shared" si="22"/>
        <v>399</v>
      </c>
      <c r="AI13" s="301">
        <f t="shared" si="23"/>
        <v>520</v>
      </c>
      <c r="AJ13" s="301">
        <f t="shared" si="24"/>
        <v>613</v>
      </c>
      <c r="AK13" s="301">
        <f t="shared" si="25"/>
        <v>635</v>
      </c>
      <c r="AL13" s="301">
        <f t="shared" si="26"/>
        <v>736</v>
      </c>
      <c r="AM13" s="301">
        <f t="shared" si="27"/>
        <v>824</v>
      </c>
      <c r="AN13" s="301">
        <f t="shared" si="28"/>
        <v>723</v>
      </c>
      <c r="AO13" s="301">
        <f t="shared" si="29"/>
        <v>732</v>
      </c>
      <c r="AP13" s="301">
        <f t="shared" si="30"/>
        <v>703</v>
      </c>
      <c r="AQ13" s="301">
        <f t="shared" si="31"/>
        <v>769</v>
      </c>
      <c r="AR13" s="301">
        <f t="shared" si="32"/>
        <v>742</v>
      </c>
      <c r="AS13" s="301">
        <f t="shared" si="33"/>
        <v>675</v>
      </c>
      <c r="AT13" s="301">
        <f t="shared" si="34"/>
        <v>796</v>
      </c>
      <c r="AU13" s="301">
        <f t="shared" si="35"/>
        <v>828</v>
      </c>
      <c r="AV13" s="301">
        <f t="shared" si="36"/>
        <v>917</v>
      </c>
      <c r="AW13" s="301">
        <f t="shared" si="37"/>
        <v>901</v>
      </c>
      <c r="AX13" s="301">
        <f t="shared" si="38"/>
        <v>869</v>
      </c>
      <c r="AY13" s="301">
        <f t="shared" si="39"/>
        <v>912.6622625</v>
      </c>
      <c r="AZ13" s="301">
        <f t="shared" si="40"/>
        <v>961.20448658671876</v>
      </c>
      <c r="BA13" s="301">
        <f t="shared" si="41"/>
        <v>1009.865463720171</v>
      </c>
      <c r="BB13" s="301"/>
      <c r="BC13" s="301"/>
      <c r="BD13" s="301"/>
      <c r="BE13" s="301"/>
      <c r="BF13" s="301"/>
      <c r="BG13" s="301"/>
      <c r="BH13" s="301"/>
      <c r="BI13" s="301"/>
      <c r="BJ13" s="301"/>
      <c r="BK13" s="301"/>
      <c r="BL13" s="301"/>
      <c r="BM13" s="301"/>
      <c r="BO13" s="598" t="s">
        <v>144</v>
      </c>
      <c r="BP13" s="247">
        <f>BW13+4</f>
        <v>57</v>
      </c>
      <c r="BQ13" s="247">
        <f>BX13+4</f>
        <v>63</v>
      </c>
      <c r="BR13" s="247">
        <f>BY13+5</f>
        <v>60</v>
      </c>
      <c r="BS13" s="247">
        <f>BZ13+2</f>
        <v>56</v>
      </c>
      <c r="BT13" s="247">
        <f t="shared" si="42"/>
        <v>236</v>
      </c>
      <c r="BV13" s="598" t="s">
        <v>144</v>
      </c>
      <c r="BW13" s="247">
        <v>53</v>
      </c>
      <c r="BX13" s="247">
        <v>59</v>
      </c>
      <c r="BY13" s="247">
        <v>55</v>
      </c>
      <c r="BZ13" s="247">
        <v>54</v>
      </c>
      <c r="CA13" s="247">
        <f t="shared" si="43"/>
        <v>221</v>
      </c>
      <c r="CC13" s="598" t="s">
        <v>144</v>
      </c>
      <c r="CD13" s="247">
        <v>48</v>
      </c>
      <c r="CE13" s="247">
        <v>48</v>
      </c>
      <c r="CF13" s="247">
        <v>54</v>
      </c>
      <c r="CG13" s="247">
        <v>52</v>
      </c>
      <c r="CH13" s="247">
        <f t="shared" si="44"/>
        <v>202</v>
      </c>
      <c r="CJ13" s="598" t="s">
        <v>144</v>
      </c>
      <c r="CK13" s="247">
        <v>50</v>
      </c>
      <c r="CL13" s="247">
        <v>59</v>
      </c>
      <c r="CM13" s="247">
        <v>55</v>
      </c>
      <c r="CN13" s="247">
        <v>56</v>
      </c>
      <c r="CO13" s="247">
        <f t="shared" si="45"/>
        <v>220</v>
      </c>
      <c r="CQ13" s="598" t="s">
        <v>144</v>
      </c>
      <c r="CR13" s="247">
        <v>56</v>
      </c>
      <c r="CS13" s="247">
        <v>63</v>
      </c>
      <c r="CT13" s="247">
        <v>60</v>
      </c>
      <c r="CU13" s="247">
        <v>64</v>
      </c>
      <c r="CV13" s="247">
        <f t="shared" si="46"/>
        <v>243</v>
      </c>
      <c r="CX13" s="598" t="s">
        <v>144</v>
      </c>
      <c r="CY13" s="247">
        <v>70</v>
      </c>
      <c r="CZ13" s="247">
        <v>73</v>
      </c>
      <c r="DA13" s="247">
        <v>72</v>
      </c>
      <c r="DB13" s="247">
        <v>70</v>
      </c>
      <c r="DC13" s="247">
        <f t="shared" si="47"/>
        <v>285</v>
      </c>
      <c r="DE13" s="598" t="s">
        <v>144</v>
      </c>
      <c r="DF13" s="247">
        <v>74</v>
      </c>
      <c r="DG13" s="247">
        <v>76</v>
      </c>
      <c r="DH13" s="247">
        <v>73</v>
      </c>
      <c r="DI13" s="247">
        <v>68</v>
      </c>
      <c r="DJ13" s="247">
        <f t="shared" si="48"/>
        <v>291</v>
      </c>
      <c r="DL13" s="598" t="s">
        <v>144</v>
      </c>
      <c r="DM13" s="247">
        <v>70</v>
      </c>
      <c r="DN13" s="247">
        <v>73</v>
      </c>
      <c r="DO13" s="247">
        <v>72</v>
      </c>
      <c r="DP13" s="247">
        <v>75</v>
      </c>
      <c r="DQ13" s="247">
        <f t="shared" si="49"/>
        <v>290</v>
      </c>
      <c r="DS13" s="598" t="s">
        <v>144</v>
      </c>
      <c r="DT13" s="247">
        <v>75</v>
      </c>
      <c r="DU13" s="247">
        <v>81</v>
      </c>
      <c r="DV13" s="247">
        <v>79</v>
      </c>
      <c r="DW13" s="247">
        <v>79</v>
      </c>
      <c r="DX13" s="247">
        <f t="shared" si="50"/>
        <v>314</v>
      </c>
      <c r="DZ13" s="598" t="s">
        <v>144</v>
      </c>
      <c r="EA13" s="247">
        <v>78</v>
      </c>
      <c r="EB13" s="247">
        <v>86</v>
      </c>
      <c r="EC13" s="247">
        <v>76</v>
      </c>
      <c r="ED13" s="247">
        <v>71</v>
      </c>
      <c r="EE13" s="247">
        <f t="shared" si="51"/>
        <v>311</v>
      </c>
      <c r="EG13" s="598" t="s">
        <v>144</v>
      </c>
      <c r="EH13" s="247">
        <v>84</v>
      </c>
      <c r="EI13" s="247">
        <v>88</v>
      </c>
      <c r="EJ13" s="247">
        <v>100</v>
      </c>
      <c r="EK13" s="247">
        <v>97</v>
      </c>
      <c r="EL13" s="247">
        <f t="shared" si="52"/>
        <v>369</v>
      </c>
      <c r="EN13" s="598" t="s">
        <v>144</v>
      </c>
      <c r="EO13" s="247">
        <v>105</v>
      </c>
      <c r="EP13" s="247">
        <v>106</v>
      </c>
      <c r="EQ13" s="247">
        <v>100</v>
      </c>
      <c r="ER13" s="247">
        <v>96</v>
      </c>
      <c r="ES13" s="247">
        <f>EO13+EP13+EQ13+ER13</f>
        <v>407</v>
      </c>
      <c r="EU13" s="598" t="s">
        <v>144</v>
      </c>
      <c r="EV13" s="247">
        <v>99</v>
      </c>
      <c r="EW13" s="247">
        <v>103</v>
      </c>
      <c r="EX13" s="247">
        <v>102</v>
      </c>
      <c r="EY13" s="247">
        <v>91</v>
      </c>
      <c r="EZ13" s="247">
        <f>EV13+EW13+EX13+EY13</f>
        <v>395</v>
      </c>
      <c r="FB13" s="598" t="s">
        <v>144</v>
      </c>
      <c r="FC13" s="247">
        <v>98</v>
      </c>
      <c r="FD13" s="247">
        <v>100</v>
      </c>
      <c r="FE13" s="247">
        <v>104</v>
      </c>
      <c r="FF13" s="247">
        <v>99</v>
      </c>
      <c r="FG13" s="247">
        <f>FC13+FD13+FE13+FF13</f>
        <v>401</v>
      </c>
      <c r="FI13" s="598" t="s">
        <v>144</v>
      </c>
      <c r="FJ13" s="247">
        <v>110</v>
      </c>
      <c r="FK13" s="247">
        <v>108</v>
      </c>
      <c r="FL13" s="247">
        <v>107</v>
      </c>
      <c r="FM13" s="247">
        <v>110</v>
      </c>
      <c r="FN13" s="247">
        <f>FJ13+FK13+FL13+FM13</f>
        <v>435</v>
      </c>
      <c r="FP13" s="598" t="s">
        <v>144</v>
      </c>
      <c r="FQ13" s="247">
        <v>119</v>
      </c>
      <c r="FR13" s="247">
        <v>125</v>
      </c>
      <c r="FS13" s="247">
        <v>129</v>
      </c>
      <c r="FT13" s="247">
        <v>138</v>
      </c>
      <c r="FU13" s="247">
        <f>FQ13+FR13+FS13+FT13</f>
        <v>511</v>
      </c>
      <c r="FW13" s="598" t="s">
        <v>144</v>
      </c>
      <c r="FX13" s="247">
        <v>138</v>
      </c>
      <c r="FY13" s="247">
        <v>140</v>
      </c>
      <c r="FZ13" s="247">
        <v>142</v>
      </c>
      <c r="GA13" s="247">
        <v>150</v>
      </c>
      <c r="GB13" s="247">
        <f>SUM(FX13:GA13)</f>
        <v>570</v>
      </c>
      <c r="GD13" s="598" t="s">
        <v>144</v>
      </c>
      <c r="GE13" s="247">
        <v>164</v>
      </c>
      <c r="GF13" s="247">
        <v>173</v>
      </c>
      <c r="GG13" s="247">
        <v>176</v>
      </c>
      <c r="GH13" s="247">
        <v>160</v>
      </c>
      <c r="GI13" s="247">
        <f>SUM(GE13:GH13)</f>
        <v>673</v>
      </c>
      <c r="GK13" s="598" t="s">
        <v>144</v>
      </c>
      <c r="GL13" s="247">
        <v>176</v>
      </c>
      <c r="GM13" s="247">
        <v>182</v>
      </c>
      <c r="GN13" s="247">
        <v>246</v>
      </c>
      <c r="GO13" s="247">
        <v>163</v>
      </c>
      <c r="GP13" s="247">
        <f>SUM(GL13:GO13)</f>
        <v>767</v>
      </c>
      <c r="GR13" s="598" t="s">
        <v>144</v>
      </c>
      <c r="GS13" s="247">
        <v>197</v>
      </c>
      <c r="GT13" s="247">
        <v>211</v>
      </c>
      <c r="GU13" s="247">
        <v>215</v>
      </c>
      <c r="GV13" s="247">
        <v>129</v>
      </c>
      <c r="GW13" s="247">
        <f>SUM(GS13:GV13)</f>
        <v>752</v>
      </c>
      <c r="GY13" s="598" t="s">
        <v>144</v>
      </c>
      <c r="GZ13" s="247">
        <v>97</v>
      </c>
      <c r="HA13" s="247">
        <v>87</v>
      </c>
      <c r="HB13" s="247">
        <v>111</v>
      </c>
      <c r="HC13" s="247">
        <v>104</v>
      </c>
      <c r="HD13" s="247">
        <f>SUM(GZ13:HC13)</f>
        <v>399</v>
      </c>
      <c r="HF13" s="598" t="s">
        <v>144</v>
      </c>
      <c r="HG13" s="247">
        <v>128</v>
      </c>
      <c r="HH13" s="247">
        <v>140</v>
      </c>
      <c r="HI13" s="247">
        <v>125</v>
      </c>
      <c r="HJ13" s="247">
        <v>127</v>
      </c>
      <c r="HK13" s="247">
        <f t="shared" si="53"/>
        <v>520</v>
      </c>
      <c r="HM13" s="598" t="s">
        <v>144</v>
      </c>
      <c r="HN13" s="247">
        <v>148</v>
      </c>
      <c r="HO13" s="247">
        <v>158</v>
      </c>
      <c r="HP13" s="247">
        <v>155</v>
      </c>
      <c r="HQ13" s="247">
        <v>152</v>
      </c>
      <c r="HR13" s="247">
        <f t="shared" si="54"/>
        <v>613</v>
      </c>
      <c r="HT13" s="598" t="s">
        <v>144</v>
      </c>
      <c r="HU13" s="247">
        <v>171</v>
      </c>
      <c r="HV13" s="247">
        <v>163</v>
      </c>
      <c r="HW13" s="247">
        <v>155</v>
      </c>
      <c r="HX13" s="247">
        <v>146</v>
      </c>
      <c r="HY13" s="247">
        <f t="shared" si="55"/>
        <v>635</v>
      </c>
      <c r="IA13" s="598" t="s">
        <v>144</v>
      </c>
      <c r="IB13" s="247">
        <v>184</v>
      </c>
      <c r="IC13" s="247">
        <v>183</v>
      </c>
      <c r="ID13" s="247">
        <v>189</v>
      </c>
      <c r="IE13" s="247">
        <v>180</v>
      </c>
      <c r="IF13" s="247">
        <f t="shared" si="56"/>
        <v>736</v>
      </c>
      <c r="IH13" s="598" t="s">
        <v>144</v>
      </c>
      <c r="II13" s="247">
        <v>190</v>
      </c>
      <c r="IJ13" s="247">
        <v>215</v>
      </c>
      <c r="IK13" s="247">
        <v>224</v>
      </c>
      <c r="IL13" s="247">
        <v>195</v>
      </c>
      <c r="IM13" s="247">
        <f t="shared" si="57"/>
        <v>824</v>
      </c>
      <c r="IO13" s="598" t="s">
        <v>144</v>
      </c>
      <c r="IP13" s="247">
        <v>180</v>
      </c>
      <c r="IQ13" s="247">
        <v>185</v>
      </c>
      <c r="IR13" s="247">
        <v>190</v>
      </c>
      <c r="IS13" s="247">
        <v>168</v>
      </c>
      <c r="IT13" s="247">
        <f t="shared" si="58"/>
        <v>723</v>
      </c>
      <c r="IV13" s="598" t="s">
        <v>144</v>
      </c>
      <c r="IW13" s="247">
        <v>165</v>
      </c>
      <c r="IX13" s="247">
        <v>186</v>
      </c>
      <c r="IY13" s="247">
        <v>180</v>
      </c>
      <c r="IZ13" s="247">
        <v>201</v>
      </c>
      <c r="JA13" s="247">
        <f t="shared" si="59"/>
        <v>732</v>
      </c>
      <c r="JC13" s="598" t="s">
        <v>144</v>
      </c>
      <c r="JD13" s="247">
        <v>190</v>
      </c>
      <c r="JE13" s="247">
        <v>178</v>
      </c>
      <c r="JF13" s="247">
        <v>178</v>
      </c>
      <c r="JG13" s="247">
        <v>157</v>
      </c>
      <c r="JH13" s="247">
        <f t="shared" si="60"/>
        <v>703</v>
      </c>
      <c r="JJ13" s="598" t="s">
        <v>144</v>
      </c>
      <c r="JK13" s="247">
        <v>186</v>
      </c>
      <c r="JL13" s="247">
        <v>198</v>
      </c>
      <c r="JM13" s="247">
        <v>205</v>
      </c>
      <c r="JN13" s="247">
        <v>180</v>
      </c>
      <c r="JO13" s="247">
        <f t="shared" si="61"/>
        <v>769</v>
      </c>
      <c r="JQ13" s="598" t="s">
        <v>144</v>
      </c>
      <c r="JR13" s="247">
        <v>189</v>
      </c>
      <c r="JS13" s="247">
        <v>188</v>
      </c>
      <c r="JT13" s="247">
        <v>195</v>
      </c>
      <c r="JU13" s="247">
        <v>170</v>
      </c>
      <c r="JV13" s="247">
        <f t="shared" si="62"/>
        <v>742</v>
      </c>
      <c r="JX13" s="598" t="s">
        <v>144</v>
      </c>
      <c r="JY13" s="247">
        <v>199</v>
      </c>
      <c r="JZ13" s="247">
        <v>142</v>
      </c>
      <c r="KA13" s="247">
        <v>159</v>
      </c>
      <c r="KB13" s="247">
        <v>175</v>
      </c>
      <c r="KC13" s="247">
        <f t="shared" si="63"/>
        <v>675</v>
      </c>
      <c r="KE13" s="598" t="s">
        <v>144</v>
      </c>
      <c r="KF13" s="247">
        <v>186</v>
      </c>
      <c r="KG13" s="247">
        <v>204</v>
      </c>
      <c r="KH13" s="247">
        <v>206</v>
      </c>
      <c r="KI13" s="247">
        <v>200</v>
      </c>
      <c r="KJ13" s="247">
        <f t="shared" si="64"/>
        <v>796</v>
      </c>
      <c r="KL13" s="598" t="s">
        <v>144</v>
      </c>
      <c r="KM13" s="247">
        <v>197</v>
      </c>
      <c r="KN13" s="247">
        <v>216</v>
      </c>
      <c r="KO13" s="247">
        <v>211</v>
      </c>
      <c r="KP13" s="247">
        <v>204</v>
      </c>
      <c r="KQ13" s="247">
        <f t="shared" si="65"/>
        <v>828</v>
      </c>
      <c r="KS13" s="598" t="s">
        <v>144</v>
      </c>
      <c r="KT13" s="247">
        <v>239</v>
      </c>
      <c r="KU13" s="247">
        <v>240</v>
      </c>
      <c r="KV13" s="301">
        <v>225</v>
      </c>
      <c r="KW13" s="247">
        <v>213</v>
      </c>
      <c r="KX13" s="247">
        <f t="shared" si="66"/>
        <v>917</v>
      </c>
      <c r="KZ13" s="598" t="s">
        <v>144</v>
      </c>
      <c r="LA13" s="247">
        <v>262</v>
      </c>
      <c r="LB13" s="301">
        <v>230</v>
      </c>
      <c r="LC13" s="301">
        <v>208</v>
      </c>
      <c r="LD13" s="301">
        <v>201</v>
      </c>
      <c r="LE13" s="301">
        <f t="shared" si="67"/>
        <v>901</v>
      </c>
      <c r="LF13" s="561"/>
      <c r="LG13" s="598" t="s">
        <v>144</v>
      </c>
      <c r="LH13" s="301">
        <v>209</v>
      </c>
      <c r="LI13" s="301">
        <v>224</v>
      </c>
      <c r="LJ13" s="301">
        <v>224</v>
      </c>
      <c r="LK13" s="301">
        <v>212</v>
      </c>
      <c r="LL13" s="301">
        <f t="shared" si="68"/>
        <v>869</v>
      </c>
      <c r="LM13" s="561"/>
      <c r="LN13" s="598" t="s">
        <v>144</v>
      </c>
      <c r="LO13" s="301">
        <f t="shared" si="69"/>
        <v>224.42681250000001</v>
      </c>
      <c r="LP13" s="301">
        <f t="shared" si="69"/>
        <v>230.07600000000002</v>
      </c>
      <c r="LQ13" s="301">
        <f t="shared" si="69"/>
        <v>237.06199999999998</v>
      </c>
      <c r="LR13" s="301">
        <f t="shared" si="69"/>
        <v>221.09745000000001</v>
      </c>
      <c r="LS13" s="301">
        <f t="shared" si="70"/>
        <v>912.6622625</v>
      </c>
      <c r="LT13" s="561"/>
      <c r="LU13" s="598" t="s">
        <v>144</v>
      </c>
      <c r="LV13" s="301">
        <f t="shared" ref="LV13:LY13" si="81">LV73*LV119/1000</f>
        <v>236.36351358984373</v>
      </c>
      <c r="LW13" s="301">
        <f t="shared" si="81"/>
        <v>242.31316724999999</v>
      </c>
      <c r="LX13" s="301">
        <f t="shared" si="81"/>
        <v>249.67073512499996</v>
      </c>
      <c r="LY13" s="301">
        <f t="shared" si="81"/>
        <v>232.85707062187504</v>
      </c>
      <c r="LZ13" s="301">
        <f t="shared" si="72"/>
        <v>961.20448658671876</v>
      </c>
      <c r="MA13" s="561"/>
      <c r="MB13" s="598" t="s">
        <v>144</v>
      </c>
      <c r="MC13" s="301">
        <f t="shared" ref="MC13:MF13" si="82">MC73*MC119/1000</f>
        <v>248.3294164653295</v>
      </c>
      <c r="MD13" s="301">
        <f t="shared" si="82"/>
        <v>254.58027134203118</v>
      </c>
      <c r="ME13" s="301">
        <f t="shared" si="82"/>
        <v>262.310316090703</v>
      </c>
      <c r="MF13" s="301">
        <f t="shared" si="82"/>
        <v>244.64545982210737</v>
      </c>
      <c r="MG13" s="301">
        <f t="shared" si="74"/>
        <v>1009.865463720171</v>
      </c>
      <c r="MH13" s="561"/>
    </row>
    <row r="14" spans="1:346" s="521" customFormat="1" ht="13.15" x14ac:dyDescent="0.4">
      <c r="A14" s="597"/>
      <c r="B14" s="598" t="s">
        <v>142</v>
      </c>
      <c r="C14" s="301"/>
      <c r="D14" s="301"/>
      <c r="E14" s="301">
        <v>426.8</v>
      </c>
      <c r="F14" s="301">
        <v>487.5</v>
      </c>
      <c r="G14" s="301">
        <v>454.9</v>
      </c>
      <c r="H14" s="301">
        <v>461</v>
      </c>
      <c r="I14" s="301">
        <v>482</v>
      </c>
      <c r="J14" s="301">
        <v>567</v>
      </c>
      <c r="K14" s="301">
        <v>496</v>
      </c>
      <c r="L14" s="301">
        <v>493</v>
      </c>
      <c r="M14" s="301">
        <v>501</v>
      </c>
      <c r="N14" s="301">
        <f t="shared" si="2"/>
        <v>476</v>
      </c>
      <c r="O14" s="301">
        <f t="shared" si="3"/>
        <v>462</v>
      </c>
      <c r="P14" s="301">
        <f t="shared" si="4"/>
        <v>432</v>
      </c>
      <c r="Q14" s="301">
        <f t="shared" si="5"/>
        <v>448</v>
      </c>
      <c r="R14" s="301">
        <f t="shared" si="6"/>
        <v>442</v>
      </c>
      <c r="S14" s="301">
        <f t="shared" si="7"/>
        <v>444</v>
      </c>
      <c r="T14" s="301">
        <f t="shared" si="8"/>
        <v>464</v>
      </c>
      <c r="U14" s="301">
        <f t="shared" si="9"/>
        <v>494</v>
      </c>
      <c r="V14" s="301">
        <f t="shared" si="10"/>
        <v>499</v>
      </c>
      <c r="W14" s="301">
        <f t="shared" si="11"/>
        <v>500</v>
      </c>
      <c r="X14" s="301">
        <f t="shared" si="12"/>
        <v>597</v>
      </c>
      <c r="Y14" s="301">
        <f t="shared" si="13"/>
        <v>813</v>
      </c>
      <c r="Z14" s="301">
        <f t="shared" si="14"/>
        <v>776</v>
      </c>
      <c r="AA14" s="301">
        <f t="shared" si="15"/>
        <v>771</v>
      </c>
      <c r="AB14" s="301">
        <f t="shared" si="16"/>
        <v>665</v>
      </c>
      <c r="AC14" s="301">
        <f t="shared" si="17"/>
        <v>681</v>
      </c>
      <c r="AD14" s="301">
        <f t="shared" si="18"/>
        <v>717</v>
      </c>
      <c r="AE14" s="301">
        <f t="shared" si="19"/>
        <v>773</v>
      </c>
      <c r="AF14" s="301">
        <f t="shared" si="20"/>
        <v>803</v>
      </c>
      <c r="AG14" s="301">
        <f t="shared" si="21"/>
        <v>793</v>
      </c>
      <c r="AH14" s="301">
        <f t="shared" si="22"/>
        <v>547</v>
      </c>
      <c r="AI14" s="301">
        <f t="shared" si="23"/>
        <v>600</v>
      </c>
      <c r="AJ14" s="301">
        <f t="shared" si="24"/>
        <v>684</v>
      </c>
      <c r="AK14" s="301">
        <f t="shared" si="25"/>
        <v>722</v>
      </c>
      <c r="AL14" s="301">
        <f t="shared" si="26"/>
        <v>775</v>
      </c>
      <c r="AM14" s="301">
        <f t="shared" si="27"/>
        <v>819</v>
      </c>
      <c r="AN14" s="301">
        <f t="shared" si="28"/>
        <v>796</v>
      </c>
      <c r="AO14" s="301">
        <f t="shared" si="29"/>
        <v>691</v>
      </c>
      <c r="AP14" s="301">
        <f t="shared" si="30"/>
        <v>682</v>
      </c>
      <c r="AQ14" s="301">
        <f t="shared" si="31"/>
        <v>850</v>
      </c>
      <c r="AR14" s="301">
        <f t="shared" si="32"/>
        <v>873</v>
      </c>
      <c r="AS14" s="301">
        <f t="shared" si="33"/>
        <v>824</v>
      </c>
      <c r="AT14" s="301">
        <f t="shared" si="34"/>
        <v>918</v>
      </c>
      <c r="AU14" s="301">
        <f t="shared" si="35"/>
        <v>996</v>
      </c>
      <c r="AV14" s="301">
        <f t="shared" si="36"/>
        <v>1012</v>
      </c>
      <c r="AW14" s="301">
        <f t="shared" si="37"/>
        <v>1005</v>
      </c>
      <c r="AX14" s="301">
        <f t="shared" si="38"/>
        <v>975</v>
      </c>
      <c r="AY14" s="301">
        <f t="shared" si="39"/>
        <v>972.18830000000003</v>
      </c>
      <c r="AZ14" s="301">
        <f t="shared" si="40"/>
        <v>1017.63285439375</v>
      </c>
      <c r="BA14" s="301">
        <f t="shared" si="41"/>
        <v>1074.5114512592136</v>
      </c>
      <c r="BB14" s="301"/>
      <c r="BC14" s="301"/>
      <c r="BD14" s="301"/>
      <c r="BE14" s="301"/>
      <c r="BF14" s="301"/>
      <c r="BG14" s="301"/>
      <c r="BH14" s="301"/>
      <c r="BI14" s="301"/>
      <c r="BJ14" s="301"/>
      <c r="BK14" s="301"/>
      <c r="BL14" s="301"/>
      <c r="BM14" s="301"/>
      <c r="BO14" s="598" t="s">
        <v>142</v>
      </c>
      <c r="BP14" s="247">
        <f>BW14+5</f>
        <v>125</v>
      </c>
      <c r="BQ14" s="247">
        <f>BX14-1</f>
        <v>117</v>
      </c>
      <c r="BR14" s="247">
        <f>BY14+4</f>
        <v>116</v>
      </c>
      <c r="BS14" s="247">
        <f>BZ14+6</f>
        <v>118</v>
      </c>
      <c r="BT14" s="247">
        <f t="shared" si="42"/>
        <v>476</v>
      </c>
      <c r="BV14" s="598" t="s">
        <v>142</v>
      </c>
      <c r="BW14" s="247">
        <v>120</v>
      </c>
      <c r="BX14" s="247">
        <v>118</v>
      </c>
      <c r="BY14" s="247">
        <v>112</v>
      </c>
      <c r="BZ14" s="247">
        <v>112</v>
      </c>
      <c r="CA14" s="247">
        <f t="shared" si="43"/>
        <v>462</v>
      </c>
      <c r="CC14" s="598" t="s">
        <v>142</v>
      </c>
      <c r="CD14" s="247">
        <v>108</v>
      </c>
      <c r="CE14" s="247">
        <v>106</v>
      </c>
      <c r="CF14" s="247">
        <v>110</v>
      </c>
      <c r="CG14" s="247">
        <v>108</v>
      </c>
      <c r="CH14" s="247">
        <f t="shared" si="44"/>
        <v>432</v>
      </c>
      <c r="CJ14" s="598" t="s">
        <v>142</v>
      </c>
      <c r="CK14" s="247">
        <v>117</v>
      </c>
      <c r="CL14" s="247">
        <v>111</v>
      </c>
      <c r="CM14" s="247">
        <v>110</v>
      </c>
      <c r="CN14" s="247">
        <v>110</v>
      </c>
      <c r="CO14" s="247">
        <f t="shared" si="45"/>
        <v>448</v>
      </c>
      <c r="CQ14" s="598" t="s">
        <v>142</v>
      </c>
      <c r="CR14" s="247">
        <v>113</v>
      </c>
      <c r="CS14" s="247">
        <v>111</v>
      </c>
      <c r="CT14" s="247">
        <v>107</v>
      </c>
      <c r="CU14" s="247">
        <v>111</v>
      </c>
      <c r="CV14" s="247">
        <f t="shared" si="46"/>
        <v>442</v>
      </c>
      <c r="CX14" s="598" t="s">
        <v>142</v>
      </c>
      <c r="CY14" s="247">
        <v>111</v>
      </c>
      <c r="CZ14" s="247">
        <v>114</v>
      </c>
      <c r="DA14" s="247">
        <v>110</v>
      </c>
      <c r="DB14" s="247">
        <v>109</v>
      </c>
      <c r="DC14" s="247">
        <f t="shared" si="47"/>
        <v>444</v>
      </c>
      <c r="DE14" s="598" t="s">
        <v>142</v>
      </c>
      <c r="DF14" s="247">
        <v>113</v>
      </c>
      <c r="DG14" s="247">
        <v>119</v>
      </c>
      <c r="DH14" s="247">
        <v>117</v>
      </c>
      <c r="DI14" s="247">
        <v>115</v>
      </c>
      <c r="DJ14" s="247">
        <f t="shared" si="48"/>
        <v>464</v>
      </c>
      <c r="DL14" s="598" t="s">
        <v>142</v>
      </c>
      <c r="DM14" s="247">
        <v>120</v>
      </c>
      <c r="DN14" s="247">
        <v>125</v>
      </c>
      <c r="DO14" s="247">
        <v>124</v>
      </c>
      <c r="DP14" s="247">
        <v>125</v>
      </c>
      <c r="DQ14" s="247">
        <f t="shared" si="49"/>
        <v>494</v>
      </c>
      <c r="DS14" s="598" t="s">
        <v>142</v>
      </c>
      <c r="DT14" s="247">
        <v>128</v>
      </c>
      <c r="DU14" s="247">
        <v>126</v>
      </c>
      <c r="DV14" s="247">
        <v>123</v>
      </c>
      <c r="DW14" s="247">
        <v>122</v>
      </c>
      <c r="DX14" s="247">
        <f t="shared" si="50"/>
        <v>499</v>
      </c>
      <c r="DZ14" s="598" t="s">
        <v>142</v>
      </c>
      <c r="EA14" s="247">
        <v>126</v>
      </c>
      <c r="EB14" s="247">
        <v>124</v>
      </c>
      <c r="EC14" s="247">
        <v>128</v>
      </c>
      <c r="ED14" s="247">
        <v>122</v>
      </c>
      <c r="EE14" s="247">
        <f t="shared" si="51"/>
        <v>500</v>
      </c>
      <c r="EG14" s="598" t="s">
        <v>142</v>
      </c>
      <c r="EH14" s="247">
        <v>134</v>
      </c>
      <c r="EI14" s="247">
        <v>142</v>
      </c>
      <c r="EJ14" s="247">
        <v>160</v>
      </c>
      <c r="EK14" s="247">
        <v>161</v>
      </c>
      <c r="EL14" s="247">
        <f t="shared" si="52"/>
        <v>597</v>
      </c>
      <c r="EN14" s="598" t="s">
        <v>142</v>
      </c>
      <c r="EO14" s="247">
        <v>208</v>
      </c>
      <c r="EP14" s="247">
        <v>209</v>
      </c>
      <c r="EQ14" s="247">
        <v>200</v>
      </c>
      <c r="ER14" s="247">
        <v>196</v>
      </c>
      <c r="ES14" s="247">
        <f>EO14+EP14+EQ14+ER14</f>
        <v>813</v>
      </c>
      <c r="EU14" s="598" t="s">
        <v>142</v>
      </c>
      <c r="EV14" s="247">
        <v>196</v>
      </c>
      <c r="EW14" s="247">
        <v>198</v>
      </c>
      <c r="EX14" s="247">
        <v>198</v>
      </c>
      <c r="EY14" s="247">
        <v>184</v>
      </c>
      <c r="EZ14" s="247">
        <f>EV14+EW14+EX14+EY14</f>
        <v>776</v>
      </c>
      <c r="FB14" s="598" t="s">
        <v>142</v>
      </c>
      <c r="FC14" s="247">
        <v>189</v>
      </c>
      <c r="FD14" s="247">
        <v>197</v>
      </c>
      <c r="FE14" s="247">
        <v>195</v>
      </c>
      <c r="FF14" s="247">
        <v>190</v>
      </c>
      <c r="FG14" s="247">
        <f>FC14+FD14+FE14+FF14</f>
        <v>771</v>
      </c>
      <c r="FI14" s="598" t="s">
        <v>142</v>
      </c>
      <c r="FJ14" s="247">
        <v>195</v>
      </c>
      <c r="FK14" s="247">
        <v>159</v>
      </c>
      <c r="FL14" s="247">
        <v>158</v>
      </c>
      <c r="FM14" s="247">
        <v>153</v>
      </c>
      <c r="FN14" s="247">
        <f>FJ14+FK14+FL14+FM14</f>
        <v>665</v>
      </c>
      <c r="FP14" s="598" t="s">
        <v>142</v>
      </c>
      <c r="FQ14" s="247">
        <v>159</v>
      </c>
      <c r="FR14" s="247">
        <v>166</v>
      </c>
      <c r="FS14" s="247">
        <v>171</v>
      </c>
      <c r="FT14" s="247">
        <v>185</v>
      </c>
      <c r="FU14" s="247">
        <f>FQ14+FR14+FS14+FT14</f>
        <v>681</v>
      </c>
      <c r="FW14" s="598" t="s">
        <v>142</v>
      </c>
      <c r="FX14" s="247">
        <v>176</v>
      </c>
      <c r="FY14" s="247">
        <v>181</v>
      </c>
      <c r="FZ14" s="247">
        <v>177</v>
      </c>
      <c r="GA14" s="247">
        <v>183</v>
      </c>
      <c r="GB14" s="247">
        <f>SUM(FX14:GA14)</f>
        <v>717</v>
      </c>
      <c r="GD14" s="598" t="s">
        <v>142</v>
      </c>
      <c r="GE14" s="247">
        <v>191</v>
      </c>
      <c r="GF14" s="247">
        <v>194</v>
      </c>
      <c r="GG14" s="247">
        <v>200</v>
      </c>
      <c r="GH14" s="247">
        <v>188</v>
      </c>
      <c r="GI14" s="247">
        <f>SUM(GE14:GH14)</f>
        <v>773</v>
      </c>
      <c r="GK14" s="598" t="s">
        <v>142</v>
      </c>
      <c r="GL14" s="247">
        <v>205</v>
      </c>
      <c r="GM14" s="247">
        <v>210</v>
      </c>
      <c r="GN14" s="247">
        <v>203</v>
      </c>
      <c r="GO14" s="247">
        <v>185</v>
      </c>
      <c r="GP14" s="247">
        <f>SUM(GL14:GO14)</f>
        <v>803</v>
      </c>
      <c r="GR14" s="598" t="s">
        <v>142</v>
      </c>
      <c r="GS14" s="247">
        <v>192</v>
      </c>
      <c r="GT14" s="247">
        <v>205</v>
      </c>
      <c r="GU14" s="247">
        <v>216</v>
      </c>
      <c r="GV14" s="247">
        <v>180</v>
      </c>
      <c r="GW14" s="247">
        <f>SUM(GS14:GV14)</f>
        <v>793</v>
      </c>
      <c r="GY14" s="598" t="s">
        <v>142</v>
      </c>
      <c r="GZ14" s="247">
        <v>140</v>
      </c>
      <c r="HA14" s="247">
        <v>133</v>
      </c>
      <c r="HB14" s="247">
        <v>140</v>
      </c>
      <c r="HC14" s="247">
        <v>134</v>
      </c>
      <c r="HD14" s="247">
        <f>SUM(GZ14:HC14)</f>
        <v>547</v>
      </c>
      <c r="HF14" s="598" t="s">
        <v>142</v>
      </c>
      <c r="HG14" s="247">
        <v>140</v>
      </c>
      <c r="HH14" s="247">
        <v>150</v>
      </c>
      <c r="HI14" s="247">
        <v>150</v>
      </c>
      <c r="HJ14" s="247">
        <v>160</v>
      </c>
      <c r="HK14" s="247">
        <f t="shared" si="53"/>
        <v>600</v>
      </c>
      <c r="HM14" s="598" t="s">
        <v>142</v>
      </c>
      <c r="HN14" s="247">
        <v>161</v>
      </c>
      <c r="HO14" s="247">
        <v>174</v>
      </c>
      <c r="HP14" s="247">
        <v>179</v>
      </c>
      <c r="HQ14" s="247">
        <v>170</v>
      </c>
      <c r="HR14" s="247">
        <f t="shared" si="54"/>
        <v>684</v>
      </c>
      <c r="HT14" s="598" t="s">
        <v>142</v>
      </c>
      <c r="HU14" s="247">
        <v>181</v>
      </c>
      <c r="HV14" s="247">
        <v>184</v>
      </c>
      <c r="HW14" s="247">
        <v>182</v>
      </c>
      <c r="HX14" s="247">
        <v>175</v>
      </c>
      <c r="HY14" s="247">
        <f t="shared" si="55"/>
        <v>722</v>
      </c>
      <c r="IA14" s="598" t="s">
        <v>142</v>
      </c>
      <c r="IB14" s="247">
        <v>189</v>
      </c>
      <c r="IC14" s="247">
        <v>195</v>
      </c>
      <c r="ID14" s="247">
        <v>199</v>
      </c>
      <c r="IE14" s="247">
        <v>192</v>
      </c>
      <c r="IF14" s="247">
        <f t="shared" si="56"/>
        <v>775</v>
      </c>
      <c r="IH14" s="598" t="s">
        <v>142</v>
      </c>
      <c r="II14" s="247">
        <v>194</v>
      </c>
      <c r="IJ14" s="247">
        <v>210</v>
      </c>
      <c r="IK14" s="247">
        <v>209</v>
      </c>
      <c r="IL14" s="247">
        <v>206</v>
      </c>
      <c r="IM14" s="247">
        <f t="shared" si="57"/>
        <v>819</v>
      </c>
      <c r="IO14" s="598" t="s">
        <v>142</v>
      </c>
      <c r="IP14" s="247">
        <v>198</v>
      </c>
      <c r="IQ14" s="247">
        <v>202</v>
      </c>
      <c r="IR14" s="247">
        <v>203</v>
      </c>
      <c r="IS14" s="247">
        <v>193</v>
      </c>
      <c r="IT14" s="247">
        <f t="shared" si="58"/>
        <v>796</v>
      </c>
      <c r="IV14" s="598" t="s">
        <v>142</v>
      </c>
      <c r="IW14" s="247">
        <v>189</v>
      </c>
      <c r="IX14" s="247">
        <v>192</v>
      </c>
      <c r="IY14" s="247">
        <v>191</v>
      </c>
      <c r="IZ14" s="247">
        <v>119</v>
      </c>
      <c r="JA14" s="247">
        <f t="shared" si="59"/>
        <v>691</v>
      </c>
      <c r="JC14" s="598" t="s">
        <v>142</v>
      </c>
      <c r="JD14" s="247">
        <v>192</v>
      </c>
      <c r="JE14" s="247">
        <v>194</v>
      </c>
      <c r="JF14" s="247">
        <v>181</v>
      </c>
      <c r="JG14" s="247">
        <v>115</v>
      </c>
      <c r="JH14" s="247">
        <f t="shared" si="60"/>
        <v>682</v>
      </c>
      <c r="JJ14" s="598" t="s">
        <v>142</v>
      </c>
      <c r="JK14" s="247">
        <v>195</v>
      </c>
      <c r="JL14" s="247">
        <v>215</v>
      </c>
      <c r="JM14" s="247">
        <v>223</v>
      </c>
      <c r="JN14" s="247">
        <v>217</v>
      </c>
      <c r="JO14" s="247">
        <f t="shared" si="61"/>
        <v>850</v>
      </c>
      <c r="JQ14" s="598" t="s">
        <v>142</v>
      </c>
      <c r="JR14" s="247">
        <v>216</v>
      </c>
      <c r="JS14" s="247">
        <v>218</v>
      </c>
      <c r="JT14" s="247">
        <v>225</v>
      </c>
      <c r="JU14" s="247">
        <v>214</v>
      </c>
      <c r="JV14" s="247">
        <f t="shared" si="62"/>
        <v>873</v>
      </c>
      <c r="JX14" s="598" t="s">
        <v>142</v>
      </c>
      <c r="JY14" s="247">
        <v>217</v>
      </c>
      <c r="JZ14" s="247">
        <v>194</v>
      </c>
      <c r="KA14" s="247">
        <v>206</v>
      </c>
      <c r="KB14" s="247">
        <v>207</v>
      </c>
      <c r="KC14" s="247">
        <f t="shared" si="63"/>
        <v>824</v>
      </c>
      <c r="KE14" s="598" t="s">
        <v>142</v>
      </c>
      <c r="KF14" s="247">
        <v>220</v>
      </c>
      <c r="KG14" s="247">
        <v>233</v>
      </c>
      <c r="KH14" s="247">
        <v>231</v>
      </c>
      <c r="KI14" s="247">
        <v>234</v>
      </c>
      <c r="KJ14" s="247">
        <f t="shared" si="64"/>
        <v>918</v>
      </c>
      <c r="KL14" s="598" t="s">
        <v>142</v>
      </c>
      <c r="KM14" s="247">
        <v>228</v>
      </c>
      <c r="KN14" s="247">
        <v>251</v>
      </c>
      <c r="KO14" s="247">
        <v>264</v>
      </c>
      <c r="KP14" s="247">
        <v>253</v>
      </c>
      <c r="KQ14" s="247">
        <f t="shared" si="65"/>
        <v>996</v>
      </c>
      <c r="KS14" s="598" t="s">
        <v>142</v>
      </c>
      <c r="KT14" s="247">
        <v>261</v>
      </c>
      <c r="KU14" s="247">
        <v>257</v>
      </c>
      <c r="KV14" s="301">
        <v>243</v>
      </c>
      <c r="KW14" s="247">
        <v>251</v>
      </c>
      <c r="KX14" s="247">
        <f t="shared" si="66"/>
        <v>1012</v>
      </c>
      <c r="KZ14" s="598" t="s">
        <v>142</v>
      </c>
      <c r="LA14" s="247">
        <v>220</v>
      </c>
      <c r="LB14" s="301">
        <v>269</v>
      </c>
      <c r="LC14" s="301">
        <v>259</v>
      </c>
      <c r="LD14" s="301">
        <v>257</v>
      </c>
      <c r="LE14" s="301">
        <f t="shared" si="67"/>
        <v>1005</v>
      </c>
      <c r="LF14" s="561"/>
      <c r="LG14" s="598" t="s">
        <v>142</v>
      </c>
      <c r="LH14" s="301">
        <v>249</v>
      </c>
      <c r="LI14" s="301">
        <v>250</v>
      </c>
      <c r="LJ14" s="301">
        <v>247</v>
      </c>
      <c r="LK14" s="301">
        <v>229</v>
      </c>
      <c r="LL14" s="301">
        <f t="shared" si="68"/>
        <v>975</v>
      </c>
      <c r="LM14" s="561"/>
      <c r="LN14" s="598" t="s">
        <v>142</v>
      </c>
      <c r="LO14" s="301">
        <f t="shared" si="69"/>
        <v>231.12180000000001</v>
      </c>
      <c r="LP14" s="301">
        <f t="shared" si="69"/>
        <v>243.52500000000001</v>
      </c>
      <c r="LQ14" s="301">
        <f t="shared" si="69"/>
        <v>256.95410000000004</v>
      </c>
      <c r="LR14" s="301">
        <f t="shared" si="69"/>
        <v>240.5874</v>
      </c>
      <c r="LS14" s="301">
        <f t="shared" si="70"/>
        <v>972.18830000000003</v>
      </c>
      <c r="LT14" s="561"/>
      <c r="LU14" s="598" t="s">
        <v>142</v>
      </c>
      <c r="LV14" s="301">
        <f t="shared" ref="LV14:LY14" si="83">LV74*LV120/1000</f>
        <v>241.01959108500003</v>
      </c>
      <c r="LW14" s="301">
        <f t="shared" si="83"/>
        <v>253.95395812499996</v>
      </c>
      <c r="LX14" s="301">
        <f t="shared" si="83"/>
        <v>269.28468487375</v>
      </c>
      <c r="LY14" s="301">
        <f t="shared" si="83"/>
        <v>253.37462031000001</v>
      </c>
      <c r="LZ14" s="301">
        <f t="shared" si="72"/>
        <v>1017.63285439375</v>
      </c>
      <c r="MA14" s="561"/>
      <c r="MB14" s="598" t="s">
        <v>142</v>
      </c>
      <c r="MC14" s="301">
        <f t="shared" ref="MC14:MF14" si="84">MC74*MC120/1000</f>
        <v>253.21518239390099</v>
      </c>
      <c r="MD14" s="301">
        <f t="shared" si="84"/>
        <v>268.11189129046869</v>
      </c>
      <c r="ME14" s="301">
        <f t="shared" si="84"/>
        <v>285.6841221825614</v>
      </c>
      <c r="MF14" s="301">
        <f t="shared" si="84"/>
        <v>267.5002553922825</v>
      </c>
      <c r="MG14" s="301">
        <f t="shared" si="74"/>
        <v>1074.5114512592136</v>
      </c>
      <c r="MH14" s="561"/>
    </row>
    <row r="15" spans="1:346" s="521" customFormat="1" ht="13.15" x14ac:dyDescent="0.4">
      <c r="A15" s="597"/>
      <c r="B15" s="598" t="s">
        <v>145</v>
      </c>
      <c r="C15" s="301"/>
      <c r="D15" s="301"/>
      <c r="E15" s="301">
        <v>314.8</v>
      </c>
      <c r="F15" s="301">
        <v>337.7</v>
      </c>
      <c r="G15" s="301">
        <v>280.7</v>
      </c>
      <c r="H15" s="301">
        <v>313</v>
      </c>
      <c r="I15" s="301">
        <v>314</v>
      </c>
      <c r="J15" s="301">
        <v>306</v>
      </c>
      <c r="K15" s="301">
        <v>229</v>
      </c>
      <c r="L15" s="301">
        <v>258</v>
      </c>
      <c r="M15" s="301">
        <v>285</v>
      </c>
      <c r="N15" s="301">
        <f t="shared" si="2"/>
        <v>266</v>
      </c>
      <c r="O15" s="301">
        <f t="shared" si="3"/>
        <v>273</v>
      </c>
      <c r="P15" s="301">
        <f t="shared" si="4"/>
        <v>271</v>
      </c>
      <c r="Q15" s="301">
        <f t="shared" si="5"/>
        <v>268</v>
      </c>
      <c r="R15" s="301">
        <f t="shared" si="6"/>
        <v>256</v>
      </c>
      <c r="S15" s="301">
        <f t="shared" si="7"/>
        <v>254</v>
      </c>
      <c r="T15" s="301">
        <f t="shared" si="8"/>
        <v>282</v>
      </c>
      <c r="U15" s="301">
        <f t="shared" si="9"/>
        <v>279</v>
      </c>
      <c r="V15" s="301">
        <f t="shared" si="10"/>
        <v>292</v>
      </c>
      <c r="W15" s="301">
        <f t="shared" si="11"/>
        <v>303</v>
      </c>
      <c r="X15" s="301">
        <f t="shared" si="12"/>
        <v>317</v>
      </c>
      <c r="Y15" s="301">
        <f t="shared" si="13"/>
        <v>317</v>
      </c>
      <c r="Z15" s="301">
        <f t="shared" si="14"/>
        <v>306</v>
      </c>
      <c r="AA15" s="301">
        <f t="shared" si="15"/>
        <v>324</v>
      </c>
      <c r="AB15" s="301">
        <f t="shared" si="16"/>
        <v>329</v>
      </c>
      <c r="AC15" s="301">
        <f t="shared" si="17"/>
        <v>341</v>
      </c>
      <c r="AD15" s="301">
        <f t="shared" si="18"/>
        <v>351</v>
      </c>
      <c r="AE15" s="301">
        <f t="shared" si="19"/>
        <v>354</v>
      </c>
      <c r="AF15" s="301">
        <f t="shared" si="20"/>
        <v>421</v>
      </c>
      <c r="AG15" s="301">
        <f t="shared" si="21"/>
        <v>461</v>
      </c>
      <c r="AH15" s="301">
        <f t="shared" si="22"/>
        <v>373</v>
      </c>
      <c r="AI15" s="301">
        <f t="shared" si="23"/>
        <v>465</v>
      </c>
      <c r="AJ15" s="301">
        <f t="shared" si="24"/>
        <v>490</v>
      </c>
      <c r="AK15" s="301">
        <f t="shared" si="25"/>
        <v>512</v>
      </c>
      <c r="AL15" s="301">
        <f t="shared" si="26"/>
        <v>527</v>
      </c>
      <c r="AM15" s="301">
        <f t="shared" si="27"/>
        <v>534</v>
      </c>
      <c r="AN15" s="301">
        <f t="shared" si="28"/>
        <v>489</v>
      </c>
      <c r="AO15" s="301">
        <f t="shared" si="29"/>
        <v>518</v>
      </c>
      <c r="AP15" s="301">
        <f t="shared" si="30"/>
        <v>466</v>
      </c>
      <c r="AQ15" s="301">
        <f t="shared" si="31"/>
        <v>442</v>
      </c>
      <c r="AR15" s="301">
        <f t="shared" si="32"/>
        <v>431</v>
      </c>
      <c r="AS15" s="301">
        <f t="shared" si="33"/>
        <v>424</v>
      </c>
      <c r="AT15" s="301">
        <f t="shared" si="34"/>
        <v>470</v>
      </c>
      <c r="AU15" s="301">
        <f t="shared" si="35"/>
        <v>455</v>
      </c>
      <c r="AV15" s="301">
        <f t="shared" si="36"/>
        <v>516</v>
      </c>
      <c r="AW15" s="301">
        <f t="shared" si="37"/>
        <v>505</v>
      </c>
      <c r="AX15" s="301">
        <f t="shared" si="38"/>
        <v>521</v>
      </c>
      <c r="AY15" s="301">
        <f t="shared" si="39"/>
        <v>547.32015000000001</v>
      </c>
      <c r="AZ15" s="301">
        <f t="shared" si="40"/>
        <v>574.83402628500005</v>
      </c>
      <c r="BA15" s="301">
        <f t="shared" si="41"/>
        <v>594.05826209897816</v>
      </c>
      <c r="BB15" s="301"/>
      <c r="BC15" s="301"/>
      <c r="BD15" s="301"/>
      <c r="BE15" s="301"/>
      <c r="BF15" s="301"/>
      <c r="BG15" s="301"/>
      <c r="BH15" s="301"/>
      <c r="BI15" s="301"/>
      <c r="BJ15" s="301"/>
      <c r="BK15" s="301"/>
      <c r="BL15" s="301"/>
      <c r="BM15" s="301"/>
      <c r="BO15" s="598" t="s">
        <v>145</v>
      </c>
      <c r="BP15" s="247">
        <f>BW15-2</f>
        <v>77</v>
      </c>
      <c r="BQ15" s="247">
        <f>BX15-5</f>
        <v>65</v>
      </c>
      <c r="BR15" s="247">
        <f>BY15+2</f>
        <v>59</v>
      </c>
      <c r="BS15" s="247">
        <f>BZ15-2</f>
        <v>65</v>
      </c>
      <c r="BT15" s="247">
        <f t="shared" si="42"/>
        <v>266</v>
      </c>
      <c r="BV15" s="598" t="s">
        <v>145</v>
      </c>
      <c r="BW15" s="247">
        <v>79</v>
      </c>
      <c r="BX15" s="247">
        <v>70</v>
      </c>
      <c r="BY15" s="247">
        <v>57</v>
      </c>
      <c r="BZ15" s="247">
        <v>67</v>
      </c>
      <c r="CA15" s="247">
        <f t="shared" si="43"/>
        <v>273</v>
      </c>
      <c r="CC15" s="598" t="s">
        <v>145</v>
      </c>
      <c r="CD15" s="247">
        <v>75</v>
      </c>
      <c r="CE15" s="247">
        <v>68</v>
      </c>
      <c r="CF15" s="247">
        <v>61</v>
      </c>
      <c r="CG15" s="247">
        <v>67</v>
      </c>
      <c r="CH15" s="247">
        <f t="shared" si="44"/>
        <v>271</v>
      </c>
      <c r="CJ15" s="598" t="s">
        <v>145</v>
      </c>
      <c r="CK15" s="247">
        <v>77</v>
      </c>
      <c r="CL15" s="247">
        <v>71</v>
      </c>
      <c r="CM15" s="247">
        <v>57</v>
      </c>
      <c r="CN15" s="247">
        <v>63</v>
      </c>
      <c r="CO15" s="247">
        <f t="shared" si="45"/>
        <v>268</v>
      </c>
      <c r="CQ15" s="598" t="s">
        <v>145</v>
      </c>
      <c r="CR15" s="247">
        <v>70</v>
      </c>
      <c r="CS15" s="247">
        <v>67</v>
      </c>
      <c r="CT15" s="247">
        <v>58</v>
      </c>
      <c r="CU15" s="247">
        <v>61</v>
      </c>
      <c r="CV15" s="247">
        <f t="shared" si="46"/>
        <v>256</v>
      </c>
      <c r="CX15" s="598" t="s">
        <v>145</v>
      </c>
      <c r="CY15" s="247">
        <v>67</v>
      </c>
      <c r="CZ15" s="247">
        <v>64</v>
      </c>
      <c r="DA15" s="247">
        <v>59</v>
      </c>
      <c r="DB15" s="247">
        <v>64</v>
      </c>
      <c r="DC15" s="247">
        <f t="shared" si="47"/>
        <v>254</v>
      </c>
      <c r="DE15" s="598" t="s">
        <v>145</v>
      </c>
      <c r="DF15" s="247">
        <v>79</v>
      </c>
      <c r="DG15" s="247">
        <v>67</v>
      </c>
      <c r="DH15" s="247">
        <v>65</v>
      </c>
      <c r="DI15" s="247">
        <v>71</v>
      </c>
      <c r="DJ15" s="247">
        <f t="shared" si="48"/>
        <v>282</v>
      </c>
      <c r="DL15" s="598" t="s">
        <v>145</v>
      </c>
      <c r="DM15" s="247">
        <v>75</v>
      </c>
      <c r="DN15" s="247">
        <v>69</v>
      </c>
      <c r="DO15" s="247">
        <v>66</v>
      </c>
      <c r="DP15" s="247">
        <v>69</v>
      </c>
      <c r="DQ15" s="247">
        <f t="shared" si="49"/>
        <v>279</v>
      </c>
      <c r="DS15" s="598" t="s">
        <v>145</v>
      </c>
      <c r="DT15" s="247">
        <v>75</v>
      </c>
      <c r="DU15" s="247">
        <v>74</v>
      </c>
      <c r="DV15" s="247">
        <v>68</v>
      </c>
      <c r="DW15" s="247">
        <v>75</v>
      </c>
      <c r="DX15" s="247">
        <f t="shared" si="50"/>
        <v>292</v>
      </c>
      <c r="DZ15" s="598" t="s">
        <v>145</v>
      </c>
      <c r="EA15" s="247">
        <v>83</v>
      </c>
      <c r="EB15" s="247">
        <v>78</v>
      </c>
      <c r="EC15" s="247">
        <v>69</v>
      </c>
      <c r="ED15" s="247">
        <v>73</v>
      </c>
      <c r="EE15" s="247">
        <f t="shared" si="51"/>
        <v>303</v>
      </c>
      <c r="EG15" s="598" t="s">
        <v>145</v>
      </c>
      <c r="EH15" s="247">
        <v>89</v>
      </c>
      <c r="EI15" s="247">
        <v>78</v>
      </c>
      <c r="EJ15" s="247">
        <v>71</v>
      </c>
      <c r="EK15" s="247">
        <v>79</v>
      </c>
      <c r="EL15" s="247">
        <f t="shared" si="52"/>
        <v>317</v>
      </c>
      <c r="EN15" s="598" t="s">
        <v>145</v>
      </c>
      <c r="EO15" s="247">
        <v>93</v>
      </c>
      <c r="EP15" s="247">
        <v>74</v>
      </c>
      <c r="EQ15" s="247">
        <v>75</v>
      </c>
      <c r="ER15" s="247">
        <v>75</v>
      </c>
      <c r="ES15" s="247">
        <f>EO15+EP15+EQ15+ER15</f>
        <v>317</v>
      </c>
      <c r="EU15" s="598" t="s">
        <v>145</v>
      </c>
      <c r="EV15" s="247">
        <v>89</v>
      </c>
      <c r="EW15" s="247">
        <v>75</v>
      </c>
      <c r="EX15" s="247">
        <v>63</v>
      </c>
      <c r="EY15" s="247">
        <v>79</v>
      </c>
      <c r="EZ15" s="247">
        <f>EV15+EW15+EX15+EY15</f>
        <v>306</v>
      </c>
      <c r="FB15" s="598" t="s">
        <v>145</v>
      </c>
      <c r="FC15" s="247">
        <v>89</v>
      </c>
      <c r="FD15" s="247">
        <v>83</v>
      </c>
      <c r="FE15" s="247">
        <v>73</v>
      </c>
      <c r="FF15" s="247">
        <v>79</v>
      </c>
      <c r="FG15" s="247">
        <f>FC15+FD15+FE15+FF15</f>
        <v>324</v>
      </c>
      <c r="FI15" s="598" t="s">
        <v>145</v>
      </c>
      <c r="FJ15" s="247">
        <v>87</v>
      </c>
      <c r="FK15" s="247">
        <v>85</v>
      </c>
      <c r="FL15" s="247">
        <v>74</v>
      </c>
      <c r="FM15" s="247">
        <v>83</v>
      </c>
      <c r="FN15" s="247">
        <f>FJ15+FK15+FL15+FM15</f>
        <v>329</v>
      </c>
      <c r="FP15" s="598" t="s">
        <v>145</v>
      </c>
      <c r="FQ15" s="247">
        <v>89</v>
      </c>
      <c r="FR15" s="247">
        <v>88</v>
      </c>
      <c r="FS15" s="247">
        <v>75</v>
      </c>
      <c r="FT15" s="247">
        <v>89</v>
      </c>
      <c r="FU15" s="247">
        <f>FQ15+FR15+FS15+FT15</f>
        <v>341</v>
      </c>
      <c r="FW15" s="598" t="s">
        <v>145</v>
      </c>
      <c r="FX15" s="247">
        <v>90</v>
      </c>
      <c r="FY15" s="247">
        <v>91</v>
      </c>
      <c r="FZ15" s="247">
        <v>83</v>
      </c>
      <c r="GA15" s="247">
        <v>87</v>
      </c>
      <c r="GB15" s="247">
        <f>SUM(FX15:GA15)</f>
        <v>351</v>
      </c>
      <c r="GD15" s="598" t="s">
        <v>145</v>
      </c>
      <c r="GE15" s="247">
        <v>90</v>
      </c>
      <c r="GF15" s="247">
        <v>93</v>
      </c>
      <c r="GG15" s="247">
        <v>82</v>
      </c>
      <c r="GH15" s="247">
        <v>89</v>
      </c>
      <c r="GI15" s="247">
        <f>SUM(GE15:GH15)</f>
        <v>354</v>
      </c>
      <c r="GK15" s="598" t="s">
        <v>145</v>
      </c>
      <c r="GL15" s="247">
        <v>106</v>
      </c>
      <c r="GM15" s="247">
        <v>104</v>
      </c>
      <c r="GN15" s="247">
        <v>101</v>
      </c>
      <c r="GO15" s="247">
        <v>110</v>
      </c>
      <c r="GP15" s="247">
        <f>SUM(GL15:GO15)</f>
        <v>421</v>
      </c>
      <c r="GR15" s="598" t="s">
        <v>145</v>
      </c>
      <c r="GS15" s="247">
        <v>130</v>
      </c>
      <c r="GT15" s="247">
        <v>128</v>
      </c>
      <c r="GU15" s="247">
        <v>117</v>
      </c>
      <c r="GV15" s="247">
        <v>86</v>
      </c>
      <c r="GW15" s="247">
        <f>SUM(GS15:GV15)</f>
        <v>461</v>
      </c>
      <c r="GY15" s="598" t="s">
        <v>145</v>
      </c>
      <c r="GZ15" s="247">
        <v>87</v>
      </c>
      <c r="HA15" s="247">
        <v>94</v>
      </c>
      <c r="HB15" s="247">
        <v>94</v>
      </c>
      <c r="HC15" s="247">
        <v>98</v>
      </c>
      <c r="HD15" s="247">
        <f>SUM(GZ15:HC15)</f>
        <v>373</v>
      </c>
      <c r="HF15" s="598" t="s">
        <v>145</v>
      </c>
      <c r="HG15" s="247">
        <v>123</v>
      </c>
      <c r="HH15" s="247">
        <v>109</v>
      </c>
      <c r="HI15" s="247">
        <v>107</v>
      </c>
      <c r="HJ15" s="247">
        <v>126</v>
      </c>
      <c r="HK15" s="247">
        <f t="shared" si="53"/>
        <v>465</v>
      </c>
      <c r="HM15" s="598" t="s">
        <v>145</v>
      </c>
      <c r="HN15" s="247">
        <v>136</v>
      </c>
      <c r="HO15" s="247">
        <v>119</v>
      </c>
      <c r="HP15" s="247">
        <v>118</v>
      </c>
      <c r="HQ15" s="247">
        <v>117</v>
      </c>
      <c r="HR15" s="247">
        <f t="shared" si="54"/>
        <v>490</v>
      </c>
      <c r="HT15" s="598" t="s">
        <v>145</v>
      </c>
      <c r="HU15" s="247">
        <v>131</v>
      </c>
      <c r="HV15" s="247">
        <v>125</v>
      </c>
      <c r="HW15" s="247">
        <v>123</v>
      </c>
      <c r="HX15" s="247">
        <v>133</v>
      </c>
      <c r="HY15" s="247">
        <f t="shared" si="55"/>
        <v>512</v>
      </c>
      <c r="IA15" s="598" t="s">
        <v>145</v>
      </c>
      <c r="IB15" s="247">
        <v>144</v>
      </c>
      <c r="IC15" s="247">
        <v>135</v>
      </c>
      <c r="ID15" s="247">
        <v>124</v>
      </c>
      <c r="IE15" s="247">
        <v>124</v>
      </c>
      <c r="IF15" s="247">
        <f t="shared" si="56"/>
        <v>527</v>
      </c>
      <c r="IH15" s="598" t="s">
        <v>145</v>
      </c>
      <c r="II15" s="247">
        <v>134</v>
      </c>
      <c r="IJ15" s="247">
        <v>143</v>
      </c>
      <c r="IK15" s="247">
        <v>127</v>
      </c>
      <c r="IL15" s="247">
        <v>130</v>
      </c>
      <c r="IM15" s="247">
        <f t="shared" si="57"/>
        <v>534</v>
      </c>
      <c r="IO15" s="598" t="s">
        <v>145</v>
      </c>
      <c r="IP15" s="247">
        <v>136</v>
      </c>
      <c r="IQ15" s="247">
        <v>122</v>
      </c>
      <c r="IR15" s="247">
        <v>111</v>
      </c>
      <c r="IS15" s="247">
        <v>120</v>
      </c>
      <c r="IT15" s="247">
        <f t="shared" si="58"/>
        <v>489</v>
      </c>
      <c r="IV15" s="598" t="s">
        <v>145</v>
      </c>
      <c r="IW15" s="247">
        <v>127</v>
      </c>
      <c r="IX15" s="247">
        <v>114</v>
      </c>
      <c r="IY15" s="247">
        <v>104</v>
      </c>
      <c r="IZ15" s="247">
        <v>173</v>
      </c>
      <c r="JA15" s="247">
        <f t="shared" si="59"/>
        <v>518</v>
      </c>
      <c r="JC15" s="598" t="s">
        <v>145</v>
      </c>
      <c r="JD15" s="247">
        <v>129</v>
      </c>
      <c r="JE15" s="247">
        <v>118</v>
      </c>
      <c r="JF15" s="247">
        <v>106</v>
      </c>
      <c r="JG15" s="247">
        <v>113</v>
      </c>
      <c r="JH15" s="247">
        <f t="shared" si="60"/>
        <v>466</v>
      </c>
      <c r="JJ15" s="598" t="s">
        <v>145</v>
      </c>
      <c r="JK15" s="247">
        <v>116</v>
      </c>
      <c r="JL15" s="247">
        <v>112</v>
      </c>
      <c r="JM15" s="247">
        <v>104</v>
      </c>
      <c r="JN15" s="247">
        <v>110</v>
      </c>
      <c r="JO15" s="247">
        <f t="shared" si="61"/>
        <v>442</v>
      </c>
      <c r="JQ15" s="598" t="s">
        <v>145</v>
      </c>
      <c r="JR15" s="247">
        <v>110</v>
      </c>
      <c r="JS15" s="247">
        <v>112</v>
      </c>
      <c r="JT15" s="247">
        <v>101</v>
      </c>
      <c r="JU15" s="247">
        <v>108</v>
      </c>
      <c r="JV15" s="247">
        <f t="shared" si="62"/>
        <v>431</v>
      </c>
      <c r="JX15" s="598" t="s">
        <v>145</v>
      </c>
      <c r="JY15" s="247">
        <v>112</v>
      </c>
      <c r="JZ15" s="247">
        <v>103</v>
      </c>
      <c r="KA15" s="247">
        <v>96</v>
      </c>
      <c r="KB15" s="247">
        <v>113</v>
      </c>
      <c r="KC15" s="247">
        <f t="shared" si="63"/>
        <v>424</v>
      </c>
      <c r="KE15" s="598" t="s">
        <v>145</v>
      </c>
      <c r="KF15" s="247">
        <v>122</v>
      </c>
      <c r="KG15" s="247">
        <v>122</v>
      </c>
      <c r="KH15" s="247">
        <v>106</v>
      </c>
      <c r="KI15" s="247">
        <v>120</v>
      </c>
      <c r="KJ15" s="247">
        <f t="shared" si="64"/>
        <v>470</v>
      </c>
      <c r="KL15" s="598" t="s">
        <v>145</v>
      </c>
      <c r="KM15" s="247">
        <v>120</v>
      </c>
      <c r="KN15" s="247">
        <v>118</v>
      </c>
      <c r="KO15" s="247">
        <v>108</v>
      </c>
      <c r="KP15" s="247">
        <v>109</v>
      </c>
      <c r="KQ15" s="247">
        <f t="shared" si="65"/>
        <v>455</v>
      </c>
      <c r="KS15" s="598" t="s">
        <v>145</v>
      </c>
      <c r="KT15" s="247">
        <v>129</v>
      </c>
      <c r="KU15" s="247">
        <v>128</v>
      </c>
      <c r="KV15" s="301">
        <v>124</v>
      </c>
      <c r="KW15" s="247">
        <v>135</v>
      </c>
      <c r="KX15" s="247">
        <f t="shared" si="66"/>
        <v>516</v>
      </c>
      <c r="KZ15" s="598" t="s">
        <v>145</v>
      </c>
      <c r="LA15" s="247">
        <v>136</v>
      </c>
      <c r="LB15" s="301">
        <v>126</v>
      </c>
      <c r="LC15" s="301">
        <v>118</v>
      </c>
      <c r="LD15" s="301">
        <v>125</v>
      </c>
      <c r="LE15" s="301">
        <f t="shared" si="67"/>
        <v>505</v>
      </c>
      <c r="LF15" s="561"/>
      <c r="LG15" s="598" t="s">
        <v>145</v>
      </c>
      <c r="LH15" s="301">
        <v>136</v>
      </c>
      <c r="LI15" s="301">
        <v>126</v>
      </c>
      <c r="LJ15" s="301">
        <v>126</v>
      </c>
      <c r="LK15" s="301">
        <v>133</v>
      </c>
      <c r="LL15" s="301">
        <f t="shared" si="68"/>
        <v>521</v>
      </c>
      <c r="LM15" s="561"/>
      <c r="LN15" s="598" t="s">
        <v>145</v>
      </c>
      <c r="LO15" s="301">
        <f t="shared" si="69"/>
        <v>138.72</v>
      </c>
      <c r="LP15" s="301">
        <f t="shared" si="69"/>
        <v>131.08724999999998</v>
      </c>
      <c r="LQ15" s="301">
        <f t="shared" si="69"/>
        <v>133.67339999999999</v>
      </c>
      <c r="LR15" s="301">
        <f t="shared" si="69"/>
        <v>143.83950000000002</v>
      </c>
      <c r="LS15" s="301">
        <f t="shared" si="70"/>
        <v>547.32015000000001</v>
      </c>
      <c r="LT15" s="561"/>
      <c r="LU15" s="598" t="s">
        <v>145</v>
      </c>
      <c r="LV15" s="301">
        <f t="shared" ref="LV15:LY15" si="85">LV75*LV121/1000</f>
        <v>148.23619200000002</v>
      </c>
      <c r="LW15" s="301">
        <f t="shared" si="85"/>
        <v>140.07983534999997</v>
      </c>
      <c r="LX15" s="301">
        <f t="shared" si="85"/>
        <v>138.72291268499998</v>
      </c>
      <c r="LY15" s="301">
        <f t="shared" si="85"/>
        <v>147.79508625000005</v>
      </c>
      <c r="LZ15" s="301">
        <f t="shared" si="72"/>
        <v>574.83402628500005</v>
      </c>
      <c r="MA15" s="561"/>
      <c r="MB15" s="598" t="s">
        <v>145</v>
      </c>
      <c r="MC15" s="301">
        <f t="shared" ref="MC15:MF15" si="86">MC75*MC121/1000</f>
        <v>154.98093873600001</v>
      </c>
      <c r="MD15" s="301">
        <f t="shared" si="86"/>
        <v>145.01764954608748</v>
      </c>
      <c r="ME15" s="301">
        <f t="shared" si="86"/>
        <v>142.19098550212499</v>
      </c>
      <c r="MF15" s="301">
        <f t="shared" si="86"/>
        <v>151.86868831476565</v>
      </c>
      <c r="MG15" s="301">
        <f t="shared" si="74"/>
        <v>594.05826209897816</v>
      </c>
      <c r="MH15" s="561"/>
    </row>
    <row r="16" spans="1:346" s="37" customFormat="1" ht="13.15" hidden="1" outlineLevel="1" x14ac:dyDescent="0.4">
      <c r="A16" s="100"/>
      <c r="B16" s="106" t="s">
        <v>321</v>
      </c>
      <c r="C16" s="107"/>
      <c r="D16" s="107"/>
      <c r="E16" s="107">
        <f>172+265.6</f>
        <v>437.6</v>
      </c>
      <c r="F16" s="107">
        <f>187.1+294.3</f>
        <v>481.4</v>
      </c>
      <c r="G16" s="107">
        <f>151.4+213.1</f>
        <v>364.5</v>
      </c>
      <c r="H16" s="107">
        <f>174+212</f>
        <v>386</v>
      </c>
      <c r="I16" s="107">
        <f>152+240</f>
        <v>392</v>
      </c>
      <c r="J16" s="107">
        <v>283</v>
      </c>
      <c r="K16" s="107">
        <v>248</v>
      </c>
      <c r="L16" s="107">
        <v>218</v>
      </c>
      <c r="M16" s="107">
        <v>210</v>
      </c>
      <c r="N16" s="107">
        <f t="shared" si="2"/>
        <v>199</v>
      </c>
      <c r="O16" s="107">
        <f t="shared" si="3"/>
        <v>194</v>
      </c>
      <c r="P16" s="107">
        <f t="shared" si="4"/>
        <v>206</v>
      </c>
      <c r="Q16" s="107">
        <f t="shared" si="5"/>
        <v>195</v>
      </c>
      <c r="R16" s="107">
        <f t="shared" si="6"/>
        <v>196</v>
      </c>
      <c r="S16" s="107">
        <f t="shared" si="7"/>
        <v>204</v>
      </c>
      <c r="T16" s="107">
        <f t="shared" si="8"/>
        <v>207</v>
      </c>
      <c r="U16" s="107">
        <f t="shared" si="9"/>
        <v>159</v>
      </c>
      <c r="V16" s="107">
        <f t="shared" si="10"/>
        <v>163</v>
      </c>
      <c r="W16" s="107">
        <f t="shared" si="11"/>
        <v>153</v>
      </c>
      <c r="X16" s="107">
        <f t="shared" si="12"/>
        <v>188</v>
      </c>
      <c r="Y16" s="107">
        <f t="shared" si="13"/>
        <v>0</v>
      </c>
      <c r="Z16" s="107">
        <f t="shared" si="14"/>
        <v>0</v>
      </c>
      <c r="AA16" s="107">
        <f t="shared" si="15"/>
        <v>0</v>
      </c>
      <c r="AB16" s="107">
        <f t="shared" si="16"/>
        <v>0</v>
      </c>
      <c r="AC16" s="107">
        <f t="shared" si="17"/>
        <v>0</v>
      </c>
      <c r="AD16" s="107">
        <f t="shared" si="18"/>
        <v>0</v>
      </c>
      <c r="AE16" s="107">
        <f t="shared" si="19"/>
        <v>0</v>
      </c>
      <c r="AF16" s="107">
        <f t="shared" si="20"/>
        <v>0</v>
      </c>
      <c r="AG16" s="107">
        <f t="shared" si="21"/>
        <v>0</v>
      </c>
      <c r="AH16" s="107">
        <f t="shared" si="22"/>
        <v>0</v>
      </c>
      <c r="AI16" s="107">
        <f t="shared" si="23"/>
        <v>0</v>
      </c>
      <c r="AJ16" s="107">
        <f t="shared" si="24"/>
        <v>0</v>
      </c>
      <c r="AK16" s="107">
        <f t="shared" si="25"/>
        <v>0</v>
      </c>
      <c r="AL16" s="107">
        <f t="shared" si="26"/>
        <v>0</v>
      </c>
      <c r="AM16" s="107">
        <f t="shared" si="27"/>
        <v>0</v>
      </c>
      <c r="AN16" s="107">
        <f t="shared" si="28"/>
        <v>0</v>
      </c>
      <c r="AO16" s="107">
        <f t="shared" si="29"/>
        <v>0</v>
      </c>
      <c r="AP16" s="107">
        <f t="shared" si="30"/>
        <v>0</v>
      </c>
      <c r="AQ16" s="107">
        <f t="shared" si="31"/>
        <v>0</v>
      </c>
      <c r="AR16" s="107">
        <f t="shared" si="32"/>
        <v>0</v>
      </c>
      <c r="AS16" s="107">
        <f t="shared" si="33"/>
        <v>0</v>
      </c>
      <c r="AT16" s="107">
        <f t="shared" si="34"/>
        <v>0</v>
      </c>
      <c r="AU16" s="107">
        <f t="shared" si="35"/>
        <v>0</v>
      </c>
      <c r="AV16" s="107">
        <f t="shared" si="36"/>
        <v>0</v>
      </c>
      <c r="AW16" s="107">
        <f t="shared" si="37"/>
        <v>0</v>
      </c>
      <c r="AX16" s="107">
        <f t="shared" si="38"/>
        <v>0</v>
      </c>
      <c r="AY16" s="107">
        <f t="shared" si="39"/>
        <v>0</v>
      </c>
      <c r="AZ16" s="107">
        <f t="shared" si="40"/>
        <v>0</v>
      </c>
      <c r="BA16" s="107">
        <f t="shared" si="41"/>
        <v>0</v>
      </c>
      <c r="BB16" s="107"/>
      <c r="BC16" s="107"/>
      <c r="BD16" s="107"/>
      <c r="BE16" s="107"/>
      <c r="BF16" s="107"/>
      <c r="BG16" s="107"/>
      <c r="BH16" s="107"/>
      <c r="BI16" s="107"/>
      <c r="BJ16" s="107"/>
      <c r="BK16" s="107"/>
      <c r="BL16" s="107"/>
      <c r="BM16" s="107"/>
      <c r="BO16" s="106" t="s">
        <v>321</v>
      </c>
      <c r="BP16" s="108">
        <f>BW16-1</f>
        <v>49</v>
      </c>
      <c r="BQ16" s="108">
        <f>BX16+4</f>
        <v>51</v>
      </c>
      <c r="BR16" s="108">
        <f>BY16+2</f>
        <v>49</v>
      </c>
      <c r="BS16" s="108">
        <f>BZ16+0</f>
        <v>50</v>
      </c>
      <c r="BT16" s="108">
        <f t="shared" si="42"/>
        <v>199</v>
      </c>
      <c r="BV16" s="106" t="s">
        <v>321</v>
      </c>
      <c r="BW16" s="108">
        <v>50</v>
      </c>
      <c r="BX16" s="108">
        <v>47</v>
      </c>
      <c r="BY16" s="108">
        <v>47</v>
      </c>
      <c r="BZ16" s="108">
        <v>50</v>
      </c>
      <c r="CA16" s="108">
        <f t="shared" si="43"/>
        <v>194</v>
      </c>
      <c r="CC16" s="106" t="s">
        <v>321</v>
      </c>
      <c r="CD16" s="108">
        <v>53</v>
      </c>
      <c r="CE16" s="108">
        <v>56</v>
      </c>
      <c r="CF16" s="108">
        <v>50</v>
      </c>
      <c r="CG16" s="108">
        <v>47</v>
      </c>
      <c r="CH16" s="108">
        <f t="shared" si="44"/>
        <v>206</v>
      </c>
      <c r="CJ16" s="106" t="s">
        <v>321</v>
      </c>
      <c r="CK16" s="108">
        <v>51</v>
      </c>
      <c r="CL16" s="108">
        <v>48</v>
      </c>
      <c r="CM16" s="108">
        <v>48</v>
      </c>
      <c r="CN16" s="108">
        <v>48</v>
      </c>
      <c r="CO16" s="108">
        <f t="shared" si="45"/>
        <v>195</v>
      </c>
      <c r="CQ16" s="106" t="s">
        <v>321</v>
      </c>
      <c r="CR16" s="108">
        <v>48</v>
      </c>
      <c r="CS16" s="108">
        <v>48</v>
      </c>
      <c r="CT16" s="108">
        <v>48</v>
      </c>
      <c r="CU16" s="108">
        <v>52</v>
      </c>
      <c r="CV16" s="108">
        <f t="shared" si="46"/>
        <v>196</v>
      </c>
      <c r="CX16" s="106" t="s">
        <v>321</v>
      </c>
      <c r="CY16" s="108">
        <v>48</v>
      </c>
      <c r="CZ16" s="108">
        <v>53</v>
      </c>
      <c r="DA16" s="108">
        <v>52</v>
      </c>
      <c r="DB16" s="108">
        <v>51</v>
      </c>
      <c r="DC16" s="108">
        <f t="shared" si="47"/>
        <v>204</v>
      </c>
      <c r="DE16" s="106" t="s">
        <v>321</v>
      </c>
      <c r="DF16" s="108">
        <v>53</v>
      </c>
      <c r="DG16" s="108">
        <v>53</v>
      </c>
      <c r="DH16" s="108">
        <v>51</v>
      </c>
      <c r="DI16" s="108">
        <v>50</v>
      </c>
      <c r="DJ16" s="108">
        <f t="shared" si="48"/>
        <v>207</v>
      </c>
      <c r="DL16" s="106" t="s">
        <v>321</v>
      </c>
      <c r="DM16" s="108">
        <v>48</v>
      </c>
      <c r="DN16" s="108">
        <v>37</v>
      </c>
      <c r="DO16" s="108">
        <v>38</v>
      </c>
      <c r="DP16" s="108">
        <v>36</v>
      </c>
      <c r="DQ16" s="108">
        <f t="shared" si="49"/>
        <v>159</v>
      </c>
      <c r="DS16" s="106" t="s">
        <v>321</v>
      </c>
      <c r="DT16" s="108">
        <v>38</v>
      </c>
      <c r="DU16" s="108">
        <v>42</v>
      </c>
      <c r="DV16" s="108">
        <v>43</v>
      </c>
      <c r="DW16" s="108">
        <v>40</v>
      </c>
      <c r="DX16" s="108">
        <f t="shared" si="50"/>
        <v>163</v>
      </c>
      <c r="DZ16" s="106" t="s">
        <v>321</v>
      </c>
      <c r="EA16" s="108">
        <v>41</v>
      </c>
      <c r="EB16" s="108">
        <v>39</v>
      </c>
      <c r="EC16" s="108">
        <v>36</v>
      </c>
      <c r="ED16" s="108">
        <v>37</v>
      </c>
      <c r="EE16" s="108">
        <f t="shared" si="51"/>
        <v>153</v>
      </c>
      <c r="EG16" s="106" t="s">
        <v>321</v>
      </c>
      <c r="EH16" s="108">
        <v>43</v>
      </c>
      <c r="EI16" s="108">
        <v>41</v>
      </c>
      <c r="EJ16" s="108">
        <v>50</v>
      </c>
      <c r="EK16" s="108">
        <v>54</v>
      </c>
      <c r="EL16" s="108">
        <f t="shared" si="52"/>
        <v>188</v>
      </c>
      <c r="EN16" s="106" t="s">
        <v>321</v>
      </c>
      <c r="EO16" s="108"/>
      <c r="EP16" s="108"/>
      <c r="EQ16" s="108"/>
      <c r="ER16" s="108"/>
      <c r="ES16" s="108"/>
      <c r="EU16" s="106" t="s">
        <v>321</v>
      </c>
      <c r="EV16" s="108"/>
      <c r="EW16" s="108"/>
      <c r="EX16" s="108"/>
      <c r="EY16" s="108"/>
      <c r="EZ16" s="108"/>
      <c r="FB16" s="106" t="s">
        <v>321</v>
      </c>
      <c r="FC16" s="108"/>
      <c r="FD16" s="108"/>
      <c r="FE16" s="108"/>
      <c r="FF16" s="108"/>
      <c r="FG16" s="108"/>
      <c r="FI16" s="106" t="s">
        <v>321</v>
      </c>
      <c r="FJ16" s="108"/>
      <c r="FK16" s="108"/>
      <c r="FL16" s="108"/>
      <c r="FM16" s="108"/>
      <c r="FN16" s="108"/>
      <c r="FP16" s="106" t="s">
        <v>321</v>
      </c>
      <c r="FQ16" s="108"/>
      <c r="FR16" s="108"/>
      <c r="FS16" s="108"/>
      <c r="FT16" s="108"/>
      <c r="FU16" s="108"/>
      <c r="FW16" s="106" t="s">
        <v>321</v>
      </c>
      <c r="FX16" s="108"/>
      <c r="FY16" s="108"/>
      <c r="FZ16" s="108"/>
      <c r="GA16" s="108"/>
      <c r="GB16" s="108"/>
      <c r="GD16" s="106" t="s">
        <v>321</v>
      </c>
      <c r="GE16" s="108"/>
      <c r="GF16" s="108"/>
      <c r="GG16" s="108"/>
      <c r="GH16" s="108"/>
      <c r="GI16" s="108"/>
      <c r="GK16" s="106" t="s">
        <v>321</v>
      </c>
      <c r="GL16" s="108"/>
      <c r="GM16" s="108"/>
      <c r="GN16" s="108"/>
      <c r="GO16" s="108"/>
      <c r="GP16" s="108"/>
      <c r="GR16" s="106" t="s">
        <v>321</v>
      </c>
      <c r="GS16" s="108"/>
      <c r="GT16" s="108"/>
      <c r="GU16" s="108"/>
      <c r="GV16" s="108"/>
      <c r="GW16" s="108"/>
      <c r="GY16" s="106" t="s">
        <v>321</v>
      </c>
      <c r="GZ16" s="108"/>
      <c r="HA16" s="108"/>
      <c r="HB16" s="108"/>
      <c r="HC16" s="108"/>
      <c r="HD16" s="108"/>
      <c r="HF16" s="106" t="s">
        <v>321</v>
      </c>
      <c r="HG16" s="108"/>
      <c r="HH16" s="108"/>
      <c r="HI16" s="108"/>
      <c r="HJ16" s="108"/>
      <c r="HK16" s="108"/>
      <c r="HM16" s="106" t="s">
        <v>321</v>
      </c>
      <c r="HN16" s="108"/>
      <c r="HO16" s="108"/>
      <c r="HP16" s="108"/>
      <c r="HQ16" s="108"/>
      <c r="HR16" s="108"/>
      <c r="HT16" s="106" t="s">
        <v>321</v>
      </c>
      <c r="HU16" s="108"/>
      <c r="HV16" s="108"/>
      <c r="HW16" s="108"/>
      <c r="HX16" s="108"/>
      <c r="HY16" s="108"/>
      <c r="IA16" s="106" t="s">
        <v>321</v>
      </c>
      <c r="IB16" s="108"/>
      <c r="IC16" s="108"/>
      <c r="ID16" s="108"/>
      <c r="IE16" s="108"/>
      <c r="IF16" s="108"/>
      <c r="IH16" s="106" t="s">
        <v>321</v>
      </c>
      <c r="II16" s="108"/>
      <c r="IJ16" s="108"/>
      <c r="IK16" s="108"/>
      <c r="IL16" s="108"/>
      <c r="IM16" s="108"/>
      <c r="IO16" s="106" t="s">
        <v>321</v>
      </c>
      <c r="IP16" s="108"/>
      <c r="IQ16" s="108"/>
      <c r="IR16" s="108"/>
      <c r="IS16" s="108"/>
      <c r="IT16" s="108"/>
      <c r="IV16" s="106" t="s">
        <v>321</v>
      </c>
      <c r="IW16" s="108"/>
      <c r="IX16" s="108"/>
      <c r="IY16" s="108"/>
      <c r="IZ16" s="108"/>
      <c r="JA16" s="108"/>
      <c r="JC16" s="106" t="s">
        <v>321</v>
      </c>
      <c r="JD16" s="108"/>
      <c r="JE16" s="108"/>
      <c r="JF16" s="108"/>
      <c r="JG16" s="108"/>
      <c r="JH16" s="108"/>
      <c r="JJ16" s="106" t="s">
        <v>321</v>
      </c>
      <c r="JK16" s="108"/>
      <c r="JL16" s="108"/>
      <c r="JM16" s="108"/>
      <c r="JN16" s="108"/>
      <c r="JO16" s="108"/>
      <c r="JQ16" s="106" t="s">
        <v>321</v>
      </c>
      <c r="JR16" s="108"/>
      <c r="JS16" s="108"/>
      <c r="JT16" s="108"/>
      <c r="JU16" s="108"/>
      <c r="JV16" s="108"/>
      <c r="JX16" s="106" t="s">
        <v>321</v>
      </c>
      <c r="JY16" s="108"/>
      <c r="JZ16" s="108"/>
      <c r="KA16" s="108"/>
      <c r="KB16" s="108"/>
      <c r="KC16" s="108"/>
      <c r="KE16" s="106" t="s">
        <v>321</v>
      </c>
      <c r="KF16" s="108"/>
      <c r="KG16" s="108"/>
      <c r="KH16" s="108"/>
      <c r="KI16" s="108"/>
      <c r="KJ16" s="108"/>
      <c r="KL16" s="106" t="s">
        <v>321</v>
      </c>
      <c r="KM16" s="108"/>
      <c r="KN16" s="108"/>
      <c r="KO16" s="108"/>
      <c r="KP16" s="108"/>
      <c r="KQ16" s="108"/>
      <c r="KS16" s="106" t="s">
        <v>321</v>
      </c>
      <c r="KT16" s="108"/>
      <c r="KU16" s="108"/>
      <c r="KV16" s="107"/>
      <c r="KW16" s="108"/>
      <c r="KX16" s="108"/>
      <c r="KZ16" s="106" t="s">
        <v>321</v>
      </c>
      <c r="LA16" s="108"/>
      <c r="LB16" s="107"/>
      <c r="LC16" s="107"/>
      <c r="LD16" s="107"/>
      <c r="LE16" s="107"/>
      <c r="LF16" s="555"/>
      <c r="LG16" s="106" t="s">
        <v>321</v>
      </c>
      <c r="LH16" s="107"/>
      <c r="LI16" s="107"/>
      <c r="LJ16" s="107"/>
      <c r="LK16" s="107"/>
      <c r="LL16" s="107"/>
      <c r="LM16" s="555"/>
      <c r="LN16" s="106" t="s">
        <v>321</v>
      </c>
      <c r="LO16" s="107"/>
      <c r="LP16" s="107"/>
      <c r="LQ16" s="107"/>
      <c r="LR16" s="107"/>
      <c r="LS16" s="107"/>
      <c r="LT16" s="555"/>
      <c r="LU16" s="106" t="s">
        <v>321</v>
      </c>
      <c r="LV16" s="107"/>
      <c r="LW16" s="107"/>
      <c r="LX16" s="107"/>
      <c r="LY16" s="107"/>
      <c r="LZ16" s="107"/>
      <c r="MA16" s="555"/>
      <c r="MB16" s="106" t="s">
        <v>321</v>
      </c>
      <c r="MC16" s="107"/>
      <c r="MD16" s="107"/>
      <c r="ME16" s="107"/>
      <c r="MF16" s="107"/>
      <c r="MG16" s="107"/>
      <c r="MH16" s="555"/>
    </row>
    <row r="17" spans="1:346" s="37" customFormat="1" ht="13.15" hidden="1" outlineLevel="1" x14ac:dyDescent="0.4">
      <c r="A17" s="100"/>
      <c r="B17" s="106" t="s">
        <v>323</v>
      </c>
      <c r="C17" s="107"/>
      <c r="D17" s="107"/>
      <c r="E17" s="107"/>
      <c r="F17" s="107"/>
      <c r="G17" s="107"/>
      <c r="H17" s="107"/>
      <c r="I17" s="107"/>
      <c r="J17" s="107"/>
      <c r="K17" s="107"/>
      <c r="L17" s="107"/>
      <c r="M17" s="107"/>
      <c r="N17" s="107">
        <f t="shared" si="2"/>
        <v>0</v>
      </c>
      <c r="O17" s="107">
        <f t="shared" si="3"/>
        <v>0</v>
      </c>
      <c r="P17" s="107">
        <f t="shared" si="4"/>
        <v>0</v>
      </c>
      <c r="Q17" s="107">
        <f t="shared" si="5"/>
        <v>0</v>
      </c>
      <c r="R17" s="107">
        <f t="shared" si="6"/>
        <v>0</v>
      </c>
      <c r="S17" s="107">
        <f t="shared" si="7"/>
        <v>0</v>
      </c>
      <c r="T17" s="107">
        <f t="shared" si="8"/>
        <v>0</v>
      </c>
      <c r="U17" s="107">
        <f t="shared" si="9"/>
        <v>0</v>
      </c>
      <c r="V17" s="107">
        <f t="shared" si="10"/>
        <v>0</v>
      </c>
      <c r="W17" s="107">
        <f t="shared" si="11"/>
        <v>0</v>
      </c>
      <c r="X17" s="107">
        <f t="shared" si="12"/>
        <v>0</v>
      </c>
      <c r="Y17" s="107">
        <f t="shared" si="13"/>
        <v>368</v>
      </c>
      <c r="Z17" s="107">
        <f t="shared" si="14"/>
        <v>384</v>
      </c>
      <c r="AA17" s="107">
        <f t="shared" si="15"/>
        <v>398</v>
      </c>
      <c r="AB17" s="107">
        <f t="shared" si="16"/>
        <v>471</v>
      </c>
      <c r="AC17" s="107">
        <f t="shared" si="17"/>
        <v>503</v>
      </c>
      <c r="AD17" s="107">
        <f t="shared" si="18"/>
        <v>513</v>
      </c>
      <c r="AE17" s="107">
        <f t="shared" si="19"/>
        <v>580</v>
      </c>
      <c r="AF17" s="107">
        <f t="shared" si="20"/>
        <v>684</v>
      </c>
      <c r="AG17" s="107">
        <f t="shared" si="21"/>
        <v>714</v>
      </c>
      <c r="AH17" s="107">
        <f t="shared" si="22"/>
        <v>585</v>
      </c>
      <c r="AI17" s="107">
        <f t="shared" si="23"/>
        <v>0</v>
      </c>
      <c r="AJ17" s="107">
        <f t="shared" si="24"/>
        <v>0</v>
      </c>
      <c r="AK17" s="107">
        <f t="shared" si="25"/>
        <v>0</v>
      </c>
      <c r="AL17" s="107">
        <f t="shared" si="26"/>
        <v>0</v>
      </c>
      <c r="AM17" s="107">
        <f t="shared" si="27"/>
        <v>0</v>
      </c>
      <c r="AN17" s="107">
        <f t="shared" si="28"/>
        <v>0</v>
      </c>
      <c r="AO17" s="107">
        <f t="shared" si="29"/>
        <v>0</v>
      </c>
      <c r="AP17" s="107">
        <f t="shared" si="30"/>
        <v>0</v>
      </c>
      <c r="AQ17" s="107">
        <f t="shared" si="31"/>
        <v>0</v>
      </c>
      <c r="AR17" s="107">
        <f t="shared" si="32"/>
        <v>0</v>
      </c>
      <c r="AS17" s="107">
        <f t="shared" si="33"/>
        <v>0</v>
      </c>
      <c r="AT17" s="107">
        <f t="shared" si="34"/>
        <v>0</v>
      </c>
      <c r="AU17" s="107">
        <f t="shared" si="35"/>
        <v>0</v>
      </c>
      <c r="AV17" s="107">
        <f t="shared" si="36"/>
        <v>0</v>
      </c>
      <c r="AW17" s="107">
        <f t="shared" si="37"/>
        <v>0</v>
      </c>
      <c r="AX17" s="107">
        <f t="shared" si="38"/>
        <v>0</v>
      </c>
      <c r="AY17" s="107">
        <f t="shared" si="39"/>
        <v>0</v>
      </c>
      <c r="AZ17" s="107">
        <f t="shared" si="40"/>
        <v>0</v>
      </c>
      <c r="BA17" s="107">
        <f t="shared" si="41"/>
        <v>0</v>
      </c>
      <c r="BB17" s="107"/>
      <c r="BC17" s="107"/>
      <c r="BD17" s="107"/>
      <c r="BE17" s="107"/>
      <c r="BF17" s="107"/>
      <c r="BG17" s="107"/>
      <c r="BH17" s="107"/>
      <c r="BI17" s="107"/>
      <c r="BJ17" s="107"/>
      <c r="BK17" s="107"/>
      <c r="BL17" s="107"/>
      <c r="BM17" s="107"/>
      <c r="BO17" s="106" t="s">
        <v>323</v>
      </c>
      <c r="BP17" s="108"/>
      <c r="BQ17" s="108"/>
      <c r="BR17" s="108"/>
      <c r="BS17" s="108"/>
      <c r="BT17" s="108"/>
      <c r="BV17" s="106" t="s">
        <v>323</v>
      </c>
      <c r="BW17" s="108"/>
      <c r="BX17" s="108"/>
      <c r="BY17" s="108"/>
      <c r="BZ17" s="108"/>
      <c r="CA17" s="108"/>
      <c r="CC17" s="106" t="s">
        <v>323</v>
      </c>
      <c r="CD17" s="108"/>
      <c r="CE17" s="108"/>
      <c r="CF17" s="108"/>
      <c r="CG17" s="108"/>
      <c r="CH17" s="108"/>
      <c r="CJ17" s="106" t="s">
        <v>323</v>
      </c>
      <c r="CK17" s="108"/>
      <c r="CL17" s="108"/>
      <c r="CM17" s="108"/>
      <c r="CN17" s="108"/>
      <c r="CO17" s="108"/>
      <c r="CQ17" s="106" t="s">
        <v>323</v>
      </c>
      <c r="CR17" s="108"/>
      <c r="CS17" s="108"/>
      <c r="CT17" s="108"/>
      <c r="CU17" s="108"/>
      <c r="CV17" s="108"/>
      <c r="CX17" s="106" t="s">
        <v>323</v>
      </c>
      <c r="CY17" s="108"/>
      <c r="CZ17" s="108"/>
      <c r="DA17" s="108"/>
      <c r="DB17" s="108"/>
      <c r="DC17" s="108"/>
      <c r="DE17" s="106" t="s">
        <v>323</v>
      </c>
      <c r="DF17" s="108"/>
      <c r="DG17" s="108"/>
      <c r="DH17" s="108"/>
      <c r="DI17" s="108"/>
      <c r="DJ17" s="108"/>
      <c r="DL17" s="106" t="s">
        <v>323</v>
      </c>
      <c r="DM17" s="108"/>
      <c r="DN17" s="108"/>
      <c r="DO17" s="108"/>
      <c r="DP17" s="108"/>
      <c r="DQ17" s="108"/>
      <c r="DS17" s="106" t="s">
        <v>323</v>
      </c>
      <c r="DT17" s="108"/>
      <c r="DU17" s="108"/>
      <c r="DV17" s="108"/>
      <c r="DW17" s="108"/>
      <c r="DX17" s="108"/>
      <c r="DZ17" s="106" t="s">
        <v>323</v>
      </c>
      <c r="EA17" s="108"/>
      <c r="EB17" s="108"/>
      <c r="EC17" s="108">
        <v>4</v>
      </c>
      <c r="ED17" s="108">
        <v>3</v>
      </c>
      <c r="EE17" s="108"/>
      <c r="EG17" s="106" t="s">
        <v>323</v>
      </c>
      <c r="EH17" s="108"/>
      <c r="EI17" s="108">
        <v>9</v>
      </c>
      <c r="EJ17" s="108">
        <v>7</v>
      </c>
      <c r="EK17" s="108">
        <v>5</v>
      </c>
      <c r="EL17" s="108"/>
      <c r="EN17" s="106" t="s">
        <v>323</v>
      </c>
      <c r="EO17" s="108">
        <v>81</v>
      </c>
      <c r="EP17" s="108">
        <v>100</v>
      </c>
      <c r="EQ17" s="108">
        <v>98</v>
      </c>
      <c r="ER17" s="108">
        <v>89</v>
      </c>
      <c r="ES17" s="108">
        <v>368</v>
      </c>
      <c r="EU17" s="106" t="s">
        <v>323</v>
      </c>
      <c r="EV17" s="108">
        <v>88</v>
      </c>
      <c r="EW17" s="108">
        <v>100</v>
      </c>
      <c r="EX17" s="108">
        <v>102</v>
      </c>
      <c r="EY17" s="108">
        <v>94</v>
      </c>
      <c r="EZ17" s="108">
        <v>384</v>
      </c>
      <c r="FB17" s="106" t="s">
        <v>323</v>
      </c>
      <c r="FC17" s="108">
        <v>88</v>
      </c>
      <c r="FD17" s="108">
        <v>107</v>
      </c>
      <c r="FE17" s="108">
        <v>106</v>
      </c>
      <c r="FF17" s="108">
        <v>97</v>
      </c>
      <c r="FG17" s="108">
        <v>398</v>
      </c>
      <c r="FI17" s="106" t="s">
        <v>323</v>
      </c>
      <c r="FJ17" s="108">
        <v>112</v>
      </c>
      <c r="FK17" s="108">
        <v>118</v>
      </c>
      <c r="FL17" s="108">
        <v>125</v>
      </c>
      <c r="FM17" s="108">
        <v>116</v>
      </c>
      <c r="FN17" s="108">
        <v>471</v>
      </c>
      <c r="FP17" s="106" t="s">
        <v>323</v>
      </c>
      <c r="FQ17" s="108">
        <v>116</v>
      </c>
      <c r="FR17" s="108">
        <v>129</v>
      </c>
      <c r="FS17" s="108">
        <v>120</v>
      </c>
      <c r="FT17" s="108">
        <v>138</v>
      </c>
      <c r="FU17" s="108">
        <v>503</v>
      </c>
      <c r="FW17" s="106" t="s">
        <v>323</v>
      </c>
      <c r="FX17" s="108">
        <v>117</v>
      </c>
      <c r="FY17" s="108">
        <v>137</v>
      </c>
      <c r="FZ17" s="108">
        <v>135</v>
      </c>
      <c r="GA17" s="108">
        <v>124</v>
      </c>
      <c r="GB17" s="108">
        <v>513</v>
      </c>
      <c r="GD17" s="106" t="s">
        <v>323</v>
      </c>
      <c r="GE17" s="108">
        <v>134</v>
      </c>
      <c r="GF17" s="108">
        <v>158</v>
      </c>
      <c r="GG17" s="108">
        <v>150</v>
      </c>
      <c r="GH17" s="108">
        <v>138</v>
      </c>
      <c r="GI17" s="108">
        <v>580</v>
      </c>
      <c r="GK17" s="106" t="s">
        <v>323</v>
      </c>
      <c r="GL17" s="108">
        <v>158</v>
      </c>
      <c r="GM17" s="108">
        <v>183</v>
      </c>
      <c r="GN17" s="108">
        <v>177</v>
      </c>
      <c r="GO17" s="108">
        <v>166</v>
      </c>
      <c r="GP17" s="108">
        <v>684</v>
      </c>
      <c r="GR17" s="106" t="s">
        <v>323</v>
      </c>
      <c r="GS17" s="108">
        <v>161</v>
      </c>
      <c r="GT17" s="108">
        <v>191</v>
      </c>
      <c r="GU17" s="108">
        <v>193</v>
      </c>
      <c r="GV17" s="108">
        <v>169</v>
      </c>
      <c r="GW17" s="108">
        <v>714</v>
      </c>
      <c r="GY17" s="106" t="s">
        <v>323</v>
      </c>
      <c r="GZ17" s="108">
        <v>134</v>
      </c>
      <c r="HA17" s="108">
        <v>147</v>
      </c>
      <c r="HB17" s="108">
        <v>159</v>
      </c>
      <c r="HC17" s="108">
        <v>145</v>
      </c>
      <c r="HD17" s="108">
        <v>585</v>
      </c>
      <c r="HF17" s="106" t="s">
        <v>323</v>
      </c>
      <c r="HG17" s="108"/>
      <c r="HH17" s="108"/>
      <c r="HI17" s="108"/>
      <c r="HJ17" s="108"/>
      <c r="HK17" s="108"/>
      <c r="HM17" s="106" t="s">
        <v>323</v>
      </c>
      <c r="HN17" s="108"/>
      <c r="HO17" s="108"/>
      <c r="HP17" s="108"/>
      <c r="HQ17" s="108"/>
      <c r="HR17" s="108"/>
      <c r="HT17" s="106" t="s">
        <v>323</v>
      </c>
      <c r="HU17" s="108"/>
      <c r="HV17" s="108"/>
      <c r="HW17" s="108"/>
      <c r="HX17" s="108"/>
      <c r="HY17" s="108"/>
      <c r="IA17" s="106" t="s">
        <v>323</v>
      </c>
      <c r="IB17" s="108"/>
      <c r="IC17" s="108"/>
      <c r="ID17" s="108"/>
      <c r="IE17" s="108"/>
      <c r="IF17" s="108"/>
      <c r="IH17" s="106" t="s">
        <v>323</v>
      </c>
      <c r="II17" s="108"/>
      <c r="IJ17" s="108"/>
      <c r="IK17" s="108"/>
      <c r="IL17" s="108"/>
      <c r="IM17" s="108"/>
      <c r="IO17" s="106" t="s">
        <v>323</v>
      </c>
      <c r="IP17" s="108"/>
      <c r="IQ17" s="108"/>
      <c r="IR17" s="108"/>
      <c r="IS17" s="108"/>
      <c r="IT17" s="108"/>
      <c r="IV17" s="106" t="s">
        <v>323</v>
      </c>
      <c r="IW17" s="108"/>
      <c r="IX17" s="108"/>
      <c r="IY17" s="108"/>
      <c r="IZ17" s="108"/>
      <c r="JA17" s="108"/>
      <c r="JC17" s="106" t="s">
        <v>323</v>
      </c>
      <c r="JD17" s="108"/>
      <c r="JE17" s="108"/>
      <c r="JF17" s="108"/>
      <c r="JG17" s="108"/>
      <c r="JH17" s="108"/>
      <c r="JJ17" s="106" t="s">
        <v>323</v>
      </c>
      <c r="JK17" s="108"/>
      <c r="JL17" s="108"/>
      <c r="JM17" s="108"/>
      <c r="JN17" s="108"/>
      <c r="JO17" s="108"/>
      <c r="JQ17" s="106" t="s">
        <v>323</v>
      </c>
      <c r="JR17" s="108"/>
      <c r="JS17" s="108"/>
      <c r="JT17" s="108"/>
      <c r="JU17" s="108"/>
      <c r="JV17" s="108"/>
      <c r="JX17" s="106" t="s">
        <v>323</v>
      </c>
      <c r="JY17" s="108"/>
      <c r="JZ17" s="108"/>
      <c r="KA17" s="108"/>
      <c r="KB17" s="108"/>
      <c r="KC17" s="108"/>
      <c r="KE17" s="106" t="s">
        <v>323</v>
      </c>
      <c r="KF17" s="108"/>
      <c r="KG17" s="108"/>
      <c r="KH17" s="108"/>
      <c r="KI17" s="108"/>
      <c r="KJ17" s="108"/>
      <c r="KL17" s="106" t="s">
        <v>323</v>
      </c>
      <c r="KM17" s="108"/>
      <c r="KN17" s="108"/>
      <c r="KO17" s="108"/>
      <c r="KP17" s="108"/>
      <c r="KQ17" s="108"/>
      <c r="KS17" s="106" t="s">
        <v>323</v>
      </c>
      <c r="KT17" s="108"/>
      <c r="KU17" s="108"/>
      <c r="KV17" s="107"/>
      <c r="KW17" s="108"/>
      <c r="KX17" s="108"/>
      <c r="KZ17" s="106" t="s">
        <v>323</v>
      </c>
      <c r="LA17" s="108"/>
      <c r="LB17" s="107"/>
      <c r="LC17" s="107"/>
      <c r="LD17" s="107"/>
      <c r="LE17" s="107"/>
      <c r="LF17" s="555"/>
      <c r="LG17" s="106" t="s">
        <v>323</v>
      </c>
      <c r="LH17" s="107"/>
      <c r="LI17" s="107"/>
      <c r="LJ17" s="107"/>
      <c r="LK17" s="107"/>
      <c r="LL17" s="107"/>
      <c r="LM17" s="555"/>
      <c r="LN17" s="106" t="s">
        <v>323</v>
      </c>
      <c r="LO17" s="107"/>
      <c r="LP17" s="107"/>
      <c r="LQ17" s="107"/>
      <c r="LR17" s="107"/>
      <c r="LS17" s="107"/>
      <c r="LT17" s="555"/>
      <c r="LU17" s="106" t="s">
        <v>323</v>
      </c>
      <c r="LV17" s="107"/>
      <c r="LW17" s="107"/>
      <c r="LX17" s="107"/>
      <c r="LY17" s="107"/>
      <c r="LZ17" s="107"/>
      <c r="MA17" s="555"/>
      <c r="MB17" s="106" t="s">
        <v>323</v>
      </c>
      <c r="MC17" s="107"/>
      <c r="MD17" s="107"/>
      <c r="ME17" s="107"/>
      <c r="MF17" s="107"/>
      <c r="MG17" s="107"/>
      <c r="MH17" s="555"/>
    </row>
    <row r="18" spans="1:346" s="37" customFormat="1" ht="13.15" hidden="1" outlineLevel="1" x14ac:dyDescent="0.4">
      <c r="A18" s="100"/>
      <c r="B18" s="106" t="s">
        <v>324</v>
      </c>
      <c r="C18" s="107"/>
      <c r="D18" s="107"/>
      <c r="E18" s="107"/>
      <c r="F18" s="107"/>
      <c r="G18" s="107"/>
      <c r="H18" s="107"/>
      <c r="I18" s="107"/>
      <c r="J18" s="107"/>
      <c r="K18" s="107"/>
      <c r="L18" s="107"/>
      <c r="M18" s="107"/>
      <c r="N18" s="107">
        <f t="shared" si="2"/>
        <v>0</v>
      </c>
      <c r="O18" s="107">
        <f t="shared" si="3"/>
        <v>0</v>
      </c>
      <c r="P18" s="107">
        <f t="shared" si="4"/>
        <v>0</v>
      </c>
      <c r="Q18" s="107">
        <f t="shared" si="5"/>
        <v>0</v>
      </c>
      <c r="R18" s="107">
        <f t="shared" si="6"/>
        <v>0</v>
      </c>
      <c r="S18" s="107">
        <f t="shared" si="7"/>
        <v>0</v>
      </c>
      <c r="T18" s="107">
        <f t="shared" si="8"/>
        <v>0</v>
      </c>
      <c r="U18" s="107">
        <f t="shared" si="9"/>
        <v>0</v>
      </c>
      <c r="V18" s="107">
        <f t="shared" si="10"/>
        <v>0</v>
      </c>
      <c r="W18" s="107">
        <f t="shared" si="11"/>
        <v>0</v>
      </c>
      <c r="X18" s="107">
        <f t="shared" si="12"/>
        <v>0</v>
      </c>
      <c r="Y18" s="107">
        <f t="shared" si="13"/>
        <v>0</v>
      </c>
      <c r="Z18" s="107">
        <f t="shared" si="14"/>
        <v>0</v>
      </c>
      <c r="AA18" s="107">
        <f t="shared" si="15"/>
        <v>0</v>
      </c>
      <c r="AB18" s="107">
        <f t="shared" si="16"/>
        <v>0</v>
      </c>
      <c r="AC18" s="107">
        <f t="shared" si="17"/>
        <v>0</v>
      </c>
      <c r="AD18" s="107">
        <f t="shared" si="18"/>
        <v>0</v>
      </c>
      <c r="AE18" s="107">
        <f t="shared" si="19"/>
        <v>0</v>
      </c>
      <c r="AF18" s="107">
        <f t="shared" si="20"/>
        <v>0</v>
      </c>
      <c r="AG18" s="107">
        <f t="shared" si="21"/>
        <v>0</v>
      </c>
      <c r="AH18" s="107">
        <f t="shared" si="22"/>
        <v>0</v>
      </c>
      <c r="AI18" s="107">
        <f t="shared" si="23"/>
        <v>238</v>
      </c>
      <c r="AJ18" s="107">
        <f t="shared" si="24"/>
        <v>249</v>
      </c>
      <c r="AK18" s="107">
        <f t="shared" si="25"/>
        <v>262</v>
      </c>
      <c r="AL18" s="107">
        <f t="shared" si="26"/>
        <v>0</v>
      </c>
      <c r="AM18" s="107">
        <f t="shared" si="27"/>
        <v>0</v>
      </c>
      <c r="AN18" s="107">
        <f t="shared" si="28"/>
        <v>0</v>
      </c>
      <c r="AO18" s="107">
        <f t="shared" si="29"/>
        <v>0</v>
      </c>
      <c r="AP18" s="107">
        <f t="shared" si="30"/>
        <v>0</v>
      </c>
      <c r="AQ18" s="107">
        <f t="shared" si="31"/>
        <v>0</v>
      </c>
      <c r="AR18" s="107">
        <f t="shared" si="32"/>
        <v>0</v>
      </c>
      <c r="AS18" s="107">
        <f t="shared" si="33"/>
        <v>0</v>
      </c>
      <c r="AT18" s="107">
        <f t="shared" si="34"/>
        <v>0</v>
      </c>
      <c r="AU18" s="107">
        <f t="shared" si="35"/>
        <v>0</v>
      </c>
      <c r="AV18" s="107">
        <f t="shared" si="36"/>
        <v>0</v>
      </c>
      <c r="AW18" s="107">
        <f t="shared" si="37"/>
        <v>0</v>
      </c>
      <c r="AX18" s="107">
        <f t="shared" si="38"/>
        <v>0</v>
      </c>
      <c r="AY18" s="107">
        <f t="shared" si="39"/>
        <v>0</v>
      </c>
      <c r="AZ18" s="107">
        <f t="shared" si="40"/>
        <v>0</v>
      </c>
      <c r="BA18" s="107">
        <f t="shared" si="41"/>
        <v>0</v>
      </c>
      <c r="BB18" s="107"/>
      <c r="BC18" s="107"/>
      <c r="BD18" s="107"/>
      <c r="BE18" s="107"/>
      <c r="BF18" s="107"/>
      <c r="BG18" s="107"/>
      <c r="BH18" s="107"/>
      <c r="BI18" s="107"/>
      <c r="BJ18" s="107"/>
      <c r="BK18" s="107"/>
      <c r="BL18" s="107"/>
      <c r="BM18" s="107"/>
      <c r="BO18" s="106" t="s">
        <v>324</v>
      </c>
      <c r="BP18" s="108"/>
      <c r="BQ18" s="108"/>
      <c r="BR18" s="108"/>
      <c r="BS18" s="108"/>
      <c r="BT18" s="108"/>
      <c r="BV18" s="106" t="s">
        <v>324</v>
      </c>
      <c r="BW18" s="108"/>
      <c r="BX18" s="108"/>
      <c r="BY18" s="108"/>
      <c r="BZ18" s="108"/>
      <c r="CA18" s="108"/>
      <c r="CC18" s="106" t="s">
        <v>324</v>
      </c>
      <c r="CD18" s="108"/>
      <c r="CE18" s="108"/>
      <c r="CF18" s="108"/>
      <c r="CG18" s="108"/>
      <c r="CH18" s="108"/>
      <c r="CJ18" s="106" t="s">
        <v>324</v>
      </c>
      <c r="CK18" s="108"/>
      <c r="CL18" s="108"/>
      <c r="CM18" s="108"/>
      <c r="CN18" s="108"/>
      <c r="CO18" s="108"/>
      <c r="CQ18" s="106" t="s">
        <v>324</v>
      </c>
      <c r="CR18" s="108"/>
      <c r="CS18" s="108"/>
      <c r="CT18" s="108"/>
      <c r="CU18" s="108"/>
      <c r="CV18" s="108"/>
      <c r="CX18" s="106" t="s">
        <v>324</v>
      </c>
      <c r="CY18" s="108"/>
      <c r="CZ18" s="108"/>
      <c r="DA18" s="108"/>
      <c r="DB18" s="108"/>
      <c r="DC18" s="108"/>
      <c r="DE18" s="106" t="s">
        <v>324</v>
      </c>
      <c r="DF18" s="108"/>
      <c r="DG18" s="108"/>
      <c r="DH18" s="108"/>
      <c r="DI18" s="108"/>
      <c r="DJ18" s="108"/>
      <c r="DL18" s="106" t="s">
        <v>324</v>
      </c>
      <c r="DM18" s="108"/>
      <c r="DN18" s="108"/>
      <c r="DO18" s="108"/>
      <c r="DP18" s="108"/>
      <c r="DQ18" s="108"/>
      <c r="DS18" s="106" t="s">
        <v>324</v>
      </c>
      <c r="DT18" s="108"/>
      <c r="DU18" s="108"/>
      <c r="DV18" s="108"/>
      <c r="DW18" s="108"/>
      <c r="DX18" s="108"/>
      <c r="DZ18" s="106" t="s">
        <v>324</v>
      </c>
      <c r="EA18" s="108"/>
      <c r="EB18" s="108"/>
      <c r="EC18" s="108"/>
      <c r="ED18" s="108"/>
      <c r="EE18" s="108"/>
      <c r="EG18" s="106" t="s">
        <v>324</v>
      </c>
      <c r="EH18" s="108"/>
      <c r="EI18" s="108"/>
      <c r="EJ18" s="108"/>
      <c r="EK18" s="108"/>
      <c r="EL18" s="108"/>
      <c r="EN18" s="106" t="s">
        <v>324</v>
      </c>
      <c r="EO18" s="108"/>
      <c r="EP18" s="108"/>
      <c r="EQ18" s="108"/>
      <c r="ER18" s="108"/>
      <c r="ES18" s="108"/>
      <c r="EU18" s="106" t="s">
        <v>324</v>
      </c>
      <c r="EV18" s="108"/>
      <c r="EW18" s="108"/>
      <c r="EX18" s="108"/>
      <c r="EY18" s="108"/>
      <c r="EZ18" s="108"/>
      <c r="FB18" s="106" t="s">
        <v>324</v>
      </c>
      <c r="FC18" s="108"/>
      <c r="FD18" s="108"/>
      <c r="FE18" s="108"/>
      <c r="FF18" s="108"/>
      <c r="FG18" s="108"/>
      <c r="FI18" s="106" t="s">
        <v>324</v>
      </c>
      <c r="FJ18" s="108"/>
      <c r="FK18" s="108"/>
      <c r="FL18" s="108"/>
      <c r="FM18" s="108"/>
      <c r="FN18" s="108"/>
      <c r="FP18" s="106" t="s">
        <v>324</v>
      </c>
      <c r="FQ18" s="108"/>
      <c r="FR18" s="108"/>
      <c r="FS18" s="108"/>
      <c r="FT18" s="108"/>
      <c r="FU18" s="108"/>
      <c r="FW18" s="106" t="s">
        <v>324</v>
      </c>
      <c r="FX18" s="108"/>
      <c r="FY18" s="108"/>
      <c r="FZ18" s="108"/>
      <c r="GA18" s="108"/>
      <c r="GB18" s="108"/>
      <c r="GD18" s="106" t="s">
        <v>324</v>
      </c>
      <c r="GE18" s="108"/>
      <c r="GF18" s="108"/>
      <c r="GG18" s="108"/>
      <c r="GH18" s="108"/>
      <c r="GI18" s="108"/>
      <c r="GK18" s="106" t="s">
        <v>324</v>
      </c>
      <c r="GL18" s="108"/>
      <c r="GM18" s="108"/>
      <c r="GN18" s="108"/>
      <c r="GO18" s="108"/>
      <c r="GP18" s="108"/>
      <c r="GR18" s="106" t="s">
        <v>324</v>
      </c>
      <c r="GS18" s="108"/>
      <c r="GT18" s="108"/>
      <c r="GU18" s="108"/>
      <c r="GV18" s="108"/>
      <c r="GW18" s="108"/>
      <c r="GY18" s="106" t="s">
        <v>324</v>
      </c>
      <c r="GZ18" s="108"/>
      <c r="HA18" s="108"/>
      <c r="HB18" s="108"/>
      <c r="HC18" s="108"/>
      <c r="HD18" s="108"/>
      <c r="HF18" s="106" t="s">
        <v>324</v>
      </c>
      <c r="HG18" s="108">
        <v>53</v>
      </c>
      <c r="HH18" s="108">
        <v>65</v>
      </c>
      <c r="HI18" s="108">
        <v>61</v>
      </c>
      <c r="HJ18" s="108">
        <v>59</v>
      </c>
      <c r="HK18" s="108">
        <f>HG18+HH18+HI18+HJ18</f>
        <v>238</v>
      </c>
      <c r="HM18" s="106" t="s">
        <v>324</v>
      </c>
      <c r="HN18" s="108">
        <v>54</v>
      </c>
      <c r="HO18" s="108">
        <v>66</v>
      </c>
      <c r="HP18" s="108">
        <v>66</v>
      </c>
      <c r="HQ18" s="108">
        <v>63</v>
      </c>
      <c r="HR18" s="108">
        <f>HN18+HO18+HP18+HQ18</f>
        <v>249</v>
      </c>
      <c r="HT18" s="106" t="s">
        <v>324</v>
      </c>
      <c r="HU18" s="108">
        <v>60</v>
      </c>
      <c r="HV18" s="108">
        <v>71</v>
      </c>
      <c r="HW18" s="108">
        <v>64</v>
      </c>
      <c r="HX18" s="108">
        <v>67</v>
      </c>
      <c r="HY18" s="108">
        <f>HU18+HV18+HW18+HX18</f>
        <v>262</v>
      </c>
      <c r="IA18" s="106" t="s">
        <v>324</v>
      </c>
      <c r="IB18" s="108"/>
      <c r="IC18" s="108"/>
      <c r="ID18" s="108"/>
      <c r="IE18" s="108"/>
      <c r="IF18" s="108"/>
      <c r="IH18" s="106" t="s">
        <v>324</v>
      </c>
      <c r="II18" s="108"/>
      <c r="IJ18" s="108"/>
      <c r="IK18" s="108"/>
      <c r="IL18" s="108"/>
      <c r="IM18" s="108"/>
      <c r="IO18" s="106" t="s">
        <v>324</v>
      </c>
      <c r="IP18" s="108"/>
      <c r="IQ18" s="108"/>
      <c r="IR18" s="108"/>
      <c r="IS18" s="108"/>
      <c r="IT18" s="108"/>
      <c r="IV18" s="106" t="s">
        <v>324</v>
      </c>
      <c r="IW18" s="108"/>
      <c r="IX18" s="108"/>
      <c r="IY18" s="108"/>
      <c r="IZ18" s="108"/>
      <c r="JA18" s="108"/>
      <c r="JC18" s="106" t="s">
        <v>324</v>
      </c>
      <c r="JD18" s="108"/>
      <c r="JE18" s="108"/>
      <c r="JF18" s="108"/>
      <c r="JG18" s="108"/>
      <c r="JH18" s="108"/>
      <c r="JJ18" s="106" t="s">
        <v>324</v>
      </c>
      <c r="JK18" s="108"/>
      <c r="JL18" s="108"/>
      <c r="JM18" s="108"/>
      <c r="JN18" s="108"/>
      <c r="JO18" s="108"/>
      <c r="JQ18" s="106" t="s">
        <v>324</v>
      </c>
      <c r="JR18" s="108"/>
      <c r="JS18" s="108"/>
      <c r="JT18" s="108"/>
      <c r="JU18" s="108"/>
      <c r="JV18" s="108"/>
      <c r="JX18" s="106" t="s">
        <v>324</v>
      </c>
      <c r="JY18" s="108"/>
      <c r="JZ18" s="108"/>
      <c r="KA18" s="108"/>
      <c r="KB18" s="108"/>
      <c r="KC18" s="108"/>
      <c r="KE18" s="106" t="s">
        <v>324</v>
      </c>
      <c r="KF18" s="108"/>
      <c r="KG18" s="108"/>
      <c r="KH18" s="108"/>
      <c r="KI18" s="108"/>
      <c r="KJ18" s="108"/>
      <c r="KL18" s="106" t="s">
        <v>324</v>
      </c>
      <c r="KM18" s="108"/>
      <c r="KN18" s="108"/>
      <c r="KO18" s="108"/>
      <c r="KP18" s="108"/>
      <c r="KQ18" s="108"/>
      <c r="KS18" s="106" t="s">
        <v>324</v>
      </c>
      <c r="KT18" s="108"/>
      <c r="KU18" s="108"/>
      <c r="KV18" s="107"/>
      <c r="KW18" s="108"/>
      <c r="KX18" s="108"/>
      <c r="KZ18" s="106" t="s">
        <v>324</v>
      </c>
      <c r="LA18" s="108"/>
      <c r="LB18" s="107"/>
      <c r="LC18" s="107"/>
      <c r="LD18" s="107"/>
      <c r="LE18" s="107"/>
      <c r="LF18" s="555"/>
      <c r="LG18" s="106" t="s">
        <v>324</v>
      </c>
      <c r="LH18" s="107"/>
      <c r="LI18" s="107"/>
      <c r="LJ18" s="107"/>
      <c r="LK18" s="107"/>
      <c r="LL18" s="107"/>
      <c r="LM18" s="555"/>
      <c r="LN18" s="106" t="s">
        <v>324</v>
      </c>
      <c r="LO18" s="107"/>
      <c r="LP18" s="107"/>
      <c r="LQ18" s="107"/>
      <c r="LR18" s="107"/>
      <c r="LS18" s="107"/>
      <c r="LT18" s="555"/>
      <c r="LU18" s="106" t="s">
        <v>324</v>
      </c>
      <c r="LV18" s="107"/>
      <c r="LW18" s="107"/>
      <c r="LX18" s="107"/>
      <c r="LY18" s="107"/>
      <c r="LZ18" s="107"/>
      <c r="MA18" s="555"/>
      <c r="MB18" s="106" t="s">
        <v>324</v>
      </c>
      <c r="MC18" s="107"/>
      <c r="MD18" s="107"/>
      <c r="ME18" s="107"/>
      <c r="MF18" s="107"/>
      <c r="MG18" s="107"/>
      <c r="MH18" s="555"/>
    </row>
    <row r="19" spans="1:346" s="37" customFormat="1" ht="13.15" collapsed="1" x14ac:dyDescent="0.4">
      <c r="A19" s="100"/>
      <c r="B19" s="36"/>
      <c r="BO19" s="36"/>
      <c r="BP19" s="53"/>
      <c r="BQ19" s="53"/>
      <c r="BR19" s="53"/>
      <c r="BS19" s="53"/>
      <c r="BT19" s="53"/>
      <c r="BV19" s="36"/>
      <c r="BW19" s="53"/>
      <c r="BX19" s="53"/>
      <c r="BY19" s="53"/>
      <c r="BZ19" s="53"/>
      <c r="CA19" s="53"/>
      <c r="CC19" s="36"/>
      <c r="CD19" s="53"/>
      <c r="CE19" s="53"/>
      <c r="CF19" s="53"/>
      <c r="CG19" s="53"/>
      <c r="CH19" s="53"/>
      <c r="CJ19" s="36"/>
      <c r="CK19" s="53"/>
      <c r="CL19" s="53"/>
      <c r="CM19" s="53"/>
      <c r="CN19" s="53"/>
      <c r="CO19" s="53"/>
      <c r="CQ19" s="36"/>
      <c r="CR19" s="53"/>
      <c r="CS19" s="53"/>
      <c r="CT19" s="53"/>
      <c r="CU19" s="53"/>
      <c r="CV19" s="53"/>
      <c r="CX19" s="36"/>
      <c r="CY19" s="53"/>
      <c r="CZ19" s="53"/>
      <c r="DA19" s="53"/>
      <c r="DB19" s="53"/>
      <c r="DC19" s="53"/>
      <c r="DE19" s="36"/>
      <c r="DF19" s="53"/>
      <c r="DG19" s="53"/>
      <c r="DH19" s="53"/>
      <c r="DI19" s="53"/>
      <c r="DJ19" s="53"/>
      <c r="DL19" s="36"/>
      <c r="DM19" s="53"/>
      <c r="DN19" s="53"/>
      <c r="DO19" s="53"/>
      <c r="DP19" s="53"/>
      <c r="DQ19" s="53"/>
      <c r="DS19" s="36"/>
      <c r="DT19" s="53"/>
      <c r="DU19" s="53"/>
      <c r="DV19" s="53"/>
      <c r="DW19" s="53"/>
      <c r="DX19" s="53"/>
      <c r="DZ19" s="36"/>
      <c r="EA19" s="53"/>
      <c r="EB19" s="53"/>
      <c r="EC19" s="53"/>
      <c r="ED19" s="53"/>
      <c r="EE19" s="53"/>
      <c r="EG19" s="36"/>
      <c r="EH19" s="53"/>
      <c r="EI19" s="53"/>
      <c r="EJ19" s="53"/>
      <c r="EK19" s="53"/>
      <c r="EL19" s="53"/>
      <c r="EN19" s="36"/>
      <c r="EO19" s="53"/>
      <c r="EP19" s="53"/>
      <c r="EQ19" s="53"/>
      <c r="ER19" s="53"/>
      <c r="ES19" s="53"/>
      <c r="EU19" s="36"/>
      <c r="EV19" s="53"/>
      <c r="EW19" s="53"/>
      <c r="EX19" s="53"/>
      <c r="EY19" s="53"/>
      <c r="EZ19" s="53"/>
      <c r="FB19" s="36"/>
      <c r="FC19" s="53"/>
      <c r="FD19" s="53"/>
      <c r="FE19" s="53"/>
      <c r="FF19" s="53"/>
      <c r="FG19" s="53"/>
      <c r="FI19" s="36"/>
      <c r="FJ19" s="53"/>
      <c r="FK19" s="53"/>
      <c r="FL19" s="53"/>
      <c r="FM19" s="53"/>
      <c r="FN19" s="53"/>
      <c r="FP19" s="36"/>
      <c r="FQ19" s="53"/>
      <c r="FR19" s="53"/>
      <c r="FS19" s="53"/>
      <c r="FT19" s="53"/>
      <c r="FU19" s="53"/>
      <c r="FW19" s="36"/>
      <c r="FX19" s="53"/>
      <c r="FY19" s="53"/>
      <c r="FZ19" s="53"/>
      <c r="GA19" s="53"/>
      <c r="GB19" s="53"/>
      <c r="GD19" s="36"/>
      <c r="GE19" s="53"/>
      <c r="GF19" s="53"/>
      <c r="GG19" s="53"/>
      <c r="GH19" s="53"/>
      <c r="GI19" s="53"/>
      <c r="GK19" s="36"/>
      <c r="GL19" s="53"/>
      <c r="GM19" s="53"/>
      <c r="GN19" s="53"/>
      <c r="GO19" s="53"/>
      <c r="GP19" s="53"/>
      <c r="GR19" s="36"/>
      <c r="GS19" s="53"/>
      <c r="GT19" s="53"/>
      <c r="GU19" s="53"/>
      <c r="GV19" s="53"/>
      <c r="GW19" s="53"/>
      <c r="GY19" s="36"/>
      <c r="GZ19" s="53"/>
      <c r="HA19" s="53"/>
      <c r="HB19" s="53"/>
      <c r="HC19" s="53"/>
      <c r="HD19" s="53"/>
      <c r="HF19" s="36"/>
      <c r="HG19" s="53"/>
      <c r="HH19" s="53"/>
      <c r="HI19" s="53"/>
      <c r="HJ19" s="53"/>
      <c r="HK19" s="53"/>
      <c r="HM19" s="36"/>
      <c r="HN19" s="53"/>
      <c r="HO19" s="53"/>
      <c r="HP19" s="53"/>
      <c r="HQ19" s="53"/>
      <c r="HR19" s="53"/>
      <c r="HT19" s="36"/>
      <c r="HU19" s="53"/>
      <c r="HV19" s="53"/>
      <c r="HW19" s="53"/>
      <c r="HX19" s="53"/>
      <c r="HY19" s="53"/>
      <c r="IA19" s="36"/>
      <c r="IB19" s="53"/>
      <c r="IC19" s="53"/>
      <c r="ID19" s="53"/>
      <c r="IE19" s="53"/>
      <c r="IF19" s="53"/>
      <c r="IH19" s="36"/>
      <c r="II19" s="53"/>
      <c r="IJ19" s="53"/>
      <c r="IK19" s="53"/>
      <c r="IL19" s="53"/>
      <c r="IM19" s="53"/>
      <c r="IO19" s="36"/>
      <c r="IP19" s="53"/>
      <c r="IQ19" s="53"/>
      <c r="IR19" s="53"/>
      <c r="IS19" s="53"/>
      <c r="IT19" s="53"/>
      <c r="IV19" s="36"/>
      <c r="IW19" s="53"/>
      <c r="IX19" s="53"/>
      <c r="IY19" s="53"/>
      <c r="IZ19" s="53"/>
      <c r="JA19" s="53"/>
      <c r="JC19" s="36"/>
      <c r="JD19" s="53"/>
      <c r="JE19" s="53"/>
      <c r="JF19" s="53"/>
      <c r="JG19" s="53"/>
      <c r="JH19" s="53"/>
      <c r="JJ19" s="36"/>
      <c r="JK19" s="53"/>
      <c r="JL19" s="53"/>
      <c r="JM19" s="53"/>
      <c r="JN19" s="53"/>
      <c r="JO19" s="53"/>
      <c r="JQ19" s="36"/>
      <c r="JR19" s="53"/>
      <c r="JS19" s="53"/>
      <c r="JT19" s="53"/>
      <c r="JU19" s="53"/>
      <c r="JV19" s="53"/>
      <c r="JX19" s="36"/>
      <c r="JY19" s="53"/>
      <c r="JZ19" s="53"/>
      <c r="KA19" s="53"/>
      <c r="KB19" s="53"/>
      <c r="KC19" s="53"/>
      <c r="KE19" s="36"/>
      <c r="KF19" s="53"/>
      <c r="KG19" s="53"/>
      <c r="KH19" s="53"/>
      <c r="KI19" s="53"/>
      <c r="KJ19" s="53"/>
      <c r="KL19" s="36"/>
      <c r="KM19" s="53"/>
      <c r="KN19" s="53"/>
      <c r="KO19" s="53"/>
      <c r="KP19" s="53"/>
      <c r="KQ19" s="53"/>
      <c r="KS19" s="36"/>
      <c r="KT19" s="53"/>
      <c r="KU19" s="53"/>
      <c r="KX19" s="53"/>
      <c r="KZ19" s="36"/>
      <c r="LA19" s="53"/>
      <c r="LF19" s="565"/>
      <c r="LG19" s="36"/>
      <c r="LM19" s="565"/>
      <c r="LN19" s="36"/>
      <c r="LT19" s="565"/>
      <c r="LU19" s="36"/>
      <c r="MA19" s="565"/>
      <c r="MB19" s="36"/>
      <c r="MH19" s="565"/>
    </row>
    <row r="20" spans="1:346" s="521" customFormat="1" ht="13.5" thickBot="1" x14ac:dyDescent="0.45">
      <c r="A20" s="597"/>
      <c r="B20" s="599" t="s">
        <v>146</v>
      </c>
      <c r="C20" s="530">
        <f t="shared" ref="C20:M20" si="87">SUM(C9:C18)</f>
        <v>0</v>
      </c>
      <c r="D20" s="530">
        <f t="shared" si="87"/>
        <v>0</v>
      </c>
      <c r="E20" s="530">
        <f t="shared" si="87"/>
        <v>2701</v>
      </c>
      <c r="F20" s="530">
        <f t="shared" si="87"/>
        <v>2970.4999999999995</v>
      </c>
      <c r="G20" s="530">
        <f t="shared" si="87"/>
        <v>2447.9</v>
      </c>
      <c r="H20" s="530">
        <f t="shared" si="87"/>
        <v>2622</v>
      </c>
      <c r="I20" s="530">
        <f t="shared" si="87"/>
        <v>2819</v>
      </c>
      <c r="J20" s="530">
        <f t="shared" si="87"/>
        <v>2750</v>
      </c>
      <c r="K20" s="530">
        <f t="shared" si="87"/>
        <v>2562</v>
      </c>
      <c r="L20" s="530">
        <f t="shared" si="87"/>
        <v>2666</v>
      </c>
      <c r="M20" s="530">
        <f t="shared" si="87"/>
        <v>2787</v>
      </c>
      <c r="N20" s="530">
        <f>BT20</f>
        <v>2702</v>
      </c>
      <c r="O20" s="530">
        <f>CA20</f>
        <v>2703</v>
      </c>
      <c r="P20" s="530">
        <f>CH20</f>
        <v>2661</v>
      </c>
      <c r="Q20" s="530">
        <f>CO20</f>
        <v>2769</v>
      </c>
      <c r="R20" s="530">
        <f>CV20</f>
        <v>2909</v>
      </c>
      <c r="S20" s="530">
        <f>DC20</f>
        <v>3048</v>
      </c>
      <c r="T20" s="530">
        <f>DJ20</f>
        <v>3158</v>
      </c>
      <c r="U20" s="530">
        <f>DQ20</f>
        <v>3181</v>
      </c>
      <c r="V20" s="530">
        <f>DX20</f>
        <v>3299</v>
      </c>
      <c r="W20" s="530">
        <f>EE20</f>
        <v>3293</v>
      </c>
      <c r="X20" s="530">
        <f>EL20</f>
        <v>3973</v>
      </c>
      <c r="Y20" s="530">
        <f>ES20</f>
        <v>4382</v>
      </c>
      <c r="Z20" s="530">
        <f>EZ20</f>
        <v>4254</v>
      </c>
      <c r="AA20" s="530">
        <f>FG20</f>
        <v>4351</v>
      </c>
      <c r="AB20" s="530">
        <f>FN20</f>
        <v>4547</v>
      </c>
      <c r="AC20" s="530">
        <f>FU20</f>
        <v>4830</v>
      </c>
      <c r="AD20" s="530">
        <f>GB20</f>
        <v>5072</v>
      </c>
      <c r="AE20" s="530">
        <f>GI20</f>
        <v>5595</v>
      </c>
      <c r="AF20" s="530">
        <f>GP20</f>
        <v>5829</v>
      </c>
      <c r="AG20" s="530">
        <f>GW20</f>
        <v>6249</v>
      </c>
      <c r="AH20" s="530">
        <f>HD20</f>
        <v>4875</v>
      </c>
      <c r="AI20" s="530">
        <f>HK20</f>
        <v>5786</v>
      </c>
      <c r="AJ20" s="530">
        <f>HR20</f>
        <v>6302</v>
      </c>
      <c r="AK20" s="530">
        <f>HY20</f>
        <v>6656</v>
      </c>
      <c r="AL20" s="530">
        <f>IF20</f>
        <v>7037</v>
      </c>
      <c r="AM20" s="530">
        <f>IM20</f>
        <v>7608</v>
      </c>
      <c r="AN20" s="530">
        <f>IT20</f>
        <v>7271</v>
      </c>
      <c r="AO20" s="530">
        <f>JA20</f>
        <v>7142</v>
      </c>
      <c r="AP20" s="530">
        <f>JH20</f>
        <v>7068</v>
      </c>
      <c r="AQ20" s="530">
        <f>JO20</f>
        <v>7491</v>
      </c>
      <c r="AR20" s="530">
        <f>JV20</f>
        <v>7589</v>
      </c>
      <c r="AS20" s="530">
        <f>KC20</f>
        <v>7076</v>
      </c>
      <c r="AT20" s="530">
        <f>KJ20</f>
        <v>7539</v>
      </c>
      <c r="AU20" s="530">
        <f>KQ20</f>
        <v>8239</v>
      </c>
      <c r="AV20" s="530">
        <f>KX20</f>
        <v>8653</v>
      </c>
      <c r="AW20" s="530">
        <f>LE20</f>
        <v>8903</v>
      </c>
      <c r="AX20" s="530">
        <f>LL20</f>
        <v>8773</v>
      </c>
      <c r="AY20" s="530">
        <f>LS20</f>
        <v>8918.8167499999981</v>
      </c>
      <c r="AZ20" s="530">
        <f>LZ20</f>
        <v>9416.2161452417167</v>
      </c>
      <c r="BA20" s="530">
        <f>MG20</f>
        <v>9894.8866002607974</v>
      </c>
      <c r="BB20" s="530"/>
      <c r="BC20" s="530"/>
      <c r="BD20" s="530"/>
      <c r="BE20" s="530"/>
      <c r="BF20" s="530"/>
      <c r="BG20" s="530"/>
      <c r="BH20" s="530"/>
      <c r="BI20" s="530"/>
      <c r="BJ20" s="530"/>
      <c r="BK20" s="530"/>
      <c r="BL20" s="530"/>
      <c r="BM20" s="530"/>
      <c r="BO20" s="599" t="s">
        <v>146</v>
      </c>
      <c r="BP20" s="600">
        <f>SUM(BP9:BP18)</f>
        <v>699</v>
      </c>
      <c r="BQ20" s="600">
        <f>SUM(BQ9:BQ18)</f>
        <v>687</v>
      </c>
      <c r="BR20" s="600">
        <f>SUM(BR9:BR18)</f>
        <v>637</v>
      </c>
      <c r="BS20" s="600">
        <f>SUM(BS9:BS18)</f>
        <v>679</v>
      </c>
      <c r="BT20" s="600">
        <f>SUM(BT9:BT18)</f>
        <v>2702</v>
      </c>
      <c r="BV20" s="599" t="s">
        <v>146</v>
      </c>
      <c r="BW20" s="600">
        <f>SUM(BW9:BW18)</f>
        <v>694</v>
      </c>
      <c r="BX20" s="600">
        <f>SUM(BX9:BX18)</f>
        <v>693</v>
      </c>
      <c r="BY20" s="600">
        <f>SUM(BY9:BY18)</f>
        <v>647</v>
      </c>
      <c r="BZ20" s="600">
        <f>SUM(BZ9:BZ18)</f>
        <v>669</v>
      </c>
      <c r="CA20" s="600">
        <f>SUM(CA9:CA18)</f>
        <v>2703</v>
      </c>
      <c r="CC20" s="599" t="s">
        <v>146</v>
      </c>
      <c r="CD20" s="600">
        <f>SUM(CD9:CD18)</f>
        <v>656</v>
      </c>
      <c r="CE20" s="600">
        <f>SUM(CE9:CE18)</f>
        <v>664</v>
      </c>
      <c r="CF20" s="600">
        <f>SUM(CF9:CF18)</f>
        <v>657</v>
      </c>
      <c r="CG20" s="600">
        <f>SUM(CG9:CG18)</f>
        <v>684</v>
      </c>
      <c r="CH20" s="600">
        <f>SUM(CH9:CH18)</f>
        <v>2661</v>
      </c>
      <c r="CJ20" s="599" t="s">
        <v>146</v>
      </c>
      <c r="CK20" s="600">
        <f>SUM(CK9:CK18)</f>
        <v>701</v>
      </c>
      <c r="CL20" s="600">
        <f>SUM(CL9:CL18)</f>
        <v>706</v>
      </c>
      <c r="CM20" s="600">
        <f>SUM(CM9:CM18)</f>
        <v>660</v>
      </c>
      <c r="CN20" s="600">
        <f>SUM(CN9:CN18)</f>
        <v>702</v>
      </c>
      <c r="CO20" s="600">
        <f>SUM(CO9:CO18)</f>
        <v>2769</v>
      </c>
      <c r="CQ20" s="599" t="s">
        <v>146</v>
      </c>
      <c r="CR20" s="600">
        <f>SUM(CR9:CR18)</f>
        <v>720</v>
      </c>
      <c r="CS20" s="600">
        <f>SUM(CS9:CS18)</f>
        <v>739</v>
      </c>
      <c r="CT20" s="600">
        <f>SUM(CT9:CT18)</f>
        <v>693</v>
      </c>
      <c r="CU20" s="600">
        <f>SUM(CU9:CU18)</f>
        <v>757</v>
      </c>
      <c r="CV20" s="600">
        <f>SUM(CV9:CV18)</f>
        <v>2909</v>
      </c>
      <c r="CX20" s="599" t="s">
        <v>146</v>
      </c>
      <c r="CY20" s="600">
        <f>SUM(CY9:CY18)</f>
        <v>758</v>
      </c>
      <c r="CZ20" s="600">
        <f>SUM(CZ9:CZ18)</f>
        <v>786</v>
      </c>
      <c r="DA20" s="600">
        <f>SUM(DA9:DA18)</f>
        <v>733</v>
      </c>
      <c r="DB20" s="600">
        <f>SUM(DB9:DB18)</f>
        <v>771</v>
      </c>
      <c r="DC20" s="600">
        <f>SUM(DC9:DC18)</f>
        <v>3048</v>
      </c>
      <c r="DE20" s="599" t="s">
        <v>146</v>
      </c>
      <c r="DF20" s="600">
        <f>SUM(DF9:DF18)</f>
        <v>799</v>
      </c>
      <c r="DG20" s="600">
        <f>SUM(DG9:DG18)</f>
        <v>797</v>
      </c>
      <c r="DH20" s="600">
        <f>SUM(DH9:DH18)</f>
        <v>767</v>
      </c>
      <c r="DI20" s="600">
        <f>SUM(DI9:DI18)</f>
        <v>795</v>
      </c>
      <c r="DJ20" s="600">
        <f>SUM(DJ9:DJ18)</f>
        <v>3158</v>
      </c>
      <c r="DL20" s="599" t="s">
        <v>146</v>
      </c>
      <c r="DM20" s="600">
        <f>SUM(DM9:DM18)</f>
        <v>789</v>
      </c>
      <c r="DN20" s="600">
        <f>SUM(DN9:DN18)</f>
        <v>813</v>
      </c>
      <c r="DO20" s="600">
        <f>SUM(DO9:DO18)</f>
        <v>772</v>
      </c>
      <c r="DP20" s="600">
        <f>SUM(DP9:DP18)</f>
        <v>807</v>
      </c>
      <c r="DQ20" s="600">
        <f>SUM(DQ9:DQ18)</f>
        <v>3181</v>
      </c>
      <c r="DS20" s="599" t="s">
        <v>146</v>
      </c>
      <c r="DT20" s="600">
        <f>SUM(DT9:DT18)</f>
        <v>826</v>
      </c>
      <c r="DU20" s="600">
        <f>SUM(DU9:DU18)</f>
        <v>841</v>
      </c>
      <c r="DV20" s="600">
        <f>SUM(DV9:DV18)</f>
        <v>794</v>
      </c>
      <c r="DW20" s="600">
        <f>SUM(DW9:DW18)</f>
        <v>838</v>
      </c>
      <c r="DX20" s="600">
        <f>SUM(DX9:DX18)</f>
        <v>3299</v>
      </c>
      <c r="DZ20" s="599" t="s">
        <v>146</v>
      </c>
      <c r="EA20" s="600">
        <f>SUM(EA9:EA18)</f>
        <v>831</v>
      </c>
      <c r="EB20" s="600">
        <f>SUM(EB9:EB18)</f>
        <v>842</v>
      </c>
      <c r="EC20" s="600">
        <f>SUM(EC9:EC18)</f>
        <v>792</v>
      </c>
      <c r="ED20" s="600">
        <f>SUM(ED9:ED18)</f>
        <v>835</v>
      </c>
      <c r="EE20" s="600">
        <f>SUM(EE9:EE18)</f>
        <v>3293</v>
      </c>
      <c r="EG20" s="599" t="s">
        <v>146</v>
      </c>
      <c r="EH20" s="600">
        <f>SUM(EH9:EH18)</f>
        <v>906</v>
      </c>
      <c r="EI20" s="600">
        <f>SUM(EI9:EI18)</f>
        <v>953</v>
      </c>
      <c r="EJ20" s="600">
        <f>SUM(EJ9:EJ18)</f>
        <v>1047</v>
      </c>
      <c r="EK20" s="600">
        <f>SUM(EK9:EK18)</f>
        <v>1088</v>
      </c>
      <c r="EL20" s="600">
        <f>SUM(EL9:EL18)</f>
        <v>3973</v>
      </c>
      <c r="EN20" s="599" t="s">
        <v>146</v>
      </c>
      <c r="EO20" s="600">
        <f>SUM(EO9:EO18)</f>
        <v>1116</v>
      </c>
      <c r="EP20" s="600">
        <f>SUM(EP9:EP18)</f>
        <v>1130</v>
      </c>
      <c r="EQ20" s="600">
        <f>SUM(EQ9:EQ18)</f>
        <v>1066</v>
      </c>
      <c r="ER20" s="600">
        <f>SUM(ER9:ER18)</f>
        <v>1070</v>
      </c>
      <c r="ES20" s="600">
        <f>SUM(ES9:ES18)</f>
        <v>4382</v>
      </c>
      <c r="EU20" s="599" t="s">
        <v>146</v>
      </c>
      <c r="EV20" s="600">
        <f>SUM(EV9:EV18)</f>
        <v>1084</v>
      </c>
      <c r="EW20" s="600">
        <f>SUM(EW9:EW18)</f>
        <v>1094</v>
      </c>
      <c r="EX20" s="600">
        <f>SUM(EX9:EX18)</f>
        <v>1036</v>
      </c>
      <c r="EY20" s="600">
        <f>SUM(EY9:EY18)</f>
        <v>1040</v>
      </c>
      <c r="EZ20" s="600">
        <f>SUM(EZ9:EZ18)</f>
        <v>4254</v>
      </c>
      <c r="FB20" s="599" t="s">
        <v>146</v>
      </c>
      <c r="FC20" s="600">
        <f>SUM(FC9:FC18)</f>
        <v>1068</v>
      </c>
      <c r="FD20" s="600">
        <f>SUM(FD9:FD18)</f>
        <v>1123</v>
      </c>
      <c r="FE20" s="600">
        <f>SUM(FE9:FE18)</f>
        <v>1066</v>
      </c>
      <c r="FF20" s="600">
        <f>SUM(FF9:FF18)</f>
        <v>1094</v>
      </c>
      <c r="FG20" s="600">
        <f>SUM(FG9:FG18)</f>
        <v>4351</v>
      </c>
      <c r="FI20" s="599" t="s">
        <v>146</v>
      </c>
      <c r="FJ20" s="600">
        <f>SUM(FJ9:FJ18)</f>
        <v>1130</v>
      </c>
      <c r="FK20" s="600">
        <f>SUM(FK9:FK18)</f>
        <v>1151</v>
      </c>
      <c r="FL20" s="600">
        <f>SUM(FL9:FL18)</f>
        <v>1110</v>
      </c>
      <c r="FM20" s="600">
        <f>SUM(FM9:FM18)</f>
        <v>1156</v>
      </c>
      <c r="FN20" s="600">
        <f>SUM(FN9:FN18)</f>
        <v>4547</v>
      </c>
      <c r="FP20" s="599" t="s">
        <v>146</v>
      </c>
      <c r="FQ20" s="600">
        <f>SUM(FQ9:FQ18)</f>
        <v>1160</v>
      </c>
      <c r="FR20" s="600">
        <f>SUM(FR9:FR18)</f>
        <v>1211</v>
      </c>
      <c r="FS20" s="600">
        <f>SUM(FS9:FS18)</f>
        <v>1156</v>
      </c>
      <c r="FT20" s="600">
        <f>SUM(FT9:FT18)</f>
        <v>1303</v>
      </c>
      <c r="FU20" s="600">
        <f>SUM(FU9:FU18)</f>
        <v>4830</v>
      </c>
      <c r="FW20" s="599" t="s">
        <v>146</v>
      </c>
      <c r="FX20" s="600">
        <f>SUM(FX9:FX18)</f>
        <v>1246</v>
      </c>
      <c r="FY20" s="600">
        <f>SUM(FY9:FY18)</f>
        <v>1272</v>
      </c>
      <c r="FZ20" s="600">
        <f>SUM(FZ9:FZ18)</f>
        <v>1249</v>
      </c>
      <c r="GA20" s="600">
        <f>SUM(GA9:GA18)</f>
        <v>1305</v>
      </c>
      <c r="GB20" s="600">
        <f>SUM(GB9:GB18)</f>
        <v>5072</v>
      </c>
      <c r="GD20" s="599" t="s">
        <v>146</v>
      </c>
      <c r="GE20" s="600">
        <f>SUM(GE9:GE18)</f>
        <v>1380</v>
      </c>
      <c r="GF20" s="600">
        <f>SUM(GF9:GF18)</f>
        <v>1430</v>
      </c>
      <c r="GG20" s="600">
        <f>SUM(GG9:GG18)</f>
        <v>1403</v>
      </c>
      <c r="GH20" s="600">
        <f>SUM(GH9:GH18)</f>
        <v>1382</v>
      </c>
      <c r="GI20" s="600">
        <f>SUM(GI9:GI18)</f>
        <v>5595</v>
      </c>
      <c r="GK20" s="599" t="s">
        <v>146</v>
      </c>
      <c r="GL20" s="600">
        <f>SUM(GL9:GL18)</f>
        <v>1412</v>
      </c>
      <c r="GM20" s="600">
        <f>SUM(GM9:GM18)</f>
        <v>1491</v>
      </c>
      <c r="GN20" s="600">
        <f>SUM(GN9:GN18)</f>
        <v>1456</v>
      </c>
      <c r="GO20" s="600">
        <f>SUM(GO9:GO18)</f>
        <v>1470</v>
      </c>
      <c r="GP20" s="600">
        <f>SUM(GP9:GP18)</f>
        <v>5829</v>
      </c>
      <c r="GR20" s="599" t="s">
        <v>146</v>
      </c>
      <c r="GS20" s="600">
        <f>SUM(GS9:GS18)</f>
        <v>1544</v>
      </c>
      <c r="GT20" s="600">
        <f>SUM(GT9:GT18)</f>
        <v>1637</v>
      </c>
      <c r="GU20" s="600">
        <f>SUM(GU9:GU18)</f>
        <v>1652</v>
      </c>
      <c r="GV20" s="600">
        <f>SUM(GV9:GV18)</f>
        <v>1416</v>
      </c>
      <c r="GW20" s="600">
        <f>SUM(GW9:GW18)</f>
        <v>6249</v>
      </c>
      <c r="GY20" s="599" t="s">
        <v>146</v>
      </c>
      <c r="GZ20" s="600">
        <f>SUM(GZ9:GZ18)</f>
        <v>1170</v>
      </c>
      <c r="HA20" s="600">
        <f>SUM(HA9:HA18)</f>
        <v>1174</v>
      </c>
      <c r="HB20" s="600">
        <f>SUM(HB9:HB18)</f>
        <v>1243</v>
      </c>
      <c r="HC20" s="600">
        <f>SUM(HC9:HC18)</f>
        <v>1288</v>
      </c>
      <c r="HD20" s="600">
        <f>SUM(HD9:HD18)</f>
        <v>4875</v>
      </c>
      <c r="HF20" s="599" t="s">
        <v>146</v>
      </c>
      <c r="HG20" s="600">
        <f>SUM(HG9:HG18)</f>
        <v>1368</v>
      </c>
      <c r="HH20" s="600">
        <f>SUM(HH9:HH18)</f>
        <v>1456</v>
      </c>
      <c r="HI20" s="600">
        <f>SUM(HI9:HI18)</f>
        <v>1428</v>
      </c>
      <c r="HJ20" s="600">
        <f>SUM(HJ9:HJ18)</f>
        <v>1534</v>
      </c>
      <c r="HK20" s="600">
        <f>SUM(HK9:HK18)</f>
        <v>5786</v>
      </c>
      <c r="HM20" s="599" t="s">
        <v>146</v>
      </c>
      <c r="HN20" s="600">
        <f>SUM(HN9:HN18)</f>
        <v>1526</v>
      </c>
      <c r="HO20" s="600">
        <f>SUM(HO9:HO18)</f>
        <v>1612</v>
      </c>
      <c r="HP20" s="600">
        <f>SUM(HP9:HP18)</f>
        <v>1565</v>
      </c>
      <c r="HQ20" s="600">
        <f>SUM(HQ9:HQ18)</f>
        <v>1599</v>
      </c>
      <c r="HR20" s="600">
        <f>SUM(HR9:HR18)</f>
        <v>6302</v>
      </c>
      <c r="HT20" s="599" t="s">
        <v>146</v>
      </c>
      <c r="HU20" s="600">
        <f>SUM(HU9:HU18)</f>
        <v>1675</v>
      </c>
      <c r="HV20" s="600">
        <f>SUM(HV9:HV18)</f>
        <v>1711</v>
      </c>
      <c r="HW20" s="600">
        <f>SUM(HW9:HW18)</f>
        <v>1609</v>
      </c>
      <c r="HX20" s="600">
        <f>SUM(HX9:HX18)</f>
        <v>1661</v>
      </c>
      <c r="HY20" s="600">
        <f>SUM(HY9:HY18)</f>
        <v>6656</v>
      </c>
      <c r="IA20" s="599" t="s">
        <v>146</v>
      </c>
      <c r="IB20" s="600">
        <f>SUM(IB9:IB18)</f>
        <v>1717</v>
      </c>
      <c r="IC20" s="600">
        <f>SUM(IC9:IC18)</f>
        <v>1782</v>
      </c>
      <c r="ID20" s="600">
        <f>SUM(ID9:ID18)</f>
        <v>1719</v>
      </c>
      <c r="IE20" s="600">
        <f>SUM(IE9:IE18)</f>
        <v>1819</v>
      </c>
      <c r="IF20" s="600">
        <f>SUM(IF9:IF18)</f>
        <v>7037</v>
      </c>
      <c r="IH20" s="599" t="s">
        <v>146</v>
      </c>
      <c r="II20" s="600">
        <f>+II9+II11+II10+II14+II12+II13+II15</f>
        <v>1787</v>
      </c>
      <c r="IJ20" s="600">
        <f>+IJ9+IJ11+IJ10+IJ14+IJ12+IJ13+IJ15</f>
        <v>1971</v>
      </c>
      <c r="IK20" s="600">
        <f>+IK9+IK11+IK10+IK14+IK12+IK13+IK15</f>
        <v>1927</v>
      </c>
      <c r="IL20" s="600">
        <f>+IL9+IL11+IL10+IL14+IL12+IL13+IL15</f>
        <v>1923</v>
      </c>
      <c r="IM20" s="600">
        <f>+IM9+IM11+IM10+IM14+IM12+IM13+IM15</f>
        <v>7608</v>
      </c>
      <c r="IO20" s="599" t="s">
        <v>146</v>
      </c>
      <c r="IP20" s="600">
        <f>+IP9+IP11+IP10+IP14+IP12+IP13+IP15</f>
        <v>1809</v>
      </c>
      <c r="IQ20" s="600">
        <f>+IQ9+IQ11+IQ10+IQ14+IQ12+IQ13+IQ15</f>
        <v>1858</v>
      </c>
      <c r="IR20" s="600">
        <f>+IR9+IR11+IR10+IR14+IR12+IR13+IR15</f>
        <v>1819</v>
      </c>
      <c r="IS20" s="600">
        <f>+IS9+IS11+IS10+IS14+IS12+IS13+IS15</f>
        <v>1785</v>
      </c>
      <c r="IT20" s="600">
        <f>+IT9+IT11+IT10+IT14+IT12+IT13+IT15</f>
        <v>7271</v>
      </c>
      <c r="IV20" s="599" t="s">
        <v>146</v>
      </c>
      <c r="IW20" s="600">
        <f>+IW9+IW11+IW10+IW14+IW12+IW13+IW15</f>
        <v>1734</v>
      </c>
      <c r="IX20" s="600">
        <f>+IX9+IX11+IX10+IX14+IX12+IX13+IX15</f>
        <v>1772</v>
      </c>
      <c r="IY20" s="600">
        <f>+IY9+IY11+IY10+IY14+IY12+IY13+IY15</f>
        <v>1741</v>
      </c>
      <c r="IZ20" s="600">
        <f>+IZ9+IZ11+IZ10+IZ14+IZ12+IZ13+IZ15</f>
        <v>1895</v>
      </c>
      <c r="JA20" s="600">
        <f>+JA9+JA11+JA10+JA14+JA12+JA13+JA15</f>
        <v>7142</v>
      </c>
      <c r="JC20" s="599" t="s">
        <v>146</v>
      </c>
      <c r="JD20" s="600">
        <f>+JD9+JD11+JD10+JD14+JD12+JD13+JD15</f>
        <v>1839</v>
      </c>
      <c r="JE20" s="600">
        <f>+JE9+JE11+JE10+JE14+JE12+JE13+JE15</f>
        <v>1798</v>
      </c>
      <c r="JF20" s="600">
        <f>+JF9+JF11+JF10+JF14+JF12+JF13+JF15</f>
        <v>1688</v>
      </c>
      <c r="JG20" s="600">
        <f>+JG9+JG11+JG10+JG14+JG12+JG13+JG15</f>
        <v>1743</v>
      </c>
      <c r="JH20" s="600">
        <f>+JH9+JH11+JH10+JH14+JH12+JH13+JH15</f>
        <v>7068</v>
      </c>
      <c r="JJ20" s="599" t="s">
        <v>146</v>
      </c>
      <c r="JK20" s="600">
        <f>+JK9+JK11+JK10+JK14+JK12+JK13+JK15</f>
        <v>1779</v>
      </c>
      <c r="JL20" s="600">
        <f>+JL9+JL11+JL10+JL14+JL12+JL13+JL15</f>
        <v>1907</v>
      </c>
      <c r="JM20" s="600">
        <f>+JM9+JM11+JM10+JM14+JM12+JM13+JM15</f>
        <v>1890</v>
      </c>
      <c r="JN20" s="600">
        <f>+JN9+JN11+JN10+JN14+JN12+JN13+JN15</f>
        <v>1915</v>
      </c>
      <c r="JO20" s="600">
        <f>+JO9+JO11+JO10+JO14+JO12+JO13+JO15</f>
        <v>7491</v>
      </c>
      <c r="JQ20" s="599" t="s">
        <v>146</v>
      </c>
      <c r="JR20" s="600">
        <f>+JR9+JR11+JR10+JR14+JR12+JR13+JR15</f>
        <v>1879</v>
      </c>
      <c r="JS20" s="600">
        <f>+JS9+JS11+JS10+JS14+JS12+JS13+JS15</f>
        <v>1944</v>
      </c>
      <c r="JT20" s="600">
        <f>+JT9+JT11+JT10+JT14+JT12+JT13+JT15</f>
        <v>1906</v>
      </c>
      <c r="JU20" s="600">
        <f>+JU9+JU11+JU10+JU14+JU12+JU13+JU15</f>
        <v>1860</v>
      </c>
      <c r="JV20" s="600">
        <f>+JV9+JV11+JV10+JV14+JV12+JV13+JV15</f>
        <v>7589</v>
      </c>
      <c r="JX20" s="599" t="s">
        <v>146</v>
      </c>
      <c r="JY20" s="600">
        <f>+JY9+JY11+JY10+JY14+JY12+JY13+JY15</f>
        <v>1927</v>
      </c>
      <c r="JZ20" s="600">
        <f>+JZ9+JZ11+JZ10+JZ14+JZ12+JZ13+JZ15</f>
        <v>1508</v>
      </c>
      <c r="KA20" s="600">
        <f>+KA9+KA11+KA10+KA14+KA12+KA13+KA15</f>
        <v>1777</v>
      </c>
      <c r="KB20" s="600">
        <f>+KB9+KB11+KB10+KB14+KB12+KB13+KB15</f>
        <v>1864</v>
      </c>
      <c r="KC20" s="600">
        <f>+KC9+KC11+KC10+KC14+KC12+KC13+KC15</f>
        <v>7076</v>
      </c>
      <c r="KE20" s="599" t="s">
        <v>146</v>
      </c>
      <c r="KF20" s="600">
        <f>+KF9+KF11+KF10+KF14+KF12+KF13+KF15</f>
        <v>1818</v>
      </c>
      <c r="KG20" s="600">
        <f>+KG9+KG11+KG10+KG14+KG12+KG13+KG15</f>
        <v>1903</v>
      </c>
      <c r="KH20" s="600">
        <f>+KH9+KH11+KH10+KH14+KH12+KH13+KH15</f>
        <v>1881</v>
      </c>
      <c r="KI20" s="600">
        <f>+KI9+KI11+KI10+KI14+KI12+KI13+KI15</f>
        <v>1937</v>
      </c>
      <c r="KJ20" s="600">
        <f>+KJ9+KJ11+KJ10+KJ14+KJ12+KJ13+KJ15</f>
        <v>7539</v>
      </c>
      <c r="KL20" s="599" t="s">
        <v>146</v>
      </c>
      <c r="KM20" s="600">
        <f>+KM9+KM11+KM10+KM14+KM12+KM13+KM15</f>
        <v>1921</v>
      </c>
      <c r="KN20" s="600">
        <f>+KN9+KN11+KN10+KN14+KN12+KN13+KN15</f>
        <v>2101</v>
      </c>
      <c r="KO20" s="600">
        <f>+KO9+KO11+KO10+KO14+KO12+KO13+KO15</f>
        <v>2143</v>
      </c>
      <c r="KP20" s="600">
        <f>+KP9+KP11+KP10+KP14+KP12+KP13+KP15</f>
        <v>2074</v>
      </c>
      <c r="KQ20" s="600">
        <f>+KQ9+KQ11+KQ10+KQ14+KQ12+KQ13+KQ15</f>
        <v>8239</v>
      </c>
      <c r="KS20" s="599" t="s">
        <v>146</v>
      </c>
      <c r="KT20" s="600">
        <f>+KT9+KT11+KT10+KT14+KT12+KT13+KT15</f>
        <v>2163</v>
      </c>
      <c r="KU20" s="600">
        <f>+KU9+KU11+KU10+KU14+KU12+KU13+KU15</f>
        <v>2196</v>
      </c>
      <c r="KV20" s="530">
        <f>+KV9+KV11+KV10+KV14+KV12+KV13+KV15</f>
        <v>2112</v>
      </c>
      <c r="KW20" s="600">
        <f>+KW9+KW11+KW10+KW14+KW12+KW13+KW15</f>
        <v>2182</v>
      </c>
      <c r="KX20" s="600">
        <f>+KX9+KX11+KX10+KX14+KX12+KX13+KX15</f>
        <v>8653</v>
      </c>
      <c r="KZ20" s="599" t="s">
        <v>146</v>
      </c>
      <c r="LA20" s="600">
        <f>+LA9+LA11+LA10+LA14+LA12+LA13+LA15</f>
        <v>2185</v>
      </c>
      <c r="LB20" s="530">
        <f>+LB9+LB11+LB10+LB14+LB12+LB13+LB15</f>
        <v>2296</v>
      </c>
      <c r="LC20" s="530">
        <f>+LC9+LC11+LC10+LC14+LC12+LC13+LC15</f>
        <v>2231</v>
      </c>
      <c r="LD20" s="530">
        <f>+LD9+LD11+LD10+LD14+LD12+LD13+LD15</f>
        <v>2191</v>
      </c>
      <c r="LE20" s="601">
        <f>+LE9+LE11+LE10+LE14+LE12+LE13+LE15</f>
        <v>8903</v>
      </c>
      <c r="LF20" s="561"/>
      <c r="LG20" s="599" t="s">
        <v>146</v>
      </c>
      <c r="LH20" s="530">
        <f>+LH9+LH11+LH10+LH14+LH12+LH13+LH15</f>
        <v>2152</v>
      </c>
      <c r="LI20" s="530">
        <f>+LI9+LI11+LI10+LI14+LI12+LI13+LI15</f>
        <v>2257</v>
      </c>
      <c r="LJ20" s="530">
        <f>+LJ9+LJ11+LJ10+LJ14+LJ12+LJ13+LJ15</f>
        <v>2208</v>
      </c>
      <c r="LK20" s="530">
        <f>+LK9+LK11+LK10+LK14+LK12+LK13+LK15</f>
        <v>2156</v>
      </c>
      <c r="LL20" s="601">
        <f>+LL9+LL11+LL10+LL14+LL12+LL13+LL15</f>
        <v>8773</v>
      </c>
      <c r="LM20" s="561"/>
      <c r="LN20" s="599" t="s">
        <v>146</v>
      </c>
      <c r="LO20" s="530">
        <f>+LO9+LO11+LO10+LO14+LO12+LO13+LO15</f>
        <v>2147.3977</v>
      </c>
      <c r="LP20" s="530">
        <f>+LP9+LP11+LP10+LP14+LP12+LP13+LP15</f>
        <v>2255.4906249999999</v>
      </c>
      <c r="LQ20" s="530">
        <f>+LQ9+LQ11+LQ10+LQ14+LQ12+LQ13+LQ15</f>
        <v>2253.3146499999998</v>
      </c>
      <c r="LR20" s="530">
        <f>+LR9+LR11+LR10+LR14+LR12+LR13+LR15</f>
        <v>2262.6137750000003</v>
      </c>
      <c r="LS20" s="601">
        <f>+LS9+LS11+LS10+LS14+LS12+LS13+LS15</f>
        <v>8918.8167499999981</v>
      </c>
      <c r="LT20" s="561"/>
      <c r="LU20" s="599" t="s">
        <v>146</v>
      </c>
      <c r="LV20" s="530">
        <f>+LV9+LV11+LV10+LV14+LV12+LV13+LV15</f>
        <v>2269.5490638035935</v>
      </c>
      <c r="LW20" s="530">
        <f>+LW9+LW11+LW10+LW14+LW12+LW13+LW15</f>
        <v>2381.7051074824999</v>
      </c>
      <c r="LX20" s="530">
        <f>+LX9+LX11+LX10+LX14+LX12+LX13+LX15</f>
        <v>2377.8045056312494</v>
      </c>
      <c r="LY20" s="530">
        <f>+LY9+LY11+LY10+LY14+LY12+LY13+LY15</f>
        <v>2387.1574683243753</v>
      </c>
      <c r="LZ20" s="601">
        <f>+LZ9+LZ11+LZ10+LZ14+LZ12+LZ13+LZ15</f>
        <v>9416.2161452417167</v>
      </c>
      <c r="MA20" s="561"/>
      <c r="MB20" s="599" t="s">
        <v>146</v>
      </c>
      <c r="MC20" s="530">
        <f>+MC9+MC11+MC10+MC14+MC12+MC13+MC15</f>
        <v>2389.1413505459714</v>
      </c>
      <c r="MD20" s="530">
        <f>+MD9+MD11+MD10+MD14+MD12+MD13+MD15</f>
        <v>2505.5253977667617</v>
      </c>
      <c r="ME20" s="530">
        <f>+ME9+ME11+ME10+ME14+ME12+ME13+ME15</f>
        <v>2497.8989282447419</v>
      </c>
      <c r="MF20" s="530">
        <f>+MF9+MF11+MF10+MF14+MF12+MF13+MF15</f>
        <v>2502.3209237033225</v>
      </c>
      <c r="MG20" s="601">
        <f>+MG9+MG11+MG10+MG14+MG12+MG13+MG15</f>
        <v>9894.8866002607974</v>
      </c>
      <c r="MH20" s="561"/>
    </row>
    <row r="21" spans="1:346" s="37" customFormat="1" ht="13.5" thickTop="1" x14ac:dyDescent="0.4">
      <c r="A21" s="100"/>
      <c r="B21" s="111" t="s">
        <v>3</v>
      </c>
      <c r="C21" s="112"/>
      <c r="D21" s="112"/>
      <c r="E21" s="112"/>
      <c r="F21" s="112"/>
      <c r="G21" s="112"/>
      <c r="H21" s="112"/>
      <c r="I21" s="112"/>
      <c r="J21" s="112"/>
      <c r="K21" s="112"/>
      <c r="L21" s="112"/>
      <c r="M21" s="112"/>
      <c r="N21" s="112">
        <f>BT21</f>
        <v>0</v>
      </c>
      <c r="O21" s="112">
        <f>CA21</f>
        <v>0</v>
      </c>
      <c r="P21" s="112">
        <f>CH21</f>
        <v>0</v>
      </c>
      <c r="Q21" s="112">
        <f>CO21</f>
        <v>0</v>
      </c>
      <c r="R21" s="112">
        <f>CV21</f>
        <v>0</v>
      </c>
      <c r="S21" s="112">
        <f>DC21</f>
        <v>0</v>
      </c>
      <c r="T21" s="112">
        <f>DJ21</f>
        <v>0</v>
      </c>
      <c r="U21" s="112">
        <f>DQ21</f>
        <v>0</v>
      </c>
      <c r="V21" s="112">
        <f>DX21</f>
        <v>0</v>
      </c>
      <c r="W21" s="112">
        <f>EE21</f>
        <v>0</v>
      </c>
      <c r="X21" s="112">
        <f>EL21</f>
        <v>0</v>
      </c>
      <c r="Y21" s="112">
        <f>ES21</f>
        <v>0</v>
      </c>
      <c r="Z21" s="112">
        <f>EZ21</f>
        <v>0</v>
      </c>
      <c r="AA21" s="112">
        <f>FG21</f>
        <v>0</v>
      </c>
      <c r="AB21" s="112">
        <f>FN21</f>
        <v>0</v>
      </c>
      <c r="AC21" s="112">
        <f>FU21</f>
        <v>0</v>
      </c>
      <c r="AD21" s="112" t="str">
        <f>GB21</f>
        <v>-</v>
      </c>
      <c r="AE21" s="112">
        <f>GI21</f>
        <v>0</v>
      </c>
      <c r="AF21" s="112">
        <f>GP21</f>
        <v>4.1823056300268169E-2</v>
      </c>
      <c r="AG21" s="112">
        <f>GW21</f>
        <v>7.2053525476067914E-2</v>
      </c>
      <c r="AH21" s="112">
        <f>HD21</f>
        <v>-0.21987518002880457</v>
      </c>
      <c r="AI21" s="112">
        <f>HK21</f>
        <v>0.18687179487179484</v>
      </c>
      <c r="AJ21" s="112">
        <f>HR21</f>
        <v>8.9180781195990377E-2</v>
      </c>
      <c r="AK21" s="112">
        <f>HY21</f>
        <v>5.6172643605204797E-2</v>
      </c>
      <c r="AL21" s="112">
        <f>IF21</f>
        <v>5.7241586538461453E-2</v>
      </c>
      <c r="AM21" s="112">
        <f>IM21</f>
        <v>8.11425323291175E-2</v>
      </c>
      <c r="AN21" s="112">
        <f>IT21</f>
        <v>-4.4295478443743375E-2</v>
      </c>
      <c r="AO21" s="112">
        <f>JA21</f>
        <v>-1.7741713656993507E-2</v>
      </c>
      <c r="AP21" s="112">
        <f>JH21</f>
        <v>-1.0361243349201854E-2</v>
      </c>
      <c r="AQ21" s="112">
        <f>JO21</f>
        <v>5.9847198641765686E-2</v>
      </c>
      <c r="AR21" s="112">
        <f>JV21</f>
        <v>1.3082365505272975E-2</v>
      </c>
      <c r="AS21" s="112">
        <f>KC21</f>
        <v>-6.7597838977467406E-2</v>
      </c>
      <c r="AT21" s="112">
        <f>KJ21</f>
        <v>6.5432447710570996E-2</v>
      </c>
      <c r="AU21" s="112">
        <f>KQ21</f>
        <v>9.2850510677808806E-2</v>
      </c>
      <c r="AV21" s="112">
        <f>KX21</f>
        <v>5.0248816603956747E-2</v>
      </c>
      <c r="AW21" s="112">
        <f>LE21</f>
        <v>2.8891713856465939E-2</v>
      </c>
      <c r="AX21" s="112">
        <f>LL21</f>
        <v>-1.4601819611366973E-2</v>
      </c>
      <c r="AY21" s="112">
        <f>LS21</f>
        <v>1.6621081728029008E-2</v>
      </c>
      <c r="AZ21" s="112">
        <f>LZ21</f>
        <v>5.5769661961237116E-2</v>
      </c>
      <c r="BA21" s="112">
        <f>MG21</f>
        <v>5.0834692793343184E-2</v>
      </c>
      <c r="BB21" s="112"/>
      <c r="BC21" s="112"/>
      <c r="BD21" s="112"/>
      <c r="BE21" s="112"/>
      <c r="BF21" s="112"/>
      <c r="BG21" s="112"/>
      <c r="BH21" s="112"/>
      <c r="BI21" s="112"/>
      <c r="BJ21" s="112"/>
      <c r="BK21" s="112"/>
      <c r="BL21" s="112"/>
      <c r="BM21" s="112"/>
      <c r="BO21" s="111" t="s">
        <v>3</v>
      </c>
      <c r="BP21" s="66"/>
      <c r="BQ21" s="66"/>
      <c r="BR21" s="66"/>
      <c r="BS21" s="66"/>
      <c r="BT21" s="66"/>
      <c r="BV21" s="111" t="s">
        <v>3</v>
      </c>
      <c r="BW21" s="66"/>
      <c r="BX21" s="66"/>
      <c r="BY21" s="66"/>
      <c r="BZ21" s="66"/>
      <c r="CA21" s="66"/>
      <c r="CC21" s="111" t="s">
        <v>3</v>
      </c>
      <c r="CD21" s="66"/>
      <c r="CE21" s="66"/>
      <c r="CF21" s="66"/>
      <c r="CG21" s="66"/>
      <c r="CH21" s="66"/>
      <c r="CJ21" s="111" t="s">
        <v>3</v>
      </c>
      <c r="CK21" s="66"/>
      <c r="CL21" s="66"/>
      <c r="CM21" s="66"/>
      <c r="CN21" s="66"/>
      <c r="CO21" s="66"/>
      <c r="CQ21" s="111" t="s">
        <v>3</v>
      </c>
      <c r="CR21" s="66"/>
      <c r="CS21" s="66"/>
      <c r="CT21" s="66"/>
      <c r="CU21" s="66"/>
      <c r="CV21" s="66"/>
      <c r="CX21" s="111" t="s">
        <v>3</v>
      </c>
      <c r="CY21" s="66"/>
      <c r="CZ21" s="66"/>
      <c r="DA21" s="66"/>
      <c r="DB21" s="66"/>
      <c r="DC21" s="66"/>
      <c r="DE21" s="111" t="s">
        <v>3</v>
      </c>
      <c r="DF21" s="66"/>
      <c r="DG21" s="66"/>
      <c r="DH21" s="66"/>
      <c r="DI21" s="66"/>
      <c r="DJ21" s="66"/>
      <c r="DL21" s="111" t="s">
        <v>3</v>
      </c>
      <c r="DM21" s="66"/>
      <c r="DN21" s="66"/>
      <c r="DO21" s="66"/>
      <c r="DP21" s="66"/>
      <c r="DQ21" s="66"/>
      <c r="DS21" s="111" t="s">
        <v>3</v>
      </c>
      <c r="DT21" s="66"/>
      <c r="DU21" s="66"/>
      <c r="DV21" s="66"/>
      <c r="DW21" s="66"/>
      <c r="DX21" s="66"/>
      <c r="DZ21" s="111" t="s">
        <v>3</v>
      </c>
      <c r="EA21" s="66"/>
      <c r="EB21" s="66"/>
      <c r="EC21" s="66"/>
      <c r="ED21" s="66"/>
      <c r="EE21" s="66"/>
      <c r="EG21" s="111" t="s">
        <v>3</v>
      </c>
      <c r="EH21" s="66"/>
      <c r="EI21" s="66"/>
      <c r="EJ21" s="66"/>
      <c r="EK21" s="66"/>
      <c r="EL21" s="66"/>
      <c r="EN21" s="111" t="s">
        <v>3</v>
      </c>
      <c r="EO21" s="66"/>
      <c r="EP21" s="66"/>
      <c r="EQ21" s="66"/>
      <c r="ER21" s="66"/>
      <c r="ES21" s="66"/>
      <c r="EU21" s="111" t="s">
        <v>3</v>
      </c>
      <c r="EV21" s="66"/>
      <c r="EW21" s="66"/>
      <c r="EX21" s="66"/>
      <c r="EY21" s="66"/>
      <c r="EZ21" s="66"/>
      <c r="FB21" s="111" t="s">
        <v>3</v>
      </c>
      <c r="FC21" s="66"/>
      <c r="FD21" s="66"/>
      <c r="FE21" s="66"/>
      <c r="FF21" s="66"/>
      <c r="FG21" s="66"/>
      <c r="FI21" s="111" t="s">
        <v>3</v>
      </c>
      <c r="FJ21" s="66"/>
      <c r="FK21" s="66"/>
      <c r="FL21" s="66"/>
      <c r="FM21" s="66"/>
      <c r="FN21" s="66"/>
      <c r="FP21" s="111" t="s">
        <v>3</v>
      </c>
      <c r="FQ21" s="66"/>
      <c r="FR21" s="66"/>
      <c r="FS21" s="66"/>
      <c r="FT21" s="66"/>
      <c r="FU21" s="66"/>
      <c r="FW21" s="111" t="s">
        <v>3</v>
      </c>
      <c r="FX21" s="66" t="s">
        <v>80</v>
      </c>
      <c r="FY21" s="66" t="s">
        <v>80</v>
      </c>
      <c r="FZ21" s="66" t="s">
        <v>80</v>
      </c>
      <c r="GA21" s="66" t="s">
        <v>80</v>
      </c>
      <c r="GB21" s="66" t="s">
        <v>80</v>
      </c>
      <c r="GD21" s="111" t="s">
        <v>3</v>
      </c>
      <c r="GE21" s="66"/>
      <c r="GF21" s="66"/>
      <c r="GG21" s="66"/>
      <c r="GH21" s="66"/>
      <c r="GI21" s="66"/>
      <c r="GK21" s="111" t="s">
        <v>3</v>
      </c>
      <c r="GL21" s="66">
        <f>GL20/GE20-1</f>
        <v>2.3188405797101463E-2</v>
      </c>
      <c r="GM21" s="66">
        <f>GM20/GF20-1</f>
        <v>4.2657342657342667E-2</v>
      </c>
      <c r="GN21" s="66">
        <f>GN20/GG20-1</f>
        <v>3.7776193870278085E-2</v>
      </c>
      <c r="GO21" s="66">
        <f>GO20/GH20-1</f>
        <v>6.3675832127351617E-2</v>
      </c>
      <c r="GP21" s="66">
        <f>GP20/GI20-1</f>
        <v>4.1823056300268169E-2</v>
      </c>
      <c r="GR21" s="111" t="s">
        <v>3</v>
      </c>
      <c r="GS21" s="66">
        <f>GS20/GL20-1</f>
        <v>9.3484419263456076E-2</v>
      </c>
      <c r="GT21" s="66">
        <f>GT20/GM20-1</f>
        <v>9.7920858484238815E-2</v>
      </c>
      <c r="GU21" s="66">
        <f>GU20/GN20-1</f>
        <v>0.13461538461538458</v>
      </c>
      <c r="GV21" s="66">
        <f>GV20/GO20-1</f>
        <v>-3.6734693877551017E-2</v>
      </c>
      <c r="GW21" s="66">
        <f>GW20/GP20-1</f>
        <v>7.2053525476067914E-2</v>
      </c>
      <c r="GY21" s="111" t="s">
        <v>3</v>
      </c>
      <c r="GZ21" s="66">
        <f>GZ20/GS20-1</f>
        <v>-0.24222797927461137</v>
      </c>
      <c r="HA21" s="66">
        <f>HA20/GT20-1</f>
        <v>-0.28283445326817347</v>
      </c>
      <c r="HB21" s="66">
        <f>HB20/GU20-1</f>
        <v>-0.24757869249394671</v>
      </c>
      <c r="HC21" s="66">
        <f>HC20/GV20-1</f>
        <v>-9.0395480225988756E-2</v>
      </c>
      <c r="HD21" s="66">
        <f>HD20/GW20-1</f>
        <v>-0.21987518002880457</v>
      </c>
      <c r="HF21" s="111" t="s">
        <v>3</v>
      </c>
      <c r="HG21" s="66">
        <f>HG20/GZ20-1</f>
        <v>0.1692307692307693</v>
      </c>
      <c r="HH21" s="66">
        <f>HH20/HA20-1</f>
        <v>0.2402044293015333</v>
      </c>
      <c r="HI21" s="66">
        <f>HI20/HB20-1</f>
        <v>0.14883346741753822</v>
      </c>
      <c r="HJ21" s="66">
        <f>HJ20/HC20-1</f>
        <v>0.19099378881987583</v>
      </c>
      <c r="HK21" s="66">
        <f>HK20/HD20-1</f>
        <v>0.18687179487179484</v>
      </c>
      <c r="HM21" s="111" t="s">
        <v>3</v>
      </c>
      <c r="HN21" s="66">
        <f>HN20/HG20-1</f>
        <v>0.11549707602339176</v>
      </c>
      <c r="HO21" s="66">
        <f>HO20/HH20-1</f>
        <v>0.10714285714285721</v>
      </c>
      <c r="HP21" s="66">
        <f>HP20/HI20-1</f>
        <v>9.5938375350140159E-2</v>
      </c>
      <c r="HQ21" s="66">
        <f>HQ20/HJ20-1</f>
        <v>4.2372881355932313E-2</v>
      </c>
      <c r="HR21" s="66">
        <f>HR20/HK20-1</f>
        <v>8.9180781195990377E-2</v>
      </c>
      <c r="HT21" s="111" t="s">
        <v>3</v>
      </c>
      <c r="HU21" s="66">
        <f>HU20/HN20-1</f>
        <v>9.7640891218872872E-2</v>
      </c>
      <c r="HV21" s="66">
        <f>HV20/HO20-1</f>
        <v>6.1414392059553347E-2</v>
      </c>
      <c r="HW21" s="66">
        <f>HW20/HP20-1</f>
        <v>2.8115015974440993E-2</v>
      </c>
      <c r="HX21" s="66">
        <f>HX20/HQ20-1</f>
        <v>3.8774233896185173E-2</v>
      </c>
      <c r="HY21" s="66">
        <f>HY20/HR20-1</f>
        <v>5.6172643605204797E-2</v>
      </c>
      <c r="IA21" s="111" t="s">
        <v>3</v>
      </c>
      <c r="IB21" s="66">
        <f>IB20/HU20-1</f>
        <v>2.5074626865671634E-2</v>
      </c>
      <c r="IC21" s="66">
        <f>IC20/HV20-1</f>
        <v>4.1496201052016346E-2</v>
      </c>
      <c r="ID21" s="66">
        <f>ID20/HW20-1</f>
        <v>6.8365444375388496E-2</v>
      </c>
      <c r="IE21" s="66">
        <f>IE20/HX20-1</f>
        <v>9.5123419626730987E-2</v>
      </c>
      <c r="IF21" s="66">
        <f>IF20/HY20-1</f>
        <v>5.7241586538461453E-2</v>
      </c>
      <c r="IH21" s="111" t="s">
        <v>3</v>
      </c>
      <c r="II21" s="66">
        <f>II20/IB20-1</f>
        <v>4.0768782760628897E-2</v>
      </c>
      <c r="IJ21" s="66">
        <f>IJ20/IC20-1</f>
        <v>0.10606060606060597</v>
      </c>
      <c r="IK21" s="66">
        <f>IK20/ID20-1</f>
        <v>0.12100058173356598</v>
      </c>
      <c r="IL21" s="66">
        <f>IL20/IE20-1</f>
        <v>5.7174271577790092E-2</v>
      </c>
      <c r="IM21" s="66">
        <f>IM20/IF20-1</f>
        <v>8.11425323291175E-2</v>
      </c>
      <c r="IO21" s="111" t="s">
        <v>3</v>
      </c>
      <c r="IP21" s="66">
        <f>IP20/II20-1</f>
        <v>1.231113598209288E-2</v>
      </c>
      <c r="IQ21" s="66">
        <f>IQ20/IJ20-1</f>
        <v>-5.7331303906646425E-2</v>
      </c>
      <c r="IR21" s="66">
        <f>IR20/IK20-1</f>
        <v>-5.6045666839647068E-2</v>
      </c>
      <c r="IS21" s="66">
        <f>IS20/IL20-1</f>
        <v>-7.1762870514820554E-2</v>
      </c>
      <c r="IT21" s="66">
        <f>IT20/IM20-1</f>
        <v>-4.4295478443743375E-2</v>
      </c>
      <c r="IV21" s="111" t="s">
        <v>3</v>
      </c>
      <c r="IW21" s="66">
        <f>IW20/IP20-1</f>
        <v>-4.1459369817578806E-2</v>
      </c>
      <c r="IX21" s="66">
        <f>IX20/IQ20-1</f>
        <v>-4.6286329386437064E-2</v>
      </c>
      <c r="IY21" s="66">
        <f>IY20/IR20-1</f>
        <v>-4.2880703683342514E-2</v>
      </c>
      <c r="IZ21" s="66">
        <f>IZ20/IS20-1</f>
        <v>6.1624649859943981E-2</v>
      </c>
      <c r="JA21" s="66">
        <f>JA20/IT20-1</f>
        <v>-1.7741713656993507E-2</v>
      </c>
      <c r="JC21" s="111" t="s">
        <v>3</v>
      </c>
      <c r="JD21" s="66">
        <f>JD20/IW20-1</f>
        <v>6.0553633217993008E-2</v>
      </c>
      <c r="JE21" s="66">
        <f>JE20/IX20-1</f>
        <v>1.46726862302482E-2</v>
      </c>
      <c r="JF21" s="66">
        <f>JF20/IY20-1</f>
        <v>-3.0442274554853488E-2</v>
      </c>
      <c r="JG21" s="66">
        <f>JG20/IZ20-1</f>
        <v>-8.0211081794195227E-2</v>
      </c>
      <c r="JH21" s="66">
        <f>JH20/JA20-1</f>
        <v>-1.0361243349201854E-2</v>
      </c>
      <c r="JJ21" s="111" t="s">
        <v>3</v>
      </c>
      <c r="JK21" s="66">
        <f>JK20/JD20-1</f>
        <v>-3.2626427406199032E-2</v>
      </c>
      <c r="JL21" s="66">
        <f>JL20/JE20-1</f>
        <v>6.0622914349276913E-2</v>
      </c>
      <c r="JM21" s="66">
        <f>JM20/JF20-1</f>
        <v>0.11966824644549767</v>
      </c>
      <c r="JN21" s="66">
        <f>JN20/JG20-1</f>
        <v>9.8680436029833674E-2</v>
      </c>
      <c r="JO21" s="66">
        <f>JO20/JH20-1</f>
        <v>5.9847198641765686E-2</v>
      </c>
      <c r="JQ21" s="111" t="s">
        <v>3</v>
      </c>
      <c r="JR21" s="66">
        <f>JR20/JK20-1</f>
        <v>5.6211354693648019E-2</v>
      </c>
      <c r="JS21" s="66">
        <f>JS20/JL20-1</f>
        <v>1.9402202412165614E-2</v>
      </c>
      <c r="JT21" s="66">
        <f>JT20/JM20-1</f>
        <v>8.4656084656085095E-3</v>
      </c>
      <c r="JU21" s="66">
        <f>JU20/JN20-1</f>
        <v>-2.8720626631853818E-2</v>
      </c>
      <c r="JV21" s="66">
        <f>JV20/JO20-1</f>
        <v>1.3082365505272975E-2</v>
      </c>
      <c r="JX21" s="111" t="s">
        <v>3</v>
      </c>
      <c r="JY21" s="66">
        <f>JY20/JR20-1</f>
        <v>2.5545502927088792E-2</v>
      </c>
      <c r="JZ21" s="66">
        <f>JZ20/JS20-1</f>
        <v>-0.22427983539094654</v>
      </c>
      <c r="KA21" s="66">
        <f>KA20/JT20-1</f>
        <v>-6.7681007345225641E-2</v>
      </c>
      <c r="KB21" s="66">
        <f>KB20/JU20-1</f>
        <v>2.1505376344086446E-3</v>
      </c>
      <c r="KC21" s="66">
        <f>KC20/JV20-1</f>
        <v>-6.7597838977467406E-2</v>
      </c>
      <c r="KE21" s="111" t="s">
        <v>3</v>
      </c>
      <c r="KF21" s="66">
        <f>KF20/JY20-1</f>
        <v>-5.6564608199273447E-2</v>
      </c>
      <c r="KG21" s="66">
        <f>KG20/JZ20-1</f>
        <v>0.26193633952254647</v>
      </c>
      <c r="KH21" s="66">
        <f>KH20/KA20-1</f>
        <v>5.8525604952166521E-2</v>
      </c>
      <c r="KI21" s="66">
        <f>KI20/KB20-1</f>
        <v>3.9163090128755407E-2</v>
      </c>
      <c r="KJ21" s="66">
        <f>KJ20/KC20-1</f>
        <v>6.5432447710570996E-2</v>
      </c>
      <c r="KL21" s="111" t="s">
        <v>3</v>
      </c>
      <c r="KM21" s="66">
        <f>KM20/KF20-1</f>
        <v>5.6655665566556657E-2</v>
      </c>
      <c r="KN21" s="66">
        <f>KN20/KG20-1</f>
        <v>0.10404624277456653</v>
      </c>
      <c r="KO21" s="66">
        <f>KO20/KH20-1</f>
        <v>0.13928761297182346</v>
      </c>
      <c r="KP21" s="66">
        <f>KP20/KI20-1</f>
        <v>7.0727929788332533E-2</v>
      </c>
      <c r="KQ21" s="66">
        <f>KQ20/KJ20-1</f>
        <v>9.2850510677808806E-2</v>
      </c>
      <c r="KS21" s="111" t="s">
        <v>3</v>
      </c>
      <c r="KT21" s="66">
        <f>KT20/KM20-1</f>
        <v>0.12597605413846957</v>
      </c>
      <c r="KU21" s="66">
        <f>KU20/KN20-1</f>
        <v>4.5216563541170762E-2</v>
      </c>
      <c r="KV21" s="112">
        <f>KV20/KO20-1</f>
        <v>-1.4465702286514226E-2</v>
      </c>
      <c r="KW21" s="66">
        <f>KW20/KP20-1</f>
        <v>5.2073288331726086E-2</v>
      </c>
      <c r="KX21" s="66">
        <f>KX20/KQ20-1</f>
        <v>5.0248816603956747E-2</v>
      </c>
      <c r="KZ21" s="111" t="s">
        <v>3</v>
      </c>
      <c r="LA21" s="66">
        <f>LA20/KT20-1</f>
        <v>1.0171058714748105E-2</v>
      </c>
      <c r="LB21" s="112">
        <f>LB20/KU20-1</f>
        <v>4.5537340619307809E-2</v>
      </c>
      <c r="LC21" s="112">
        <f>LC20/KV20-1</f>
        <v>5.6344696969697017E-2</v>
      </c>
      <c r="LD21" s="112">
        <f>LD20/KW20-1</f>
        <v>4.124656278643446E-3</v>
      </c>
      <c r="LE21" s="112">
        <f>LE20/KX20-1</f>
        <v>2.8891713856465939E-2</v>
      </c>
      <c r="LF21" s="566"/>
      <c r="LG21" s="111" t="s">
        <v>3</v>
      </c>
      <c r="LH21" s="112">
        <f>LH20/LA20-1</f>
        <v>-1.5102974828375304E-2</v>
      </c>
      <c r="LI21" s="112">
        <f>LI20/LB20-1</f>
        <v>-1.6986062717770034E-2</v>
      </c>
      <c r="LJ21" s="112">
        <f>LJ20/LC20-1</f>
        <v>-1.0309278350515427E-2</v>
      </c>
      <c r="LK21" s="112">
        <f>LK20/LD20-1</f>
        <v>-1.5974440894568676E-2</v>
      </c>
      <c r="LL21" s="112">
        <f>LL20/LE20-1</f>
        <v>-1.4601819611366973E-2</v>
      </c>
      <c r="LM21" s="566"/>
      <c r="LN21" s="111" t="s">
        <v>3</v>
      </c>
      <c r="LO21" s="112">
        <f>LO20/LH20-1</f>
        <v>-2.1386152416357218E-3</v>
      </c>
      <c r="LP21" s="112">
        <f>LP20/LI20-1</f>
        <v>-6.6875276916267268E-4</v>
      </c>
      <c r="LQ21" s="112">
        <f>LQ20/LJ20-1</f>
        <v>2.0522939311594213E-2</v>
      </c>
      <c r="LR21" s="112">
        <f>LR20/LK20-1</f>
        <v>4.9449802875695781E-2</v>
      </c>
      <c r="LS21" s="112">
        <f>LS20/LL20-1</f>
        <v>1.6621081728029008E-2</v>
      </c>
      <c r="LT21" s="566"/>
      <c r="LU21" s="111" t="s">
        <v>3</v>
      </c>
      <c r="LV21" s="112">
        <f>LV20/LO20-1</f>
        <v>5.6883437941464443E-2</v>
      </c>
      <c r="LW21" s="112">
        <f>LW20/LP20-1</f>
        <v>5.5958770603402597E-2</v>
      </c>
      <c r="LX21" s="112">
        <f>LX20/LQ20-1</f>
        <v>5.5247435430843872E-2</v>
      </c>
      <c r="LY21" s="112">
        <f>LY20/LR20-1</f>
        <v>5.5044168253759906E-2</v>
      </c>
      <c r="LZ21" s="112">
        <f>LZ20/LS20-1</f>
        <v>5.5769661961237116E-2</v>
      </c>
      <c r="MA21" s="566"/>
      <c r="MB21" s="111" t="s">
        <v>3</v>
      </c>
      <c r="MC21" s="112">
        <f>MC20/LV20-1</f>
        <v>5.2694294496524519E-2</v>
      </c>
      <c r="MD21" s="112">
        <f>MD20/LW20-1</f>
        <v>5.1988086138481604E-2</v>
      </c>
      <c r="ME21" s="112">
        <f>ME20/LX20-1</f>
        <v>5.0506432437602999E-2</v>
      </c>
      <c r="MF21" s="112">
        <f>MF20/LY20-1</f>
        <v>4.824292360561544E-2</v>
      </c>
      <c r="MG21" s="112">
        <f>MG20/LZ20-1</f>
        <v>5.0834692793343184E-2</v>
      </c>
      <c r="MH21" s="566"/>
    </row>
    <row r="22" spans="1:346" s="37" customFormat="1" ht="13.15" x14ac:dyDescent="0.4">
      <c r="A22" s="100"/>
      <c r="B22" s="36"/>
      <c r="BO22" s="36"/>
      <c r="BP22" s="53"/>
      <c r="BQ22" s="53"/>
      <c r="BR22" s="53"/>
      <c r="BS22" s="53"/>
      <c r="BT22" s="53"/>
      <c r="BV22" s="36"/>
      <c r="BW22" s="53"/>
      <c r="BX22" s="53"/>
      <c r="BY22" s="53"/>
      <c r="BZ22" s="53"/>
      <c r="CA22" s="53"/>
      <c r="CC22" s="36"/>
      <c r="CD22" s="53"/>
      <c r="CE22" s="53"/>
      <c r="CF22" s="53"/>
      <c r="CG22" s="53"/>
      <c r="CH22" s="53"/>
      <c r="CJ22" s="36"/>
      <c r="CK22" s="53"/>
      <c r="CL22" s="53"/>
      <c r="CM22" s="53"/>
      <c r="CN22" s="53"/>
      <c r="CO22" s="53"/>
      <c r="CQ22" s="36"/>
      <c r="CR22" s="53"/>
      <c r="CS22" s="53"/>
      <c r="CT22" s="53"/>
      <c r="CU22" s="53"/>
      <c r="CV22" s="53"/>
      <c r="CX22" s="36"/>
      <c r="CY22" s="53"/>
      <c r="CZ22" s="53"/>
      <c r="DA22" s="53"/>
      <c r="DB22" s="53"/>
      <c r="DC22" s="53"/>
      <c r="DE22" s="36"/>
      <c r="DF22" s="53"/>
      <c r="DG22" s="53"/>
      <c r="DH22" s="53"/>
      <c r="DI22" s="53"/>
      <c r="DJ22" s="53"/>
      <c r="DL22" s="36"/>
      <c r="DM22" s="53"/>
      <c r="DN22" s="53"/>
      <c r="DO22" s="53"/>
      <c r="DP22" s="53"/>
      <c r="DQ22" s="53"/>
      <c r="DS22" s="36"/>
      <c r="DT22" s="53"/>
      <c r="DU22" s="53"/>
      <c r="DV22" s="53"/>
      <c r="DW22" s="53"/>
      <c r="DX22" s="53"/>
      <c r="DZ22" s="36"/>
      <c r="EA22" s="53"/>
      <c r="EB22" s="53"/>
      <c r="EC22" s="53"/>
      <c r="ED22" s="53"/>
      <c r="EE22" s="53"/>
      <c r="EG22" s="36"/>
      <c r="EH22" s="53"/>
      <c r="EI22" s="53"/>
      <c r="EJ22" s="53"/>
      <c r="EK22" s="53"/>
      <c r="EL22" s="53"/>
      <c r="EN22" s="36"/>
      <c r="EO22" s="53"/>
      <c r="EP22" s="53"/>
      <c r="EQ22" s="53"/>
      <c r="ER22" s="53"/>
      <c r="ES22" s="53"/>
      <c r="EU22" s="36"/>
      <c r="EV22" s="53"/>
      <c r="EW22" s="53"/>
      <c r="EX22" s="53"/>
      <c r="EY22" s="53"/>
      <c r="EZ22" s="53"/>
      <c r="FB22" s="36"/>
      <c r="FC22" s="53"/>
      <c r="FD22" s="53"/>
      <c r="FE22" s="53"/>
      <c r="FF22" s="53"/>
      <c r="FG22" s="53"/>
      <c r="FI22" s="36"/>
      <c r="FJ22" s="53"/>
      <c r="FK22" s="53"/>
      <c r="FL22" s="53"/>
      <c r="FM22" s="53"/>
      <c r="FN22" s="53"/>
      <c r="FP22" s="36"/>
      <c r="FQ22" s="53"/>
      <c r="FR22" s="53"/>
      <c r="FS22" s="53"/>
      <c r="FT22" s="53"/>
      <c r="FU22" s="53"/>
      <c r="FW22" s="36"/>
      <c r="FX22" s="53"/>
      <c r="FY22" s="53"/>
      <c r="FZ22" s="53"/>
      <c r="GA22" s="53"/>
      <c r="GB22" s="53"/>
      <c r="GD22" s="36"/>
      <c r="GE22" s="53"/>
      <c r="GF22" s="53"/>
      <c r="GG22" s="53"/>
      <c r="GH22" s="53"/>
      <c r="GI22" s="53"/>
      <c r="GK22" s="36"/>
      <c r="GL22" s="53"/>
      <c r="GM22" s="53"/>
      <c r="GN22" s="53"/>
      <c r="GO22" s="53"/>
      <c r="GP22" s="53"/>
      <c r="GR22" s="36"/>
      <c r="GS22" s="53"/>
      <c r="GT22" s="53"/>
      <c r="GU22" s="53"/>
      <c r="GV22" s="53"/>
      <c r="GW22" s="53"/>
      <c r="GY22" s="36"/>
      <c r="GZ22" s="53"/>
      <c r="HA22" s="53"/>
      <c r="HB22" s="53"/>
      <c r="HC22" s="53"/>
      <c r="HD22" s="53"/>
      <c r="HF22" s="36"/>
      <c r="HG22" s="53"/>
      <c r="HH22" s="53"/>
      <c r="HI22" s="53"/>
      <c r="HJ22" s="53"/>
      <c r="HK22" s="53"/>
      <c r="HM22" s="36"/>
      <c r="HN22" s="53"/>
      <c r="HO22" s="53"/>
      <c r="HP22" s="53"/>
      <c r="HQ22" s="53"/>
      <c r="HR22" s="53"/>
      <c r="HT22" s="36"/>
      <c r="HU22" s="53"/>
      <c r="HV22" s="53"/>
      <c r="HW22" s="53"/>
      <c r="HX22" s="53"/>
      <c r="HY22" s="53"/>
      <c r="IA22" s="36"/>
      <c r="IB22" s="53"/>
      <c r="IC22" s="53"/>
      <c r="ID22" s="53"/>
      <c r="IE22" s="53"/>
      <c r="IF22" s="53"/>
      <c r="IH22" s="36"/>
      <c r="II22" s="53"/>
      <c r="IJ22" s="53"/>
      <c r="IK22" s="53"/>
      <c r="IL22" s="53"/>
      <c r="IM22" s="53"/>
      <c r="IO22" s="36"/>
      <c r="IP22" s="53"/>
      <c r="IQ22" s="53"/>
      <c r="IR22" s="53"/>
      <c r="IS22" s="53"/>
      <c r="IT22" s="53"/>
      <c r="IV22" s="36"/>
      <c r="IW22" s="53"/>
      <c r="IX22" s="53"/>
      <c r="IY22" s="53"/>
      <c r="IZ22" s="53"/>
      <c r="JA22" s="53"/>
      <c r="JC22" s="36"/>
      <c r="JD22" s="53"/>
      <c r="JE22" s="53"/>
      <c r="JF22" s="53"/>
      <c r="JG22" s="53"/>
      <c r="JH22" s="53"/>
      <c r="JJ22" s="36"/>
      <c r="JK22" s="53"/>
      <c r="JL22" s="53"/>
      <c r="JM22" s="53"/>
      <c r="JN22" s="53"/>
      <c r="JO22" s="53"/>
      <c r="JQ22" s="36"/>
      <c r="JR22" s="53"/>
      <c r="JS22" s="53"/>
      <c r="JT22" s="53"/>
      <c r="JU22" s="53"/>
      <c r="JV22" s="53"/>
      <c r="JX22" s="36"/>
      <c r="JY22" s="53"/>
      <c r="JZ22" s="53"/>
      <c r="KA22" s="53"/>
      <c r="KB22" s="53"/>
      <c r="KC22" s="53"/>
      <c r="KE22" s="36"/>
      <c r="KF22" s="53"/>
      <c r="KG22" s="53"/>
      <c r="KH22" s="53"/>
      <c r="KI22" s="53"/>
      <c r="KJ22" s="53"/>
      <c r="KL22" s="36"/>
      <c r="KM22" s="53"/>
      <c r="KN22" s="53"/>
      <c r="KO22" s="53"/>
      <c r="KP22" s="53"/>
      <c r="KQ22" s="53"/>
      <c r="KS22" s="36"/>
      <c r="KT22" s="53"/>
      <c r="KU22" s="53"/>
      <c r="KX22" s="53"/>
      <c r="KZ22" s="630"/>
      <c r="LA22" s="631"/>
      <c r="LB22" s="631"/>
      <c r="LC22" s="631"/>
      <c r="LD22" s="631"/>
      <c r="LE22" s="631"/>
      <c r="LF22" s="566"/>
      <c r="LG22" s="630"/>
      <c r="LH22" s="631"/>
      <c r="LI22" s="631"/>
      <c r="LJ22" s="631"/>
      <c r="LK22" s="631"/>
      <c r="LL22" s="631"/>
      <c r="LM22" s="566"/>
      <c r="LN22" s="630"/>
      <c r="LO22" s="631"/>
      <c r="LP22" s="631"/>
      <c r="LQ22" s="631"/>
      <c r="LR22" s="631"/>
      <c r="LS22" s="631"/>
      <c r="LT22" s="566"/>
      <c r="LU22" s="630"/>
      <c r="LV22" s="631"/>
      <c r="LW22" s="631"/>
      <c r="LX22" s="631"/>
      <c r="LY22" s="631"/>
      <c r="LZ22" s="631"/>
      <c r="MA22" s="566"/>
      <c r="MB22" s="630"/>
      <c r="MC22" s="631"/>
      <c r="MD22" s="631"/>
      <c r="ME22" s="631"/>
      <c r="MF22" s="631"/>
      <c r="MG22" s="631"/>
      <c r="MH22" s="566"/>
    </row>
    <row r="23" spans="1:346" s="37" customFormat="1" ht="13.15" hidden="1" outlineLevel="1" x14ac:dyDescent="0.4">
      <c r="A23" s="100"/>
      <c r="B23" s="106" t="s">
        <v>326</v>
      </c>
      <c r="C23" s="107"/>
      <c r="D23" s="107"/>
      <c r="E23" s="107"/>
      <c r="F23" s="107"/>
      <c r="G23" s="107"/>
      <c r="H23" s="107"/>
      <c r="I23" s="107"/>
      <c r="J23" s="107"/>
      <c r="K23" s="107"/>
      <c r="L23" s="107"/>
      <c r="M23" s="107"/>
      <c r="N23" s="107">
        <f t="shared" ref="N23:N29" si="88">BT23</f>
        <v>0</v>
      </c>
      <c r="O23" s="107">
        <f t="shared" ref="O23:O29" si="89">CA23</f>
        <v>0</v>
      </c>
      <c r="P23" s="107">
        <f t="shared" ref="P23:P29" si="90">CH23</f>
        <v>0</v>
      </c>
      <c r="Q23" s="107">
        <f t="shared" ref="Q23:Q29" si="91">CO23</f>
        <v>341</v>
      </c>
      <c r="R23" s="107">
        <f t="shared" ref="R23:R29" si="92">CV23</f>
        <v>385</v>
      </c>
      <c r="S23" s="107">
        <f t="shared" ref="S23:S29" si="93">DC23</f>
        <v>435</v>
      </c>
      <c r="T23" s="107">
        <f t="shared" ref="T23:T29" si="94">DJ23</f>
        <v>435</v>
      </c>
      <c r="U23" s="107">
        <f t="shared" ref="U23:U29" si="95">DQ23</f>
        <v>427</v>
      </c>
      <c r="V23" s="107">
        <f t="shared" ref="V23:V29" si="96">DX23</f>
        <v>423</v>
      </c>
      <c r="W23" s="107">
        <f t="shared" ref="W23:W29" si="97">EE23</f>
        <v>416</v>
      </c>
      <c r="X23" s="107">
        <f t="shared" ref="X23:X29" si="98">EL23</f>
        <v>609</v>
      </c>
      <c r="Y23" s="107">
        <f t="shared" ref="Y23:Y29" si="99">ES23</f>
        <v>645</v>
      </c>
      <c r="Z23" s="107">
        <f t="shared" ref="Z23:Z29" si="100">EZ23</f>
        <v>625</v>
      </c>
      <c r="AA23" s="107">
        <f t="shared" ref="AA23:AA29" si="101">FG23</f>
        <v>696</v>
      </c>
      <c r="AB23" s="107">
        <f t="shared" ref="AB23:AB29" si="102">FN23</f>
        <v>784</v>
      </c>
      <c r="AC23" s="107">
        <f t="shared" ref="AC23:AC29" si="103">FU23</f>
        <v>795</v>
      </c>
      <c r="AD23" s="107">
        <f t="shared" ref="AD23:AD29" si="104">GB23</f>
        <v>738</v>
      </c>
      <c r="AE23" s="107">
        <f t="shared" ref="AE23:AE29" si="105">GI23</f>
        <v>786</v>
      </c>
      <c r="AF23" s="107">
        <f t="shared" ref="AF23:AF29" si="106">GP23</f>
        <v>807</v>
      </c>
      <c r="AG23" s="107">
        <f t="shared" ref="AG23:AG29" si="107">GW23</f>
        <v>929</v>
      </c>
      <c r="AH23" s="107">
        <f t="shared" ref="AH23:AH29" si="108">HD23</f>
        <v>831</v>
      </c>
      <c r="AI23" s="107">
        <f t="shared" ref="AI23:AI29" si="109">HK23</f>
        <v>0</v>
      </c>
      <c r="AJ23" s="107">
        <f t="shared" ref="AJ23:AJ29" si="110">HR23</f>
        <v>0</v>
      </c>
      <c r="AK23" s="107">
        <f t="shared" ref="AK23:AK29" si="111">HY23</f>
        <v>0</v>
      </c>
      <c r="AL23" s="107">
        <f t="shared" ref="AL23:AL29" si="112">IF23</f>
        <v>0</v>
      </c>
      <c r="AM23" s="107">
        <f t="shared" ref="AM23:AM29" si="113">IM23</f>
        <v>0</v>
      </c>
      <c r="AN23" s="107">
        <f t="shared" ref="AN23:AN29" si="114">IT23</f>
        <v>0</v>
      </c>
      <c r="AO23" s="107">
        <f t="shared" ref="AO23:AO29" si="115">JA23</f>
        <v>0</v>
      </c>
      <c r="AP23" s="107">
        <f t="shared" ref="AP23:AP29" si="116">JH23</f>
        <v>0</v>
      </c>
      <c r="AQ23" s="107">
        <f t="shared" ref="AQ23:AQ29" si="117">JO23</f>
        <v>0</v>
      </c>
      <c r="AR23" s="107">
        <f t="shared" ref="AR23:AR29" si="118">JV23</f>
        <v>0</v>
      </c>
      <c r="AS23" s="107">
        <f t="shared" ref="AS23:AS29" si="119">KC23</f>
        <v>0</v>
      </c>
      <c r="AT23" s="107">
        <f t="shared" ref="AT23:AT29" si="120">KJ23</f>
        <v>0</v>
      </c>
      <c r="AU23" s="107">
        <f t="shared" ref="AU23:AU29" si="121">KQ23</f>
        <v>0</v>
      </c>
      <c r="AV23" s="107">
        <f t="shared" ref="AV23:AV29" si="122">KX23</f>
        <v>0</v>
      </c>
      <c r="AW23" s="107">
        <f t="shared" ref="AW23:AW29" si="123">LE23</f>
        <v>0</v>
      </c>
      <c r="AX23" s="107">
        <f t="shared" ref="AX23:AX29" si="124">LL23</f>
        <v>0</v>
      </c>
      <c r="AY23" s="107">
        <f t="shared" ref="AY23:AY29" si="125">LS23</f>
        <v>0</v>
      </c>
      <c r="AZ23" s="107">
        <f t="shared" ref="AZ23:AZ29" si="126">LZ23</f>
        <v>0</v>
      </c>
      <c r="BA23" s="107">
        <f t="shared" ref="BA23:BA29" si="127">MG23</f>
        <v>0</v>
      </c>
      <c r="BB23" s="107"/>
      <c r="BC23" s="107"/>
      <c r="BD23" s="107"/>
      <c r="BE23" s="107"/>
      <c r="BF23" s="107"/>
      <c r="BG23" s="107"/>
      <c r="BH23" s="107"/>
      <c r="BI23" s="107"/>
      <c r="BJ23" s="107"/>
      <c r="BK23" s="107"/>
      <c r="BL23" s="107"/>
      <c r="BM23" s="107"/>
      <c r="BO23" s="106" t="s">
        <v>326</v>
      </c>
      <c r="BP23" s="108"/>
      <c r="BQ23" s="108"/>
      <c r="BR23" s="108"/>
      <c r="BS23" s="108"/>
      <c r="BT23" s="108"/>
      <c r="BV23" s="106" t="s">
        <v>326</v>
      </c>
      <c r="BW23" s="108"/>
      <c r="BX23" s="108"/>
      <c r="BY23" s="108"/>
      <c r="BZ23" s="108"/>
      <c r="CA23" s="108"/>
      <c r="CC23" s="106" t="s">
        <v>326</v>
      </c>
      <c r="CD23" s="108"/>
      <c r="CE23" s="108"/>
      <c r="CF23" s="108"/>
      <c r="CG23" s="108"/>
      <c r="CH23" s="108"/>
      <c r="CJ23" s="106" t="s">
        <v>326</v>
      </c>
      <c r="CK23" s="108">
        <v>78.599999999999994</v>
      </c>
      <c r="CL23" s="108">
        <v>83.7</v>
      </c>
      <c r="CM23" s="108">
        <v>85.7</v>
      </c>
      <c r="CN23" s="108">
        <v>93</v>
      </c>
      <c r="CO23" s="108">
        <f>CK23+CL23+CM23+CN23</f>
        <v>341</v>
      </c>
      <c r="CQ23" s="106" t="s">
        <v>326</v>
      </c>
      <c r="CR23" s="108">
        <v>88</v>
      </c>
      <c r="CS23" s="108">
        <v>94</v>
      </c>
      <c r="CT23" s="108">
        <v>98</v>
      </c>
      <c r="CU23" s="108">
        <v>105</v>
      </c>
      <c r="CV23" s="108">
        <f>CR23+CS23+CT23+CU23</f>
        <v>385</v>
      </c>
      <c r="CX23" s="106" t="s">
        <v>326</v>
      </c>
      <c r="CY23" s="108">
        <v>101</v>
      </c>
      <c r="CZ23" s="108">
        <v>109</v>
      </c>
      <c r="DA23" s="108">
        <v>108</v>
      </c>
      <c r="DB23" s="108">
        <v>117</v>
      </c>
      <c r="DC23" s="108">
        <f>CY23+CZ23+DA23+DB23</f>
        <v>435</v>
      </c>
      <c r="DE23" s="106" t="s">
        <v>326</v>
      </c>
      <c r="DF23" s="108">
        <v>107</v>
      </c>
      <c r="DG23" s="108">
        <v>109</v>
      </c>
      <c r="DH23" s="108">
        <v>108</v>
      </c>
      <c r="DI23" s="108">
        <v>111</v>
      </c>
      <c r="DJ23" s="108">
        <f>DF23+DG23+DH23+DI23</f>
        <v>435</v>
      </c>
      <c r="DL23" s="106" t="s">
        <v>326</v>
      </c>
      <c r="DM23" s="108">
        <v>102</v>
      </c>
      <c r="DN23" s="108">
        <v>109</v>
      </c>
      <c r="DO23" s="108">
        <v>106</v>
      </c>
      <c r="DP23" s="108">
        <f>110</f>
        <v>110</v>
      </c>
      <c r="DQ23" s="108">
        <f>DM23+DN23+DO23+DP23</f>
        <v>427</v>
      </c>
      <c r="DS23" s="106" t="s">
        <v>326</v>
      </c>
      <c r="DT23" s="108">
        <v>103</v>
      </c>
      <c r="DU23" s="108">
        <v>106</v>
      </c>
      <c r="DV23" s="108">
        <v>104</v>
      </c>
      <c r="DW23" s="108">
        <v>110</v>
      </c>
      <c r="DX23" s="108">
        <f>DT23+DU23+DV23+DW23</f>
        <v>423</v>
      </c>
      <c r="DZ23" s="106" t="s">
        <v>326</v>
      </c>
      <c r="EA23" s="108">
        <v>100</v>
      </c>
      <c r="EB23" s="108">
        <v>101</v>
      </c>
      <c r="EC23" s="108">
        <v>102</v>
      </c>
      <c r="ED23" s="108">
        <v>113</v>
      </c>
      <c r="EE23" s="108">
        <f t="shared" ref="EE23:EE29" si="128">EA23+EB23+EC23+ED23</f>
        <v>416</v>
      </c>
      <c r="EG23" s="106" t="s">
        <v>326</v>
      </c>
      <c r="EH23" s="108">
        <v>111</v>
      </c>
      <c r="EI23" s="108">
        <v>132</v>
      </c>
      <c r="EJ23" s="108">
        <v>179</v>
      </c>
      <c r="EK23" s="108">
        <v>187</v>
      </c>
      <c r="EL23" s="108">
        <f t="shared" ref="EL23:EL29" si="129">EH23+EI23+EJ23+EK23</f>
        <v>609</v>
      </c>
      <c r="EN23" s="106" t="s">
        <v>326</v>
      </c>
      <c r="EO23" s="108">
        <v>170</v>
      </c>
      <c r="EP23" s="108">
        <v>165</v>
      </c>
      <c r="EQ23" s="108">
        <v>150</v>
      </c>
      <c r="ER23" s="108">
        <v>160</v>
      </c>
      <c r="ES23" s="108">
        <f t="shared" ref="ES23:ES29" si="130">EO23+EP23+EQ23+ER23</f>
        <v>645</v>
      </c>
      <c r="EU23" s="106" t="s">
        <v>326</v>
      </c>
      <c r="EV23" s="108">
        <v>143</v>
      </c>
      <c r="EW23" s="108">
        <v>155</v>
      </c>
      <c r="EX23" s="108">
        <v>159</v>
      </c>
      <c r="EY23" s="108">
        <v>168</v>
      </c>
      <c r="EZ23" s="108">
        <f t="shared" ref="EZ23:EZ29" si="131">EV23+EW23+EX23+EY23</f>
        <v>625</v>
      </c>
      <c r="FB23" s="106" t="s">
        <v>326</v>
      </c>
      <c r="FC23" s="108">
        <v>152</v>
      </c>
      <c r="FD23" s="108">
        <v>168</v>
      </c>
      <c r="FE23" s="108">
        <v>178</v>
      </c>
      <c r="FF23" s="108">
        <v>198</v>
      </c>
      <c r="FG23" s="108">
        <f t="shared" ref="FG23:FG29" si="132">FC23+FD23+FE23+FF23</f>
        <v>696</v>
      </c>
      <c r="FI23" s="106" t="s">
        <v>326</v>
      </c>
      <c r="FJ23" s="108">
        <v>183</v>
      </c>
      <c r="FK23" s="108">
        <v>192</v>
      </c>
      <c r="FL23" s="108">
        <v>195</v>
      </c>
      <c r="FM23" s="108">
        <v>214</v>
      </c>
      <c r="FN23" s="108">
        <f t="shared" ref="FN23:FN28" si="133">FJ23+FK23+FL23+FM23</f>
        <v>784</v>
      </c>
      <c r="FP23" s="106" t="s">
        <v>326</v>
      </c>
      <c r="FQ23" s="108">
        <v>192</v>
      </c>
      <c r="FR23" s="108">
        <v>199</v>
      </c>
      <c r="FS23" s="108">
        <v>184</v>
      </c>
      <c r="FT23" s="108">
        <v>220</v>
      </c>
      <c r="FU23" s="108">
        <f t="shared" ref="FU23:FU28" si="134">FQ23+FR23+FS23+FT23</f>
        <v>795</v>
      </c>
      <c r="FW23" s="106" t="s">
        <v>326</v>
      </c>
      <c r="FX23" s="108">
        <v>167</v>
      </c>
      <c r="FY23" s="108">
        <v>185</v>
      </c>
      <c r="FZ23" s="108">
        <v>180</v>
      </c>
      <c r="GA23" s="108">
        <v>206</v>
      </c>
      <c r="GB23" s="108">
        <v>738</v>
      </c>
      <c r="GD23" s="106" t="s">
        <v>326</v>
      </c>
      <c r="GE23" s="108">
        <v>186</v>
      </c>
      <c r="GF23" s="108">
        <v>198</v>
      </c>
      <c r="GG23" s="108">
        <v>198</v>
      </c>
      <c r="GH23" s="108">
        <v>204</v>
      </c>
      <c r="GI23" s="108">
        <v>786</v>
      </c>
      <c r="GK23" s="106" t="s">
        <v>326</v>
      </c>
      <c r="GL23" s="108">
        <v>180</v>
      </c>
      <c r="GM23" s="108">
        <v>198</v>
      </c>
      <c r="GN23" s="108">
        <v>202</v>
      </c>
      <c r="GO23" s="108">
        <v>227</v>
      </c>
      <c r="GP23" s="108">
        <v>807</v>
      </c>
      <c r="GR23" s="106" t="s">
        <v>326</v>
      </c>
      <c r="GS23" s="108">
        <v>220</v>
      </c>
      <c r="GT23" s="108">
        <v>242</v>
      </c>
      <c r="GU23" s="108">
        <v>255</v>
      </c>
      <c r="GV23" s="108">
        <v>212</v>
      </c>
      <c r="GW23" s="108">
        <v>929</v>
      </c>
      <c r="GY23" s="106" t="s">
        <v>326</v>
      </c>
      <c r="GZ23" s="108">
        <v>184</v>
      </c>
      <c r="HA23" s="108">
        <v>204</v>
      </c>
      <c r="HB23" s="108">
        <v>207</v>
      </c>
      <c r="HC23" s="108">
        <v>236</v>
      </c>
      <c r="HD23" s="108">
        <v>831</v>
      </c>
      <c r="HF23" s="106" t="s">
        <v>326</v>
      </c>
      <c r="HG23" s="108">
        <v>217</v>
      </c>
      <c r="HH23" s="108"/>
      <c r="HI23" s="108"/>
      <c r="HJ23" s="108"/>
      <c r="HK23" s="108"/>
      <c r="HM23" s="106" t="s">
        <v>326</v>
      </c>
      <c r="HN23" s="108"/>
      <c r="HO23" s="108"/>
      <c r="HP23" s="108"/>
      <c r="HQ23" s="108"/>
      <c r="HR23" s="108"/>
      <c r="HT23" s="106" t="s">
        <v>326</v>
      </c>
      <c r="HU23" s="108"/>
      <c r="HV23" s="108"/>
      <c r="HW23" s="108"/>
      <c r="HX23" s="108"/>
      <c r="HY23" s="108"/>
      <c r="IA23" s="106" t="s">
        <v>326</v>
      </c>
      <c r="IB23" s="108"/>
      <c r="IC23" s="108"/>
      <c r="ID23" s="108"/>
      <c r="IE23" s="108"/>
      <c r="IF23" s="108"/>
      <c r="IH23" s="106" t="s">
        <v>326</v>
      </c>
      <c r="II23" s="108"/>
      <c r="IJ23" s="108"/>
      <c r="IK23" s="108"/>
      <c r="IL23" s="108"/>
      <c r="IM23" s="108"/>
      <c r="IO23" s="106" t="s">
        <v>326</v>
      </c>
      <c r="IP23" s="108"/>
      <c r="IQ23" s="108"/>
      <c r="IR23" s="108"/>
      <c r="IS23" s="108"/>
      <c r="IT23" s="108"/>
      <c r="IV23" s="106" t="s">
        <v>326</v>
      </c>
      <c r="IW23" s="108"/>
      <c r="IX23" s="108"/>
      <c r="IY23" s="108"/>
      <c r="IZ23" s="108"/>
      <c r="JA23" s="108"/>
      <c r="JC23" s="106" t="s">
        <v>326</v>
      </c>
      <c r="JD23" s="108"/>
      <c r="JE23" s="108"/>
      <c r="JF23" s="108"/>
      <c r="JG23" s="108"/>
      <c r="JH23" s="108"/>
      <c r="JJ23" s="106" t="s">
        <v>326</v>
      </c>
      <c r="JK23" s="108"/>
      <c r="JL23" s="108"/>
      <c r="JM23" s="108"/>
      <c r="JN23" s="108"/>
      <c r="JO23" s="108"/>
      <c r="JQ23" s="106" t="s">
        <v>326</v>
      </c>
      <c r="JR23" s="108"/>
      <c r="JS23" s="108"/>
      <c r="JT23" s="108"/>
      <c r="JU23" s="108"/>
      <c r="JV23" s="108"/>
      <c r="JX23" s="106" t="s">
        <v>326</v>
      </c>
      <c r="JY23" s="108"/>
      <c r="JZ23" s="108"/>
      <c r="KA23" s="108"/>
      <c r="KB23" s="108"/>
      <c r="KC23" s="108"/>
      <c r="KE23" s="106" t="s">
        <v>326</v>
      </c>
      <c r="KF23" s="108"/>
      <c r="KG23" s="108"/>
      <c r="KH23" s="108"/>
      <c r="KI23" s="108"/>
      <c r="KJ23" s="108"/>
      <c r="KL23" s="106" t="s">
        <v>326</v>
      </c>
      <c r="KM23" s="108"/>
      <c r="KN23" s="108"/>
      <c r="KO23" s="108"/>
      <c r="KP23" s="108"/>
      <c r="KQ23" s="108"/>
      <c r="KS23" s="106" t="s">
        <v>326</v>
      </c>
      <c r="KT23" s="108"/>
      <c r="KU23" s="108"/>
      <c r="KV23" s="107"/>
      <c r="KW23" s="108"/>
      <c r="KX23" s="108"/>
      <c r="KZ23" s="106" t="s">
        <v>326</v>
      </c>
      <c r="LA23" s="108"/>
      <c r="LB23" s="107"/>
      <c r="LC23" s="107"/>
      <c r="LD23" s="107"/>
      <c r="LE23" s="107"/>
      <c r="LF23" s="555"/>
      <c r="LG23" s="106" t="s">
        <v>326</v>
      </c>
      <c r="LH23" s="107"/>
      <c r="LI23" s="107"/>
      <c r="LJ23" s="107"/>
      <c r="LK23" s="107"/>
      <c r="LL23" s="107"/>
      <c r="LM23" s="555"/>
      <c r="LN23" s="106" t="s">
        <v>326</v>
      </c>
      <c r="LO23" s="107"/>
      <c r="LP23" s="107"/>
      <c r="LQ23" s="107"/>
      <c r="LR23" s="107"/>
      <c r="LS23" s="107"/>
      <c r="LT23" s="555"/>
      <c r="LU23" s="106" t="s">
        <v>326</v>
      </c>
      <c r="LV23" s="107"/>
      <c r="LW23" s="107"/>
      <c r="LX23" s="107"/>
      <c r="LY23" s="107"/>
      <c r="LZ23" s="107"/>
      <c r="MA23" s="555"/>
      <c r="MB23" s="106" t="s">
        <v>326</v>
      </c>
      <c r="MC23" s="107"/>
      <c r="MD23" s="107"/>
      <c r="ME23" s="107"/>
      <c r="MF23" s="107"/>
      <c r="MG23" s="107"/>
      <c r="MH23" s="555"/>
    </row>
    <row r="24" spans="1:346" s="37" customFormat="1" ht="13.15" hidden="1" outlineLevel="1" x14ac:dyDescent="0.4">
      <c r="A24" s="100"/>
      <c r="B24" s="106" t="s">
        <v>327</v>
      </c>
      <c r="C24" s="107"/>
      <c r="D24" s="107"/>
      <c r="E24" s="107"/>
      <c r="F24" s="107"/>
      <c r="G24" s="107"/>
      <c r="H24" s="107"/>
      <c r="I24" s="107"/>
      <c r="J24" s="107"/>
      <c r="K24" s="107"/>
      <c r="L24" s="107"/>
      <c r="M24" s="107"/>
      <c r="N24" s="107">
        <f t="shared" si="88"/>
        <v>0</v>
      </c>
      <c r="O24" s="107">
        <f t="shared" si="89"/>
        <v>0</v>
      </c>
      <c r="P24" s="107">
        <f t="shared" si="90"/>
        <v>0</v>
      </c>
      <c r="Q24" s="107">
        <f t="shared" si="91"/>
        <v>336.5</v>
      </c>
      <c r="R24" s="107">
        <f t="shared" si="92"/>
        <v>408</v>
      </c>
      <c r="S24" s="107">
        <f t="shared" si="93"/>
        <v>467</v>
      </c>
      <c r="T24" s="107">
        <f t="shared" si="94"/>
        <v>272</v>
      </c>
      <c r="U24" s="107">
        <f t="shared" si="95"/>
        <v>196</v>
      </c>
      <c r="V24" s="107">
        <f t="shared" si="96"/>
        <v>215</v>
      </c>
      <c r="W24" s="107">
        <f t="shared" si="97"/>
        <v>210</v>
      </c>
      <c r="X24" s="107">
        <f t="shared" si="98"/>
        <v>340</v>
      </c>
      <c r="Y24" s="107">
        <f t="shared" si="99"/>
        <v>492</v>
      </c>
      <c r="Z24" s="107">
        <f t="shared" si="100"/>
        <v>470</v>
      </c>
      <c r="AA24" s="107">
        <f t="shared" si="101"/>
        <v>476</v>
      </c>
      <c r="AB24" s="107">
        <f t="shared" si="102"/>
        <v>469</v>
      </c>
      <c r="AC24" s="107">
        <f t="shared" si="103"/>
        <v>507</v>
      </c>
      <c r="AD24" s="107">
        <f t="shared" si="104"/>
        <v>500</v>
      </c>
      <c r="AE24" s="107">
        <f t="shared" si="105"/>
        <v>580</v>
      </c>
      <c r="AF24" s="107">
        <f t="shared" si="106"/>
        <v>525</v>
      </c>
      <c r="AG24" s="107">
        <f t="shared" si="107"/>
        <v>509</v>
      </c>
      <c r="AH24" s="107">
        <f t="shared" si="108"/>
        <v>353</v>
      </c>
      <c r="AI24" s="107">
        <f t="shared" si="109"/>
        <v>0</v>
      </c>
      <c r="AJ24" s="107">
        <f t="shared" si="110"/>
        <v>0</v>
      </c>
      <c r="AK24" s="107">
        <f t="shared" si="111"/>
        <v>0</v>
      </c>
      <c r="AL24" s="107">
        <f t="shared" si="112"/>
        <v>0</v>
      </c>
      <c r="AM24" s="107">
        <f t="shared" si="113"/>
        <v>0</v>
      </c>
      <c r="AN24" s="107">
        <f t="shared" si="114"/>
        <v>0</v>
      </c>
      <c r="AO24" s="107">
        <f t="shared" si="115"/>
        <v>0</v>
      </c>
      <c r="AP24" s="107">
        <f t="shared" si="116"/>
        <v>0</v>
      </c>
      <c r="AQ24" s="107">
        <f t="shared" si="117"/>
        <v>0</v>
      </c>
      <c r="AR24" s="107">
        <f t="shared" si="118"/>
        <v>0</v>
      </c>
      <c r="AS24" s="107">
        <f t="shared" si="119"/>
        <v>0</v>
      </c>
      <c r="AT24" s="107">
        <f t="shared" si="120"/>
        <v>0</v>
      </c>
      <c r="AU24" s="107">
        <f t="shared" si="121"/>
        <v>0</v>
      </c>
      <c r="AV24" s="107">
        <f t="shared" si="122"/>
        <v>0</v>
      </c>
      <c r="AW24" s="107">
        <f t="shared" si="123"/>
        <v>0</v>
      </c>
      <c r="AX24" s="107">
        <f t="shared" si="124"/>
        <v>0</v>
      </c>
      <c r="AY24" s="107">
        <f t="shared" si="125"/>
        <v>0</v>
      </c>
      <c r="AZ24" s="107">
        <f t="shared" si="126"/>
        <v>0</v>
      </c>
      <c r="BA24" s="107">
        <f t="shared" si="127"/>
        <v>0</v>
      </c>
      <c r="BB24" s="107"/>
      <c r="BC24" s="107"/>
      <c r="BD24" s="107"/>
      <c r="BE24" s="107"/>
      <c r="BF24" s="107"/>
      <c r="BG24" s="107"/>
      <c r="BH24" s="107"/>
      <c r="BI24" s="107"/>
      <c r="BJ24" s="107"/>
      <c r="BK24" s="107"/>
      <c r="BL24" s="107"/>
      <c r="BM24" s="107"/>
      <c r="BO24" s="106" t="s">
        <v>327</v>
      </c>
      <c r="BP24" s="108"/>
      <c r="BQ24" s="108"/>
      <c r="BR24" s="108"/>
      <c r="BS24" s="108"/>
      <c r="BT24" s="108"/>
      <c r="BV24" s="106" t="s">
        <v>327</v>
      </c>
      <c r="BW24" s="108"/>
      <c r="BX24" s="108"/>
      <c r="BY24" s="108"/>
      <c r="BZ24" s="108"/>
      <c r="CA24" s="108"/>
      <c r="CC24" s="106" t="s">
        <v>327</v>
      </c>
      <c r="CD24" s="108"/>
      <c r="CE24" s="108"/>
      <c r="CF24" s="108"/>
      <c r="CG24" s="108"/>
      <c r="CH24" s="108"/>
      <c r="CJ24" s="106" t="s">
        <v>327</v>
      </c>
      <c r="CK24" s="108">
        <v>80</v>
      </c>
      <c r="CL24" s="108">
        <v>77.3</v>
      </c>
      <c r="CM24" s="108">
        <f>103.2-CM25</f>
        <v>83.2</v>
      </c>
      <c r="CN24" s="108">
        <v>96</v>
      </c>
      <c r="CO24" s="108">
        <f>CK24+CL24+CM24+CN24</f>
        <v>336.5</v>
      </c>
      <c r="CQ24" s="106" t="s">
        <v>327</v>
      </c>
      <c r="CR24" s="108">
        <v>96</v>
      </c>
      <c r="CS24" s="108">
        <v>94</v>
      </c>
      <c r="CT24" s="108">
        <v>108</v>
      </c>
      <c r="CU24" s="108">
        <v>110</v>
      </c>
      <c r="CV24" s="108">
        <f>CR24+CS24+CT24+CU24</f>
        <v>408</v>
      </c>
      <c r="CX24" s="106" t="s">
        <v>327</v>
      </c>
      <c r="CY24" s="108">
        <v>109</v>
      </c>
      <c r="CZ24" s="108">
        <v>114</v>
      </c>
      <c r="DA24" s="108">
        <v>122</v>
      </c>
      <c r="DB24" s="108">
        <v>122</v>
      </c>
      <c r="DC24" s="108">
        <f>CY24+CZ24+DA24+DB24</f>
        <v>467</v>
      </c>
      <c r="DE24" s="106" t="s">
        <v>327</v>
      </c>
      <c r="DF24" s="108">
        <v>69</v>
      </c>
      <c r="DG24" s="108">
        <v>68</v>
      </c>
      <c r="DH24" s="108">
        <v>65</v>
      </c>
      <c r="DI24" s="108">
        <v>70</v>
      </c>
      <c r="DJ24" s="108">
        <f>DF24+DG24+DH24+DI24</f>
        <v>272</v>
      </c>
      <c r="DL24" s="106" t="s">
        <v>327</v>
      </c>
      <c r="DM24" s="108">
        <v>50</v>
      </c>
      <c r="DN24" s="108">
        <v>49</v>
      </c>
      <c r="DO24" s="108">
        <v>47</v>
      </c>
      <c r="DP24" s="108">
        <v>50</v>
      </c>
      <c r="DQ24" s="108">
        <f>DM24+DN24+DO24+DP24</f>
        <v>196</v>
      </c>
      <c r="DS24" s="106" t="s">
        <v>327</v>
      </c>
      <c r="DT24" s="108">
        <v>48</v>
      </c>
      <c r="DU24" s="108">
        <v>52</v>
      </c>
      <c r="DV24" s="108">
        <v>61</v>
      </c>
      <c r="DW24" s="108">
        <v>54</v>
      </c>
      <c r="DX24" s="108">
        <f>DT24+DU24+DV24+DW24</f>
        <v>215</v>
      </c>
      <c r="DZ24" s="106" t="s">
        <v>327</v>
      </c>
      <c r="EA24" s="108">
        <v>53</v>
      </c>
      <c r="EB24" s="108">
        <v>51</v>
      </c>
      <c r="EC24" s="108">
        <v>54</v>
      </c>
      <c r="ED24" s="108">
        <v>52</v>
      </c>
      <c r="EE24" s="108">
        <f t="shared" si="128"/>
        <v>210</v>
      </c>
      <c r="EG24" s="106" t="s">
        <v>327</v>
      </c>
      <c r="EH24" s="108">
        <v>54</v>
      </c>
      <c r="EI24" s="108">
        <v>73</v>
      </c>
      <c r="EJ24" s="108">
        <v>107</v>
      </c>
      <c r="EK24" s="108">
        <v>106</v>
      </c>
      <c r="EL24" s="108">
        <f t="shared" si="129"/>
        <v>340</v>
      </c>
      <c r="EN24" s="106" t="s">
        <v>327</v>
      </c>
      <c r="EO24" s="108">
        <v>116</v>
      </c>
      <c r="EP24" s="108">
        <v>120</v>
      </c>
      <c r="EQ24" s="108">
        <v>129</v>
      </c>
      <c r="ER24" s="108">
        <v>127</v>
      </c>
      <c r="ES24" s="108">
        <f t="shared" si="130"/>
        <v>492</v>
      </c>
      <c r="EU24" s="106" t="s">
        <v>327</v>
      </c>
      <c r="EV24" s="108">
        <v>123</v>
      </c>
      <c r="EW24" s="108">
        <v>114</v>
      </c>
      <c r="EX24" s="108">
        <v>121</v>
      </c>
      <c r="EY24" s="108">
        <v>112</v>
      </c>
      <c r="EZ24" s="108">
        <f t="shared" si="131"/>
        <v>470</v>
      </c>
      <c r="FB24" s="106" t="s">
        <v>327</v>
      </c>
      <c r="FC24" s="108">
        <v>110</v>
      </c>
      <c r="FD24" s="108">
        <v>124</v>
      </c>
      <c r="FE24" s="108">
        <v>133</v>
      </c>
      <c r="FF24" s="108">
        <v>109</v>
      </c>
      <c r="FG24" s="108">
        <f t="shared" si="132"/>
        <v>476</v>
      </c>
      <c r="FI24" s="106" t="s">
        <v>327</v>
      </c>
      <c r="FJ24" s="108">
        <v>113</v>
      </c>
      <c r="FK24" s="108">
        <v>121</v>
      </c>
      <c r="FL24" s="108">
        <v>120</v>
      </c>
      <c r="FM24" s="108">
        <v>115</v>
      </c>
      <c r="FN24" s="108">
        <f t="shared" si="133"/>
        <v>469</v>
      </c>
      <c r="FP24" s="106" t="s">
        <v>327</v>
      </c>
      <c r="FQ24" s="108">
        <v>117</v>
      </c>
      <c r="FR24" s="108">
        <v>125</v>
      </c>
      <c r="FS24" s="108">
        <v>128</v>
      </c>
      <c r="FT24" s="108">
        <v>137</v>
      </c>
      <c r="FU24" s="108">
        <f t="shared" si="134"/>
        <v>507</v>
      </c>
      <c r="FW24" s="106" t="s">
        <v>327</v>
      </c>
      <c r="FX24" s="108">
        <v>124</v>
      </c>
      <c r="FY24" s="108">
        <v>124</v>
      </c>
      <c r="FZ24" s="108">
        <v>130</v>
      </c>
      <c r="GA24" s="108">
        <v>122</v>
      </c>
      <c r="GB24" s="108">
        <v>500</v>
      </c>
      <c r="GD24" s="106" t="s">
        <v>327</v>
      </c>
      <c r="GE24" s="108">
        <v>132</v>
      </c>
      <c r="GF24" s="108">
        <v>148</v>
      </c>
      <c r="GG24" s="108">
        <v>158</v>
      </c>
      <c r="GH24" s="108">
        <v>142</v>
      </c>
      <c r="GI24" s="108">
        <v>580</v>
      </c>
      <c r="GK24" s="106" t="s">
        <v>327</v>
      </c>
      <c r="GL24" s="108">
        <v>133</v>
      </c>
      <c r="GM24" s="108">
        <v>140</v>
      </c>
      <c r="GN24" s="108">
        <v>129</v>
      </c>
      <c r="GO24" s="108">
        <v>123</v>
      </c>
      <c r="GP24" s="108">
        <v>525</v>
      </c>
      <c r="GR24" s="106" t="s">
        <v>327</v>
      </c>
      <c r="GS24" s="108">
        <v>123</v>
      </c>
      <c r="GT24" s="108">
        <v>137</v>
      </c>
      <c r="GU24" s="108">
        <v>137</v>
      </c>
      <c r="GV24" s="108">
        <v>112</v>
      </c>
      <c r="GW24" s="108">
        <v>509</v>
      </c>
      <c r="GY24" s="106" t="s">
        <v>327</v>
      </c>
      <c r="GZ24" s="108">
        <v>83</v>
      </c>
      <c r="HA24" s="108">
        <v>81</v>
      </c>
      <c r="HB24" s="108">
        <v>92</v>
      </c>
      <c r="HC24" s="108">
        <v>97</v>
      </c>
      <c r="HD24" s="108">
        <v>353</v>
      </c>
      <c r="HF24" s="106" t="s">
        <v>327</v>
      </c>
      <c r="HG24" s="108">
        <v>102</v>
      </c>
      <c r="HH24" s="108"/>
      <c r="HI24" s="108"/>
      <c r="HJ24" s="108"/>
      <c r="HK24" s="108"/>
      <c r="HM24" s="106" t="s">
        <v>327</v>
      </c>
      <c r="HN24" s="108"/>
      <c r="HO24" s="108"/>
      <c r="HP24" s="108"/>
      <c r="HQ24" s="108"/>
      <c r="HR24" s="108"/>
      <c r="HT24" s="106" t="s">
        <v>327</v>
      </c>
      <c r="HU24" s="108"/>
      <c r="HV24" s="108"/>
      <c r="HW24" s="108"/>
      <c r="HX24" s="108"/>
      <c r="HY24" s="108"/>
      <c r="IA24" s="106" t="s">
        <v>327</v>
      </c>
      <c r="IB24" s="108"/>
      <c r="IC24" s="108"/>
      <c r="ID24" s="108"/>
      <c r="IE24" s="108"/>
      <c r="IF24" s="108"/>
      <c r="IH24" s="106" t="s">
        <v>327</v>
      </c>
      <c r="II24" s="108"/>
      <c r="IJ24" s="108"/>
      <c r="IK24" s="108"/>
      <c r="IL24" s="108"/>
      <c r="IM24" s="108"/>
      <c r="IO24" s="106" t="s">
        <v>327</v>
      </c>
      <c r="IP24" s="108"/>
      <c r="IQ24" s="108"/>
      <c r="IR24" s="108"/>
      <c r="IS24" s="108"/>
      <c r="IT24" s="108"/>
      <c r="IV24" s="106" t="s">
        <v>327</v>
      </c>
      <c r="IW24" s="108"/>
      <c r="IX24" s="108"/>
      <c r="IY24" s="108"/>
      <c r="IZ24" s="108"/>
      <c r="JA24" s="108"/>
      <c r="JC24" s="106" t="s">
        <v>327</v>
      </c>
      <c r="JD24" s="108"/>
      <c r="JE24" s="108"/>
      <c r="JF24" s="108"/>
      <c r="JG24" s="108"/>
      <c r="JH24" s="108"/>
      <c r="JJ24" s="106" t="s">
        <v>327</v>
      </c>
      <c r="JK24" s="108"/>
      <c r="JL24" s="108"/>
      <c r="JM24" s="108"/>
      <c r="JN24" s="108"/>
      <c r="JO24" s="108"/>
      <c r="JQ24" s="106" t="s">
        <v>327</v>
      </c>
      <c r="JR24" s="108"/>
      <c r="JS24" s="108"/>
      <c r="JT24" s="108"/>
      <c r="JU24" s="108"/>
      <c r="JV24" s="108"/>
      <c r="JX24" s="106" t="s">
        <v>327</v>
      </c>
      <c r="JY24" s="108"/>
      <c r="JZ24" s="108"/>
      <c r="KA24" s="108"/>
      <c r="KB24" s="108"/>
      <c r="KC24" s="108"/>
      <c r="KE24" s="106" t="s">
        <v>327</v>
      </c>
      <c r="KF24" s="108"/>
      <c r="KG24" s="108"/>
      <c r="KH24" s="108"/>
      <c r="KI24" s="108"/>
      <c r="KJ24" s="108"/>
      <c r="KL24" s="106" t="s">
        <v>327</v>
      </c>
      <c r="KM24" s="108"/>
      <c r="KN24" s="108"/>
      <c r="KO24" s="108"/>
      <c r="KP24" s="108"/>
      <c r="KQ24" s="108"/>
      <c r="KS24" s="106" t="s">
        <v>327</v>
      </c>
      <c r="KT24" s="108"/>
      <c r="KU24" s="108"/>
      <c r="KV24" s="107"/>
      <c r="KW24" s="108"/>
      <c r="KX24" s="108"/>
      <c r="KZ24" s="106" t="s">
        <v>327</v>
      </c>
      <c r="LA24" s="108"/>
      <c r="LB24" s="107"/>
      <c r="LC24" s="107"/>
      <c r="LD24" s="107"/>
      <c r="LE24" s="107"/>
      <c r="LF24" s="555"/>
      <c r="LG24" s="106" t="s">
        <v>327</v>
      </c>
      <c r="LH24" s="107"/>
      <c r="LI24" s="107"/>
      <c r="LJ24" s="107"/>
      <c r="LK24" s="107"/>
      <c r="LL24" s="107"/>
      <c r="LM24" s="555"/>
      <c r="LN24" s="106" t="s">
        <v>327</v>
      </c>
      <c r="LO24" s="107"/>
      <c r="LP24" s="107"/>
      <c r="LQ24" s="107"/>
      <c r="LR24" s="107"/>
      <c r="LS24" s="107"/>
      <c r="LT24" s="555"/>
      <c r="LU24" s="106" t="s">
        <v>327</v>
      </c>
      <c r="LV24" s="107"/>
      <c r="LW24" s="107"/>
      <c r="LX24" s="107"/>
      <c r="LY24" s="107"/>
      <c r="LZ24" s="107"/>
      <c r="MA24" s="555"/>
      <c r="MB24" s="106" t="s">
        <v>327</v>
      </c>
      <c r="MC24" s="107"/>
      <c r="MD24" s="107"/>
      <c r="ME24" s="107"/>
      <c r="MF24" s="107"/>
      <c r="MG24" s="107"/>
      <c r="MH24" s="555"/>
    </row>
    <row r="25" spans="1:346" s="37" customFormat="1" ht="13.15" hidden="1" outlineLevel="1" x14ac:dyDescent="0.4">
      <c r="A25" s="100"/>
      <c r="B25" s="106" t="s">
        <v>12</v>
      </c>
      <c r="C25" s="107"/>
      <c r="D25" s="107"/>
      <c r="E25" s="107"/>
      <c r="F25" s="107"/>
      <c r="G25" s="107"/>
      <c r="H25" s="107"/>
      <c r="I25" s="107"/>
      <c r="J25" s="107"/>
      <c r="K25" s="107"/>
      <c r="L25" s="107"/>
      <c r="M25" s="107"/>
      <c r="N25" s="107">
        <f t="shared" si="88"/>
        <v>0</v>
      </c>
      <c r="O25" s="107">
        <f t="shared" si="89"/>
        <v>0</v>
      </c>
      <c r="P25" s="107">
        <f t="shared" si="90"/>
        <v>0</v>
      </c>
      <c r="Q25" s="107">
        <f t="shared" si="91"/>
        <v>61.099999999999994</v>
      </c>
      <c r="R25" s="107">
        <f t="shared" si="92"/>
        <v>0</v>
      </c>
      <c r="S25" s="107">
        <f t="shared" si="93"/>
        <v>0</v>
      </c>
      <c r="T25" s="107">
        <f t="shared" si="94"/>
        <v>0</v>
      </c>
      <c r="U25" s="107">
        <f t="shared" si="95"/>
        <v>37</v>
      </c>
      <c r="V25" s="107">
        <f t="shared" si="96"/>
        <v>31</v>
      </c>
      <c r="W25" s="107">
        <f t="shared" si="97"/>
        <v>22</v>
      </c>
      <c r="X25" s="107">
        <f t="shared" si="98"/>
        <v>10</v>
      </c>
      <c r="Y25" s="107">
        <f t="shared" si="99"/>
        <v>31</v>
      </c>
      <c r="Z25" s="107">
        <f t="shared" si="100"/>
        <v>17</v>
      </c>
      <c r="AA25" s="107">
        <f t="shared" si="101"/>
        <v>8</v>
      </c>
      <c r="AB25" s="107">
        <f t="shared" si="102"/>
        <v>4</v>
      </c>
      <c r="AC25" s="107">
        <f t="shared" si="103"/>
        <v>29</v>
      </c>
      <c r="AD25" s="107">
        <f t="shared" si="104"/>
        <v>124</v>
      </c>
      <c r="AE25" s="107">
        <f t="shared" si="105"/>
        <v>46</v>
      </c>
      <c r="AF25" s="107">
        <f t="shared" si="106"/>
        <v>24</v>
      </c>
      <c r="AG25" s="107">
        <f t="shared" si="107"/>
        <v>28</v>
      </c>
      <c r="AH25" s="107">
        <f t="shared" si="108"/>
        <v>20</v>
      </c>
      <c r="AI25" s="107">
        <f t="shared" si="109"/>
        <v>0</v>
      </c>
      <c r="AJ25" s="107">
        <f t="shared" si="110"/>
        <v>0</v>
      </c>
      <c r="AK25" s="107">
        <f t="shared" si="111"/>
        <v>0</v>
      </c>
      <c r="AL25" s="107">
        <f t="shared" si="112"/>
        <v>0</v>
      </c>
      <c r="AM25" s="107">
        <f t="shared" si="113"/>
        <v>0</v>
      </c>
      <c r="AN25" s="107">
        <f t="shared" si="114"/>
        <v>0</v>
      </c>
      <c r="AO25" s="107">
        <f t="shared" si="115"/>
        <v>0</v>
      </c>
      <c r="AP25" s="107">
        <f t="shared" si="116"/>
        <v>0</v>
      </c>
      <c r="AQ25" s="107">
        <f t="shared" si="117"/>
        <v>0</v>
      </c>
      <c r="AR25" s="107">
        <f t="shared" si="118"/>
        <v>0</v>
      </c>
      <c r="AS25" s="107">
        <f t="shared" si="119"/>
        <v>0</v>
      </c>
      <c r="AT25" s="107">
        <f t="shared" si="120"/>
        <v>0</v>
      </c>
      <c r="AU25" s="107">
        <f t="shared" si="121"/>
        <v>0</v>
      </c>
      <c r="AV25" s="107">
        <f t="shared" si="122"/>
        <v>0</v>
      </c>
      <c r="AW25" s="107">
        <f t="shared" si="123"/>
        <v>0</v>
      </c>
      <c r="AX25" s="107">
        <f t="shared" si="124"/>
        <v>0</v>
      </c>
      <c r="AY25" s="107">
        <f t="shared" si="125"/>
        <v>0</v>
      </c>
      <c r="AZ25" s="107">
        <f t="shared" si="126"/>
        <v>0</v>
      </c>
      <c r="BA25" s="107">
        <f t="shared" si="127"/>
        <v>0</v>
      </c>
      <c r="BB25" s="107"/>
      <c r="BC25" s="107"/>
      <c r="BD25" s="107"/>
      <c r="BE25" s="107"/>
      <c r="BF25" s="107"/>
      <c r="BG25" s="107"/>
      <c r="BH25" s="107"/>
      <c r="BI25" s="107"/>
      <c r="BJ25" s="107"/>
      <c r="BK25" s="107"/>
      <c r="BL25" s="107"/>
      <c r="BM25" s="107"/>
      <c r="BO25" s="106" t="s">
        <v>12</v>
      </c>
      <c r="BP25" s="108"/>
      <c r="BQ25" s="108"/>
      <c r="BR25" s="108"/>
      <c r="BS25" s="108"/>
      <c r="BT25" s="108"/>
      <c r="BV25" s="106" t="s">
        <v>12</v>
      </c>
      <c r="BW25" s="108"/>
      <c r="BX25" s="108"/>
      <c r="BY25" s="108"/>
      <c r="BZ25" s="108"/>
      <c r="CA25" s="108"/>
      <c r="CC25" s="106" t="s">
        <v>12</v>
      </c>
      <c r="CD25" s="108"/>
      <c r="CE25" s="108"/>
      <c r="CF25" s="108"/>
      <c r="CG25" s="108"/>
      <c r="CH25" s="108"/>
      <c r="CJ25" s="106" t="s">
        <v>12</v>
      </c>
      <c r="CK25" s="108">
        <v>21.4</v>
      </c>
      <c r="CL25" s="108">
        <v>19.7</v>
      </c>
      <c r="CM25" s="108">
        <v>20</v>
      </c>
      <c r="CN25" s="108"/>
      <c r="CO25" s="108">
        <f>CK25+CL25+CM25+CN25</f>
        <v>61.099999999999994</v>
      </c>
      <c r="CQ25" s="106" t="s">
        <v>12</v>
      </c>
      <c r="CR25" s="108"/>
      <c r="CS25" s="108"/>
      <c r="CT25" s="108"/>
      <c r="CU25" s="108"/>
      <c r="CV25" s="108">
        <f>CR25+CS25+CT25+CU25</f>
        <v>0</v>
      </c>
      <c r="CX25" s="106" t="s">
        <v>12</v>
      </c>
      <c r="CY25" s="108"/>
      <c r="CZ25" s="108"/>
      <c r="DA25" s="108"/>
      <c r="DB25" s="108"/>
      <c r="DC25" s="108">
        <f>CY25+CZ25+DA25+DB25</f>
        <v>0</v>
      </c>
      <c r="DE25" s="106" t="s">
        <v>12</v>
      </c>
      <c r="DF25" s="108"/>
      <c r="DG25" s="108"/>
      <c r="DH25" s="108"/>
      <c r="DI25" s="108"/>
      <c r="DJ25" s="108">
        <f>DF25+DG25+DH25+DI25</f>
        <v>0</v>
      </c>
      <c r="DL25" s="106" t="s">
        <v>12</v>
      </c>
      <c r="DM25" s="108">
        <v>9</v>
      </c>
      <c r="DN25" s="108">
        <v>9</v>
      </c>
      <c r="DO25" s="108">
        <v>8</v>
      </c>
      <c r="DP25" s="108">
        <v>11</v>
      </c>
      <c r="DQ25" s="108">
        <f>DM25+DN25+DO25+DP25</f>
        <v>37</v>
      </c>
      <c r="DS25" s="106" t="s">
        <v>12</v>
      </c>
      <c r="DT25" s="108">
        <v>8</v>
      </c>
      <c r="DU25" s="108">
        <v>6</v>
      </c>
      <c r="DV25" s="108">
        <v>9</v>
      </c>
      <c r="DW25" s="108">
        <v>8</v>
      </c>
      <c r="DX25" s="108">
        <f>DT25+DU25+DV25+DW25</f>
        <v>31</v>
      </c>
      <c r="DZ25" s="106" t="s">
        <v>12</v>
      </c>
      <c r="EA25" s="108">
        <v>6</v>
      </c>
      <c r="EB25" s="108">
        <v>6</v>
      </c>
      <c r="EC25" s="108">
        <v>5</v>
      </c>
      <c r="ED25" s="108">
        <v>5</v>
      </c>
      <c r="EE25" s="108">
        <f t="shared" si="128"/>
        <v>22</v>
      </c>
      <c r="EG25" s="106" t="s">
        <v>12</v>
      </c>
      <c r="EH25" s="108">
        <v>4</v>
      </c>
      <c r="EI25" s="108">
        <v>2</v>
      </c>
      <c r="EJ25" s="108">
        <v>2</v>
      </c>
      <c r="EK25" s="108">
        <v>2</v>
      </c>
      <c r="EL25" s="108">
        <f t="shared" si="129"/>
        <v>10</v>
      </c>
      <c r="EN25" s="106" t="s">
        <v>12</v>
      </c>
      <c r="EO25" s="108">
        <v>2</v>
      </c>
      <c r="EP25" s="108">
        <v>6</v>
      </c>
      <c r="EQ25" s="108">
        <v>9</v>
      </c>
      <c r="ER25" s="108">
        <v>14</v>
      </c>
      <c r="ES25" s="108">
        <f t="shared" si="130"/>
        <v>31</v>
      </c>
      <c r="EU25" s="106" t="s">
        <v>12</v>
      </c>
      <c r="EV25" s="108">
        <v>4</v>
      </c>
      <c r="EW25" s="108">
        <v>2</v>
      </c>
      <c r="EX25" s="108">
        <v>6</v>
      </c>
      <c r="EY25" s="108">
        <v>5</v>
      </c>
      <c r="EZ25" s="108">
        <f t="shared" si="131"/>
        <v>17</v>
      </c>
      <c r="FB25" s="106" t="s">
        <v>12</v>
      </c>
      <c r="FC25" s="108"/>
      <c r="FD25" s="108">
        <v>4</v>
      </c>
      <c r="FE25" s="108">
        <v>2</v>
      </c>
      <c r="FF25" s="108">
        <v>2</v>
      </c>
      <c r="FG25" s="108">
        <f t="shared" si="132"/>
        <v>8</v>
      </c>
      <c r="FI25" s="106" t="s">
        <v>12</v>
      </c>
      <c r="FJ25" s="108">
        <v>6</v>
      </c>
      <c r="FK25" s="108">
        <v>1</v>
      </c>
      <c r="FL25" s="108">
        <v>-2</v>
      </c>
      <c r="FM25" s="108">
        <v>-1</v>
      </c>
      <c r="FN25" s="108">
        <f t="shared" si="133"/>
        <v>4</v>
      </c>
      <c r="FP25" s="106" t="s">
        <v>12</v>
      </c>
      <c r="FQ25" s="108">
        <v>6</v>
      </c>
      <c r="FR25" s="108">
        <v>-1</v>
      </c>
      <c r="FS25" s="108">
        <v>10</v>
      </c>
      <c r="FT25" s="108">
        <v>14</v>
      </c>
      <c r="FU25" s="108">
        <f t="shared" si="134"/>
        <v>29</v>
      </c>
      <c r="FW25" s="106" t="s">
        <v>12</v>
      </c>
      <c r="FX25" s="108">
        <v>38</v>
      </c>
      <c r="FY25" s="108">
        <v>21</v>
      </c>
      <c r="FZ25" s="108">
        <v>27</v>
      </c>
      <c r="GA25" s="108">
        <v>38</v>
      </c>
      <c r="GB25" s="108">
        <v>124</v>
      </c>
      <c r="GD25" s="106" t="s">
        <v>12</v>
      </c>
      <c r="GE25" s="108">
        <v>16</v>
      </c>
      <c r="GF25" s="108">
        <v>10</v>
      </c>
      <c r="GG25" s="108">
        <v>8</v>
      </c>
      <c r="GH25" s="108">
        <v>12</v>
      </c>
      <c r="GI25" s="108">
        <v>46</v>
      </c>
      <c r="GK25" s="106" t="s">
        <v>12</v>
      </c>
      <c r="GL25" s="108">
        <v>5</v>
      </c>
      <c r="GM25" s="108">
        <v>5</v>
      </c>
      <c r="GN25" s="108">
        <v>6</v>
      </c>
      <c r="GO25" s="108">
        <v>8</v>
      </c>
      <c r="GP25" s="108">
        <v>24</v>
      </c>
      <c r="GR25" s="106" t="s">
        <v>12</v>
      </c>
      <c r="GS25" s="108">
        <v>5</v>
      </c>
      <c r="GT25" s="108">
        <v>6</v>
      </c>
      <c r="GU25" s="108">
        <v>7</v>
      </c>
      <c r="GV25" s="108">
        <v>10</v>
      </c>
      <c r="GW25" s="108">
        <v>28</v>
      </c>
      <c r="GY25" s="106" t="s">
        <v>12</v>
      </c>
      <c r="GZ25" s="108">
        <v>3</v>
      </c>
      <c r="HA25" s="108">
        <v>6</v>
      </c>
      <c r="HB25" s="108">
        <v>4</v>
      </c>
      <c r="HC25" s="108">
        <v>7</v>
      </c>
      <c r="HD25" s="108">
        <v>20</v>
      </c>
      <c r="HF25" s="106" t="s">
        <v>12</v>
      </c>
      <c r="HG25" s="108">
        <v>4</v>
      </c>
      <c r="HH25" s="108"/>
      <c r="HI25" s="108"/>
      <c r="HJ25" s="108"/>
      <c r="HK25" s="108"/>
      <c r="HM25" s="106" t="s">
        <v>12</v>
      </c>
      <c r="HN25" s="108"/>
      <c r="HO25" s="108"/>
      <c r="HP25" s="108"/>
      <c r="HQ25" s="108"/>
      <c r="HR25" s="108"/>
      <c r="HT25" s="106" t="s">
        <v>12</v>
      </c>
      <c r="HU25" s="108"/>
      <c r="HV25" s="108"/>
      <c r="HW25" s="108"/>
      <c r="HX25" s="108"/>
      <c r="HY25" s="108"/>
      <c r="IA25" s="106" t="s">
        <v>12</v>
      </c>
      <c r="IB25" s="108"/>
      <c r="IC25" s="108"/>
      <c r="ID25" s="108"/>
      <c r="IE25" s="108"/>
      <c r="IF25" s="108"/>
      <c r="IH25" s="106" t="s">
        <v>12</v>
      </c>
      <c r="II25" s="108"/>
      <c r="IJ25" s="108"/>
      <c r="IK25" s="108"/>
      <c r="IL25" s="108"/>
      <c r="IM25" s="108"/>
      <c r="IO25" s="106" t="s">
        <v>12</v>
      </c>
      <c r="IP25" s="108"/>
      <c r="IQ25" s="108"/>
      <c r="IR25" s="108"/>
      <c r="IS25" s="108"/>
      <c r="IT25" s="108"/>
      <c r="IV25" s="106" t="s">
        <v>12</v>
      </c>
      <c r="IW25" s="108"/>
      <c r="IX25" s="108"/>
      <c r="IY25" s="108"/>
      <c r="IZ25" s="108"/>
      <c r="JA25" s="108"/>
      <c r="JC25" s="106" t="s">
        <v>12</v>
      </c>
      <c r="JD25" s="108"/>
      <c r="JE25" s="108"/>
      <c r="JF25" s="108"/>
      <c r="JG25" s="108"/>
      <c r="JH25" s="108"/>
      <c r="JJ25" s="106" t="s">
        <v>12</v>
      </c>
      <c r="JK25" s="108"/>
      <c r="JL25" s="108"/>
      <c r="JM25" s="108"/>
      <c r="JN25" s="108"/>
      <c r="JO25" s="108"/>
      <c r="JQ25" s="106" t="s">
        <v>12</v>
      </c>
      <c r="JR25" s="108"/>
      <c r="JS25" s="108"/>
      <c r="JT25" s="108"/>
      <c r="JU25" s="108"/>
      <c r="JV25" s="108"/>
      <c r="JX25" s="106" t="s">
        <v>12</v>
      </c>
      <c r="JY25" s="108"/>
      <c r="JZ25" s="108"/>
      <c r="KA25" s="108"/>
      <c r="KB25" s="108"/>
      <c r="KC25" s="108"/>
      <c r="KE25" s="106" t="s">
        <v>12</v>
      </c>
      <c r="KF25" s="108"/>
      <c r="KG25" s="108"/>
      <c r="KH25" s="108"/>
      <c r="KI25" s="108"/>
      <c r="KJ25" s="108"/>
      <c r="KL25" s="106" t="s">
        <v>12</v>
      </c>
      <c r="KM25" s="108"/>
      <c r="KN25" s="108"/>
      <c r="KO25" s="108"/>
      <c r="KP25" s="108"/>
      <c r="KQ25" s="108"/>
      <c r="KS25" s="106" t="s">
        <v>12</v>
      </c>
      <c r="KT25" s="108"/>
      <c r="KU25" s="108"/>
      <c r="KV25" s="107"/>
      <c r="KW25" s="108"/>
      <c r="KX25" s="108"/>
      <c r="KZ25" s="106" t="s">
        <v>12</v>
      </c>
      <c r="LA25" s="108"/>
      <c r="LB25" s="107"/>
      <c r="LC25" s="107"/>
      <c r="LD25" s="107"/>
      <c r="LE25" s="107"/>
      <c r="LF25" s="555"/>
      <c r="LG25" s="106" t="s">
        <v>12</v>
      </c>
      <c r="LH25" s="107"/>
      <c r="LI25" s="107"/>
      <c r="LJ25" s="107"/>
      <c r="LK25" s="107"/>
      <c r="LL25" s="107"/>
      <c r="LM25" s="555"/>
      <c r="LN25" s="106" t="s">
        <v>12</v>
      </c>
      <c r="LO25" s="107"/>
      <c r="LP25" s="107"/>
      <c r="LQ25" s="107"/>
      <c r="LR25" s="107"/>
      <c r="LS25" s="107"/>
      <c r="LT25" s="555"/>
      <c r="LU25" s="106" t="s">
        <v>12</v>
      </c>
      <c r="LV25" s="107"/>
      <c r="LW25" s="107"/>
      <c r="LX25" s="107"/>
      <c r="LY25" s="107"/>
      <c r="LZ25" s="107"/>
      <c r="MA25" s="555"/>
      <c r="MB25" s="106" t="s">
        <v>12</v>
      </c>
      <c r="MC25" s="107"/>
      <c r="MD25" s="107"/>
      <c r="ME25" s="107"/>
      <c r="MF25" s="107"/>
      <c r="MG25" s="107"/>
      <c r="MH25" s="555"/>
    </row>
    <row r="26" spans="1:346" s="521" customFormat="1" ht="13.15" collapsed="1" x14ac:dyDescent="0.4">
      <c r="A26" s="597"/>
      <c r="B26" s="598" t="s">
        <v>32</v>
      </c>
      <c r="C26" s="301"/>
      <c r="D26" s="301"/>
      <c r="E26" s="301">
        <v>247.4</v>
      </c>
      <c r="F26" s="301">
        <v>242</v>
      </c>
      <c r="G26" s="301">
        <v>230.5</v>
      </c>
      <c r="H26" s="301">
        <v>302</v>
      </c>
      <c r="I26" s="301">
        <v>376</v>
      </c>
      <c r="J26" s="301">
        <v>352</v>
      </c>
      <c r="K26" s="301">
        <v>370</v>
      </c>
      <c r="L26" s="301">
        <v>362</v>
      </c>
      <c r="M26" s="301">
        <v>608</v>
      </c>
      <c r="N26" s="301">
        <f t="shared" si="88"/>
        <v>585</v>
      </c>
      <c r="O26" s="301">
        <f t="shared" si="89"/>
        <v>637</v>
      </c>
      <c r="P26" s="301">
        <f t="shared" si="90"/>
        <v>676</v>
      </c>
      <c r="Q26" s="301">
        <f t="shared" si="91"/>
        <v>738.6</v>
      </c>
      <c r="R26" s="301">
        <f t="shared" si="92"/>
        <v>793</v>
      </c>
      <c r="S26" s="301">
        <f t="shared" si="93"/>
        <v>902</v>
      </c>
      <c r="T26" s="301">
        <f t="shared" si="94"/>
        <v>707</v>
      </c>
      <c r="U26" s="301">
        <f t="shared" si="95"/>
        <v>660</v>
      </c>
      <c r="V26" s="301">
        <f t="shared" si="96"/>
        <v>669</v>
      </c>
      <c r="W26" s="301">
        <f t="shared" si="97"/>
        <v>648</v>
      </c>
      <c r="X26" s="301">
        <f t="shared" si="98"/>
        <v>959</v>
      </c>
      <c r="Y26" s="301">
        <f t="shared" si="99"/>
        <v>1168</v>
      </c>
      <c r="Z26" s="301">
        <f t="shared" si="100"/>
        <v>1112</v>
      </c>
      <c r="AA26" s="301">
        <f t="shared" si="101"/>
        <v>1180</v>
      </c>
      <c r="AB26" s="301">
        <f t="shared" si="102"/>
        <v>1257</v>
      </c>
      <c r="AC26" s="301">
        <f t="shared" si="103"/>
        <v>1331</v>
      </c>
      <c r="AD26" s="301">
        <f t="shared" si="104"/>
        <v>1362</v>
      </c>
      <c r="AE26" s="301">
        <f t="shared" si="105"/>
        <v>1412</v>
      </c>
      <c r="AF26" s="301">
        <f t="shared" si="106"/>
        <v>1356</v>
      </c>
      <c r="AG26" s="301">
        <f t="shared" si="107"/>
        <v>1466</v>
      </c>
      <c r="AH26" s="301">
        <f t="shared" si="108"/>
        <v>1204</v>
      </c>
      <c r="AI26" s="301">
        <f t="shared" si="109"/>
        <v>1295</v>
      </c>
      <c r="AJ26" s="301">
        <f t="shared" si="110"/>
        <v>1434</v>
      </c>
      <c r="AK26" s="301">
        <f t="shared" si="111"/>
        <v>1594</v>
      </c>
      <c r="AL26" s="301">
        <f t="shared" si="112"/>
        <v>1697</v>
      </c>
      <c r="AM26" s="301">
        <f t="shared" si="113"/>
        <v>1790</v>
      </c>
      <c r="AN26" s="301">
        <f t="shared" si="114"/>
        <v>1762</v>
      </c>
      <c r="AO26" s="301">
        <f t="shared" si="115"/>
        <v>1726</v>
      </c>
      <c r="AP26" s="301">
        <f t="shared" si="116"/>
        <v>1799</v>
      </c>
      <c r="AQ26" s="301">
        <f t="shared" si="117"/>
        <v>1931</v>
      </c>
      <c r="AR26" s="301">
        <f t="shared" si="118"/>
        <v>1760</v>
      </c>
      <c r="AS26" s="301">
        <f t="shared" si="119"/>
        <v>1702</v>
      </c>
      <c r="AT26" s="301">
        <f t="shared" si="120"/>
        <v>1955</v>
      </c>
      <c r="AU26" s="301">
        <f t="shared" si="121"/>
        <v>2306</v>
      </c>
      <c r="AV26" s="301">
        <f t="shared" si="122"/>
        <v>2060</v>
      </c>
      <c r="AW26" s="301">
        <f t="shared" si="123"/>
        <v>2047</v>
      </c>
      <c r="AX26" s="301">
        <f t="shared" si="124"/>
        <v>2073</v>
      </c>
      <c r="AY26" s="301">
        <f t="shared" si="125"/>
        <v>2253.4246250000001</v>
      </c>
      <c r="AZ26" s="301">
        <f t="shared" si="126"/>
        <v>2396.7825028625002</v>
      </c>
      <c r="BA26" s="301">
        <f t="shared" si="127"/>
        <v>2548.9182722316973</v>
      </c>
      <c r="BB26" s="301"/>
      <c r="BC26" s="301"/>
      <c r="BD26" s="301"/>
      <c r="BE26" s="301"/>
      <c r="BF26" s="301"/>
      <c r="BG26" s="301"/>
      <c r="BH26" s="301"/>
      <c r="BI26" s="301"/>
      <c r="BJ26" s="301"/>
      <c r="BK26" s="301"/>
      <c r="BL26" s="301"/>
      <c r="BM26" s="301"/>
      <c r="BO26" s="598" t="s">
        <v>32</v>
      </c>
      <c r="BP26" s="247">
        <f>BW26-3</f>
        <v>141</v>
      </c>
      <c r="BQ26" s="247">
        <f>BX26-15</f>
        <v>144</v>
      </c>
      <c r="BR26" s="247">
        <f>BY26-13</f>
        <v>147</v>
      </c>
      <c r="BS26" s="247">
        <f>BZ26-21</f>
        <v>153</v>
      </c>
      <c r="BT26" s="247">
        <f>BP26+BQ26+BR26+BS26</f>
        <v>585</v>
      </c>
      <c r="BV26" s="598" t="s">
        <v>32</v>
      </c>
      <c r="BW26" s="247">
        <v>144</v>
      </c>
      <c r="BX26" s="247">
        <v>159</v>
      </c>
      <c r="BY26" s="247">
        <v>160</v>
      </c>
      <c r="BZ26" s="247">
        <v>174</v>
      </c>
      <c r="CA26" s="247">
        <f>BW26+BX26+BY26+BZ26</f>
        <v>637</v>
      </c>
      <c r="CC26" s="598" t="s">
        <v>32</v>
      </c>
      <c r="CD26" s="247">
        <v>159</v>
      </c>
      <c r="CE26" s="247">
        <v>162</v>
      </c>
      <c r="CF26" s="247">
        <v>170</v>
      </c>
      <c r="CG26" s="247">
        <v>185</v>
      </c>
      <c r="CH26" s="247">
        <f>CD26+CE26+CF26+CG26</f>
        <v>676</v>
      </c>
      <c r="CJ26" s="598" t="s">
        <v>32</v>
      </c>
      <c r="CK26" s="247">
        <f>SUM(CK23:CK25)</f>
        <v>180</v>
      </c>
      <c r="CL26" s="247">
        <f>SUM(CL23:CL25)</f>
        <v>180.7</v>
      </c>
      <c r="CM26" s="247">
        <f>SUM(CM23:CM25)</f>
        <v>188.9</v>
      </c>
      <c r="CN26" s="247">
        <f>SUM(CN23:CN25)</f>
        <v>189</v>
      </c>
      <c r="CO26" s="247">
        <f>CK26+CL26+CM26+CN26</f>
        <v>738.6</v>
      </c>
      <c r="CQ26" s="598" t="s">
        <v>32</v>
      </c>
      <c r="CR26" s="247">
        <f>SUM(CR23:CR25)</f>
        <v>184</v>
      </c>
      <c r="CS26" s="247">
        <f>SUM(CS23:CS25)</f>
        <v>188</v>
      </c>
      <c r="CT26" s="247">
        <f>SUM(CT23:CT25)</f>
        <v>206</v>
      </c>
      <c r="CU26" s="247">
        <f>SUM(CU23:CU25)</f>
        <v>215</v>
      </c>
      <c r="CV26" s="247">
        <f>CR26+CS26+CT26+CU26</f>
        <v>793</v>
      </c>
      <c r="CX26" s="598" t="s">
        <v>32</v>
      </c>
      <c r="CY26" s="247">
        <f>SUM(CY23:CY25)</f>
        <v>210</v>
      </c>
      <c r="CZ26" s="247">
        <f>SUM(CZ23:CZ25)</f>
        <v>223</v>
      </c>
      <c r="DA26" s="247">
        <f>+DA23+DA24</f>
        <v>230</v>
      </c>
      <c r="DB26" s="247">
        <f>SUM(DB23:DB25)</f>
        <v>239</v>
      </c>
      <c r="DC26" s="247">
        <f>CY26+CZ26+DA26+DB26</f>
        <v>902</v>
      </c>
      <c r="DE26" s="598" t="s">
        <v>32</v>
      </c>
      <c r="DF26" s="247">
        <f>SUM(DF23:DF25)</f>
        <v>176</v>
      </c>
      <c r="DG26" s="247">
        <f>SUM(DG23:DG25)</f>
        <v>177</v>
      </c>
      <c r="DH26" s="247">
        <f>+DH23+DH24</f>
        <v>173</v>
      </c>
      <c r="DI26" s="247">
        <f>SUM(DI23:DI25)</f>
        <v>181</v>
      </c>
      <c r="DJ26" s="247">
        <f>DF26+DG26+DH26+DI26</f>
        <v>707</v>
      </c>
      <c r="DL26" s="598" t="s">
        <v>32</v>
      </c>
      <c r="DM26" s="247">
        <f>SUM(DM23:DM25)</f>
        <v>161</v>
      </c>
      <c r="DN26" s="247">
        <f>SUM(DN23:DN25)</f>
        <v>167</v>
      </c>
      <c r="DO26" s="247">
        <f>SUM(DO23:DO25)</f>
        <v>161</v>
      </c>
      <c r="DP26" s="247">
        <f>SUM(DP23:DP25)</f>
        <v>171</v>
      </c>
      <c r="DQ26" s="247">
        <f>DM26+DN26+DO26+DP26</f>
        <v>660</v>
      </c>
      <c r="DS26" s="598" t="s">
        <v>32</v>
      </c>
      <c r="DT26" s="247">
        <f>SUM(DT23:DT25)</f>
        <v>159</v>
      </c>
      <c r="DU26" s="247">
        <f>SUM(DU23:DU25)</f>
        <v>164</v>
      </c>
      <c r="DV26" s="247">
        <f>SUM(DV23:DV25)</f>
        <v>174</v>
      </c>
      <c r="DW26" s="247">
        <f>SUM(DW23:DW25)</f>
        <v>172</v>
      </c>
      <c r="DX26" s="247">
        <f>DT26+DU26+DV26+DW26</f>
        <v>669</v>
      </c>
      <c r="DZ26" s="598" t="s">
        <v>32</v>
      </c>
      <c r="EA26" s="247">
        <f>SUM(EA23:EA25)</f>
        <v>159</v>
      </c>
      <c r="EB26" s="247">
        <f>SUM(EB23:EB25)</f>
        <v>158</v>
      </c>
      <c r="EC26" s="247">
        <f>SUM(EC23:EC25)</f>
        <v>161</v>
      </c>
      <c r="ED26" s="247">
        <f>SUM(ED23:ED25)</f>
        <v>170</v>
      </c>
      <c r="EE26" s="247">
        <f t="shared" si="128"/>
        <v>648</v>
      </c>
      <c r="EG26" s="598" t="s">
        <v>32</v>
      </c>
      <c r="EH26" s="247">
        <f>SUM(EH23:EH25)</f>
        <v>169</v>
      </c>
      <c r="EI26" s="247">
        <f>SUM(EI23:EI25)</f>
        <v>207</v>
      </c>
      <c r="EJ26" s="247">
        <f>SUM(EJ23:EJ25)</f>
        <v>288</v>
      </c>
      <c r="EK26" s="247">
        <f>SUM(EK23:EK25)</f>
        <v>295</v>
      </c>
      <c r="EL26" s="247">
        <f t="shared" si="129"/>
        <v>959</v>
      </c>
      <c r="EN26" s="598" t="s">
        <v>32</v>
      </c>
      <c r="EO26" s="247">
        <f>SUM(EO23:EO25)</f>
        <v>288</v>
      </c>
      <c r="EP26" s="247">
        <f>SUM(EP23:EP25)</f>
        <v>291</v>
      </c>
      <c r="EQ26" s="247">
        <f>SUM(EQ23:EQ25)</f>
        <v>288</v>
      </c>
      <c r="ER26" s="247">
        <f>SUM(ER23:ER25)</f>
        <v>301</v>
      </c>
      <c r="ES26" s="247">
        <f t="shared" si="130"/>
        <v>1168</v>
      </c>
      <c r="EU26" s="598" t="s">
        <v>32</v>
      </c>
      <c r="EV26" s="247">
        <f>SUM(EV23:EV25)</f>
        <v>270</v>
      </c>
      <c r="EW26" s="247">
        <f>SUM(EW23:EW25)</f>
        <v>271</v>
      </c>
      <c r="EX26" s="247">
        <f>SUM(EX23:EX25)</f>
        <v>286</v>
      </c>
      <c r="EY26" s="247">
        <f>SUM(EY23:EY25)</f>
        <v>285</v>
      </c>
      <c r="EZ26" s="247">
        <f t="shared" si="131"/>
        <v>1112</v>
      </c>
      <c r="FB26" s="598" t="s">
        <v>32</v>
      </c>
      <c r="FC26" s="247">
        <f>SUM(FC23:FC25)</f>
        <v>262</v>
      </c>
      <c r="FD26" s="247">
        <f>SUM(FD23:FD25)</f>
        <v>296</v>
      </c>
      <c r="FE26" s="247">
        <f>SUM(FE23:FE25)</f>
        <v>313</v>
      </c>
      <c r="FF26" s="247">
        <f>SUM(FF23:FF25)</f>
        <v>309</v>
      </c>
      <c r="FG26" s="247">
        <f t="shared" si="132"/>
        <v>1180</v>
      </c>
      <c r="FI26" s="598" t="s">
        <v>32</v>
      </c>
      <c r="FJ26" s="247">
        <f>SUM(FJ23:FJ25)</f>
        <v>302</v>
      </c>
      <c r="FK26" s="247">
        <f>SUM(FK23:FK25)</f>
        <v>314</v>
      </c>
      <c r="FL26" s="247">
        <f>SUM(FL23:FL25)</f>
        <v>313</v>
      </c>
      <c r="FM26" s="247">
        <f>SUM(FM23:FM25)</f>
        <v>328</v>
      </c>
      <c r="FN26" s="247">
        <f t="shared" si="133"/>
        <v>1257</v>
      </c>
      <c r="FP26" s="598" t="s">
        <v>32</v>
      </c>
      <c r="FQ26" s="247">
        <f>SUM(FQ23:FQ25)</f>
        <v>315</v>
      </c>
      <c r="FR26" s="247">
        <f>SUM(FR23:FR25)</f>
        <v>323</v>
      </c>
      <c r="FS26" s="247">
        <f>SUM(FS23:FS25)</f>
        <v>322</v>
      </c>
      <c r="FT26" s="247">
        <f>SUM(FT23:FT25)</f>
        <v>371</v>
      </c>
      <c r="FU26" s="247">
        <f t="shared" si="134"/>
        <v>1331</v>
      </c>
      <c r="FW26" s="598" t="s">
        <v>32</v>
      </c>
      <c r="FX26" s="247">
        <v>329</v>
      </c>
      <c r="FY26" s="247">
        <v>330</v>
      </c>
      <c r="FZ26" s="247">
        <v>337</v>
      </c>
      <c r="GA26" s="247">
        <v>366</v>
      </c>
      <c r="GB26" s="247">
        <f>SUM(FX26:GA26)</f>
        <v>1362</v>
      </c>
      <c r="GD26" s="598" t="s">
        <v>32</v>
      </c>
      <c r="GE26" s="247">
        <v>334</v>
      </c>
      <c r="GF26" s="247">
        <v>356</v>
      </c>
      <c r="GG26" s="247">
        <v>364</v>
      </c>
      <c r="GH26" s="247">
        <v>358</v>
      </c>
      <c r="GI26" s="247">
        <f>SUM(GE26:GH26)</f>
        <v>1412</v>
      </c>
      <c r="GK26" s="598" t="s">
        <v>32</v>
      </c>
      <c r="GL26" s="247">
        <v>318</v>
      </c>
      <c r="GM26" s="247">
        <v>343</v>
      </c>
      <c r="GN26" s="247">
        <v>337</v>
      </c>
      <c r="GO26" s="247">
        <v>358</v>
      </c>
      <c r="GP26" s="247">
        <f>SUM(GL26:GO26)</f>
        <v>1356</v>
      </c>
      <c r="GR26" s="598" t="s">
        <v>32</v>
      </c>
      <c r="GS26" s="247">
        <v>348</v>
      </c>
      <c r="GT26" s="247">
        <v>385</v>
      </c>
      <c r="GU26" s="247">
        <v>399</v>
      </c>
      <c r="GV26" s="247">
        <v>334</v>
      </c>
      <c r="GW26" s="247">
        <f>SUM(GS26:GV26)</f>
        <v>1466</v>
      </c>
      <c r="GY26" s="598" t="s">
        <v>32</v>
      </c>
      <c r="GZ26" s="247">
        <v>270</v>
      </c>
      <c r="HA26" s="247">
        <v>291</v>
      </c>
      <c r="HB26" s="247">
        <v>303</v>
      </c>
      <c r="HC26" s="247">
        <v>340</v>
      </c>
      <c r="HD26" s="247">
        <f>SUM(GZ26:HC26)</f>
        <v>1204</v>
      </c>
      <c r="HF26" s="598" t="s">
        <v>32</v>
      </c>
      <c r="HG26" s="247">
        <v>323</v>
      </c>
      <c r="HH26" s="247">
        <v>304</v>
      </c>
      <c r="HI26" s="247">
        <v>318</v>
      </c>
      <c r="HJ26" s="247">
        <v>350</v>
      </c>
      <c r="HK26" s="247">
        <f>SUM(HG26:HJ26)</f>
        <v>1295</v>
      </c>
      <c r="HM26" s="598" t="s">
        <v>32</v>
      </c>
      <c r="HN26" s="247">
        <v>327</v>
      </c>
      <c r="HO26" s="247">
        <v>369</v>
      </c>
      <c r="HP26" s="247">
        <v>363</v>
      </c>
      <c r="HQ26" s="247">
        <v>375</v>
      </c>
      <c r="HR26" s="247">
        <f>SUM(HN26:HQ26)</f>
        <v>1434</v>
      </c>
      <c r="HT26" s="598" t="s">
        <v>32</v>
      </c>
      <c r="HU26" s="247">
        <v>389</v>
      </c>
      <c r="HV26" s="247">
        <v>408</v>
      </c>
      <c r="HW26" s="247">
        <v>399</v>
      </c>
      <c r="HX26" s="247">
        <v>398</v>
      </c>
      <c r="HY26" s="247">
        <f>SUM(HU26:HX26)</f>
        <v>1594</v>
      </c>
      <c r="IA26" s="598" t="s">
        <v>32</v>
      </c>
      <c r="IB26" s="247">
        <v>404</v>
      </c>
      <c r="IC26" s="247">
        <v>425</v>
      </c>
      <c r="ID26" s="247">
        <v>431</v>
      </c>
      <c r="IE26" s="247">
        <v>437</v>
      </c>
      <c r="IF26" s="247">
        <f>SUM(IB26:IE26)</f>
        <v>1697</v>
      </c>
      <c r="IH26" s="598" t="s">
        <v>32</v>
      </c>
      <c r="II26" s="247">
        <v>421</v>
      </c>
      <c r="IJ26" s="247">
        <v>449</v>
      </c>
      <c r="IK26" s="247">
        <v>455</v>
      </c>
      <c r="IL26" s="247">
        <v>465</v>
      </c>
      <c r="IM26" s="247">
        <f>SUM(II26:IL26)</f>
        <v>1790</v>
      </c>
      <c r="IO26" s="598" t="s">
        <v>32</v>
      </c>
      <c r="IP26" s="247">
        <v>415</v>
      </c>
      <c r="IQ26" s="247">
        <v>450</v>
      </c>
      <c r="IR26" s="247">
        <v>451</v>
      </c>
      <c r="IS26" s="247">
        <v>446</v>
      </c>
      <c r="IT26" s="247">
        <f>SUM(IP26:IS26)</f>
        <v>1762</v>
      </c>
      <c r="IV26" s="598" t="s">
        <v>32</v>
      </c>
      <c r="IW26" s="247">
        <v>405</v>
      </c>
      <c r="IX26" s="247">
        <v>419</v>
      </c>
      <c r="IY26" s="247">
        <v>425</v>
      </c>
      <c r="IZ26" s="247">
        <v>477</v>
      </c>
      <c r="JA26" s="247">
        <f>SUM(IW26:IZ26)</f>
        <v>1726</v>
      </c>
      <c r="JC26" s="598" t="s">
        <v>32</v>
      </c>
      <c r="JD26" s="247">
        <v>434</v>
      </c>
      <c r="JE26" s="247">
        <v>448</v>
      </c>
      <c r="JF26" s="247">
        <v>446</v>
      </c>
      <c r="JG26" s="247">
        <v>471</v>
      </c>
      <c r="JH26" s="247">
        <f>SUM(JD26:JG26)</f>
        <v>1799</v>
      </c>
      <c r="JJ26" s="598" t="s">
        <v>32</v>
      </c>
      <c r="JK26" s="247">
        <v>449</v>
      </c>
      <c r="JL26" s="247">
        <v>490</v>
      </c>
      <c r="JM26" s="247">
        <v>500</v>
      </c>
      <c r="JN26" s="247">
        <v>492</v>
      </c>
      <c r="JO26" s="247">
        <f>SUM(JK26:JN26)</f>
        <v>1931</v>
      </c>
      <c r="JQ26" s="598" t="s">
        <v>32</v>
      </c>
      <c r="JR26" s="247">
        <v>428</v>
      </c>
      <c r="JS26" s="247">
        <v>436</v>
      </c>
      <c r="JT26" s="247">
        <v>447</v>
      </c>
      <c r="JU26" s="247">
        <v>449</v>
      </c>
      <c r="JV26" s="247">
        <f>SUM(JR26:JU26)</f>
        <v>1760</v>
      </c>
      <c r="JX26" s="598" t="s">
        <v>32</v>
      </c>
      <c r="JY26" s="247">
        <v>422</v>
      </c>
      <c r="JZ26" s="247">
        <v>359</v>
      </c>
      <c r="KA26" s="247">
        <v>445</v>
      </c>
      <c r="KB26" s="247">
        <v>476</v>
      </c>
      <c r="KC26" s="247">
        <f>SUM(JY26:KB26)</f>
        <v>1702</v>
      </c>
      <c r="KE26" s="598" t="s">
        <v>32</v>
      </c>
      <c r="KF26" s="247">
        <v>384</v>
      </c>
      <c r="KG26" s="247">
        <v>511</v>
      </c>
      <c r="KH26" s="247">
        <v>509</v>
      </c>
      <c r="KI26" s="247">
        <v>551</v>
      </c>
      <c r="KJ26" s="247">
        <f>SUM(KF26:KI26)</f>
        <v>1955</v>
      </c>
      <c r="KL26" s="598" t="s">
        <v>32</v>
      </c>
      <c r="KM26" s="247">
        <v>527</v>
      </c>
      <c r="KN26" s="247">
        <v>602</v>
      </c>
      <c r="KO26" s="247">
        <v>604</v>
      </c>
      <c r="KP26" s="247">
        <v>573</v>
      </c>
      <c r="KQ26" s="247">
        <f>SUM(KM26:KP26)</f>
        <v>2306</v>
      </c>
      <c r="KS26" s="598" t="s">
        <v>32</v>
      </c>
      <c r="KT26" s="247">
        <v>499</v>
      </c>
      <c r="KU26" s="247">
        <v>492</v>
      </c>
      <c r="KV26" s="301">
        <v>517</v>
      </c>
      <c r="KW26" s="247">
        <v>552</v>
      </c>
      <c r="KX26" s="247">
        <f>SUM(KT26:KW26)</f>
        <v>2060</v>
      </c>
      <c r="KZ26" s="598" t="s">
        <v>32</v>
      </c>
      <c r="LA26" s="247">
        <v>506</v>
      </c>
      <c r="LB26" s="301">
        <v>506</v>
      </c>
      <c r="LC26" s="301">
        <v>509</v>
      </c>
      <c r="LD26" s="301">
        <v>526</v>
      </c>
      <c r="LE26" s="301">
        <f>SUM(LA26:LD26)</f>
        <v>2047</v>
      </c>
      <c r="LF26" s="561"/>
      <c r="LG26" s="598" t="s">
        <v>32</v>
      </c>
      <c r="LH26" s="301">
        <v>493</v>
      </c>
      <c r="LI26" s="301">
        <v>491</v>
      </c>
      <c r="LJ26" s="301">
        <v>527</v>
      </c>
      <c r="LK26" s="301">
        <v>562</v>
      </c>
      <c r="LL26" s="301">
        <f>SUM(LH26:LK26)</f>
        <v>2073</v>
      </c>
      <c r="LM26" s="561"/>
      <c r="LN26" s="598" t="s">
        <v>32</v>
      </c>
      <c r="LO26" s="301">
        <f t="shared" ref="LO26:LR27" si="135">LO85*LO131/1000</f>
        <v>528.06462499999986</v>
      </c>
      <c r="LP26" s="301">
        <f t="shared" si="135"/>
        <v>536.17200000000003</v>
      </c>
      <c r="LQ26" s="301">
        <f t="shared" si="135"/>
        <v>575.48400000000015</v>
      </c>
      <c r="LR26" s="301">
        <f t="shared" si="135"/>
        <v>613.70399999999995</v>
      </c>
      <c r="LS26" s="301">
        <f>SUM(LO26:LR26)</f>
        <v>2253.4246250000001</v>
      </c>
      <c r="LT26" s="561"/>
      <c r="LU26" s="598" t="s">
        <v>32</v>
      </c>
      <c r="LV26" s="301">
        <f t="shared" ref="LV26:LY26" si="136">LV85*LV131/1000</f>
        <v>560.2237606624999</v>
      </c>
      <c r="LW26" s="301">
        <f t="shared" si="136"/>
        <v>568.82487479999998</v>
      </c>
      <c r="LX26" s="301">
        <f t="shared" si="136"/>
        <v>613.49471820000008</v>
      </c>
      <c r="LY26" s="301">
        <f t="shared" si="136"/>
        <v>654.23914919999993</v>
      </c>
      <c r="LZ26" s="301">
        <f>SUM(LV26:LY26)</f>
        <v>2396.7825028625002</v>
      </c>
      <c r="MA26" s="561"/>
      <c r="MB26" s="598" t="s">
        <v>32</v>
      </c>
      <c r="MC26" s="301">
        <f t="shared" ref="MC26:MF26" si="137">MC85*MC131/1000</f>
        <v>595.78396387055216</v>
      </c>
      <c r="MD26" s="301">
        <f t="shared" si="137"/>
        <v>604.93103372793007</v>
      </c>
      <c r="ME26" s="301">
        <f t="shared" si="137"/>
        <v>652.43629543774512</v>
      </c>
      <c r="MF26" s="301">
        <f t="shared" si="137"/>
        <v>695.76697919546996</v>
      </c>
      <c r="MG26" s="301">
        <f>SUM(MC26:MF26)</f>
        <v>2548.9182722316973</v>
      </c>
      <c r="MH26" s="561"/>
    </row>
    <row r="27" spans="1:346" s="521" customFormat="1" ht="13.15" x14ac:dyDescent="0.4">
      <c r="A27" s="597"/>
      <c r="B27" s="598" t="s">
        <v>147</v>
      </c>
      <c r="C27" s="301"/>
      <c r="D27" s="301"/>
      <c r="E27" s="301">
        <v>1357.3</v>
      </c>
      <c r="F27" s="301">
        <v>1638.3</v>
      </c>
      <c r="G27" s="301">
        <v>1667.2</v>
      </c>
      <c r="H27" s="301">
        <v>1445</v>
      </c>
      <c r="I27" s="301">
        <v>1687</v>
      </c>
      <c r="J27" s="301">
        <v>1570</v>
      </c>
      <c r="K27" s="301">
        <v>1496</v>
      </c>
      <c r="L27" s="301">
        <v>1536</v>
      </c>
      <c r="M27" s="301">
        <v>1562</v>
      </c>
      <c r="N27" s="301">
        <f t="shared" si="88"/>
        <v>1568</v>
      </c>
      <c r="O27" s="301">
        <f t="shared" si="89"/>
        <v>1647</v>
      </c>
      <c r="P27" s="301">
        <f t="shared" si="90"/>
        <v>1573</v>
      </c>
      <c r="Q27" s="301">
        <f t="shared" si="91"/>
        <v>1565</v>
      </c>
      <c r="R27" s="301">
        <f t="shared" si="92"/>
        <v>1363</v>
      </c>
      <c r="S27" s="301">
        <f t="shared" si="93"/>
        <v>1465</v>
      </c>
      <c r="T27" s="301">
        <f t="shared" si="94"/>
        <v>1523</v>
      </c>
      <c r="U27" s="301">
        <f t="shared" si="95"/>
        <v>1584</v>
      </c>
      <c r="V27" s="301">
        <f t="shared" si="96"/>
        <v>1560</v>
      </c>
      <c r="W27" s="301">
        <f t="shared" si="97"/>
        <v>1479</v>
      </c>
      <c r="X27" s="301">
        <f t="shared" si="98"/>
        <v>1476</v>
      </c>
      <c r="Y27" s="301">
        <f t="shared" si="99"/>
        <v>1546</v>
      </c>
      <c r="Z27" s="301">
        <f t="shared" si="100"/>
        <v>1671</v>
      </c>
      <c r="AA27" s="301">
        <f t="shared" si="101"/>
        <v>1529</v>
      </c>
      <c r="AB27" s="301">
        <f t="shared" si="102"/>
        <v>1543</v>
      </c>
      <c r="AC27" s="301">
        <f t="shared" si="103"/>
        <v>1714</v>
      </c>
      <c r="AD27" s="301">
        <f t="shared" si="104"/>
        <v>1975</v>
      </c>
      <c r="AE27" s="301">
        <f t="shared" si="105"/>
        <v>2259</v>
      </c>
      <c r="AF27" s="301">
        <f t="shared" si="106"/>
        <v>2483</v>
      </c>
      <c r="AG27" s="301">
        <f t="shared" si="107"/>
        <v>3110</v>
      </c>
      <c r="AH27" s="301">
        <f t="shared" si="108"/>
        <v>2615</v>
      </c>
      <c r="AI27" s="301">
        <f t="shared" si="109"/>
        <v>3267</v>
      </c>
      <c r="AJ27" s="301">
        <f t="shared" si="110"/>
        <v>3709</v>
      </c>
      <c r="AK27" s="301">
        <f t="shared" si="111"/>
        <v>3190</v>
      </c>
      <c r="AL27" s="301">
        <f t="shared" si="112"/>
        <v>2895</v>
      </c>
      <c r="AM27" s="301">
        <f t="shared" si="113"/>
        <v>2849</v>
      </c>
      <c r="AN27" s="301">
        <f t="shared" si="114"/>
        <v>2300</v>
      </c>
      <c r="AO27" s="301">
        <f t="shared" si="115"/>
        <v>1833</v>
      </c>
      <c r="AP27" s="301">
        <f t="shared" si="116"/>
        <v>2107</v>
      </c>
      <c r="AQ27" s="301">
        <f t="shared" si="117"/>
        <v>2246</v>
      </c>
      <c r="AR27" s="301">
        <f t="shared" si="118"/>
        <v>2070</v>
      </c>
      <c r="AS27" s="301">
        <f t="shared" si="119"/>
        <v>1397</v>
      </c>
      <c r="AT27" s="301">
        <f t="shared" si="120"/>
        <v>1874</v>
      </c>
      <c r="AU27" s="301">
        <f t="shared" si="121"/>
        <v>2434</v>
      </c>
      <c r="AV27" s="301">
        <f t="shared" si="122"/>
        <v>2484</v>
      </c>
      <c r="AW27" s="301">
        <f t="shared" si="123"/>
        <v>2247</v>
      </c>
      <c r="AX27" s="301">
        <f t="shared" si="124"/>
        <v>1900</v>
      </c>
      <c r="AY27" s="301">
        <f t="shared" si="125"/>
        <v>1939.4138999999998</v>
      </c>
      <c r="AZ27" s="301">
        <f t="shared" si="126"/>
        <v>1948.8014120799999</v>
      </c>
      <c r="BA27" s="301">
        <f t="shared" si="127"/>
        <v>1948.7925105329607</v>
      </c>
      <c r="BB27" s="301"/>
      <c r="BC27" s="301"/>
      <c r="BD27" s="301"/>
      <c r="BE27" s="301"/>
      <c r="BF27" s="301"/>
      <c r="BG27" s="301"/>
      <c r="BH27" s="301"/>
      <c r="BI27" s="301"/>
      <c r="BJ27" s="301"/>
      <c r="BK27" s="301"/>
      <c r="BL27" s="301"/>
      <c r="BM27" s="301"/>
      <c r="BO27" s="598" t="s">
        <v>147</v>
      </c>
      <c r="BP27" s="247">
        <f>BW27-20</f>
        <v>394</v>
      </c>
      <c r="BQ27" s="247">
        <f>BX27-8</f>
        <v>402</v>
      </c>
      <c r="BR27" s="247">
        <f>BY27-38</f>
        <v>375</v>
      </c>
      <c r="BS27" s="247">
        <f>BZ27-13</f>
        <v>397</v>
      </c>
      <c r="BT27" s="247">
        <f>BP27+BQ27+BR27+BS27</f>
        <v>1568</v>
      </c>
      <c r="BV27" s="598" t="s">
        <v>147</v>
      </c>
      <c r="BW27" s="247">
        <v>414</v>
      </c>
      <c r="BX27" s="247">
        <v>410</v>
      </c>
      <c r="BY27" s="247">
        <v>413</v>
      </c>
      <c r="BZ27" s="247">
        <v>410</v>
      </c>
      <c r="CA27" s="247">
        <f>BW27+BX27+BY27+BZ27</f>
        <v>1647</v>
      </c>
      <c r="CC27" s="598" t="s">
        <v>147</v>
      </c>
      <c r="CD27" s="247">
        <v>377</v>
      </c>
      <c r="CE27" s="247">
        <v>375</v>
      </c>
      <c r="CF27" s="247">
        <v>418</v>
      </c>
      <c r="CG27" s="247">
        <v>403</v>
      </c>
      <c r="CH27" s="247">
        <f>CD27+CE27+CF27+CG27</f>
        <v>1573</v>
      </c>
      <c r="CJ27" s="598" t="s">
        <v>147</v>
      </c>
      <c r="CK27" s="247">
        <v>388</v>
      </c>
      <c r="CL27" s="247">
        <v>382</v>
      </c>
      <c r="CM27" s="247">
        <v>398</v>
      </c>
      <c r="CN27" s="247">
        <v>397</v>
      </c>
      <c r="CO27" s="247">
        <f>CK27+CL27+CM27+CN27</f>
        <v>1565</v>
      </c>
      <c r="CQ27" s="598" t="s">
        <v>147</v>
      </c>
      <c r="CR27" s="247">
        <v>340</v>
      </c>
      <c r="CS27" s="247">
        <v>354</v>
      </c>
      <c r="CT27" s="247">
        <v>340</v>
      </c>
      <c r="CU27" s="247">
        <v>329</v>
      </c>
      <c r="CV27" s="247">
        <f>CR27+CS27+CT27+CU27</f>
        <v>1363</v>
      </c>
      <c r="CX27" s="598" t="s">
        <v>147</v>
      </c>
      <c r="CY27" s="247">
        <v>339</v>
      </c>
      <c r="CZ27" s="247">
        <v>363</v>
      </c>
      <c r="DA27" s="247">
        <v>384</v>
      </c>
      <c r="DB27" s="247">
        <v>379</v>
      </c>
      <c r="DC27" s="247">
        <f>CY27+CZ27+DA27+DB27</f>
        <v>1465</v>
      </c>
      <c r="DE27" s="598" t="s">
        <v>147</v>
      </c>
      <c r="DF27" s="247">
        <v>366</v>
      </c>
      <c r="DG27" s="247">
        <v>379</v>
      </c>
      <c r="DH27" s="247">
        <v>388</v>
      </c>
      <c r="DI27" s="247">
        <v>390</v>
      </c>
      <c r="DJ27" s="247">
        <f>DF27+DG27+DH27+DI27</f>
        <v>1523</v>
      </c>
      <c r="DL27" s="598" t="s">
        <v>147</v>
      </c>
      <c r="DM27" s="247">
        <v>370</v>
      </c>
      <c r="DN27" s="247">
        <v>404</v>
      </c>
      <c r="DO27" s="247">
        <v>404</v>
      </c>
      <c r="DP27" s="247">
        <v>406</v>
      </c>
      <c r="DQ27" s="247">
        <f>DM27+DN27+DO27+DP27</f>
        <v>1584</v>
      </c>
      <c r="DS27" s="598" t="s">
        <v>147</v>
      </c>
      <c r="DT27" s="247">
        <v>389</v>
      </c>
      <c r="DU27" s="247">
        <v>382</v>
      </c>
      <c r="DV27" s="247">
        <v>390</v>
      </c>
      <c r="DW27" s="247">
        <v>399</v>
      </c>
      <c r="DX27" s="247">
        <f>DT27+DU27+DV27+DW27</f>
        <v>1560</v>
      </c>
      <c r="DZ27" s="598" t="s">
        <v>147</v>
      </c>
      <c r="EA27" s="247">
        <f>366-20</f>
        <v>346</v>
      </c>
      <c r="EB27" s="247">
        <v>373</v>
      </c>
      <c r="EC27" s="247">
        <v>382</v>
      </c>
      <c r="ED27" s="247">
        <v>378</v>
      </c>
      <c r="EE27" s="247">
        <f t="shared" si="128"/>
        <v>1479</v>
      </c>
      <c r="EG27" s="598" t="s">
        <v>147</v>
      </c>
      <c r="EH27" s="247">
        <v>353</v>
      </c>
      <c r="EI27" s="247">
        <v>344</v>
      </c>
      <c r="EJ27" s="247">
        <v>396</v>
      </c>
      <c r="EK27" s="247">
        <v>383</v>
      </c>
      <c r="EL27" s="247">
        <f t="shared" si="129"/>
        <v>1476</v>
      </c>
      <c r="EN27" s="598" t="s">
        <v>147</v>
      </c>
      <c r="EO27" s="247">
        <v>371</v>
      </c>
      <c r="EP27" s="247">
        <v>383</v>
      </c>
      <c r="EQ27" s="247">
        <v>397</v>
      </c>
      <c r="ER27" s="247">
        <v>395</v>
      </c>
      <c r="ES27" s="247">
        <f t="shared" si="130"/>
        <v>1546</v>
      </c>
      <c r="EU27" s="598" t="s">
        <v>147</v>
      </c>
      <c r="EV27" s="247">
        <v>416</v>
      </c>
      <c r="EW27" s="247">
        <v>415</v>
      </c>
      <c r="EX27" s="247">
        <v>417</v>
      </c>
      <c r="EY27" s="247">
        <v>423</v>
      </c>
      <c r="EZ27" s="247">
        <f t="shared" si="131"/>
        <v>1671</v>
      </c>
      <c r="FB27" s="598" t="s">
        <v>147</v>
      </c>
      <c r="FC27" s="247">
        <v>381</v>
      </c>
      <c r="FD27" s="247">
        <v>380</v>
      </c>
      <c r="FE27" s="247">
        <v>382</v>
      </c>
      <c r="FF27" s="247">
        <v>386</v>
      </c>
      <c r="FG27" s="247">
        <f t="shared" si="132"/>
        <v>1529</v>
      </c>
      <c r="FI27" s="598" t="s">
        <v>147</v>
      </c>
      <c r="FJ27" s="247">
        <v>370</v>
      </c>
      <c r="FK27" s="247">
        <v>401</v>
      </c>
      <c r="FL27" s="247">
        <v>384</v>
      </c>
      <c r="FM27" s="247">
        <v>388</v>
      </c>
      <c r="FN27" s="247">
        <f t="shared" si="133"/>
        <v>1543</v>
      </c>
      <c r="FP27" s="598" t="s">
        <v>147</v>
      </c>
      <c r="FQ27" s="247">
        <v>405</v>
      </c>
      <c r="FR27" s="247">
        <v>426</v>
      </c>
      <c r="FS27" s="247">
        <v>423</v>
      </c>
      <c r="FT27" s="247">
        <v>460</v>
      </c>
      <c r="FU27" s="247">
        <f t="shared" si="134"/>
        <v>1714</v>
      </c>
      <c r="FW27" s="598" t="s">
        <v>147</v>
      </c>
      <c r="FX27" s="247">
        <v>482</v>
      </c>
      <c r="FY27" s="247">
        <v>502</v>
      </c>
      <c r="FZ27" s="247">
        <v>491</v>
      </c>
      <c r="GA27" s="247">
        <v>500</v>
      </c>
      <c r="GB27" s="247">
        <f>SUM(FX27:GA27)</f>
        <v>1975</v>
      </c>
      <c r="GD27" s="598" t="s">
        <v>147</v>
      </c>
      <c r="GE27" s="247">
        <v>552</v>
      </c>
      <c r="GF27" s="247">
        <v>562</v>
      </c>
      <c r="GG27" s="247">
        <v>571</v>
      </c>
      <c r="GH27" s="247">
        <v>574</v>
      </c>
      <c r="GI27" s="247">
        <f>SUM(GE27:GH27)</f>
        <v>2259</v>
      </c>
      <c r="GK27" s="598" t="s">
        <v>147</v>
      </c>
      <c r="GL27" s="247">
        <v>603</v>
      </c>
      <c r="GM27" s="247">
        <v>607</v>
      </c>
      <c r="GN27" s="247">
        <v>619</v>
      </c>
      <c r="GO27" s="247">
        <v>654</v>
      </c>
      <c r="GP27" s="247">
        <f>SUM(GL27:GO27)</f>
        <v>2483</v>
      </c>
      <c r="GR27" s="598" t="s">
        <v>147</v>
      </c>
      <c r="GS27" s="247">
        <v>720</v>
      </c>
      <c r="GT27" s="247">
        <v>777</v>
      </c>
      <c r="GU27" s="247">
        <v>802</v>
      </c>
      <c r="GV27" s="247">
        <v>811</v>
      </c>
      <c r="GW27" s="247">
        <f>SUM(GS27:GV27)</f>
        <v>3110</v>
      </c>
      <c r="GY27" s="598" t="s">
        <v>147</v>
      </c>
      <c r="GZ27" s="247">
        <v>713</v>
      </c>
      <c r="HA27" s="247">
        <v>639</v>
      </c>
      <c r="HB27" s="247">
        <v>653</v>
      </c>
      <c r="HC27" s="247">
        <v>610</v>
      </c>
      <c r="HD27" s="247">
        <f>SUM(GZ27:HC27)</f>
        <v>2615</v>
      </c>
      <c r="HF27" s="598" t="s">
        <v>147</v>
      </c>
      <c r="HG27" s="247">
        <v>736</v>
      </c>
      <c r="HH27" s="247">
        <v>835</v>
      </c>
      <c r="HI27" s="247">
        <v>835</v>
      </c>
      <c r="HJ27" s="247">
        <v>861</v>
      </c>
      <c r="HK27" s="247">
        <f>SUM(HG27:HJ27)</f>
        <v>3267</v>
      </c>
      <c r="HM27" s="598" t="s">
        <v>147</v>
      </c>
      <c r="HN27" s="247">
        <v>879</v>
      </c>
      <c r="HO27" s="247">
        <v>958</v>
      </c>
      <c r="HP27" s="247">
        <v>957</v>
      </c>
      <c r="HQ27" s="247">
        <v>915</v>
      </c>
      <c r="HR27" s="247">
        <f>SUM(HN27:HQ27)</f>
        <v>3709</v>
      </c>
      <c r="HT27" s="598" t="s">
        <v>147</v>
      </c>
      <c r="HU27" s="247">
        <v>832</v>
      </c>
      <c r="HV27" s="247">
        <v>820</v>
      </c>
      <c r="HW27" s="247">
        <v>791</v>
      </c>
      <c r="HX27" s="247">
        <v>747</v>
      </c>
      <c r="HY27" s="247">
        <f>SUM(HU27:HX27)</f>
        <v>3190</v>
      </c>
      <c r="IA27" s="598" t="s">
        <v>147</v>
      </c>
      <c r="IB27" s="247">
        <v>726</v>
      </c>
      <c r="IC27" s="247">
        <v>770</v>
      </c>
      <c r="ID27" s="247">
        <v>720</v>
      </c>
      <c r="IE27" s="247">
        <v>679</v>
      </c>
      <c r="IF27" s="247">
        <f>SUM(IB27:IE27)</f>
        <v>2895</v>
      </c>
      <c r="IH27" s="598" t="s">
        <v>147</v>
      </c>
      <c r="II27" s="247">
        <v>662</v>
      </c>
      <c r="IJ27" s="247">
        <v>744</v>
      </c>
      <c r="IK27" s="247">
        <v>721</v>
      </c>
      <c r="IL27" s="247">
        <v>722</v>
      </c>
      <c r="IM27" s="247">
        <f>SUM(II27:IL27)</f>
        <v>2849</v>
      </c>
      <c r="IO27" s="598" t="s">
        <v>147</v>
      </c>
      <c r="IP27" s="247">
        <v>638</v>
      </c>
      <c r="IQ27" s="247">
        <v>630</v>
      </c>
      <c r="IR27" s="247">
        <v>583</v>
      </c>
      <c r="IS27" s="247">
        <v>449</v>
      </c>
      <c r="IT27" s="247">
        <f>SUM(IP27:IS27)</f>
        <v>2300</v>
      </c>
      <c r="IV27" s="598" t="s">
        <v>147</v>
      </c>
      <c r="IW27" s="247">
        <v>399</v>
      </c>
      <c r="IX27" s="247">
        <v>416</v>
      </c>
      <c r="IY27" s="247">
        <v>467</v>
      </c>
      <c r="IZ27" s="247">
        <v>551</v>
      </c>
      <c r="JA27" s="247">
        <f>SUM(IW27:IZ27)</f>
        <v>1833</v>
      </c>
      <c r="JC27" s="598" t="s">
        <v>147</v>
      </c>
      <c r="JD27" s="247">
        <v>522</v>
      </c>
      <c r="JE27" s="247">
        <v>530</v>
      </c>
      <c r="JF27" s="247">
        <v>514</v>
      </c>
      <c r="JG27" s="247">
        <v>541</v>
      </c>
      <c r="JH27" s="247">
        <f>SUM(JD27:JG27)</f>
        <v>2107</v>
      </c>
      <c r="JJ27" s="598" t="s">
        <v>147</v>
      </c>
      <c r="JK27" s="247">
        <v>503</v>
      </c>
      <c r="JL27" s="247">
        <v>569</v>
      </c>
      <c r="JM27" s="247">
        <v>588</v>
      </c>
      <c r="JN27" s="247">
        <v>586</v>
      </c>
      <c r="JO27" s="247">
        <f>SUM(JK27:JN27)</f>
        <v>2246</v>
      </c>
      <c r="JQ27" s="598" t="s">
        <v>147</v>
      </c>
      <c r="JR27" s="247">
        <v>538</v>
      </c>
      <c r="JS27" s="247">
        <v>557</v>
      </c>
      <c r="JT27" s="247">
        <v>516</v>
      </c>
      <c r="JU27" s="247">
        <v>459</v>
      </c>
      <c r="JV27" s="247">
        <f>SUM(JR27:JU27)</f>
        <v>2070</v>
      </c>
      <c r="JX27" s="598" t="s">
        <v>147</v>
      </c>
      <c r="JY27" s="247">
        <v>405</v>
      </c>
      <c r="JZ27" s="247">
        <v>287</v>
      </c>
      <c r="KA27" s="247">
        <v>330</v>
      </c>
      <c r="KB27" s="247">
        <v>375</v>
      </c>
      <c r="KC27" s="247">
        <f>SUM(JY27:KB27)</f>
        <v>1397</v>
      </c>
      <c r="KE27" s="598" t="s">
        <v>147</v>
      </c>
      <c r="KF27" s="247">
        <v>468</v>
      </c>
      <c r="KG27" s="247">
        <v>423</v>
      </c>
      <c r="KH27" s="247">
        <v>460</v>
      </c>
      <c r="KI27" s="247">
        <v>523</v>
      </c>
      <c r="KJ27" s="247">
        <f>SUM(KF27:KI27)</f>
        <v>1874</v>
      </c>
      <c r="KL27" s="598" t="s">
        <v>147</v>
      </c>
      <c r="KM27" s="247">
        <v>533</v>
      </c>
      <c r="KN27" s="247">
        <v>651</v>
      </c>
      <c r="KO27" s="247">
        <v>624</v>
      </c>
      <c r="KP27" s="247">
        <v>626</v>
      </c>
      <c r="KQ27" s="247">
        <f>SUM(KM27:KP27)</f>
        <v>2434</v>
      </c>
      <c r="KS27" s="598" t="s">
        <v>147</v>
      </c>
      <c r="KT27" s="247">
        <v>633</v>
      </c>
      <c r="KU27" s="247">
        <v>637</v>
      </c>
      <c r="KV27" s="301">
        <v>594</v>
      </c>
      <c r="KW27" s="247">
        <v>620</v>
      </c>
      <c r="KX27" s="247">
        <f>SUM(KT27:KW27)</f>
        <v>2484</v>
      </c>
      <c r="KY27" s="648"/>
      <c r="KZ27" s="598" t="s">
        <v>147</v>
      </c>
      <c r="LA27" s="247">
        <v>632</v>
      </c>
      <c r="LB27" s="301">
        <v>563</v>
      </c>
      <c r="LC27" s="301">
        <v>553</v>
      </c>
      <c r="LD27" s="301">
        <v>499</v>
      </c>
      <c r="LE27" s="301">
        <f>SUM(LA27:LD27)</f>
        <v>2247</v>
      </c>
      <c r="LF27" s="561"/>
      <c r="LG27" s="598" t="s">
        <v>147</v>
      </c>
      <c r="LH27" s="301">
        <v>461</v>
      </c>
      <c r="LI27" s="301">
        <v>477</v>
      </c>
      <c r="LJ27" s="301">
        <v>490</v>
      </c>
      <c r="LK27" s="301">
        <v>472</v>
      </c>
      <c r="LL27" s="301">
        <f>SUM(LH27:LK27)</f>
        <v>1900</v>
      </c>
      <c r="LM27" s="561"/>
      <c r="LN27" s="598" t="s">
        <v>147</v>
      </c>
      <c r="LO27" s="301">
        <f t="shared" si="135"/>
        <v>460.58509999999995</v>
      </c>
      <c r="LP27" s="301">
        <f t="shared" si="135"/>
        <v>484.10730000000001</v>
      </c>
      <c r="LQ27" s="301">
        <f t="shared" si="135"/>
        <v>501.24549999999999</v>
      </c>
      <c r="LR27" s="301">
        <f t="shared" si="135"/>
        <v>493.47599999999989</v>
      </c>
      <c r="LS27" s="301">
        <f>SUM(LO27:LR27)</f>
        <v>1939.4138999999998</v>
      </c>
      <c r="LT27" s="561"/>
      <c r="LU27" s="598" t="s">
        <v>147</v>
      </c>
      <c r="LV27" s="301">
        <f t="shared" ref="LV27:LY27" si="138">LV86*LV132/1000</f>
        <v>465.15640711749995</v>
      </c>
      <c r="LW27" s="301">
        <f t="shared" si="138"/>
        <v>488.94837299999995</v>
      </c>
      <c r="LX27" s="301">
        <f t="shared" si="138"/>
        <v>501.2329688625</v>
      </c>
      <c r="LY27" s="301">
        <f t="shared" si="138"/>
        <v>493.46366309999991</v>
      </c>
      <c r="LZ27" s="301">
        <f>SUM(LV27:LY27)</f>
        <v>1948.8014120799999</v>
      </c>
      <c r="MA27" s="561"/>
      <c r="MB27" s="598" t="s">
        <v>147</v>
      </c>
      <c r="MC27" s="301">
        <f t="shared" ref="MC27:MF27" si="139">MC86*MC132/1000</f>
        <v>463.97607273443924</v>
      </c>
      <c r="MD27" s="301">
        <f t="shared" si="139"/>
        <v>487.70766650351243</v>
      </c>
      <c r="ME27" s="301">
        <f t="shared" si="139"/>
        <v>502.4484588119916</v>
      </c>
      <c r="MF27" s="301">
        <f t="shared" si="139"/>
        <v>494.66031248301738</v>
      </c>
      <c r="MG27" s="301">
        <f>SUM(MC27:MF27)</f>
        <v>1948.7925105329607</v>
      </c>
      <c r="MH27" s="561"/>
    </row>
    <row r="28" spans="1:346" s="37" customFormat="1" ht="13.15" hidden="1" outlineLevel="1" x14ac:dyDescent="0.4">
      <c r="A28" s="100"/>
      <c r="B28" s="106" t="s">
        <v>328</v>
      </c>
      <c r="C28" s="107"/>
      <c r="D28" s="107"/>
      <c r="E28" s="107"/>
      <c r="F28" s="107"/>
      <c r="G28" s="107"/>
      <c r="H28" s="107"/>
      <c r="I28" s="107"/>
      <c r="J28" s="107"/>
      <c r="K28" s="107"/>
      <c r="L28" s="107"/>
      <c r="M28" s="107"/>
      <c r="N28" s="107">
        <f t="shared" si="88"/>
        <v>0</v>
      </c>
      <c r="O28" s="107">
        <f t="shared" si="89"/>
        <v>0</v>
      </c>
      <c r="P28" s="107">
        <f t="shared" si="90"/>
        <v>0</v>
      </c>
      <c r="Q28" s="107">
        <f t="shared" si="91"/>
        <v>0</v>
      </c>
      <c r="R28" s="107">
        <f t="shared" si="92"/>
        <v>0</v>
      </c>
      <c r="S28" s="107">
        <f t="shared" si="93"/>
        <v>0</v>
      </c>
      <c r="T28" s="107">
        <f t="shared" si="94"/>
        <v>0</v>
      </c>
      <c r="U28" s="107">
        <f t="shared" si="95"/>
        <v>0</v>
      </c>
      <c r="V28" s="107">
        <f t="shared" si="96"/>
        <v>0</v>
      </c>
      <c r="W28" s="107">
        <f t="shared" si="97"/>
        <v>26</v>
      </c>
      <c r="X28" s="107">
        <f t="shared" si="98"/>
        <v>39</v>
      </c>
      <c r="Y28" s="107">
        <f t="shared" si="99"/>
        <v>47</v>
      </c>
      <c r="Z28" s="107">
        <f t="shared" si="100"/>
        <v>46</v>
      </c>
      <c r="AA28" s="107">
        <f t="shared" si="101"/>
        <v>57</v>
      </c>
      <c r="AB28" s="107">
        <f t="shared" si="102"/>
        <v>57</v>
      </c>
      <c r="AC28" s="107">
        <f t="shared" si="103"/>
        <v>66</v>
      </c>
      <c r="AD28" s="107">
        <f t="shared" si="104"/>
        <v>88</v>
      </c>
      <c r="AE28" s="107">
        <f t="shared" si="105"/>
        <v>119</v>
      </c>
      <c r="AF28" s="107">
        <f t="shared" si="106"/>
        <v>120</v>
      </c>
      <c r="AG28" s="107">
        <f t="shared" si="107"/>
        <v>175</v>
      </c>
      <c r="AH28" s="107">
        <f t="shared" si="108"/>
        <v>112</v>
      </c>
      <c r="AI28" s="107">
        <f t="shared" si="109"/>
        <v>0</v>
      </c>
      <c r="AJ28" s="107">
        <f t="shared" si="110"/>
        <v>0</v>
      </c>
      <c r="AK28" s="107">
        <f t="shared" si="111"/>
        <v>0</v>
      </c>
      <c r="AL28" s="107">
        <f t="shared" si="112"/>
        <v>0</v>
      </c>
      <c r="AM28" s="107">
        <f t="shared" si="113"/>
        <v>0</v>
      </c>
      <c r="AN28" s="107">
        <f t="shared" si="114"/>
        <v>0</v>
      </c>
      <c r="AO28" s="107">
        <f t="shared" si="115"/>
        <v>0</v>
      </c>
      <c r="AP28" s="107">
        <f t="shared" si="116"/>
        <v>0</v>
      </c>
      <c r="AQ28" s="107">
        <f t="shared" si="117"/>
        <v>0</v>
      </c>
      <c r="AR28" s="107">
        <f t="shared" si="118"/>
        <v>0</v>
      </c>
      <c r="AS28" s="107">
        <f t="shared" si="119"/>
        <v>0</v>
      </c>
      <c r="AT28" s="107">
        <f t="shared" si="120"/>
        <v>0</v>
      </c>
      <c r="AU28" s="107">
        <f t="shared" si="121"/>
        <v>0</v>
      </c>
      <c r="AV28" s="107">
        <f t="shared" si="122"/>
        <v>0</v>
      </c>
      <c r="AW28" s="107">
        <f t="shared" si="123"/>
        <v>0</v>
      </c>
      <c r="AX28" s="107">
        <f t="shared" si="124"/>
        <v>0</v>
      </c>
      <c r="AY28" s="107">
        <f t="shared" si="125"/>
        <v>0</v>
      </c>
      <c r="AZ28" s="107">
        <f t="shared" si="126"/>
        <v>0</v>
      </c>
      <c r="BA28" s="107">
        <f t="shared" si="127"/>
        <v>0</v>
      </c>
      <c r="BB28" s="107"/>
      <c r="BC28" s="107"/>
      <c r="BD28" s="107"/>
      <c r="BE28" s="107"/>
      <c r="BF28" s="107"/>
      <c r="BG28" s="107"/>
      <c r="BH28" s="107"/>
      <c r="BI28" s="107"/>
      <c r="BJ28" s="107"/>
      <c r="BK28" s="107"/>
      <c r="BL28" s="107"/>
      <c r="BM28" s="107"/>
      <c r="BO28" s="106" t="s">
        <v>328</v>
      </c>
      <c r="BP28" s="108"/>
      <c r="BQ28" s="108"/>
      <c r="BR28" s="108"/>
      <c r="BS28" s="108"/>
      <c r="BT28" s="108"/>
      <c r="BV28" s="106" t="s">
        <v>328</v>
      </c>
      <c r="BW28" s="108"/>
      <c r="BX28" s="108"/>
      <c r="BY28" s="108"/>
      <c r="BZ28" s="108"/>
      <c r="CA28" s="108"/>
      <c r="CC28" s="106" t="s">
        <v>328</v>
      </c>
      <c r="CD28" s="108"/>
      <c r="CE28" s="108"/>
      <c r="CF28" s="108"/>
      <c r="CG28" s="108"/>
      <c r="CH28" s="108"/>
      <c r="CJ28" s="106" t="s">
        <v>328</v>
      </c>
      <c r="CK28" s="108"/>
      <c r="CL28" s="108"/>
      <c r="CM28" s="108"/>
      <c r="CN28" s="108"/>
      <c r="CO28" s="108"/>
      <c r="CQ28" s="106" t="s">
        <v>328</v>
      </c>
      <c r="CR28" s="108"/>
      <c r="CS28" s="108"/>
      <c r="CT28" s="108"/>
      <c r="CU28" s="108"/>
      <c r="CV28" s="108"/>
      <c r="CX28" s="106" t="s">
        <v>328</v>
      </c>
      <c r="CY28" s="108"/>
      <c r="CZ28" s="108"/>
      <c r="DA28" s="108"/>
      <c r="DB28" s="108"/>
      <c r="DC28" s="108"/>
      <c r="DE28" s="106" t="s">
        <v>328</v>
      </c>
      <c r="DF28" s="108"/>
      <c r="DG28" s="108"/>
      <c r="DH28" s="108"/>
      <c r="DI28" s="108"/>
      <c r="DJ28" s="108"/>
      <c r="DL28" s="106" t="s">
        <v>328</v>
      </c>
      <c r="DM28" s="108"/>
      <c r="DN28" s="108"/>
      <c r="DO28" s="108"/>
      <c r="DP28" s="108"/>
      <c r="DQ28" s="108"/>
      <c r="DS28" s="106" t="s">
        <v>328</v>
      </c>
      <c r="DT28" s="108"/>
      <c r="DU28" s="108"/>
      <c r="DV28" s="108"/>
      <c r="DW28" s="108"/>
      <c r="DX28" s="108"/>
      <c r="DZ28" s="106" t="s">
        <v>328</v>
      </c>
      <c r="EA28" s="108"/>
      <c r="EB28" s="108"/>
      <c r="EC28" s="108">
        <v>14</v>
      </c>
      <c r="ED28" s="108">
        <v>12</v>
      </c>
      <c r="EE28" s="108">
        <f t="shared" si="128"/>
        <v>26</v>
      </c>
      <c r="EG28" s="106" t="s">
        <v>328</v>
      </c>
      <c r="EH28" s="108"/>
      <c r="EI28" s="108">
        <v>13</v>
      </c>
      <c r="EJ28" s="108">
        <v>14</v>
      </c>
      <c r="EK28" s="108">
        <v>12</v>
      </c>
      <c r="EL28" s="108">
        <f t="shared" si="129"/>
        <v>39</v>
      </c>
      <c r="EN28" s="106" t="s">
        <v>328</v>
      </c>
      <c r="EO28" s="108">
        <v>12</v>
      </c>
      <c r="EP28" s="108">
        <v>13</v>
      </c>
      <c r="EQ28" s="108">
        <v>11</v>
      </c>
      <c r="ER28" s="108">
        <v>11</v>
      </c>
      <c r="ES28" s="108">
        <f t="shared" si="130"/>
        <v>47</v>
      </c>
      <c r="EU28" s="106" t="s">
        <v>328</v>
      </c>
      <c r="EV28" s="108">
        <v>11</v>
      </c>
      <c r="EW28" s="108">
        <v>13</v>
      </c>
      <c r="EX28" s="108">
        <v>12</v>
      </c>
      <c r="EY28" s="108">
        <v>10</v>
      </c>
      <c r="EZ28" s="108">
        <f t="shared" si="131"/>
        <v>46</v>
      </c>
      <c r="FB28" s="106" t="s">
        <v>328</v>
      </c>
      <c r="FC28" s="108">
        <v>16</v>
      </c>
      <c r="FD28" s="108">
        <v>19</v>
      </c>
      <c r="FE28" s="108">
        <v>12</v>
      </c>
      <c r="FF28" s="108">
        <v>10</v>
      </c>
      <c r="FG28" s="108">
        <f t="shared" si="132"/>
        <v>57</v>
      </c>
      <c r="FI28" s="106" t="s">
        <v>328</v>
      </c>
      <c r="FJ28" s="108">
        <v>13</v>
      </c>
      <c r="FK28" s="108">
        <v>15</v>
      </c>
      <c r="FL28" s="108">
        <v>14</v>
      </c>
      <c r="FM28" s="108">
        <v>15</v>
      </c>
      <c r="FN28" s="108">
        <f t="shared" si="133"/>
        <v>57</v>
      </c>
      <c r="FP28" s="106" t="s">
        <v>328</v>
      </c>
      <c r="FQ28" s="108">
        <v>17</v>
      </c>
      <c r="FR28" s="108">
        <v>16</v>
      </c>
      <c r="FS28" s="108">
        <v>15</v>
      </c>
      <c r="FT28" s="108">
        <v>18</v>
      </c>
      <c r="FU28" s="108">
        <f t="shared" si="134"/>
        <v>66</v>
      </c>
      <c r="FW28" s="106" t="s">
        <v>328</v>
      </c>
      <c r="FX28" s="108">
        <v>24</v>
      </c>
      <c r="FY28" s="108">
        <v>22</v>
      </c>
      <c r="FZ28" s="108">
        <v>21</v>
      </c>
      <c r="GA28" s="108">
        <v>21</v>
      </c>
      <c r="GB28" s="108">
        <v>88</v>
      </c>
      <c r="GD28" s="106" t="s">
        <v>328</v>
      </c>
      <c r="GE28" s="108">
        <v>27</v>
      </c>
      <c r="GF28" s="108">
        <v>31</v>
      </c>
      <c r="GG28" s="108">
        <v>31</v>
      </c>
      <c r="GH28" s="108">
        <v>30</v>
      </c>
      <c r="GI28" s="108">
        <v>119</v>
      </c>
      <c r="GK28" s="106" t="s">
        <v>328</v>
      </c>
      <c r="GL28" s="108">
        <v>30</v>
      </c>
      <c r="GM28" s="108">
        <v>31</v>
      </c>
      <c r="GN28" s="108">
        <v>30</v>
      </c>
      <c r="GO28" s="108">
        <v>29</v>
      </c>
      <c r="GP28" s="108">
        <v>120</v>
      </c>
      <c r="GR28" s="106" t="s">
        <v>328</v>
      </c>
      <c r="GS28" s="108">
        <v>42</v>
      </c>
      <c r="GT28" s="108">
        <v>47</v>
      </c>
      <c r="GU28" s="108">
        <v>48</v>
      </c>
      <c r="GV28" s="108">
        <v>38</v>
      </c>
      <c r="GW28" s="108">
        <v>175</v>
      </c>
      <c r="GY28" s="106" t="s">
        <v>328</v>
      </c>
      <c r="GZ28" s="108">
        <v>31</v>
      </c>
      <c r="HA28" s="108">
        <v>23</v>
      </c>
      <c r="HB28" s="108">
        <v>27</v>
      </c>
      <c r="HC28" s="108">
        <v>31</v>
      </c>
      <c r="HD28" s="108">
        <v>112</v>
      </c>
      <c r="HF28" s="106" t="s">
        <v>328</v>
      </c>
      <c r="HG28" s="108"/>
      <c r="HH28" s="108"/>
      <c r="HI28" s="108"/>
      <c r="HJ28" s="108"/>
      <c r="HK28" s="108"/>
      <c r="HM28" s="106" t="s">
        <v>328</v>
      </c>
      <c r="HN28" s="108"/>
      <c r="HO28" s="108"/>
      <c r="HP28" s="108"/>
      <c r="HQ28" s="108"/>
      <c r="HR28" s="108"/>
      <c r="HT28" s="106" t="s">
        <v>328</v>
      </c>
      <c r="HU28" s="108"/>
      <c r="HV28" s="108"/>
      <c r="HW28" s="108"/>
      <c r="HX28" s="108"/>
      <c r="HY28" s="108"/>
      <c r="IA28" s="106" t="s">
        <v>328</v>
      </c>
      <c r="IB28" s="108"/>
      <c r="IC28" s="108"/>
      <c r="ID28" s="108"/>
      <c r="IE28" s="108"/>
      <c r="IF28" s="108"/>
      <c r="IH28" s="106" t="s">
        <v>328</v>
      </c>
      <c r="II28" s="108"/>
      <c r="IJ28" s="108"/>
      <c r="IK28" s="108"/>
      <c r="IL28" s="108"/>
      <c r="IM28" s="108"/>
      <c r="IO28" s="106" t="s">
        <v>328</v>
      </c>
      <c r="IP28" s="108"/>
      <c r="IQ28" s="108"/>
      <c r="IR28" s="108"/>
      <c r="IS28" s="108"/>
      <c r="IT28" s="108"/>
      <c r="IV28" s="106" t="s">
        <v>328</v>
      </c>
      <c r="IW28" s="108"/>
      <c r="IX28" s="108"/>
      <c r="IY28" s="108"/>
      <c r="IZ28" s="108"/>
      <c r="JA28" s="108"/>
      <c r="JC28" s="106" t="s">
        <v>328</v>
      </c>
      <c r="JD28" s="108"/>
      <c r="JE28" s="108"/>
      <c r="JF28" s="108"/>
      <c r="JG28" s="108"/>
      <c r="JH28" s="108"/>
      <c r="JJ28" s="106" t="s">
        <v>328</v>
      </c>
      <c r="JK28" s="108"/>
      <c r="JL28" s="108"/>
      <c r="JM28" s="108"/>
      <c r="JN28" s="108"/>
      <c r="JO28" s="108"/>
      <c r="JQ28" s="106" t="s">
        <v>328</v>
      </c>
      <c r="JR28" s="108"/>
      <c r="JS28" s="108"/>
      <c r="JT28" s="108"/>
      <c r="JU28" s="108"/>
      <c r="JV28" s="108"/>
      <c r="JX28" s="106" t="s">
        <v>328</v>
      </c>
      <c r="JY28" s="108"/>
      <c r="JZ28" s="108"/>
      <c r="KA28" s="108"/>
      <c r="KB28" s="108"/>
      <c r="KC28" s="108"/>
      <c r="KE28" s="106" t="s">
        <v>328</v>
      </c>
      <c r="KF28" s="108"/>
      <c r="KG28" s="108"/>
      <c r="KH28" s="108"/>
      <c r="KI28" s="108"/>
      <c r="KJ28" s="108"/>
      <c r="KL28" s="106" t="s">
        <v>328</v>
      </c>
      <c r="KM28" s="108"/>
      <c r="KN28" s="108"/>
      <c r="KO28" s="108"/>
      <c r="KP28" s="108"/>
      <c r="KQ28" s="108"/>
      <c r="KS28" s="106" t="s">
        <v>328</v>
      </c>
      <c r="KT28" s="108"/>
      <c r="KU28" s="108"/>
      <c r="KV28" s="107"/>
      <c r="KW28" s="108"/>
      <c r="KX28" s="108"/>
      <c r="KZ28" s="106" t="s">
        <v>328</v>
      </c>
      <c r="LA28" s="108"/>
      <c r="LB28" s="107"/>
      <c r="LC28" s="107"/>
      <c r="LD28" s="107"/>
      <c r="LE28" s="107"/>
      <c r="LF28" s="555"/>
      <c r="LG28" s="106" t="s">
        <v>328</v>
      </c>
      <c r="LH28" s="107"/>
      <c r="LI28" s="107"/>
      <c r="LJ28" s="107"/>
      <c r="LK28" s="107"/>
      <c r="LL28" s="107"/>
      <c r="LM28" s="555"/>
      <c r="LN28" s="106" t="s">
        <v>328</v>
      </c>
      <c r="LO28" s="107"/>
      <c r="LP28" s="107"/>
      <c r="LQ28" s="107"/>
      <c r="LR28" s="107"/>
      <c r="LS28" s="107"/>
      <c r="LT28" s="555"/>
      <c r="LU28" s="106" t="s">
        <v>328</v>
      </c>
      <c r="LV28" s="107"/>
      <c r="LW28" s="107"/>
      <c r="LX28" s="107"/>
      <c r="LY28" s="107"/>
      <c r="LZ28" s="107"/>
      <c r="MA28" s="555"/>
      <c r="MB28" s="106" t="s">
        <v>328</v>
      </c>
      <c r="MC28" s="107"/>
      <c r="MD28" s="107"/>
      <c r="ME28" s="107"/>
      <c r="MF28" s="107"/>
      <c r="MG28" s="107"/>
      <c r="MH28" s="555"/>
    </row>
    <row r="29" spans="1:346" s="37" customFormat="1" ht="13.15" hidden="1" outlineLevel="1" x14ac:dyDescent="0.4">
      <c r="A29" s="100"/>
      <c r="B29" s="106" t="s">
        <v>329</v>
      </c>
      <c r="C29" s="107"/>
      <c r="D29" s="107"/>
      <c r="E29" s="107"/>
      <c r="F29" s="107"/>
      <c r="G29" s="107"/>
      <c r="H29" s="107"/>
      <c r="I29" s="107"/>
      <c r="J29" s="107"/>
      <c r="K29" s="107"/>
      <c r="L29" s="107"/>
      <c r="M29" s="107"/>
      <c r="N29" s="107">
        <f t="shared" si="88"/>
        <v>0</v>
      </c>
      <c r="O29" s="107">
        <f t="shared" si="89"/>
        <v>0</v>
      </c>
      <c r="P29" s="107">
        <f t="shared" si="90"/>
        <v>0</v>
      </c>
      <c r="Q29" s="107">
        <f t="shared" si="91"/>
        <v>0</v>
      </c>
      <c r="R29" s="107">
        <f t="shared" si="92"/>
        <v>0</v>
      </c>
      <c r="S29" s="107">
        <f t="shared" si="93"/>
        <v>0</v>
      </c>
      <c r="T29" s="107">
        <f t="shared" si="94"/>
        <v>0</v>
      </c>
      <c r="U29" s="107">
        <f t="shared" si="95"/>
        <v>0</v>
      </c>
      <c r="V29" s="107">
        <f t="shared" si="96"/>
        <v>0</v>
      </c>
      <c r="W29" s="107">
        <f t="shared" si="97"/>
        <v>15</v>
      </c>
      <c r="X29" s="107">
        <f t="shared" si="98"/>
        <v>31</v>
      </c>
      <c r="Y29" s="107">
        <f t="shared" si="99"/>
        <v>30</v>
      </c>
      <c r="Z29" s="107">
        <f t="shared" si="100"/>
        <v>22</v>
      </c>
      <c r="AA29" s="107">
        <f t="shared" si="101"/>
        <v>12</v>
      </c>
      <c r="AB29" s="107">
        <f t="shared" si="102"/>
        <v>0</v>
      </c>
      <c r="AC29" s="107">
        <f t="shared" si="103"/>
        <v>0</v>
      </c>
      <c r="AD29" s="107">
        <f t="shared" si="104"/>
        <v>0</v>
      </c>
      <c r="AE29" s="107">
        <f t="shared" si="105"/>
        <v>0</v>
      </c>
      <c r="AF29" s="107">
        <f t="shared" si="106"/>
        <v>0</v>
      </c>
      <c r="AG29" s="107">
        <f t="shared" si="107"/>
        <v>0</v>
      </c>
      <c r="AH29" s="107">
        <f t="shared" si="108"/>
        <v>0</v>
      </c>
      <c r="AI29" s="107">
        <f t="shared" si="109"/>
        <v>0</v>
      </c>
      <c r="AJ29" s="107">
        <f t="shared" si="110"/>
        <v>0</v>
      </c>
      <c r="AK29" s="107">
        <f t="shared" si="111"/>
        <v>0</v>
      </c>
      <c r="AL29" s="107">
        <f t="shared" si="112"/>
        <v>0</v>
      </c>
      <c r="AM29" s="107">
        <f t="shared" si="113"/>
        <v>0</v>
      </c>
      <c r="AN29" s="107">
        <f t="shared" si="114"/>
        <v>0</v>
      </c>
      <c r="AO29" s="107">
        <f t="shared" si="115"/>
        <v>0</v>
      </c>
      <c r="AP29" s="107">
        <f t="shared" si="116"/>
        <v>0</v>
      </c>
      <c r="AQ29" s="107">
        <f t="shared" si="117"/>
        <v>0</v>
      </c>
      <c r="AR29" s="107">
        <f t="shared" si="118"/>
        <v>0</v>
      </c>
      <c r="AS29" s="107">
        <f t="shared" si="119"/>
        <v>0</v>
      </c>
      <c r="AT29" s="107">
        <f t="shared" si="120"/>
        <v>0</v>
      </c>
      <c r="AU29" s="107">
        <f t="shared" si="121"/>
        <v>0</v>
      </c>
      <c r="AV29" s="107">
        <f t="shared" si="122"/>
        <v>0</v>
      </c>
      <c r="AW29" s="107">
        <f t="shared" si="123"/>
        <v>0</v>
      </c>
      <c r="AX29" s="107">
        <f t="shared" si="124"/>
        <v>0</v>
      </c>
      <c r="AY29" s="107">
        <f t="shared" si="125"/>
        <v>0</v>
      </c>
      <c r="AZ29" s="107">
        <f t="shared" si="126"/>
        <v>0</v>
      </c>
      <c r="BA29" s="107">
        <f t="shared" si="127"/>
        <v>0</v>
      </c>
      <c r="BB29" s="107"/>
      <c r="BC29" s="107"/>
      <c r="BD29" s="107"/>
      <c r="BE29" s="107"/>
      <c r="BF29" s="107"/>
      <c r="BG29" s="107"/>
      <c r="BH29" s="107"/>
      <c r="BI29" s="107"/>
      <c r="BJ29" s="107"/>
      <c r="BK29" s="107"/>
      <c r="BL29" s="107"/>
      <c r="BM29" s="107"/>
      <c r="BO29" s="106" t="s">
        <v>329</v>
      </c>
      <c r="BP29" s="108"/>
      <c r="BQ29" s="108"/>
      <c r="BR29" s="108"/>
      <c r="BS29" s="108"/>
      <c r="BT29" s="108"/>
      <c r="BV29" s="106" t="s">
        <v>329</v>
      </c>
      <c r="BW29" s="108"/>
      <c r="BX29" s="108"/>
      <c r="BY29" s="108"/>
      <c r="BZ29" s="108"/>
      <c r="CA29" s="108"/>
      <c r="CC29" s="106" t="s">
        <v>329</v>
      </c>
      <c r="CD29" s="108"/>
      <c r="CE29" s="108"/>
      <c r="CF29" s="108"/>
      <c r="CG29" s="108"/>
      <c r="CH29" s="108"/>
      <c r="CJ29" s="106" t="s">
        <v>329</v>
      </c>
      <c r="CK29" s="108"/>
      <c r="CL29" s="108"/>
      <c r="CM29" s="108"/>
      <c r="CN29" s="108"/>
      <c r="CO29" s="108"/>
      <c r="CQ29" s="106" t="s">
        <v>329</v>
      </c>
      <c r="CR29" s="108"/>
      <c r="CS29" s="108"/>
      <c r="CT29" s="108"/>
      <c r="CU29" s="108"/>
      <c r="CV29" s="108"/>
      <c r="CX29" s="106" t="s">
        <v>329</v>
      </c>
      <c r="CY29" s="108"/>
      <c r="CZ29" s="108"/>
      <c r="DA29" s="108"/>
      <c r="DB29" s="108"/>
      <c r="DC29" s="108"/>
      <c r="DE29" s="106" t="s">
        <v>329</v>
      </c>
      <c r="DF29" s="108"/>
      <c r="DG29" s="108"/>
      <c r="DH29" s="108"/>
      <c r="DI29" s="108"/>
      <c r="DJ29" s="108"/>
      <c r="DL29" s="106" t="s">
        <v>329</v>
      </c>
      <c r="DM29" s="108"/>
      <c r="DN29" s="108"/>
      <c r="DO29" s="108"/>
      <c r="DP29" s="108"/>
      <c r="DQ29" s="108"/>
      <c r="DS29" s="106" t="s">
        <v>329</v>
      </c>
      <c r="DT29" s="108"/>
      <c r="DU29" s="108"/>
      <c r="DV29" s="108"/>
      <c r="DW29" s="108"/>
      <c r="DX29" s="108"/>
      <c r="DZ29" s="106" t="s">
        <v>329</v>
      </c>
      <c r="EA29" s="108"/>
      <c r="EB29" s="108"/>
      <c r="EC29" s="108">
        <v>7</v>
      </c>
      <c r="ED29" s="108">
        <v>8</v>
      </c>
      <c r="EE29" s="108">
        <f t="shared" si="128"/>
        <v>15</v>
      </c>
      <c r="EG29" s="106" t="s">
        <v>329</v>
      </c>
      <c r="EH29" s="108"/>
      <c r="EI29" s="108">
        <v>13</v>
      </c>
      <c r="EJ29" s="108">
        <v>11</v>
      </c>
      <c r="EK29" s="108">
        <v>7</v>
      </c>
      <c r="EL29" s="108">
        <f t="shared" si="129"/>
        <v>31</v>
      </c>
      <c r="EN29" s="106" t="s">
        <v>329</v>
      </c>
      <c r="EO29" s="108">
        <v>7</v>
      </c>
      <c r="EP29" s="108">
        <v>7</v>
      </c>
      <c r="EQ29" s="108">
        <v>8</v>
      </c>
      <c r="ER29" s="108">
        <v>8</v>
      </c>
      <c r="ES29" s="108">
        <f t="shared" si="130"/>
        <v>30</v>
      </c>
      <c r="EU29" s="106" t="s">
        <v>329</v>
      </c>
      <c r="EV29" s="108">
        <v>3</v>
      </c>
      <c r="EW29" s="108">
        <v>8</v>
      </c>
      <c r="EX29" s="108">
        <v>6</v>
      </c>
      <c r="EY29" s="108">
        <v>5</v>
      </c>
      <c r="EZ29" s="108">
        <f t="shared" si="131"/>
        <v>22</v>
      </c>
      <c r="FB29" s="106" t="s">
        <v>329</v>
      </c>
      <c r="FC29" s="108"/>
      <c r="FD29" s="108"/>
      <c r="FE29" s="108">
        <v>7</v>
      </c>
      <c r="FF29" s="108">
        <v>5</v>
      </c>
      <c r="FG29" s="108">
        <f t="shared" si="132"/>
        <v>12</v>
      </c>
      <c r="FI29" s="106" t="s">
        <v>329</v>
      </c>
      <c r="FJ29" s="108"/>
      <c r="FK29" s="108"/>
      <c r="FL29" s="108"/>
      <c r="FM29" s="108"/>
      <c r="FN29" s="108"/>
      <c r="FP29" s="106" t="s">
        <v>329</v>
      </c>
      <c r="FQ29" s="108"/>
      <c r="FR29" s="108"/>
      <c r="FS29" s="108"/>
      <c r="FT29" s="108"/>
      <c r="FU29" s="108"/>
      <c r="FW29" s="106" t="s">
        <v>329</v>
      </c>
      <c r="FX29" s="108"/>
      <c r="FY29" s="108"/>
      <c r="FZ29" s="108"/>
      <c r="GA29" s="108"/>
      <c r="GB29" s="108"/>
      <c r="GD29" s="106" t="s">
        <v>329</v>
      </c>
      <c r="GE29" s="108"/>
      <c r="GF29" s="108"/>
      <c r="GG29" s="108"/>
      <c r="GH29" s="108"/>
      <c r="GI29" s="108"/>
      <c r="GK29" s="106" t="s">
        <v>329</v>
      </c>
      <c r="GL29" s="108"/>
      <c r="GM29" s="108"/>
      <c r="GN29" s="108"/>
      <c r="GO29" s="108"/>
      <c r="GP29" s="108"/>
      <c r="GR29" s="106" t="s">
        <v>329</v>
      </c>
      <c r="GS29" s="108"/>
      <c r="GT29" s="108"/>
      <c r="GU29" s="108"/>
      <c r="GV29" s="108"/>
      <c r="GW29" s="108"/>
      <c r="GY29" s="106" t="s">
        <v>329</v>
      </c>
      <c r="GZ29" s="108"/>
      <c r="HA29" s="108"/>
      <c r="HB29" s="108"/>
      <c r="HC29" s="108"/>
      <c r="HD29" s="108"/>
      <c r="HF29" s="106" t="s">
        <v>329</v>
      </c>
      <c r="HG29" s="108"/>
      <c r="HH29" s="108"/>
      <c r="HI29" s="108"/>
      <c r="HJ29" s="108"/>
      <c r="HK29" s="108"/>
      <c r="HM29" s="106" t="s">
        <v>329</v>
      </c>
      <c r="HN29" s="108"/>
      <c r="HO29" s="108"/>
      <c r="HP29" s="108"/>
      <c r="HQ29" s="108"/>
      <c r="HR29" s="108"/>
      <c r="HT29" s="106" t="s">
        <v>329</v>
      </c>
      <c r="HU29" s="108"/>
      <c r="HV29" s="108"/>
      <c r="HW29" s="108"/>
      <c r="HX29" s="108"/>
      <c r="HY29" s="108"/>
      <c r="IA29" s="106" t="s">
        <v>329</v>
      </c>
      <c r="IB29" s="108"/>
      <c r="IC29" s="108"/>
      <c r="ID29" s="108"/>
      <c r="IE29" s="108"/>
      <c r="IF29" s="108"/>
      <c r="IH29" s="106" t="s">
        <v>329</v>
      </c>
      <c r="II29" s="108"/>
      <c r="IJ29" s="108"/>
      <c r="IK29" s="108"/>
      <c r="IL29" s="108"/>
      <c r="IM29" s="108"/>
      <c r="IO29" s="106" t="s">
        <v>329</v>
      </c>
      <c r="IP29" s="108"/>
      <c r="IQ29" s="108"/>
      <c r="IR29" s="108"/>
      <c r="IS29" s="108"/>
      <c r="IT29" s="108"/>
      <c r="IV29" s="106" t="s">
        <v>329</v>
      </c>
      <c r="IW29" s="108"/>
      <c r="IX29" s="108"/>
      <c r="IY29" s="108"/>
      <c r="IZ29" s="108"/>
      <c r="JA29" s="108"/>
      <c r="JC29" s="106" t="s">
        <v>329</v>
      </c>
      <c r="JD29" s="108"/>
      <c r="JE29" s="108"/>
      <c r="JF29" s="108"/>
      <c r="JG29" s="108"/>
      <c r="JH29" s="108"/>
      <c r="JJ29" s="106" t="s">
        <v>329</v>
      </c>
      <c r="JK29" s="108"/>
      <c r="JL29" s="108"/>
      <c r="JM29" s="108"/>
      <c r="JN29" s="108"/>
      <c r="JO29" s="108"/>
      <c r="JQ29" s="106" t="s">
        <v>329</v>
      </c>
      <c r="JR29" s="108"/>
      <c r="JS29" s="108"/>
      <c r="JT29" s="108"/>
      <c r="JU29" s="108"/>
      <c r="JV29" s="108"/>
      <c r="JX29" s="106" t="s">
        <v>329</v>
      </c>
      <c r="JY29" s="108"/>
      <c r="JZ29" s="108"/>
      <c r="KA29" s="108"/>
      <c r="KB29" s="108"/>
      <c r="KC29" s="108"/>
      <c r="KE29" s="106" t="s">
        <v>329</v>
      </c>
      <c r="KF29" s="108"/>
      <c r="KG29" s="108"/>
      <c r="KH29" s="108"/>
      <c r="KI29" s="108"/>
      <c r="KJ29" s="108"/>
      <c r="KL29" s="106" t="s">
        <v>329</v>
      </c>
      <c r="KM29" s="108"/>
      <c r="KN29" s="108"/>
      <c r="KO29" s="108"/>
      <c r="KP29" s="108"/>
      <c r="KQ29" s="108"/>
      <c r="KS29" s="106" t="s">
        <v>329</v>
      </c>
      <c r="KT29" s="108"/>
      <c r="KU29" s="108"/>
      <c r="KV29" s="107"/>
      <c r="KW29" s="108"/>
      <c r="KX29" s="108"/>
      <c r="KZ29" s="106" t="s">
        <v>329</v>
      </c>
      <c r="LA29" s="108"/>
      <c r="LB29" s="107"/>
      <c r="LC29" s="107"/>
      <c r="LD29" s="107"/>
      <c r="LE29" s="107"/>
      <c r="LF29" s="555"/>
      <c r="LG29" s="106" t="s">
        <v>329</v>
      </c>
      <c r="LH29" s="107"/>
      <c r="LI29" s="107"/>
      <c r="LJ29" s="107"/>
      <c r="LK29" s="107"/>
      <c r="LL29" s="107"/>
      <c r="LM29" s="555"/>
      <c r="LN29" s="106" t="s">
        <v>329</v>
      </c>
      <c r="LO29" s="107"/>
      <c r="LP29" s="107"/>
      <c r="LQ29" s="107"/>
      <c r="LR29" s="107"/>
      <c r="LS29" s="107"/>
      <c r="LT29" s="555"/>
      <c r="LU29" s="106" t="s">
        <v>329</v>
      </c>
      <c r="LV29" s="107"/>
      <c r="LW29" s="107"/>
      <c r="LX29" s="107"/>
      <c r="LY29" s="107"/>
      <c r="LZ29" s="107"/>
      <c r="MA29" s="555"/>
      <c r="MB29" s="106" t="s">
        <v>329</v>
      </c>
      <c r="MC29" s="107"/>
      <c r="MD29" s="107"/>
      <c r="ME29" s="107"/>
      <c r="MF29" s="107"/>
      <c r="MG29" s="107"/>
      <c r="MH29" s="555"/>
    </row>
    <row r="30" spans="1:346" s="37" customFormat="1" ht="13.15" collapsed="1" x14ac:dyDescent="0.4">
      <c r="A30" s="100"/>
      <c r="B30" s="101"/>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O30" s="101"/>
      <c r="BP30" s="103"/>
      <c r="BQ30" s="103"/>
      <c r="BR30" s="103"/>
      <c r="BS30" s="103"/>
      <c r="BT30" s="103"/>
      <c r="BV30" s="101"/>
      <c r="BW30" s="103"/>
      <c r="BX30" s="103"/>
      <c r="BY30" s="103"/>
      <c r="BZ30" s="103"/>
      <c r="CA30" s="103"/>
      <c r="CC30" s="101"/>
      <c r="CD30" s="103"/>
      <c r="CE30" s="103"/>
      <c r="CF30" s="103"/>
      <c r="CG30" s="103"/>
      <c r="CH30" s="103"/>
      <c r="CJ30" s="101"/>
      <c r="CK30" s="103"/>
      <c r="CL30" s="103"/>
      <c r="CM30" s="103"/>
      <c r="CN30" s="103"/>
      <c r="CO30" s="103"/>
      <c r="CQ30" s="101"/>
      <c r="CR30" s="103"/>
      <c r="CS30" s="103"/>
      <c r="CT30" s="103"/>
      <c r="CU30" s="103"/>
      <c r="CV30" s="103"/>
      <c r="CX30" s="101"/>
      <c r="CY30" s="103"/>
      <c r="CZ30" s="103"/>
      <c r="DA30" s="103"/>
      <c r="DB30" s="103"/>
      <c r="DC30" s="103"/>
      <c r="DE30" s="101"/>
      <c r="DF30" s="103"/>
      <c r="DG30" s="103"/>
      <c r="DH30" s="103"/>
      <c r="DI30" s="103"/>
      <c r="DJ30" s="103"/>
      <c r="DL30" s="101"/>
      <c r="DM30" s="103"/>
      <c r="DN30" s="103"/>
      <c r="DO30" s="103"/>
      <c r="DP30" s="103"/>
      <c r="DQ30" s="103"/>
      <c r="DS30" s="101"/>
      <c r="DT30" s="103"/>
      <c r="DU30" s="103"/>
      <c r="DV30" s="103"/>
      <c r="DW30" s="103"/>
      <c r="DX30" s="103"/>
      <c r="DZ30" s="101"/>
      <c r="EA30" s="103"/>
      <c r="EB30" s="103"/>
      <c r="EC30" s="103"/>
      <c r="ED30" s="103"/>
      <c r="EE30" s="103"/>
      <c r="EG30" s="101"/>
      <c r="EH30" s="103"/>
      <c r="EI30" s="103"/>
      <c r="EJ30" s="103"/>
      <c r="EK30" s="103"/>
      <c r="EL30" s="103"/>
      <c r="EN30" s="101"/>
      <c r="EO30" s="103"/>
      <c r="EP30" s="103"/>
      <c r="EQ30" s="103"/>
      <c r="ER30" s="103"/>
      <c r="ES30" s="103"/>
      <c r="EU30" s="101"/>
      <c r="EV30" s="103"/>
      <c r="EW30" s="103"/>
      <c r="EX30" s="103"/>
      <c r="EY30" s="103"/>
      <c r="EZ30" s="103"/>
      <c r="FB30" s="101"/>
      <c r="FC30" s="103"/>
      <c r="FD30" s="103"/>
      <c r="FE30" s="103"/>
      <c r="FF30" s="103"/>
      <c r="FG30" s="103"/>
      <c r="FI30" s="101"/>
      <c r="FJ30" s="103"/>
      <c r="FK30" s="103"/>
      <c r="FL30" s="103"/>
      <c r="FM30" s="103"/>
      <c r="FN30" s="103"/>
      <c r="FP30" s="101"/>
      <c r="FQ30" s="103"/>
      <c r="FR30" s="103"/>
      <c r="FS30" s="103"/>
      <c r="FT30" s="103"/>
      <c r="FU30" s="103"/>
      <c r="FW30" s="101"/>
      <c r="FX30" s="103"/>
      <c r="FY30" s="103"/>
      <c r="FZ30" s="103"/>
      <c r="GA30" s="103"/>
      <c r="GB30" s="103"/>
      <c r="GD30" s="101"/>
      <c r="GE30" s="103"/>
      <c r="GF30" s="103"/>
      <c r="GG30" s="103"/>
      <c r="GH30" s="103"/>
      <c r="GI30" s="103"/>
      <c r="GK30" s="101"/>
      <c r="GL30" s="103"/>
      <c r="GM30" s="103"/>
      <c r="GN30" s="103"/>
      <c r="GO30" s="103"/>
      <c r="GP30" s="103"/>
      <c r="GR30" s="101"/>
      <c r="GS30" s="103"/>
      <c r="GT30" s="103"/>
      <c r="GU30" s="103"/>
      <c r="GV30" s="103"/>
      <c r="GW30" s="103"/>
      <c r="GY30" s="101"/>
      <c r="GZ30" s="103"/>
      <c r="HA30" s="103"/>
      <c r="HB30" s="103"/>
      <c r="HC30" s="103"/>
      <c r="HD30" s="103"/>
      <c r="HF30" s="101"/>
      <c r="HG30" s="103"/>
      <c r="HH30" s="103"/>
      <c r="HI30" s="103"/>
      <c r="HJ30" s="103"/>
      <c r="HK30" s="103"/>
      <c r="HM30" s="101"/>
      <c r="HN30" s="103"/>
      <c r="HO30" s="103"/>
      <c r="HP30" s="103"/>
      <c r="HQ30" s="103"/>
      <c r="HR30" s="103"/>
      <c r="HT30" s="101"/>
      <c r="HU30" s="103"/>
      <c r="HV30" s="103"/>
      <c r="HW30" s="103"/>
      <c r="HX30" s="103"/>
      <c r="HY30" s="103"/>
      <c r="IA30" s="101"/>
      <c r="IB30" s="103"/>
      <c r="IC30" s="103"/>
      <c r="ID30" s="103"/>
      <c r="IE30" s="103"/>
      <c r="IF30" s="103"/>
      <c r="IH30" s="101"/>
      <c r="II30" s="103"/>
      <c r="IJ30" s="103"/>
      <c r="IK30" s="103"/>
      <c r="IL30" s="103"/>
      <c r="IM30" s="103"/>
      <c r="IO30" s="101"/>
      <c r="IP30" s="103"/>
      <c r="IQ30" s="103"/>
      <c r="IR30" s="103"/>
      <c r="IS30" s="103"/>
      <c r="IT30" s="103"/>
      <c r="IV30" s="101"/>
      <c r="IW30" s="103"/>
      <c r="IX30" s="103"/>
      <c r="IY30" s="103"/>
      <c r="IZ30" s="103"/>
      <c r="JA30" s="103"/>
      <c r="JC30" s="101"/>
      <c r="JD30" s="103"/>
      <c r="JE30" s="103"/>
      <c r="JF30" s="103"/>
      <c r="JG30" s="103"/>
      <c r="JH30" s="103"/>
      <c r="JJ30" s="101"/>
      <c r="JK30" s="103"/>
      <c r="JL30" s="103"/>
      <c r="JM30" s="103"/>
      <c r="JN30" s="103"/>
      <c r="JO30" s="103"/>
      <c r="JQ30" s="101"/>
      <c r="JR30" s="103"/>
      <c r="JS30" s="103"/>
      <c r="JT30" s="103"/>
      <c r="JU30" s="103"/>
      <c r="JV30" s="103"/>
      <c r="JX30" s="101"/>
      <c r="JY30" s="103"/>
      <c r="JZ30" s="103"/>
      <c r="KA30" s="103"/>
      <c r="KB30" s="103"/>
      <c r="KC30" s="103"/>
      <c r="KE30" s="101"/>
      <c r="KF30" s="103"/>
      <c r="KG30" s="103"/>
      <c r="KH30" s="103"/>
      <c r="KI30" s="103"/>
      <c r="KJ30" s="103"/>
      <c r="KL30" s="101"/>
      <c r="KM30" s="103"/>
      <c r="KN30" s="103"/>
      <c r="KO30" s="103"/>
      <c r="KP30" s="103"/>
      <c r="KQ30" s="103"/>
      <c r="KS30" s="101"/>
      <c r="KT30" s="103"/>
      <c r="KU30" s="103"/>
      <c r="KV30" s="102"/>
      <c r="KW30" s="102"/>
      <c r="KX30" s="103"/>
      <c r="KY30" s="648"/>
      <c r="KZ30" s="101"/>
      <c r="LA30" s="103"/>
      <c r="LB30" s="102"/>
      <c r="LC30" s="102">
        <f>+LC31-LC27</f>
        <v>2740</v>
      </c>
      <c r="LD30" s="102">
        <f>+LD31-LD27</f>
        <v>2717</v>
      </c>
      <c r="LE30" s="102"/>
      <c r="LF30" s="555"/>
      <c r="LG30" s="101"/>
      <c r="LH30" s="102"/>
      <c r="LI30" s="102"/>
      <c r="LJ30" s="102"/>
      <c r="LK30" s="102"/>
      <c r="LL30" s="102"/>
      <c r="LM30" s="555"/>
      <c r="LN30" s="101"/>
      <c r="LO30" s="102"/>
      <c r="LP30" s="102"/>
      <c r="LQ30" s="102"/>
      <c r="LR30" s="102"/>
      <c r="LS30" s="102"/>
      <c r="LT30" s="555"/>
      <c r="LU30" s="101"/>
      <c r="LV30" s="102"/>
      <c r="LW30" s="102"/>
      <c r="LX30" s="102"/>
      <c r="LY30" s="102"/>
      <c r="LZ30" s="102"/>
      <c r="MA30" s="555"/>
      <c r="MB30" s="101"/>
      <c r="MC30" s="102"/>
      <c r="MD30" s="102"/>
      <c r="ME30" s="102"/>
      <c r="MF30" s="102"/>
      <c r="MG30" s="102"/>
      <c r="MH30" s="555"/>
    </row>
    <row r="31" spans="1:346" s="521" customFormat="1" ht="13.5" thickBot="1" x14ac:dyDescent="0.45">
      <c r="A31" s="597"/>
      <c r="B31" s="602" t="s">
        <v>424</v>
      </c>
      <c r="C31" s="533">
        <f t="shared" ref="C31:M31" si="140">SUM(C20,C26:C29)</f>
        <v>0</v>
      </c>
      <c r="D31" s="533">
        <f t="shared" si="140"/>
        <v>0</v>
      </c>
      <c r="E31" s="533">
        <f t="shared" si="140"/>
        <v>4305.7</v>
      </c>
      <c r="F31" s="533">
        <f t="shared" si="140"/>
        <v>4850.7999999999993</v>
      </c>
      <c r="G31" s="533">
        <f t="shared" si="140"/>
        <v>4345.6000000000004</v>
      </c>
      <c r="H31" s="533">
        <f t="shared" si="140"/>
        <v>4369</v>
      </c>
      <c r="I31" s="533">
        <f t="shared" si="140"/>
        <v>4882</v>
      </c>
      <c r="J31" s="533">
        <f t="shared" si="140"/>
        <v>4672</v>
      </c>
      <c r="K31" s="533">
        <f t="shared" si="140"/>
        <v>4428</v>
      </c>
      <c r="L31" s="533">
        <f t="shared" si="140"/>
        <v>4564</v>
      </c>
      <c r="M31" s="533">
        <f t="shared" si="140"/>
        <v>4957</v>
      </c>
      <c r="N31" s="533">
        <f>BT31</f>
        <v>4855</v>
      </c>
      <c r="O31" s="533">
        <f>CA31</f>
        <v>4987</v>
      </c>
      <c r="P31" s="533">
        <f>CH31</f>
        <v>4910</v>
      </c>
      <c r="Q31" s="533">
        <f>CO31</f>
        <v>5072.6000000000004</v>
      </c>
      <c r="R31" s="533">
        <f>CV31</f>
        <v>5065</v>
      </c>
      <c r="S31" s="533">
        <f>DC31</f>
        <v>5415</v>
      </c>
      <c r="T31" s="533">
        <f>DJ31</f>
        <v>5388</v>
      </c>
      <c r="U31" s="533">
        <f>DQ31</f>
        <v>5425</v>
      </c>
      <c r="V31" s="533">
        <f>DX31</f>
        <v>5528</v>
      </c>
      <c r="W31" s="533">
        <f>EE31</f>
        <v>5461</v>
      </c>
      <c r="X31" s="533">
        <f>EL31</f>
        <v>6478</v>
      </c>
      <c r="Y31" s="533">
        <f>ES31</f>
        <v>7173</v>
      </c>
      <c r="Z31" s="533">
        <f>EZ31</f>
        <v>7105</v>
      </c>
      <c r="AA31" s="533">
        <f>FG31</f>
        <v>7129</v>
      </c>
      <c r="AB31" s="533">
        <f>FN31</f>
        <v>7404</v>
      </c>
      <c r="AC31" s="533">
        <f>FU31</f>
        <v>7941</v>
      </c>
      <c r="AD31" s="533">
        <f>GB31</f>
        <v>8497</v>
      </c>
      <c r="AE31" s="533">
        <f>GI31</f>
        <v>9385</v>
      </c>
      <c r="AF31" s="533">
        <f>GP31</f>
        <v>9788</v>
      </c>
      <c r="AG31" s="533">
        <f>GW31</f>
        <v>11000</v>
      </c>
      <c r="AH31" s="533">
        <f>HD31</f>
        <v>8806</v>
      </c>
      <c r="AI31" s="533">
        <f>HK31</f>
        <v>10348</v>
      </c>
      <c r="AJ31" s="533">
        <f>HR31</f>
        <v>11445</v>
      </c>
      <c r="AK31" s="533">
        <f>HY31</f>
        <v>11440</v>
      </c>
      <c r="AL31" s="533">
        <f>IF31</f>
        <v>11629</v>
      </c>
      <c r="AM31" s="533">
        <f>IM31</f>
        <v>12247</v>
      </c>
      <c r="AN31" s="533">
        <f>IT31</f>
        <v>11333</v>
      </c>
      <c r="AO31" s="533">
        <f>JA31</f>
        <v>10701</v>
      </c>
      <c r="AP31" s="533">
        <f>JH31</f>
        <v>10974</v>
      </c>
      <c r="AQ31" s="533">
        <f>JO31</f>
        <v>11668</v>
      </c>
      <c r="AR31" s="533">
        <f>JV31</f>
        <v>11419</v>
      </c>
      <c r="AS31" s="533">
        <f>KC31</f>
        <v>10175</v>
      </c>
      <c r="AT31" s="533">
        <f>KJ31</f>
        <v>11368</v>
      </c>
      <c r="AU31" s="533">
        <f>KQ31</f>
        <v>12979</v>
      </c>
      <c r="AV31" s="533">
        <f>KX31</f>
        <v>13197</v>
      </c>
      <c r="AW31" s="533">
        <f>LE31</f>
        <v>13197</v>
      </c>
      <c r="AX31" s="533">
        <f>LL31</f>
        <v>12746</v>
      </c>
      <c r="AY31" s="533">
        <f>LS31</f>
        <v>13111.655274999997</v>
      </c>
      <c r="AZ31" s="533">
        <f>LZ31</f>
        <v>13761.800060184218</v>
      </c>
      <c r="BA31" s="533">
        <f>MG31</f>
        <v>14392.597383025455</v>
      </c>
      <c r="BB31" s="533"/>
      <c r="BC31" s="533"/>
      <c r="BD31" s="533"/>
      <c r="BE31" s="533"/>
      <c r="BF31" s="533"/>
      <c r="BG31" s="533"/>
      <c r="BH31" s="533"/>
      <c r="BI31" s="533"/>
      <c r="BJ31" s="533"/>
      <c r="BK31" s="533"/>
      <c r="BL31" s="533"/>
      <c r="BM31" s="533"/>
      <c r="BO31" s="602" t="s">
        <v>424</v>
      </c>
      <c r="BP31" s="603">
        <f>SUM(BP20,BP26:BP29)</f>
        <v>1234</v>
      </c>
      <c r="BQ31" s="603">
        <f>SUM(BQ20,BQ26:BQ29)</f>
        <v>1233</v>
      </c>
      <c r="BR31" s="603">
        <f>SUM(BR20,BR26:BR29)</f>
        <v>1159</v>
      </c>
      <c r="BS31" s="603">
        <f>SUM(BS20,BS26:BS29)</f>
        <v>1229</v>
      </c>
      <c r="BT31" s="603">
        <f>SUM(BT20,BT26:BT29)</f>
        <v>4855</v>
      </c>
      <c r="BV31" s="602" t="s">
        <v>424</v>
      </c>
      <c r="BW31" s="603">
        <f>SUM(BW20,BW26:BW29)</f>
        <v>1252</v>
      </c>
      <c r="BX31" s="603">
        <f>SUM(BX20,BX26:BX29)</f>
        <v>1262</v>
      </c>
      <c r="BY31" s="603">
        <f>SUM(BY20,BY26:BY29)</f>
        <v>1220</v>
      </c>
      <c r="BZ31" s="603">
        <f>SUM(BZ20,BZ26:BZ29)</f>
        <v>1253</v>
      </c>
      <c r="CA31" s="603">
        <f>SUM(CA20,CA26:CA29)</f>
        <v>4987</v>
      </c>
      <c r="CC31" s="602" t="s">
        <v>424</v>
      </c>
      <c r="CD31" s="603">
        <f>SUM(CD20,CD26:CD29)</f>
        <v>1192</v>
      </c>
      <c r="CE31" s="603">
        <f>SUM(CE20,CE26:CE29)</f>
        <v>1201</v>
      </c>
      <c r="CF31" s="603">
        <f>SUM(CF20,CF26:CF29)</f>
        <v>1245</v>
      </c>
      <c r="CG31" s="603">
        <f>SUM(CG20,CG26:CG29)</f>
        <v>1272</v>
      </c>
      <c r="CH31" s="603">
        <f>SUM(CH20,CH26:CH29)</f>
        <v>4910</v>
      </c>
      <c r="CJ31" s="602" t="s">
        <v>424</v>
      </c>
      <c r="CK31" s="603">
        <f>SUM(CK20,CK26:CK29)</f>
        <v>1269</v>
      </c>
      <c r="CL31" s="603">
        <f>SUM(CL20,CL26:CL29)</f>
        <v>1268.7</v>
      </c>
      <c r="CM31" s="603">
        <f>SUM(CM20,CM26:CM29)</f>
        <v>1246.9000000000001</v>
      </c>
      <c r="CN31" s="603">
        <f>SUM(CN20,CN26:CN29)</f>
        <v>1288</v>
      </c>
      <c r="CO31" s="603">
        <f>SUM(CO20,CO26:CO29)</f>
        <v>5072.6000000000004</v>
      </c>
      <c r="CQ31" s="602" t="s">
        <v>424</v>
      </c>
      <c r="CR31" s="603">
        <f>SUM(CR20,CR26:CR29)</f>
        <v>1244</v>
      </c>
      <c r="CS31" s="603">
        <f>SUM(CS20,CS26:CS29)</f>
        <v>1281</v>
      </c>
      <c r="CT31" s="603">
        <f>SUM(CT20,CT26:CT29)</f>
        <v>1239</v>
      </c>
      <c r="CU31" s="603">
        <f>SUM(CU20,CU26:CU29)</f>
        <v>1301</v>
      </c>
      <c r="CV31" s="603">
        <f>SUM(CV20,CV26:CV29)</f>
        <v>5065</v>
      </c>
      <c r="CX31" s="602" t="s">
        <v>424</v>
      </c>
      <c r="CY31" s="603">
        <f>SUM(CY20,CY26:CY29)</f>
        <v>1307</v>
      </c>
      <c r="CZ31" s="603">
        <f>SUM(CZ20,CZ26:CZ29)</f>
        <v>1372</v>
      </c>
      <c r="DA31" s="603">
        <f>SUM(DA20,DA26:DA29)</f>
        <v>1347</v>
      </c>
      <c r="DB31" s="603">
        <f>SUM(DB20,DB26:DB29)</f>
        <v>1389</v>
      </c>
      <c r="DC31" s="603">
        <f>SUM(DC20,DC26:DC29)</f>
        <v>5415</v>
      </c>
      <c r="DE31" s="602" t="s">
        <v>424</v>
      </c>
      <c r="DF31" s="603">
        <f>SUM(DF20,DF26:DF29)</f>
        <v>1341</v>
      </c>
      <c r="DG31" s="603">
        <f>SUM(DG20,DG26:DG29)</f>
        <v>1353</v>
      </c>
      <c r="DH31" s="603">
        <f>SUM(DH20,DH26:DH29)</f>
        <v>1328</v>
      </c>
      <c r="DI31" s="603">
        <f>SUM(DI20,DI26:DI29)</f>
        <v>1366</v>
      </c>
      <c r="DJ31" s="603">
        <f>SUM(DJ20,DJ26:DJ29)</f>
        <v>5388</v>
      </c>
      <c r="DL31" s="602" t="s">
        <v>424</v>
      </c>
      <c r="DM31" s="603">
        <f>SUM(DM20,DM26:DM29)</f>
        <v>1320</v>
      </c>
      <c r="DN31" s="603">
        <f>SUM(DN20,DN26:DN29)</f>
        <v>1384</v>
      </c>
      <c r="DO31" s="603">
        <f>SUM(DO20,DO26:DO29)</f>
        <v>1337</v>
      </c>
      <c r="DP31" s="603">
        <f>SUM(DP20,DP26:DP29)</f>
        <v>1384</v>
      </c>
      <c r="DQ31" s="603">
        <f>SUM(DQ20,DQ26:DQ29)</f>
        <v>5425</v>
      </c>
      <c r="DS31" s="602" t="s">
        <v>424</v>
      </c>
      <c r="DT31" s="603">
        <f>SUM(DT20,DT26:DT29)</f>
        <v>1374</v>
      </c>
      <c r="DU31" s="603">
        <f>SUM(DU20,DU26:DU29)</f>
        <v>1387</v>
      </c>
      <c r="DV31" s="603">
        <f>SUM(DV20,DV26:DV29)</f>
        <v>1358</v>
      </c>
      <c r="DW31" s="603">
        <f>SUM(DW20,DW26:DW29)</f>
        <v>1409</v>
      </c>
      <c r="DX31" s="603">
        <f>SUM(DX20,DX26:DX29)</f>
        <v>5528</v>
      </c>
      <c r="DZ31" s="602" t="s">
        <v>424</v>
      </c>
      <c r="EA31" s="603">
        <f>SUM(EA20,EA26:EA29)</f>
        <v>1336</v>
      </c>
      <c r="EB31" s="603">
        <f>SUM(EB20,EB26:EB29)</f>
        <v>1373</v>
      </c>
      <c r="EC31" s="603">
        <f>SUM(EC20,EC26:EC29)</f>
        <v>1356</v>
      </c>
      <c r="ED31" s="603">
        <f>SUM(ED20,ED26:ED29)</f>
        <v>1403</v>
      </c>
      <c r="EE31" s="603">
        <f>SUM(EE20,EE26:EE29)</f>
        <v>5461</v>
      </c>
      <c r="EG31" s="602" t="s">
        <v>424</v>
      </c>
      <c r="EH31" s="603">
        <f>SUM(EH20,EH26:EH29)</f>
        <v>1428</v>
      </c>
      <c r="EI31" s="603">
        <f>SUM(EI20,EI26:EI29)</f>
        <v>1530</v>
      </c>
      <c r="EJ31" s="603">
        <f>SUM(EJ20,EJ26:EJ29)</f>
        <v>1756</v>
      </c>
      <c r="EK31" s="603">
        <f>SUM(EK20,EK26:EK29)</f>
        <v>1785</v>
      </c>
      <c r="EL31" s="603">
        <f>SUM(EL20,EL26:EL29)</f>
        <v>6478</v>
      </c>
      <c r="EN31" s="602" t="s">
        <v>424</v>
      </c>
      <c r="EO31" s="603">
        <f>SUM(EO20,EO26:EO29)</f>
        <v>1794</v>
      </c>
      <c r="EP31" s="603">
        <f>SUM(EP20,EP26:EP29)</f>
        <v>1824</v>
      </c>
      <c r="EQ31" s="603">
        <f>SUM(EQ20,EQ26:EQ29)</f>
        <v>1770</v>
      </c>
      <c r="ER31" s="603">
        <f>SUM(ER20,ER26:ER29)</f>
        <v>1785</v>
      </c>
      <c r="ES31" s="603">
        <f>SUM(ES20,ES26:ES29)</f>
        <v>7173</v>
      </c>
      <c r="EU31" s="602" t="s">
        <v>424</v>
      </c>
      <c r="EV31" s="603">
        <f>SUM(EV20,EV26:EV29)</f>
        <v>1784</v>
      </c>
      <c r="EW31" s="603">
        <f>SUM(EW20,EW26:EW29)</f>
        <v>1801</v>
      </c>
      <c r="EX31" s="603">
        <f>SUM(EX20,EX26:EX29)</f>
        <v>1757</v>
      </c>
      <c r="EY31" s="603">
        <f>SUM(EY20,EY26:EY29)</f>
        <v>1763</v>
      </c>
      <c r="EZ31" s="603">
        <f>SUM(EZ20,EZ26:EZ29)</f>
        <v>7105</v>
      </c>
      <c r="FB31" s="602" t="s">
        <v>424</v>
      </c>
      <c r="FC31" s="603">
        <f>SUM(FC20,FC26:FC29)</f>
        <v>1727</v>
      </c>
      <c r="FD31" s="603">
        <f>SUM(FD20,FD26:FD29)</f>
        <v>1818</v>
      </c>
      <c r="FE31" s="603">
        <f>SUM(FE20,FE26:FE29)</f>
        <v>1780</v>
      </c>
      <c r="FF31" s="603">
        <f>SUM(FF20,FF26:FF29)</f>
        <v>1804</v>
      </c>
      <c r="FG31" s="603">
        <f>SUM(FG20,FG26:FG29)</f>
        <v>7129</v>
      </c>
      <c r="FI31" s="602" t="s">
        <v>424</v>
      </c>
      <c r="FJ31" s="603">
        <f>SUM(FJ20,FJ26:FJ29)</f>
        <v>1815</v>
      </c>
      <c r="FK31" s="603">
        <f>SUM(FK20,FK26:FK29)</f>
        <v>1881</v>
      </c>
      <c r="FL31" s="603">
        <f>SUM(FL20,FL26:FL29)</f>
        <v>1821</v>
      </c>
      <c r="FM31" s="603">
        <f>SUM(FM20,FM26:FM29)</f>
        <v>1887</v>
      </c>
      <c r="FN31" s="603">
        <f>SUM(FN20,FN26:FN29)</f>
        <v>7404</v>
      </c>
      <c r="FP31" s="602" t="s">
        <v>424</v>
      </c>
      <c r="FQ31" s="603">
        <f>SUM(FQ20,FQ26:FQ29)</f>
        <v>1897</v>
      </c>
      <c r="FR31" s="603">
        <f>SUM(FR20,FR26:FR29)</f>
        <v>1976</v>
      </c>
      <c r="FS31" s="603">
        <f>SUM(FS20,FS26:FS29)</f>
        <v>1916</v>
      </c>
      <c r="FT31" s="603">
        <f>SUM(FT20,FT26:FT29)</f>
        <v>2152</v>
      </c>
      <c r="FU31" s="603">
        <f>SUM(FU20,FU26:FU29)</f>
        <v>7941</v>
      </c>
      <c r="FW31" s="602" t="s">
        <v>424</v>
      </c>
      <c r="FX31" s="603">
        <f>SUM(FX20,FX26:FX29)</f>
        <v>2081</v>
      </c>
      <c r="FY31" s="603">
        <f>SUM(FY20,FY26:FY29)</f>
        <v>2126</v>
      </c>
      <c r="FZ31" s="603">
        <f>SUM(FZ20,FZ26:FZ29)</f>
        <v>2098</v>
      </c>
      <c r="GA31" s="603">
        <f>SUM(GA20,GA26:GA29)</f>
        <v>2192</v>
      </c>
      <c r="GB31" s="603">
        <f>SUM(GB20,GB26:GB29)</f>
        <v>8497</v>
      </c>
      <c r="GD31" s="602" t="s">
        <v>424</v>
      </c>
      <c r="GE31" s="603">
        <f>SUM(GE20,GE26:GE29)</f>
        <v>2293</v>
      </c>
      <c r="GF31" s="603">
        <f>SUM(GF20,GF26:GF29)</f>
        <v>2379</v>
      </c>
      <c r="GG31" s="603">
        <f>SUM(GG20,GG26:GG29)</f>
        <v>2369</v>
      </c>
      <c r="GH31" s="603">
        <f>SUM(GH20,GH26:GH29)</f>
        <v>2344</v>
      </c>
      <c r="GI31" s="603">
        <f>SUM(GI20,GI26:GI29)</f>
        <v>9385</v>
      </c>
      <c r="GK31" s="602" t="s">
        <v>424</v>
      </c>
      <c r="GL31" s="603">
        <f>SUM(GL20,GL26:GL29)</f>
        <v>2363</v>
      </c>
      <c r="GM31" s="603">
        <f>SUM(GM20,GM26:GM29)</f>
        <v>2472</v>
      </c>
      <c r="GN31" s="603">
        <f>SUM(GN20,GN26:GN29)</f>
        <v>2442</v>
      </c>
      <c r="GO31" s="603">
        <f>SUM(GO20,GO26:GO29)</f>
        <v>2511</v>
      </c>
      <c r="GP31" s="603">
        <f>SUM(GP20,GP26:GP29)</f>
        <v>9788</v>
      </c>
      <c r="GR31" s="602" t="s">
        <v>424</v>
      </c>
      <c r="GS31" s="603">
        <f>SUM(GS20,GS26:GS29)</f>
        <v>2654</v>
      </c>
      <c r="GT31" s="603">
        <f>SUM(GT20,GT26:GT29)</f>
        <v>2846</v>
      </c>
      <c r="GU31" s="603">
        <f>SUM(GU20,GU26:GU29)</f>
        <v>2901</v>
      </c>
      <c r="GV31" s="603">
        <f>SUM(GV20,GV26:GV29)</f>
        <v>2599</v>
      </c>
      <c r="GW31" s="603">
        <f>SUM(GW20,GW26:GW29)</f>
        <v>11000</v>
      </c>
      <c r="GY31" s="602" t="s">
        <v>424</v>
      </c>
      <c r="GZ31" s="603">
        <f>SUM(GZ20,GZ26:GZ29)</f>
        <v>2184</v>
      </c>
      <c r="HA31" s="603">
        <f>SUM(HA20,HA26:HA29)</f>
        <v>2127</v>
      </c>
      <c r="HB31" s="603">
        <f>SUM(HB20,HB26:HB29)</f>
        <v>2226</v>
      </c>
      <c r="HC31" s="603">
        <f>SUM(HC20,HC26:HC29)</f>
        <v>2269</v>
      </c>
      <c r="HD31" s="603">
        <f>SUM(HD20,HD26:HD29)</f>
        <v>8806</v>
      </c>
      <c r="HF31" s="602" t="s">
        <v>424</v>
      </c>
      <c r="HG31" s="603">
        <f>HG20+HG27+HG26</f>
        <v>2427</v>
      </c>
      <c r="HH31" s="603">
        <f>HH20+HH27+HH26</f>
        <v>2595</v>
      </c>
      <c r="HI31" s="603">
        <f>HI20+HI27+HI26</f>
        <v>2581</v>
      </c>
      <c r="HJ31" s="603">
        <f>HJ20+HJ27+HJ26</f>
        <v>2745</v>
      </c>
      <c r="HK31" s="603">
        <f>HK20+HK27+HK26</f>
        <v>10348</v>
      </c>
      <c r="HM31" s="602" t="s">
        <v>424</v>
      </c>
      <c r="HN31" s="603">
        <f>HN20+HN27+HN26</f>
        <v>2732</v>
      </c>
      <c r="HO31" s="603">
        <f>HO20+HO27+HO26</f>
        <v>2939</v>
      </c>
      <c r="HP31" s="603">
        <f>HP20+HP27+HP26</f>
        <v>2885</v>
      </c>
      <c r="HQ31" s="603">
        <f>HQ20+HQ27+HQ26</f>
        <v>2889</v>
      </c>
      <c r="HR31" s="603">
        <f>HR20+HR27+HR26</f>
        <v>11445</v>
      </c>
      <c r="HT31" s="602" t="s">
        <v>424</v>
      </c>
      <c r="HU31" s="603">
        <f>HU20+HU27+HU26</f>
        <v>2896</v>
      </c>
      <c r="HV31" s="603">
        <f>HV20+HV27+HV26</f>
        <v>2939</v>
      </c>
      <c r="HW31" s="603">
        <f>HW20+HW27+HW26</f>
        <v>2799</v>
      </c>
      <c r="HX31" s="603">
        <f>HX20+HX27+HX26</f>
        <v>2806</v>
      </c>
      <c r="HY31" s="603">
        <f>HY20+HY27+HY26</f>
        <v>11440</v>
      </c>
      <c r="IA31" s="602" t="s">
        <v>424</v>
      </c>
      <c r="IB31" s="603">
        <f>IB20+IB27+IB26</f>
        <v>2847</v>
      </c>
      <c r="IC31" s="603">
        <f>IC20+IC27+IC26</f>
        <v>2977</v>
      </c>
      <c r="ID31" s="603">
        <f>ID20+ID27+ID26</f>
        <v>2870</v>
      </c>
      <c r="IE31" s="603">
        <f>IE20+IE27+IE26</f>
        <v>2935</v>
      </c>
      <c r="IF31" s="603">
        <f>IF20+IF27+IF26</f>
        <v>11629</v>
      </c>
      <c r="IH31" s="602" t="s">
        <v>424</v>
      </c>
      <c r="II31" s="603">
        <f>II20+II27+II26</f>
        <v>2870</v>
      </c>
      <c r="IJ31" s="603">
        <f>IJ20+IJ27+IJ26</f>
        <v>3164</v>
      </c>
      <c r="IK31" s="603">
        <f>IK20+IK27+IK26</f>
        <v>3103</v>
      </c>
      <c r="IL31" s="603">
        <f>IL20+IL27+IL26</f>
        <v>3110</v>
      </c>
      <c r="IM31" s="603">
        <f>IM20+IM27+IM26</f>
        <v>12247</v>
      </c>
      <c r="IO31" s="602" t="s">
        <v>424</v>
      </c>
      <c r="IP31" s="603">
        <f>IP20+IP27+IP26</f>
        <v>2862</v>
      </c>
      <c r="IQ31" s="603">
        <f>IQ20+IQ27+IQ26</f>
        <v>2938</v>
      </c>
      <c r="IR31" s="603">
        <f>IR20+IR27+IR26</f>
        <v>2853</v>
      </c>
      <c r="IS31" s="603">
        <f>IS20+IS27+IS26</f>
        <v>2680</v>
      </c>
      <c r="IT31" s="603">
        <f>IT20+IT27+IT26</f>
        <v>11333</v>
      </c>
      <c r="IV31" s="602" t="s">
        <v>424</v>
      </c>
      <c r="IW31" s="603">
        <f>IW20+IW27+IW26</f>
        <v>2538</v>
      </c>
      <c r="IX31" s="603">
        <f>IX20+IX27+IX26</f>
        <v>2607</v>
      </c>
      <c r="IY31" s="603">
        <f>IY20+IY27+IY26</f>
        <v>2633</v>
      </c>
      <c r="IZ31" s="603">
        <f>IZ20+IZ27+IZ26</f>
        <v>2923</v>
      </c>
      <c r="JA31" s="603">
        <f>JA20+JA27+JA26</f>
        <v>10701</v>
      </c>
      <c r="JC31" s="602" t="s">
        <v>424</v>
      </c>
      <c r="JD31" s="603">
        <f>JD20+JD27+JD26</f>
        <v>2795</v>
      </c>
      <c r="JE31" s="603">
        <f>JE20+JE27+JE26</f>
        <v>2776</v>
      </c>
      <c r="JF31" s="603">
        <f>JF20+JF27+JF26</f>
        <v>2648</v>
      </c>
      <c r="JG31" s="603">
        <f>JG20+JG27+JG26</f>
        <v>2755</v>
      </c>
      <c r="JH31" s="603">
        <f>JH20+JH27+JH26</f>
        <v>10974</v>
      </c>
      <c r="JJ31" s="602" t="s">
        <v>424</v>
      </c>
      <c r="JK31" s="603">
        <f>JK20+JK27+JK26</f>
        <v>2731</v>
      </c>
      <c r="JL31" s="603">
        <f>JL20+JL27+JL26</f>
        <v>2966</v>
      </c>
      <c r="JM31" s="603">
        <f>JM20+JM27+JM26</f>
        <v>2978</v>
      </c>
      <c r="JN31" s="603">
        <f>JN20+JN27+JN26</f>
        <v>2993</v>
      </c>
      <c r="JO31" s="603">
        <f>JO20+JO27+JO26</f>
        <v>11668</v>
      </c>
      <c r="JQ31" s="602" t="s">
        <v>424</v>
      </c>
      <c r="JR31" s="603">
        <f>JR20+JR27+JR26</f>
        <v>2845</v>
      </c>
      <c r="JS31" s="603">
        <f>JS20+JS27+JS26</f>
        <v>2937</v>
      </c>
      <c r="JT31" s="603">
        <f>JT20+JT27+JT26</f>
        <v>2869</v>
      </c>
      <c r="JU31" s="603">
        <f>JU20+JU27+JU26</f>
        <v>2768</v>
      </c>
      <c r="JV31" s="603">
        <f>JV20+JV27+JV26</f>
        <v>11419</v>
      </c>
      <c r="JX31" s="602" t="s">
        <v>424</v>
      </c>
      <c r="JY31" s="603">
        <f>JY20+JY27+JY26</f>
        <v>2754</v>
      </c>
      <c r="JZ31" s="603">
        <f>JZ20+JZ27+JZ26</f>
        <v>2154</v>
      </c>
      <c r="KA31" s="603">
        <f>KA20+KA27+KA26</f>
        <v>2552</v>
      </c>
      <c r="KB31" s="603">
        <f>KB20+KB27+KB26</f>
        <v>2715</v>
      </c>
      <c r="KC31" s="603">
        <f>KC20+KC27+KC26</f>
        <v>10175</v>
      </c>
      <c r="KE31" s="602" t="s">
        <v>424</v>
      </c>
      <c r="KF31" s="603">
        <f>KF20+KF27+KF26</f>
        <v>2670</v>
      </c>
      <c r="KG31" s="603">
        <f>KG20+KG27+KG26</f>
        <v>2837</v>
      </c>
      <c r="KH31" s="603">
        <f>KH20+KH27+KH26</f>
        <v>2850</v>
      </c>
      <c r="KI31" s="603">
        <f>KI20+KI27+KI26</f>
        <v>3011</v>
      </c>
      <c r="KJ31" s="603">
        <f>KJ20+KJ27+KJ26</f>
        <v>11368</v>
      </c>
      <c r="KL31" s="602" t="s">
        <v>424</v>
      </c>
      <c r="KM31" s="603">
        <f>KM20+KM27+KM26</f>
        <v>2981</v>
      </c>
      <c r="KN31" s="603">
        <f>KN20+KN27+KN26</f>
        <v>3354</v>
      </c>
      <c r="KO31" s="603">
        <f>KO20+KO27+KO26</f>
        <v>3371</v>
      </c>
      <c r="KP31" s="603">
        <f>KP20+KP27+KP26</f>
        <v>3273</v>
      </c>
      <c r="KQ31" s="603">
        <f>KQ20+KQ27+KQ26</f>
        <v>12979</v>
      </c>
      <c r="KS31" s="602" t="s">
        <v>424</v>
      </c>
      <c r="KT31" s="603">
        <f>KT20+KT27+KT26</f>
        <v>3295</v>
      </c>
      <c r="KU31" s="603">
        <f>KU20+KU27+KU26</f>
        <v>3325</v>
      </c>
      <c r="KV31" s="533">
        <f>KV20+KV27+KV26</f>
        <v>3223</v>
      </c>
      <c r="KW31" s="533">
        <f>KW20+KW27+KW26</f>
        <v>3354</v>
      </c>
      <c r="KX31" s="603">
        <f>KX20+KX27+KX26</f>
        <v>13197</v>
      </c>
      <c r="KY31" s="648"/>
      <c r="KZ31" s="602" t="s">
        <v>424</v>
      </c>
      <c r="LA31" s="603">
        <f>LA20+LA27+LA26</f>
        <v>3323</v>
      </c>
      <c r="LB31" s="533">
        <f>LB20+LB27+LB26</f>
        <v>3365</v>
      </c>
      <c r="LC31" s="533">
        <f>LC20+LC27+LC26</f>
        <v>3293</v>
      </c>
      <c r="LD31" s="533">
        <f>LD20+LD27+LD26</f>
        <v>3216</v>
      </c>
      <c r="LE31" s="533">
        <f>LE20+LE27+LE26</f>
        <v>13197</v>
      </c>
      <c r="LF31" s="561"/>
      <c r="LG31" s="602" t="s">
        <v>424</v>
      </c>
      <c r="LH31" s="533">
        <f>LH20+LH27+LH26</f>
        <v>3106</v>
      </c>
      <c r="LI31" s="533">
        <f>LI20+LI27+LI26</f>
        <v>3225</v>
      </c>
      <c r="LJ31" s="533">
        <f>LJ20+LJ27+LJ26</f>
        <v>3225</v>
      </c>
      <c r="LK31" s="533">
        <f>LK20+LK27+LK26</f>
        <v>3190</v>
      </c>
      <c r="LL31" s="533">
        <f>LL20+LL27+LL26</f>
        <v>12746</v>
      </c>
      <c r="LM31" s="561"/>
      <c r="LN31" s="602" t="s">
        <v>424</v>
      </c>
      <c r="LO31" s="533">
        <f>LO20+LO27+LO26</f>
        <v>3136.0474249999997</v>
      </c>
      <c r="LP31" s="533">
        <f>LP20+LP27+LP26</f>
        <v>3275.7699250000001</v>
      </c>
      <c r="LQ31" s="533">
        <f>LQ20+LQ27+LQ26</f>
        <v>3330.0441499999997</v>
      </c>
      <c r="LR31" s="533">
        <f>LR20+LR27+LR26</f>
        <v>3369.7937750000001</v>
      </c>
      <c r="LS31" s="533">
        <f>LS20+LS27+LS26</f>
        <v>13111.655274999997</v>
      </c>
      <c r="LT31" s="561"/>
      <c r="LU31" s="602" t="s">
        <v>424</v>
      </c>
      <c r="LV31" s="533">
        <f>LV20+LV27+LV26</f>
        <v>3294.9292315835933</v>
      </c>
      <c r="LW31" s="533">
        <f>LW20+LW27+LW26</f>
        <v>3439.4783552824997</v>
      </c>
      <c r="LX31" s="533">
        <f>LX20+LX27+LX26</f>
        <v>3492.5321926937495</v>
      </c>
      <c r="LY31" s="533">
        <f>LY20+LY27+LY26</f>
        <v>3534.8602806243753</v>
      </c>
      <c r="LZ31" s="533">
        <f>LZ20+LZ27+LZ26</f>
        <v>13761.800060184218</v>
      </c>
      <c r="MA31" s="561"/>
      <c r="MB31" s="602" t="s">
        <v>424</v>
      </c>
      <c r="MC31" s="533">
        <f>MC20+MC27+MC26</f>
        <v>3448.9013871509628</v>
      </c>
      <c r="MD31" s="533">
        <f>MD20+MD27+MD26</f>
        <v>3598.1640979982039</v>
      </c>
      <c r="ME31" s="533">
        <f>ME20+ME27+ME26</f>
        <v>3652.7836824944789</v>
      </c>
      <c r="MF31" s="533">
        <f>MF20+MF27+MF26</f>
        <v>3692.7482153818096</v>
      </c>
      <c r="MG31" s="533">
        <f>MG20+MG27+MG26</f>
        <v>14392.597383025455</v>
      </c>
      <c r="MH31" s="561"/>
    </row>
    <row r="32" spans="1:346" s="37" customFormat="1" ht="13.15" x14ac:dyDescent="0.4">
      <c r="A32" s="100"/>
      <c r="B32" s="111" t="s">
        <v>3</v>
      </c>
      <c r="C32" s="112"/>
      <c r="D32" s="112"/>
      <c r="E32" s="112"/>
      <c r="F32" s="112"/>
      <c r="G32" s="112"/>
      <c r="H32" s="112"/>
      <c r="I32" s="112"/>
      <c r="J32" s="112"/>
      <c r="K32" s="112"/>
      <c r="L32" s="112"/>
      <c r="M32" s="112"/>
      <c r="N32" s="112">
        <f>BT32</f>
        <v>0</v>
      </c>
      <c r="O32" s="112">
        <f>CA32</f>
        <v>0</v>
      </c>
      <c r="P32" s="112">
        <f>CH32</f>
        <v>0</v>
      </c>
      <c r="Q32" s="112">
        <f>CO32</f>
        <v>0</v>
      </c>
      <c r="R32" s="112">
        <f>CV32</f>
        <v>0</v>
      </c>
      <c r="S32" s="112">
        <f>DC32</f>
        <v>0</v>
      </c>
      <c r="T32" s="112">
        <f>DJ32</f>
        <v>0</v>
      </c>
      <c r="U32" s="112">
        <f>DQ32</f>
        <v>0</v>
      </c>
      <c r="V32" s="112">
        <f>DX32</f>
        <v>0</v>
      </c>
      <c r="W32" s="112">
        <f>EE32</f>
        <v>0</v>
      </c>
      <c r="X32" s="112">
        <f>EL32</f>
        <v>0</v>
      </c>
      <c r="Y32" s="112">
        <f>ES32</f>
        <v>0</v>
      </c>
      <c r="Z32" s="112">
        <f>EZ32</f>
        <v>0</v>
      </c>
      <c r="AA32" s="112">
        <f>FG32</f>
        <v>0</v>
      </c>
      <c r="AB32" s="112">
        <f>FN32</f>
        <v>0</v>
      </c>
      <c r="AC32" s="112">
        <f>FU32</f>
        <v>0</v>
      </c>
      <c r="AD32" s="112" t="str">
        <f>GB32</f>
        <v>-</v>
      </c>
      <c r="AE32" s="112">
        <f>GI32</f>
        <v>0.10450747322584442</v>
      </c>
      <c r="AF32" s="112">
        <f>GP32</f>
        <v>4.2940863079381941E-2</v>
      </c>
      <c r="AG32" s="112">
        <f>GW32</f>
        <v>0.12382509194932578</v>
      </c>
      <c r="AH32" s="112">
        <f>HD32</f>
        <v>-0.19945454545454544</v>
      </c>
      <c r="AI32" s="112">
        <f>HK32</f>
        <v>0.175107880990234</v>
      </c>
      <c r="AJ32" s="112">
        <f>HR32</f>
        <v>0.10601082334750678</v>
      </c>
      <c r="AK32" s="112">
        <f>HY32</f>
        <v>-4.3687199650499497E-4</v>
      </c>
      <c r="AL32" s="112">
        <f>IF32</f>
        <v>1.6520979020979043E-2</v>
      </c>
      <c r="AM32" s="112">
        <f>IM32</f>
        <v>5.3143004557571594E-2</v>
      </c>
      <c r="AN32" s="112">
        <f>IT32</f>
        <v>-7.4630521760431168E-2</v>
      </c>
      <c r="AO32" s="112">
        <f>JA32</f>
        <v>-5.5766346069001993E-2</v>
      </c>
      <c r="AP32" s="112">
        <f>JH32</f>
        <v>2.5511634426689023E-2</v>
      </c>
      <c r="AQ32" s="112">
        <f>JO32</f>
        <v>6.3240386367778401E-2</v>
      </c>
      <c r="AR32" s="112">
        <f>JV32</f>
        <v>-2.1340418237915659E-2</v>
      </c>
      <c r="AS32" s="112">
        <f>KC32</f>
        <v>-0.10894123828706537</v>
      </c>
      <c r="AT32" s="112">
        <f>KJ32</f>
        <v>0.11724815724815718</v>
      </c>
      <c r="AU32" s="112">
        <f>KQ32</f>
        <v>0.14171358198451789</v>
      </c>
      <c r="AV32" s="112">
        <f>KX32</f>
        <v>1.6796363356190724E-2</v>
      </c>
      <c r="AW32" s="112">
        <f>LE32</f>
        <v>0</v>
      </c>
      <c r="AX32" s="112">
        <f>LL32</f>
        <v>-3.4174433583390118E-2</v>
      </c>
      <c r="AY32" s="112">
        <f>LS32</f>
        <v>2.8687845206339047E-2</v>
      </c>
      <c r="AZ32" s="112">
        <f>LZ32</f>
        <v>4.9585256136488898E-2</v>
      </c>
      <c r="BA32" s="112">
        <f>MG32</f>
        <v>4.5836832397112559E-2</v>
      </c>
      <c r="BB32" s="112"/>
      <c r="BC32" s="112"/>
      <c r="BD32" s="112"/>
      <c r="BE32" s="112"/>
      <c r="BF32" s="112"/>
      <c r="BG32" s="112"/>
      <c r="BH32" s="112"/>
      <c r="BI32" s="112"/>
      <c r="BJ32" s="112"/>
      <c r="BK32" s="112"/>
      <c r="BL32" s="112"/>
      <c r="BM32" s="112"/>
      <c r="BO32" s="111" t="s">
        <v>3</v>
      </c>
      <c r="BP32" s="66"/>
      <c r="BQ32" s="66"/>
      <c r="BR32" s="66"/>
      <c r="BS32" s="66"/>
      <c r="BT32" s="66"/>
      <c r="BV32" s="111" t="s">
        <v>3</v>
      </c>
      <c r="BW32" s="66"/>
      <c r="BX32" s="66"/>
      <c r="BY32" s="66"/>
      <c r="BZ32" s="66"/>
      <c r="CA32" s="66"/>
      <c r="CC32" s="111" t="s">
        <v>3</v>
      </c>
      <c r="CD32" s="66"/>
      <c r="CE32" s="66"/>
      <c r="CF32" s="66"/>
      <c r="CG32" s="66"/>
      <c r="CH32" s="66"/>
      <c r="CJ32" s="111" t="s">
        <v>3</v>
      </c>
      <c r="CK32" s="66"/>
      <c r="CL32" s="66"/>
      <c r="CM32" s="66"/>
      <c r="CN32" s="66"/>
      <c r="CO32" s="66"/>
      <c r="CQ32" s="111" t="s">
        <v>3</v>
      </c>
      <c r="CR32" s="66"/>
      <c r="CS32" s="66"/>
      <c r="CT32" s="66"/>
      <c r="CU32" s="66"/>
      <c r="CV32" s="66"/>
      <c r="CX32" s="111" t="s">
        <v>3</v>
      </c>
      <c r="CY32" s="66"/>
      <c r="CZ32" s="66"/>
      <c r="DA32" s="66"/>
      <c r="DB32" s="66"/>
      <c r="DC32" s="66"/>
      <c r="DE32" s="111" t="s">
        <v>3</v>
      </c>
      <c r="DF32" s="66"/>
      <c r="DG32" s="66"/>
      <c r="DH32" s="66"/>
      <c r="DI32" s="66"/>
      <c r="DJ32" s="66"/>
      <c r="DL32" s="111" t="s">
        <v>3</v>
      </c>
      <c r="DM32" s="66"/>
      <c r="DN32" s="66"/>
      <c r="DO32" s="66"/>
      <c r="DP32" s="66"/>
      <c r="DQ32" s="66"/>
      <c r="DS32" s="111" t="s">
        <v>3</v>
      </c>
      <c r="DT32" s="66"/>
      <c r="DU32" s="66"/>
      <c r="DV32" s="66"/>
      <c r="DW32" s="66"/>
      <c r="DX32" s="66"/>
      <c r="DZ32" s="111" t="s">
        <v>3</v>
      </c>
      <c r="EA32" s="66"/>
      <c r="EB32" s="66"/>
      <c r="EC32" s="66"/>
      <c r="ED32" s="66"/>
      <c r="EE32" s="66"/>
      <c r="EG32" s="111" t="s">
        <v>3</v>
      </c>
      <c r="EH32" s="66"/>
      <c r="EI32" s="66"/>
      <c r="EJ32" s="66"/>
      <c r="EK32" s="66"/>
      <c r="EL32" s="66"/>
      <c r="EN32" s="111" t="s">
        <v>3</v>
      </c>
      <c r="EO32" s="66"/>
      <c r="EP32" s="66"/>
      <c r="EQ32" s="66"/>
      <c r="ER32" s="66"/>
      <c r="ES32" s="66"/>
      <c r="EU32" s="111" t="s">
        <v>3</v>
      </c>
      <c r="EV32" s="66"/>
      <c r="EW32" s="66"/>
      <c r="EX32" s="66"/>
      <c r="EY32" s="66"/>
      <c r="EZ32" s="66"/>
      <c r="FB32" s="111" t="s">
        <v>3</v>
      </c>
      <c r="FC32" s="66"/>
      <c r="FD32" s="66"/>
      <c r="FE32" s="66"/>
      <c r="FF32" s="66"/>
      <c r="FG32" s="66"/>
      <c r="FI32" s="111" t="s">
        <v>3</v>
      </c>
      <c r="FJ32" s="66"/>
      <c r="FK32" s="66"/>
      <c r="FL32" s="66"/>
      <c r="FM32" s="66"/>
      <c r="FN32" s="66"/>
      <c r="FP32" s="111" t="s">
        <v>3</v>
      </c>
      <c r="FQ32" s="66"/>
      <c r="FR32" s="66"/>
      <c r="FS32" s="66"/>
      <c r="FT32" s="66"/>
      <c r="FU32" s="66"/>
      <c r="FW32" s="111" t="s">
        <v>3</v>
      </c>
      <c r="FX32" s="66" t="s">
        <v>80</v>
      </c>
      <c r="FY32" s="66" t="s">
        <v>80</v>
      </c>
      <c r="FZ32" s="66" t="s">
        <v>80</v>
      </c>
      <c r="GA32" s="66" t="s">
        <v>80</v>
      </c>
      <c r="GB32" s="66" t="s">
        <v>80</v>
      </c>
      <c r="GD32" s="111" t="s">
        <v>3</v>
      </c>
      <c r="GE32" s="66">
        <f>GE31/FX31-1</f>
        <v>0.10187409899086974</v>
      </c>
      <c r="GF32" s="66">
        <f>GF31/FY31-1</f>
        <v>0.11900282220131708</v>
      </c>
      <c r="GG32" s="66">
        <f>GG31/FZ31-1</f>
        <v>0.12917063870352719</v>
      </c>
      <c r="GH32" s="66">
        <f>GH31/GA31-1</f>
        <v>6.9343065693430628E-2</v>
      </c>
      <c r="GI32" s="66">
        <f>GI31/GB31-1</f>
        <v>0.10450747322584442</v>
      </c>
      <c r="GK32" s="111" t="s">
        <v>3</v>
      </c>
      <c r="GL32" s="66">
        <f>GL31/GE31-1</f>
        <v>3.0527692978630672E-2</v>
      </c>
      <c r="GM32" s="66">
        <f>GM31/GF31-1</f>
        <v>3.9092055485498101E-2</v>
      </c>
      <c r="GN32" s="66">
        <f>GN31/GG31-1</f>
        <v>3.0814689742507451E-2</v>
      </c>
      <c r="GO32" s="66">
        <f>GO31/GH31-1</f>
        <v>7.1245733788395826E-2</v>
      </c>
      <c r="GP32" s="66">
        <f>GP31/GI31-1</f>
        <v>4.2940863079381941E-2</v>
      </c>
      <c r="GR32" s="111" t="s">
        <v>3</v>
      </c>
      <c r="GS32" s="66">
        <f>GS31/GL31-1</f>
        <v>0.12314853999153619</v>
      </c>
      <c r="GT32" s="66">
        <f>GT31/GM31-1</f>
        <v>0.15129449838187692</v>
      </c>
      <c r="GU32" s="66">
        <f>GU31/GN31-1</f>
        <v>0.18796068796068788</v>
      </c>
      <c r="GV32" s="66">
        <f>GV31/GO31-1</f>
        <v>3.5045798486658786E-2</v>
      </c>
      <c r="GW32" s="66">
        <f>GW31/GP31-1</f>
        <v>0.12382509194932578</v>
      </c>
      <c r="GY32" s="111" t="s">
        <v>3</v>
      </c>
      <c r="GZ32" s="66">
        <f>GZ31/GS31-1</f>
        <v>-0.1770911831198192</v>
      </c>
      <c r="HA32" s="66">
        <f>HA31/GT31-1</f>
        <v>-0.25263527758257198</v>
      </c>
      <c r="HB32" s="66">
        <f>HB31/GU31-1</f>
        <v>-0.23267838676318509</v>
      </c>
      <c r="HC32" s="66">
        <f>HC31/GV31-1</f>
        <v>-0.12697191227395155</v>
      </c>
      <c r="HD32" s="66">
        <f>HD31/GW31-1</f>
        <v>-0.19945454545454544</v>
      </c>
      <c r="HF32" s="111" t="s">
        <v>3</v>
      </c>
      <c r="HG32" s="66">
        <f>HG31/GZ31-1</f>
        <v>0.11126373626373631</v>
      </c>
      <c r="HH32" s="66">
        <f>HH31/HA31-1</f>
        <v>0.22002820874471096</v>
      </c>
      <c r="HI32" s="66">
        <f>HI31/HB31-1</f>
        <v>0.15947888589398018</v>
      </c>
      <c r="HJ32" s="66">
        <f>HJ31/HC31-1</f>
        <v>0.20978404583516963</v>
      </c>
      <c r="HK32" s="66">
        <f>HK31/HD31-1</f>
        <v>0.175107880990234</v>
      </c>
      <c r="HM32" s="111" t="s">
        <v>3</v>
      </c>
      <c r="HN32" s="66">
        <f>HN31/HG31-1</f>
        <v>0.1256695508858674</v>
      </c>
      <c r="HO32" s="66">
        <f>HO31/HH31-1</f>
        <v>0.13256262042389211</v>
      </c>
      <c r="HP32" s="66">
        <f>HP31/HI31-1</f>
        <v>0.11778380472685002</v>
      </c>
      <c r="HQ32" s="66">
        <f>HQ31/HJ31-1</f>
        <v>5.2459016393442637E-2</v>
      </c>
      <c r="HR32" s="66">
        <f>HR31/HK31-1</f>
        <v>0.10601082334750678</v>
      </c>
      <c r="HT32" s="111" t="s">
        <v>3</v>
      </c>
      <c r="HU32" s="66">
        <f>HU31/HN31-1</f>
        <v>6.0029282576866683E-2</v>
      </c>
      <c r="HV32" s="66">
        <f>HV31/HO31-1</f>
        <v>0</v>
      </c>
      <c r="HW32" s="66">
        <f>HW31/HP31-1</f>
        <v>-2.9809358752166393E-2</v>
      </c>
      <c r="HX32" s="66">
        <f>HX31/HQ31-1</f>
        <v>-2.8729664243682951E-2</v>
      </c>
      <c r="HY32" s="66">
        <f>HY31/HR31-1</f>
        <v>-4.3687199650499497E-4</v>
      </c>
      <c r="IA32" s="111" t="s">
        <v>3</v>
      </c>
      <c r="IB32" s="66">
        <f>IB31/HU31-1</f>
        <v>-1.6919889502762464E-2</v>
      </c>
      <c r="IC32" s="66">
        <f>IC31/HV31-1</f>
        <v>1.2929567880231474E-2</v>
      </c>
      <c r="ID32" s="66">
        <f>ID31/HW31-1</f>
        <v>2.5366202215076905E-2</v>
      </c>
      <c r="IE32" s="66">
        <f>IE31/HX31-1</f>
        <v>4.5972915181753393E-2</v>
      </c>
      <c r="IF32" s="66">
        <f>IF31/HY31-1</f>
        <v>1.6520979020979043E-2</v>
      </c>
      <c r="IH32" s="111" t="s">
        <v>3</v>
      </c>
      <c r="II32" s="66">
        <f>II31/IB31-1</f>
        <v>8.0786793115559252E-3</v>
      </c>
      <c r="IJ32" s="66">
        <f>IJ31/IC31-1</f>
        <v>6.2814914343298556E-2</v>
      </c>
      <c r="IK32" s="66">
        <f>IK31/ID31-1</f>
        <v>8.1184668989547015E-2</v>
      </c>
      <c r="IL32" s="66">
        <f>IL31/IE31-1</f>
        <v>5.9625212947189032E-2</v>
      </c>
      <c r="IM32" s="66">
        <f>IM31/IF31-1</f>
        <v>5.3143004557571594E-2</v>
      </c>
      <c r="IO32" s="111" t="s">
        <v>3</v>
      </c>
      <c r="IP32" s="66">
        <f>IP31/II31-1</f>
        <v>-2.7874564459929863E-3</v>
      </c>
      <c r="IQ32" s="66">
        <f>IQ31/IJ31-1</f>
        <v>-7.1428571428571397E-2</v>
      </c>
      <c r="IR32" s="66">
        <f>IR31/IK31-1</f>
        <v>-8.0567193038994511E-2</v>
      </c>
      <c r="IS32" s="66">
        <f>IS31/IL31-1</f>
        <v>-0.13826366559485526</v>
      </c>
      <c r="IT32" s="66">
        <f>IT31/IM31-1</f>
        <v>-7.4630521760431168E-2</v>
      </c>
      <c r="IV32" s="111" t="s">
        <v>3</v>
      </c>
      <c r="IW32" s="66">
        <f>IW31/IP31-1</f>
        <v>-0.1132075471698113</v>
      </c>
      <c r="IX32" s="66">
        <f>IX31/IQ31-1</f>
        <v>-0.11266167460857723</v>
      </c>
      <c r="IY32" s="66">
        <f>IY31/IR31-1</f>
        <v>-7.7111812127585E-2</v>
      </c>
      <c r="IZ32" s="66">
        <f>IZ31/IS31-1</f>
        <v>9.0671641791044699E-2</v>
      </c>
      <c r="JA32" s="66">
        <f>JA31/IT31-1</f>
        <v>-5.5766346069001993E-2</v>
      </c>
      <c r="JC32" s="111" t="s">
        <v>3</v>
      </c>
      <c r="JD32" s="66">
        <f>JD31/IW31-1</f>
        <v>0.10126083530338859</v>
      </c>
      <c r="JE32" s="66">
        <f>JE31/IX31-1</f>
        <v>6.4825469888760923E-2</v>
      </c>
      <c r="JF32" s="66">
        <f>JF31/IY31-1</f>
        <v>5.6969236612229857E-3</v>
      </c>
      <c r="JG32" s="66">
        <f>JG31/IZ31-1</f>
        <v>-5.7475196715703003E-2</v>
      </c>
      <c r="JH32" s="66">
        <f>JH31/JA31-1</f>
        <v>2.5511634426689023E-2</v>
      </c>
      <c r="JJ32" s="111" t="s">
        <v>3</v>
      </c>
      <c r="JK32" s="66">
        <f>JK31/JD31-1</f>
        <v>-2.2898032200357799E-2</v>
      </c>
      <c r="JL32" s="66">
        <f>JL31/JE31-1</f>
        <v>6.8443804034582056E-2</v>
      </c>
      <c r="JM32" s="66">
        <f>JM31/JF31-1</f>
        <v>0.12462235649546827</v>
      </c>
      <c r="JN32" s="66">
        <f>JN31/JG31-1</f>
        <v>8.6388384754990888E-2</v>
      </c>
      <c r="JO32" s="66">
        <f>JO31/JH31-1</f>
        <v>6.3240386367778401E-2</v>
      </c>
      <c r="JQ32" s="111" t="s">
        <v>3</v>
      </c>
      <c r="JR32" s="66">
        <f>JR31/JK31-1</f>
        <v>4.1742951299890141E-2</v>
      </c>
      <c r="JS32" s="66">
        <f>JS31/JL31-1</f>
        <v>-9.7774780849628762E-3</v>
      </c>
      <c r="JT32" s="66">
        <f>JT31/JM31-1</f>
        <v>-3.6601746138347879E-2</v>
      </c>
      <c r="JU32" s="66">
        <f>JU31/JN31-1</f>
        <v>-7.5175409288339434E-2</v>
      </c>
      <c r="JV32" s="66">
        <f>JV31/JO31-1</f>
        <v>-2.1340418237915659E-2</v>
      </c>
      <c r="JX32" s="111" t="s">
        <v>3</v>
      </c>
      <c r="JY32" s="66">
        <f>JY31/JR31-1</f>
        <v>-3.198594024604573E-2</v>
      </c>
      <c r="JZ32" s="66">
        <f>JZ31/JS31-1</f>
        <v>-0.26659856996935649</v>
      </c>
      <c r="KA32" s="66">
        <f>KA31/JT31-1</f>
        <v>-0.11049146043917746</v>
      </c>
      <c r="KB32" s="66">
        <f>KB31/JU31-1</f>
        <v>-1.9147398843930685E-2</v>
      </c>
      <c r="KC32" s="66">
        <f>KC31/JV31-1</f>
        <v>-0.10894123828706537</v>
      </c>
      <c r="KE32" s="111" t="s">
        <v>3</v>
      </c>
      <c r="KF32" s="66">
        <f>KF31/JY31-1</f>
        <v>-3.0501089324618702E-2</v>
      </c>
      <c r="KG32" s="66">
        <f>KG31/JZ31-1</f>
        <v>0.31708449396471683</v>
      </c>
      <c r="KH32" s="66">
        <f>KH31/KA31-1</f>
        <v>0.11677115987460818</v>
      </c>
      <c r="KI32" s="66">
        <f>KI31/KB31-1</f>
        <v>0.10902394106813995</v>
      </c>
      <c r="KJ32" s="66">
        <f>KJ31/KC31-1</f>
        <v>0.11724815724815718</v>
      </c>
      <c r="KL32" s="111" t="s">
        <v>3</v>
      </c>
      <c r="KM32" s="66">
        <f>KM31/KF31-1</f>
        <v>0.11647940074906371</v>
      </c>
      <c r="KN32" s="66">
        <f>KN31/KG31-1</f>
        <v>0.18223475502291153</v>
      </c>
      <c r="KO32" s="66">
        <f>KO31/KH31-1</f>
        <v>0.18280701754385964</v>
      </c>
      <c r="KP32" s="66">
        <f>KP31/KI31-1</f>
        <v>8.7014280969777591E-2</v>
      </c>
      <c r="KQ32" s="66">
        <f>KQ31/KJ31-1</f>
        <v>0.14171358198451789</v>
      </c>
      <c r="KS32" s="111" t="s">
        <v>3</v>
      </c>
      <c r="KT32" s="66">
        <f>KT31/KM31-1</f>
        <v>0.10533378061053345</v>
      </c>
      <c r="KU32" s="66">
        <f>KU31/KN31-1</f>
        <v>-8.646392367322564E-3</v>
      </c>
      <c r="KV32" s="112">
        <f>KV31/KO31-1</f>
        <v>-4.3903886087214516E-2</v>
      </c>
      <c r="KW32" s="66">
        <f>KW31/KP31-1</f>
        <v>2.4747937671860676E-2</v>
      </c>
      <c r="KX32" s="66">
        <f>KX31/KQ31-1</f>
        <v>1.6796363356190724E-2</v>
      </c>
      <c r="KZ32" s="111" t="s">
        <v>3</v>
      </c>
      <c r="LA32" s="66">
        <f>LA31/KT31-1</f>
        <v>8.4977238239756225E-3</v>
      </c>
      <c r="LB32" s="112">
        <f>LB31/KU31-1</f>
        <v>1.2030075187969835E-2</v>
      </c>
      <c r="LC32" s="112">
        <f>LC31/KV31-1</f>
        <v>2.1718895439031938E-2</v>
      </c>
      <c r="LD32" s="112">
        <f>LD31/KW31-1</f>
        <v>-4.1144901610017937E-2</v>
      </c>
      <c r="LE32" s="112">
        <f>LE31/KX31-1</f>
        <v>0</v>
      </c>
      <c r="LF32" s="566"/>
      <c r="LG32" s="111" t="s">
        <v>3</v>
      </c>
      <c r="LH32" s="112">
        <f>LH31/LA31-1</f>
        <v>-6.5302437556424953E-2</v>
      </c>
      <c r="LI32" s="112">
        <f>LI31/LB31-1</f>
        <v>-4.1604754829123292E-2</v>
      </c>
      <c r="LJ32" s="112">
        <f>LJ31/LC31-1</f>
        <v>-2.0649863346492547E-2</v>
      </c>
      <c r="LK32" s="112">
        <f>LK31/LD31-1</f>
        <v>-8.0845771144278933E-3</v>
      </c>
      <c r="LL32" s="112">
        <f>LL31/LE31-1</f>
        <v>-3.4174433583390118E-2</v>
      </c>
      <c r="LM32" s="566"/>
      <c r="LN32" s="111" t="s">
        <v>3</v>
      </c>
      <c r="LO32" s="112">
        <f>LO31/LH31-1</f>
        <v>9.6739938828074301E-3</v>
      </c>
      <c r="LP32" s="112">
        <f>LP31/LI31-1</f>
        <v>1.574261240310082E-2</v>
      </c>
      <c r="LQ32" s="112">
        <f>LQ31/LJ31-1</f>
        <v>3.2571829457364254E-2</v>
      </c>
      <c r="LR32" s="112">
        <f>LR31/LK31-1</f>
        <v>5.6361684952977997E-2</v>
      </c>
      <c r="LS32" s="112">
        <f>LS31/LL31-1</f>
        <v>2.8687845206339047E-2</v>
      </c>
      <c r="LT32" s="566"/>
      <c r="LU32" s="111" t="s">
        <v>3</v>
      </c>
      <c r="LV32" s="112">
        <f>LV31/LO31-1</f>
        <v>5.0663075219149034E-2</v>
      </c>
      <c r="LW32" s="112">
        <f>LW31/LP31-1</f>
        <v>4.9975558122415942E-2</v>
      </c>
      <c r="LX32" s="112">
        <f>LX31/LQ31-1</f>
        <v>4.8794561085248711E-2</v>
      </c>
      <c r="LY32" s="112">
        <f>LY31/LR31-1</f>
        <v>4.8984156493189213E-2</v>
      </c>
      <c r="LZ32" s="112">
        <f>LZ31/LS31-1</f>
        <v>4.9585256136488898E-2</v>
      </c>
      <c r="MA32" s="566"/>
      <c r="MB32" s="111" t="s">
        <v>3</v>
      </c>
      <c r="MC32" s="112">
        <f>MC31/LV31-1</f>
        <v>4.6730034166277967E-2</v>
      </c>
      <c r="MD32" s="112">
        <f>MD31/LW31-1</f>
        <v>4.6136572562518907E-2</v>
      </c>
      <c r="ME32" s="112">
        <f>ME31/LX31-1</f>
        <v>4.5884040850352026E-2</v>
      </c>
      <c r="MF32" s="112">
        <f>MF31/LY31-1</f>
        <v>4.4665961939956977E-2</v>
      </c>
      <c r="MG32" s="112">
        <f>MG31/LZ31-1</f>
        <v>4.5836832397112559E-2</v>
      </c>
      <c r="MH32" s="566"/>
    </row>
    <row r="33" spans="1:346" s="37" customFormat="1" ht="13.15" x14ac:dyDescent="0.4">
      <c r="A33" s="100"/>
      <c r="B33" s="36"/>
      <c r="BO33" s="36"/>
      <c r="BP33" s="53"/>
      <c r="BQ33" s="53"/>
      <c r="BR33" s="53"/>
      <c r="BS33" s="53"/>
      <c r="BT33" s="53"/>
      <c r="BV33" s="36"/>
      <c r="BW33" s="53"/>
      <c r="BX33" s="53"/>
      <c r="BY33" s="53"/>
      <c r="BZ33" s="53"/>
      <c r="CA33" s="53"/>
      <c r="CC33" s="36"/>
      <c r="CD33" s="53"/>
      <c r="CE33" s="53"/>
      <c r="CF33" s="53"/>
      <c r="CG33" s="53"/>
      <c r="CH33" s="53"/>
      <c r="CJ33" s="36"/>
      <c r="CK33" s="53"/>
      <c r="CL33" s="53"/>
      <c r="CM33" s="53"/>
      <c r="CN33" s="53"/>
      <c r="CO33" s="53"/>
      <c r="CQ33" s="36"/>
      <c r="CR33" s="53"/>
      <c r="CS33" s="53"/>
      <c r="CT33" s="53"/>
      <c r="CU33" s="53"/>
      <c r="CV33" s="53"/>
      <c r="CX33" s="36"/>
      <c r="CY33" s="53"/>
      <c r="CZ33" s="53"/>
      <c r="DA33" s="53"/>
      <c r="DB33" s="53"/>
      <c r="DC33" s="53"/>
      <c r="DE33" s="36"/>
      <c r="DF33" s="53"/>
      <c r="DG33" s="53"/>
      <c r="DH33" s="53"/>
      <c r="DI33" s="53"/>
      <c r="DJ33" s="53"/>
      <c r="DL33" s="36"/>
      <c r="DM33" s="53"/>
      <c r="DN33" s="53"/>
      <c r="DO33" s="53"/>
      <c r="DP33" s="53"/>
      <c r="DQ33" s="53"/>
      <c r="DS33" s="36"/>
      <c r="DT33" s="53"/>
      <c r="DU33" s="53"/>
      <c r="DV33" s="53"/>
      <c r="DW33" s="53"/>
      <c r="DX33" s="53"/>
      <c r="DZ33" s="36"/>
      <c r="EA33" s="53"/>
      <c r="EB33" s="53"/>
      <c r="EC33" s="53"/>
      <c r="ED33" s="53"/>
      <c r="EE33" s="53"/>
      <c r="EG33" s="36"/>
      <c r="EH33" s="53"/>
      <c r="EI33" s="53"/>
      <c r="EJ33" s="53"/>
      <c r="EK33" s="53"/>
      <c r="EL33" s="53"/>
      <c r="EN33" s="36"/>
      <c r="EO33" s="53"/>
      <c r="EP33" s="53"/>
      <c r="EQ33" s="53"/>
      <c r="ER33" s="53"/>
      <c r="ES33" s="53"/>
      <c r="EU33" s="36"/>
      <c r="EV33" s="53"/>
      <c r="EW33" s="53"/>
      <c r="EX33" s="53"/>
      <c r="EY33" s="53"/>
      <c r="EZ33" s="53"/>
      <c r="FB33" s="36"/>
      <c r="FC33" s="53"/>
      <c r="FD33" s="53"/>
      <c r="FE33" s="53"/>
      <c r="FF33" s="53"/>
      <c r="FG33" s="53"/>
      <c r="FI33" s="36"/>
      <c r="FJ33" s="53"/>
      <c r="FK33" s="53"/>
      <c r="FL33" s="53"/>
      <c r="FM33" s="53"/>
      <c r="FN33" s="53"/>
      <c r="FP33" s="36"/>
      <c r="FQ33" s="53"/>
      <c r="FR33" s="53"/>
      <c r="FS33" s="53"/>
      <c r="FT33" s="53"/>
      <c r="FU33" s="53"/>
      <c r="FW33" s="36"/>
      <c r="FX33" s="53"/>
      <c r="FY33" s="53"/>
      <c r="FZ33" s="53"/>
      <c r="GA33" s="53"/>
      <c r="GB33" s="53"/>
      <c r="GD33" s="36"/>
      <c r="GE33" s="53"/>
      <c r="GF33" s="53"/>
      <c r="GG33" s="53"/>
      <c r="GH33" s="53"/>
      <c r="GI33" s="53"/>
      <c r="GK33" s="36"/>
      <c r="GL33" s="53"/>
      <c r="GM33" s="53"/>
      <c r="GN33" s="53"/>
      <c r="GO33" s="53"/>
      <c r="GP33" s="53"/>
      <c r="GR33" s="36"/>
      <c r="GS33" s="53"/>
      <c r="GT33" s="53"/>
      <c r="GU33" s="53"/>
      <c r="GV33" s="53"/>
      <c r="GW33" s="53"/>
      <c r="GY33" s="36"/>
      <c r="GZ33" s="53"/>
      <c r="HA33" s="53"/>
      <c r="HB33" s="53"/>
      <c r="HC33" s="53"/>
      <c r="HD33" s="53"/>
      <c r="HF33" s="36"/>
      <c r="HG33" s="53"/>
      <c r="HH33" s="53"/>
      <c r="HI33" s="53"/>
      <c r="HJ33" s="53"/>
      <c r="HK33" s="53"/>
      <c r="HM33" s="36"/>
      <c r="HN33" s="53"/>
      <c r="HO33" s="53"/>
      <c r="HP33" s="53"/>
      <c r="HQ33" s="53"/>
      <c r="HR33" s="53"/>
      <c r="HT33" s="36"/>
      <c r="HU33" s="53"/>
      <c r="HV33" s="53"/>
      <c r="HW33" s="53"/>
      <c r="HX33" s="53"/>
      <c r="HY33" s="53"/>
      <c r="IA33" s="36"/>
      <c r="IB33" s="53"/>
      <c r="IC33" s="53"/>
      <c r="ID33" s="53"/>
      <c r="IE33" s="53"/>
      <c r="IF33" s="53"/>
      <c r="IH33" s="36"/>
      <c r="II33" s="53"/>
      <c r="IJ33" s="53"/>
      <c r="IK33" s="53"/>
      <c r="IL33" s="53"/>
      <c r="IM33" s="53"/>
      <c r="IO33" s="36"/>
      <c r="IP33" s="53"/>
      <c r="IQ33" s="53"/>
      <c r="IR33" s="53"/>
      <c r="IS33" s="53"/>
      <c r="IT33" s="53"/>
      <c r="IV33" s="36"/>
      <c r="IW33" s="53"/>
      <c r="IX33" s="53"/>
      <c r="IY33" s="53"/>
      <c r="IZ33" s="53"/>
      <c r="JA33" s="53"/>
      <c r="JC33" s="36"/>
      <c r="JD33" s="53"/>
      <c r="JE33" s="53"/>
      <c r="JF33" s="53"/>
      <c r="JG33" s="53"/>
      <c r="JH33" s="53"/>
      <c r="JJ33" s="36"/>
      <c r="JK33" s="53"/>
      <c r="JL33" s="53"/>
      <c r="JM33" s="53"/>
      <c r="JN33" s="53"/>
      <c r="JO33" s="53"/>
      <c r="JQ33" s="36"/>
      <c r="JR33" s="53"/>
      <c r="JS33" s="53"/>
      <c r="JT33" s="53"/>
      <c r="JU33" s="53"/>
      <c r="JV33" s="53"/>
      <c r="JX33" s="36"/>
      <c r="JY33" s="53"/>
      <c r="JZ33" s="53"/>
      <c r="KA33" s="53"/>
      <c r="KB33" s="53"/>
      <c r="KC33" s="53"/>
      <c r="KE33" s="36"/>
      <c r="KF33" s="53"/>
      <c r="KG33" s="53"/>
      <c r="KH33" s="53"/>
      <c r="KI33" s="53"/>
      <c r="KJ33" s="53"/>
      <c r="KL33" s="36"/>
      <c r="KM33" s="53"/>
      <c r="KN33" s="53"/>
      <c r="KO33" s="53"/>
      <c r="KP33" s="53"/>
      <c r="KQ33" s="53"/>
      <c r="KS33" s="36"/>
      <c r="KT33" s="53"/>
      <c r="KU33" s="53"/>
      <c r="KX33" s="53"/>
      <c r="KZ33" s="630"/>
      <c r="LA33" s="631"/>
      <c r="LB33" s="631"/>
      <c r="LC33" s="631"/>
      <c r="LD33" s="631"/>
      <c r="LE33" s="631"/>
      <c r="LF33" s="566"/>
      <c r="LG33" s="630"/>
      <c r="LH33" s="631"/>
      <c r="LI33" s="631"/>
      <c r="LJ33" s="631"/>
      <c r="LK33" s="631"/>
      <c r="LL33" s="631"/>
      <c r="LM33" s="566"/>
      <c r="LN33" s="630"/>
      <c r="LO33" s="631"/>
      <c r="LP33" s="631"/>
      <c r="LQ33" s="631"/>
      <c r="LR33" s="631"/>
      <c r="LS33" s="631"/>
      <c r="LT33" s="566"/>
      <c r="LU33" s="630"/>
      <c r="LV33" s="631"/>
      <c r="LW33" s="631"/>
      <c r="LX33" s="631"/>
      <c r="LY33" s="631"/>
      <c r="LZ33" s="631"/>
      <c r="MA33" s="566"/>
      <c r="MB33" s="630"/>
      <c r="MC33" s="631"/>
      <c r="MD33" s="631"/>
      <c r="ME33" s="631"/>
      <c r="MF33" s="631"/>
      <c r="MG33" s="631"/>
      <c r="MH33" s="566"/>
    </row>
    <row r="34" spans="1:346" s="521" customFormat="1" ht="13.15" x14ac:dyDescent="0.4">
      <c r="A34" s="597"/>
      <c r="B34" s="598" t="s">
        <v>279</v>
      </c>
      <c r="C34" s="301"/>
      <c r="D34" s="301"/>
      <c r="E34" s="301"/>
      <c r="F34" s="301"/>
      <c r="G34" s="301"/>
      <c r="H34" s="301"/>
      <c r="I34" s="301"/>
      <c r="J34" s="301"/>
      <c r="K34" s="301"/>
      <c r="L34" s="301"/>
      <c r="M34" s="301"/>
      <c r="N34" s="301">
        <f>BT34</f>
        <v>0</v>
      </c>
      <c r="O34" s="301">
        <f>CA34</f>
        <v>0</v>
      </c>
      <c r="P34" s="301">
        <f>CH34</f>
        <v>0</v>
      </c>
      <c r="Q34" s="301">
        <f>CO34</f>
        <v>0</v>
      </c>
      <c r="R34" s="301">
        <f>CV34</f>
        <v>0</v>
      </c>
      <c r="S34" s="301">
        <f>DC34</f>
        <v>0</v>
      </c>
      <c r="T34" s="301">
        <f>DJ34</f>
        <v>0</v>
      </c>
      <c r="U34" s="301">
        <f>DQ34</f>
        <v>0</v>
      </c>
      <c r="V34" s="301">
        <f>DX34</f>
        <v>0</v>
      </c>
      <c r="W34" s="301">
        <f>EE34</f>
        <v>0</v>
      </c>
      <c r="X34" s="301">
        <f>EL34</f>
        <v>0</v>
      </c>
      <c r="Y34" s="301">
        <f>ES34</f>
        <v>0</v>
      </c>
      <c r="Z34" s="301">
        <f>EZ34</f>
        <v>0</v>
      </c>
      <c r="AA34" s="301">
        <f>FG34</f>
        <v>0</v>
      </c>
      <c r="AB34" s="301">
        <f>FN34</f>
        <v>0</v>
      </c>
      <c r="AC34" s="301">
        <f>FU34</f>
        <v>0</v>
      </c>
      <c r="AD34" s="301">
        <f>GB34</f>
        <v>0</v>
      </c>
      <c r="AE34" s="301">
        <f>GI34</f>
        <v>0</v>
      </c>
      <c r="AF34" s="301">
        <f>GP34</f>
        <v>0</v>
      </c>
      <c r="AG34" s="301">
        <f>GW34</f>
        <v>0</v>
      </c>
      <c r="AH34" s="301">
        <f>HD34</f>
        <v>0</v>
      </c>
      <c r="AI34" s="301">
        <f>HK34</f>
        <v>0</v>
      </c>
      <c r="AJ34" s="301">
        <f>HR34</f>
        <v>0</v>
      </c>
      <c r="AK34" s="301">
        <f>HY34</f>
        <v>0</v>
      </c>
      <c r="AL34" s="301">
        <f>IF34</f>
        <v>0</v>
      </c>
      <c r="AM34" s="301">
        <f>IM34</f>
        <v>0</v>
      </c>
      <c r="AN34" s="301">
        <f>IT34</f>
        <v>0</v>
      </c>
      <c r="AO34" s="301">
        <f>JA34</f>
        <v>0</v>
      </c>
      <c r="AP34" s="301">
        <f>JH34</f>
        <v>0</v>
      </c>
      <c r="AQ34" s="301">
        <f>JO34</f>
        <v>0</v>
      </c>
      <c r="AR34" s="301">
        <f>JV34</f>
        <v>0</v>
      </c>
      <c r="AS34" s="301">
        <f>KC34</f>
        <v>0</v>
      </c>
      <c r="AT34" s="301">
        <f>KJ34</f>
        <v>410</v>
      </c>
      <c r="AU34" s="301">
        <f>KQ34</f>
        <v>966</v>
      </c>
      <c r="AV34" s="301">
        <f>KX34</f>
        <v>882</v>
      </c>
      <c r="AW34" s="301">
        <f>LE34</f>
        <v>844</v>
      </c>
      <c r="AX34" s="301">
        <f>LL34</f>
        <v>816</v>
      </c>
      <c r="AY34" s="301">
        <f>LS34</f>
        <v>830.3</v>
      </c>
      <c r="AZ34" s="301">
        <f>LZ34</f>
        <v>855.20900000000006</v>
      </c>
      <c r="BA34" s="301">
        <f>MG34</f>
        <v>880.86527000000001</v>
      </c>
      <c r="BB34" s="301"/>
      <c r="BC34" s="301"/>
      <c r="BD34" s="301"/>
      <c r="BE34" s="301"/>
      <c r="BF34" s="301"/>
      <c r="BG34" s="301"/>
      <c r="BH34" s="301"/>
      <c r="BI34" s="301"/>
      <c r="BJ34" s="301"/>
      <c r="BK34" s="301"/>
      <c r="BL34" s="301"/>
      <c r="BM34" s="301"/>
      <c r="BO34" s="598" t="s">
        <v>279</v>
      </c>
      <c r="BP34" s="247"/>
      <c r="BQ34" s="247"/>
      <c r="BR34" s="247"/>
      <c r="BS34" s="247"/>
      <c r="BT34" s="247"/>
      <c r="BV34" s="598" t="s">
        <v>279</v>
      </c>
      <c r="BW34" s="247"/>
      <c r="BX34" s="247"/>
      <c r="BY34" s="247"/>
      <c r="BZ34" s="247"/>
      <c r="CA34" s="247"/>
      <c r="CC34" s="598" t="s">
        <v>279</v>
      </c>
      <c r="CD34" s="247"/>
      <c r="CE34" s="247"/>
      <c r="CF34" s="247"/>
      <c r="CG34" s="247"/>
      <c r="CH34" s="247"/>
      <c r="CJ34" s="598" t="s">
        <v>279</v>
      </c>
      <c r="CK34" s="247"/>
      <c r="CL34" s="247"/>
      <c r="CM34" s="247"/>
      <c r="CN34" s="247"/>
      <c r="CO34" s="247"/>
      <c r="CQ34" s="598" t="s">
        <v>279</v>
      </c>
      <c r="CR34" s="247"/>
      <c r="CS34" s="247"/>
      <c r="CT34" s="247"/>
      <c r="CU34" s="247"/>
      <c r="CV34" s="247"/>
      <c r="CX34" s="598" t="s">
        <v>279</v>
      </c>
      <c r="CY34" s="247"/>
      <c r="CZ34" s="247"/>
      <c r="DA34" s="247"/>
      <c r="DB34" s="247"/>
      <c r="DC34" s="247"/>
      <c r="DE34" s="598" t="s">
        <v>279</v>
      </c>
      <c r="DF34" s="247"/>
      <c r="DG34" s="247"/>
      <c r="DH34" s="247"/>
      <c r="DI34" s="247"/>
      <c r="DJ34" s="247"/>
      <c r="DL34" s="598" t="s">
        <v>279</v>
      </c>
      <c r="DM34" s="247"/>
      <c r="DN34" s="247"/>
      <c r="DO34" s="247"/>
      <c r="DP34" s="247"/>
      <c r="DQ34" s="247"/>
      <c r="DS34" s="598" t="s">
        <v>279</v>
      </c>
      <c r="DT34" s="247"/>
      <c r="DU34" s="247"/>
      <c r="DV34" s="247"/>
      <c r="DW34" s="247"/>
      <c r="DX34" s="247"/>
      <c r="DZ34" s="598" t="s">
        <v>279</v>
      </c>
      <c r="EA34" s="247"/>
      <c r="EB34" s="247"/>
      <c r="EC34" s="247"/>
      <c r="ED34" s="247"/>
      <c r="EE34" s="247"/>
      <c r="EG34" s="598" t="s">
        <v>279</v>
      </c>
      <c r="EH34" s="247"/>
      <c r="EI34" s="247"/>
      <c r="EJ34" s="247"/>
      <c r="EK34" s="247"/>
      <c r="EL34" s="247"/>
      <c r="EN34" s="598" t="s">
        <v>279</v>
      </c>
      <c r="EO34" s="247"/>
      <c r="EP34" s="247"/>
      <c r="EQ34" s="247"/>
      <c r="ER34" s="247"/>
      <c r="ES34" s="247"/>
      <c r="EU34" s="598" t="s">
        <v>279</v>
      </c>
      <c r="EV34" s="247"/>
      <c r="EW34" s="247"/>
      <c r="EX34" s="247"/>
      <c r="EY34" s="247"/>
      <c r="EZ34" s="247"/>
      <c r="FB34" s="598" t="s">
        <v>279</v>
      </c>
      <c r="FC34" s="247"/>
      <c r="FD34" s="247"/>
      <c r="FE34" s="247"/>
      <c r="FF34" s="247"/>
      <c r="FG34" s="247"/>
      <c r="FI34" s="598" t="s">
        <v>279</v>
      </c>
      <c r="FJ34" s="247"/>
      <c r="FK34" s="247"/>
      <c r="FL34" s="247"/>
      <c r="FM34" s="247"/>
      <c r="FN34" s="247"/>
      <c r="FP34" s="598" t="s">
        <v>279</v>
      </c>
      <c r="FQ34" s="247"/>
      <c r="FR34" s="247"/>
      <c r="FS34" s="247"/>
      <c r="FT34" s="247"/>
      <c r="FU34" s="247"/>
      <c r="FW34" s="598" t="s">
        <v>279</v>
      </c>
      <c r="FX34" s="247"/>
      <c r="FY34" s="247"/>
      <c r="FZ34" s="247"/>
      <c r="GA34" s="247"/>
      <c r="GB34" s="247"/>
      <c r="GD34" s="598" t="s">
        <v>279</v>
      </c>
      <c r="GE34" s="247"/>
      <c r="GF34" s="247"/>
      <c r="GG34" s="247"/>
      <c r="GH34" s="247"/>
      <c r="GI34" s="247"/>
      <c r="GK34" s="598" t="s">
        <v>279</v>
      </c>
      <c r="GL34" s="247"/>
      <c r="GM34" s="247"/>
      <c r="GN34" s="247"/>
      <c r="GO34" s="247"/>
      <c r="GP34" s="247"/>
      <c r="GR34" s="598" t="s">
        <v>279</v>
      </c>
      <c r="GS34" s="247"/>
      <c r="GT34" s="247"/>
      <c r="GU34" s="247"/>
      <c r="GV34" s="247"/>
      <c r="GW34" s="247"/>
      <c r="GY34" s="598" t="s">
        <v>279</v>
      </c>
      <c r="GZ34" s="247"/>
      <c r="HA34" s="247"/>
      <c r="HB34" s="247"/>
      <c r="HC34" s="247"/>
      <c r="HD34" s="247"/>
      <c r="HF34" s="598" t="s">
        <v>279</v>
      </c>
      <c r="HG34" s="247"/>
      <c r="HH34" s="247"/>
      <c r="HI34" s="247"/>
      <c r="HJ34" s="247"/>
      <c r="HK34" s="247"/>
      <c r="HM34" s="598" t="s">
        <v>279</v>
      </c>
      <c r="HN34" s="247"/>
      <c r="HO34" s="247"/>
      <c r="HP34" s="247"/>
      <c r="HQ34" s="247"/>
      <c r="HR34" s="247"/>
      <c r="HT34" s="598" t="s">
        <v>279</v>
      </c>
      <c r="HU34" s="247"/>
      <c r="HV34" s="247"/>
      <c r="HW34" s="247"/>
      <c r="HX34" s="247"/>
      <c r="HY34" s="247"/>
      <c r="IA34" s="598" t="s">
        <v>279</v>
      </c>
      <c r="IB34" s="247"/>
      <c r="IC34" s="247"/>
      <c r="ID34" s="247"/>
      <c r="IE34" s="247"/>
      <c r="IF34" s="247"/>
      <c r="IH34" s="598" t="s">
        <v>279</v>
      </c>
      <c r="II34" s="247"/>
      <c r="IJ34" s="247"/>
      <c r="IK34" s="247"/>
      <c r="IL34" s="247"/>
      <c r="IM34" s="247"/>
      <c r="IO34" s="598" t="s">
        <v>279</v>
      </c>
      <c r="IP34" s="247"/>
      <c r="IQ34" s="247"/>
      <c r="IR34" s="247"/>
      <c r="IS34" s="247"/>
      <c r="IT34" s="247"/>
      <c r="IV34" s="598" t="s">
        <v>279</v>
      </c>
      <c r="IW34" s="247"/>
      <c r="IX34" s="247"/>
      <c r="IY34" s="247"/>
      <c r="IZ34" s="247"/>
      <c r="JA34" s="247"/>
      <c r="JC34" s="598" t="s">
        <v>279</v>
      </c>
      <c r="JD34" s="247"/>
      <c r="JE34" s="247"/>
      <c r="JF34" s="247"/>
      <c r="JG34" s="247"/>
      <c r="JH34" s="247"/>
      <c r="JJ34" s="598" t="s">
        <v>279</v>
      </c>
      <c r="JK34" s="247"/>
      <c r="JL34" s="247"/>
      <c r="JM34" s="247"/>
      <c r="JN34" s="247"/>
      <c r="JO34" s="247"/>
      <c r="JQ34" s="598" t="s">
        <v>279</v>
      </c>
      <c r="JR34" s="247"/>
      <c r="JS34" s="247"/>
      <c r="JT34" s="247"/>
      <c r="JU34" s="247"/>
      <c r="JV34" s="247"/>
      <c r="JX34" s="598" t="s">
        <v>279</v>
      </c>
      <c r="JY34" s="247"/>
      <c r="JZ34" s="247"/>
      <c r="KA34" s="247"/>
      <c r="KB34" s="247"/>
      <c r="KC34" s="247"/>
      <c r="KE34" s="598" t="s">
        <v>279</v>
      </c>
      <c r="KF34" s="247"/>
      <c r="KG34" s="247"/>
      <c r="KH34" s="247">
        <v>200</v>
      </c>
      <c r="KI34" s="247">
        <v>210</v>
      </c>
      <c r="KJ34" s="247">
        <f>SUM(KF34:KI34)</f>
        <v>410</v>
      </c>
      <c r="KL34" s="598" t="s">
        <v>279</v>
      </c>
      <c r="KM34" s="247">
        <v>230</v>
      </c>
      <c r="KN34" s="247">
        <v>259</v>
      </c>
      <c r="KO34" s="247">
        <v>251</v>
      </c>
      <c r="KP34" s="247">
        <v>226</v>
      </c>
      <c r="KQ34" s="247">
        <f>SUM(KM34:KP34)</f>
        <v>966</v>
      </c>
      <c r="KS34" s="598" t="s">
        <v>279</v>
      </c>
      <c r="KT34" s="247">
        <v>233</v>
      </c>
      <c r="KU34" s="247">
        <v>227</v>
      </c>
      <c r="KV34" s="301">
        <v>218</v>
      </c>
      <c r="KW34" s="301">
        <v>204</v>
      </c>
      <c r="KX34" s="247">
        <f>SUM(KT34:KW34)</f>
        <v>882</v>
      </c>
      <c r="KZ34" s="598" t="s">
        <v>279</v>
      </c>
      <c r="LA34" s="247">
        <v>215</v>
      </c>
      <c r="LB34" s="301">
        <v>221</v>
      </c>
      <c r="LC34" s="301">
        <v>214</v>
      </c>
      <c r="LD34" s="301">
        <v>194</v>
      </c>
      <c r="LE34" s="301">
        <f>SUM(LA34:LD34)</f>
        <v>844</v>
      </c>
      <c r="LF34" s="561"/>
      <c r="LG34" s="598" t="s">
        <v>279</v>
      </c>
      <c r="LH34" s="301">
        <v>202</v>
      </c>
      <c r="LI34" s="301">
        <v>211</v>
      </c>
      <c r="LJ34" s="301">
        <v>207</v>
      </c>
      <c r="LK34" s="301">
        <v>196</v>
      </c>
      <c r="LL34" s="301">
        <f>SUM(LH34:LK34)</f>
        <v>816</v>
      </c>
      <c r="LM34" s="561"/>
      <c r="LN34" s="598" t="s">
        <v>279</v>
      </c>
      <c r="LO34" s="301">
        <f t="shared" ref="LO34:LR35" si="141">LH34*(1+LO57)</f>
        <v>204.02</v>
      </c>
      <c r="LP34" s="301">
        <f t="shared" si="141"/>
        <v>215.22</v>
      </c>
      <c r="LQ34" s="301">
        <f t="shared" si="141"/>
        <v>211.14000000000001</v>
      </c>
      <c r="LR34" s="301">
        <f t="shared" si="141"/>
        <v>199.92000000000002</v>
      </c>
      <c r="LS34" s="301">
        <f>SUM(LO34:LR34)</f>
        <v>830.3</v>
      </c>
      <c r="LT34" s="561"/>
      <c r="LU34" s="598" t="s">
        <v>279</v>
      </c>
      <c r="LV34" s="301">
        <f t="shared" ref="LV34:LV35" si="142">LO34*(1+LV57)</f>
        <v>210.14060000000001</v>
      </c>
      <c r="LW34" s="301">
        <f t="shared" ref="LW34:LW35" si="143">LP34*(1+LW57)</f>
        <v>221.67660000000001</v>
      </c>
      <c r="LX34" s="301">
        <f t="shared" ref="LX34:LX35" si="144">LQ34*(1+LX57)</f>
        <v>217.47420000000002</v>
      </c>
      <c r="LY34" s="301">
        <f t="shared" ref="LY34:LY35" si="145">LR34*(1+LY57)</f>
        <v>205.91760000000002</v>
      </c>
      <c r="LZ34" s="301">
        <f>SUM(LV34:LY34)</f>
        <v>855.20900000000006</v>
      </c>
      <c r="MA34" s="561"/>
      <c r="MB34" s="598" t="s">
        <v>279</v>
      </c>
      <c r="MC34" s="301">
        <f t="shared" ref="MC34:MC35" si="146">LV34*(1+MC57)</f>
        <v>216.444818</v>
      </c>
      <c r="MD34" s="301">
        <f t="shared" ref="MD34:MD35" si="147">LW34*(1+MD57)</f>
        <v>228.326898</v>
      </c>
      <c r="ME34" s="301">
        <f t="shared" ref="ME34:ME35" si="148">LX34*(1+ME57)</f>
        <v>223.99842600000002</v>
      </c>
      <c r="MF34" s="301">
        <f t="shared" ref="MF34:MF35" si="149">LY34*(1+MF57)</f>
        <v>212.09512800000002</v>
      </c>
      <c r="MG34" s="301">
        <f>SUM(MC34:MF34)</f>
        <v>880.86527000000001</v>
      </c>
      <c r="MH34" s="561"/>
    </row>
    <row r="35" spans="1:346" s="521" customFormat="1" ht="13.15" x14ac:dyDescent="0.4">
      <c r="A35" s="597"/>
      <c r="B35" s="598" t="s">
        <v>12</v>
      </c>
      <c r="C35" s="301"/>
      <c r="D35" s="301"/>
      <c r="E35" s="301">
        <v>191.29999999999927</v>
      </c>
      <c r="F35" s="301">
        <v>208.19999999999982</v>
      </c>
      <c r="G35" s="301">
        <v>208.39999999999964</v>
      </c>
      <c r="H35" s="301">
        <v>185</v>
      </c>
      <c r="I35" s="301">
        <v>176</v>
      </c>
      <c r="J35" s="301">
        <v>152</v>
      </c>
      <c r="K35" s="301">
        <v>149</v>
      </c>
      <c r="L35" s="301">
        <v>135</v>
      </c>
      <c r="M35" s="301">
        <v>121</v>
      </c>
      <c r="N35" s="301">
        <f>BT35</f>
        <v>133</v>
      </c>
      <c r="O35" s="301">
        <f>CA35</f>
        <v>136</v>
      </c>
      <c r="P35" s="301">
        <f>CH35</f>
        <v>162</v>
      </c>
      <c r="Q35" s="301">
        <f>CO35</f>
        <v>100</v>
      </c>
      <c r="R35" s="301">
        <f>CV35</f>
        <v>108.4</v>
      </c>
      <c r="S35" s="301">
        <f>DC35</f>
        <v>112</v>
      </c>
      <c r="T35" s="301">
        <f>DJ35</f>
        <v>138</v>
      </c>
      <c r="U35" s="301">
        <f>DQ35</f>
        <v>144</v>
      </c>
      <c r="V35" s="301">
        <f>DX35</f>
        <v>130</v>
      </c>
      <c r="W35" s="301">
        <f>EE35</f>
        <v>116</v>
      </c>
      <c r="X35" s="301">
        <f>EL35</f>
        <v>83</v>
      </c>
      <c r="Y35" s="301">
        <f>ES35</f>
        <v>70</v>
      </c>
      <c r="Z35" s="301">
        <f>EZ35</f>
        <v>89</v>
      </c>
      <c r="AA35" s="301">
        <f>FG35</f>
        <v>54</v>
      </c>
      <c r="AB35" s="301">
        <f>FN35</f>
        <v>35</v>
      </c>
      <c r="AC35" s="301">
        <f>FU35</f>
        <v>84</v>
      </c>
      <c r="AD35" s="301">
        <f>GB35</f>
        <v>104</v>
      </c>
      <c r="AE35" s="301">
        <f>GI35</f>
        <v>181</v>
      </c>
      <c r="AF35" s="301">
        <f>GP35</f>
        <v>242</v>
      </c>
      <c r="AG35" s="301">
        <f>GW35</f>
        <v>255</v>
      </c>
      <c r="AH35" s="301">
        <f>HD35</f>
        <v>235</v>
      </c>
      <c r="AI35" s="301">
        <f>HK35</f>
        <v>288</v>
      </c>
      <c r="AJ35" s="301">
        <f>HR35</f>
        <v>298</v>
      </c>
      <c r="AK35" s="301">
        <f>HY35</f>
        <v>316</v>
      </c>
      <c r="AL35" s="301">
        <f>IF35</f>
        <v>429</v>
      </c>
      <c r="AM35" s="301">
        <f>IM35</f>
        <v>422</v>
      </c>
      <c r="AN35" s="301">
        <f>IT35</f>
        <v>478</v>
      </c>
      <c r="AO35" s="301">
        <f>JA35</f>
        <v>368</v>
      </c>
      <c r="AP35" s="301">
        <f>JH35</f>
        <v>434</v>
      </c>
      <c r="AQ35" s="301">
        <f>JO35</f>
        <v>582</v>
      </c>
      <c r="AR35" s="301">
        <f>JV35</f>
        <v>518</v>
      </c>
      <c r="AS35" s="301">
        <f>KC35</f>
        <v>408</v>
      </c>
      <c r="AT35" s="301">
        <f>KJ35</f>
        <v>744</v>
      </c>
      <c r="AU35" s="301">
        <f>KQ35</f>
        <v>908</v>
      </c>
      <c r="AV35" s="301">
        <f>KX35</f>
        <v>578</v>
      </c>
      <c r="AW35" s="301">
        <f>LE35</f>
        <v>499</v>
      </c>
      <c r="AX35" s="301">
        <f>LL35</f>
        <v>530</v>
      </c>
      <c r="AY35" s="301">
        <f>LS35</f>
        <v>552.83999999999992</v>
      </c>
      <c r="AZ35" s="301">
        <f>LZ35</f>
        <v>563.89679999999998</v>
      </c>
      <c r="BA35" s="301">
        <f>MG35</f>
        <v>575.17473599999994</v>
      </c>
      <c r="BB35" s="301"/>
      <c r="BC35" s="301"/>
      <c r="BD35" s="301"/>
      <c r="BE35" s="301"/>
      <c r="BF35" s="301"/>
      <c r="BG35" s="301"/>
      <c r="BH35" s="301"/>
      <c r="BI35" s="301"/>
      <c r="BJ35" s="301"/>
      <c r="BK35" s="301"/>
      <c r="BL35" s="301"/>
      <c r="BM35" s="301"/>
      <c r="BO35" s="598" t="s">
        <v>12</v>
      </c>
      <c r="BP35" s="247">
        <v>26</v>
      </c>
      <c r="BQ35" s="247">
        <v>37</v>
      </c>
      <c r="BR35" s="247">
        <v>39</v>
      </c>
      <c r="BS35" s="247">
        <v>31</v>
      </c>
      <c r="BT35" s="247">
        <v>133</v>
      </c>
      <c r="BV35" s="598" t="s">
        <v>12</v>
      </c>
      <c r="BW35" s="247">
        <v>31</v>
      </c>
      <c r="BX35" s="247">
        <v>35</v>
      </c>
      <c r="BY35" s="247">
        <v>33</v>
      </c>
      <c r="BZ35" s="247">
        <v>37</v>
      </c>
      <c r="CA35" s="247">
        <v>136</v>
      </c>
      <c r="CC35" s="598" t="s">
        <v>12</v>
      </c>
      <c r="CD35" s="247">
        <v>34</v>
      </c>
      <c r="CE35" s="247">
        <v>40</v>
      </c>
      <c r="CF35" s="247">
        <v>46</v>
      </c>
      <c r="CG35" s="247">
        <v>42</v>
      </c>
      <c r="CH35" s="247">
        <v>162</v>
      </c>
      <c r="CJ35" s="598" t="s">
        <v>12</v>
      </c>
      <c r="CK35" s="247">
        <v>25</v>
      </c>
      <c r="CL35" s="247">
        <v>25</v>
      </c>
      <c r="CM35" s="247">
        <v>26</v>
      </c>
      <c r="CN35" s="247">
        <v>24</v>
      </c>
      <c r="CO35" s="247">
        <v>100</v>
      </c>
      <c r="CQ35" s="598" t="s">
        <v>12</v>
      </c>
      <c r="CR35" s="247">
        <v>26</v>
      </c>
      <c r="CS35" s="247">
        <v>28</v>
      </c>
      <c r="CT35" s="247">
        <v>29.4</v>
      </c>
      <c r="CU35" s="247">
        <v>25</v>
      </c>
      <c r="CV35" s="247">
        <v>108.4</v>
      </c>
      <c r="CX35" s="598" t="s">
        <v>12</v>
      </c>
      <c r="CY35" s="247">
        <v>23</v>
      </c>
      <c r="CZ35" s="247">
        <v>26</v>
      </c>
      <c r="DA35" s="247">
        <v>30</v>
      </c>
      <c r="DB35" s="247">
        <v>33</v>
      </c>
      <c r="DC35" s="247">
        <v>112</v>
      </c>
      <c r="DE35" s="598" t="s">
        <v>12</v>
      </c>
      <c r="DF35" s="247">
        <v>29</v>
      </c>
      <c r="DG35" s="247">
        <v>35</v>
      </c>
      <c r="DH35" s="247">
        <v>36</v>
      </c>
      <c r="DI35" s="247">
        <v>38</v>
      </c>
      <c r="DJ35" s="247">
        <v>138</v>
      </c>
      <c r="DL35" s="598" t="s">
        <v>12</v>
      </c>
      <c r="DM35" s="247">
        <v>36</v>
      </c>
      <c r="DN35" s="247">
        <v>38</v>
      </c>
      <c r="DO35" s="247">
        <v>35</v>
      </c>
      <c r="DP35" s="247">
        <v>35</v>
      </c>
      <c r="DQ35" s="247">
        <v>144</v>
      </c>
      <c r="DS35" s="598" t="s">
        <v>12</v>
      </c>
      <c r="DT35" s="247">
        <v>32</v>
      </c>
      <c r="DU35" s="247">
        <v>30</v>
      </c>
      <c r="DV35" s="247">
        <v>31</v>
      </c>
      <c r="DW35" s="247">
        <v>37</v>
      </c>
      <c r="DX35" s="247">
        <v>130</v>
      </c>
      <c r="DZ35" s="598" t="s">
        <v>12</v>
      </c>
      <c r="EA35" s="247">
        <v>58</v>
      </c>
      <c r="EB35" s="247">
        <v>38</v>
      </c>
      <c r="EC35" s="247">
        <v>9</v>
      </c>
      <c r="ED35" s="247">
        <v>11</v>
      </c>
      <c r="EE35" s="247">
        <v>116</v>
      </c>
      <c r="EG35" s="598" t="s">
        <v>12</v>
      </c>
      <c r="EH35" s="247">
        <v>38</v>
      </c>
      <c r="EI35" s="247">
        <v>11</v>
      </c>
      <c r="EJ35" s="247">
        <v>17</v>
      </c>
      <c r="EK35" s="247">
        <v>17</v>
      </c>
      <c r="EL35" s="247">
        <v>83</v>
      </c>
      <c r="EN35" s="598" t="s">
        <v>12</v>
      </c>
      <c r="EO35" s="247">
        <v>9</v>
      </c>
      <c r="EP35" s="247">
        <v>15</v>
      </c>
      <c r="EQ35" s="247">
        <v>18</v>
      </c>
      <c r="ER35" s="247">
        <v>28</v>
      </c>
      <c r="ES35" s="247">
        <v>70</v>
      </c>
      <c r="EU35" s="598" t="s">
        <v>12</v>
      </c>
      <c r="EV35" s="247">
        <v>18</v>
      </c>
      <c r="EW35" s="247">
        <v>26</v>
      </c>
      <c r="EX35" s="247">
        <v>24</v>
      </c>
      <c r="EY35" s="247">
        <v>21</v>
      </c>
      <c r="EZ35" s="247">
        <v>89</v>
      </c>
      <c r="FB35" s="598" t="s">
        <v>12</v>
      </c>
      <c r="FC35" s="247">
        <v>21</v>
      </c>
      <c r="FD35" s="247">
        <v>16</v>
      </c>
      <c r="FE35" s="247">
        <v>6</v>
      </c>
      <c r="FF35" s="247">
        <v>11</v>
      </c>
      <c r="FG35" s="247">
        <v>54</v>
      </c>
      <c r="FI35" s="598" t="s">
        <v>12</v>
      </c>
      <c r="FJ35" s="247">
        <v>18</v>
      </c>
      <c r="FK35" s="247">
        <v>6</v>
      </c>
      <c r="FL35" s="247">
        <v>2</v>
      </c>
      <c r="FM35" s="247">
        <v>9</v>
      </c>
      <c r="FN35" s="247">
        <v>35</v>
      </c>
      <c r="FP35" s="598" t="s">
        <v>12</v>
      </c>
      <c r="FQ35" s="247">
        <v>23</v>
      </c>
      <c r="FR35" s="247">
        <v>19</v>
      </c>
      <c r="FS35" s="247">
        <v>22</v>
      </c>
      <c r="FT35" s="247">
        <v>20</v>
      </c>
      <c r="FU35" s="247">
        <v>84</v>
      </c>
      <c r="FW35" s="598" t="s">
        <v>12</v>
      </c>
      <c r="FX35" s="247">
        <v>27</v>
      </c>
      <c r="FY35" s="247">
        <v>23</v>
      </c>
      <c r="FZ35" s="247">
        <v>27</v>
      </c>
      <c r="GA35" s="247">
        <v>27</v>
      </c>
      <c r="GB35" s="247">
        <f>SUM(FX35:GA35)</f>
        <v>104</v>
      </c>
      <c r="GD35" s="598" t="s">
        <v>12</v>
      </c>
      <c r="GE35" s="247">
        <v>38</v>
      </c>
      <c r="GF35" s="247">
        <v>42</v>
      </c>
      <c r="GG35" s="247">
        <v>49</v>
      </c>
      <c r="GH35" s="247">
        <v>52</v>
      </c>
      <c r="GI35" s="247">
        <f>SUM(GE35:GH35)</f>
        <v>181</v>
      </c>
      <c r="GK35" s="598" t="s">
        <v>12</v>
      </c>
      <c r="GL35" s="247">
        <v>59</v>
      </c>
      <c r="GM35" s="247">
        <v>58</v>
      </c>
      <c r="GN35" s="247">
        <v>59</v>
      </c>
      <c r="GO35" s="247">
        <v>66</v>
      </c>
      <c r="GP35" s="247">
        <f>SUM(GL35:GO35)</f>
        <v>242</v>
      </c>
      <c r="GR35" s="598" t="s">
        <v>12</v>
      </c>
      <c r="GS35" s="247">
        <v>59</v>
      </c>
      <c r="GT35" s="247">
        <v>61</v>
      </c>
      <c r="GU35" s="247">
        <v>60</v>
      </c>
      <c r="GV35" s="247">
        <v>75</v>
      </c>
      <c r="GW35" s="247">
        <f>SUM(GS35:GV35)</f>
        <v>255</v>
      </c>
      <c r="GY35" s="598" t="s">
        <v>12</v>
      </c>
      <c r="GZ35" s="247">
        <v>63</v>
      </c>
      <c r="HA35" s="247">
        <v>58</v>
      </c>
      <c r="HB35" s="247">
        <v>63</v>
      </c>
      <c r="HC35" s="247">
        <v>51</v>
      </c>
      <c r="HD35" s="247">
        <f>SUM(GZ35:HC35)</f>
        <v>235</v>
      </c>
      <c r="HF35" s="598" t="s">
        <v>12</v>
      </c>
      <c r="HG35" s="247">
        <v>64</v>
      </c>
      <c r="HH35" s="247">
        <v>68</v>
      </c>
      <c r="HI35" s="247">
        <v>85</v>
      </c>
      <c r="HJ35" s="247">
        <v>71</v>
      </c>
      <c r="HK35" s="247">
        <f>SUM(HG35:HJ35)</f>
        <v>288</v>
      </c>
      <c r="HM35" s="598" t="s">
        <v>12</v>
      </c>
      <c r="HN35" s="247">
        <v>78</v>
      </c>
      <c r="HO35" s="247">
        <v>80</v>
      </c>
      <c r="HP35" s="247">
        <v>78</v>
      </c>
      <c r="HQ35" s="247">
        <v>62</v>
      </c>
      <c r="HR35" s="247">
        <f>SUM(HN35:HQ35)</f>
        <v>298</v>
      </c>
      <c r="HT35" s="598" t="s">
        <v>12</v>
      </c>
      <c r="HU35" s="247">
        <v>70</v>
      </c>
      <c r="HV35" s="247">
        <v>73</v>
      </c>
      <c r="HW35" s="247">
        <v>95</v>
      </c>
      <c r="HX35" s="247">
        <v>78</v>
      </c>
      <c r="HY35" s="247">
        <f>SUM(HU35:HX35)</f>
        <v>316</v>
      </c>
      <c r="IA35" s="598" t="s">
        <v>12</v>
      </c>
      <c r="IB35" s="247">
        <v>111</v>
      </c>
      <c r="IC35" s="247">
        <v>92</v>
      </c>
      <c r="ID35" s="247">
        <v>129</v>
      </c>
      <c r="IE35" s="247">
        <v>97</v>
      </c>
      <c r="IF35" s="247">
        <f>SUM(IB35:IE35)</f>
        <v>429</v>
      </c>
      <c r="IH35" s="598" t="s">
        <v>12</v>
      </c>
      <c r="II35" s="247">
        <v>142</v>
      </c>
      <c r="IJ35" s="247">
        <v>80</v>
      </c>
      <c r="IK35" s="247">
        <v>118</v>
      </c>
      <c r="IL35" s="247">
        <v>82</v>
      </c>
      <c r="IM35" s="247">
        <f>SUM(II35:IL35)</f>
        <v>422</v>
      </c>
      <c r="IO35" s="598" t="s">
        <v>12</v>
      </c>
      <c r="IP35" s="247">
        <v>165</v>
      </c>
      <c r="IQ35" s="247">
        <v>126</v>
      </c>
      <c r="IR35" s="247">
        <v>86</v>
      </c>
      <c r="IS35" s="247">
        <v>101</v>
      </c>
      <c r="IT35" s="247">
        <f>SUM(IP35:IS35)</f>
        <v>478</v>
      </c>
      <c r="IV35" s="598" t="s">
        <v>12</v>
      </c>
      <c r="IW35" s="247">
        <v>80</v>
      </c>
      <c r="IX35" s="247">
        <v>97</v>
      </c>
      <c r="IY35" s="247">
        <v>77</v>
      </c>
      <c r="IZ35" s="247">
        <v>114</v>
      </c>
      <c r="JA35" s="247">
        <f>SUM(IW35:IZ35)</f>
        <v>368</v>
      </c>
      <c r="JC35" s="598" t="s">
        <v>12</v>
      </c>
      <c r="JD35" s="247">
        <v>74</v>
      </c>
      <c r="JE35" s="247">
        <v>157</v>
      </c>
      <c r="JF35" s="247">
        <v>95</v>
      </c>
      <c r="JG35" s="247">
        <v>108</v>
      </c>
      <c r="JH35" s="247">
        <f>SUM(JD35:JG35)</f>
        <v>434</v>
      </c>
      <c r="JJ35" s="598" t="s">
        <v>12</v>
      </c>
      <c r="JK35" s="247">
        <v>145</v>
      </c>
      <c r="JL35" s="247">
        <v>136</v>
      </c>
      <c r="JM35" s="247">
        <v>151</v>
      </c>
      <c r="JN35" s="247">
        <v>150</v>
      </c>
      <c r="JO35" s="247">
        <f>SUM(JK35:JN35)</f>
        <v>582</v>
      </c>
      <c r="JQ35" s="598" t="s">
        <v>12</v>
      </c>
      <c r="JR35" s="247">
        <v>168</v>
      </c>
      <c r="JS35" s="247">
        <v>124</v>
      </c>
      <c r="JT35" s="247">
        <v>109</v>
      </c>
      <c r="JU35" s="247">
        <v>117</v>
      </c>
      <c r="JV35" s="247">
        <f>SUM(JR35:JU35)</f>
        <v>518</v>
      </c>
      <c r="JX35" s="598" t="s">
        <v>12</v>
      </c>
      <c r="JY35" s="247">
        <v>101</v>
      </c>
      <c r="JZ35" s="247">
        <v>101</v>
      </c>
      <c r="KA35" s="247">
        <v>96</v>
      </c>
      <c r="KB35" s="247">
        <v>110</v>
      </c>
      <c r="KC35" s="247">
        <f>SUM(JY35:KB35)</f>
        <v>408</v>
      </c>
      <c r="KE35" s="598" t="s">
        <v>12</v>
      </c>
      <c r="KF35" s="247">
        <v>143</v>
      </c>
      <c r="KG35" s="247">
        <v>153</v>
      </c>
      <c r="KH35" s="247">
        <v>242</v>
      </c>
      <c r="KI35" s="247">
        <v>206</v>
      </c>
      <c r="KJ35" s="247">
        <f>SUM(KF35:KI35)</f>
        <v>744</v>
      </c>
      <c r="KL35" s="598" t="s">
        <v>12</v>
      </c>
      <c r="KM35" s="247">
        <v>202</v>
      </c>
      <c r="KN35" s="247">
        <v>202</v>
      </c>
      <c r="KO35" s="247">
        <v>273</v>
      </c>
      <c r="KP35" s="247">
        <v>231</v>
      </c>
      <c r="KQ35" s="247">
        <f>SUM(KM35:KP35)</f>
        <v>908</v>
      </c>
      <c r="KS35" s="598" t="s">
        <v>12</v>
      </c>
      <c r="KT35" s="247">
        <v>178</v>
      </c>
      <c r="KU35" s="247">
        <v>147</v>
      </c>
      <c r="KV35" s="301">
        <v>131</v>
      </c>
      <c r="KW35" s="301">
        <v>122</v>
      </c>
      <c r="KX35" s="247">
        <f>SUM(KT35:KW35)</f>
        <v>578</v>
      </c>
      <c r="KZ35" s="598" t="s">
        <v>12</v>
      </c>
      <c r="LA35" s="247">
        <v>143</v>
      </c>
      <c r="LB35" s="301">
        <v>115</v>
      </c>
      <c r="LC35" s="301">
        <v>112</v>
      </c>
      <c r="LD35" s="301">
        <v>129</v>
      </c>
      <c r="LE35" s="301">
        <f>SUM(LA35:LD35)</f>
        <v>499</v>
      </c>
      <c r="LF35" s="561"/>
      <c r="LG35" s="598" t="s">
        <v>12</v>
      </c>
      <c r="LH35" s="301">
        <v>115</v>
      </c>
      <c r="LI35" s="301">
        <v>138</v>
      </c>
      <c r="LJ35" s="301">
        <v>155</v>
      </c>
      <c r="LK35" s="301">
        <v>122</v>
      </c>
      <c r="LL35" s="301">
        <f>SUM(LH35:LK35)</f>
        <v>530</v>
      </c>
      <c r="LM35" s="561"/>
      <c r="LN35" s="598" t="s">
        <v>12</v>
      </c>
      <c r="LO35" s="301">
        <f t="shared" si="141"/>
        <v>120.75</v>
      </c>
      <c r="LP35" s="301">
        <f t="shared" si="141"/>
        <v>144.9</v>
      </c>
      <c r="LQ35" s="301">
        <f t="shared" si="141"/>
        <v>162.75</v>
      </c>
      <c r="LR35" s="301">
        <f t="shared" si="141"/>
        <v>124.44</v>
      </c>
      <c r="LS35" s="301">
        <f>SUM(LO35:LR35)</f>
        <v>552.83999999999992</v>
      </c>
      <c r="LT35" s="561"/>
      <c r="LU35" s="598" t="s">
        <v>12</v>
      </c>
      <c r="LV35" s="301">
        <f t="shared" si="142"/>
        <v>123.16500000000001</v>
      </c>
      <c r="LW35" s="301">
        <f t="shared" si="143"/>
        <v>147.798</v>
      </c>
      <c r="LX35" s="301">
        <f t="shared" si="144"/>
        <v>166.005</v>
      </c>
      <c r="LY35" s="301">
        <f t="shared" si="145"/>
        <v>126.9288</v>
      </c>
      <c r="LZ35" s="301">
        <f>SUM(LV35:LY35)</f>
        <v>563.89679999999998</v>
      </c>
      <c r="MA35" s="561"/>
      <c r="MB35" s="598" t="s">
        <v>12</v>
      </c>
      <c r="MC35" s="301">
        <f t="shared" si="146"/>
        <v>125.62830000000001</v>
      </c>
      <c r="MD35" s="301">
        <f t="shared" si="147"/>
        <v>150.75396000000001</v>
      </c>
      <c r="ME35" s="301">
        <f t="shared" si="148"/>
        <v>169.32509999999999</v>
      </c>
      <c r="MF35" s="301">
        <f t="shared" si="149"/>
        <v>129.467376</v>
      </c>
      <c r="MG35" s="301">
        <f>SUM(MC35:MF35)</f>
        <v>575.17473599999994</v>
      </c>
      <c r="MH35" s="561"/>
    </row>
    <row r="36" spans="1:346" s="37" customFormat="1" ht="13.15" x14ac:dyDescent="0.4">
      <c r="A36" s="100"/>
      <c r="B36" s="36"/>
      <c r="BO36" s="36"/>
      <c r="BP36" s="53"/>
      <c r="BQ36" s="53"/>
      <c r="BR36" s="53"/>
      <c r="BS36" s="53"/>
      <c r="BT36" s="53"/>
      <c r="BV36" s="36"/>
      <c r="BW36" s="53"/>
      <c r="BX36" s="53"/>
      <c r="BY36" s="53"/>
      <c r="BZ36" s="53"/>
      <c r="CA36" s="53"/>
      <c r="CC36" s="36"/>
      <c r="CD36" s="53"/>
      <c r="CE36" s="53"/>
      <c r="CF36" s="53"/>
      <c r="CG36" s="53"/>
      <c r="CH36" s="53"/>
      <c r="CJ36" s="36"/>
      <c r="CK36" s="53"/>
      <c r="CL36" s="53"/>
      <c r="CM36" s="53"/>
      <c r="CN36" s="53"/>
      <c r="CO36" s="53"/>
      <c r="CQ36" s="36"/>
      <c r="CR36" s="53"/>
      <c r="CS36" s="53"/>
      <c r="CT36" s="53"/>
      <c r="CU36" s="53"/>
      <c r="CV36" s="53"/>
      <c r="CX36" s="36"/>
      <c r="CY36" s="53"/>
      <c r="CZ36" s="53"/>
      <c r="DA36" s="53"/>
      <c r="DB36" s="53"/>
      <c r="DC36" s="53"/>
      <c r="DE36" s="36"/>
      <c r="DF36" s="53"/>
      <c r="DG36" s="53"/>
      <c r="DH36" s="53"/>
      <c r="DI36" s="53"/>
      <c r="DJ36" s="53"/>
      <c r="DL36" s="36"/>
      <c r="DM36" s="53"/>
      <c r="DN36" s="53"/>
      <c r="DO36" s="53"/>
      <c r="DP36" s="53"/>
      <c r="DQ36" s="53"/>
      <c r="DS36" s="36"/>
      <c r="DT36" s="53"/>
      <c r="DU36" s="53"/>
      <c r="DV36" s="53"/>
      <c r="DW36" s="53"/>
      <c r="DX36" s="53"/>
      <c r="DZ36" s="36"/>
      <c r="EA36" s="53"/>
      <c r="EB36" s="53"/>
      <c r="EC36" s="53"/>
      <c r="ED36" s="53"/>
      <c r="EE36" s="53"/>
      <c r="EG36" s="36"/>
      <c r="EH36" s="53"/>
      <c r="EI36" s="53"/>
      <c r="EJ36" s="53"/>
      <c r="EK36" s="53"/>
      <c r="EL36" s="53"/>
      <c r="EN36" s="36"/>
      <c r="EO36" s="53"/>
      <c r="EP36" s="53"/>
      <c r="EQ36" s="53"/>
      <c r="ER36" s="53"/>
      <c r="ES36" s="53"/>
      <c r="EU36" s="36"/>
      <c r="EV36" s="53"/>
      <c r="EW36" s="53"/>
      <c r="EX36" s="53"/>
      <c r="EY36" s="53"/>
      <c r="EZ36" s="53"/>
      <c r="FB36" s="36"/>
      <c r="FC36" s="53"/>
      <c r="FD36" s="53"/>
      <c r="FE36" s="53"/>
      <c r="FF36" s="53"/>
      <c r="FG36" s="53"/>
      <c r="FI36" s="36"/>
      <c r="FJ36" s="53"/>
      <c r="FK36" s="53"/>
      <c r="FL36" s="53"/>
      <c r="FM36" s="53"/>
      <c r="FN36" s="53"/>
      <c r="FP36" s="36"/>
      <c r="FQ36" s="53"/>
      <c r="FR36" s="53"/>
      <c r="FS36" s="53"/>
      <c r="FT36" s="53"/>
      <c r="FU36" s="53"/>
      <c r="FW36" s="36"/>
      <c r="FX36" s="53"/>
      <c r="FY36" s="53"/>
      <c r="FZ36" s="53"/>
      <c r="GA36" s="53"/>
      <c r="GB36" s="53"/>
      <c r="GD36" s="36"/>
      <c r="GE36" s="53"/>
      <c r="GF36" s="53"/>
      <c r="GG36" s="53"/>
      <c r="GH36" s="53"/>
      <c r="GI36" s="53"/>
      <c r="GK36" s="36"/>
      <c r="GL36" s="53"/>
      <c r="GM36" s="53"/>
      <c r="GN36" s="53"/>
      <c r="GO36" s="53"/>
      <c r="GP36" s="53"/>
      <c r="GR36" s="36"/>
      <c r="GS36" s="53"/>
      <c r="GT36" s="53"/>
      <c r="GU36" s="53"/>
      <c r="GV36" s="53"/>
      <c r="GW36" s="53"/>
      <c r="GY36" s="36"/>
      <c r="GZ36" s="53"/>
      <c r="HA36" s="53"/>
      <c r="HB36" s="53"/>
      <c r="HC36" s="53"/>
      <c r="HD36" s="53"/>
      <c r="HF36" s="36"/>
      <c r="HG36" s="53"/>
      <c r="HH36" s="53"/>
      <c r="HI36" s="53"/>
      <c r="HJ36" s="53"/>
      <c r="HK36" s="53"/>
      <c r="HM36" s="36"/>
      <c r="HN36" s="53"/>
      <c r="HO36" s="53"/>
      <c r="HP36" s="53"/>
      <c r="HQ36" s="53"/>
      <c r="HR36" s="53"/>
      <c r="HT36" s="36"/>
      <c r="HU36" s="53"/>
      <c r="HV36" s="53"/>
      <c r="HW36" s="53"/>
      <c r="HX36" s="53"/>
      <c r="HY36" s="53"/>
      <c r="IA36" s="36"/>
      <c r="IB36" s="53"/>
      <c r="IC36" s="53"/>
      <c r="ID36" s="53"/>
      <c r="IE36" s="53"/>
      <c r="IF36" s="53"/>
      <c r="IH36" s="36"/>
      <c r="II36" s="53"/>
      <c r="IJ36" s="53"/>
      <c r="IK36" s="53"/>
      <c r="IL36" s="53"/>
      <c r="IM36" s="53"/>
      <c r="IO36" s="36"/>
      <c r="IP36" s="53"/>
      <c r="IQ36" s="53"/>
      <c r="IR36" s="53"/>
      <c r="IS36" s="53"/>
      <c r="IT36" s="53"/>
      <c r="IV36" s="36"/>
      <c r="IW36" s="53"/>
      <c r="IX36" s="53"/>
      <c r="IY36" s="53"/>
      <c r="IZ36" s="53"/>
      <c r="JA36" s="53"/>
      <c r="JC36" s="36"/>
      <c r="JD36" s="53"/>
      <c r="JE36" s="53"/>
      <c r="JF36" s="53"/>
      <c r="JG36" s="53"/>
      <c r="JH36" s="53"/>
      <c r="JJ36" s="36"/>
      <c r="JK36" s="53"/>
      <c r="JL36" s="53"/>
      <c r="JM36" s="53"/>
      <c r="JN36" s="53"/>
      <c r="JO36" s="53"/>
      <c r="JQ36" s="36"/>
      <c r="JR36" s="53"/>
      <c r="JS36" s="53"/>
      <c r="JT36" s="53"/>
      <c r="JU36" s="53"/>
      <c r="JV36" s="53"/>
      <c r="JX36" s="36"/>
      <c r="JY36" s="53"/>
      <c r="JZ36" s="53"/>
      <c r="KA36" s="53"/>
      <c r="KB36" s="53"/>
      <c r="KC36" s="53"/>
      <c r="KE36" s="36"/>
      <c r="KF36" s="53"/>
      <c r="KG36" s="53"/>
      <c r="KH36" s="53"/>
      <c r="KI36" s="53"/>
      <c r="KJ36" s="53"/>
      <c r="KL36" s="36"/>
      <c r="KM36" s="53"/>
      <c r="KN36" s="53"/>
      <c r="KO36" s="53"/>
      <c r="KP36" s="53"/>
      <c r="KQ36" s="53"/>
      <c r="KS36" s="36"/>
      <c r="KT36" s="53"/>
      <c r="KU36" s="53"/>
      <c r="KX36" s="53"/>
      <c r="KZ36" s="36"/>
      <c r="LA36" s="53"/>
      <c r="LF36" s="565"/>
      <c r="LG36" s="36"/>
      <c r="LM36" s="565"/>
      <c r="LN36" s="36"/>
      <c r="LT36" s="565"/>
      <c r="LU36" s="36"/>
      <c r="MA36" s="565"/>
      <c r="MB36" s="36"/>
      <c r="MH36" s="565"/>
    </row>
    <row r="37" spans="1:346" s="521" customFormat="1" ht="13.5" thickBot="1" x14ac:dyDescent="0.45">
      <c r="A37" s="597"/>
      <c r="B37" s="602" t="s">
        <v>249</v>
      </c>
      <c r="C37" s="533">
        <f t="shared" ref="C37:M37" si="150">C31+C35</f>
        <v>0</v>
      </c>
      <c r="D37" s="533">
        <f t="shared" si="150"/>
        <v>0</v>
      </c>
      <c r="E37" s="533">
        <f t="shared" si="150"/>
        <v>4496.9999999999991</v>
      </c>
      <c r="F37" s="533">
        <f t="shared" si="150"/>
        <v>5058.9999999999991</v>
      </c>
      <c r="G37" s="533">
        <f t="shared" si="150"/>
        <v>4554</v>
      </c>
      <c r="H37" s="533">
        <f t="shared" si="150"/>
        <v>4554</v>
      </c>
      <c r="I37" s="533">
        <f t="shared" si="150"/>
        <v>5058</v>
      </c>
      <c r="J37" s="533">
        <f t="shared" si="150"/>
        <v>4824</v>
      </c>
      <c r="K37" s="533">
        <f t="shared" si="150"/>
        <v>4577</v>
      </c>
      <c r="L37" s="533">
        <f t="shared" si="150"/>
        <v>4699</v>
      </c>
      <c r="M37" s="533">
        <f t="shared" si="150"/>
        <v>5078</v>
      </c>
      <c r="N37" s="533">
        <f>BT37</f>
        <v>4988</v>
      </c>
      <c r="O37" s="533">
        <f>CA37</f>
        <v>5123</v>
      </c>
      <c r="P37" s="533">
        <f>CH37</f>
        <v>5072</v>
      </c>
      <c r="Q37" s="533">
        <f>CO37</f>
        <v>5172.6000000000004</v>
      </c>
      <c r="R37" s="533">
        <f>CV37</f>
        <v>5173.3999999999996</v>
      </c>
      <c r="S37" s="533">
        <f>DC37</f>
        <v>5527</v>
      </c>
      <c r="T37" s="533">
        <f>DJ37</f>
        <v>5526</v>
      </c>
      <c r="U37" s="533">
        <f>DQ37</f>
        <v>5569</v>
      </c>
      <c r="V37" s="533">
        <f>DX37</f>
        <v>5658</v>
      </c>
      <c r="W37" s="533">
        <f>EE37</f>
        <v>5577</v>
      </c>
      <c r="X37" s="533">
        <f>EL37</f>
        <v>6561</v>
      </c>
      <c r="Y37" s="533">
        <f>ES37</f>
        <v>7243</v>
      </c>
      <c r="Z37" s="533">
        <f>EZ37</f>
        <v>7194</v>
      </c>
      <c r="AA37" s="533">
        <f>FG37</f>
        <v>7183</v>
      </c>
      <c r="AB37" s="533">
        <f>FN37</f>
        <v>7439</v>
      </c>
      <c r="AC37" s="533">
        <f>FU37</f>
        <v>8025</v>
      </c>
      <c r="AD37" s="533">
        <f>GB37</f>
        <v>8601</v>
      </c>
      <c r="AE37" s="533">
        <f>GI37</f>
        <v>9566</v>
      </c>
      <c r="AF37" s="533">
        <f>GP37</f>
        <v>10030</v>
      </c>
      <c r="AG37" s="533">
        <f>GW37</f>
        <v>11255</v>
      </c>
      <c r="AH37" s="533">
        <f>HD37</f>
        <v>9041</v>
      </c>
      <c r="AI37" s="533">
        <f>HK37</f>
        <v>10636</v>
      </c>
      <c r="AJ37" s="533">
        <f>HR37</f>
        <v>11743</v>
      </c>
      <c r="AK37" s="533">
        <f>HY37</f>
        <v>11756</v>
      </c>
      <c r="AL37" s="533">
        <f>IF37</f>
        <v>12058</v>
      </c>
      <c r="AM37" s="533">
        <f>IM37</f>
        <v>12669</v>
      </c>
      <c r="AN37" s="533">
        <f>IT37</f>
        <v>11811</v>
      </c>
      <c r="AO37" s="533">
        <f>JA37</f>
        <v>11069</v>
      </c>
      <c r="AP37" s="533">
        <f>JH37</f>
        <v>11408</v>
      </c>
      <c r="AQ37" s="533">
        <f>JO37</f>
        <v>12250</v>
      </c>
      <c r="AR37" s="533">
        <f>JV37</f>
        <v>11937</v>
      </c>
      <c r="AS37" s="533">
        <f>KC37</f>
        <v>10583</v>
      </c>
      <c r="AT37" s="533">
        <f>KJ37</f>
        <v>12522</v>
      </c>
      <c r="AU37" s="533">
        <f>KQ37</f>
        <v>14853</v>
      </c>
      <c r="AV37" s="533">
        <f>KX37</f>
        <v>14657</v>
      </c>
      <c r="AW37" s="533">
        <f>LE37</f>
        <v>14540</v>
      </c>
      <c r="AX37" s="533">
        <f>LL37</f>
        <v>14092</v>
      </c>
      <c r="AY37" s="533">
        <f>LS37</f>
        <v>14494.795274999997</v>
      </c>
      <c r="AZ37" s="533">
        <f>LZ37</f>
        <v>15180.905860184219</v>
      </c>
      <c r="BA37" s="533">
        <f>MG37</f>
        <v>15848.637389025456</v>
      </c>
      <c r="BB37" s="533"/>
      <c r="BC37" s="533"/>
      <c r="BD37" s="533"/>
      <c r="BE37" s="533"/>
      <c r="BF37" s="533"/>
      <c r="BG37" s="533"/>
      <c r="BH37" s="533"/>
      <c r="BI37" s="533"/>
      <c r="BJ37" s="533"/>
      <c r="BK37" s="533"/>
      <c r="BL37" s="533"/>
      <c r="BM37" s="533"/>
      <c r="BO37" s="602" t="s">
        <v>249</v>
      </c>
      <c r="BP37" s="603">
        <f>BP31+BP35</f>
        <v>1260</v>
      </c>
      <c r="BQ37" s="603">
        <f>BQ31+BQ35</f>
        <v>1270</v>
      </c>
      <c r="BR37" s="603">
        <f>BR31+BR35</f>
        <v>1198</v>
      </c>
      <c r="BS37" s="603">
        <f>BS31+BS35</f>
        <v>1260</v>
      </c>
      <c r="BT37" s="603">
        <f>BT31+BT35</f>
        <v>4988</v>
      </c>
      <c r="BV37" s="602" t="s">
        <v>249</v>
      </c>
      <c r="BW37" s="603">
        <f>BW31+BW35</f>
        <v>1283</v>
      </c>
      <c r="BX37" s="603">
        <f>BX31+BX35</f>
        <v>1297</v>
      </c>
      <c r="BY37" s="603">
        <f>BY31+BY35</f>
        <v>1253</v>
      </c>
      <c r="BZ37" s="603">
        <f>BZ31+BZ35</f>
        <v>1290</v>
      </c>
      <c r="CA37" s="603">
        <f>CA31+CA35</f>
        <v>5123</v>
      </c>
      <c r="CC37" s="602" t="s">
        <v>249</v>
      </c>
      <c r="CD37" s="603">
        <f>CD31+CD35</f>
        <v>1226</v>
      </c>
      <c r="CE37" s="603">
        <f>CE31+CE35</f>
        <v>1241</v>
      </c>
      <c r="CF37" s="603">
        <f>CF31+CF35</f>
        <v>1291</v>
      </c>
      <c r="CG37" s="603">
        <f>CG31+CG35</f>
        <v>1314</v>
      </c>
      <c r="CH37" s="603">
        <f>CH31+CH35</f>
        <v>5072</v>
      </c>
      <c r="CJ37" s="602" t="s">
        <v>249</v>
      </c>
      <c r="CK37" s="603">
        <f>CK31+CK35</f>
        <v>1294</v>
      </c>
      <c r="CL37" s="603">
        <f>CL31+CL35</f>
        <v>1293.7</v>
      </c>
      <c r="CM37" s="603">
        <f>CM31+CM35</f>
        <v>1272.9000000000001</v>
      </c>
      <c r="CN37" s="603">
        <f>CN31+CN35</f>
        <v>1312</v>
      </c>
      <c r="CO37" s="603">
        <f>CO31+CO35</f>
        <v>5172.6000000000004</v>
      </c>
      <c r="CQ37" s="602" t="s">
        <v>249</v>
      </c>
      <c r="CR37" s="603">
        <f>CR31+CR35</f>
        <v>1270</v>
      </c>
      <c r="CS37" s="603">
        <f>CS31+CS35</f>
        <v>1309</v>
      </c>
      <c r="CT37" s="603">
        <f>CT31+CT35</f>
        <v>1268.4000000000001</v>
      </c>
      <c r="CU37" s="603">
        <f>CU31+CU35</f>
        <v>1326</v>
      </c>
      <c r="CV37" s="603">
        <f>CV31+CV35</f>
        <v>5173.3999999999996</v>
      </c>
      <c r="CX37" s="602" t="s">
        <v>249</v>
      </c>
      <c r="CY37" s="603">
        <f>CY31+CY35</f>
        <v>1330</v>
      </c>
      <c r="CZ37" s="603">
        <f>CZ31+CZ35</f>
        <v>1398</v>
      </c>
      <c r="DA37" s="603">
        <f>DA31+DA35</f>
        <v>1377</v>
      </c>
      <c r="DB37" s="603">
        <f>DB31+DB35</f>
        <v>1422</v>
      </c>
      <c r="DC37" s="603">
        <f>DC31+DC35</f>
        <v>5527</v>
      </c>
      <c r="DE37" s="602" t="s">
        <v>249</v>
      </c>
      <c r="DF37" s="603">
        <f>DF31+DF35</f>
        <v>1370</v>
      </c>
      <c r="DG37" s="603">
        <f>DG31+DG35</f>
        <v>1388</v>
      </c>
      <c r="DH37" s="603">
        <f>DH31+DH35</f>
        <v>1364</v>
      </c>
      <c r="DI37" s="603">
        <f>DI31+DI35</f>
        <v>1404</v>
      </c>
      <c r="DJ37" s="603">
        <f>DJ31+DJ35</f>
        <v>5526</v>
      </c>
      <c r="DL37" s="602" t="s">
        <v>249</v>
      </c>
      <c r="DM37" s="603">
        <f>DM31+DM35</f>
        <v>1356</v>
      </c>
      <c r="DN37" s="603">
        <f>DN31+DN35</f>
        <v>1422</v>
      </c>
      <c r="DO37" s="603">
        <f>DO31+DO35</f>
        <v>1372</v>
      </c>
      <c r="DP37" s="603">
        <f>DP31+DP35</f>
        <v>1419</v>
      </c>
      <c r="DQ37" s="603">
        <f>DQ31+DQ35</f>
        <v>5569</v>
      </c>
      <c r="DS37" s="602" t="s">
        <v>249</v>
      </c>
      <c r="DT37" s="603">
        <f>DT31+DT35</f>
        <v>1406</v>
      </c>
      <c r="DU37" s="603">
        <f>DU31+DU35</f>
        <v>1417</v>
      </c>
      <c r="DV37" s="603">
        <f>DV31+DV35</f>
        <v>1389</v>
      </c>
      <c r="DW37" s="603">
        <f>DW31+DW35</f>
        <v>1446</v>
      </c>
      <c r="DX37" s="603">
        <f>DX31+DX35</f>
        <v>5658</v>
      </c>
      <c r="DZ37" s="602" t="s">
        <v>249</v>
      </c>
      <c r="EA37" s="603">
        <f>EA31+EA35</f>
        <v>1394</v>
      </c>
      <c r="EB37" s="603">
        <f>EB31+EB35</f>
        <v>1411</v>
      </c>
      <c r="EC37" s="603">
        <f>EC31+EC35</f>
        <v>1365</v>
      </c>
      <c r="ED37" s="603">
        <f>ED31+ED35</f>
        <v>1414</v>
      </c>
      <c r="EE37" s="603">
        <f>EE31+EE35</f>
        <v>5577</v>
      </c>
      <c r="EG37" s="602" t="s">
        <v>249</v>
      </c>
      <c r="EH37" s="603">
        <f>EH31+EH35</f>
        <v>1466</v>
      </c>
      <c r="EI37" s="603">
        <f>EI31+EI35</f>
        <v>1541</v>
      </c>
      <c r="EJ37" s="603">
        <f>EJ31+EJ35</f>
        <v>1773</v>
      </c>
      <c r="EK37" s="603">
        <f>EK31+EK35</f>
        <v>1802</v>
      </c>
      <c r="EL37" s="603">
        <f>EL31+EL35</f>
        <v>6561</v>
      </c>
      <c r="EN37" s="602" t="s">
        <v>249</v>
      </c>
      <c r="EO37" s="603">
        <f>EO31+EO35</f>
        <v>1803</v>
      </c>
      <c r="EP37" s="603">
        <f>EP31+EP35</f>
        <v>1839</v>
      </c>
      <c r="EQ37" s="603">
        <f>EQ31+EQ35</f>
        <v>1788</v>
      </c>
      <c r="ER37" s="603">
        <f>ER31+ER35</f>
        <v>1813</v>
      </c>
      <c r="ES37" s="603">
        <f>ES31+ES35</f>
        <v>7243</v>
      </c>
      <c r="EU37" s="602" t="s">
        <v>249</v>
      </c>
      <c r="EV37" s="603">
        <f>EV31+EV35</f>
        <v>1802</v>
      </c>
      <c r="EW37" s="603">
        <f>EW31+EW35</f>
        <v>1827</v>
      </c>
      <c r="EX37" s="603">
        <f>EX31+EX35</f>
        <v>1781</v>
      </c>
      <c r="EY37" s="603">
        <f>EY31+EY35</f>
        <v>1784</v>
      </c>
      <c r="EZ37" s="603">
        <f>EZ31+EZ35</f>
        <v>7194</v>
      </c>
      <c r="FB37" s="602" t="s">
        <v>249</v>
      </c>
      <c r="FC37" s="603">
        <f>FC31+FC35</f>
        <v>1748</v>
      </c>
      <c r="FD37" s="603">
        <f>FD31+FD35</f>
        <v>1834</v>
      </c>
      <c r="FE37" s="603">
        <f>FE31+FE35</f>
        <v>1786</v>
      </c>
      <c r="FF37" s="603">
        <f>FF31+FF35</f>
        <v>1815</v>
      </c>
      <c r="FG37" s="603">
        <f>FG31+FG35</f>
        <v>7183</v>
      </c>
      <c r="FI37" s="602" t="s">
        <v>249</v>
      </c>
      <c r="FJ37" s="603">
        <f>FJ31+FJ35</f>
        <v>1833</v>
      </c>
      <c r="FK37" s="603">
        <f>FK31+FK35</f>
        <v>1887</v>
      </c>
      <c r="FL37" s="603">
        <f>FL31+FL35</f>
        <v>1823</v>
      </c>
      <c r="FM37" s="603">
        <f>FM31+FM35</f>
        <v>1896</v>
      </c>
      <c r="FN37" s="603">
        <f>FN31+FN35</f>
        <v>7439</v>
      </c>
      <c r="FP37" s="602" t="s">
        <v>249</v>
      </c>
      <c r="FQ37" s="603">
        <f>FQ31+FQ35</f>
        <v>1920</v>
      </c>
      <c r="FR37" s="603">
        <f>FR31+FR35</f>
        <v>1995</v>
      </c>
      <c r="FS37" s="603">
        <f>FS31+FS35</f>
        <v>1938</v>
      </c>
      <c r="FT37" s="603">
        <f>FT31+FT35</f>
        <v>2172</v>
      </c>
      <c r="FU37" s="603">
        <f>FU31+FU35</f>
        <v>8025</v>
      </c>
      <c r="FW37" s="602" t="s">
        <v>249</v>
      </c>
      <c r="FX37" s="603">
        <f>FX31+FX35</f>
        <v>2108</v>
      </c>
      <c r="FY37" s="603">
        <f>FY31+FY35</f>
        <v>2149</v>
      </c>
      <c r="FZ37" s="603">
        <f>FZ31+FZ35</f>
        <v>2125</v>
      </c>
      <c r="GA37" s="603">
        <f>GA31+GA35</f>
        <v>2219</v>
      </c>
      <c r="GB37" s="603">
        <f>GB31+GB35</f>
        <v>8601</v>
      </c>
      <c r="GD37" s="602" t="s">
        <v>249</v>
      </c>
      <c r="GE37" s="603">
        <f>GE31+GE35</f>
        <v>2331</v>
      </c>
      <c r="GF37" s="603">
        <f>GF31+GF35</f>
        <v>2421</v>
      </c>
      <c r="GG37" s="603">
        <f>GG31+GG35</f>
        <v>2418</v>
      </c>
      <c r="GH37" s="603">
        <f>GH31+GH35</f>
        <v>2396</v>
      </c>
      <c r="GI37" s="603">
        <f>GI31+GI35</f>
        <v>9566</v>
      </c>
      <c r="GK37" s="602" t="s">
        <v>249</v>
      </c>
      <c r="GL37" s="603">
        <f>GL31+GL35</f>
        <v>2422</v>
      </c>
      <c r="GM37" s="603">
        <f>GM31+GM35</f>
        <v>2530</v>
      </c>
      <c r="GN37" s="603">
        <f>GN31+GN35</f>
        <v>2501</v>
      </c>
      <c r="GO37" s="603">
        <f>GO31+GO35</f>
        <v>2577</v>
      </c>
      <c r="GP37" s="603">
        <f>GP31+GP35</f>
        <v>10030</v>
      </c>
      <c r="GR37" s="602" t="s">
        <v>249</v>
      </c>
      <c r="GS37" s="603">
        <f>GS31+GS35</f>
        <v>2713</v>
      </c>
      <c r="GT37" s="603">
        <f>GT31+GT35</f>
        <v>2907</v>
      </c>
      <c r="GU37" s="603">
        <f>GU31+GU35</f>
        <v>2961</v>
      </c>
      <c r="GV37" s="603">
        <f>GV31+GV35</f>
        <v>2674</v>
      </c>
      <c r="GW37" s="603">
        <f>GW31+GW35</f>
        <v>11255</v>
      </c>
      <c r="GY37" s="602" t="s">
        <v>249</v>
      </c>
      <c r="GZ37" s="603">
        <f>GZ31+GZ35</f>
        <v>2247</v>
      </c>
      <c r="HA37" s="603">
        <f>HA31+HA35</f>
        <v>2185</v>
      </c>
      <c r="HB37" s="603">
        <f>HB31+HB35</f>
        <v>2289</v>
      </c>
      <c r="HC37" s="603">
        <f>HC31+HC35</f>
        <v>2320</v>
      </c>
      <c r="HD37" s="603">
        <f>HD31+HD35</f>
        <v>9041</v>
      </c>
      <c r="HF37" s="602" t="s">
        <v>249</v>
      </c>
      <c r="HG37" s="603">
        <f>HG31+HG35</f>
        <v>2491</v>
      </c>
      <c r="HH37" s="603">
        <f>+HH27+HH20+HH26+HH35</f>
        <v>2663</v>
      </c>
      <c r="HI37" s="603">
        <f>+HI27+HI20+HI26+HI35</f>
        <v>2666</v>
      </c>
      <c r="HJ37" s="603">
        <f>+HJ27+HJ20+HJ26+HJ35</f>
        <v>2816</v>
      </c>
      <c r="HK37" s="603">
        <f>+HK27+HK20+HK26+HK35</f>
        <v>10636</v>
      </c>
      <c r="HM37" s="602" t="s">
        <v>249</v>
      </c>
      <c r="HN37" s="603">
        <f>+HN27+HN20+HN26+HN35</f>
        <v>2810</v>
      </c>
      <c r="HO37" s="603">
        <f>+HO27+HO20+HO26+HO35</f>
        <v>3019</v>
      </c>
      <c r="HP37" s="603">
        <f>+HP27+HP20+HP26+HP35</f>
        <v>2963</v>
      </c>
      <c r="HQ37" s="603">
        <f>+HQ27+HQ20+HQ26+HQ35</f>
        <v>2951</v>
      </c>
      <c r="HR37" s="603">
        <f>+HR27+HR20+HR26+HR35</f>
        <v>11743</v>
      </c>
      <c r="HT37" s="602" t="s">
        <v>249</v>
      </c>
      <c r="HU37" s="603">
        <f>+HU27+HU20+HU26+HU35</f>
        <v>2966</v>
      </c>
      <c r="HV37" s="603">
        <f>+HV27+HV20+HV26+HV35</f>
        <v>3012</v>
      </c>
      <c r="HW37" s="603">
        <f>+HW27+HW20+HW26+HW35</f>
        <v>2894</v>
      </c>
      <c r="HX37" s="603">
        <f>+HX27+HX20+HX26+HX35</f>
        <v>2884</v>
      </c>
      <c r="HY37" s="603">
        <f>+HY27+HY20+HY26+HY35</f>
        <v>11756</v>
      </c>
      <c r="IA37" s="602" t="s">
        <v>249</v>
      </c>
      <c r="IB37" s="603">
        <f>+IB27+IB20+IB26+IB35</f>
        <v>2958</v>
      </c>
      <c r="IC37" s="603">
        <f>+IC27+IC20+IC26+IC35</f>
        <v>3069</v>
      </c>
      <c r="ID37" s="603">
        <f>+ID27+ID20+ID26+ID35</f>
        <v>2999</v>
      </c>
      <c r="IE37" s="603">
        <f>+IE27+IE20+IE26+IE35</f>
        <v>3032</v>
      </c>
      <c r="IF37" s="603">
        <f>+IF27+IF20+IF26+IF35</f>
        <v>12058</v>
      </c>
      <c r="IH37" s="602" t="s">
        <v>249</v>
      </c>
      <c r="II37" s="603">
        <f>+II27+II20+II26+II35</f>
        <v>3012</v>
      </c>
      <c r="IJ37" s="603">
        <f>+IJ27+IJ20+IJ26+IJ35</f>
        <v>3244</v>
      </c>
      <c r="IK37" s="603">
        <f>+IK27+IK20+IK26+IK35</f>
        <v>3221</v>
      </c>
      <c r="IL37" s="603">
        <f>+IL27+IL20+IL26+IL35</f>
        <v>3192</v>
      </c>
      <c r="IM37" s="603">
        <f>+IM27+IM20+IM26+IM35</f>
        <v>12669</v>
      </c>
      <c r="IO37" s="602" t="s">
        <v>249</v>
      </c>
      <c r="IP37" s="603">
        <f>+IP27+IP20+IP26+IP35</f>
        <v>3027</v>
      </c>
      <c r="IQ37" s="603">
        <f>+IQ27+IQ20+IQ26+IQ35</f>
        <v>3064</v>
      </c>
      <c r="IR37" s="603">
        <f>+IR27+IR20+IR26+IR35</f>
        <v>2939</v>
      </c>
      <c r="IS37" s="603">
        <f>+IS27+IS20+IS26+IS35</f>
        <v>2781</v>
      </c>
      <c r="IT37" s="603">
        <f>+IT27+IT20+IT26+IT35</f>
        <v>11811</v>
      </c>
      <c r="IV37" s="602" t="s">
        <v>249</v>
      </c>
      <c r="IW37" s="603">
        <f>+IW27+IW20+IW26+IW35</f>
        <v>2618</v>
      </c>
      <c r="IX37" s="603">
        <f>+IX27+IX20+IX26+IX35</f>
        <v>2704</v>
      </c>
      <c r="IY37" s="603">
        <f>+IY27+IY20+IY26+IY35</f>
        <v>2710</v>
      </c>
      <c r="IZ37" s="603">
        <f>+IZ27+IZ20+IZ26+IZ35</f>
        <v>3037</v>
      </c>
      <c r="JA37" s="603">
        <f>+JA27+JA20+JA26+JA35</f>
        <v>11069</v>
      </c>
      <c r="JC37" s="602" t="s">
        <v>249</v>
      </c>
      <c r="JD37" s="603">
        <f>+JD27+JD20+JD26+JD35</f>
        <v>2869</v>
      </c>
      <c r="JE37" s="603">
        <f>+JE27+JE20+JE26+JE35</f>
        <v>2933</v>
      </c>
      <c r="JF37" s="603">
        <f>+JF27+JF20+JF26+JF35</f>
        <v>2743</v>
      </c>
      <c r="JG37" s="603">
        <f>+JG27+JG20+JG26+JG35</f>
        <v>2863</v>
      </c>
      <c r="JH37" s="603">
        <f>+JH27+JH20+JH26+JH35</f>
        <v>11408</v>
      </c>
      <c r="JJ37" s="602" t="s">
        <v>249</v>
      </c>
      <c r="JK37" s="603">
        <f>+JK27+JK20+JK26+JK35</f>
        <v>2876</v>
      </c>
      <c r="JL37" s="603">
        <f>+JL27+JL20+JL26+JL35</f>
        <v>3102</v>
      </c>
      <c r="JM37" s="603">
        <f>+JM27+JM20+JM26+JM35</f>
        <v>3129</v>
      </c>
      <c r="JN37" s="603">
        <f>+JN27+JN20+JN26+JN35</f>
        <v>3143</v>
      </c>
      <c r="JO37" s="603">
        <f>+JO27+JO20+JO26+JO35</f>
        <v>12250</v>
      </c>
      <c r="JQ37" s="602" t="s">
        <v>249</v>
      </c>
      <c r="JR37" s="603">
        <f>+JR27+JR20+JR26+JR35</f>
        <v>3013</v>
      </c>
      <c r="JS37" s="603">
        <f>JS20+JS27+JS26+JS35</f>
        <v>3061</v>
      </c>
      <c r="JT37" s="603">
        <f>+JT27+JT20+JT26+JT35</f>
        <v>2978</v>
      </c>
      <c r="JU37" s="603">
        <f>+JU27+JU20+JU26+JU35</f>
        <v>2885</v>
      </c>
      <c r="JV37" s="603">
        <f>+JV27+JV20+JV26+JV35</f>
        <v>11937</v>
      </c>
      <c r="JX37" s="602" t="s">
        <v>249</v>
      </c>
      <c r="JY37" s="603">
        <f>+JY27+JY20+JY26+JY35</f>
        <v>2855</v>
      </c>
      <c r="JZ37" s="603">
        <f>JZ20+JZ27+JZ26+JZ35</f>
        <v>2255</v>
      </c>
      <c r="KA37" s="603">
        <f>KA20+KA27+KA26+KA35</f>
        <v>2648</v>
      </c>
      <c r="KB37" s="603">
        <f>+KB27+KB20+KB26+KB35</f>
        <v>2825</v>
      </c>
      <c r="KC37" s="603">
        <f>+KC27+KC20+KC26+KC35</f>
        <v>10583</v>
      </c>
      <c r="KE37" s="602" t="s">
        <v>249</v>
      </c>
      <c r="KF37" s="603">
        <f>+KF27+KF20+KF26+KF35</f>
        <v>2813</v>
      </c>
      <c r="KG37" s="603">
        <f>KG20+KG27+KG26+KG35</f>
        <v>2990</v>
      </c>
      <c r="KH37" s="603">
        <f>KH20+KH27+KH26+KH35+KH34</f>
        <v>3292</v>
      </c>
      <c r="KI37" s="603">
        <f>KI20+KI27+KI26+KI35+KI34</f>
        <v>3427</v>
      </c>
      <c r="KJ37" s="603">
        <f>KJ20+KJ27+KJ26+KJ35+KJ34</f>
        <v>12522</v>
      </c>
      <c r="KL37" s="602" t="s">
        <v>249</v>
      </c>
      <c r="KM37" s="603">
        <f>KM20+KM27+KM26+KM35+KM34</f>
        <v>3413</v>
      </c>
      <c r="KN37" s="603">
        <f>KN20+KN27+KN26+KN35+KN34</f>
        <v>3815</v>
      </c>
      <c r="KO37" s="603">
        <f>KO20+KO27+KO26+KO35+KO34</f>
        <v>3895</v>
      </c>
      <c r="KP37" s="603">
        <f>KP20+KP27+KP26+KP35+KP34</f>
        <v>3730</v>
      </c>
      <c r="KQ37" s="603">
        <f>KQ20+KQ27+KQ26+KQ35+KQ34</f>
        <v>14853</v>
      </c>
      <c r="KS37" s="602" t="s">
        <v>249</v>
      </c>
      <c r="KT37" s="603">
        <f>KT20+KT27+KT26+KT35+KT34</f>
        <v>3706</v>
      </c>
      <c r="KU37" s="603">
        <f>KU20+KU27+KU26+KU35+KU34</f>
        <v>3699</v>
      </c>
      <c r="KV37" s="533">
        <f>KV20+KV27+KV26+KV35+KV34</f>
        <v>3572</v>
      </c>
      <c r="KW37" s="533">
        <f>KW20+KW27+KW26+KW35+KW34</f>
        <v>3680</v>
      </c>
      <c r="KX37" s="603">
        <f>KX20+KX27+KX26+KX35+KX34</f>
        <v>14657</v>
      </c>
      <c r="KZ37" s="602" t="s">
        <v>249</v>
      </c>
      <c r="LA37" s="603">
        <f>LA20+LA27+LA26+LA35+LA34</f>
        <v>3681</v>
      </c>
      <c r="LB37" s="533">
        <f>LB20+LB27+LB26+LB35+LB34</f>
        <v>3701</v>
      </c>
      <c r="LC37" s="533">
        <f>LC20+LC27+LC26+LC35+LC34</f>
        <v>3619</v>
      </c>
      <c r="LD37" s="533">
        <f>LD20+LD27+LD26+LD35+LD34</f>
        <v>3539</v>
      </c>
      <c r="LE37" s="533">
        <f>LE20+LE27+LE26+LE35+LE34</f>
        <v>14540</v>
      </c>
      <c r="LF37" s="561"/>
      <c r="LG37" s="602" t="s">
        <v>249</v>
      </c>
      <c r="LH37" s="533">
        <f>LH20+LH27+LH26+LH35+LH34</f>
        <v>3423</v>
      </c>
      <c r="LI37" s="533">
        <f>LI20+LI27+LI26+LI35+LI34</f>
        <v>3574</v>
      </c>
      <c r="LJ37" s="533">
        <f>LJ20+LJ27+LJ26+LJ35+LJ34</f>
        <v>3587</v>
      </c>
      <c r="LK37" s="533">
        <f>LK20+LK27+LK26+LK35+LK34</f>
        <v>3508</v>
      </c>
      <c r="LL37" s="533">
        <f>LL20+LL27+LL26+LL35+LL34</f>
        <v>14092</v>
      </c>
      <c r="LM37" s="561"/>
      <c r="LN37" s="602" t="s">
        <v>249</v>
      </c>
      <c r="LO37" s="533">
        <f>LO20+LO27+LO26+LO35+LO34</f>
        <v>3460.8174249999997</v>
      </c>
      <c r="LP37" s="533">
        <f>LP20+LP27+LP26+LP35+LP34</f>
        <v>3635.8899249999999</v>
      </c>
      <c r="LQ37" s="533">
        <f>LQ20+LQ27+LQ26+LQ35+LQ34</f>
        <v>3703.9341499999996</v>
      </c>
      <c r="LR37" s="533">
        <f>LR20+LR27+LR26+LR35+LR34</f>
        <v>3694.1537750000002</v>
      </c>
      <c r="LS37" s="533">
        <f>LS20+LS27+LS26+LS35+LS34</f>
        <v>14494.795274999997</v>
      </c>
      <c r="LT37" s="561"/>
      <c r="LU37" s="602" t="s">
        <v>249</v>
      </c>
      <c r="LV37" s="533">
        <f>LV20+LV27+LV26+LV35+LV34</f>
        <v>3628.2348315835934</v>
      </c>
      <c r="LW37" s="533">
        <f>LW20+LW27+LW26+LW35+LW34</f>
        <v>3808.9529552824997</v>
      </c>
      <c r="LX37" s="533">
        <f>LX20+LX27+LX26+LX35+LX34</f>
        <v>3876.0113926937497</v>
      </c>
      <c r="LY37" s="533">
        <f>LY20+LY27+LY26+LY35+LY34</f>
        <v>3867.7066806243756</v>
      </c>
      <c r="LZ37" s="533">
        <f>LZ20+LZ27+LZ26+LZ35+LZ34</f>
        <v>15180.905860184219</v>
      </c>
      <c r="MA37" s="561"/>
      <c r="MB37" s="602" t="s">
        <v>249</v>
      </c>
      <c r="MC37" s="533">
        <f>MC20+MC27+MC26+MC35+MC34</f>
        <v>3790.9745051509626</v>
      </c>
      <c r="MD37" s="533">
        <f>MD20+MD27+MD26+MD35+MD34</f>
        <v>3977.2449559982037</v>
      </c>
      <c r="ME37" s="533">
        <f>ME20+ME27+ME26+ME35+ME34</f>
        <v>4046.107208494479</v>
      </c>
      <c r="MF37" s="533">
        <f>MF20+MF27+MF26+MF35+MF34</f>
        <v>4034.3107193818096</v>
      </c>
      <c r="MG37" s="533">
        <f>MG20+MG27+MG26+MG35+MG34</f>
        <v>15848.637389025456</v>
      </c>
      <c r="MH37" s="561"/>
    </row>
    <row r="38" spans="1:346" s="37" customFormat="1" ht="13.15" x14ac:dyDescent="0.4">
      <c r="A38" s="100"/>
      <c r="B38" s="111" t="s">
        <v>3</v>
      </c>
      <c r="C38" s="112"/>
      <c r="D38" s="112"/>
      <c r="E38" s="112"/>
      <c r="F38" s="112"/>
      <c r="G38" s="112"/>
      <c r="H38" s="112"/>
      <c r="I38" s="112"/>
      <c r="J38" s="112"/>
      <c r="K38" s="112"/>
      <c r="L38" s="112"/>
      <c r="M38" s="112"/>
      <c r="N38" s="112">
        <f>BT38</f>
        <v>0</v>
      </c>
      <c r="O38" s="112">
        <f>CA38</f>
        <v>0</v>
      </c>
      <c r="P38" s="112">
        <f>CH38</f>
        <v>0</v>
      </c>
      <c r="Q38" s="112">
        <f>CO38</f>
        <v>0</v>
      </c>
      <c r="R38" s="112">
        <f>CV38</f>
        <v>0</v>
      </c>
      <c r="S38" s="112">
        <f>DC38</f>
        <v>0</v>
      </c>
      <c r="T38" s="112">
        <f>DJ38</f>
        <v>0</v>
      </c>
      <c r="U38" s="112">
        <f>DQ38</f>
        <v>0</v>
      </c>
      <c r="V38" s="112">
        <f>DX38</f>
        <v>0</v>
      </c>
      <c r="W38" s="112">
        <f>EE38</f>
        <v>0</v>
      </c>
      <c r="X38" s="112">
        <f>EL38</f>
        <v>0</v>
      </c>
      <c r="Y38" s="112">
        <f>ES38</f>
        <v>0</v>
      </c>
      <c r="Z38" s="112">
        <f>EZ38</f>
        <v>0</v>
      </c>
      <c r="AA38" s="112">
        <f>FG38</f>
        <v>0</v>
      </c>
      <c r="AB38" s="112">
        <f>FN38</f>
        <v>0</v>
      </c>
      <c r="AC38" s="112">
        <f>FU38</f>
        <v>0</v>
      </c>
      <c r="AD38" s="112" t="str">
        <f>GB38</f>
        <v>-</v>
      </c>
      <c r="AE38" s="112">
        <f>GI38</f>
        <v>0.11219625624927332</v>
      </c>
      <c r="AF38" s="112">
        <f>GP38</f>
        <v>4.850512230817472E-2</v>
      </c>
      <c r="AG38" s="112">
        <f>GW38</f>
        <v>0.12213359920239286</v>
      </c>
      <c r="AH38" s="112">
        <f>HD38</f>
        <v>-0.19671257219013771</v>
      </c>
      <c r="AI38" s="112">
        <f>HK38</f>
        <v>0.17641853777237038</v>
      </c>
      <c r="AJ38" s="112">
        <f>HR38</f>
        <v>0.10408048138397885</v>
      </c>
      <c r="AK38" s="112">
        <f>HY38</f>
        <v>1.1070424934003231E-3</v>
      </c>
      <c r="AL38" s="112">
        <f>IF38</f>
        <v>2.5689009867301715E-2</v>
      </c>
      <c r="AM38" s="112">
        <f>IM38</f>
        <v>5.067175319290107E-2</v>
      </c>
      <c r="AN38" s="112">
        <f>IT38</f>
        <v>-6.7724366564054006E-2</v>
      </c>
      <c r="AO38" s="112">
        <f>JA38</f>
        <v>-6.2822792312251297E-2</v>
      </c>
      <c r="AP38" s="112">
        <f>JH38</f>
        <v>3.0626072815972627E-2</v>
      </c>
      <c r="AQ38" s="112">
        <f>JO38</f>
        <v>7.3807854137447393E-2</v>
      </c>
      <c r="AR38" s="112">
        <f>JV38</f>
        <v>-2.5551020408163261E-2</v>
      </c>
      <c r="AS38" s="112">
        <f>KC38</f>
        <v>-0.11342883471559018</v>
      </c>
      <c r="AT38" s="112">
        <f>KJ38</f>
        <v>0.1832183690824909</v>
      </c>
      <c r="AU38" s="112">
        <f>KQ38</f>
        <v>0.18615237182558686</v>
      </c>
      <c r="AV38" s="112">
        <f>KX38</f>
        <v>-1.3195987342624393E-2</v>
      </c>
      <c r="AW38" s="112">
        <f>LE38</f>
        <v>-7.9825339428259978E-3</v>
      </c>
      <c r="AX38" s="112">
        <f>LL38</f>
        <v>-3.0811554332874858E-2</v>
      </c>
      <c r="AY38" s="112">
        <f>LS38</f>
        <v>2.8583258231620556E-2</v>
      </c>
      <c r="AZ38" s="112">
        <f>LZ38</f>
        <v>4.7334962113442014E-2</v>
      </c>
      <c r="BA38" s="112">
        <f>MG38</f>
        <v>4.3984959460985351E-2</v>
      </c>
      <c r="BB38" s="112"/>
      <c r="BC38" s="112"/>
      <c r="BD38" s="112"/>
      <c r="BE38" s="112"/>
      <c r="BF38" s="112"/>
      <c r="BG38" s="112"/>
      <c r="BH38" s="112"/>
      <c r="BI38" s="112"/>
      <c r="BJ38" s="112"/>
      <c r="BK38" s="112"/>
      <c r="BL38" s="112"/>
      <c r="BM38" s="112"/>
      <c r="BO38" s="111" t="s">
        <v>3</v>
      </c>
      <c r="BP38" s="66"/>
      <c r="BQ38" s="66"/>
      <c r="BR38" s="66"/>
      <c r="BS38" s="66"/>
      <c r="BT38" s="66"/>
      <c r="BV38" s="111" t="s">
        <v>3</v>
      </c>
      <c r="BW38" s="66"/>
      <c r="BX38" s="66"/>
      <c r="BY38" s="66"/>
      <c r="BZ38" s="66"/>
      <c r="CA38" s="66"/>
      <c r="CC38" s="111" t="s">
        <v>3</v>
      </c>
      <c r="CD38" s="66"/>
      <c r="CE38" s="66"/>
      <c r="CF38" s="66"/>
      <c r="CG38" s="66"/>
      <c r="CH38" s="66"/>
      <c r="CJ38" s="111" t="s">
        <v>3</v>
      </c>
      <c r="CK38" s="66"/>
      <c r="CL38" s="66"/>
      <c r="CM38" s="66"/>
      <c r="CN38" s="66"/>
      <c r="CO38" s="66"/>
      <c r="CQ38" s="111" t="s">
        <v>3</v>
      </c>
      <c r="CR38" s="66"/>
      <c r="CS38" s="66"/>
      <c r="CT38" s="66"/>
      <c r="CU38" s="66"/>
      <c r="CV38" s="66"/>
      <c r="CX38" s="111" t="s">
        <v>3</v>
      </c>
      <c r="CY38" s="66"/>
      <c r="CZ38" s="66"/>
      <c r="DA38" s="66"/>
      <c r="DB38" s="66"/>
      <c r="DC38" s="66"/>
      <c r="DE38" s="111" t="s">
        <v>3</v>
      </c>
      <c r="DF38" s="66"/>
      <c r="DG38" s="66"/>
      <c r="DH38" s="66"/>
      <c r="DI38" s="66"/>
      <c r="DJ38" s="66"/>
      <c r="DL38" s="111" t="s">
        <v>3</v>
      </c>
      <c r="DM38" s="66"/>
      <c r="DN38" s="66"/>
      <c r="DO38" s="66"/>
      <c r="DP38" s="66"/>
      <c r="DQ38" s="66"/>
      <c r="DS38" s="111" t="s">
        <v>3</v>
      </c>
      <c r="DT38" s="66"/>
      <c r="DU38" s="66"/>
      <c r="DV38" s="66"/>
      <c r="DW38" s="66"/>
      <c r="DX38" s="66"/>
      <c r="DZ38" s="111" t="s">
        <v>3</v>
      </c>
      <c r="EA38" s="66"/>
      <c r="EB38" s="66"/>
      <c r="EC38" s="66"/>
      <c r="ED38" s="66"/>
      <c r="EE38" s="66"/>
      <c r="EG38" s="111" t="s">
        <v>3</v>
      </c>
      <c r="EH38" s="66"/>
      <c r="EI38" s="66"/>
      <c r="EJ38" s="66"/>
      <c r="EK38" s="66"/>
      <c r="EL38" s="66"/>
      <c r="EN38" s="111" t="s">
        <v>3</v>
      </c>
      <c r="EO38" s="66"/>
      <c r="EP38" s="66"/>
      <c r="EQ38" s="66"/>
      <c r="ER38" s="66"/>
      <c r="ES38" s="66"/>
      <c r="EU38" s="111" t="s">
        <v>3</v>
      </c>
      <c r="EV38" s="66"/>
      <c r="EW38" s="66"/>
      <c r="EX38" s="66"/>
      <c r="EY38" s="66"/>
      <c r="EZ38" s="66"/>
      <c r="FB38" s="111" t="s">
        <v>3</v>
      </c>
      <c r="FC38" s="66"/>
      <c r="FD38" s="66"/>
      <c r="FE38" s="66"/>
      <c r="FF38" s="66"/>
      <c r="FG38" s="66"/>
      <c r="FI38" s="111" t="s">
        <v>3</v>
      </c>
      <c r="FJ38" s="66"/>
      <c r="FK38" s="66"/>
      <c r="FL38" s="66"/>
      <c r="FM38" s="66"/>
      <c r="FN38" s="66"/>
      <c r="FP38" s="111" t="s">
        <v>3</v>
      </c>
      <c r="FQ38" s="66"/>
      <c r="FR38" s="66"/>
      <c r="FS38" s="66"/>
      <c r="FT38" s="66"/>
      <c r="FU38" s="66"/>
      <c r="FW38" s="111" t="s">
        <v>3</v>
      </c>
      <c r="FX38" s="66" t="s">
        <v>80</v>
      </c>
      <c r="FY38" s="66" t="s">
        <v>80</v>
      </c>
      <c r="FZ38" s="66" t="s">
        <v>80</v>
      </c>
      <c r="GA38" s="66" t="s">
        <v>80</v>
      </c>
      <c r="GB38" s="66" t="s">
        <v>80</v>
      </c>
      <c r="GD38" s="111" t="s">
        <v>3</v>
      </c>
      <c r="GE38" s="66">
        <f>GE37/FX37-1</f>
        <v>0.10578747628083485</v>
      </c>
      <c r="GF38" s="66">
        <f>GF37/FY37-1</f>
        <v>0.12657049790600272</v>
      </c>
      <c r="GG38" s="66">
        <f>GG37/FZ37-1</f>
        <v>0.13788235294117657</v>
      </c>
      <c r="GH38" s="66">
        <f>GH37/GA37-1</f>
        <v>7.9765660207300693E-2</v>
      </c>
      <c r="GI38" s="66">
        <f>GI37/GB37-1</f>
        <v>0.11219625624927332</v>
      </c>
      <c r="GK38" s="111" t="s">
        <v>3</v>
      </c>
      <c r="GL38" s="66">
        <f>GL37/GE37-1</f>
        <v>3.9039039039038936E-2</v>
      </c>
      <c r="GM38" s="66">
        <f>GM37/GF37-1</f>
        <v>4.5022717885171426E-2</v>
      </c>
      <c r="GN38" s="66">
        <f>GN37/GG37-1</f>
        <v>3.4325889164598777E-2</v>
      </c>
      <c r="GO38" s="66">
        <f>GO37/GH37-1</f>
        <v>7.5542570951586008E-2</v>
      </c>
      <c r="GP38" s="66">
        <f>GP37/GI37-1</f>
        <v>4.850512230817472E-2</v>
      </c>
      <c r="GR38" s="111" t="s">
        <v>3</v>
      </c>
      <c r="GS38" s="66">
        <f>GS37/GL37-1</f>
        <v>0.12014863748967786</v>
      </c>
      <c r="GT38" s="66">
        <f>GT37/GM37-1</f>
        <v>0.14901185770750991</v>
      </c>
      <c r="GU38" s="66">
        <f>GU37/GN37-1</f>
        <v>0.18392642942822879</v>
      </c>
      <c r="GV38" s="66">
        <f>GV37/GO37-1</f>
        <v>3.7640667442762954E-2</v>
      </c>
      <c r="GW38" s="66">
        <f>GW37/GP37-1</f>
        <v>0.12213359920239286</v>
      </c>
      <c r="GY38" s="111" t="s">
        <v>3</v>
      </c>
      <c r="GZ38" s="66">
        <f>GZ37/GS37-1</f>
        <v>-0.17176557316623664</v>
      </c>
      <c r="HA38" s="66">
        <f>HA37/GT37-1</f>
        <v>-0.24836601307189543</v>
      </c>
      <c r="HB38" s="66">
        <f>HB37/GU37-1</f>
        <v>-0.22695035460992907</v>
      </c>
      <c r="HC38" s="66">
        <f>HC37/GV37-1</f>
        <v>-0.13238593866866122</v>
      </c>
      <c r="HD38" s="66">
        <f>HD37/GW37-1</f>
        <v>-0.19671257219013771</v>
      </c>
      <c r="HF38" s="111" t="s">
        <v>3</v>
      </c>
      <c r="HG38" s="66">
        <f>HG37/GZ37-1</f>
        <v>0.10858923008455723</v>
      </c>
      <c r="HH38" s="66">
        <f>HH37/HA37-1</f>
        <v>0.21876430205949648</v>
      </c>
      <c r="HI38" s="66">
        <f>HI37/HB37-1</f>
        <v>0.1647007426823941</v>
      </c>
      <c r="HJ38" s="66">
        <f>HJ37/HC37-1</f>
        <v>0.21379310344827585</v>
      </c>
      <c r="HK38" s="66">
        <f>HK37/HD37-1</f>
        <v>0.17641853777237038</v>
      </c>
      <c r="HM38" s="111" t="s">
        <v>3</v>
      </c>
      <c r="HN38" s="66">
        <f>HN37/HG37-1</f>
        <v>0.12806101967081496</v>
      </c>
      <c r="HO38" s="66">
        <f>HO37/HH37-1</f>
        <v>0.13368381524596318</v>
      </c>
      <c r="HP38" s="66">
        <f>HP37/HI37-1</f>
        <v>0.11140285071267808</v>
      </c>
      <c r="HQ38" s="66">
        <f>HQ37/HJ37-1</f>
        <v>4.7940340909090828E-2</v>
      </c>
      <c r="HR38" s="66">
        <f>HR37/HK37-1</f>
        <v>0.10408048138397885</v>
      </c>
      <c r="HT38" s="111" t="s">
        <v>3</v>
      </c>
      <c r="HU38" s="66">
        <f>HU37/HN37-1</f>
        <v>5.5516014234875399E-2</v>
      </c>
      <c r="HV38" s="66">
        <f>HV37/HO37-1</f>
        <v>-2.3186485591255579E-3</v>
      </c>
      <c r="HW38" s="66">
        <f>HW37/HP37-1</f>
        <v>-2.3287208909888668E-2</v>
      </c>
      <c r="HX38" s="66">
        <f>HX37/HQ37-1</f>
        <v>-2.2704168078617415E-2</v>
      </c>
      <c r="HY38" s="66">
        <f>HY37/HR37-1</f>
        <v>1.1070424934003231E-3</v>
      </c>
      <c r="IA38" s="111" t="s">
        <v>3</v>
      </c>
      <c r="IB38" s="66">
        <f>IB37/HU37-1</f>
        <v>-2.6972353337828547E-3</v>
      </c>
      <c r="IC38" s="66">
        <f>IC37/HV37-1</f>
        <v>1.8924302788844605E-2</v>
      </c>
      <c r="ID38" s="66">
        <f>ID37/HW37-1</f>
        <v>3.6281962681409707E-2</v>
      </c>
      <c r="IE38" s="66">
        <f>IE37/HX37-1</f>
        <v>5.1317614424410518E-2</v>
      </c>
      <c r="IF38" s="66">
        <f>IF37/HY37-1</f>
        <v>2.5689009867301715E-2</v>
      </c>
      <c r="IH38" s="111" t="s">
        <v>3</v>
      </c>
      <c r="II38" s="66">
        <f>II37/IB37-1</f>
        <v>1.8255578093306246E-2</v>
      </c>
      <c r="IJ38" s="66">
        <f>IJ37/IC37-1</f>
        <v>5.7021831215379626E-2</v>
      </c>
      <c r="IK38" s="66">
        <f>IK37/ID37-1</f>
        <v>7.4024674891630449E-2</v>
      </c>
      <c r="IL38" s="66">
        <f>IL37/IE37-1</f>
        <v>5.2770448548812743E-2</v>
      </c>
      <c r="IM38" s="66">
        <f>IM37/IF37-1</f>
        <v>5.067175319290107E-2</v>
      </c>
      <c r="IO38" s="111" t="s">
        <v>3</v>
      </c>
      <c r="IP38" s="66">
        <f>IP37/II37-1</f>
        <v>4.980079681274896E-3</v>
      </c>
      <c r="IQ38" s="66">
        <f>IQ37/IJ37-1</f>
        <v>-5.5487053020961796E-2</v>
      </c>
      <c r="IR38" s="66">
        <f>IR37/IK37-1</f>
        <v>-8.7550450170754468E-2</v>
      </c>
      <c r="IS38" s="66">
        <f>IS37/IL37-1</f>
        <v>-0.12875939849624063</v>
      </c>
      <c r="IT38" s="66">
        <f>IT37/IM37-1</f>
        <v>-6.7724366564054006E-2</v>
      </c>
      <c r="IV38" s="111" t="s">
        <v>3</v>
      </c>
      <c r="IW38" s="66">
        <f>IW37/IP37-1</f>
        <v>-0.13511727783283778</v>
      </c>
      <c r="IX38" s="66">
        <f>IX37/IQ37-1</f>
        <v>-0.11749347258485643</v>
      </c>
      <c r="IY38" s="66">
        <f>IY37/IR37-1</f>
        <v>-7.7917659067710088E-2</v>
      </c>
      <c r="IZ38" s="66">
        <f>IZ37/IS37-1</f>
        <v>9.2053218266810566E-2</v>
      </c>
      <c r="JA38" s="66">
        <f>JA37/IT37-1</f>
        <v>-6.2822792312251297E-2</v>
      </c>
      <c r="JC38" s="111" t="s">
        <v>3</v>
      </c>
      <c r="JD38" s="66">
        <f>JD37/IW37-1</f>
        <v>9.5874713521772348E-2</v>
      </c>
      <c r="JE38" s="66">
        <f>JE37/IX37-1</f>
        <v>8.4689349112426093E-2</v>
      </c>
      <c r="JF38" s="66">
        <f>JF37/IY37-1</f>
        <v>1.2177121771217658E-2</v>
      </c>
      <c r="JG38" s="66">
        <f>JG37/IZ37-1</f>
        <v>-5.7293381626605244E-2</v>
      </c>
      <c r="JH38" s="66">
        <f>JH37/JA37-1</f>
        <v>3.0626072815972627E-2</v>
      </c>
      <c r="JJ38" s="111" t="s">
        <v>3</v>
      </c>
      <c r="JK38" s="66">
        <f>JK37/JD37-1</f>
        <v>2.439874520739016E-3</v>
      </c>
      <c r="JL38" s="66">
        <f>JL37/JE37-1</f>
        <v>5.7620184111830897E-2</v>
      </c>
      <c r="JM38" s="66">
        <f>JM37/JF37-1</f>
        <v>0.14072183740430178</v>
      </c>
      <c r="JN38" s="66">
        <f>JN37/JG37-1</f>
        <v>9.7799511002444994E-2</v>
      </c>
      <c r="JO38" s="66">
        <f>JO37/JH37-1</f>
        <v>7.3807854137447393E-2</v>
      </c>
      <c r="JQ38" s="111" t="s">
        <v>3</v>
      </c>
      <c r="JR38" s="66">
        <f>JR37/JK37-1</f>
        <v>4.7635605006954185E-2</v>
      </c>
      <c r="JS38" s="66">
        <f>JS37/JL37-1</f>
        <v>-1.3217279174726038E-2</v>
      </c>
      <c r="JT38" s="66">
        <f>JT37/JM37-1</f>
        <v>-4.8258229466283109E-2</v>
      </c>
      <c r="JU38" s="66">
        <f>JU37/JN37-1</f>
        <v>-8.2087177855551974E-2</v>
      </c>
      <c r="JV38" s="66">
        <f>JV37/JO37-1</f>
        <v>-2.5551020408163261E-2</v>
      </c>
      <c r="JX38" s="111" t="s">
        <v>3</v>
      </c>
      <c r="JY38" s="66">
        <f>JY37/JR37-1</f>
        <v>-5.243942914039168E-2</v>
      </c>
      <c r="JZ38" s="66">
        <f>JZ37/JS37-1</f>
        <v>-0.26331264292714796</v>
      </c>
      <c r="KA38" s="66">
        <f>KA37/JT37-1</f>
        <v>-0.11081262592343855</v>
      </c>
      <c r="KB38" s="66">
        <f>KB37/JU37-1</f>
        <v>-2.0797227036395194E-2</v>
      </c>
      <c r="KC38" s="66">
        <f>KC37/JV37-1</f>
        <v>-0.11342883471559018</v>
      </c>
      <c r="KE38" s="111" t="s">
        <v>3</v>
      </c>
      <c r="KF38" s="66">
        <f>KF37/JY37-1</f>
        <v>-1.4711033274956264E-2</v>
      </c>
      <c r="KG38" s="66">
        <f>KG37/JZ37-1</f>
        <v>0.32594235033259422</v>
      </c>
      <c r="KH38" s="66">
        <f>KH37/KA37-1</f>
        <v>0.24320241691842903</v>
      </c>
      <c r="KI38" s="66">
        <f>KI37/KB37-1</f>
        <v>0.21309734513274337</v>
      </c>
      <c r="KJ38" s="66">
        <f>KJ37/KC37-1</f>
        <v>0.1832183690824909</v>
      </c>
      <c r="KL38" s="111" t="s">
        <v>3</v>
      </c>
      <c r="KM38" s="66">
        <f>KM37/KF37-1</f>
        <v>0.21329541414859587</v>
      </c>
      <c r="KN38" s="66">
        <f>KN37/KG37-1</f>
        <v>0.2759197324414715</v>
      </c>
      <c r="KO38" s="66">
        <f>KO37/KH37-1</f>
        <v>0.18317132442284323</v>
      </c>
      <c r="KP38" s="66">
        <f>KP37/KI37-1</f>
        <v>8.841552378173323E-2</v>
      </c>
      <c r="KQ38" s="66">
        <f>KQ37/KJ37-1</f>
        <v>0.18615237182558686</v>
      </c>
      <c r="KS38" s="111" t="s">
        <v>3</v>
      </c>
      <c r="KT38" s="66">
        <f>KT37/KM37-1</f>
        <v>8.5848227365953766E-2</v>
      </c>
      <c r="KU38" s="66">
        <f>KU37/KN37-1</f>
        <v>-3.0406290956749626E-2</v>
      </c>
      <c r="KV38" s="112">
        <f>KV37/KO37-1</f>
        <v>-8.2926829268292646E-2</v>
      </c>
      <c r="KW38" s="66">
        <f>KW37/KP37-1</f>
        <v>-1.3404825737265424E-2</v>
      </c>
      <c r="KX38" s="66">
        <f>KX37/KQ37-1</f>
        <v>-1.3195987342624393E-2</v>
      </c>
      <c r="KZ38" s="111" t="s">
        <v>3</v>
      </c>
      <c r="LA38" s="66">
        <f>LA37/KT37-1</f>
        <v>-6.7458175930922293E-3</v>
      </c>
      <c r="LB38" s="112">
        <f>LB37/KU37-1</f>
        <v>5.4068667207363141E-4</v>
      </c>
      <c r="LC38" s="112">
        <f>LC37/KV37-1</f>
        <v>1.3157894736842035E-2</v>
      </c>
      <c r="LD38" s="112">
        <f>LD37/KW37-1</f>
        <v>-3.831521739130439E-2</v>
      </c>
      <c r="LE38" s="112">
        <f>LE37/KX37-1</f>
        <v>-7.9825339428259978E-3</v>
      </c>
      <c r="LF38" s="566"/>
      <c r="LG38" s="111" t="s">
        <v>3</v>
      </c>
      <c r="LH38" s="112">
        <f>LH37/LA37-1</f>
        <v>-7.0089649551752231E-2</v>
      </c>
      <c r="LI38" s="112">
        <f>LI37/LB37-1</f>
        <v>-3.4315049986490154E-2</v>
      </c>
      <c r="LJ38" s="112">
        <f>LJ37/LC37-1</f>
        <v>-8.8422216081790461E-3</v>
      </c>
      <c r="LK38" s="112">
        <f>LK37/LD37-1</f>
        <v>-8.7595365922576995E-3</v>
      </c>
      <c r="LL38" s="112">
        <f>LL37/LE37-1</f>
        <v>-3.0811554332874858E-2</v>
      </c>
      <c r="LM38" s="566"/>
      <c r="LN38" s="111" t="s">
        <v>3</v>
      </c>
      <c r="LO38" s="112">
        <f>LO37/LH37-1</f>
        <v>1.104803534910892E-2</v>
      </c>
      <c r="LP38" s="112">
        <f>LP37/LI37-1</f>
        <v>1.7316710968102944E-2</v>
      </c>
      <c r="LQ38" s="112">
        <f>LQ37/LJ37-1</f>
        <v>3.2599428491775662E-2</v>
      </c>
      <c r="LR38" s="112">
        <f>LR37/LK37-1</f>
        <v>5.306550028506285E-2</v>
      </c>
      <c r="LS38" s="112">
        <f>LS37/LL37-1</f>
        <v>2.8583258231620556E-2</v>
      </c>
      <c r="LT38" s="566"/>
      <c r="LU38" s="111" t="s">
        <v>3</v>
      </c>
      <c r="LV38" s="112">
        <f>LV37/LO37-1</f>
        <v>4.8375105076106095E-2</v>
      </c>
      <c r="LW38" s="112">
        <f>LW37/LP37-1</f>
        <v>4.7598534018463035E-2</v>
      </c>
      <c r="LX38" s="112">
        <f>LX37/LQ37-1</f>
        <v>4.6457964889508041E-2</v>
      </c>
      <c r="LY38" s="112">
        <f>LY37/LR37-1</f>
        <v>4.6980422633969843E-2</v>
      </c>
      <c r="LZ38" s="112">
        <f>LZ37/LS37-1</f>
        <v>4.7334962113442014E-2</v>
      </c>
      <c r="MA38" s="566"/>
      <c r="MB38" s="111" t="s">
        <v>3</v>
      </c>
      <c r="MC38" s="112">
        <f>MC37/LV37-1</f>
        <v>4.485367709684307E-2</v>
      </c>
      <c r="MD38" s="112">
        <f>MD37/LW37-1</f>
        <v>4.4183271017381731E-2</v>
      </c>
      <c r="ME38" s="112">
        <f>ME37/LX37-1</f>
        <v>4.3884240413059272E-2</v>
      </c>
      <c r="MF38" s="112">
        <f>MF37/LY37-1</f>
        <v>4.3075665378673023E-2</v>
      </c>
      <c r="MG38" s="112">
        <f>MG37/LZ37-1</f>
        <v>4.3984959460985351E-2</v>
      </c>
      <c r="MH38" s="566"/>
    </row>
    <row r="39" spans="1:346" s="37" customFormat="1" ht="13.5" thickBot="1" x14ac:dyDescent="0.45">
      <c r="A39" s="100"/>
      <c r="B39" s="36"/>
      <c r="BO39" s="36"/>
      <c r="BP39" s="53"/>
      <c r="BQ39" s="53"/>
      <c r="BR39" s="53"/>
      <c r="BS39" s="53"/>
      <c r="BT39" s="53"/>
      <c r="BV39" s="36"/>
      <c r="BW39" s="53"/>
      <c r="BX39" s="53"/>
      <c r="BY39" s="53"/>
      <c r="BZ39" s="53"/>
      <c r="CA39" s="53"/>
      <c r="CC39" s="36"/>
      <c r="CD39" s="53"/>
      <c r="CE39" s="53"/>
      <c r="CF39" s="53"/>
      <c r="CG39" s="53"/>
      <c r="CH39" s="53"/>
      <c r="CJ39" s="36"/>
      <c r="CK39" s="53"/>
      <c r="CL39" s="53"/>
      <c r="CM39" s="53"/>
      <c r="CN39" s="53"/>
      <c r="CO39" s="53"/>
      <c r="CQ39" s="36"/>
      <c r="CR39" s="53"/>
      <c r="CS39" s="53"/>
      <c r="CT39" s="53"/>
      <c r="CU39" s="53"/>
      <c r="CV39" s="53"/>
      <c r="CX39" s="36"/>
      <c r="CY39" s="53"/>
      <c r="CZ39" s="53"/>
      <c r="DA39" s="53"/>
      <c r="DB39" s="53"/>
      <c r="DC39" s="53"/>
      <c r="DE39" s="36"/>
      <c r="DF39" s="53"/>
      <c r="DG39" s="53"/>
      <c r="DH39" s="53"/>
      <c r="DI39" s="53"/>
      <c r="DJ39" s="53"/>
      <c r="DL39" s="36"/>
      <c r="DM39" s="53"/>
      <c r="DN39" s="53"/>
      <c r="DO39" s="53"/>
      <c r="DP39" s="53"/>
      <c r="DQ39" s="53"/>
      <c r="DS39" s="36"/>
      <c r="DT39" s="53"/>
      <c r="DU39" s="53"/>
      <c r="DV39" s="53"/>
      <c r="DW39" s="53"/>
      <c r="DX39" s="53"/>
      <c r="DZ39" s="36"/>
      <c r="EA39" s="53"/>
      <c r="EB39" s="53"/>
      <c r="EC39" s="53"/>
      <c r="ED39" s="53"/>
      <c r="EE39" s="53"/>
      <c r="EG39" s="36"/>
      <c r="EH39" s="53"/>
      <c r="EI39" s="53"/>
      <c r="EJ39" s="53"/>
      <c r="EK39" s="53"/>
      <c r="EL39" s="53"/>
      <c r="EN39" s="36"/>
      <c r="EO39" s="53"/>
      <c r="EP39" s="53"/>
      <c r="EQ39" s="53"/>
      <c r="ER39" s="53"/>
      <c r="ES39" s="53"/>
      <c r="EU39" s="36"/>
      <c r="EV39" s="53"/>
      <c r="EW39" s="53"/>
      <c r="EX39" s="53"/>
      <c r="EY39" s="53"/>
      <c r="EZ39" s="53"/>
      <c r="FB39" s="36"/>
      <c r="FC39" s="53"/>
      <c r="FD39" s="53"/>
      <c r="FE39" s="53"/>
      <c r="FF39" s="53"/>
      <c r="FG39" s="53"/>
      <c r="FI39" s="36"/>
      <c r="FJ39" s="53"/>
      <c r="FK39" s="53"/>
      <c r="FL39" s="53"/>
      <c r="FM39" s="53"/>
      <c r="FN39" s="53"/>
      <c r="FP39" s="36"/>
      <c r="FQ39" s="53"/>
      <c r="FR39" s="53"/>
      <c r="FS39" s="53"/>
      <c r="FT39" s="53"/>
      <c r="FU39" s="53"/>
      <c r="FW39" s="36"/>
      <c r="FX39" s="53"/>
      <c r="FY39" s="53"/>
      <c r="FZ39" s="53"/>
      <c r="GA39" s="53"/>
      <c r="GB39" s="53"/>
      <c r="GD39" s="36"/>
      <c r="GE39" s="53"/>
      <c r="GF39" s="53"/>
      <c r="GG39" s="53"/>
      <c r="GH39" s="53"/>
      <c r="GI39" s="53"/>
      <c r="GK39" s="36"/>
      <c r="GL39" s="53"/>
      <c r="GM39" s="53"/>
      <c r="GN39" s="53"/>
      <c r="GO39" s="53"/>
      <c r="GP39" s="53"/>
      <c r="GR39" s="36"/>
      <c r="GS39" s="53"/>
      <c r="GT39" s="53"/>
      <c r="GU39" s="53"/>
      <c r="GV39" s="53"/>
      <c r="GW39" s="53"/>
      <c r="GY39" s="36"/>
      <c r="GZ39" s="53"/>
      <c r="HA39" s="53"/>
      <c r="HB39" s="53"/>
      <c r="HC39" s="53"/>
      <c r="HD39" s="53"/>
      <c r="HF39" s="36"/>
      <c r="HG39" s="53"/>
      <c r="HH39" s="53"/>
      <c r="HI39" s="53"/>
      <c r="HJ39" s="53"/>
      <c r="HK39" s="53"/>
      <c r="HM39" s="36"/>
      <c r="HN39" s="53"/>
      <c r="HO39" s="53"/>
      <c r="HP39" s="53"/>
      <c r="HQ39" s="53"/>
      <c r="HR39" s="53"/>
      <c r="HT39" s="36"/>
      <c r="HU39" s="53"/>
      <c r="HV39" s="53"/>
      <c r="HW39" s="53"/>
      <c r="HX39" s="53"/>
      <c r="HY39" s="53"/>
      <c r="IA39" s="36"/>
      <c r="IB39" s="53"/>
      <c r="IC39" s="53"/>
      <c r="ID39" s="53"/>
      <c r="IE39" s="53"/>
      <c r="IF39" s="53"/>
      <c r="IH39" s="36"/>
      <c r="II39" s="53"/>
      <c r="IJ39" s="53"/>
      <c r="IK39" s="53"/>
      <c r="IL39" s="53"/>
      <c r="IM39" s="53"/>
      <c r="IO39" s="36"/>
      <c r="IP39" s="53"/>
      <c r="IQ39" s="53"/>
      <c r="IR39" s="53"/>
      <c r="IS39" s="53"/>
      <c r="IT39" s="53"/>
      <c r="IV39" s="36"/>
      <c r="IW39" s="53"/>
      <c r="IX39" s="53"/>
      <c r="IY39" s="53"/>
      <c r="IZ39" s="53"/>
      <c r="JA39" s="53"/>
      <c r="JC39" s="36"/>
      <c r="JD39" s="53"/>
      <c r="JE39" s="53"/>
      <c r="JF39" s="53"/>
      <c r="JG39" s="53"/>
      <c r="JH39" s="53"/>
      <c r="JJ39" s="36"/>
      <c r="JK39" s="53"/>
      <c r="JL39" s="53"/>
      <c r="JM39" s="53"/>
      <c r="JN39" s="53"/>
      <c r="JO39" s="53"/>
      <c r="JQ39" s="36"/>
      <c r="JR39" s="53"/>
      <c r="JS39" s="53"/>
      <c r="JT39" s="53"/>
      <c r="JU39" s="53"/>
      <c r="JV39" s="53"/>
      <c r="JX39" s="36"/>
      <c r="JY39" s="53"/>
      <c r="JZ39" s="53"/>
      <c r="KA39" s="53"/>
      <c r="KB39" s="53"/>
      <c r="KC39" s="53"/>
      <c r="KE39" s="36"/>
      <c r="KF39" s="53"/>
      <c r="KG39" s="53"/>
      <c r="KH39" s="53"/>
      <c r="KI39" s="53"/>
      <c r="KJ39" s="53"/>
      <c r="KL39" s="36"/>
      <c r="KM39" s="53"/>
      <c r="KN39" s="53"/>
      <c r="KO39" s="53"/>
      <c r="KP39" s="53"/>
      <c r="KQ39" s="53"/>
      <c r="KS39" s="36"/>
      <c r="KT39" s="53"/>
      <c r="KU39" s="53"/>
      <c r="KX39" s="53"/>
      <c r="KZ39" s="630"/>
      <c r="LA39" s="631"/>
      <c r="LB39" s="631"/>
      <c r="LC39" s="631"/>
      <c r="LD39" s="631"/>
      <c r="LE39" s="631"/>
      <c r="LF39" s="566"/>
      <c r="LG39" s="630"/>
      <c r="LH39" s="631"/>
      <c r="LI39" s="631"/>
      <c r="LJ39" s="631"/>
      <c r="LK39" s="631"/>
      <c r="LL39" s="631"/>
      <c r="LM39" s="566"/>
      <c r="LN39" s="630"/>
      <c r="LO39" s="631"/>
      <c r="LP39" s="631"/>
      <c r="LQ39" s="631"/>
      <c r="LR39" s="631"/>
      <c r="LS39" s="631"/>
      <c r="LT39" s="566"/>
      <c r="LU39" s="630"/>
      <c r="LV39" s="631"/>
      <c r="LW39" s="631"/>
      <c r="LX39" s="631"/>
      <c r="LY39" s="631"/>
      <c r="LZ39" s="631"/>
      <c r="MA39" s="566"/>
      <c r="MB39" s="630"/>
      <c r="MC39" s="631"/>
      <c r="MD39" s="631"/>
      <c r="ME39" s="631"/>
      <c r="MF39" s="631"/>
      <c r="MG39" s="631"/>
      <c r="MH39" s="566"/>
    </row>
    <row r="40" spans="1:346" s="37" customFormat="1" ht="13.5" thickBot="1" x14ac:dyDescent="0.45">
      <c r="A40" s="100"/>
      <c r="B40" s="114" t="s">
        <v>425</v>
      </c>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5"/>
      <c r="AZ40" s="115"/>
      <c r="BA40" s="115"/>
      <c r="BB40" s="115"/>
      <c r="BC40" s="115"/>
      <c r="BD40" s="115"/>
      <c r="BE40" s="115"/>
      <c r="BF40" s="115"/>
      <c r="BG40" s="115"/>
      <c r="BH40" s="115"/>
      <c r="BI40" s="115"/>
      <c r="BJ40" s="115"/>
      <c r="BK40" s="115"/>
      <c r="BL40" s="115"/>
      <c r="BM40" s="115"/>
      <c r="BO40" s="114" t="s">
        <v>425</v>
      </c>
      <c r="BP40" s="115"/>
      <c r="BQ40" s="115"/>
      <c r="BR40" s="115"/>
      <c r="BS40" s="115"/>
      <c r="BT40" s="115"/>
      <c r="BV40" s="114" t="s">
        <v>425</v>
      </c>
      <c r="BW40" s="115"/>
      <c r="BX40" s="115"/>
      <c r="BY40" s="115"/>
      <c r="BZ40" s="115"/>
      <c r="CA40" s="115"/>
      <c r="CC40" s="114" t="s">
        <v>425</v>
      </c>
      <c r="CD40" s="115"/>
      <c r="CE40" s="115"/>
      <c r="CF40" s="115"/>
      <c r="CG40" s="115"/>
      <c r="CH40" s="115"/>
      <c r="CJ40" s="114" t="s">
        <v>425</v>
      </c>
      <c r="CK40" s="115"/>
      <c r="CL40" s="115"/>
      <c r="CM40" s="115"/>
      <c r="CN40" s="115"/>
      <c r="CO40" s="115"/>
      <c r="CQ40" s="114" t="s">
        <v>425</v>
      </c>
      <c r="CR40" s="115"/>
      <c r="CS40" s="115"/>
      <c r="CT40" s="115"/>
      <c r="CU40" s="115"/>
      <c r="CV40" s="115"/>
      <c r="CX40" s="114" t="s">
        <v>425</v>
      </c>
      <c r="CY40" s="115"/>
      <c r="CZ40" s="115"/>
      <c r="DA40" s="115"/>
      <c r="DB40" s="115"/>
      <c r="DC40" s="115"/>
      <c r="DE40" s="114" t="s">
        <v>425</v>
      </c>
      <c r="DF40" s="115"/>
      <c r="DG40" s="115"/>
      <c r="DH40" s="115"/>
      <c r="DI40" s="115"/>
      <c r="DJ40" s="115"/>
      <c r="DL40" s="114" t="s">
        <v>425</v>
      </c>
      <c r="DM40" s="115"/>
      <c r="DN40" s="115"/>
      <c r="DO40" s="115"/>
      <c r="DP40" s="115"/>
      <c r="DQ40" s="115"/>
      <c r="DS40" s="114" t="s">
        <v>425</v>
      </c>
      <c r="DT40" s="115"/>
      <c r="DU40" s="115"/>
      <c r="DV40" s="115"/>
      <c r="DW40" s="115"/>
      <c r="DX40" s="115"/>
      <c r="DZ40" s="114" t="s">
        <v>425</v>
      </c>
      <c r="EA40" s="115"/>
      <c r="EB40" s="115"/>
      <c r="EC40" s="115"/>
      <c r="ED40" s="115"/>
      <c r="EE40" s="115"/>
      <c r="EG40" s="114" t="s">
        <v>425</v>
      </c>
      <c r="EH40" s="115"/>
      <c r="EI40" s="115"/>
      <c r="EJ40" s="115"/>
      <c r="EK40" s="115"/>
      <c r="EL40" s="115"/>
      <c r="EN40" s="114" t="s">
        <v>425</v>
      </c>
      <c r="EO40" s="115"/>
      <c r="EP40" s="115"/>
      <c r="EQ40" s="115"/>
      <c r="ER40" s="115"/>
      <c r="ES40" s="115"/>
      <c r="EU40" s="114" t="s">
        <v>425</v>
      </c>
      <c r="EV40" s="115"/>
      <c r="EW40" s="115"/>
      <c r="EX40" s="115"/>
      <c r="EY40" s="115"/>
      <c r="EZ40" s="115"/>
      <c r="FB40" s="114" t="s">
        <v>425</v>
      </c>
      <c r="FC40" s="115"/>
      <c r="FD40" s="115"/>
      <c r="FE40" s="115"/>
      <c r="FF40" s="115"/>
      <c r="FG40" s="115"/>
      <c r="FI40" s="114" t="s">
        <v>425</v>
      </c>
      <c r="FJ40" s="115"/>
      <c r="FK40" s="115"/>
      <c r="FL40" s="115"/>
      <c r="FM40" s="115"/>
      <c r="FN40" s="115"/>
      <c r="FP40" s="114" t="s">
        <v>425</v>
      </c>
      <c r="FQ40" s="115"/>
      <c r="FR40" s="115"/>
      <c r="FS40" s="115"/>
      <c r="FT40" s="115"/>
      <c r="FU40" s="115"/>
      <c r="FW40" s="114" t="s">
        <v>425</v>
      </c>
      <c r="FX40" s="115"/>
      <c r="FY40" s="115"/>
      <c r="FZ40" s="115"/>
      <c r="GA40" s="115"/>
      <c r="GB40" s="115"/>
      <c r="GD40" s="114" t="s">
        <v>425</v>
      </c>
      <c r="GE40" s="115"/>
      <c r="GF40" s="115"/>
      <c r="GG40" s="115"/>
      <c r="GH40" s="115"/>
      <c r="GI40" s="115"/>
      <c r="GK40" s="114" t="s">
        <v>425</v>
      </c>
      <c r="GL40" s="115"/>
      <c r="GM40" s="115"/>
      <c r="GN40" s="115"/>
      <c r="GO40" s="115"/>
      <c r="GP40" s="115"/>
      <c r="GR40" s="114" t="s">
        <v>425</v>
      </c>
      <c r="GS40" s="115"/>
      <c r="GT40" s="115"/>
      <c r="GU40" s="115"/>
      <c r="GV40" s="115"/>
      <c r="GW40" s="115"/>
      <c r="GY40" s="114" t="s">
        <v>425</v>
      </c>
      <c r="GZ40" s="115"/>
      <c r="HA40" s="115"/>
      <c r="HB40" s="115"/>
      <c r="HC40" s="115"/>
      <c r="HD40" s="115"/>
      <c r="HF40" s="114" t="s">
        <v>425</v>
      </c>
      <c r="HG40" s="115"/>
      <c r="HH40" s="115"/>
      <c r="HI40" s="115"/>
      <c r="HJ40" s="115"/>
      <c r="HK40" s="115"/>
      <c r="HM40" s="114" t="s">
        <v>425</v>
      </c>
      <c r="HN40" s="115"/>
      <c r="HO40" s="115"/>
      <c r="HP40" s="115"/>
      <c r="HQ40" s="115"/>
      <c r="HR40" s="115"/>
      <c r="HT40" s="114" t="s">
        <v>425</v>
      </c>
      <c r="HU40" s="115"/>
      <c r="HV40" s="115"/>
      <c r="HW40" s="115"/>
      <c r="HX40" s="115"/>
      <c r="HY40" s="115"/>
      <c r="IA40" s="114" t="s">
        <v>425</v>
      </c>
      <c r="IB40" s="115"/>
      <c r="IC40" s="115"/>
      <c r="ID40" s="115"/>
      <c r="IE40" s="115"/>
      <c r="IF40" s="115"/>
      <c r="IH40" s="114" t="s">
        <v>425</v>
      </c>
      <c r="II40" s="115"/>
      <c r="IJ40" s="115"/>
      <c r="IK40" s="115"/>
      <c r="IL40" s="115"/>
      <c r="IM40" s="115"/>
      <c r="IO40" s="114" t="s">
        <v>425</v>
      </c>
      <c r="IP40" s="115"/>
      <c r="IQ40" s="115"/>
      <c r="IR40" s="115"/>
      <c r="IS40" s="115"/>
      <c r="IT40" s="115"/>
      <c r="IV40" s="114" t="s">
        <v>425</v>
      </c>
      <c r="IW40" s="115"/>
      <c r="IX40" s="115"/>
      <c r="IY40" s="115"/>
      <c r="IZ40" s="115"/>
      <c r="JA40" s="115"/>
      <c r="JC40" s="114" t="s">
        <v>425</v>
      </c>
      <c r="JD40" s="115"/>
      <c r="JE40" s="115"/>
      <c r="JF40" s="115"/>
      <c r="JG40" s="115"/>
      <c r="JH40" s="115"/>
      <c r="JJ40" s="114" t="s">
        <v>425</v>
      </c>
      <c r="JK40" s="115"/>
      <c r="JL40" s="115"/>
      <c r="JM40" s="115"/>
      <c r="JN40" s="115"/>
      <c r="JO40" s="115"/>
      <c r="JQ40" s="114" t="s">
        <v>425</v>
      </c>
      <c r="JR40" s="115"/>
      <c r="JS40" s="115"/>
      <c r="JT40" s="115"/>
      <c r="JU40" s="115"/>
      <c r="JV40" s="115"/>
      <c r="JX40" s="114" t="s">
        <v>425</v>
      </c>
      <c r="JY40" s="115"/>
      <c r="JZ40" s="115"/>
      <c r="KA40" s="115"/>
      <c r="KB40" s="115"/>
      <c r="KC40" s="115"/>
      <c r="KE40" s="114" t="s">
        <v>425</v>
      </c>
      <c r="KF40" s="115"/>
      <c r="KG40" s="115"/>
      <c r="KH40" s="115"/>
      <c r="KI40" s="115"/>
      <c r="KJ40" s="115"/>
      <c r="KL40" s="114" t="s">
        <v>425</v>
      </c>
      <c r="KM40" s="115"/>
      <c r="KN40" s="115"/>
      <c r="KO40" s="115"/>
      <c r="KP40" s="115"/>
      <c r="KQ40" s="115"/>
      <c r="KS40" s="114" t="s">
        <v>425</v>
      </c>
      <c r="KT40" s="115"/>
      <c r="KU40" s="115"/>
      <c r="KV40" s="115"/>
      <c r="KW40" s="115"/>
      <c r="KX40" s="115"/>
      <c r="KZ40" s="114" t="s">
        <v>425</v>
      </c>
      <c r="LA40" s="115"/>
      <c r="LB40" s="213"/>
      <c r="LC40" s="213"/>
      <c r="LD40" s="213"/>
      <c r="LE40" s="213"/>
      <c r="LF40" s="565"/>
      <c r="LG40" s="114" t="s">
        <v>425</v>
      </c>
      <c r="LH40" s="213"/>
      <c r="LI40" s="213"/>
      <c r="LJ40" s="213"/>
      <c r="LK40" s="213"/>
      <c r="LL40" s="213"/>
      <c r="LM40" s="565"/>
      <c r="LN40" s="114" t="s">
        <v>425</v>
      </c>
      <c r="LO40" s="213"/>
      <c r="LP40" s="213"/>
      <c r="LQ40" s="213"/>
      <c r="LR40" s="213"/>
      <c r="LS40" s="213"/>
      <c r="LT40" s="565"/>
      <c r="LU40" s="114" t="s">
        <v>425</v>
      </c>
      <c r="LV40" s="213"/>
      <c r="LW40" s="213"/>
      <c r="LX40" s="213"/>
      <c r="LY40" s="213"/>
      <c r="LZ40" s="213"/>
      <c r="MA40" s="565"/>
      <c r="MB40" s="114" t="s">
        <v>425</v>
      </c>
      <c r="MC40" s="213"/>
      <c r="MD40" s="213"/>
      <c r="ME40" s="213"/>
      <c r="MF40" s="213"/>
      <c r="MG40" s="213"/>
      <c r="MH40" s="565"/>
    </row>
    <row r="41" spans="1:346" s="37" customFormat="1" ht="13.15" x14ac:dyDescent="0.4">
      <c r="A41" s="97"/>
      <c r="B41" s="36"/>
      <c r="BO41" s="36"/>
      <c r="BV41" s="36"/>
      <c r="CC41" s="36"/>
      <c r="CJ41" s="36"/>
      <c r="CQ41" s="36"/>
      <c r="CX41" s="36"/>
      <c r="DE41" s="36"/>
      <c r="DL41" s="36"/>
      <c r="DS41" s="36"/>
      <c r="DZ41" s="36"/>
      <c r="EG41" s="36"/>
      <c r="EN41" s="36"/>
      <c r="EU41" s="36"/>
      <c r="FB41" s="36"/>
      <c r="FI41" s="36"/>
      <c r="FP41" s="36"/>
      <c r="FW41" s="36"/>
      <c r="GD41" s="36"/>
      <c r="GK41" s="36"/>
      <c r="GR41" s="36"/>
      <c r="GY41" s="36"/>
      <c r="HF41" s="36"/>
      <c r="HM41" s="36"/>
      <c r="HT41" s="36"/>
      <c r="IA41" s="36"/>
      <c r="IH41" s="36"/>
      <c r="IO41" s="36"/>
      <c r="IV41" s="36"/>
      <c r="JC41" s="36"/>
      <c r="JJ41" s="36"/>
      <c r="JQ41" s="36"/>
      <c r="JX41" s="36"/>
      <c r="KE41" s="36"/>
      <c r="KL41" s="36"/>
      <c r="KS41" s="36"/>
      <c r="KZ41" s="36"/>
      <c r="LF41" s="565"/>
      <c r="LG41" s="36"/>
      <c r="LM41" s="565"/>
      <c r="LN41" s="36"/>
      <c r="LT41" s="565"/>
      <c r="LU41" s="36"/>
      <c r="MA41" s="565"/>
      <c r="MB41" s="36"/>
      <c r="MH41" s="565"/>
    </row>
    <row r="42" spans="1:346" s="37" customFormat="1" ht="13.15" x14ac:dyDescent="0.4">
      <c r="A42" s="100"/>
      <c r="B42" s="116" t="s">
        <v>31</v>
      </c>
      <c r="C42" s="117"/>
      <c r="D42" s="117"/>
      <c r="E42" s="117"/>
      <c r="F42" s="117"/>
      <c r="G42" s="117"/>
      <c r="H42" s="117"/>
      <c r="I42" s="117"/>
      <c r="J42" s="117"/>
      <c r="K42" s="117"/>
      <c r="L42" s="117"/>
      <c r="M42" s="117"/>
      <c r="N42" s="117">
        <f t="shared" ref="N42:N48" si="151">BT42</f>
        <v>7.1301247771835552E-3</v>
      </c>
      <c r="O42" s="117">
        <f t="shared" ref="O42:O48" si="152">CA42</f>
        <v>3.8938053097345104E-2</v>
      </c>
      <c r="P42" s="117">
        <f t="shared" ref="P42:P48" si="153">CH42</f>
        <v>1.0221465076660996E-2</v>
      </c>
      <c r="Q42" s="117">
        <f t="shared" ref="Q42:Q48" si="154">CO42</f>
        <v>4.3844856661045428E-2</v>
      </c>
      <c r="R42" s="117">
        <f t="shared" ref="R42:R48" si="155">CV42</f>
        <v>5.331179321486279E-2</v>
      </c>
      <c r="S42" s="117">
        <f t="shared" ref="S42:S48" si="156">DC42</f>
        <v>5.0613496932515378E-2</v>
      </c>
      <c r="T42" s="117">
        <f t="shared" ref="T42:T48" si="157">DJ42</f>
        <v>2.1897810218978186E-2</v>
      </c>
      <c r="U42" s="117">
        <f t="shared" ref="U42:U48" si="158">DQ42</f>
        <v>2.857142857142847E-2</v>
      </c>
      <c r="V42" s="117">
        <f t="shared" ref="V42:V48" si="159">DX42</f>
        <v>3.7500000000000089E-2</v>
      </c>
      <c r="W42" s="117">
        <f t="shared" ref="W42:W48" si="160">EE42</f>
        <v>-8.0321285140562138E-3</v>
      </c>
      <c r="X42" s="117">
        <f t="shared" ref="X42:X48" si="161">EL42</f>
        <v>0.22672064777327927</v>
      </c>
      <c r="Y42" s="117">
        <f t="shared" ref="Y42:Y48" si="162">ES42</f>
        <v>7.2607260726072598E-2</v>
      </c>
      <c r="Z42" s="117">
        <f t="shared" ref="Z42:Z48" si="163">EZ42</f>
        <v>-3.8974358974358969E-2</v>
      </c>
      <c r="AA42" s="117">
        <f t="shared" ref="AA42:AA48" si="164">FG42</f>
        <v>2.8815368196371427E-2</v>
      </c>
      <c r="AB42" s="117">
        <f t="shared" ref="AB42:AB48" si="165">FN42</f>
        <v>2.5933609958506132E-2</v>
      </c>
      <c r="AC42" s="117">
        <f t="shared" ref="AC42:AC48" si="166">FU42</f>
        <v>8.0889787664307322E-2</v>
      </c>
      <c r="AD42" s="117">
        <f t="shared" ref="AD42:AD48" si="167">GB42</f>
        <v>1.7773620205799867E-2</v>
      </c>
      <c r="AE42" s="117">
        <f t="shared" ref="AE42:AE48" si="168">GI42</f>
        <v>0.11213235294117641</v>
      </c>
      <c r="AF42" s="117">
        <f t="shared" ref="AF42:AF48" si="169">GP42</f>
        <v>0.10000000000000009</v>
      </c>
      <c r="AG42" s="117">
        <f t="shared" ref="AG42:AG48" si="170">GW42</f>
        <v>9.241172051089408E-2</v>
      </c>
      <c r="AH42" s="117">
        <f t="shared" ref="AH42:AH48" si="171">HD42</f>
        <v>-0.12861072902338377</v>
      </c>
      <c r="AI42" s="117">
        <f t="shared" ref="AI42:AI48" si="172">HK42</f>
        <v>0.17205998421468038</v>
      </c>
      <c r="AJ42" s="117">
        <f t="shared" ref="AJ42:AJ48" si="173">HR42</f>
        <v>7.4747474747474785E-2</v>
      </c>
      <c r="AK42" s="117">
        <f t="shared" ref="AK42:AK48" si="174">HY42</f>
        <v>5.3884711779448535E-2</v>
      </c>
      <c r="AL42" s="117">
        <f t="shared" ref="AL42:AL48" si="175">IF42</f>
        <v>0.23543400713436391</v>
      </c>
      <c r="AM42" s="117">
        <f t="shared" ref="AM42:AM48" si="176">IM42</f>
        <v>0.14292589027911462</v>
      </c>
      <c r="AN42" s="117">
        <f t="shared" ref="AN42:AN48" si="177">IT42</f>
        <v>-3.8315789473684192E-2</v>
      </c>
      <c r="AO42" s="117">
        <f t="shared" ref="AO42:AO48" si="178">JA42</f>
        <v>-4.0718038528896661E-2</v>
      </c>
      <c r="AP42" s="117">
        <f t="shared" ref="AP42:AP48" si="179">JH42</f>
        <v>8.6718393427658302E-3</v>
      </c>
      <c r="AQ42" s="117">
        <f t="shared" ref="AQ42:AQ48" si="180">JO42</f>
        <v>5.8371040723981915E-2</v>
      </c>
      <c r="AR42" s="117">
        <f t="shared" ref="AR42:AR48" si="181">JV42</f>
        <v>2.1376656690894613E-3</v>
      </c>
      <c r="AS42" s="117">
        <f t="shared" ref="AS42:AS48" si="182">KC42</f>
        <v>-1.4931740614334443E-2</v>
      </c>
      <c r="AT42" s="117">
        <f t="shared" ref="AT42:AT48" si="183">KJ42</f>
        <v>4.8505846686877518E-2</v>
      </c>
      <c r="AU42" s="117">
        <f t="shared" ref="AU42:AU48" si="184">KQ42</f>
        <v>6.7327550598926145E-2</v>
      </c>
      <c r="AV42" s="117">
        <f t="shared" ref="AV42:AV48" si="185">KX42</f>
        <v>5.804953560371473E-3</v>
      </c>
      <c r="AW42" s="117">
        <f t="shared" ref="AW42:AW48" si="186">LE42</f>
        <v>9.6575606002308634E-2</v>
      </c>
      <c r="AX42" s="117">
        <f t="shared" ref="AX42:AX48" si="187">LL42</f>
        <v>-2.5964912280701746E-2</v>
      </c>
      <c r="AY42" s="117">
        <f t="shared" ref="AY42:AY48" si="188">LS42</f>
        <v>5.6816642651296156E-3</v>
      </c>
      <c r="AZ42" s="117">
        <f t="shared" ref="AZ42:AZ48" si="189">LZ42</f>
        <v>5.8325000000000182E-2</v>
      </c>
      <c r="BA42" s="117">
        <f t="shared" ref="BA42:BA48" si="190">MG42</f>
        <v>5.2497837834052374E-2</v>
      </c>
      <c r="BB42" s="117"/>
      <c r="BC42" s="117"/>
      <c r="BD42" s="117"/>
      <c r="BE42" s="117"/>
      <c r="BF42" s="117"/>
      <c r="BG42" s="117"/>
      <c r="BH42" s="117"/>
      <c r="BI42" s="117"/>
      <c r="BJ42" s="117"/>
      <c r="BK42" s="117"/>
      <c r="BL42" s="117"/>
      <c r="BM42" s="117"/>
      <c r="BO42" s="116" t="s">
        <v>31</v>
      </c>
      <c r="BP42" s="117">
        <f t="shared" ref="BP42:BT44" si="191">BP9/I9-1</f>
        <v>-0.67713004484304928</v>
      </c>
      <c r="BQ42" s="117">
        <f t="shared" si="191"/>
        <v>-0.66666666666666674</v>
      </c>
      <c r="BR42" s="117">
        <f t="shared" si="191"/>
        <v>-0.69247787610619471</v>
      </c>
      <c r="BS42" s="117">
        <f t="shared" si="191"/>
        <v>-0.72440944881889768</v>
      </c>
      <c r="BT42" s="117">
        <f t="shared" si="191"/>
        <v>7.1301247771835552E-3</v>
      </c>
      <c r="BV42" s="116" t="s">
        <v>31</v>
      </c>
      <c r="BW42" s="117">
        <f t="shared" ref="BW42:CA44" si="192">BW9/BP9-1</f>
        <v>3.4722222222222321E-2</v>
      </c>
      <c r="BX42" s="117">
        <f t="shared" si="192"/>
        <v>2.8169014084507005E-2</v>
      </c>
      <c r="BY42" s="117">
        <f t="shared" si="192"/>
        <v>5.0359712230215736E-2</v>
      </c>
      <c r="BZ42" s="117">
        <f t="shared" si="192"/>
        <v>4.2857142857142927E-2</v>
      </c>
      <c r="CA42" s="117">
        <f t="shared" si="192"/>
        <v>3.8938053097345104E-2</v>
      </c>
      <c r="CC42" s="116" t="s">
        <v>31</v>
      </c>
      <c r="CD42" s="117">
        <f t="shared" ref="CD42:CH44" si="193">CD9/BW9-1</f>
        <v>-4.0268456375838979E-2</v>
      </c>
      <c r="CE42" s="117">
        <f t="shared" si="193"/>
        <v>0</v>
      </c>
      <c r="CF42" s="117">
        <f t="shared" si="193"/>
        <v>4.1095890410958846E-2</v>
      </c>
      <c r="CG42" s="117">
        <f t="shared" si="193"/>
        <v>4.1095890410958846E-2</v>
      </c>
      <c r="CH42" s="117">
        <f t="shared" si="193"/>
        <v>1.0221465076660996E-2</v>
      </c>
      <c r="CJ42" s="116" t="s">
        <v>31</v>
      </c>
      <c r="CK42" s="117">
        <f t="shared" ref="CK42:CO44" si="194">CK9/CD9-1</f>
        <v>7.6923076923076872E-2</v>
      </c>
      <c r="CL42" s="117">
        <f t="shared" si="194"/>
        <v>8.2191780821917915E-2</v>
      </c>
      <c r="CM42" s="117">
        <f t="shared" si="194"/>
        <v>1.3157894736842035E-2</v>
      </c>
      <c r="CN42" s="117">
        <f t="shared" si="194"/>
        <v>6.5789473684210176E-3</v>
      </c>
      <c r="CO42" s="117">
        <f t="shared" si="194"/>
        <v>4.3844856661045428E-2</v>
      </c>
      <c r="CQ42" s="116" t="s">
        <v>31</v>
      </c>
      <c r="CR42" s="117">
        <f t="shared" ref="CR42:CV44" si="195">CR9/CK9-1</f>
        <v>3.2467532467532534E-2</v>
      </c>
      <c r="CS42" s="117">
        <f t="shared" si="195"/>
        <v>3.7974683544303778E-2</v>
      </c>
      <c r="CT42" s="117">
        <f t="shared" si="195"/>
        <v>5.8441558441558517E-2</v>
      </c>
      <c r="CU42" s="117">
        <f t="shared" si="195"/>
        <v>8.4967320261437829E-2</v>
      </c>
      <c r="CV42" s="117">
        <f t="shared" si="195"/>
        <v>5.331179321486279E-2</v>
      </c>
      <c r="CX42" s="116" t="s">
        <v>31</v>
      </c>
      <c r="CY42" s="117">
        <f t="shared" ref="CY42:DC44" si="196">CY9/CR9-1</f>
        <v>5.6603773584905648E-2</v>
      </c>
      <c r="CZ42" s="117">
        <f t="shared" si="196"/>
        <v>6.0975609756097615E-2</v>
      </c>
      <c r="DA42" s="117">
        <f t="shared" si="196"/>
        <v>3.6809815950920255E-2</v>
      </c>
      <c r="DB42" s="117">
        <f t="shared" si="196"/>
        <v>4.8192771084337283E-2</v>
      </c>
      <c r="DC42" s="117">
        <f t="shared" si="196"/>
        <v>5.0613496932515378E-2</v>
      </c>
      <c r="DE42" s="116" t="s">
        <v>31</v>
      </c>
      <c r="DF42" s="117">
        <f t="shared" ref="DF42:DJ44" si="197">DF9/CY9-1</f>
        <v>5.9523809523809534E-2</v>
      </c>
      <c r="DG42" s="117">
        <f t="shared" si="197"/>
        <v>0</v>
      </c>
      <c r="DH42" s="117">
        <f t="shared" si="197"/>
        <v>3.5502958579881616E-2</v>
      </c>
      <c r="DI42" s="117">
        <f t="shared" si="197"/>
        <v>-5.7471264367816577E-3</v>
      </c>
      <c r="DJ42" s="117">
        <f t="shared" si="197"/>
        <v>2.1897810218978186E-2</v>
      </c>
      <c r="DL42" s="116" t="s">
        <v>31</v>
      </c>
      <c r="DM42" s="117">
        <f t="shared" ref="DM42:DQ44" si="198">DM9/DF9-1</f>
        <v>0</v>
      </c>
      <c r="DN42" s="117">
        <f t="shared" si="198"/>
        <v>2.2988505747126409E-2</v>
      </c>
      <c r="DO42" s="117">
        <f t="shared" si="198"/>
        <v>4.5714285714285818E-2</v>
      </c>
      <c r="DP42" s="117">
        <f t="shared" si="198"/>
        <v>4.6242774566473965E-2</v>
      </c>
      <c r="DQ42" s="117">
        <f t="shared" si="198"/>
        <v>2.857142857142847E-2</v>
      </c>
      <c r="DS42" s="116" t="s">
        <v>31</v>
      </c>
      <c r="DT42" s="117">
        <f t="shared" ref="DT42:DX44" si="199">DT9/DM9-1</f>
        <v>6.1797752808988804E-2</v>
      </c>
      <c r="DU42" s="117">
        <f t="shared" si="199"/>
        <v>7.3033707865168607E-2</v>
      </c>
      <c r="DV42" s="117">
        <f t="shared" si="199"/>
        <v>0</v>
      </c>
      <c r="DW42" s="117">
        <f t="shared" si="199"/>
        <v>1.6574585635359185E-2</v>
      </c>
      <c r="DX42" s="117">
        <f t="shared" si="199"/>
        <v>3.7500000000000089E-2</v>
      </c>
      <c r="DZ42" s="116" t="s">
        <v>31</v>
      </c>
      <c r="EA42" s="117">
        <f t="shared" ref="EA42:EE44" si="200">EA9/DT9-1</f>
        <v>-5.2910052910053462E-3</v>
      </c>
      <c r="EB42" s="117">
        <f t="shared" si="200"/>
        <v>-2.0942408376963373E-2</v>
      </c>
      <c r="EC42" s="117">
        <f t="shared" si="200"/>
        <v>2.732240437158473E-2</v>
      </c>
      <c r="ED42" s="117">
        <f t="shared" si="200"/>
        <v>-3.2608695652173947E-2</v>
      </c>
      <c r="EE42" s="117">
        <f t="shared" si="200"/>
        <v>-8.0321285140562138E-3</v>
      </c>
      <c r="EG42" s="116" t="s">
        <v>31</v>
      </c>
      <c r="EH42" s="117">
        <f t="shared" ref="EH42:EL44" si="201">EH9/EA9-1</f>
        <v>6.9148936170212671E-2</v>
      </c>
      <c r="EI42" s="117">
        <f t="shared" si="201"/>
        <v>0.17112299465240643</v>
      </c>
      <c r="EJ42" s="117">
        <f t="shared" si="201"/>
        <v>0.30319148936170204</v>
      </c>
      <c r="EK42" s="117">
        <f t="shared" si="201"/>
        <v>0.3707865168539326</v>
      </c>
      <c r="EL42" s="117">
        <f t="shared" si="201"/>
        <v>0.22672064777327927</v>
      </c>
      <c r="EN42" s="116" t="s">
        <v>31</v>
      </c>
      <c r="EO42" s="117">
        <f t="shared" ref="EO42:ES44" si="202">EO9/EH9-1</f>
        <v>0.21890547263681581</v>
      </c>
      <c r="EP42" s="117">
        <f t="shared" si="202"/>
        <v>0.14155251141552516</v>
      </c>
      <c r="EQ42" s="117">
        <f t="shared" si="202"/>
        <v>-8.1632653061224358E-3</v>
      </c>
      <c r="ER42" s="117">
        <f t="shared" si="202"/>
        <v>-2.8688524590163911E-2</v>
      </c>
      <c r="ES42" s="117">
        <f t="shared" si="202"/>
        <v>7.2607260726072598E-2</v>
      </c>
      <c r="EU42" s="116" t="s">
        <v>31</v>
      </c>
      <c r="EV42" s="117">
        <f t="shared" ref="EV42:EZ44" si="203">EV9/EO9-1</f>
        <v>-4.0816326530612734E-3</v>
      </c>
      <c r="EW42" s="117">
        <f t="shared" si="203"/>
        <v>-4.4000000000000039E-2</v>
      </c>
      <c r="EX42" s="117">
        <f t="shared" si="203"/>
        <v>-5.3497942386831254E-2</v>
      </c>
      <c r="EY42" s="117">
        <f t="shared" si="203"/>
        <v>-5.4852320675105481E-2</v>
      </c>
      <c r="EZ42" s="117">
        <f t="shared" si="203"/>
        <v>-3.8974358974358969E-2</v>
      </c>
      <c r="FB42" s="116" t="s">
        <v>31</v>
      </c>
      <c r="FC42" s="117">
        <f t="shared" ref="FC42:FG44" si="204">FC9/EV9-1</f>
        <v>-2.4590163934426257E-2</v>
      </c>
      <c r="FD42" s="117">
        <f t="shared" si="204"/>
        <v>2.9288702928870203E-2</v>
      </c>
      <c r="FE42" s="117">
        <f t="shared" si="204"/>
        <v>3.9130434782608692E-2</v>
      </c>
      <c r="FF42" s="117">
        <f t="shared" si="204"/>
        <v>7.5892857142857206E-2</v>
      </c>
      <c r="FG42" s="117">
        <f t="shared" si="204"/>
        <v>2.8815368196371427E-2</v>
      </c>
      <c r="FI42" s="116" t="s">
        <v>31</v>
      </c>
      <c r="FJ42" s="117">
        <f t="shared" ref="FJ42:FN44" si="205">FJ9/FC9-1</f>
        <v>5.0420168067226934E-2</v>
      </c>
      <c r="FK42" s="117">
        <f t="shared" si="205"/>
        <v>-1.2195121951219523E-2</v>
      </c>
      <c r="FL42" s="117">
        <f t="shared" si="205"/>
        <v>3.7656903765690419E-2</v>
      </c>
      <c r="FM42" s="117">
        <f t="shared" si="205"/>
        <v>2.9045643153526868E-2</v>
      </c>
      <c r="FN42" s="117">
        <f t="shared" si="205"/>
        <v>2.5933609958506132E-2</v>
      </c>
      <c r="FP42" s="116" t="s">
        <v>31</v>
      </c>
      <c r="FQ42" s="117">
        <f t="shared" ref="FQ42:FU44" si="206">FQ9/FJ9-1</f>
        <v>2.4000000000000021E-2</v>
      </c>
      <c r="FR42" s="117">
        <f t="shared" si="206"/>
        <v>8.6419753086419693E-2</v>
      </c>
      <c r="FS42" s="117">
        <f t="shared" si="206"/>
        <v>7.2580645161290258E-2</v>
      </c>
      <c r="FT42" s="117">
        <f t="shared" si="206"/>
        <v>0.1411290322580645</v>
      </c>
      <c r="FU42" s="117">
        <f t="shared" si="206"/>
        <v>8.0889787664307322E-2</v>
      </c>
      <c r="FW42" s="116" t="s">
        <v>31</v>
      </c>
      <c r="FX42" s="117">
        <f t="shared" ref="FX42:GB44" si="207">FX9/FQ9-1</f>
        <v>7.421875E-2</v>
      </c>
      <c r="FY42" s="117">
        <f t="shared" si="207"/>
        <v>2.2727272727272707E-2</v>
      </c>
      <c r="FZ42" s="117">
        <f t="shared" si="207"/>
        <v>1.1278195488721776E-2</v>
      </c>
      <c r="GA42" s="117">
        <f t="shared" si="207"/>
        <v>-3.180212014134276E-2</v>
      </c>
      <c r="GB42" s="117">
        <f t="shared" si="207"/>
        <v>1.7773620205799867E-2</v>
      </c>
      <c r="GD42" s="116" t="s">
        <v>31</v>
      </c>
      <c r="GE42" s="117">
        <f t="shared" ref="GE42:GI44" si="208">GE9/FX9-1</f>
        <v>7.2727272727272751E-2</v>
      </c>
      <c r="GF42" s="117">
        <f t="shared" si="208"/>
        <v>0.12962962962962954</v>
      </c>
      <c r="GG42" s="117">
        <f t="shared" si="208"/>
        <v>0.16356877323420083</v>
      </c>
      <c r="GH42" s="117">
        <f t="shared" si="208"/>
        <v>8.3941605839416011E-2</v>
      </c>
      <c r="GI42" s="117">
        <f t="shared" si="208"/>
        <v>0.11213235294117641</v>
      </c>
      <c r="GK42" s="116" t="s">
        <v>31</v>
      </c>
      <c r="GL42" s="117">
        <f t="shared" ref="GL42:GP44" si="209">GL9/GE9-1</f>
        <v>8.8135593220338926E-2</v>
      </c>
      <c r="GM42" s="117">
        <f t="shared" si="209"/>
        <v>8.5245901639344313E-2</v>
      </c>
      <c r="GN42" s="117">
        <f t="shared" si="209"/>
        <v>8.9456869009584716E-2</v>
      </c>
      <c r="GO42" s="117">
        <f t="shared" si="209"/>
        <v>0.13804713804713797</v>
      </c>
      <c r="GP42" s="117">
        <f t="shared" si="209"/>
        <v>0.10000000000000009</v>
      </c>
      <c r="GR42" s="116" t="s">
        <v>31</v>
      </c>
      <c r="GS42" s="117">
        <f t="shared" ref="GS42:GW44" si="210">GS9/GL9-1</f>
        <v>0.12772585669781922</v>
      </c>
      <c r="GT42" s="117">
        <f t="shared" si="210"/>
        <v>0.1510574018126889</v>
      </c>
      <c r="GU42" s="117">
        <f t="shared" si="210"/>
        <v>0.12903225806451624</v>
      </c>
      <c r="GV42" s="117">
        <f t="shared" si="210"/>
        <v>-3.5502958579881616E-2</v>
      </c>
      <c r="GW42" s="117">
        <f t="shared" si="210"/>
        <v>9.241172051089408E-2</v>
      </c>
      <c r="GY42" s="116" t="s">
        <v>31</v>
      </c>
      <c r="GZ42" s="117">
        <f t="shared" ref="GZ42:HD44" si="211">GZ9/GS9-1</f>
        <v>-0.149171270718232</v>
      </c>
      <c r="HA42" s="117">
        <f t="shared" si="211"/>
        <v>-0.19160104986876636</v>
      </c>
      <c r="HB42" s="117">
        <f t="shared" si="211"/>
        <v>-0.13766233766233771</v>
      </c>
      <c r="HC42" s="117">
        <f t="shared" si="211"/>
        <v>-2.1472392638036797E-2</v>
      </c>
      <c r="HD42" s="117">
        <f t="shared" si="211"/>
        <v>-0.12861072902338377</v>
      </c>
      <c r="HF42" s="116" t="s">
        <v>31</v>
      </c>
      <c r="HG42" s="117">
        <f t="shared" ref="HG42:HK44" si="212">HG9/GZ9-1</f>
        <v>0.13961038961038952</v>
      </c>
      <c r="HH42" s="117">
        <f t="shared" si="212"/>
        <v>0.20779220779220786</v>
      </c>
      <c r="HI42" s="117">
        <f t="shared" si="212"/>
        <v>0.14156626506024095</v>
      </c>
      <c r="HJ42" s="117">
        <f t="shared" si="212"/>
        <v>0.20062695924764884</v>
      </c>
      <c r="HK42" s="117">
        <f t="shared" si="212"/>
        <v>0.17205998421468038</v>
      </c>
      <c r="HM42" s="116" t="s">
        <v>31</v>
      </c>
      <c r="HN42" s="117">
        <f t="shared" ref="HN42:HR48" si="213">HN9/HG9-1</f>
        <v>0.12250712250712259</v>
      </c>
      <c r="HO42" s="117">
        <f t="shared" si="213"/>
        <v>0.11021505376344076</v>
      </c>
      <c r="HP42" s="117">
        <f t="shared" si="213"/>
        <v>7.3878627968337662E-2</v>
      </c>
      <c r="HQ42" s="117">
        <f t="shared" si="213"/>
        <v>-2.6109660574412663E-3</v>
      </c>
      <c r="HR42" s="117">
        <f t="shared" si="213"/>
        <v>7.4747474747474785E-2</v>
      </c>
      <c r="HT42" s="116" t="s">
        <v>31</v>
      </c>
      <c r="HU42" s="117">
        <f t="shared" ref="HU42:HY48" si="214">HU9/HN9-1</f>
        <v>5.3299492385786795E-2</v>
      </c>
      <c r="HV42" s="117">
        <f t="shared" si="214"/>
        <v>4.1162227602905554E-2</v>
      </c>
      <c r="HW42" s="117">
        <f t="shared" si="214"/>
        <v>4.1769041769041726E-2</v>
      </c>
      <c r="HX42" s="117">
        <f t="shared" si="214"/>
        <v>8.1151832460732987E-2</v>
      </c>
      <c r="HY42" s="117">
        <f t="shared" si="214"/>
        <v>5.3884711779448535E-2</v>
      </c>
      <c r="IA42" s="116" t="s">
        <v>31</v>
      </c>
      <c r="IB42" s="117">
        <f t="shared" ref="IB42:IF48" si="215">IB9/HU9-1</f>
        <v>0.21445783132530116</v>
      </c>
      <c r="IC42" s="117">
        <f t="shared" si="215"/>
        <v>0.21395348837209305</v>
      </c>
      <c r="ID42" s="117">
        <f t="shared" si="215"/>
        <v>0.23349056603773577</v>
      </c>
      <c r="IE42" s="117">
        <f t="shared" si="215"/>
        <v>0.28087167070217922</v>
      </c>
      <c r="IF42" s="117">
        <f t="shared" si="215"/>
        <v>0.23543400713436391</v>
      </c>
      <c r="IH42" s="116" t="s">
        <v>31</v>
      </c>
      <c r="II42" s="117">
        <f t="shared" ref="II42:IM48" si="216">II9/IB9-1</f>
        <v>9.5238095238095344E-2</v>
      </c>
      <c r="IJ42" s="117">
        <f t="shared" si="216"/>
        <v>0.16283524904214564</v>
      </c>
      <c r="IK42" s="117">
        <f t="shared" si="216"/>
        <v>0.17590822179732313</v>
      </c>
      <c r="IL42" s="117">
        <f t="shared" si="216"/>
        <v>0.13610586011342152</v>
      </c>
      <c r="IM42" s="117">
        <f t="shared" si="216"/>
        <v>0.14292589027911462</v>
      </c>
      <c r="IO42" s="116" t="s">
        <v>31</v>
      </c>
      <c r="IP42" s="117">
        <f t="shared" ref="IP42:IT48" si="217">IP9/II9-1</f>
        <v>3.8043478260869623E-2</v>
      </c>
      <c r="IQ42" s="117">
        <f t="shared" si="217"/>
        <v>-4.2833607907743043E-2</v>
      </c>
      <c r="IR42" s="117">
        <f t="shared" si="217"/>
        <v>-5.3658536585365901E-2</v>
      </c>
      <c r="IS42" s="117">
        <f t="shared" si="217"/>
        <v>-8.8186356073211347E-2</v>
      </c>
      <c r="IT42" s="117">
        <f t="shared" si="217"/>
        <v>-3.8315789473684192E-2</v>
      </c>
      <c r="IV42" s="116" t="s">
        <v>31</v>
      </c>
      <c r="IW42" s="117">
        <f t="shared" ref="IW42:JA48" si="218">IW9/IP9-1</f>
        <v>-4.7120418848167533E-2</v>
      </c>
      <c r="IX42" s="117">
        <f t="shared" si="218"/>
        <v>-8.089500860585197E-2</v>
      </c>
      <c r="IY42" s="117">
        <f t="shared" si="218"/>
        <v>-6.8728522336769737E-2</v>
      </c>
      <c r="IZ42" s="117">
        <f t="shared" si="218"/>
        <v>3.8321167883211604E-2</v>
      </c>
      <c r="JA42" s="117">
        <f t="shared" si="218"/>
        <v>-4.0718038528896661E-2</v>
      </c>
      <c r="JC42" s="116" t="s">
        <v>31</v>
      </c>
      <c r="JD42" s="117">
        <f t="shared" ref="JD42:JH48" si="219">JD9/IW9-1</f>
        <v>3.6630036630036722E-2</v>
      </c>
      <c r="JE42" s="117">
        <f t="shared" si="219"/>
        <v>3.3707865168539408E-2</v>
      </c>
      <c r="JF42" s="117">
        <f t="shared" si="219"/>
        <v>7.3800738007379074E-3</v>
      </c>
      <c r="JG42" s="117">
        <f t="shared" si="219"/>
        <v>-4.0421792618629215E-2</v>
      </c>
      <c r="JH42" s="117">
        <f t="shared" si="219"/>
        <v>8.6718393427658302E-3</v>
      </c>
      <c r="JJ42" s="116" t="s">
        <v>31</v>
      </c>
      <c r="JK42" s="117">
        <f t="shared" ref="JK42:JO48" si="220">JK9/JD9-1</f>
        <v>-1.590106007067138E-2</v>
      </c>
      <c r="JL42" s="117">
        <f t="shared" si="220"/>
        <v>6.5217391304347894E-2</v>
      </c>
      <c r="JM42" s="117">
        <f t="shared" si="220"/>
        <v>9.1575091575091472E-2</v>
      </c>
      <c r="JN42" s="117">
        <f t="shared" si="220"/>
        <v>9.5238095238095344E-2</v>
      </c>
      <c r="JO42" s="117">
        <f t="shared" si="220"/>
        <v>5.8371040723981915E-2</v>
      </c>
      <c r="JQ42" s="116" t="s">
        <v>31</v>
      </c>
      <c r="JR42" s="117">
        <f t="shared" ref="JR42:JV48" si="221">JR9/JK9-1</f>
        <v>5.2064631956912022E-2</v>
      </c>
      <c r="JS42" s="117">
        <f t="shared" si="221"/>
        <v>6.8027210884353817E-3</v>
      </c>
      <c r="JT42" s="117">
        <f t="shared" si="221"/>
        <v>-1.1744966442952975E-2</v>
      </c>
      <c r="JU42" s="117">
        <f t="shared" si="221"/>
        <v>-3.5117056856187268E-2</v>
      </c>
      <c r="JV42" s="117">
        <f t="shared" si="221"/>
        <v>2.1376656690894613E-3</v>
      </c>
      <c r="JX42" s="116" t="s">
        <v>31</v>
      </c>
      <c r="JY42" s="117">
        <f t="shared" ref="JY42:KC48" si="222">JY9/JR9-1</f>
        <v>6.8259385665528916E-2</v>
      </c>
      <c r="JZ42" s="117">
        <f t="shared" si="222"/>
        <v>-0.10304054054054057</v>
      </c>
      <c r="KA42" s="117">
        <f t="shared" si="222"/>
        <v>-3.9049235993208864E-2</v>
      </c>
      <c r="KB42" s="117">
        <f t="shared" si="222"/>
        <v>1.5597920277296451E-2</v>
      </c>
      <c r="KC42" s="117">
        <f t="shared" si="222"/>
        <v>-1.4931740614334443E-2</v>
      </c>
      <c r="KE42" s="116" t="s">
        <v>31</v>
      </c>
      <c r="KF42" s="117">
        <f t="shared" ref="KF42:KJ48" si="223">KF9/JY9-1</f>
        <v>-7.348242811501593E-2</v>
      </c>
      <c r="KG42" s="117">
        <f t="shared" si="223"/>
        <v>0.14124293785310726</v>
      </c>
      <c r="KH42" s="117">
        <f t="shared" si="223"/>
        <v>0.10247349823321561</v>
      </c>
      <c r="KI42" s="117">
        <f t="shared" si="223"/>
        <v>4.2662116040955711E-2</v>
      </c>
      <c r="KJ42" s="117">
        <f t="shared" si="223"/>
        <v>4.8505846686877518E-2</v>
      </c>
      <c r="KL42" s="116" t="s">
        <v>31</v>
      </c>
      <c r="KM42" s="117">
        <f t="shared" ref="KM42:KQ48" si="224">KM9/KF9-1</f>
        <v>6.5517241379310365E-2</v>
      </c>
      <c r="KN42" s="117">
        <f t="shared" si="224"/>
        <v>9.9009900990099098E-2</v>
      </c>
      <c r="KO42" s="117">
        <f t="shared" si="224"/>
        <v>8.6538461538461453E-2</v>
      </c>
      <c r="KP42" s="117">
        <f t="shared" si="224"/>
        <v>1.8003273322422242E-2</v>
      </c>
      <c r="KQ42" s="117">
        <f t="shared" si="224"/>
        <v>6.7327550598926145E-2</v>
      </c>
      <c r="KS42" s="116" t="s">
        <v>31</v>
      </c>
      <c r="KT42" s="117">
        <f t="shared" ref="KT42:KX48" si="225">KT9/KM9-1</f>
        <v>5.1779935275080957E-2</v>
      </c>
      <c r="KU42" s="117">
        <f t="shared" si="225"/>
        <v>-3.6036036036036001E-2</v>
      </c>
      <c r="KV42" s="117">
        <f t="shared" si="225"/>
        <v>-4.71976401179941E-2</v>
      </c>
      <c r="KW42" s="117">
        <f t="shared" si="225"/>
        <v>6.2700964630225009E-2</v>
      </c>
      <c r="KX42" s="117">
        <f t="shared" si="225"/>
        <v>5.804953560371473E-3</v>
      </c>
      <c r="KZ42" s="116" t="s">
        <v>31</v>
      </c>
      <c r="LA42" s="117">
        <f t="shared" ref="LA42:LE48" si="226">LA9/KT9-1</f>
        <v>6.615384615384623E-2</v>
      </c>
      <c r="LB42" s="214">
        <f t="shared" si="226"/>
        <v>0.12461059190031154</v>
      </c>
      <c r="LC42" s="214">
        <f t="shared" si="226"/>
        <v>0.12538699690402466</v>
      </c>
      <c r="LD42" s="214">
        <f t="shared" si="226"/>
        <v>7.1104387291981874E-2</v>
      </c>
      <c r="LE42" s="214">
        <f t="shared" si="226"/>
        <v>9.6575606002308634E-2</v>
      </c>
      <c r="LF42" s="557"/>
      <c r="LG42" s="116" t="s">
        <v>31</v>
      </c>
      <c r="LH42" s="214">
        <f t="shared" ref="LH42:LL48" si="227">LH9/LA9-1</f>
        <v>7.2150072150072297E-3</v>
      </c>
      <c r="LI42" s="214">
        <f t="shared" si="227"/>
        <v>-2.9085872576177341E-2</v>
      </c>
      <c r="LJ42" s="214">
        <f t="shared" si="227"/>
        <v>-4.1265474552957371E-2</v>
      </c>
      <c r="LK42" s="214">
        <f t="shared" si="227"/>
        <v>-3.9548022598870025E-2</v>
      </c>
      <c r="LL42" s="214">
        <f t="shared" si="227"/>
        <v>-2.5964912280701746E-2</v>
      </c>
      <c r="LM42" s="557"/>
      <c r="LN42" s="116" t="s">
        <v>31</v>
      </c>
      <c r="LO42" s="214">
        <f t="shared" ref="LO42:LS48" si="228">LO9/LH9-1</f>
        <v>-2.5900000000000034E-2</v>
      </c>
      <c r="LP42" s="214">
        <f t="shared" si="228"/>
        <v>-3.9999999999995595E-4</v>
      </c>
      <c r="LQ42" s="214">
        <f t="shared" si="228"/>
        <v>1.9699999999999829E-2</v>
      </c>
      <c r="LR42" s="214">
        <f t="shared" si="228"/>
        <v>3.0000000000000027E-2</v>
      </c>
      <c r="LS42" s="214">
        <f t="shared" si="228"/>
        <v>5.6816642651296156E-3</v>
      </c>
      <c r="LT42" s="557"/>
      <c r="LU42" s="116" t="s">
        <v>31</v>
      </c>
      <c r="LV42" s="214">
        <f t="shared" ref="LV42:LV48" si="229">LV9/LO9-1</f>
        <v>5.832499999999996E-2</v>
      </c>
      <c r="LW42" s="214">
        <f t="shared" ref="LW42:LW48" si="230">LW9/LP9-1</f>
        <v>5.8325000000000182E-2</v>
      </c>
      <c r="LX42" s="214">
        <f t="shared" ref="LX42:LX48" si="231">LX9/LQ9-1</f>
        <v>5.8325000000000182E-2</v>
      </c>
      <c r="LY42" s="214">
        <f t="shared" ref="LY42:LY48" si="232">LY9/LR9-1</f>
        <v>5.8325000000000182E-2</v>
      </c>
      <c r="LZ42" s="214">
        <f t="shared" ref="LZ42:LZ48" si="233">LZ9/LS9-1</f>
        <v>5.8325000000000182E-2</v>
      </c>
      <c r="MA42" s="557"/>
      <c r="MB42" s="116" t="s">
        <v>31</v>
      </c>
      <c r="MC42" s="214">
        <f t="shared" ref="MC42:MC48" si="234">MC9/LV9-1</f>
        <v>5.8312499999999767E-2</v>
      </c>
      <c r="MD42" s="214">
        <f t="shared" ref="MD42:MD48" si="235">MD9/LW9-1</f>
        <v>5.5749999999999744E-2</v>
      </c>
      <c r="ME42" s="214">
        <f t="shared" ref="ME42:ME48" si="236">ME9/LX9-1</f>
        <v>5.062499999999992E-2</v>
      </c>
      <c r="MF42" s="214">
        <f t="shared" ref="MF42:MF48" si="237">MF9/LY9-1</f>
        <v>4.5500000000000096E-2</v>
      </c>
      <c r="MG42" s="214">
        <f t="shared" ref="MG42:MG48" si="238">MG9/LZ9-1</f>
        <v>5.2497837834052374E-2</v>
      </c>
      <c r="MH42" s="557"/>
    </row>
    <row r="43" spans="1:346" s="37" customFormat="1" ht="13.15" x14ac:dyDescent="0.4">
      <c r="A43" s="100"/>
      <c r="B43" s="116" t="s">
        <v>141</v>
      </c>
      <c r="C43" s="117"/>
      <c r="D43" s="117"/>
      <c r="E43" s="117"/>
      <c r="F43" s="117"/>
      <c r="G43" s="117"/>
      <c r="H43" s="117"/>
      <c r="I43" s="117"/>
      <c r="J43" s="117"/>
      <c r="K43" s="117"/>
      <c r="L43" s="117"/>
      <c r="M43" s="117"/>
      <c r="N43" s="117">
        <f t="shared" si="151"/>
        <v>7.547169811320753E-2</v>
      </c>
      <c r="O43" s="117">
        <f t="shared" si="152"/>
        <v>4.912280701754379E-2</v>
      </c>
      <c r="P43" s="117">
        <f t="shared" si="153"/>
        <v>-1.0033444816053505E-2</v>
      </c>
      <c r="Q43" s="117">
        <f t="shared" si="154"/>
        <v>3.3783783783782884E-3</v>
      </c>
      <c r="R43" s="117">
        <f t="shared" si="155"/>
        <v>0.10101010101010099</v>
      </c>
      <c r="S43" s="117">
        <f t="shared" si="156"/>
        <v>-2.752293577981646E-2</v>
      </c>
      <c r="T43" s="117">
        <f t="shared" si="157"/>
        <v>5.6603773584905648E-2</v>
      </c>
      <c r="U43" s="117">
        <f t="shared" si="158"/>
        <v>5.9523809523809312E-3</v>
      </c>
      <c r="V43" s="117">
        <f t="shared" si="159"/>
        <v>2.6627218934911268E-2</v>
      </c>
      <c r="W43" s="117">
        <f t="shared" si="160"/>
        <v>6.6282420749279591E-2</v>
      </c>
      <c r="X43" s="117">
        <f t="shared" si="161"/>
        <v>0.18378378378378368</v>
      </c>
      <c r="Y43" s="117">
        <f t="shared" si="162"/>
        <v>0.4452054794520548</v>
      </c>
      <c r="Z43" s="117">
        <f t="shared" si="163"/>
        <v>4.5813586097946279E-2</v>
      </c>
      <c r="AA43" s="117">
        <f t="shared" si="164"/>
        <v>-2.1148036253776481E-2</v>
      </c>
      <c r="AB43" s="117">
        <f t="shared" si="165"/>
        <v>0.24228395061728403</v>
      </c>
      <c r="AC43" s="117">
        <f t="shared" si="166"/>
        <v>0.10559006211180133</v>
      </c>
      <c r="AD43" s="117">
        <f t="shared" si="167"/>
        <v>0.11123595505617967</v>
      </c>
      <c r="AE43" s="117">
        <f t="shared" si="168"/>
        <v>0.17087967644084934</v>
      </c>
      <c r="AF43" s="117">
        <f t="shared" si="169"/>
        <v>-0.15025906735751293</v>
      </c>
      <c r="AG43" s="117">
        <f t="shared" si="170"/>
        <v>0.31199186991869921</v>
      </c>
      <c r="AH43" s="117">
        <f t="shared" si="171"/>
        <v>-7.5910147172734366E-2</v>
      </c>
      <c r="AI43" s="117">
        <f t="shared" si="172"/>
        <v>9.0528080469404859E-2</v>
      </c>
      <c r="AJ43" s="117">
        <f t="shared" si="173"/>
        <v>7.6863950807071202E-3</v>
      </c>
      <c r="AK43" s="117">
        <f t="shared" si="174"/>
        <v>-2.3646071700991644E-2</v>
      </c>
      <c r="AL43" s="117">
        <f t="shared" si="175"/>
        <v>1.5624999999999112E-3</v>
      </c>
      <c r="AM43" s="117">
        <f t="shared" si="176"/>
        <v>8.8143525741029682E-2</v>
      </c>
      <c r="AN43" s="117">
        <f t="shared" si="177"/>
        <v>-3.5842293906810041E-2</v>
      </c>
      <c r="AO43" s="117">
        <f t="shared" si="178"/>
        <v>-4.386617100371748E-2</v>
      </c>
      <c r="AP43" s="117">
        <f t="shared" si="179"/>
        <v>-3.3437013996889586E-2</v>
      </c>
      <c r="AQ43" s="117">
        <f t="shared" si="180"/>
        <v>3.0571198712791681E-2</v>
      </c>
      <c r="AR43" s="117">
        <f t="shared" si="181"/>
        <v>1.3270882123341154E-2</v>
      </c>
      <c r="AS43" s="117">
        <f t="shared" si="182"/>
        <v>6.7796610169491567E-2</v>
      </c>
      <c r="AT43" s="117">
        <f t="shared" si="183"/>
        <v>5.4112554112554223E-2</v>
      </c>
      <c r="AU43" s="117">
        <f t="shared" si="184"/>
        <v>0.13894592744695422</v>
      </c>
      <c r="AV43" s="117">
        <f t="shared" si="185"/>
        <v>-4.2067307692307265E-3</v>
      </c>
      <c r="AW43" s="117">
        <f t="shared" si="186"/>
        <v>-7.8455039227519618E-3</v>
      </c>
      <c r="AX43" s="117">
        <f t="shared" si="187"/>
        <v>-1.5815085158150888E-2</v>
      </c>
      <c r="AY43" s="117">
        <f t="shared" si="188"/>
        <v>2.1531520395547954E-3</v>
      </c>
      <c r="AZ43" s="117">
        <f t="shared" si="189"/>
        <v>5.3187500000000165E-2</v>
      </c>
      <c r="BA43" s="117">
        <f t="shared" si="190"/>
        <v>4.5500000000000096E-2</v>
      </c>
      <c r="BB43" s="117"/>
      <c r="BC43" s="117"/>
      <c r="BD43" s="117"/>
      <c r="BE43" s="117"/>
      <c r="BF43" s="117"/>
      <c r="BG43" s="117"/>
      <c r="BH43" s="117"/>
      <c r="BI43" s="117"/>
      <c r="BJ43" s="117"/>
      <c r="BK43" s="117"/>
      <c r="BL43" s="117"/>
      <c r="BM43" s="117"/>
      <c r="BO43" s="116" t="s">
        <v>141</v>
      </c>
      <c r="BP43" s="117">
        <f t="shared" si="191"/>
        <v>-0.71713147410358569</v>
      </c>
      <c r="BQ43" s="117">
        <f t="shared" si="191"/>
        <v>-0.73359073359073357</v>
      </c>
      <c r="BR43" s="117">
        <f t="shared" si="191"/>
        <v>-0.73662551440329216</v>
      </c>
      <c r="BS43" s="117">
        <f t="shared" si="191"/>
        <v>-0.69083969465648853</v>
      </c>
      <c r="BT43" s="117">
        <f t="shared" si="191"/>
        <v>7.547169811320753E-2</v>
      </c>
      <c r="BV43" s="116" t="s">
        <v>141</v>
      </c>
      <c r="BW43" s="117">
        <f t="shared" si="192"/>
        <v>0.19718309859154926</v>
      </c>
      <c r="BX43" s="117">
        <f t="shared" si="192"/>
        <v>0</v>
      </c>
      <c r="BY43" s="117">
        <f t="shared" si="192"/>
        <v>1.5625E-2</v>
      </c>
      <c r="BZ43" s="117">
        <f t="shared" si="192"/>
        <v>-1.2345679012345734E-2</v>
      </c>
      <c r="CA43" s="117">
        <f t="shared" si="192"/>
        <v>4.912280701754379E-2</v>
      </c>
      <c r="CC43" s="116" t="s">
        <v>141</v>
      </c>
      <c r="CD43" s="117">
        <f t="shared" si="193"/>
        <v>-8.2352941176470629E-2</v>
      </c>
      <c r="CE43" s="117">
        <f t="shared" si="193"/>
        <v>0</v>
      </c>
      <c r="CF43" s="117">
        <f t="shared" si="193"/>
        <v>0.10769230769230775</v>
      </c>
      <c r="CG43" s="117">
        <f t="shared" si="193"/>
        <v>-3.7499999999999978E-2</v>
      </c>
      <c r="CH43" s="117">
        <f t="shared" si="193"/>
        <v>-1.0033444816053505E-2</v>
      </c>
      <c r="CJ43" s="116" t="s">
        <v>141</v>
      </c>
      <c r="CK43" s="117">
        <f t="shared" si="194"/>
        <v>-5.1282051282051322E-2</v>
      </c>
      <c r="CL43" s="117">
        <f t="shared" si="194"/>
        <v>1.449275362318847E-2</v>
      </c>
      <c r="CM43" s="117">
        <f t="shared" si="194"/>
        <v>-5.555555555555558E-2</v>
      </c>
      <c r="CN43" s="117">
        <f t="shared" si="194"/>
        <v>0.10389610389610393</v>
      </c>
      <c r="CO43" s="117">
        <f t="shared" si="194"/>
        <v>3.3783783783782884E-3</v>
      </c>
      <c r="CQ43" s="116" t="s">
        <v>141</v>
      </c>
      <c r="CR43" s="117">
        <f t="shared" si="195"/>
        <v>0.12162162162162171</v>
      </c>
      <c r="CS43" s="117">
        <f t="shared" si="195"/>
        <v>0.11428571428571432</v>
      </c>
      <c r="CT43" s="117">
        <f t="shared" si="195"/>
        <v>0.10294117647058831</v>
      </c>
      <c r="CU43" s="117">
        <f t="shared" si="195"/>
        <v>7.0588235294117618E-2</v>
      </c>
      <c r="CV43" s="117">
        <f t="shared" si="195"/>
        <v>0.10101010101010099</v>
      </c>
      <c r="CX43" s="116" t="s">
        <v>141</v>
      </c>
      <c r="CY43" s="117">
        <f t="shared" si="196"/>
        <v>-1.2048192771084376E-2</v>
      </c>
      <c r="CZ43" s="117">
        <f t="shared" si="196"/>
        <v>3.8461538461538547E-2</v>
      </c>
      <c r="DA43" s="117">
        <f t="shared" si="196"/>
        <v>-9.3333333333333379E-2</v>
      </c>
      <c r="DB43" s="117">
        <f t="shared" si="196"/>
        <v>-4.3956043956043911E-2</v>
      </c>
      <c r="DC43" s="117">
        <f t="shared" si="196"/>
        <v>-2.752293577981646E-2</v>
      </c>
      <c r="DE43" s="116" t="s">
        <v>141</v>
      </c>
      <c r="DF43" s="117">
        <f t="shared" si="197"/>
        <v>2.4390243902439046E-2</v>
      </c>
      <c r="DG43" s="117">
        <f t="shared" si="197"/>
        <v>2.4691358024691468E-2</v>
      </c>
      <c r="DH43" s="117">
        <f t="shared" si="197"/>
        <v>0.16176470588235303</v>
      </c>
      <c r="DI43" s="117">
        <f t="shared" si="197"/>
        <v>3.4482758620689724E-2</v>
      </c>
      <c r="DJ43" s="117">
        <f t="shared" si="197"/>
        <v>5.6603773584905648E-2</v>
      </c>
      <c r="DL43" s="116" t="s">
        <v>141</v>
      </c>
      <c r="DM43" s="117">
        <f t="shared" si="198"/>
        <v>5.9523809523809534E-2</v>
      </c>
      <c r="DN43" s="117">
        <f t="shared" si="198"/>
        <v>7.2289156626506035E-2</v>
      </c>
      <c r="DO43" s="117">
        <f t="shared" si="198"/>
        <v>-0.15189873417721522</v>
      </c>
      <c r="DP43" s="117">
        <f t="shared" si="198"/>
        <v>3.3333333333333437E-2</v>
      </c>
      <c r="DQ43" s="117">
        <f t="shared" si="198"/>
        <v>5.9523809523809312E-3</v>
      </c>
      <c r="DS43" s="116" t="s">
        <v>141</v>
      </c>
      <c r="DT43" s="117">
        <f t="shared" si="199"/>
        <v>3.3707865168539408E-2</v>
      </c>
      <c r="DU43" s="117">
        <f t="shared" si="199"/>
        <v>-1.1235955056179803E-2</v>
      </c>
      <c r="DV43" s="117">
        <f t="shared" si="199"/>
        <v>0.10447761194029859</v>
      </c>
      <c r="DW43" s="117">
        <f t="shared" si="199"/>
        <v>0</v>
      </c>
      <c r="DX43" s="117">
        <f t="shared" si="199"/>
        <v>2.6627218934911268E-2</v>
      </c>
      <c r="DZ43" s="116" t="s">
        <v>141</v>
      </c>
      <c r="EA43" s="117">
        <f t="shared" si="200"/>
        <v>-1.0869565217391353E-2</v>
      </c>
      <c r="EB43" s="117">
        <f t="shared" si="200"/>
        <v>-1.1363636363636354E-2</v>
      </c>
      <c r="EC43" s="117">
        <f t="shared" si="200"/>
        <v>0.17567567567567566</v>
      </c>
      <c r="ED43" s="117">
        <f t="shared" si="200"/>
        <v>0.12903225806451624</v>
      </c>
      <c r="EE43" s="117">
        <f t="shared" si="200"/>
        <v>6.6282420749279591E-2</v>
      </c>
      <c r="EG43" s="116" t="s">
        <v>141</v>
      </c>
      <c r="EH43" s="117">
        <f t="shared" si="201"/>
        <v>9.8901098901098994E-2</v>
      </c>
      <c r="EI43" s="117">
        <f t="shared" si="201"/>
        <v>0.14942528735632177</v>
      </c>
      <c r="EJ43" s="117">
        <f t="shared" si="201"/>
        <v>0.28735632183908044</v>
      </c>
      <c r="EK43" s="117">
        <f t="shared" si="201"/>
        <v>0.19999999999999996</v>
      </c>
      <c r="EL43" s="117">
        <f t="shared" si="201"/>
        <v>0.18378378378378368</v>
      </c>
      <c r="EN43" s="116" t="s">
        <v>141</v>
      </c>
      <c r="EO43" s="117">
        <f t="shared" si="202"/>
        <v>0.57000000000000006</v>
      </c>
      <c r="EP43" s="117">
        <f t="shared" si="202"/>
        <v>0.53</v>
      </c>
      <c r="EQ43" s="117">
        <f t="shared" si="202"/>
        <v>0.375</v>
      </c>
      <c r="ER43" s="117">
        <f t="shared" si="202"/>
        <v>0.34126984126984117</v>
      </c>
      <c r="ES43" s="117">
        <f t="shared" si="202"/>
        <v>0.4452054794520548</v>
      </c>
      <c r="EU43" s="116" t="s">
        <v>141</v>
      </c>
      <c r="EV43" s="117">
        <f t="shared" si="203"/>
        <v>0.10828025477707004</v>
      </c>
      <c r="EW43" s="117">
        <f t="shared" si="203"/>
        <v>8.4967320261437829E-2</v>
      </c>
      <c r="EX43" s="117">
        <f t="shared" si="203"/>
        <v>1.9480519480519431E-2</v>
      </c>
      <c r="EY43" s="117">
        <f t="shared" si="203"/>
        <v>-2.3668639053254448E-2</v>
      </c>
      <c r="EZ43" s="117">
        <f t="shared" si="203"/>
        <v>4.5813586097946279E-2</v>
      </c>
      <c r="FB43" s="116" t="s">
        <v>141</v>
      </c>
      <c r="FC43" s="117">
        <f t="shared" si="204"/>
        <v>-4.5977011494252928E-2</v>
      </c>
      <c r="FD43" s="117">
        <f t="shared" si="204"/>
        <v>-4.216867469879515E-2</v>
      </c>
      <c r="FE43" s="117">
        <f t="shared" si="204"/>
        <v>-1.9108280254777066E-2</v>
      </c>
      <c r="FF43" s="117">
        <f t="shared" si="204"/>
        <v>2.4242424242424176E-2</v>
      </c>
      <c r="FG43" s="117">
        <f t="shared" si="204"/>
        <v>-2.1148036253776481E-2</v>
      </c>
      <c r="FI43" s="116" t="s">
        <v>141</v>
      </c>
      <c r="FJ43" s="117">
        <f t="shared" si="205"/>
        <v>1.2048192771084265E-2</v>
      </c>
      <c r="FK43" s="117">
        <f t="shared" si="205"/>
        <v>0.34591194968553451</v>
      </c>
      <c r="FL43" s="117">
        <f t="shared" si="205"/>
        <v>0.33116883116883122</v>
      </c>
      <c r="FM43" s="117">
        <f t="shared" si="205"/>
        <v>0.28994082840236679</v>
      </c>
      <c r="FN43" s="117">
        <f t="shared" si="205"/>
        <v>0.24228395061728403</v>
      </c>
      <c r="FP43" s="116" t="s">
        <v>141</v>
      </c>
      <c r="FQ43" s="117">
        <f t="shared" si="206"/>
        <v>0.3035714285714286</v>
      </c>
      <c r="FR43" s="117">
        <f t="shared" si="206"/>
        <v>2.3364485981308469E-2</v>
      </c>
      <c r="FS43" s="117">
        <f t="shared" si="206"/>
        <v>2.4390243902439046E-2</v>
      </c>
      <c r="FT43" s="117">
        <f t="shared" si="206"/>
        <v>0.11009174311926606</v>
      </c>
      <c r="FU43" s="117">
        <f t="shared" si="206"/>
        <v>0.10559006211180133</v>
      </c>
      <c r="FW43" s="116" t="s">
        <v>141</v>
      </c>
      <c r="FX43" s="117">
        <f t="shared" si="207"/>
        <v>0.10502283105022836</v>
      </c>
      <c r="FY43" s="117">
        <f t="shared" si="207"/>
        <v>0.10502283105022836</v>
      </c>
      <c r="FZ43" s="117">
        <f t="shared" si="207"/>
        <v>0.15714285714285725</v>
      </c>
      <c r="GA43" s="117">
        <f t="shared" si="207"/>
        <v>8.2644628099173501E-2</v>
      </c>
      <c r="GB43" s="117">
        <f t="shared" si="207"/>
        <v>0.11123595505617967</v>
      </c>
      <c r="GD43" s="116" t="s">
        <v>141</v>
      </c>
      <c r="GE43" s="117">
        <f t="shared" si="208"/>
        <v>0.13636363636363646</v>
      </c>
      <c r="GF43" s="117">
        <f t="shared" si="208"/>
        <v>0.17355371900826455</v>
      </c>
      <c r="GG43" s="117">
        <f t="shared" si="208"/>
        <v>0.2304526748971194</v>
      </c>
      <c r="GH43" s="117">
        <f t="shared" si="208"/>
        <v>0.14503816793893121</v>
      </c>
      <c r="GI43" s="117">
        <f t="shared" si="208"/>
        <v>0.17087967644084934</v>
      </c>
      <c r="GK43" s="116" t="s">
        <v>141</v>
      </c>
      <c r="GL43" s="117">
        <f t="shared" si="209"/>
        <v>-0.11636363636363634</v>
      </c>
      <c r="GM43" s="117">
        <f t="shared" si="209"/>
        <v>-9.1549295774647876E-2</v>
      </c>
      <c r="GN43" s="117">
        <f t="shared" si="209"/>
        <v>-0.36454849498327757</v>
      </c>
      <c r="GO43" s="117">
        <f t="shared" si="209"/>
        <v>-2.3333333333333317E-2</v>
      </c>
      <c r="GP43" s="117">
        <f t="shared" si="209"/>
        <v>-0.15025906735751293</v>
      </c>
      <c r="GR43" s="116" t="s">
        <v>141</v>
      </c>
      <c r="GS43" s="117">
        <f t="shared" si="210"/>
        <v>0.23456790123456783</v>
      </c>
      <c r="GT43" s="117">
        <f t="shared" si="210"/>
        <v>0.22480620155038755</v>
      </c>
      <c r="GU43" s="117">
        <f t="shared" si="210"/>
        <v>0.74210526315789482</v>
      </c>
      <c r="GV43" s="117">
        <f t="shared" si="210"/>
        <v>0.1740614334470989</v>
      </c>
      <c r="GW43" s="117">
        <f t="shared" si="210"/>
        <v>0.31199186991869921</v>
      </c>
      <c r="GY43" s="116" t="s">
        <v>141</v>
      </c>
      <c r="GZ43" s="117">
        <f t="shared" si="211"/>
        <v>3.0000000000000027E-2</v>
      </c>
      <c r="HA43" s="117">
        <f t="shared" si="211"/>
        <v>-7.5949367088607556E-2</v>
      </c>
      <c r="HB43" s="117">
        <f t="shared" si="211"/>
        <v>-0.15407854984894265</v>
      </c>
      <c r="HC43" s="117">
        <f t="shared" si="211"/>
        <v>-9.3023255813953543E-2</v>
      </c>
      <c r="HD43" s="117">
        <f t="shared" si="211"/>
        <v>-7.5910147172734366E-2</v>
      </c>
      <c r="HF43" s="116" t="s">
        <v>141</v>
      </c>
      <c r="HG43" s="117">
        <f t="shared" si="212"/>
        <v>5.5016181229773364E-2</v>
      </c>
      <c r="HH43" s="117">
        <f t="shared" si="212"/>
        <v>7.5342465753424737E-2</v>
      </c>
      <c r="HI43" s="117">
        <f t="shared" si="212"/>
        <v>0.10000000000000009</v>
      </c>
      <c r="HJ43" s="117">
        <f t="shared" si="212"/>
        <v>0.13141025641025639</v>
      </c>
      <c r="HK43" s="117">
        <f t="shared" si="212"/>
        <v>9.0528080469404859E-2</v>
      </c>
      <c r="HM43" s="116" t="s">
        <v>141</v>
      </c>
      <c r="HN43" s="117">
        <f t="shared" si="213"/>
        <v>-9.2024539877300082E-3</v>
      </c>
      <c r="HO43" s="117">
        <f t="shared" si="213"/>
        <v>9.2356687898089262E-2</v>
      </c>
      <c r="HP43" s="117">
        <f t="shared" si="213"/>
        <v>-3.2467532467532423E-2</v>
      </c>
      <c r="HQ43" s="117">
        <f t="shared" si="213"/>
        <v>-1.6997167138810165E-2</v>
      </c>
      <c r="HR43" s="117">
        <f t="shared" si="213"/>
        <v>7.6863950807071202E-3</v>
      </c>
      <c r="HT43" s="116" t="s">
        <v>141</v>
      </c>
      <c r="HU43" s="117">
        <f t="shared" si="214"/>
        <v>5.8823529411764719E-2</v>
      </c>
      <c r="HV43" s="117">
        <f t="shared" si="214"/>
        <v>-4.081632653061229E-2</v>
      </c>
      <c r="HW43" s="117">
        <f t="shared" si="214"/>
        <v>-3.6912751677852351E-2</v>
      </c>
      <c r="HX43" s="117">
        <f t="shared" si="214"/>
        <v>-7.2046109510086498E-2</v>
      </c>
      <c r="HY43" s="117">
        <f t="shared" si="214"/>
        <v>-2.3646071700991644E-2</v>
      </c>
      <c r="IA43" s="116" t="s">
        <v>141</v>
      </c>
      <c r="IB43" s="117">
        <f t="shared" si="215"/>
        <v>-9.6491228070175405E-2</v>
      </c>
      <c r="IC43" s="117">
        <f t="shared" si="215"/>
        <v>-3.6474164133738607E-2</v>
      </c>
      <c r="ID43" s="117">
        <f t="shared" si="215"/>
        <v>0</v>
      </c>
      <c r="IE43" s="117">
        <f t="shared" si="215"/>
        <v>0.14596273291925477</v>
      </c>
      <c r="IF43" s="117">
        <f t="shared" si="215"/>
        <v>1.5624999999999112E-3</v>
      </c>
      <c r="IH43" s="116" t="s">
        <v>141</v>
      </c>
      <c r="II43" s="117">
        <f t="shared" si="216"/>
        <v>0.12944983818770228</v>
      </c>
      <c r="IJ43" s="117">
        <f t="shared" si="216"/>
        <v>0.11987381703470024</v>
      </c>
      <c r="IK43" s="117">
        <f t="shared" si="216"/>
        <v>0.12891986062717775</v>
      </c>
      <c r="IL43" s="117">
        <f t="shared" si="216"/>
        <v>-5.4200542005420349E-3</v>
      </c>
      <c r="IM43" s="117">
        <f t="shared" si="216"/>
        <v>8.8143525741029682E-2</v>
      </c>
      <c r="IO43" s="116" t="s">
        <v>141</v>
      </c>
      <c r="IP43" s="117">
        <f t="shared" si="217"/>
        <v>1.7191977077363862E-2</v>
      </c>
      <c r="IQ43" s="117">
        <f t="shared" si="217"/>
        <v>-5.9154929577464821E-2</v>
      </c>
      <c r="IR43" s="117">
        <f t="shared" si="217"/>
        <v>-9.2592592592593004E-3</v>
      </c>
      <c r="IS43" s="117">
        <f t="shared" si="217"/>
        <v>-8.719346049046317E-2</v>
      </c>
      <c r="IT43" s="117">
        <f t="shared" si="217"/>
        <v>-3.5842293906810041E-2</v>
      </c>
      <c r="IV43" s="116" t="s">
        <v>141</v>
      </c>
      <c r="IW43" s="117">
        <f t="shared" si="218"/>
        <v>-9.0140845070422526E-2</v>
      </c>
      <c r="IX43" s="117">
        <f t="shared" si="218"/>
        <v>-8.083832335329344E-2</v>
      </c>
      <c r="IY43" s="117">
        <f t="shared" si="218"/>
        <v>-8.0996884735202501E-2</v>
      </c>
      <c r="IZ43" s="117">
        <f t="shared" si="218"/>
        <v>7.7611940298507376E-2</v>
      </c>
      <c r="JA43" s="117">
        <f t="shared" si="218"/>
        <v>-4.386617100371748E-2</v>
      </c>
      <c r="JC43" s="116" t="s">
        <v>141</v>
      </c>
      <c r="JD43" s="117">
        <f t="shared" si="219"/>
        <v>2.7863777089783381E-2</v>
      </c>
      <c r="JE43" s="117">
        <f t="shared" si="219"/>
        <v>4.5602605863192203E-2</v>
      </c>
      <c r="JF43" s="117">
        <f t="shared" si="219"/>
        <v>-8.8135593220339037E-2</v>
      </c>
      <c r="JG43" s="117">
        <f t="shared" si="219"/>
        <v>-0.11080332409972304</v>
      </c>
      <c r="JH43" s="117">
        <f t="shared" si="219"/>
        <v>-3.3437013996889586E-2</v>
      </c>
      <c r="JJ43" s="116" t="s">
        <v>141</v>
      </c>
      <c r="JK43" s="117">
        <f t="shared" si="220"/>
        <v>-7.5301204819277157E-2</v>
      </c>
      <c r="JL43" s="117">
        <f t="shared" si="220"/>
        <v>1.8691588785046731E-2</v>
      </c>
      <c r="JM43" s="117">
        <f t="shared" si="220"/>
        <v>0.11524163568773238</v>
      </c>
      <c r="JN43" s="117">
        <f t="shared" si="220"/>
        <v>8.0996884735202501E-2</v>
      </c>
      <c r="JO43" s="117">
        <f t="shared" si="220"/>
        <v>3.0571198712791681E-2</v>
      </c>
      <c r="JQ43" s="116" t="s">
        <v>141</v>
      </c>
      <c r="JR43" s="117">
        <f t="shared" si="221"/>
        <v>0.12052117263843654</v>
      </c>
      <c r="JS43" s="117">
        <f t="shared" si="221"/>
        <v>9.4801223241590238E-2</v>
      </c>
      <c r="JT43" s="117">
        <f t="shared" si="221"/>
        <v>-1.0000000000000009E-2</v>
      </c>
      <c r="JU43" s="117">
        <f t="shared" si="221"/>
        <v>-0.13832853025936598</v>
      </c>
      <c r="JV43" s="117">
        <f t="shared" si="221"/>
        <v>1.3270882123341154E-2</v>
      </c>
      <c r="JX43" s="116" t="s">
        <v>141</v>
      </c>
      <c r="JY43" s="117">
        <f t="shared" si="222"/>
        <v>6.1046511627907085E-2</v>
      </c>
      <c r="JZ43" s="117">
        <f t="shared" si="222"/>
        <v>-0.13128491620111726</v>
      </c>
      <c r="KA43" s="117">
        <f t="shared" si="222"/>
        <v>0.12794612794612803</v>
      </c>
      <c r="KB43" s="117">
        <f t="shared" si="222"/>
        <v>0.25418060200668902</v>
      </c>
      <c r="KC43" s="117">
        <f t="shared" si="222"/>
        <v>6.7796610169491567E-2</v>
      </c>
      <c r="KE43" s="116" t="s">
        <v>141</v>
      </c>
      <c r="KF43" s="117">
        <f t="shared" si="223"/>
        <v>-4.3835616438356206E-2</v>
      </c>
      <c r="KG43" s="117">
        <f t="shared" si="223"/>
        <v>0.18971061093247599</v>
      </c>
      <c r="KH43" s="117">
        <f t="shared" si="223"/>
        <v>2.3880597014925398E-2</v>
      </c>
      <c r="KI43" s="117">
        <f t="shared" si="223"/>
        <v>6.4000000000000057E-2</v>
      </c>
      <c r="KJ43" s="117">
        <f t="shared" si="223"/>
        <v>5.4112554112554223E-2</v>
      </c>
      <c r="KL43" s="116" t="s">
        <v>141</v>
      </c>
      <c r="KM43" s="117">
        <f t="shared" si="224"/>
        <v>0.10888252148997135</v>
      </c>
      <c r="KN43" s="117">
        <f t="shared" si="224"/>
        <v>0.11351351351351346</v>
      </c>
      <c r="KO43" s="117">
        <f t="shared" si="224"/>
        <v>0.24781341107871713</v>
      </c>
      <c r="KP43" s="117">
        <f t="shared" si="224"/>
        <v>9.5238095238095344E-2</v>
      </c>
      <c r="KQ43" s="117">
        <f t="shared" si="224"/>
        <v>0.13894592744695422</v>
      </c>
      <c r="KS43" s="116" t="s">
        <v>141</v>
      </c>
      <c r="KT43" s="117">
        <f t="shared" si="225"/>
        <v>0.12919896640826867</v>
      </c>
      <c r="KU43" s="117">
        <f t="shared" si="225"/>
        <v>7.2815533980583602E-3</v>
      </c>
      <c r="KV43" s="117">
        <f t="shared" si="225"/>
        <v>-0.12149532710280375</v>
      </c>
      <c r="KW43" s="117">
        <f t="shared" si="225"/>
        <v>-1.8306636155606459E-2</v>
      </c>
      <c r="KX43" s="117">
        <f t="shared" si="225"/>
        <v>-4.2067307692307265E-3</v>
      </c>
      <c r="KZ43" s="116" t="s">
        <v>141</v>
      </c>
      <c r="LA43" s="117">
        <f t="shared" si="226"/>
        <v>-6.8649885583524028E-2</v>
      </c>
      <c r="LB43" s="214">
        <f t="shared" si="226"/>
        <v>-2.168674698795181E-2</v>
      </c>
      <c r="LC43" s="214">
        <f t="shared" si="226"/>
        <v>0.1063829787234043</v>
      </c>
      <c r="LD43" s="214">
        <f t="shared" si="226"/>
        <v>-3.2634032634032639E-2</v>
      </c>
      <c r="LE43" s="214">
        <f t="shared" si="226"/>
        <v>-7.8455039227519618E-3</v>
      </c>
      <c r="LF43" s="557"/>
      <c r="LG43" s="116" t="s">
        <v>141</v>
      </c>
      <c r="LH43" s="214">
        <f t="shared" si="227"/>
        <v>2.4570024570025328E-3</v>
      </c>
      <c r="LI43" s="214">
        <f t="shared" si="227"/>
        <v>2.9556650246305383E-2</v>
      </c>
      <c r="LJ43" s="214">
        <f t="shared" si="227"/>
        <v>-8.1730769230769273E-2</v>
      </c>
      <c r="LK43" s="214">
        <f t="shared" si="227"/>
        <v>-1.2048192771084376E-2</v>
      </c>
      <c r="LL43" s="214">
        <f t="shared" si="227"/>
        <v>-1.5815085158150888E-2</v>
      </c>
      <c r="LM43" s="557"/>
      <c r="LN43" s="116" t="s">
        <v>141</v>
      </c>
      <c r="LO43" s="214">
        <f t="shared" si="228"/>
        <v>-2.2500000000025278E-4</v>
      </c>
      <c r="LP43" s="214">
        <f t="shared" si="228"/>
        <v>-1.5699999999999936E-2</v>
      </c>
      <c r="LQ43" s="214">
        <f t="shared" si="228"/>
        <v>-4.0000000000017799E-4</v>
      </c>
      <c r="LR43" s="214">
        <f t="shared" si="228"/>
        <v>2.50999999999999E-2</v>
      </c>
      <c r="LS43" s="214">
        <f t="shared" si="228"/>
        <v>2.1531520395547954E-3</v>
      </c>
      <c r="LT43" s="557"/>
      <c r="LU43" s="116" t="s">
        <v>141</v>
      </c>
      <c r="LV43" s="214">
        <f t="shared" si="229"/>
        <v>5.3187500000000165E-2</v>
      </c>
      <c r="LW43" s="214">
        <f t="shared" si="230"/>
        <v>5.3187499999999943E-2</v>
      </c>
      <c r="LX43" s="214">
        <f t="shared" si="231"/>
        <v>5.3187500000000165E-2</v>
      </c>
      <c r="LY43" s="214">
        <f t="shared" si="232"/>
        <v>5.3187499999999943E-2</v>
      </c>
      <c r="LZ43" s="214">
        <f t="shared" si="233"/>
        <v>5.3187500000000165E-2</v>
      </c>
      <c r="MA43" s="557"/>
      <c r="MB43" s="116" t="s">
        <v>141</v>
      </c>
      <c r="MC43" s="214">
        <f t="shared" si="234"/>
        <v>4.5499999999999874E-2</v>
      </c>
      <c r="MD43" s="214">
        <f t="shared" si="235"/>
        <v>4.5500000000000096E-2</v>
      </c>
      <c r="ME43" s="214">
        <f t="shared" si="236"/>
        <v>4.5499999999999652E-2</v>
      </c>
      <c r="MF43" s="214">
        <f t="shared" si="237"/>
        <v>4.5499999999999874E-2</v>
      </c>
      <c r="MG43" s="214">
        <f t="shared" si="238"/>
        <v>4.5500000000000096E-2</v>
      </c>
      <c r="MH43" s="557"/>
    </row>
    <row r="44" spans="1:346" s="37" customFormat="1" ht="13.15" x14ac:dyDescent="0.4">
      <c r="A44" s="100"/>
      <c r="B44" s="116" t="s">
        <v>33</v>
      </c>
      <c r="C44" s="117"/>
      <c r="D44" s="117"/>
      <c r="E44" s="117"/>
      <c r="F44" s="117"/>
      <c r="G44" s="117"/>
      <c r="H44" s="117"/>
      <c r="I44" s="117"/>
      <c r="J44" s="117"/>
      <c r="K44" s="117"/>
      <c r="L44" s="117"/>
      <c r="M44" s="117"/>
      <c r="N44" s="117">
        <f t="shared" si="151"/>
        <v>-7.7720207253886064E-2</v>
      </c>
      <c r="O44" s="117">
        <f t="shared" si="152"/>
        <v>-3.9325842696629199E-2</v>
      </c>
      <c r="P44" s="117">
        <f t="shared" si="153"/>
        <v>7.6023391812865437E-2</v>
      </c>
      <c r="Q44" s="117">
        <f t="shared" si="154"/>
        <v>0.12228260869565211</v>
      </c>
      <c r="R44" s="117">
        <f t="shared" si="155"/>
        <v>0.116222760290557</v>
      </c>
      <c r="S44" s="117">
        <f t="shared" si="156"/>
        <v>6.9414316702820056E-2</v>
      </c>
      <c r="T44" s="117">
        <f t="shared" si="157"/>
        <v>2.0283975659229236E-2</v>
      </c>
      <c r="U44" s="117">
        <f t="shared" si="158"/>
        <v>3.3797216699801291E-2</v>
      </c>
      <c r="V44" s="117">
        <f t="shared" si="159"/>
        <v>4.4230769230769296E-2</v>
      </c>
      <c r="W44" s="117">
        <f t="shared" si="160"/>
        <v>-7.3664825046040328E-3</v>
      </c>
      <c r="X44" s="117">
        <f t="shared" si="161"/>
        <v>0.40630797773654925</v>
      </c>
      <c r="Y44" s="117">
        <f t="shared" si="162"/>
        <v>0.14643799472295504</v>
      </c>
      <c r="Z44" s="117">
        <f t="shared" si="163"/>
        <v>-8.6306098964326838E-2</v>
      </c>
      <c r="AA44" s="117">
        <f t="shared" si="164"/>
        <v>6.4231738035264385E-2</v>
      </c>
      <c r="AB44" s="117">
        <f t="shared" si="165"/>
        <v>9.4674556213016903E-3</v>
      </c>
      <c r="AC44" s="117">
        <f t="shared" si="166"/>
        <v>-2.1101992966002348E-2</v>
      </c>
      <c r="AD44" s="117">
        <f t="shared" si="167"/>
        <v>1.0778443113772518E-2</v>
      </c>
      <c r="AE44" s="117">
        <f t="shared" si="168"/>
        <v>3.5545023696681444E-3</v>
      </c>
      <c r="AF44" s="117">
        <f t="shared" si="169"/>
        <v>-9.445100354191216E-3</v>
      </c>
      <c r="AG44" s="117">
        <f t="shared" si="170"/>
        <v>-6.5554231227651916E-2</v>
      </c>
      <c r="AH44" s="117">
        <f t="shared" si="171"/>
        <v>-0.3482142857142857</v>
      </c>
      <c r="AI44" s="117">
        <f t="shared" si="172"/>
        <v>0.5655577299412915</v>
      </c>
      <c r="AJ44" s="117">
        <f t="shared" si="173"/>
        <v>0.16999999999999993</v>
      </c>
      <c r="AK44" s="117">
        <f t="shared" si="174"/>
        <v>0.23290598290598297</v>
      </c>
      <c r="AL44" s="117">
        <f t="shared" si="175"/>
        <v>5.4592720970537245E-2</v>
      </c>
      <c r="AM44" s="117">
        <f t="shared" si="176"/>
        <v>-3.2867707477403085E-3</v>
      </c>
      <c r="AN44" s="117">
        <f t="shared" si="177"/>
        <v>-3.1327287716405583E-2</v>
      </c>
      <c r="AO44" s="117">
        <f t="shared" si="178"/>
        <v>7.3191489361702056E-2</v>
      </c>
      <c r="AP44" s="117">
        <f t="shared" si="179"/>
        <v>-3.7272006344171271E-2</v>
      </c>
      <c r="AQ44" s="117">
        <f t="shared" si="180"/>
        <v>6.4250411861614509E-2</v>
      </c>
      <c r="AR44" s="117">
        <f t="shared" si="181"/>
        <v>4.334365325077405E-2</v>
      </c>
      <c r="AS44" s="117">
        <f t="shared" si="182"/>
        <v>-0.31750741839762608</v>
      </c>
      <c r="AT44" s="117">
        <f t="shared" si="183"/>
        <v>-3.6956521739130443E-2</v>
      </c>
      <c r="AU44" s="117">
        <f t="shared" si="184"/>
        <v>0.18961625282167049</v>
      </c>
      <c r="AV44" s="117">
        <f t="shared" si="185"/>
        <v>0.15654648956356731</v>
      </c>
      <c r="AW44" s="117">
        <f t="shared" si="186"/>
        <v>5.7424118129614232E-3</v>
      </c>
      <c r="AX44" s="117">
        <f t="shared" si="187"/>
        <v>-3.5889070146818969E-2</v>
      </c>
      <c r="AY44" s="117">
        <f t="shared" si="188"/>
        <v>1.649767343485431E-3</v>
      </c>
      <c r="AZ44" s="117">
        <f t="shared" si="189"/>
        <v>5.5749999999999966E-2</v>
      </c>
      <c r="BA44" s="117">
        <f t="shared" si="190"/>
        <v>5.0599999999999978E-2</v>
      </c>
      <c r="BB44" s="117"/>
      <c r="BC44" s="117"/>
      <c r="BD44" s="117"/>
      <c r="BE44" s="117"/>
      <c r="BF44" s="117"/>
      <c r="BG44" s="117"/>
      <c r="BH44" s="117"/>
      <c r="BI44" s="117"/>
      <c r="BJ44" s="117"/>
      <c r="BK44" s="117"/>
      <c r="BL44" s="117"/>
      <c r="BM44" s="117"/>
      <c r="BO44" s="116" t="s">
        <v>33</v>
      </c>
      <c r="BP44" s="117">
        <f t="shared" si="191"/>
        <v>-0.72905027932960897</v>
      </c>
      <c r="BQ44" s="117">
        <f t="shared" si="191"/>
        <v>-0.74935400516795858</v>
      </c>
      <c r="BR44" s="117">
        <f t="shared" si="191"/>
        <v>-0.81201044386422971</v>
      </c>
      <c r="BS44" s="117">
        <f t="shared" si="191"/>
        <v>-0.74930362116991645</v>
      </c>
      <c r="BT44" s="117">
        <f t="shared" si="191"/>
        <v>-7.7720207253886064E-2</v>
      </c>
      <c r="BV44" s="116" t="s">
        <v>33</v>
      </c>
      <c r="BW44" s="117">
        <f t="shared" si="192"/>
        <v>-0.21649484536082475</v>
      </c>
      <c r="BX44" s="117">
        <f t="shared" si="192"/>
        <v>-2.0618556701030966E-2</v>
      </c>
      <c r="BY44" s="117">
        <f t="shared" si="192"/>
        <v>0.18055555555555558</v>
      </c>
      <c r="BZ44" s="117">
        <f t="shared" si="192"/>
        <v>-4.4444444444444398E-2</v>
      </c>
      <c r="CA44" s="117">
        <f t="shared" si="192"/>
        <v>-3.9325842696629199E-2</v>
      </c>
      <c r="CC44" s="116" t="s">
        <v>33</v>
      </c>
      <c r="CD44" s="117">
        <f t="shared" si="193"/>
        <v>6.578947368421062E-2</v>
      </c>
      <c r="CE44" s="117">
        <f t="shared" si="193"/>
        <v>1.0526315789473717E-2</v>
      </c>
      <c r="CF44" s="117">
        <f t="shared" si="193"/>
        <v>-1.1764705882352899E-2</v>
      </c>
      <c r="CG44" s="117">
        <f t="shared" si="193"/>
        <v>0.2441860465116279</v>
      </c>
      <c r="CH44" s="117">
        <f t="shared" si="193"/>
        <v>7.6023391812865437E-2</v>
      </c>
      <c r="CJ44" s="116" t="s">
        <v>33</v>
      </c>
      <c r="CK44" s="117">
        <f t="shared" si="194"/>
        <v>0.28395061728395055</v>
      </c>
      <c r="CL44" s="117">
        <f t="shared" si="194"/>
        <v>0.14583333333333326</v>
      </c>
      <c r="CM44" s="117">
        <f t="shared" si="194"/>
        <v>5.9523809523809534E-2</v>
      </c>
      <c r="CN44" s="117">
        <f t="shared" si="194"/>
        <v>2.8037383177569986E-2</v>
      </c>
      <c r="CO44" s="117">
        <f t="shared" si="194"/>
        <v>0.12228260869565211</v>
      </c>
      <c r="CQ44" s="116" t="s">
        <v>33</v>
      </c>
      <c r="CR44" s="117">
        <f t="shared" si="195"/>
        <v>0.10576923076923084</v>
      </c>
      <c r="CS44" s="117">
        <f t="shared" si="195"/>
        <v>0.11818181818181817</v>
      </c>
      <c r="CT44" s="117">
        <f t="shared" si="195"/>
        <v>7.8651685393258397E-2</v>
      </c>
      <c r="CU44" s="117">
        <f t="shared" si="195"/>
        <v>0.15454545454545454</v>
      </c>
      <c r="CV44" s="117">
        <f t="shared" si="195"/>
        <v>0.116222760290557</v>
      </c>
      <c r="CX44" s="116" t="s">
        <v>33</v>
      </c>
      <c r="CY44" s="117">
        <f t="shared" si="196"/>
        <v>0.10434782608695659</v>
      </c>
      <c r="CZ44" s="117">
        <f t="shared" si="196"/>
        <v>7.3170731707317138E-2</v>
      </c>
      <c r="DA44" s="117">
        <f t="shared" si="196"/>
        <v>0.11458333333333326</v>
      </c>
      <c r="DB44" s="117">
        <f t="shared" si="196"/>
        <v>0</v>
      </c>
      <c r="DC44" s="117">
        <f t="shared" si="196"/>
        <v>6.9414316702820056E-2</v>
      </c>
      <c r="DE44" s="116" t="s">
        <v>33</v>
      </c>
      <c r="DF44" s="117">
        <f t="shared" si="197"/>
        <v>-7.8740157480314821E-3</v>
      </c>
      <c r="DG44" s="117">
        <f t="shared" si="197"/>
        <v>-3.0303030303030276E-2</v>
      </c>
      <c r="DH44" s="117">
        <f t="shared" si="197"/>
        <v>3.7383177570093462E-2</v>
      </c>
      <c r="DI44" s="117">
        <f t="shared" si="197"/>
        <v>8.6614173228346525E-2</v>
      </c>
      <c r="DJ44" s="117">
        <f t="shared" si="197"/>
        <v>2.0283975659229236E-2</v>
      </c>
      <c r="DL44" s="116" t="s">
        <v>33</v>
      </c>
      <c r="DM44" s="117">
        <f t="shared" si="198"/>
        <v>-3.1746031746031744E-2</v>
      </c>
      <c r="DN44" s="117">
        <f t="shared" si="198"/>
        <v>0.109375</v>
      </c>
      <c r="DO44" s="117">
        <f t="shared" si="198"/>
        <v>0.10810810810810811</v>
      </c>
      <c r="DP44" s="117">
        <f t="shared" si="198"/>
        <v>-3.6231884057971064E-2</v>
      </c>
      <c r="DQ44" s="117">
        <f t="shared" si="198"/>
        <v>3.3797216699801291E-2</v>
      </c>
      <c r="DS44" s="116" t="s">
        <v>33</v>
      </c>
      <c r="DT44" s="117">
        <f t="shared" si="199"/>
        <v>0.11475409836065564</v>
      </c>
      <c r="DU44" s="117">
        <f t="shared" si="199"/>
        <v>-1.4084507042253502E-2</v>
      </c>
      <c r="DV44" s="117">
        <f t="shared" si="199"/>
        <v>-2.4390243902439046E-2</v>
      </c>
      <c r="DW44" s="117">
        <f t="shared" si="199"/>
        <v>0.10526315789473695</v>
      </c>
      <c r="DX44" s="117">
        <f t="shared" si="199"/>
        <v>4.4230769230769296E-2</v>
      </c>
      <c r="DZ44" s="116" t="s">
        <v>33</v>
      </c>
      <c r="EA44" s="117">
        <f t="shared" si="200"/>
        <v>-4.4117647058823484E-2</v>
      </c>
      <c r="EB44" s="117">
        <f t="shared" si="200"/>
        <v>7.1428571428571175E-3</v>
      </c>
      <c r="EC44" s="117">
        <f t="shared" si="200"/>
        <v>-7.4999999999999956E-2</v>
      </c>
      <c r="ED44" s="117">
        <f t="shared" si="200"/>
        <v>6.8027210884353817E-2</v>
      </c>
      <c r="EE44" s="117">
        <f t="shared" si="200"/>
        <v>-7.3664825046040328E-3</v>
      </c>
      <c r="EG44" s="116" t="s">
        <v>33</v>
      </c>
      <c r="EH44" s="117">
        <f t="shared" si="201"/>
        <v>0.1692307692307693</v>
      </c>
      <c r="EI44" s="117">
        <f t="shared" si="201"/>
        <v>0.25531914893617014</v>
      </c>
      <c r="EJ44" s="117">
        <f t="shared" si="201"/>
        <v>0.8288288288288288</v>
      </c>
      <c r="EK44" s="117">
        <f t="shared" si="201"/>
        <v>0.43949044585987251</v>
      </c>
      <c r="EL44" s="117">
        <f t="shared" si="201"/>
        <v>0.40630797773654925</v>
      </c>
      <c r="EN44" s="116" t="s">
        <v>33</v>
      </c>
      <c r="EO44" s="117">
        <f t="shared" si="202"/>
        <v>0.49342105263157898</v>
      </c>
      <c r="EP44" s="117">
        <f t="shared" si="202"/>
        <v>0.34463276836158196</v>
      </c>
      <c r="EQ44" s="117">
        <f t="shared" si="202"/>
        <v>-3.4482758620689613E-2</v>
      </c>
      <c r="ER44" s="117">
        <f t="shared" si="202"/>
        <v>-7.9646017699115057E-2</v>
      </c>
      <c r="ES44" s="117">
        <f t="shared" si="202"/>
        <v>0.14643799472295504</v>
      </c>
      <c r="EU44" s="116" t="s">
        <v>33</v>
      </c>
      <c r="EV44" s="117">
        <f t="shared" si="203"/>
        <v>-0.14537444933920707</v>
      </c>
      <c r="EW44" s="117">
        <f t="shared" si="203"/>
        <v>-0.10504201680672265</v>
      </c>
      <c r="EX44" s="117">
        <f t="shared" si="203"/>
        <v>-6.1224489795918324E-2</v>
      </c>
      <c r="EY44" s="117">
        <f t="shared" si="203"/>
        <v>-2.4038461538461564E-2</v>
      </c>
      <c r="EZ44" s="117">
        <f t="shared" si="203"/>
        <v>-8.6306098964326838E-2</v>
      </c>
      <c r="FB44" s="116" t="s">
        <v>33</v>
      </c>
      <c r="FC44" s="117">
        <f t="shared" si="204"/>
        <v>3.0927835051546282E-2</v>
      </c>
      <c r="FD44" s="117">
        <f t="shared" si="204"/>
        <v>8.4507042253521236E-2</v>
      </c>
      <c r="FE44" s="117">
        <f t="shared" si="204"/>
        <v>5.9782608695652106E-2</v>
      </c>
      <c r="FF44" s="117">
        <f t="shared" si="204"/>
        <v>7.8817733990147687E-2</v>
      </c>
      <c r="FG44" s="117">
        <f t="shared" si="204"/>
        <v>6.4231738035264385E-2</v>
      </c>
      <c r="FI44" s="116" t="s">
        <v>33</v>
      </c>
      <c r="FJ44" s="117">
        <f t="shared" si="205"/>
        <v>4.0000000000000036E-2</v>
      </c>
      <c r="FK44" s="117">
        <f t="shared" si="205"/>
        <v>-3.0303030303030276E-2</v>
      </c>
      <c r="FL44" s="117">
        <f t="shared" si="205"/>
        <v>-1.025641025641022E-2</v>
      </c>
      <c r="FM44" s="117">
        <f t="shared" si="205"/>
        <v>4.1095890410958846E-2</v>
      </c>
      <c r="FN44" s="117">
        <f t="shared" si="205"/>
        <v>9.4674556213016903E-3</v>
      </c>
      <c r="FP44" s="116" t="s">
        <v>33</v>
      </c>
      <c r="FQ44" s="117">
        <f t="shared" si="206"/>
        <v>-2.8846153846153855E-2</v>
      </c>
      <c r="FR44" s="117">
        <f t="shared" si="206"/>
        <v>-1.7857142857142905E-2</v>
      </c>
      <c r="FS44" s="117">
        <f t="shared" si="206"/>
        <v>-4.1450777202072575E-2</v>
      </c>
      <c r="FT44" s="117">
        <f t="shared" si="206"/>
        <v>0</v>
      </c>
      <c r="FU44" s="117">
        <f t="shared" si="206"/>
        <v>-2.1101992966002348E-2</v>
      </c>
      <c r="FW44" s="116" t="s">
        <v>33</v>
      </c>
      <c r="FX44" s="117">
        <f t="shared" si="207"/>
        <v>2.9702970297029729E-2</v>
      </c>
      <c r="FY44" s="117">
        <f t="shared" si="207"/>
        <v>-4.0909090909090895E-2</v>
      </c>
      <c r="FZ44" s="117">
        <f t="shared" si="207"/>
        <v>8.1081081081081141E-2</v>
      </c>
      <c r="GA44" s="117">
        <f t="shared" si="207"/>
        <v>-1.3157894736842146E-2</v>
      </c>
      <c r="GB44" s="117">
        <f t="shared" si="207"/>
        <v>1.0778443113772518E-2</v>
      </c>
      <c r="GD44" s="116" t="s">
        <v>33</v>
      </c>
      <c r="GE44" s="117">
        <f t="shared" si="208"/>
        <v>0.11057692307692313</v>
      </c>
      <c r="GF44" s="117">
        <f t="shared" si="208"/>
        <v>5.6872037914691864E-2</v>
      </c>
      <c r="GG44" s="117">
        <f t="shared" si="208"/>
        <v>-8.4999999999999964E-2</v>
      </c>
      <c r="GH44" s="117">
        <f t="shared" si="208"/>
        <v>-6.6666666666666652E-2</v>
      </c>
      <c r="GI44" s="117">
        <f t="shared" si="208"/>
        <v>3.5545023696681444E-3</v>
      </c>
      <c r="GK44" s="116" t="s">
        <v>33</v>
      </c>
      <c r="GL44" s="117">
        <f t="shared" si="209"/>
        <v>-0.12121212121212122</v>
      </c>
      <c r="GM44" s="117">
        <f t="shared" si="209"/>
        <v>0</v>
      </c>
      <c r="GN44" s="117">
        <f t="shared" si="209"/>
        <v>8.1967213114754189E-2</v>
      </c>
      <c r="GO44" s="117">
        <f t="shared" si="209"/>
        <v>2.3809523809523725E-2</v>
      </c>
      <c r="GP44" s="117">
        <f t="shared" si="209"/>
        <v>-9.445100354191216E-3</v>
      </c>
      <c r="GR44" s="116" t="s">
        <v>33</v>
      </c>
      <c r="GS44" s="117">
        <f t="shared" si="210"/>
        <v>-4.9261083743842304E-3</v>
      </c>
      <c r="GT44" s="117">
        <f t="shared" si="210"/>
        <v>-8.0717488789237679E-2</v>
      </c>
      <c r="GU44" s="117">
        <f t="shared" si="210"/>
        <v>-1.5151515151515138E-2</v>
      </c>
      <c r="GV44" s="117">
        <f t="shared" si="210"/>
        <v>-0.15348837209302324</v>
      </c>
      <c r="GW44" s="117">
        <f t="shared" si="210"/>
        <v>-6.5554231227651916E-2</v>
      </c>
      <c r="GY44" s="116" t="s">
        <v>33</v>
      </c>
      <c r="GZ44" s="117">
        <f t="shared" si="211"/>
        <v>-0.52970297029702973</v>
      </c>
      <c r="HA44" s="117">
        <f t="shared" si="211"/>
        <v>-0.448780487804878</v>
      </c>
      <c r="HB44" s="117">
        <f t="shared" si="211"/>
        <v>-0.3487179487179487</v>
      </c>
      <c r="HC44" s="117">
        <f t="shared" si="211"/>
        <v>-3.2967032967032961E-2</v>
      </c>
      <c r="HD44" s="117">
        <f t="shared" si="211"/>
        <v>-0.3482142857142857</v>
      </c>
      <c r="HF44" s="116" t="s">
        <v>33</v>
      </c>
      <c r="HG44" s="117">
        <f t="shared" si="212"/>
        <v>0.78947368421052633</v>
      </c>
      <c r="HH44" s="117">
        <f t="shared" si="212"/>
        <v>0.80530973451327426</v>
      </c>
      <c r="HI44" s="117">
        <f t="shared" si="212"/>
        <v>0.54330708661417315</v>
      </c>
      <c r="HJ44" s="117">
        <f t="shared" si="212"/>
        <v>0.30681818181818188</v>
      </c>
      <c r="HK44" s="117">
        <f t="shared" si="212"/>
        <v>0.5655577299412915</v>
      </c>
      <c r="HM44" s="116" t="s">
        <v>33</v>
      </c>
      <c r="HN44" s="117">
        <f t="shared" si="213"/>
        <v>0.28823529411764715</v>
      </c>
      <c r="HO44" s="117">
        <f t="shared" si="213"/>
        <v>0.10784313725490202</v>
      </c>
      <c r="HP44" s="117">
        <f t="shared" si="213"/>
        <v>0.16326530612244894</v>
      </c>
      <c r="HQ44" s="117">
        <f t="shared" si="213"/>
        <v>0.14347826086956528</v>
      </c>
      <c r="HR44" s="117">
        <f t="shared" si="213"/>
        <v>0.16999999999999993</v>
      </c>
      <c r="HT44" s="116" t="s">
        <v>33</v>
      </c>
      <c r="HU44" s="117">
        <f t="shared" si="214"/>
        <v>0.28310502283105032</v>
      </c>
      <c r="HV44" s="117">
        <f t="shared" si="214"/>
        <v>0.33628318584070804</v>
      </c>
      <c r="HW44" s="117">
        <f t="shared" si="214"/>
        <v>0.18421052631578938</v>
      </c>
      <c r="HX44" s="117">
        <f t="shared" si="214"/>
        <v>0.14448669201520903</v>
      </c>
      <c r="HY44" s="117">
        <f t="shared" si="214"/>
        <v>0.23290598290598297</v>
      </c>
      <c r="IA44" s="116" t="s">
        <v>33</v>
      </c>
      <c r="IB44" s="117">
        <f t="shared" si="215"/>
        <v>4.2704626334519658E-2</v>
      </c>
      <c r="IC44" s="117">
        <f t="shared" si="215"/>
        <v>5.2980132450331174E-2</v>
      </c>
      <c r="ID44" s="117">
        <f t="shared" si="215"/>
        <v>5.9259259259259345E-2</v>
      </c>
      <c r="IE44" s="117">
        <f t="shared" si="215"/>
        <v>6.3122923588039948E-2</v>
      </c>
      <c r="IF44" s="117">
        <f t="shared" si="215"/>
        <v>5.4592720970537245E-2</v>
      </c>
      <c r="IH44" s="116" t="s">
        <v>33</v>
      </c>
      <c r="II44" s="117">
        <f t="shared" si="216"/>
        <v>-6.1433447098976135E-2</v>
      </c>
      <c r="IJ44" s="117">
        <f t="shared" si="216"/>
        <v>9.4339622641510523E-3</v>
      </c>
      <c r="IK44" s="117">
        <f t="shared" si="216"/>
        <v>6.643356643356646E-2</v>
      </c>
      <c r="IL44" s="117">
        <f t="shared" si="216"/>
        <v>-2.5000000000000022E-2</v>
      </c>
      <c r="IM44" s="117">
        <f t="shared" si="216"/>
        <v>-3.2867707477403085E-3</v>
      </c>
      <c r="IO44" s="116" t="s">
        <v>33</v>
      </c>
      <c r="IP44" s="117">
        <f t="shared" si="217"/>
        <v>-2.9090909090909056E-2</v>
      </c>
      <c r="IQ44" s="117">
        <f t="shared" si="217"/>
        <v>-2.4922118380062308E-2</v>
      </c>
      <c r="IR44" s="117">
        <f t="shared" si="217"/>
        <v>-5.9016393442622994E-2</v>
      </c>
      <c r="IS44" s="117">
        <f t="shared" si="217"/>
        <v>-1.2820512820512775E-2</v>
      </c>
      <c r="IT44" s="117">
        <f t="shared" si="217"/>
        <v>-3.1327287716405583E-2</v>
      </c>
      <c r="IV44" s="116" t="s">
        <v>33</v>
      </c>
      <c r="IW44" s="117">
        <f t="shared" si="218"/>
        <v>8.6142322097378266E-2</v>
      </c>
      <c r="IX44" s="117">
        <f t="shared" si="218"/>
        <v>0</v>
      </c>
      <c r="IY44" s="117">
        <f t="shared" si="218"/>
        <v>5.9233449477351874E-2</v>
      </c>
      <c r="IZ44" s="117">
        <f t="shared" si="218"/>
        <v>0.14935064935064934</v>
      </c>
      <c r="JA44" s="117">
        <f t="shared" si="218"/>
        <v>7.3191489361702056E-2</v>
      </c>
      <c r="JC44" s="116" t="s">
        <v>33</v>
      </c>
      <c r="JD44" s="117">
        <f t="shared" si="219"/>
        <v>8.9655172413793061E-2</v>
      </c>
      <c r="JE44" s="117">
        <f t="shared" si="219"/>
        <v>-1.9169329073482455E-2</v>
      </c>
      <c r="JF44" s="117">
        <f t="shared" si="219"/>
        <v>-5.2631578947368474E-2</v>
      </c>
      <c r="JG44" s="117">
        <f t="shared" si="219"/>
        <v>-0.14406779661016944</v>
      </c>
      <c r="JH44" s="117">
        <f t="shared" si="219"/>
        <v>-3.7272006344171271E-2</v>
      </c>
      <c r="JJ44" s="116" t="s">
        <v>33</v>
      </c>
      <c r="JK44" s="117">
        <f t="shared" si="220"/>
        <v>-3.7974683544303778E-2</v>
      </c>
      <c r="JL44" s="117">
        <f t="shared" si="220"/>
        <v>7.4918566775244333E-2</v>
      </c>
      <c r="JM44" s="117">
        <f t="shared" si="220"/>
        <v>0.12847222222222232</v>
      </c>
      <c r="JN44" s="117">
        <f t="shared" si="220"/>
        <v>9.9009900990099098E-2</v>
      </c>
      <c r="JO44" s="117">
        <f t="shared" si="220"/>
        <v>6.4250411861614509E-2</v>
      </c>
      <c r="JQ44" s="116" t="s">
        <v>33</v>
      </c>
      <c r="JR44" s="117">
        <f t="shared" si="221"/>
        <v>2.3026315789473673E-2</v>
      </c>
      <c r="JS44" s="117">
        <f t="shared" si="221"/>
        <v>-3.0303030303030498E-3</v>
      </c>
      <c r="JT44" s="117">
        <f t="shared" si="221"/>
        <v>8.9230769230769225E-2</v>
      </c>
      <c r="JU44" s="117">
        <f t="shared" si="221"/>
        <v>6.3063063063063085E-2</v>
      </c>
      <c r="JV44" s="117">
        <f t="shared" si="221"/>
        <v>4.334365325077405E-2</v>
      </c>
      <c r="JX44" s="116" t="s">
        <v>33</v>
      </c>
      <c r="JY44" s="117">
        <f t="shared" si="222"/>
        <v>-9.6463022508038621E-2</v>
      </c>
      <c r="JZ44" s="117">
        <f t="shared" si="222"/>
        <v>-0.71732522796352582</v>
      </c>
      <c r="KA44" s="117">
        <f t="shared" si="222"/>
        <v>-0.2344632768361582</v>
      </c>
      <c r="KB44" s="117">
        <f t="shared" si="222"/>
        <v>-0.2231638418079096</v>
      </c>
      <c r="KC44" s="117">
        <f t="shared" si="222"/>
        <v>-0.31750741839762608</v>
      </c>
      <c r="KE44" s="116" t="s">
        <v>33</v>
      </c>
      <c r="KF44" s="117">
        <f t="shared" si="223"/>
        <v>-0.16014234875444844</v>
      </c>
      <c r="KG44" s="117">
        <f t="shared" si="223"/>
        <v>1.3225806451612905</v>
      </c>
      <c r="KH44" s="117">
        <f t="shared" si="223"/>
        <v>-0.22878228782287824</v>
      </c>
      <c r="KI44" s="117">
        <f t="shared" si="223"/>
        <v>-0.18181818181818177</v>
      </c>
      <c r="KJ44" s="117">
        <f t="shared" si="223"/>
        <v>-3.6956521739130443E-2</v>
      </c>
      <c r="KL44" s="116" t="s">
        <v>33</v>
      </c>
      <c r="KM44" s="117">
        <f t="shared" si="224"/>
        <v>-3.8135593220338992E-2</v>
      </c>
      <c r="KN44" s="117">
        <f t="shared" si="224"/>
        <v>0.2407407407407407</v>
      </c>
      <c r="KO44" s="117">
        <f t="shared" si="224"/>
        <v>0.31100478468899517</v>
      </c>
      <c r="KP44" s="117">
        <f t="shared" si="224"/>
        <v>0.26666666666666661</v>
      </c>
      <c r="KQ44" s="117">
        <f t="shared" si="224"/>
        <v>0.18961625282167049</v>
      </c>
      <c r="KS44" s="116" t="s">
        <v>33</v>
      </c>
      <c r="KT44" s="117">
        <f t="shared" si="225"/>
        <v>0.20704845814977979</v>
      </c>
      <c r="KU44" s="117">
        <f t="shared" si="225"/>
        <v>0.20522388059701502</v>
      </c>
      <c r="KV44" s="117">
        <f t="shared" si="225"/>
        <v>0.12408759124087587</v>
      </c>
      <c r="KW44" s="117">
        <f t="shared" si="225"/>
        <v>0.10175438596491237</v>
      </c>
      <c r="KX44" s="117">
        <f t="shared" si="225"/>
        <v>0.15654648956356731</v>
      </c>
      <c r="KZ44" s="116" t="s">
        <v>33</v>
      </c>
      <c r="LA44" s="117">
        <f t="shared" si="226"/>
        <v>6.9343065693430628E-2</v>
      </c>
      <c r="LB44" s="214">
        <f t="shared" si="226"/>
        <v>4.0247678018575872E-2</v>
      </c>
      <c r="LC44" s="214">
        <f t="shared" si="226"/>
        <v>-2.2727272727272707E-2</v>
      </c>
      <c r="LD44" s="214">
        <f t="shared" si="226"/>
        <v>-5.7324840764331197E-2</v>
      </c>
      <c r="LE44" s="214">
        <f t="shared" si="226"/>
        <v>5.7424118129614232E-3</v>
      </c>
      <c r="LF44" s="557"/>
      <c r="LG44" s="116" t="s">
        <v>33</v>
      </c>
      <c r="LH44" s="214">
        <f t="shared" si="227"/>
        <v>-7.5085324232081918E-2</v>
      </c>
      <c r="LI44" s="214">
        <f t="shared" si="227"/>
        <v>-4.7619047619047672E-2</v>
      </c>
      <c r="LJ44" s="214">
        <f t="shared" si="227"/>
        <v>1.6611295681063121E-2</v>
      </c>
      <c r="LK44" s="214">
        <f t="shared" si="227"/>
        <v>-3.7162162162162171E-2</v>
      </c>
      <c r="LL44" s="214">
        <f t="shared" si="227"/>
        <v>-3.5889070146818969E-2</v>
      </c>
      <c r="LM44" s="557"/>
      <c r="LN44" s="116" t="s">
        <v>33</v>
      </c>
      <c r="LO44" s="214">
        <f t="shared" si="228"/>
        <v>-2.250000000003638E-4</v>
      </c>
      <c r="LP44" s="214">
        <f t="shared" si="228"/>
        <v>-4.1200000000000236E-2</v>
      </c>
      <c r="LQ44" s="214">
        <f t="shared" si="228"/>
        <v>-2.6250000000000107E-2</v>
      </c>
      <c r="LR44" s="214">
        <f t="shared" si="228"/>
        <v>8.1500000000000128E-2</v>
      </c>
      <c r="LS44" s="214">
        <f t="shared" si="228"/>
        <v>1.649767343485431E-3</v>
      </c>
      <c r="LT44" s="557"/>
      <c r="LU44" s="116" t="s">
        <v>33</v>
      </c>
      <c r="LV44" s="214">
        <f t="shared" si="229"/>
        <v>5.5750000000000188E-2</v>
      </c>
      <c r="LW44" s="214">
        <f t="shared" si="230"/>
        <v>5.5749999999999966E-2</v>
      </c>
      <c r="LX44" s="214">
        <f t="shared" si="231"/>
        <v>5.5749999999999744E-2</v>
      </c>
      <c r="LY44" s="214">
        <f t="shared" si="232"/>
        <v>5.5749999999999966E-2</v>
      </c>
      <c r="LZ44" s="214">
        <f t="shared" si="233"/>
        <v>5.5749999999999966E-2</v>
      </c>
      <c r="MA44" s="557"/>
      <c r="MB44" s="116" t="s">
        <v>33</v>
      </c>
      <c r="MC44" s="214">
        <f t="shared" si="234"/>
        <v>5.0599999999999756E-2</v>
      </c>
      <c r="MD44" s="214">
        <f t="shared" si="235"/>
        <v>5.0599999999999978E-2</v>
      </c>
      <c r="ME44" s="214">
        <f t="shared" si="236"/>
        <v>5.06000000000002E-2</v>
      </c>
      <c r="MF44" s="214">
        <f t="shared" si="237"/>
        <v>5.0599999999999978E-2</v>
      </c>
      <c r="MG44" s="214">
        <f t="shared" si="238"/>
        <v>5.0599999999999978E-2</v>
      </c>
      <c r="MH44" s="557"/>
    </row>
    <row r="45" spans="1:346" s="37" customFormat="1" ht="13.15" x14ac:dyDescent="0.4">
      <c r="A45" s="100"/>
      <c r="B45" s="116" t="s">
        <v>143</v>
      </c>
      <c r="C45" s="117"/>
      <c r="D45" s="117"/>
      <c r="E45" s="117"/>
      <c r="F45" s="117"/>
      <c r="G45" s="117"/>
      <c r="H45" s="117"/>
      <c r="I45" s="117"/>
      <c r="J45" s="117"/>
      <c r="K45" s="117"/>
      <c r="L45" s="117"/>
      <c r="M45" s="117"/>
      <c r="N45" s="117" t="str">
        <f t="shared" si="151"/>
        <v>-</v>
      </c>
      <c r="O45" s="117" t="str">
        <f t="shared" si="152"/>
        <v>-</v>
      </c>
      <c r="P45" s="117" t="str">
        <f t="shared" si="153"/>
        <v>-</v>
      </c>
      <c r="Q45" s="117" t="str">
        <f t="shared" si="154"/>
        <v>-</v>
      </c>
      <c r="R45" s="117" t="str">
        <f t="shared" si="155"/>
        <v>-</v>
      </c>
      <c r="S45" s="117" t="str">
        <f t="shared" si="156"/>
        <v>-</v>
      </c>
      <c r="T45" s="117" t="str">
        <f t="shared" si="157"/>
        <v>-</v>
      </c>
      <c r="U45" s="117" t="str">
        <f t="shared" si="158"/>
        <v>-</v>
      </c>
      <c r="V45" s="117" t="str">
        <f t="shared" si="159"/>
        <v>-</v>
      </c>
      <c r="W45" s="117" t="str">
        <f t="shared" si="160"/>
        <v>-</v>
      </c>
      <c r="X45" s="117" t="str">
        <f t="shared" si="161"/>
        <v>-</v>
      </c>
      <c r="Y45" s="117" t="str">
        <f t="shared" si="162"/>
        <v>-</v>
      </c>
      <c r="Z45" s="117" t="str">
        <f t="shared" si="163"/>
        <v>-</v>
      </c>
      <c r="AA45" s="117" t="str">
        <f t="shared" si="164"/>
        <v>-</v>
      </c>
      <c r="AB45" s="117" t="str">
        <f t="shared" si="165"/>
        <v>-</v>
      </c>
      <c r="AC45" s="117" t="str">
        <f t="shared" si="166"/>
        <v>-</v>
      </c>
      <c r="AD45" s="117" t="str">
        <f t="shared" si="167"/>
        <v>-</v>
      </c>
      <c r="AE45" s="117" t="str">
        <f t="shared" si="168"/>
        <v>-</v>
      </c>
      <c r="AF45" s="117" t="str">
        <f t="shared" si="169"/>
        <v>-</v>
      </c>
      <c r="AG45" s="117" t="str">
        <f t="shared" si="170"/>
        <v>-</v>
      </c>
      <c r="AH45" s="117" t="str">
        <f t="shared" si="171"/>
        <v>-</v>
      </c>
      <c r="AI45" s="117" t="str">
        <f t="shared" si="172"/>
        <v>-</v>
      </c>
      <c r="AJ45" s="117">
        <f t="shared" si="173"/>
        <v>0.12201591511936338</v>
      </c>
      <c r="AK45" s="117">
        <f t="shared" si="174"/>
        <v>-3.3096926713948038E-2</v>
      </c>
      <c r="AL45" s="117">
        <f t="shared" si="175"/>
        <v>3.1784841075794601E-2</v>
      </c>
      <c r="AM45" s="117">
        <f t="shared" si="176"/>
        <v>6.1611374407583019E-2</v>
      </c>
      <c r="AN45" s="117">
        <f t="shared" si="177"/>
        <v>2.4553571428571397E-2</v>
      </c>
      <c r="AO45" s="117">
        <f t="shared" si="178"/>
        <v>8.7145969498909626E-3</v>
      </c>
      <c r="AP45" s="117">
        <f t="shared" si="179"/>
        <v>0.1879049676025919</v>
      </c>
      <c r="AQ45" s="117">
        <f t="shared" si="180"/>
        <v>-5.8181818181818223E-2</v>
      </c>
      <c r="AR45" s="117">
        <f t="shared" si="181"/>
        <v>6.7567567567567544E-2</v>
      </c>
      <c r="AS45" s="117">
        <f t="shared" si="182"/>
        <v>-2.7124773960216952E-2</v>
      </c>
      <c r="AT45" s="117">
        <f t="shared" si="183"/>
        <v>9.1078066914498157E-2</v>
      </c>
      <c r="AU45" s="117">
        <f t="shared" si="184"/>
        <v>0.12095400340715501</v>
      </c>
      <c r="AV45" s="117">
        <f t="shared" si="185"/>
        <v>0.11398176291793316</v>
      </c>
      <c r="AW45" s="117">
        <f t="shared" si="186"/>
        <v>5.3206002728513058E-2</v>
      </c>
      <c r="AX45" s="117">
        <f t="shared" si="187"/>
        <v>7.7720207253886064E-2</v>
      </c>
      <c r="AY45" s="117">
        <f t="shared" si="188"/>
        <v>6.9038356370192178E-2</v>
      </c>
      <c r="AZ45" s="117">
        <f t="shared" si="189"/>
        <v>6.8380940317314787E-2</v>
      </c>
      <c r="BA45" s="117">
        <f t="shared" si="190"/>
        <v>6.087499999999979E-2</v>
      </c>
      <c r="BB45" s="117"/>
      <c r="BC45" s="117"/>
      <c r="BD45" s="117"/>
      <c r="BE45" s="117"/>
      <c r="BF45" s="117"/>
      <c r="BG45" s="117"/>
      <c r="BH45" s="117"/>
      <c r="BI45" s="117"/>
      <c r="BJ45" s="117"/>
      <c r="BK45" s="117"/>
      <c r="BL45" s="117"/>
      <c r="BM45" s="117"/>
      <c r="BO45" s="116" t="s">
        <v>143</v>
      </c>
      <c r="BP45" s="117" t="s">
        <v>80</v>
      </c>
      <c r="BQ45" s="117" t="s">
        <v>80</v>
      </c>
      <c r="BR45" s="117" t="s">
        <v>80</v>
      </c>
      <c r="BS45" s="117" t="s">
        <v>80</v>
      </c>
      <c r="BT45" s="117" t="s">
        <v>80</v>
      </c>
      <c r="BV45" s="116" t="s">
        <v>143</v>
      </c>
      <c r="BW45" s="117" t="s">
        <v>80</v>
      </c>
      <c r="BX45" s="117" t="s">
        <v>80</v>
      </c>
      <c r="BY45" s="117" t="s">
        <v>80</v>
      </c>
      <c r="BZ45" s="117" t="s">
        <v>80</v>
      </c>
      <c r="CA45" s="117" t="s">
        <v>80</v>
      </c>
      <c r="CC45" s="116" t="s">
        <v>143</v>
      </c>
      <c r="CD45" s="117" t="s">
        <v>80</v>
      </c>
      <c r="CE45" s="117" t="s">
        <v>80</v>
      </c>
      <c r="CF45" s="117" t="s">
        <v>80</v>
      </c>
      <c r="CG45" s="117" t="s">
        <v>80</v>
      </c>
      <c r="CH45" s="117" t="s">
        <v>80</v>
      </c>
      <c r="CJ45" s="116" t="s">
        <v>143</v>
      </c>
      <c r="CK45" s="117" t="s">
        <v>80</v>
      </c>
      <c r="CL45" s="117" t="s">
        <v>80</v>
      </c>
      <c r="CM45" s="117" t="s">
        <v>80</v>
      </c>
      <c r="CN45" s="117" t="s">
        <v>80</v>
      </c>
      <c r="CO45" s="117" t="s">
        <v>80</v>
      </c>
      <c r="CQ45" s="116" t="s">
        <v>143</v>
      </c>
      <c r="CR45" s="117" t="s">
        <v>80</v>
      </c>
      <c r="CS45" s="117" t="s">
        <v>80</v>
      </c>
      <c r="CT45" s="117" t="s">
        <v>80</v>
      </c>
      <c r="CU45" s="117" t="s">
        <v>80</v>
      </c>
      <c r="CV45" s="117" t="s">
        <v>80</v>
      </c>
      <c r="CX45" s="116" t="s">
        <v>143</v>
      </c>
      <c r="CY45" s="117" t="s">
        <v>80</v>
      </c>
      <c r="CZ45" s="117" t="s">
        <v>80</v>
      </c>
      <c r="DA45" s="117" t="s">
        <v>80</v>
      </c>
      <c r="DB45" s="117" t="s">
        <v>80</v>
      </c>
      <c r="DC45" s="117" t="s">
        <v>80</v>
      </c>
      <c r="DE45" s="116" t="s">
        <v>143</v>
      </c>
      <c r="DF45" s="117" t="s">
        <v>80</v>
      </c>
      <c r="DG45" s="117" t="s">
        <v>80</v>
      </c>
      <c r="DH45" s="117" t="s">
        <v>80</v>
      </c>
      <c r="DI45" s="117" t="s">
        <v>80</v>
      </c>
      <c r="DJ45" s="117" t="s">
        <v>80</v>
      </c>
      <c r="DL45" s="116" t="s">
        <v>143</v>
      </c>
      <c r="DM45" s="117" t="s">
        <v>80</v>
      </c>
      <c r="DN45" s="117" t="s">
        <v>80</v>
      </c>
      <c r="DO45" s="117" t="s">
        <v>80</v>
      </c>
      <c r="DP45" s="117" t="s">
        <v>80</v>
      </c>
      <c r="DQ45" s="117" t="s">
        <v>80</v>
      </c>
      <c r="DS45" s="116" t="s">
        <v>143</v>
      </c>
      <c r="DT45" s="117" t="s">
        <v>80</v>
      </c>
      <c r="DU45" s="117" t="s">
        <v>80</v>
      </c>
      <c r="DV45" s="117" t="s">
        <v>80</v>
      </c>
      <c r="DW45" s="117" t="s">
        <v>80</v>
      </c>
      <c r="DX45" s="117" t="s">
        <v>80</v>
      </c>
      <c r="DZ45" s="116" t="s">
        <v>143</v>
      </c>
      <c r="EA45" s="117" t="s">
        <v>80</v>
      </c>
      <c r="EB45" s="117" t="s">
        <v>80</v>
      </c>
      <c r="EC45" s="117" t="s">
        <v>80</v>
      </c>
      <c r="ED45" s="117" t="s">
        <v>80</v>
      </c>
      <c r="EE45" s="117" t="s">
        <v>80</v>
      </c>
      <c r="EG45" s="116" t="s">
        <v>143</v>
      </c>
      <c r="EH45" s="117" t="s">
        <v>80</v>
      </c>
      <c r="EI45" s="117" t="s">
        <v>80</v>
      </c>
      <c r="EJ45" s="117" t="s">
        <v>80</v>
      </c>
      <c r="EK45" s="117" t="s">
        <v>80</v>
      </c>
      <c r="EL45" s="117" t="s">
        <v>80</v>
      </c>
      <c r="EN45" s="116" t="s">
        <v>143</v>
      </c>
      <c r="EO45" s="117" t="s">
        <v>80</v>
      </c>
      <c r="EP45" s="117" t="s">
        <v>80</v>
      </c>
      <c r="EQ45" s="117" t="s">
        <v>80</v>
      </c>
      <c r="ER45" s="117" t="s">
        <v>80</v>
      </c>
      <c r="ES45" s="117" t="s">
        <v>80</v>
      </c>
      <c r="EU45" s="116" t="s">
        <v>143</v>
      </c>
      <c r="EV45" s="117" t="s">
        <v>80</v>
      </c>
      <c r="EW45" s="117" t="s">
        <v>80</v>
      </c>
      <c r="EX45" s="117" t="s">
        <v>80</v>
      </c>
      <c r="EY45" s="117" t="s">
        <v>80</v>
      </c>
      <c r="EZ45" s="117" t="s">
        <v>80</v>
      </c>
      <c r="FB45" s="116" t="s">
        <v>143</v>
      </c>
      <c r="FC45" s="117" t="s">
        <v>80</v>
      </c>
      <c r="FD45" s="117" t="s">
        <v>80</v>
      </c>
      <c r="FE45" s="117" t="s">
        <v>80</v>
      </c>
      <c r="FF45" s="117" t="s">
        <v>80</v>
      </c>
      <c r="FG45" s="117" t="s">
        <v>80</v>
      </c>
      <c r="FI45" s="116" t="s">
        <v>143</v>
      </c>
      <c r="FJ45" s="117" t="s">
        <v>80</v>
      </c>
      <c r="FK45" s="117" t="s">
        <v>80</v>
      </c>
      <c r="FL45" s="117" t="s">
        <v>80</v>
      </c>
      <c r="FM45" s="117" t="s">
        <v>80</v>
      </c>
      <c r="FN45" s="117" t="s">
        <v>80</v>
      </c>
      <c r="FP45" s="116" t="s">
        <v>143</v>
      </c>
      <c r="FQ45" s="117" t="s">
        <v>80</v>
      </c>
      <c r="FR45" s="117" t="s">
        <v>80</v>
      </c>
      <c r="FS45" s="117" t="s">
        <v>80</v>
      </c>
      <c r="FT45" s="117" t="s">
        <v>80</v>
      </c>
      <c r="FU45" s="117" t="s">
        <v>80</v>
      </c>
      <c r="FW45" s="116" t="s">
        <v>143</v>
      </c>
      <c r="FX45" s="117" t="s">
        <v>80</v>
      </c>
      <c r="FY45" s="117" t="s">
        <v>80</v>
      </c>
      <c r="FZ45" s="117" t="s">
        <v>80</v>
      </c>
      <c r="GA45" s="117" t="s">
        <v>80</v>
      </c>
      <c r="GB45" s="117" t="s">
        <v>80</v>
      </c>
      <c r="GD45" s="116" t="s">
        <v>143</v>
      </c>
      <c r="GE45" s="117" t="s">
        <v>80</v>
      </c>
      <c r="GF45" s="117" t="s">
        <v>80</v>
      </c>
      <c r="GG45" s="117" t="s">
        <v>80</v>
      </c>
      <c r="GH45" s="117" t="s">
        <v>80</v>
      </c>
      <c r="GI45" s="117" t="s">
        <v>80</v>
      </c>
      <c r="GK45" s="116" t="s">
        <v>143</v>
      </c>
      <c r="GL45" s="117" t="s">
        <v>80</v>
      </c>
      <c r="GM45" s="117" t="s">
        <v>80</v>
      </c>
      <c r="GN45" s="117" t="s">
        <v>80</v>
      </c>
      <c r="GO45" s="117" t="s">
        <v>80</v>
      </c>
      <c r="GP45" s="117" t="s">
        <v>80</v>
      </c>
      <c r="GR45" s="116" t="s">
        <v>143</v>
      </c>
      <c r="GS45" s="117" t="s">
        <v>80</v>
      </c>
      <c r="GT45" s="117" t="s">
        <v>80</v>
      </c>
      <c r="GU45" s="117" t="s">
        <v>80</v>
      </c>
      <c r="GV45" s="117" t="s">
        <v>80</v>
      </c>
      <c r="GW45" s="117" t="s">
        <v>80</v>
      </c>
      <c r="GY45" s="116" t="s">
        <v>143</v>
      </c>
      <c r="GZ45" s="117" t="s">
        <v>80</v>
      </c>
      <c r="HA45" s="117" t="s">
        <v>80</v>
      </c>
      <c r="HB45" s="117" t="s">
        <v>80</v>
      </c>
      <c r="HC45" s="117" t="s">
        <v>80</v>
      </c>
      <c r="HD45" s="117" t="s">
        <v>80</v>
      </c>
      <c r="HF45" s="116" t="s">
        <v>143</v>
      </c>
      <c r="HG45" s="117" t="s">
        <v>80</v>
      </c>
      <c r="HH45" s="117" t="s">
        <v>80</v>
      </c>
      <c r="HI45" s="117" t="s">
        <v>80</v>
      </c>
      <c r="HJ45" s="117" t="s">
        <v>80</v>
      </c>
      <c r="HK45" s="117" t="s">
        <v>80</v>
      </c>
      <c r="HM45" s="116" t="s">
        <v>143</v>
      </c>
      <c r="HN45" s="117">
        <f t="shared" si="213"/>
        <v>0.18181818181818188</v>
      </c>
      <c r="HO45" s="117">
        <f t="shared" si="213"/>
        <v>0.10784313725490202</v>
      </c>
      <c r="HP45" s="117">
        <f t="shared" si="213"/>
        <v>0.11764705882352944</v>
      </c>
      <c r="HQ45" s="117">
        <f t="shared" si="213"/>
        <v>9.375E-2</v>
      </c>
      <c r="HR45" s="117">
        <f t="shared" si="213"/>
        <v>0.12201591511936338</v>
      </c>
      <c r="HT45" s="116" t="s">
        <v>143</v>
      </c>
      <c r="HU45" s="117">
        <f t="shared" si="214"/>
        <v>3.2967032967033072E-2</v>
      </c>
      <c r="HV45" s="117">
        <f t="shared" si="214"/>
        <v>-5.3097345132743334E-2</v>
      </c>
      <c r="HW45" s="117">
        <f t="shared" si="214"/>
        <v>-8.7719298245614086E-2</v>
      </c>
      <c r="HX45" s="117">
        <f t="shared" si="214"/>
        <v>-9.52380952380949E-3</v>
      </c>
      <c r="HY45" s="117">
        <f t="shared" si="214"/>
        <v>-3.3096926713948038E-2</v>
      </c>
      <c r="IA45" s="116" t="s">
        <v>143</v>
      </c>
      <c r="IB45" s="117">
        <f t="shared" si="215"/>
        <v>0</v>
      </c>
      <c r="IC45" s="117">
        <f t="shared" si="215"/>
        <v>4.6728971962616717E-2</v>
      </c>
      <c r="ID45" s="117">
        <f t="shared" si="215"/>
        <v>6.7307692307692291E-2</v>
      </c>
      <c r="IE45" s="117">
        <f t="shared" si="215"/>
        <v>9.6153846153845812E-3</v>
      </c>
      <c r="IF45" s="117">
        <f t="shared" si="215"/>
        <v>3.1784841075794601E-2</v>
      </c>
      <c r="IH45" s="116" t="s">
        <v>143</v>
      </c>
      <c r="II45" s="117">
        <f t="shared" si="216"/>
        <v>-1.0638297872340385E-2</v>
      </c>
      <c r="IJ45" s="117">
        <f t="shared" si="216"/>
        <v>7.1428571428571397E-2</v>
      </c>
      <c r="IK45" s="117">
        <f t="shared" si="216"/>
        <v>0.10810810810810811</v>
      </c>
      <c r="IL45" s="117">
        <f t="shared" si="216"/>
        <v>6.6666666666666652E-2</v>
      </c>
      <c r="IM45" s="117">
        <f t="shared" si="216"/>
        <v>6.1611374407583019E-2</v>
      </c>
      <c r="IO45" s="116" t="s">
        <v>143</v>
      </c>
      <c r="IP45" s="117">
        <f t="shared" si="217"/>
        <v>7.5268817204301008E-2</v>
      </c>
      <c r="IQ45" s="117">
        <f t="shared" si="217"/>
        <v>8.3333333333333037E-3</v>
      </c>
      <c r="IR45" s="117">
        <f t="shared" si="217"/>
        <v>1.6260162601626105E-2</v>
      </c>
      <c r="IS45" s="117">
        <f t="shared" si="217"/>
        <v>8.9285714285713969E-3</v>
      </c>
      <c r="IT45" s="117">
        <f t="shared" si="217"/>
        <v>2.4553571428571397E-2</v>
      </c>
      <c r="IV45" s="116" t="s">
        <v>143</v>
      </c>
      <c r="IW45" s="117">
        <f t="shared" si="218"/>
        <v>-6.0000000000000053E-2</v>
      </c>
      <c r="IX45" s="117">
        <f t="shared" si="218"/>
        <v>4.1322314049586861E-2</v>
      </c>
      <c r="IY45" s="117">
        <f t="shared" si="218"/>
        <v>0</v>
      </c>
      <c r="IZ45" s="117">
        <f t="shared" si="218"/>
        <v>4.4247787610619538E-2</v>
      </c>
      <c r="JA45" s="117">
        <f t="shared" si="218"/>
        <v>8.7145969498909626E-3</v>
      </c>
      <c r="JC45" s="116" t="s">
        <v>143</v>
      </c>
      <c r="JD45" s="117">
        <f t="shared" si="219"/>
        <v>0.2127659574468086</v>
      </c>
      <c r="JE45" s="117">
        <f t="shared" si="219"/>
        <v>1.5873015873015817E-2</v>
      </c>
      <c r="JF45" s="117">
        <f t="shared" si="219"/>
        <v>-4.0000000000000036E-2</v>
      </c>
      <c r="JG45" s="117">
        <f t="shared" si="219"/>
        <v>0.59322033898305082</v>
      </c>
      <c r="JH45" s="117">
        <f t="shared" si="219"/>
        <v>0.1879049676025919</v>
      </c>
      <c r="JJ45" s="116" t="s">
        <v>143</v>
      </c>
      <c r="JK45" s="117">
        <f t="shared" si="220"/>
        <v>0</v>
      </c>
      <c r="JL45" s="117">
        <f t="shared" si="220"/>
        <v>7.03125E-2</v>
      </c>
      <c r="JM45" s="117">
        <f t="shared" si="220"/>
        <v>0.14166666666666661</v>
      </c>
      <c r="JN45" s="117">
        <f t="shared" si="220"/>
        <v>-0.30851063829787229</v>
      </c>
      <c r="JO45" s="117">
        <f t="shared" si="220"/>
        <v>-5.8181818181818223E-2</v>
      </c>
      <c r="JQ45" s="116" t="s">
        <v>143</v>
      </c>
      <c r="JR45" s="117">
        <f t="shared" si="221"/>
        <v>7.8947368421052655E-2</v>
      </c>
      <c r="JS45" s="117">
        <f t="shared" si="221"/>
        <v>7.2992700729926918E-2</v>
      </c>
      <c r="JT45" s="117">
        <f t="shared" si="221"/>
        <v>5.8394160583941535E-2</v>
      </c>
      <c r="JU45" s="117">
        <f t="shared" si="221"/>
        <v>6.1538461538461542E-2</v>
      </c>
      <c r="JV45" s="117">
        <f t="shared" si="221"/>
        <v>6.7567567567567544E-2</v>
      </c>
      <c r="JX45" s="116" t="s">
        <v>143</v>
      </c>
      <c r="JY45" s="117">
        <f t="shared" si="222"/>
        <v>3.2520325203251987E-2</v>
      </c>
      <c r="JZ45" s="117">
        <f t="shared" si="222"/>
        <v>-8.8435374149659851E-2</v>
      </c>
      <c r="KA45" s="117">
        <f t="shared" si="222"/>
        <v>-6.8965517241379448E-3</v>
      </c>
      <c r="KB45" s="117">
        <f t="shared" si="222"/>
        <v>-3.6231884057971064E-2</v>
      </c>
      <c r="KC45" s="117">
        <f t="shared" si="222"/>
        <v>-2.7124773960216952E-2</v>
      </c>
      <c r="KE45" s="116" t="s">
        <v>143</v>
      </c>
      <c r="KF45" s="117">
        <f t="shared" si="223"/>
        <v>-1.5748031496062964E-2</v>
      </c>
      <c r="KG45" s="117">
        <f t="shared" si="223"/>
        <v>0.13432835820895517</v>
      </c>
      <c r="KH45" s="117">
        <f t="shared" si="223"/>
        <v>0.125</v>
      </c>
      <c r="KI45" s="117">
        <f t="shared" si="223"/>
        <v>0.11278195488721798</v>
      </c>
      <c r="KJ45" s="117">
        <f t="shared" si="223"/>
        <v>9.1078066914498157E-2</v>
      </c>
      <c r="KL45" s="116" t="s">
        <v>143</v>
      </c>
      <c r="KM45" s="117">
        <f t="shared" si="224"/>
        <v>0.15199999999999991</v>
      </c>
      <c r="KN45" s="117">
        <f t="shared" si="224"/>
        <v>0.11842105263157898</v>
      </c>
      <c r="KO45" s="117">
        <f t="shared" si="224"/>
        <v>0.11111111111111116</v>
      </c>
      <c r="KP45" s="117">
        <f t="shared" si="224"/>
        <v>0.10810810810810811</v>
      </c>
      <c r="KQ45" s="117">
        <f t="shared" si="224"/>
        <v>0.12095400340715501</v>
      </c>
      <c r="KS45" s="116" t="s">
        <v>143</v>
      </c>
      <c r="KT45" s="117">
        <f t="shared" si="225"/>
        <v>0.20138888888888884</v>
      </c>
      <c r="KU45" s="117">
        <f t="shared" si="225"/>
        <v>0.12352941176470589</v>
      </c>
      <c r="KV45" s="117">
        <f t="shared" si="225"/>
        <v>5.555555555555558E-2</v>
      </c>
      <c r="KW45" s="117">
        <f t="shared" si="225"/>
        <v>9.1463414634146423E-2</v>
      </c>
      <c r="KX45" s="117">
        <f t="shared" si="225"/>
        <v>0.11398176291793316</v>
      </c>
      <c r="KZ45" s="116" t="s">
        <v>143</v>
      </c>
      <c r="LA45" s="117">
        <f t="shared" si="226"/>
        <v>5.7803468208093012E-3</v>
      </c>
      <c r="LB45" s="214">
        <f t="shared" si="226"/>
        <v>8.3769633507853491E-2</v>
      </c>
      <c r="LC45" s="214">
        <f t="shared" si="226"/>
        <v>6.315789473684208E-2</v>
      </c>
      <c r="LD45" s="214">
        <f t="shared" si="226"/>
        <v>5.5865921787709549E-2</v>
      </c>
      <c r="LE45" s="214">
        <f t="shared" si="226"/>
        <v>5.3206002728513058E-2</v>
      </c>
      <c r="LF45" s="557"/>
      <c r="LG45" s="116" t="s">
        <v>143</v>
      </c>
      <c r="LH45" s="214">
        <f t="shared" si="227"/>
        <v>4.022988505747116E-2</v>
      </c>
      <c r="LI45" s="214">
        <f t="shared" si="227"/>
        <v>5.3140096618357502E-2</v>
      </c>
      <c r="LJ45" s="214">
        <f t="shared" si="227"/>
        <v>0.11881188118811892</v>
      </c>
      <c r="LK45" s="214">
        <f t="shared" si="227"/>
        <v>9.5238095238095344E-2</v>
      </c>
      <c r="LL45" s="214">
        <f t="shared" si="227"/>
        <v>7.7720207253886064E-2</v>
      </c>
      <c r="LM45" s="557"/>
      <c r="LN45" s="116" t="s">
        <v>143</v>
      </c>
      <c r="LO45" s="214">
        <f t="shared" si="228"/>
        <v>7.3812500000000059E-2</v>
      </c>
      <c r="LP45" s="214">
        <f t="shared" si="228"/>
        <v>6.3437500000000036E-2</v>
      </c>
      <c r="LQ45" s="214">
        <f t="shared" si="228"/>
        <v>4.0174999999999628E-2</v>
      </c>
      <c r="LR45" s="214">
        <f t="shared" si="228"/>
        <v>0.10227499999999967</v>
      </c>
      <c r="LS45" s="214">
        <f t="shared" si="228"/>
        <v>6.9038356370192178E-2</v>
      </c>
      <c r="LT45" s="557"/>
      <c r="LU45" s="116" t="s">
        <v>143</v>
      </c>
      <c r="LV45" s="214">
        <f t="shared" si="229"/>
        <v>7.3800000000000088E-2</v>
      </c>
      <c r="LW45" s="214">
        <f t="shared" si="230"/>
        <v>6.3399999999999901E-2</v>
      </c>
      <c r="LX45" s="214">
        <f t="shared" si="231"/>
        <v>6.8600000000000216E-2</v>
      </c>
      <c r="LY45" s="214">
        <f t="shared" si="232"/>
        <v>6.8599999999999994E-2</v>
      </c>
      <c r="LZ45" s="214">
        <f t="shared" si="233"/>
        <v>6.8380940317314787E-2</v>
      </c>
      <c r="MA45" s="557"/>
      <c r="MB45" s="116" t="s">
        <v>143</v>
      </c>
      <c r="MC45" s="214">
        <f t="shared" si="234"/>
        <v>6.0874999999999568E-2</v>
      </c>
      <c r="MD45" s="214">
        <f t="shared" si="235"/>
        <v>6.0875000000000012E-2</v>
      </c>
      <c r="ME45" s="214">
        <f t="shared" si="236"/>
        <v>6.087499999999979E-2</v>
      </c>
      <c r="MF45" s="214">
        <f t="shared" si="237"/>
        <v>6.087499999999979E-2</v>
      </c>
      <c r="MG45" s="214">
        <f t="shared" si="238"/>
        <v>6.087499999999979E-2</v>
      </c>
      <c r="MH45" s="557"/>
    </row>
    <row r="46" spans="1:346" s="37" customFormat="1" ht="13.15" x14ac:dyDescent="0.4">
      <c r="A46" s="100"/>
      <c r="B46" s="116" t="s">
        <v>144</v>
      </c>
      <c r="C46" s="117"/>
      <c r="D46" s="117"/>
      <c r="E46" s="117"/>
      <c r="F46" s="117"/>
      <c r="G46" s="117"/>
      <c r="H46" s="117"/>
      <c r="I46" s="117"/>
      <c r="J46" s="117"/>
      <c r="K46" s="117"/>
      <c r="L46" s="117"/>
      <c r="M46" s="117"/>
      <c r="N46" s="117">
        <f t="shared" si="151"/>
        <v>-0.10606060606060608</v>
      </c>
      <c r="O46" s="117">
        <f t="shared" si="152"/>
        <v>-6.3559322033898358E-2</v>
      </c>
      <c r="P46" s="117">
        <f t="shared" si="153"/>
        <v>-8.5972850678733059E-2</v>
      </c>
      <c r="Q46" s="117">
        <f t="shared" si="154"/>
        <v>8.9108910891089188E-2</v>
      </c>
      <c r="R46" s="117">
        <f t="shared" si="155"/>
        <v>0.1045454545454545</v>
      </c>
      <c r="S46" s="117">
        <f t="shared" si="156"/>
        <v>0.17283950617283961</v>
      </c>
      <c r="T46" s="117">
        <f t="shared" si="157"/>
        <v>2.1052631578947434E-2</v>
      </c>
      <c r="U46" s="117">
        <f t="shared" si="158"/>
        <v>-3.4364261168384758E-3</v>
      </c>
      <c r="V46" s="117">
        <f t="shared" si="159"/>
        <v>8.2758620689655116E-2</v>
      </c>
      <c r="W46" s="117">
        <f t="shared" si="160"/>
        <v>-9.5541401273885329E-3</v>
      </c>
      <c r="X46" s="117">
        <f t="shared" si="161"/>
        <v>0.18649517684887451</v>
      </c>
      <c r="Y46" s="117">
        <f t="shared" si="162"/>
        <v>0.102981029810298</v>
      </c>
      <c r="Z46" s="117">
        <f t="shared" si="163"/>
        <v>-2.9484029484029506E-2</v>
      </c>
      <c r="AA46" s="117">
        <f t="shared" si="164"/>
        <v>1.51898734177216E-2</v>
      </c>
      <c r="AB46" s="117">
        <f t="shared" si="165"/>
        <v>8.4788029925187081E-2</v>
      </c>
      <c r="AC46" s="117">
        <f t="shared" si="166"/>
        <v>0.17471264367816097</v>
      </c>
      <c r="AD46" s="117">
        <f t="shared" si="167"/>
        <v>0.1154598825831703</v>
      </c>
      <c r="AE46" s="117">
        <f t="shared" si="168"/>
        <v>0.18070175438596481</v>
      </c>
      <c r="AF46" s="117">
        <f t="shared" si="169"/>
        <v>0.13967310549777112</v>
      </c>
      <c r="AG46" s="117">
        <f t="shared" si="170"/>
        <v>-1.9556714471968717E-2</v>
      </c>
      <c r="AH46" s="117">
        <f t="shared" si="171"/>
        <v>-0.46941489361702127</v>
      </c>
      <c r="AI46" s="117">
        <f t="shared" si="172"/>
        <v>0.30325814536340845</v>
      </c>
      <c r="AJ46" s="117">
        <f t="shared" si="173"/>
        <v>0.17884615384615388</v>
      </c>
      <c r="AK46" s="117">
        <f t="shared" si="174"/>
        <v>3.5889070146818858E-2</v>
      </c>
      <c r="AL46" s="117">
        <f t="shared" si="175"/>
        <v>0.1590551181102362</v>
      </c>
      <c r="AM46" s="117">
        <f t="shared" si="176"/>
        <v>0.11956521739130443</v>
      </c>
      <c r="AN46" s="117">
        <f t="shared" si="177"/>
        <v>-0.12257281553398058</v>
      </c>
      <c r="AO46" s="117">
        <f t="shared" si="178"/>
        <v>1.2448132780082943E-2</v>
      </c>
      <c r="AP46" s="117">
        <f t="shared" si="179"/>
        <v>-3.9617486338797803E-2</v>
      </c>
      <c r="AQ46" s="117">
        <f t="shared" si="180"/>
        <v>9.3883357041251836E-2</v>
      </c>
      <c r="AR46" s="117">
        <f t="shared" si="181"/>
        <v>-3.5110533159947943E-2</v>
      </c>
      <c r="AS46" s="117">
        <f t="shared" si="182"/>
        <v>-9.0296495956873279E-2</v>
      </c>
      <c r="AT46" s="117">
        <f t="shared" si="183"/>
        <v>0.17925925925925923</v>
      </c>
      <c r="AU46" s="117">
        <f t="shared" si="184"/>
        <v>4.020100502512558E-2</v>
      </c>
      <c r="AV46" s="117">
        <f t="shared" si="185"/>
        <v>0.10748792270531404</v>
      </c>
      <c r="AW46" s="117">
        <f t="shared" si="186"/>
        <v>-1.7448200654307522E-2</v>
      </c>
      <c r="AX46" s="117">
        <f t="shared" si="187"/>
        <v>-3.5516093229744694E-2</v>
      </c>
      <c r="AY46" s="117">
        <f t="shared" si="188"/>
        <v>5.0244260644418892E-2</v>
      </c>
      <c r="AZ46" s="117">
        <f t="shared" si="189"/>
        <v>5.3187499999999943E-2</v>
      </c>
      <c r="BA46" s="117">
        <f t="shared" si="190"/>
        <v>5.0624999999999476E-2</v>
      </c>
      <c r="BB46" s="117"/>
      <c r="BC46" s="117"/>
      <c r="BD46" s="117"/>
      <c r="BE46" s="117"/>
      <c r="BF46" s="117"/>
      <c r="BG46" s="117"/>
      <c r="BH46" s="117"/>
      <c r="BI46" s="117"/>
      <c r="BJ46" s="117"/>
      <c r="BK46" s="117"/>
      <c r="BL46" s="117"/>
      <c r="BM46" s="117"/>
      <c r="BO46" s="116" t="s">
        <v>144</v>
      </c>
      <c r="BP46" s="117">
        <f t="shared" ref="BP46:BT48" si="239">BP13/I13-1</f>
        <v>-0.76923076923076916</v>
      </c>
      <c r="BQ46" s="117">
        <f t="shared" si="239"/>
        <v>-0.72961373390557938</v>
      </c>
      <c r="BR46" s="117">
        <f t="shared" si="239"/>
        <v>-0.71830985915492951</v>
      </c>
      <c r="BS46" s="117">
        <f t="shared" si="239"/>
        <v>-0.76859504132231404</v>
      </c>
      <c r="BT46" s="117">
        <f t="shared" si="239"/>
        <v>-0.10606060606060608</v>
      </c>
      <c r="BV46" s="116" t="s">
        <v>144</v>
      </c>
      <c r="BW46" s="117">
        <f t="shared" ref="BW46:CA48" si="240">BW13/BP13-1</f>
        <v>-7.0175438596491224E-2</v>
      </c>
      <c r="BX46" s="117">
        <f t="shared" si="240"/>
        <v>-6.3492063492063489E-2</v>
      </c>
      <c r="BY46" s="117">
        <f t="shared" si="240"/>
        <v>-8.333333333333337E-2</v>
      </c>
      <c r="BZ46" s="117">
        <f t="shared" si="240"/>
        <v>-3.5714285714285698E-2</v>
      </c>
      <c r="CA46" s="117">
        <f t="shared" si="240"/>
        <v>-6.3559322033898358E-2</v>
      </c>
      <c r="CC46" s="116" t="s">
        <v>144</v>
      </c>
      <c r="CD46" s="117">
        <f t="shared" ref="CD46:CH48" si="241">CD13/BW13-1</f>
        <v>-9.4339622641509413E-2</v>
      </c>
      <c r="CE46" s="117">
        <f t="shared" si="241"/>
        <v>-0.18644067796610164</v>
      </c>
      <c r="CF46" s="117">
        <f t="shared" si="241"/>
        <v>-1.8181818181818188E-2</v>
      </c>
      <c r="CG46" s="117">
        <f t="shared" si="241"/>
        <v>-3.703703703703709E-2</v>
      </c>
      <c r="CH46" s="117">
        <f t="shared" si="241"/>
        <v>-8.5972850678733059E-2</v>
      </c>
      <c r="CJ46" s="116" t="s">
        <v>144</v>
      </c>
      <c r="CK46" s="117">
        <f t="shared" ref="CK46:CO48" si="242">CK13/CD13-1</f>
        <v>4.1666666666666741E-2</v>
      </c>
      <c r="CL46" s="117">
        <f t="shared" si="242"/>
        <v>0.22916666666666674</v>
      </c>
      <c r="CM46" s="117">
        <f t="shared" si="242"/>
        <v>1.8518518518518601E-2</v>
      </c>
      <c r="CN46" s="117">
        <f t="shared" si="242"/>
        <v>7.6923076923076872E-2</v>
      </c>
      <c r="CO46" s="117">
        <f t="shared" si="242"/>
        <v>8.9108910891089188E-2</v>
      </c>
      <c r="CQ46" s="116" t="s">
        <v>144</v>
      </c>
      <c r="CR46" s="117">
        <f t="shared" ref="CR46:CV48" si="243">CR13/CK13-1</f>
        <v>0.12000000000000011</v>
      </c>
      <c r="CS46" s="117">
        <f t="shared" si="243"/>
        <v>6.7796610169491567E-2</v>
      </c>
      <c r="CT46" s="117">
        <f t="shared" si="243"/>
        <v>9.0909090909090828E-2</v>
      </c>
      <c r="CU46" s="117">
        <f t="shared" si="243"/>
        <v>0.14285714285714279</v>
      </c>
      <c r="CV46" s="117">
        <f t="shared" si="243"/>
        <v>0.1045454545454545</v>
      </c>
      <c r="CX46" s="116" t="s">
        <v>144</v>
      </c>
      <c r="CY46" s="117">
        <f t="shared" ref="CY46:DC48" si="244">CY13/CR13-1</f>
        <v>0.25</v>
      </c>
      <c r="CZ46" s="117">
        <f t="shared" si="244"/>
        <v>0.15873015873015883</v>
      </c>
      <c r="DA46" s="117">
        <f t="shared" si="244"/>
        <v>0.19999999999999996</v>
      </c>
      <c r="DB46" s="117">
        <f t="shared" si="244"/>
        <v>9.375E-2</v>
      </c>
      <c r="DC46" s="117">
        <f t="shared" si="244"/>
        <v>0.17283950617283961</v>
      </c>
      <c r="DE46" s="116" t="s">
        <v>144</v>
      </c>
      <c r="DF46" s="117">
        <f t="shared" ref="DF46:DJ48" si="245">DF13/CY13-1</f>
        <v>5.7142857142857162E-2</v>
      </c>
      <c r="DG46" s="117">
        <f t="shared" si="245"/>
        <v>4.1095890410958846E-2</v>
      </c>
      <c r="DH46" s="117">
        <f t="shared" si="245"/>
        <v>1.388888888888884E-2</v>
      </c>
      <c r="DI46" s="117">
        <f t="shared" si="245"/>
        <v>-2.8571428571428581E-2</v>
      </c>
      <c r="DJ46" s="117">
        <f t="shared" si="245"/>
        <v>2.1052631578947434E-2</v>
      </c>
      <c r="DL46" s="116" t="s">
        <v>144</v>
      </c>
      <c r="DM46" s="117">
        <f t="shared" ref="DM46:DQ48" si="246">DM13/DF13-1</f>
        <v>-5.4054054054054057E-2</v>
      </c>
      <c r="DN46" s="117">
        <f t="shared" si="246"/>
        <v>-3.9473684210526327E-2</v>
      </c>
      <c r="DO46" s="117">
        <f t="shared" si="246"/>
        <v>-1.3698630136986356E-2</v>
      </c>
      <c r="DP46" s="117">
        <f t="shared" si="246"/>
        <v>0.10294117647058831</v>
      </c>
      <c r="DQ46" s="117">
        <f t="shared" si="246"/>
        <v>-3.4364261168384758E-3</v>
      </c>
      <c r="DS46" s="116" t="s">
        <v>144</v>
      </c>
      <c r="DT46" s="117">
        <f t="shared" ref="DT46:DX48" si="247">DT13/DM13-1</f>
        <v>7.1428571428571397E-2</v>
      </c>
      <c r="DU46" s="117">
        <f t="shared" si="247"/>
        <v>0.1095890410958904</v>
      </c>
      <c r="DV46" s="117">
        <f t="shared" si="247"/>
        <v>9.7222222222222321E-2</v>
      </c>
      <c r="DW46" s="117">
        <f t="shared" si="247"/>
        <v>5.3333333333333233E-2</v>
      </c>
      <c r="DX46" s="117">
        <f t="shared" si="247"/>
        <v>8.2758620689655116E-2</v>
      </c>
      <c r="DZ46" s="116" t="s">
        <v>144</v>
      </c>
      <c r="EA46" s="117">
        <f t="shared" ref="EA46:EE48" si="248">EA13/DT13-1</f>
        <v>4.0000000000000036E-2</v>
      </c>
      <c r="EB46" s="117">
        <f t="shared" si="248"/>
        <v>6.1728395061728447E-2</v>
      </c>
      <c r="EC46" s="117">
        <f t="shared" si="248"/>
        <v>-3.7974683544303778E-2</v>
      </c>
      <c r="ED46" s="117">
        <f t="shared" si="248"/>
        <v>-0.10126582278481011</v>
      </c>
      <c r="EE46" s="117">
        <f t="shared" si="248"/>
        <v>-9.5541401273885329E-3</v>
      </c>
      <c r="EG46" s="116" t="s">
        <v>144</v>
      </c>
      <c r="EH46" s="117">
        <f t="shared" ref="EH46:EL48" si="249">EH13/EA13-1</f>
        <v>7.6923076923076872E-2</v>
      </c>
      <c r="EI46" s="117">
        <f t="shared" si="249"/>
        <v>2.3255813953488413E-2</v>
      </c>
      <c r="EJ46" s="117">
        <f t="shared" si="249"/>
        <v>0.31578947368421062</v>
      </c>
      <c r="EK46" s="117">
        <f t="shared" si="249"/>
        <v>0.36619718309859151</v>
      </c>
      <c r="EL46" s="117">
        <f t="shared" si="249"/>
        <v>0.18649517684887451</v>
      </c>
      <c r="EN46" s="116" t="s">
        <v>144</v>
      </c>
      <c r="EO46" s="117">
        <f t="shared" ref="EO46:ES48" si="250">EO13/EH13-1</f>
        <v>0.25</v>
      </c>
      <c r="EP46" s="117">
        <f t="shared" si="250"/>
        <v>0.20454545454545459</v>
      </c>
      <c r="EQ46" s="117">
        <f t="shared" si="250"/>
        <v>0</v>
      </c>
      <c r="ER46" s="117">
        <f t="shared" si="250"/>
        <v>-1.0309278350515427E-2</v>
      </c>
      <c r="ES46" s="117">
        <f t="shared" si="250"/>
        <v>0.102981029810298</v>
      </c>
      <c r="EU46" s="116" t="s">
        <v>144</v>
      </c>
      <c r="EV46" s="117">
        <f t="shared" ref="EV46:EZ48" si="251">EV13/EO13-1</f>
        <v>-5.7142857142857162E-2</v>
      </c>
      <c r="EW46" s="117">
        <f t="shared" si="251"/>
        <v>-2.8301886792452824E-2</v>
      </c>
      <c r="EX46" s="117">
        <f t="shared" si="251"/>
        <v>2.0000000000000018E-2</v>
      </c>
      <c r="EY46" s="117">
        <f t="shared" si="251"/>
        <v>-5.208333333333337E-2</v>
      </c>
      <c r="EZ46" s="117">
        <f t="shared" si="251"/>
        <v>-2.9484029484029506E-2</v>
      </c>
      <c r="FB46" s="116" t="s">
        <v>144</v>
      </c>
      <c r="FC46" s="117">
        <f t="shared" ref="FC46:FG48" si="252">FC13/EV13-1</f>
        <v>-1.0101010101010055E-2</v>
      </c>
      <c r="FD46" s="117">
        <f t="shared" si="252"/>
        <v>-2.9126213592232997E-2</v>
      </c>
      <c r="FE46" s="117">
        <f t="shared" si="252"/>
        <v>1.9607843137254832E-2</v>
      </c>
      <c r="FF46" s="117">
        <f t="shared" si="252"/>
        <v>8.7912087912087822E-2</v>
      </c>
      <c r="FG46" s="117">
        <f t="shared" si="252"/>
        <v>1.51898734177216E-2</v>
      </c>
      <c r="FI46" s="116" t="s">
        <v>144</v>
      </c>
      <c r="FJ46" s="117">
        <f t="shared" ref="FJ46:FN48" si="253">FJ13/FC13-1</f>
        <v>0.12244897959183665</v>
      </c>
      <c r="FK46" s="117">
        <f t="shared" si="253"/>
        <v>8.0000000000000071E-2</v>
      </c>
      <c r="FL46" s="117">
        <f t="shared" si="253"/>
        <v>2.8846153846153744E-2</v>
      </c>
      <c r="FM46" s="117">
        <f t="shared" si="253"/>
        <v>0.11111111111111116</v>
      </c>
      <c r="FN46" s="117">
        <f t="shared" si="253"/>
        <v>8.4788029925187081E-2</v>
      </c>
      <c r="FP46" s="116" t="s">
        <v>144</v>
      </c>
      <c r="FQ46" s="117">
        <f t="shared" ref="FQ46:FU48" si="254">FQ13/FJ13-1</f>
        <v>8.181818181818179E-2</v>
      </c>
      <c r="FR46" s="117">
        <f t="shared" si="254"/>
        <v>0.15740740740740744</v>
      </c>
      <c r="FS46" s="117">
        <f t="shared" si="254"/>
        <v>0.20560747663551404</v>
      </c>
      <c r="FT46" s="117">
        <f t="shared" si="254"/>
        <v>0.25454545454545463</v>
      </c>
      <c r="FU46" s="117">
        <f t="shared" si="254"/>
        <v>0.17471264367816097</v>
      </c>
      <c r="FW46" s="116" t="s">
        <v>144</v>
      </c>
      <c r="FX46" s="117">
        <f t="shared" ref="FX46:GB48" si="255">FX13/FQ13-1</f>
        <v>0.15966386554621859</v>
      </c>
      <c r="FY46" s="117">
        <f t="shared" si="255"/>
        <v>0.12000000000000011</v>
      </c>
      <c r="FZ46" s="117">
        <f t="shared" si="255"/>
        <v>0.10077519379844957</v>
      </c>
      <c r="GA46" s="117">
        <f t="shared" si="255"/>
        <v>8.6956521739130377E-2</v>
      </c>
      <c r="GB46" s="117">
        <f t="shared" si="255"/>
        <v>0.1154598825831703</v>
      </c>
      <c r="GD46" s="116" t="s">
        <v>144</v>
      </c>
      <c r="GE46" s="117">
        <f t="shared" ref="GE46:GI48" si="256">GE13/FX13-1</f>
        <v>0.18840579710144922</v>
      </c>
      <c r="GF46" s="117">
        <f t="shared" si="256"/>
        <v>0.23571428571428577</v>
      </c>
      <c r="GG46" s="117">
        <f t="shared" si="256"/>
        <v>0.23943661971830976</v>
      </c>
      <c r="GH46" s="117">
        <f t="shared" si="256"/>
        <v>6.6666666666666652E-2</v>
      </c>
      <c r="GI46" s="117">
        <f t="shared" si="256"/>
        <v>0.18070175438596481</v>
      </c>
      <c r="GK46" s="116" t="s">
        <v>144</v>
      </c>
      <c r="GL46" s="117">
        <f t="shared" ref="GL46:GP48" si="257">GL13/GE13-1</f>
        <v>7.3170731707317138E-2</v>
      </c>
      <c r="GM46" s="117">
        <f t="shared" si="257"/>
        <v>5.2023121387283267E-2</v>
      </c>
      <c r="GN46" s="117">
        <f t="shared" si="257"/>
        <v>0.39772727272727271</v>
      </c>
      <c r="GO46" s="117">
        <f t="shared" si="257"/>
        <v>1.8750000000000044E-2</v>
      </c>
      <c r="GP46" s="117">
        <f t="shared" si="257"/>
        <v>0.13967310549777112</v>
      </c>
      <c r="GR46" s="116" t="s">
        <v>144</v>
      </c>
      <c r="GS46" s="117">
        <f t="shared" ref="GS46:GW48" si="258">GS13/GL13-1</f>
        <v>0.11931818181818188</v>
      </c>
      <c r="GT46" s="117">
        <f t="shared" si="258"/>
        <v>0.15934065934065944</v>
      </c>
      <c r="GU46" s="117">
        <f t="shared" si="258"/>
        <v>-0.12601626016260159</v>
      </c>
      <c r="GV46" s="117">
        <f t="shared" si="258"/>
        <v>-0.20858895705521474</v>
      </c>
      <c r="GW46" s="117">
        <f t="shared" si="258"/>
        <v>-1.9556714471968717E-2</v>
      </c>
      <c r="GY46" s="116" t="s">
        <v>144</v>
      </c>
      <c r="GZ46" s="117">
        <f t="shared" ref="GZ46:HD48" si="259">GZ13/GS13-1</f>
        <v>-0.50761421319796951</v>
      </c>
      <c r="HA46" s="117">
        <f t="shared" si="259"/>
        <v>-0.58767772511848348</v>
      </c>
      <c r="HB46" s="117">
        <f t="shared" si="259"/>
        <v>-0.48372093023255813</v>
      </c>
      <c r="HC46" s="117">
        <f t="shared" si="259"/>
        <v>-0.19379844961240311</v>
      </c>
      <c r="HD46" s="117">
        <f t="shared" si="259"/>
        <v>-0.46941489361702127</v>
      </c>
      <c r="HF46" s="116" t="s">
        <v>144</v>
      </c>
      <c r="HG46" s="117">
        <f t="shared" ref="HG46:HK48" si="260">HG13/GZ13-1</f>
        <v>0.31958762886597936</v>
      </c>
      <c r="HH46" s="117">
        <f t="shared" si="260"/>
        <v>0.60919540229885061</v>
      </c>
      <c r="HI46" s="117">
        <f t="shared" si="260"/>
        <v>0.12612612612612617</v>
      </c>
      <c r="HJ46" s="117">
        <f t="shared" si="260"/>
        <v>0.22115384615384626</v>
      </c>
      <c r="HK46" s="117">
        <f t="shared" si="260"/>
        <v>0.30325814536340845</v>
      </c>
      <c r="HM46" s="116" t="s">
        <v>144</v>
      </c>
      <c r="HN46" s="117">
        <f t="shared" si="213"/>
        <v>0.15625</v>
      </c>
      <c r="HO46" s="117">
        <f t="shared" si="213"/>
        <v>0.12857142857142856</v>
      </c>
      <c r="HP46" s="117">
        <f t="shared" si="213"/>
        <v>0.24</v>
      </c>
      <c r="HQ46" s="117">
        <f t="shared" si="213"/>
        <v>0.1968503937007875</v>
      </c>
      <c r="HR46" s="117">
        <f t="shared" si="213"/>
        <v>0.17884615384615388</v>
      </c>
      <c r="HT46" s="116" t="s">
        <v>144</v>
      </c>
      <c r="HU46" s="117">
        <f t="shared" si="214"/>
        <v>0.15540540540540548</v>
      </c>
      <c r="HV46" s="117">
        <f t="shared" si="214"/>
        <v>3.1645569620253111E-2</v>
      </c>
      <c r="HW46" s="117">
        <f t="shared" si="214"/>
        <v>0</v>
      </c>
      <c r="HX46" s="117">
        <f t="shared" si="214"/>
        <v>-3.9473684210526327E-2</v>
      </c>
      <c r="HY46" s="117">
        <f t="shared" si="214"/>
        <v>3.5889070146818858E-2</v>
      </c>
      <c r="IA46" s="116" t="s">
        <v>144</v>
      </c>
      <c r="IB46" s="117">
        <f t="shared" si="215"/>
        <v>7.6023391812865437E-2</v>
      </c>
      <c r="IC46" s="117">
        <f t="shared" si="215"/>
        <v>0.12269938650306744</v>
      </c>
      <c r="ID46" s="117">
        <f t="shared" si="215"/>
        <v>0.21935483870967731</v>
      </c>
      <c r="IE46" s="117">
        <f t="shared" si="215"/>
        <v>0.23287671232876717</v>
      </c>
      <c r="IF46" s="117">
        <f t="shared" si="215"/>
        <v>0.1590551181102362</v>
      </c>
      <c r="IH46" s="116" t="s">
        <v>144</v>
      </c>
      <c r="II46" s="117">
        <f t="shared" si="216"/>
        <v>3.2608695652173836E-2</v>
      </c>
      <c r="IJ46" s="117">
        <f t="shared" si="216"/>
        <v>0.17486338797814205</v>
      </c>
      <c r="IK46" s="117">
        <f t="shared" si="216"/>
        <v>0.18518518518518512</v>
      </c>
      <c r="IL46" s="117">
        <f t="shared" si="216"/>
        <v>8.3333333333333259E-2</v>
      </c>
      <c r="IM46" s="117">
        <f t="shared" si="216"/>
        <v>0.11956521739130443</v>
      </c>
      <c r="IO46" s="116" t="s">
        <v>144</v>
      </c>
      <c r="IP46" s="117">
        <f t="shared" si="217"/>
        <v>-5.2631578947368474E-2</v>
      </c>
      <c r="IQ46" s="117">
        <f t="shared" si="217"/>
        <v>-0.13953488372093026</v>
      </c>
      <c r="IR46" s="117">
        <f t="shared" si="217"/>
        <v>-0.1517857142857143</v>
      </c>
      <c r="IS46" s="117">
        <f t="shared" si="217"/>
        <v>-0.13846153846153841</v>
      </c>
      <c r="IT46" s="117">
        <f t="shared" si="217"/>
        <v>-0.12257281553398058</v>
      </c>
      <c r="IV46" s="116" t="s">
        <v>144</v>
      </c>
      <c r="IW46" s="117">
        <f t="shared" si="218"/>
        <v>-8.333333333333337E-2</v>
      </c>
      <c r="IX46" s="117">
        <f t="shared" si="218"/>
        <v>5.4054054054053502E-3</v>
      </c>
      <c r="IY46" s="117">
        <f t="shared" si="218"/>
        <v>-5.2631578947368474E-2</v>
      </c>
      <c r="IZ46" s="117">
        <f t="shared" si="218"/>
        <v>0.1964285714285714</v>
      </c>
      <c r="JA46" s="117">
        <f t="shared" si="218"/>
        <v>1.2448132780082943E-2</v>
      </c>
      <c r="JC46" s="116" t="s">
        <v>144</v>
      </c>
      <c r="JD46" s="117">
        <f t="shared" si="219"/>
        <v>0.1515151515151516</v>
      </c>
      <c r="JE46" s="117">
        <f t="shared" si="219"/>
        <v>-4.3010752688172005E-2</v>
      </c>
      <c r="JF46" s="117">
        <f t="shared" si="219"/>
        <v>-1.1111111111111072E-2</v>
      </c>
      <c r="JG46" s="117">
        <f t="shared" si="219"/>
        <v>-0.21890547263681592</v>
      </c>
      <c r="JH46" s="117">
        <f t="shared" si="219"/>
        <v>-3.9617486338797803E-2</v>
      </c>
      <c r="JJ46" s="116" t="s">
        <v>144</v>
      </c>
      <c r="JK46" s="117">
        <f t="shared" si="220"/>
        <v>-2.1052631578947323E-2</v>
      </c>
      <c r="JL46" s="117">
        <f t="shared" si="220"/>
        <v>0.11235955056179781</v>
      </c>
      <c r="JM46" s="117">
        <f t="shared" si="220"/>
        <v>0.151685393258427</v>
      </c>
      <c r="JN46" s="117">
        <f t="shared" si="220"/>
        <v>0.14649681528662417</v>
      </c>
      <c r="JO46" s="117">
        <f t="shared" si="220"/>
        <v>9.3883357041251836E-2</v>
      </c>
      <c r="JQ46" s="116" t="s">
        <v>144</v>
      </c>
      <c r="JR46" s="117">
        <f t="shared" si="221"/>
        <v>1.6129032258064502E-2</v>
      </c>
      <c r="JS46" s="117">
        <f t="shared" si="221"/>
        <v>-5.0505050505050497E-2</v>
      </c>
      <c r="JT46" s="117">
        <f t="shared" si="221"/>
        <v>-4.8780487804878092E-2</v>
      </c>
      <c r="JU46" s="117">
        <f t="shared" si="221"/>
        <v>-5.555555555555558E-2</v>
      </c>
      <c r="JV46" s="117">
        <f t="shared" si="221"/>
        <v>-3.5110533159947943E-2</v>
      </c>
      <c r="JX46" s="116" t="s">
        <v>144</v>
      </c>
      <c r="JY46" s="117">
        <f t="shared" si="222"/>
        <v>5.2910052910053018E-2</v>
      </c>
      <c r="JZ46" s="117">
        <f t="shared" si="222"/>
        <v>-0.24468085106382975</v>
      </c>
      <c r="KA46" s="117">
        <f t="shared" si="222"/>
        <v>-0.18461538461538463</v>
      </c>
      <c r="KB46" s="117">
        <f t="shared" si="222"/>
        <v>2.9411764705882248E-2</v>
      </c>
      <c r="KC46" s="117">
        <f t="shared" si="222"/>
        <v>-9.0296495956873279E-2</v>
      </c>
      <c r="KE46" s="116" t="s">
        <v>144</v>
      </c>
      <c r="KF46" s="117">
        <f t="shared" si="223"/>
        <v>-6.5326633165829096E-2</v>
      </c>
      <c r="KG46" s="117">
        <f t="shared" si="223"/>
        <v>0.43661971830985924</v>
      </c>
      <c r="KH46" s="117">
        <f t="shared" si="223"/>
        <v>0.29559748427672949</v>
      </c>
      <c r="KI46" s="117">
        <f t="shared" si="223"/>
        <v>0.14285714285714279</v>
      </c>
      <c r="KJ46" s="117">
        <f t="shared" si="223"/>
        <v>0.17925925925925923</v>
      </c>
      <c r="KL46" s="116" t="s">
        <v>144</v>
      </c>
      <c r="KM46" s="117">
        <f t="shared" si="224"/>
        <v>5.9139784946236507E-2</v>
      </c>
      <c r="KN46" s="117">
        <f t="shared" si="224"/>
        <v>5.8823529411764719E-2</v>
      </c>
      <c r="KO46" s="117">
        <f t="shared" si="224"/>
        <v>2.4271844660194164E-2</v>
      </c>
      <c r="KP46" s="117">
        <f t="shared" si="224"/>
        <v>2.0000000000000018E-2</v>
      </c>
      <c r="KQ46" s="117">
        <f t="shared" si="224"/>
        <v>4.020100502512558E-2</v>
      </c>
      <c r="KS46" s="116" t="s">
        <v>144</v>
      </c>
      <c r="KT46" s="117">
        <f t="shared" si="225"/>
        <v>0.21319796954314718</v>
      </c>
      <c r="KU46" s="117">
        <f t="shared" si="225"/>
        <v>0.11111111111111116</v>
      </c>
      <c r="KV46" s="117">
        <f t="shared" si="225"/>
        <v>6.6350710900473953E-2</v>
      </c>
      <c r="KW46" s="117">
        <f t="shared" si="225"/>
        <v>4.4117647058823595E-2</v>
      </c>
      <c r="KX46" s="117">
        <f t="shared" si="225"/>
        <v>0.10748792270531404</v>
      </c>
      <c r="KZ46" s="116" t="s">
        <v>144</v>
      </c>
      <c r="LA46" s="117">
        <f t="shared" si="226"/>
        <v>9.6234309623431047E-2</v>
      </c>
      <c r="LB46" s="214">
        <f t="shared" si="226"/>
        <v>-4.166666666666663E-2</v>
      </c>
      <c r="LC46" s="214">
        <f t="shared" si="226"/>
        <v>-7.5555555555555598E-2</v>
      </c>
      <c r="LD46" s="214">
        <f t="shared" si="226"/>
        <v>-5.633802816901412E-2</v>
      </c>
      <c r="LE46" s="214">
        <f t="shared" si="226"/>
        <v>-1.7448200654307522E-2</v>
      </c>
      <c r="LF46" s="557"/>
      <c r="LG46" s="116" t="s">
        <v>144</v>
      </c>
      <c r="LH46" s="214">
        <f t="shared" si="227"/>
        <v>-0.20229007633587781</v>
      </c>
      <c r="LI46" s="214">
        <f t="shared" si="227"/>
        <v>-2.6086956521739091E-2</v>
      </c>
      <c r="LJ46" s="214">
        <f t="shared" si="227"/>
        <v>7.6923076923076872E-2</v>
      </c>
      <c r="LK46" s="214">
        <f t="shared" si="227"/>
        <v>5.4726368159204064E-2</v>
      </c>
      <c r="LL46" s="214">
        <f t="shared" si="227"/>
        <v>-3.5516093229744694E-2</v>
      </c>
      <c r="LM46" s="557"/>
      <c r="LN46" s="116" t="s">
        <v>144</v>
      </c>
      <c r="LO46" s="214">
        <f t="shared" si="228"/>
        <v>7.3812500000000059E-2</v>
      </c>
      <c r="LP46" s="214">
        <f t="shared" si="228"/>
        <v>2.7125000000000066E-2</v>
      </c>
      <c r="LQ46" s="214">
        <f t="shared" si="228"/>
        <v>5.8312499999999989E-2</v>
      </c>
      <c r="LR46" s="214">
        <f t="shared" si="228"/>
        <v>4.2912500000000131E-2</v>
      </c>
      <c r="LS46" s="214">
        <f t="shared" si="228"/>
        <v>5.0244260644418892E-2</v>
      </c>
      <c r="LT46" s="557"/>
      <c r="LU46" s="116" t="s">
        <v>144</v>
      </c>
      <c r="LV46" s="214">
        <f t="shared" si="229"/>
        <v>5.3187499999999943E-2</v>
      </c>
      <c r="LW46" s="214">
        <f t="shared" si="230"/>
        <v>5.3187499999999943E-2</v>
      </c>
      <c r="LX46" s="214">
        <f t="shared" si="231"/>
        <v>5.3187499999999943E-2</v>
      </c>
      <c r="LY46" s="214">
        <f t="shared" si="232"/>
        <v>5.3187500000000165E-2</v>
      </c>
      <c r="LZ46" s="214">
        <f t="shared" si="233"/>
        <v>5.3187499999999943E-2</v>
      </c>
      <c r="MA46" s="557"/>
      <c r="MB46" s="116" t="s">
        <v>144</v>
      </c>
      <c r="MC46" s="214">
        <f t="shared" si="234"/>
        <v>5.0624999999999698E-2</v>
      </c>
      <c r="MD46" s="214">
        <f t="shared" si="235"/>
        <v>5.0624999999999698E-2</v>
      </c>
      <c r="ME46" s="214">
        <f t="shared" si="236"/>
        <v>5.0624999999999698E-2</v>
      </c>
      <c r="MF46" s="214">
        <f t="shared" si="237"/>
        <v>5.0624999999999698E-2</v>
      </c>
      <c r="MG46" s="214">
        <f t="shared" si="238"/>
        <v>5.0624999999999476E-2</v>
      </c>
      <c r="MH46" s="557"/>
    </row>
    <row r="47" spans="1:346" s="37" customFormat="1" ht="13.15" x14ac:dyDescent="0.4">
      <c r="A47" s="100"/>
      <c r="B47" s="116" t="s">
        <v>142</v>
      </c>
      <c r="C47" s="117"/>
      <c r="D47" s="117"/>
      <c r="E47" s="117"/>
      <c r="F47" s="117"/>
      <c r="G47" s="117"/>
      <c r="H47" s="117"/>
      <c r="I47" s="117"/>
      <c r="J47" s="117"/>
      <c r="K47" s="117"/>
      <c r="L47" s="117"/>
      <c r="M47" s="117"/>
      <c r="N47" s="117">
        <f t="shared" si="151"/>
        <v>-4.9900199600798389E-2</v>
      </c>
      <c r="O47" s="117">
        <f t="shared" si="152"/>
        <v>-2.9411764705882359E-2</v>
      </c>
      <c r="P47" s="117">
        <f t="shared" si="153"/>
        <v>-6.4935064935064957E-2</v>
      </c>
      <c r="Q47" s="117">
        <f t="shared" si="154"/>
        <v>3.7037037037036979E-2</v>
      </c>
      <c r="R47" s="117">
        <f t="shared" si="155"/>
        <v>-1.3392857142857095E-2</v>
      </c>
      <c r="S47" s="117">
        <f t="shared" si="156"/>
        <v>4.5248868778280382E-3</v>
      </c>
      <c r="T47" s="117">
        <f t="shared" si="157"/>
        <v>4.5045045045045029E-2</v>
      </c>
      <c r="U47" s="117">
        <f t="shared" si="158"/>
        <v>6.4655172413793149E-2</v>
      </c>
      <c r="V47" s="117">
        <f t="shared" si="159"/>
        <v>1.0121457489878471E-2</v>
      </c>
      <c r="W47" s="117">
        <f t="shared" si="160"/>
        <v>2.0040080160319551E-3</v>
      </c>
      <c r="X47" s="117">
        <f t="shared" si="161"/>
        <v>0.19399999999999995</v>
      </c>
      <c r="Y47" s="117">
        <f t="shared" si="162"/>
        <v>0.36180904522613067</v>
      </c>
      <c r="Z47" s="117">
        <f t="shared" si="163"/>
        <v>-4.5510455104551095E-2</v>
      </c>
      <c r="AA47" s="117">
        <f t="shared" si="164"/>
        <v>-6.4432989690721421E-3</v>
      </c>
      <c r="AB47" s="117">
        <f t="shared" si="165"/>
        <v>-0.13748378728923472</v>
      </c>
      <c r="AC47" s="117">
        <f t="shared" si="166"/>
        <v>2.4060150375939893E-2</v>
      </c>
      <c r="AD47" s="117">
        <f t="shared" si="167"/>
        <v>5.2863436123347984E-2</v>
      </c>
      <c r="AE47" s="117">
        <f t="shared" si="168"/>
        <v>7.8103207810320763E-2</v>
      </c>
      <c r="AF47" s="117">
        <f t="shared" si="169"/>
        <v>3.8809831824062169E-2</v>
      </c>
      <c r="AG47" s="117">
        <f t="shared" si="170"/>
        <v>-1.2453300124533051E-2</v>
      </c>
      <c r="AH47" s="117">
        <f t="shared" si="171"/>
        <v>-0.31021437578814626</v>
      </c>
      <c r="AI47" s="117">
        <f t="shared" si="172"/>
        <v>9.6892138939670858E-2</v>
      </c>
      <c r="AJ47" s="117">
        <f t="shared" si="173"/>
        <v>0.1399999999999999</v>
      </c>
      <c r="AK47" s="117">
        <f t="shared" si="174"/>
        <v>5.555555555555558E-2</v>
      </c>
      <c r="AL47" s="117">
        <f t="shared" si="175"/>
        <v>7.3407202216066558E-2</v>
      </c>
      <c r="AM47" s="117">
        <f t="shared" si="176"/>
        <v>5.6774193548387197E-2</v>
      </c>
      <c r="AN47" s="117">
        <f t="shared" si="177"/>
        <v>-2.8083028083028094E-2</v>
      </c>
      <c r="AO47" s="117">
        <f t="shared" si="178"/>
        <v>-0.13190954773869346</v>
      </c>
      <c r="AP47" s="117">
        <f t="shared" si="179"/>
        <v>-1.3024602026049159E-2</v>
      </c>
      <c r="AQ47" s="117">
        <f t="shared" si="180"/>
        <v>0.24633431085043989</v>
      </c>
      <c r="AR47" s="117">
        <f t="shared" si="181"/>
        <v>2.7058823529411802E-2</v>
      </c>
      <c r="AS47" s="117">
        <f t="shared" si="182"/>
        <v>-5.6128293241695326E-2</v>
      </c>
      <c r="AT47" s="117">
        <f t="shared" si="183"/>
        <v>0.11407766990291268</v>
      </c>
      <c r="AU47" s="117">
        <f t="shared" si="184"/>
        <v>8.4967320261437829E-2</v>
      </c>
      <c r="AV47" s="117">
        <f t="shared" si="185"/>
        <v>1.6064257028112428E-2</v>
      </c>
      <c r="AW47" s="117">
        <f t="shared" si="186"/>
        <v>-6.9169960474307901E-3</v>
      </c>
      <c r="AX47" s="117">
        <f t="shared" si="187"/>
        <v>-2.9850746268656692E-2</v>
      </c>
      <c r="AY47" s="117">
        <f t="shared" si="188"/>
        <v>-2.8837948717947981E-3</v>
      </c>
      <c r="AZ47" s="117">
        <f t="shared" si="189"/>
        <v>4.6744601219485871E-2</v>
      </c>
      <c r="BA47" s="117">
        <f t="shared" si="190"/>
        <v>5.5893042977026131E-2</v>
      </c>
      <c r="BB47" s="117"/>
      <c r="BC47" s="117"/>
      <c r="BD47" s="117"/>
      <c r="BE47" s="117"/>
      <c r="BF47" s="117"/>
      <c r="BG47" s="117"/>
      <c r="BH47" s="117"/>
      <c r="BI47" s="117"/>
      <c r="BJ47" s="117"/>
      <c r="BK47" s="117"/>
      <c r="BL47" s="117"/>
      <c r="BM47" s="117"/>
      <c r="BO47" s="116" t="s">
        <v>142</v>
      </c>
      <c r="BP47" s="117">
        <f t="shared" si="239"/>
        <v>-0.74066390041493779</v>
      </c>
      <c r="BQ47" s="117">
        <f t="shared" si="239"/>
        <v>-0.79365079365079372</v>
      </c>
      <c r="BR47" s="117">
        <f t="shared" si="239"/>
        <v>-0.7661290322580645</v>
      </c>
      <c r="BS47" s="117">
        <f t="shared" si="239"/>
        <v>-0.76064908722109537</v>
      </c>
      <c r="BT47" s="117">
        <f t="shared" si="239"/>
        <v>-4.9900199600798389E-2</v>
      </c>
      <c r="BV47" s="116" t="s">
        <v>142</v>
      </c>
      <c r="BW47" s="117">
        <f t="shared" si="240"/>
        <v>-4.0000000000000036E-2</v>
      </c>
      <c r="BX47" s="117">
        <f t="shared" si="240"/>
        <v>8.5470085470085166E-3</v>
      </c>
      <c r="BY47" s="117">
        <f t="shared" si="240"/>
        <v>-3.4482758620689613E-2</v>
      </c>
      <c r="BZ47" s="117">
        <f t="shared" si="240"/>
        <v>-5.084745762711862E-2</v>
      </c>
      <c r="CA47" s="117">
        <f t="shared" si="240"/>
        <v>-2.9411764705882359E-2</v>
      </c>
      <c r="CC47" s="116" t="s">
        <v>142</v>
      </c>
      <c r="CD47" s="117">
        <f t="shared" si="241"/>
        <v>-9.9999999999999978E-2</v>
      </c>
      <c r="CE47" s="117">
        <f t="shared" si="241"/>
        <v>-0.10169491525423724</v>
      </c>
      <c r="CF47" s="117">
        <f t="shared" si="241"/>
        <v>-1.7857142857142905E-2</v>
      </c>
      <c r="CG47" s="117">
        <f t="shared" si="241"/>
        <v>-3.5714285714285698E-2</v>
      </c>
      <c r="CH47" s="117">
        <f t="shared" si="241"/>
        <v>-6.4935064935064957E-2</v>
      </c>
      <c r="CJ47" s="116" t="s">
        <v>142</v>
      </c>
      <c r="CK47" s="117">
        <f t="shared" si="242"/>
        <v>8.3333333333333259E-2</v>
      </c>
      <c r="CL47" s="117">
        <f t="shared" si="242"/>
        <v>4.7169811320754818E-2</v>
      </c>
      <c r="CM47" s="117">
        <f t="shared" si="242"/>
        <v>0</v>
      </c>
      <c r="CN47" s="117">
        <f t="shared" si="242"/>
        <v>1.8518518518518601E-2</v>
      </c>
      <c r="CO47" s="117">
        <f t="shared" si="242"/>
        <v>3.7037037037036979E-2</v>
      </c>
      <c r="CQ47" s="116" t="s">
        <v>142</v>
      </c>
      <c r="CR47" s="117">
        <f t="shared" si="243"/>
        <v>-3.4188034188034178E-2</v>
      </c>
      <c r="CS47" s="117">
        <f t="shared" si="243"/>
        <v>0</v>
      </c>
      <c r="CT47" s="117">
        <f t="shared" si="243"/>
        <v>-2.7272727272727226E-2</v>
      </c>
      <c r="CU47" s="117">
        <f t="shared" si="243"/>
        <v>9.0909090909090384E-3</v>
      </c>
      <c r="CV47" s="117">
        <f t="shared" si="243"/>
        <v>-1.3392857142857095E-2</v>
      </c>
      <c r="CX47" s="116" t="s">
        <v>142</v>
      </c>
      <c r="CY47" s="117">
        <f t="shared" si="244"/>
        <v>-1.7699115044247815E-2</v>
      </c>
      <c r="CZ47" s="117">
        <f t="shared" si="244"/>
        <v>2.7027027027026973E-2</v>
      </c>
      <c r="DA47" s="117">
        <f t="shared" si="244"/>
        <v>2.8037383177569986E-2</v>
      </c>
      <c r="DB47" s="117">
        <f t="shared" si="244"/>
        <v>-1.8018018018018056E-2</v>
      </c>
      <c r="DC47" s="117">
        <f t="shared" si="244"/>
        <v>4.5248868778280382E-3</v>
      </c>
      <c r="DE47" s="116" t="s">
        <v>142</v>
      </c>
      <c r="DF47" s="117">
        <f t="shared" si="245"/>
        <v>1.8018018018018056E-2</v>
      </c>
      <c r="DG47" s="117">
        <f t="shared" si="245"/>
        <v>4.3859649122806932E-2</v>
      </c>
      <c r="DH47" s="117">
        <f t="shared" si="245"/>
        <v>6.3636363636363713E-2</v>
      </c>
      <c r="DI47" s="117">
        <f t="shared" si="245"/>
        <v>5.504587155963292E-2</v>
      </c>
      <c r="DJ47" s="117">
        <f t="shared" si="245"/>
        <v>4.5045045045045029E-2</v>
      </c>
      <c r="DL47" s="116" t="s">
        <v>142</v>
      </c>
      <c r="DM47" s="117">
        <f t="shared" si="246"/>
        <v>6.1946902654867353E-2</v>
      </c>
      <c r="DN47" s="117">
        <f t="shared" si="246"/>
        <v>5.0420168067226934E-2</v>
      </c>
      <c r="DO47" s="117">
        <f t="shared" si="246"/>
        <v>5.9829059829059839E-2</v>
      </c>
      <c r="DP47" s="117">
        <f t="shared" si="246"/>
        <v>8.6956521739130377E-2</v>
      </c>
      <c r="DQ47" s="117">
        <f t="shared" si="246"/>
        <v>6.4655172413793149E-2</v>
      </c>
      <c r="DS47" s="116" t="s">
        <v>142</v>
      </c>
      <c r="DT47" s="117">
        <f t="shared" si="247"/>
        <v>6.6666666666666652E-2</v>
      </c>
      <c r="DU47" s="117">
        <f t="shared" si="247"/>
        <v>8.0000000000000071E-3</v>
      </c>
      <c r="DV47" s="117">
        <f t="shared" si="247"/>
        <v>-8.0645161290322509E-3</v>
      </c>
      <c r="DW47" s="117">
        <f t="shared" si="247"/>
        <v>-2.4000000000000021E-2</v>
      </c>
      <c r="DX47" s="117">
        <f t="shared" si="247"/>
        <v>1.0121457489878471E-2</v>
      </c>
      <c r="DZ47" s="116" t="s">
        <v>142</v>
      </c>
      <c r="EA47" s="117">
        <f t="shared" si="248"/>
        <v>-1.5625E-2</v>
      </c>
      <c r="EB47" s="117">
        <f t="shared" si="248"/>
        <v>-1.5873015873015928E-2</v>
      </c>
      <c r="EC47" s="117">
        <f t="shared" si="248"/>
        <v>4.0650406504065151E-2</v>
      </c>
      <c r="ED47" s="117">
        <f t="shared" si="248"/>
        <v>0</v>
      </c>
      <c r="EE47" s="117">
        <f t="shared" si="248"/>
        <v>2.0040080160319551E-3</v>
      </c>
      <c r="EG47" s="116" t="s">
        <v>142</v>
      </c>
      <c r="EH47" s="117">
        <f t="shared" si="249"/>
        <v>6.3492063492063489E-2</v>
      </c>
      <c r="EI47" s="117">
        <f t="shared" si="249"/>
        <v>0.14516129032258074</v>
      </c>
      <c r="EJ47" s="117">
        <f t="shared" si="249"/>
        <v>0.25</v>
      </c>
      <c r="EK47" s="117">
        <f t="shared" si="249"/>
        <v>0.31967213114754101</v>
      </c>
      <c r="EL47" s="117">
        <f t="shared" si="249"/>
        <v>0.19399999999999995</v>
      </c>
      <c r="EN47" s="116" t="s">
        <v>142</v>
      </c>
      <c r="EO47" s="117">
        <f t="shared" si="250"/>
        <v>0.55223880597014929</v>
      </c>
      <c r="EP47" s="117">
        <f t="shared" si="250"/>
        <v>0.471830985915493</v>
      </c>
      <c r="EQ47" s="117">
        <f t="shared" si="250"/>
        <v>0.25</v>
      </c>
      <c r="ER47" s="117">
        <f t="shared" si="250"/>
        <v>0.21739130434782616</v>
      </c>
      <c r="ES47" s="117">
        <f t="shared" si="250"/>
        <v>0.36180904522613067</v>
      </c>
      <c r="EU47" s="116" t="s">
        <v>142</v>
      </c>
      <c r="EV47" s="117">
        <f t="shared" si="251"/>
        <v>-5.7692307692307709E-2</v>
      </c>
      <c r="EW47" s="117">
        <f t="shared" si="251"/>
        <v>-5.2631578947368474E-2</v>
      </c>
      <c r="EX47" s="117">
        <f t="shared" si="251"/>
        <v>-1.0000000000000009E-2</v>
      </c>
      <c r="EY47" s="117">
        <f t="shared" si="251"/>
        <v>-6.1224489795918324E-2</v>
      </c>
      <c r="EZ47" s="117">
        <f t="shared" si="251"/>
        <v>-4.5510455104551095E-2</v>
      </c>
      <c r="FB47" s="116" t="s">
        <v>142</v>
      </c>
      <c r="FC47" s="117">
        <f t="shared" si="252"/>
        <v>-3.5714285714285698E-2</v>
      </c>
      <c r="FD47" s="117">
        <f t="shared" si="252"/>
        <v>-5.050505050505083E-3</v>
      </c>
      <c r="FE47" s="117">
        <f t="shared" si="252"/>
        <v>-1.5151515151515138E-2</v>
      </c>
      <c r="FF47" s="117">
        <f t="shared" si="252"/>
        <v>3.2608695652173836E-2</v>
      </c>
      <c r="FG47" s="117">
        <f t="shared" si="252"/>
        <v>-6.4432989690721421E-3</v>
      </c>
      <c r="FI47" s="116" t="s">
        <v>142</v>
      </c>
      <c r="FJ47" s="117">
        <f t="shared" si="253"/>
        <v>3.1746031746031855E-2</v>
      </c>
      <c r="FK47" s="117">
        <f t="shared" si="253"/>
        <v>-0.19289340101522845</v>
      </c>
      <c r="FL47" s="117">
        <f t="shared" si="253"/>
        <v>-0.18974358974358974</v>
      </c>
      <c r="FM47" s="117">
        <f t="shared" si="253"/>
        <v>-0.19473684210526321</v>
      </c>
      <c r="FN47" s="117">
        <f t="shared" si="253"/>
        <v>-0.13748378728923472</v>
      </c>
      <c r="FP47" s="116" t="s">
        <v>142</v>
      </c>
      <c r="FQ47" s="117">
        <f t="shared" si="254"/>
        <v>-0.18461538461538463</v>
      </c>
      <c r="FR47" s="117">
        <f t="shared" si="254"/>
        <v>4.4025157232704393E-2</v>
      </c>
      <c r="FS47" s="117">
        <f t="shared" si="254"/>
        <v>8.2278481012658222E-2</v>
      </c>
      <c r="FT47" s="117">
        <f t="shared" si="254"/>
        <v>0.20915032679738554</v>
      </c>
      <c r="FU47" s="117">
        <f t="shared" si="254"/>
        <v>2.4060150375939893E-2</v>
      </c>
      <c r="FW47" s="116" t="s">
        <v>142</v>
      </c>
      <c r="FX47" s="117">
        <f t="shared" si="255"/>
        <v>0.10691823899371067</v>
      </c>
      <c r="FY47" s="117">
        <f t="shared" si="255"/>
        <v>9.0361445783132543E-2</v>
      </c>
      <c r="FZ47" s="117">
        <f t="shared" si="255"/>
        <v>3.5087719298245723E-2</v>
      </c>
      <c r="GA47" s="117">
        <f t="shared" si="255"/>
        <v>-1.0810810810810811E-2</v>
      </c>
      <c r="GB47" s="117">
        <f t="shared" si="255"/>
        <v>5.2863436123347984E-2</v>
      </c>
      <c r="GD47" s="116" t="s">
        <v>142</v>
      </c>
      <c r="GE47" s="117">
        <f t="shared" si="256"/>
        <v>8.5227272727272707E-2</v>
      </c>
      <c r="GF47" s="117">
        <f t="shared" si="256"/>
        <v>7.182320441988943E-2</v>
      </c>
      <c r="GG47" s="117">
        <f t="shared" si="256"/>
        <v>0.12994350282485878</v>
      </c>
      <c r="GH47" s="117">
        <f t="shared" si="256"/>
        <v>2.732240437158473E-2</v>
      </c>
      <c r="GI47" s="117">
        <f t="shared" si="256"/>
        <v>7.8103207810320763E-2</v>
      </c>
      <c r="GK47" s="116" t="s">
        <v>142</v>
      </c>
      <c r="GL47" s="117">
        <f t="shared" si="257"/>
        <v>7.3298429319371694E-2</v>
      </c>
      <c r="GM47" s="117">
        <f t="shared" si="257"/>
        <v>8.247422680412364E-2</v>
      </c>
      <c r="GN47" s="117">
        <f t="shared" si="257"/>
        <v>1.4999999999999902E-2</v>
      </c>
      <c r="GO47" s="117">
        <f t="shared" si="257"/>
        <v>-1.5957446808510634E-2</v>
      </c>
      <c r="GP47" s="117">
        <f t="shared" si="257"/>
        <v>3.8809831824062169E-2</v>
      </c>
      <c r="GR47" s="116" t="s">
        <v>142</v>
      </c>
      <c r="GS47" s="117">
        <f t="shared" si="258"/>
        <v>-6.3414634146341409E-2</v>
      </c>
      <c r="GT47" s="117">
        <f t="shared" si="258"/>
        <v>-2.3809523809523836E-2</v>
      </c>
      <c r="GU47" s="117">
        <f t="shared" si="258"/>
        <v>6.4039408866995107E-2</v>
      </c>
      <c r="GV47" s="117">
        <f t="shared" si="258"/>
        <v>-2.7027027027026973E-2</v>
      </c>
      <c r="GW47" s="117">
        <f t="shared" si="258"/>
        <v>-1.2453300124533051E-2</v>
      </c>
      <c r="GY47" s="116" t="s">
        <v>142</v>
      </c>
      <c r="GZ47" s="117">
        <f t="shared" si="259"/>
        <v>-0.27083333333333337</v>
      </c>
      <c r="HA47" s="117">
        <f t="shared" si="259"/>
        <v>-0.35121951219512193</v>
      </c>
      <c r="HB47" s="117">
        <f t="shared" si="259"/>
        <v>-0.35185185185185186</v>
      </c>
      <c r="HC47" s="117">
        <f t="shared" si="259"/>
        <v>-0.25555555555555554</v>
      </c>
      <c r="HD47" s="117">
        <f t="shared" si="259"/>
        <v>-0.31021437578814626</v>
      </c>
      <c r="HF47" s="116" t="s">
        <v>142</v>
      </c>
      <c r="HG47" s="117">
        <f t="shared" si="260"/>
        <v>0</v>
      </c>
      <c r="HH47" s="117">
        <f t="shared" si="260"/>
        <v>0.1278195488721805</v>
      </c>
      <c r="HI47" s="117">
        <f t="shared" si="260"/>
        <v>7.1428571428571397E-2</v>
      </c>
      <c r="HJ47" s="117">
        <f t="shared" si="260"/>
        <v>0.19402985074626855</v>
      </c>
      <c r="HK47" s="117">
        <f t="shared" si="260"/>
        <v>9.6892138939670858E-2</v>
      </c>
      <c r="HM47" s="116" t="s">
        <v>142</v>
      </c>
      <c r="HN47" s="117">
        <f t="shared" si="213"/>
        <v>0.14999999999999991</v>
      </c>
      <c r="HO47" s="117">
        <f t="shared" si="213"/>
        <v>0.15999999999999992</v>
      </c>
      <c r="HP47" s="117">
        <f t="shared" si="213"/>
        <v>0.19333333333333336</v>
      </c>
      <c r="HQ47" s="117">
        <f t="shared" si="213"/>
        <v>6.25E-2</v>
      </c>
      <c r="HR47" s="117">
        <f t="shared" si="213"/>
        <v>0.1399999999999999</v>
      </c>
      <c r="HT47" s="116" t="s">
        <v>142</v>
      </c>
      <c r="HU47" s="117">
        <f t="shared" si="214"/>
        <v>0.12422360248447206</v>
      </c>
      <c r="HV47" s="117">
        <f t="shared" si="214"/>
        <v>5.7471264367816133E-2</v>
      </c>
      <c r="HW47" s="117">
        <f t="shared" si="214"/>
        <v>1.6759776536312776E-2</v>
      </c>
      <c r="HX47" s="117">
        <f t="shared" si="214"/>
        <v>2.9411764705882248E-2</v>
      </c>
      <c r="HY47" s="117">
        <f t="shared" si="214"/>
        <v>5.555555555555558E-2</v>
      </c>
      <c r="IA47" s="116" t="s">
        <v>142</v>
      </c>
      <c r="IB47" s="117">
        <f t="shared" si="215"/>
        <v>4.4198895027624419E-2</v>
      </c>
      <c r="IC47" s="117">
        <f t="shared" si="215"/>
        <v>5.9782608695652106E-2</v>
      </c>
      <c r="ID47" s="117">
        <f t="shared" si="215"/>
        <v>9.3406593406593297E-2</v>
      </c>
      <c r="IE47" s="117">
        <f t="shared" si="215"/>
        <v>9.7142857142857197E-2</v>
      </c>
      <c r="IF47" s="117">
        <f t="shared" si="215"/>
        <v>7.3407202216066558E-2</v>
      </c>
      <c r="IH47" s="116" t="s">
        <v>142</v>
      </c>
      <c r="II47" s="117">
        <f t="shared" si="216"/>
        <v>2.6455026455026509E-2</v>
      </c>
      <c r="IJ47" s="117">
        <f t="shared" si="216"/>
        <v>7.6923076923076872E-2</v>
      </c>
      <c r="IK47" s="117">
        <f t="shared" si="216"/>
        <v>5.0251256281407031E-2</v>
      </c>
      <c r="IL47" s="117">
        <f t="shared" si="216"/>
        <v>7.2916666666666741E-2</v>
      </c>
      <c r="IM47" s="117">
        <f t="shared" si="216"/>
        <v>5.6774193548387197E-2</v>
      </c>
      <c r="IO47" s="116" t="s">
        <v>142</v>
      </c>
      <c r="IP47" s="117">
        <f t="shared" si="217"/>
        <v>2.0618556701030855E-2</v>
      </c>
      <c r="IQ47" s="117">
        <f t="shared" si="217"/>
        <v>-3.8095238095238071E-2</v>
      </c>
      <c r="IR47" s="117">
        <f t="shared" si="217"/>
        <v>-2.8708133971291905E-2</v>
      </c>
      <c r="IS47" s="117">
        <f t="shared" si="217"/>
        <v>-6.3106796116504826E-2</v>
      </c>
      <c r="IT47" s="117">
        <f t="shared" si="217"/>
        <v>-2.8083028083028094E-2</v>
      </c>
      <c r="IV47" s="116" t="s">
        <v>142</v>
      </c>
      <c r="IW47" s="117">
        <f t="shared" si="218"/>
        <v>-4.5454545454545414E-2</v>
      </c>
      <c r="IX47" s="117">
        <f t="shared" si="218"/>
        <v>-4.9504950495049549E-2</v>
      </c>
      <c r="IY47" s="117">
        <f t="shared" si="218"/>
        <v>-5.9113300492610876E-2</v>
      </c>
      <c r="IZ47" s="117">
        <f t="shared" si="218"/>
        <v>-0.38341968911917101</v>
      </c>
      <c r="JA47" s="117">
        <f t="shared" si="218"/>
        <v>-0.13190954773869346</v>
      </c>
      <c r="JC47" s="116" t="s">
        <v>142</v>
      </c>
      <c r="JD47" s="117">
        <f t="shared" si="219"/>
        <v>1.5873015873015817E-2</v>
      </c>
      <c r="JE47" s="117">
        <f t="shared" si="219"/>
        <v>1.0416666666666741E-2</v>
      </c>
      <c r="JF47" s="117">
        <f t="shared" si="219"/>
        <v>-5.2356020942408432E-2</v>
      </c>
      <c r="JG47" s="117">
        <f t="shared" si="219"/>
        <v>-3.3613445378151252E-2</v>
      </c>
      <c r="JH47" s="117">
        <f t="shared" si="219"/>
        <v>-1.3024602026049159E-2</v>
      </c>
      <c r="JJ47" s="116" t="s">
        <v>142</v>
      </c>
      <c r="JK47" s="117">
        <f t="shared" si="220"/>
        <v>1.5625E-2</v>
      </c>
      <c r="JL47" s="117">
        <f t="shared" si="220"/>
        <v>0.10824742268041243</v>
      </c>
      <c r="JM47" s="117">
        <f t="shared" si="220"/>
        <v>0.2320441988950277</v>
      </c>
      <c r="JN47" s="117">
        <f t="shared" si="220"/>
        <v>0.88695652173913042</v>
      </c>
      <c r="JO47" s="117">
        <f t="shared" si="220"/>
        <v>0.24633431085043989</v>
      </c>
      <c r="JQ47" s="116" t="s">
        <v>142</v>
      </c>
      <c r="JR47" s="117">
        <f t="shared" si="221"/>
        <v>0.10769230769230775</v>
      </c>
      <c r="JS47" s="117">
        <f t="shared" si="221"/>
        <v>1.3953488372093092E-2</v>
      </c>
      <c r="JT47" s="117">
        <f t="shared" si="221"/>
        <v>8.9686098654708779E-3</v>
      </c>
      <c r="JU47" s="117">
        <f t="shared" si="221"/>
        <v>-1.3824884792626779E-2</v>
      </c>
      <c r="JV47" s="117">
        <f t="shared" si="221"/>
        <v>2.7058823529411802E-2</v>
      </c>
      <c r="JX47" s="116" t="s">
        <v>142</v>
      </c>
      <c r="JY47" s="117">
        <f t="shared" si="222"/>
        <v>4.6296296296295392E-3</v>
      </c>
      <c r="JZ47" s="117">
        <f t="shared" si="222"/>
        <v>-0.11009174311926606</v>
      </c>
      <c r="KA47" s="117">
        <f t="shared" si="222"/>
        <v>-8.4444444444444433E-2</v>
      </c>
      <c r="KB47" s="117">
        <f t="shared" si="222"/>
        <v>-3.2710280373831724E-2</v>
      </c>
      <c r="KC47" s="117">
        <f t="shared" si="222"/>
        <v>-5.6128293241695326E-2</v>
      </c>
      <c r="KE47" s="116" t="s">
        <v>142</v>
      </c>
      <c r="KF47" s="117">
        <f t="shared" si="223"/>
        <v>1.3824884792626779E-2</v>
      </c>
      <c r="KG47" s="117">
        <f t="shared" si="223"/>
        <v>0.2010309278350515</v>
      </c>
      <c r="KH47" s="117">
        <f t="shared" si="223"/>
        <v>0.12135922330097082</v>
      </c>
      <c r="KI47" s="117">
        <f t="shared" si="223"/>
        <v>0.13043478260869557</v>
      </c>
      <c r="KJ47" s="117">
        <f t="shared" si="223"/>
        <v>0.11407766990291268</v>
      </c>
      <c r="KL47" s="116" t="s">
        <v>142</v>
      </c>
      <c r="KM47" s="117">
        <f t="shared" si="224"/>
        <v>3.6363636363636376E-2</v>
      </c>
      <c r="KN47" s="117">
        <f t="shared" si="224"/>
        <v>7.7253218884120178E-2</v>
      </c>
      <c r="KO47" s="117">
        <f t="shared" si="224"/>
        <v>0.14285714285714279</v>
      </c>
      <c r="KP47" s="117">
        <f t="shared" si="224"/>
        <v>8.119658119658113E-2</v>
      </c>
      <c r="KQ47" s="117">
        <f t="shared" si="224"/>
        <v>8.4967320261437829E-2</v>
      </c>
      <c r="KS47" s="116" t="s">
        <v>142</v>
      </c>
      <c r="KT47" s="117">
        <f t="shared" si="225"/>
        <v>0.14473684210526305</v>
      </c>
      <c r="KU47" s="117">
        <f t="shared" si="225"/>
        <v>2.3904382470119501E-2</v>
      </c>
      <c r="KV47" s="117">
        <f t="shared" si="225"/>
        <v>-7.9545454545454586E-2</v>
      </c>
      <c r="KW47" s="117">
        <f t="shared" si="225"/>
        <v>-7.905138339920903E-3</v>
      </c>
      <c r="KX47" s="117">
        <f t="shared" si="225"/>
        <v>1.6064257028112428E-2</v>
      </c>
      <c r="KZ47" s="116" t="s">
        <v>142</v>
      </c>
      <c r="LA47" s="117">
        <f t="shared" si="226"/>
        <v>-0.15708812260536398</v>
      </c>
      <c r="LB47" s="214">
        <f t="shared" si="226"/>
        <v>4.6692607003891107E-2</v>
      </c>
      <c r="LC47" s="214">
        <f t="shared" si="226"/>
        <v>6.5843621399176877E-2</v>
      </c>
      <c r="LD47" s="214">
        <f t="shared" si="226"/>
        <v>2.3904382470119501E-2</v>
      </c>
      <c r="LE47" s="214">
        <f t="shared" si="226"/>
        <v>-6.9169960474307901E-3</v>
      </c>
      <c r="LF47" s="557"/>
      <c r="LG47" s="116" t="s">
        <v>142</v>
      </c>
      <c r="LH47" s="214">
        <f t="shared" si="227"/>
        <v>0.13181818181818183</v>
      </c>
      <c r="LI47" s="214">
        <f t="shared" si="227"/>
        <v>-7.0631970260223054E-2</v>
      </c>
      <c r="LJ47" s="214">
        <f t="shared" si="227"/>
        <v>-4.633204633204635E-2</v>
      </c>
      <c r="LK47" s="214">
        <f t="shared" si="227"/>
        <v>-0.1089494163424124</v>
      </c>
      <c r="LL47" s="214">
        <f t="shared" si="227"/>
        <v>-2.9850746268656692E-2</v>
      </c>
      <c r="LM47" s="557"/>
      <c r="LN47" s="116" t="s">
        <v>142</v>
      </c>
      <c r="LO47" s="214">
        <f t="shared" si="228"/>
        <v>-7.1799999999999975E-2</v>
      </c>
      <c r="LP47" s="214">
        <f t="shared" si="228"/>
        <v>-2.5899999999999923E-2</v>
      </c>
      <c r="LQ47" s="214">
        <f t="shared" si="228"/>
        <v>4.0300000000000225E-2</v>
      </c>
      <c r="LR47" s="214">
        <f t="shared" si="228"/>
        <v>5.0599999999999978E-2</v>
      </c>
      <c r="LS47" s="214">
        <f t="shared" si="228"/>
        <v>-2.8837948717947981E-3</v>
      </c>
      <c r="LT47" s="557"/>
      <c r="LU47" s="116" t="s">
        <v>142</v>
      </c>
      <c r="LV47" s="214">
        <f t="shared" si="229"/>
        <v>4.2825000000000113E-2</v>
      </c>
      <c r="LW47" s="214">
        <f t="shared" si="230"/>
        <v>4.2824999999999891E-2</v>
      </c>
      <c r="LX47" s="214">
        <f t="shared" si="231"/>
        <v>4.798749999999985E-2</v>
      </c>
      <c r="LY47" s="214">
        <f t="shared" si="232"/>
        <v>5.3150000000000031E-2</v>
      </c>
      <c r="LZ47" s="214">
        <f t="shared" si="233"/>
        <v>4.6744601219485871E-2</v>
      </c>
      <c r="MA47" s="557"/>
      <c r="MB47" s="116" t="s">
        <v>142</v>
      </c>
      <c r="MC47" s="214">
        <f t="shared" si="234"/>
        <v>5.0599999999999756E-2</v>
      </c>
      <c r="MD47" s="214">
        <f t="shared" si="235"/>
        <v>5.5749999999999966E-2</v>
      </c>
      <c r="ME47" s="214">
        <f t="shared" si="236"/>
        <v>6.0900000000000176E-2</v>
      </c>
      <c r="MF47" s="214">
        <f t="shared" si="237"/>
        <v>5.5749999999999966E-2</v>
      </c>
      <c r="MG47" s="214">
        <f t="shared" si="238"/>
        <v>5.5893042977026131E-2</v>
      </c>
      <c r="MH47" s="557"/>
    </row>
    <row r="48" spans="1:346" s="37" customFormat="1" ht="13.15" x14ac:dyDescent="0.4">
      <c r="A48" s="100"/>
      <c r="B48" s="116" t="s">
        <v>145</v>
      </c>
      <c r="C48" s="117"/>
      <c r="D48" s="117"/>
      <c r="E48" s="117"/>
      <c r="F48" s="117"/>
      <c r="G48" s="117"/>
      <c r="H48" s="117"/>
      <c r="I48" s="117"/>
      <c r="J48" s="117"/>
      <c r="K48" s="117"/>
      <c r="L48" s="117"/>
      <c r="M48" s="117"/>
      <c r="N48" s="117">
        <f t="shared" si="151"/>
        <v>-6.6666666666666652E-2</v>
      </c>
      <c r="O48" s="117">
        <f t="shared" si="152"/>
        <v>2.6315789473684292E-2</v>
      </c>
      <c r="P48" s="117">
        <f t="shared" si="153"/>
        <v>-7.3260073260073E-3</v>
      </c>
      <c r="Q48" s="117">
        <f t="shared" si="154"/>
        <v>-1.1070110701106972E-2</v>
      </c>
      <c r="R48" s="117">
        <f t="shared" si="155"/>
        <v>-4.4776119402985093E-2</v>
      </c>
      <c r="S48" s="117">
        <f t="shared" si="156"/>
        <v>-7.8125E-3</v>
      </c>
      <c r="T48" s="117">
        <f t="shared" si="157"/>
        <v>0.11023622047244097</v>
      </c>
      <c r="U48" s="117">
        <f t="shared" si="158"/>
        <v>-1.0638297872340385E-2</v>
      </c>
      <c r="V48" s="117">
        <f t="shared" si="159"/>
        <v>4.6594982078853153E-2</v>
      </c>
      <c r="W48" s="117">
        <f t="shared" si="160"/>
        <v>3.7671232876712368E-2</v>
      </c>
      <c r="X48" s="117">
        <f t="shared" si="161"/>
        <v>4.6204620462046098E-2</v>
      </c>
      <c r="Y48" s="117">
        <f t="shared" si="162"/>
        <v>0</v>
      </c>
      <c r="Z48" s="117">
        <f t="shared" si="163"/>
        <v>-3.4700315457413256E-2</v>
      </c>
      <c r="AA48" s="117">
        <f t="shared" si="164"/>
        <v>5.8823529411764719E-2</v>
      </c>
      <c r="AB48" s="117">
        <f t="shared" si="165"/>
        <v>1.5432098765432167E-2</v>
      </c>
      <c r="AC48" s="117">
        <f t="shared" si="166"/>
        <v>3.6474164133738496E-2</v>
      </c>
      <c r="AD48" s="117">
        <f t="shared" si="167"/>
        <v>2.9325513196480912E-2</v>
      </c>
      <c r="AE48" s="117">
        <f t="shared" si="168"/>
        <v>8.5470085470085166E-3</v>
      </c>
      <c r="AF48" s="117">
        <f t="shared" si="169"/>
        <v>0.18926553672316393</v>
      </c>
      <c r="AG48" s="117">
        <f t="shared" si="170"/>
        <v>9.5011876484560664E-2</v>
      </c>
      <c r="AH48" s="117">
        <f t="shared" si="171"/>
        <v>-0.19088937093275493</v>
      </c>
      <c r="AI48" s="117">
        <f t="shared" si="172"/>
        <v>0.24664879356568359</v>
      </c>
      <c r="AJ48" s="117">
        <f t="shared" si="173"/>
        <v>5.3763440860215006E-2</v>
      </c>
      <c r="AK48" s="117">
        <f t="shared" si="174"/>
        <v>4.4897959183673564E-2</v>
      </c>
      <c r="AL48" s="117">
        <f t="shared" si="175"/>
        <v>2.9296875E-2</v>
      </c>
      <c r="AM48" s="117">
        <f t="shared" si="176"/>
        <v>1.3282732447817747E-2</v>
      </c>
      <c r="AN48" s="117">
        <f t="shared" si="177"/>
        <v>-8.4269662921348298E-2</v>
      </c>
      <c r="AO48" s="117">
        <f t="shared" si="178"/>
        <v>5.9304703476482645E-2</v>
      </c>
      <c r="AP48" s="117">
        <f t="shared" si="179"/>
        <v>-0.10038610038610041</v>
      </c>
      <c r="AQ48" s="117">
        <f t="shared" si="180"/>
        <v>-5.1502145922746823E-2</v>
      </c>
      <c r="AR48" s="117">
        <f t="shared" si="181"/>
        <v>-2.4886877828054321E-2</v>
      </c>
      <c r="AS48" s="117">
        <f t="shared" si="182"/>
        <v>-1.6241299303944357E-2</v>
      </c>
      <c r="AT48" s="117">
        <f t="shared" si="183"/>
        <v>0.10849056603773577</v>
      </c>
      <c r="AU48" s="117">
        <f t="shared" si="184"/>
        <v>-3.1914893617021267E-2</v>
      </c>
      <c r="AV48" s="117">
        <f t="shared" si="185"/>
        <v>0.13406593406593403</v>
      </c>
      <c r="AW48" s="117">
        <f t="shared" si="186"/>
        <v>-2.1317829457364379E-2</v>
      </c>
      <c r="AX48" s="117">
        <f t="shared" si="187"/>
        <v>3.1683168316831711E-2</v>
      </c>
      <c r="AY48" s="117">
        <f t="shared" si="188"/>
        <v>5.0518522072936722E-2</v>
      </c>
      <c r="AZ48" s="117">
        <f t="shared" si="189"/>
        <v>5.0270168721177289E-2</v>
      </c>
      <c r="BA48" s="117">
        <f t="shared" si="190"/>
        <v>3.344310694030983E-2</v>
      </c>
      <c r="BB48" s="117"/>
      <c r="BC48" s="117"/>
      <c r="BD48" s="117"/>
      <c r="BE48" s="117"/>
      <c r="BF48" s="117"/>
      <c r="BG48" s="117"/>
      <c r="BH48" s="117"/>
      <c r="BI48" s="117"/>
      <c r="BJ48" s="117"/>
      <c r="BK48" s="117"/>
      <c r="BL48" s="117"/>
      <c r="BM48" s="117"/>
      <c r="BO48" s="116" t="s">
        <v>145</v>
      </c>
      <c r="BP48" s="117">
        <f t="shared" si="239"/>
        <v>-0.75477707006369421</v>
      </c>
      <c r="BQ48" s="117">
        <f t="shared" si="239"/>
        <v>-0.78758169934640521</v>
      </c>
      <c r="BR48" s="117">
        <f t="shared" si="239"/>
        <v>-0.74235807860262004</v>
      </c>
      <c r="BS48" s="117">
        <f t="shared" si="239"/>
        <v>-0.74806201550387597</v>
      </c>
      <c r="BT48" s="117">
        <f t="shared" si="239"/>
        <v>-6.6666666666666652E-2</v>
      </c>
      <c r="BV48" s="116" t="s">
        <v>145</v>
      </c>
      <c r="BW48" s="117">
        <f t="shared" si="240"/>
        <v>2.5974025974025983E-2</v>
      </c>
      <c r="BX48" s="117">
        <f t="shared" si="240"/>
        <v>7.6923076923076872E-2</v>
      </c>
      <c r="BY48" s="117">
        <f t="shared" si="240"/>
        <v>-3.3898305084745783E-2</v>
      </c>
      <c r="BZ48" s="117">
        <f t="shared" si="240"/>
        <v>3.076923076923066E-2</v>
      </c>
      <c r="CA48" s="117">
        <f t="shared" si="240"/>
        <v>2.6315789473684292E-2</v>
      </c>
      <c r="CC48" s="116" t="s">
        <v>145</v>
      </c>
      <c r="CD48" s="117">
        <f t="shared" si="241"/>
        <v>-5.0632911392405111E-2</v>
      </c>
      <c r="CE48" s="117">
        <f t="shared" si="241"/>
        <v>-2.8571428571428581E-2</v>
      </c>
      <c r="CF48" s="117">
        <f t="shared" si="241"/>
        <v>7.0175438596491224E-2</v>
      </c>
      <c r="CG48" s="117">
        <f t="shared" si="241"/>
        <v>0</v>
      </c>
      <c r="CH48" s="117">
        <f t="shared" si="241"/>
        <v>-7.3260073260073E-3</v>
      </c>
      <c r="CJ48" s="116" t="s">
        <v>145</v>
      </c>
      <c r="CK48" s="117">
        <f t="shared" si="242"/>
        <v>2.6666666666666616E-2</v>
      </c>
      <c r="CL48" s="117">
        <f t="shared" si="242"/>
        <v>4.4117647058823595E-2</v>
      </c>
      <c r="CM48" s="117">
        <f t="shared" si="242"/>
        <v>-6.557377049180324E-2</v>
      </c>
      <c r="CN48" s="117">
        <f t="shared" si="242"/>
        <v>-5.9701492537313383E-2</v>
      </c>
      <c r="CO48" s="117">
        <f t="shared" si="242"/>
        <v>-1.1070110701106972E-2</v>
      </c>
      <c r="CQ48" s="116" t="s">
        <v>145</v>
      </c>
      <c r="CR48" s="117">
        <f t="shared" si="243"/>
        <v>-9.0909090909090939E-2</v>
      </c>
      <c r="CS48" s="117">
        <f t="shared" si="243"/>
        <v>-5.633802816901412E-2</v>
      </c>
      <c r="CT48" s="117">
        <f t="shared" si="243"/>
        <v>1.7543859649122862E-2</v>
      </c>
      <c r="CU48" s="117">
        <f t="shared" si="243"/>
        <v>-3.1746031746031744E-2</v>
      </c>
      <c r="CV48" s="117">
        <f t="shared" si="243"/>
        <v>-4.4776119402985093E-2</v>
      </c>
      <c r="CX48" s="116" t="s">
        <v>145</v>
      </c>
      <c r="CY48" s="117">
        <f t="shared" si="244"/>
        <v>-4.2857142857142816E-2</v>
      </c>
      <c r="CZ48" s="117">
        <f t="shared" si="244"/>
        <v>-4.4776119402985093E-2</v>
      </c>
      <c r="DA48" s="117">
        <f t="shared" si="244"/>
        <v>1.7241379310344751E-2</v>
      </c>
      <c r="DB48" s="117">
        <f t="shared" si="244"/>
        <v>4.9180327868852514E-2</v>
      </c>
      <c r="DC48" s="117">
        <f t="shared" si="244"/>
        <v>-7.8125E-3</v>
      </c>
      <c r="DE48" s="116" t="s">
        <v>145</v>
      </c>
      <c r="DF48" s="117">
        <f t="shared" si="245"/>
        <v>0.17910447761194037</v>
      </c>
      <c r="DG48" s="117">
        <f t="shared" si="245"/>
        <v>4.6875E-2</v>
      </c>
      <c r="DH48" s="117">
        <f t="shared" si="245"/>
        <v>0.10169491525423724</v>
      </c>
      <c r="DI48" s="117">
        <f t="shared" si="245"/>
        <v>0.109375</v>
      </c>
      <c r="DJ48" s="117">
        <f t="shared" si="245"/>
        <v>0.11023622047244097</v>
      </c>
      <c r="DL48" s="116" t="s">
        <v>145</v>
      </c>
      <c r="DM48" s="117">
        <f t="shared" si="246"/>
        <v>-5.0632911392405111E-2</v>
      </c>
      <c r="DN48" s="117">
        <f t="shared" si="246"/>
        <v>2.9850746268656803E-2</v>
      </c>
      <c r="DO48" s="117">
        <f t="shared" si="246"/>
        <v>1.538461538461533E-2</v>
      </c>
      <c r="DP48" s="117">
        <f t="shared" si="246"/>
        <v>-2.8169014084507005E-2</v>
      </c>
      <c r="DQ48" s="117">
        <f t="shared" si="246"/>
        <v>-1.0638297872340385E-2</v>
      </c>
      <c r="DS48" s="116" t="s">
        <v>145</v>
      </c>
      <c r="DT48" s="117">
        <f t="shared" si="247"/>
        <v>0</v>
      </c>
      <c r="DU48" s="117">
        <f t="shared" si="247"/>
        <v>7.2463768115942129E-2</v>
      </c>
      <c r="DV48" s="117">
        <f t="shared" si="247"/>
        <v>3.0303030303030276E-2</v>
      </c>
      <c r="DW48" s="117">
        <f t="shared" si="247"/>
        <v>8.6956521739130377E-2</v>
      </c>
      <c r="DX48" s="117">
        <f t="shared" si="247"/>
        <v>4.6594982078853153E-2</v>
      </c>
      <c r="DZ48" s="116" t="s">
        <v>145</v>
      </c>
      <c r="EA48" s="117">
        <f t="shared" si="248"/>
        <v>0.10666666666666669</v>
      </c>
      <c r="EB48" s="117">
        <f t="shared" si="248"/>
        <v>5.4054054054053946E-2</v>
      </c>
      <c r="EC48" s="117">
        <f t="shared" si="248"/>
        <v>1.4705882352941124E-2</v>
      </c>
      <c r="ED48" s="117">
        <f t="shared" si="248"/>
        <v>-2.6666666666666616E-2</v>
      </c>
      <c r="EE48" s="117">
        <f t="shared" si="248"/>
        <v>3.7671232876712368E-2</v>
      </c>
      <c r="EG48" s="116" t="s">
        <v>145</v>
      </c>
      <c r="EH48" s="117">
        <f t="shared" si="249"/>
        <v>7.2289156626506035E-2</v>
      </c>
      <c r="EI48" s="117">
        <f t="shared" si="249"/>
        <v>0</v>
      </c>
      <c r="EJ48" s="117">
        <f t="shared" si="249"/>
        <v>2.8985507246376718E-2</v>
      </c>
      <c r="EK48" s="117">
        <f t="shared" si="249"/>
        <v>8.2191780821917915E-2</v>
      </c>
      <c r="EL48" s="117">
        <f t="shared" si="249"/>
        <v>4.6204620462046098E-2</v>
      </c>
      <c r="EN48" s="116" t="s">
        <v>145</v>
      </c>
      <c r="EO48" s="117">
        <f t="shared" si="250"/>
        <v>4.4943820224719211E-2</v>
      </c>
      <c r="EP48" s="117">
        <f t="shared" si="250"/>
        <v>-5.1282051282051322E-2</v>
      </c>
      <c r="EQ48" s="117">
        <f t="shared" si="250"/>
        <v>5.6338028169014009E-2</v>
      </c>
      <c r="ER48" s="117">
        <f t="shared" si="250"/>
        <v>-5.0632911392405111E-2</v>
      </c>
      <c r="ES48" s="117">
        <f t="shared" si="250"/>
        <v>0</v>
      </c>
      <c r="EU48" s="116" t="s">
        <v>145</v>
      </c>
      <c r="EV48" s="117">
        <f t="shared" si="251"/>
        <v>-4.3010752688172005E-2</v>
      </c>
      <c r="EW48" s="117">
        <f t="shared" si="251"/>
        <v>1.3513513513513598E-2</v>
      </c>
      <c r="EX48" s="117">
        <f t="shared" si="251"/>
        <v>-0.16000000000000003</v>
      </c>
      <c r="EY48" s="117">
        <f t="shared" si="251"/>
        <v>5.3333333333333233E-2</v>
      </c>
      <c r="EZ48" s="117">
        <f t="shared" si="251"/>
        <v>-3.4700315457413256E-2</v>
      </c>
      <c r="FB48" s="116" t="s">
        <v>145</v>
      </c>
      <c r="FC48" s="117">
        <f t="shared" si="252"/>
        <v>0</v>
      </c>
      <c r="FD48" s="117">
        <f t="shared" si="252"/>
        <v>0.10666666666666669</v>
      </c>
      <c r="FE48" s="117">
        <f t="shared" si="252"/>
        <v>0.15873015873015883</v>
      </c>
      <c r="FF48" s="117">
        <f t="shared" si="252"/>
        <v>0</v>
      </c>
      <c r="FG48" s="117">
        <f t="shared" si="252"/>
        <v>5.8823529411764719E-2</v>
      </c>
      <c r="FI48" s="116" t="s">
        <v>145</v>
      </c>
      <c r="FJ48" s="117">
        <f t="shared" si="253"/>
        <v>-2.2471910112359605E-2</v>
      </c>
      <c r="FK48" s="117">
        <f t="shared" si="253"/>
        <v>2.4096385542168752E-2</v>
      </c>
      <c r="FL48" s="117">
        <f t="shared" si="253"/>
        <v>1.3698630136986356E-2</v>
      </c>
      <c r="FM48" s="117">
        <f t="shared" si="253"/>
        <v>5.0632911392405111E-2</v>
      </c>
      <c r="FN48" s="117">
        <f t="shared" si="253"/>
        <v>1.5432098765432167E-2</v>
      </c>
      <c r="FP48" s="116" t="s">
        <v>145</v>
      </c>
      <c r="FQ48" s="117">
        <f t="shared" si="254"/>
        <v>2.2988505747126409E-2</v>
      </c>
      <c r="FR48" s="117">
        <f t="shared" si="254"/>
        <v>3.529411764705892E-2</v>
      </c>
      <c r="FS48" s="117">
        <f t="shared" si="254"/>
        <v>1.3513513513513598E-2</v>
      </c>
      <c r="FT48" s="117">
        <f t="shared" si="254"/>
        <v>7.2289156626506035E-2</v>
      </c>
      <c r="FU48" s="117">
        <f t="shared" si="254"/>
        <v>3.6474164133738496E-2</v>
      </c>
      <c r="FW48" s="116" t="s">
        <v>145</v>
      </c>
      <c r="FX48" s="117">
        <f t="shared" si="255"/>
        <v>1.1235955056179803E-2</v>
      </c>
      <c r="FY48" s="117">
        <f t="shared" si="255"/>
        <v>3.4090909090909172E-2</v>
      </c>
      <c r="FZ48" s="117">
        <f t="shared" si="255"/>
        <v>0.10666666666666669</v>
      </c>
      <c r="GA48" s="117">
        <f t="shared" si="255"/>
        <v>-2.2471910112359605E-2</v>
      </c>
      <c r="GB48" s="117">
        <f t="shared" si="255"/>
        <v>2.9325513196480912E-2</v>
      </c>
      <c r="GD48" s="116" t="s">
        <v>145</v>
      </c>
      <c r="GE48" s="117">
        <f t="shared" si="256"/>
        <v>0</v>
      </c>
      <c r="GF48" s="117">
        <f t="shared" si="256"/>
        <v>2.19780219780219E-2</v>
      </c>
      <c r="GG48" s="117">
        <f t="shared" si="256"/>
        <v>-1.2048192771084376E-2</v>
      </c>
      <c r="GH48" s="117">
        <f t="shared" si="256"/>
        <v>2.2988505747126409E-2</v>
      </c>
      <c r="GI48" s="117">
        <f t="shared" si="256"/>
        <v>8.5470085470085166E-3</v>
      </c>
      <c r="GK48" s="116" t="s">
        <v>145</v>
      </c>
      <c r="GL48" s="117">
        <f t="shared" si="257"/>
        <v>0.17777777777777781</v>
      </c>
      <c r="GM48" s="117">
        <f t="shared" si="257"/>
        <v>0.11827956989247301</v>
      </c>
      <c r="GN48" s="117">
        <f t="shared" si="257"/>
        <v>0.23170731707317072</v>
      </c>
      <c r="GO48" s="117">
        <f t="shared" si="257"/>
        <v>0.23595505617977519</v>
      </c>
      <c r="GP48" s="117">
        <f t="shared" si="257"/>
        <v>0.18926553672316393</v>
      </c>
      <c r="GR48" s="116" t="s">
        <v>145</v>
      </c>
      <c r="GS48" s="117">
        <f t="shared" si="258"/>
        <v>0.22641509433962259</v>
      </c>
      <c r="GT48" s="117">
        <f t="shared" si="258"/>
        <v>0.23076923076923084</v>
      </c>
      <c r="GU48" s="117">
        <f t="shared" si="258"/>
        <v>0.15841584158415833</v>
      </c>
      <c r="GV48" s="117">
        <f t="shared" si="258"/>
        <v>-0.21818181818181814</v>
      </c>
      <c r="GW48" s="117">
        <f t="shared" si="258"/>
        <v>9.5011876484560664E-2</v>
      </c>
      <c r="GY48" s="116" t="s">
        <v>145</v>
      </c>
      <c r="GZ48" s="117">
        <f t="shared" si="259"/>
        <v>-0.33076923076923082</v>
      </c>
      <c r="HA48" s="117">
        <f t="shared" si="259"/>
        <v>-0.265625</v>
      </c>
      <c r="HB48" s="117">
        <f t="shared" si="259"/>
        <v>-0.19658119658119655</v>
      </c>
      <c r="HC48" s="117">
        <f t="shared" si="259"/>
        <v>0.13953488372093026</v>
      </c>
      <c r="HD48" s="117">
        <f t="shared" si="259"/>
        <v>-0.19088937093275493</v>
      </c>
      <c r="HF48" s="116" t="s">
        <v>145</v>
      </c>
      <c r="HG48" s="117">
        <f t="shared" si="260"/>
        <v>0.4137931034482758</v>
      </c>
      <c r="HH48" s="117">
        <f t="shared" si="260"/>
        <v>0.15957446808510634</v>
      </c>
      <c r="HI48" s="117">
        <f t="shared" si="260"/>
        <v>0.13829787234042556</v>
      </c>
      <c r="HJ48" s="117">
        <f t="shared" si="260"/>
        <v>0.28571428571428581</v>
      </c>
      <c r="HK48" s="117">
        <f t="shared" si="260"/>
        <v>0.24664879356568359</v>
      </c>
      <c r="HM48" s="116" t="s">
        <v>145</v>
      </c>
      <c r="HN48" s="117">
        <f t="shared" si="213"/>
        <v>0.10569105691056913</v>
      </c>
      <c r="HO48" s="117">
        <f t="shared" si="213"/>
        <v>9.174311926605494E-2</v>
      </c>
      <c r="HP48" s="117">
        <f t="shared" si="213"/>
        <v>0.10280373831775691</v>
      </c>
      <c r="HQ48" s="117">
        <f t="shared" si="213"/>
        <v>-7.1428571428571397E-2</v>
      </c>
      <c r="HR48" s="117">
        <f t="shared" si="213"/>
        <v>5.3763440860215006E-2</v>
      </c>
      <c r="HT48" s="116" t="s">
        <v>145</v>
      </c>
      <c r="HU48" s="117">
        <f t="shared" si="214"/>
        <v>-3.6764705882352922E-2</v>
      </c>
      <c r="HV48" s="117">
        <f t="shared" si="214"/>
        <v>5.0420168067226934E-2</v>
      </c>
      <c r="HW48" s="117">
        <f t="shared" si="214"/>
        <v>4.2372881355932313E-2</v>
      </c>
      <c r="HX48" s="117">
        <f t="shared" si="214"/>
        <v>0.13675213675213671</v>
      </c>
      <c r="HY48" s="117">
        <f t="shared" si="214"/>
        <v>4.4897959183673564E-2</v>
      </c>
      <c r="IA48" s="116" t="s">
        <v>145</v>
      </c>
      <c r="IB48" s="117">
        <f t="shared" si="215"/>
        <v>9.92366412213741E-2</v>
      </c>
      <c r="IC48" s="117">
        <f t="shared" si="215"/>
        <v>8.0000000000000071E-2</v>
      </c>
      <c r="ID48" s="117">
        <f t="shared" si="215"/>
        <v>8.1300813008129413E-3</v>
      </c>
      <c r="IE48" s="117">
        <f t="shared" si="215"/>
        <v>-6.7669172932330879E-2</v>
      </c>
      <c r="IF48" s="117">
        <f t="shared" si="215"/>
        <v>2.9296875E-2</v>
      </c>
      <c r="IH48" s="116" t="s">
        <v>145</v>
      </c>
      <c r="II48" s="117">
        <f t="shared" si="216"/>
        <v>-6.944444444444442E-2</v>
      </c>
      <c r="IJ48" s="117">
        <f t="shared" si="216"/>
        <v>5.9259259259259345E-2</v>
      </c>
      <c r="IK48" s="117">
        <f t="shared" si="216"/>
        <v>2.4193548387096753E-2</v>
      </c>
      <c r="IL48" s="117">
        <f t="shared" si="216"/>
        <v>4.8387096774193505E-2</v>
      </c>
      <c r="IM48" s="117">
        <f t="shared" si="216"/>
        <v>1.3282732447817747E-2</v>
      </c>
      <c r="IO48" s="116" t="s">
        <v>145</v>
      </c>
      <c r="IP48" s="117">
        <f t="shared" si="217"/>
        <v>1.4925373134328401E-2</v>
      </c>
      <c r="IQ48" s="117">
        <f t="shared" si="217"/>
        <v>-0.14685314685314688</v>
      </c>
      <c r="IR48" s="117">
        <f t="shared" si="217"/>
        <v>-0.12598425196850394</v>
      </c>
      <c r="IS48" s="117">
        <f t="shared" si="217"/>
        <v>-7.6923076923076872E-2</v>
      </c>
      <c r="IT48" s="117">
        <f t="shared" si="217"/>
        <v>-8.4269662921348298E-2</v>
      </c>
      <c r="IV48" s="116" t="s">
        <v>145</v>
      </c>
      <c r="IW48" s="117">
        <f t="shared" si="218"/>
        <v>-6.6176470588235281E-2</v>
      </c>
      <c r="IX48" s="117">
        <f t="shared" si="218"/>
        <v>-6.557377049180324E-2</v>
      </c>
      <c r="IY48" s="117">
        <f t="shared" si="218"/>
        <v>-6.3063063063063085E-2</v>
      </c>
      <c r="IZ48" s="117">
        <f t="shared" si="218"/>
        <v>0.44166666666666665</v>
      </c>
      <c r="JA48" s="117">
        <f t="shared" si="218"/>
        <v>5.9304703476482645E-2</v>
      </c>
      <c r="JC48" s="116" t="s">
        <v>145</v>
      </c>
      <c r="JD48" s="117">
        <f t="shared" si="219"/>
        <v>1.5748031496062964E-2</v>
      </c>
      <c r="JE48" s="117">
        <f t="shared" si="219"/>
        <v>3.5087719298245723E-2</v>
      </c>
      <c r="JF48" s="117">
        <f t="shared" si="219"/>
        <v>1.9230769230769162E-2</v>
      </c>
      <c r="JG48" s="117">
        <f t="shared" si="219"/>
        <v>-0.34682080924855496</v>
      </c>
      <c r="JH48" s="117">
        <f t="shared" si="219"/>
        <v>-0.10038610038610041</v>
      </c>
      <c r="JJ48" s="116" t="s">
        <v>145</v>
      </c>
      <c r="JK48" s="117">
        <f t="shared" si="220"/>
        <v>-0.10077519379844957</v>
      </c>
      <c r="JL48" s="117">
        <f t="shared" si="220"/>
        <v>-5.084745762711862E-2</v>
      </c>
      <c r="JM48" s="117">
        <f t="shared" si="220"/>
        <v>-1.8867924528301883E-2</v>
      </c>
      <c r="JN48" s="117">
        <f t="shared" si="220"/>
        <v>-2.6548672566371723E-2</v>
      </c>
      <c r="JO48" s="117">
        <f t="shared" si="220"/>
        <v>-5.1502145922746823E-2</v>
      </c>
      <c r="JQ48" s="116" t="s">
        <v>145</v>
      </c>
      <c r="JR48" s="117">
        <f t="shared" si="221"/>
        <v>-5.1724137931034475E-2</v>
      </c>
      <c r="JS48" s="117">
        <f t="shared" si="221"/>
        <v>0</v>
      </c>
      <c r="JT48" s="117">
        <f t="shared" si="221"/>
        <v>-2.8846153846153855E-2</v>
      </c>
      <c r="JU48" s="117">
        <f t="shared" si="221"/>
        <v>-1.8181818181818188E-2</v>
      </c>
      <c r="JV48" s="117">
        <f t="shared" si="221"/>
        <v>-2.4886877828054321E-2</v>
      </c>
      <c r="JX48" s="116" t="s">
        <v>145</v>
      </c>
      <c r="JY48" s="117">
        <f t="shared" si="222"/>
        <v>1.8181818181818077E-2</v>
      </c>
      <c r="JZ48" s="117">
        <f t="shared" si="222"/>
        <v>-8.0357142857142905E-2</v>
      </c>
      <c r="KA48" s="117">
        <f t="shared" si="222"/>
        <v>-4.9504950495049549E-2</v>
      </c>
      <c r="KB48" s="117">
        <f t="shared" si="222"/>
        <v>4.629629629629628E-2</v>
      </c>
      <c r="KC48" s="117">
        <f t="shared" si="222"/>
        <v>-1.6241299303944357E-2</v>
      </c>
      <c r="KE48" s="116" t="s">
        <v>145</v>
      </c>
      <c r="KF48" s="117">
        <f t="shared" si="223"/>
        <v>8.9285714285714191E-2</v>
      </c>
      <c r="KG48" s="117">
        <f t="shared" si="223"/>
        <v>0.18446601941747565</v>
      </c>
      <c r="KH48" s="117">
        <f t="shared" si="223"/>
        <v>0.10416666666666674</v>
      </c>
      <c r="KI48" s="117">
        <f t="shared" si="223"/>
        <v>6.1946902654867353E-2</v>
      </c>
      <c r="KJ48" s="117">
        <f t="shared" si="223"/>
        <v>0.10849056603773577</v>
      </c>
      <c r="KL48" s="116" t="s">
        <v>145</v>
      </c>
      <c r="KM48" s="117">
        <f t="shared" si="224"/>
        <v>-1.6393442622950838E-2</v>
      </c>
      <c r="KN48" s="117">
        <f t="shared" si="224"/>
        <v>-3.2786885245901676E-2</v>
      </c>
      <c r="KO48" s="117">
        <f t="shared" si="224"/>
        <v>1.8867924528301883E-2</v>
      </c>
      <c r="KP48" s="117">
        <f t="shared" si="224"/>
        <v>-9.1666666666666674E-2</v>
      </c>
      <c r="KQ48" s="117">
        <f t="shared" si="224"/>
        <v>-3.1914893617021267E-2</v>
      </c>
      <c r="KS48" s="116" t="s">
        <v>145</v>
      </c>
      <c r="KT48" s="117">
        <f t="shared" si="225"/>
        <v>7.4999999999999956E-2</v>
      </c>
      <c r="KU48" s="117">
        <f t="shared" si="225"/>
        <v>8.4745762711864403E-2</v>
      </c>
      <c r="KV48" s="117">
        <f t="shared" si="225"/>
        <v>0.14814814814814814</v>
      </c>
      <c r="KW48" s="117">
        <f t="shared" si="225"/>
        <v>0.23853211009174302</v>
      </c>
      <c r="KX48" s="117">
        <f t="shared" si="225"/>
        <v>0.13406593406593403</v>
      </c>
      <c r="KZ48" s="116" t="s">
        <v>145</v>
      </c>
      <c r="LA48" s="117">
        <f t="shared" si="226"/>
        <v>5.4263565891472965E-2</v>
      </c>
      <c r="LB48" s="214">
        <f t="shared" si="226"/>
        <v>-1.5625E-2</v>
      </c>
      <c r="LC48" s="214">
        <f t="shared" si="226"/>
        <v>-4.8387096774193505E-2</v>
      </c>
      <c r="LD48" s="214">
        <f t="shared" si="226"/>
        <v>-7.407407407407407E-2</v>
      </c>
      <c r="LE48" s="214">
        <f t="shared" si="226"/>
        <v>-2.1317829457364379E-2</v>
      </c>
      <c r="LF48" s="557"/>
      <c r="LG48" s="116" t="s">
        <v>145</v>
      </c>
      <c r="LH48" s="214">
        <f t="shared" si="227"/>
        <v>0</v>
      </c>
      <c r="LI48" s="214">
        <f t="shared" si="227"/>
        <v>0</v>
      </c>
      <c r="LJ48" s="214">
        <f t="shared" si="227"/>
        <v>6.7796610169491567E-2</v>
      </c>
      <c r="LK48" s="214">
        <f t="shared" si="227"/>
        <v>6.4000000000000057E-2</v>
      </c>
      <c r="LL48" s="214">
        <f t="shared" si="227"/>
        <v>3.1683168316831711E-2</v>
      </c>
      <c r="LM48" s="557"/>
      <c r="LN48" s="116" t="s">
        <v>145</v>
      </c>
      <c r="LO48" s="214">
        <f t="shared" si="228"/>
        <v>2.0000000000000018E-2</v>
      </c>
      <c r="LP48" s="214">
        <f t="shared" si="228"/>
        <v>4.0374999999999828E-2</v>
      </c>
      <c r="LQ48" s="214">
        <f t="shared" si="228"/>
        <v>6.0899999999999954E-2</v>
      </c>
      <c r="LR48" s="214">
        <f t="shared" si="228"/>
        <v>8.1500000000000128E-2</v>
      </c>
      <c r="LS48" s="214">
        <f t="shared" si="228"/>
        <v>5.0518522072936722E-2</v>
      </c>
      <c r="LT48" s="557"/>
      <c r="LU48" s="116" t="s">
        <v>145</v>
      </c>
      <c r="LV48" s="214">
        <f t="shared" si="229"/>
        <v>6.8600000000000216E-2</v>
      </c>
      <c r="LW48" s="214">
        <f t="shared" si="230"/>
        <v>6.8599999999999994E-2</v>
      </c>
      <c r="LX48" s="214">
        <f t="shared" si="231"/>
        <v>3.7774999999999892E-2</v>
      </c>
      <c r="LY48" s="214">
        <f t="shared" si="232"/>
        <v>2.7500000000000302E-2</v>
      </c>
      <c r="LZ48" s="214">
        <f t="shared" si="233"/>
        <v>5.0270168721177289E-2</v>
      </c>
      <c r="MA48" s="557"/>
      <c r="MB48" s="116" t="s">
        <v>145</v>
      </c>
      <c r="MC48" s="214">
        <f t="shared" si="234"/>
        <v>4.5499999999999874E-2</v>
      </c>
      <c r="MD48" s="214">
        <f t="shared" si="235"/>
        <v>3.5250000000000226E-2</v>
      </c>
      <c r="ME48" s="214">
        <f t="shared" si="236"/>
        <v>2.5000000000000133E-2</v>
      </c>
      <c r="MF48" s="214">
        <f t="shared" si="237"/>
        <v>2.7562499999999712E-2</v>
      </c>
      <c r="MG48" s="214">
        <f t="shared" si="238"/>
        <v>3.344310694030983E-2</v>
      </c>
      <c r="MH48" s="557"/>
    </row>
    <row r="49" spans="1:346" s="37" customFormat="1" ht="13.15" x14ac:dyDescent="0.4">
      <c r="A49" s="100"/>
      <c r="B49" s="118"/>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O49" s="118"/>
      <c r="BP49" s="119"/>
      <c r="BQ49" s="119"/>
      <c r="BR49" s="119"/>
      <c r="BS49" s="119"/>
      <c r="BT49" s="119"/>
      <c r="BV49" s="118"/>
      <c r="BW49" s="119"/>
      <c r="BX49" s="119"/>
      <c r="BY49" s="119"/>
      <c r="BZ49" s="119"/>
      <c r="CA49" s="119"/>
      <c r="CC49" s="118"/>
      <c r="CD49" s="119"/>
      <c r="CE49" s="119"/>
      <c r="CF49" s="119"/>
      <c r="CG49" s="119"/>
      <c r="CH49" s="119"/>
      <c r="CJ49" s="118"/>
      <c r="CK49" s="119"/>
      <c r="CL49" s="119"/>
      <c r="CM49" s="119"/>
      <c r="CN49" s="119"/>
      <c r="CO49" s="119"/>
      <c r="CQ49" s="118"/>
      <c r="CR49" s="119"/>
      <c r="CS49" s="119"/>
      <c r="CT49" s="119"/>
      <c r="CU49" s="119"/>
      <c r="CV49" s="119"/>
      <c r="CX49" s="118"/>
      <c r="CY49" s="119"/>
      <c r="CZ49" s="119"/>
      <c r="DA49" s="119"/>
      <c r="DB49" s="119"/>
      <c r="DC49" s="119"/>
      <c r="DE49" s="118"/>
      <c r="DF49" s="119"/>
      <c r="DG49" s="119"/>
      <c r="DH49" s="119"/>
      <c r="DI49" s="119"/>
      <c r="DJ49" s="119"/>
      <c r="DL49" s="118"/>
      <c r="DM49" s="119"/>
      <c r="DN49" s="119"/>
      <c r="DO49" s="119"/>
      <c r="DP49" s="119"/>
      <c r="DQ49" s="119"/>
      <c r="DS49" s="118"/>
      <c r="DT49" s="119"/>
      <c r="DU49" s="119"/>
      <c r="DV49" s="119"/>
      <c r="DW49" s="119"/>
      <c r="DX49" s="119"/>
      <c r="DZ49" s="118"/>
      <c r="EA49" s="119"/>
      <c r="EB49" s="119"/>
      <c r="EC49" s="119"/>
      <c r="ED49" s="119"/>
      <c r="EE49" s="119"/>
      <c r="EG49" s="118"/>
      <c r="EH49" s="119"/>
      <c r="EI49" s="119"/>
      <c r="EJ49" s="119"/>
      <c r="EK49" s="119"/>
      <c r="EL49" s="119"/>
      <c r="EN49" s="118"/>
      <c r="EO49" s="119"/>
      <c r="EP49" s="119"/>
      <c r="EQ49" s="119"/>
      <c r="ER49" s="119"/>
      <c r="ES49" s="119"/>
      <c r="EU49" s="118"/>
      <c r="EV49" s="119"/>
      <c r="EW49" s="119"/>
      <c r="EX49" s="119"/>
      <c r="EY49" s="119"/>
      <c r="EZ49" s="119"/>
      <c r="FB49" s="118"/>
      <c r="FC49" s="119"/>
      <c r="FD49" s="119"/>
      <c r="FE49" s="119"/>
      <c r="FF49" s="119"/>
      <c r="FG49" s="119"/>
      <c r="FI49" s="118"/>
      <c r="FJ49" s="119"/>
      <c r="FK49" s="119"/>
      <c r="FL49" s="119"/>
      <c r="FM49" s="119"/>
      <c r="FN49" s="119"/>
      <c r="FP49" s="118"/>
      <c r="FQ49" s="119"/>
      <c r="FR49" s="119"/>
      <c r="FS49" s="119"/>
      <c r="FT49" s="119"/>
      <c r="FU49" s="119"/>
      <c r="FW49" s="118"/>
      <c r="FX49" s="119"/>
      <c r="FY49" s="119"/>
      <c r="FZ49" s="119"/>
      <c r="GA49" s="119"/>
      <c r="GB49" s="119"/>
      <c r="GD49" s="118"/>
      <c r="GE49" s="119"/>
      <c r="GF49" s="119"/>
      <c r="GG49" s="119"/>
      <c r="GH49" s="119"/>
      <c r="GI49" s="119"/>
      <c r="GK49" s="118"/>
      <c r="GL49" s="119"/>
      <c r="GM49" s="119"/>
      <c r="GN49" s="119"/>
      <c r="GO49" s="119"/>
      <c r="GP49" s="119"/>
      <c r="GR49" s="118"/>
      <c r="GS49" s="119"/>
      <c r="GT49" s="119"/>
      <c r="GU49" s="119"/>
      <c r="GV49" s="119"/>
      <c r="GW49" s="119"/>
      <c r="GY49" s="118"/>
      <c r="GZ49" s="119"/>
      <c r="HA49" s="119"/>
      <c r="HB49" s="119"/>
      <c r="HC49" s="119"/>
      <c r="HD49" s="119"/>
      <c r="HF49" s="118"/>
      <c r="HG49" s="119"/>
      <c r="HH49" s="119"/>
      <c r="HI49" s="119"/>
      <c r="HJ49" s="119"/>
      <c r="HK49" s="119"/>
      <c r="HM49" s="118"/>
      <c r="HN49" s="119"/>
      <c r="HO49" s="119"/>
      <c r="HP49" s="119"/>
      <c r="HQ49" s="119"/>
      <c r="HR49" s="119"/>
      <c r="HT49" s="118"/>
      <c r="HU49" s="119"/>
      <c r="HV49" s="119"/>
      <c r="HW49" s="119"/>
      <c r="HX49" s="119"/>
      <c r="HY49" s="119"/>
      <c r="IA49" s="118"/>
      <c r="IB49" s="119"/>
      <c r="IC49" s="119"/>
      <c r="ID49" s="119"/>
      <c r="IE49" s="119"/>
      <c r="IF49" s="119"/>
      <c r="IH49" s="118"/>
      <c r="II49" s="119"/>
      <c r="IJ49" s="119"/>
      <c r="IK49" s="119"/>
      <c r="IL49" s="119"/>
      <c r="IM49" s="119"/>
      <c r="IO49" s="118"/>
      <c r="IP49" s="119"/>
      <c r="IQ49" s="119"/>
      <c r="IR49" s="119"/>
      <c r="IS49" s="119"/>
      <c r="IT49" s="119"/>
      <c r="IV49" s="118"/>
      <c r="IW49" s="119"/>
      <c r="IX49" s="119"/>
      <c r="IY49" s="119"/>
      <c r="IZ49" s="119"/>
      <c r="JA49" s="119"/>
      <c r="JC49" s="118"/>
      <c r="JD49" s="119"/>
      <c r="JE49" s="119"/>
      <c r="JF49" s="119"/>
      <c r="JG49" s="119"/>
      <c r="JH49" s="119"/>
      <c r="JJ49" s="118"/>
      <c r="JK49" s="119"/>
      <c r="JL49" s="119"/>
      <c r="JM49" s="119"/>
      <c r="JN49" s="119"/>
      <c r="JO49" s="119"/>
      <c r="JQ49" s="118"/>
      <c r="JR49" s="119"/>
      <c r="JS49" s="119"/>
      <c r="JT49" s="119"/>
      <c r="JU49" s="119"/>
      <c r="JV49" s="119"/>
      <c r="JX49" s="118"/>
      <c r="JY49" s="119"/>
      <c r="JZ49" s="119"/>
      <c r="KA49" s="119"/>
      <c r="KB49" s="119"/>
      <c r="KC49" s="119"/>
      <c r="KE49" s="118"/>
      <c r="KF49" s="119"/>
      <c r="KG49" s="119"/>
      <c r="KH49" s="119"/>
      <c r="KI49" s="119"/>
      <c r="KJ49" s="119"/>
      <c r="KL49" s="118"/>
      <c r="KM49" s="119"/>
      <c r="KN49" s="119"/>
      <c r="KO49" s="119"/>
      <c r="KP49" s="119"/>
      <c r="KQ49" s="119"/>
      <c r="KS49" s="118"/>
      <c r="KT49" s="119"/>
      <c r="KU49" s="119"/>
      <c r="KV49" s="119"/>
      <c r="KW49" s="119"/>
      <c r="KX49" s="119"/>
      <c r="KZ49" s="118"/>
      <c r="LA49" s="119"/>
      <c r="LB49" s="161"/>
      <c r="LC49" s="161"/>
      <c r="LD49" s="161"/>
      <c r="LE49" s="161"/>
      <c r="LF49" s="556"/>
      <c r="LG49" s="118"/>
      <c r="LH49" s="161"/>
      <c r="LI49" s="161"/>
      <c r="LJ49" s="161"/>
      <c r="LK49" s="161"/>
      <c r="LL49" s="161"/>
      <c r="LM49" s="556"/>
      <c r="LN49" s="118"/>
      <c r="LO49" s="161"/>
      <c r="LP49" s="161"/>
      <c r="LQ49" s="161"/>
      <c r="LR49" s="161"/>
      <c r="LS49" s="161"/>
      <c r="LT49" s="556"/>
      <c r="LU49" s="118"/>
      <c r="LV49" s="161"/>
      <c r="LW49" s="161"/>
      <c r="LX49" s="161"/>
      <c r="LY49" s="161"/>
      <c r="LZ49" s="161"/>
      <c r="MA49" s="556"/>
      <c r="MB49" s="118"/>
      <c r="MC49" s="161"/>
      <c r="MD49" s="161"/>
      <c r="ME49" s="161"/>
      <c r="MF49" s="161"/>
      <c r="MG49" s="161"/>
      <c r="MH49" s="556"/>
    </row>
    <row r="50" spans="1:346" s="37" customFormat="1" ht="13.5" thickBot="1" x14ac:dyDescent="0.45">
      <c r="A50" s="100"/>
      <c r="B50" s="120" t="s">
        <v>146</v>
      </c>
      <c r="C50" s="121"/>
      <c r="D50" s="121"/>
      <c r="E50" s="121"/>
      <c r="F50" s="121"/>
      <c r="G50" s="121"/>
      <c r="H50" s="121"/>
      <c r="I50" s="121"/>
      <c r="J50" s="121"/>
      <c r="K50" s="121"/>
      <c r="L50" s="121"/>
      <c r="M50" s="121"/>
      <c r="N50" s="121">
        <f>BT50</f>
        <v>-3.0498744169357717E-2</v>
      </c>
      <c r="O50" s="121">
        <f>CA50</f>
        <v>3.7009622501860129E-4</v>
      </c>
      <c r="P50" s="121">
        <f>CH50</f>
        <v>-1.5538290788013276E-2</v>
      </c>
      <c r="Q50" s="121">
        <f>CO50</f>
        <v>4.0586245772266105E-2</v>
      </c>
      <c r="R50" s="121">
        <f>CV50</f>
        <v>5.0559768869627986E-2</v>
      </c>
      <c r="S50" s="121">
        <f>DC50</f>
        <v>4.7782743210725398E-2</v>
      </c>
      <c r="T50" s="121">
        <f>DJ50</f>
        <v>3.6089238845144367E-2</v>
      </c>
      <c r="U50" s="121">
        <f>DQ50</f>
        <v>7.2830905636478427E-3</v>
      </c>
      <c r="V50" s="121">
        <f>DX50</f>
        <v>3.7095253065073885E-2</v>
      </c>
      <c r="W50" s="121">
        <f>EE50</f>
        <v>-1.8187329493786208E-3</v>
      </c>
      <c r="X50" s="121">
        <f>EL50</f>
        <v>0.2064986334649257</v>
      </c>
      <c r="Y50" s="121">
        <f>ES50</f>
        <v>0.10294487792600049</v>
      </c>
      <c r="Z50" s="121">
        <f>EZ50</f>
        <v>-2.921040620721127E-2</v>
      </c>
      <c r="AA50" s="121">
        <f>FG50</f>
        <v>2.2802068641278872E-2</v>
      </c>
      <c r="AB50" s="121">
        <f>FN50</f>
        <v>4.5047115605607813E-2</v>
      </c>
      <c r="AC50" s="121">
        <f>FU50</f>
        <v>6.2238838794809848E-2</v>
      </c>
      <c r="AD50" s="121">
        <f>GB50</f>
        <v>5.0103519668737162E-2</v>
      </c>
      <c r="AE50" s="121">
        <f>GI50</f>
        <v>0.10311514195583604</v>
      </c>
      <c r="AF50" s="121">
        <f>GP50</f>
        <v>4.1823056300268169E-2</v>
      </c>
      <c r="AG50" s="121">
        <f>GW50</f>
        <v>7.2053525476067914E-2</v>
      </c>
      <c r="AH50" s="121">
        <f>HD50</f>
        <v>-0.21987518002880457</v>
      </c>
      <c r="AI50" s="121">
        <f>HK50</f>
        <v>0.18687179487179484</v>
      </c>
      <c r="AJ50" s="121">
        <f>HR50</f>
        <v>8.9180781195990377E-2</v>
      </c>
      <c r="AK50" s="121">
        <f>HY50</f>
        <v>5.6172643605204797E-2</v>
      </c>
      <c r="AL50" s="121">
        <f>IF50</f>
        <v>5.7241586538461453E-2</v>
      </c>
      <c r="AM50" s="121">
        <f>IM50</f>
        <v>8.11425323291175E-2</v>
      </c>
      <c r="AN50" s="121">
        <f>IT50</f>
        <v>-4.4295478443743375E-2</v>
      </c>
      <c r="AO50" s="121">
        <f>JA50</f>
        <v>-1.7741713656993507E-2</v>
      </c>
      <c r="AP50" s="121">
        <f>JH50</f>
        <v>-1.0361243349201854E-2</v>
      </c>
      <c r="AQ50" s="121">
        <f>JO50</f>
        <v>5.9847198641765686E-2</v>
      </c>
      <c r="AR50" s="121">
        <f>JV50</f>
        <v>1.3082365505272975E-2</v>
      </c>
      <c r="AS50" s="121">
        <f>KC50</f>
        <v>-6.7597838977467406E-2</v>
      </c>
      <c r="AT50" s="121">
        <f>KJ50</f>
        <v>6.5432447710570996E-2</v>
      </c>
      <c r="AU50" s="121">
        <f>KQ50</f>
        <v>9.2850510677808806E-2</v>
      </c>
      <c r="AV50" s="121">
        <f>KX50</f>
        <v>5.0248816603956747E-2</v>
      </c>
      <c r="AW50" s="121">
        <f>LE50</f>
        <v>2.8891713856465939E-2</v>
      </c>
      <c r="AX50" s="121">
        <f>LL50</f>
        <v>-1.4601819611366973E-2</v>
      </c>
      <c r="AY50" s="121">
        <f>LS50</f>
        <v>1.6621081728029008E-2</v>
      </c>
      <c r="AZ50" s="121">
        <f>LZ50</f>
        <v>5.5769661961237116E-2</v>
      </c>
      <c r="BA50" s="121">
        <f>MG50</f>
        <v>5.0834692793343184E-2</v>
      </c>
      <c r="BB50" s="121"/>
      <c r="BC50" s="121"/>
      <c r="BD50" s="121"/>
      <c r="BE50" s="121"/>
      <c r="BF50" s="121"/>
      <c r="BG50" s="121"/>
      <c r="BH50" s="121"/>
      <c r="BI50" s="121"/>
      <c r="BJ50" s="121"/>
      <c r="BK50" s="121"/>
      <c r="BL50" s="121"/>
      <c r="BM50" s="121"/>
      <c r="BO50" s="120" t="s">
        <v>146</v>
      </c>
      <c r="BP50" s="121">
        <f>BP20/I20-1</f>
        <v>-0.75203973040085137</v>
      </c>
      <c r="BQ50" s="121">
        <f>BQ20/J20-1</f>
        <v>-0.75018181818181817</v>
      </c>
      <c r="BR50" s="121">
        <f>BR20/K20-1</f>
        <v>-0.75136612021857929</v>
      </c>
      <c r="BS50" s="121">
        <f>BS20/L20-1</f>
        <v>-0.74531132783195797</v>
      </c>
      <c r="BT50" s="121">
        <f>BT20/M20-1</f>
        <v>-3.0498744169357717E-2</v>
      </c>
      <c r="BV50" s="120" t="s">
        <v>146</v>
      </c>
      <c r="BW50" s="121">
        <f>BW20/BP20-1</f>
        <v>-7.1530758226037161E-3</v>
      </c>
      <c r="BX50" s="121">
        <f>BX20/BQ20-1</f>
        <v>8.733624454148492E-3</v>
      </c>
      <c r="BY50" s="121">
        <f>BY20/BR20-1</f>
        <v>1.5698587127158659E-2</v>
      </c>
      <c r="BZ50" s="121">
        <f>BZ20/BS20-1</f>
        <v>-1.4727540500736325E-2</v>
      </c>
      <c r="CA50" s="121">
        <f>CA20/BT20-1</f>
        <v>3.7009622501860129E-4</v>
      </c>
      <c r="CC50" s="120" t="s">
        <v>146</v>
      </c>
      <c r="CD50" s="121">
        <f>CD20/BW20-1</f>
        <v>-5.4755043227665667E-2</v>
      </c>
      <c r="CE50" s="121">
        <f>CE20/BX20-1</f>
        <v>-4.1847041847041799E-2</v>
      </c>
      <c r="CF50" s="121">
        <f>CF20/BY20-1</f>
        <v>1.5455950540958163E-2</v>
      </c>
      <c r="CG50" s="121">
        <f>CG20/BZ20-1</f>
        <v>2.2421524663677195E-2</v>
      </c>
      <c r="CH50" s="121">
        <f>CH20/CA20-1</f>
        <v>-1.5538290788013276E-2</v>
      </c>
      <c r="CJ50" s="120" t="s">
        <v>146</v>
      </c>
      <c r="CK50" s="121">
        <f>CK20/CD20-1</f>
        <v>6.8597560975609762E-2</v>
      </c>
      <c r="CL50" s="121">
        <f>CL20/CE20-1</f>
        <v>6.3253012048192669E-2</v>
      </c>
      <c r="CM50" s="121">
        <f>CM20/CF20-1</f>
        <v>4.5662100456620447E-3</v>
      </c>
      <c r="CN50" s="121">
        <f>CN20/CG20-1</f>
        <v>2.6315789473684292E-2</v>
      </c>
      <c r="CO50" s="121">
        <f>CO20/CH20-1</f>
        <v>4.0586245772266105E-2</v>
      </c>
      <c r="CQ50" s="120" t="s">
        <v>146</v>
      </c>
      <c r="CR50" s="121">
        <f>CR20/CK20-1</f>
        <v>2.7104136947218249E-2</v>
      </c>
      <c r="CS50" s="121">
        <f>CS20/CL20-1</f>
        <v>4.6742209631728038E-2</v>
      </c>
      <c r="CT50" s="121">
        <f>CT20/CM20-1</f>
        <v>5.0000000000000044E-2</v>
      </c>
      <c r="CU50" s="121">
        <f>CU20/CN20-1</f>
        <v>7.8347578347578439E-2</v>
      </c>
      <c r="CV50" s="121">
        <f>CV20/CO20-1</f>
        <v>5.0559768869627986E-2</v>
      </c>
      <c r="CX50" s="120" t="s">
        <v>146</v>
      </c>
      <c r="CY50" s="121">
        <f>CY20/CR20-1</f>
        <v>5.2777777777777812E-2</v>
      </c>
      <c r="CZ50" s="121">
        <f>CZ20/CS20-1</f>
        <v>6.3599458728010871E-2</v>
      </c>
      <c r="DA50" s="121">
        <f>DA20/CT20-1</f>
        <v>5.7720057720057616E-2</v>
      </c>
      <c r="DB50" s="121">
        <f>DB20/CU20-1</f>
        <v>1.8494055482166427E-2</v>
      </c>
      <c r="DC50" s="121">
        <f>DC20/CV20-1</f>
        <v>4.7782743210725398E-2</v>
      </c>
      <c r="DE50" s="120" t="s">
        <v>146</v>
      </c>
      <c r="DF50" s="121">
        <f>DF20/CY20-1</f>
        <v>5.4089709762533023E-2</v>
      </c>
      <c r="DG50" s="121">
        <f>DG20/CZ20-1</f>
        <v>1.3994910941475869E-2</v>
      </c>
      <c r="DH50" s="121">
        <f>DH20/DA20-1</f>
        <v>4.6384720327421469E-2</v>
      </c>
      <c r="DI50" s="121">
        <f>DI20/DB20-1</f>
        <v>3.112840466926059E-2</v>
      </c>
      <c r="DJ50" s="121">
        <f>DJ20/DC20-1</f>
        <v>3.6089238845144367E-2</v>
      </c>
      <c r="DL50" s="120" t="s">
        <v>146</v>
      </c>
      <c r="DM50" s="121">
        <f>DM20/DF20-1</f>
        <v>-1.2515644555694649E-2</v>
      </c>
      <c r="DN50" s="121">
        <f>DN20/DG20-1</f>
        <v>2.0075282308657405E-2</v>
      </c>
      <c r="DO50" s="121">
        <f>DO20/DH20-1</f>
        <v>6.5189048239895353E-3</v>
      </c>
      <c r="DP50" s="121">
        <f>DP20/DI20-1</f>
        <v>1.5094339622641506E-2</v>
      </c>
      <c r="DQ50" s="121">
        <f>DQ20/DJ20-1</f>
        <v>7.2830905636478427E-3</v>
      </c>
      <c r="DS50" s="120" t="s">
        <v>146</v>
      </c>
      <c r="DT50" s="121">
        <f>DT20/DM20-1</f>
        <v>4.6894803548795938E-2</v>
      </c>
      <c r="DU50" s="121">
        <f>DU20/DN20-1</f>
        <v>3.4440344403444012E-2</v>
      </c>
      <c r="DV50" s="121">
        <f>DV20/DO20-1</f>
        <v>2.8497409326424972E-2</v>
      </c>
      <c r="DW50" s="121">
        <f>DW20/DP20-1</f>
        <v>3.8413878562577386E-2</v>
      </c>
      <c r="DX50" s="121">
        <f>DX20/DQ20-1</f>
        <v>3.7095253065073885E-2</v>
      </c>
      <c r="DZ50" s="120" t="s">
        <v>146</v>
      </c>
      <c r="EA50" s="121">
        <f>EA20/DT20-1</f>
        <v>6.0532687651331241E-3</v>
      </c>
      <c r="EB50" s="121">
        <f>EB20/DU20-1</f>
        <v>1.1890606420927874E-3</v>
      </c>
      <c r="EC50" s="121">
        <f>EC20/DV20-1</f>
        <v>-2.5188916876573986E-3</v>
      </c>
      <c r="ED50" s="121">
        <f>ED20/DW20-1</f>
        <v>-3.5799522673031214E-3</v>
      </c>
      <c r="EE50" s="121">
        <f>EE20/DX20-1</f>
        <v>-1.8187329493786208E-3</v>
      </c>
      <c r="EG50" s="120" t="s">
        <v>146</v>
      </c>
      <c r="EH50" s="121">
        <f>EH20/EA20-1</f>
        <v>9.0252707581227387E-2</v>
      </c>
      <c r="EI50" s="121">
        <f>EI20/EB20-1</f>
        <v>0.1318289786223279</v>
      </c>
      <c r="EJ50" s="121">
        <f>EJ20/EC20-1</f>
        <v>0.32196969696969702</v>
      </c>
      <c r="EK50" s="121">
        <f>EK20/ED20-1</f>
        <v>0.30299401197604792</v>
      </c>
      <c r="EL50" s="121">
        <f>EL20/EE20-1</f>
        <v>0.2064986334649257</v>
      </c>
      <c r="EN50" s="120" t="s">
        <v>146</v>
      </c>
      <c r="EO50" s="121">
        <f>EO20/EH20-1</f>
        <v>0.23178807947019875</v>
      </c>
      <c r="EP50" s="121">
        <f>EP20/EI20-1</f>
        <v>0.18572927597061906</v>
      </c>
      <c r="EQ50" s="121">
        <f>EQ20/EJ20-1</f>
        <v>1.8147086914995114E-2</v>
      </c>
      <c r="ER50" s="121">
        <f>ER20/EK20-1</f>
        <v>-1.6544117647058876E-2</v>
      </c>
      <c r="ES50" s="121">
        <f>ES20/EL20-1</f>
        <v>0.10294487792600049</v>
      </c>
      <c r="EU50" s="120" t="s">
        <v>146</v>
      </c>
      <c r="EV50" s="121">
        <f>EV20/EO20-1</f>
        <v>-2.8673835125448077E-2</v>
      </c>
      <c r="EW50" s="121">
        <f>EW20/EP20-1</f>
        <v>-3.1858407079646045E-2</v>
      </c>
      <c r="EX50" s="121">
        <f>EX20/EQ20-1</f>
        <v>-2.8142589118198891E-2</v>
      </c>
      <c r="EY50" s="121">
        <f>EY20/ER20-1</f>
        <v>-2.8037383177570097E-2</v>
      </c>
      <c r="EZ50" s="121">
        <f>EZ20/ES20-1</f>
        <v>-2.921040620721127E-2</v>
      </c>
      <c r="FB50" s="120" t="s">
        <v>146</v>
      </c>
      <c r="FC50" s="121">
        <f>FC20/EV20-1</f>
        <v>-1.4760147601476037E-2</v>
      </c>
      <c r="FD50" s="121">
        <f>FD20/EW20-1</f>
        <v>2.6508226691042136E-2</v>
      </c>
      <c r="FE50" s="121">
        <f>FE20/EX20-1</f>
        <v>2.8957528957529011E-2</v>
      </c>
      <c r="FF50" s="121">
        <f>FF20/EY20-1</f>
        <v>5.1923076923076961E-2</v>
      </c>
      <c r="FG50" s="121">
        <f>FG20/EZ20-1</f>
        <v>2.2802068641278872E-2</v>
      </c>
      <c r="FI50" s="120" t="s">
        <v>146</v>
      </c>
      <c r="FJ50" s="121">
        <f>FJ20/FC20-1</f>
        <v>5.805243445692887E-2</v>
      </c>
      <c r="FK50" s="121">
        <f>FK20/FD20-1</f>
        <v>2.4933214603739984E-2</v>
      </c>
      <c r="FL50" s="121">
        <f>FL20/FE20-1</f>
        <v>4.1275797373358403E-2</v>
      </c>
      <c r="FM50" s="121">
        <f>FM20/FF20-1</f>
        <v>5.667276051188308E-2</v>
      </c>
      <c r="FN50" s="121">
        <f>FN20/FG20-1</f>
        <v>4.5047115605607813E-2</v>
      </c>
      <c r="FP50" s="120" t="s">
        <v>146</v>
      </c>
      <c r="FQ50" s="121">
        <f>FQ20/FJ20-1</f>
        <v>2.6548672566371723E-2</v>
      </c>
      <c r="FR50" s="121">
        <f>FR20/FK20-1</f>
        <v>5.2128583840139076E-2</v>
      </c>
      <c r="FS50" s="121">
        <f>FS20/FL20-1</f>
        <v>4.1441441441441462E-2</v>
      </c>
      <c r="FT50" s="121">
        <f>FT20/FM20-1</f>
        <v>0.12716262975778547</v>
      </c>
      <c r="FU50" s="121">
        <f>FU20/FN20-1</f>
        <v>6.2238838794809848E-2</v>
      </c>
      <c r="FW50" s="120" t="s">
        <v>146</v>
      </c>
      <c r="FX50" s="121">
        <f>FX20/FQ20-1</f>
        <v>7.413793103448274E-2</v>
      </c>
      <c r="FY50" s="121">
        <f>FY20/FR20-1</f>
        <v>5.0371593724194863E-2</v>
      </c>
      <c r="FZ50" s="121">
        <f>FZ20/FS20-1</f>
        <v>8.0449826989619444E-2</v>
      </c>
      <c r="GA50" s="121">
        <f>GA20/FT20-1</f>
        <v>1.5349194167306734E-3</v>
      </c>
      <c r="GB50" s="121">
        <f>GB20/FU20-1</f>
        <v>5.0103519668737162E-2</v>
      </c>
      <c r="GD50" s="120" t="s">
        <v>146</v>
      </c>
      <c r="GE50" s="121">
        <f>GE20/FX20-1</f>
        <v>0.1075441412520064</v>
      </c>
      <c r="GF50" s="121">
        <f>GF20/FY20-1</f>
        <v>0.12421383647798745</v>
      </c>
      <c r="GG50" s="121">
        <f>GG20/FZ20-1</f>
        <v>0.1232986389111288</v>
      </c>
      <c r="GH50" s="121">
        <f>GH20/GA20-1</f>
        <v>5.9003831417624442E-2</v>
      </c>
      <c r="GI50" s="121">
        <f>GI20/GB20-1</f>
        <v>0.10311514195583604</v>
      </c>
      <c r="GK50" s="120" t="s">
        <v>146</v>
      </c>
      <c r="GL50" s="121">
        <f>GL20/GE20-1</f>
        <v>2.3188405797101463E-2</v>
      </c>
      <c r="GM50" s="121">
        <f>GM20/GF20-1</f>
        <v>4.2657342657342667E-2</v>
      </c>
      <c r="GN50" s="121">
        <f>GN20/GG20-1</f>
        <v>3.7776193870278085E-2</v>
      </c>
      <c r="GO50" s="121">
        <f>GO20/GH20-1</f>
        <v>6.3675832127351617E-2</v>
      </c>
      <c r="GP50" s="121">
        <f>GP20/GI20-1</f>
        <v>4.1823056300268169E-2</v>
      </c>
      <c r="GR50" s="120" t="s">
        <v>146</v>
      </c>
      <c r="GS50" s="121">
        <f>GS20/GL20-1</f>
        <v>9.3484419263456076E-2</v>
      </c>
      <c r="GT50" s="121">
        <f>GT20/GM20-1</f>
        <v>9.7920858484238815E-2</v>
      </c>
      <c r="GU50" s="121">
        <f>GU20/GN20-1</f>
        <v>0.13461538461538458</v>
      </c>
      <c r="GV50" s="121">
        <f>GV20/GO20-1</f>
        <v>-3.6734693877551017E-2</v>
      </c>
      <c r="GW50" s="121">
        <f>GW20/GP20-1</f>
        <v>7.2053525476067914E-2</v>
      </c>
      <c r="GY50" s="120" t="s">
        <v>146</v>
      </c>
      <c r="GZ50" s="121">
        <f>GZ20/GS20-1</f>
        <v>-0.24222797927461137</v>
      </c>
      <c r="HA50" s="121">
        <f>HA20/GT20-1</f>
        <v>-0.28283445326817347</v>
      </c>
      <c r="HB50" s="121">
        <f>HB20/GU20-1</f>
        <v>-0.24757869249394671</v>
      </c>
      <c r="HC50" s="121">
        <f>HC20/GV20-1</f>
        <v>-9.0395480225988756E-2</v>
      </c>
      <c r="HD50" s="121">
        <f>HD20/GW20-1</f>
        <v>-0.21987518002880457</v>
      </c>
      <c r="HF50" s="120" t="s">
        <v>146</v>
      </c>
      <c r="HG50" s="121">
        <f>HG20/GZ20-1</f>
        <v>0.1692307692307693</v>
      </c>
      <c r="HH50" s="121">
        <f>HH20/HA20-1</f>
        <v>0.2402044293015333</v>
      </c>
      <c r="HI50" s="121">
        <f>HI20/HB20-1</f>
        <v>0.14883346741753822</v>
      </c>
      <c r="HJ50" s="121">
        <f>HJ20/HC20-1</f>
        <v>0.19099378881987583</v>
      </c>
      <c r="HK50" s="121">
        <f>HK20/HD20-1</f>
        <v>0.18687179487179484</v>
      </c>
      <c r="HM50" s="120" t="s">
        <v>146</v>
      </c>
      <c r="HN50" s="121">
        <f>HN20/HG20-1</f>
        <v>0.11549707602339176</v>
      </c>
      <c r="HO50" s="121">
        <f>HO20/HH20-1</f>
        <v>0.10714285714285721</v>
      </c>
      <c r="HP50" s="121">
        <f>HP20/HI20-1</f>
        <v>9.5938375350140159E-2</v>
      </c>
      <c r="HQ50" s="121">
        <f>HQ20/HJ20-1</f>
        <v>4.2372881355932313E-2</v>
      </c>
      <c r="HR50" s="121">
        <f>HR20/HK20-1</f>
        <v>8.9180781195990377E-2</v>
      </c>
      <c r="HT50" s="120" t="s">
        <v>146</v>
      </c>
      <c r="HU50" s="121">
        <f>HU20/HN20-1</f>
        <v>9.7640891218872872E-2</v>
      </c>
      <c r="HV50" s="121">
        <f>HV20/HO20-1</f>
        <v>6.1414392059553347E-2</v>
      </c>
      <c r="HW50" s="121">
        <f>HW20/HP20-1</f>
        <v>2.8115015974440993E-2</v>
      </c>
      <c r="HX50" s="121">
        <f>HX20/HQ20-1</f>
        <v>3.8774233896185173E-2</v>
      </c>
      <c r="HY50" s="121">
        <f>HY20/HR20-1</f>
        <v>5.6172643605204797E-2</v>
      </c>
      <c r="IA50" s="120" t="s">
        <v>146</v>
      </c>
      <c r="IB50" s="121">
        <f>IB20/HU20-1</f>
        <v>2.5074626865671634E-2</v>
      </c>
      <c r="IC50" s="121">
        <f>IC20/HV20-1</f>
        <v>4.1496201052016346E-2</v>
      </c>
      <c r="ID50" s="121">
        <f>ID20/HW20-1</f>
        <v>6.8365444375388496E-2</v>
      </c>
      <c r="IE50" s="121">
        <f>IE20/HX20-1</f>
        <v>9.5123419626730987E-2</v>
      </c>
      <c r="IF50" s="121">
        <f>IF20/HY20-1</f>
        <v>5.7241586538461453E-2</v>
      </c>
      <c r="IH50" s="120" t="s">
        <v>146</v>
      </c>
      <c r="II50" s="121">
        <f>II20/IB20-1</f>
        <v>4.0768782760628897E-2</v>
      </c>
      <c r="IJ50" s="121">
        <f>IJ20/IC20-1</f>
        <v>0.10606060606060597</v>
      </c>
      <c r="IK50" s="121">
        <f>IK20/ID20-1</f>
        <v>0.12100058173356598</v>
      </c>
      <c r="IL50" s="121">
        <f>IL20/IE20-1</f>
        <v>5.7174271577790092E-2</v>
      </c>
      <c r="IM50" s="121">
        <f>IM20/IF20-1</f>
        <v>8.11425323291175E-2</v>
      </c>
      <c r="IO50" s="120" t="s">
        <v>146</v>
      </c>
      <c r="IP50" s="121">
        <f>IP20/II20-1</f>
        <v>1.231113598209288E-2</v>
      </c>
      <c r="IQ50" s="121">
        <f>IQ20/IJ20-1</f>
        <v>-5.7331303906646425E-2</v>
      </c>
      <c r="IR50" s="121">
        <f>IR20/IK20-1</f>
        <v>-5.6045666839647068E-2</v>
      </c>
      <c r="IS50" s="121">
        <f>IS20/IL20-1</f>
        <v>-7.1762870514820554E-2</v>
      </c>
      <c r="IT50" s="121">
        <f>IT20/IM20-1</f>
        <v>-4.4295478443743375E-2</v>
      </c>
      <c r="IV50" s="120" t="s">
        <v>146</v>
      </c>
      <c r="IW50" s="121">
        <f>IW20/IP20-1</f>
        <v>-4.1459369817578806E-2</v>
      </c>
      <c r="IX50" s="121">
        <f>IX20/IQ20-1</f>
        <v>-4.6286329386437064E-2</v>
      </c>
      <c r="IY50" s="121">
        <f>IY20/IR20-1</f>
        <v>-4.2880703683342514E-2</v>
      </c>
      <c r="IZ50" s="121">
        <f>IZ20/IS20-1</f>
        <v>6.1624649859943981E-2</v>
      </c>
      <c r="JA50" s="121">
        <f>JA20/IT20-1</f>
        <v>-1.7741713656993507E-2</v>
      </c>
      <c r="JC50" s="120" t="s">
        <v>146</v>
      </c>
      <c r="JD50" s="121">
        <f>JD20/IW20-1</f>
        <v>6.0553633217993008E-2</v>
      </c>
      <c r="JE50" s="121">
        <f>JE20/IX20-1</f>
        <v>1.46726862302482E-2</v>
      </c>
      <c r="JF50" s="121">
        <f>JF20/IY20-1</f>
        <v>-3.0442274554853488E-2</v>
      </c>
      <c r="JG50" s="121">
        <f>JG20/IZ20-1</f>
        <v>-8.0211081794195227E-2</v>
      </c>
      <c r="JH50" s="121">
        <f>JH20/JA20-1</f>
        <v>-1.0361243349201854E-2</v>
      </c>
      <c r="JJ50" s="120" t="s">
        <v>146</v>
      </c>
      <c r="JK50" s="121">
        <f>JK20/JD20-1</f>
        <v>-3.2626427406199032E-2</v>
      </c>
      <c r="JL50" s="121">
        <f>JL20/JE20-1</f>
        <v>6.0622914349276913E-2</v>
      </c>
      <c r="JM50" s="121">
        <f>JM20/JF20-1</f>
        <v>0.11966824644549767</v>
      </c>
      <c r="JN50" s="121">
        <f>JN20/JG20-1</f>
        <v>9.8680436029833674E-2</v>
      </c>
      <c r="JO50" s="121">
        <f>JO20/JH20-1</f>
        <v>5.9847198641765686E-2</v>
      </c>
      <c r="JQ50" s="120" t="s">
        <v>146</v>
      </c>
      <c r="JR50" s="121">
        <f>JR20/JK20-1</f>
        <v>5.6211354693648019E-2</v>
      </c>
      <c r="JS50" s="121">
        <f>JS20/JL20-1</f>
        <v>1.9402202412165614E-2</v>
      </c>
      <c r="JT50" s="121">
        <f>JT20/JM20-1</f>
        <v>8.4656084656085095E-3</v>
      </c>
      <c r="JU50" s="121">
        <f>JU20/JN20-1</f>
        <v>-2.8720626631853818E-2</v>
      </c>
      <c r="JV50" s="121">
        <f>JV20/JO20-1</f>
        <v>1.3082365505272975E-2</v>
      </c>
      <c r="JX50" s="120" t="s">
        <v>146</v>
      </c>
      <c r="JY50" s="121">
        <f>JY20/JR20-1</f>
        <v>2.5545502927088792E-2</v>
      </c>
      <c r="JZ50" s="121">
        <f>JZ20/JS20-1</f>
        <v>-0.22427983539094654</v>
      </c>
      <c r="KA50" s="121">
        <f>KA20/JT20-1</f>
        <v>-6.7681007345225641E-2</v>
      </c>
      <c r="KB50" s="121">
        <f>KB20/JU20-1</f>
        <v>2.1505376344086446E-3</v>
      </c>
      <c r="KC50" s="121">
        <f>KC20/JV20-1</f>
        <v>-6.7597838977467406E-2</v>
      </c>
      <c r="KE50" s="120" t="s">
        <v>146</v>
      </c>
      <c r="KF50" s="121">
        <f>KF20/JY20-1</f>
        <v>-5.6564608199273447E-2</v>
      </c>
      <c r="KG50" s="121">
        <f>KG20/JZ20-1</f>
        <v>0.26193633952254647</v>
      </c>
      <c r="KH50" s="121">
        <f>KH20/KA20-1</f>
        <v>5.8525604952166521E-2</v>
      </c>
      <c r="KI50" s="121">
        <f>KI20/KB20-1</f>
        <v>3.9163090128755407E-2</v>
      </c>
      <c r="KJ50" s="121">
        <f>KJ20/KC20-1</f>
        <v>6.5432447710570996E-2</v>
      </c>
      <c r="KL50" s="120" t="s">
        <v>146</v>
      </c>
      <c r="KM50" s="121">
        <f>KM20/KF20-1</f>
        <v>5.6655665566556657E-2</v>
      </c>
      <c r="KN50" s="121">
        <f>KN20/KG20-1</f>
        <v>0.10404624277456653</v>
      </c>
      <c r="KO50" s="121">
        <f>KO20/KH20-1</f>
        <v>0.13928761297182346</v>
      </c>
      <c r="KP50" s="121">
        <f>KP20/KI20-1</f>
        <v>7.0727929788332533E-2</v>
      </c>
      <c r="KQ50" s="121">
        <f>KQ20/KJ20-1</f>
        <v>9.2850510677808806E-2</v>
      </c>
      <c r="KS50" s="120" t="s">
        <v>146</v>
      </c>
      <c r="KT50" s="121">
        <f>KT20/KM20-1</f>
        <v>0.12597605413846957</v>
      </c>
      <c r="KU50" s="121">
        <f>KU20/KN20-1</f>
        <v>4.5216563541170762E-2</v>
      </c>
      <c r="KV50" s="121">
        <f>KV20/KO20-1</f>
        <v>-1.4465702286514226E-2</v>
      </c>
      <c r="KW50" s="121">
        <f>KW20/KP20-1</f>
        <v>5.2073288331726086E-2</v>
      </c>
      <c r="KX50" s="121">
        <f>KX20/KQ20-1</f>
        <v>5.0248816603956747E-2</v>
      </c>
      <c r="KZ50" s="120" t="s">
        <v>146</v>
      </c>
      <c r="LA50" s="121">
        <f>LA20/KT20-1</f>
        <v>1.0171058714748105E-2</v>
      </c>
      <c r="LB50" s="163">
        <f>LB20/KU20-1</f>
        <v>4.5537340619307809E-2</v>
      </c>
      <c r="LC50" s="163">
        <f>LC20/KV20-1</f>
        <v>5.6344696969697017E-2</v>
      </c>
      <c r="LD50" s="163">
        <f>LD20/KW20-1</f>
        <v>4.124656278643446E-3</v>
      </c>
      <c r="LE50" s="163">
        <f>LE20/KX20-1</f>
        <v>2.8891713856465939E-2</v>
      </c>
      <c r="LF50" s="556"/>
      <c r="LG50" s="120" t="s">
        <v>146</v>
      </c>
      <c r="LH50" s="163">
        <f>LH20/LA20-1</f>
        <v>-1.5102974828375304E-2</v>
      </c>
      <c r="LI50" s="163">
        <f>LI20/LB20-1</f>
        <v>-1.6986062717770034E-2</v>
      </c>
      <c r="LJ50" s="163">
        <f>LJ20/LC20-1</f>
        <v>-1.0309278350515427E-2</v>
      </c>
      <c r="LK50" s="163">
        <f>LK20/LD20-1</f>
        <v>-1.5974440894568676E-2</v>
      </c>
      <c r="LL50" s="163">
        <f>LL20/LE20-1</f>
        <v>-1.4601819611366973E-2</v>
      </c>
      <c r="LM50" s="556"/>
      <c r="LN50" s="120" t="s">
        <v>146</v>
      </c>
      <c r="LO50" s="163">
        <f>LO20/LH20-1</f>
        <v>-2.1386152416357218E-3</v>
      </c>
      <c r="LP50" s="163">
        <f>LP20/LI20-1</f>
        <v>-6.6875276916267268E-4</v>
      </c>
      <c r="LQ50" s="163">
        <f>LQ20/LJ20-1</f>
        <v>2.0522939311594213E-2</v>
      </c>
      <c r="LR50" s="163">
        <f>LR20/LK20-1</f>
        <v>4.9449802875695781E-2</v>
      </c>
      <c r="LS50" s="163">
        <f>LS20/LL20-1</f>
        <v>1.6621081728029008E-2</v>
      </c>
      <c r="LT50" s="556"/>
      <c r="LU50" s="120" t="s">
        <v>146</v>
      </c>
      <c r="LV50" s="163">
        <f>LV20/LO20-1</f>
        <v>5.6883437941464443E-2</v>
      </c>
      <c r="LW50" s="163">
        <f>LW20/LP20-1</f>
        <v>5.5958770603402597E-2</v>
      </c>
      <c r="LX50" s="163">
        <f>LX20/LQ20-1</f>
        <v>5.5247435430843872E-2</v>
      </c>
      <c r="LY50" s="163">
        <f>LY20/LR20-1</f>
        <v>5.5044168253759906E-2</v>
      </c>
      <c r="LZ50" s="163">
        <f>LZ20/LS20-1</f>
        <v>5.5769661961237116E-2</v>
      </c>
      <c r="MA50" s="556"/>
      <c r="MB50" s="120" t="s">
        <v>146</v>
      </c>
      <c r="MC50" s="163">
        <f>MC20/LV20-1</f>
        <v>5.2694294496524519E-2</v>
      </c>
      <c r="MD50" s="163">
        <f>MD20/LW20-1</f>
        <v>5.1988086138481604E-2</v>
      </c>
      <c r="ME50" s="163">
        <f>ME20/LX20-1</f>
        <v>5.0506432437602999E-2</v>
      </c>
      <c r="MF50" s="163">
        <f>MF20/LY20-1</f>
        <v>4.824292360561544E-2</v>
      </c>
      <c r="MG50" s="163">
        <f>MG20/LZ20-1</f>
        <v>5.0834692793343184E-2</v>
      </c>
      <c r="MH50" s="556"/>
    </row>
    <row r="51" spans="1:346" s="37" customFormat="1" ht="13.5" thickTop="1" x14ac:dyDescent="0.4">
      <c r="A51" s="100"/>
      <c r="B51" s="36"/>
      <c r="BO51" s="36"/>
      <c r="BP51" s="53"/>
      <c r="BQ51" s="53"/>
      <c r="BR51" s="53"/>
      <c r="BS51" s="53"/>
      <c r="BT51" s="53"/>
      <c r="BV51" s="36"/>
      <c r="BW51" s="53"/>
      <c r="BX51" s="53"/>
      <c r="BY51" s="53"/>
      <c r="BZ51" s="53"/>
      <c r="CA51" s="53"/>
      <c r="CC51" s="36"/>
      <c r="CD51" s="53"/>
      <c r="CE51" s="53"/>
      <c r="CF51" s="53"/>
      <c r="CG51" s="53"/>
      <c r="CH51" s="53"/>
      <c r="CJ51" s="36"/>
      <c r="CK51" s="53"/>
      <c r="CL51" s="53"/>
      <c r="CM51" s="53"/>
      <c r="CN51" s="53"/>
      <c r="CO51" s="53"/>
      <c r="CQ51" s="36"/>
      <c r="CR51" s="53"/>
      <c r="CS51" s="53"/>
      <c r="CT51" s="53"/>
      <c r="CU51" s="53"/>
      <c r="CV51" s="53"/>
      <c r="CX51" s="36"/>
      <c r="CY51" s="53"/>
      <c r="CZ51" s="53"/>
      <c r="DA51" s="53"/>
      <c r="DB51" s="53"/>
      <c r="DC51" s="53"/>
      <c r="DE51" s="36"/>
      <c r="DF51" s="53"/>
      <c r="DG51" s="53"/>
      <c r="DH51" s="53"/>
      <c r="DI51" s="53"/>
      <c r="DJ51" s="53"/>
      <c r="DL51" s="36"/>
      <c r="DM51" s="53"/>
      <c r="DN51" s="53"/>
      <c r="DO51" s="53"/>
      <c r="DP51" s="53"/>
      <c r="DQ51" s="53"/>
      <c r="DS51" s="36"/>
      <c r="DT51" s="53"/>
      <c r="DU51" s="53"/>
      <c r="DV51" s="53"/>
      <c r="DW51" s="53"/>
      <c r="DX51" s="53"/>
      <c r="DZ51" s="36"/>
      <c r="EA51" s="53"/>
      <c r="EB51" s="53"/>
      <c r="EC51" s="53"/>
      <c r="ED51" s="53"/>
      <c r="EE51" s="53"/>
      <c r="EG51" s="36"/>
      <c r="EH51" s="53"/>
      <c r="EI51" s="53"/>
      <c r="EJ51" s="53"/>
      <c r="EK51" s="53"/>
      <c r="EL51" s="53"/>
      <c r="EN51" s="36"/>
      <c r="EO51" s="53"/>
      <c r="EP51" s="53"/>
      <c r="EQ51" s="53"/>
      <c r="ER51" s="53"/>
      <c r="ES51" s="53"/>
      <c r="EU51" s="36"/>
      <c r="EV51" s="53"/>
      <c r="EW51" s="53"/>
      <c r="EX51" s="53"/>
      <c r="EY51" s="53"/>
      <c r="EZ51" s="53"/>
      <c r="FB51" s="36"/>
      <c r="FC51" s="53"/>
      <c r="FD51" s="53"/>
      <c r="FE51" s="53"/>
      <c r="FF51" s="53"/>
      <c r="FG51" s="53"/>
      <c r="FI51" s="36"/>
      <c r="FJ51" s="53"/>
      <c r="FK51" s="53"/>
      <c r="FL51" s="53"/>
      <c r="FM51" s="53"/>
      <c r="FN51" s="53"/>
      <c r="FP51" s="36"/>
      <c r="FQ51" s="53"/>
      <c r="FR51" s="53"/>
      <c r="FS51" s="53"/>
      <c r="FT51" s="53"/>
      <c r="FU51" s="53"/>
      <c r="FW51" s="36"/>
      <c r="FX51" s="53"/>
      <c r="FY51" s="53"/>
      <c r="FZ51" s="53"/>
      <c r="GA51" s="53"/>
      <c r="GB51" s="53"/>
      <c r="GD51" s="36"/>
      <c r="GE51" s="53"/>
      <c r="GF51" s="53"/>
      <c r="GG51" s="53"/>
      <c r="GH51" s="53"/>
      <c r="GI51" s="53"/>
      <c r="GK51" s="36"/>
      <c r="GL51" s="53"/>
      <c r="GM51" s="53"/>
      <c r="GN51" s="53"/>
      <c r="GO51" s="53"/>
      <c r="GP51" s="53"/>
      <c r="GR51" s="36"/>
      <c r="GS51" s="53"/>
      <c r="GT51" s="53"/>
      <c r="GU51" s="53"/>
      <c r="GV51" s="53"/>
      <c r="GW51" s="53"/>
      <c r="GY51" s="36"/>
      <c r="GZ51" s="53"/>
      <c r="HA51" s="53"/>
      <c r="HB51" s="53"/>
      <c r="HC51" s="53"/>
      <c r="HD51" s="53"/>
      <c r="HF51" s="36"/>
      <c r="HG51" s="53"/>
      <c r="HH51" s="53"/>
      <c r="HI51" s="53"/>
      <c r="HJ51" s="53"/>
      <c r="HK51" s="53"/>
      <c r="HM51" s="36"/>
      <c r="HN51" s="53"/>
      <c r="HO51" s="53"/>
      <c r="HP51" s="53"/>
      <c r="HQ51" s="53"/>
      <c r="HR51" s="53"/>
      <c r="HT51" s="36"/>
      <c r="HU51" s="53"/>
      <c r="HV51" s="53"/>
      <c r="HW51" s="53"/>
      <c r="HX51" s="53"/>
      <c r="HY51" s="53"/>
      <c r="IA51" s="36"/>
      <c r="IB51" s="53"/>
      <c r="IC51" s="53"/>
      <c r="ID51" s="53"/>
      <c r="IE51" s="53"/>
      <c r="IF51" s="53"/>
      <c r="IH51" s="36"/>
      <c r="II51" s="53"/>
      <c r="IJ51" s="53"/>
      <c r="IK51" s="53"/>
      <c r="IL51" s="53"/>
      <c r="IM51" s="53"/>
      <c r="IO51" s="36"/>
      <c r="IP51" s="53"/>
      <c r="IQ51" s="53"/>
      <c r="IR51" s="53"/>
      <c r="IS51" s="53"/>
      <c r="IT51" s="53"/>
      <c r="IV51" s="36"/>
      <c r="IW51" s="53"/>
      <c r="IX51" s="53"/>
      <c r="IY51" s="53"/>
      <c r="IZ51" s="53"/>
      <c r="JA51" s="53"/>
      <c r="JC51" s="36"/>
      <c r="JD51" s="53"/>
      <c r="JE51" s="53"/>
      <c r="JF51" s="53"/>
      <c r="JG51" s="53"/>
      <c r="JH51" s="53"/>
      <c r="JJ51" s="36"/>
      <c r="JK51" s="53"/>
      <c r="JL51" s="53"/>
      <c r="JM51" s="53"/>
      <c r="JN51" s="53"/>
      <c r="JO51" s="53"/>
      <c r="JQ51" s="36"/>
      <c r="JR51" s="53"/>
      <c r="JS51" s="53"/>
      <c r="JT51" s="53"/>
      <c r="JU51" s="53"/>
      <c r="JV51" s="53"/>
      <c r="JX51" s="36"/>
      <c r="JY51" s="53"/>
      <c r="JZ51" s="53"/>
      <c r="KA51" s="53"/>
      <c r="KB51" s="53"/>
      <c r="KC51" s="53"/>
      <c r="KE51" s="36"/>
      <c r="KF51" s="53"/>
      <c r="KG51" s="53"/>
      <c r="KH51" s="53"/>
      <c r="KI51" s="53"/>
      <c r="KJ51" s="53"/>
      <c r="KL51" s="36"/>
      <c r="KM51" s="53"/>
      <c r="KN51" s="53"/>
      <c r="KO51" s="53"/>
      <c r="KP51" s="53"/>
      <c r="KQ51" s="53"/>
      <c r="KS51" s="36"/>
      <c r="KT51" s="53"/>
      <c r="KU51" s="53"/>
      <c r="KX51" s="53"/>
      <c r="KZ51" s="630"/>
      <c r="LA51" s="631"/>
      <c r="LB51" s="631"/>
      <c r="LC51" s="631"/>
      <c r="LD51" s="631"/>
      <c r="LE51" s="631"/>
      <c r="LF51" s="566"/>
      <c r="LG51" s="630"/>
      <c r="LH51" s="631"/>
      <c r="LI51" s="631"/>
      <c r="LJ51" s="631"/>
      <c r="LK51" s="631"/>
      <c r="LL51" s="631"/>
      <c r="LM51" s="566"/>
      <c r="LN51" s="630"/>
      <c r="LO51" s="631"/>
      <c r="LP51" s="631"/>
      <c r="LQ51" s="631"/>
      <c r="LR51" s="631"/>
      <c r="LS51" s="631"/>
      <c r="LT51" s="566"/>
      <c r="LU51" s="630"/>
      <c r="LV51" s="631"/>
      <c r="LW51" s="631"/>
      <c r="LX51" s="631"/>
      <c r="LY51" s="631"/>
      <c r="LZ51" s="631"/>
      <c r="MA51" s="566"/>
      <c r="MB51" s="630"/>
      <c r="MC51" s="631"/>
      <c r="MD51" s="631"/>
      <c r="ME51" s="631"/>
      <c r="MF51" s="631"/>
      <c r="MG51" s="631"/>
      <c r="MH51" s="566"/>
    </row>
    <row r="52" spans="1:346" s="37" customFormat="1" ht="13.15" x14ac:dyDescent="0.4">
      <c r="A52" s="100"/>
      <c r="B52" s="116" t="s">
        <v>32</v>
      </c>
      <c r="C52" s="117"/>
      <c r="D52" s="117"/>
      <c r="E52" s="117"/>
      <c r="F52" s="117"/>
      <c r="G52" s="117"/>
      <c r="H52" s="117"/>
      <c r="I52" s="117"/>
      <c r="J52" s="117"/>
      <c r="K52" s="117"/>
      <c r="L52" s="117"/>
      <c r="M52" s="117"/>
      <c r="N52" s="117">
        <f>BT52</f>
        <v>-3.7828947368421018E-2</v>
      </c>
      <c r="O52" s="117">
        <f>CA52</f>
        <v>8.8888888888888795E-2</v>
      </c>
      <c r="P52" s="117">
        <f>CH52</f>
        <v>6.1224489795918435E-2</v>
      </c>
      <c r="Q52" s="117">
        <f>CO52</f>
        <v>9.2603550295857984E-2</v>
      </c>
      <c r="R52" s="117">
        <f>CV52</f>
        <v>7.3652856756024843E-2</v>
      </c>
      <c r="S52" s="117">
        <f>DC52</f>
        <v>0.13745271122320313</v>
      </c>
      <c r="T52" s="117">
        <f>DJ52</f>
        <v>-0.21618625277161863</v>
      </c>
      <c r="U52" s="117">
        <f>DQ52</f>
        <v>-6.6478076379066442E-2</v>
      </c>
      <c r="V52" s="117">
        <f>DX52</f>
        <v>1.3636363636363669E-2</v>
      </c>
      <c r="W52" s="117">
        <f>EE52</f>
        <v>-3.1390134529147962E-2</v>
      </c>
      <c r="X52" s="117">
        <f>EL52</f>
        <v>0.47993827160493829</v>
      </c>
      <c r="Y52" s="117">
        <f>ES52</f>
        <v>0.2179353493222107</v>
      </c>
      <c r="Z52" s="117">
        <f>EZ52</f>
        <v>-4.7945205479452024E-2</v>
      </c>
      <c r="AA52" s="117">
        <f>FG52</f>
        <v>6.1151079136690711E-2</v>
      </c>
      <c r="AB52" s="117">
        <f>FN52</f>
        <v>6.5254237288135508E-2</v>
      </c>
      <c r="AC52" s="117">
        <f>FU52</f>
        <v>5.8870326173428689E-2</v>
      </c>
      <c r="AD52" s="117">
        <f>GB52</f>
        <v>2.3290758827948954E-2</v>
      </c>
      <c r="AE52" s="117">
        <f>GI52</f>
        <v>3.6710719530102853E-2</v>
      </c>
      <c r="AF52" s="117">
        <f>GP52</f>
        <v>-3.966005665722383E-2</v>
      </c>
      <c r="AG52" s="117">
        <f>GW52</f>
        <v>8.1120943952802449E-2</v>
      </c>
      <c r="AH52" s="117">
        <f>HD52</f>
        <v>-0.17871759890859484</v>
      </c>
      <c r="AI52" s="117">
        <f>HK52</f>
        <v>7.5581395348837122E-2</v>
      </c>
      <c r="AJ52" s="117">
        <f>HR52</f>
        <v>0.10733590733590725</v>
      </c>
      <c r="AK52" s="117">
        <f>HY52</f>
        <v>0.11157601115760118</v>
      </c>
      <c r="AL52" s="117">
        <f>IF52</f>
        <v>6.461731493099121E-2</v>
      </c>
      <c r="AM52" s="117">
        <f>IM52</f>
        <v>5.4802592810842654E-2</v>
      </c>
      <c r="AN52" s="117">
        <f>IT52</f>
        <v>-1.5642458100558643E-2</v>
      </c>
      <c r="AO52" s="117">
        <f>JA52</f>
        <v>-2.0431328036322416E-2</v>
      </c>
      <c r="AP52" s="117">
        <f>JH52</f>
        <v>4.2294322132097273E-2</v>
      </c>
      <c r="AQ52" s="117">
        <f>JO52</f>
        <v>7.3374096720400184E-2</v>
      </c>
      <c r="AR52" s="117">
        <f>JV52</f>
        <v>-8.8555152770585233E-2</v>
      </c>
      <c r="AS52" s="117">
        <f>KC52</f>
        <v>-3.2954545454545459E-2</v>
      </c>
      <c r="AT52" s="117">
        <f>KJ52</f>
        <v>0.14864864864864868</v>
      </c>
      <c r="AU52" s="117">
        <f>KQ52</f>
        <v>0.17953964194373406</v>
      </c>
      <c r="AV52" s="117">
        <f>KX52</f>
        <v>-0.10667823070251514</v>
      </c>
      <c r="AW52" s="117">
        <f>LE52</f>
        <v>-6.3106796116504382E-3</v>
      </c>
      <c r="AX52" s="117">
        <f>LL52</f>
        <v>1.2701514411333603E-2</v>
      </c>
      <c r="AY52" s="117">
        <f>LS52</f>
        <v>8.7035516160154369E-2</v>
      </c>
      <c r="AZ52" s="117">
        <f>LZ52</f>
        <v>6.361778258391948E-2</v>
      </c>
      <c r="BA52" s="117">
        <f>MG52</f>
        <v>6.3474999999999948E-2</v>
      </c>
      <c r="BB52" s="117"/>
      <c r="BC52" s="117"/>
      <c r="BD52" s="117"/>
      <c r="BE52" s="117"/>
      <c r="BF52" s="117"/>
      <c r="BG52" s="117"/>
      <c r="BH52" s="117"/>
      <c r="BI52" s="117"/>
      <c r="BJ52" s="117"/>
      <c r="BK52" s="117"/>
      <c r="BL52" s="117"/>
      <c r="BM52" s="117"/>
      <c r="BO52" s="116" t="s">
        <v>32</v>
      </c>
      <c r="BP52" s="117">
        <f t="shared" ref="BP52:BT53" si="261">BP26/I26-1</f>
        <v>-0.625</v>
      </c>
      <c r="BQ52" s="117">
        <f t="shared" si="261"/>
        <v>-0.59090909090909083</v>
      </c>
      <c r="BR52" s="117">
        <f t="shared" si="261"/>
        <v>-0.60270270270270276</v>
      </c>
      <c r="BS52" s="117">
        <f t="shared" si="261"/>
        <v>-0.57734806629834257</v>
      </c>
      <c r="BT52" s="117">
        <f t="shared" si="261"/>
        <v>-3.7828947368421018E-2</v>
      </c>
      <c r="BV52" s="116" t="s">
        <v>32</v>
      </c>
      <c r="BW52" s="117">
        <f t="shared" ref="BW52:CA53" si="262">BW26/BP26-1</f>
        <v>2.1276595744680771E-2</v>
      </c>
      <c r="BX52" s="117">
        <f t="shared" si="262"/>
        <v>0.10416666666666674</v>
      </c>
      <c r="BY52" s="117">
        <f t="shared" si="262"/>
        <v>8.8435374149659962E-2</v>
      </c>
      <c r="BZ52" s="117">
        <f t="shared" si="262"/>
        <v>0.13725490196078427</v>
      </c>
      <c r="CA52" s="117">
        <f t="shared" si="262"/>
        <v>8.8888888888888795E-2</v>
      </c>
      <c r="CC52" s="116" t="s">
        <v>32</v>
      </c>
      <c r="CD52" s="117">
        <f t="shared" ref="CD52:CH53" si="263">CD26/BW26-1</f>
        <v>0.10416666666666674</v>
      </c>
      <c r="CE52" s="117">
        <f t="shared" si="263"/>
        <v>1.8867924528301883E-2</v>
      </c>
      <c r="CF52" s="117">
        <f t="shared" si="263"/>
        <v>6.25E-2</v>
      </c>
      <c r="CG52" s="117">
        <f t="shared" si="263"/>
        <v>6.321839080459779E-2</v>
      </c>
      <c r="CH52" s="117">
        <f t="shared" si="263"/>
        <v>6.1224489795918435E-2</v>
      </c>
      <c r="CJ52" s="116" t="s">
        <v>32</v>
      </c>
      <c r="CK52" s="117">
        <f t="shared" ref="CK52:CO53" si="264">CK26/CD26-1</f>
        <v>0.13207547169811318</v>
      </c>
      <c r="CL52" s="117">
        <f t="shared" si="264"/>
        <v>0.11543209876543203</v>
      </c>
      <c r="CM52" s="117">
        <f t="shared" si="264"/>
        <v>0.11117647058823543</v>
      </c>
      <c r="CN52" s="117">
        <f t="shared" si="264"/>
        <v>2.1621621621621623E-2</v>
      </c>
      <c r="CO52" s="117">
        <f t="shared" si="264"/>
        <v>9.2603550295857984E-2</v>
      </c>
      <c r="CQ52" s="116" t="s">
        <v>32</v>
      </c>
      <c r="CR52" s="117">
        <f t="shared" ref="CR52:CV53" si="265">CR26/CK26-1</f>
        <v>2.2222222222222143E-2</v>
      </c>
      <c r="CS52" s="117">
        <f t="shared" si="265"/>
        <v>4.0398450470392921E-2</v>
      </c>
      <c r="CT52" s="117">
        <f t="shared" si="265"/>
        <v>9.05240868184225E-2</v>
      </c>
      <c r="CU52" s="117">
        <f t="shared" si="265"/>
        <v>0.13756613756613767</v>
      </c>
      <c r="CV52" s="117">
        <f t="shared" si="265"/>
        <v>7.3652856756024843E-2</v>
      </c>
      <c r="CX52" s="116" t="s">
        <v>32</v>
      </c>
      <c r="CY52" s="117">
        <f t="shared" ref="CY52:DC53" si="266">CY26/CR26-1</f>
        <v>0.14130434782608692</v>
      </c>
      <c r="CZ52" s="117">
        <f t="shared" si="266"/>
        <v>0.18617021276595747</v>
      </c>
      <c r="DA52" s="117">
        <f t="shared" si="266"/>
        <v>0.11650485436893199</v>
      </c>
      <c r="DB52" s="117">
        <f t="shared" si="266"/>
        <v>0.1116279069767443</v>
      </c>
      <c r="DC52" s="117">
        <f t="shared" si="266"/>
        <v>0.13745271122320313</v>
      </c>
      <c r="DE52" s="116" t="s">
        <v>32</v>
      </c>
      <c r="DF52" s="117">
        <f t="shared" ref="DF52:DJ53" si="267">DF26/CY26-1</f>
        <v>-0.16190476190476188</v>
      </c>
      <c r="DG52" s="117">
        <f t="shared" si="267"/>
        <v>-0.20627802690582964</v>
      </c>
      <c r="DH52" s="117">
        <f t="shared" si="267"/>
        <v>-0.24782608695652175</v>
      </c>
      <c r="DI52" s="117">
        <f t="shared" si="267"/>
        <v>-0.24267782426778239</v>
      </c>
      <c r="DJ52" s="117">
        <f t="shared" si="267"/>
        <v>-0.21618625277161863</v>
      </c>
      <c r="DL52" s="116" t="s">
        <v>32</v>
      </c>
      <c r="DM52" s="117">
        <f t="shared" ref="DM52:DQ53" si="268">DM26/DF26-1</f>
        <v>-8.5227272727272707E-2</v>
      </c>
      <c r="DN52" s="117">
        <f t="shared" si="268"/>
        <v>-5.6497175141242972E-2</v>
      </c>
      <c r="DO52" s="117">
        <f t="shared" si="268"/>
        <v>-6.9364161849710948E-2</v>
      </c>
      <c r="DP52" s="117">
        <f t="shared" si="268"/>
        <v>-5.5248618784530357E-2</v>
      </c>
      <c r="DQ52" s="117">
        <f t="shared" si="268"/>
        <v>-6.6478076379066442E-2</v>
      </c>
      <c r="DS52" s="116" t="s">
        <v>32</v>
      </c>
      <c r="DT52" s="117">
        <f t="shared" ref="DT52:DX53" si="269">DT26/DM26-1</f>
        <v>-1.2422360248447228E-2</v>
      </c>
      <c r="DU52" s="117">
        <f t="shared" si="269"/>
        <v>-1.7964071856287456E-2</v>
      </c>
      <c r="DV52" s="117">
        <f t="shared" si="269"/>
        <v>8.0745341614906874E-2</v>
      </c>
      <c r="DW52" s="117">
        <f t="shared" si="269"/>
        <v>5.8479532163742132E-3</v>
      </c>
      <c r="DX52" s="117">
        <f t="shared" si="269"/>
        <v>1.3636363636363669E-2</v>
      </c>
      <c r="DZ52" s="116" t="s">
        <v>32</v>
      </c>
      <c r="EA52" s="117">
        <f t="shared" ref="EA52:EE53" si="270">EA26/DT26-1</f>
        <v>0</v>
      </c>
      <c r="EB52" s="117">
        <f t="shared" si="270"/>
        <v>-3.6585365853658569E-2</v>
      </c>
      <c r="EC52" s="117">
        <f t="shared" si="270"/>
        <v>-7.4712643678160884E-2</v>
      </c>
      <c r="ED52" s="117">
        <f t="shared" si="270"/>
        <v>-1.1627906976744207E-2</v>
      </c>
      <c r="EE52" s="117">
        <f t="shared" si="270"/>
        <v>-3.1390134529147962E-2</v>
      </c>
      <c r="EG52" s="116" t="s">
        <v>32</v>
      </c>
      <c r="EH52" s="117">
        <f t="shared" ref="EH52:EL53" si="271">EH26/EA26-1</f>
        <v>6.2893081761006275E-2</v>
      </c>
      <c r="EI52" s="117">
        <f t="shared" si="271"/>
        <v>0.31012658227848111</v>
      </c>
      <c r="EJ52" s="117">
        <f t="shared" si="271"/>
        <v>0.78881987577639756</v>
      </c>
      <c r="EK52" s="117">
        <f t="shared" si="271"/>
        <v>0.73529411764705888</v>
      </c>
      <c r="EL52" s="117">
        <f t="shared" si="271"/>
        <v>0.47993827160493829</v>
      </c>
      <c r="EN52" s="116" t="s">
        <v>32</v>
      </c>
      <c r="EO52" s="117">
        <f t="shared" ref="EO52:ES53" si="272">EO26/EH26-1</f>
        <v>0.70414201183431957</v>
      </c>
      <c r="EP52" s="117">
        <f t="shared" si="272"/>
        <v>0.40579710144927539</v>
      </c>
      <c r="EQ52" s="117">
        <f t="shared" si="272"/>
        <v>0</v>
      </c>
      <c r="ER52" s="117">
        <f t="shared" si="272"/>
        <v>2.0338983050847359E-2</v>
      </c>
      <c r="ES52" s="117">
        <f t="shared" si="272"/>
        <v>0.2179353493222107</v>
      </c>
      <c r="EU52" s="116" t="s">
        <v>32</v>
      </c>
      <c r="EV52" s="117">
        <f t="shared" ref="EV52:EZ53" si="273">EV26/EO26-1</f>
        <v>-6.25E-2</v>
      </c>
      <c r="EW52" s="117">
        <f t="shared" si="273"/>
        <v>-6.8728522336769737E-2</v>
      </c>
      <c r="EX52" s="117">
        <f t="shared" si="273"/>
        <v>-6.9444444444444198E-3</v>
      </c>
      <c r="EY52" s="117">
        <f t="shared" si="273"/>
        <v>-5.3156146179402008E-2</v>
      </c>
      <c r="EZ52" s="117">
        <f t="shared" si="273"/>
        <v>-4.7945205479452024E-2</v>
      </c>
      <c r="FB52" s="116" t="s">
        <v>32</v>
      </c>
      <c r="FC52" s="117">
        <f t="shared" ref="FC52:FG53" si="274">FC26/EV26-1</f>
        <v>-2.9629629629629672E-2</v>
      </c>
      <c r="FD52" s="117">
        <f t="shared" si="274"/>
        <v>9.2250922509225175E-2</v>
      </c>
      <c r="FE52" s="117">
        <f t="shared" si="274"/>
        <v>9.4405594405594373E-2</v>
      </c>
      <c r="FF52" s="117">
        <f t="shared" si="274"/>
        <v>8.4210526315789513E-2</v>
      </c>
      <c r="FG52" s="117">
        <f t="shared" si="274"/>
        <v>6.1151079136690711E-2</v>
      </c>
      <c r="FI52" s="116" t="s">
        <v>32</v>
      </c>
      <c r="FJ52" s="117">
        <f t="shared" ref="FJ52:FN53" si="275">FJ26/FC26-1</f>
        <v>0.15267175572519087</v>
      </c>
      <c r="FK52" s="117">
        <f t="shared" si="275"/>
        <v>6.0810810810810745E-2</v>
      </c>
      <c r="FL52" s="117">
        <f t="shared" si="275"/>
        <v>0</v>
      </c>
      <c r="FM52" s="117">
        <f t="shared" si="275"/>
        <v>6.1488673139158623E-2</v>
      </c>
      <c r="FN52" s="117">
        <f t="shared" si="275"/>
        <v>6.5254237288135508E-2</v>
      </c>
      <c r="FP52" s="116" t="s">
        <v>32</v>
      </c>
      <c r="FQ52" s="117">
        <f t="shared" ref="FQ52:FU53" si="276">FQ26/FJ26-1</f>
        <v>4.3046357615894149E-2</v>
      </c>
      <c r="FR52" s="117">
        <f t="shared" si="276"/>
        <v>2.866242038216571E-2</v>
      </c>
      <c r="FS52" s="117">
        <f t="shared" si="276"/>
        <v>2.8753993610223683E-2</v>
      </c>
      <c r="FT52" s="117">
        <f t="shared" si="276"/>
        <v>0.13109756097560976</v>
      </c>
      <c r="FU52" s="117">
        <f t="shared" si="276"/>
        <v>5.8870326173428689E-2</v>
      </c>
      <c r="FW52" s="116" t="s">
        <v>32</v>
      </c>
      <c r="FX52" s="117">
        <f t="shared" ref="FX52:GB53" si="277">FX26/FQ26-1</f>
        <v>4.4444444444444509E-2</v>
      </c>
      <c r="FY52" s="117">
        <f t="shared" si="277"/>
        <v>2.1671826625387025E-2</v>
      </c>
      <c r="FZ52" s="117">
        <f t="shared" si="277"/>
        <v>4.658385093167694E-2</v>
      </c>
      <c r="GA52" s="117">
        <f t="shared" si="277"/>
        <v>-1.3477088948787075E-2</v>
      </c>
      <c r="GB52" s="117">
        <f t="shared" si="277"/>
        <v>2.3290758827948954E-2</v>
      </c>
      <c r="GD52" s="116" t="s">
        <v>32</v>
      </c>
      <c r="GE52" s="117">
        <f t="shared" ref="GE52:GI53" si="278">GE26/FX26-1</f>
        <v>1.5197568389057725E-2</v>
      </c>
      <c r="GF52" s="117">
        <f t="shared" si="278"/>
        <v>7.8787878787878851E-2</v>
      </c>
      <c r="GG52" s="117">
        <f t="shared" si="278"/>
        <v>8.0118694362017795E-2</v>
      </c>
      <c r="GH52" s="117">
        <f t="shared" si="278"/>
        <v>-2.1857923497267784E-2</v>
      </c>
      <c r="GI52" s="117">
        <f t="shared" si="278"/>
        <v>3.6710719530102853E-2</v>
      </c>
      <c r="GK52" s="116" t="s">
        <v>32</v>
      </c>
      <c r="GL52" s="117">
        <f t="shared" ref="GL52:GP53" si="279">GL26/GE26-1</f>
        <v>-4.7904191616766512E-2</v>
      </c>
      <c r="GM52" s="117">
        <f t="shared" si="279"/>
        <v>-3.6516853932584303E-2</v>
      </c>
      <c r="GN52" s="117">
        <f t="shared" si="279"/>
        <v>-7.4175824175824134E-2</v>
      </c>
      <c r="GO52" s="117">
        <f t="shared" si="279"/>
        <v>0</v>
      </c>
      <c r="GP52" s="117">
        <f t="shared" si="279"/>
        <v>-3.966005665722383E-2</v>
      </c>
      <c r="GR52" s="116" t="s">
        <v>32</v>
      </c>
      <c r="GS52" s="117">
        <f t="shared" ref="GS52:GW53" si="280">GS26/GL26-1</f>
        <v>9.4339622641509413E-2</v>
      </c>
      <c r="GT52" s="117">
        <f t="shared" si="280"/>
        <v>0.12244897959183665</v>
      </c>
      <c r="GU52" s="117">
        <f t="shared" si="280"/>
        <v>0.18397626112759635</v>
      </c>
      <c r="GV52" s="117">
        <f t="shared" si="280"/>
        <v>-6.7039106145251437E-2</v>
      </c>
      <c r="GW52" s="117">
        <f t="shared" si="280"/>
        <v>8.1120943952802449E-2</v>
      </c>
      <c r="GY52" s="116" t="s">
        <v>32</v>
      </c>
      <c r="GZ52" s="117">
        <f t="shared" ref="GZ52:HD53" si="281">GZ26/GS26-1</f>
        <v>-0.22413793103448276</v>
      </c>
      <c r="HA52" s="117">
        <f t="shared" si="281"/>
        <v>-0.24415584415584413</v>
      </c>
      <c r="HB52" s="117">
        <f t="shared" si="281"/>
        <v>-0.24060150375939848</v>
      </c>
      <c r="HC52" s="117">
        <f t="shared" si="281"/>
        <v>1.7964071856287456E-2</v>
      </c>
      <c r="HD52" s="117">
        <f t="shared" si="281"/>
        <v>-0.17871759890859484</v>
      </c>
      <c r="HF52" s="116" t="s">
        <v>32</v>
      </c>
      <c r="HG52" s="117">
        <f t="shared" ref="HG52:HK53" si="282">HG26/GZ26-1</f>
        <v>0.19629629629629619</v>
      </c>
      <c r="HH52" s="117">
        <f t="shared" si="282"/>
        <v>4.4673539518900407E-2</v>
      </c>
      <c r="HI52" s="117">
        <f t="shared" si="282"/>
        <v>4.9504950495049549E-2</v>
      </c>
      <c r="HJ52" s="117">
        <f t="shared" si="282"/>
        <v>2.9411764705882248E-2</v>
      </c>
      <c r="HK52" s="117">
        <f t="shared" si="282"/>
        <v>7.5581395348837122E-2</v>
      </c>
      <c r="HM52" s="116" t="s">
        <v>32</v>
      </c>
      <c r="HN52" s="117">
        <f t="shared" ref="HN52:HR53" si="283">HN26/HG26-1</f>
        <v>1.2383900928792491E-2</v>
      </c>
      <c r="HO52" s="117">
        <f t="shared" si="283"/>
        <v>0.21381578947368429</v>
      </c>
      <c r="HP52" s="117">
        <f t="shared" si="283"/>
        <v>0.14150943396226423</v>
      </c>
      <c r="HQ52" s="117">
        <f t="shared" si="283"/>
        <v>7.1428571428571397E-2</v>
      </c>
      <c r="HR52" s="117">
        <f t="shared" si="283"/>
        <v>0.10733590733590725</v>
      </c>
      <c r="HT52" s="116" t="s">
        <v>32</v>
      </c>
      <c r="HU52" s="117">
        <f t="shared" ref="HU52:HY53" si="284">HU26/HN26-1</f>
        <v>0.18960244648318048</v>
      </c>
      <c r="HV52" s="117">
        <f t="shared" si="284"/>
        <v>0.10569105691056913</v>
      </c>
      <c r="HW52" s="117">
        <f t="shared" si="284"/>
        <v>9.9173553719008156E-2</v>
      </c>
      <c r="HX52" s="117">
        <f t="shared" si="284"/>
        <v>6.133333333333324E-2</v>
      </c>
      <c r="HY52" s="117">
        <f t="shared" si="284"/>
        <v>0.11157601115760118</v>
      </c>
      <c r="IA52" s="116" t="s">
        <v>32</v>
      </c>
      <c r="IB52" s="117">
        <f t="shared" ref="IB52:IF53" si="285">IB26/HU26-1</f>
        <v>3.8560411311054033E-2</v>
      </c>
      <c r="IC52" s="117">
        <f t="shared" si="285"/>
        <v>4.1666666666666741E-2</v>
      </c>
      <c r="ID52" s="117">
        <f t="shared" si="285"/>
        <v>8.0200501253132828E-2</v>
      </c>
      <c r="IE52" s="117">
        <f t="shared" si="285"/>
        <v>9.7989949748743754E-2</v>
      </c>
      <c r="IF52" s="117">
        <f t="shared" si="285"/>
        <v>6.461731493099121E-2</v>
      </c>
      <c r="IH52" s="116" t="s">
        <v>32</v>
      </c>
      <c r="II52" s="117">
        <f t="shared" ref="II52:IM53" si="286">II26/IB26-1</f>
        <v>4.2079207920792117E-2</v>
      </c>
      <c r="IJ52" s="117">
        <f t="shared" si="286"/>
        <v>5.647058823529405E-2</v>
      </c>
      <c r="IK52" s="117">
        <f t="shared" si="286"/>
        <v>5.5684454756380619E-2</v>
      </c>
      <c r="IL52" s="117">
        <f t="shared" si="286"/>
        <v>6.4073226544622441E-2</v>
      </c>
      <c r="IM52" s="117">
        <f t="shared" si="286"/>
        <v>5.4802592810842654E-2</v>
      </c>
      <c r="IO52" s="116" t="s">
        <v>32</v>
      </c>
      <c r="IP52" s="117">
        <f t="shared" ref="IP52:IT53" si="287">IP26/II26-1</f>
        <v>-1.4251781472684133E-2</v>
      </c>
      <c r="IQ52" s="117">
        <f t="shared" si="287"/>
        <v>2.2271714922048602E-3</v>
      </c>
      <c r="IR52" s="117">
        <f t="shared" si="287"/>
        <v>-8.79120879120876E-3</v>
      </c>
      <c r="IS52" s="117">
        <f t="shared" si="287"/>
        <v>-4.0860215053763471E-2</v>
      </c>
      <c r="IT52" s="117">
        <f t="shared" si="287"/>
        <v>-1.5642458100558643E-2</v>
      </c>
      <c r="IV52" s="116" t="s">
        <v>32</v>
      </c>
      <c r="IW52" s="117">
        <f t="shared" ref="IW52:JA53" si="288">IW26/IP26-1</f>
        <v>-2.4096385542168641E-2</v>
      </c>
      <c r="IX52" s="117">
        <f t="shared" si="288"/>
        <v>-6.8888888888888888E-2</v>
      </c>
      <c r="IY52" s="117">
        <f t="shared" si="288"/>
        <v>-5.7649667405764937E-2</v>
      </c>
      <c r="IZ52" s="117">
        <f t="shared" si="288"/>
        <v>6.9506726457399193E-2</v>
      </c>
      <c r="JA52" s="117">
        <f t="shared" si="288"/>
        <v>-2.0431328036322416E-2</v>
      </c>
      <c r="JC52" s="116" t="s">
        <v>32</v>
      </c>
      <c r="JD52" s="117">
        <f t="shared" ref="JD52:JH53" si="289">JD26/IW26-1</f>
        <v>7.1604938271604857E-2</v>
      </c>
      <c r="JE52" s="117">
        <f t="shared" si="289"/>
        <v>6.9212410501193311E-2</v>
      </c>
      <c r="JF52" s="117">
        <f t="shared" si="289"/>
        <v>4.9411764705882266E-2</v>
      </c>
      <c r="JG52" s="117">
        <f t="shared" si="289"/>
        <v>-1.2578616352201255E-2</v>
      </c>
      <c r="JH52" s="117">
        <f t="shared" si="289"/>
        <v>4.2294322132097273E-2</v>
      </c>
      <c r="JJ52" s="116" t="s">
        <v>32</v>
      </c>
      <c r="JK52" s="117">
        <f t="shared" ref="JK52:JO53" si="290">JK26/JD26-1</f>
        <v>3.4562211981566726E-2</v>
      </c>
      <c r="JL52" s="117">
        <f t="shared" si="290"/>
        <v>9.375E-2</v>
      </c>
      <c r="JM52" s="117">
        <f t="shared" si="290"/>
        <v>0.12107623318385641</v>
      </c>
      <c r="JN52" s="117">
        <f t="shared" si="290"/>
        <v>4.4585987261146487E-2</v>
      </c>
      <c r="JO52" s="117">
        <f t="shared" si="290"/>
        <v>7.3374096720400184E-2</v>
      </c>
      <c r="JQ52" s="116" t="s">
        <v>32</v>
      </c>
      <c r="JR52" s="117">
        <f t="shared" ref="JR52:JV53" si="291">JR26/JK26-1</f>
        <v>-4.6770601336302842E-2</v>
      </c>
      <c r="JS52" s="117">
        <f t="shared" si="291"/>
        <v>-0.11020408163265305</v>
      </c>
      <c r="JT52" s="117">
        <f t="shared" si="291"/>
        <v>-0.10599999999999998</v>
      </c>
      <c r="JU52" s="117">
        <f t="shared" si="291"/>
        <v>-8.7398373983739841E-2</v>
      </c>
      <c r="JV52" s="117">
        <f t="shared" si="291"/>
        <v>-8.8555152770585233E-2</v>
      </c>
      <c r="JX52" s="116" t="s">
        <v>32</v>
      </c>
      <c r="JY52" s="117">
        <f t="shared" ref="JY52:KC53" si="292">JY26/JR26-1</f>
        <v>-1.4018691588784993E-2</v>
      </c>
      <c r="JZ52" s="117">
        <f t="shared" si="292"/>
        <v>-0.17660550458715596</v>
      </c>
      <c r="KA52" s="117">
        <f t="shared" si="292"/>
        <v>-4.4742729306487261E-3</v>
      </c>
      <c r="KB52" s="117">
        <f t="shared" si="292"/>
        <v>6.0133630289532336E-2</v>
      </c>
      <c r="KC52" s="117">
        <f t="shared" si="292"/>
        <v>-3.2954545454545459E-2</v>
      </c>
      <c r="KE52" s="116" t="s">
        <v>32</v>
      </c>
      <c r="KF52" s="117">
        <f t="shared" ref="KF52:KJ53" si="293">KF26/JY26-1</f>
        <v>-9.0047393364928952E-2</v>
      </c>
      <c r="KG52" s="117">
        <f t="shared" si="293"/>
        <v>0.42339832869080785</v>
      </c>
      <c r="KH52" s="117">
        <f t="shared" si="293"/>
        <v>0.14382022471910116</v>
      </c>
      <c r="KI52" s="117">
        <f t="shared" si="293"/>
        <v>0.15756302521008414</v>
      </c>
      <c r="KJ52" s="117">
        <f t="shared" si="293"/>
        <v>0.14864864864864868</v>
      </c>
      <c r="KL52" s="116" t="s">
        <v>32</v>
      </c>
      <c r="KM52" s="117">
        <f t="shared" ref="KM52:KQ53" si="294">KM26/KF26-1</f>
        <v>0.37239583333333326</v>
      </c>
      <c r="KN52" s="117">
        <f t="shared" si="294"/>
        <v>0.17808219178082196</v>
      </c>
      <c r="KO52" s="117">
        <f t="shared" si="294"/>
        <v>0.18664047151277008</v>
      </c>
      <c r="KP52" s="117">
        <f t="shared" si="294"/>
        <v>3.9927404718693271E-2</v>
      </c>
      <c r="KQ52" s="117">
        <f t="shared" si="294"/>
        <v>0.17953964194373406</v>
      </c>
      <c r="KS52" s="116" t="s">
        <v>32</v>
      </c>
      <c r="KT52" s="117">
        <f t="shared" ref="KT52:KX53" si="295">KT26/KM26-1</f>
        <v>-5.313092979127132E-2</v>
      </c>
      <c r="KU52" s="117">
        <f t="shared" si="295"/>
        <v>-0.18272425249169433</v>
      </c>
      <c r="KV52" s="117">
        <f t="shared" si="295"/>
        <v>-0.14403973509933776</v>
      </c>
      <c r="KW52" s="117">
        <f t="shared" si="295"/>
        <v>-3.6649214659685847E-2</v>
      </c>
      <c r="KX52" s="117">
        <f t="shared" si="295"/>
        <v>-0.10667823070251514</v>
      </c>
      <c r="KZ52" s="116" t="s">
        <v>32</v>
      </c>
      <c r="LA52" s="117">
        <f t="shared" ref="LA52:LE53" si="296">LA26/KT26-1</f>
        <v>1.4028056112224352E-2</v>
      </c>
      <c r="LB52" s="214">
        <f t="shared" si="296"/>
        <v>2.8455284552845628E-2</v>
      </c>
      <c r="LC52" s="214">
        <f t="shared" si="296"/>
        <v>-1.5473887814313358E-2</v>
      </c>
      <c r="LD52" s="214">
        <f t="shared" si="296"/>
        <v>-4.7101449275362306E-2</v>
      </c>
      <c r="LE52" s="214">
        <f t="shared" si="296"/>
        <v>-6.3106796116504382E-3</v>
      </c>
      <c r="LF52" s="557"/>
      <c r="LG52" s="116" t="s">
        <v>32</v>
      </c>
      <c r="LH52" s="214">
        <f t="shared" ref="LH52:LL53" si="297">LH26/LA26-1</f>
        <v>-2.5691699604743046E-2</v>
      </c>
      <c r="LI52" s="214">
        <f t="shared" si="297"/>
        <v>-2.9644268774703608E-2</v>
      </c>
      <c r="LJ52" s="214">
        <f t="shared" si="297"/>
        <v>3.5363457760314354E-2</v>
      </c>
      <c r="LK52" s="214">
        <f t="shared" si="297"/>
        <v>6.8441064638783189E-2</v>
      </c>
      <c r="LL52" s="214">
        <f t="shared" si="297"/>
        <v>1.2701514411333603E-2</v>
      </c>
      <c r="LM52" s="557"/>
      <c r="LN52" s="116" t="s">
        <v>32</v>
      </c>
      <c r="LO52" s="214">
        <f t="shared" ref="LO52:LS53" si="298">LO26/LH26-1</f>
        <v>7.1124999999999661E-2</v>
      </c>
      <c r="LP52" s="214">
        <f t="shared" si="298"/>
        <v>9.2000000000000082E-2</v>
      </c>
      <c r="LQ52" s="214">
        <f t="shared" si="298"/>
        <v>9.2000000000000304E-2</v>
      </c>
      <c r="LR52" s="214">
        <f t="shared" si="298"/>
        <v>9.199999999999986E-2</v>
      </c>
      <c r="LS52" s="214">
        <f t="shared" si="298"/>
        <v>8.7035516160154369E-2</v>
      </c>
      <c r="LT52" s="557"/>
      <c r="LU52" s="116" t="s">
        <v>32</v>
      </c>
      <c r="LV52" s="214">
        <f t="shared" ref="LV52:LV53" si="299">LV26/LO26-1</f>
        <v>6.0900000000000176E-2</v>
      </c>
      <c r="LW52" s="214">
        <f t="shared" ref="LW52:LW53" si="300">LW26/LP26-1</f>
        <v>6.0899999999999954E-2</v>
      </c>
      <c r="LX52" s="214">
        <f t="shared" ref="LX52:LX53" si="301">LX26/LQ26-1</f>
        <v>6.6049999999999942E-2</v>
      </c>
      <c r="LY52" s="214">
        <f t="shared" ref="LY52:LY53" si="302">LY26/LR26-1</f>
        <v>6.6049999999999942E-2</v>
      </c>
      <c r="LZ52" s="214">
        <f t="shared" ref="LZ52:LZ53" si="303">LZ26/LS26-1</f>
        <v>6.361778258391948E-2</v>
      </c>
      <c r="MA52" s="557"/>
      <c r="MB52" s="116" t="s">
        <v>32</v>
      </c>
      <c r="MC52" s="214">
        <f t="shared" ref="MC52:MC53" si="304">MC26/LV26-1</f>
        <v>6.347500000000017E-2</v>
      </c>
      <c r="MD52" s="214">
        <f t="shared" ref="MD52:MD53" si="305">MD26/LW26-1</f>
        <v>6.347500000000017E-2</v>
      </c>
      <c r="ME52" s="214">
        <f t="shared" ref="ME52:ME53" si="306">ME26/LX26-1</f>
        <v>6.3474999999999948E-2</v>
      </c>
      <c r="MF52" s="214">
        <f t="shared" ref="MF52:MF53" si="307">MF26/LY26-1</f>
        <v>6.3474999999999948E-2</v>
      </c>
      <c r="MG52" s="214">
        <f t="shared" ref="MG52:MG53" si="308">MG26/LZ26-1</f>
        <v>6.3474999999999948E-2</v>
      </c>
      <c r="MH52" s="557"/>
    </row>
    <row r="53" spans="1:346" s="37" customFormat="1" ht="13.15" x14ac:dyDescent="0.4">
      <c r="A53" s="100"/>
      <c r="B53" s="116" t="s">
        <v>147</v>
      </c>
      <c r="C53" s="117"/>
      <c r="D53" s="117"/>
      <c r="E53" s="117"/>
      <c r="F53" s="117"/>
      <c r="G53" s="117"/>
      <c r="H53" s="117"/>
      <c r="I53" s="117"/>
      <c r="J53" s="117"/>
      <c r="K53" s="117"/>
      <c r="L53" s="117"/>
      <c r="M53" s="117"/>
      <c r="N53" s="117">
        <f>BT53</f>
        <v>3.8412291933418441E-3</v>
      </c>
      <c r="O53" s="117">
        <f>CA53</f>
        <v>5.038265306122458E-2</v>
      </c>
      <c r="P53" s="117">
        <f>CH53</f>
        <v>-4.4930176077717099E-2</v>
      </c>
      <c r="Q53" s="117">
        <f>CO53</f>
        <v>-5.0858232676413984E-3</v>
      </c>
      <c r="R53" s="117">
        <f>CV53</f>
        <v>-0.12907348242811501</v>
      </c>
      <c r="S53" s="117">
        <f>DC53</f>
        <v>7.4834922964049921E-2</v>
      </c>
      <c r="T53" s="117">
        <f>DJ53</f>
        <v>3.9590443686006838E-2</v>
      </c>
      <c r="U53" s="117">
        <f>DQ53</f>
        <v>4.0052527905449775E-2</v>
      </c>
      <c r="V53" s="117">
        <f>DX53</f>
        <v>-1.5151515151515138E-2</v>
      </c>
      <c r="W53" s="117">
        <f>EE53</f>
        <v>-5.1923076923076961E-2</v>
      </c>
      <c r="X53" s="117">
        <f>EL53</f>
        <v>-2.0283975659228792E-3</v>
      </c>
      <c r="Y53" s="117">
        <f>ES53</f>
        <v>4.7425474254742639E-2</v>
      </c>
      <c r="Z53" s="117">
        <f>EZ53</f>
        <v>8.0853816300129333E-2</v>
      </c>
      <c r="AA53" s="117">
        <f>FG53</f>
        <v>-8.4979054458408143E-2</v>
      </c>
      <c r="AB53" s="117">
        <f>FN53</f>
        <v>9.1563113145847197E-3</v>
      </c>
      <c r="AC53" s="117">
        <f>FU53</f>
        <v>0.11082307193778362</v>
      </c>
      <c r="AD53" s="117">
        <f>GB53</f>
        <v>0.15227537922987167</v>
      </c>
      <c r="AE53" s="117">
        <f>GI53</f>
        <v>0.1437974683544303</v>
      </c>
      <c r="AF53" s="117">
        <f>GP53</f>
        <v>9.915891987605141E-2</v>
      </c>
      <c r="AG53" s="117">
        <f>GW53</f>
        <v>0.2525171163914619</v>
      </c>
      <c r="AH53" s="117">
        <f>HD53</f>
        <v>-0.15916398713826363</v>
      </c>
      <c r="AI53" s="117">
        <f>HK53</f>
        <v>0.24933078393881458</v>
      </c>
      <c r="AJ53" s="117">
        <f>HR53</f>
        <v>0.13529231711049894</v>
      </c>
      <c r="AK53" s="117">
        <f>HY53</f>
        <v>-0.13992990024265306</v>
      </c>
      <c r="AL53" s="117">
        <f>IF53</f>
        <v>-9.2476489028213149E-2</v>
      </c>
      <c r="AM53" s="117">
        <f>IM53</f>
        <v>-1.5889464594127767E-2</v>
      </c>
      <c r="AN53" s="117">
        <f>IT53</f>
        <v>-0.19269919269919267</v>
      </c>
      <c r="AO53" s="117">
        <f>JA53</f>
        <v>-0.20304347826086955</v>
      </c>
      <c r="AP53" s="117">
        <f>JH53</f>
        <v>0.14948172394980896</v>
      </c>
      <c r="AQ53" s="117">
        <f>JO53</f>
        <v>6.5970574276222216E-2</v>
      </c>
      <c r="AR53" s="117">
        <f>JV53</f>
        <v>-7.8361531611754187E-2</v>
      </c>
      <c r="AS53" s="117">
        <f>KC53</f>
        <v>-0.32512077294685993</v>
      </c>
      <c r="AT53" s="117">
        <f>KJ53</f>
        <v>0.34144595561918401</v>
      </c>
      <c r="AU53" s="117">
        <f>KQ53</f>
        <v>0.29882604055496276</v>
      </c>
      <c r="AV53" s="117">
        <f>KX53</f>
        <v>2.0542317173377178E-2</v>
      </c>
      <c r="AW53" s="117">
        <f>LE53</f>
        <v>-9.5410628019323651E-2</v>
      </c>
      <c r="AX53" s="117">
        <f>LL53</f>
        <v>-0.15442812639074321</v>
      </c>
      <c r="AY53" s="117">
        <f>LS53</f>
        <v>2.0744157894736714E-2</v>
      </c>
      <c r="AZ53" s="117">
        <f>LZ53</f>
        <v>4.8403860980887892E-3</v>
      </c>
      <c r="BA53" s="117">
        <f>MG53</f>
        <v>-4.56770350432123E-6</v>
      </c>
      <c r="BB53" s="117"/>
      <c r="BC53" s="117"/>
      <c r="BD53" s="117"/>
      <c r="BE53" s="117"/>
      <c r="BF53" s="117"/>
      <c r="BG53" s="117"/>
      <c r="BH53" s="117"/>
      <c r="BI53" s="117"/>
      <c r="BJ53" s="117"/>
      <c r="BK53" s="117"/>
      <c r="BL53" s="117"/>
      <c r="BM53" s="117"/>
      <c r="BO53" s="116" t="s">
        <v>147</v>
      </c>
      <c r="BP53" s="117">
        <f t="shared" si="261"/>
        <v>-0.76644931831653818</v>
      </c>
      <c r="BQ53" s="117">
        <f t="shared" si="261"/>
        <v>-0.74394904458598732</v>
      </c>
      <c r="BR53" s="117">
        <f t="shared" si="261"/>
        <v>-0.74933155080213898</v>
      </c>
      <c r="BS53" s="117">
        <f t="shared" si="261"/>
        <v>-0.74153645833333326</v>
      </c>
      <c r="BT53" s="117">
        <f t="shared" si="261"/>
        <v>3.8412291933418441E-3</v>
      </c>
      <c r="BV53" s="116" t="s">
        <v>147</v>
      </c>
      <c r="BW53" s="117">
        <f t="shared" si="262"/>
        <v>5.0761421319796884E-2</v>
      </c>
      <c r="BX53" s="117">
        <f t="shared" si="262"/>
        <v>1.990049751243772E-2</v>
      </c>
      <c r="BY53" s="117">
        <f t="shared" si="262"/>
        <v>0.10133333333333328</v>
      </c>
      <c r="BZ53" s="117">
        <f t="shared" si="262"/>
        <v>3.2745591939546514E-2</v>
      </c>
      <c r="CA53" s="117">
        <f t="shared" si="262"/>
        <v>5.038265306122458E-2</v>
      </c>
      <c r="CC53" s="116" t="s">
        <v>147</v>
      </c>
      <c r="CD53" s="117">
        <f t="shared" si="263"/>
        <v>-8.9371980676328455E-2</v>
      </c>
      <c r="CE53" s="117">
        <f t="shared" si="263"/>
        <v>-8.536585365853655E-2</v>
      </c>
      <c r="CF53" s="117">
        <f t="shared" si="263"/>
        <v>1.2106537530266248E-2</v>
      </c>
      <c r="CG53" s="117">
        <f t="shared" si="263"/>
        <v>-1.7073170731707332E-2</v>
      </c>
      <c r="CH53" s="117">
        <f t="shared" si="263"/>
        <v>-4.4930176077717099E-2</v>
      </c>
      <c r="CJ53" s="116" t="s">
        <v>147</v>
      </c>
      <c r="CK53" s="117">
        <f t="shared" si="264"/>
        <v>2.917771883289122E-2</v>
      </c>
      <c r="CL53" s="117">
        <f t="shared" si="264"/>
        <v>1.8666666666666609E-2</v>
      </c>
      <c r="CM53" s="117">
        <f t="shared" si="264"/>
        <v>-4.7846889952153138E-2</v>
      </c>
      <c r="CN53" s="117">
        <f t="shared" si="264"/>
        <v>-1.488833746898266E-2</v>
      </c>
      <c r="CO53" s="117">
        <f t="shared" si="264"/>
        <v>-5.0858232676413984E-3</v>
      </c>
      <c r="CQ53" s="116" t="s">
        <v>147</v>
      </c>
      <c r="CR53" s="117">
        <f t="shared" si="265"/>
        <v>-0.12371134020618557</v>
      </c>
      <c r="CS53" s="117">
        <f t="shared" si="265"/>
        <v>-7.3298429319371694E-2</v>
      </c>
      <c r="CT53" s="117">
        <f t="shared" si="265"/>
        <v>-0.14572864321608037</v>
      </c>
      <c r="CU53" s="117">
        <f t="shared" si="265"/>
        <v>-0.17128463476070532</v>
      </c>
      <c r="CV53" s="117">
        <f t="shared" si="265"/>
        <v>-0.12907348242811501</v>
      </c>
      <c r="CX53" s="116" t="s">
        <v>147</v>
      </c>
      <c r="CY53" s="117">
        <f t="shared" si="266"/>
        <v>-2.9411764705882248E-3</v>
      </c>
      <c r="CZ53" s="117">
        <f t="shared" si="266"/>
        <v>2.5423728813559254E-2</v>
      </c>
      <c r="DA53" s="117">
        <f t="shared" si="266"/>
        <v>0.12941176470588234</v>
      </c>
      <c r="DB53" s="117">
        <f t="shared" si="266"/>
        <v>0.15197568389057747</v>
      </c>
      <c r="DC53" s="117">
        <f t="shared" si="266"/>
        <v>7.4834922964049921E-2</v>
      </c>
      <c r="DE53" s="116" t="s">
        <v>147</v>
      </c>
      <c r="DF53" s="117">
        <f t="shared" si="267"/>
        <v>7.9646017699114946E-2</v>
      </c>
      <c r="DG53" s="117">
        <f t="shared" si="267"/>
        <v>4.4077134986225897E-2</v>
      </c>
      <c r="DH53" s="117">
        <f t="shared" si="267"/>
        <v>1.0416666666666741E-2</v>
      </c>
      <c r="DI53" s="117">
        <f t="shared" si="267"/>
        <v>2.9023746701847042E-2</v>
      </c>
      <c r="DJ53" s="117">
        <f t="shared" si="267"/>
        <v>3.9590443686006838E-2</v>
      </c>
      <c r="DL53" s="116" t="s">
        <v>147</v>
      </c>
      <c r="DM53" s="117">
        <f t="shared" si="268"/>
        <v>1.0928961748633892E-2</v>
      </c>
      <c r="DN53" s="117">
        <f t="shared" si="268"/>
        <v>6.5963060686015762E-2</v>
      </c>
      <c r="DO53" s="117">
        <f t="shared" si="268"/>
        <v>4.1237113402061931E-2</v>
      </c>
      <c r="DP53" s="117">
        <f t="shared" si="268"/>
        <v>4.1025641025641102E-2</v>
      </c>
      <c r="DQ53" s="117">
        <f t="shared" si="268"/>
        <v>4.0052527905449775E-2</v>
      </c>
      <c r="DS53" s="116" t="s">
        <v>147</v>
      </c>
      <c r="DT53" s="117">
        <f t="shared" si="269"/>
        <v>5.1351351351351271E-2</v>
      </c>
      <c r="DU53" s="117">
        <f t="shared" si="269"/>
        <v>-5.4455445544554504E-2</v>
      </c>
      <c r="DV53" s="117">
        <f t="shared" si="269"/>
        <v>-3.4653465346534684E-2</v>
      </c>
      <c r="DW53" s="117">
        <f t="shared" si="269"/>
        <v>-1.7241379310344862E-2</v>
      </c>
      <c r="DX53" s="117">
        <f t="shared" si="269"/>
        <v>-1.5151515151515138E-2</v>
      </c>
      <c r="DZ53" s="116" t="s">
        <v>147</v>
      </c>
      <c r="EA53" s="117">
        <f t="shared" si="270"/>
        <v>-0.11053984575835474</v>
      </c>
      <c r="EB53" s="117">
        <f t="shared" si="270"/>
        <v>-2.3560209424083767E-2</v>
      </c>
      <c r="EC53" s="117">
        <f t="shared" si="270"/>
        <v>-2.0512820512820551E-2</v>
      </c>
      <c r="ED53" s="117">
        <f t="shared" si="270"/>
        <v>-5.2631578947368474E-2</v>
      </c>
      <c r="EE53" s="117">
        <f t="shared" si="270"/>
        <v>-5.1923076923076961E-2</v>
      </c>
      <c r="EG53" s="116" t="s">
        <v>147</v>
      </c>
      <c r="EH53" s="117">
        <f t="shared" si="271"/>
        <v>2.0231213872832443E-2</v>
      </c>
      <c r="EI53" s="117">
        <f t="shared" si="271"/>
        <v>-7.7747989276139462E-2</v>
      </c>
      <c r="EJ53" s="117">
        <f t="shared" si="271"/>
        <v>3.6649214659685958E-2</v>
      </c>
      <c r="EK53" s="117">
        <f t="shared" si="271"/>
        <v>1.3227513227513255E-2</v>
      </c>
      <c r="EL53" s="117">
        <f t="shared" si="271"/>
        <v>-2.0283975659228792E-3</v>
      </c>
      <c r="EN53" s="116" t="s">
        <v>147</v>
      </c>
      <c r="EO53" s="117">
        <f t="shared" si="272"/>
        <v>5.0991501416430607E-2</v>
      </c>
      <c r="EP53" s="117">
        <f t="shared" si="272"/>
        <v>0.11337209302325579</v>
      </c>
      <c r="EQ53" s="117">
        <f t="shared" si="272"/>
        <v>2.525252525252597E-3</v>
      </c>
      <c r="ER53" s="117">
        <f t="shared" si="272"/>
        <v>3.1331592689294974E-2</v>
      </c>
      <c r="ES53" s="117">
        <f t="shared" si="272"/>
        <v>4.7425474254742639E-2</v>
      </c>
      <c r="EU53" s="116" t="s">
        <v>147</v>
      </c>
      <c r="EV53" s="117">
        <f t="shared" si="273"/>
        <v>0.12129380053908356</v>
      </c>
      <c r="EW53" s="117">
        <f t="shared" si="273"/>
        <v>8.3550913838120078E-2</v>
      </c>
      <c r="EX53" s="117">
        <f t="shared" si="273"/>
        <v>5.0377833753148638E-2</v>
      </c>
      <c r="EY53" s="117">
        <f t="shared" si="273"/>
        <v>7.0886075949367022E-2</v>
      </c>
      <c r="EZ53" s="117">
        <f t="shared" si="273"/>
        <v>8.0853816300129333E-2</v>
      </c>
      <c r="FB53" s="116" t="s">
        <v>147</v>
      </c>
      <c r="FC53" s="117">
        <f t="shared" si="274"/>
        <v>-8.4134615384615419E-2</v>
      </c>
      <c r="FD53" s="117">
        <f t="shared" si="274"/>
        <v>-8.4337349397590411E-2</v>
      </c>
      <c r="FE53" s="117">
        <f t="shared" si="274"/>
        <v>-8.3932853717026412E-2</v>
      </c>
      <c r="FF53" s="117">
        <f t="shared" si="274"/>
        <v>-8.7470449172576847E-2</v>
      </c>
      <c r="FG53" s="117">
        <f t="shared" si="274"/>
        <v>-8.4979054458408143E-2</v>
      </c>
      <c r="FI53" s="116" t="s">
        <v>147</v>
      </c>
      <c r="FJ53" s="117">
        <f t="shared" si="275"/>
        <v>-2.8871391076115471E-2</v>
      </c>
      <c r="FK53" s="117">
        <f t="shared" si="275"/>
        <v>5.5263157894736903E-2</v>
      </c>
      <c r="FL53" s="117">
        <f t="shared" si="275"/>
        <v>5.2356020942407877E-3</v>
      </c>
      <c r="FM53" s="117">
        <f t="shared" si="275"/>
        <v>5.1813471502590858E-3</v>
      </c>
      <c r="FN53" s="117">
        <f t="shared" si="275"/>
        <v>9.1563113145847197E-3</v>
      </c>
      <c r="FP53" s="116" t="s">
        <v>147</v>
      </c>
      <c r="FQ53" s="117">
        <f t="shared" si="276"/>
        <v>9.4594594594594517E-2</v>
      </c>
      <c r="FR53" s="117">
        <f t="shared" si="276"/>
        <v>6.2344139650872821E-2</v>
      </c>
      <c r="FS53" s="117">
        <f t="shared" si="276"/>
        <v>0.1015625</v>
      </c>
      <c r="FT53" s="117">
        <f t="shared" si="276"/>
        <v>0.18556701030927836</v>
      </c>
      <c r="FU53" s="117">
        <f t="shared" si="276"/>
        <v>0.11082307193778362</v>
      </c>
      <c r="FW53" s="116" t="s">
        <v>147</v>
      </c>
      <c r="FX53" s="117">
        <f t="shared" si="277"/>
        <v>0.19012345679012355</v>
      </c>
      <c r="FY53" s="117">
        <f t="shared" si="277"/>
        <v>0.17840375586854451</v>
      </c>
      <c r="FZ53" s="117">
        <f t="shared" si="277"/>
        <v>0.16075650118203311</v>
      </c>
      <c r="GA53" s="117">
        <f t="shared" si="277"/>
        <v>8.6956521739130377E-2</v>
      </c>
      <c r="GB53" s="117">
        <f t="shared" si="277"/>
        <v>0.15227537922987167</v>
      </c>
      <c r="GD53" s="116" t="s">
        <v>147</v>
      </c>
      <c r="GE53" s="117">
        <f t="shared" si="278"/>
        <v>0.14522821576763478</v>
      </c>
      <c r="GF53" s="117">
        <f t="shared" si="278"/>
        <v>0.1195219123505975</v>
      </c>
      <c r="GG53" s="117">
        <f t="shared" si="278"/>
        <v>0.16293279022403251</v>
      </c>
      <c r="GH53" s="117">
        <f t="shared" si="278"/>
        <v>0.14799999999999991</v>
      </c>
      <c r="GI53" s="117">
        <f t="shared" si="278"/>
        <v>0.1437974683544303</v>
      </c>
      <c r="GK53" s="116" t="s">
        <v>147</v>
      </c>
      <c r="GL53" s="117">
        <f t="shared" si="279"/>
        <v>9.2391304347826164E-2</v>
      </c>
      <c r="GM53" s="117">
        <f t="shared" si="279"/>
        <v>8.0071174377224219E-2</v>
      </c>
      <c r="GN53" s="117">
        <f t="shared" si="279"/>
        <v>8.4063047285463988E-2</v>
      </c>
      <c r="GO53" s="117">
        <f t="shared" si="279"/>
        <v>0.13937282229965153</v>
      </c>
      <c r="GP53" s="117">
        <f t="shared" si="279"/>
        <v>9.915891987605141E-2</v>
      </c>
      <c r="GR53" s="116" t="s">
        <v>147</v>
      </c>
      <c r="GS53" s="117">
        <f t="shared" si="280"/>
        <v>0.19402985074626855</v>
      </c>
      <c r="GT53" s="117">
        <f t="shared" si="280"/>
        <v>0.2800658978583197</v>
      </c>
      <c r="GU53" s="117">
        <f t="shared" si="280"/>
        <v>0.29563812600969297</v>
      </c>
      <c r="GV53" s="117">
        <f t="shared" si="280"/>
        <v>0.24006116207951078</v>
      </c>
      <c r="GW53" s="117">
        <f t="shared" si="280"/>
        <v>0.2525171163914619</v>
      </c>
      <c r="GY53" s="116" t="s">
        <v>147</v>
      </c>
      <c r="GZ53" s="117">
        <f t="shared" si="281"/>
        <v>-9.7222222222221877E-3</v>
      </c>
      <c r="HA53" s="117">
        <f t="shared" si="281"/>
        <v>-0.17760617760617758</v>
      </c>
      <c r="HB53" s="117">
        <f t="shared" si="281"/>
        <v>-0.18578553615960103</v>
      </c>
      <c r="HC53" s="117">
        <f t="shared" si="281"/>
        <v>-0.24784217016029597</v>
      </c>
      <c r="HD53" s="117">
        <f t="shared" si="281"/>
        <v>-0.15916398713826363</v>
      </c>
      <c r="HF53" s="116" t="s">
        <v>147</v>
      </c>
      <c r="HG53" s="117">
        <f t="shared" si="282"/>
        <v>3.2258064516129004E-2</v>
      </c>
      <c r="HH53" s="117">
        <f t="shared" si="282"/>
        <v>0.30672926447574334</v>
      </c>
      <c r="HI53" s="117">
        <f t="shared" si="282"/>
        <v>0.27871362940275657</v>
      </c>
      <c r="HJ53" s="117">
        <f t="shared" si="282"/>
        <v>0.41147540983606556</v>
      </c>
      <c r="HK53" s="117">
        <f t="shared" si="282"/>
        <v>0.24933078393881458</v>
      </c>
      <c r="HM53" s="116" t="s">
        <v>147</v>
      </c>
      <c r="HN53" s="117">
        <f t="shared" si="283"/>
        <v>0.19429347826086962</v>
      </c>
      <c r="HO53" s="117">
        <f t="shared" si="283"/>
        <v>0.14730538922155678</v>
      </c>
      <c r="HP53" s="117">
        <f t="shared" si="283"/>
        <v>0.14610778443113781</v>
      </c>
      <c r="HQ53" s="117">
        <f t="shared" si="283"/>
        <v>6.2717770034843134E-2</v>
      </c>
      <c r="HR53" s="117">
        <f t="shared" si="283"/>
        <v>0.13529231711049894</v>
      </c>
      <c r="HT53" s="116" t="s">
        <v>147</v>
      </c>
      <c r="HU53" s="117">
        <f t="shared" si="284"/>
        <v>-5.3469852104664373E-2</v>
      </c>
      <c r="HV53" s="117">
        <f t="shared" si="284"/>
        <v>-0.14405010438413357</v>
      </c>
      <c r="HW53" s="117">
        <f t="shared" si="284"/>
        <v>-0.17345872518286309</v>
      </c>
      <c r="HX53" s="117">
        <f t="shared" si="284"/>
        <v>-0.18360655737704923</v>
      </c>
      <c r="HY53" s="117">
        <f t="shared" si="284"/>
        <v>-0.13992990024265306</v>
      </c>
      <c r="IA53" s="116" t="s">
        <v>147</v>
      </c>
      <c r="IB53" s="117">
        <f t="shared" si="285"/>
        <v>-0.12740384615384615</v>
      </c>
      <c r="IC53" s="117">
        <f t="shared" si="285"/>
        <v>-6.0975609756097615E-2</v>
      </c>
      <c r="ID53" s="117">
        <f t="shared" si="285"/>
        <v>-8.9759797724399459E-2</v>
      </c>
      <c r="IE53" s="117">
        <f t="shared" si="285"/>
        <v>-9.1030789825970571E-2</v>
      </c>
      <c r="IF53" s="117">
        <f t="shared" si="285"/>
        <v>-9.2476489028213149E-2</v>
      </c>
      <c r="IH53" s="116" t="s">
        <v>147</v>
      </c>
      <c r="II53" s="117">
        <f t="shared" si="286"/>
        <v>-8.8154269972451793E-2</v>
      </c>
      <c r="IJ53" s="117">
        <f t="shared" si="286"/>
        <v>-3.3766233766233777E-2</v>
      </c>
      <c r="IK53" s="117">
        <f t="shared" si="286"/>
        <v>1.388888888888884E-3</v>
      </c>
      <c r="IL53" s="117">
        <f t="shared" si="286"/>
        <v>6.3328424153166418E-2</v>
      </c>
      <c r="IM53" s="117">
        <f t="shared" si="286"/>
        <v>-1.5889464594127767E-2</v>
      </c>
      <c r="IO53" s="116" t="s">
        <v>147</v>
      </c>
      <c r="IP53" s="117">
        <f t="shared" si="287"/>
        <v>-3.6253776435045348E-2</v>
      </c>
      <c r="IQ53" s="117">
        <f t="shared" si="287"/>
        <v>-0.15322580645161288</v>
      </c>
      <c r="IR53" s="117">
        <f t="shared" si="287"/>
        <v>-0.19140083217753123</v>
      </c>
      <c r="IS53" s="117">
        <f t="shared" si="287"/>
        <v>-0.37811634349030476</v>
      </c>
      <c r="IT53" s="117">
        <f t="shared" si="287"/>
        <v>-0.19269919269919267</v>
      </c>
      <c r="IV53" s="116" t="s">
        <v>147</v>
      </c>
      <c r="IW53" s="117">
        <f t="shared" si="288"/>
        <v>-0.37460815047021945</v>
      </c>
      <c r="IX53" s="117">
        <f t="shared" si="288"/>
        <v>-0.3396825396825397</v>
      </c>
      <c r="IY53" s="117">
        <f t="shared" si="288"/>
        <v>-0.19897084048027447</v>
      </c>
      <c r="IZ53" s="117">
        <f t="shared" si="288"/>
        <v>0.22717149220489974</v>
      </c>
      <c r="JA53" s="117">
        <f t="shared" si="288"/>
        <v>-0.20304347826086955</v>
      </c>
      <c r="JC53" s="116" t="s">
        <v>147</v>
      </c>
      <c r="JD53" s="117">
        <f t="shared" si="289"/>
        <v>0.30827067669172936</v>
      </c>
      <c r="JE53" s="117">
        <f t="shared" si="289"/>
        <v>0.27403846153846145</v>
      </c>
      <c r="JF53" s="117">
        <f t="shared" si="289"/>
        <v>0.100642398286938</v>
      </c>
      <c r="JG53" s="117">
        <f t="shared" si="289"/>
        <v>-1.814882032667875E-2</v>
      </c>
      <c r="JH53" s="117">
        <f t="shared" si="289"/>
        <v>0.14948172394980896</v>
      </c>
      <c r="JJ53" s="116" t="s">
        <v>147</v>
      </c>
      <c r="JK53" s="117">
        <f t="shared" si="290"/>
        <v>-3.6398467432950166E-2</v>
      </c>
      <c r="JL53" s="117">
        <f t="shared" si="290"/>
        <v>7.3584905660377453E-2</v>
      </c>
      <c r="JM53" s="117">
        <f t="shared" si="290"/>
        <v>0.14396887159533067</v>
      </c>
      <c r="JN53" s="117">
        <f t="shared" si="290"/>
        <v>8.3179297597042456E-2</v>
      </c>
      <c r="JO53" s="117">
        <f t="shared" si="290"/>
        <v>6.5970574276222216E-2</v>
      </c>
      <c r="JQ53" s="116" t="s">
        <v>147</v>
      </c>
      <c r="JR53" s="117">
        <f t="shared" si="291"/>
        <v>6.9582504970178816E-2</v>
      </c>
      <c r="JS53" s="117">
        <f t="shared" si="291"/>
        <v>-2.1089630931458658E-2</v>
      </c>
      <c r="JT53" s="117">
        <f t="shared" si="291"/>
        <v>-0.12244897959183676</v>
      </c>
      <c r="JU53" s="117">
        <f t="shared" si="291"/>
        <v>-0.21672354948805461</v>
      </c>
      <c r="JV53" s="117">
        <f t="shared" si="291"/>
        <v>-7.8361531611754187E-2</v>
      </c>
      <c r="JX53" s="116" t="s">
        <v>147</v>
      </c>
      <c r="JY53" s="117">
        <f t="shared" si="292"/>
        <v>-0.24721189591078063</v>
      </c>
      <c r="JZ53" s="117">
        <f t="shared" si="292"/>
        <v>-0.48473967684021546</v>
      </c>
      <c r="KA53" s="117">
        <f t="shared" si="292"/>
        <v>-0.36046511627906974</v>
      </c>
      <c r="KB53" s="117">
        <f t="shared" si="292"/>
        <v>-0.18300653594771243</v>
      </c>
      <c r="KC53" s="117">
        <f t="shared" si="292"/>
        <v>-0.32512077294685993</v>
      </c>
      <c r="KE53" s="116" t="s">
        <v>147</v>
      </c>
      <c r="KF53" s="117">
        <f t="shared" si="293"/>
        <v>0.15555555555555545</v>
      </c>
      <c r="KG53" s="117">
        <f t="shared" si="293"/>
        <v>0.47386759581881543</v>
      </c>
      <c r="KH53" s="117">
        <f t="shared" si="293"/>
        <v>0.39393939393939403</v>
      </c>
      <c r="KI53" s="117">
        <f t="shared" si="293"/>
        <v>0.39466666666666672</v>
      </c>
      <c r="KJ53" s="117">
        <f t="shared" si="293"/>
        <v>0.34144595561918401</v>
      </c>
      <c r="KL53" s="116" t="s">
        <v>147</v>
      </c>
      <c r="KM53" s="117">
        <f t="shared" si="294"/>
        <v>0.13888888888888884</v>
      </c>
      <c r="KN53" s="117">
        <f t="shared" si="294"/>
        <v>0.53900709219858145</v>
      </c>
      <c r="KO53" s="117">
        <f t="shared" si="294"/>
        <v>0.35652173913043472</v>
      </c>
      <c r="KP53" s="117">
        <f t="shared" si="294"/>
        <v>0.19694072657743789</v>
      </c>
      <c r="KQ53" s="117">
        <f t="shared" si="294"/>
        <v>0.29882604055496276</v>
      </c>
      <c r="KS53" s="116" t="s">
        <v>147</v>
      </c>
      <c r="KT53" s="117">
        <f t="shared" si="295"/>
        <v>0.18761726078799246</v>
      </c>
      <c r="KU53" s="117">
        <f t="shared" si="295"/>
        <v>-2.1505376344086002E-2</v>
      </c>
      <c r="KV53" s="117">
        <f t="shared" si="295"/>
        <v>-4.8076923076923128E-2</v>
      </c>
      <c r="KW53" s="117">
        <f t="shared" si="295"/>
        <v>-9.5846645367412275E-3</v>
      </c>
      <c r="KX53" s="117">
        <f t="shared" si="295"/>
        <v>2.0542317173377178E-2</v>
      </c>
      <c r="KZ53" s="116" t="s">
        <v>147</v>
      </c>
      <c r="LA53" s="117">
        <f t="shared" si="296"/>
        <v>-1.5797788309637184E-3</v>
      </c>
      <c r="LB53" s="214">
        <f t="shared" si="296"/>
        <v>-0.1161695447409733</v>
      </c>
      <c r="LC53" s="214">
        <f t="shared" si="296"/>
        <v>-6.9023569023568987E-2</v>
      </c>
      <c r="LD53" s="214">
        <f t="shared" si="296"/>
        <v>-0.19516129032258067</v>
      </c>
      <c r="LE53" s="214">
        <f t="shared" si="296"/>
        <v>-9.5410628019323651E-2</v>
      </c>
      <c r="LF53" s="557"/>
      <c r="LG53" s="116" t="s">
        <v>147</v>
      </c>
      <c r="LH53" s="214">
        <f t="shared" si="297"/>
        <v>-0.27056962025316456</v>
      </c>
      <c r="LI53" s="214">
        <f t="shared" si="297"/>
        <v>-0.15275310834813494</v>
      </c>
      <c r="LJ53" s="214">
        <f t="shared" si="297"/>
        <v>-0.11392405063291144</v>
      </c>
      <c r="LK53" s="214">
        <f t="shared" si="297"/>
        <v>-5.4108216432865786E-2</v>
      </c>
      <c r="LL53" s="214">
        <f t="shared" si="297"/>
        <v>-0.15442812639074321</v>
      </c>
      <c r="LM53" s="557"/>
      <c r="LN53" s="116" t="s">
        <v>147</v>
      </c>
      <c r="LO53" s="214">
        <f t="shared" si="298"/>
        <v>-9.0000000000012292E-4</v>
      </c>
      <c r="LP53" s="214">
        <f t="shared" si="298"/>
        <v>1.4899999999999913E-2</v>
      </c>
      <c r="LQ53" s="214">
        <f t="shared" si="298"/>
        <v>2.2950000000000026E-2</v>
      </c>
      <c r="LR53" s="214">
        <f t="shared" si="298"/>
        <v>4.5499999999999652E-2</v>
      </c>
      <c r="LS53" s="214">
        <f t="shared" si="298"/>
        <v>2.0744157894736714E-2</v>
      </c>
      <c r="LT53" s="557"/>
      <c r="LU53" s="116" t="s">
        <v>147</v>
      </c>
      <c r="LV53" s="214">
        <f t="shared" si="299"/>
        <v>9.9249999999999616E-3</v>
      </c>
      <c r="LW53" s="214">
        <f t="shared" si="300"/>
        <v>9.9999999999997868E-3</v>
      </c>
      <c r="LX53" s="214">
        <f t="shared" si="301"/>
        <v>-2.4999999999941735E-5</v>
      </c>
      <c r="LY53" s="214">
        <f t="shared" si="302"/>
        <v>-2.4999999999941735E-5</v>
      </c>
      <c r="LZ53" s="214">
        <f t="shared" si="303"/>
        <v>4.8403860980887892E-3</v>
      </c>
      <c r="MA53" s="557"/>
      <c r="MB53" s="116" t="s">
        <v>147</v>
      </c>
      <c r="MC53" s="214">
        <f t="shared" si="304"/>
        <v>-2.5375000000000814E-3</v>
      </c>
      <c r="MD53" s="214">
        <f t="shared" si="305"/>
        <v>-2.5375000000000814E-3</v>
      </c>
      <c r="ME53" s="214">
        <f t="shared" si="306"/>
        <v>2.4250000000001215E-3</v>
      </c>
      <c r="MF53" s="214">
        <f t="shared" si="307"/>
        <v>2.4249999999998995E-3</v>
      </c>
      <c r="MG53" s="214">
        <f t="shared" si="308"/>
        <v>-4.56770350432123E-6</v>
      </c>
      <c r="MH53" s="557"/>
    </row>
    <row r="54" spans="1:346" s="37" customFormat="1" ht="13.15" x14ac:dyDescent="0.4">
      <c r="A54" s="100"/>
      <c r="B54" s="36"/>
      <c r="BO54" s="36"/>
      <c r="BP54" s="53"/>
      <c r="BQ54" s="53"/>
      <c r="BR54" s="53"/>
      <c r="BS54" s="53"/>
      <c r="BT54" s="53"/>
      <c r="BV54" s="36"/>
      <c r="BW54" s="53"/>
      <c r="BX54" s="53"/>
      <c r="BY54" s="53"/>
      <c r="BZ54" s="53"/>
      <c r="CA54" s="53"/>
      <c r="CC54" s="36"/>
      <c r="CD54" s="53"/>
      <c r="CE54" s="53"/>
      <c r="CF54" s="53"/>
      <c r="CG54" s="53"/>
      <c r="CH54" s="53"/>
      <c r="CJ54" s="36"/>
      <c r="CK54" s="53"/>
      <c r="CL54" s="53"/>
      <c r="CM54" s="53"/>
      <c r="CN54" s="53"/>
      <c r="CO54" s="53"/>
      <c r="CQ54" s="36"/>
      <c r="CR54" s="53"/>
      <c r="CS54" s="53"/>
      <c r="CT54" s="53"/>
      <c r="CU54" s="53"/>
      <c r="CV54" s="53"/>
      <c r="CX54" s="36"/>
      <c r="CY54" s="53"/>
      <c r="CZ54" s="53"/>
      <c r="DA54" s="53"/>
      <c r="DB54" s="53"/>
      <c r="DC54" s="53"/>
      <c r="DE54" s="36"/>
      <c r="DF54" s="53"/>
      <c r="DG54" s="53"/>
      <c r="DH54" s="53"/>
      <c r="DI54" s="53"/>
      <c r="DJ54" s="53"/>
      <c r="DL54" s="36"/>
      <c r="DM54" s="53"/>
      <c r="DN54" s="53"/>
      <c r="DO54" s="53"/>
      <c r="DP54" s="53"/>
      <c r="DQ54" s="53"/>
      <c r="DS54" s="36"/>
      <c r="DT54" s="53"/>
      <c r="DU54" s="53"/>
      <c r="DV54" s="53"/>
      <c r="DW54" s="53"/>
      <c r="DX54" s="53"/>
      <c r="DZ54" s="36"/>
      <c r="EA54" s="53"/>
      <c r="EB54" s="53"/>
      <c r="EC54" s="53"/>
      <c r="ED54" s="53"/>
      <c r="EE54" s="53"/>
      <c r="EG54" s="36"/>
      <c r="EH54" s="53"/>
      <c r="EI54" s="53"/>
      <c r="EJ54" s="53"/>
      <c r="EK54" s="53"/>
      <c r="EL54" s="53"/>
      <c r="EN54" s="36"/>
      <c r="EO54" s="53"/>
      <c r="EP54" s="53"/>
      <c r="EQ54" s="53"/>
      <c r="ER54" s="53"/>
      <c r="ES54" s="53"/>
      <c r="EU54" s="36"/>
      <c r="EV54" s="53"/>
      <c r="EW54" s="53"/>
      <c r="EX54" s="53"/>
      <c r="EY54" s="53"/>
      <c r="EZ54" s="53"/>
      <c r="FB54" s="36"/>
      <c r="FC54" s="53"/>
      <c r="FD54" s="53"/>
      <c r="FE54" s="53"/>
      <c r="FF54" s="53"/>
      <c r="FG54" s="53"/>
      <c r="FI54" s="36"/>
      <c r="FJ54" s="53"/>
      <c r="FK54" s="53"/>
      <c r="FL54" s="53"/>
      <c r="FM54" s="53"/>
      <c r="FN54" s="53"/>
      <c r="FP54" s="36"/>
      <c r="FQ54" s="53"/>
      <c r="FR54" s="53"/>
      <c r="FS54" s="53"/>
      <c r="FT54" s="53"/>
      <c r="FU54" s="53"/>
      <c r="FW54" s="36"/>
      <c r="FX54" s="53"/>
      <c r="FY54" s="53"/>
      <c r="FZ54" s="53"/>
      <c r="GA54" s="53"/>
      <c r="GB54" s="53"/>
      <c r="GD54" s="36"/>
      <c r="GE54" s="53"/>
      <c r="GF54" s="53"/>
      <c r="GG54" s="53"/>
      <c r="GH54" s="53"/>
      <c r="GI54" s="53"/>
      <c r="GK54" s="36"/>
      <c r="GL54" s="53"/>
      <c r="GM54" s="53"/>
      <c r="GN54" s="53"/>
      <c r="GO54" s="53"/>
      <c r="GP54" s="53"/>
      <c r="GR54" s="36"/>
      <c r="GS54" s="53"/>
      <c r="GT54" s="53"/>
      <c r="GU54" s="53"/>
      <c r="GV54" s="53"/>
      <c r="GW54" s="53"/>
      <c r="GY54" s="36"/>
      <c r="GZ54" s="53"/>
      <c r="HA54" s="53"/>
      <c r="HB54" s="53"/>
      <c r="HC54" s="53"/>
      <c r="HD54" s="53"/>
      <c r="HF54" s="36"/>
      <c r="HG54" s="53"/>
      <c r="HH54" s="53"/>
      <c r="HI54" s="53"/>
      <c r="HJ54" s="53"/>
      <c r="HK54" s="53"/>
      <c r="HM54" s="36"/>
      <c r="HN54" s="53"/>
      <c r="HO54" s="53"/>
      <c r="HP54" s="53"/>
      <c r="HQ54" s="53"/>
      <c r="HR54" s="53"/>
      <c r="HT54" s="36"/>
      <c r="HU54" s="53"/>
      <c r="HV54" s="53"/>
      <c r="HW54" s="53"/>
      <c r="HX54" s="53"/>
      <c r="HY54" s="53"/>
      <c r="IA54" s="36"/>
      <c r="IB54" s="53"/>
      <c r="IC54" s="53"/>
      <c r="ID54" s="53"/>
      <c r="IE54" s="53"/>
      <c r="IF54" s="53"/>
      <c r="IH54" s="36"/>
      <c r="II54" s="53"/>
      <c r="IJ54" s="53"/>
      <c r="IK54" s="53"/>
      <c r="IL54" s="53"/>
      <c r="IM54" s="53"/>
      <c r="IO54" s="36"/>
      <c r="IP54" s="53"/>
      <c r="IQ54" s="53"/>
      <c r="IR54" s="53"/>
      <c r="IS54" s="53"/>
      <c r="IT54" s="53"/>
      <c r="IV54" s="36"/>
      <c r="IW54" s="53"/>
      <c r="IX54" s="53"/>
      <c r="IY54" s="53"/>
      <c r="IZ54" s="53"/>
      <c r="JA54" s="53"/>
      <c r="JC54" s="36"/>
      <c r="JD54" s="53"/>
      <c r="JE54" s="53"/>
      <c r="JF54" s="53"/>
      <c r="JG54" s="53"/>
      <c r="JH54" s="53"/>
      <c r="JJ54" s="36"/>
      <c r="JK54" s="53"/>
      <c r="JL54" s="53"/>
      <c r="JM54" s="53"/>
      <c r="JN54" s="53"/>
      <c r="JO54" s="53"/>
      <c r="JQ54" s="36"/>
      <c r="JR54" s="53"/>
      <c r="JS54" s="53"/>
      <c r="JT54" s="53"/>
      <c r="JU54" s="53"/>
      <c r="JV54" s="53"/>
      <c r="JX54" s="36"/>
      <c r="JY54" s="53"/>
      <c r="JZ54" s="53"/>
      <c r="KA54" s="53"/>
      <c r="KB54" s="53"/>
      <c r="KC54" s="53"/>
      <c r="KE54" s="36"/>
      <c r="KF54" s="53"/>
      <c r="KG54" s="53"/>
      <c r="KH54" s="53"/>
      <c r="KI54" s="53"/>
      <c r="KJ54" s="53"/>
      <c r="KL54" s="36"/>
      <c r="KM54" s="53"/>
      <c r="KN54" s="53"/>
      <c r="KO54" s="53"/>
      <c r="KP54" s="53"/>
      <c r="KQ54" s="53"/>
      <c r="KS54" s="36"/>
      <c r="KT54" s="53"/>
      <c r="KU54" s="53"/>
      <c r="KX54" s="53"/>
      <c r="KZ54" s="630"/>
      <c r="LA54" s="631"/>
      <c r="LB54" s="631"/>
      <c r="LC54" s="631"/>
      <c r="LD54" s="631"/>
      <c r="LE54" s="631"/>
      <c r="LF54" s="566"/>
      <c r="LG54" s="630"/>
      <c r="LH54" s="631"/>
      <c r="LI54" s="631"/>
      <c r="LJ54" s="631"/>
      <c r="LK54" s="631"/>
      <c r="LL54" s="631"/>
      <c r="LM54" s="566"/>
      <c r="LN54" s="630"/>
      <c r="LO54" s="631"/>
      <c r="LP54" s="631"/>
      <c r="LQ54" s="631"/>
      <c r="LR54" s="631"/>
      <c r="LS54" s="631"/>
      <c r="LT54" s="566"/>
      <c r="LU54" s="630"/>
      <c r="LV54" s="631"/>
      <c r="LW54" s="631"/>
      <c r="LX54" s="631"/>
      <c r="LY54" s="631"/>
      <c r="LZ54" s="631"/>
      <c r="MA54" s="566"/>
      <c r="MB54" s="630"/>
      <c r="MC54" s="631"/>
      <c r="MD54" s="631"/>
      <c r="ME54" s="631"/>
      <c r="MF54" s="631"/>
      <c r="MG54" s="631"/>
      <c r="MH54" s="566"/>
    </row>
    <row r="55" spans="1:346" s="37" customFormat="1" ht="13.5" thickBot="1" x14ac:dyDescent="0.45">
      <c r="A55" s="100"/>
      <c r="B55" s="122" t="s">
        <v>424</v>
      </c>
      <c r="C55" s="123"/>
      <c r="D55" s="123"/>
      <c r="E55" s="123"/>
      <c r="F55" s="123"/>
      <c r="G55" s="123"/>
      <c r="H55" s="123"/>
      <c r="I55" s="123"/>
      <c r="J55" s="123"/>
      <c r="K55" s="123"/>
      <c r="L55" s="123"/>
      <c r="M55" s="123"/>
      <c r="N55" s="123">
        <f>BT55</f>
        <v>-2.0576961872100008E-2</v>
      </c>
      <c r="O55" s="123">
        <f>CA55</f>
        <v>2.718846549948517E-2</v>
      </c>
      <c r="P55" s="123">
        <f>CH55</f>
        <v>-1.5440144375375997E-2</v>
      </c>
      <c r="Q55" s="123">
        <f>CO55</f>
        <v>3.3116089613034694E-2</v>
      </c>
      <c r="R55" s="123">
        <f>CV55</f>
        <v>-1.4982454756929942E-3</v>
      </c>
      <c r="S55" s="123">
        <f>DC55</f>
        <v>6.9101678183613124E-2</v>
      </c>
      <c r="T55" s="123">
        <f>DJ55</f>
        <v>-4.9861495844875092E-3</v>
      </c>
      <c r="U55" s="123">
        <f>DQ55</f>
        <v>6.8671121009651337E-3</v>
      </c>
      <c r="V55" s="123">
        <f>DX55</f>
        <v>1.8986175115207393E-2</v>
      </c>
      <c r="W55" s="123">
        <f>EE55</f>
        <v>-1.2120115774240214E-2</v>
      </c>
      <c r="X55" s="123">
        <f>EL55</f>
        <v>0.1862296282732101</v>
      </c>
      <c r="Y55" s="123">
        <f>ES55</f>
        <v>0.10728619944427287</v>
      </c>
      <c r="Z55" s="123">
        <f>EZ55</f>
        <v>-9.479994423532645E-3</v>
      </c>
      <c r="AA55" s="123">
        <f>FG55</f>
        <v>3.3779028852920501E-3</v>
      </c>
      <c r="AB55" s="123">
        <f>FN55</f>
        <v>3.8574835180249734E-2</v>
      </c>
      <c r="AC55" s="123">
        <f>FU55</f>
        <v>7.252836304700172E-2</v>
      </c>
      <c r="AD55" s="123">
        <f>GB55</f>
        <v>7.0016370734164557E-2</v>
      </c>
      <c r="AE55" s="123">
        <f>GI55</f>
        <v>0.10450747322584442</v>
      </c>
      <c r="AF55" s="123">
        <f>GP55</f>
        <v>4.2940863079381941E-2</v>
      </c>
      <c r="AG55" s="123">
        <f>GW55</f>
        <v>0.12382509194932578</v>
      </c>
      <c r="AH55" s="123">
        <f>HD55</f>
        <v>-0.19945454545454544</v>
      </c>
      <c r="AI55" s="123">
        <f>HK55</f>
        <v>0.175107880990234</v>
      </c>
      <c r="AJ55" s="123">
        <f>HR55</f>
        <v>0.10601082334750678</v>
      </c>
      <c r="AK55" s="123">
        <f>HY55</f>
        <v>-4.3687199650499497E-4</v>
      </c>
      <c r="AL55" s="123">
        <f>IF55</f>
        <v>1.6520979020979043E-2</v>
      </c>
      <c r="AM55" s="123">
        <f>IM55</f>
        <v>5.3143004557571594E-2</v>
      </c>
      <c r="AN55" s="123">
        <f>IT55</f>
        <v>-7.4630521760431168E-2</v>
      </c>
      <c r="AO55" s="123">
        <f>JA55</f>
        <v>-5.5766346069001993E-2</v>
      </c>
      <c r="AP55" s="123">
        <f>JH55</f>
        <v>2.5511634426689023E-2</v>
      </c>
      <c r="AQ55" s="123">
        <f>JO55</f>
        <v>6.3240386367778401E-2</v>
      </c>
      <c r="AR55" s="123">
        <f>JV55</f>
        <v>-2.1340418237915659E-2</v>
      </c>
      <c r="AS55" s="123">
        <f>KC55</f>
        <v>-0.10894123828706537</v>
      </c>
      <c r="AT55" s="123">
        <f>KJ55</f>
        <v>0.11724815724815718</v>
      </c>
      <c r="AU55" s="123">
        <f>KQ55</f>
        <v>0.14171358198451789</v>
      </c>
      <c r="AV55" s="123">
        <f>KX55</f>
        <v>1.6796363356190724E-2</v>
      </c>
      <c r="AW55" s="123">
        <f>LE55</f>
        <v>0</v>
      </c>
      <c r="AX55" s="123">
        <f>LL55</f>
        <v>-3.4174433583390118E-2</v>
      </c>
      <c r="AY55" s="123">
        <f>LS55</f>
        <v>2.8687845206339047E-2</v>
      </c>
      <c r="AZ55" s="123">
        <f>LZ55</f>
        <v>4.9585256136488898E-2</v>
      </c>
      <c r="BA55" s="123">
        <f>MG55</f>
        <v>4.5836832397112559E-2</v>
      </c>
      <c r="BB55" s="123"/>
      <c r="BC55" s="123"/>
      <c r="BD55" s="123"/>
      <c r="BE55" s="123"/>
      <c r="BF55" s="123"/>
      <c r="BG55" s="123"/>
      <c r="BH55" s="123"/>
      <c r="BI55" s="123"/>
      <c r="BJ55" s="123"/>
      <c r="BK55" s="123"/>
      <c r="BL55" s="123"/>
      <c r="BM55" s="123"/>
      <c r="BO55" s="122" t="s">
        <v>424</v>
      </c>
      <c r="BP55" s="123">
        <f>BP31/I31-1</f>
        <v>-0.74723473986071287</v>
      </c>
      <c r="BQ55" s="123">
        <f>BQ31/J31-1</f>
        <v>-0.73608732876712324</v>
      </c>
      <c r="BR55" s="123">
        <f>BR31/K31-1</f>
        <v>-0.738256549232159</v>
      </c>
      <c r="BS55" s="123">
        <f>BS31/L31-1</f>
        <v>-0.73071866783523221</v>
      </c>
      <c r="BT55" s="123">
        <f>BT31/M31-1</f>
        <v>-2.0576961872100008E-2</v>
      </c>
      <c r="BV55" s="122" t="s">
        <v>424</v>
      </c>
      <c r="BW55" s="123">
        <f>BW31/BP31-1</f>
        <v>1.4586709886547755E-2</v>
      </c>
      <c r="BX55" s="123">
        <f>BX31/BQ31-1</f>
        <v>2.3519870235198637E-2</v>
      </c>
      <c r="BY55" s="123">
        <f>BY31/BR31-1</f>
        <v>5.2631578947368363E-2</v>
      </c>
      <c r="BZ55" s="123">
        <f>BZ31/BS31-1</f>
        <v>1.9528071602929131E-2</v>
      </c>
      <c r="CA55" s="123">
        <f>CA31/BT31-1</f>
        <v>2.718846549948517E-2</v>
      </c>
      <c r="CC55" s="122" t="s">
        <v>424</v>
      </c>
      <c r="CD55" s="123">
        <f>CD31/BW31-1</f>
        <v>-4.7923322683706027E-2</v>
      </c>
      <c r="CE55" s="123">
        <f>CE31/BX31-1</f>
        <v>-4.8335974643423096E-2</v>
      </c>
      <c r="CF55" s="123">
        <f>CF31/BY31-1</f>
        <v>2.0491803278688492E-2</v>
      </c>
      <c r="CG55" s="123">
        <f>CG31/BZ31-1</f>
        <v>1.5163607342378205E-2</v>
      </c>
      <c r="CH55" s="123">
        <f>CH31/CA31-1</f>
        <v>-1.5440144375375997E-2</v>
      </c>
      <c r="CJ55" s="122" t="s">
        <v>424</v>
      </c>
      <c r="CK55" s="123">
        <f>CK31/CD31-1</f>
        <v>6.4597315436241587E-2</v>
      </c>
      <c r="CL55" s="123">
        <f>CL31/CE31-1</f>
        <v>5.6369691923397136E-2</v>
      </c>
      <c r="CM55" s="123">
        <f>CM31/CF31-1</f>
        <v>1.5261044176706484E-3</v>
      </c>
      <c r="CN55" s="123">
        <f>CN31/CG31-1</f>
        <v>1.2578616352201255E-2</v>
      </c>
      <c r="CO55" s="123">
        <f>CO31/CH31-1</f>
        <v>3.3116089613034694E-2</v>
      </c>
      <c r="CQ55" s="122" t="s">
        <v>424</v>
      </c>
      <c r="CR55" s="123">
        <f>CR31/CK31-1</f>
        <v>-1.9700551615445261E-2</v>
      </c>
      <c r="CS55" s="123">
        <f>CS31/CL31-1</f>
        <v>9.6949633483092157E-3</v>
      </c>
      <c r="CT55" s="123">
        <f>CT31/CM31-1</f>
        <v>-6.3357125671666958E-3</v>
      </c>
      <c r="CU55" s="123">
        <f>CU31/CN31-1</f>
        <v>1.0093167701863415E-2</v>
      </c>
      <c r="CV55" s="123">
        <f>CV31/CO31-1</f>
        <v>-1.4982454756929942E-3</v>
      </c>
      <c r="CX55" s="122" t="s">
        <v>424</v>
      </c>
      <c r="CY55" s="123">
        <f>CY31/CR31-1</f>
        <v>5.0643086816720251E-2</v>
      </c>
      <c r="CZ55" s="123">
        <f>CZ31/CS31-1</f>
        <v>7.1038251366120297E-2</v>
      </c>
      <c r="DA55" s="123">
        <f>DA31/CT31-1</f>
        <v>8.7167070217917697E-2</v>
      </c>
      <c r="DB55" s="123">
        <f>DB31/CU31-1</f>
        <v>6.764027671022288E-2</v>
      </c>
      <c r="DC55" s="123">
        <f>DC31/CV31-1</f>
        <v>6.9101678183613124E-2</v>
      </c>
      <c r="DE55" s="122" t="s">
        <v>424</v>
      </c>
      <c r="DF55" s="123">
        <f>DF31/CY31-1</f>
        <v>2.601377199693955E-2</v>
      </c>
      <c r="DG55" s="123">
        <f>DG31/CZ31-1</f>
        <v>-1.3848396501457749E-2</v>
      </c>
      <c r="DH55" s="123">
        <f>DH31/DA31-1</f>
        <v>-1.410541945063104E-2</v>
      </c>
      <c r="DI55" s="123">
        <f>DI31/DB31-1</f>
        <v>-1.6558675305975545E-2</v>
      </c>
      <c r="DJ55" s="123">
        <f>DJ31/DC31-1</f>
        <v>-4.9861495844875092E-3</v>
      </c>
      <c r="DL55" s="122" t="s">
        <v>424</v>
      </c>
      <c r="DM55" s="123">
        <f>DM31/DF31-1</f>
        <v>-1.5659955257270708E-2</v>
      </c>
      <c r="DN55" s="123">
        <f>DN31/DG31-1</f>
        <v>2.2912047302291239E-2</v>
      </c>
      <c r="DO55" s="123">
        <f>DO31/DH31-1</f>
        <v>6.777108433734913E-3</v>
      </c>
      <c r="DP55" s="123">
        <f>DP31/DI31-1</f>
        <v>1.3177159590043841E-2</v>
      </c>
      <c r="DQ55" s="123">
        <f>DQ31/DJ31-1</f>
        <v>6.8671121009651337E-3</v>
      </c>
      <c r="DS55" s="122" t="s">
        <v>424</v>
      </c>
      <c r="DT55" s="123">
        <f>DT31/DM31-1</f>
        <v>4.0909090909091006E-2</v>
      </c>
      <c r="DU55" s="123">
        <f>DU31/DN31-1</f>
        <v>2.1676300578035157E-3</v>
      </c>
      <c r="DV55" s="123">
        <f>DV31/DO31-1</f>
        <v>1.5706806282722585E-2</v>
      </c>
      <c r="DW55" s="123">
        <f>DW31/DP31-1</f>
        <v>1.8063583815028927E-2</v>
      </c>
      <c r="DX55" s="123">
        <f>DX31/DQ31-1</f>
        <v>1.8986175115207393E-2</v>
      </c>
      <c r="DZ55" s="122" t="s">
        <v>424</v>
      </c>
      <c r="EA55" s="123">
        <f>EA31/DT31-1</f>
        <v>-2.7656477438136817E-2</v>
      </c>
      <c r="EB55" s="123">
        <f>EB31/DU31-1</f>
        <v>-1.0093727469358327E-2</v>
      </c>
      <c r="EC55" s="123">
        <f>EC31/DV31-1</f>
        <v>-1.4727540500736325E-3</v>
      </c>
      <c r="ED55" s="123">
        <f>ED31/DW31-1</f>
        <v>-4.2583392476933657E-3</v>
      </c>
      <c r="EE55" s="123">
        <f>EE31/DX31-1</f>
        <v>-1.2120115774240214E-2</v>
      </c>
      <c r="EG55" s="122" t="s">
        <v>424</v>
      </c>
      <c r="EH55" s="123">
        <f>EH31/EA31-1</f>
        <v>6.8862275449101729E-2</v>
      </c>
      <c r="EI55" s="123">
        <f>EI31/EB31-1</f>
        <v>0.11434814275309546</v>
      </c>
      <c r="EJ55" s="123">
        <f>EJ31/EC31-1</f>
        <v>0.29498525073746307</v>
      </c>
      <c r="EK55" s="123">
        <f>EK31/ED31-1</f>
        <v>0.27227369921596578</v>
      </c>
      <c r="EL55" s="123">
        <f>EL31/EE31-1</f>
        <v>0.1862296282732101</v>
      </c>
      <c r="EN55" s="122" t="s">
        <v>424</v>
      </c>
      <c r="EO55" s="123">
        <f>EO31/EH31-1</f>
        <v>0.25630252100840334</v>
      </c>
      <c r="EP55" s="123">
        <f>EP31/EI31-1</f>
        <v>0.19215686274509802</v>
      </c>
      <c r="EQ55" s="123">
        <f>EQ31/EJ31-1</f>
        <v>7.9726651480638289E-3</v>
      </c>
      <c r="ER55" s="123">
        <f>ER31/EK31-1</f>
        <v>0</v>
      </c>
      <c r="ES55" s="123">
        <f>ES31/EL31-1</f>
        <v>0.10728619944427287</v>
      </c>
      <c r="EU55" s="122" t="s">
        <v>424</v>
      </c>
      <c r="EV55" s="123">
        <f>EV31/EO31-1</f>
        <v>-5.5741360089186509E-3</v>
      </c>
      <c r="EW55" s="123">
        <f>EW31/EP31-1</f>
        <v>-1.2609649122807043E-2</v>
      </c>
      <c r="EX55" s="123">
        <f>EX31/EQ31-1</f>
        <v>-7.3446327683616142E-3</v>
      </c>
      <c r="EY55" s="123">
        <f>EY31/ER31-1</f>
        <v>-1.2324929971988752E-2</v>
      </c>
      <c r="EZ55" s="123">
        <f>EZ31/ES31-1</f>
        <v>-9.479994423532645E-3</v>
      </c>
      <c r="FB55" s="122" t="s">
        <v>424</v>
      </c>
      <c r="FC55" s="123">
        <f>FC31/EV31-1</f>
        <v>-3.1950672645739919E-2</v>
      </c>
      <c r="FD55" s="123">
        <f>FD31/EW31-1</f>
        <v>9.4392004441976596E-3</v>
      </c>
      <c r="FE55" s="123">
        <f>FE31/EX31-1</f>
        <v>1.3090495162208393E-2</v>
      </c>
      <c r="FF55" s="123">
        <f>FF31/EY31-1</f>
        <v>2.3255813953488413E-2</v>
      </c>
      <c r="FG55" s="123">
        <f>FG31/EZ31-1</f>
        <v>3.3779028852920501E-3</v>
      </c>
      <c r="FI55" s="122" t="s">
        <v>424</v>
      </c>
      <c r="FJ55" s="123">
        <f>FJ31/FC31-1</f>
        <v>5.0955414012738842E-2</v>
      </c>
      <c r="FK55" s="123">
        <f>FK31/FD31-1</f>
        <v>3.4653465346534684E-2</v>
      </c>
      <c r="FL55" s="123">
        <f>FL31/FE31-1</f>
        <v>2.3033707865168562E-2</v>
      </c>
      <c r="FM55" s="123">
        <f>FM31/FF31-1</f>
        <v>4.6008869179600786E-2</v>
      </c>
      <c r="FN55" s="123">
        <f>FN31/FG31-1</f>
        <v>3.8574835180249734E-2</v>
      </c>
      <c r="FP55" s="122" t="s">
        <v>424</v>
      </c>
      <c r="FQ55" s="123">
        <f>FQ31/FJ31-1</f>
        <v>4.5179063360881511E-2</v>
      </c>
      <c r="FR55" s="123">
        <f>FR31/FK31-1</f>
        <v>5.0505050505050608E-2</v>
      </c>
      <c r="FS55" s="123">
        <f>FS31/FL31-1</f>
        <v>5.2169137836353574E-2</v>
      </c>
      <c r="FT55" s="123">
        <f>FT31/FM31-1</f>
        <v>0.14043455219925804</v>
      </c>
      <c r="FU55" s="123">
        <f>FU31/FN31-1</f>
        <v>7.252836304700172E-2</v>
      </c>
      <c r="FW55" s="122" t="s">
        <v>424</v>
      </c>
      <c r="FX55" s="123">
        <f>FX31/FQ31-1</f>
        <v>9.6995255666842306E-2</v>
      </c>
      <c r="FY55" s="123">
        <f>FY31/FR31-1</f>
        <v>7.5910931174089091E-2</v>
      </c>
      <c r="FZ55" s="123">
        <f>FZ31/FS31-1</f>
        <v>9.4989561586638738E-2</v>
      </c>
      <c r="GA55" s="123">
        <f>GA31/FT31-1</f>
        <v>1.8587360594795488E-2</v>
      </c>
      <c r="GB55" s="123">
        <f>GB31/FU31-1</f>
        <v>7.0016370734164557E-2</v>
      </c>
      <c r="GD55" s="122" t="s">
        <v>424</v>
      </c>
      <c r="GE55" s="123">
        <f>GE31/FX31-1</f>
        <v>0.10187409899086974</v>
      </c>
      <c r="GF55" s="123">
        <f>GF31/FY31-1</f>
        <v>0.11900282220131708</v>
      </c>
      <c r="GG55" s="123">
        <f>GG31/FZ31-1</f>
        <v>0.12917063870352719</v>
      </c>
      <c r="GH55" s="123">
        <f>GH31/GA31-1</f>
        <v>6.9343065693430628E-2</v>
      </c>
      <c r="GI55" s="123">
        <f>GI31/GB31-1</f>
        <v>0.10450747322584442</v>
      </c>
      <c r="GK55" s="122" t="s">
        <v>424</v>
      </c>
      <c r="GL55" s="123">
        <f>GL31/GE31-1</f>
        <v>3.0527692978630672E-2</v>
      </c>
      <c r="GM55" s="123">
        <f>GM31/GF31-1</f>
        <v>3.9092055485498101E-2</v>
      </c>
      <c r="GN55" s="123">
        <f>GN31/GG31-1</f>
        <v>3.0814689742507451E-2</v>
      </c>
      <c r="GO55" s="123">
        <f>GO31/GH31-1</f>
        <v>7.1245733788395826E-2</v>
      </c>
      <c r="GP55" s="123">
        <f>GP31/GI31-1</f>
        <v>4.2940863079381941E-2</v>
      </c>
      <c r="GR55" s="122" t="s">
        <v>424</v>
      </c>
      <c r="GS55" s="123">
        <f>GS31/GL31-1</f>
        <v>0.12314853999153619</v>
      </c>
      <c r="GT55" s="123">
        <f>GT31/GM31-1</f>
        <v>0.15129449838187692</v>
      </c>
      <c r="GU55" s="123">
        <f>GU31/GN31-1</f>
        <v>0.18796068796068788</v>
      </c>
      <c r="GV55" s="123">
        <f>GV31/GO31-1</f>
        <v>3.5045798486658786E-2</v>
      </c>
      <c r="GW55" s="123">
        <f>GW31/GP31-1</f>
        <v>0.12382509194932578</v>
      </c>
      <c r="GY55" s="122" t="s">
        <v>424</v>
      </c>
      <c r="GZ55" s="123">
        <f>GZ31/GS31-1</f>
        <v>-0.1770911831198192</v>
      </c>
      <c r="HA55" s="123">
        <f>HA31/GT31-1</f>
        <v>-0.25263527758257198</v>
      </c>
      <c r="HB55" s="123">
        <f>HB31/GU31-1</f>
        <v>-0.23267838676318509</v>
      </c>
      <c r="HC55" s="123">
        <f>HC31/GV31-1</f>
        <v>-0.12697191227395155</v>
      </c>
      <c r="HD55" s="123">
        <f>HD31/GW31-1</f>
        <v>-0.19945454545454544</v>
      </c>
      <c r="HF55" s="122" t="s">
        <v>424</v>
      </c>
      <c r="HG55" s="123">
        <f>HG31/GZ31-1</f>
        <v>0.11126373626373631</v>
      </c>
      <c r="HH55" s="123">
        <f>HH31/HA31-1</f>
        <v>0.22002820874471096</v>
      </c>
      <c r="HI55" s="123">
        <f>HI31/HB31-1</f>
        <v>0.15947888589398018</v>
      </c>
      <c r="HJ55" s="123">
        <f>HJ31/HC31-1</f>
        <v>0.20978404583516963</v>
      </c>
      <c r="HK55" s="123">
        <f>HK31/HD31-1</f>
        <v>0.175107880990234</v>
      </c>
      <c r="HM55" s="122" t="s">
        <v>424</v>
      </c>
      <c r="HN55" s="123">
        <f>HN31/HG31-1</f>
        <v>0.1256695508858674</v>
      </c>
      <c r="HO55" s="123">
        <f>HO31/HH31-1</f>
        <v>0.13256262042389211</v>
      </c>
      <c r="HP55" s="123">
        <f>HP31/HI31-1</f>
        <v>0.11778380472685002</v>
      </c>
      <c r="HQ55" s="123">
        <f>HQ31/HJ31-1</f>
        <v>5.2459016393442637E-2</v>
      </c>
      <c r="HR55" s="123">
        <f>HR31/HK31-1</f>
        <v>0.10601082334750678</v>
      </c>
      <c r="HT55" s="122" t="s">
        <v>424</v>
      </c>
      <c r="HU55" s="123">
        <f>HU31/HN31-1</f>
        <v>6.0029282576866683E-2</v>
      </c>
      <c r="HV55" s="123">
        <f>HV31/HO31-1</f>
        <v>0</v>
      </c>
      <c r="HW55" s="123">
        <f>HW31/HP31-1</f>
        <v>-2.9809358752166393E-2</v>
      </c>
      <c r="HX55" s="123">
        <f>HX31/HQ31-1</f>
        <v>-2.8729664243682951E-2</v>
      </c>
      <c r="HY55" s="123">
        <f>HY31/HR31-1</f>
        <v>-4.3687199650499497E-4</v>
      </c>
      <c r="IA55" s="122" t="s">
        <v>424</v>
      </c>
      <c r="IB55" s="123">
        <f>IB31/HU31-1</f>
        <v>-1.6919889502762464E-2</v>
      </c>
      <c r="IC55" s="123">
        <f>IC31/HV31-1</f>
        <v>1.2929567880231474E-2</v>
      </c>
      <c r="ID55" s="123">
        <f>ID31/HW31-1</f>
        <v>2.5366202215076905E-2</v>
      </c>
      <c r="IE55" s="123">
        <f>IE31/HX31-1</f>
        <v>4.5972915181753393E-2</v>
      </c>
      <c r="IF55" s="123">
        <f>IF31/HY31-1</f>
        <v>1.6520979020979043E-2</v>
      </c>
      <c r="IH55" s="122" t="s">
        <v>424</v>
      </c>
      <c r="II55" s="123">
        <f>II31/IB31-1</f>
        <v>8.0786793115559252E-3</v>
      </c>
      <c r="IJ55" s="123">
        <f>IJ31/IC31-1</f>
        <v>6.2814914343298556E-2</v>
      </c>
      <c r="IK55" s="123">
        <f>IK31/ID31-1</f>
        <v>8.1184668989547015E-2</v>
      </c>
      <c r="IL55" s="123">
        <f>IL31/IE31-1</f>
        <v>5.9625212947189032E-2</v>
      </c>
      <c r="IM55" s="123">
        <f>IM31/IF31-1</f>
        <v>5.3143004557571594E-2</v>
      </c>
      <c r="IO55" s="122" t="s">
        <v>424</v>
      </c>
      <c r="IP55" s="123">
        <f>IP31/II31-1</f>
        <v>-2.7874564459929863E-3</v>
      </c>
      <c r="IQ55" s="123">
        <f>IQ31/IJ31-1</f>
        <v>-7.1428571428571397E-2</v>
      </c>
      <c r="IR55" s="123">
        <f>IR31/IK31-1</f>
        <v>-8.0567193038994511E-2</v>
      </c>
      <c r="IS55" s="123">
        <f>IS31/IL31-1</f>
        <v>-0.13826366559485526</v>
      </c>
      <c r="IT55" s="123">
        <f>IT31/IM31-1</f>
        <v>-7.4630521760431168E-2</v>
      </c>
      <c r="IV55" s="122" t="s">
        <v>424</v>
      </c>
      <c r="IW55" s="123">
        <f>IW31/IP31-1</f>
        <v>-0.1132075471698113</v>
      </c>
      <c r="IX55" s="123">
        <f>IX31/IQ31-1</f>
        <v>-0.11266167460857723</v>
      </c>
      <c r="IY55" s="123">
        <f>IY31/IR31-1</f>
        <v>-7.7111812127585E-2</v>
      </c>
      <c r="IZ55" s="123">
        <f>IZ31/IS31-1</f>
        <v>9.0671641791044699E-2</v>
      </c>
      <c r="JA55" s="123">
        <f>JA31/IT31-1</f>
        <v>-5.5766346069001993E-2</v>
      </c>
      <c r="JC55" s="122" t="s">
        <v>424</v>
      </c>
      <c r="JD55" s="123">
        <f>JD31/IW31-1</f>
        <v>0.10126083530338859</v>
      </c>
      <c r="JE55" s="123">
        <f>JE31/IX31-1</f>
        <v>6.4825469888760923E-2</v>
      </c>
      <c r="JF55" s="123">
        <f>JF31/IY31-1</f>
        <v>5.6969236612229857E-3</v>
      </c>
      <c r="JG55" s="123">
        <f>JG31/IZ31-1</f>
        <v>-5.7475196715703003E-2</v>
      </c>
      <c r="JH55" s="123">
        <f>JH31/JA31-1</f>
        <v>2.5511634426689023E-2</v>
      </c>
      <c r="JJ55" s="122" t="s">
        <v>424</v>
      </c>
      <c r="JK55" s="123">
        <f>JK31/JD31-1</f>
        <v>-2.2898032200357799E-2</v>
      </c>
      <c r="JL55" s="123">
        <f>JL31/JE31-1</f>
        <v>6.8443804034582056E-2</v>
      </c>
      <c r="JM55" s="123">
        <f>JM31/JF31-1</f>
        <v>0.12462235649546827</v>
      </c>
      <c r="JN55" s="123">
        <f>JN31/JG31-1</f>
        <v>8.6388384754990888E-2</v>
      </c>
      <c r="JO55" s="123">
        <f>JO31/JH31-1</f>
        <v>6.3240386367778401E-2</v>
      </c>
      <c r="JQ55" s="122" t="s">
        <v>424</v>
      </c>
      <c r="JR55" s="123">
        <f>JR31/JK31-1</f>
        <v>4.1742951299890141E-2</v>
      </c>
      <c r="JS55" s="123">
        <f>JS31/JL31-1</f>
        <v>-9.7774780849628762E-3</v>
      </c>
      <c r="JT55" s="123">
        <f>JT31/JM31-1</f>
        <v>-3.6601746138347879E-2</v>
      </c>
      <c r="JU55" s="123">
        <f>JU31/JN31-1</f>
        <v>-7.5175409288339434E-2</v>
      </c>
      <c r="JV55" s="123">
        <f>JV31/JO31-1</f>
        <v>-2.1340418237915659E-2</v>
      </c>
      <c r="JX55" s="122" t="s">
        <v>424</v>
      </c>
      <c r="JY55" s="123">
        <f>JY31/JR31-1</f>
        <v>-3.198594024604573E-2</v>
      </c>
      <c r="JZ55" s="123">
        <f>JZ31/JS31-1</f>
        <v>-0.26659856996935649</v>
      </c>
      <c r="KA55" s="123">
        <f>KA31/JT31-1</f>
        <v>-0.11049146043917746</v>
      </c>
      <c r="KB55" s="123">
        <f>KB31/JU31-1</f>
        <v>-1.9147398843930685E-2</v>
      </c>
      <c r="KC55" s="123">
        <f>KC31/JV31-1</f>
        <v>-0.10894123828706537</v>
      </c>
      <c r="KE55" s="122" t="s">
        <v>424</v>
      </c>
      <c r="KF55" s="123">
        <f>KF31/JY31-1</f>
        <v>-3.0501089324618702E-2</v>
      </c>
      <c r="KG55" s="123">
        <f>KG31/JZ31-1</f>
        <v>0.31708449396471683</v>
      </c>
      <c r="KH55" s="123">
        <f>KH31/KA31-1</f>
        <v>0.11677115987460818</v>
      </c>
      <c r="KI55" s="123">
        <f>KI31/KB31-1</f>
        <v>0.10902394106813995</v>
      </c>
      <c r="KJ55" s="123">
        <f>KJ31/KC31-1</f>
        <v>0.11724815724815718</v>
      </c>
      <c r="KL55" s="122" t="s">
        <v>424</v>
      </c>
      <c r="KM55" s="123">
        <f>KM31/KF31-1</f>
        <v>0.11647940074906371</v>
      </c>
      <c r="KN55" s="123">
        <f>KN31/KG31-1</f>
        <v>0.18223475502291153</v>
      </c>
      <c r="KO55" s="123">
        <f>KO31/KH31-1</f>
        <v>0.18280701754385964</v>
      </c>
      <c r="KP55" s="123">
        <f>KP31/KI31-1</f>
        <v>8.7014280969777591E-2</v>
      </c>
      <c r="KQ55" s="123">
        <f>KQ31/KJ31-1</f>
        <v>0.14171358198451789</v>
      </c>
      <c r="KS55" s="122" t="s">
        <v>424</v>
      </c>
      <c r="KT55" s="123">
        <f>KT31/KM31-1</f>
        <v>0.10533378061053345</v>
      </c>
      <c r="KU55" s="123">
        <f>KU31/KN31-1</f>
        <v>-8.646392367322564E-3</v>
      </c>
      <c r="KV55" s="123">
        <f>KV31/KO31-1</f>
        <v>-4.3903886087214516E-2</v>
      </c>
      <c r="KW55" s="123">
        <f>KW31/KP31-1</f>
        <v>2.4747937671860676E-2</v>
      </c>
      <c r="KX55" s="123">
        <f>KX31/KQ31-1</f>
        <v>1.6796363356190724E-2</v>
      </c>
      <c r="KZ55" s="122" t="s">
        <v>424</v>
      </c>
      <c r="LA55" s="123">
        <f>LA31/KT31-1</f>
        <v>8.4977238239756225E-3</v>
      </c>
      <c r="LB55" s="215">
        <f>LB31/KU31-1</f>
        <v>1.2030075187969835E-2</v>
      </c>
      <c r="LC55" s="215">
        <f>LC31/KV31-1</f>
        <v>2.1718895439031938E-2</v>
      </c>
      <c r="LD55" s="215">
        <f>LD31/KW31-1</f>
        <v>-4.1144901610017937E-2</v>
      </c>
      <c r="LE55" s="215">
        <f>LE31/KX31-1</f>
        <v>0</v>
      </c>
      <c r="LF55" s="557"/>
      <c r="LG55" s="122" t="s">
        <v>424</v>
      </c>
      <c r="LH55" s="215">
        <f>LH31/LA31-1</f>
        <v>-6.5302437556424953E-2</v>
      </c>
      <c r="LI55" s="215">
        <f>LI31/LB31-1</f>
        <v>-4.1604754829123292E-2</v>
      </c>
      <c r="LJ55" s="215">
        <f>LJ31/LC31-1</f>
        <v>-2.0649863346492547E-2</v>
      </c>
      <c r="LK55" s="215">
        <f>LK31/LD31-1</f>
        <v>-8.0845771144278933E-3</v>
      </c>
      <c r="LL55" s="215">
        <f>LL31/LE31-1</f>
        <v>-3.4174433583390118E-2</v>
      </c>
      <c r="LM55" s="557"/>
      <c r="LN55" s="122" t="s">
        <v>424</v>
      </c>
      <c r="LO55" s="215">
        <f>LO31/LH31-1</f>
        <v>9.6739938828074301E-3</v>
      </c>
      <c r="LP55" s="215">
        <f>LP31/LI31-1</f>
        <v>1.574261240310082E-2</v>
      </c>
      <c r="LQ55" s="215">
        <f>LQ31/LJ31-1</f>
        <v>3.2571829457364254E-2</v>
      </c>
      <c r="LR55" s="215">
        <f>LR31/LK31-1</f>
        <v>5.6361684952977997E-2</v>
      </c>
      <c r="LS55" s="215">
        <f>LS31/LL31-1</f>
        <v>2.8687845206339047E-2</v>
      </c>
      <c r="LT55" s="557"/>
      <c r="LU55" s="122" t="s">
        <v>424</v>
      </c>
      <c r="LV55" s="215">
        <f>LV31/LO31-1</f>
        <v>5.0663075219149034E-2</v>
      </c>
      <c r="LW55" s="215">
        <f>LW31/LP31-1</f>
        <v>4.9975558122415942E-2</v>
      </c>
      <c r="LX55" s="215">
        <f>LX31/LQ31-1</f>
        <v>4.8794561085248711E-2</v>
      </c>
      <c r="LY55" s="215">
        <f>LY31/LR31-1</f>
        <v>4.8984156493189213E-2</v>
      </c>
      <c r="LZ55" s="215">
        <f>LZ31/LS31-1</f>
        <v>4.9585256136488898E-2</v>
      </c>
      <c r="MA55" s="557"/>
      <c r="MB55" s="122" t="s">
        <v>424</v>
      </c>
      <c r="MC55" s="215">
        <f>MC31/LV31-1</f>
        <v>4.6730034166277967E-2</v>
      </c>
      <c r="MD55" s="215">
        <f>MD31/LW31-1</f>
        <v>4.6136572562518907E-2</v>
      </c>
      <c r="ME55" s="215">
        <f>ME31/LX31-1</f>
        <v>4.5884040850352026E-2</v>
      </c>
      <c r="MF55" s="215">
        <f>MF31/LY31-1</f>
        <v>4.4665961939956977E-2</v>
      </c>
      <c r="MG55" s="215">
        <f>MG31/LZ31-1</f>
        <v>4.5836832397112559E-2</v>
      </c>
      <c r="MH55" s="557"/>
    </row>
    <row r="56" spans="1:346" s="37" customFormat="1" ht="13.15" x14ac:dyDescent="0.4">
      <c r="A56" s="100"/>
      <c r="B56" s="116"/>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O56" s="116"/>
      <c r="BP56" s="117"/>
      <c r="BQ56" s="117"/>
      <c r="BR56" s="117"/>
      <c r="BS56" s="117"/>
      <c r="BT56" s="117"/>
      <c r="BV56" s="116"/>
      <c r="BW56" s="117"/>
      <c r="BX56" s="117"/>
      <c r="BY56" s="117"/>
      <c r="BZ56" s="117"/>
      <c r="CA56" s="117"/>
      <c r="CC56" s="116"/>
      <c r="CD56" s="117"/>
      <c r="CE56" s="117"/>
      <c r="CF56" s="117"/>
      <c r="CG56" s="117"/>
      <c r="CH56" s="117"/>
      <c r="CJ56" s="116"/>
      <c r="CK56" s="117"/>
      <c r="CL56" s="117"/>
      <c r="CM56" s="117"/>
      <c r="CN56" s="117"/>
      <c r="CO56" s="117"/>
      <c r="CQ56" s="116"/>
      <c r="CR56" s="117"/>
      <c r="CS56" s="117"/>
      <c r="CT56" s="117"/>
      <c r="CU56" s="117"/>
      <c r="CV56" s="117"/>
      <c r="CX56" s="116"/>
      <c r="CY56" s="117"/>
      <c r="CZ56" s="117"/>
      <c r="DA56" s="117"/>
      <c r="DB56" s="117"/>
      <c r="DC56" s="117"/>
      <c r="DE56" s="116"/>
      <c r="DF56" s="117"/>
      <c r="DG56" s="117"/>
      <c r="DH56" s="117"/>
      <c r="DI56" s="117"/>
      <c r="DJ56" s="117"/>
      <c r="DL56" s="116"/>
      <c r="DM56" s="117"/>
      <c r="DN56" s="117"/>
      <c r="DO56" s="117"/>
      <c r="DP56" s="117"/>
      <c r="DQ56" s="117"/>
      <c r="DS56" s="116"/>
      <c r="DT56" s="117"/>
      <c r="DU56" s="117"/>
      <c r="DV56" s="117"/>
      <c r="DW56" s="117"/>
      <c r="DX56" s="117"/>
      <c r="DZ56" s="116"/>
      <c r="EA56" s="117"/>
      <c r="EB56" s="117"/>
      <c r="EC56" s="117"/>
      <c r="ED56" s="117"/>
      <c r="EE56" s="117"/>
      <c r="EG56" s="116"/>
      <c r="EH56" s="117"/>
      <c r="EI56" s="117"/>
      <c r="EJ56" s="117"/>
      <c r="EK56" s="117"/>
      <c r="EL56" s="117"/>
      <c r="EN56" s="116"/>
      <c r="EO56" s="117"/>
      <c r="EP56" s="117"/>
      <c r="EQ56" s="117"/>
      <c r="ER56" s="117"/>
      <c r="ES56" s="117"/>
      <c r="EU56" s="116"/>
      <c r="EV56" s="117"/>
      <c r="EW56" s="117"/>
      <c r="EX56" s="117"/>
      <c r="EY56" s="117"/>
      <c r="EZ56" s="117"/>
      <c r="FB56" s="116"/>
      <c r="FC56" s="117"/>
      <c r="FD56" s="117"/>
      <c r="FE56" s="117"/>
      <c r="FF56" s="117"/>
      <c r="FG56" s="117"/>
      <c r="FI56" s="116"/>
      <c r="FJ56" s="117"/>
      <c r="FK56" s="117"/>
      <c r="FL56" s="117"/>
      <c r="FM56" s="117"/>
      <c r="FN56" s="117"/>
      <c r="FP56" s="116"/>
      <c r="FQ56" s="117"/>
      <c r="FR56" s="117"/>
      <c r="FS56" s="117"/>
      <c r="FT56" s="117"/>
      <c r="FU56" s="117"/>
      <c r="FW56" s="116"/>
      <c r="FX56" s="117"/>
      <c r="FY56" s="117"/>
      <c r="FZ56" s="117"/>
      <c r="GA56" s="117"/>
      <c r="GB56" s="117"/>
      <c r="GD56" s="116"/>
      <c r="GE56" s="117"/>
      <c r="GF56" s="117"/>
      <c r="GG56" s="117"/>
      <c r="GH56" s="117"/>
      <c r="GI56" s="117"/>
      <c r="GK56" s="116"/>
      <c r="GL56" s="117"/>
      <c r="GM56" s="117"/>
      <c r="GN56" s="117"/>
      <c r="GO56" s="117"/>
      <c r="GP56" s="117"/>
      <c r="GR56" s="116"/>
      <c r="GS56" s="117"/>
      <c r="GT56" s="117"/>
      <c r="GU56" s="117"/>
      <c r="GV56" s="117"/>
      <c r="GW56" s="117"/>
      <c r="GY56" s="116"/>
      <c r="GZ56" s="117"/>
      <c r="HA56" s="117"/>
      <c r="HB56" s="117"/>
      <c r="HC56" s="117"/>
      <c r="HD56" s="117"/>
      <c r="HF56" s="116"/>
      <c r="HG56" s="117"/>
      <c r="HH56" s="117"/>
      <c r="HI56" s="117"/>
      <c r="HJ56" s="117"/>
      <c r="HK56" s="117"/>
      <c r="HM56" s="116"/>
      <c r="HN56" s="117"/>
      <c r="HO56" s="117"/>
      <c r="HP56" s="117"/>
      <c r="HQ56" s="117"/>
      <c r="HR56" s="117"/>
      <c r="HT56" s="116"/>
      <c r="HU56" s="117"/>
      <c r="HV56" s="117"/>
      <c r="HW56" s="117"/>
      <c r="HX56" s="117"/>
      <c r="HY56" s="117"/>
      <c r="IA56" s="116"/>
      <c r="IB56" s="117"/>
      <c r="IC56" s="117"/>
      <c r="ID56" s="117"/>
      <c r="IE56" s="117"/>
      <c r="IF56" s="117"/>
      <c r="IH56" s="116"/>
      <c r="II56" s="117"/>
      <c r="IJ56" s="117"/>
      <c r="IK56" s="117"/>
      <c r="IL56" s="117"/>
      <c r="IM56" s="117"/>
      <c r="IO56" s="116"/>
      <c r="IP56" s="117"/>
      <c r="IQ56" s="117"/>
      <c r="IR56" s="117"/>
      <c r="IS56" s="117"/>
      <c r="IT56" s="117"/>
      <c r="IV56" s="116"/>
      <c r="IW56" s="117"/>
      <c r="IX56" s="117"/>
      <c r="IY56" s="117"/>
      <c r="IZ56" s="117"/>
      <c r="JA56" s="117"/>
      <c r="JC56" s="116"/>
      <c r="JD56" s="117"/>
      <c r="JE56" s="117"/>
      <c r="JF56" s="117"/>
      <c r="JG56" s="117"/>
      <c r="JH56" s="117"/>
      <c r="JJ56" s="116"/>
      <c r="JK56" s="117"/>
      <c r="JL56" s="117"/>
      <c r="JM56" s="117"/>
      <c r="JN56" s="117"/>
      <c r="JO56" s="117"/>
      <c r="JQ56" s="116"/>
      <c r="JR56" s="117"/>
      <c r="JS56" s="117"/>
      <c r="JT56" s="117"/>
      <c r="JU56" s="117"/>
      <c r="JV56" s="117"/>
      <c r="JX56" s="116"/>
      <c r="JY56" s="117"/>
      <c r="JZ56" s="117"/>
      <c r="KA56" s="117"/>
      <c r="KB56" s="117"/>
      <c r="KC56" s="117"/>
      <c r="KE56" s="116"/>
      <c r="KF56" s="117"/>
      <c r="KG56" s="117"/>
      <c r="KH56" s="117"/>
      <c r="KI56" s="117"/>
      <c r="KJ56" s="117"/>
      <c r="KL56" s="116"/>
      <c r="KM56" s="117"/>
      <c r="KN56" s="117"/>
      <c r="KO56" s="117"/>
      <c r="KP56" s="117"/>
      <c r="KQ56" s="117"/>
      <c r="KS56" s="116"/>
      <c r="KT56" s="117"/>
      <c r="KU56" s="117"/>
      <c r="KV56" s="117"/>
      <c r="KW56" s="117"/>
      <c r="KX56" s="117"/>
      <c r="KZ56" s="116"/>
      <c r="LA56" s="117"/>
      <c r="LB56" s="596"/>
      <c r="LC56" s="214"/>
      <c r="LD56" s="214"/>
      <c r="LE56" s="214"/>
      <c r="LF56" s="557"/>
      <c r="LG56" s="116"/>
      <c r="LH56" s="214"/>
      <c r="LI56" s="214"/>
      <c r="LJ56" s="214"/>
      <c r="LK56" s="214"/>
      <c r="LL56" s="214"/>
      <c r="LM56" s="557"/>
      <c r="LN56" s="116"/>
      <c r="LO56" s="214"/>
      <c r="LP56" s="214"/>
      <c r="LQ56" s="214"/>
      <c r="LR56" s="214"/>
      <c r="LS56" s="214"/>
      <c r="LT56" s="557"/>
      <c r="LU56" s="116"/>
      <c r="LV56" s="214"/>
      <c r="LW56" s="214"/>
      <c r="LX56" s="214"/>
      <c r="LY56" s="214"/>
      <c r="LZ56" s="214"/>
      <c r="MA56" s="557"/>
      <c r="MB56" s="116"/>
      <c r="MC56" s="214"/>
      <c r="MD56" s="214"/>
      <c r="ME56" s="214"/>
      <c r="MF56" s="214"/>
      <c r="MG56" s="214"/>
      <c r="MH56" s="557"/>
    </row>
    <row r="57" spans="1:346" s="37" customFormat="1" ht="13.15" x14ac:dyDescent="0.4">
      <c r="A57" s="100"/>
      <c r="B57" s="116" t="s">
        <v>279</v>
      </c>
      <c r="C57" s="117"/>
      <c r="D57" s="117"/>
      <c r="E57" s="117"/>
      <c r="F57" s="117"/>
      <c r="G57" s="117"/>
      <c r="H57" s="117"/>
      <c r="I57" s="117"/>
      <c r="J57" s="117"/>
      <c r="K57" s="117"/>
      <c r="L57" s="117"/>
      <c r="M57" s="117"/>
      <c r="N57" s="117" t="str">
        <f>BT57</f>
        <v>-</v>
      </c>
      <c r="O57" s="117" t="str">
        <f>CA57</f>
        <v>-</v>
      </c>
      <c r="P57" s="117" t="str">
        <f>CH57</f>
        <v>-</v>
      </c>
      <c r="Q57" s="117" t="str">
        <f>CO57</f>
        <v>-</v>
      </c>
      <c r="R57" s="117" t="str">
        <f>CV57</f>
        <v>-</v>
      </c>
      <c r="S57" s="117" t="str">
        <f>DC57</f>
        <v>-</v>
      </c>
      <c r="T57" s="117" t="str">
        <f>DJ57</f>
        <v>-</v>
      </c>
      <c r="U57" s="117" t="str">
        <f>DQ57</f>
        <v>-</v>
      </c>
      <c r="V57" s="117" t="str">
        <f>DX57</f>
        <v>-</v>
      </c>
      <c r="W57" s="117" t="str">
        <f>EE57</f>
        <v>-</v>
      </c>
      <c r="X57" s="117" t="str">
        <f>EL57</f>
        <v>-</v>
      </c>
      <c r="Y57" s="117" t="str">
        <f>ES57</f>
        <v>-</v>
      </c>
      <c r="Z57" s="117" t="str">
        <f>EZ57</f>
        <v>-</v>
      </c>
      <c r="AA57" s="117" t="str">
        <f>FG57</f>
        <v>-</v>
      </c>
      <c r="AB57" s="117" t="str">
        <f>FN57</f>
        <v>-</v>
      </c>
      <c r="AC57" s="117" t="str">
        <f>FU57</f>
        <v>-</v>
      </c>
      <c r="AD57" s="117" t="str">
        <f>GB57</f>
        <v>-</v>
      </c>
      <c r="AE57" s="117" t="str">
        <f>GI57</f>
        <v>-</v>
      </c>
      <c r="AF57" s="117" t="str">
        <f>GP57</f>
        <v>-</v>
      </c>
      <c r="AG57" s="117" t="str">
        <f>GW57</f>
        <v>-</v>
      </c>
      <c r="AH57" s="117" t="str">
        <f>HD57</f>
        <v>-</v>
      </c>
      <c r="AI57" s="117" t="str">
        <f>HK57</f>
        <v>-</v>
      </c>
      <c r="AJ57" s="117" t="str">
        <f>HR57</f>
        <v>-</v>
      </c>
      <c r="AK57" s="117" t="str">
        <f>HY57</f>
        <v>-</v>
      </c>
      <c r="AL57" s="117" t="str">
        <f>IF57</f>
        <v>-</v>
      </c>
      <c r="AM57" s="117" t="str">
        <f>IM57</f>
        <v>-</v>
      </c>
      <c r="AN57" s="117" t="str">
        <f>IT57</f>
        <v>-</v>
      </c>
      <c r="AO57" s="117" t="str">
        <f>JA57</f>
        <v>-</v>
      </c>
      <c r="AP57" s="117" t="str">
        <f>JH57</f>
        <v>-</v>
      </c>
      <c r="AQ57" s="117" t="str">
        <f>JO57</f>
        <v>-</v>
      </c>
      <c r="AR57" s="117" t="str">
        <f>JV57</f>
        <v>-</v>
      </c>
      <c r="AS57" s="117" t="str">
        <f>KC57</f>
        <v>-</v>
      </c>
      <c r="AT57" s="117" t="str">
        <f>KJ57</f>
        <v>-</v>
      </c>
      <c r="AU57" s="117">
        <f>KQ57</f>
        <v>1.3560975609756096</v>
      </c>
      <c r="AV57" s="117">
        <f>KX57</f>
        <v>-8.6956521739130488E-2</v>
      </c>
      <c r="AW57" s="117">
        <f>LE57</f>
        <v>-4.3083900226757343E-2</v>
      </c>
      <c r="AX57" s="117">
        <f>LL57</f>
        <v>-3.3175355450236976E-2</v>
      </c>
      <c r="AY57" s="117">
        <f>LS57</f>
        <v>1.7524509803921617E-2</v>
      </c>
      <c r="AZ57" s="117">
        <f>LZ57</f>
        <v>3.0000000000000027E-2</v>
      </c>
      <c r="BA57" s="117">
        <f>MG57</f>
        <v>3.0000000000000027E-2</v>
      </c>
      <c r="BB57" s="117"/>
      <c r="BC57" s="117"/>
      <c r="BD57" s="117"/>
      <c r="BE57" s="117"/>
      <c r="BF57" s="117"/>
      <c r="BG57" s="117"/>
      <c r="BH57" s="117"/>
      <c r="BI57" s="117"/>
      <c r="BJ57" s="117"/>
      <c r="BK57" s="117"/>
      <c r="BL57" s="117"/>
      <c r="BM57" s="117"/>
      <c r="BO57" s="116" t="s">
        <v>279</v>
      </c>
      <c r="BP57" s="117" t="s">
        <v>80</v>
      </c>
      <c r="BQ57" s="117" t="s">
        <v>80</v>
      </c>
      <c r="BR57" s="117" t="s">
        <v>80</v>
      </c>
      <c r="BS57" s="117" t="s">
        <v>80</v>
      </c>
      <c r="BT57" s="117" t="s">
        <v>80</v>
      </c>
      <c r="BV57" s="116" t="s">
        <v>279</v>
      </c>
      <c r="BW57" s="117" t="s">
        <v>80</v>
      </c>
      <c r="BX57" s="117" t="s">
        <v>80</v>
      </c>
      <c r="BY57" s="117" t="s">
        <v>80</v>
      </c>
      <c r="BZ57" s="117" t="s">
        <v>80</v>
      </c>
      <c r="CA57" s="117" t="s">
        <v>80</v>
      </c>
      <c r="CC57" s="116" t="s">
        <v>279</v>
      </c>
      <c r="CD57" s="117" t="s">
        <v>80</v>
      </c>
      <c r="CE57" s="117" t="s">
        <v>80</v>
      </c>
      <c r="CF57" s="117" t="s">
        <v>80</v>
      </c>
      <c r="CG57" s="117" t="s">
        <v>80</v>
      </c>
      <c r="CH57" s="117" t="s">
        <v>80</v>
      </c>
      <c r="CJ57" s="116" t="s">
        <v>279</v>
      </c>
      <c r="CK57" s="117" t="s">
        <v>80</v>
      </c>
      <c r="CL57" s="117" t="s">
        <v>80</v>
      </c>
      <c r="CM57" s="117" t="s">
        <v>80</v>
      </c>
      <c r="CN57" s="117" t="s">
        <v>80</v>
      </c>
      <c r="CO57" s="117" t="s">
        <v>80</v>
      </c>
      <c r="CQ57" s="116" t="s">
        <v>279</v>
      </c>
      <c r="CR57" s="117" t="s">
        <v>80</v>
      </c>
      <c r="CS57" s="117" t="s">
        <v>80</v>
      </c>
      <c r="CT57" s="117" t="s">
        <v>80</v>
      </c>
      <c r="CU57" s="117" t="s">
        <v>80</v>
      </c>
      <c r="CV57" s="117" t="s">
        <v>80</v>
      </c>
      <c r="CX57" s="116" t="s">
        <v>279</v>
      </c>
      <c r="CY57" s="117" t="s">
        <v>80</v>
      </c>
      <c r="CZ57" s="117" t="s">
        <v>80</v>
      </c>
      <c r="DA57" s="117" t="s">
        <v>80</v>
      </c>
      <c r="DB57" s="117" t="s">
        <v>80</v>
      </c>
      <c r="DC57" s="117" t="s">
        <v>80</v>
      </c>
      <c r="DE57" s="116" t="s">
        <v>279</v>
      </c>
      <c r="DF57" s="117" t="s">
        <v>80</v>
      </c>
      <c r="DG57" s="117" t="s">
        <v>80</v>
      </c>
      <c r="DH57" s="117" t="s">
        <v>80</v>
      </c>
      <c r="DI57" s="117" t="s">
        <v>80</v>
      </c>
      <c r="DJ57" s="117" t="s">
        <v>80</v>
      </c>
      <c r="DL57" s="116" t="s">
        <v>279</v>
      </c>
      <c r="DM57" s="117" t="s">
        <v>80</v>
      </c>
      <c r="DN57" s="117" t="s">
        <v>80</v>
      </c>
      <c r="DO57" s="117" t="s">
        <v>80</v>
      </c>
      <c r="DP57" s="117" t="s">
        <v>80</v>
      </c>
      <c r="DQ57" s="117" t="s">
        <v>80</v>
      </c>
      <c r="DS57" s="116" t="s">
        <v>279</v>
      </c>
      <c r="DT57" s="117" t="s">
        <v>80</v>
      </c>
      <c r="DU57" s="117" t="s">
        <v>80</v>
      </c>
      <c r="DV57" s="117" t="s">
        <v>80</v>
      </c>
      <c r="DW57" s="117" t="s">
        <v>80</v>
      </c>
      <c r="DX57" s="117" t="s">
        <v>80</v>
      </c>
      <c r="DZ57" s="116" t="s">
        <v>279</v>
      </c>
      <c r="EA57" s="117" t="s">
        <v>80</v>
      </c>
      <c r="EB57" s="117" t="s">
        <v>80</v>
      </c>
      <c r="EC57" s="117" t="s">
        <v>80</v>
      </c>
      <c r="ED57" s="117" t="s">
        <v>80</v>
      </c>
      <c r="EE57" s="117" t="s">
        <v>80</v>
      </c>
      <c r="EG57" s="116" t="s">
        <v>279</v>
      </c>
      <c r="EH57" s="117" t="s">
        <v>80</v>
      </c>
      <c r="EI57" s="117" t="s">
        <v>80</v>
      </c>
      <c r="EJ57" s="117" t="s">
        <v>80</v>
      </c>
      <c r="EK57" s="117" t="s">
        <v>80</v>
      </c>
      <c r="EL57" s="117" t="s">
        <v>80</v>
      </c>
      <c r="EN57" s="116" t="s">
        <v>279</v>
      </c>
      <c r="EO57" s="117" t="s">
        <v>80</v>
      </c>
      <c r="EP57" s="117" t="s">
        <v>80</v>
      </c>
      <c r="EQ57" s="117" t="s">
        <v>80</v>
      </c>
      <c r="ER57" s="117" t="s">
        <v>80</v>
      </c>
      <c r="ES57" s="117" t="s">
        <v>80</v>
      </c>
      <c r="EU57" s="116" t="s">
        <v>279</v>
      </c>
      <c r="EV57" s="117" t="s">
        <v>80</v>
      </c>
      <c r="EW57" s="117" t="s">
        <v>80</v>
      </c>
      <c r="EX57" s="117" t="s">
        <v>80</v>
      </c>
      <c r="EY57" s="117" t="s">
        <v>80</v>
      </c>
      <c r="EZ57" s="117" t="s">
        <v>80</v>
      </c>
      <c r="FB57" s="116" t="s">
        <v>279</v>
      </c>
      <c r="FC57" s="117" t="s">
        <v>80</v>
      </c>
      <c r="FD57" s="117" t="s">
        <v>80</v>
      </c>
      <c r="FE57" s="117" t="s">
        <v>80</v>
      </c>
      <c r="FF57" s="117" t="s">
        <v>80</v>
      </c>
      <c r="FG57" s="117" t="s">
        <v>80</v>
      </c>
      <c r="FI57" s="116" t="s">
        <v>279</v>
      </c>
      <c r="FJ57" s="117" t="s">
        <v>80</v>
      </c>
      <c r="FK57" s="117" t="s">
        <v>80</v>
      </c>
      <c r="FL57" s="117" t="s">
        <v>80</v>
      </c>
      <c r="FM57" s="117" t="s">
        <v>80</v>
      </c>
      <c r="FN57" s="117" t="s">
        <v>80</v>
      </c>
      <c r="FP57" s="116" t="s">
        <v>279</v>
      </c>
      <c r="FQ57" s="117" t="s">
        <v>80</v>
      </c>
      <c r="FR57" s="117" t="s">
        <v>80</v>
      </c>
      <c r="FS57" s="117" t="s">
        <v>80</v>
      </c>
      <c r="FT57" s="117" t="s">
        <v>80</v>
      </c>
      <c r="FU57" s="117" t="s">
        <v>80</v>
      </c>
      <c r="FW57" s="116" t="s">
        <v>279</v>
      </c>
      <c r="FX57" s="117" t="s">
        <v>80</v>
      </c>
      <c r="FY57" s="117" t="s">
        <v>80</v>
      </c>
      <c r="FZ57" s="117" t="s">
        <v>80</v>
      </c>
      <c r="GA57" s="117" t="s">
        <v>80</v>
      </c>
      <c r="GB57" s="117" t="s">
        <v>80</v>
      </c>
      <c r="GD57" s="116" t="s">
        <v>279</v>
      </c>
      <c r="GE57" s="117" t="s">
        <v>80</v>
      </c>
      <c r="GF57" s="117" t="s">
        <v>80</v>
      </c>
      <c r="GG57" s="117" t="s">
        <v>80</v>
      </c>
      <c r="GH57" s="117" t="s">
        <v>80</v>
      </c>
      <c r="GI57" s="117" t="s">
        <v>80</v>
      </c>
      <c r="GK57" s="116" t="s">
        <v>279</v>
      </c>
      <c r="GL57" s="117" t="s">
        <v>80</v>
      </c>
      <c r="GM57" s="117" t="s">
        <v>80</v>
      </c>
      <c r="GN57" s="117" t="s">
        <v>80</v>
      </c>
      <c r="GO57" s="117" t="s">
        <v>80</v>
      </c>
      <c r="GP57" s="117" t="s">
        <v>80</v>
      </c>
      <c r="GR57" s="116" t="s">
        <v>279</v>
      </c>
      <c r="GS57" s="117" t="s">
        <v>80</v>
      </c>
      <c r="GT57" s="117" t="s">
        <v>80</v>
      </c>
      <c r="GU57" s="117" t="s">
        <v>80</v>
      </c>
      <c r="GV57" s="117" t="s">
        <v>80</v>
      </c>
      <c r="GW57" s="117" t="s">
        <v>80</v>
      </c>
      <c r="GY57" s="116" t="s">
        <v>279</v>
      </c>
      <c r="GZ57" s="117" t="s">
        <v>80</v>
      </c>
      <c r="HA57" s="117" t="s">
        <v>80</v>
      </c>
      <c r="HB57" s="117" t="s">
        <v>80</v>
      </c>
      <c r="HC57" s="117" t="s">
        <v>80</v>
      </c>
      <c r="HD57" s="117" t="s">
        <v>80</v>
      </c>
      <c r="HF57" s="116" t="s">
        <v>279</v>
      </c>
      <c r="HG57" s="117" t="s">
        <v>80</v>
      </c>
      <c r="HH57" s="117" t="s">
        <v>80</v>
      </c>
      <c r="HI57" s="117" t="s">
        <v>80</v>
      </c>
      <c r="HJ57" s="117" t="s">
        <v>80</v>
      </c>
      <c r="HK57" s="117" t="s">
        <v>80</v>
      </c>
      <c r="HM57" s="116" t="s">
        <v>279</v>
      </c>
      <c r="HN57" s="117" t="s">
        <v>80</v>
      </c>
      <c r="HO57" s="117" t="s">
        <v>80</v>
      </c>
      <c r="HP57" s="117" t="s">
        <v>80</v>
      </c>
      <c r="HQ57" s="117" t="s">
        <v>80</v>
      </c>
      <c r="HR57" s="117" t="s">
        <v>80</v>
      </c>
      <c r="HT57" s="116" t="s">
        <v>279</v>
      </c>
      <c r="HU57" s="117" t="s">
        <v>80</v>
      </c>
      <c r="HV57" s="117" t="s">
        <v>80</v>
      </c>
      <c r="HW57" s="117" t="s">
        <v>80</v>
      </c>
      <c r="HX57" s="117" t="s">
        <v>80</v>
      </c>
      <c r="HY57" s="117" t="s">
        <v>80</v>
      </c>
      <c r="IA57" s="116" t="s">
        <v>279</v>
      </c>
      <c r="IB57" s="117" t="s">
        <v>80</v>
      </c>
      <c r="IC57" s="117" t="s">
        <v>80</v>
      </c>
      <c r="ID57" s="117" t="s">
        <v>80</v>
      </c>
      <c r="IE57" s="117" t="s">
        <v>80</v>
      </c>
      <c r="IF57" s="117" t="s">
        <v>80</v>
      </c>
      <c r="IH57" s="116" t="s">
        <v>279</v>
      </c>
      <c r="II57" s="117" t="s">
        <v>80</v>
      </c>
      <c r="IJ57" s="117" t="s">
        <v>80</v>
      </c>
      <c r="IK57" s="117" t="s">
        <v>80</v>
      </c>
      <c r="IL57" s="117" t="s">
        <v>80</v>
      </c>
      <c r="IM57" s="117" t="s">
        <v>80</v>
      </c>
      <c r="IO57" s="116" t="s">
        <v>279</v>
      </c>
      <c r="IP57" s="117" t="s">
        <v>80</v>
      </c>
      <c r="IQ57" s="117" t="s">
        <v>80</v>
      </c>
      <c r="IR57" s="117" t="s">
        <v>80</v>
      </c>
      <c r="IS57" s="117" t="s">
        <v>80</v>
      </c>
      <c r="IT57" s="117" t="s">
        <v>80</v>
      </c>
      <c r="IV57" s="116" t="s">
        <v>279</v>
      </c>
      <c r="IW57" s="117" t="s">
        <v>80</v>
      </c>
      <c r="IX57" s="117" t="s">
        <v>80</v>
      </c>
      <c r="IY57" s="117" t="s">
        <v>80</v>
      </c>
      <c r="IZ57" s="117" t="s">
        <v>80</v>
      </c>
      <c r="JA57" s="117" t="s">
        <v>80</v>
      </c>
      <c r="JC57" s="116" t="s">
        <v>279</v>
      </c>
      <c r="JD57" s="117" t="s">
        <v>80</v>
      </c>
      <c r="JE57" s="117" t="s">
        <v>80</v>
      </c>
      <c r="JF57" s="117" t="s">
        <v>80</v>
      </c>
      <c r="JG57" s="117" t="s">
        <v>80</v>
      </c>
      <c r="JH57" s="117" t="s">
        <v>80</v>
      </c>
      <c r="JJ57" s="116" t="s">
        <v>279</v>
      </c>
      <c r="JK57" s="117" t="s">
        <v>80</v>
      </c>
      <c r="JL57" s="117" t="s">
        <v>80</v>
      </c>
      <c r="JM57" s="117" t="s">
        <v>80</v>
      </c>
      <c r="JN57" s="117" t="s">
        <v>80</v>
      </c>
      <c r="JO57" s="117" t="s">
        <v>80</v>
      </c>
      <c r="JQ57" s="116" t="s">
        <v>279</v>
      </c>
      <c r="JR57" s="117" t="s">
        <v>80</v>
      </c>
      <c r="JS57" s="117" t="s">
        <v>80</v>
      </c>
      <c r="JT57" s="117" t="s">
        <v>80</v>
      </c>
      <c r="JU57" s="117" t="s">
        <v>80</v>
      </c>
      <c r="JV57" s="117" t="s">
        <v>80</v>
      </c>
      <c r="JX57" s="116" t="s">
        <v>279</v>
      </c>
      <c r="JY57" s="117" t="s">
        <v>80</v>
      </c>
      <c r="JZ57" s="117" t="s">
        <v>80</v>
      </c>
      <c r="KA57" s="117" t="s">
        <v>80</v>
      </c>
      <c r="KB57" s="117" t="s">
        <v>80</v>
      </c>
      <c r="KC57" s="117" t="s">
        <v>80</v>
      </c>
      <c r="KE57" s="116" t="s">
        <v>279</v>
      </c>
      <c r="KF57" s="117" t="s">
        <v>80</v>
      </c>
      <c r="KG57" s="117" t="s">
        <v>80</v>
      </c>
      <c r="KH57" s="117" t="s">
        <v>80</v>
      </c>
      <c r="KI57" s="117" t="s">
        <v>80</v>
      </c>
      <c r="KJ57" s="117" t="s">
        <v>80</v>
      </c>
      <c r="KL57" s="116" t="s">
        <v>279</v>
      </c>
      <c r="KM57" s="117" t="s">
        <v>80</v>
      </c>
      <c r="KN57" s="117" t="s">
        <v>80</v>
      </c>
      <c r="KO57" s="117">
        <f t="shared" ref="KO57:KQ58" si="309">KO34/KH34-1</f>
        <v>0.25499999999999989</v>
      </c>
      <c r="KP57" s="117">
        <f t="shared" si="309"/>
        <v>7.6190476190476142E-2</v>
      </c>
      <c r="KQ57" s="117">
        <f t="shared" si="309"/>
        <v>1.3560975609756096</v>
      </c>
      <c r="KS57" s="116" t="s">
        <v>279</v>
      </c>
      <c r="KT57" s="117">
        <f t="shared" ref="KT57:KX58" si="310">KT34/KM34-1</f>
        <v>1.304347826086949E-2</v>
      </c>
      <c r="KU57" s="117">
        <f t="shared" si="310"/>
        <v>-0.12355212355212353</v>
      </c>
      <c r="KV57" s="117">
        <f t="shared" si="310"/>
        <v>-0.13147410358565736</v>
      </c>
      <c r="KW57" s="117">
        <f t="shared" si="310"/>
        <v>-9.7345132743362872E-2</v>
      </c>
      <c r="KX57" s="117">
        <f t="shared" si="310"/>
        <v>-8.6956521739130488E-2</v>
      </c>
      <c r="KZ57" s="116" t="s">
        <v>279</v>
      </c>
      <c r="LA57" s="117">
        <f t="shared" ref="LA57:LD58" si="311">LA34/KT34-1</f>
        <v>-7.7253218884120178E-2</v>
      </c>
      <c r="LB57" s="117">
        <f t="shared" si="311"/>
        <v>-2.6431718061673992E-2</v>
      </c>
      <c r="LC57" s="117">
        <f t="shared" si="311"/>
        <v>-1.834862385321101E-2</v>
      </c>
      <c r="LD57" s="117">
        <f t="shared" si="311"/>
        <v>-4.9019607843137303E-2</v>
      </c>
      <c r="LE57" s="214">
        <f>LE34/KX34-1</f>
        <v>-4.3083900226757343E-2</v>
      </c>
      <c r="LF57" s="557"/>
      <c r="LG57" s="116" t="s">
        <v>279</v>
      </c>
      <c r="LH57" s="117">
        <f t="shared" ref="LH57:LK58" si="312">LH34/LA34-1</f>
        <v>-6.0465116279069808E-2</v>
      </c>
      <c r="LI57" s="117">
        <f t="shared" si="312"/>
        <v>-4.5248868778280493E-2</v>
      </c>
      <c r="LJ57" s="117">
        <f t="shared" si="312"/>
        <v>-3.2710280373831724E-2</v>
      </c>
      <c r="LK57" s="117">
        <f t="shared" si="312"/>
        <v>1.0309278350515427E-2</v>
      </c>
      <c r="LL57" s="214">
        <f>LL34/LE34-1</f>
        <v>-3.3175355450236976E-2</v>
      </c>
      <c r="LM57" s="557"/>
      <c r="LN57" s="116" t="s">
        <v>279</v>
      </c>
      <c r="LO57" s="221">
        <v>0.01</v>
      </c>
      <c r="LP57" s="221">
        <v>0.02</v>
      </c>
      <c r="LQ57" s="221">
        <v>0.02</v>
      </c>
      <c r="LR57" s="221">
        <v>0.02</v>
      </c>
      <c r="LS57" s="214">
        <f>LS34/LL34-1</f>
        <v>1.7524509803921617E-2</v>
      </c>
      <c r="LT57" s="557"/>
      <c r="LU57" s="116" t="s">
        <v>279</v>
      </c>
      <c r="LV57" s="221">
        <v>0.03</v>
      </c>
      <c r="LW57" s="221">
        <v>0.03</v>
      </c>
      <c r="LX57" s="221">
        <v>0.03</v>
      </c>
      <c r="LY57" s="221">
        <v>0.03</v>
      </c>
      <c r="LZ57" s="214">
        <f>LZ34/LS34-1</f>
        <v>3.0000000000000027E-2</v>
      </c>
      <c r="MA57" s="557"/>
      <c r="MB57" s="116" t="s">
        <v>279</v>
      </c>
      <c r="MC57" s="221">
        <v>0.03</v>
      </c>
      <c r="MD57" s="221">
        <v>0.03</v>
      </c>
      <c r="ME57" s="221">
        <v>0.03</v>
      </c>
      <c r="MF57" s="221">
        <v>0.03</v>
      </c>
      <c r="MG57" s="214">
        <f>MG34/LZ34-1</f>
        <v>3.0000000000000027E-2</v>
      </c>
      <c r="MH57" s="557"/>
    </row>
    <row r="58" spans="1:346" s="37" customFormat="1" ht="13.15" x14ac:dyDescent="0.4">
      <c r="A58" s="100"/>
      <c r="B58" s="116" t="s">
        <v>12</v>
      </c>
      <c r="C58" s="117"/>
      <c r="D58" s="117"/>
      <c r="E58" s="117"/>
      <c r="F58" s="117"/>
      <c r="G58" s="117"/>
      <c r="H58" s="117"/>
      <c r="I58" s="117"/>
      <c r="J58" s="117"/>
      <c r="K58" s="117"/>
      <c r="L58" s="117"/>
      <c r="M58" s="117"/>
      <c r="N58" s="117">
        <f>BT58</f>
        <v>9.9173553719008156E-2</v>
      </c>
      <c r="O58" s="117">
        <f>CA58</f>
        <v>2.2556390977443552E-2</v>
      </c>
      <c r="P58" s="117">
        <f>CH58</f>
        <v>0.19117647058823528</v>
      </c>
      <c r="Q58" s="117">
        <f>CO58</f>
        <v>-0.38271604938271608</v>
      </c>
      <c r="R58" s="117">
        <f>CV58</f>
        <v>8.4000000000000075E-2</v>
      </c>
      <c r="S58" s="117">
        <f>DC58</f>
        <v>3.3210332103321027E-2</v>
      </c>
      <c r="T58" s="117">
        <f>DJ58</f>
        <v>0.23214285714285721</v>
      </c>
      <c r="U58" s="117">
        <f>DQ58</f>
        <v>4.3478260869565188E-2</v>
      </c>
      <c r="V58" s="117">
        <f>DX58</f>
        <v>-9.722222222222221E-2</v>
      </c>
      <c r="W58" s="117">
        <f>EE58</f>
        <v>-0.10769230769230764</v>
      </c>
      <c r="X58" s="117">
        <f>EL58</f>
        <v>-0.28448275862068961</v>
      </c>
      <c r="Y58" s="117">
        <f>ES58</f>
        <v>-0.15662650602409633</v>
      </c>
      <c r="Z58" s="117">
        <f>EZ58</f>
        <v>0.27142857142857135</v>
      </c>
      <c r="AA58" s="117">
        <f>FG58</f>
        <v>-0.3932584269662921</v>
      </c>
      <c r="AB58" s="117">
        <f>FN58</f>
        <v>-0.35185185185185186</v>
      </c>
      <c r="AC58" s="117">
        <f>FU58</f>
        <v>1.4</v>
      </c>
      <c r="AD58" s="117">
        <f>GB58</f>
        <v>0.23809523809523814</v>
      </c>
      <c r="AE58" s="117">
        <f>GI58</f>
        <v>0.74038461538461542</v>
      </c>
      <c r="AF58" s="117">
        <f>GP58</f>
        <v>0.33701657458563528</v>
      </c>
      <c r="AG58" s="117">
        <f>GW58</f>
        <v>5.3719008264462742E-2</v>
      </c>
      <c r="AH58" s="117">
        <f>HD58</f>
        <v>-7.8431372549019662E-2</v>
      </c>
      <c r="AI58" s="117">
        <f>HK58</f>
        <v>0.22553191489361701</v>
      </c>
      <c r="AJ58" s="117">
        <f>HR58</f>
        <v>3.4722222222222321E-2</v>
      </c>
      <c r="AK58" s="117">
        <f>HY58</f>
        <v>6.0402684563758413E-2</v>
      </c>
      <c r="AL58" s="117">
        <f>IF58</f>
        <v>0.35759493670886067</v>
      </c>
      <c r="AM58" s="117">
        <f>IM58</f>
        <v>-1.631701631701632E-2</v>
      </c>
      <c r="AN58" s="117">
        <f>IT58</f>
        <v>0.13270142180094791</v>
      </c>
      <c r="AO58" s="117">
        <f>JA58</f>
        <v>-0.23012552301255229</v>
      </c>
      <c r="AP58" s="117">
        <f>JH58</f>
        <v>0.17934782608695654</v>
      </c>
      <c r="AQ58" s="117">
        <f>JO58</f>
        <v>0.3410138248847927</v>
      </c>
      <c r="AR58" s="117">
        <f>JV58</f>
        <v>-0.10996563573883167</v>
      </c>
      <c r="AS58" s="117">
        <f>KC58</f>
        <v>-0.21235521235521237</v>
      </c>
      <c r="AT58" s="117">
        <f>KJ58</f>
        <v>0.82352941176470584</v>
      </c>
      <c r="AU58" s="117">
        <f>KQ58</f>
        <v>0.22043010752688175</v>
      </c>
      <c r="AV58" s="117">
        <f>KX58</f>
        <v>-0.36343612334801767</v>
      </c>
      <c r="AW58" s="117">
        <f>LE58</f>
        <v>-0.13667820069204151</v>
      </c>
      <c r="AX58" s="117">
        <f>LL58</f>
        <v>6.2124248496993939E-2</v>
      </c>
      <c r="AY58" s="117">
        <f>LS58</f>
        <v>4.3094339622641309E-2</v>
      </c>
      <c r="AZ58" s="117">
        <f>LZ58</f>
        <v>2.0000000000000018E-2</v>
      </c>
      <c r="BA58" s="117">
        <f>MG58</f>
        <v>2.0000000000000018E-2</v>
      </c>
      <c r="BB58" s="117"/>
      <c r="BC58" s="117"/>
      <c r="BD58" s="117"/>
      <c r="BE58" s="117"/>
      <c r="BF58" s="117"/>
      <c r="BG58" s="117"/>
      <c r="BH58" s="117"/>
      <c r="BI58" s="117"/>
      <c r="BJ58" s="117"/>
      <c r="BK58" s="117"/>
      <c r="BL58" s="117"/>
      <c r="BM58" s="117"/>
      <c r="BO58" s="116" t="s">
        <v>12</v>
      </c>
      <c r="BP58" s="117">
        <f>BP35/I35-1</f>
        <v>-0.85227272727272729</v>
      </c>
      <c r="BQ58" s="117">
        <f>BQ35/J35-1</f>
        <v>-0.75657894736842102</v>
      </c>
      <c r="BR58" s="117">
        <f>BR35/K35-1</f>
        <v>-0.73825503355704702</v>
      </c>
      <c r="BS58" s="117">
        <f>BS35/L35-1</f>
        <v>-0.77037037037037037</v>
      </c>
      <c r="BT58" s="117">
        <f>BT35/M35-1</f>
        <v>9.9173553719008156E-2</v>
      </c>
      <c r="BV58" s="116" t="s">
        <v>12</v>
      </c>
      <c r="BW58" s="117">
        <f>BW35/BP35-1</f>
        <v>0.19230769230769229</v>
      </c>
      <c r="BX58" s="117">
        <f>BX35/BQ35-1</f>
        <v>-5.4054054054054057E-2</v>
      </c>
      <c r="BY58" s="117">
        <f>BY35/BR35-1</f>
        <v>-0.15384615384615385</v>
      </c>
      <c r="BZ58" s="117">
        <f>BZ35/BS35-1</f>
        <v>0.19354838709677424</v>
      </c>
      <c r="CA58" s="117">
        <f>CA35/BT35-1</f>
        <v>2.2556390977443552E-2</v>
      </c>
      <c r="CC58" s="116" t="s">
        <v>12</v>
      </c>
      <c r="CD58" s="117">
        <f>CD35/BW35-1</f>
        <v>9.6774193548387011E-2</v>
      </c>
      <c r="CE58" s="117">
        <f>CE35/BX35-1</f>
        <v>0.14285714285714279</v>
      </c>
      <c r="CF58" s="117">
        <f>CF35/BY35-1</f>
        <v>0.39393939393939403</v>
      </c>
      <c r="CG58" s="117">
        <f>CG35/BZ35-1</f>
        <v>0.13513513513513509</v>
      </c>
      <c r="CH58" s="117">
        <f>CH35/CA35-1</f>
        <v>0.19117647058823528</v>
      </c>
      <c r="CJ58" s="116" t="s">
        <v>12</v>
      </c>
      <c r="CK58" s="117">
        <f>CK35/CD35-1</f>
        <v>-0.26470588235294112</v>
      </c>
      <c r="CL58" s="117">
        <f>CL35/CE35-1</f>
        <v>-0.375</v>
      </c>
      <c r="CM58" s="117">
        <f>CM35/CF35-1</f>
        <v>-0.43478260869565222</v>
      </c>
      <c r="CN58" s="117">
        <f>CN35/CG35-1</f>
        <v>-0.4285714285714286</v>
      </c>
      <c r="CO58" s="117">
        <f>CO35/CH35-1</f>
        <v>-0.38271604938271608</v>
      </c>
      <c r="CQ58" s="116" t="s">
        <v>12</v>
      </c>
      <c r="CR58" s="117">
        <f>CR35/CK35-1</f>
        <v>4.0000000000000036E-2</v>
      </c>
      <c r="CS58" s="117">
        <f>CS35/CL35-1</f>
        <v>0.12000000000000011</v>
      </c>
      <c r="CT58" s="117">
        <f>CT35/CM35-1</f>
        <v>0.13076923076923075</v>
      </c>
      <c r="CU58" s="117">
        <f>CU35/CN35-1</f>
        <v>4.1666666666666741E-2</v>
      </c>
      <c r="CV58" s="117">
        <f>CV35/CO35-1</f>
        <v>8.4000000000000075E-2</v>
      </c>
      <c r="CX58" s="116" t="s">
        <v>12</v>
      </c>
      <c r="CY58" s="117">
        <f>CY35/CR35-1</f>
        <v>-0.11538461538461542</v>
      </c>
      <c r="CZ58" s="117">
        <f>CZ35/CS35-1</f>
        <v>-7.1428571428571397E-2</v>
      </c>
      <c r="DA58" s="117">
        <f>DA35/CT35-1</f>
        <v>2.0408163265306145E-2</v>
      </c>
      <c r="DB58" s="117">
        <f>DB35/CU35-1</f>
        <v>0.32000000000000006</v>
      </c>
      <c r="DC58" s="117">
        <f>DC35/CV35-1</f>
        <v>3.3210332103321027E-2</v>
      </c>
      <c r="DE58" s="116" t="s">
        <v>12</v>
      </c>
      <c r="DF58" s="117">
        <f>DF35/CY35-1</f>
        <v>0.26086956521739135</v>
      </c>
      <c r="DG58" s="117">
        <f>DG35/CZ35-1</f>
        <v>0.34615384615384626</v>
      </c>
      <c r="DH58" s="117">
        <f>DH35/DA35-1</f>
        <v>0.19999999999999996</v>
      </c>
      <c r="DI58" s="117">
        <f>DI35/DB35-1</f>
        <v>0.1515151515151516</v>
      </c>
      <c r="DJ58" s="117">
        <f>DJ35/DC35-1</f>
        <v>0.23214285714285721</v>
      </c>
      <c r="DL58" s="116" t="s">
        <v>12</v>
      </c>
      <c r="DM58" s="117">
        <f>DM35/DF35-1</f>
        <v>0.24137931034482762</v>
      </c>
      <c r="DN58" s="117">
        <f>DN35/DG35-1</f>
        <v>8.5714285714285632E-2</v>
      </c>
      <c r="DO58" s="117">
        <f>DO35/DH35-1</f>
        <v>-2.777777777777779E-2</v>
      </c>
      <c r="DP58" s="117">
        <f>DP35/DI35-1</f>
        <v>-7.8947368421052655E-2</v>
      </c>
      <c r="DQ58" s="117">
        <f>DQ35/DJ35-1</f>
        <v>4.3478260869565188E-2</v>
      </c>
      <c r="DS58" s="116" t="s">
        <v>12</v>
      </c>
      <c r="DT58" s="117">
        <f>DT35/DM35-1</f>
        <v>-0.11111111111111116</v>
      </c>
      <c r="DU58" s="117">
        <f>DU35/DN35-1</f>
        <v>-0.21052631578947367</v>
      </c>
      <c r="DV58" s="117">
        <f>DV35/DO35-1</f>
        <v>-0.11428571428571432</v>
      </c>
      <c r="DW58" s="117">
        <f>DW35/DP35-1</f>
        <v>5.7142857142857162E-2</v>
      </c>
      <c r="DX58" s="117">
        <f>DX35/DQ35-1</f>
        <v>-9.722222222222221E-2</v>
      </c>
      <c r="DZ58" s="116" t="s">
        <v>12</v>
      </c>
      <c r="EA58" s="117">
        <f>EA35/DT35-1</f>
        <v>0.8125</v>
      </c>
      <c r="EB58" s="117">
        <f>EB35/DU35-1</f>
        <v>0.26666666666666661</v>
      </c>
      <c r="EC58" s="117">
        <f>EC35/DV35-1</f>
        <v>-0.70967741935483875</v>
      </c>
      <c r="ED58" s="117">
        <f>ED35/DW35-1</f>
        <v>-0.70270270270270263</v>
      </c>
      <c r="EE58" s="117">
        <f>EE35/DX35-1</f>
        <v>-0.10769230769230764</v>
      </c>
      <c r="EG58" s="116" t="s">
        <v>12</v>
      </c>
      <c r="EH58" s="117">
        <f>EH35/EA35-1</f>
        <v>-0.34482758620689657</v>
      </c>
      <c r="EI58" s="117">
        <f>EI35/EB35-1</f>
        <v>-0.71052631578947367</v>
      </c>
      <c r="EJ58" s="117">
        <f>EJ35/EC35-1</f>
        <v>0.88888888888888884</v>
      </c>
      <c r="EK58" s="117">
        <f>EK35/ED35-1</f>
        <v>0.54545454545454541</v>
      </c>
      <c r="EL58" s="117">
        <f>EL35/EE35-1</f>
        <v>-0.28448275862068961</v>
      </c>
      <c r="EN58" s="116" t="s">
        <v>12</v>
      </c>
      <c r="EO58" s="117">
        <f>EO35/EH35-1</f>
        <v>-0.76315789473684215</v>
      </c>
      <c r="EP58" s="117">
        <f>EP35/EI35-1</f>
        <v>0.36363636363636354</v>
      </c>
      <c r="EQ58" s="117">
        <f>EQ35/EJ35-1</f>
        <v>5.8823529411764719E-2</v>
      </c>
      <c r="ER58" s="117">
        <f>ER35/EK35-1</f>
        <v>0.64705882352941169</v>
      </c>
      <c r="ES58" s="117">
        <f>ES35/EL35-1</f>
        <v>-0.15662650602409633</v>
      </c>
      <c r="EU58" s="116" t="s">
        <v>12</v>
      </c>
      <c r="EV58" s="117">
        <f>EV35/EO35-1</f>
        <v>1</v>
      </c>
      <c r="EW58" s="117">
        <f>EW35/EP35-1</f>
        <v>0.73333333333333339</v>
      </c>
      <c r="EX58" s="117">
        <f>EX35/EQ35-1</f>
        <v>0.33333333333333326</v>
      </c>
      <c r="EY58" s="117">
        <f>EY35/ER35-1</f>
        <v>-0.25</v>
      </c>
      <c r="EZ58" s="117">
        <f>EZ35/ES35-1</f>
        <v>0.27142857142857135</v>
      </c>
      <c r="FB58" s="116" t="s">
        <v>12</v>
      </c>
      <c r="FC58" s="117">
        <f>FC35/EV35-1</f>
        <v>0.16666666666666674</v>
      </c>
      <c r="FD58" s="117">
        <f>FD35/EW35-1</f>
        <v>-0.38461538461538458</v>
      </c>
      <c r="FE58" s="117">
        <f>FE35/EX35-1</f>
        <v>-0.75</v>
      </c>
      <c r="FF58" s="117">
        <f>FF35/EY35-1</f>
        <v>-0.47619047619047616</v>
      </c>
      <c r="FG58" s="117">
        <f>FG35/EZ35-1</f>
        <v>-0.3932584269662921</v>
      </c>
      <c r="FI58" s="116" t="s">
        <v>12</v>
      </c>
      <c r="FJ58" s="117">
        <f>FJ35/FC35-1</f>
        <v>-0.1428571428571429</v>
      </c>
      <c r="FK58" s="117">
        <f>FK35/FD35-1</f>
        <v>-0.625</v>
      </c>
      <c r="FL58" s="117">
        <f>FL35/FE35-1</f>
        <v>-0.66666666666666674</v>
      </c>
      <c r="FM58" s="117">
        <f>FM35/FF35-1</f>
        <v>-0.18181818181818177</v>
      </c>
      <c r="FN58" s="117">
        <f>FN35/FG35-1</f>
        <v>-0.35185185185185186</v>
      </c>
      <c r="FP58" s="116" t="s">
        <v>12</v>
      </c>
      <c r="FQ58" s="117">
        <f>FQ35/FJ35-1</f>
        <v>0.27777777777777768</v>
      </c>
      <c r="FR58" s="117">
        <f>FR35/FK35-1</f>
        <v>2.1666666666666665</v>
      </c>
      <c r="FS58" s="117">
        <f>FS35/FL35-1</f>
        <v>10</v>
      </c>
      <c r="FT58" s="117">
        <f>FT35/FM35-1</f>
        <v>1.2222222222222223</v>
      </c>
      <c r="FU58" s="117">
        <f>FU35/FN35-1</f>
        <v>1.4</v>
      </c>
      <c r="FW58" s="116" t="s">
        <v>12</v>
      </c>
      <c r="FX58" s="117">
        <f>FX35/FQ35-1</f>
        <v>0.17391304347826098</v>
      </c>
      <c r="FY58" s="117">
        <f>FY35/FR35-1</f>
        <v>0.21052631578947367</v>
      </c>
      <c r="FZ58" s="117">
        <f>FZ35/FS35-1</f>
        <v>0.22727272727272729</v>
      </c>
      <c r="GA58" s="117">
        <f>GA35/FT35-1</f>
        <v>0.35000000000000009</v>
      </c>
      <c r="GB58" s="117">
        <f>GB35/FU35-1</f>
        <v>0.23809523809523814</v>
      </c>
      <c r="GD58" s="116" t="s">
        <v>12</v>
      </c>
      <c r="GE58" s="117">
        <f>GE35/FX35-1</f>
        <v>0.40740740740740744</v>
      </c>
      <c r="GF58" s="117">
        <f>GF35/FY35-1</f>
        <v>0.82608695652173902</v>
      </c>
      <c r="GG58" s="117">
        <f>GG35/FZ35-1</f>
        <v>0.81481481481481488</v>
      </c>
      <c r="GH58" s="117">
        <f>GH35/GA35-1</f>
        <v>0.92592592592592582</v>
      </c>
      <c r="GI58" s="117">
        <f>GI35/GB35-1</f>
        <v>0.74038461538461542</v>
      </c>
      <c r="GK58" s="116" t="s">
        <v>12</v>
      </c>
      <c r="GL58" s="117">
        <f>GL35/GE35-1</f>
        <v>0.55263157894736836</v>
      </c>
      <c r="GM58" s="117">
        <f>GM35/GF35-1</f>
        <v>0.38095238095238093</v>
      </c>
      <c r="GN58" s="117">
        <f>GN35/GG35-1</f>
        <v>0.20408163265306123</v>
      </c>
      <c r="GO58" s="117">
        <f>GO35/GH35-1</f>
        <v>0.26923076923076916</v>
      </c>
      <c r="GP58" s="117">
        <f>GP35/GI35-1</f>
        <v>0.33701657458563528</v>
      </c>
      <c r="GR58" s="116" t="s">
        <v>12</v>
      </c>
      <c r="GS58" s="117">
        <f>GS35/GL35-1</f>
        <v>0</v>
      </c>
      <c r="GT58" s="117">
        <f>GT35/GM35-1</f>
        <v>5.1724137931034475E-2</v>
      </c>
      <c r="GU58" s="117">
        <f>GU35/GN35-1</f>
        <v>1.6949152542372836E-2</v>
      </c>
      <c r="GV58" s="117">
        <f>GV35/GO35-1</f>
        <v>0.13636363636363646</v>
      </c>
      <c r="GW58" s="117">
        <f>GW35/GP35-1</f>
        <v>5.3719008264462742E-2</v>
      </c>
      <c r="GY58" s="116" t="s">
        <v>12</v>
      </c>
      <c r="GZ58" s="117">
        <f>GZ35/GS35-1</f>
        <v>6.7796610169491567E-2</v>
      </c>
      <c r="HA58" s="117">
        <f>HA35/GT35-1</f>
        <v>-4.9180327868852514E-2</v>
      </c>
      <c r="HB58" s="117">
        <f>HB35/GU35-1</f>
        <v>5.0000000000000044E-2</v>
      </c>
      <c r="HC58" s="117">
        <f>HC35/GV35-1</f>
        <v>-0.31999999999999995</v>
      </c>
      <c r="HD58" s="117">
        <f>HD35/GW35-1</f>
        <v>-7.8431372549019662E-2</v>
      </c>
      <c r="HF58" s="116" t="s">
        <v>12</v>
      </c>
      <c r="HG58" s="117">
        <f>HG35/GZ35-1</f>
        <v>1.5873015873015817E-2</v>
      </c>
      <c r="HH58" s="117">
        <f>HH35/HA35-1</f>
        <v>0.17241379310344818</v>
      </c>
      <c r="HI58" s="117">
        <f>HI35/HB35-1</f>
        <v>0.3492063492063493</v>
      </c>
      <c r="HJ58" s="117">
        <f>HJ35/HC35-1</f>
        <v>0.39215686274509798</v>
      </c>
      <c r="HK58" s="117">
        <f>HK35/HD35-1</f>
        <v>0.22553191489361701</v>
      </c>
      <c r="HM58" s="116" t="s">
        <v>12</v>
      </c>
      <c r="HN58" s="117">
        <f>HN35/HG35-1</f>
        <v>0.21875</v>
      </c>
      <c r="HO58" s="117">
        <f>HO35/HH35-1</f>
        <v>0.17647058823529416</v>
      </c>
      <c r="HP58" s="117">
        <f>HP35/HI35-1</f>
        <v>-8.2352941176470629E-2</v>
      </c>
      <c r="HQ58" s="117">
        <f>HQ35/HJ35-1</f>
        <v>-0.12676056338028174</v>
      </c>
      <c r="HR58" s="117">
        <f>HR35/HK35-1</f>
        <v>3.4722222222222321E-2</v>
      </c>
      <c r="HT58" s="116" t="s">
        <v>12</v>
      </c>
      <c r="HU58" s="117">
        <f>HU35/HN35-1</f>
        <v>-0.10256410256410253</v>
      </c>
      <c r="HV58" s="117">
        <f>HV35/HO35-1</f>
        <v>-8.7500000000000022E-2</v>
      </c>
      <c r="HW58" s="117">
        <f>HW35/HP35-1</f>
        <v>0.21794871794871784</v>
      </c>
      <c r="HX58" s="117">
        <f>HX35/HQ35-1</f>
        <v>0.25806451612903225</v>
      </c>
      <c r="HY58" s="117">
        <f>HY35/HR35-1</f>
        <v>6.0402684563758413E-2</v>
      </c>
      <c r="IA58" s="116" t="s">
        <v>12</v>
      </c>
      <c r="IB58" s="117">
        <f>IB35/HU35-1</f>
        <v>0.58571428571428563</v>
      </c>
      <c r="IC58" s="117">
        <f>IC35/HV35-1</f>
        <v>0.26027397260273966</v>
      </c>
      <c r="ID58" s="117">
        <f>ID35/HW35-1</f>
        <v>0.35789473684210527</v>
      </c>
      <c r="IE58" s="117">
        <f>IE35/HX35-1</f>
        <v>0.24358974358974361</v>
      </c>
      <c r="IF58" s="117">
        <f>IF35/HY35-1</f>
        <v>0.35759493670886067</v>
      </c>
      <c r="IH58" s="116" t="s">
        <v>12</v>
      </c>
      <c r="II58" s="117">
        <f>II35/IB35-1</f>
        <v>0.27927927927927931</v>
      </c>
      <c r="IJ58" s="117">
        <f>IJ35/IC35-1</f>
        <v>-0.13043478260869568</v>
      </c>
      <c r="IK58" s="117">
        <f>IK35/ID35-1</f>
        <v>-8.5271317829457405E-2</v>
      </c>
      <c r="IL58" s="117">
        <f>IL35/IE35-1</f>
        <v>-0.15463917525773196</v>
      </c>
      <c r="IM58" s="117">
        <f>IM35/IF35-1</f>
        <v>-1.631701631701632E-2</v>
      </c>
      <c r="IO58" s="116" t="s">
        <v>12</v>
      </c>
      <c r="IP58" s="117">
        <f>IP35/II35-1</f>
        <v>0.1619718309859155</v>
      </c>
      <c r="IQ58" s="117">
        <f>IQ35/IJ35-1</f>
        <v>0.57499999999999996</v>
      </c>
      <c r="IR58" s="117">
        <f>IR35/IK35-1</f>
        <v>-0.27118644067796616</v>
      </c>
      <c r="IS58" s="117">
        <f>IS35/IL35-1</f>
        <v>0.23170731707317072</v>
      </c>
      <c r="IT58" s="117">
        <f>IT35/IM35-1</f>
        <v>0.13270142180094791</v>
      </c>
      <c r="IV58" s="116" t="s">
        <v>12</v>
      </c>
      <c r="IW58" s="117">
        <f>IW35/IP35-1</f>
        <v>-0.51515151515151514</v>
      </c>
      <c r="IX58" s="117">
        <f>IX35/IQ35-1</f>
        <v>-0.23015873015873012</v>
      </c>
      <c r="IY58" s="117">
        <f>IY35/IR35-1</f>
        <v>-0.10465116279069764</v>
      </c>
      <c r="IZ58" s="117">
        <f>IZ35/IS35-1</f>
        <v>0.12871287128712861</v>
      </c>
      <c r="JA58" s="117">
        <f>JA35/IT35-1</f>
        <v>-0.23012552301255229</v>
      </c>
      <c r="JC58" s="116" t="s">
        <v>12</v>
      </c>
      <c r="JD58" s="117">
        <f>JD35/IW35-1</f>
        <v>-7.4999999999999956E-2</v>
      </c>
      <c r="JE58" s="117">
        <f>JE35/IX35-1</f>
        <v>0.61855670103092786</v>
      </c>
      <c r="JF58" s="117">
        <f>JF35/IY35-1</f>
        <v>0.23376623376623384</v>
      </c>
      <c r="JG58" s="117">
        <f>JG35/IZ35-1</f>
        <v>-5.2631578947368474E-2</v>
      </c>
      <c r="JH58" s="117">
        <f>JH35/JA35-1</f>
        <v>0.17934782608695654</v>
      </c>
      <c r="JJ58" s="116" t="s">
        <v>12</v>
      </c>
      <c r="JK58" s="117">
        <f>JK35/JD35-1</f>
        <v>0.95945945945945943</v>
      </c>
      <c r="JL58" s="117">
        <f>JL35/JE35-1</f>
        <v>-0.13375796178343946</v>
      </c>
      <c r="JM58" s="117">
        <f>JM35/JF35-1</f>
        <v>0.58947368421052637</v>
      </c>
      <c r="JN58" s="117">
        <f>JN35/JG35-1</f>
        <v>0.38888888888888884</v>
      </c>
      <c r="JO58" s="117">
        <f>JO35/JH35-1</f>
        <v>0.3410138248847927</v>
      </c>
      <c r="JQ58" s="116" t="s">
        <v>12</v>
      </c>
      <c r="JR58" s="117">
        <f>JR35/JK35-1</f>
        <v>0.15862068965517251</v>
      </c>
      <c r="JS58" s="117">
        <f>JS35/JL35-1</f>
        <v>-8.8235294117647078E-2</v>
      </c>
      <c r="JT58" s="117">
        <f>JT35/JM35-1</f>
        <v>-0.27814569536423839</v>
      </c>
      <c r="JU58" s="117">
        <f>JU35/JN35-1</f>
        <v>-0.21999999999999997</v>
      </c>
      <c r="JV58" s="117">
        <f>JV35/JO35-1</f>
        <v>-0.10996563573883167</v>
      </c>
      <c r="JX58" s="116" t="s">
        <v>12</v>
      </c>
      <c r="JY58" s="117">
        <f>JY35/JR35-1</f>
        <v>-0.39880952380952384</v>
      </c>
      <c r="JZ58" s="117">
        <f>JZ35/JS35-1</f>
        <v>-0.18548387096774188</v>
      </c>
      <c r="KA58" s="117">
        <f>KA35/JT35-1</f>
        <v>-0.11926605504587151</v>
      </c>
      <c r="KB58" s="117">
        <f>KB35/JU35-1</f>
        <v>-5.9829059829059839E-2</v>
      </c>
      <c r="KC58" s="117">
        <f>KC35/JV35-1</f>
        <v>-0.21235521235521237</v>
      </c>
      <c r="KE58" s="116" t="s">
        <v>12</v>
      </c>
      <c r="KF58" s="117">
        <f>KF35/JY35-1</f>
        <v>0.41584158415841577</v>
      </c>
      <c r="KG58" s="117">
        <f>KG35/JZ35-1</f>
        <v>0.51485148514851486</v>
      </c>
      <c r="KH58" s="117">
        <f>KH35/KA35-1</f>
        <v>1.5208333333333335</v>
      </c>
      <c r="KI58" s="117">
        <f>KI35/KB35-1</f>
        <v>0.8727272727272728</v>
      </c>
      <c r="KJ58" s="117">
        <f>KJ35/KC35-1</f>
        <v>0.82352941176470584</v>
      </c>
      <c r="KL58" s="116" t="s">
        <v>12</v>
      </c>
      <c r="KM58" s="117">
        <f>KM35/KF35-1</f>
        <v>0.41258741258741249</v>
      </c>
      <c r="KN58" s="117">
        <f>KN35/KG35-1</f>
        <v>0.3202614379084967</v>
      </c>
      <c r="KO58" s="117">
        <f t="shared" si="309"/>
        <v>0.12809917355371891</v>
      </c>
      <c r="KP58" s="117">
        <f t="shared" si="309"/>
        <v>0.12135922330097082</v>
      </c>
      <c r="KQ58" s="117">
        <f t="shared" si="309"/>
        <v>0.22043010752688175</v>
      </c>
      <c r="KS58" s="116" t="s">
        <v>12</v>
      </c>
      <c r="KT58" s="117">
        <f t="shared" si="310"/>
        <v>-0.11881188118811881</v>
      </c>
      <c r="KU58" s="117">
        <f t="shared" si="310"/>
        <v>-0.2722772277227723</v>
      </c>
      <c r="KV58" s="117">
        <f t="shared" si="310"/>
        <v>-0.52014652014652007</v>
      </c>
      <c r="KW58" s="117">
        <f t="shared" si="310"/>
        <v>-0.47186147186147187</v>
      </c>
      <c r="KX58" s="117">
        <f t="shared" si="310"/>
        <v>-0.36343612334801767</v>
      </c>
      <c r="KZ58" s="116" t="s">
        <v>12</v>
      </c>
      <c r="LA58" s="117">
        <f t="shared" si="311"/>
        <v>-0.1966292134831461</v>
      </c>
      <c r="LB58" s="117">
        <f t="shared" si="311"/>
        <v>-0.21768707482993199</v>
      </c>
      <c r="LC58" s="117">
        <f t="shared" si="311"/>
        <v>-0.14503816793893132</v>
      </c>
      <c r="LD58" s="117">
        <f t="shared" si="311"/>
        <v>5.7377049180327822E-2</v>
      </c>
      <c r="LE58" s="214">
        <f>LE35/KX35-1</f>
        <v>-0.13667820069204151</v>
      </c>
      <c r="LF58" s="557"/>
      <c r="LG58" s="116" t="s">
        <v>12</v>
      </c>
      <c r="LH58" s="117">
        <f t="shared" si="312"/>
        <v>-0.19580419580419584</v>
      </c>
      <c r="LI58" s="117">
        <f t="shared" si="312"/>
        <v>0.19999999999999996</v>
      </c>
      <c r="LJ58" s="117">
        <f t="shared" si="312"/>
        <v>0.3839285714285714</v>
      </c>
      <c r="LK58" s="117">
        <f t="shared" si="312"/>
        <v>-5.4263565891472854E-2</v>
      </c>
      <c r="LL58" s="214">
        <f>LL35/LE35-1</f>
        <v>6.2124248496993939E-2</v>
      </c>
      <c r="LM58" s="557"/>
      <c r="LN58" s="116" t="s">
        <v>12</v>
      </c>
      <c r="LO58" s="221">
        <v>0.05</v>
      </c>
      <c r="LP58" s="221">
        <v>0.05</v>
      </c>
      <c r="LQ58" s="221">
        <v>0.05</v>
      </c>
      <c r="LR58" s="221">
        <v>0.02</v>
      </c>
      <c r="LS58" s="214">
        <f>LS35/LL35-1</f>
        <v>4.3094339622641309E-2</v>
      </c>
      <c r="LT58" s="557"/>
      <c r="LU58" s="116" t="s">
        <v>12</v>
      </c>
      <c r="LV58" s="221">
        <v>0.02</v>
      </c>
      <c r="LW58" s="221">
        <v>0.02</v>
      </c>
      <c r="LX58" s="221">
        <v>0.02</v>
      </c>
      <c r="LY58" s="221">
        <v>0.02</v>
      </c>
      <c r="LZ58" s="214">
        <f>LZ35/LS35-1</f>
        <v>2.0000000000000018E-2</v>
      </c>
      <c r="MA58" s="557"/>
      <c r="MB58" s="116" t="s">
        <v>12</v>
      </c>
      <c r="MC58" s="221">
        <v>0.02</v>
      </c>
      <c r="MD58" s="221">
        <v>0.02</v>
      </c>
      <c r="ME58" s="221">
        <v>0.02</v>
      </c>
      <c r="MF58" s="221">
        <v>0.02</v>
      </c>
      <c r="MG58" s="214">
        <f>MG35/LZ35-1</f>
        <v>2.0000000000000018E-2</v>
      </c>
      <c r="MH58" s="557"/>
    </row>
    <row r="59" spans="1:346" s="37" customFormat="1" ht="13.15" x14ac:dyDescent="0.4">
      <c r="A59" s="100"/>
      <c r="B59" s="118"/>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O59" s="118"/>
      <c r="BP59" s="119"/>
      <c r="BQ59" s="119"/>
      <c r="BR59" s="119"/>
      <c r="BS59" s="119"/>
      <c r="BT59" s="119"/>
      <c r="BV59" s="118"/>
      <c r="BW59" s="119"/>
      <c r="BX59" s="119"/>
      <c r="BY59" s="119"/>
      <c r="BZ59" s="119"/>
      <c r="CA59" s="119"/>
      <c r="CC59" s="118"/>
      <c r="CD59" s="119"/>
      <c r="CE59" s="119"/>
      <c r="CF59" s="119"/>
      <c r="CG59" s="119"/>
      <c r="CH59" s="119"/>
      <c r="CJ59" s="118"/>
      <c r="CK59" s="119"/>
      <c r="CL59" s="119"/>
      <c r="CM59" s="119"/>
      <c r="CN59" s="119"/>
      <c r="CO59" s="119"/>
      <c r="CQ59" s="118"/>
      <c r="CR59" s="119"/>
      <c r="CS59" s="119"/>
      <c r="CT59" s="119"/>
      <c r="CU59" s="119"/>
      <c r="CV59" s="119"/>
      <c r="CX59" s="118"/>
      <c r="CY59" s="119"/>
      <c r="CZ59" s="119"/>
      <c r="DA59" s="119"/>
      <c r="DB59" s="119"/>
      <c r="DC59" s="119"/>
      <c r="DE59" s="118"/>
      <c r="DF59" s="119"/>
      <c r="DG59" s="119"/>
      <c r="DH59" s="119"/>
      <c r="DI59" s="119"/>
      <c r="DJ59" s="119"/>
      <c r="DL59" s="118"/>
      <c r="DM59" s="119"/>
      <c r="DN59" s="119"/>
      <c r="DO59" s="119"/>
      <c r="DP59" s="119"/>
      <c r="DQ59" s="119"/>
      <c r="DS59" s="118"/>
      <c r="DT59" s="119"/>
      <c r="DU59" s="119"/>
      <c r="DV59" s="119"/>
      <c r="DW59" s="119"/>
      <c r="DX59" s="119"/>
      <c r="DZ59" s="118"/>
      <c r="EA59" s="119"/>
      <c r="EB59" s="119"/>
      <c r="EC59" s="119"/>
      <c r="ED59" s="119"/>
      <c r="EE59" s="119"/>
      <c r="EG59" s="118"/>
      <c r="EH59" s="119"/>
      <c r="EI59" s="119"/>
      <c r="EJ59" s="119"/>
      <c r="EK59" s="119"/>
      <c r="EL59" s="119"/>
      <c r="EN59" s="118"/>
      <c r="EO59" s="119"/>
      <c r="EP59" s="119"/>
      <c r="EQ59" s="119"/>
      <c r="ER59" s="119"/>
      <c r="ES59" s="119"/>
      <c r="EU59" s="118"/>
      <c r="EV59" s="119"/>
      <c r="EW59" s="119"/>
      <c r="EX59" s="119"/>
      <c r="EY59" s="119"/>
      <c r="EZ59" s="119"/>
      <c r="FB59" s="118"/>
      <c r="FC59" s="119"/>
      <c r="FD59" s="119"/>
      <c r="FE59" s="119"/>
      <c r="FF59" s="119"/>
      <c r="FG59" s="119"/>
      <c r="FI59" s="118"/>
      <c r="FJ59" s="119"/>
      <c r="FK59" s="119"/>
      <c r="FL59" s="119"/>
      <c r="FM59" s="119"/>
      <c r="FN59" s="119"/>
      <c r="FP59" s="118"/>
      <c r="FQ59" s="119"/>
      <c r="FR59" s="119"/>
      <c r="FS59" s="119"/>
      <c r="FT59" s="119"/>
      <c r="FU59" s="119"/>
      <c r="FW59" s="118"/>
      <c r="FX59" s="119"/>
      <c r="FY59" s="119"/>
      <c r="FZ59" s="119"/>
      <c r="GA59" s="119"/>
      <c r="GB59" s="119"/>
      <c r="GD59" s="118"/>
      <c r="GE59" s="119"/>
      <c r="GF59" s="119"/>
      <c r="GG59" s="119"/>
      <c r="GH59" s="119"/>
      <c r="GI59" s="119"/>
      <c r="GK59" s="118"/>
      <c r="GL59" s="119"/>
      <c r="GM59" s="119"/>
      <c r="GN59" s="119"/>
      <c r="GO59" s="119"/>
      <c r="GP59" s="119"/>
      <c r="GR59" s="118"/>
      <c r="GS59" s="119"/>
      <c r="GT59" s="119"/>
      <c r="GU59" s="119"/>
      <c r="GV59" s="119"/>
      <c r="GW59" s="119"/>
      <c r="GY59" s="118"/>
      <c r="GZ59" s="119"/>
      <c r="HA59" s="119"/>
      <c r="HB59" s="119"/>
      <c r="HC59" s="119"/>
      <c r="HD59" s="119"/>
      <c r="HF59" s="118"/>
      <c r="HG59" s="119"/>
      <c r="HH59" s="119"/>
      <c r="HI59" s="119"/>
      <c r="HJ59" s="119"/>
      <c r="HK59" s="119"/>
      <c r="HM59" s="118"/>
      <c r="HN59" s="119"/>
      <c r="HO59" s="119"/>
      <c r="HP59" s="119"/>
      <c r="HQ59" s="119"/>
      <c r="HR59" s="119"/>
      <c r="HT59" s="118"/>
      <c r="HU59" s="119"/>
      <c r="HV59" s="119"/>
      <c r="HW59" s="119"/>
      <c r="HX59" s="119"/>
      <c r="HY59" s="119"/>
      <c r="IA59" s="118"/>
      <c r="IB59" s="119"/>
      <c r="IC59" s="119"/>
      <c r="ID59" s="119"/>
      <c r="IE59" s="119"/>
      <c r="IF59" s="119"/>
      <c r="IH59" s="118"/>
      <c r="II59" s="119"/>
      <c r="IJ59" s="119"/>
      <c r="IK59" s="119"/>
      <c r="IL59" s="119"/>
      <c r="IM59" s="119"/>
      <c r="IO59" s="118"/>
      <c r="IP59" s="119"/>
      <c r="IQ59" s="119"/>
      <c r="IR59" s="119"/>
      <c r="IS59" s="119"/>
      <c r="IT59" s="119"/>
      <c r="IV59" s="118"/>
      <c r="IW59" s="119"/>
      <c r="IX59" s="119"/>
      <c r="IY59" s="119"/>
      <c r="IZ59" s="119"/>
      <c r="JA59" s="119"/>
      <c r="JC59" s="118"/>
      <c r="JD59" s="119"/>
      <c r="JE59" s="119"/>
      <c r="JF59" s="119"/>
      <c r="JG59" s="119"/>
      <c r="JH59" s="119"/>
      <c r="JJ59" s="118"/>
      <c r="JK59" s="119"/>
      <c r="JL59" s="119"/>
      <c r="JM59" s="119"/>
      <c r="JN59" s="119"/>
      <c r="JO59" s="119"/>
      <c r="JQ59" s="118"/>
      <c r="JR59" s="119"/>
      <c r="JS59" s="119"/>
      <c r="JT59" s="119"/>
      <c r="JU59" s="119"/>
      <c r="JV59" s="119"/>
      <c r="JX59" s="118"/>
      <c r="JY59" s="119"/>
      <c r="JZ59" s="119"/>
      <c r="KA59" s="119"/>
      <c r="KB59" s="119"/>
      <c r="KC59" s="119"/>
      <c r="KE59" s="118"/>
      <c r="KF59" s="119"/>
      <c r="KG59" s="119"/>
      <c r="KH59" s="119"/>
      <c r="KI59" s="119"/>
      <c r="KJ59" s="119"/>
      <c r="KL59" s="118"/>
      <c r="KM59" s="119"/>
      <c r="KN59" s="119"/>
      <c r="KO59" s="119"/>
      <c r="KP59" s="119"/>
      <c r="KQ59" s="119"/>
      <c r="KS59" s="118"/>
      <c r="KT59" s="119"/>
      <c r="KU59" s="119"/>
      <c r="KV59" s="119"/>
      <c r="KW59" s="119"/>
      <c r="KX59" s="119"/>
      <c r="KZ59" s="118"/>
      <c r="LA59" s="119"/>
      <c r="LB59" s="161"/>
      <c r="LC59" s="161"/>
      <c r="LD59" s="161"/>
      <c r="LE59" s="161"/>
      <c r="LF59" s="556"/>
      <c r="LG59" s="118"/>
      <c r="LH59" s="161"/>
      <c r="LI59" s="161"/>
      <c r="LJ59" s="161"/>
      <c r="LK59" s="161"/>
      <c r="LL59" s="161"/>
      <c r="LM59" s="556"/>
      <c r="LN59" s="118"/>
      <c r="LO59" s="161"/>
      <c r="LP59" s="161"/>
      <c r="LQ59" s="161"/>
      <c r="LR59" s="161"/>
      <c r="LS59" s="161"/>
      <c r="LT59" s="556"/>
      <c r="LU59" s="118"/>
      <c r="LV59" s="161"/>
      <c r="LW59" s="161"/>
      <c r="LX59" s="161"/>
      <c r="LY59" s="161"/>
      <c r="LZ59" s="161"/>
      <c r="MA59" s="556"/>
      <c r="MB59" s="118"/>
      <c r="MC59" s="161"/>
      <c r="MD59" s="161"/>
      <c r="ME59" s="161"/>
      <c r="MF59" s="161"/>
      <c r="MG59" s="161"/>
      <c r="MH59" s="556"/>
    </row>
    <row r="60" spans="1:346" s="37" customFormat="1" ht="13.5" thickBot="1" x14ac:dyDescent="0.45">
      <c r="A60" s="100"/>
      <c r="B60" s="122" t="s">
        <v>249</v>
      </c>
      <c r="C60" s="123"/>
      <c r="D60" s="123"/>
      <c r="E60" s="123"/>
      <c r="F60" s="123"/>
      <c r="G60" s="123"/>
      <c r="H60" s="123"/>
      <c r="I60" s="123"/>
      <c r="J60" s="123"/>
      <c r="K60" s="123"/>
      <c r="L60" s="123"/>
      <c r="M60" s="123"/>
      <c r="N60" s="123">
        <f>BT60</f>
        <v>-1.7723513194170981E-2</v>
      </c>
      <c r="O60" s="123">
        <f>CA60</f>
        <v>2.7064955894146037E-2</v>
      </c>
      <c r="P60" s="123">
        <f>CH60</f>
        <v>-9.9551044309974523E-3</v>
      </c>
      <c r="Q60" s="123">
        <f>CO60</f>
        <v>1.9834384858044229E-2</v>
      </c>
      <c r="R60" s="123">
        <f>CV60</f>
        <v>1.5466109886697055E-4</v>
      </c>
      <c r="S60" s="123">
        <f>DC60</f>
        <v>6.8349634669656378E-2</v>
      </c>
      <c r="T60" s="123">
        <f>DJ60</f>
        <v>-1.8092998009766603E-4</v>
      </c>
      <c r="U60" s="123">
        <f>DQ60</f>
        <v>7.7813970322113679E-3</v>
      </c>
      <c r="V60" s="123">
        <f>DX60</f>
        <v>1.5981325193032969E-2</v>
      </c>
      <c r="W60" s="123">
        <f>EE60</f>
        <v>-1.4316012725344662E-2</v>
      </c>
      <c r="X60" s="123">
        <f>EL60</f>
        <v>0.17643894566971485</v>
      </c>
      <c r="Y60" s="123">
        <f>ES60</f>
        <v>0.10394756896814505</v>
      </c>
      <c r="Z60" s="123">
        <f>EZ60</f>
        <v>-6.765152561093446E-3</v>
      </c>
      <c r="AA60" s="123">
        <f>FG60</f>
        <v>-1.5290519877675379E-3</v>
      </c>
      <c r="AB60" s="123">
        <f>FN60</f>
        <v>3.5639704858694055E-2</v>
      </c>
      <c r="AC60" s="123">
        <f>FU60</f>
        <v>7.8774028767307325E-2</v>
      </c>
      <c r="AD60" s="123">
        <f>GB60</f>
        <v>7.1775700934579412E-2</v>
      </c>
      <c r="AE60" s="123">
        <f>GI60</f>
        <v>0.11219625624927332</v>
      </c>
      <c r="AF60" s="123">
        <f>GP60</f>
        <v>4.850512230817472E-2</v>
      </c>
      <c r="AG60" s="123">
        <f>GW60</f>
        <v>0.12213359920239286</v>
      </c>
      <c r="AH60" s="123">
        <f>HD60</f>
        <v>-0.19671257219013771</v>
      </c>
      <c r="AI60" s="123">
        <f>HK60</f>
        <v>0.17641853777237038</v>
      </c>
      <c r="AJ60" s="123">
        <f>HR60</f>
        <v>0.10408048138397885</v>
      </c>
      <c r="AK60" s="123">
        <f>HY60</f>
        <v>1.1070424934003231E-3</v>
      </c>
      <c r="AL60" s="123">
        <f>IF60</f>
        <v>2.5689009867301715E-2</v>
      </c>
      <c r="AM60" s="123">
        <f>IM60</f>
        <v>5.067175319290107E-2</v>
      </c>
      <c r="AN60" s="123">
        <f>IT60</f>
        <v>-6.7724366564054006E-2</v>
      </c>
      <c r="AO60" s="123">
        <f>JA60</f>
        <v>-6.2822792312251297E-2</v>
      </c>
      <c r="AP60" s="123">
        <f>JH60</f>
        <v>3.0626072815972627E-2</v>
      </c>
      <c r="AQ60" s="123">
        <f>JO60</f>
        <v>7.3807854137447393E-2</v>
      </c>
      <c r="AR60" s="123">
        <f>JV60</f>
        <v>-2.5551020408163261E-2</v>
      </c>
      <c r="AS60" s="123">
        <f>KC60</f>
        <v>-0.11342883471559018</v>
      </c>
      <c r="AT60" s="123">
        <f>KJ60</f>
        <v>0.1832183690824909</v>
      </c>
      <c r="AU60" s="123">
        <f>KQ60</f>
        <v>0.18615237182558686</v>
      </c>
      <c r="AV60" s="123">
        <f>KX60</f>
        <v>-1.3195987342624393E-2</v>
      </c>
      <c r="AW60" s="123">
        <f>LE60</f>
        <v>-7.9825339428259978E-3</v>
      </c>
      <c r="AX60" s="123">
        <f>LL60</f>
        <v>-3.0811554332874858E-2</v>
      </c>
      <c r="AY60" s="123">
        <f>LS60</f>
        <v>2.8583258231620556E-2</v>
      </c>
      <c r="AZ60" s="123">
        <f>LZ60</f>
        <v>4.7334962113442014E-2</v>
      </c>
      <c r="BA60" s="123">
        <f>MG60</f>
        <v>4.3984959460985351E-2</v>
      </c>
      <c r="BB60" s="123"/>
      <c r="BC60" s="123"/>
      <c r="BD60" s="123"/>
      <c r="BE60" s="123"/>
      <c r="BF60" s="123"/>
      <c r="BG60" s="123"/>
      <c r="BH60" s="123"/>
      <c r="BI60" s="123"/>
      <c r="BJ60" s="123"/>
      <c r="BK60" s="123"/>
      <c r="BL60" s="123"/>
      <c r="BM60" s="123"/>
      <c r="BO60" s="122" t="s">
        <v>249</v>
      </c>
      <c r="BP60" s="123">
        <f>BP37/I37-1</f>
        <v>-0.75088967971530252</v>
      </c>
      <c r="BQ60" s="123">
        <f>BQ37/J37-1</f>
        <v>-0.73673300165837485</v>
      </c>
      <c r="BR60" s="123">
        <f>BR37/K37-1</f>
        <v>-0.73825649989075814</v>
      </c>
      <c r="BS60" s="123">
        <f>BS37/L37-1</f>
        <v>-0.73185784209406257</v>
      </c>
      <c r="BT60" s="123">
        <f>BT37/M37-1</f>
        <v>-1.7723513194170981E-2</v>
      </c>
      <c r="BV60" s="122" t="s">
        <v>249</v>
      </c>
      <c r="BW60" s="123">
        <f>BW37/BP37-1</f>
        <v>1.8253968253968189E-2</v>
      </c>
      <c r="BX60" s="123">
        <f>BX37/BQ37-1</f>
        <v>2.1259842519685046E-2</v>
      </c>
      <c r="BY60" s="123">
        <f>BY37/BR37-1</f>
        <v>4.5909849749582676E-2</v>
      </c>
      <c r="BZ60" s="123">
        <f>BZ37/BS37-1</f>
        <v>2.3809523809523725E-2</v>
      </c>
      <c r="CA60" s="123">
        <f>CA37/BT37-1</f>
        <v>2.7064955894146037E-2</v>
      </c>
      <c r="CC60" s="122" t="s">
        <v>249</v>
      </c>
      <c r="CD60" s="123">
        <f>CD37/BW37-1</f>
        <v>-4.4427123928293066E-2</v>
      </c>
      <c r="CE60" s="123">
        <f>CE37/BX37-1</f>
        <v>-4.3176561295296789E-2</v>
      </c>
      <c r="CF60" s="123">
        <f>CF37/BY37-1</f>
        <v>3.0327214684756632E-2</v>
      </c>
      <c r="CG60" s="123">
        <f>CG37/BZ37-1</f>
        <v>1.8604651162790642E-2</v>
      </c>
      <c r="CH60" s="123">
        <f>CH37/CA37-1</f>
        <v>-9.9551044309974523E-3</v>
      </c>
      <c r="CJ60" s="122" t="s">
        <v>249</v>
      </c>
      <c r="CK60" s="123">
        <f>CK37/CD37-1</f>
        <v>5.5464926590538255E-2</v>
      </c>
      <c r="CL60" s="123">
        <f>CL37/CE37-1</f>
        <v>4.2465753424657526E-2</v>
      </c>
      <c r="CM60" s="123">
        <f>CM37/CF37-1</f>
        <v>-1.4020139426800804E-2</v>
      </c>
      <c r="CN60" s="123">
        <f>CN37/CG37-1</f>
        <v>-1.5220700152207556E-3</v>
      </c>
      <c r="CO60" s="123">
        <f>CO37/CH37-1</f>
        <v>1.9834384858044229E-2</v>
      </c>
      <c r="CQ60" s="122" t="s">
        <v>249</v>
      </c>
      <c r="CR60" s="123">
        <f>CR37/CK37-1</f>
        <v>-1.8547140649149974E-2</v>
      </c>
      <c r="CS60" s="123">
        <f>CS37/CL37-1</f>
        <v>1.1826544021025009E-2</v>
      </c>
      <c r="CT60" s="123">
        <f>CT37/CM37-1</f>
        <v>-3.5352345038887067E-3</v>
      </c>
      <c r="CU60" s="123">
        <f>CU37/CN37-1</f>
        <v>1.0670731707317138E-2</v>
      </c>
      <c r="CV60" s="123">
        <f>CV37/CO37-1</f>
        <v>1.5466109886697055E-4</v>
      </c>
      <c r="CX60" s="122" t="s">
        <v>249</v>
      </c>
      <c r="CY60" s="123">
        <f>CY37/CR37-1</f>
        <v>4.7244094488188892E-2</v>
      </c>
      <c r="CZ60" s="123">
        <f>CZ37/CS37-1</f>
        <v>6.7990832696715131E-2</v>
      </c>
      <c r="DA60" s="123">
        <f>DA37/CT37-1</f>
        <v>8.5619678334910132E-2</v>
      </c>
      <c r="DB60" s="123">
        <f>DB37/CU37-1</f>
        <v>7.2398190045248834E-2</v>
      </c>
      <c r="DC60" s="123">
        <f>DC37/CV37-1</f>
        <v>6.8349634669656378E-2</v>
      </c>
      <c r="DE60" s="122" t="s">
        <v>249</v>
      </c>
      <c r="DF60" s="123">
        <f>DF37/CY37-1</f>
        <v>3.007518796992481E-2</v>
      </c>
      <c r="DG60" s="123">
        <f>DG37/CZ37-1</f>
        <v>-7.1530758226037161E-3</v>
      </c>
      <c r="DH60" s="123">
        <f>DH37/DA37-1</f>
        <v>-9.4408133623820056E-3</v>
      </c>
      <c r="DI60" s="123">
        <f>DI37/DB37-1</f>
        <v>-1.2658227848101222E-2</v>
      </c>
      <c r="DJ60" s="123">
        <f>DJ37/DC37-1</f>
        <v>-1.8092998009766603E-4</v>
      </c>
      <c r="DL60" s="122" t="s">
        <v>249</v>
      </c>
      <c r="DM60" s="123">
        <f>DM37/DF37-1</f>
        <v>-1.0218978102189746E-2</v>
      </c>
      <c r="DN60" s="123">
        <f>DN37/DG37-1</f>
        <v>2.4495677233429491E-2</v>
      </c>
      <c r="DO60" s="123">
        <f>DO37/DH37-1</f>
        <v>5.8651026392961825E-3</v>
      </c>
      <c r="DP60" s="123">
        <f>DP37/DI37-1</f>
        <v>1.0683760683760646E-2</v>
      </c>
      <c r="DQ60" s="123">
        <f>DQ37/DJ37-1</f>
        <v>7.7813970322113679E-3</v>
      </c>
      <c r="DS60" s="122" t="s">
        <v>249</v>
      </c>
      <c r="DT60" s="123">
        <f>DT37/DM37-1</f>
        <v>3.6873156342182911E-2</v>
      </c>
      <c r="DU60" s="123">
        <f>DU37/DN37-1</f>
        <v>-3.5161744022503827E-3</v>
      </c>
      <c r="DV60" s="123">
        <f>DV37/DO37-1</f>
        <v>1.2390670553935834E-2</v>
      </c>
      <c r="DW60" s="123">
        <f>DW37/DP37-1</f>
        <v>1.9027484143763207E-2</v>
      </c>
      <c r="DX60" s="123">
        <f>DX37/DQ37-1</f>
        <v>1.5981325193032969E-2</v>
      </c>
      <c r="DZ60" s="122" t="s">
        <v>249</v>
      </c>
      <c r="EA60" s="123">
        <f>EA37/DT37-1</f>
        <v>-8.5348506401138335E-3</v>
      </c>
      <c r="EB60" s="123">
        <f>EB37/DU37-1</f>
        <v>-4.2342978122794639E-3</v>
      </c>
      <c r="EC60" s="123">
        <f>EC37/DV37-1</f>
        <v>-1.7278617710583144E-2</v>
      </c>
      <c r="ED60" s="123">
        <f>ED37/DW37-1</f>
        <v>-2.2130013831258677E-2</v>
      </c>
      <c r="EE60" s="123">
        <f>EE37/DX37-1</f>
        <v>-1.4316012725344662E-2</v>
      </c>
      <c r="EG60" s="122" t="s">
        <v>249</v>
      </c>
      <c r="EH60" s="123">
        <f>EH37/EA37-1</f>
        <v>5.164992826398862E-2</v>
      </c>
      <c r="EI60" s="123">
        <f>EI37/EB37-1</f>
        <v>9.2133238837703857E-2</v>
      </c>
      <c r="EJ60" s="123">
        <f>EJ37/EC37-1</f>
        <v>0.29890109890109895</v>
      </c>
      <c r="EK60" s="123">
        <f>EK37/ED37-1</f>
        <v>0.27439886845827433</v>
      </c>
      <c r="EL60" s="123">
        <f>EL37/EE37-1</f>
        <v>0.17643894566971485</v>
      </c>
      <c r="EN60" s="122" t="s">
        <v>249</v>
      </c>
      <c r="EO60" s="123">
        <f>EO37/EH37-1</f>
        <v>0.22987721691678042</v>
      </c>
      <c r="EP60" s="123">
        <f>EP37/EI37-1</f>
        <v>0.19338092147955876</v>
      </c>
      <c r="EQ60" s="123">
        <f>EQ37/EJ37-1</f>
        <v>8.4602368866328881E-3</v>
      </c>
      <c r="ER60" s="123">
        <f>ER37/EK37-1</f>
        <v>6.1043285238624456E-3</v>
      </c>
      <c r="ES60" s="123">
        <f>ES37/EL37-1</f>
        <v>0.10394756896814505</v>
      </c>
      <c r="EU60" s="122" t="s">
        <v>249</v>
      </c>
      <c r="EV60" s="123">
        <f>EV37/EO37-1</f>
        <v>-5.5463117027176878E-4</v>
      </c>
      <c r="EW60" s="123">
        <f>EW37/EP37-1</f>
        <v>-6.525285481239762E-3</v>
      </c>
      <c r="EX60" s="123">
        <f>EX37/EQ37-1</f>
        <v>-3.9149888143176215E-3</v>
      </c>
      <c r="EY60" s="123">
        <f>EY37/ER37-1</f>
        <v>-1.5995587424158852E-2</v>
      </c>
      <c r="EZ60" s="123">
        <f>EZ37/ES37-1</f>
        <v>-6.765152561093446E-3</v>
      </c>
      <c r="FB60" s="122" t="s">
        <v>249</v>
      </c>
      <c r="FC60" s="123">
        <f>FC37/EV37-1</f>
        <v>-2.9966703662597127E-2</v>
      </c>
      <c r="FD60" s="123">
        <f>FD37/EW37-1</f>
        <v>3.8314176245211051E-3</v>
      </c>
      <c r="FE60" s="123">
        <f>FE37/EX37-1</f>
        <v>2.8074115665357446E-3</v>
      </c>
      <c r="FF60" s="123">
        <f>FF37/EY37-1</f>
        <v>1.7376681614349687E-2</v>
      </c>
      <c r="FG60" s="123">
        <f>FG37/EZ37-1</f>
        <v>-1.5290519877675379E-3</v>
      </c>
      <c r="FI60" s="122" t="s">
        <v>249</v>
      </c>
      <c r="FJ60" s="123">
        <f>FJ37/FC37-1</f>
        <v>4.8627002288329502E-2</v>
      </c>
      <c r="FK60" s="123">
        <f>FK37/FD37-1</f>
        <v>2.8898582333696909E-2</v>
      </c>
      <c r="FL60" s="123">
        <f>FL37/FE37-1</f>
        <v>2.0716685330347095E-2</v>
      </c>
      <c r="FM60" s="123">
        <f>FM37/FF37-1</f>
        <v>4.4628099173553704E-2</v>
      </c>
      <c r="FN60" s="123">
        <f>FN37/FG37-1</f>
        <v>3.5639704858694055E-2</v>
      </c>
      <c r="FP60" s="122" t="s">
        <v>249</v>
      </c>
      <c r="FQ60" s="123">
        <f>FQ37/FJ37-1</f>
        <v>4.7463175122749668E-2</v>
      </c>
      <c r="FR60" s="123">
        <f>FR37/FK37-1</f>
        <v>5.7233704292527721E-2</v>
      </c>
      <c r="FS60" s="123">
        <f>FS37/FL37-1</f>
        <v>6.3082830499177289E-2</v>
      </c>
      <c r="FT60" s="123">
        <f>FT37/FM37-1</f>
        <v>0.14556962025316467</v>
      </c>
      <c r="FU60" s="123">
        <f>FU37/FN37-1</f>
        <v>7.8774028767307325E-2</v>
      </c>
      <c r="FW60" s="122" t="s">
        <v>249</v>
      </c>
      <c r="FX60" s="123">
        <f>FX37/FQ37-1</f>
        <v>9.7916666666666652E-2</v>
      </c>
      <c r="FY60" s="123">
        <f>FY37/FR37-1</f>
        <v>7.7192982456140369E-2</v>
      </c>
      <c r="FZ60" s="123">
        <f>FZ37/FS37-1</f>
        <v>9.6491228070175517E-2</v>
      </c>
      <c r="GA60" s="123">
        <f>GA37/FT37-1</f>
        <v>2.1639042357274318E-2</v>
      </c>
      <c r="GB60" s="123">
        <f>GB37/FU37-1</f>
        <v>7.1775700934579412E-2</v>
      </c>
      <c r="GD60" s="122" t="s">
        <v>249</v>
      </c>
      <c r="GE60" s="123">
        <f>GE37/FX37-1</f>
        <v>0.10578747628083485</v>
      </c>
      <c r="GF60" s="123">
        <f>GF37/FY37-1</f>
        <v>0.12657049790600272</v>
      </c>
      <c r="GG60" s="123">
        <f>GG37/FZ37-1</f>
        <v>0.13788235294117657</v>
      </c>
      <c r="GH60" s="123">
        <f>GH37/GA37-1</f>
        <v>7.9765660207300693E-2</v>
      </c>
      <c r="GI60" s="123">
        <f>GI37/GB37-1</f>
        <v>0.11219625624927332</v>
      </c>
      <c r="GK60" s="122" t="s">
        <v>249</v>
      </c>
      <c r="GL60" s="123">
        <f>GL37/GE37-1</f>
        <v>3.9039039039038936E-2</v>
      </c>
      <c r="GM60" s="123">
        <f>GM37/GF37-1</f>
        <v>4.5022717885171426E-2</v>
      </c>
      <c r="GN60" s="123">
        <f>GN37/GG37-1</f>
        <v>3.4325889164598777E-2</v>
      </c>
      <c r="GO60" s="123">
        <f>GO37/GH37-1</f>
        <v>7.5542570951586008E-2</v>
      </c>
      <c r="GP60" s="123">
        <f>GP37/GI37-1</f>
        <v>4.850512230817472E-2</v>
      </c>
      <c r="GR60" s="122" t="s">
        <v>249</v>
      </c>
      <c r="GS60" s="123">
        <f>GS37/GL37-1</f>
        <v>0.12014863748967786</v>
      </c>
      <c r="GT60" s="123">
        <f>GT37/GM37-1</f>
        <v>0.14901185770750991</v>
      </c>
      <c r="GU60" s="123">
        <f>GU37/GN37-1</f>
        <v>0.18392642942822879</v>
      </c>
      <c r="GV60" s="123">
        <f>GV37/GO37-1</f>
        <v>3.7640667442762954E-2</v>
      </c>
      <c r="GW60" s="123">
        <f>GW37/GP37-1</f>
        <v>0.12213359920239286</v>
      </c>
      <c r="GY60" s="122" t="s">
        <v>249</v>
      </c>
      <c r="GZ60" s="123">
        <f>GZ37/GS37-1</f>
        <v>-0.17176557316623664</v>
      </c>
      <c r="HA60" s="123">
        <f>HA37/GT37-1</f>
        <v>-0.24836601307189543</v>
      </c>
      <c r="HB60" s="123">
        <f>HB37/GU37-1</f>
        <v>-0.22695035460992907</v>
      </c>
      <c r="HC60" s="123">
        <f>HC37/GV37-1</f>
        <v>-0.13238593866866122</v>
      </c>
      <c r="HD60" s="123">
        <f>HD37/GW37-1</f>
        <v>-0.19671257219013771</v>
      </c>
      <c r="HF60" s="122" t="s">
        <v>249</v>
      </c>
      <c r="HG60" s="123">
        <f>HG37/GZ37-1</f>
        <v>0.10858923008455723</v>
      </c>
      <c r="HH60" s="123">
        <f>HH37/HA37-1</f>
        <v>0.21876430205949648</v>
      </c>
      <c r="HI60" s="123">
        <f>HI37/HB37-1</f>
        <v>0.1647007426823941</v>
      </c>
      <c r="HJ60" s="123">
        <f>HJ37/HC37-1</f>
        <v>0.21379310344827585</v>
      </c>
      <c r="HK60" s="123">
        <f>HK37/HD37-1</f>
        <v>0.17641853777237038</v>
      </c>
      <c r="HM60" s="122" t="s">
        <v>249</v>
      </c>
      <c r="HN60" s="123">
        <f>HN37/HG37-1</f>
        <v>0.12806101967081496</v>
      </c>
      <c r="HO60" s="123">
        <f>HO37/HH37-1</f>
        <v>0.13368381524596318</v>
      </c>
      <c r="HP60" s="123">
        <f>HP37/HI37-1</f>
        <v>0.11140285071267808</v>
      </c>
      <c r="HQ60" s="123">
        <f>HQ37/HJ37-1</f>
        <v>4.7940340909090828E-2</v>
      </c>
      <c r="HR60" s="123">
        <f>HR37/HK37-1</f>
        <v>0.10408048138397885</v>
      </c>
      <c r="HT60" s="122" t="s">
        <v>249</v>
      </c>
      <c r="HU60" s="123">
        <f>HU37/HN37-1</f>
        <v>5.5516014234875399E-2</v>
      </c>
      <c r="HV60" s="123">
        <f>HV37/HO37-1</f>
        <v>-2.3186485591255579E-3</v>
      </c>
      <c r="HW60" s="123">
        <f>HW37/HP37-1</f>
        <v>-2.3287208909888668E-2</v>
      </c>
      <c r="HX60" s="123">
        <f>HX37/HQ37-1</f>
        <v>-2.2704168078617415E-2</v>
      </c>
      <c r="HY60" s="123">
        <f>HY37/HR37-1</f>
        <v>1.1070424934003231E-3</v>
      </c>
      <c r="IA60" s="122" t="s">
        <v>249</v>
      </c>
      <c r="IB60" s="123">
        <f>IB37/HU37-1</f>
        <v>-2.6972353337828547E-3</v>
      </c>
      <c r="IC60" s="123">
        <f>IC37/HV37-1</f>
        <v>1.8924302788844605E-2</v>
      </c>
      <c r="ID60" s="123">
        <f>ID37/HW37-1</f>
        <v>3.6281962681409707E-2</v>
      </c>
      <c r="IE60" s="123">
        <f>IE37/HX37-1</f>
        <v>5.1317614424410518E-2</v>
      </c>
      <c r="IF60" s="123">
        <f>IF37/HY37-1</f>
        <v>2.5689009867301715E-2</v>
      </c>
      <c r="IH60" s="122" t="s">
        <v>249</v>
      </c>
      <c r="II60" s="123">
        <f>II37/IB37-1</f>
        <v>1.8255578093306246E-2</v>
      </c>
      <c r="IJ60" s="123">
        <f>IJ37/IC37-1</f>
        <v>5.7021831215379626E-2</v>
      </c>
      <c r="IK60" s="123">
        <f>IK37/ID37-1</f>
        <v>7.4024674891630449E-2</v>
      </c>
      <c r="IL60" s="123">
        <f>IL37/IE37-1</f>
        <v>5.2770448548812743E-2</v>
      </c>
      <c r="IM60" s="123">
        <f>IM37/IF37-1</f>
        <v>5.067175319290107E-2</v>
      </c>
      <c r="IO60" s="122" t="s">
        <v>249</v>
      </c>
      <c r="IP60" s="123">
        <f>IP37/II37-1</f>
        <v>4.980079681274896E-3</v>
      </c>
      <c r="IQ60" s="123">
        <f>IQ37/IJ37-1</f>
        <v>-5.5487053020961796E-2</v>
      </c>
      <c r="IR60" s="123">
        <f>IR37/IK37-1</f>
        <v>-8.7550450170754468E-2</v>
      </c>
      <c r="IS60" s="123">
        <f>IS37/IL37-1</f>
        <v>-0.12875939849624063</v>
      </c>
      <c r="IT60" s="123">
        <f>IT37/IM37-1</f>
        <v>-6.7724366564054006E-2</v>
      </c>
      <c r="IV60" s="122" t="s">
        <v>249</v>
      </c>
      <c r="IW60" s="123">
        <f>IW37/IP37-1</f>
        <v>-0.13511727783283778</v>
      </c>
      <c r="IX60" s="123">
        <f>IX37/IQ37-1</f>
        <v>-0.11749347258485643</v>
      </c>
      <c r="IY60" s="123">
        <f>IY37/IR37-1</f>
        <v>-7.7917659067710088E-2</v>
      </c>
      <c r="IZ60" s="123">
        <f>IZ37/IS37-1</f>
        <v>9.2053218266810566E-2</v>
      </c>
      <c r="JA60" s="123">
        <f>JA37/IT37-1</f>
        <v>-6.2822792312251297E-2</v>
      </c>
      <c r="JC60" s="122" t="s">
        <v>249</v>
      </c>
      <c r="JD60" s="123">
        <f>JD37/IW37-1</f>
        <v>9.5874713521772348E-2</v>
      </c>
      <c r="JE60" s="123">
        <f>JE37/IX37-1</f>
        <v>8.4689349112426093E-2</v>
      </c>
      <c r="JF60" s="123">
        <f>JF37/IY37-1</f>
        <v>1.2177121771217658E-2</v>
      </c>
      <c r="JG60" s="123">
        <f>JG37/IZ37-1</f>
        <v>-5.7293381626605244E-2</v>
      </c>
      <c r="JH60" s="123">
        <f>JH37/JA37-1</f>
        <v>3.0626072815972627E-2</v>
      </c>
      <c r="JJ60" s="122" t="s">
        <v>249</v>
      </c>
      <c r="JK60" s="123">
        <f>JK37/JD37-1</f>
        <v>2.439874520739016E-3</v>
      </c>
      <c r="JL60" s="123">
        <f>JL37/JE37-1</f>
        <v>5.7620184111830897E-2</v>
      </c>
      <c r="JM60" s="123">
        <f>JM37/JF37-1</f>
        <v>0.14072183740430178</v>
      </c>
      <c r="JN60" s="123">
        <f>JN37/JG37-1</f>
        <v>9.7799511002444994E-2</v>
      </c>
      <c r="JO60" s="123">
        <f>JO37/JH37-1</f>
        <v>7.3807854137447393E-2</v>
      </c>
      <c r="JQ60" s="122" t="s">
        <v>249</v>
      </c>
      <c r="JR60" s="123">
        <f>JR37/JK37-1</f>
        <v>4.7635605006954185E-2</v>
      </c>
      <c r="JS60" s="123">
        <f>JS37/JL37-1</f>
        <v>-1.3217279174726038E-2</v>
      </c>
      <c r="JT60" s="123">
        <f>JT37/JM37-1</f>
        <v>-4.8258229466283109E-2</v>
      </c>
      <c r="JU60" s="123">
        <f>JU37/JN37-1</f>
        <v>-8.2087177855551974E-2</v>
      </c>
      <c r="JV60" s="123">
        <f>JV37/JO37-1</f>
        <v>-2.5551020408163261E-2</v>
      </c>
      <c r="JX60" s="122" t="s">
        <v>249</v>
      </c>
      <c r="JY60" s="123">
        <f>JY37/JR37-1</f>
        <v>-5.243942914039168E-2</v>
      </c>
      <c r="JZ60" s="123">
        <f>JZ37/JS37-1</f>
        <v>-0.26331264292714796</v>
      </c>
      <c r="KA60" s="123">
        <f>KA37/JT37-1</f>
        <v>-0.11081262592343855</v>
      </c>
      <c r="KB60" s="123">
        <f>KB37/JU37-1</f>
        <v>-2.0797227036395194E-2</v>
      </c>
      <c r="KC60" s="123">
        <f>KC37/JV37-1</f>
        <v>-0.11342883471559018</v>
      </c>
      <c r="KE60" s="122" t="s">
        <v>249</v>
      </c>
      <c r="KF60" s="123">
        <f>KF37/JY37-1</f>
        <v>-1.4711033274956264E-2</v>
      </c>
      <c r="KG60" s="123">
        <f>KG37/JZ37-1</f>
        <v>0.32594235033259422</v>
      </c>
      <c r="KH60" s="123">
        <f>KH37/KA37-1</f>
        <v>0.24320241691842903</v>
      </c>
      <c r="KI60" s="123">
        <f>KI37/KB37-1</f>
        <v>0.21309734513274337</v>
      </c>
      <c r="KJ60" s="123">
        <f>KJ37/KC37-1</f>
        <v>0.1832183690824909</v>
      </c>
      <c r="KL60" s="122" t="s">
        <v>249</v>
      </c>
      <c r="KM60" s="123">
        <f>KM37/KF37-1</f>
        <v>0.21329541414859587</v>
      </c>
      <c r="KN60" s="123">
        <f>KN37/KG37-1</f>
        <v>0.2759197324414715</v>
      </c>
      <c r="KO60" s="123">
        <f>KO37/KH37-1</f>
        <v>0.18317132442284323</v>
      </c>
      <c r="KP60" s="123">
        <f>KP37/KI37-1</f>
        <v>8.841552378173323E-2</v>
      </c>
      <c r="KQ60" s="123">
        <f>KQ37/KJ37-1</f>
        <v>0.18615237182558686</v>
      </c>
      <c r="KS60" s="122" t="s">
        <v>249</v>
      </c>
      <c r="KT60" s="123">
        <f>KT37/KM37-1</f>
        <v>8.5848227365953766E-2</v>
      </c>
      <c r="KU60" s="123">
        <f>KU37/KN37-1</f>
        <v>-3.0406290956749626E-2</v>
      </c>
      <c r="KV60" s="123">
        <f>KV37/KO37-1</f>
        <v>-8.2926829268292646E-2</v>
      </c>
      <c r="KW60" s="123">
        <f>KW37/KP37-1</f>
        <v>-1.3404825737265424E-2</v>
      </c>
      <c r="KX60" s="123">
        <f>KX37/KQ37-1</f>
        <v>-1.3195987342624393E-2</v>
      </c>
      <c r="KZ60" s="122" t="s">
        <v>249</v>
      </c>
      <c r="LA60" s="123">
        <f>LA37/KT37-1</f>
        <v>-6.7458175930922293E-3</v>
      </c>
      <c r="LB60" s="215">
        <f>LB37/KU37-1</f>
        <v>5.4068667207363141E-4</v>
      </c>
      <c r="LC60" s="215">
        <f>LC37/KV37-1</f>
        <v>1.3157894736842035E-2</v>
      </c>
      <c r="LD60" s="215">
        <f>LD37/KW37-1</f>
        <v>-3.831521739130439E-2</v>
      </c>
      <c r="LE60" s="215">
        <f>LE37/KX37-1</f>
        <v>-7.9825339428259978E-3</v>
      </c>
      <c r="LF60" s="557"/>
      <c r="LG60" s="122" t="s">
        <v>249</v>
      </c>
      <c r="LH60" s="215">
        <f>LH37/LA37-1</f>
        <v>-7.0089649551752231E-2</v>
      </c>
      <c r="LI60" s="215">
        <f>LI37/LB37-1</f>
        <v>-3.4315049986490154E-2</v>
      </c>
      <c r="LJ60" s="215">
        <f>LJ37/LC37-1</f>
        <v>-8.8422216081790461E-3</v>
      </c>
      <c r="LK60" s="215">
        <f>LK37/LD37-1</f>
        <v>-8.7595365922576995E-3</v>
      </c>
      <c r="LL60" s="215">
        <f>LL37/LE37-1</f>
        <v>-3.0811554332874858E-2</v>
      </c>
      <c r="LM60" s="557"/>
      <c r="LN60" s="122" t="s">
        <v>249</v>
      </c>
      <c r="LO60" s="215">
        <f>LO37/LH37-1</f>
        <v>1.104803534910892E-2</v>
      </c>
      <c r="LP60" s="215">
        <f>LP37/LI37-1</f>
        <v>1.7316710968102944E-2</v>
      </c>
      <c r="LQ60" s="215">
        <f>LQ37/LJ37-1</f>
        <v>3.2599428491775662E-2</v>
      </c>
      <c r="LR60" s="215">
        <f>LR37/LK37-1</f>
        <v>5.306550028506285E-2</v>
      </c>
      <c r="LS60" s="215">
        <f>LS37/LL37-1</f>
        <v>2.8583258231620556E-2</v>
      </c>
      <c r="LT60" s="557"/>
      <c r="LU60" s="122" t="s">
        <v>249</v>
      </c>
      <c r="LV60" s="215">
        <f>LV37/LO37-1</f>
        <v>4.8375105076106095E-2</v>
      </c>
      <c r="LW60" s="215">
        <f>LW37/LP37-1</f>
        <v>4.7598534018463035E-2</v>
      </c>
      <c r="LX60" s="215">
        <f>LX37/LQ37-1</f>
        <v>4.6457964889508041E-2</v>
      </c>
      <c r="LY60" s="215">
        <f>LY37/LR37-1</f>
        <v>4.6980422633969843E-2</v>
      </c>
      <c r="LZ60" s="215">
        <f>LZ37/LS37-1</f>
        <v>4.7334962113442014E-2</v>
      </c>
      <c r="MA60" s="557"/>
      <c r="MB60" s="122" t="s">
        <v>249</v>
      </c>
      <c r="MC60" s="215">
        <f>MC37/LV37-1</f>
        <v>4.485367709684307E-2</v>
      </c>
      <c r="MD60" s="215">
        <f>MD37/LW37-1</f>
        <v>4.4183271017381731E-2</v>
      </c>
      <c r="ME60" s="215">
        <f>ME37/LX37-1</f>
        <v>4.3884240413059272E-2</v>
      </c>
      <c r="MF60" s="215">
        <f>MF37/LY37-1</f>
        <v>4.3075665378673023E-2</v>
      </c>
      <c r="MG60" s="215">
        <f>MG37/LZ37-1</f>
        <v>4.3984959460985351E-2</v>
      </c>
      <c r="MH60" s="557"/>
    </row>
    <row r="61" spans="1:346" s="37" customFormat="1" ht="13.15" x14ac:dyDescent="0.4">
      <c r="A61" s="35"/>
      <c r="B61" s="72"/>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O61" s="72"/>
      <c r="BP61" s="73"/>
      <c r="BQ61" s="73"/>
      <c r="BR61" s="73"/>
      <c r="BS61" s="73"/>
      <c r="BT61" s="73"/>
      <c r="BV61" s="72"/>
      <c r="BW61" s="73"/>
      <c r="BX61" s="73"/>
      <c r="BY61" s="73"/>
      <c r="BZ61" s="73"/>
      <c r="CA61" s="73"/>
      <c r="CC61" s="72"/>
      <c r="CD61" s="73"/>
      <c r="CE61" s="73"/>
      <c r="CF61" s="73"/>
      <c r="CG61" s="73"/>
      <c r="CH61" s="73"/>
      <c r="CJ61" s="72"/>
      <c r="CK61" s="73"/>
      <c r="CL61" s="73"/>
      <c r="CM61" s="73"/>
      <c r="CN61" s="73"/>
      <c r="CO61" s="73"/>
      <c r="CQ61" s="72"/>
      <c r="CR61" s="73"/>
      <c r="CS61" s="73"/>
      <c r="CT61" s="73"/>
      <c r="CU61" s="73"/>
      <c r="CV61" s="73"/>
      <c r="CX61" s="72"/>
      <c r="CY61" s="73"/>
      <c r="CZ61" s="73"/>
      <c r="DA61" s="73"/>
      <c r="DB61" s="73"/>
      <c r="DC61" s="73"/>
      <c r="DE61" s="72"/>
      <c r="DF61" s="73"/>
      <c r="DG61" s="73"/>
      <c r="DH61" s="73"/>
      <c r="DI61" s="73"/>
      <c r="DJ61" s="73"/>
      <c r="DL61" s="72"/>
      <c r="DM61" s="73"/>
      <c r="DN61" s="73"/>
      <c r="DO61" s="73"/>
      <c r="DP61" s="73"/>
      <c r="DQ61" s="73"/>
      <c r="DS61" s="72"/>
      <c r="DT61" s="73"/>
      <c r="DU61" s="73"/>
      <c r="DV61" s="73"/>
      <c r="DW61" s="73"/>
      <c r="DX61" s="73"/>
      <c r="DZ61" s="72"/>
      <c r="EA61" s="73"/>
      <c r="EB61" s="73"/>
      <c r="EC61" s="73"/>
      <c r="ED61" s="73"/>
      <c r="EE61" s="73"/>
      <c r="EG61" s="72"/>
      <c r="EH61" s="73"/>
      <c r="EI61" s="73"/>
      <c r="EJ61" s="73"/>
      <c r="EK61" s="73"/>
      <c r="EL61" s="73"/>
      <c r="EN61" s="72"/>
      <c r="EO61" s="73"/>
      <c r="EP61" s="73"/>
      <c r="EQ61" s="73"/>
      <c r="ER61" s="73"/>
      <c r="ES61" s="73"/>
      <c r="EU61" s="72"/>
      <c r="EV61" s="73"/>
      <c r="EW61" s="73"/>
      <c r="EX61" s="73"/>
      <c r="EY61" s="73"/>
      <c r="EZ61" s="73"/>
      <c r="FB61" s="72"/>
      <c r="FC61" s="73"/>
      <c r="FD61" s="73"/>
      <c r="FE61" s="73"/>
      <c r="FF61" s="73"/>
      <c r="FG61" s="73"/>
      <c r="FI61" s="72"/>
      <c r="FJ61" s="73"/>
      <c r="FK61" s="73"/>
      <c r="FL61" s="73"/>
      <c r="FM61" s="73"/>
      <c r="FN61" s="73"/>
      <c r="FP61" s="72"/>
      <c r="FQ61" s="73"/>
      <c r="FR61" s="73"/>
      <c r="FS61" s="73"/>
      <c r="FT61" s="73"/>
      <c r="FU61" s="73"/>
      <c r="FW61" s="72"/>
      <c r="FX61" s="73"/>
      <c r="FY61" s="73"/>
      <c r="FZ61" s="73"/>
      <c r="GA61" s="73"/>
      <c r="GB61" s="73"/>
      <c r="GD61" s="72"/>
      <c r="GE61" s="73"/>
      <c r="GF61" s="73"/>
      <c r="GG61" s="73"/>
      <c r="GH61" s="73"/>
      <c r="GI61" s="73"/>
      <c r="GK61" s="72"/>
      <c r="GL61" s="73"/>
      <c r="GM61" s="73"/>
      <c r="GN61" s="73"/>
      <c r="GO61" s="73"/>
      <c r="GP61" s="73"/>
      <c r="GR61" s="72"/>
      <c r="GS61" s="73"/>
      <c r="GT61" s="73"/>
      <c r="GU61" s="73"/>
      <c r="GV61" s="73"/>
      <c r="GW61" s="73"/>
      <c r="GY61" s="72"/>
      <c r="GZ61" s="73"/>
      <c r="HA61" s="73"/>
      <c r="HB61" s="73"/>
      <c r="HC61" s="73"/>
      <c r="HD61" s="73"/>
      <c r="HF61" s="72"/>
      <c r="HG61" s="73"/>
      <c r="HH61" s="73"/>
      <c r="HI61" s="73"/>
      <c r="HJ61" s="73"/>
      <c r="HK61" s="73"/>
      <c r="HM61" s="72"/>
      <c r="HN61" s="73"/>
      <c r="HO61" s="73"/>
      <c r="HP61" s="73"/>
      <c r="HQ61" s="73"/>
      <c r="HR61" s="73"/>
      <c r="HT61" s="72"/>
      <c r="HU61" s="73"/>
      <c r="HV61" s="73"/>
      <c r="HW61" s="73"/>
      <c r="HX61" s="73"/>
      <c r="HY61" s="73"/>
      <c r="IA61" s="72"/>
      <c r="IB61" s="73"/>
      <c r="IC61" s="73"/>
      <c r="ID61" s="73"/>
      <c r="IE61" s="73"/>
      <c r="IF61" s="73"/>
      <c r="IH61" s="72"/>
      <c r="II61" s="73"/>
      <c r="IJ61" s="73"/>
      <c r="IK61" s="73"/>
      <c r="IL61" s="73"/>
      <c r="IM61" s="73"/>
      <c r="IO61" s="72"/>
      <c r="IP61" s="73"/>
      <c r="IQ61" s="73"/>
      <c r="IR61" s="73"/>
      <c r="IS61" s="73"/>
      <c r="IT61" s="73"/>
      <c r="IV61" s="72"/>
      <c r="IW61" s="73"/>
      <c r="IX61" s="73"/>
      <c r="IY61" s="73"/>
      <c r="IZ61" s="73"/>
      <c r="JA61" s="73"/>
      <c r="JC61" s="72"/>
      <c r="JD61" s="73"/>
      <c r="JE61" s="73"/>
      <c r="JF61" s="73"/>
      <c r="JG61" s="73"/>
      <c r="JH61" s="73"/>
      <c r="JJ61" s="72"/>
      <c r="JK61" s="73"/>
      <c r="JL61" s="73"/>
      <c r="JM61" s="73"/>
      <c r="JN61" s="73"/>
      <c r="JO61" s="73"/>
      <c r="JQ61" s="72"/>
      <c r="JR61" s="73"/>
      <c r="JS61" s="73"/>
      <c r="JT61" s="73"/>
      <c r="JU61" s="73"/>
      <c r="JV61" s="73"/>
      <c r="JX61" s="72"/>
      <c r="JY61" s="73"/>
      <c r="JZ61" s="73"/>
      <c r="KA61" s="73"/>
      <c r="KB61" s="73"/>
      <c r="KC61" s="73"/>
      <c r="KE61" s="72"/>
      <c r="KF61" s="73"/>
      <c r="KG61" s="73"/>
      <c r="KH61" s="73"/>
      <c r="KI61" s="73"/>
      <c r="KJ61" s="73"/>
      <c r="KL61" s="72"/>
      <c r="KM61" s="73"/>
      <c r="KN61" s="73"/>
      <c r="KO61" s="73"/>
      <c r="KP61" s="73"/>
      <c r="KQ61" s="73"/>
      <c r="KS61" s="72"/>
      <c r="KT61" s="73"/>
      <c r="KU61" s="73"/>
      <c r="KV61" s="73"/>
      <c r="KW61" s="73"/>
      <c r="KX61" s="73"/>
      <c r="KZ61" s="72"/>
      <c r="LA61" s="73"/>
      <c r="LB61" s="73"/>
      <c r="LC61" s="73"/>
      <c r="LD61" s="73"/>
      <c r="LE61" s="73"/>
      <c r="LF61" s="565"/>
      <c r="LG61" s="72"/>
      <c r="LH61" s="73"/>
      <c r="LI61" s="73"/>
      <c r="LJ61" s="73"/>
      <c r="LK61" s="73"/>
      <c r="LL61" s="73"/>
      <c r="LM61" s="565"/>
      <c r="LN61" s="72"/>
      <c r="LO61" s="73"/>
      <c r="LP61" s="73"/>
      <c r="LQ61" s="73"/>
      <c r="LR61" s="73"/>
      <c r="LS61" s="73"/>
      <c r="LT61" s="565"/>
      <c r="LU61" s="72"/>
      <c r="LV61" s="73"/>
      <c r="LW61" s="73"/>
      <c r="LX61" s="73"/>
      <c r="LY61" s="73"/>
      <c r="LZ61" s="73"/>
      <c r="MA61" s="565"/>
      <c r="MB61" s="72"/>
      <c r="MC61" s="73"/>
      <c r="MD61" s="73"/>
      <c r="ME61" s="73"/>
      <c r="MF61" s="73"/>
      <c r="MG61" s="73"/>
      <c r="MH61" s="565"/>
    </row>
    <row r="62" spans="1:346" s="37" customFormat="1" ht="13.15" x14ac:dyDescent="0.4">
      <c r="A62" s="35"/>
      <c r="B62" s="36" t="s">
        <v>30</v>
      </c>
      <c r="BO62" s="36" t="s">
        <v>30</v>
      </c>
      <c r="BV62" s="36" t="s">
        <v>30</v>
      </c>
      <c r="CC62" s="36" t="s">
        <v>30</v>
      </c>
      <c r="CJ62" s="36" t="s">
        <v>30</v>
      </c>
      <c r="CQ62" s="36" t="s">
        <v>30</v>
      </c>
      <c r="CX62" s="36" t="s">
        <v>30</v>
      </c>
      <c r="DE62" s="36" t="s">
        <v>30</v>
      </c>
      <c r="DL62" s="36" t="s">
        <v>30</v>
      </c>
      <c r="DS62" s="36" t="s">
        <v>30</v>
      </c>
      <c r="DZ62" s="36" t="s">
        <v>30</v>
      </c>
      <c r="EG62" s="36" t="s">
        <v>30</v>
      </c>
      <c r="EN62" s="36" t="s">
        <v>30</v>
      </c>
      <c r="EU62" s="36" t="s">
        <v>30</v>
      </c>
      <c r="FB62" s="36" t="s">
        <v>30</v>
      </c>
      <c r="FI62" s="36" t="s">
        <v>30</v>
      </c>
      <c r="FP62" s="36" t="s">
        <v>30</v>
      </c>
      <c r="FW62" s="36" t="s">
        <v>30</v>
      </c>
      <c r="GD62" s="36" t="s">
        <v>30</v>
      </c>
      <c r="GK62" s="36" t="s">
        <v>30</v>
      </c>
      <c r="GR62" s="36" t="s">
        <v>30</v>
      </c>
      <c r="GY62" s="36" t="s">
        <v>30</v>
      </c>
      <c r="HF62" s="36" t="s">
        <v>30</v>
      </c>
      <c r="HM62" s="36" t="s">
        <v>30</v>
      </c>
      <c r="HT62" s="36" t="s">
        <v>30</v>
      </c>
      <c r="IA62" s="36" t="s">
        <v>30</v>
      </c>
      <c r="IH62" s="36" t="s">
        <v>30</v>
      </c>
      <c r="IO62" s="36" t="s">
        <v>30</v>
      </c>
      <c r="IV62" s="36" t="s">
        <v>30</v>
      </c>
      <c r="JC62" s="36" t="s">
        <v>30</v>
      </c>
      <c r="JJ62" s="36" t="s">
        <v>30</v>
      </c>
      <c r="JQ62" s="36" t="s">
        <v>30</v>
      </c>
      <c r="JX62" s="36" t="s">
        <v>30</v>
      </c>
      <c r="KE62" s="36" t="s">
        <v>30</v>
      </c>
      <c r="KL62" s="36" t="s">
        <v>30</v>
      </c>
      <c r="KS62" s="36" t="s">
        <v>30</v>
      </c>
      <c r="KZ62" s="36" t="s">
        <v>30</v>
      </c>
      <c r="LF62" s="565"/>
      <c r="LG62" s="36" t="s">
        <v>30</v>
      </c>
      <c r="LM62" s="565"/>
      <c r="LN62" s="36" t="s">
        <v>30</v>
      </c>
      <c r="LT62" s="565"/>
      <c r="LU62" s="36" t="s">
        <v>30</v>
      </c>
      <c r="MA62" s="565"/>
      <c r="MB62" s="36" t="s">
        <v>30</v>
      </c>
      <c r="MH62" s="565"/>
    </row>
    <row r="63" spans="1:346" s="37" customFormat="1" ht="13.15" x14ac:dyDescent="0.4">
      <c r="B63" s="36"/>
      <c r="BO63" s="36"/>
      <c r="BV63" s="36"/>
      <c r="CC63" s="36"/>
      <c r="CJ63" s="36"/>
      <c r="CQ63" s="36"/>
      <c r="CX63" s="36"/>
      <c r="DE63" s="36"/>
      <c r="DL63" s="36"/>
      <c r="DS63" s="36"/>
      <c r="DZ63" s="36"/>
      <c r="EG63" s="36"/>
      <c r="EN63" s="36"/>
      <c r="EU63" s="36"/>
      <c r="FB63" s="36"/>
      <c r="FI63" s="36"/>
      <c r="FP63" s="36"/>
      <c r="FW63" s="36"/>
      <c r="GD63" s="36"/>
      <c r="GK63" s="36"/>
      <c r="GR63" s="36"/>
      <c r="GY63" s="36"/>
      <c r="HF63" s="36"/>
      <c r="HM63" s="36"/>
      <c r="HT63" s="36"/>
      <c r="IA63" s="36"/>
      <c r="IH63" s="36"/>
      <c r="IO63" s="36"/>
      <c r="IV63" s="36"/>
      <c r="JC63" s="36"/>
      <c r="JJ63" s="36"/>
      <c r="JQ63" s="36"/>
      <c r="JX63" s="36"/>
      <c r="KE63" s="36"/>
      <c r="KL63" s="36"/>
      <c r="KS63" s="36"/>
      <c r="KZ63" s="36"/>
      <c r="LF63" s="565"/>
      <c r="LG63" s="36"/>
      <c r="LM63" s="565"/>
      <c r="LN63" s="36"/>
      <c r="LT63" s="565"/>
      <c r="LU63" s="36"/>
      <c r="MA63" s="565"/>
      <c r="MB63" s="36"/>
      <c r="MH63" s="565"/>
    </row>
    <row r="64" spans="1:346" s="37" customFormat="1" ht="13.15" x14ac:dyDescent="0.4">
      <c r="A64" s="46"/>
      <c r="B64" s="39" t="s">
        <v>429</v>
      </c>
      <c r="C64" s="40"/>
      <c r="D64" s="40"/>
      <c r="E64" s="40"/>
      <c r="F64" s="40"/>
      <c r="G64" s="40"/>
      <c r="H64" s="40"/>
      <c r="I64" s="40"/>
      <c r="J64" s="40"/>
      <c r="K64" s="40"/>
      <c r="L64" s="40"/>
      <c r="M64" s="40"/>
      <c r="N64" s="124">
        <f>BT64</f>
        <v>1989</v>
      </c>
      <c r="O64" s="124">
        <f>CA64</f>
        <v>1990</v>
      </c>
      <c r="P64" s="124">
        <f>CH64</f>
        <v>1991</v>
      </c>
      <c r="Q64" s="124">
        <f>CO64</f>
        <v>1992</v>
      </c>
      <c r="R64" s="124">
        <f>CV64</f>
        <v>1993</v>
      </c>
      <c r="S64" s="124">
        <f>DC64</f>
        <v>1994</v>
      </c>
      <c r="T64" s="124">
        <f>DJ64</f>
        <v>1995</v>
      </c>
      <c r="U64" s="124">
        <f>DQ64</f>
        <v>1996</v>
      </c>
      <c r="V64" s="124">
        <f>DX64</f>
        <v>1997</v>
      </c>
      <c r="W64" s="124">
        <f>EE64</f>
        <v>1998</v>
      </c>
      <c r="X64" s="124">
        <f>EL64</f>
        <v>1999</v>
      </c>
      <c r="Y64" s="124">
        <f>ES64</f>
        <v>2000</v>
      </c>
      <c r="Z64" s="124">
        <f>EZ64</f>
        <v>2001</v>
      </c>
      <c r="AA64" s="124">
        <f>FG64</f>
        <v>2002</v>
      </c>
      <c r="AB64" s="124">
        <f>FN64</f>
        <v>2003</v>
      </c>
      <c r="AC64" s="124">
        <f>FU64</f>
        <v>2004</v>
      </c>
      <c r="AD64" s="124">
        <f>GB64</f>
        <v>2005</v>
      </c>
      <c r="AE64" s="124">
        <f>GI64</f>
        <v>2006</v>
      </c>
      <c r="AF64" s="124">
        <f>GP64</f>
        <v>2007</v>
      </c>
      <c r="AG64" s="124">
        <f>GW64</f>
        <v>2008</v>
      </c>
      <c r="AH64" s="124">
        <f>HD64</f>
        <v>2009</v>
      </c>
      <c r="AI64" s="124">
        <f>HK64</f>
        <v>2010</v>
      </c>
      <c r="AJ64" s="124">
        <f>HR64</f>
        <v>2011</v>
      </c>
      <c r="AK64" s="124">
        <f>HY64</f>
        <v>2012</v>
      </c>
      <c r="AL64" s="124">
        <f>IF64</f>
        <v>2013</v>
      </c>
      <c r="AM64" s="124">
        <f>IM64</f>
        <v>2014</v>
      </c>
      <c r="AN64" s="124">
        <f>IT64</f>
        <v>2015</v>
      </c>
      <c r="AO64" s="124">
        <f>JA64</f>
        <v>2016</v>
      </c>
      <c r="AP64" s="124">
        <f>JH64</f>
        <v>2017</v>
      </c>
      <c r="AQ64" s="124">
        <f>JO64</f>
        <v>2018</v>
      </c>
      <c r="AR64" s="124">
        <f>JV64</f>
        <v>2019</v>
      </c>
      <c r="AS64" s="124">
        <f>KC64</f>
        <v>2020</v>
      </c>
      <c r="AT64" s="124">
        <f>KJ64</f>
        <v>2021</v>
      </c>
      <c r="AU64" s="124">
        <f>KQ64</f>
        <v>2022</v>
      </c>
      <c r="AV64" s="124">
        <f>KX64</f>
        <v>2023</v>
      </c>
      <c r="AW64" s="124">
        <f>LE64</f>
        <v>2024</v>
      </c>
      <c r="AX64" s="124">
        <f>LL64</f>
        <v>2025</v>
      </c>
      <c r="AY64" s="124" t="str">
        <f>LS64</f>
        <v>2026E</v>
      </c>
      <c r="AZ64" s="124" t="str">
        <f>LZ64</f>
        <v>2027E</v>
      </c>
      <c r="BA64" s="124" t="str">
        <f>MG64</f>
        <v>2028E</v>
      </c>
      <c r="BB64" s="124"/>
      <c r="BC64" s="124"/>
      <c r="BD64" s="124"/>
      <c r="BE64" s="124"/>
      <c r="BF64" s="124"/>
      <c r="BG64" s="124"/>
      <c r="BH64" s="124"/>
      <c r="BI64" s="124"/>
      <c r="BJ64" s="124"/>
      <c r="BK64" s="124"/>
      <c r="BL64" s="124"/>
      <c r="BM64" s="124"/>
      <c r="BO64" s="39" t="s">
        <v>429</v>
      </c>
      <c r="BP64" s="40" t="str">
        <f>CSX!BR4</f>
        <v>1Q89</v>
      </c>
      <c r="BQ64" s="40" t="str">
        <f>CSX!BS4</f>
        <v>2Q89</v>
      </c>
      <c r="BR64" s="40" t="str">
        <f>CSX!BT4</f>
        <v>3Q89</v>
      </c>
      <c r="BS64" s="40" t="str">
        <f>CSX!BU4</f>
        <v>4Q89</v>
      </c>
      <c r="BT64" s="40">
        <f>CSX!BV4</f>
        <v>1989</v>
      </c>
      <c r="BV64" s="39" t="s">
        <v>429</v>
      </c>
      <c r="BW64" s="40" t="str">
        <f>CSX!BY4</f>
        <v>1Q90</v>
      </c>
      <c r="BX64" s="40" t="str">
        <f>CSX!BZ4</f>
        <v>2Q90</v>
      </c>
      <c r="BY64" s="40" t="str">
        <f>CSX!CA4</f>
        <v>3Q90</v>
      </c>
      <c r="BZ64" s="40" t="str">
        <f>CSX!CB4</f>
        <v>4Q90</v>
      </c>
      <c r="CA64" s="40">
        <f>CSX!CC4</f>
        <v>1990</v>
      </c>
      <c r="CC64" s="39" t="s">
        <v>429</v>
      </c>
      <c r="CD64" s="40" t="str">
        <f>CSX!CF4</f>
        <v>1Q91</v>
      </c>
      <c r="CE64" s="40" t="str">
        <f>CSX!CG4</f>
        <v>2Q91</v>
      </c>
      <c r="CF64" s="40" t="str">
        <f>CSX!CH4</f>
        <v>3Q91</v>
      </c>
      <c r="CG64" s="40" t="str">
        <f>CSX!CI4</f>
        <v>4Q91</v>
      </c>
      <c r="CH64" s="40">
        <f>CSX!CJ4</f>
        <v>1991</v>
      </c>
      <c r="CJ64" s="39" t="s">
        <v>429</v>
      </c>
      <c r="CK64" s="40" t="str">
        <f>CSX!CM4</f>
        <v>1Q92</v>
      </c>
      <c r="CL64" s="40" t="str">
        <f>CSX!CN4</f>
        <v>2Q92</v>
      </c>
      <c r="CM64" s="40" t="str">
        <f>CSX!CO4</f>
        <v>3Q92</v>
      </c>
      <c r="CN64" s="40" t="str">
        <f>CSX!CP4</f>
        <v>4Q92</v>
      </c>
      <c r="CO64" s="40">
        <f>CSX!CQ4</f>
        <v>1992</v>
      </c>
      <c r="CQ64" s="39" t="s">
        <v>429</v>
      </c>
      <c r="CR64" s="40" t="str">
        <f>CSX!CT4</f>
        <v>1Q93</v>
      </c>
      <c r="CS64" s="40" t="str">
        <f>CSX!CU4</f>
        <v>2Q93</v>
      </c>
      <c r="CT64" s="40" t="str">
        <f>CSX!CV4</f>
        <v>3Q93</v>
      </c>
      <c r="CU64" s="40" t="str">
        <f>CSX!CW4</f>
        <v>4Q93</v>
      </c>
      <c r="CV64" s="40">
        <f>CSX!CX4</f>
        <v>1993</v>
      </c>
      <c r="CX64" s="39" t="s">
        <v>429</v>
      </c>
      <c r="CY64" s="40" t="str">
        <f>CSX!DA4</f>
        <v>1Q94</v>
      </c>
      <c r="CZ64" s="40" t="str">
        <f>CSX!DB4</f>
        <v>2Q94</v>
      </c>
      <c r="DA64" s="40" t="str">
        <f>CSX!DC4</f>
        <v>3Q94</v>
      </c>
      <c r="DB64" s="40" t="str">
        <f>CSX!DD4</f>
        <v>4Q94</v>
      </c>
      <c r="DC64" s="40">
        <f>CSX!DE4</f>
        <v>1994</v>
      </c>
      <c r="DE64" s="39" t="s">
        <v>429</v>
      </c>
      <c r="DF64" s="40" t="str">
        <f>CSX!DH4</f>
        <v>1Q95</v>
      </c>
      <c r="DG64" s="40" t="str">
        <f>CSX!DI4</f>
        <v>2Q95</v>
      </c>
      <c r="DH64" s="40" t="str">
        <f>CSX!DJ4</f>
        <v>3Q95</v>
      </c>
      <c r="DI64" s="40" t="str">
        <f>CSX!DK4</f>
        <v>4Q95</v>
      </c>
      <c r="DJ64" s="40">
        <f>CSX!DL4</f>
        <v>1995</v>
      </c>
      <c r="DL64" s="39" t="s">
        <v>429</v>
      </c>
      <c r="DM64" s="40" t="str">
        <f>CSX!DO4</f>
        <v>1Q96</v>
      </c>
      <c r="DN64" s="40" t="str">
        <f>CSX!DP4</f>
        <v>2Q96</v>
      </c>
      <c r="DO64" s="40" t="str">
        <f>CSX!DQ4</f>
        <v>3Q96</v>
      </c>
      <c r="DP64" s="40" t="str">
        <f>CSX!DR4</f>
        <v>4Q96</v>
      </c>
      <c r="DQ64" s="40">
        <f>CSX!DS4</f>
        <v>1996</v>
      </c>
      <c r="DS64" s="39" t="s">
        <v>429</v>
      </c>
      <c r="DT64" s="40" t="str">
        <f>CSX!DV4</f>
        <v>1Q97</v>
      </c>
      <c r="DU64" s="40" t="str">
        <f>CSX!DW4</f>
        <v>2Q97</v>
      </c>
      <c r="DV64" s="40" t="str">
        <f>CSX!DX4</f>
        <v>3Q97</v>
      </c>
      <c r="DW64" s="40" t="str">
        <f>CSX!DY4</f>
        <v>4Q97</v>
      </c>
      <c r="DX64" s="40">
        <f>CSX!DZ4</f>
        <v>1997</v>
      </c>
      <c r="DZ64" s="39" t="s">
        <v>429</v>
      </c>
      <c r="EA64" s="40" t="str">
        <f>CSX!EC4</f>
        <v>1Q98</v>
      </c>
      <c r="EB64" s="40" t="str">
        <f>CSX!ED4</f>
        <v>2Q98</v>
      </c>
      <c r="EC64" s="40" t="str">
        <f>CSX!EE4</f>
        <v>3Q98</v>
      </c>
      <c r="ED64" s="40" t="str">
        <f>CSX!EF4</f>
        <v>4Q98</v>
      </c>
      <c r="EE64" s="40">
        <f>CSX!EG4</f>
        <v>1998</v>
      </c>
      <c r="EG64" s="39" t="s">
        <v>429</v>
      </c>
      <c r="EH64" s="40" t="str">
        <f>CSX!EJ4</f>
        <v>1Q99</v>
      </c>
      <c r="EI64" s="40" t="str">
        <f>CSX!EK4</f>
        <v>2Q99</v>
      </c>
      <c r="EJ64" s="40" t="str">
        <f>CSX!EL4</f>
        <v>3Q99</v>
      </c>
      <c r="EK64" s="40" t="str">
        <f>CSX!EM4</f>
        <v>4Q99</v>
      </c>
      <c r="EL64" s="40">
        <f>CSX!EN4</f>
        <v>1999</v>
      </c>
      <c r="EN64" s="39" t="s">
        <v>429</v>
      </c>
      <c r="EO64" s="40" t="str">
        <f>CSX!EQ4</f>
        <v>1Q00</v>
      </c>
      <c r="EP64" s="40" t="str">
        <f>CSX!ER4</f>
        <v>2Q00</v>
      </c>
      <c r="EQ64" s="40" t="str">
        <f>CSX!ES4</f>
        <v>3Q00</v>
      </c>
      <c r="ER64" s="40" t="str">
        <f>CSX!ET4</f>
        <v>4Q00</v>
      </c>
      <c r="ES64" s="40">
        <f>CSX!EU4</f>
        <v>2000</v>
      </c>
      <c r="EU64" s="39" t="s">
        <v>429</v>
      </c>
      <c r="EV64" s="40" t="str">
        <f>CSX!EX4</f>
        <v>1Q01</v>
      </c>
      <c r="EW64" s="40" t="str">
        <f>CSX!EY4</f>
        <v>2Q01</v>
      </c>
      <c r="EX64" s="40" t="str">
        <f>CSX!EZ4</f>
        <v>3Q01</v>
      </c>
      <c r="EY64" s="40" t="str">
        <f>CSX!FA4</f>
        <v>4Q01</v>
      </c>
      <c r="EZ64" s="40">
        <f>CSX!FB4</f>
        <v>2001</v>
      </c>
      <c r="FB64" s="39" t="s">
        <v>429</v>
      </c>
      <c r="FC64" s="40" t="str">
        <f>CSX!FE4</f>
        <v>1Q02</v>
      </c>
      <c r="FD64" s="40" t="str">
        <f>CSX!FF4</f>
        <v>2Q02</v>
      </c>
      <c r="FE64" s="40" t="str">
        <f>CSX!FG4</f>
        <v>3Q02</v>
      </c>
      <c r="FF64" s="40" t="str">
        <f>CSX!FH4</f>
        <v>4Q02</v>
      </c>
      <c r="FG64" s="40">
        <f>CSX!FI4</f>
        <v>2002</v>
      </c>
      <c r="FI64" s="39" t="s">
        <v>429</v>
      </c>
      <c r="FJ64" s="40" t="str">
        <f>CSX!FL4</f>
        <v>1Q03</v>
      </c>
      <c r="FK64" s="40" t="str">
        <f>CSX!FM4</f>
        <v>2Q03</v>
      </c>
      <c r="FL64" s="40" t="str">
        <f>CSX!FN4</f>
        <v>3Q03</v>
      </c>
      <c r="FM64" s="40" t="str">
        <f>CSX!FO4</f>
        <v>4Q03</v>
      </c>
      <c r="FN64" s="40">
        <f>CSX!FP4</f>
        <v>2003</v>
      </c>
      <c r="FP64" s="39" t="s">
        <v>429</v>
      </c>
      <c r="FQ64" s="40" t="str">
        <f>CSX!FS4</f>
        <v>1Q04</v>
      </c>
      <c r="FR64" s="40" t="str">
        <f>CSX!FT4</f>
        <v>2Q04</v>
      </c>
      <c r="FS64" s="40" t="str">
        <f>CSX!FU4</f>
        <v>3Q04</v>
      </c>
      <c r="FT64" s="40" t="str">
        <f>CSX!FV4</f>
        <v>4Q04</v>
      </c>
      <c r="FU64" s="40">
        <f>CSX!FW4</f>
        <v>2004</v>
      </c>
      <c r="FW64" s="39" t="s">
        <v>429</v>
      </c>
      <c r="FX64" s="40" t="str">
        <f>CSX!FZ4</f>
        <v>1Q05</v>
      </c>
      <c r="FY64" s="40" t="str">
        <f>CSX!GA4</f>
        <v>2Q05</v>
      </c>
      <c r="FZ64" s="40" t="str">
        <f>CSX!GB4</f>
        <v>3Q05</v>
      </c>
      <c r="GA64" s="40" t="str">
        <f>CSX!GC4</f>
        <v>4Q05</v>
      </c>
      <c r="GB64" s="40">
        <f>CSX!GD4</f>
        <v>2005</v>
      </c>
      <c r="GD64" s="39" t="s">
        <v>429</v>
      </c>
      <c r="GE64" s="40" t="str">
        <f>CSX!GG4</f>
        <v>1Q06</v>
      </c>
      <c r="GF64" s="40" t="str">
        <f>CSX!GH4</f>
        <v>2Q06</v>
      </c>
      <c r="GG64" s="40" t="str">
        <f>CSX!GI4</f>
        <v>3Q06</v>
      </c>
      <c r="GH64" s="40" t="str">
        <f>CSX!GJ4</f>
        <v>4Q06</v>
      </c>
      <c r="GI64" s="40">
        <f>CSX!GK4</f>
        <v>2006</v>
      </c>
      <c r="GK64" s="39" t="s">
        <v>429</v>
      </c>
      <c r="GL64" s="40" t="str">
        <f>CSX!GN4</f>
        <v>1Q07</v>
      </c>
      <c r="GM64" s="40" t="str">
        <f>CSX!GO4</f>
        <v>2Q07</v>
      </c>
      <c r="GN64" s="40" t="str">
        <f>CSX!GP4</f>
        <v>3Q07</v>
      </c>
      <c r="GO64" s="40" t="str">
        <f>CSX!GQ4</f>
        <v>4Q07</v>
      </c>
      <c r="GP64" s="40">
        <f>CSX!GR4</f>
        <v>2007</v>
      </c>
      <c r="GR64" s="39" t="s">
        <v>429</v>
      </c>
      <c r="GS64" s="40" t="str">
        <f>CSX!GU4</f>
        <v>1Q08</v>
      </c>
      <c r="GT64" s="40" t="str">
        <f>CSX!GV4</f>
        <v>2Q08</v>
      </c>
      <c r="GU64" s="40" t="str">
        <f>CSX!GW4</f>
        <v>3Q08</v>
      </c>
      <c r="GV64" s="40" t="str">
        <f>CSX!GX4</f>
        <v>4Q08</v>
      </c>
      <c r="GW64" s="40">
        <f>CSX!GY4</f>
        <v>2008</v>
      </c>
      <c r="GY64" s="39" t="s">
        <v>429</v>
      </c>
      <c r="GZ64" s="40" t="str">
        <f>CSX!HB4</f>
        <v>1Q09</v>
      </c>
      <c r="HA64" s="40" t="str">
        <f>CSX!HC4</f>
        <v>2Q09</v>
      </c>
      <c r="HB64" s="40" t="str">
        <f>CSX!HD4</f>
        <v>3Q09</v>
      </c>
      <c r="HC64" s="40" t="str">
        <f>CSX!HE4</f>
        <v>4Q09</v>
      </c>
      <c r="HD64" s="40">
        <f>CSX!HF4</f>
        <v>2009</v>
      </c>
      <c r="HF64" s="39" t="s">
        <v>429</v>
      </c>
      <c r="HG64" s="40" t="str">
        <f>CSX!HI4</f>
        <v>1Q10</v>
      </c>
      <c r="HH64" s="40" t="str">
        <f>CSX!HJ4</f>
        <v>2Q10</v>
      </c>
      <c r="HI64" s="40" t="str">
        <f>CSX!HK4</f>
        <v>3Q10</v>
      </c>
      <c r="HJ64" s="40" t="str">
        <f>CSX!HL4</f>
        <v>4Q10</v>
      </c>
      <c r="HK64" s="40">
        <f>CSX!HM4</f>
        <v>2010</v>
      </c>
      <c r="HM64" s="39" t="s">
        <v>429</v>
      </c>
      <c r="HN64" s="40" t="str">
        <f>CSX!HP4</f>
        <v>1Q11</v>
      </c>
      <c r="HO64" s="40" t="str">
        <f>CSX!HQ4</f>
        <v>2Q11</v>
      </c>
      <c r="HP64" s="40" t="str">
        <f>CSX!HR4</f>
        <v>3Q11</v>
      </c>
      <c r="HQ64" s="40" t="str">
        <f>CSX!HS4</f>
        <v>4Q11</v>
      </c>
      <c r="HR64" s="40">
        <f>CSX!HT4</f>
        <v>2011</v>
      </c>
      <c r="HT64" s="39" t="s">
        <v>429</v>
      </c>
      <c r="HU64" s="40" t="str">
        <f>CSX!HW4</f>
        <v>1Q12</v>
      </c>
      <c r="HV64" s="40" t="str">
        <f>CSX!HX4</f>
        <v>2Q12</v>
      </c>
      <c r="HW64" s="40" t="str">
        <f>CSX!HY4</f>
        <v>3Q12</v>
      </c>
      <c r="HX64" s="40" t="str">
        <f>CSX!HZ4</f>
        <v>4Q12</v>
      </c>
      <c r="HY64" s="40">
        <f>CSX!IA4</f>
        <v>2012</v>
      </c>
      <c r="IA64" s="39" t="s">
        <v>429</v>
      </c>
      <c r="IB64" s="40" t="str">
        <f>CSX!ID4</f>
        <v>1Q13</v>
      </c>
      <c r="IC64" s="40" t="str">
        <f>CSX!IE4</f>
        <v>2Q13</v>
      </c>
      <c r="ID64" s="40" t="str">
        <f>CSX!IF4</f>
        <v>3Q13</v>
      </c>
      <c r="IE64" s="40" t="str">
        <f>CSX!IG4</f>
        <v>4Q13</v>
      </c>
      <c r="IF64" s="40">
        <f>CSX!IH4</f>
        <v>2013</v>
      </c>
      <c r="IH64" s="39" t="s">
        <v>429</v>
      </c>
      <c r="II64" s="40" t="str">
        <f>CSX!IK4</f>
        <v>1Q14</v>
      </c>
      <c r="IJ64" s="40" t="str">
        <f>CSX!IL4</f>
        <v>2Q14</v>
      </c>
      <c r="IK64" s="40" t="str">
        <f>CSX!IM4</f>
        <v>3Q14</v>
      </c>
      <c r="IL64" s="40" t="str">
        <f>CSX!IN4</f>
        <v>4Q14</v>
      </c>
      <c r="IM64" s="40">
        <f>CSX!IO4</f>
        <v>2014</v>
      </c>
      <c r="IO64" s="39" t="s">
        <v>429</v>
      </c>
      <c r="IP64" s="40" t="str">
        <f>CSX!IR4</f>
        <v>1Q15</v>
      </c>
      <c r="IQ64" s="40" t="str">
        <f>CSX!IS4</f>
        <v>2Q15</v>
      </c>
      <c r="IR64" s="40" t="str">
        <f>CSX!IT4</f>
        <v>3Q15</v>
      </c>
      <c r="IS64" s="40" t="str">
        <f>CSX!IU4</f>
        <v>4Q15</v>
      </c>
      <c r="IT64" s="40">
        <f>CSX!IV4</f>
        <v>2015</v>
      </c>
      <c r="IV64" s="39" t="s">
        <v>429</v>
      </c>
      <c r="IW64" s="40" t="str">
        <f>CSX!IY4</f>
        <v>1Q16</v>
      </c>
      <c r="IX64" s="40" t="str">
        <f>CSX!IZ4</f>
        <v>2Q16</v>
      </c>
      <c r="IY64" s="40" t="str">
        <f>CSX!JA4</f>
        <v>3Q16</v>
      </c>
      <c r="IZ64" s="40" t="str">
        <f>CSX!JB4</f>
        <v>4Q16</v>
      </c>
      <c r="JA64" s="40">
        <f>CSX!JC4</f>
        <v>2016</v>
      </c>
      <c r="JC64" s="39" t="s">
        <v>429</v>
      </c>
      <c r="JD64" s="40" t="str">
        <f>CSX!JF4</f>
        <v>1Q17</v>
      </c>
      <c r="JE64" s="40" t="str">
        <f>CSX!JG4</f>
        <v>2Q17</v>
      </c>
      <c r="JF64" s="40" t="str">
        <f>CSX!JH4</f>
        <v>3Q17</v>
      </c>
      <c r="JG64" s="40" t="str">
        <f>CSX!JI4</f>
        <v>4Q17</v>
      </c>
      <c r="JH64" s="40">
        <f>CSX!JJ4</f>
        <v>2017</v>
      </c>
      <c r="JJ64" s="39" t="s">
        <v>429</v>
      </c>
      <c r="JK64" s="40" t="str">
        <f>CSX!JM4</f>
        <v>1Q18</v>
      </c>
      <c r="JL64" s="40" t="str">
        <f>CSX!JN4</f>
        <v>2Q18</v>
      </c>
      <c r="JM64" s="40" t="str">
        <f>CSX!JO4</f>
        <v>3Q18</v>
      </c>
      <c r="JN64" s="40" t="str">
        <f>CSX!JP4</f>
        <v>4Q18</v>
      </c>
      <c r="JO64" s="40">
        <f>CSX!JQ4</f>
        <v>2018</v>
      </c>
      <c r="JQ64" s="39" t="s">
        <v>429</v>
      </c>
      <c r="JR64" s="40" t="str">
        <f>CSX!JT4</f>
        <v>1Q19</v>
      </c>
      <c r="JS64" s="40" t="str">
        <f>CSX!JU4</f>
        <v>2Q19</v>
      </c>
      <c r="JT64" s="40" t="str">
        <f>CSX!JV4</f>
        <v>3Q19</v>
      </c>
      <c r="JU64" s="40" t="str">
        <f>CSX!JW4</f>
        <v>4Q19</v>
      </c>
      <c r="JV64" s="40">
        <f>CSX!JX4</f>
        <v>2019</v>
      </c>
      <c r="JX64" s="39" t="s">
        <v>429</v>
      </c>
      <c r="JY64" s="40" t="str">
        <f>CSX!KA4</f>
        <v>1Q20</v>
      </c>
      <c r="JZ64" s="40" t="str">
        <f>CSX!KB4</f>
        <v>2Q20</v>
      </c>
      <c r="KA64" s="40" t="str">
        <f>CSX!KC4</f>
        <v>3Q20</v>
      </c>
      <c r="KB64" s="40" t="str">
        <f>CSX!KD4</f>
        <v>4Q20</v>
      </c>
      <c r="KC64" s="40">
        <f>CSX!KE4</f>
        <v>2020</v>
      </c>
      <c r="KE64" s="39" t="s">
        <v>429</v>
      </c>
      <c r="KF64" s="40" t="str">
        <f>CSX!KH4</f>
        <v>1Q21</v>
      </c>
      <c r="KG64" s="40" t="str">
        <f>CSX!KI4</f>
        <v>2Q21</v>
      </c>
      <c r="KH64" s="40" t="str">
        <f>CSX!KJ4</f>
        <v>3Q21</v>
      </c>
      <c r="KI64" s="40" t="str">
        <f>CSX!KK4</f>
        <v>4Q21</v>
      </c>
      <c r="KJ64" s="40">
        <f>CSX!KL4</f>
        <v>2021</v>
      </c>
      <c r="KL64" s="39" t="s">
        <v>429</v>
      </c>
      <c r="KM64" s="40" t="str">
        <f>CSX!KO4</f>
        <v>1Q22</v>
      </c>
      <c r="KN64" s="40" t="str">
        <f>CSX!KP4</f>
        <v>2Q22</v>
      </c>
      <c r="KO64" s="40" t="str">
        <f>CSX!KQ4</f>
        <v>3Q22</v>
      </c>
      <c r="KP64" s="40" t="str">
        <f>CSX!KR4</f>
        <v>4Q22</v>
      </c>
      <c r="KQ64" s="40">
        <f>CSX!KS4</f>
        <v>2022</v>
      </c>
      <c r="KS64" s="39" t="s">
        <v>429</v>
      </c>
      <c r="KT64" s="40" t="str">
        <f>CSX!KV4</f>
        <v>1Q23</v>
      </c>
      <c r="KU64" s="40" t="str">
        <f>CSX!KW4</f>
        <v>2Q23</v>
      </c>
      <c r="KV64" s="40" t="str">
        <f>CSX!KX4</f>
        <v>3Q23</v>
      </c>
      <c r="KW64" s="40" t="str">
        <f>CSX!KY4</f>
        <v>4Q23</v>
      </c>
      <c r="KX64" s="40">
        <f>CSX!KZ4</f>
        <v>2023</v>
      </c>
      <c r="KZ64" s="39" t="s">
        <v>429</v>
      </c>
      <c r="LA64" s="40" t="str">
        <f>CSX!LC4</f>
        <v>1Q24</v>
      </c>
      <c r="LB64" s="40" t="str">
        <f>CSX!LD4</f>
        <v>2Q24</v>
      </c>
      <c r="LC64" s="40" t="str">
        <f>CSX!LE4</f>
        <v>3Q24</v>
      </c>
      <c r="LD64" s="40" t="str">
        <f>CSX!LF4</f>
        <v>4Q24</v>
      </c>
      <c r="LE64" s="40">
        <f>CSX!LG4</f>
        <v>2024</v>
      </c>
      <c r="LF64" s="546"/>
      <c r="LG64" s="39" t="s">
        <v>429</v>
      </c>
      <c r="LH64" s="40" t="str">
        <f>CSX!LJ4</f>
        <v>1Q25</v>
      </c>
      <c r="LI64" s="40" t="str">
        <f>CSX!LK4</f>
        <v>2Q25</v>
      </c>
      <c r="LJ64" s="40" t="str">
        <f>CSX!LL4</f>
        <v>3Q25</v>
      </c>
      <c r="LK64" s="40" t="str">
        <f>CSX!LM4</f>
        <v>4Q25</v>
      </c>
      <c r="LL64" s="40">
        <f>CSX!LN4</f>
        <v>2025</v>
      </c>
      <c r="LM64" s="546"/>
      <c r="LN64" s="39" t="s">
        <v>429</v>
      </c>
      <c r="LO64" s="40" t="str">
        <f>CSX!LQ4</f>
        <v>1Q26E</v>
      </c>
      <c r="LP64" s="40" t="str">
        <f>CSX!LR4</f>
        <v>2Q26E</v>
      </c>
      <c r="LQ64" s="40" t="str">
        <f>CSX!LS4</f>
        <v>3Q26E</v>
      </c>
      <c r="LR64" s="40" t="str">
        <f>CSX!LT4</f>
        <v>4Q26E</v>
      </c>
      <c r="LS64" s="40" t="str">
        <f>CSX!LU4</f>
        <v>2026E</v>
      </c>
      <c r="LT64" s="546"/>
      <c r="LU64" s="39" t="s">
        <v>429</v>
      </c>
      <c r="LV64" s="40" t="str">
        <f>CSX!LX4</f>
        <v>1Q27E</v>
      </c>
      <c r="LW64" s="40" t="str">
        <f>CSX!LY4</f>
        <v>2Q27E</v>
      </c>
      <c r="LX64" s="40" t="str">
        <f>CSX!LZ4</f>
        <v>3Q27E</v>
      </c>
      <c r="LY64" s="40" t="str">
        <f>CSX!MA4</f>
        <v>4Q27E</v>
      </c>
      <c r="LZ64" s="40" t="str">
        <f>CSX!MB4</f>
        <v>2027E</v>
      </c>
      <c r="MA64" s="546"/>
      <c r="MB64" s="39" t="s">
        <v>429</v>
      </c>
      <c r="MC64" s="40" t="str">
        <f>CSX!ME4</f>
        <v>1Q28E</v>
      </c>
      <c r="MD64" s="40" t="str">
        <f>CSX!MF4</f>
        <v>2Q28E</v>
      </c>
      <c r="ME64" s="40" t="str">
        <f>CSX!MG4</f>
        <v>3Q28E</v>
      </c>
      <c r="MF64" s="40" t="str">
        <f>CSX!MH4</f>
        <v>4Q28E</v>
      </c>
      <c r="MG64" s="40" t="str">
        <f>CSX!MI4</f>
        <v>2028E</v>
      </c>
      <c r="MH64" s="546"/>
    </row>
    <row r="65" spans="1:346" s="37" customFormat="1" ht="13.15" x14ac:dyDescent="0.4">
      <c r="A65" s="46"/>
      <c r="B65" s="42" t="s">
        <v>195</v>
      </c>
      <c r="C65" s="43"/>
      <c r="D65" s="43"/>
      <c r="E65" s="43"/>
      <c r="F65" s="43"/>
      <c r="G65" s="43"/>
      <c r="H65" s="43"/>
      <c r="I65" s="43"/>
      <c r="J65" s="43"/>
      <c r="K65" s="43"/>
      <c r="L65" s="43"/>
      <c r="M65" s="43"/>
      <c r="N65" s="125" t="str">
        <f>BT65</f>
        <v>FY</v>
      </c>
      <c r="O65" s="125" t="str">
        <f>CA65</f>
        <v>FY</v>
      </c>
      <c r="P65" s="125" t="str">
        <f>CH65</f>
        <v>FY</v>
      </c>
      <c r="Q65" s="125" t="str">
        <f>CO65</f>
        <v>FY</v>
      </c>
      <c r="R65" s="125" t="str">
        <f>CV65</f>
        <v>FY</v>
      </c>
      <c r="S65" s="125" t="str">
        <f>DC65</f>
        <v>FY</v>
      </c>
      <c r="T65" s="125" t="str">
        <f>DJ65</f>
        <v>FY</v>
      </c>
      <c r="U65" s="125" t="str">
        <f>DQ65</f>
        <v>FY</v>
      </c>
      <c r="V65" s="125" t="str">
        <f>DX65</f>
        <v>FY</v>
      </c>
      <c r="W65" s="125" t="str">
        <f>EE65</f>
        <v>FY</v>
      </c>
      <c r="X65" s="125" t="str">
        <f>EL65</f>
        <v>FY</v>
      </c>
      <c r="Y65" s="125" t="str">
        <f>ES65</f>
        <v>FY</v>
      </c>
      <c r="Z65" s="125" t="str">
        <f>EZ65</f>
        <v>FY</v>
      </c>
      <c r="AA65" s="125" t="str">
        <f>FG65</f>
        <v>FY</v>
      </c>
      <c r="AB65" s="125" t="str">
        <f>FN65</f>
        <v>FY</v>
      </c>
      <c r="AC65" s="125" t="str">
        <f>FU65</f>
        <v>FY</v>
      </c>
      <c r="AD65" s="125" t="str">
        <f>GB65</f>
        <v>FY</v>
      </c>
      <c r="AE65" s="125" t="str">
        <f>GI65</f>
        <v>FY</v>
      </c>
      <c r="AF65" s="125" t="str">
        <f>GP65</f>
        <v>FY</v>
      </c>
      <c r="AG65" s="125" t="str">
        <f>GW65</f>
        <v>FY</v>
      </c>
      <c r="AH65" s="125" t="str">
        <f>HD65</f>
        <v>FY</v>
      </c>
      <c r="AI65" s="125" t="str">
        <f>HK65</f>
        <v>FY</v>
      </c>
      <c r="AJ65" s="125" t="str">
        <f>HR65</f>
        <v>FY</v>
      </c>
      <c r="AK65" s="125" t="str">
        <f>HY65</f>
        <v>FY</v>
      </c>
      <c r="AL65" s="125" t="str">
        <f>IF65</f>
        <v>FY</v>
      </c>
      <c r="AM65" s="125" t="str">
        <f>IM65</f>
        <v>FY</v>
      </c>
      <c r="AN65" s="125" t="str">
        <f>IT65</f>
        <v>FY</v>
      </c>
      <c r="AO65" s="125" t="str">
        <f>JA65</f>
        <v>FY</v>
      </c>
      <c r="AP65" s="125" t="str">
        <f>JH65</f>
        <v>FY</v>
      </c>
      <c r="AQ65" s="125" t="str">
        <f>JO65</f>
        <v>FY</v>
      </c>
      <c r="AR65" s="125" t="str">
        <f>JV65</f>
        <v>FY</v>
      </c>
      <c r="AS65" s="125" t="str">
        <f>KC65</f>
        <v>FY</v>
      </c>
      <c r="AT65" s="125" t="str">
        <f>KJ65</f>
        <v>FY</v>
      </c>
      <c r="AU65" s="125" t="str">
        <f>KQ65</f>
        <v>FY</v>
      </c>
      <c r="AV65" s="125" t="str">
        <f>KX65</f>
        <v>FY</v>
      </c>
      <c r="AW65" s="125" t="str">
        <f>LE65</f>
        <v>FY</v>
      </c>
      <c r="AX65" s="125" t="str">
        <f>LL65</f>
        <v>FY</v>
      </c>
      <c r="AY65" s="125" t="str">
        <f>LS65</f>
        <v>FY</v>
      </c>
      <c r="AZ65" s="125" t="str">
        <f>LZ65</f>
        <v>FY</v>
      </c>
      <c r="BA65" s="125" t="str">
        <f>MG65</f>
        <v>FY</v>
      </c>
      <c r="BB65" s="125"/>
      <c r="BC65" s="125"/>
      <c r="BD65" s="125"/>
      <c r="BE65" s="125"/>
      <c r="BF65" s="125"/>
      <c r="BG65" s="125"/>
      <c r="BH65" s="125"/>
      <c r="BI65" s="125"/>
      <c r="BJ65" s="125"/>
      <c r="BK65" s="125"/>
      <c r="BL65" s="125"/>
      <c r="BM65" s="125"/>
      <c r="BO65" s="42" t="s">
        <v>195</v>
      </c>
      <c r="BP65" s="44">
        <f>CSX!BR5</f>
        <v>32598</v>
      </c>
      <c r="BQ65" s="44">
        <f>CSX!BS5</f>
        <v>32689</v>
      </c>
      <c r="BR65" s="44">
        <f>CSX!BT5</f>
        <v>32781</v>
      </c>
      <c r="BS65" s="44">
        <f>CSX!BU5</f>
        <v>32873</v>
      </c>
      <c r="BT65" s="44" t="str">
        <f>CSX!BV5</f>
        <v>FY</v>
      </c>
      <c r="BV65" s="42" t="s">
        <v>195</v>
      </c>
      <c r="BW65" s="44">
        <f>CSX!BY5</f>
        <v>32963</v>
      </c>
      <c r="BX65" s="44">
        <f>CSX!BZ5</f>
        <v>33054</v>
      </c>
      <c r="BY65" s="44">
        <f>CSX!CA5</f>
        <v>33146</v>
      </c>
      <c r="BZ65" s="44">
        <f>CSX!CB5</f>
        <v>33238</v>
      </c>
      <c r="CA65" s="44" t="str">
        <f>CSX!CC5</f>
        <v>FY</v>
      </c>
      <c r="CC65" s="42" t="s">
        <v>195</v>
      </c>
      <c r="CD65" s="44">
        <f>CSX!CF5</f>
        <v>33328</v>
      </c>
      <c r="CE65" s="44">
        <f>CSX!CG5</f>
        <v>33419</v>
      </c>
      <c r="CF65" s="44">
        <f>CSX!CH5</f>
        <v>33511</v>
      </c>
      <c r="CG65" s="44">
        <f>CSX!CI5</f>
        <v>33603</v>
      </c>
      <c r="CH65" s="44" t="str">
        <f>CSX!CJ5</f>
        <v>FY</v>
      </c>
      <c r="CJ65" s="42" t="s">
        <v>195</v>
      </c>
      <c r="CK65" s="44">
        <f>CSX!CM5</f>
        <v>33694</v>
      </c>
      <c r="CL65" s="44">
        <f>CSX!CN5</f>
        <v>33785</v>
      </c>
      <c r="CM65" s="44">
        <f>CSX!CO5</f>
        <v>33877</v>
      </c>
      <c r="CN65" s="44">
        <f>CSX!CP5</f>
        <v>33969</v>
      </c>
      <c r="CO65" s="44" t="str">
        <f>CSX!CQ5</f>
        <v>FY</v>
      </c>
      <c r="CQ65" s="42" t="s">
        <v>195</v>
      </c>
      <c r="CR65" s="44">
        <f>CSX!CT5</f>
        <v>34059</v>
      </c>
      <c r="CS65" s="44">
        <f>CSX!CU5</f>
        <v>34150</v>
      </c>
      <c r="CT65" s="44">
        <f>CSX!CV5</f>
        <v>34242</v>
      </c>
      <c r="CU65" s="44">
        <f>CSX!CW5</f>
        <v>34334</v>
      </c>
      <c r="CV65" s="44" t="str">
        <f>CSX!CX5</f>
        <v>FY</v>
      </c>
      <c r="CX65" s="42" t="s">
        <v>195</v>
      </c>
      <c r="CY65" s="44">
        <f>CSX!DA5</f>
        <v>34424</v>
      </c>
      <c r="CZ65" s="44">
        <f>CSX!DB5</f>
        <v>34515</v>
      </c>
      <c r="DA65" s="44">
        <f>CSX!DC5</f>
        <v>34607</v>
      </c>
      <c r="DB65" s="44">
        <f>CSX!DD5</f>
        <v>34699</v>
      </c>
      <c r="DC65" s="44" t="str">
        <f>CSX!DE5</f>
        <v>FY</v>
      </c>
      <c r="DE65" s="42" t="s">
        <v>195</v>
      </c>
      <c r="DF65" s="44">
        <f>CSX!DH5</f>
        <v>34789</v>
      </c>
      <c r="DG65" s="44">
        <f>CSX!DI5</f>
        <v>34880</v>
      </c>
      <c r="DH65" s="44">
        <f>CSX!DJ5</f>
        <v>34972</v>
      </c>
      <c r="DI65" s="44">
        <f>CSX!DK5</f>
        <v>35064</v>
      </c>
      <c r="DJ65" s="44" t="str">
        <f>CSX!DL5</f>
        <v>FY</v>
      </c>
      <c r="DL65" s="42" t="s">
        <v>195</v>
      </c>
      <c r="DM65" s="44">
        <f>CSX!DO5</f>
        <v>35155</v>
      </c>
      <c r="DN65" s="44">
        <f>CSX!DP5</f>
        <v>35246</v>
      </c>
      <c r="DO65" s="44">
        <f>CSX!DQ5</f>
        <v>35338</v>
      </c>
      <c r="DP65" s="44">
        <f>CSX!DR5</f>
        <v>35430</v>
      </c>
      <c r="DQ65" s="44" t="str">
        <f>CSX!DS5</f>
        <v>FY</v>
      </c>
      <c r="DS65" s="42" t="s">
        <v>195</v>
      </c>
      <c r="DT65" s="44">
        <f>CSX!DV5</f>
        <v>35520</v>
      </c>
      <c r="DU65" s="44">
        <f>CSX!DW5</f>
        <v>35611</v>
      </c>
      <c r="DV65" s="44">
        <f>CSX!DX5</f>
        <v>35703</v>
      </c>
      <c r="DW65" s="44">
        <f>CSX!DY5</f>
        <v>35795</v>
      </c>
      <c r="DX65" s="44" t="str">
        <f>CSX!DZ5</f>
        <v>FY</v>
      </c>
      <c r="DZ65" s="42" t="s">
        <v>195</v>
      </c>
      <c r="EA65" s="44">
        <f>CSX!EC5</f>
        <v>35885</v>
      </c>
      <c r="EB65" s="44">
        <f>CSX!ED5</f>
        <v>35976</v>
      </c>
      <c r="EC65" s="44">
        <f>CSX!EE5</f>
        <v>36068</v>
      </c>
      <c r="ED65" s="44">
        <f>CSX!EF5</f>
        <v>36160</v>
      </c>
      <c r="EE65" s="44" t="str">
        <f>CSX!EG5</f>
        <v>FY</v>
      </c>
      <c r="EG65" s="42" t="s">
        <v>195</v>
      </c>
      <c r="EH65" s="44">
        <f>CSX!EJ5</f>
        <v>36250</v>
      </c>
      <c r="EI65" s="44">
        <f>CSX!EK5</f>
        <v>36341</v>
      </c>
      <c r="EJ65" s="44">
        <f>CSX!EL5</f>
        <v>36433</v>
      </c>
      <c r="EK65" s="44">
        <f>CSX!EM5</f>
        <v>36525</v>
      </c>
      <c r="EL65" s="44" t="str">
        <f>CSX!EN5</f>
        <v>FY</v>
      </c>
      <c r="EN65" s="42" t="s">
        <v>195</v>
      </c>
      <c r="EO65" s="44">
        <f>CSX!EQ5</f>
        <v>36616</v>
      </c>
      <c r="EP65" s="44">
        <f>CSX!ER5</f>
        <v>36707</v>
      </c>
      <c r="EQ65" s="44">
        <f>CSX!ES5</f>
        <v>36799</v>
      </c>
      <c r="ER65" s="44">
        <f>CSX!ET5</f>
        <v>36891</v>
      </c>
      <c r="ES65" s="44" t="str">
        <f>CSX!EU5</f>
        <v>FY</v>
      </c>
      <c r="EU65" s="42" t="s">
        <v>195</v>
      </c>
      <c r="EV65" s="44">
        <f>CSX!EX5</f>
        <v>36981</v>
      </c>
      <c r="EW65" s="44">
        <f>CSX!EY5</f>
        <v>37072</v>
      </c>
      <c r="EX65" s="44">
        <f>CSX!EZ5</f>
        <v>37164</v>
      </c>
      <c r="EY65" s="44">
        <f>CSX!FA5</f>
        <v>37256</v>
      </c>
      <c r="EZ65" s="44" t="str">
        <f>CSX!FB5</f>
        <v>FY</v>
      </c>
      <c r="FB65" s="42" t="s">
        <v>195</v>
      </c>
      <c r="FC65" s="44">
        <f>CSX!FE5</f>
        <v>37346</v>
      </c>
      <c r="FD65" s="44">
        <f>CSX!FF5</f>
        <v>37437</v>
      </c>
      <c r="FE65" s="44">
        <f>CSX!FG5</f>
        <v>37529</v>
      </c>
      <c r="FF65" s="44">
        <f>CSX!FH5</f>
        <v>37621</v>
      </c>
      <c r="FG65" s="44" t="str">
        <f>CSX!FI5</f>
        <v>FY</v>
      </c>
      <c r="FI65" s="42" t="s">
        <v>195</v>
      </c>
      <c r="FJ65" s="44">
        <f>CSX!FL5</f>
        <v>37711</v>
      </c>
      <c r="FK65" s="44">
        <f>CSX!FM5</f>
        <v>37802</v>
      </c>
      <c r="FL65" s="44">
        <f>CSX!FN5</f>
        <v>37894</v>
      </c>
      <c r="FM65" s="44">
        <f>CSX!FO5</f>
        <v>37986</v>
      </c>
      <c r="FN65" s="44" t="str">
        <f>CSX!FP5</f>
        <v>FY</v>
      </c>
      <c r="FP65" s="42" t="s">
        <v>195</v>
      </c>
      <c r="FQ65" s="44">
        <f>CSX!FS5</f>
        <v>38077</v>
      </c>
      <c r="FR65" s="44">
        <f>CSX!FT5</f>
        <v>38168</v>
      </c>
      <c r="FS65" s="44">
        <f>CSX!FU5</f>
        <v>38260</v>
      </c>
      <c r="FT65" s="44">
        <f>CSX!FV5</f>
        <v>38352</v>
      </c>
      <c r="FU65" s="44" t="str">
        <f>CSX!FW5</f>
        <v>FY</v>
      </c>
      <c r="FW65" s="42" t="s">
        <v>195</v>
      </c>
      <c r="FX65" s="44">
        <f>CSX!FZ5</f>
        <v>38442</v>
      </c>
      <c r="FY65" s="44">
        <f>CSX!GA5</f>
        <v>38533</v>
      </c>
      <c r="FZ65" s="44">
        <f>CSX!GB5</f>
        <v>38625</v>
      </c>
      <c r="GA65" s="44">
        <f>CSX!GC5</f>
        <v>38717</v>
      </c>
      <c r="GB65" s="44" t="str">
        <f>CSX!GD5</f>
        <v>FY</v>
      </c>
      <c r="GD65" s="42" t="s">
        <v>195</v>
      </c>
      <c r="GE65" s="44">
        <f>CSX!GG5</f>
        <v>38807</v>
      </c>
      <c r="GF65" s="44">
        <f>CSX!GH5</f>
        <v>38898</v>
      </c>
      <c r="GG65" s="44">
        <f>CSX!GI5</f>
        <v>38990</v>
      </c>
      <c r="GH65" s="44">
        <f>CSX!GJ5</f>
        <v>39082</v>
      </c>
      <c r="GI65" s="44" t="str">
        <f>CSX!GK5</f>
        <v>FY</v>
      </c>
      <c r="GK65" s="42" t="s">
        <v>195</v>
      </c>
      <c r="GL65" s="44">
        <f>CSX!GN5</f>
        <v>39172</v>
      </c>
      <c r="GM65" s="44">
        <f>CSX!GO5</f>
        <v>39263</v>
      </c>
      <c r="GN65" s="44">
        <f>CSX!GP5</f>
        <v>39355</v>
      </c>
      <c r="GO65" s="44">
        <f>CSX!GQ5</f>
        <v>39447</v>
      </c>
      <c r="GP65" s="44" t="str">
        <f>CSX!GR5</f>
        <v>FY</v>
      </c>
      <c r="GR65" s="42" t="s">
        <v>195</v>
      </c>
      <c r="GS65" s="44">
        <f>CSX!GU5</f>
        <v>39538</v>
      </c>
      <c r="GT65" s="44">
        <f>CSX!GV5</f>
        <v>39629</v>
      </c>
      <c r="GU65" s="44">
        <f>CSX!GW5</f>
        <v>39721</v>
      </c>
      <c r="GV65" s="44">
        <f>CSX!GX5</f>
        <v>39813</v>
      </c>
      <c r="GW65" s="44" t="str">
        <f>CSX!GY5</f>
        <v>FY</v>
      </c>
      <c r="GY65" s="42" t="s">
        <v>195</v>
      </c>
      <c r="GZ65" s="44">
        <f>CSX!HB5</f>
        <v>39903</v>
      </c>
      <c r="HA65" s="44">
        <f>CSX!HC5</f>
        <v>39994</v>
      </c>
      <c r="HB65" s="44">
        <f>CSX!HD5</f>
        <v>40086</v>
      </c>
      <c r="HC65" s="44">
        <f>CSX!HE5</f>
        <v>40178</v>
      </c>
      <c r="HD65" s="44" t="str">
        <f>CSX!HF5</f>
        <v>FY</v>
      </c>
      <c r="HF65" s="42" t="s">
        <v>195</v>
      </c>
      <c r="HG65" s="44">
        <f>CSX!HI5</f>
        <v>40268</v>
      </c>
      <c r="HH65" s="44">
        <f>CSX!HJ5</f>
        <v>40359</v>
      </c>
      <c r="HI65" s="44">
        <f>CSX!HK5</f>
        <v>40451</v>
      </c>
      <c r="HJ65" s="44">
        <f>CSX!HL5</f>
        <v>40543</v>
      </c>
      <c r="HK65" s="44" t="str">
        <f>CSX!HM5</f>
        <v>FY</v>
      </c>
      <c r="HM65" s="42" t="s">
        <v>195</v>
      </c>
      <c r="HN65" s="44">
        <f>CSX!HP5</f>
        <v>40633</v>
      </c>
      <c r="HO65" s="44">
        <f>CSX!HQ5</f>
        <v>40724</v>
      </c>
      <c r="HP65" s="44">
        <f>CSX!HR5</f>
        <v>40816</v>
      </c>
      <c r="HQ65" s="44">
        <f>CSX!HS5</f>
        <v>40908</v>
      </c>
      <c r="HR65" s="44" t="str">
        <f>CSX!HT5</f>
        <v>FY</v>
      </c>
      <c r="HT65" s="42" t="s">
        <v>195</v>
      </c>
      <c r="HU65" s="44">
        <f>CSX!HW5</f>
        <v>40999</v>
      </c>
      <c r="HV65" s="44">
        <f>CSX!HX5</f>
        <v>41090</v>
      </c>
      <c r="HW65" s="44">
        <f>CSX!HY5</f>
        <v>41182</v>
      </c>
      <c r="HX65" s="44">
        <f>CSX!HZ5</f>
        <v>41274</v>
      </c>
      <c r="HY65" s="44" t="str">
        <f>CSX!IA5</f>
        <v>FY</v>
      </c>
      <c r="IA65" s="42" t="s">
        <v>195</v>
      </c>
      <c r="IB65" s="44">
        <f>CSX!ID5</f>
        <v>41364</v>
      </c>
      <c r="IC65" s="44">
        <f>CSX!IE5</f>
        <v>41455</v>
      </c>
      <c r="ID65" s="44">
        <f>CSX!IF5</f>
        <v>41547</v>
      </c>
      <c r="IE65" s="44">
        <f>CSX!IG5</f>
        <v>41639</v>
      </c>
      <c r="IF65" s="44" t="str">
        <f>CSX!IH5</f>
        <v>FY</v>
      </c>
      <c r="IH65" s="42" t="s">
        <v>195</v>
      </c>
      <c r="II65" s="44">
        <f>CSX!IK5</f>
        <v>41729</v>
      </c>
      <c r="IJ65" s="44">
        <f>CSX!IL5</f>
        <v>41820</v>
      </c>
      <c r="IK65" s="44">
        <f>CSX!IM5</f>
        <v>41912</v>
      </c>
      <c r="IL65" s="44">
        <f>CSX!IN5</f>
        <v>42004</v>
      </c>
      <c r="IM65" s="44" t="str">
        <f>CSX!IO5</f>
        <v>FY</v>
      </c>
      <c r="IO65" s="42" t="s">
        <v>195</v>
      </c>
      <c r="IP65" s="44">
        <f>CSX!IR5</f>
        <v>42094</v>
      </c>
      <c r="IQ65" s="44">
        <f>CSX!IS5</f>
        <v>42185</v>
      </c>
      <c r="IR65" s="44">
        <f>CSX!IT5</f>
        <v>42277</v>
      </c>
      <c r="IS65" s="44">
        <f>CSX!IU5</f>
        <v>42369</v>
      </c>
      <c r="IT65" s="44" t="str">
        <f>CSX!IV5</f>
        <v>FY</v>
      </c>
      <c r="IV65" s="42" t="s">
        <v>195</v>
      </c>
      <c r="IW65" s="44">
        <f>CSX!IY5</f>
        <v>42460</v>
      </c>
      <c r="IX65" s="44">
        <f>CSX!IZ5</f>
        <v>42551</v>
      </c>
      <c r="IY65" s="44">
        <f>CSX!JA5</f>
        <v>42643</v>
      </c>
      <c r="IZ65" s="44">
        <f>CSX!JB5</f>
        <v>42735</v>
      </c>
      <c r="JA65" s="44" t="str">
        <f>CSX!JC5</f>
        <v>FY</v>
      </c>
      <c r="JC65" s="42" t="s">
        <v>195</v>
      </c>
      <c r="JD65" s="44">
        <f>CSX!JF5</f>
        <v>42825</v>
      </c>
      <c r="JE65" s="44">
        <f>CSX!JG5</f>
        <v>42916</v>
      </c>
      <c r="JF65" s="44">
        <f>CSX!JH5</f>
        <v>43008</v>
      </c>
      <c r="JG65" s="44">
        <f>CSX!JI5</f>
        <v>43100</v>
      </c>
      <c r="JH65" s="44" t="str">
        <f>CSX!JJ5</f>
        <v>FY</v>
      </c>
      <c r="JJ65" s="42" t="s">
        <v>195</v>
      </c>
      <c r="JK65" s="44">
        <f>CSX!JM5</f>
        <v>43190</v>
      </c>
      <c r="JL65" s="44">
        <f>CSX!JN5</f>
        <v>43281</v>
      </c>
      <c r="JM65" s="44">
        <f>CSX!JO5</f>
        <v>43373</v>
      </c>
      <c r="JN65" s="44">
        <f>CSX!JP5</f>
        <v>43465</v>
      </c>
      <c r="JO65" s="44" t="str">
        <f>CSX!JQ5</f>
        <v>FY</v>
      </c>
      <c r="JQ65" s="42" t="s">
        <v>195</v>
      </c>
      <c r="JR65" s="44">
        <f>CSX!JT5</f>
        <v>43555</v>
      </c>
      <c r="JS65" s="44">
        <f>CSX!JU5</f>
        <v>43646</v>
      </c>
      <c r="JT65" s="44">
        <f>CSX!JV5</f>
        <v>43738</v>
      </c>
      <c r="JU65" s="44">
        <f>CSX!JW5</f>
        <v>43830</v>
      </c>
      <c r="JV65" s="44" t="str">
        <f>CSX!JX5</f>
        <v>FY</v>
      </c>
      <c r="JX65" s="42" t="s">
        <v>195</v>
      </c>
      <c r="JY65" s="44">
        <f>CSX!KA5</f>
        <v>43921</v>
      </c>
      <c r="JZ65" s="44">
        <f>CSX!KB5</f>
        <v>44012</v>
      </c>
      <c r="KA65" s="44">
        <f>CSX!KC5</f>
        <v>44104</v>
      </c>
      <c r="KB65" s="44">
        <f>CSX!KD5</f>
        <v>44196</v>
      </c>
      <c r="KC65" s="44" t="str">
        <f>CSX!KE5</f>
        <v>FY</v>
      </c>
      <c r="KE65" s="42" t="s">
        <v>195</v>
      </c>
      <c r="KF65" s="44">
        <f>CSX!KH5</f>
        <v>44286</v>
      </c>
      <c r="KG65" s="44">
        <f>CSX!KI5</f>
        <v>44377</v>
      </c>
      <c r="KH65" s="44">
        <f>CSX!KJ5</f>
        <v>44469</v>
      </c>
      <c r="KI65" s="44">
        <f>CSX!KK5</f>
        <v>44561</v>
      </c>
      <c r="KJ65" s="44" t="str">
        <f>CSX!KL5</f>
        <v>FY</v>
      </c>
      <c r="KL65" s="42" t="s">
        <v>195</v>
      </c>
      <c r="KM65" s="44">
        <f>CSX!KO5</f>
        <v>44651</v>
      </c>
      <c r="KN65" s="44">
        <f>CSX!KP5</f>
        <v>44742</v>
      </c>
      <c r="KO65" s="44">
        <f>CSX!KQ5</f>
        <v>44834</v>
      </c>
      <c r="KP65" s="44">
        <f>CSX!KR5</f>
        <v>44926</v>
      </c>
      <c r="KQ65" s="44" t="str">
        <f>CSX!KS5</f>
        <v>FY</v>
      </c>
      <c r="KS65" s="42" t="s">
        <v>195</v>
      </c>
      <c r="KT65" s="44">
        <f>CSX!KV5</f>
        <v>45016</v>
      </c>
      <c r="KU65" s="44">
        <f>CSX!KW5</f>
        <v>45107</v>
      </c>
      <c r="KV65" s="44">
        <f>CSX!KX5</f>
        <v>45199</v>
      </c>
      <c r="KW65" s="44">
        <f>CSX!KY5</f>
        <v>45291</v>
      </c>
      <c r="KX65" s="44" t="str">
        <f>CSX!KZ5</f>
        <v>FY</v>
      </c>
      <c r="KZ65" s="42" t="s">
        <v>195</v>
      </c>
      <c r="LA65" s="44">
        <f>CSX!LC5</f>
        <v>45382</v>
      </c>
      <c r="LB65" s="44">
        <f>CSX!LD5</f>
        <v>45473</v>
      </c>
      <c r="LC65" s="44">
        <f>CSX!LE5</f>
        <v>45565</v>
      </c>
      <c r="LD65" s="44">
        <f>CSX!LF5</f>
        <v>45657</v>
      </c>
      <c r="LE65" s="44" t="str">
        <f>CSX!LG5</f>
        <v>FY</v>
      </c>
      <c r="LF65" s="547"/>
      <c r="LG65" s="42" t="s">
        <v>195</v>
      </c>
      <c r="LH65" s="44">
        <f>CSX!LJ5</f>
        <v>45747</v>
      </c>
      <c r="LI65" s="44">
        <f>CSX!LK5</f>
        <v>45838</v>
      </c>
      <c r="LJ65" s="44">
        <f>CSX!LL5</f>
        <v>45930</v>
      </c>
      <c r="LK65" s="44">
        <f>CSX!LM5</f>
        <v>46022</v>
      </c>
      <c r="LL65" s="44" t="str">
        <f>CSX!LN5</f>
        <v>FY</v>
      </c>
      <c r="LM65" s="547"/>
      <c r="LN65" s="42" t="s">
        <v>195</v>
      </c>
      <c r="LO65" s="44">
        <f>CSX!LQ5</f>
        <v>46112</v>
      </c>
      <c r="LP65" s="44">
        <f>CSX!LR5</f>
        <v>46203</v>
      </c>
      <c r="LQ65" s="44">
        <f>CSX!LS5</f>
        <v>46295</v>
      </c>
      <c r="LR65" s="44">
        <f>CSX!LT5</f>
        <v>46387</v>
      </c>
      <c r="LS65" s="44" t="str">
        <f>CSX!LU5</f>
        <v>FY</v>
      </c>
      <c r="LT65" s="547"/>
      <c r="LU65" s="42" t="s">
        <v>195</v>
      </c>
      <c r="LV65" s="44">
        <f>CSX!LX5</f>
        <v>46477</v>
      </c>
      <c r="LW65" s="44">
        <f>CSX!LY5</f>
        <v>46568</v>
      </c>
      <c r="LX65" s="44">
        <f>CSX!LZ5</f>
        <v>46660</v>
      </c>
      <c r="LY65" s="44">
        <f>CSX!MA5</f>
        <v>46752</v>
      </c>
      <c r="LZ65" s="44" t="str">
        <f>CSX!MB5</f>
        <v>FY</v>
      </c>
      <c r="MA65" s="547"/>
      <c r="MB65" s="42" t="s">
        <v>195</v>
      </c>
      <c r="MC65" s="44">
        <f>CSX!ME5</f>
        <v>46843</v>
      </c>
      <c r="MD65" s="44">
        <f>CSX!MF5</f>
        <v>46934</v>
      </c>
      <c r="ME65" s="44">
        <f>CSX!MG5</f>
        <v>47026</v>
      </c>
      <c r="MF65" s="44">
        <f>CSX!MH5</f>
        <v>47118</v>
      </c>
      <c r="MG65" s="44" t="str">
        <f>CSX!MI5</f>
        <v>FY</v>
      </c>
      <c r="MH65" s="547"/>
    </row>
    <row r="66" spans="1:346" s="37" customFormat="1" ht="13.5" thickBot="1" x14ac:dyDescent="0.45">
      <c r="A66" s="96"/>
      <c r="B66" s="36"/>
      <c r="BO66" s="36"/>
      <c r="BV66" s="36"/>
      <c r="CC66" s="36"/>
      <c r="CJ66" s="36"/>
      <c r="CQ66" s="36"/>
      <c r="CX66" s="36"/>
      <c r="DE66" s="36"/>
      <c r="DL66" s="36"/>
      <c r="DS66" s="36"/>
      <c r="DZ66" s="36"/>
      <c r="EG66" s="36"/>
      <c r="EN66" s="36"/>
      <c r="EU66" s="36"/>
      <c r="FB66" s="36"/>
      <c r="FI66" s="36"/>
      <c r="FP66" s="36"/>
      <c r="FW66" s="36"/>
      <c r="GD66" s="36"/>
      <c r="GK66" s="36"/>
      <c r="GR66" s="36"/>
      <c r="GY66" s="36"/>
      <c r="HF66" s="36"/>
      <c r="HM66" s="36"/>
      <c r="HT66" s="36"/>
      <c r="IA66" s="36"/>
      <c r="IH66" s="36"/>
      <c r="IO66" s="36"/>
      <c r="IV66" s="36"/>
      <c r="JC66" s="36"/>
      <c r="JJ66" s="36"/>
      <c r="JQ66" s="36"/>
      <c r="JX66" s="36"/>
      <c r="KE66" s="36"/>
      <c r="KL66" s="36"/>
      <c r="KS66" s="36"/>
      <c r="KZ66" s="36"/>
      <c r="LF66" s="565"/>
      <c r="LG66" s="36"/>
      <c r="LM66" s="565"/>
      <c r="LN66" s="36"/>
      <c r="LT66" s="565"/>
      <c r="LU66" s="36"/>
      <c r="MA66" s="565"/>
      <c r="MB66" s="36"/>
      <c r="MH66" s="565"/>
    </row>
    <row r="67" spans="1:346" s="37" customFormat="1" ht="13.5" thickBot="1" x14ac:dyDescent="0.45">
      <c r="A67" s="97"/>
      <c r="B67" s="98" t="s">
        <v>148</v>
      </c>
      <c r="C67" s="99"/>
      <c r="D67" s="99"/>
      <c r="E67" s="99"/>
      <c r="F67" s="99"/>
      <c r="G67" s="99"/>
      <c r="H67" s="99"/>
      <c r="I67" s="99"/>
      <c r="J67" s="99"/>
      <c r="K67" s="99"/>
      <c r="L67" s="99"/>
      <c r="M67" s="99"/>
      <c r="N67" s="99"/>
      <c r="O67" s="99"/>
      <c r="P67" s="99"/>
      <c r="Q67" s="99"/>
      <c r="R67" s="99"/>
      <c r="S67" s="99"/>
      <c r="T67" s="99"/>
      <c r="U67" s="99"/>
      <c r="V67" s="99"/>
      <c r="W67" s="99"/>
      <c r="X67" s="99"/>
      <c r="Y67" s="99"/>
      <c r="Z67" s="99"/>
      <c r="AA67" s="99"/>
      <c r="AB67" s="99"/>
      <c r="AC67" s="99"/>
      <c r="AD67" s="99"/>
      <c r="AE67" s="99"/>
      <c r="AF67" s="99"/>
      <c r="AG67" s="99"/>
      <c r="AH67" s="99"/>
      <c r="AI67" s="99"/>
      <c r="AJ67" s="99"/>
      <c r="AK67" s="99"/>
      <c r="AL67" s="99"/>
      <c r="AM67" s="99"/>
      <c r="AN67" s="99"/>
      <c r="AO67" s="99"/>
      <c r="AP67" s="99"/>
      <c r="AQ67" s="99"/>
      <c r="AR67" s="99"/>
      <c r="AS67" s="99"/>
      <c r="AT67" s="99"/>
      <c r="AU67" s="99"/>
      <c r="AV67" s="99"/>
      <c r="AW67" s="99"/>
      <c r="AX67" s="99"/>
      <c r="AY67" s="99"/>
      <c r="AZ67" s="99"/>
      <c r="BA67" s="99"/>
      <c r="BB67" s="99"/>
      <c r="BC67" s="99"/>
      <c r="BD67" s="99"/>
      <c r="BE67" s="99"/>
      <c r="BF67" s="99"/>
      <c r="BG67" s="99"/>
      <c r="BH67" s="99"/>
      <c r="BI67" s="99"/>
      <c r="BJ67" s="99"/>
      <c r="BK67" s="99"/>
      <c r="BL67" s="99"/>
      <c r="BM67" s="99"/>
      <c r="BO67" s="98" t="s">
        <v>148</v>
      </c>
      <c r="BP67" s="99"/>
      <c r="BQ67" s="99"/>
      <c r="BR67" s="99"/>
      <c r="BS67" s="99"/>
      <c r="BT67" s="99"/>
      <c r="BV67" s="98" t="s">
        <v>148</v>
      </c>
      <c r="BW67" s="99"/>
      <c r="BX67" s="99"/>
      <c r="BY67" s="99"/>
      <c r="BZ67" s="99"/>
      <c r="CA67" s="99"/>
      <c r="CC67" s="98" t="s">
        <v>148</v>
      </c>
      <c r="CD67" s="99"/>
      <c r="CE67" s="99"/>
      <c r="CF67" s="99"/>
      <c r="CG67" s="99"/>
      <c r="CH67" s="99"/>
      <c r="CJ67" s="98" t="s">
        <v>148</v>
      </c>
      <c r="CK67" s="99"/>
      <c r="CL67" s="99"/>
      <c r="CM67" s="99"/>
      <c r="CN67" s="99"/>
      <c r="CO67" s="99"/>
      <c r="CQ67" s="98" t="s">
        <v>148</v>
      </c>
      <c r="CR67" s="99"/>
      <c r="CS67" s="99"/>
      <c r="CT67" s="99"/>
      <c r="CU67" s="99"/>
      <c r="CV67" s="99"/>
      <c r="CX67" s="98" t="s">
        <v>148</v>
      </c>
      <c r="CY67" s="99"/>
      <c r="CZ67" s="99"/>
      <c r="DA67" s="99"/>
      <c r="DB67" s="99"/>
      <c r="DC67" s="99"/>
      <c r="DE67" s="98" t="s">
        <v>148</v>
      </c>
      <c r="DF67" s="99"/>
      <c r="DG67" s="99"/>
      <c r="DH67" s="99"/>
      <c r="DI67" s="99"/>
      <c r="DJ67" s="99"/>
      <c r="DL67" s="98" t="s">
        <v>148</v>
      </c>
      <c r="DM67" s="99"/>
      <c r="DN67" s="99"/>
      <c r="DO67" s="99"/>
      <c r="DP67" s="99"/>
      <c r="DQ67" s="99"/>
      <c r="DS67" s="98" t="s">
        <v>148</v>
      </c>
      <c r="DT67" s="99"/>
      <c r="DU67" s="99"/>
      <c r="DV67" s="99"/>
      <c r="DW67" s="99"/>
      <c r="DX67" s="99"/>
      <c r="DZ67" s="98" t="s">
        <v>148</v>
      </c>
      <c r="EA67" s="99"/>
      <c r="EB67" s="99"/>
      <c r="EC67" s="99"/>
      <c r="ED67" s="99"/>
      <c r="EE67" s="99"/>
      <c r="EG67" s="98" t="s">
        <v>148</v>
      </c>
      <c r="EH67" s="99"/>
      <c r="EI67" s="99"/>
      <c r="EJ67" s="99"/>
      <c r="EK67" s="99"/>
      <c r="EL67" s="99"/>
      <c r="EN67" s="98" t="s">
        <v>148</v>
      </c>
      <c r="EO67" s="99"/>
      <c r="EP67" s="99"/>
      <c r="EQ67" s="99"/>
      <c r="ER67" s="99"/>
      <c r="ES67" s="99"/>
      <c r="EU67" s="98" t="s">
        <v>148</v>
      </c>
      <c r="EV67" s="99"/>
      <c r="EW67" s="99"/>
      <c r="EX67" s="99"/>
      <c r="EY67" s="99"/>
      <c r="EZ67" s="99"/>
      <c r="FB67" s="98" t="s">
        <v>148</v>
      </c>
      <c r="FC67" s="99"/>
      <c r="FD67" s="99"/>
      <c r="FE67" s="99"/>
      <c r="FF67" s="99"/>
      <c r="FG67" s="99"/>
      <c r="FI67" s="98" t="s">
        <v>148</v>
      </c>
      <c r="FJ67" s="99"/>
      <c r="FK67" s="99"/>
      <c r="FL67" s="99"/>
      <c r="FM67" s="99"/>
      <c r="FN67" s="99"/>
      <c r="FP67" s="98" t="s">
        <v>148</v>
      </c>
      <c r="FQ67" s="99"/>
      <c r="FR67" s="99"/>
      <c r="FS67" s="99"/>
      <c r="FT67" s="99"/>
      <c r="FU67" s="99"/>
      <c r="FW67" s="98" t="s">
        <v>148</v>
      </c>
      <c r="FX67" s="99"/>
      <c r="FY67" s="99"/>
      <c r="FZ67" s="99"/>
      <c r="GA67" s="99"/>
      <c r="GB67" s="99"/>
      <c r="GD67" s="98" t="s">
        <v>148</v>
      </c>
      <c r="GE67" s="99"/>
      <c r="GF67" s="99"/>
      <c r="GG67" s="99"/>
      <c r="GH67" s="99"/>
      <c r="GI67" s="99"/>
      <c r="GK67" s="98" t="s">
        <v>148</v>
      </c>
      <c r="GL67" s="99"/>
      <c r="GM67" s="99"/>
      <c r="GN67" s="99"/>
      <c r="GO67" s="99"/>
      <c r="GP67" s="99"/>
      <c r="GR67" s="98" t="s">
        <v>148</v>
      </c>
      <c r="GS67" s="99"/>
      <c r="GT67" s="99"/>
      <c r="GU67" s="99"/>
      <c r="GV67" s="99"/>
      <c r="GW67" s="99"/>
      <c r="GY67" s="98" t="s">
        <v>148</v>
      </c>
      <c r="GZ67" s="99"/>
      <c r="HA67" s="99"/>
      <c r="HB67" s="99"/>
      <c r="HC67" s="99"/>
      <c r="HD67" s="99"/>
      <c r="HF67" s="98" t="s">
        <v>148</v>
      </c>
      <c r="HG67" s="99"/>
      <c r="HH67" s="99"/>
      <c r="HI67" s="99"/>
      <c r="HJ67" s="99"/>
      <c r="HK67" s="99"/>
      <c r="HM67" s="98" t="s">
        <v>148</v>
      </c>
      <c r="HN67" s="99"/>
      <c r="HO67" s="99"/>
      <c r="HP67" s="99"/>
      <c r="HQ67" s="99"/>
      <c r="HR67" s="99"/>
      <c r="HT67" s="98" t="s">
        <v>148</v>
      </c>
      <c r="HU67" s="99"/>
      <c r="HV67" s="99"/>
      <c r="HW67" s="99"/>
      <c r="HX67" s="99"/>
      <c r="HY67" s="99"/>
      <c r="IA67" s="98" t="s">
        <v>148</v>
      </c>
      <c r="IB67" s="99"/>
      <c r="IC67" s="99"/>
      <c r="ID67" s="99"/>
      <c r="IE67" s="99"/>
      <c r="IF67" s="99"/>
      <c r="IH67" s="98" t="s">
        <v>148</v>
      </c>
      <c r="II67" s="99"/>
      <c r="IJ67" s="99"/>
      <c r="IK67" s="99"/>
      <c r="IL67" s="99"/>
      <c r="IM67" s="99"/>
      <c r="IO67" s="98" t="s">
        <v>148</v>
      </c>
      <c r="IP67" s="99"/>
      <c r="IQ67" s="99"/>
      <c r="IR67" s="99"/>
      <c r="IS67" s="99"/>
      <c r="IT67" s="99"/>
      <c r="IV67" s="98" t="s">
        <v>148</v>
      </c>
      <c r="IW67" s="99"/>
      <c r="IX67" s="99"/>
      <c r="IY67" s="99"/>
      <c r="IZ67" s="99"/>
      <c r="JA67" s="99"/>
      <c r="JC67" s="98" t="s">
        <v>148</v>
      </c>
      <c r="JD67" s="99"/>
      <c r="JE67" s="99"/>
      <c r="JF67" s="99"/>
      <c r="JG67" s="99"/>
      <c r="JH67" s="99"/>
      <c r="JJ67" s="98" t="s">
        <v>148</v>
      </c>
      <c r="JK67" s="99"/>
      <c r="JL67" s="99"/>
      <c r="JM67" s="99"/>
      <c r="JN67" s="99"/>
      <c r="JO67" s="99"/>
      <c r="JQ67" s="98" t="s">
        <v>148</v>
      </c>
      <c r="JR67" s="99"/>
      <c r="JS67" s="99"/>
      <c r="JT67" s="99"/>
      <c r="JU67" s="99"/>
      <c r="JV67" s="99"/>
      <c r="JX67" s="98" t="s">
        <v>148</v>
      </c>
      <c r="JY67" s="99"/>
      <c r="JZ67" s="99"/>
      <c r="KA67" s="99"/>
      <c r="KB67" s="99"/>
      <c r="KC67" s="99"/>
      <c r="KE67" s="98" t="s">
        <v>148</v>
      </c>
      <c r="KF67" s="99"/>
      <c r="KG67" s="99"/>
      <c r="KH67" s="99"/>
      <c r="KI67" s="99"/>
      <c r="KJ67" s="99"/>
      <c r="KL67" s="98" t="s">
        <v>148</v>
      </c>
      <c r="KM67" s="99"/>
      <c r="KN67" s="99"/>
      <c r="KO67" s="99"/>
      <c r="KP67" s="99"/>
      <c r="KQ67" s="99"/>
      <c r="KS67" s="98" t="s">
        <v>148</v>
      </c>
      <c r="KT67" s="99"/>
      <c r="KU67" s="99"/>
      <c r="KV67" s="99"/>
      <c r="KW67" s="99"/>
      <c r="KX67" s="99"/>
      <c r="KZ67" s="98" t="s">
        <v>148</v>
      </c>
      <c r="LA67" s="99"/>
      <c r="LB67" s="99"/>
      <c r="LC67" s="99"/>
      <c r="LD67" s="99"/>
      <c r="LE67" s="99"/>
      <c r="LF67" s="565"/>
      <c r="LG67" s="98" t="s">
        <v>148</v>
      </c>
      <c r="LH67" s="99"/>
      <c r="LI67" s="99"/>
      <c r="LJ67" s="99"/>
      <c r="LK67" s="99"/>
      <c r="LL67" s="99"/>
      <c r="LM67" s="565"/>
      <c r="LN67" s="98" t="s">
        <v>148</v>
      </c>
      <c r="LO67" s="99"/>
      <c r="LP67" s="99"/>
      <c r="LQ67" s="99"/>
      <c r="LR67" s="99"/>
      <c r="LS67" s="99"/>
      <c r="LT67" s="565"/>
      <c r="LU67" s="98" t="s">
        <v>148</v>
      </c>
      <c r="LV67" s="99"/>
      <c r="LW67" s="99"/>
      <c r="LX67" s="99"/>
      <c r="LY67" s="99"/>
      <c r="LZ67" s="99"/>
      <c r="MA67" s="565"/>
      <c r="MB67" s="98" t="s">
        <v>148</v>
      </c>
      <c r="MC67" s="99"/>
      <c r="MD67" s="99"/>
      <c r="ME67" s="99"/>
      <c r="MF67" s="99"/>
      <c r="MG67" s="99"/>
      <c r="MH67" s="565"/>
    </row>
    <row r="68" spans="1:346" s="37" customFormat="1" ht="13.15" x14ac:dyDescent="0.4">
      <c r="A68" s="97"/>
      <c r="B68" s="36"/>
      <c r="BO68" s="36"/>
      <c r="BV68" s="36"/>
      <c r="CC68" s="36"/>
      <c r="CJ68" s="36"/>
      <c r="CQ68" s="36"/>
      <c r="CX68" s="36"/>
      <c r="DE68" s="36"/>
      <c r="DL68" s="36"/>
      <c r="DS68" s="36"/>
      <c r="DZ68" s="36"/>
      <c r="EG68" s="36"/>
      <c r="EN68" s="36"/>
      <c r="EU68" s="36"/>
      <c r="FB68" s="36"/>
      <c r="FI68" s="36"/>
      <c r="FP68" s="36"/>
      <c r="FW68" s="36"/>
      <c r="GD68" s="36"/>
      <c r="GK68" s="36"/>
      <c r="GR68" s="36"/>
      <c r="GY68" s="36"/>
      <c r="HF68" s="36"/>
      <c r="HM68" s="36"/>
      <c r="HT68" s="36"/>
      <c r="IA68" s="36"/>
      <c r="IH68" s="36"/>
      <c r="IO68" s="36"/>
      <c r="IV68" s="36"/>
      <c r="JC68" s="36"/>
      <c r="JJ68" s="36"/>
      <c r="JQ68" s="36"/>
      <c r="JX68" s="36"/>
      <c r="KE68" s="36"/>
      <c r="KL68" s="36"/>
      <c r="KS68" s="36"/>
      <c r="KZ68" s="36"/>
      <c r="LF68" s="565"/>
      <c r="LG68" s="36"/>
      <c r="LM68" s="565"/>
      <c r="LN68" s="36"/>
      <c r="LT68" s="565"/>
      <c r="LU68" s="36"/>
      <c r="MA68" s="565"/>
      <c r="MB68" s="36"/>
      <c r="MH68" s="565"/>
    </row>
    <row r="69" spans="1:346" s="158" customFormat="1" ht="13.15" x14ac:dyDescent="0.4">
      <c r="A69" s="604"/>
      <c r="B69" s="605" t="s">
        <v>31</v>
      </c>
      <c r="C69" s="606"/>
      <c r="D69" s="606"/>
      <c r="E69" s="606">
        <v>392.6</v>
      </c>
      <c r="F69" s="606">
        <v>377.6</v>
      </c>
      <c r="G69" s="606">
        <v>313.7</v>
      </c>
      <c r="H69" s="606">
        <v>321</v>
      </c>
      <c r="I69" s="606">
        <v>335</v>
      </c>
      <c r="J69" s="606">
        <v>310</v>
      </c>
      <c r="K69" s="606">
        <v>318</v>
      </c>
      <c r="L69" s="606">
        <v>354</v>
      </c>
      <c r="M69" s="606">
        <v>378</v>
      </c>
      <c r="N69" s="607">
        <f t="shared" ref="N69:N78" si="313">BT69</f>
        <v>374</v>
      </c>
      <c r="O69" s="607">
        <f t="shared" ref="O69:O78" si="314">CA69</f>
        <v>370</v>
      </c>
      <c r="P69" s="607">
        <f t="shared" ref="P69:P78" si="315">CH69</f>
        <v>347</v>
      </c>
      <c r="Q69" s="607">
        <f t="shared" ref="Q69:Q78" si="316">CO69</f>
        <v>356</v>
      </c>
      <c r="R69" s="607">
        <f t="shared" ref="R69:R78" si="317">CV69</f>
        <v>371</v>
      </c>
      <c r="S69" s="607">
        <f t="shared" ref="S69:S78" si="318">DC69</f>
        <v>386</v>
      </c>
      <c r="T69" s="607">
        <f t="shared" ref="T69:T78" si="319">DJ69</f>
        <v>406</v>
      </c>
      <c r="U69" s="607">
        <f t="shared" ref="U69:U78" si="320">DQ69</f>
        <v>409</v>
      </c>
      <c r="V69" s="607">
        <f t="shared" ref="V69:V78" si="321">DX69</f>
        <v>435</v>
      </c>
      <c r="W69" s="607">
        <f t="shared" ref="W69:W78" si="322">EE69</f>
        <v>444</v>
      </c>
      <c r="X69" s="607">
        <f t="shared" ref="X69:X78" si="323">EL69</f>
        <v>545</v>
      </c>
      <c r="Y69" s="607">
        <f t="shared" ref="Y69:Y78" si="324">ES69</f>
        <v>564</v>
      </c>
      <c r="Z69" s="607">
        <f t="shared" ref="Z69:Z78" si="325">EZ69</f>
        <v>540</v>
      </c>
      <c r="AA69" s="607">
        <f t="shared" ref="AA69:AA78" si="326">FG69</f>
        <v>542</v>
      </c>
      <c r="AB69" s="607">
        <f t="shared" ref="AB69:AB78" si="327">FN69</f>
        <v>541</v>
      </c>
      <c r="AC69" s="607">
        <f t="shared" ref="AC69:AC78" si="328">FU69</f>
        <v>564</v>
      </c>
      <c r="AD69" s="607">
        <f t="shared" ref="AD69:AD78" si="329">GB69</f>
        <v>533</v>
      </c>
      <c r="AE69" s="607">
        <f t="shared" ref="AE69:AE78" si="330">GI69</f>
        <v>528</v>
      </c>
      <c r="AF69" s="607">
        <f t="shared" ref="AF69:AF78" si="331">GP69</f>
        <v>527</v>
      </c>
      <c r="AG69" s="607">
        <f t="shared" ref="AG69:AG78" si="332">GW69</f>
        <v>493</v>
      </c>
      <c r="AH69" s="607">
        <f t="shared" ref="AH69:AH78" si="333">HD69</f>
        <v>424</v>
      </c>
      <c r="AI69" s="607">
        <f t="shared" ref="AI69:AI78" si="334">HK69</f>
        <v>461</v>
      </c>
      <c r="AJ69" s="607">
        <f t="shared" ref="AJ69:AJ78" si="335">HR69</f>
        <v>462</v>
      </c>
      <c r="AK69" s="607">
        <f t="shared" ref="AK69:AK78" si="336">HY69</f>
        <v>471</v>
      </c>
      <c r="AL69" s="607">
        <f t="shared" ref="AL69:AL78" si="337">IF69</f>
        <v>640</v>
      </c>
      <c r="AM69" s="607">
        <f t="shared" ref="AM69:AM78" si="338">IM69</f>
        <v>728</v>
      </c>
      <c r="AN69" s="607">
        <f t="shared" ref="AN69:AN78" si="339">IT69</f>
        <v>726</v>
      </c>
      <c r="AO69" s="607">
        <f t="shared" ref="AO69:AO78" si="340">JA69</f>
        <v>700</v>
      </c>
      <c r="AP69" s="607">
        <f t="shared" ref="AP69:AP78" si="341">JH69</f>
        <v>672</v>
      </c>
      <c r="AQ69" s="607">
        <f t="shared" ref="AQ69:AQ78" si="342">JO69</f>
        <v>675</v>
      </c>
      <c r="AR69" s="607">
        <f t="shared" ref="AR69:AR78" si="343">JV69</f>
        <v>669</v>
      </c>
      <c r="AS69" s="607">
        <f t="shared" ref="AS69:AS78" si="344">KC69</f>
        <v>664</v>
      </c>
      <c r="AT69" s="607">
        <f t="shared" ref="AT69:AT78" si="345">KJ69</f>
        <v>659</v>
      </c>
      <c r="AU69" s="607">
        <f t="shared" ref="AU69:AU78" si="346">KQ69</f>
        <v>641</v>
      </c>
      <c r="AV69" s="607">
        <f t="shared" ref="AV69:AV78" si="347">KX69</f>
        <v>642</v>
      </c>
      <c r="AW69" s="607">
        <f t="shared" ref="AW69:AW78" si="348">LE69</f>
        <v>688</v>
      </c>
      <c r="AX69" s="607">
        <f t="shared" ref="AX69:AX78" si="349">LL69</f>
        <v>655</v>
      </c>
      <c r="AY69" s="607">
        <f t="shared" ref="AY69:AY78" si="350">LS69</f>
        <v>642.61</v>
      </c>
      <c r="AZ69" s="607">
        <f t="shared" ref="AZ69:AZ78" si="351">LZ69</f>
        <v>661.88829999999996</v>
      </c>
      <c r="BA69" s="607">
        <f t="shared" ref="BA69:BA78" si="352">MG69</f>
        <v>679.65870975000007</v>
      </c>
      <c r="BB69" s="607"/>
      <c r="BC69" s="607"/>
      <c r="BD69" s="607"/>
      <c r="BE69" s="607"/>
      <c r="BF69" s="607"/>
      <c r="BG69" s="607"/>
      <c r="BH69" s="607"/>
      <c r="BI69" s="607"/>
      <c r="BJ69" s="607"/>
      <c r="BK69" s="607"/>
      <c r="BL69" s="607"/>
      <c r="BM69" s="607"/>
      <c r="BO69" s="605" t="s">
        <v>31</v>
      </c>
      <c r="BP69" s="607">
        <f>BW69+3</f>
        <v>98</v>
      </c>
      <c r="BQ69" s="607">
        <f>BX69+1</f>
        <v>94</v>
      </c>
      <c r="BR69" s="607">
        <f>BY69-1</f>
        <v>93</v>
      </c>
      <c r="BS69" s="607">
        <f>BZ69+1</f>
        <v>89</v>
      </c>
      <c r="BT69" s="607">
        <f t="shared" ref="BT69:BT75" si="353">BP69+BQ69+BR69+BS69</f>
        <v>374</v>
      </c>
      <c r="BV69" s="605" t="s">
        <v>31</v>
      </c>
      <c r="BW69" s="607">
        <v>95</v>
      </c>
      <c r="BX69" s="607">
        <v>93</v>
      </c>
      <c r="BY69" s="607">
        <v>94</v>
      </c>
      <c r="BZ69" s="607">
        <v>88</v>
      </c>
      <c r="CA69" s="607">
        <f t="shared" ref="CA69:CA75" si="354">BW69+BX69+BY69+BZ69</f>
        <v>370</v>
      </c>
      <c r="CC69" s="605" t="s">
        <v>31</v>
      </c>
      <c r="CD69" s="607">
        <v>85</v>
      </c>
      <c r="CE69" s="607">
        <v>85</v>
      </c>
      <c r="CF69" s="607">
        <v>89</v>
      </c>
      <c r="CG69" s="607">
        <v>88</v>
      </c>
      <c r="CH69" s="607">
        <f t="shared" ref="CH69:CH75" si="355">CD69+CE69+CF69+CG69</f>
        <v>347</v>
      </c>
      <c r="CJ69" s="605" t="s">
        <v>31</v>
      </c>
      <c r="CK69" s="607">
        <v>88</v>
      </c>
      <c r="CL69" s="607">
        <v>90</v>
      </c>
      <c r="CM69" s="607">
        <v>90</v>
      </c>
      <c r="CN69" s="607">
        <v>88</v>
      </c>
      <c r="CO69" s="607">
        <f t="shared" ref="CO69:CO75" si="356">CK69+CL69+CM69+CN69</f>
        <v>356</v>
      </c>
      <c r="CQ69" s="605" t="s">
        <v>31</v>
      </c>
      <c r="CR69" s="607">
        <v>90</v>
      </c>
      <c r="CS69" s="607">
        <v>93</v>
      </c>
      <c r="CT69" s="607">
        <v>94</v>
      </c>
      <c r="CU69" s="607">
        <v>94</v>
      </c>
      <c r="CV69" s="607">
        <f t="shared" ref="CV69:CV75" si="357">CR69+CS69+CT69+CU69</f>
        <v>371</v>
      </c>
      <c r="CX69" s="605" t="s">
        <v>31</v>
      </c>
      <c r="CY69" s="607">
        <v>94</v>
      </c>
      <c r="CZ69" s="607">
        <v>97</v>
      </c>
      <c r="DA69" s="607">
        <v>96</v>
      </c>
      <c r="DB69" s="607">
        <v>99</v>
      </c>
      <c r="DC69" s="607">
        <f t="shared" ref="DC69:DC75" si="358">CY69+CZ69+DA69+DB69</f>
        <v>386</v>
      </c>
      <c r="DE69" s="605" t="s">
        <v>31</v>
      </c>
      <c r="DF69" s="607">
        <v>102</v>
      </c>
      <c r="DG69" s="607">
        <v>100</v>
      </c>
      <c r="DH69" s="607">
        <v>104</v>
      </c>
      <c r="DI69" s="607">
        <v>100</v>
      </c>
      <c r="DJ69" s="607">
        <f t="shared" ref="DJ69:DJ75" si="359">DF69+DG69+DH69+DI69</f>
        <v>406</v>
      </c>
      <c r="DL69" s="605" t="s">
        <v>31</v>
      </c>
      <c r="DM69" s="607">
        <v>102</v>
      </c>
      <c r="DN69" s="607">
        <v>101</v>
      </c>
      <c r="DO69" s="607">
        <v>104</v>
      </c>
      <c r="DP69" s="607">
        <v>102</v>
      </c>
      <c r="DQ69" s="607">
        <f t="shared" ref="DQ69:DQ75" si="360">DM69+DN69+DO69+DP69</f>
        <v>409</v>
      </c>
      <c r="DS69" s="605" t="s">
        <v>31</v>
      </c>
      <c r="DT69" s="607">
        <v>108</v>
      </c>
      <c r="DU69" s="607">
        <v>109</v>
      </c>
      <c r="DV69" s="607">
        <v>109</v>
      </c>
      <c r="DW69" s="607">
        <v>109</v>
      </c>
      <c r="DX69" s="607">
        <f t="shared" ref="DX69:DX75" si="361">DT69+DU69+DV69+DW69</f>
        <v>435</v>
      </c>
      <c r="DZ69" s="605" t="s">
        <v>31</v>
      </c>
      <c r="EA69" s="607">
        <v>112</v>
      </c>
      <c r="EB69" s="607">
        <v>112</v>
      </c>
      <c r="EC69" s="607">
        <v>112</v>
      </c>
      <c r="ED69" s="607">
        <v>108</v>
      </c>
      <c r="EE69" s="607">
        <f t="shared" ref="EE69:EE75" si="362">EA69+EB69+EC69+ED69</f>
        <v>444</v>
      </c>
      <c r="EG69" s="605" t="s">
        <v>31</v>
      </c>
      <c r="EH69" s="607">
        <v>121</v>
      </c>
      <c r="EI69" s="607">
        <v>129</v>
      </c>
      <c r="EJ69" s="607">
        <v>147</v>
      </c>
      <c r="EK69" s="607">
        <v>148</v>
      </c>
      <c r="EL69" s="607">
        <f t="shared" ref="EL69:EL75" si="363">EH69+EI69+EJ69+EK69</f>
        <v>545</v>
      </c>
      <c r="EN69" s="605" t="s">
        <v>31</v>
      </c>
      <c r="EO69" s="607">
        <v>142</v>
      </c>
      <c r="EP69" s="607">
        <v>145</v>
      </c>
      <c r="EQ69" s="607">
        <v>140</v>
      </c>
      <c r="ER69" s="607">
        <v>137</v>
      </c>
      <c r="ES69" s="607">
        <f>EO69+EP69+EQ69+ER69</f>
        <v>564</v>
      </c>
      <c r="EU69" s="605" t="s">
        <v>31</v>
      </c>
      <c r="EV69" s="607">
        <v>140</v>
      </c>
      <c r="EW69" s="607">
        <v>138</v>
      </c>
      <c r="EX69" s="607">
        <v>133</v>
      </c>
      <c r="EY69" s="607">
        <v>129</v>
      </c>
      <c r="EZ69" s="607">
        <f>EV69+EW69+EX69+EY69</f>
        <v>540</v>
      </c>
      <c r="FB69" s="605" t="s">
        <v>31</v>
      </c>
      <c r="FC69" s="607">
        <v>135</v>
      </c>
      <c r="FD69" s="607">
        <v>140</v>
      </c>
      <c r="FE69" s="607">
        <v>134</v>
      </c>
      <c r="FF69" s="607">
        <v>133</v>
      </c>
      <c r="FG69" s="607">
        <f>FC69+FD69+FE69+FF69</f>
        <v>542</v>
      </c>
      <c r="FI69" s="605" t="s">
        <v>31</v>
      </c>
      <c r="FJ69" s="607">
        <v>137</v>
      </c>
      <c r="FK69" s="607">
        <v>133</v>
      </c>
      <c r="FL69" s="607">
        <v>136</v>
      </c>
      <c r="FM69" s="607">
        <v>135</v>
      </c>
      <c r="FN69" s="607">
        <f>FJ69+FK69+FL69+FM69</f>
        <v>541</v>
      </c>
      <c r="FP69" s="605" t="s">
        <v>31</v>
      </c>
      <c r="FQ69" s="607">
        <v>139</v>
      </c>
      <c r="FR69" s="607">
        <v>140</v>
      </c>
      <c r="FS69" s="607">
        <v>139</v>
      </c>
      <c r="FT69" s="607">
        <v>146</v>
      </c>
      <c r="FU69" s="607">
        <f>FQ69+FR69+FS69+FT69</f>
        <v>564</v>
      </c>
      <c r="FW69" s="605" t="s">
        <v>31</v>
      </c>
      <c r="FX69" s="607">
        <v>140</v>
      </c>
      <c r="FY69" s="607">
        <v>135</v>
      </c>
      <c r="FZ69" s="607">
        <v>131</v>
      </c>
      <c r="GA69" s="607">
        <v>127</v>
      </c>
      <c r="GB69" s="607">
        <f t="shared" ref="GB69:GB75" si="364">SUM(FX69:GA69)</f>
        <v>533</v>
      </c>
      <c r="GD69" s="605" t="s">
        <v>31</v>
      </c>
      <c r="GE69" s="607">
        <v>135</v>
      </c>
      <c r="GF69" s="607">
        <v>134</v>
      </c>
      <c r="GG69" s="607">
        <v>133</v>
      </c>
      <c r="GH69" s="607">
        <v>126</v>
      </c>
      <c r="GI69" s="607">
        <f t="shared" ref="GI69:GI75" si="365">SUM(GE69:GH69)</f>
        <v>528</v>
      </c>
      <c r="GK69" s="605" t="s">
        <v>31</v>
      </c>
      <c r="GL69" s="607">
        <v>134</v>
      </c>
      <c r="GM69" s="607">
        <v>136</v>
      </c>
      <c r="GN69" s="607">
        <v>131</v>
      </c>
      <c r="GO69" s="607">
        <v>126</v>
      </c>
      <c r="GP69" s="607">
        <f t="shared" ref="GP69:GP75" si="366">SUM(GL69:GO69)</f>
        <v>527</v>
      </c>
      <c r="GR69" s="605" t="s">
        <v>31</v>
      </c>
      <c r="GS69" s="607">
        <v>129</v>
      </c>
      <c r="GT69" s="607">
        <v>131</v>
      </c>
      <c r="GU69" s="607">
        <v>125</v>
      </c>
      <c r="GV69" s="607">
        <v>108</v>
      </c>
      <c r="GW69" s="607">
        <f t="shared" ref="GW69:GW75" si="367">SUM(GS69:GV69)</f>
        <v>493</v>
      </c>
      <c r="GY69" s="605" t="s">
        <v>31</v>
      </c>
      <c r="GZ69" s="607">
        <v>105</v>
      </c>
      <c r="HA69" s="607">
        <v>105</v>
      </c>
      <c r="HB69" s="607">
        <v>110</v>
      </c>
      <c r="HC69" s="607">
        <v>104</v>
      </c>
      <c r="HD69" s="607">
        <f t="shared" ref="HD69:HD75" si="368">SUM(GZ69:HC69)</f>
        <v>424</v>
      </c>
      <c r="HF69" s="605" t="s">
        <v>31</v>
      </c>
      <c r="HG69" s="607">
        <v>112</v>
      </c>
      <c r="HH69" s="607">
        <v>116</v>
      </c>
      <c r="HI69" s="607">
        <v>116</v>
      </c>
      <c r="HJ69" s="607">
        <v>117</v>
      </c>
      <c r="HK69" s="607">
        <f t="shared" ref="HK69:HK75" si="369">SUM(HG69:HJ69)</f>
        <v>461</v>
      </c>
      <c r="HM69" s="605" t="s">
        <v>31</v>
      </c>
      <c r="HN69" s="607">
        <v>117</v>
      </c>
      <c r="HO69" s="607">
        <v>119</v>
      </c>
      <c r="HP69" s="607">
        <v>116</v>
      </c>
      <c r="HQ69" s="607">
        <v>110</v>
      </c>
      <c r="HR69" s="607">
        <f t="shared" ref="HR69:HR75" si="370">SUM(HN69:HQ69)</f>
        <v>462</v>
      </c>
      <c r="HT69" s="605" t="s">
        <v>31</v>
      </c>
      <c r="HU69" s="607">
        <v>117</v>
      </c>
      <c r="HV69" s="607">
        <v>120</v>
      </c>
      <c r="HW69" s="607">
        <v>118</v>
      </c>
      <c r="HX69" s="607">
        <v>116</v>
      </c>
      <c r="HY69" s="607">
        <f t="shared" ref="HY69:HY75" si="371">SUM(HU69:HX69)</f>
        <v>471</v>
      </c>
      <c r="IA69" s="605" t="s">
        <v>31</v>
      </c>
      <c r="IB69" s="607">
        <v>151</v>
      </c>
      <c r="IC69" s="607">
        <v>160</v>
      </c>
      <c r="ID69" s="607">
        <v>164</v>
      </c>
      <c r="IE69" s="607">
        <v>165</v>
      </c>
      <c r="IF69" s="607">
        <f t="shared" ref="IF69:IF75" si="372">SUM(IB69:IE69)</f>
        <v>640</v>
      </c>
      <c r="IH69" s="605" t="s">
        <v>31</v>
      </c>
      <c r="II69" s="607">
        <v>165</v>
      </c>
      <c r="IJ69" s="607">
        <v>186</v>
      </c>
      <c r="IK69" s="607">
        <v>189</v>
      </c>
      <c r="IL69" s="607">
        <v>188</v>
      </c>
      <c r="IM69" s="607">
        <f t="shared" ref="IM69:IM75" si="373">SUM(II69:IL69)</f>
        <v>728</v>
      </c>
      <c r="IO69" s="605" t="s">
        <v>31</v>
      </c>
      <c r="IP69" s="607">
        <v>176</v>
      </c>
      <c r="IQ69" s="607">
        <v>187</v>
      </c>
      <c r="IR69" s="607">
        <v>187</v>
      </c>
      <c r="IS69" s="607">
        <v>176</v>
      </c>
      <c r="IT69" s="607">
        <f t="shared" ref="IT69:IT75" si="374">SUM(IP69:IS69)</f>
        <v>726</v>
      </c>
      <c r="IV69" s="605" t="s">
        <v>31</v>
      </c>
      <c r="IW69" s="607">
        <v>175</v>
      </c>
      <c r="IX69" s="607">
        <v>172</v>
      </c>
      <c r="IY69" s="607">
        <v>173</v>
      </c>
      <c r="IZ69" s="607">
        <v>180</v>
      </c>
      <c r="JA69" s="607">
        <f t="shared" ref="JA69:JA75" si="375">SUM(IW69:IZ69)</f>
        <v>700</v>
      </c>
      <c r="JC69" s="605" t="s">
        <v>31</v>
      </c>
      <c r="JD69" s="607">
        <v>175</v>
      </c>
      <c r="JE69" s="607">
        <v>169</v>
      </c>
      <c r="JF69" s="607">
        <v>164</v>
      </c>
      <c r="JG69" s="607">
        <v>164</v>
      </c>
      <c r="JH69" s="607">
        <f t="shared" ref="JH69:JH75" si="376">SUM(JD69:JG69)</f>
        <v>672</v>
      </c>
      <c r="JJ69" s="605" t="s">
        <v>31</v>
      </c>
      <c r="JK69" s="607">
        <v>162</v>
      </c>
      <c r="JL69" s="607">
        <v>169</v>
      </c>
      <c r="JM69" s="607">
        <v>172</v>
      </c>
      <c r="JN69" s="607">
        <v>172</v>
      </c>
      <c r="JO69" s="607">
        <f t="shared" ref="JO69:JO75" si="377">SUM(JK69:JN69)</f>
        <v>675</v>
      </c>
      <c r="JQ69" s="605" t="s">
        <v>31</v>
      </c>
      <c r="JR69" s="607">
        <v>167</v>
      </c>
      <c r="JS69" s="607">
        <v>173</v>
      </c>
      <c r="JT69" s="607">
        <v>166</v>
      </c>
      <c r="JU69" s="607">
        <v>163</v>
      </c>
      <c r="JV69" s="607">
        <f t="shared" ref="JV69:JV75" si="378">SUM(JR69:JU69)</f>
        <v>669</v>
      </c>
      <c r="JX69" s="605" t="s">
        <v>31</v>
      </c>
      <c r="JY69" s="607">
        <v>178</v>
      </c>
      <c r="JZ69" s="607">
        <v>152</v>
      </c>
      <c r="KA69" s="607">
        <v>165</v>
      </c>
      <c r="KB69" s="607">
        <v>169</v>
      </c>
      <c r="KC69" s="607">
        <f t="shared" ref="KC69:KC75" si="379">SUM(JY69:KB69)</f>
        <v>664</v>
      </c>
      <c r="KE69" s="605" t="s">
        <v>31</v>
      </c>
      <c r="KF69" s="607">
        <v>163</v>
      </c>
      <c r="KG69" s="607">
        <v>167</v>
      </c>
      <c r="KH69" s="607">
        <v>166</v>
      </c>
      <c r="KI69" s="607">
        <v>163</v>
      </c>
      <c r="KJ69" s="607">
        <f t="shared" ref="KJ69:KJ75" si="380">SUM(KF69:KI69)</f>
        <v>659</v>
      </c>
      <c r="KL69" s="605" t="s">
        <v>31</v>
      </c>
      <c r="KM69" s="607">
        <v>161</v>
      </c>
      <c r="KN69" s="607">
        <v>165</v>
      </c>
      <c r="KO69" s="607">
        <v>162</v>
      </c>
      <c r="KP69" s="607">
        <v>153</v>
      </c>
      <c r="KQ69" s="607">
        <f t="shared" ref="KQ69:KQ75" si="381">SUM(KM69:KP69)</f>
        <v>641</v>
      </c>
      <c r="KS69" s="605" t="s">
        <v>31</v>
      </c>
      <c r="KT69" s="607">
        <v>160</v>
      </c>
      <c r="KU69" s="607">
        <v>160</v>
      </c>
      <c r="KV69" s="606">
        <v>161</v>
      </c>
      <c r="KW69" s="607">
        <v>161</v>
      </c>
      <c r="KX69" s="607">
        <f t="shared" ref="KX69:KX75" si="382">SUM(KT69:KW69)</f>
        <v>642</v>
      </c>
      <c r="KZ69" s="605" t="s">
        <v>31</v>
      </c>
      <c r="LA69" s="607">
        <v>167</v>
      </c>
      <c r="LB69" s="607">
        <v>174</v>
      </c>
      <c r="LC69" s="607">
        <v>176</v>
      </c>
      <c r="LD69" s="607">
        <v>171</v>
      </c>
      <c r="LE69" s="607">
        <f t="shared" ref="LE69" si="383">LE170</f>
        <v>688</v>
      </c>
      <c r="LF69" s="608"/>
      <c r="LG69" s="605" t="s">
        <v>31</v>
      </c>
      <c r="LH69" s="607">
        <v>166</v>
      </c>
      <c r="LI69" s="607">
        <v>164</v>
      </c>
      <c r="LJ69" s="607">
        <v>164</v>
      </c>
      <c r="LK69" s="607">
        <v>161</v>
      </c>
      <c r="LL69" s="607">
        <f t="shared" ref="LL69:LL75" si="384">SUM(LH69:LK69)</f>
        <v>655</v>
      </c>
      <c r="LM69" s="608"/>
      <c r="LN69" s="605" t="s">
        <v>31</v>
      </c>
      <c r="LO69" s="607">
        <f t="shared" ref="LO69:LR69" si="385">LO170</f>
        <v>158.53</v>
      </c>
      <c r="LP69" s="607">
        <f t="shared" si="385"/>
        <v>160.72</v>
      </c>
      <c r="LQ69" s="607">
        <f t="shared" si="385"/>
        <v>162.35999999999999</v>
      </c>
      <c r="LR69" s="607">
        <f t="shared" si="385"/>
        <v>161</v>
      </c>
      <c r="LS69" s="607">
        <f t="shared" ref="LS69:LS75" si="386">SUM(LO69:LR69)</f>
        <v>642.61</v>
      </c>
      <c r="LT69" s="608"/>
      <c r="LU69" s="605" t="s">
        <v>31</v>
      </c>
      <c r="LV69" s="607">
        <f t="shared" ref="LV69:LY69" si="387">LV170</f>
        <v>163.2859</v>
      </c>
      <c r="LW69" s="607">
        <f t="shared" si="387"/>
        <v>165.54160000000002</v>
      </c>
      <c r="LX69" s="607">
        <f t="shared" si="387"/>
        <v>167.23079999999999</v>
      </c>
      <c r="LY69" s="607">
        <f t="shared" si="387"/>
        <v>165.83</v>
      </c>
      <c r="LZ69" s="607">
        <f t="shared" ref="LZ69:LZ75" si="388">SUM(LV69:LY69)</f>
        <v>661.88829999999996</v>
      </c>
      <c r="MA69" s="608"/>
      <c r="MB69" s="605" t="s">
        <v>31</v>
      </c>
      <c r="MC69" s="607">
        <f t="shared" ref="MC69:MF69" si="389">MC170</f>
        <v>168.59269175</v>
      </c>
      <c r="MD69" s="607">
        <f t="shared" si="389"/>
        <v>170.50784800000002</v>
      </c>
      <c r="ME69" s="607">
        <f t="shared" si="389"/>
        <v>171.41156999999998</v>
      </c>
      <c r="MF69" s="607">
        <f t="shared" si="389"/>
        <v>169.14660000000001</v>
      </c>
      <c r="MG69" s="607">
        <f t="shared" ref="MG69:MG75" si="390">SUM(MC69:MF69)</f>
        <v>679.65870975000007</v>
      </c>
      <c r="MH69" s="608"/>
    </row>
    <row r="70" spans="1:346" s="158" customFormat="1" ht="13.15" x14ac:dyDescent="0.4">
      <c r="A70" s="604"/>
      <c r="B70" s="605" t="s">
        <v>141</v>
      </c>
      <c r="C70" s="606"/>
      <c r="D70" s="606"/>
      <c r="E70" s="606">
        <f>376.3</f>
        <v>376.3</v>
      </c>
      <c r="F70" s="606">
        <f>346.5</f>
        <v>346.5</v>
      </c>
      <c r="G70" s="606">
        <f>334.6</f>
        <v>334.6</v>
      </c>
      <c r="H70" s="606">
        <v>252</v>
      </c>
      <c r="I70" s="606">
        <v>258</v>
      </c>
      <c r="J70" s="606">
        <v>237</v>
      </c>
      <c r="K70" s="606">
        <v>240</v>
      </c>
      <c r="L70" s="606">
        <v>264</v>
      </c>
      <c r="M70" s="606">
        <v>252</v>
      </c>
      <c r="N70" s="607">
        <f t="shared" si="313"/>
        <v>279</v>
      </c>
      <c r="O70" s="607">
        <f t="shared" si="314"/>
        <v>278</v>
      </c>
      <c r="P70" s="607">
        <f t="shared" si="315"/>
        <v>263</v>
      </c>
      <c r="Q70" s="607">
        <f t="shared" si="316"/>
        <v>264</v>
      </c>
      <c r="R70" s="607">
        <f t="shared" si="317"/>
        <v>284</v>
      </c>
      <c r="S70" s="607">
        <f t="shared" si="318"/>
        <v>263</v>
      </c>
      <c r="T70" s="607">
        <f t="shared" si="319"/>
        <v>280</v>
      </c>
      <c r="U70" s="607">
        <f t="shared" si="320"/>
        <v>259</v>
      </c>
      <c r="V70" s="607">
        <f t="shared" si="321"/>
        <v>269</v>
      </c>
      <c r="W70" s="607">
        <f t="shared" si="322"/>
        <v>277</v>
      </c>
      <c r="X70" s="607">
        <f t="shared" si="323"/>
        <v>326</v>
      </c>
      <c r="Y70" s="607">
        <f t="shared" si="324"/>
        <v>453</v>
      </c>
      <c r="Z70" s="607">
        <f t="shared" si="325"/>
        <v>467</v>
      </c>
      <c r="AA70" s="607">
        <f t="shared" si="326"/>
        <v>452</v>
      </c>
      <c r="AB70" s="607">
        <f t="shared" si="327"/>
        <v>571</v>
      </c>
      <c r="AC70" s="607">
        <f t="shared" si="328"/>
        <v>601</v>
      </c>
      <c r="AD70" s="607">
        <f t="shared" si="329"/>
        <v>606</v>
      </c>
      <c r="AE70" s="607">
        <f t="shared" si="330"/>
        <v>642</v>
      </c>
      <c r="AF70" s="607">
        <f t="shared" si="331"/>
        <v>528</v>
      </c>
      <c r="AG70" s="607">
        <f t="shared" si="332"/>
        <v>541</v>
      </c>
      <c r="AH70" s="607">
        <f t="shared" si="333"/>
        <v>528</v>
      </c>
      <c r="AI70" s="607">
        <f t="shared" si="334"/>
        <v>548</v>
      </c>
      <c r="AJ70" s="607">
        <f t="shared" si="335"/>
        <v>525</v>
      </c>
      <c r="AK70" s="607">
        <f t="shared" si="336"/>
        <v>494</v>
      </c>
      <c r="AL70" s="607">
        <f t="shared" si="337"/>
        <v>486</v>
      </c>
      <c r="AM70" s="607">
        <f t="shared" si="338"/>
        <v>513</v>
      </c>
      <c r="AN70" s="607">
        <f t="shared" si="339"/>
        <v>503</v>
      </c>
      <c r="AO70" s="607">
        <f t="shared" si="340"/>
        <v>477</v>
      </c>
      <c r="AP70" s="607">
        <f t="shared" si="341"/>
        <v>453</v>
      </c>
      <c r="AQ70" s="607">
        <f t="shared" si="342"/>
        <v>446</v>
      </c>
      <c r="AR70" s="607">
        <f t="shared" si="343"/>
        <v>452</v>
      </c>
      <c r="AS70" s="607">
        <f t="shared" si="344"/>
        <v>463</v>
      </c>
      <c r="AT70" s="607">
        <f t="shared" si="345"/>
        <v>467</v>
      </c>
      <c r="AU70" s="607">
        <f t="shared" si="346"/>
        <v>481</v>
      </c>
      <c r="AV70" s="607">
        <f t="shared" si="347"/>
        <v>468</v>
      </c>
      <c r="AW70" s="607">
        <f t="shared" si="348"/>
        <v>463</v>
      </c>
      <c r="AX70" s="607">
        <f t="shared" si="349"/>
        <v>457</v>
      </c>
      <c r="AY70" s="607">
        <f t="shared" si="350"/>
        <v>449.55500000000001</v>
      </c>
      <c r="AZ70" s="607">
        <f t="shared" si="351"/>
        <v>460.79387499999996</v>
      </c>
      <c r="BA70" s="607">
        <f t="shared" si="352"/>
        <v>470.00975249999999</v>
      </c>
      <c r="BB70" s="607"/>
      <c r="BC70" s="607"/>
      <c r="BD70" s="607"/>
      <c r="BE70" s="607"/>
      <c r="BF70" s="607"/>
      <c r="BG70" s="607"/>
      <c r="BH70" s="607"/>
      <c r="BI70" s="607"/>
      <c r="BJ70" s="607"/>
      <c r="BK70" s="607"/>
      <c r="BL70" s="607"/>
      <c r="BM70" s="607"/>
      <c r="BO70" s="605" t="s">
        <v>141</v>
      </c>
      <c r="BP70" s="607">
        <f>BW70-13</f>
        <v>68</v>
      </c>
      <c r="BQ70" s="607">
        <f>BX70+5</f>
        <v>68</v>
      </c>
      <c r="BR70" s="607">
        <f>BY70+4</f>
        <v>64</v>
      </c>
      <c r="BS70" s="607">
        <f>BZ70+5</f>
        <v>79</v>
      </c>
      <c r="BT70" s="607">
        <f t="shared" si="353"/>
        <v>279</v>
      </c>
      <c r="BV70" s="605" t="s">
        <v>141</v>
      </c>
      <c r="BW70" s="607">
        <v>81</v>
      </c>
      <c r="BX70" s="607">
        <v>63</v>
      </c>
      <c r="BY70" s="607">
        <v>60</v>
      </c>
      <c r="BZ70" s="607">
        <v>74</v>
      </c>
      <c r="CA70" s="607">
        <f t="shared" si="354"/>
        <v>278</v>
      </c>
      <c r="CC70" s="605" t="s">
        <v>141</v>
      </c>
      <c r="CD70" s="607">
        <v>72</v>
      </c>
      <c r="CE70" s="607">
        <v>60</v>
      </c>
      <c r="CF70" s="607">
        <v>64</v>
      </c>
      <c r="CG70" s="607">
        <v>67</v>
      </c>
      <c r="CH70" s="607">
        <f t="shared" si="355"/>
        <v>263</v>
      </c>
      <c r="CJ70" s="605" t="s">
        <v>141</v>
      </c>
      <c r="CK70" s="607">
        <v>64</v>
      </c>
      <c r="CL70" s="607">
        <v>60</v>
      </c>
      <c r="CM70" s="607">
        <v>62</v>
      </c>
      <c r="CN70" s="607">
        <v>78</v>
      </c>
      <c r="CO70" s="607">
        <f t="shared" si="356"/>
        <v>264</v>
      </c>
      <c r="CQ70" s="605" t="s">
        <v>141</v>
      </c>
      <c r="CR70" s="607">
        <v>74</v>
      </c>
      <c r="CS70" s="607">
        <v>68</v>
      </c>
      <c r="CT70" s="607">
        <v>68</v>
      </c>
      <c r="CU70" s="607">
        <v>74</v>
      </c>
      <c r="CV70" s="607">
        <f t="shared" si="357"/>
        <v>284</v>
      </c>
      <c r="CX70" s="605" t="s">
        <v>141</v>
      </c>
      <c r="CY70" s="607">
        <v>66</v>
      </c>
      <c r="CZ70" s="607">
        <v>64</v>
      </c>
      <c r="DA70" s="607">
        <v>58</v>
      </c>
      <c r="DB70" s="607">
        <v>75</v>
      </c>
      <c r="DC70" s="607">
        <f t="shared" si="358"/>
        <v>263</v>
      </c>
      <c r="DE70" s="605" t="s">
        <v>141</v>
      </c>
      <c r="DF70" s="607">
        <v>72</v>
      </c>
      <c r="DG70" s="607">
        <v>70</v>
      </c>
      <c r="DH70" s="607">
        <v>65</v>
      </c>
      <c r="DI70" s="607">
        <v>73</v>
      </c>
      <c r="DJ70" s="607">
        <f t="shared" si="359"/>
        <v>280</v>
      </c>
      <c r="DL70" s="605" t="s">
        <v>141</v>
      </c>
      <c r="DM70" s="607">
        <v>74</v>
      </c>
      <c r="DN70" s="607">
        <v>65</v>
      </c>
      <c r="DO70" s="607">
        <v>54</v>
      </c>
      <c r="DP70" s="607">
        <v>66</v>
      </c>
      <c r="DQ70" s="607">
        <f t="shared" si="360"/>
        <v>259</v>
      </c>
      <c r="DS70" s="605" t="s">
        <v>141</v>
      </c>
      <c r="DT70" s="607">
        <v>69</v>
      </c>
      <c r="DU70" s="607">
        <v>67</v>
      </c>
      <c r="DV70" s="607">
        <v>60</v>
      </c>
      <c r="DW70" s="607">
        <v>73</v>
      </c>
      <c r="DX70" s="607">
        <f t="shared" si="361"/>
        <v>269</v>
      </c>
      <c r="DZ70" s="605" t="s">
        <v>141</v>
      </c>
      <c r="EA70" s="607">
        <v>69</v>
      </c>
      <c r="EB70" s="607">
        <v>67</v>
      </c>
      <c r="EC70" s="607">
        <v>64</v>
      </c>
      <c r="ED70" s="607">
        <v>77</v>
      </c>
      <c r="EE70" s="607">
        <f t="shared" si="362"/>
        <v>277</v>
      </c>
      <c r="EG70" s="605" t="s">
        <v>141</v>
      </c>
      <c r="EH70" s="607">
        <v>76</v>
      </c>
      <c r="EI70" s="607">
        <v>73</v>
      </c>
      <c r="EJ70" s="607">
        <v>84</v>
      </c>
      <c r="EK70" s="607">
        <v>93</v>
      </c>
      <c r="EL70" s="607">
        <f t="shared" si="363"/>
        <v>326</v>
      </c>
      <c r="EN70" s="605" t="s">
        <v>141</v>
      </c>
      <c r="EO70" s="607">
        <v>114</v>
      </c>
      <c r="EP70" s="607">
        <v>109</v>
      </c>
      <c r="EQ70" s="607">
        <v>110</v>
      </c>
      <c r="ER70" s="607">
        <v>120</v>
      </c>
      <c r="ES70" s="607">
        <f>EO70+EP70+EQ70+ER70</f>
        <v>453</v>
      </c>
      <c r="EU70" s="605" t="s">
        <v>141</v>
      </c>
      <c r="EV70" s="607">
        <v>124</v>
      </c>
      <c r="EW70" s="607">
        <v>116</v>
      </c>
      <c r="EX70" s="607">
        <v>111</v>
      </c>
      <c r="EY70" s="607">
        <v>116</v>
      </c>
      <c r="EZ70" s="607">
        <f>EV70+EW70+EX70+EY70</f>
        <v>467</v>
      </c>
      <c r="FB70" s="605" t="s">
        <v>141</v>
      </c>
      <c r="FC70" s="607">
        <v>115</v>
      </c>
      <c r="FD70" s="607">
        <v>110</v>
      </c>
      <c r="FE70" s="607">
        <v>109</v>
      </c>
      <c r="FF70" s="607">
        <v>118</v>
      </c>
      <c r="FG70" s="607">
        <f>FC70+FD70+FE70+FF70</f>
        <v>452</v>
      </c>
      <c r="FI70" s="605" t="s">
        <v>141</v>
      </c>
      <c r="FJ70" s="607">
        <v>115</v>
      </c>
      <c r="FK70" s="607">
        <f>89+62</f>
        <v>151</v>
      </c>
      <c r="FL70" s="607">
        <f>61+88</f>
        <v>149</v>
      </c>
      <c r="FM70" s="607">
        <f>95+61</f>
        <v>156</v>
      </c>
      <c r="FN70" s="607">
        <f>FJ70+FK70+FL70+FM70</f>
        <v>571</v>
      </c>
      <c r="FP70" s="605" t="s">
        <v>141</v>
      </c>
      <c r="FQ70" s="607">
        <f>59+92</f>
        <v>151</v>
      </c>
      <c r="FR70" s="607">
        <f>89+61</f>
        <v>150</v>
      </c>
      <c r="FS70" s="607">
        <f>59+82</f>
        <v>141</v>
      </c>
      <c r="FT70" s="607">
        <f>93+66</f>
        <v>159</v>
      </c>
      <c r="FU70" s="607">
        <f>FQ70+FR70+FS70+FT70</f>
        <v>601</v>
      </c>
      <c r="FW70" s="605" t="s">
        <v>141</v>
      </c>
      <c r="FX70" s="607">
        <v>155</v>
      </c>
      <c r="FY70" s="607">
        <v>150</v>
      </c>
      <c r="FZ70" s="607">
        <v>150</v>
      </c>
      <c r="GA70" s="607">
        <v>151</v>
      </c>
      <c r="GB70" s="607">
        <f t="shared" si="364"/>
        <v>606</v>
      </c>
      <c r="GD70" s="605" t="s">
        <v>141</v>
      </c>
      <c r="GE70" s="607">
        <v>160</v>
      </c>
      <c r="GF70" s="607">
        <v>159</v>
      </c>
      <c r="GG70" s="607">
        <v>163</v>
      </c>
      <c r="GH70" s="607">
        <v>160</v>
      </c>
      <c r="GI70" s="607">
        <f t="shared" si="365"/>
        <v>642</v>
      </c>
      <c r="GK70" s="605" t="s">
        <v>141</v>
      </c>
      <c r="GL70" s="607">
        <v>126</v>
      </c>
      <c r="GM70" s="607">
        <v>134</v>
      </c>
      <c r="GN70" s="607">
        <v>130</v>
      </c>
      <c r="GO70" s="607">
        <v>138</v>
      </c>
      <c r="GP70" s="607">
        <f t="shared" si="366"/>
        <v>528</v>
      </c>
      <c r="GR70" s="605" t="s">
        <v>141</v>
      </c>
      <c r="GS70" s="607">
        <v>136</v>
      </c>
      <c r="GT70" s="607">
        <v>136</v>
      </c>
      <c r="GU70" s="607">
        <v>133</v>
      </c>
      <c r="GV70" s="607">
        <v>136</v>
      </c>
      <c r="GW70" s="607">
        <f t="shared" si="367"/>
        <v>541</v>
      </c>
      <c r="GY70" s="605" t="s">
        <v>141</v>
      </c>
      <c r="GZ70" s="607">
        <v>134</v>
      </c>
      <c r="HA70" s="607">
        <v>131</v>
      </c>
      <c r="HB70" s="607">
        <v>127</v>
      </c>
      <c r="HC70" s="607">
        <v>136</v>
      </c>
      <c r="HD70" s="607">
        <f t="shared" si="368"/>
        <v>528</v>
      </c>
      <c r="HF70" s="605" t="s">
        <v>141</v>
      </c>
      <c r="HG70" s="607">
        <v>139</v>
      </c>
      <c r="HH70" s="607">
        <v>132</v>
      </c>
      <c r="HI70" s="607">
        <v>130</v>
      </c>
      <c r="HJ70" s="607">
        <v>147</v>
      </c>
      <c r="HK70" s="607">
        <f t="shared" si="369"/>
        <v>548</v>
      </c>
      <c r="HM70" s="605" t="s">
        <v>141</v>
      </c>
      <c r="HN70" s="607">
        <v>134</v>
      </c>
      <c r="HO70" s="607">
        <v>136</v>
      </c>
      <c r="HP70" s="607">
        <v>120</v>
      </c>
      <c r="HQ70" s="607">
        <v>135</v>
      </c>
      <c r="HR70" s="607">
        <f t="shared" si="370"/>
        <v>525</v>
      </c>
      <c r="HT70" s="605" t="s">
        <v>141</v>
      </c>
      <c r="HU70" s="607">
        <v>133</v>
      </c>
      <c r="HV70" s="607">
        <v>126</v>
      </c>
      <c r="HW70" s="607">
        <v>113</v>
      </c>
      <c r="HX70" s="607">
        <v>122</v>
      </c>
      <c r="HY70" s="607">
        <f t="shared" si="371"/>
        <v>494</v>
      </c>
      <c r="IA70" s="605" t="s">
        <v>141</v>
      </c>
      <c r="IB70" s="607">
        <v>119</v>
      </c>
      <c r="IC70" s="607">
        <v>120</v>
      </c>
      <c r="ID70" s="607">
        <v>110</v>
      </c>
      <c r="IE70" s="607">
        <v>137</v>
      </c>
      <c r="IF70" s="607">
        <f t="shared" si="372"/>
        <v>486</v>
      </c>
      <c r="IH70" s="605" t="s">
        <v>141</v>
      </c>
      <c r="II70" s="607">
        <v>129</v>
      </c>
      <c r="IJ70" s="607">
        <v>130</v>
      </c>
      <c r="IK70" s="607">
        <v>121</v>
      </c>
      <c r="IL70" s="607">
        <v>133</v>
      </c>
      <c r="IM70" s="607">
        <f t="shared" si="373"/>
        <v>513</v>
      </c>
      <c r="IO70" s="605" t="s">
        <v>141</v>
      </c>
      <c r="IP70" s="607">
        <v>132</v>
      </c>
      <c r="IQ70" s="607">
        <v>125</v>
      </c>
      <c r="IR70" s="607">
        <v>121</v>
      </c>
      <c r="IS70" s="607">
        <v>125</v>
      </c>
      <c r="IT70" s="607">
        <f t="shared" si="374"/>
        <v>503</v>
      </c>
      <c r="IV70" s="605" t="s">
        <v>141</v>
      </c>
      <c r="IW70" s="607">
        <v>121</v>
      </c>
      <c r="IX70" s="607">
        <v>116</v>
      </c>
      <c r="IY70" s="607">
        <v>109</v>
      </c>
      <c r="IZ70" s="607">
        <v>131</v>
      </c>
      <c r="JA70" s="607">
        <f t="shared" si="375"/>
        <v>477</v>
      </c>
      <c r="JC70" s="605" t="s">
        <v>141</v>
      </c>
      <c r="JD70" s="607">
        <v>121</v>
      </c>
      <c r="JE70" s="607">
        <v>114</v>
      </c>
      <c r="JF70" s="607">
        <v>105</v>
      </c>
      <c r="JG70" s="607">
        <v>113</v>
      </c>
      <c r="JH70" s="607">
        <f t="shared" si="376"/>
        <v>453</v>
      </c>
      <c r="JJ70" s="605" t="s">
        <v>141</v>
      </c>
      <c r="JK70" s="607">
        <v>107</v>
      </c>
      <c r="JL70" s="607">
        <v>112</v>
      </c>
      <c r="JM70" s="607">
        <v>111</v>
      </c>
      <c r="JN70" s="607">
        <v>116</v>
      </c>
      <c r="JO70" s="607">
        <f t="shared" si="377"/>
        <v>446</v>
      </c>
      <c r="JQ70" s="605" t="s">
        <v>141</v>
      </c>
      <c r="JR70" s="607">
        <v>114</v>
      </c>
      <c r="JS70" s="607">
        <v>118</v>
      </c>
      <c r="JT70" s="607">
        <v>110</v>
      </c>
      <c r="JU70" s="607">
        <v>110</v>
      </c>
      <c r="JV70" s="607">
        <f t="shared" si="378"/>
        <v>452</v>
      </c>
      <c r="JX70" s="605" t="s">
        <v>141</v>
      </c>
      <c r="JY70" s="607">
        <v>121</v>
      </c>
      <c r="JZ70" s="607">
        <v>102</v>
      </c>
      <c r="KA70" s="607">
        <v>115</v>
      </c>
      <c r="KB70" s="607">
        <v>125</v>
      </c>
      <c r="KC70" s="607">
        <f t="shared" si="379"/>
        <v>463</v>
      </c>
      <c r="KE70" s="605" t="s">
        <v>141</v>
      </c>
      <c r="KF70" s="607">
        <v>116</v>
      </c>
      <c r="KG70" s="607">
        <v>117</v>
      </c>
      <c r="KH70" s="607">
        <v>109</v>
      </c>
      <c r="KI70" s="607">
        <v>125</v>
      </c>
      <c r="KJ70" s="607">
        <f t="shared" si="380"/>
        <v>467</v>
      </c>
      <c r="KL70" s="605" t="s">
        <v>141</v>
      </c>
      <c r="KM70" s="607">
        <v>118</v>
      </c>
      <c r="KN70" s="607">
        <v>120</v>
      </c>
      <c r="KO70" s="607">
        <v>120</v>
      </c>
      <c r="KP70" s="607">
        <v>123</v>
      </c>
      <c r="KQ70" s="607">
        <f t="shared" si="381"/>
        <v>481</v>
      </c>
      <c r="KS70" s="605" t="s">
        <v>141</v>
      </c>
      <c r="KT70" s="607">
        <v>122</v>
      </c>
      <c r="KU70" s="607">
        <v>118</v>
      </c>
      <c r="KV70" s="606">
        <v>108</v>
      </c>
      <c r="KW70" s="607">
        <v>120</v>
      </c>
      <c r="KX70" s="607">
        <f t="shared" si="382"/>
        <v>468</v>
      </c>
      <c r="KZ70" s="605" t="s">
        <v>141</v>
      </c>
      <c r="LA70" s="607">
        <v>114</v>
      </c>
      <c r="LB70" s="607">
        <v>115</v>
      </c>
      <c r="LC70" s="607">
        <v>118</v>
      </c>
      <c r="LD70" s="607">
        <v>116</v>
      </c>
      <c r="LE70" s="607">
        <f t="shared" ref="LE70" si="391">LE180</f>
        <v>463</v>
      </c>
      <c r="LF70" s="608"/>
      <c r="LG70" s="605" t="s">
        <v>141</v>
      </c>
      <c r="LH70" s="607">
        <v>115</v>
      </c>
      <c r="LI70" s="607">
        <v>117</v>
      </c>
      <c r="LJ70" s="607">
        <v>110</v>
      </c>
      <c r="LK70" s="607">
        <v>115</v>
      </c>
      <c r="LL70" s="607">
        <f t="shared" si="384"/>
        <v>457</v>
      </c>
      <c r="LM70" s="608"/>
      <c r="LN70" s="605" t="s">
        <v>141</v>
      </c>
      <c r="LO70" s="607">
        <f t="shared" ref="LO70:LR70" si="392">LO180</f>
        <v>113.27499999999999</v>
      </c>
      <c r="LP70" s="607">
        <f t="shared" si="392"/>
        <v>112.905</v>
      </c>
      <c r="LQ70" s="607">
        <f t="shared" si="392"/>
        <v>107.8</v>
      </c>
      <c r="LR70" s="607">
        <f t="shared" si="392"/>
        <v>115.57499999999999</v>
      </c>
      <c r="LS70" s="607">
        <f t="shared" si="386"/>
        <v>449.55500000000001</v>
      </c>
      <c r="LT70" s="608"/>
      <c r="LU70" s="605" t="s">
        <v>141</v>
      </c>
      <c r="LV70" s="607">
        <f t="shared" ref="LV70:LY70" si="393">LV180</f>
        <v>116.10687499999999</v>
      </c>
      <c r="LW70" s="607">
        <f t="shared" si="393"/>
        <v>115.72762499999999</v>
      </c>
      <c r="LX70" s="607">
        <f t="shared" si="393"/>
        <v>110.49499999999999</v>
      </c>
      <c r="LY70" s="607">
        <f t="shared" si="393"/>
        <v>118.46437499999998</v>
      </c>
      <c r="LZ70" s="607">
        <f t="shared" si="388"/>
        <v>460.79387499999996</v>
      </c>
      <c r="MA70" s="608"/>
      <c r="MB70" s="605" t="s">
        <v>141</v>
      </c>
      <c r="MC70" s="607">
        <f t="shared" ref="MC70:MF70" si="394">MC180</f>
        <v>118.42901249999998</v>
      </c>
      <c r="MD70" s="607">
        <f t="shared" si="394"/>
        <v>118.04217749999999</v>
      </c>
      <c r="ME70" s="607">
        <f t="shared" si="394"/>
        <v>112.70489999999999</v>
      </c>
      <c r="MF70" s="607">
        <f t="shared" si="394"/>
        <v>120.83366249999997</v>
      </c>
      <c r="MG70" s="607">
        <f t="shared" si="390"/>
        <v>470.00975249999999</v>
      </c>
      <c r="MH70" s="608"/>
    </row>
    <row r="71" spans="1:346" s="158" customFormat="1" ht="13.15" x14ac:dyDescent="0.4">
      <c r="A71" s="604"/>
      <c r="B71" s="605" t="s">
        <v>33</v>
      </c>
      <c r="C71" s="606"/>
      <c r="D71" s="606"/>
      <c r="E71" s="606">
        <v>354.5</v>
      </c>
      <c r="F71" s="606">
        <v>333</v>
      </c>
      <c r="G71" s="606">
        <v>288.39999999999998</v>
      </c>
      <c r="H71" s="606">
        <v>308</v>
      </c>
      <c r="I71" s="606">
        <v>346</v>
      </c>
      <c r="J71" s="606">
        <v>344</v>
      </c>
      <c r="K71" s="606">
        <v>318</v>
      </c>
      <c r="L71" s="606">
        <v>307</v>
      </c>
      <c r="M71" s="606">
        <v>310</v>
      </c>
      <c r="N71" s="607">
        <f t="shared" si="313"/>
        <v>280</v>
      </c>
      <c r="O71" s="607">
        <f t="shared" si="314"/>
        <v>258</v>
      </c>
      <c r="P71" s="607">
        <f t="shared" si="315"/>
        <v>265</v>
      </c>
      <c r="Q71" s="607">
        <f t="shared" si="316"/>
        <v>288</v>
      </c>
      <c r="R71" s="607">
        <f t="shared" si="317"/>
        <v>326</v>
      </c>
      <c r="S71" s="607">
        <f t="shared" si="318"/>
        <v>354</v>
      </c>
      <c r="T71" s="607">
        <f t="shared" si="319"/>
        <v>357</v>
      </c>
      <c r="U71" s="607">
        <f t="shared" si="320"/>
        <v>367</v>
      </c>
      <c r="V71" s="607">
        <f t="shared" si="321"/>
        <v>387</v>
      </c>
      <c r="W71" s="607">
        <f t="shared" si="322"/>
        <v>412</v>
      </c>
      <c r="X71" s="607">
        <f t="shared" si="323"/>
        <v>553</v>
      </c>
      <c r="Y71" s="607">
        <f t="shared" si="324"/>
        <v>586</v>
      </c>
      <c r="Z71" s="607">
        <f t="shared" si="325"/>
        <v>516</v>
      </c>
      <c r="AA71" s="607">
        <f t="shared" si="326"/>
        <v>538</v>
      </c>
      <c r="AB71" s="607">
        <f t="shared" si="327"/>
        <v>529</v>
      </c>
      <c r="AC71" s="607">
        <f t="shared" si="328"/>
        <v>507</v>
      </c>
      <c r="AD71" s="607">
        <f t="shared" si="329"/>
        <v>488</v>
      </c>
      <c r="AE71" s="607">
        <f t="shared" si="330"/>
        <v>463</v>
      </c>
      <c r="AF71" s="607">
        <f t="shared" si="331"/>
        <v>439</v>
      </c>
      <c r="AG71" s="607">
        <f t="shared" si="332"/>
        <v>343</v>
      </c>
      <c r="AH71" s="607">
        <f t="shared" si="333"/>
        <v>234</v>
      </c>
      <c r="AI71" s="607">
        <f t="shared" si="334"/>
        <v>340</v>
      </c>
      <c r="AJ71" s="607">
        <f t="shared" si="335"/>
        <v>361</v>
      </c>
      <c r="AK71" s="607">
        <f t="shared" si="336"/>
        <v>425</v>
      </c>
      <c r="AL71" s="607">
        <f t="shared" si="337"/>
        <v>432</v>
      </c>
      <c r="AM71" s="607">
        <f t="shared" si="338"/>
        <v>435</v>
      </c>
      <c r="AN71" s="607">
        <f t="shared" si="339"/>
        <v>450</v>
      </c>
      <c r="AO71" s="607">
        <f t="shared" si="340"/>
        <v>482</v>
      </c>
      <c r="AP71" s="607">
        <f t="shared" si="341"/>
        <v>458</v>
      </c>
      <c r="AQ71" s="607">
        <f t="shared" si="342"/>
        <v>464</v>
      </c>
      <c r="AR71" s="607">
        <f t="shared" si="343"/>
        <v>473</v>
      </c>
      <c r="AS71" s="607">
        <f t="shared" si="344"/>
        <v>344</v>
      </c>
      <c r="AT71" s="607">
        <f t="shared" si="345"/>
        <v>318</v>
      </c>
      <c r="AU71" s="607">
        <f t="shared" si="346"/>
        <v>338</v>
      </c>
      <c r="AV71" s="607">
        <f t="shared" si="347"/>
        <v>388</v>
      </c>
      <c r="AW71" s="607">
        <f t="shared" si="348"/>
        <v>393</v>
      </c>
      <c r="AX71" s="607">
        <f t="shared" si="349"/>
        <v>380</v>
      </c>
      <c r="AY71" s="607">
        <f t="shared" si="350"/>
        <v>372.11500000000001</v>
      </c>
      <c r="AZ71" s="607">
        <f t="shared" si="351"/>
        <v>383.27844999999996</v>
      </c>
      <c r="BA71" s="607">
        <f t="shared" si="352"/>
        <v>394.77680349999997</v>
      </c>
      <c r="BB71" s="607"/>
      <c r="BC71" s="607"/>
      <c r="BD71" s="607"/>
      <c r="BE71" s="607"/>
      <c r="BF71" s="607"/>
      <c r="BG71" s="607"/>
      <c r="BH71" s="607"/>
      <c r="BI71" s="607"/>
      <c r="BJ71" s="607"/>
      <c r="BK71" s="607"/>
      <c r="BL71" s="607"/>
      <c r="BM71" s="607"/>
      <c r="BO71" s="605" t="s">
        <v>33</v>
      </c>
      <c r="BP71" s="607">
        <f>BW71+18</f>
        <v>76</v>
      </c>
      <c r="BQ71" s="607">
        <f>BX71+6</f>
        <v>79</v>
      </c>
      <c r="BR71" s="607">
        <f>BY71-4</f>
        <v>58</v>
      </c>
      <c r="BS71" s="607">
        <f>BZ71+2</f>
        <v>67</v>
      </c>
      <c r="BT71" s="607">
        <f t="shared" si="353"/>
        <v>280</v>
      </c>
      <c r="BV71" s="605" t="s">
        <v>33</v>
      </c>
      <c r="BW71" s="607">
        <v>58</v>
      </c>
      <c r="BX71" s="607">
        <v>73</v>
      </c>
      <c r="BY71" s="607">
        <v>62</v>
      </c>
      <c r="BZ71" s="607">
        <v>65</v>
      </c>
      <c r="CA71" s="607">
        <f t="shared" si="354"/>
        <v>258</v>
      </c>
      <c r="CC71" s="605" t="s">
        <v>33</v>
      </c>
      <c r="CD71" s="607">
        <v>58</v>
      </c>
      <c r="CE71" s="607">
        <v>71</v>
      </c>
      <c r="CF71" s="607">
        <v>61</v>
      </c>
      <c r="CG71" s="607">
        <v>75</v>
      </c>
      <c r="CH71" s="607">
        <f t="shared" si="355"/>
        <v>265</v>
      </c>
      <c r="CJ71" s="605" t="s">
        <v>33</v>
      </c>
      <c r="CK71" s="607">
        <v>71</v>
      </c>
      <c r="CL71" s="607">
        <v>77</v>
      </c>
      <c r="CM71" s="607">
        <v>62</v>
      </c>
      <c r="CN71" s="607">
        <v>78</v>
      </c>
      <c r="CO71" s="607">
        <f t="shared" si="356"/>
        <v>288</v>
      </c>
      <c r="CQ71" s="605" t="s">
        <v>33</v>
      </c>
      <c r="CR71" s="607">
        <v>80</v>
      </c>
      <c r="CS71" s="607">
        <v>86</v>
      </c>
      <c r="CT71" s="607">
        <v>68</v>
      </c>
      <c r="CU71" s="607">
        <v>92</v>
      </c>
      <c r="CV71" s="607">
        <f t="shared" si="357"/>
        <v>326</v>
      </c>
      <c r="CX71" s="605" t="s">
        <v>33</v>
      </c>
      <c r="CY71" s="607">
        <v>91</v>
      </c>
      <c r="CZ71" s="607">
        <v>97</v>
      </c>
      <c r="DA71" s="607">
        <v>76</v>
      </c>
      <c r="DB71" s="607">
        <v>90</v>
      </c>
      <c r="DC71" s="607">
        <f t="shared" si="358"/>
        <v>354</v>
      </c>
      <c r="DE71" s="605" t="s">
        <v>33</v>
      </c>
      <c r="DF71" s="607">
        <v>91</v>
      </c>
      <c r="DG71" s="607">
        <v>91</v>
      </c>
      <c r="DH71" s="607">
        <v>78</v>
      </c>
      <c r="DI71" s="607">
        <v>97</v>
      </c>
      <c r="DJ71" s="607">
        <f t="shared" si="359"/>
        <v>357</v>
      </c>
      <c r="DL71" s="605" t="s">
        <v>33</v>
      </c>
      <c r="DM71" s="607">
        <v>86</v>
      </c>
      <c r="DN71" s="607">
        <v>100</v>
      </c>
      <c r="DO71" s="607">
        <v>87</v>
      </c>
      <c r="DP71" s="607">
        <v>94</v>
      </c>
      <c r="DQ71" s="607">
        <f t="shared" si="360"/>
        <v>367</v>
      </c>
      <c r="DS71" s="605" t="s">
        <v>33</v>
      </c>
      <c r="DT71" s="607">
        <v>98</v>
      </c>
      <c r="DU71" s="607">
        <v>102</v>
      </c>
      <c r="DV71" s="607">
        <v>85</v>
      </c>
      <c r="DW71" s="607">
        <v>102</v>
      </c>
      <c r="DX71" s="607">
        <f t="shared" si="361"/>
        <v>387</v>
      </c>
      <c r="DZ71" s="605" t="s">
        <v>33</v>
      </c>
      <c r="EA71" s="607">
        <v>98</v>
      </c>
      <c r="EB71" s="607">
        <v>108</v>
      </c>
      <c r="EC71" s="607">
        <v>87</v>
      </c>
      <c r="ED71" s="607">
        <v>119</v>
      </c>
      <c r="EE71" s="607">
        <f t="shared" si="362"/>
        <v>412</v>
      </c>
      <c r="EG71" s="605" t="s">
        <v>33</v>
      </c>
      <c r="EH71" s="607">
        <v>119</v>
      </c>
      <c r="EI71" s="607">
        <v>132</v>
      </c>
      <c r="EJ71" s="607">
        <v>145</v>
      </c>
      <c r="EK71" s="607">
        <v>157</v>
      </c>
      <c r="EL71" s="607">
        <f t="shared" si="363"/>
        <v>553</v>
      </c>
      <c r="EN71" s="605" t="s">
        <v>33</v>
      </c>
      <c r="EO71" s="607">
        <v>158</v>
      </c>
      <c r="EP71" s="607">
        <v>158</v>
      </c>
      <c r="EQ71" s="607">
        <v>132</v>
      </c>
      <c r="ER71" s="607">
        <v>138</v>
      </c>
      <c r="ES71" s="607">
        <f>EO71+EP71+EQ71+ER71</f>
        <v>586</v>
      </c>
      <c r="EU71" s="605" t="s">
        <v>33</v>
      </c>
      <c r="EV71" s="607">
        <v>127</v>
      </c>
      <c r="EW71" s="607">
        <v>139</v>
      </c>
      <c r="EX71" s="607">
        <v>119</v>
      </c>
      <c r="EY71" s="607">
        <v>131</v>
      </c>
      <c r="EZ71" s="607">
        <f>EV71+EW71+EX71+EY71</f>
        <v>516</v>
      </c>
      <c r="FB71" s="605" t="s">
        <v>33</v>
      </c>
      <c r="FC71" s="607">
        <v>129</v>
      </c>
      <c r="FD71" s="607">
        <v>148</v>
      </c>
      <c r="FE71" s="607">
        <v>124</v>
      </c>
      <c r="FF71" s="607">
        <v>137</v>
      </c>
      <c r="FG71" s="607">
        <f>FC71+FD71+FE71+FF71</f>
        <v>538</v>
      </c>
      <c r="FI71" s="605" t="s">
        <v>33</v>
      </c>
      <c r="FJ71" s="607">
        <v>131</v>
      </c>
      <c r="FK71" s="607">
        <v>139</v>
      </c>
      <c r="FL71" s="607">
        <v>120</v>
      </c>
      <c r="FM71" s="607">
        <v>139</v>
      </c>
      <c r="FN71" s="607">
        <f>FJ71+FK71+FL71+FM71</f>
        <v>529</v>
      </c>
      <c r="FP71" s="605" t="s">
        <v>33</v>
      </c>
      <c r="FQ71" s="607">
        <v>125</v>
      </c>
      <c r="FR71" s="607">
        <v>135</v>
      </c>
      <c r="FS71" s="607">
        <v>112</v>
      </c>
      <c r="FT71" s="607">
        <v>135</v>
      </c>
      <c r="FU71" s="607">
        <f>FQ71+FR71+FS71+FT71</f>
        <v>507</v>
      </c>
      <c r="FW71" s="605" t="s">
        <v>33</v>
      </c>
      <c r="FX71" s="607">
        <v>125</v>
      </c>
      <c r="FY71" s="607">
        <v>124</v>
      </c>
      <c r="FZ71" s="607">
        <v>114</v>
      </c>
      <c r="GA71" s="607">
        <v>125</v>
      </c>
      <c r="GB71" s="607">
        <f t="shared" si="364"/>
        <v>488</v>
      </c>
      <c r="GD71" s="605" t="s">
        <v>33</v>
      </c>
      <c r="GE71" s="607">
        <v>127</v>
      </c>
      <c r="GF71" s="607">
        <v>124</v>
      </c>
      <c r="GG71" s="607">
        <v>100</v>
      </c>
      <c r="GH71" s="607">
        <v>112</v>
      </c>
      <c r="GI71" s="607">
        <f t="shared" si="365"/>
        <v>463</v>
      </c>
      <c r="GK71" s="605" t="s">
        <v>33</v>
      </c>
      <c r="GL71" s="607">
        <v>109</v>
      </c>
      <c r="GM71" s="607">
        <v>119</v>
      </c>
      <c r="GN71" s="607">
        <v>102</v>
      </c>
      <c r="GO71" s="607">
        <v>109</v>
      </c>
      <c r="GP71" s="607">
        <f t="shared" si="366"/>
        <v>439</v>
      </c>
      <c r="GR71" s="605" t="s">
        <v>33</v>
      </c>
      <c r="GS71" s="607">
        <v>96</v>
      </c>
      <c r="GT71" s="607">
        <v>92</v>
      </c>
      <c r="GU71" s="607">
        <v>79</v>
      </c>
      <c r="GV71" s="607">
        <v>76</v>
      </c>
      <c r="GW71" s="607">
        <f t="shared" si="367"/>
        <v>343</v>
      </c>
      <c r="GY71" s="605" t="s">
        <v>33</v>
      </c>
      <c r="GZ71" s="607">
        <v>45</v>
      </c>
      <c r="HA71" s="607">
        <v>54</v>
      </c>
      <c r="HB71" s="607">
        <v>57</v>
      </c>
      <c r="HC71" s="607">
        <v>78</v>
      </c>
      <c r="HD71" s="607">
        <f t="shared" si="368"/>
        <v>234</v>
      </c>
      <c r="HF71" s="605" t="s">
        <v>33</v>
      </c>
      <c r="HG71" s="607">
        <v>74</v>
      </c>
      <c r="HH71" s="607">
        <v>88</v>
      </c>
      <c r="HI71" s="607">
        <v>82</v>
      </c>
      <c r="HJ71" s="607">
        <v>96</v>
      </c>
      <c r="HK71" s="607">
        <f t="shared" si="369"/>
        <v>340</v>
      </c>
      <c r="HM71" s="605" t="s">
        <v>33</v>
      </c>
      <c r="HN71" s="607">
        <v>89</v>
      </c>
      <c r="HO71" s="607">
        <v>87</v>
      </c>
      <c r="HP71" s="607">
        <v>86</v>
      </c>
      <c r="HQ71" s="607">
        <v>99</v>
      </c>
      <c r="HR71" s="607">
        <f t="shared" si="370"/>
        <v>361</v>
      </c>
      <c r="HT71" s="605" t="s">
        <v>33</v>
      </c>
      <c r="HU71" s="607">
        <v>105</v>
      </c>
      <c r="HV71" s="607">
        <v>111</v>
      </c>
      <c r="HW71" s="607">
        <v>100</v>
      </c>
      <c r="HX71" s="607">
        <v>109</v>
      </c>
      <c r="HY71" s="607">
        <f t="shared" si="371"/>
        <v>425</v>
      </c>
      <c r="IA71" s="605" t="s">
        <v>33</v>
      </c>
      <c r="IB71" s="607">
        <v>105</v>
      </c>
      <c r="IC71" s="607">
        <v>113</v>
      </c>
      <c r="ID71" s="607">
        <v>101</v>
      </c>
      <c r="IE71" s="607">
        <v>113</v>
      </c>
      <c r="IF71" s="607">
        <f t="shared" si="372"/>
        <v>432</v>
      </c>
      <c r="IH71" s="605" t="s">
        <v>33</v>
      </c>
      <c r="II71" s="607">
        <v>98</v>
      </c>
      <c r="IJ71" s="607">
        <v>114</v>
      </c>
      <c r="IK71" s="607">
        <v>109</v>
      </c>
      <c r="IL71" s="607">
        <v>114</v>
      </c>
      <c r="IM71" s="607">
        <f t="shared" si="373"/>
        <v>435</v>
      </c>
      <c r="IO71" s="605" t="s">
        <v>33</v>
      </c>
      <c r="IP71" s="607">
        <v>101</v>
      </c>
      <c r="IQ71" s="607">
        <v>120</v>
      </c>
      <c r="IR71" s="607">
        <v>109</v>
      </c>
      <c r="IS71" s="607">
        <v>120</v>
      </c>
      <c r="IT71" s="607">
        <f t="shared" si="374"/>
        <v>450</v>
      </c>
      <c r="IV71" s="605" t="s">
        <v>33</v>
      </c>
      <c r="IW71" s="607">
        <v>113</v>
      </c>
      <c r="IX71" s="607">
        <v>121</v>
      </c>
      <c r="IY71" s="607">
        <v>115</v>
      </c>
      <c r="IZ71" s="607">
        <v>133</v>
      </c>
      <c r="JA71" s="607">
        <f t="shared" si="375"/>
        <v>482</v>
      </c>
      <c r="JC71" s="605" t="s">
        <v>33</v>
      </c>
      <c r="JD71" s="607">
        <v>119</v>
      </c>
      <c r="JE71" s="607">
        <v>116</v>
      </c>
      <c r="JF71" s="607">
        <v>106</v>
      </c>
      <c r="JG71" s="607">
        <v>117</v>
      </c>
      <c r="JH71" s="607">
        <f t="shared" si="376"/>
        <v>458</v>
      </c>
      <c r="JJ71" s="605" t="s">
        <v>33</v>
      </c>
      <c r="JK71" s="607">
        <v>112</v>
      </c>
      <c r="JL71" s="607">
        <v>118</v>
      </c>
      <c r="JM71" s="607">
        <v>112</v>
      </c>
      <c r="JN71" s="607">
        <v>122</v>
      </c>
      <c r="JO71" s="607">
        <f t="shared" si="377"/>
        <v>464</v>
      </c>
      <c r="JQ71" s="605" t="s">
        <v>33</v>
      </c>
      <c r="JR71" s="607">
        <v>115</v>
      </c>
      <c r="JS71" s="607">
        <v>121</v>
      </c>
      <c r="JT71" s="607">
        <v>119</v>
      </c>
      <c r="JU71" s="607">
        <v>118</v>
      </c>
      <c r="JV71" s="607">
        <f t="shared" si="378"/>
        <v>473</v>
      </c>
      <c r="JX71" s="605" t="s">
        <v>33</v>
      </c>
      <c r="JY71" s="607">
        <v>104</v>
      </c>
      <c r="JZ71" s="607">
        <v>35</v>
      </c>
      <c r="KA71" s="607">
        <v>102</v>
      </c>
      <c r="KB71" s="607">
        <v>103</v>
      </c>
      <c r="KC71" s="607">
        <f t="shared" si="379"/>
        <v>344</v>
      </c>
      <c r="KE71" s="605" t="s">
        <v>33</v>
      </c>
      <c r="KF71" s="607">
        <v>87</v>
      </c>
      <c r="KG71" s="607">
        <v>77</v>
      </c>
      <c r="KH71" s="607">
        <v>75</v>
      </c>
      <c r="KI71" s="607">
        <v>79</v>
      </c>
      <c r="KJ71" s="607">
        <f t="shared" si="380"/>
        <v>318</v>
      </c>
      <c r="KL71" s="605" t="s">
        <v>33</v>
      </c>
      <c r="KM71" s="607">
        <v>78</v>
      </c>
      <c r="KN71" s="607">
        <v>85</v>
      </c>
      <c r="KO71" s="607">
        <v>85</v>
      </c>
      <c r="KP71" s="607">
        <v>90</v>
      </c>
      <c r="KQ71" s="607">
        <f t="shared" si="381"/>
        <v>338</v>
      </c>
      <c r="KS71" s="605" t="s">
        <v>33</v>
      </c>
      <c r="KT71" s="607">
        <v>86</v>
      </c>
      <c r="KU71" s="607">
        <v>103</v>
      </c>
      <c r="KV71" s="606">
        <v>101</v>
      </c>
      <c r="KW71" s="607">
        <v>98</v>
      </c>
      <c r="KX71" s="607">
        <f t="shared" si="382"/>
        <v>388</v>
      </c>
      <c r="KZ71" s="605" t="s">
        <v>33</v>
      </c>
      <c r="LA71" s="607">
        <v>94</v>
      </c>
      <c r="LB71" s="607">
        <v>105</v>
      </c>
      <c r="LC71" s="607">
        <v>98</v>
      </c>
      <c r="LD71" s="607">
        <v>96</v>
      </c>
      <c r="LE71" s="607">
        <f t="shared" ref="LE71" si="395">LE190</f>
        <v>393</v>
      </c>
      <c r="LF71" s="608"/>
      <c r="LG71" s="605" t="s">
        <v>33</v>
      </c>
      <c r="LH71" s="607">
        <v>87</v>
      </c>
      <c r="LI71" s="607">
        <v>103</v>
      </c>
      <c r="LJ71" s="607">
        <v>99</v>
      </c>
      <c r="LK71" s="607">
        <v>91</v>
      </c>
      <c r="LL71" s="607">
        <f t="shared" si="384"/>
        <v>380</v>
      </c>
      <c r="LM71" s="608"/>
      <c r="LN71" s="605" t="s">
        <v>33</v>
      </c>
      <c r="LO71" s="607">
        <f t="shared" ref="LO71:LR71" si="396">LO190</f>
        <v>85.694999999999993</v>
      </c>
      <c r="LP71" s="607">
        <f t="shared" si="396"/>
        <v>96.82</v>
      </c>
      <c r="LQ71" s="607">
        <f t="shared" si="396"/>
        <v>94.05</v>
      </c>
      <c r="LR71" s="607">
        <f t="shared" si="396"/>
        <v>95.55</v>
      </c>
      <c r="LS71" s="607">
        <f t="shared" si="386"/>
        <v>372.11500000000001</v>
      </c>
      <c r="LT71" s="608"/>
      <c r="LU71" s="605" t="s">
        <v>33</v>
      </c>
      <c r="LV71" s="607">
        <f t="shared" ref="LV71:LY71" si="397">LV190</f>
        <v>88.26585</v>
      </c>
      <c r="LW71" s="607">
        <f t="shared" si="397"/>
        <v>99.724599999999995</v>
      </c>
      <c r="LX71" s="607">
        <f t="shared" si="397"/>
        <v>96.871499999999997</v>
      </c>
      <c r="LY71" s="607">
        <f t="shared" si="397"/>
        <v>98.416499999999999</v>
      </c>
      <c r="LZ71" s="607">
        <f t="shared" si="388"/>
        <v>383.27844999999996</v>
      </c>
      <c r="MA71" s="608"/>
      <c r="MB71" s="605" t="s">
        <v>33</v>
      </c>
      <c r="MC71" s="607">
        <f t="shared" ref="MC71:MF71" si="398">MC190</f>
        <v>90.913825500000002</v>
      </c>
      <c r="MD71" s="607">
        <f t="shared" si="398"/>
        <v>102.71633799999999</v>
      </c>
      <c r="ME71" s="607">
        <f t="shared" si="398"/>
        <v>99.777645000000007</v>
      </c>
      <c r="MF71" s="607">
        <f t="shared" si="398"/>
        <v>101.368995</v>
      </c>
      <c r="MG71" s="607">
        <f t="shared" si="390"/>
        <v>394.77680349999997</v>
      </c>
      <c r="MH71" s="608"/>
    </row>
    <row r="72" spans="1:346" s="158" customFormat="1" ht="13.15" x14ac:dyDescent="0.4">
      <c r="A72" s="604"/>
      <c r="B72" s="605" t="s">
        <v>143</v>
      </c>
      <c r="C72" s="606"/>
      <c r="D72" s="606"/>
      <c r="E72" s="606">
        <v>576.9</v>
      </c>
      <c r="F72" s="606">
        <v>490.5</v>
      </c>
      <c r="G72" s="606">
        <v>368.6</v>
      </c>
      <c r="H72" s="606">
        <v>403</v>
      </c>
      <c r="I72" s="606">
        <v>438</v>
      </c>
      <c r="J72" s="606">
        <v>408</v>
      </c>
      <c r="K72" s="606">
        <v>406</v>
      </c>
      <c r="L72" s="606">
        <v>454</v>
      </c>
      <c r="M72" s="606">
        <v>444</v>
      </c>
      <c r="N72" s="607">
        <f t="shared" si="313"/>
        <v>408</v>
      </c>
      <c r="O72" s="607">
        <f t="shared" si="314"/>
        <v>412</v>
      </c>
      <c r="P72" s="607">
        <f t="shared" si="315"/>
        <v>327</v>
      </c>
      <c r="Q72" s="607">
        <f t="shared" si="316"/>
        <v>345</v>
      </c>
      <c r="R72" s="607">
        <f t="shared" si="317"/>
        <v>374</v>
      </c>
      <c r="S72" s="607">
        <f t="shared" si="318"/>
        <v>419</v>
      </c>
      <c r="T72" s="607">
        <f t="shared" si="319"/>
        <v>414</v>
      </c>
      <c r="U72" s="607">
        <f t="shared" si="320"/>
        <v>429</v>
      </c>
      <c r="V72" s="607">
        <f t="shared" si="321"/>
        <v>445</v>
      </c>
      <c r="W72" s="607">
        <f t="shared" si="322"/>
        <v>429</v>
      </c>
      <c r="X72" s="607">
        <f t="shared" si="323"/>
        <v>434</v>
      </c>
      <c r="Y72" s="607">
        <f t="shared" si="324"/>
        <v>0</v>
      </c>
      <c r="Z72" s="607">
        <f t="shared" si="325"/>
        <v>0</v>
      </c>
      <c r="AA72" s="607">
        <f t="shared" si="326"/>
        <v>0</v>
      </c>
      <c r="AB72" s="607">
        <f t="shared" si="327"/>
        <v>0</v>
      </c>
      <c r="AC72" s="607">
        <f t="shared" si="328"/>
        <v>0</v>
      </c>
      <c r="AD72" s="607">
        <f t="shared" si="329"/>
        <v>0</v>
      </c>
      <c r="AE72" s="607">
        <f t="shared" si="330"/>
        <v>0</v>
      </c>
      <c r="AF72" s="607">
        <f t="shared" si="331"/>
        <v>0</v>
      </c>
      <c r="AG72" s="607">
        <f t="shared" si="332"/>
        <v>0</v>
      </c>
      <c r="AH72" s="607">
        <f t="shared" si="333"/>
        <v>0</v>
      </c>
      <c r="AI72" s="607">
        <f t="shared" si="334"/>
        <v>277</v>
      </c>
      <c r="AJ72" s="607">
        <f t="shared" si="335"/>
        <v>295</v>
      </c>
      <c r="AK72" s="607">
        <f t="shared" si="336"/>
        <v>270</v>
      </c>
      <c r="AL72" s="607">
        <f t="shared" si="337"/>
        <v>270</v>
      </c>
      <c r="AM72" s="607">
        <f t="shared" si="338"/>
        <v>288</v>
      </c>
      <c r="AN72" s="607">
        <f t="shared" si="339"/>
        <v>306</v>
      </c>
      <c r="AO72" s="607">
        <f t="shared" si="340"/>
        <v>310</v>
      </c>
      <c r="AP72" s="607">
        <f t="shared" si="341"/>
        <v>267</v>
      </c>
      <c r="AQ72" s="607">
        <f t="shared" si="342"/>
        <v>284</v>
      </c>
      <c r="AR72" s="607">
        <f t="shared" si="343"/>
        <v>303</v>
      </c>
      <c r="AS72" s="607">
        <f t="shared" si="344"/>
        <v>321</v>
      </c>
      <c r="AT72" s="607">
        <f t="shared" si="345"/>
        <v>325</v>
      </c>
      <c r="AU72" s="607">
        <f t="shared" si="346"/>
        <v>337</v>
      </c>
      <c r="AV72" s="607">
        <f t="shared" si="347"/>
        <v>358</v>
      </c>
      <c r="AW72" s="607">
        <f t="shared" si="348"/>
        <v>361</v>
      </c>
      <c r="AX72" s="607">
        <f t="shared" si="349"/>
        <v>375</v>
      </c>
      <c r="AY72" s="607">
        <f t="shared" si="350"/>
        <v>386.80500000000001</v>
      </c>
      <c r="AZ72" s="607">
        <f t="shared" si="351"/>
        <v>402.27719999999999</v>
      </c>
      <c r="BA72" s="607">
        <f t="shared" si="352"/>
        <v>416.35690199999993</v>
      </c>
      <c r="BB72" s="607"/>
      <c r="BC72" s="607"/>
      <c r="BD72" s="607"/>
      <c r="BE72" s="607"/>
      <c r="BF72" s="607"/>
      <c r="BG72" s="607"/>
      <c r="BH72" s="607"/>
      <c r="BI72" s="607"/>
      <c r="BJ72" s="607"/>
      <c r="BK72" s="607"/>
      <c r="BL72" s="607"/>
      <c r="BM72" s="607"/>
      <c r="BO72" s="605" t="s">
        <v>143</v>
      </c>
      <c r="BP72" s="607">
        <f>BW72-6</f>
        <v>97</v>
      </c>
      <c r="BQ72" s="607">
        <f>BX72-5</f>
        <v>110</v>
      </c>
      <c r="BR72" s="607">
        <f>BY72+2</f>
        <v>105</v>
      </c>
      <c r="BS72" s="607">
        <f>BZ72+5</f>
        <v>96</v>
      </c>
      <c r="BT72" s="607">
        <f t="shared" si="353"/>
        <v>408</v>
      </c>
      <c r="BV72" s="605" t="s">
        <v>143</v>
      </c>
      <c r="BW72" s="607">
        <v>103</v>
      </c>
      <c r="BX72" s="607">
        <v>115</v>
      </c>
      <c r="BY72" s="607">
        <v>103</v>
      </c>
      <c r="BZ72" s="607">
        <v>91</v>
      </c>
      <c r="CA72" s="607">
        <f t="shared" si="354"/>
        <v>412</v>
      </c>
      <c r="CC72" s="605" t="s">
        <v>143</v>
      </c>
      <c r="CD72" s="607">
        <v>76</v>
      </c>
      <c r="CE72" s="607">
        <v>85</v>
      </c>
      <c r="CF72" s="607">
        <v>84</v>
      </c>
      <c r="CG72" s="607">
        <v>82</v>
      </c>
      <c r="CH72" s="607">
        <f t="shared" si="355"/>
        <v>327</v>
      </c>
      <c r="CJ72" s="605" t="s">
        <v>143</v>
      </c>
      <c r="CK72" s="607">
        <v>79</v>
      </c>
      <c r="CL72" s="607">
        <v>89</v>
      </c>
      <c r="CM72" s="607">
        <v>90</v>
      </c>
      <c r="CN72" s="607">
        <v>87</v>
      </c>
      <c r="CO72" s="607">
        <f t="shared" si="356"/>
        <v>345</v>
      </c>
      <c r="CQ72" s="605" t="s">
        <v>143</v>
      </c>
      <c r="CR72" s="607">
        <v>81</v>
      </c>
      <c r="CS72" s="607">
        <v>96</v>
      </c>
      <c r="CT72" s="607">
        <v>100</v>
      </c>
      <c r="CU72" s="607">
        <v>97</v>
      </c>
      <c r="CV72" s="607">
        <f t="shared" si="357"/>
        <v>374</v>
      </c>
      <c r="CX72" s="605" t="s">
        <v>143</v>
      </c>
      <c r="CY72" s="607">
        <v>94</v>
      </c>
      <c r="CZ72" s="607">
        <v>109</v>
      </c>
      <c r="DA72" s="607">
        <v>111</v>
      </c>
      <c r="DB72" s="607">
        <v>105</v>
      </c>
      <c r="DC72" s="607">
        <f t="shared" si="358"/>
        <v>419</v>
      </c>
      <c r="DE72" s="605" t="s">
        <v>143</v>
      </c>
      <c r="DF72" s="607">
        <v>98</v>
      </c>
      <c r="DG72" s="607">
        <v>109</v>
      </c>
      <c r="DH72" s="607">
        <v>107</v>
      </c>
      <c r="DI72" s="607">
        <v>100</v>
      </c>
      <c r="DJ72" s="607">
        <f t="shared" si="359"/>
        <v>414</v>
      </c>
      <c r="DL72" s="605" t="s">
        <v>143</v>
      </c>
      <c r="DM72" s="607">
        <v>94</v>
      </c>
      <c r="DN72" s="607">
        <v>112</v>
      </c>
      <c r="DO72" s="607">
        <v>112</v>
      </c>
      <c r="DP72" s="607">
        <v>111</v>
      </c>
      <c r="DQ72" s="607">
        <f t="shared" si="360"/>
        <v>429</v>
      </c>
      <c r="DS72" s="605" t="s">
        <v>143</v>
      </c>
      <c r="DT72" s="607">
        <v>104</v>
      </c>
      <c r="DU72" s="607">
        <v>111</v>
      </c>
      <c r="DV72" s="607">
        <v>119</v>
      </c>
      <c r="DW72" s="607">
        <v>111</v>
      </c>
      <c r="DX72" s="607">
        <f t="shared" si="361"/>
        <v>445</v>
      </c>
      <c r="DZ72" s="605" t="s">
        <v>143</v>
      </c>
      <c r="EA72" s="607">
        <v>103</v>
      </c>
      <c r="EB72" s="607">
        <v>118</v>
      </c>
      <c r="EC72" s="607">
        <v>107</v>
      </c>
      <c r="ED72" s="607">
        <v>101</v>
      </c>
      <c r="EE72" s="607">
        <f t="shared" si="362"/>
        <v>429</v>
      </c>
      <c r="EG72" s="605" t="s">
        <v>143</v>
      </c>
      <c r="EH72" s="607">
        <v>113</v>
      </c>
      <c r="EI72" s="607">
        <v>109</v>
      </c>
      <c r="EJ72" s="607">
        <v>107</v>
      </c>
      <c r="EK72" s="607">
        <v>105</v>
      </c>
      <c r="EL72" s="607">
        <f t="shared" si="363"/>
        <v>434</v>
      </c>
      <c r="EN72" s="605" t="s">
        <v>143</v>
      </c>
      <c r="EO72" s="607"/>
      <c r="EP72" s="607"/>
      <c r="EQ72" s="607"/>
      <c r="ER72" s="607"/>
      <c r="ES72" s="607"/>
      <c r="EU72" s="605" t="s">
        <v>143</v>
      </c>
      <c r="EV72" s="607"/>
      <c r="EW72" s="607"/>
      <c r="EX72" s="607"/>
      <c r="EY72" s="607"/>
      <c r="EZ72" s="607"/>
      <c r="FB72" s="605" t="s">
        <v>143</v>
      </c>
      <c r="FC72" s="607"/>
      <c r="FD72" s="607"/>
      <c r="FE72" s="607"/>
      <c r="FF72" s="607"/>
      <c r="FG72" s="607"/>
      <c r="FI72" s="605" t="s">
        <v>143</v>
      </c>
      <c r="FJ72" s="607"/>
      <c r="FK72" s="607"/>
      <c r="FL72" s="607"/>
      <c r="FM72" s="607"/>
      <c r="FN72" s="607"/>
      <c r="FP72" s="605" t="s">
        <v>143</v>
      </c>
      <c r="FQ72" s="607"/>
      <c r="FR72" s="607"/>
      <c r="FS72" s="607"/>
      <c r="FT72" s="607"/>
      <c r="FU72" s="607"/>
      <c r="FW72" s="605" t="s">
        <v>143</v>
      </c>
      <c r="FX72" s="607">
        <v>0</v>
      </c>
      <c r="FY72" s="607">
        <v>0</v>
      </c>
      <c r="FZ72" s="607">
        <v>0</v>
      </c>
      <c r="GA72" s="607">
        <v>0</v>
      </c>
      <c r="GB72" s="607">
        <f t="shared" si="364"/>
        <v>0</v>
      </c>
      <c r="GD72" s="605" t="s">
        <v>143</v>
      </c>
      <c r="GE72" s="607">
        <v>0</v>
      </c>
      <c r="GF72" s="607">
        <v>0</v>
      </c>
      <c r="GG72" s="607">
        <v>0</v>
      </c>
      <c r="GH72" s="607">
        <v>0</v>
      </c>
      <c r="GI72" s="607">
        <f t="shared" si="365"/>
        <v>0</v>
      </c>
      <c r="GK72" s="605" t="s">
        <v>143</v>
      </c>
      <c r="GL72" s="607">
        <v>0</v>
      </c>
      <c r="GM72" s="607">
        <v>0</v>
      </c>
      <c r="GN72" s="607">
        <v>0</v>
      </c>
      <c r="GO72" s="607">
        <v>0</v>
      </c>
      <c r="GP72" s="607">
        <f t="shared" si="366"/>
        <v>0</v>
      </c>
      <c r="GR72" s="605" t="s">
        <v>143</v>
      </c>
      <c r="GS72" s="607">
        <v>0</v>
      </c>
      <c r="GT72" s="607">
        <v>0</v>
      </c>
      <c r="GU72" s="607">
        <v>0</v>
      </c>
      <c r="GV72" s="607">
        <v>0</v>
      </c>
      <c r="GW72" s="607">
        <f t="shared" si="367"/>
        <v>0</v>
      </c>
      <c r="GY72" s="605" t="s">
        <v>143</v>
      </c>
      <c r="GZ72" s="607">
        <v>0</v>
      </c>
      <c r="HA72" s="607">
        <v>0</v>
      </c>
      <c r="HB72" s="607">
        <v>0</v>
      </c>
      <c r="HC72" s="607">
        <v>0</v>
      </c>
      <c r="HD72" s="607">
        <f t="shared" si="368"/>
        <v>0</v>
      </c>
      <c r="HF72" s="605" t="s">
        <v>143</v>
      </c>
      <c r="HG72" s="607">
        <v>54</v>
      </c>
      <c r="HH72" s="607">
        <v>76</v>
      </c>
      <c r="HI72" s="607">
        <v>77</v>
      </c>
      <c r="HJ72" s="607">
        <v>70</v>
      </c>
      <c r="HK72" s="607">
        <f t="shared" si="369"/>
        <v>277</v>
      </c>
      <c r="HM72" s="605" t="s">
        <v>143</v>
      </c>
      <c r="HN72" s="607">
        <v>62</v>
      </c>
      <c r="HO72" s="607">
        <v>80</v>
      </c>
      <c r="HP72" s="607">
        <v>79</v>
      </c>
      <c r="HQ72" s="607">
        <v>74</v>
      </c>
      <c r="HR72" s="607">
        <f t="shared" si="370"/>
        <v>295</v>
      </c>
      <c r="HT72" s="605" t="s">
        <v>143</v>
      </c>
      <c r="HU72" s="607">
        <v>57</v>
      </c>
      <c r="HV72" s="607">
        <v>70</v>
      </c>
      <c r="HW72" s="607">
        <v>74</v>
      </c>
      <c r="HX72" s="607">
        <v>69</v>
      </c>
      <c r="HY72" s="607">
        <f t="shared" si="371"/>
        <v>270</v>
      </c>
      <c r="IA72" s="605" t="s">
        <v>143</v>
      </c>
      <c r="IB72" s="607">
        <v>56</v>
      </c>
      <c r="IC72" s="607">
        <v>73</v>
      </c>
      <c r="ID72" s="607">
        <v>75</v>
      </c>
      <c r="IE72" s="607">
        <v>66</v>
      </c>
      <c r="IF72" s="607">
        <f t="shared" si="372"/>
        <v>270</v>
      </c>
      <c r="IH72" s="605" t="s">
        <v>143</v>
      </c>
      <c r="II72" s="607">
        <v>53</v>
      </c>
      <c r="IJ72" s="607">
        <v>78</v>
      </c>
      <c r="IK72" s="607">
        <v>83</v>
      </c>
      <c r="IL72" s="607">
        <v>74</v>
      </c>
      <c r="IM72" s="607">
        <f t="shared" si="373"/>
        <v>288</v>
      </c>
      <c r="IO72" s="605" t="s">
        <v>143</v>
      </c>
      <c r="IP72" s="607">
        <v>59</v>
      </c>
      <c r="IQ72" s="607">
        <v>82</v>
      </c>
      <c r="IR72" s="607">
        <v>87</v>
      </c>
      <c r="IS72" s="607">
        <v>78</v>
      </c>
      <c r="IT72" s="607">
        <f t="shared" si="374"/>
        <v>306</v>
      </c>
      <c r="IV72" s="605" t="s">
        <v>143</v>
      </c>
      <c r="IW72" s="607">
        <v>58</v>
      </c>
      <c r="IX72" s="607">
        <v>86</v>
      </c>
      <c r="IY72" s="607">
        <v>86</v>
      </c>
      <c r="IZ72" s="607">
        <v>80</v>
      </c>
      <c r="JA72" s="607">
        <f t="shared" si="375"/>
        <v>310</v>
      </c>
      <c r="JC72" s="605" t="s">
        <v>143</v>
      </c>
      <c r="JD72" s="607">
        <v>70</v>
      </c>
      <c r="JE72" s="607">
        <v>67</v>
      </c>
      <c r="JF72" s="607">
        <v>64</v>
      </c>
      <c r="JG72" s="607">
        <v>66</v>
      </c>
      <c r="JH72" s="607">
        <f t="shared" si="376"/>
        <v>267</v>
      </c>
      <c r="JJ72" s="605" t="s">
        <v>143</v>
      </c>
      <c r="JK72" s="607">
        <v>66</v>
      </c>
      <c r="JL72" s="607">
        <v>71</v>
      </c>
      <c r="JM72" s="607">
        <v>74</v>
      </c>
      <c r="JN72" s="607">
        <v>73</v>
      </c>
      <c r="JO72" s="607">
        <f t="shared" si="377"/>
        <v>284</v>
      </c>
      <c r="JQ72" s="605" t="s">
        <v>143</v>
      </c>
      <c r="JR72" s="607">
        <v>69</v>
      </c>
      <c r="JS72" s="607">
        <v>90</v>
      </c>
      <c r="JT72" s="607">
        <v>73</v>
      </c>
      <c r="JU72" s="607">
        <v>71</v>
      </c>
      <c r="JV72" s="607">
        <f t="shared" si="378"/>
        <v>303</v>
      </c>
      <c r="JX72" s="605" t="s">
        <v>143</v>
      </c>
      <c r="JY72" s="607">
        <v>74</v>
      </c>
      <c r="JZ72" s="607">
        <v>83</v>
      </c>
      <c r="KA72" s="607">
        <v>86</v>
      </c>
      <c r="KB72" s="607">
        <v>78</v>
      </c>
      <c r="KC72" s="607">
        <f t="shared" si="379"/>
        <v>321</v>
      </c>
      <c r="KE72" s="605" t="s">
        <v>143</v>
      </c>
      <c r="KF72" s="607">
        <v>67</v>
      </c>
      <c r="KG72" s="607">
        <v>87</v>
      </c>
      <c r="KH72" s="607">
        <v>90</v>
      </c>
      <c r="KI72" s="607">
        <v>81</v>
      </c>
      <c r="KJ72" s="607">
        <f t="shared" si="380"/>
        <v>325</v>
      </c>
      <c r="KL72" s="605" t="s">
        <v>143</v>
      </c>
      <c r="KM72" s="607">
        <v>72</v>
      </c>
      <c r="KN72" s="607">
        <v>90</v>
      </c>
      <c r="KO72" s="607">
        <v>91</v>
      </c>
      <c r="KP72" s="607">
        <v>84</v>
      </c>
      <c r="KQ72" s="607">
        <f t="shared" si="381"/>
        <v>337</v>
      </c>
      <c r="KS72" s="605" t="s">
        <v>143</v>
      </c>
      <c r="KT72" s="607">
        <v>83</v>
      </c>
      <c r="KU72" s="607">
        <v>95</v>
      </c>
      <c r="KV72" s="606">
        <v>95</v>
      </c>
      <c r="KW72" s="607">
        <v>85</v>
      </c>
      <c r="KX72" s="607">
        <f t="shared" si="382"/>
        <v>358</v>
      </c>
      <c r="KZ72" s="605" t="s">
        <v>143</v>
      </c>
      <c r="LA72" s="607">
        <v>80</v>
      </c>
      <c r="LB72" s="607">
        <v>97</v>
      </c>
      <c r="LC72" s="607">
        <v>96</v>
      </c>
      <c r="LD72" s="607">
        <v>88</v>
      </c>
      <c r="LE72" s="607">
        <f t="shared" ref="LE72" si="399">LE200</f>
        <v>361</v>
      </c>
      <c r="LF72" s="608"/>
      <c r="LG72" s="605" t="s">
        <v>143</v>
      </c>
      <c r="LH72" s="607">
        <v>79</v>
      </c>
      <c r="LI72" s="607">
        <v>99</v>
      </c>
      <c r="LJ72" s="607">
        <v>104</v>
      </c>
      <c r="LK72" s="607">
        <v>93</v>
      </c>
      <c r="LL72" s="607">
        <f t="shared" si="384"/>
        <v>375</v>
      </c>
      <c r="LM72" s="608"/>
      <c r="LN72" s="605" t="s">
        <v>143</v>
      </c>
      <c r="LO72" s="607">
        <f t="shared" ref="LO72:LR72" si="400">LO200</f>
        <v>81.765000000000001</v>
      </c>
      <c r="LP72" s="607">
        <f t="shared" si="400"/>
        <v>101.47499999999999</v>
      </c>
      <c r="LQ72" s="607">
        <f t="shared" si="400"/>
        <v>104.51999999999998</v>
      </c>
      <c r="LR72" s="607">
        <f t="shared" si="400"/>
        <v>99.045000000000002</v>
      </c>
      <c r="LS72" s="607">
        <f t="shared" si="386"/>
        <v>386.80500000000001</v>
      </c>
      <c r="LT72" s="608"/>
      <c r="LU72" s="605" t="s">
        <v>143</v>
      </c>
      <c r="LV72" s="607">
        <f t="shared" ref="LV72:LY72" si="401">LV200</f>
        <v>85.035600000000002</v>
      </c>
      <c r="LW72" s="607">
        <f t="shared" si="401"/>
        <v>105.53399999999999</v>
      </c>
      <c r="LX72" s="607">
        <f t="shared" si="401"/>
        <v>108.70079999999999</v>
      </c>
      <c r="LY72" s="607">
        <f t="shared" si="401"/>
        <v>103.0068</v>
      </c>
      <c r="LZ72" s="607">
        <f t="shared" si="388"/>
        <v>402.27719999999999</v>
      </c>
      <c r="MA72" s="608"/>
      <c r="MB72" s="605" t="s">
        <v>143</v>
      </c>
      <c r="MC72" s="607">
        <f t="shared" ref="MC72:MF72" si="402">MC200</f>
        <v>88.011845999999991</v>
      </c>
      <c r="MD72" s="607">
        <f t="shared" si="402"/>
        <v>109.22768999999998</v>
      </c>
      <c r="ME72" s="607">
        <f t="shared" si="402"/>
        <v>112.50532799999998</v>
      </c>
      <c r="MF72" s="607">
        <f t="shared" si="402"/>
        <v>106.61203799999998</v>
      </c>
      <c r="MG72" s="607">
        <f t="shared" si="390"/>
        <v>416.35690199999993</v>
      </c>
      <c r="MH72" s="608"/>
    </row>
    <row r="73" spans="1:346" s="158" customFormat="1" ht="13.15" x14ac:dyDescent="0.4">
      <c r="A73" s="604"/>
      <c r="B73" s="605" t="s">
        <v>144</v>
      </c>
      <c r="C73" s="606"/>
      <c r="D73" s="606"/>
      <c r="E73" s="606">
        <f>448.3</f>
        <v>448.3</v>
      </c>
      <c r="F73" s="606">
        <f>452.5</f>
        <v>452.5</v>
      </c>
      <c r="G73" s="606">
        <f>260.2</f>
        <v>260.2</v>
      </c>
      <c r="H73" s="606">
        <v>269</v>
      </c>
      <c r="I73" s="606">
        <v>306</v>
      </c>
      <c r="J73" s="606">
        <v>259</v>
      </c>
      <c r="K73" s="606">
        <v>269</v>
      </c>
      <c r="L73" s="606">
        <v>298</v>
      </c>
      <c r="M73" s="606">
        <v>305</v>
      </c>
      <c r="N73" s="607">
        <f t="shared" si="313"/>
        <v>250</v>
      </c>
      <c r="O73" s="607">
        <f t="shared" si="314"/>
        <v>233</v>
      </c>
      <c r="P73" s="607">
        <f t="shared" si="315"/>
        <v>199</v>
      </c>
      <c r="Q73" s="607">
        <f t="shared" si="316"/>
        <v>226</v>
      </c>
      <c r="R73" s="607">
        <f t="shared" si="317"/>
        <v>258</v>
      </c>
      <c r="S73" s="607">
        <f t="shared" si="318"/>
        <v>292</v>
      </c>
      <c r="T73" s="607">
        <f t="shared" si="319"/>
        <v>301</v>
      </c>
      <c r="U73" s="607">
        <f t="shared" si="320"/>
        <v>277</v>
      </c>
      <c r="V73" s="607">
        <f t="shared" si="321"/>
        <v>316</v>
      </c>
      <c r="W73" s="607">
        <f t="shared" si="322"/>
        <v>290</v>
      </c>
      <c r="X73" s="607">
        <f t="shared" si="323"/>
        <v>326</v>
      </c>
      <c r="Y73" s="607">
        <f t="shared" si="324"/>
        <v>343</v>
      </c>
      <c r="Z73" s="607">
        <f t="shared" si="325"/>
        <v>319</v>
      </c>
      <c r="AA73" s="607">
        <f t="shared" si="326"/>
        <v>319</v>
      </c>
      <c r="AB73" s="607">
        <f t="shared" si="327"/>
        <v>348</v>
      </c>
      <c r="AC73" s="607">
        <f t="shared" si="328"/>
        <v>380</v>
      </c>
      <c r="AD73" s="607">
        <f t="shared" si="329"/>
        <v>361</v>
      </c>
      <c r="AE73" s="607">
        <f t="shared" si="330"/>
        <v>364</v>
      </c>
      <c r="AF73" s="607">
        <f t="shared" si="331"/>
        <v>355</v>
      </c>
      <c r="AG73" s="607">
        <f t="shared" si="332"/>
        <v>337</v>
      </c>
      <c r="AH73" s="607">
        <f t="shared" si="333"/>
        <v>200</v>
      </c>
      <c r="AI73" s="607">
        <f t="shared" si="334"/>
        <v>243</v>
      </c>
      <c r="AJ73" s="607">
        <f t="shared" si="335"/>
        <v>265</v>
      </c>
      <c r="AK73" s="607">
        <f t="shared" si="336"/>
        <v>263</v>
      </c>
      <c r="AL73" s="607">
        <f t="shared" si="337"/>
        <v>309</v>
      </c>
      <c r="AM73" s="607">
        <f t="shared" si="338"/>
        <v>331</v>
      </c>
      <c r="AN73" s="607">
        <f t="shared" si="339"/>
        <v>284</v>
      </c>
      <c r="AO73" s="607">
        <f t="shared" si="340"/>
        <v>266</v>
      </c>
      <c r="AP73" s="607">
        <f t="shared" si="341"/>
        <v>256</v>
      </c>
      <c r="AQ73" s="607">
        <f t="shared" si="342"/>
        <v>267</v>
      </c>
      <c r="AR73" s="607">
        <f t="shared" si="343"/>
        <v>248</v>
      </c>
      <c r="AS73" s="607">
        <f t="shared" si="344"/>
        <v>239</v>
      </c>
      <c r="AT73" s="607">
        <f t="shared" si="345"/>
        <v>277</v>
      </c>
      <c r="AU73" s="607">
        <f t="shared" si="346"/>
        <v>267</v>
      </c>
      <c r="AV73" s="607">
        <f t="shared" si="347"/>
        <v>284</v>
      </c>
      <c r="AW73" s="607">
        <f t="shared" si="348"/>
        <v>268</v>
      </c>
      <c r="AX73" s="607">
        <f t="shared" si="349"/>
        <v>265</v>
      </c>
      <c r="AY73" s="607">
        <f t="shared" si="350"/>
        <v>269.19499999999999</v>
      </c>
      <c r="AZ73" s="607">
        <f t="shared" si="351"/>
        <v>275.92487499999993</v>
      </c>
      <c r="BA73" s="607">
        <f t="shared" si="352"/>
        <v>282.82299687499989</v>
      </c>
      <c r="BB73" s="607"/>
      <c r="BC73" s="607"/>
      <c r="BD73" s="607"/>
      <c r="BE73" s="607"/>
      <c r="BF73" s="607"/>
      <c r="BG73" s="607"/>
      <c r="BH73" s="607"/>
      <c r="BI73" s="607"/>
      <c r="BJ73" s="607"/>
      <c r="BK73" s="607"/>
      <c r="BL73" s="607"/>
      <c r="BM73" s="607"/>
      <c r="BO73" s="605" t="s">
        <v>144</v>
      </c>
      <c r="BP73" s="607">
        <f>BW73+4</f>
        <v>57</v>
      </c>
      <c r="BQ73" s="607">
        <f>BX73+7</f>
        <v>71</v>
      </c>
      <c r="BR73" s="607">
        <f>BY73+5</f>
        <v>67</v>
      </c>
      <c r="BS73" s="607">
        <f>BZ73+1</f>
        <v>55</v>
      </c>
      <c r="BT73" s="607">
        <f t="shared" si="353"/>
        <v>250</v>
      </c>
      <c r="BV73" s="605" t="s">
        <v>144</v>
      </c>
      <c r="BW73" s="607">
        <v>53</v>
      </c>
      <c r="BX73" s="607">
        <v>64</v>
      </c>
      <c r="BY73" s="607">
        <v>62</v>
      </c>
      <c r="BZ73" s="607">
        <v>54</v>
      </c>
      <c r="CA73" s="607">
        <f t="shared" si="354"/>
        <v>233</v>
      </c>
      <c r="CC73" s="605" t="s">
        <v>144</v>
      </c>
      <c r="CD73" s="607">
        <v>44</v>
      </c>
      <c r="CE73" s="607">
        <v>49</v>
      </c>
      <c r="CF73" s="607">
        <v>55</v>
      </c>
      <c r="CG73" s="607">
        <v>51</v>
      </c>
      <c r="CH73" s="607">
        <f t="shared" si="355"/>
        <v>199</v>
      </c>
      <c r="CJ73" s="605" t="s">
        <v>144</v>
      </c>
      <c r="CK73" s="607">
        <v>48</v>
      </c>
      <c r="CL73" s="607">
        <v>62</v>
      </c>
      <c r="CM73" s="607">
        <v>58</v>
      </c>
      <c r="CN73" s="607">
        <v>58</v>
      </c>
      <c r="CO73" s="607">
        <f t="shared" si="356"/>
        <v>226</v>
      </c>
      <c r="CQ73" s="605" t="s">
        <v>144</v>
      </c>
      <c r="CR73" s="607">
        <v>56</v>
      </c>
      <c r="CS73" s="607">
        <v>68</v>
      </c>
      <c r="CT73" s="607">
        <v>69</v>
      </c>
      <c r="CU73" s="607">
        <v>65</v>
      </c>
      <c r="CV73" s="607">
        <f t="shared" si="357"/>
        <v>258</v>
      </c>
      <c r="CX73" s="605" t="s">
        <v>144</v>
      </c>
      <c r="CY73" s="607">
        <v>68</v>
      </c>
      <c r="CZ73" s="607">
        <v>75</v>
      </c>
      <c r="DA73" s="607">
        <v>77</v>
      </c>
      <c r="DB73" s="607">
        <v>72</v>
      </c>
      <c r="DC73" s="607">
        <f t="shared" si="358"/>
        <v>292</v>
      </c>
      <c r="DE73" s="605" t="s">
        <v>144</v>
      </c>
      <c r="DF73" s="607">
        <v>74</v>
      </c>
      <c r="DG73" s="607">
        <v>81</v>
      </c>
      <c r="DH73" s="607">
        <v>76</v>
      </c>
      <c r="DI73" s="607">
        <v>70</v>
      </c>
      <c r="DJ73" s="607">
        <f t="shared" si="359"/>
        <v>301</v>
      </c>
      <c r="DL73" s="605" t="s">
        <v>144</v>
      </c>
      <c r="DM73" s="607">
        <v>65</v>
      </c>
      <c r="DN73" s="607">
        <v>71</v>
      </c>
      <c r="DO73" s="607">
        <v>70</v>
      </c>
      <c r="DP73" s="607">
        <v>71</v>
      </c>
      <c r="DQ73" s="607">
        <f t="shared" si="360"/>
        <v>277</v>
      </c>
      <c r="DS73" s="605" t="s">
        <v>144</v>
      </c>
      <c r="DT73" s="607">
        <v>71</v>
      </c>
      <c r="DU73" s="607">
        <v>82</v>
      </c>
      <c r="DV73" s="607">
        <v>80</v>
      </c>
      <c r="DW73" s="607">
        <v>83</v>
      </c>
      <c r="DX73" s="607">
        <f t="shared" si="361"/>
        <v>316</v>
      </c>
      <c r="DZ73" s="605" t="s">
        <v>144</v>
      </c>
      <c r="EA73" s="607">
        <v>75</v>
      </c>
      <c r="EB73" s="607">
        <v>87</v>
      </c>
      <c r="EC73" s="607">
        <v>66</v>
      </c>
      <c r="ED73" s="607">
        <v>62</v>
      </c>
      <c r="EE73" s="607">
        <f t="shared" si="362"/>
        <v>290</v>
      </c>
      <c r="EG73" s="605" t="s">
        <v>144</v>
      </c>
      <c r="EH73" s="607">
        <v>79</v>
      </c>
      <c r="EI73" s="607">
        <v>78</v>
      </c>
      <c r="EJ73" s="607">
        <v>85</v>
      </c>
      <c r="EK73" s="607">
        <v>84</v>
      </c>
      <c r="EL73" s="607">
        <f t="shared" si="363"/>
        <v>326</v>
      </c>
      <c r="EN73" s="605" t="s">
        <v>144</v>
      </c>
      <c r="EO73" s="607">
        <v>91</v>
      </c>
      <c r="EP73" s="607">
        <v>89</v>
      </c>
      <c r="EQ73" s="607">
        <v>84</v>
      </c>
      <c r="ER73" s="607">
        <v>79</v>
      </c>
      <c r="ES73" s="607">
        <f>EO73+EP73+EQ73+ER73</f>
        <v>343</v>
      </c>
      <c r="EU73" s="605" t="s">
        <v>144</v>
      </c>
      <c r="EV73" s="607">
        <v>81</v>
      </c>
      <c r="EW73" s="607">
        <v>83</v>
      </c>
      <c r="EX73" s="607">
        <v>81</v>
      </c>
      <c r="EY73" s="607">
        <v>74</v>
      </c>
      <c r="EZ73" s="607">
        <f>EV73+EW73+EX73+EY73</f>
        <v>319</v>
      </c>
      <c r="FB73" s="605" t="s">
        <v>144</v>
      </c>
      <c r="FC73" s="607">
        <v>77</v>
      </c>
      <c r="FD73" s="607">
        <v>80</v>
      </c>
      <c r="FE73" s="607">
        <v>83</v>
      </c>
      <c r="FF73" s="607">
        <v>79</v>
      </c>
      <c r="FG73" s="607">
        <f>FC73+FD73+FE73+FF73</f>
        <v>319</v>
      </c>
      <c r="FI73" s="605" t="s">
        <v>144</v>
      </c>
      <c r="FJ73" s="607">
        <v>88</v>
      </c>
      <c r="FK73" s="607">
        <v>87</v>
      </c>
      <c r="FL73" s="607">
        <v>85</v>
      </c>
      <c r="FM73" s="607">
        <v>88</v>
      </c>
      <c r="FN73" s="607">
        <f>FJ73+FK73+FL73+FM73</f>
        <v>348</v>
      </c>
      <c r="FP73" s="605" t="s">
        <v>144</v>
      </c>
      <c r="FQ73" s="607">
        <v>94</v>
      </c>
      <c r="FR73" s="607">
        <v>95</v>
      </c>
      <c r="FS73" s="607">
        <v>95</v>
      </c>
      <c r="FT73" s="607">
        <v>96</v>
      </c>
      <c r="FU73" s="607">
        <f>FQ73+FR73+FS73+FT73</f>
        <v>380</v>
      </c>
      <c r="FW73" s="605" t="s">
        <v>144</v>
      </c>
      <c r="FX73" s="607">
        <v>93</v>
      </c>
      <c r="FY73" s="607">
        <v>92</v>
      </c>
      <c r="FZ73" s="607">
        <v>88</v>
      </c>
      <c r="GA73" s="607">
        <v>88</v>
      </c>
      <c r="GB73" s="607">
        <f t="shared" si="364"/>
        <v>361</v>
      </c>
      <c r="GD73" s="605" t="s">
        <v>144</v>
      </c>
      <c r="GE73" s="607">
        <v>94</v>
      </c>
      <c r="GF73" s="607">
        <v>95</v>
      </c>
      <c r="GG73" s="607">
        <v>91</v>
      </c>
      <c r="GH73" s="607">
        <v>84</v>
      </c>
      <c r="GI73" s="607">
        <f t="shared" si="365"/>
        <v>364</v>
      </c>
      <c r="GK73" s="605" t="s">
        <v>144</v>
      </c>
      <c r="GL73" s="607">
        <v>93</v>
      </c>
      <c r="GM73" s="607">
        <v>94</v>
      </c>
      <c r="GN73" s="607">
        <v>89</v>
      </c>
      <c r="GO73" s="607">
        <v>79</v>
      </c>
      <c r="GP73" s="607">
        <f t="shared" si="366"/>
        <v>355</v>
      </c>
      <c r="GR73" s="605" t="s">
        <v>144</v>
      </c>
      <c r="GS73" s="607">
        <v>92</v>
      </c>
      <c r="GT73" s="607">
        <v>96</v>
      </c>
      <c r="GU73" s="607">
        <v>92</v>
      </c>
      <c r="GV73" s="607">
        <v>57</v>
      </c>
      <c r="GW73" s="607">
        <f t="shared" si="367"/>
        <v>337</v>
      </c>
      <c r="GY73" s="605" t="s">
        <v>144</v>
      </c>
      <c r="GZ73" s="607">
        <v>48</v>
      </c>
      <c r="HA73" s="607">
        <v>45</v>
      </c>
      <c r="HB73" s="607">
        <v>55</v>
      </c>
      <c r="HC73" s="607">
        <v>52</v>
      </c>
      <c r="HD73" s="607">
        <f t="shared" si="368"/>
        <v>200</v>
      </c>
      <c r="HF73" s="605" t="s">
        <v>144</v>
      </c>
      <c r="HG73" s="607">
        <v>61</v>
      </c>
      <c r="HH73" s="607">
        <v>65</v>
      </c>
      <c r="HI73" s="607">
        <v>57</v>
      </c>
      <c r="HJ73" s="607">
        <v>60</v>
      </c>
      <c r="HK73" s="607">
        <f t="shared" si="369"/>
        <v>243</v>
      </c>
      <c r="HM73" s="605" t="s">
        <v>144</v>
      </c>
      <c r="HN73" s="607">
        <v>67</v>
      </c>
      <c r="HO73" s="607">
        <v>68</v>
      </c>
      <c r="HP73" s="607">
        <v>66</v>
      </c>
      <c r="HQ73" s="607">
        <v>64</v>
      </c>
      <c r="HR73" s="607">
        <f t="shared" si="370"/>
        <v>265</v>
      </c>
      <c r="HT73" s="605" t="s">
        <v>144</v>
      </c>
      <c r="HU73" s="607">
        <v>72</v>
      </c>
      <c r="HV73" s="607">
        <v>67</v>
      </c>
      <c r="HW73" s="607">
        <v>64</v>
      </c>
      <c r="HX73" s="607">
        <v>60</v>
      </c>
      <c r="HY73" s="607">
        <f t="shared" si="371"/>
        <v>263</v>
      </c>
      <c r="IA73" s="605" t="s">
        <v>144</v>
      </c>
      <c r="IB73" s="607">
        <v>78</v>
      </c>
      <c r="IC73" s="607">
        <v>76</v>
      </c>
      <c r="ID73" s="607">
        <v>80</v>
      </c>
      <c r="IE73" s="607">
        <v>75</v>
      </c>
      <c r="IF73" s="607">
        <f t="shared" si="372"/>
        <v>309</v>
      </c>
      <c r="IH73" s="605" t="s">
        <v>144</v>
      </c>
      <c r="II73" s="607">
        <v>78</v>
      </c>
      <c r="IJ73" s="607">
        <v>87</v>
      </c>
      <c r="IK73" s="607">
        <v>87</v>
      </c>
      <c r="IL73" s="607">
        <v>79</v>
      </c>
      <c r="IM73" s="607">
        <f t="shared" si="373"/>
        <v>331</v>
      </c>
      <c r="IO73" s="605" t="s">
        <v>144</v>
      </c>
      <c r="IP73" s="607">
        <v>72</v>
      </c>
      <c r="IQ73" s="607">
        <v>75</v>
      </c>
      <c r="IR73" s="607">
        <v>72</v>
      </c>
      <c r="IS73" s="607">
        <v>65</v>
      </c>
      <c r="IT73" s="607">
        <f t="shared" si="374"/>
        <v>284</v>
      </c>
      <c r="IV73" s="605" t="s">
        <v>144</v>
      </c>
      <c r="IW73" s="607">
        <v>62</v>
      </c>
      <c r="IX73" s="607">
        <v>71</v>
      </c>
      <c r="IY73" s="607">
        <v>63</v>
      </c>
      <c r="IZ73" s="607">
        <v>70</v>
      </c>
      <c r="JA73" s="607">
        <f t="shared" si="375"/>
        <v>266</v>
      </c>
      <c r="JC73" s="605" t="s">
        <v>144</v>
      </c>
      <c r="JD73" s="607">
        <v>70</v>
      </c>
      <c r="JE73" s="607">
        <v>67</v>
      </c>
      <c r="JF73" s="607">
        <v>64</v>
      </c>
      <c r="JG73" s="607">
        <v>55</v>
      </c>
      <c r="JH73" s="607">
        <f t="shared" si="376"/>
        <v>256</v>
      </c>
      <c r="JJ73" s="605" t="s">
        <v>144</v>
      </c>
      <c r="JK73" s="607">
        <v>64</v>
      </c>
      <c r="JL73" s="607">
        <v>69</v>
      </c>
      <c r="JM73" s="607">
        <v>69</v>
      </c>
      <c r="JN73" s="607">
        <v>65</v>
      </c>
      <c r="JO73" s="607">
        <f t="shared" si="377"/>
        <v>267</v>
      </c>
      <c r="JQ73" s="605" t="s">
        <v>144</v>
      </c>
      <c r="JR73" s="607">
        <v>64</v>
      </c>
      <c r="JS73" s="607">
        <v>63</v>
      </c>
      <c r="JT73" s="607">
        <v>65</v>
      </c>
      <c r="JU73" s="607">
        <v>56</v>
      </c>
      <c r="JV73" s="607">
        <f t="shared" si="378"/>
        <v>248</v>
      </c>
      <c r="JX73" s="605" t="s">
        <v>144</v>
      </c>
      <c r="JY73" s="607">
        <v>67</v>
      </c>
      <c r="JZ73" s="607">
        <v>48</v>
      </c>
      <c r="KA73" s="607">
        <v>58</v>
      </c>
      <c r="KB73" s="607">
        <v>66</v>
      </c>
      <c r="KC73" s="607">
        <f t="shared" si="379"/>
        <v>239</v>
      </c>
      <c r="KE73" s="605" t="s">
        <v>144</v>
      </c>
      <c r="KF73" s="607">
        <v>68</v>
      </c>
      <c r="KG73" s="607">
        <v>71</v>
      </c>
      <c r="KH73" s="607">
        <v>70</v>
      </c>
      <c r="KI73" s="607">
        <v>68</v>
      </c>
      <c r="KJ73" s="607">
        <f t="shared" si="380"/>
        <v>277</v>
      </c>
      <c r="KL73" s="605" t="s">
        <v>144</v>
      </c>
      <c r="KM73" s="607">
        <v>66</v>
      </c>
      <c r="KN73" s="607">
        <v>69</v>
      </c>
      <c r="KO73" s="607">
        <v>67</v>
      </c>
      <c r="KP73" s="607">
        <v>65</v>
      </c>
      <c r="KQ73" s="607">
        <f t="shared" si="381"/>
        <v>267</v>
      </c>
      <c r="KS73" s="605" t="s">
        <v>144</v>
      </c>
      <c r="KT73" s="607">
        <v>73</v>
      </c>
      <c r="KU73" s="607">
        <v>74</v>
      </c>
      <c r="KV73" s="606">
        <v>70</v>
      </c>
      <c r="KW73" s="607">
        <v>67</v>
      </c>
      <c r="KX73" s="607">
        <f t="shared" si="382"/>
        <v>284</v>
      </c>
      <c r="KZ73" s="605" t="s">
        <v>144</v>
      </c>
      <c r="LA73" s="607">
        <v>73</v>
      </c>
      <c r="LB73" s="607">
        <v>68</v>
      </c>
      <c r="LC73" s="607">
        <v>64</v>
      </c>
      <c r="LD73" s="607">
        <v>63</v>
      </c>
      <c r="LE73" s="607">
        <f t="shared" ref="LE73" si="403">LE210</f>
        <v>268</v>
      </c>
      <c r="LF73" s="608"/>
      <c r="LG73" s="605" t="s">
        <v>144</v>
      </c>
      <c r="LH73" s="607">
        <v>65</v>
      </c>
      <c r="LI73" s="607">
        <v>70</v>
      </c>
      <c r="LJ73" s="607">
        <v>67</v>
      </c>
      <c r="LK73" s="607">
        <v>63</v>
      </c>
      <c r="LL73" s="607">
        <f t="shared" si="384"/>
        <v>265</v>
      </c>
      <c r="LM73" s="608"/>
      <c r="LN73" s="605" t="s">
        <v>144</v>
      </c>
      <c r="LO73" s="607">
        <f t="shared" ref="LO73:LR73" si="404">LO210</f>
        <v>67.274999999999991</v>
      </c>
      <c r="LP73" s="607">
        <f t="shared" si="404"/>
        <v>69.3</v>
      </c>
      <c r="LQ73" s="607">
        <f t="shared" si="404"/>
        <v>68.674999999999997</v>
      </c>
      <c r="LR73" s="607">
        <f t="shared" si="404"/>
        <v>63.944999999999993</v>
      </c>
      <c r="LS73" s="607">
        <f t="shared" si="386"/>
        <v>269.19499999999999</v>
      </c>
      <c r="LT73" s="608"/>
      <c r="LU73" s="605" t="s">
        <v>144</v>
      </c>
      <c r="LV73" s="607">
        <f t="shared" ref="LV73:LY73" si="405">LV210</f>
        <v>68.956874999999982</v>
      </c>
      <c r="LW73" s="607">
        <f t="shared" si="405"/>
        <v>71.032499999999985</v>
      </c>
      <c r="LX73" s="607">
        <f t="shared" si="405"/>
        <v>70.391874999999985</v>
      </c>
      <c r="LY73" s="607">
        <f t="shared" si="405"/>
        <v>65.543624999999992</v>
      </c>
      <c r="LZ73" s="607">
        <f t="shared" si="388"/>
        <v>275.92487499999993</v>
      </c>
      <c r="MA73" s="608"/>
      <c r="MB73" s="605" t="s">
        <v>144</v>
      </c>
      <c r="MC73" s="607">
        <f t="shared" ref="MC73:MF73" si="406">MC210</f>
        <v>70.68079687499997</v>
      </c>
      <c r="MD73" s="607">
        <f t="shared" si="406"/>
        <v>72.808312499999971</v>
      </c>
      <c r="ME73" s="607">
        <f t="shared" si="406"/>
        <v>72.151671874999977</v>
      </c>
      <c r="MF73" s="607">
        <f t="shared" si="406"/>
        <v>67.182215624999984</v>
      </c>
      <c r="MG73" s="607">
        <f t="shared" si="390"/>
        <v>282.82299687499989</v>
      </c>
      <c r="MH73" s="608"/>
    </row>
    <row r="74" spans="1:346" s="158" customFormat="1" ht="13.15" x14ac:dyDescent="0.4">
      <c r="A74" s="604"/>
      <c r="B74" s="605" t="s">
        <v>142</v>
      </c>
      <c r="C74" s="606"/>
      <c r="D74" s="606"/>
      <c r="E74" s="606">
        <f>890.7</f>
        <v>890.7</v>
      </c>
      <c r="F74" s="606">
        <f>858.1</f>
        <v>858.1</v>
      </c>
      <c r="G74" s="606">
        <f>744.4</f>
        <v>744.4</v>
      </c>
      <c r="H74" s="606">
        <v>723</v>
      </c>
      <c r="I74" s="606">
        <f>714</f>
        <v>714</v>
      </c>
      <c r="J74" s="606">
        <v>687</v>
      </c>
      <c r="K74" s="606">
        <v>657</v>
      </c>
      <c r="L74" s="606">
        <v>664</v>
      </c>
      <c r="M74" s="606">
        <v>622</v>
      </c>
      <c r="N74" s="607">
        <f t="shared" si="313"/>
        <v>547</v>
      </c>
      <c r="O74" s="607">
        <f t="shared" si="314"/>
        <v>510</v>
      </c>
      <c r="P74" s="607">
        <f t="shared" si="315"/>
        <v>439</v>
      </c>
      <c r="Q74" s="607">
        <f t="shared" si="316"/>
        <v>441</v>
      </c>
      <c r="R74" s="607">
        <f t="shared" si="317"/>
        <v>435</v>
      </c>
      <c r="S74" s="607">
        <f t="shared" si="318"/>
        <v>442</v>
      </c>
      <c r="T74" s="607">
        <f t="shared" si="319"/>
        <v>456</v>
      </c>
      <c r="U74" s="607">
        <f t="shared" si="320"/>
        <v>460</v>
      </c>
      <c r="V74" s="607">
        <f t="shared" si="321"/>
        <v>471</v>
      </c>
      <c r="W74" s="607">
        <f t="shared" si="322"/>
        <v>457</v>
      </c>
      <c r="X74" s="607">
        <f t="shared" si="323"/>
        <v>505</v>
      </c>
      <c r="Y74" s="607">
        <f t="shared" si="324"/>
        <v>648</v>
      </c>
      <c r="Z74" s="607">
        <f t="shared" si="325"/>
        <v>597</v>
      </c>
      <c r="AA74" s="607">
        <f t="shared" si="326"/>
        <v>590</v>
      </c>
      <c r="AB74" s="607">
        <f t="shared" si="327"/>
        <v>493</v>
      </c>
      <c r="AC74" s="607">
        <f t="shared" si="328"/>
        <v>465</v>
      </c>
      <c r="AD74" s="607">
        <f t="shared" si="329"/>
        <v>439</v>
      </c>
      <c r="AE74" s="607">
        <f t="shared" si="330"/>
        <v>404</v>
      </c>
      <c r="AF74" s="607">
        <f t="shared" si="331"/>
        <v>385</v>
      </c>
      <c r="AG74" s="607">
        <f t="shared" si="332"/>
        <v>344</v>
      </c>
      <c r="AH74" s="607">
        <f t="shared" si="333"/>
        <v>258</v>
      </c>
      <c r="AI74" s="607">
        <f t="shared" si="334"/>
        <v>265</v>
      </c>
      <c r="AJ74" s="607">
        <f t="shared" si="335"/>
        <v>281</v>
      </c>
      <c r="AK74" s="607">
        <f t="shared" si="336"/>
        <v>286</v>
      </c>
      <c r="AL74" s="607">
        <f t="shared" si="337"/>
        <v>298</v>
      </c>
      <c r="AM74" s="607">
        <f t="shared" si="338"/>
        <v>307</v>
      </c>
      <c r="AN74" s="607">
        <f t="shared" si="339"/>
        <v>290</v>
      </c>
      <c r="AO74" s="607">
        <f t="shared" si="340"/>
        <v>284</v>
      </c>
      <c r="AP74" s="607">
        <f t="shared" si="341"/>
        <v>305</v>
      </c>
      <c r="AQ74" s="607">
        <f t="shared" si="342"/>
        <v>316</v>
      </c>
      <c r="AR74" s="607">
        <f t="shared" si="343"/>
        <v>319</v>
      </c>
      <c r="AS74" s="607">
        <f t="shared" si="344"/>
        <v>270</v>
      </c>
      <c r="AT74" s="607">
        <f t="shared" si="345"/>
        <v>296</v>
      </c>
      <c r="AU74" s="607">
        <f t="shared" si="346"/>
        <v>291</v>
      </c>
      <c r="AV74" s="607">
        <f t="shared" si="347"/>
        <v>282</v>
      </c>
      <c r="AW74" s="607">
        <f t="shared" si="348"/>
        <v>289</v>
      </c>
      <c r="AX74" s="607">
        <f t="shared" si="349"/>
        <v>272</v>
      </c>
      <c r="AY74" s="607">
        <f t="shared" si="350"/>
        <v>264.51</v>
      </c>
      <c r="AZ74" s="607">
        <f t="shared" si="351"/>
        <v>268.15129999999999</v>
      </c>
      <c r="BA74" s="607">
        <f t="shared" si="352"/>
        <v>274.88194850000002</v>
      </c>
      <c r="BB74" s="607"/>
      <c r="BC74" s="607"/>
      <c r="BD74" s="607"/>
      <c r="BE74" s="607"/>
      <c r="BF74" s="607"/>
      <c r="BG74" s="607"/>
      <c r="BH74" s="607"/>
      <c r="BI74" s="607"/>
      <c r="BJ74" s="607"/>
      <c r="BK74" s="607"/>
      <c r="BL74" s="607"/>
      <c r="BM74" s="607"/>
      <c r="BO74" s="605" t="s">
        <v>142</v>
      </c>
      <c r="BP74" s="607">
        <f>BW74+10</f>
        <v>147</v>
      </c>
      <c r="BQ74" s="607">
        <f>BX74+7</f>
        <v>139</v>
      </c>
      <c r="BR74" s="607">
        <f>BY74+10</f>
        <v>137</v>
      </c>
      <c r="BS74" s="607">
        <f>BZ74+10</f>
        <v>124</v>
      </c>
      <c r="BT74" s="607">
        <f t="shared" si="353"/>
        <v>547</v>
      </c>
      <c r="BV74" s="605" t="s">
        <v>142</v>
      </c>
      <c r="BW74" s="607">
        <v>137</v>
      </c>
      <c r="BX74" s="607">
        <v>132</v>
      </c>
      <c r="BY74" s="607">
        <v>127</v>
      </c>
      <c r="BZ74" s="607">
        <v>114</v>
      </c>
      <c r="CA74" s="607">
        <f t="shared" si="354"/>
        <v>510</v>
      </c>
      <c r="CC74" s="605" t="s">
        <v>142</v>
      </c>
      <c r="CD74" s="607">
        <v>113</v>
      </c>
      <c r="CE74" s="607">
        <v>107</v>
      </c>
      <c r="CF74" s="607">
        <v>110</v>
      </c>
      <c r="CG74" s="607">
        <v>109</v>
      </c>
      <c r="CH74" s="607">
        <f t="shared" si="355"/>
        <v>439</v>
      </c>
      <c r="CJ74" s="605" t="s">
        <v>142</v>
      </c>
      <c r="CK74" s="607">
        <v>115</v>
      </c>
      <c r="CL74" s="607">
        <v>109</v>
      </c>
      <c r="CM74" s="607">
        <v>109</v>
      </c>
      <c r="CN74" s="607">
        <v>108</v>
      </c>
      <c r="CO74" s="607">
        <f t="shared" si="356"/>
        <v>441</v>
      </c>
      <c r="CQ74" s="605" t="s">
        <v>142</v>
      </c>
      <c r="CR74" s="607">
        <v>110</v>
      </c>
      <c r="CS74" s="607">
        <v>109</v>
      </c>
      <c r="CT74" s="607">
        <v>107</v>
      </c>
      <c r="CU74" s="607">
        <v>109</v>
      </c>
      <c r="CV74" s="607">
        <f t="shared" si="357"/>
        <v>435</v>
      </c>
      <c r="CX74" s="605" t="s">
        <v>142</v>
      </c>
      <c r="CY74" s="607">
        <v>111</v>
      </c>
      <c r="CZ74" s="607">
        <v>113</v>
      </c>
      <c r="DA74" s="607">
        <v>110</v>
      </c>
      <c r="DB74" s="607">
        <v>108</v>
      </c>
      <c r="DC74" s="607">
        <f t="shared" si="358"/>
        <v>442</v>
      </c>
      <c r="DE74" s="605" t="s">
        <v>142</v>
      </c>
      <c r="DF74" s="607">
        <v>112</v>
      </c>
      <c r="DG74" s="607">
        <v>116</v>
      </c>
      <c r="DH74" s="607">
        <v>116</v>
      </c>
      <c r="DI74" s="607">
        <v>112</v>
      </c>
      <c r="DJ74" s="607">
        <f t="shared" si="359"/>
        <v>456</v>
      </c>
      <c r="DL74" s="605" t="s">
        <v>142</v>
      </c>
      <c r="DM74" s="607">
        <v>117</v>
      </c>
      <c r="DN74" s="607">
        <v>110</v>
      </c>
      <c r="DO74" s="607">
        <v>118</v>
      </c>
      <c r="DP74" s="607">
        <v>115</v>
      </c>
      <c r="DQ74" s="607">
        <f t="shared" si="360"/>
        <v>460</v>
      </c>
      <c r="DS74" s="605" t="s">
        <v>142</v>
      </c>
      <c r="DT74" s="607">
        <v>120</v>
      </c>
      <c r="DU74" s="607">
        <v>118</v>
      </c>
      <c r="DV74" s="607">
        <v>117</v>
      </c>
      <c r="DW74" s="607">
        <v>116</v>
      </c>
      <c r="DX74" s="607">
        <f t="shared" si="361"/>
        <v>471</v>
      </c>
      <c r="DZ74" s="605" t="s">
        <v>142</v>
      </c>
      <c r="EA74" s="607">
        <v>118</v>
      </c>
      <c r="EB74" s="607">
        <v>116</v>
      </c>
      <c r="EC74" s="607">
        <v>115</v>
      </c>
      <c r="ED74" s="607">
        <v>108</v>
      </c>
      <c r="EE74" s="607">
        <f t="shared" si="362"/>
        <v>457</v>
      </c>
      <c r="EG74" s="605" t="s">
        <v>142</v>
      </c>
      <c r="EH74" s="607">
        <v>121</v>
      </c>
      <c r="EI74" s="607">
        <v>121</v>
      </c>
      <c r="EJ74" s="607">
        <v>132</v>
      </c>
      <c r="EK74" s="607">
        <v>131</v>
      </c>
      <c r="EL74" s="607">
        <f t="shared" si="363"/>
        <v>505</v>
      </c>
      <c r="EN74" s="605" t="s">
        <v>142</v>
      </c>
      <c r="EO74" s="607">
        <v>171</v>
      </c>
      <c r="EP74" s="607">
        <v>167</v>
      </c>
      <c r="EQ74" s="607">
        <v>158</v>
      </c>
      <c r="ER74" s="607">
        <v>152</v>
      </c>
      <c r="ES74" s="607">
        <f>EO74+EP74+EQ74+ER74</f>
        <v>648</v>
      </c>
      <c r="EU74" s="605" t="s">
        <v>142</v>
      </c>
      <c r="EV74" s="607">
        <v>151</v>
      </c>
      <c r="EW74" s="607">
        <v>152</v>
      </c>
      <c r="EX74" s="607">
        <v>150</v>
      </c>
      <c r="EY74" s="607">
        <v>144</v>
      </c>
      <c r="EZ74" s="607">
        <f>EV74+EW74+EX74+EY74</f>
        <v>597</v>
      </c>
      <c r="FB74" s="605" t="s">
        <v>142</v>
      </c>
      <c r="FC74" s="607">
        <v>144</v>
      </c>
      <c r="FD74" s="607">
        <v>152</v>
      </c>
      <c r="FE74" s="607">
        <v>151</v>
      </c>
      <c r="FF74" s="607">
        <v>143</v>
      </c>
      <c r="FG74" s="607">
        <f>FC74+FD74+FE74+FF74</f>
        <v>590</v>
      </c>
      <c r="FI74" s="605" t="s">
        <v>142</v>
      </c>
      <c r="FJ74" s="607">
        <v>148</v>
      </c>
      <c r="FK74" s="607">
        <v>116</v>
      </c>
      <c r="FL74" s="607">
        <v>115</v>
      </c>
      <c r="FM74" s="607">
        <v>114</v>
      </c>
      <c r="FN74" s="607">
        <f>FJ74+FK74+FL74+FM74</f>
        <v>493</v>
      </c>
      <c r="FP74" s="605" t="s">
        <v>142</v>
      </c>
      <c r="FQ74" s="607">
        <v>114</v>
      </c>
      <c r="FR74" s="607">
        <v>115</v>
      </c>
      <c r="FS74" s="607">
        <v>115</v>
      </c>
      <c r="FT74" s="607">
        <v>121</v>
      </c>
      <c r="FU74" s="607">
        <f>FQ74+FR74+FS74+FT74</f>
        <v>465</v>
      </c>
      <c r="FW74" s="605" t="s">
        <v>142</v>
      </c>
      <c r="FX74" s="607">
        <v>113</v>
      </c>
      <c r="FY74" s="607">
        <v>113</v>
      </c>
      <c r="FZ74" s="607">
        <v>107</v>
      </c>
      <c r="GA74" s="607">
        <v>106</v>
      </c>
      <c r="GB74" s="607">
        <f t="shared" si="364"/>
        <v>439</v>
      </c>
      <c r="GD74" s="605" t="s">
        <v>142</v>
      </c>
      <c r="GE74" s="607">
        <v>106</v>
      </c>
      <c r="GF74" s="607">
        <v>103</v>
      </c>
      <c r="GG74" s="607">
        <v>100</v>
      </c>
      <c r="GH74" s="607">
        <v>95</v>
      </c>
      <c r="GI74" s="607">
        <f t="shared" si="365"/>
        <v>404</v>
      </c>
      <c r="GK74" s="605" t="s">
        <v>142</v>
      </c>
      <c r="GL74" s="607">
        <v>102</v>
      </c>
      <c r="GM74" s="607">
        <v>100</v>
      </c>
      <c r="GN74" s="607">
        <v>96</v>
      </c>
      <c r="GO74" s="607">
        <v>87</v>
      </c>
      <c r="GP74" s="607">
        <f t="shared" si="366"/>
        <v>385</v>
      </c>
      <c r="GR74" s="605" t="s">
        <v>142</v>
      </c>
      <c r="GS74" s="607">
        <v>87</v>
      </c>
      <c r="GT74" s="607">
        <v>90</v>
      </c>
      <c r="GU74" s="607">
        <v>90</v>
      </c>
      <c r="GV74" s="607">
        <v>77</v>
      </c>
      <c r="GW74" s="607">
        <f t="shared" si="367"/>
        <v>344</v>
      </c>
      <c r="GY74" s="605" t="s">
        <v>142</v>
      </c>
      <c r="GZ74" s="607">
        <v>65</v>
      </c>
      <c r="HA74" s="607">
        <v>64</v>
      </c>
      <c r="HB74" s="607">
        <v>67</v>
      </c>
      <c r="HC74" s="607">
        <v>62</v>
      </c>
      <c r="HD74" s="607">
        <f t="shared" si="368"/>
        <v>258</v>
      </c>
      <c r="HF74" s="605" t="s">
        <v>142</v>
      </c>
      <c r="HG74" s="607">
        <v>63</v>
      </c>
      <c r="HH74" s="607">
        <v>65</v>
      </c>
      <c r="HI74" s="607">
        <v>67</v>
      </c>
      <c r="HJ74" s="607">
        <v>70</v>
      </c>
      <c r="HK74" s="607">
        <f t="shared" si="369"/>
        <v>265</v>
      </c>
      <c r="HM74" s="605" t="s">
        <v>142</v>
      </c>
      <c r="HN74" s="607">
        <v>69</v>
      </c>
      <c r="HO74" s="607">
        <v>70</v>
      </c>
      <c r="HP74" s="607">
        <v>73</v>
      </c>
      <c r="HQ74" s="607">
        <v>69</v>
      </c>
      <c r="HR74" s="607">
        <f t="shared" si="370"/>
        <v>281</v>
      </c>
      <c r="HT74" s="605" t="s">
        <v>142</v>
      </c>
      <c r="HU74" s="607">
        <v>73</v>
      </c>
      <c r="HV74" s="607">
        <v>71</v>
      </c>
      <c r="HW74" s="607">
        <v>73</v>
      </c>
      <c r="HX74" s="607">
        <v>69</v>
      </c>
      <c r="HY74" s="607">
        <f t="shared" si="371"/>
        <v>286</v>
      </c>
      <c r="IA74" s="605" t="s">
        <v>142</v>
      </c>
      <c r="IB74" s="607">
        <v>73</v>
      </c>
      <c r="IC74" s="607">
        <v>74</v>
      </c>
      <c r="ID74" s="607">
        <v>77</v>
      </c>
      <c r="IE74" s="607">
        <v>74</v>
      </c>
      <c r="IF74" s="607">
        <f t="shared" si="372"/>
        <v>298</v>
      </c>
      <c r="IH74" s="605" t="s">
        <v>142</v>
      </c>
      <c r="II74" s="607">
        <v>74</v>
      </c>
      <c r="IJ74" s="607">
        <v>79</v>
      </c>
      <c r="IK74" s="607">
        <v>77</v>
      </c>
      <c r="IL74" s="607">
        <v>77</v>
      </c>
      <c r="IM74" s="607">
        <f t="shared" si="373"/>
        <v>307</v>
      </c>
      <c r="IO74" s="605" t="s">
        <v>142</v>
      </c>
      <c r="IP74" s="607">
        <v>73</v>
      </c>
      <c r="IQ74" s="607">
        <v>74</v>
      </c>
      <c r="IR74" s="607">
        <v>73</v>
      </c>
      <c r="IS74" s="607">
        <v>70</v>
      </c>
      <c r="IT74" s="607">
        <f t="shared" si="374"/>
        <v>290</v>
      </c>
      <c r="IV74" s="605" t="s">
        <v>142</v>
      </c>
      <c r="IW74" s="607">
        <v>68</v>
      </c>
      <c r="IX74" s="607">
        <v>68</v>
      </c>
      <c r="IY74" s="607">
        <v>68</v>
      </c>
      <c r="IZ74" s="607">
        <v>80</v>
      </c>
      <c r="JA74" s="607">
        <f t="shared" si="375"/>
        <v>284</v>
      </c>
      <c r="JC74" s="605" t="s">
        <v>142</v>
      </c>
      <c r="JD74" s="607">
        <v>67</v>
      </c>
      <c r="JE74" s="607">
        <v>83</v>
      </c>
      <c r="JF74" s="607">
        <v>80</v>
      </c>
      <c r="JG74" s="607">
        <v>75</v>
      </c>
      <c r="JH74" s="607">
        <f t="shared" si="376"/>
        <v>305</v>
      </c>
      <c r="JJ74" s="605" t="s">
        <v>142</v>
      </c>
      <c r="JK74" s="607">
        <v>67</v>
      </c>
      <c r="JL74" s="607">
        <v>86</v>
      </c>
      <c r="JM74" s="607">
        <v>85</v>
      </c>
      <c r="JN74" s="607">
        <v>78</v>
      </c>
      <c r="JO74" s="607">
        <f t="shared" si="377"/>
        <v>316</v>
      </c>
      <c r="JQ74" s="605" t="s">
        <v>142</v>
      </c>
      <c r="JR74" s="607">
        <v>71</v>
      </c>
      <c r="JS74" s="607">
        <v>71</v>
      </c>
      <c r="JT74" s="607">
        <v>90</v>
      </c>
      <c r="JU74" s="607">
        <v>87</v>
      </c>
      <c r="JV74" s="607">
        <f t="shared" si="378"/>
        <v>319</v>
      </c>
      <c r="JX74" s="605" t="s">
        <v>142</v>
      </c>
      <c r="JY74" s="607">
        <v>71</v>
      </c>
      <c r="JZ74" s="607">
        <v>64</v>
      </c>
      <c r="KA74" s="607">
        <v>67</v>
      </c>
      <c r="KB74" s="607">
        <v>68</v>
      </c>
      <c r="KC74" s="607">
        <f t="shared" si="379"/>
        <v>270</v>
      </c>
      <c r="KE74" s="605" t="s">
        <v>142</v>
      </c>
      <c r="KF74" s="607">
        <v>73</v>
      </c>
      <c r="KG74" s="607">
        <v>75</v>
      </c>
      <c r="KH74" s="607">
        <v>75</v>
      </c>
      <c r="KI74" s="607">
        <v>73</v>
      </c>
      <c r="KJ74" s="607">
        <f t="shared" si="380"/>
        <v>296</v>
      </c>
      <c r="KL74" s="605" t="s">
        <v>142</v>
      </c>
      <c r="KM74" s="607">
        <v>70</v>
      </c>
      <c r="KN74" s="607">
        <v>74</v>
      </c>
      <c r="KO74" s="607">
        <v>75</v>
      </c>
      <c r="KP74" s="607">
        <v>72</v>
      </c>
      <c r="KQ74" s="607">
        <f t="shared" si="381"/>
        <v>291</v>
      </c>
      <c r="KS74" s="605" t="s">
        <v>142</v>
      </c>
      <c r="KT74" s="607">
        <v>73</v>
      </c>
      <c r="KU74" s="607">
        <v>72</v>
      </c>
      <c r="KV74" s="606">
        <v>67</v>
      </c>
      <c r="KW74" s="607">
        <v>70</v>
      </c>
      <c r="KX74" s="607">
        <f t="shared" si="382"/>
        <v>282</v>
      </c>
      <c r="KZ74" s="605" t="s">
        <v>142</v>
      </c>
      <c r="LA74" s="607">
        <v>70</v>
      </c>
      <c r="LB74" s="607">
        <v>74</v>
      </c>
      <c r="LC74" s="607">
        <v>73</v>
      </c>
      <c r="LD74" s="607">
        <v>72</v>
      </c>
      <c r="LE74" s="607">
        <f t="shared" ref="LE74" si="407">LE220</f>
        <v>289</v>
      </c>
      <c r="LF74" s="608"/>
      <c r="LG74" s="605" t="s">
        <v>142</v>
      </c>
      <c r="LH74" s="607">
        <v>70</v>
      </c>
      <c r="LI74" s="607">
        <v>70</v>
      </c>
      <c r="LJ74" s="607">
        <v>68</v>
      </c>
      <c r="LK74" s="607">
        <v>64</v>
      </c>
      <c r="LL74" s="607">
        <f t="shared" si="384"/>
        <v>272</v>
      </c>
      <c r="LM74" s="608"/>
      <c r="LN74" s="605" t="s">
        <v>142</v>
      </c>
      <c r="LO74" s="607">
        <f t="shared" ref="LO74:LR74" si="408">LO220</f>
        <v>63.7</v>
      </c>
      <c r="LP74" s="607">
        <f t="shared" si="408"/>
        <v>66.849999999999994</v>
      </c>
      <c r="LQ74" s="607">
        <f t="shared" si="408"/>
        <v>68.680000000000007</v>
      </c>
      <c r="LR74" s="607">
        <f t="shared" si="408"/>
        <v>65.28</v>
      </c>
      <c r="LS74" s="607">
        <f t="shared" si="386"/>
        <v>264.51</v>
      </c>
      <c r="LT74" s="608"/>
      <c r="LU74" s="605" t="s">
        <v>142</v>
      </c>
      <c r="LV74" s="607">
        <f t="shared" ref="LV74:LY74" si="409">LV220</f>
        <v>64.337000000000003</v>
      </c>
      <c r="LW74" s="607">
        <f t="shared" si="409"/>
        <v>67.518499999999989</v>
      </c>
      <c r="LX74" s="607">
        <f t="shared" si="409"/>
        <v>69.7102</v>
      </c>
      <c r="LY74" s="607">
        <f t="shared" si="409"/>
        <v>66.585599999999999</v>
      </c>
      <c r="LZ74" s="607">
        <f t="shared" si="388"/>
        <v>268.15129999999999</v>
      </c>
      <c r="MA74" s="608"/>
      <c r="MB74" s="605" t="s">
        <v>142</v>
      </c>
      <c r="MC74" s="607">
        <f t="shared" ref="MC74:MF74" si="410">MC220</f>
        <v>65.623739999999998</v>
      </c>
      <c r="MD74" s="607">
        <f t="shared" si="410"/>
        <v>69.206462499999986</v>
      </c>
      <c r="ME74" s="607">
        <f t="shared" si="410"/>
        <v>71.801506000000003</v>
      </c>
      <c r="MF74" s="607">
        <f t="shared" si="410"/>
        <v>68.250239999999991</v>
      </c>
      <c r="MG74" s="607">
        <f t="shared" si="390"/>
        <v>274.88194850000002</v>
      </c>
      <c r="MH74" s="608"/>
    </row>
    <row r="75" spans="1:346" s="158" customFormat="1" ht="13.15" x14ac:dyDescent="0.4">
      <c r="A75" s="604"/>
      <c r="B75" s="605" t="s">
        <v>145</v>
      </c>
      <c r="C75" s="606"/>
      <c r="D75" s="606"/>
      <c r="E75" s="606">
        <f>793.4</f>
        <v>793.4</v>
      </c>
      <c r="F75" s="606">
        <f>690.3</f>
        <v>690.3</v>
      </c>
      <c r="G75" s="606">
        <f>531.4</f>
        <v>531.4</v>
      </c>
      <c r="H75" s="606">
        <v>590</v>
      </c>
      <c r="I75" s="606">
        <v>594</v>
      </c>
      <c r="J75" s="606">
        <v>534</v>
      </c>
      <c r="K75" s="606">
        <v>423</v>
      </c>
      <c r="L75" s="606">
        <v>469</v>
      </c>
      <c r="M75" s="606">
        <v>510</v>
      </c>
      <c r="N75" s="607">
        <f t="shared" si="313"/>
        <v>518</v>
      </c>
      <c r="O75" s="607">
        <f t="shared" si="314"/>
        <v>501</v>
      </c>
      <c r="P75" s="607">
        <f t="shared" si="315"/>
        <v>475</v>
      </c>
      <c r="Q75" s="607">
        <f t="shared" si="316"/>
        <v>457</v>
      </c>
      <c r="R75" s="607">
        <f t="shared" si="317"/>
        <v>423</v>
      </c>
      <c r="S75" s="607">
        <f t="shared" si="318"/>
        <v>470</v>
      </c>
      <c r="T75" s="607">
        <f t="shared" si="319"/>
        <v>512</v>
      </c>
      <c r="U75" s="607">
        <f t="shared" si="320"/>
        <v>511</v>
      </c>
      <c r="V75" s="607">
        <f t="shared" si="321"/>
        <v>506</v>
      </c>
      <c r="W75" s="607">
        <f t="shared" si="322"/>
        <v>539</v>
      </c>
      <c r="X75" s="607">
        <f t="shared" si="323"/>
        <v>527</v>
      </c>
      <c r="Y75" s="607">
        <f t="shared" si="324"/>
        <v>487</v>
      </c>
      <c r="Z75" s="607">
        <f t="shared" si="325"/>
        <v>441</v>
      </c>
      <c r="AA75" s="607">
        <f t="shared" si="326"/>
        <v>463</v>
      </c>
      <c r="AB75" s="607">
        <f t="shared" si="327"/>
        <v>460</v>
      </c>
      <c r="AC75" s="607">
        <f t="shared" si="328"/>
        <v>471</v>
      </c>
      <c r="AD75" s="607">
        <f t="shared" si="329"/>
        <v>444</v>
      </c>
      <c r="AE75" s="607">
        <f t="shared" si="330"/>
        <v>362</v>
      </c>
      <c r="AF75" s="607">
        <f t="shared" si="331"/>
        <v>363</v>
      </c>
      <c r="AG75" s="607">
        <f t="shared" si="332"/>
        <v>335</v>
      </c>
      <c r="AH75" s="607">
        <f t="shared" si="333"/>
        <v>289</v>
      </c>
      <c r="AI75" s="607">
        <f t="shared" si="334"/>
        <v>313</v>
      </c>
      <c r="AJ75" s="607">
        <f t="shared" si="335"/>
        <v>321</v>
      </c>
      <c r="AK75" s="607">
        <f t="shared" si="336"/>
        <v>321</v>
      </c>
      <c r="AL75" s="607">
        <f t="shared" si="337"/>
        <v>327</v>
      </c>
      <c r="AM75" s="607">
        <f t="shared" si="338"/>
        <v>330</v>
      </c>
      <c r="AN75" s="607">
        <f t="shared" si="339"/>
        <v>301</v>
      </c>
      <c r="AO75" s="607">
        <f t="shared" si="340"/>
        <v>283</v>
      </c>
      <c r="AP75" s="607">
        <f t="shared" si="341"/>
        <v>291</v>
      </c>
      <c r="AQ75" s="607">
        <f t="shared" si="342"/>
        <v>248</v>
      </c>
      <c r="AR75" s="607">
        <f t="shared" si="343"/>
        <v>243</v>
      </c>
      <c r="AS75" s="607">
        <f t="shared" si="344"/>
        <v>234</v>
      </c>
      <c r="AT75" s="607">
        <f t="shared" si="345"/>
        <v>229</v>
      </c>
      <c r="AU75" s="607">
        <f t="shared" si="346"/>
        <v>203</v>
      </c>
      <c r="AV75" s="607">
        <f t="shared" si="347"/>
        <v>199</v>
      </c>
      <c r="AW75" s="607">
        <f t="shared" si="348"/>
        <v>186</v>
      </c>
      <c r="AX75" s="607">
        <f t="shared" si="349"/>
        <v>190</v>
      </c>
      <c r="AY75" s="607">
        <f t="shared" si="350"/>
        <v>194.49499999999998</v>
      </c>
      <c r="AZ75" s="607">
        <f t="shared" si="351"/>
        <v>198.8176</v>
      </c>
      <c r="BA75" s="607">
        <f t="shared" si="352"/>
        <v>200.435507</v>
      </c>
      <c r="BB75" s="607"/>
      <c r="BC75" s="607"/>
      <c r="BD75" s="607"/>
      <c r="BE75" s="607"/>
      <c r="BF75" s="607"/>
      <c r="BG75" s="607"/>
      <c r="BH75" s="607"/>
      <c r="BI75" s="607"/>
      <c r="BJ75" s="607"/>
      <c r="BK75" s="607"/>
      <c r="BL75" s="607"/>
      <c r="BM75" s="607"/>
      <c r="BO75" s="605" t="s">
        <v>145</v>
      </c>
      <c r="BP75" s="607">
        <f>BW75+6</f>
        <v>138</v>
      </c>
      <c r="BQ75" s="607">
        <f>BX75-2</f>
        <v>131</v>
      </c>
      <c r="BR75" s="607">
        <f>BY75+10</f>
        <v>125</v>
      </c>
      <c r="BS75" s="607">
        <f>BZ75+3</f>
        <v>124</v>
      </c>
      <c r="BT75" s="607">
        <f t="shared" si="353"/>
        <v>518</v>
      </c>
      <c r="BV75" s="605" t="s">
        <v>145</v>
      </c>
      <c r="BW75" s="607">
        <v>132</v>
      </c>
      <c r="BX75" s="607">
        <v>133</v>
      </c>
      <c r="BY75" s="607">
        <v>115</v>
      </c>
      <c r="BZ75" s="607">
        <v>121</v>
      </c>
      <c r="CA75" s="607">
        <f t="shared" si="354"/>
        <v>501</v>
      </c>
      <c r="CC75" s="605" t="s">
        <v>145</v>
      </c>
      <c r="CD75" s="607">
        <v>124</v>
      </c>
      <c r="CE75" s="607">
        <v>116</v>
      </c>
      <c r="CF75" s="607">
        <v>116</v>
      </c>
      <c r="CG75" s="607">
        <v>119</v>
      </c>
      <c r="CH75" s="607">
        <f t="shared" si="355"/>
        <v>475</v>
      </c>
      <c r="CJ75" s="605" t="s">
        <v>145</v>
      </c>
      <c r="CK75" s="607">
        <v>120</v>
      </c>
      <c r="CL75" s="607">
        <v>123</v>
      </c>
      <c r="CM75" s="607">
        <v>105</v>
      </c>
      <c r="CN75" s="607">
        <v>109</v>
      </c>
      <c r="CO75" s="607">
        <f t="shared" si="356"/>
        <v>457</v>
      </c>
      <c r="CQ75" s="605" t="s">
        <v>145</v>
      </c>
      <c r="CR75" s="607">
        <v>111</v>
      </c>
      <c r="CS75" s="607">
        <v>109</v>
      </c>
      <c r="CT75" s="607">
        <v>102</v>
      </c>
      <c r="CU75" s="607">
        <v>101</v>
      </c>
      <c r="CV75" s="607">
        <f t="shared" si="357"/>
        <v>423</v>
      </c>
      <c r="CX75" s="605" t="s">
        <v>145</v>
      </c>
      <c r="CY75" s="607">
        <v>113</v>
      </c>
      <c r="CZ75" s="607">
        <v>119</v>
      </c>
      <c r="DA75" s="607">
        <v>115</v>
      </c>
      <c r="DB75" s="607">
        <v>123</v>
      </c>
      <c r="DC75" s="607">
        <f t="shared" si="358"/>
        <v>470</v>
      </c>
      <c r="DE75" s="605" t="s">
        <v>145</v>
      </c>
      <c r="DF75" s="607">
        <v>136</v>
      </c>
      <c r="DG75" s="607">
        <v>126</v>
      </c>
      <c r="DH75" s="607">
        <v>123</v>
      </c>
      <c r="DI75" s="607">
        <v>127</v>
      </c>
      <c r="DJ75" s="607">
        <f t="shared" si="359"/>
        <v>512</v>
      </c>
      <c r="DL75" s="605" t="s">
        <v>145</v>
      </c>
      <c r="DM75" s="607">
        <v>130</v>
      </c>
      <c r="DN75" s="607">
        <v>128</v>
      </c>
      <c r="DO75" s="607">
        <v>128</v>
      </c>
      <c r="DP75" s="607">
        <v>125</v>
      </c>
      <c r="DQ75" s="607">
        <f t="shared" si="360"/>
        <v>511</v>
      </c>
      <c r="DS75" s="605" t="s">
        <v>145</v>
      </c>
      <c r="DT75" s="607">
        <v>125</v>
      </c>
      <c r="DU75" s="607">
        <v>129</v>
      </c>
      <c r="DV75" s="607">
        <v>121</v>
      </c>
      <c r="DW75" s="607">
        <v>131</v>
      </c>
      <c r="DX75" s="607">
        <f t="shared" si="361"/>
        <v>506</v>
      </c>
      <c r="DZ75" s="605" t="s">
        <v>145</v>
      </c>
      <c r="EA75" s="607">
        <v>135</v>
      </c>
      <c r="EB75" s="607">
        <v>138</v>
      </c>
      <c r="EC75" s="607">
        <v>131</v>
      </c>
      <c r="ED75" s="607">
        <v>135</v>
      </c>
      <c r="EE75" s="607">
        <f t="shared" si="362"/>
        <v>539</v>
      </c>
      <c r="EG75" s="605" t="s">
        <v>145</v>
      </c>
      <c r="EH75" s="607">
        <v>148</v>
      </c>
      <c r="EI75" s="607">
        <v>128</v>
      </c>
      <c r="EJ75" s="607">
        <v>127</v>
      </c>
      <c r="EK75" s="607">
        <v>124</v>
      </c>
      <c r="EL75" s="607">
        <f t="shared" si="363"/>
        <v>527</v>
      </c>
      <c r="EN75" s="605" t="s">
        <v>145</v>
      </c>
      <c r="EO75" s="607">
        <v>131</v>
      </c>
      <c r="EP75" s="607">
        <v>123</v>
      </c>
      <c r="EQ75" s="607">
        <v>115</v>
      </c>
      <c r="ER75" s="607">
        <v>118</v>
      </c>
      <c r="ES75" s="607">
        <f>EO75+EP75+EQ75+ER75</f>
        <v>487</v>
      </c>
      <c r="EU75" s="605" t="s">
        <v>145</v>
      </c>
      <c r="EV75" s="607">
        <v>119</v>
      </c>
      <c r="EW75" s="607">
        <v>105</v>
      </c>
      <c r="EX75" s="607">
        <v>101</v>
      </c>
      <c r="EY75" s="607">
        <v>116</v>
      </c>
      <c r="EZ75" s="607">
        <f>EV75+EW75+EX75+EY75</f>
        <v>441</v>
      </c>
      <c r="FB75" s="605" t="s">
        <v>145</v>
      </c>
      <c r="FC75" s="607">
        <v>119</v>
      </c>
      <c r="FD75" s="607">
        <v>119</v>
      </c>
      <c r="FE75" s="607">
        <v>113</v>
      </c>
      <c r="FF75" s="607">
        <v>112</v>
      </c>
      <c r="FG75" s="607">
        <f>FC75+FD75+FE75+FF75</f>
        <v>463</v>
      </c>
      <c r="FI75" s="605" t="s">
        <v>145</v>
      </c>
      <c r="FJ75" s="607">
        <v>117</v>
      </c>
      <c r="FK75" s="607">
        <v>113</v>
      </c>
      <c r="FL75" s="607">
        <v>114</v>
      </c>
      <c r="FM75" s="607">
        <v>116</v>
      </c>
      <c r="FN75" s="607">
        <f>FJ75+FK75+FL75+FM75</f>
        <v>460</v>
      </c>
      <c r="FP75" s="605" t="s">
        <v>145</v>
      </c>
      <c r="FQ75" s="607">
        <v>120</v>
      </c>
      <c r="FR75" s="607">
        <v>121</v>
      </c>
      <c r="FS75" s="607">
        <v>107</v>
      </c>
      <c r="FT75" s="607">
        <v>123</v>
      </c>
      <c r="FU75" s="607">
        <f>FQ75+FR75+FS75+FT75</f>
        <v>471</v>
      </c>
      <c r="FW75" s="605" t="s">
        <v>145</v>
      </c>
      <c r="FX75" s="607">
        <v>117</v>
      </c>
      <c r="FY75" s="607">
        <v>117</v>
      </c>
      <c r="FZ75" s="607">
        <v>111</v>
      </c>
      <c r="GA75" s="607">
        <v>99</v>
      </c>
      <c r="GB75" s="607">
        <f t="shared" si="364"/>
        <v>444</v>
      </c>
      <c r="GD75" s="605" t="s">
        <v>145</v>
      </c>
      <c r="GE75" s="607">
        <v>88</v>
      </c>
      <c r="GF75" s="607">
        <v>94</v>
      </c>
      <c r="GG75" s="607">
        <v>93</v>
      </c>
      <c r="GH75" s="607">
        <v>87</v>
      </c>
      <c r="GI75" s="607">
        <f t="shared" si="365"/>
        <v>362</v>
      </c>
      <c r="GK75" s="605" t="s">
        <v>145</v>
      </c>
      <c r="GL75" s="607">
        <v>92</v>
      </c>
      <c r="GM75" s="607">
        <v>89</v>
      </c>
      <c r="GN75" s="607">
        <v>90</v>
      </c>
      <c r="GO75" s="607">
        <v>92</v>
      </c>
      <c r="GP75" s="607">
        <f t="shared" si="366"/>
        <v>363</v>
      </c>
      <c r="GR75" s="605" t="s">
        <v>145</v>
      </c>
      <c r="GS75" s="607">
        <v>91</v>
      </c>
      <c r="GT75" s="607">
        <v>91</v>
      </c>
      <c r="GU75" s="607">
        <v>87</v>
      </c>
      <c r="GV75" s="607">
        <v>66</v>
      </c>
      <c r="GW75" s="607">
        <f t="shared" si="367"/>
        <v>335</v>
      </c>
      <c r="GY75" s="605" t="s">
        <v>145</v>
      </c>
      <c r="GZ75" s="607">
        <v>60</v>
      </c>
      <c r="HA75" s="607">
        <v>74</v>
      </c>
      <c r="HB75" s="607">
        <v>77</v>
      </c>
      <c r="HC75" s="607">
        <v>78</v>
      </c>
      <c r="HD75" s="607">
        <f t="shared" si="368"/>
        <v>289</v>
      </c>
      <c r="HF75" s="605" t="s">
        <v>145</v>
      </c>
      <c r="HG75" s="607">
        <v>79</v>
      </c>
      <c r="HH75" s="607">
        <v>80</v>
      </c>
      <c r="HI75" s="607">
        <v>78</v>
      </c>
      <c r="HJ75" s="607">
        <v>76</v>
      </c>
      <c r="HK75" s="607">
        <f t="shared" si="369"/>
        <v>313</v>
      </c>
      <c r="HM75" s="605" t="s">
        <v>145</v>
      </c>
      <c r="HN75" s="607">
        <v>83</v>
      </c>
      <c r="HO75" s="607">
        <v>80</v>
      </c>
      <c r="HP75" s="607">
        <v>80</v>
      </c>
      <c r="HQ75" s="607">
        <v>78</v>
      </c>
      <c r="HR75" s="607">
        <f t="shared" si="370"/>
        <v>321</v>
      </c>
      <c r="HT75" s="605" t="s">
        <v>145</v>
      </c>
      <c r="HU75" s="607">
        <v>80</v>
      </c>
      <c r="HV75" s="607">
        <v>79</v>
      </c>
      <c r="HW75" s="607">
        <v>80</v>
      </c>
      <c r="HX75" s="607">
        <v>82</v>
      </c>
      <c r="HY75" s="607">
        <f t="shared" si="371"/>
        <v>321</v>
      </c>
      <c r="IA75" s="605" t="s">
        <v>145</v>
      </c>
      <c r="IB75" s="607">
        <v>84</v>
      </c>
      <c r="IC75" s="607">
        <v>86</v>
      </c>
      <c r="ID75" s="607">
        <v>80</v>
      </c>
      <c r="IE75" s="607">
        <v>77</v>
      </c>
      <c r="IF75" s="607">
        <f t="shared" si="372"/>
        <v>327</v>
      </c>
      <c r="IH75" s="605" t="s">
        <v>145</v>
      </c>
      <c r="II75" s="607">
        <v>83</v>
      </c>
      <c r="IJ75" s="607">
        <v>86</v>
      </c>
      <c r="IK75" s="607">
        <v>82</v>
      </c>
      <c r="IL75" s="607">
        <v>79</v>
      </c>
      <c r="IM75" s="607">
        <f t="shared" si="373"/>
        <v>330</v>
      </c>
      <c r="IO75" s="605" t="s">
        <v>145</v>
      </c>
      <c r="IP75" s="607">
        <v>78</v>
      </c>
      <c r="IQ75" s="607">
        <v>78</v>
      </c>
      <c r="IR75" s="607">
        <v>71</v>
      </c>
      <c r="IS75" s="607">
        <v>74</v>
      </c>
      <c r="IT75" s="607">
        <f t="shared" si="374"/>
        <v>301</v>
      </c>
      <c r="IV75" s="605" t="s">
        <v>145</v>
      </c>
      <c r="IW75" s="607">
        <v>76</v>
      </c>
      <c r="IX75" s="607">
        <v>72</v>
      </c>
      <c r="IY75" s="607">
        <v>72</v>
      </c>
      <c r="IZ75" s="607">
        <v>63</v>
      </c>
      <c r="JA75" s="607">
        <f t="shared" si="375"/>
        <v>283</v>
      </c>
      <c r="JC75" s="605" t="s">
        <v>145</v>
      </c>
      <c r="JD75" s="607">
        <v>77</v>
      </c>
      <c r="JE75" s="607">
        <v>78</v>
      </c>
      <c r="JF75" s="607">
        <v>68</v>
      </c>
      <c r="JG75" s="607">
        <v>68</v>
      </c>
      <c r="JH75" s="607">
        <f t="shared" si="376"/>
        <v>291</v>
      </c>
      <c r="JJ75" s="605" t="s">
        <v>145</v>
      </c>
      <c r="JK75" s="607">
        <v>64</v>
      </c>
      <c r="JL75" s="607">
        <v>64</v>
      </c>
      <c r="JM75" s="607">
        <v>60</v>
      </c>
      <c r="JN75" s="607">
        <v>60</v>
      </c>
      <c r="JO75" s="607">
        <f t="shared" si="377"/>
        <v>248</v>
      </c>
      <c r="JQ75" s="605" t="s">
        <v>145</v>
      </c>
      <c r="JR75" s="607">
        <v>62</v>
      </c>
      <c r="JS75" s="607">
        <v>61</v>
      </c>
      <c r="JT75" s="607">
        <v>60</v>
      </c>
      <c r="JU75" s="607">
        <v>60</v>
      </c>
      <c r="JV75" s="607">
        <f t="shared" si="378"/>
        <v>243</v>
      </c>
      <c r="JX75" s="605" t="s">
        <v>145</v>
      </c>
      <c r="JY75" s="607">
        <v>58</v>
      </c>
      <c r="JZ75" s="607">
        <v>60</v>
      </c>
      <c r="KA75" s="607">
        <v>57</v>
      </c>
      <c r="KB75" s="607">
        <v>59</v>
      </c>
      <c r="KC75" s="607">
        <f t="shared" si="379"/>
        <v>234</v>
      </c>
      <c r="KE75" s="605" t="s">
        <v>145</v>
      </c>
      <c r="KF75" s="607">
        <v>57</v>
      </c>
      <c r="KG75" s="607">
        <v>62</v>
      </c>
      <c r="KH75" s="607">
        <v>54</v>
      </c>
      <c r="KI75" s="607">
        <v>56</v>
      </c>
      <c r="KJ75" s="607">
        <f t="shared" si="380"/>
        <v>229</v>
      </c>
      <c r="KL75" s="605" t="s">
        <v>145</v>
      </c>
      <c r="KM75" s="607">
        <v>56</v>
      </c>
      <c r="KN75" s="607">
        <v>54</v>
      </c>
      <c r="KO75" s="607">
        <v>48</v>
      </c>
      <c r="KP75" s="607">
        <v>45</v>
      </c>
      <c r="KQ75" s="607">
        <f t="shared" si="381"/>
        <v>203</v>
      </c>
      <c r="KS75" s="605" t="s">
        <v>145</v>
      </c>
      <c r="KT75" s="607">
        <v>50</v>
      </c>
      <c r="KU75" s="607">
        <v>55</v>
      </c>
      <c r="KV75" s="606">
        <v>47</v>
      </c>
      <c r="KW75" s="607">
        <v>47</v>
      </c>
      <c r="KX75" s="607">
        <f t="shared" si="382"/>
        <v>199</v>
      </c>
      <c r="KZ75" s="605" t="s">
        <v>145</v>
      </c>
      <c r="LA75" s="607">
        <v>47</v>
      </c>
      <c r="LB75" s="607">
        <v>50</v>
      </c>
      <c r="LC75" s="607">
        <v>45</v>
      </c>
      <c r="LD75" s="607">
        <v>44</v>
      </c>
      <c r="LE75" s="607">
        <f t="shared" ref="LE75" si="411">LE230</f>
        <v>186</v>
      </c>
      <c r="LF75" s="608"/>
      <c r="LG75" s="605" t="s">
        <v>145</v>
      </c>
      <c r="LH75" s="607">
        <v>48</v>
      </c>
      <c r="LI75" s="607">
        <v>47</v>
      </c>
      <c r="LJ75" s="607">
        <v>48</v>
      </c>
      <c r="LK75" s="607">
        <v>47</v>
      </c>
      <c r="LL75" s="607">
        <f t="shared" si="384"/>
        <v>190</v>
      </c>
      <c r="LM75" s="608"/>
      <c r="LN75" s="605" t="s">
        <v>145</v>
      </c>
      <c r="LO75" s="607">
        <f t="shared" ref="LO75:LR75" si="412">LO230</f>
        <v>48</v>
      </c>
      <c r="LP75" s="607">
        <f t="shared" si="412"/>
        <v>47.704999999999998</v>
      </c>
      <c r="LQ75" s="607">
        <f t="shared" si="412"/>
        <v>49.44</v>
      </c>
      <c r="LR75" s="607">
        <f t="shared" si="412"/>
        <v>49.35</v>
      </c>
      <c r="LS75" s="607">
        <f t="shared" si="386"/>
        <v>194.49499999999998</v>
      </c>
      <c r="LT75" s="608"/>
      <c r="LU75" s="605" t="s">
        <v>145</v>
      </c>
      <c r="LV75" s="607">
        <f t="shared" ref="LV75:LY75" si="413">LV230</f>
        <v>49.92</v>
      </c>
      <c r="LW75" s="607">
        <f t="shared" si="413"/>
        <v>49.613199999999999</v>
      </c>
      <c r="LX75" s="607">
        <f t="shared" si="413"/>
        <v>49.934399999999997</v>
      </c>
      <c r="LY75" s="607">
        <f t="shared" si="413"/>
        <v>49.35</v>
      </c>
      <c r="LZ75" s="607">
        <f t="shared" si="388"/>
        <v>198.8176</v>
      </c>
      <c r="MA75" s="608"/>
      <c r="MB75" s="605" t="s">
        <v>145</v>
      </c>
      <c r="MC75" s="607">
        <f t="shared" ref="MC75:MF75" si="414">MC230</f>
        <v>50.918400000000005</v>
      </c>
      <c r="MD75" s="607">
        <f t="shared" si="414"/>
        <v>50.109332000000002</v>
      </c>
      <c r="ME75" s="607">
        <f t="shared" si="414"/>
        <v>49.934399999999997</v>
      </c>
      <c r="MF75" s="607">
        <f t="shared" si="414"/>
        <v>49.473374999999997</v>
      </c>
      <c r="MG75" s="607">
        <f t="shared" si="390"/>
        <v>200.435507</v>
      </c>
      <c r="MH75" s="608"/>
    </row>
    <row r="76" spans="1:346" s="158" customFormat="1" ht="13.15" hidden="1" outlineLevel="1" x14ac:dyDescent="0.4">
      <c r="A76" s="604"/>
      <c r="B76" s="609" t="s">
        <v>321</v>
      </c>
      <c r="C76" s="610"/>
      <c r="D76" s="610"/>
      <c r="E76" s="610">
        <v>702.3</v>
      </c>
      <c r="F76" s="610">
        <v>620.79999999999995</v>
      </c>
      <c r="G76" s="610">
        <v>437.79999999999995</v>
      </c>
      <c r="H76" s="610">
        <v>418</v>
      </c>
      <c r="I76" s="610">
        <v>428</v>
      </c>
      <c r="J76" s="610">
        <v>308</v>
      </c>
      <c r="K76" s="610">
        <v>287</v>
      </c>
      <c r="L76" s="610">
        <v>218</v>
      </c>
      <c r="M76" s="610">
        <v>210</v>
      </c>
      <c r="N76" s="611">
        <f t="shared" si="313"/>
        <v>200</v>
      </c>
      <c r="O76" s="611">
        <f t="shared" si="314"/>
        <v>186</v>
      </c>
      <c r="P76" s="611">
        <f t="shared" si="315"/>
        <v>164</v>
      </c>
      <c r="Q76" s="611">
        <f t="shared" si="316"/>
        <v>162</v>
      </c>
      <c r="R76" s="611">
        <f t="shared" si="317"/>
        <v>166</v>
      </c>
      <c r="S76" s="611">
        <f t="shared" si="318"/>
        <v>176</v>
      </c>
      <c r="T76" s="611">
        <f t="shared" si="319"/>
        <v>179</v>
      </c>
      <c r="U76" s="611">
        <f t="shared" si="320"/>
        <v>143</v>
      </c>
      <c r="V76" s="611">
        <f t="shared" si="321"/>
        <v>149</v>
      </c>
      <c r="W76" s="611">
        <f t="shared" si="322"/>
        <v>138</v>
      </c>
      <c r="X76" s="611">
        <f t="shared" si="323"/>
        <v>153</v>
      </c>
      <c r="Y76" s="611">
        <f t="shared" si="324"/>
        <v>0</v>
      </c>
      <c r="Z76" s="611">
        <f t="shared" si="325"/>
        <v>0</v>
      </c>
      <c r="AA76" s="611">
        <f t="shared" si="326"/>
        <v>0</v>
      </c>
      <c r="AB76" s="611">
        <f t="shared" si="327"/>
        <v>0</v>
      </c>
      <c r="AC76" s="611">
        <f t="shared" si="328"/>
        <v>0</v>
      </c>
      <c r="AD76" s="611">
        <f t="shared" si="329"/>
        <v>0</v>
      </c>
      <c r="AE76" s="611">
        <f t="shared" si="330"/>
        <v>0</v>
      </c>
      <c r="AF76" s="611">
        <f t="shared" si="331"/>
        <v>0</v>
      </c>
      <c r="AG76" s="611">
        <f t="shared" si="332"/>
        <v>0</v>
      </c>
      <c r="AH76" s="611">
        <f t="shared" si="333"/>
        <v>0</v>
      </c>
      <c r="AI76" s="611">
        <f t="shared" si="334"/>
        <v>0</v>
      </c>
      <c r="AJ76" s="611">
        <f t="shared" si="335"/>
        <v>0</v>
      </c>
      <c r="AK76" s="611">
        <f t="shared" si="336"/>
        <v>0</v>
      </c>
      <c r="AL76" s="611">
        <f t="shared" si="337"/>
        <v>0</v>
      </c>
      <c r="AM76" s="611">
        <f t="shared" si="338"/>
        <v>0</v>
      </c>
      <c r="AN76" s="611">
        <f t="shared" si="339"/>
        <v>0</v>
      </c>
      <c r="AO76" s="611">
        <f t="shared" si="340"/>
        <v>0</v>
      </c>
      <c r="AP76" s="611">
        <f t="shared" si="341"/>
        <v>0</v>
      </c>
      <c r="AQ76" s="611">
        <f t="shared" si="342"/>
        <v>0</v>
      </c>
      <c r="AR76" s="611">
        <f t="shared" si="343"/>
        <v>0</v>
      </c>
      <c r="AS76" s="611">
        <f t="shared" si="344"/>
        <v>0</v>
      </c>
      <c r="AT76" s="611">
        <f t="shared" si="345"/>
        <v>0</v>
      </c>
      <c r="AU76" s="611">
        <f t="shared" si="346"/>
        <v>0</v>
      </c>
      <c r="AV76" s="611">
        <f t="shared" si="347"/>
        <v>0</v>
      </c>
      <c r="AW76" s="611">
        <f t="shared" si="348"/>
        <v>0</v>
      </c>
      <c r="AX76" s="611">
        <f t="shared" si="349"/>
        <v>0</v>
      </c>
      <c r="AY76" s="611">
        <f t="shared" si="350"/>
        <v>0</v>
      </c>
      <c r="AZ76" s="611">
        <f t="shared" si="351"/>
        <v>0</v>
      </c>
      <c r="BA76" s="611">
        <f t="shared" si="352"/>
        <v>0</v>
      </c>
      <c r="BB76" s="611"/>
      <c r="BC76" s="611"/>
      <c r="BD76" s="611"/>
      <c r="BE76" s="611"/>
      <c r="BF76" s="611"/>
      <c r="BG76" s="611"/>
      <c r="BH76" s="611"/>
      <c r="BI76" s="611"/>
      <c r="BJ76" s="611"/>
      <c r="BK76" s="611"/>
      <c r="BL76" s="611"/>
      <c r="BM76" s="611"/>
      <c r="BO76" s="609" t="s">
        <v>321</v>
      </c>
      <c r="BP76" s="611">
        <v>52</v>
      </c>
      <c r="BQ76" s="611">
        <v>54</v>
      </c>
      <c r="BR76" s="611">
        <v>51</v>
      </c>
      <c r="BS76" s="611">
        <v>43</v>
      </c>
      <c r="BT76" s="611">
        <v>200</v>
      </c>
      <c r="BV76" s="609" t="s">
        <v>321</v>
      </c>
      <c r="BW76" s="611">
        <v>50</v>
      </c>
      <c r="BX76" s="611">
        <v>49</v>
      </c>
      <c r="BY76" s="611">
        <v>47</v>
      </c>
      <c r="BZ76" s="611">
        <v>40</v>
      </c>
      <c r="CA76" s="611">
        <v>186</v>
      </c>
      <c r="CC76" s="609" t="s">
        <v>321</v>
      </c>
      <c r="CD76" s="611">
        <v>42</v>
      </c>
      <c r="CE76" s="611">
        <v>44</v>
      </c>
      <c r="CF76" s="611">
        <v>40</v>
      </c>
      <c r="CG76" s="611">
        <v>38</v>
      </c>
      <c r="CH76" s="611">
        <v>164</v>
      </c>
      <c r="CJ76" s="609" t="s">
        <v>321</v>
      </c>
      <c r="CK76" s="611">
        <v>40</v>
      </c>
      <c r="CL76" s="611">
        <v>40</v>
      </c>
      <c r="CM76" s="611">
        <v>41</v>
      </c>
      <c r="CN76" s="611">
        <v>41</v>
      </c>
      <c r="CO76" s="611">
        <v>162</v>
      </c>
      <c r="CQ76" s="609" t="s">
        <v>321</v>
      </c>
      <c r="CR76" s="611">
        <v>40</v>
      </c>
      <c r="CS76" s="611">
        <v>41</v>
      </c>
      <c r="CT76" s="611">
        <v>41</v>
      </c>
      <c r="CU76" s="611">
        <v>44</v>
      </c>
      <c r="CV76" s="611">
        <v>166</v>
      </c>
      <c r="CX76" s="609" t="s">
        <v>321</v>
      </c>
      <c r="CY76" s="611">
        <v>41</v>
      </c>
      <c r="CZ76" s="611">
        <v>46</v>
      </c>
      <c r="DA76" s="611">
        <v>46</v>
      </c>
      <c r="DB76" s="611">
        <v>43</v>
      </c>
      <c r="DC76" s="611">
        <v>176</v>
      </c>
      <c r="DE76" s="609" t="s">
        <v>321</v>
      </c>
      <c r="DF76" s="611">
        <v>45</v>
      </c>
      <c r="DG76" s="611">
        <v>47</v>
      </c>
      <c r="DH76" s="611">
        <v>45</v>
      </c>
      <c r="DI76" s="611">
        <v>42</v>
      </c>
      <c r="DJ76" s="611">
        <v>179</v>
      </c>
      <c r="DL76" s="609" t="s">
        <v>321</v>
      </c>
      <c r="DM76" s="611">
        <v>34</v>
      </c>
      <c r="DN76" s="611">
        <v>44</v>
      </c>
      <c r="DO76" s="611">
        <v>32</v>
      </c>
      <c r="DP76" s="611">
        <v>33</v>
      </c>
      <c r="DQ76" s="611">
        <v>143</v>
      </c>
      <c r="DS76" s="609" t="s">
        <v>321</v>
      </c>
      <c r="DT76" s="611">
        <v>34</v>
      </c>
      <c r="DU76" s="611">
        <v>39</v>
      </c>
      <c r="DV76" s="611">
        <v>39</v>
      </c>
      <c r="DW76" s="611">
        <v>37</v>
      </c>
      <c r="DX76" s="611">
        <v>149</v>
      </c>
      <c r="DZ76" s="609" t="s">
        <v>321</v>
      </c>
      <c r="EA76" s="611">
        <v>37</v>
      </c>
      <c r="EB76" s="611">
        <v>35</v>
      </c>
      <c r="EC76" s="611">
        <v>33</v>
      </c>
      <c r="ED76" s="611">
        <v>33</v>
      </c>
      <c r="EE76" s="611">
        <v>138</v>
      </c>
      <c r="EG76" s="609" t="s">
        <v>321</v>
      </c>
      <c r="EH76" s="611">
        <v>37</v>
      </c>
      <c r="EI76" s="611">
        <v>35</v>
      </c>
      <c r="EJ76" s="611">
        <v>39</v>
      </c>
      <c r="EK76" s="611">
        <v>42</v>
      </c>
      <c r="EL76" s="611">
        <v>153</v>
      </c>
      <c r="EN76" s="609" t="s">
        <v>321</v>
      </c>
      <c r="EO76" s="611"/>
      <c r="EP76" s="611"/>
      <c r="EQ76" s="611"/>
      <c r="ER76" s="611"/>
      <c r="ES76" s="611"/>
      <c r="EU76" s="609" t="s">
        <v>321</v>
      </c>
      <c r="EV76" s="611"/>
      <c r="EW76" s="611"/>
      <c r="EX76" s="611"/>
      <c r="EY76" s="611"/>
      <c r="EZ76" s="611"/>
      <c r="FB76" s="609" t="s">
        <v>321</v>
      </c>
      <c r="FC76" s="611"/>
      <c r="FD76" s="611"/>
      <c r="FE76" s="611"/>
      <c r="FF76" s="611"/>
      <c r="FG76" s="611"/>
      <c r="FI76" s="609" t="s">
        <v>321</v>
      </c>
      <c r="FJ76" s="611"/>
      <c r="FK76" s="611"/>
      <c r="FL76" s="611"/>
      <c r="FM76" s="611"/>
      <c r="FN76" s="611"/>
      <c r="FP76" s="609" t="s">
        <v>321</v>
      </c>
      <c r="FQ76" s="611"/>
      <c r="FR76" s="611"/>
      <c r="FS76" s="611"/>
      <c r="FT76" s="611"/>
      <c r="FU76" s="611"/>
      <c r="FW76" s="609" t="s">
        <v>321</v>
      </c>
      <c r="FX76" s="611"/>
      <c r="FY76" s="611"/>
      <c r="FZ76" s="611"/>
      <c r="GA76" s="611"/>
      <c r="GB76" s="611"/>
      <c r="GD76" s="609" t="s">
        <v>321</v>
      </c>
      <c r="GE76" s="611"/>
      <c r="GF76" s="611"/>
      <c r="GG76" s="611"/>
      <c r="GH76" s="611"/>
      <c r="GI76" s="611"/>
      <c r="GK76" s="609" t="s">
        <v>321</v>
      </c>
      <c r="GL76" s="611"/>
      <c r="GM76" s="611"/>
      <c r="GN76" s="611"/>
      <c r="GO76" s="611"/>
      <c r="GP76" s="611"/>
      <c r="GR76" s="609" t="s">
        <v>321</v>
      </c>
      <c r="GS76" s="611"/>
      <c r="GT76" s="611"/>
      <c r="GU76" s="611"/>
      <c r="GV76" s="611"/>
      <c r="GW76" s="611"/>
      <c r="GY76" s="609" t="s">
        <v>321</v>
      </c>
      <c r="GZ76" s="611"/>
      <c r="HA76" s="611"/>
      <c r="HB76" s="611"/>
      <c r="HC76" s="611"/>
      <c r="HD76" s="611"/>
      <c r="HF76" s="609" t="s">
        <v>321</v>
      </c>
      <c r="HG76" s="611"/>
      <c r="HH76" s="611"/>
      <c r="HI76" s="611"/>
      <c r="HJ76" s="611"/>
      <c r="HK76" s="611"/>
      <c r="HM76" s="609" t="s">
        <v>321</v>
      </c>
      <c r="HN76" s="611"/>
      <c r="HO76" s="611"/>
      <c r="HP76" s="611"/>
      <c r="HQ76" s="611"/>
      <c r="HR76" s="611"/>
      <c r="HT76" s="609" t="s">
        <v>321</v>
      </c>
      <c r="HU76" s="611"/>
      <c r="HV76" s="611"/>
      <c r="HW76" s="611"/>
      <c r="HX76" s="611"/>
      <c r="HY76" s="611"/>
      <c r="IA76" s="609" t="s">
        <v>321</v>
      </c>
      <c r="IB76" s="611"/>
      <c r="IC76" s="611"/>
      <c r="ID76" s="611"/>
      <c r="IE76" s="611"/>
      <c r="IF76" s="611"/>
      <c r="IH76" s="609" t="s">
        <v>321</v>
      </c>
      <c r="II76" s="611"/>
      <c r="IJ76" s="611"/>
      <c r="IK76" s="611"/>
      <c r="IL76" s="611"/>
      <c r="IM76" s="611"/>
      <c r="IO76" s="609" t="s">
        <v>321</v>
      </c>
      <c r="IP76" s="611"/>
      <c r="IQ76" s="611"/>
      <c r="IR76" s="611"/>
      <c r="IS76" s="611"/>
      <c r="IT76" s="611"/>
      <c r="IV76" s="609" t="s">
        <v>321</v>
      </c>
      <c r="IW76" s="611"/>
      <c r="IX76" s="611"/>
      <c r="IY76" s="611"/>
      <c r="IZ76" s="611"/>
      <c r="JA76" s="611"/>
      <c r="JC76" s="609" t="s">
        <v>321</v>
      </c>
      <c r="JD76" s="611"/>
      <c r="JE76" s="611"/>
      <c r="JF76" s="611"/>
      <c r="JG76" s="611"/>
      <c r="JH76" s="611"/>
      <c r="JJ76" s="609" t="s">
        <v>321</v>
      </c>
      <c r="JK76" s="611"/>
      <c r="JL76" s="611"/>
      <c r="JM76" s="611"/>
      <c r="JN76" s="611"/>
      <c r="JO76" s="611"/>
      <c r="JQ76" s="609" t="s">
        <v>321</v>
      </c>
      <c r="JR76" s="611"/>
      <c r="JS76" s="611"/>
      <c r="JT76" s="611"/>
      <c r="JU76" s="611"/>
      <c r="JV76" s="611"/>
      <c r="JX76" s="609" t="s">
        <v>321</v>
      </c>
      <c r="JY76" s="611"/>
      <c r="JZ76" s="611"/>
      <c r="KA76" s="611"/>
      <c r="KB76" s="611"/>
      <c r="KC76" s="611"/>
      <c r="KE76" s="609" t="s">
        <v>321</v>
      </c>
      <c r="KF76" s="611"/>
      <c r="KG76" s="611"/>
      <c r="KH76" s="611"/>
      <c r="KI76" s="611"/>
      <c r="KJ76" s="611"/>
      <c r="KL76" s="609" t="s">
        <v>321</v>
      </c>
      <c r="KM76" s="611"/>
      <c r="KN76" s="611"/>
      <c r="KO76" s="611"/>
      <c r="KP76" s="611"/>
      <c r="KQ76" s="611"/>
      <c r="KS76" s="609" t="s">
        <v>321</v>
      </c>
      <c r="KT76" s="611"/>
      <c r="KU76" s="611"/>
      <c r="KV76" s="610"/>
      <c r="KW76" s="611"/>
      <c r="KX76" s="611"/>
      <c r="KZ76" s="609" t="s">
        <v>321</v>
      </c>
      <c r="LA76" s="611"/>
      <c r="LB76" s="612"/>
      <c r="LC76" s="612"/>
      <c r="LD76" s="612"/>
      <c r="LE76" s="613"/>
      <c r="LF76" s="608"/>
      <c r="LG76" s="609" t="s">
        <v>321</v>
      </c>
      <c r="LH76" s="612"/>
      <c r="LI76" s="612"/>
      <c r="LJ76" s="612"/>
      <c r="LK76" s="612"/>
      <c r="LL76" s="613"/>
      <c r="LM76" s="608"/>
      <c r="LN76" s="609" t="s">
        <v>321</v>
      </c>
      <c r="LO76" s="612"/>
      <c r="LP76" s="612"/>
      <c r="LQ76" s="612"/>
      <c r="LR76" s="612"/>
      <c r="LS76" s="613"/>
      <c r="LT76" s="608"/>
      <c r="LU76" s="609" t="s">
        <v>321</v>
      </c>
      <c r="LV76" s="612"/>
      <c r="LW76" s="612"/>
      <c r="LX76" s="612"/>
      <c r="LY76" s="612"/>
      <c r="LZ76" s="613"/>
      <c r="MA76" s="608"/>
      <c r="MB76" s="609" t="s">
        <v>321</v>
      </c>
      <c r="MC76" s="612"/>
      <c r="MD76" s="612"/>
      <c r="ME76" s="612"/>
      <c r="MF76" s="612"/>
      <c r="MG76" s="613"/>
      <c r="MH76" s="608"/>
    </row>
    <row r="77" spans="1:346" s="158" customFormat="1" ht="13.15" hidden="1" outlineLevel="1" x14ac:dyDescent="0.4">
      <c r="A77" s="604"/>
      <c r="B77" s="609" t="s">
        <v>323</v>
      </c>
      <c r="C77" s="610"/>
      <c r="D77" s="610"/>
      <c r="E77" s="610"/>
      <c r="F77" s="610"/>
      <c r="G77" s="610"/>
      <c r="H77" s="610"/>
      <c r="I77" s="610"/>
      <c r="J77" s="610"/>
      <c r="K77" s="610"/>
      <c r="L77" s="610"/>
      <c r="M77" s="610"/>
      <c r="N77" s="611">
        <f t="shared" si="313"/>
        <v>0</v>
      </c>
      <c r="O77" s="611">
        <f t="shared" si="314"/>
        <v>0</v>
      </c>
      <c r="P77" s="611">
        <f t="shared" si="315"/>
        <v>0</v>
      </c>
      <c r="Q77" s="611">
        <f t="shared" si="316"/>
        <v>0</v>
      </c>
      <c r="R77" s="611">
        <f t="shared" si="317"/>
        <v>0</v>
      </c>
      <c r="S77" s="611">
        <f t="shared" si="318"/>
        <v>0</v>
      </c>
      <c r="T77" s="611">
        <f t="shared" si="319"/>
        <v>0</v>
      </c>
      <c r="U77" s="611">
        <f t="shared" si="320"/>
        <v>0</v>
      </c>
      <c r="V77" s="611">
        <f t="shared" si="321"/>
        <v>0</v>
      </c>
      <c r="W77" s="611">
        <f t="shared" si="322"/>
        <v>0</v>
      </c>
      <c r="X77" s="611">
        <f t="shared" si="323"/>
        <v>0</v>
      </c>
      <c r="Y77" s="611">
        <f t="shared" si="324"/>
        <v>430</v>
      </c>
      <c r="Z77" s="611">
        <f t="shared" si="325"/>
        <v>435</v>
      </c>
      <c r="AA77" s="611">
        <f t="shared" si="326"/>
        <v>424</v>
      </c>
      <c r="AB77" s="611">
        <f t="shared" si="327"/>
        <v>476</v>
      </c>
      <c r="AC77" s="611">
        <f t="shared" si="328"/>
        <v>506</v>
      </c>
      <c r="AD77" s="611">
        <f t="shared" si="329"/>
        <v>505</v>
      </c>
      <c r="AE77" s="611">
        <f t="shared" si="330"/>
        <v>524</v>
      </c>
      <c r="AF77" s="611">
        <f t="shared" si="331"/>
        <v>546</v>
      </c>
      <c r="AG77" s="611">
        <f t="shared" si="332"/>
        <v>487</v>
      </c>
      <c r="AH77" s="611">
        <f t="shared" si="333"/>
        <v>405</v>
      </c>
      <c r="AI77" s="611">
        <f t="shared" si="334"/>
        <v>0</v>
      </c>
      <c r="AJ77" s="611">
        <f t="shared" si="335"/>
        <v>0</v>
      </c>
      <c r="AK77" s="611">
        <f t="shared" si="336"/>
        <v>0</v>
      </c>
      <c r="AL77" s="611">
        <f t="shared" si="337"/>
        <v>0</v>
      </c>
      <c r="AM77" s="611">
        <f t="shared" si="338"/>
        <v>0</v>
      </c>
      <c r="AN77" s="611">
        <f t="shared" si="339"/>
        <v>0</v>
      </c>
      <c r="AO77" s="611">
        <f t="shared" si="340"/>
        <v>0</v>
      </c>
      <c r="AP77" s="611">
        <f t="shared" si="341"/>
        <v>0</v>
      </c>
      <c r="AQ77" s="611">
        <f t="shared" si="342"/>
        <v>0</v>
      </c>
      <c r="AR77" s="611">
        <f t="shared" si="343"/>
        <v>0</v>
      </c>
      <c r="AS77" s="611">
        <f t="shared" si="344"/>
        <v>0</v>
      </c>
      <c r="AT77" s="611">
        <f t="shared" si="345"/>
        <v>0</v>
      </c>
      <c r="AU77" s="611">
        <f t="shared" si="346"/>
        <v>0</v>
      </c>
      <c r="AV77" s="611">
        <f t="shared" si="347"/>
        <v>0</v>
      </c>
      <c r="AW77" s="611">
        <f t="shared" si="348"/>
        <v>0</v>
      </c>
      <c r="AX77" s="611">
        <f t="shared" si="349"/>
        <v>0</v>
      </c>
      <c r="AY77" s="611">
        <f t="shared" si="350"/>
        <v>0</v>
      </c>
      <c r="AZ77" s="611">
        <f t="shared" si="351"/>
        <v>0</v>
      </c>
      <c r="BA77" s="611">
        <f t="shared" si="352"/>
        <v>0</v>
      </c>
      <c r="BB77" s="611"/>
      <c r="BC77" s="611"/>
      <c r="BD77" s="611"/>
      <c r="BE77" s="611"/>
      <c r="BF77" s="611"/>
      <c r="BG77" s="611"/>
      <c r="BH77" s="611"/>
      <c r="BI77" s="611"/>
      <c r="BJ77" s="611"/>
      <c r="BK77" s="611"/>
      <c r="BL77" s="611"/>
      <c r="BM77" s="611"/>
      <c r="BO77" s="609" t="s">
        <v>323</v>
      </c>
      <c r="BP77" s="611"/>
      <c r="BQ77" s="611"/>
      <c r="BR77" s="611"/>
      <c r="BS77" s="611"/>
      <c r="BT77" s="611"/>
      <c r="BV77" s="609" t="s">
        <v>323</v>
      </c>
      <c r="BW77" s="611"/>
      <c r="BX77" s="611"/>
      <c r="BY77" s="611"/>
      <c r="BZ77" s="611"/>
      <c r="CA77" s="611"/>
      <c r="CC77" s="609" t="s">
        <v>323</v>
      </c>
      <c r="CD77" s="611"/>
      <c r="CE77" s="611"/>
      <c r="CF77" s="611"/>
      <c r="CG77" s="611"/>
      <c r="CH77" s="611"/>
      <c r="CJ77" s="609" t="s">
        <v>323</v>
      </c>
      <c r="CK77" s="611"/>
      <c r="CL77" s="611"/>
      <c r="CM77" s="611"/>
      <c r="CN77" s="611"/>
      <c r="CO77" s="611"/>
      <c r="CQ77" s="609" t="s">
        <v>323</v>
      </c>
      <c r="CR77" s="611"/>
      <c r="CS77" s="611"/>
      <c r="CT77" s="611"/>
      <c r="CU77" s="611"/>
      <c r="CV77" s="611"/>
      <c r="CX77" s="609" t="s">
        <v>323</v>
      </c>
      <c r="CY77" s="611"/>
      <c r="CZ77" s="611"/>
      <c r="DA77" s="611"/>
      <c r="DB77" s="611"/>
      <c r="DC77" s="611"/>
      <c r="DE77" s="609" t="s">
        <v>323</v>
      </c>
      <c r="DF77" s="611"/>
      <c r="DG77" s="611"/>
      <c r="DH77" s="611"/>
      <c r="DI77" s="611"/>
      <c r="DJ77" s="611"/>
      <c r="DL77" s="609" t="s">
        <v>323</v>
      </c>
      <c r="DM77" s="611"/>
      <c r="DN77" s="611"/>
      <c r="DO77" s="611"/>
      <c r="DP77" s="611"/>
      <c r="DQ77" s="611"/>
      <c r="DS77" s="609" t="s">
        <v>323</v>
      </c>
      <c r="DT77" s="611"/>
      <c r="DU77" s="611"/>
      <c r="DV77" s="611"/>
      <c r="DW77" s="611"/>
      <c r="DX77" s="611"/>
      <c r="DZ77" s="609" t="s">
        <v>323</v>
      </c>
      <c r="EA77" s="611"/>
      <c r="EB77" s="611"/>
      <c r="EC77" s="611">
        <v>2</v>
      </c>
      <c r="ED77" s="611">
        <v>1</v>
      </c>
      <c r="EE77" s="611"/>
      <c r="EG77" s="609" t="s">
        <v>323</v>
      </c>
      <c r="EH77" s="611">
        <v>3</v>
      </c>
      <c r="EI77" s="611">
        <v>3</v>
      </c>
      <c r="EJ77" s="611">
        <v>3</v>
      </c>
      <c r="EK77" s="611">
        <v>2</v>
      </c>
      <c r="EL77" s="611"/>
      <c r="EN77" s="609" t="s">
        <v>323</v>
      </c>
      <c r="EO77" s="611">
        <v>96</v>
      </c>
      <c r="EP77" s="611">
        <v>115</v>
      </c>
      <c r="EQ77" s="611">
        <v>115</v>
      </c>
      <c r="ER77" s="611">
        <v>104</v>
      </c>
      <c r="ES77" s="611">
        <v>430</v>
      </c>
      <c r="EU77" s="609" t="s">
        <v>323</v>
      </c>
      <c r="EV77" s="611">
        <v>96</v>
      </c>
      <c r="EW77" s="611">
        <v>113</v>
      </c>
      <c r="EX77" s="611">
        <v>118</v>
      </c>
      <c r="EY77" s="611">
        <v>108</v>
      </c>
      <c r="EZ77" s="611">
        <v>435</v>
      </c>
      <c r="FB77" s="609" t="s">
        <v>323</v>
      </c>
      <c r="FC77" s="611">
        <v>93</v>
      </c>
      <c r="FD77" s="611">
        <v>115</v>
      </c>
      <c r="FE77" s="611">
        <v>115</v>
      </c>
      <c r="FF77" s="611">
        <v>101</v>
      </c>
      <c r="FG77" s="611">
        <v>424</v>
      </c>
      <c r="FI77" s="609" t="s">
        <v>323</v>
      </c>
      <c r="FJ77" s="611">
        <v>101</v>
      </c>
      <c r="FK77" s="611">
        <v>125</v>
      </c>
      <c r="FL77" s="611">
        <v>130</v>
      </c>
      <c r="FM77" s="611">
        <v>120</v>
      </c>
      <c r="FN77" s="611">
        <v>476</v>
      </c>
      <c r="FP77" s="609" t="s">
        <v>323</v>
      </c>
      <c r="FQ77" s="611">
        <v>112</v>
      </c>
      <c r="FR77" s="611">
        <v>134</v>
      </c>
      <c r="FS77" s="611">
        <v>126</v>
      </c>
      <c r="FT77" s="611">
        <v>134</v>
      </c>
      <c r="FU77" s="611">
        <v>506</v>
      </c>
      <c r="FW77" s="609" t="s">
        <v>323</v>
      </c>
      <c r="FX77" s="611">
        <v>115</v>
      </c>
      <c r="FY77" s="611">
        <v>136</v>
      </c>
      <c r="FZ77" s="611">
        <v>132</v>
      </c>
      <c r="GA77" s="611">
        <v>122</v>
      </c>
      <c r="GB77" s="611">
        <v>505</v>
      </c>
      <c r="GD77" s="609" t="s">
        <v>323</v>
      </c>
      <c r="GE77" s="611">
        <v>124</v>
      </c>
      <c r="GF77" s="611">
        <v>144</v>
      </c>
      <c r="GG77" s="611">
        <v>133</v>
      </c>
      <c r="GH77" s="611">
        <v>123</v>
      </c>
      <c r="GI77" s="611">
        <v>524</v>
      </c>
      <c r="GK77" s="609" t="s">
        <v>323</v>
      </c>
      <c r="GL77" s="611">
        <v>128</v>
      </c>
      <c r="GM77" s="611">
        <v>150</v>
      </c>
      <c r="GN77" s="611">
        <v>140</v>
      </c>
      <c r="GO77" s="611">
        <v>128</v>
      </c>
      <c r="GP77" s="611">
        <v>546</v>
      </c>
      <c r="GR77" s="609" t="s">
        <v>323</v>
      </c>
      <c r="GS77" s="611">
        <v>115</v>
      </c>
      <c r="GT77" s="611">
        <v>133</v>
      </c>
      <c r="GU77" s="611">
        <v>126</v>
      </c>
      <c r="GV77" s="611">
        <v>113</v>
      </c>
      <c r="GW77" s="611">
        <v>487</v>
      </c>
      <c r="GY77" s="609" t="s">
        <v>323</v>
      </c>
      <c r="GZ77" s="611">
        <v>91</v>
      </c>
      <c r="HA77" s="611">
        <v>106</v>
      </c>
      <c r="HB77" s="611">
        <v>109</v>
      </c>
      <c r="HC77" s="611">
        <v>99</v>
      </c>
      <c r="HD77" s="611">
        <v>405</v>
      </c>
      <c r="HF77" s="609" t="s">
        <v>323</v>
      </c>
      <c r="HG77" s="611"/>
      <c r="HH77" s="611"/>
      <c r="HI77" s="611"/>
      <c r="HJ77" s="611"/>
      <c r="HK77" s="611"/>
      <c r="HM77" s="609" t="s">
        <v>323</v>
      </c>
      <c r="HN77" s="611"/>
      <c r="HO77" s="611"/>
      <c r="HP77" s="611"/>
      <c r="HQ77" s="611"/>
      <c r="HR77" s="611"/>
      <c r="HT77" s="609" t="s">
        <v>323</v>
      </c>
      <c r="HU77" s="611"/>
      <c r="HV77" s="611"/>
      <c r="HW77" s="611"/>
      <c r="HX77" s="611"/>
      <c r="HY77" s="611"/>
      <c r="IA77" s="609" t="s">
        <v>323</v>
      </c>
      <c r="IB77" s="611"/>
      <c r="IC77" s="611"/>
      <c r="ID77" s="611"/>
      <c r="IE77" s="611"/>
      <c r="IF77" s="611"/>
      <c r="IH77" s="609" t="s">
        <v>323</v>
      </c>
      <c r="II77" s="611"/>
      <c r="IJ77" s="611"/>
      <c r="IK77" s="611"/>
      <c r="IL77" s="611"/>
      <c r="IM77" s="611"/>
      <c r="IO77" s="609" t="s">
        <v>323</v>
      </c>
      <c r="IP77" s="611"/>
      <c r="IQ77" s="611"/>
      <c r="IR77" s="611"/>
      <c r="IS77" s="611"/>
      <c r="IT77" s="611"/>
      <c r="IV77" s="609" t="s">
        <v>323</v>
      </c>
      <c r="IW77" s="611"/>
      <c r="IX77" s="611"/>
      <c r="IY77" s="611"/>
      <c r="IZ77" s="611"/>
      <c r="JA77" s="611"/>
      <c r="JC77" s="609" t="s">
        <v>323</v>
      </c>
      <c r="JD77" s="611"/>
      <c r="JE77" s="611"/>
      <c r="JF77" s="611"/>
      <c r="JG77" s="611"/>
      <c r="JH77" s="611"/>
      <c r="JJ77" s="609" t="s">
        <v>323</v>
      </c>
      <c r="JK77" s="611"/>
      <c r="JL77" s="611"/>
      <c r="JM77" s="611"/>
      <c r="JN77" s="611"/>
      <c r="JO77" s="611"/>
      <c r="JQ77" s="609" t="s">
        <v>323</v>
      </c>
      <c r="JR77" s="611"/>
      <c r="JS77" s="611"/>
      <c r="JT77" s="611"/>
      <c r="JU77" s="611"/>
      <c r="JV77" s="611"/>
      <c r="JX77" s="609" t="s">
        <v>323</v>
      </c>
      <c r="JY77" s="611"/>
      <c r="JZ77" s="611"/>
      <c r="KA77" s="611"/>
      <c r="KB77" s="611"/>
      <c r="KC77" s="611"/>
      <c r="KE77" s="609" t="s">
        <v>323</v>
      </c>
      <c r="KF77" s="611"/>
      <c r="KG77" s="611"/>
      <c r="KH77" s="611"/>
      <c r="KI77" s="611"/>
      <c r="KJ77" s="611"/>
      <c r="KL77" s="609" t="s">
        <v>323</v>
      </c>
      <c r="KM77" s="611"/>
      <c r="KN77" s="611"/>
      <c r="KO77" s="611"/>
      <c r="KP77" s="611"/>
      <c r="KQ77" s="611"/>
      <c r="KS77" s="609" t="s">
        <v>323</v>
      </c>
      <c r="KT77" s="611"/>
      <c r="KU77" s="611"/>
      <c r="KV77" s="610"/>
      <c r="KW77" s="611"/>
      <c r="KX77" s="611"/>
      <c r="KZ77" s="609" t="s">
        <v>323</v>
      </c>
      <c r="LA77" s="611"/>
      <c r="LB77" s="612"/>
      <c r="LC77" s="612"/>
      <c r="LD77" s="612"/>
      <c r="LE77" s="613"/>
      <c r="LF77" s="608"/>
      <c r="LG77" s="609" t="s">
        <v>323</v>
      </c>
      <c r="LH77" s="612"/>
      <c r="LI77" s="612"/>
      <c r="LJ77" s="612"/>
      <c r="LK77" s="612"/>
      <c r="LL77" s="613"/>
      <c r="LM77" s="608"/>
      <c r="LN77" s="609" t="s">
        <v>323</v>
      </c>
      <c r="LO77" s="612"/>
      <c r="LP77" s="612"/>
      <c r="LQ77" s="612"/>
      <c r="LR77" s="612"/>
      <c r="LS77" s="613"/>
      <c r="LT77" s="608"/>
      <c r="LU77" s="609" t="s">
        <v>323</v>
      </c>
      <c r="LV77" s="612"/>
      <c r="LW77" s="612"/>
      <c r="LX77" s="612"/>
      <c r="LY77" s="612"/>
      <c r="LZ77" s="613"/>
      <c r="MA77" s="608"/>
      <c r="MB77" s="609" t="s">
        <v>323</v>
      </c>
      <c r="MC77" s="612"/>
      <c r="MD77" s="612"/>
      <c r="ME77" s="612"/>
      <c r="MF77" s="612"/>
      <c r="MG77" s="613"/>
      <c r="MH77" s="608"/>
    </row>
    <row r="78" spans="1:346" s="158" customFormat="1" ht="13.15" hidden="1" outlineLevel="1" x14ac:dyDescent="0.4">
      <c r="A78" s="604"/>
      <c r="B78" s="609" t="s">
        <v>324</v>
      </c>
      <c r="C78" s="610"/>
      <c r="D78" s="610"/>
      <c r="E78" s="610"/>
      <c r="F78" s="610"/>
      <c r="G78" s="610"/>
      <c r="H78" s="610"/>
      <c r="I78" s="610"/>
      <c r="J78" s="610"/>
      <c r="K78" s="610"/>
      <c r="L78" s="610"/>
      <c r="M78" s="610"/>
      <c r="N78" s="611">
        <f t="shared" si="313"/>
        <v>0</v>
      </c>
      <c r="O78" s="611">
        <f t="shared" si="314"/>
        <v>0</v>
      </c>
      <c r="P78" s="611">
        <f t="shared" si="315"/>
        <v>0</v>
      </c>
      <c r="Q78" s="611">
        <f t="shared" si="316"/>
        <v>0</v>
      </c>
      <c r="R78" s="611">
        <f t="shared" si="317"/>
        <v>0</v>
      </c>
      <c r="S78" s="611">
        <f t="shared" si="318"/>
        <v>0</v>
      </c>
      <c r="T78" s="611">
        <f t="shared" si="319"/>
        <v>0</v>
      </c>
      <c r="U78" s="611">
        <f t="shared" si="320"/>
        <v>0</v>
      </c>
      <c r="V78" s="611">
        <f t="shared" si="321"/>
        <v>0</v>
      </c>
      <c r="W78" s="611">
        <f t="shared" si="322"/>
        <v>0</v>
      </c>
      <c r="X78" s="611">
        <f t="shared" si="323"/>
        <v>0</v>
      </c>
      <c r="Y78" s="611">
        <f t="shared" si="324"/>
        <v>0</v>
      </c>
      <c r="Z78" s="611">
        <f t="shared" si="325"/>
        <v>0</v>
      </c>
      <c r="AA78" s="611">
        <f t="shared" si="326"/>
        <v>0</v>
      </c>
      <c r="AB78" s="611">
        <f t="shared" si="327"/>
        <v>0</v>
      </c>
      <c r="AC78" s="611">
        <f t="shared" si="328"/>
        <v>0</v>
      </c>
      <c r="AD78" s="611">
        <f t="shared" si="329"/>
        <v>0</v>
      </c>
      <c r="AE78" s="611">
        <f t="shared" si="330"/>
        <v>0</v>
      </c>
      <c r="AF78" s="611">
        <f t="shared" si="331"/>
        <v>0</v>
      </c>
      <c r="AG78" s="611">
        <f t="shared" si="332"/>
        <v>0</v>
      </c>
      <c r="AH78" s="611">
        <f t="shared" si="333"/>
        <v>0</v>
      </c>
      <c r="AI78" s="611">
        <f t="shared" si="334"/>
        <v>141</v>
      </c>
      <c r="AJ78" s="611">
        <f t="shared" si="335"/>
        <v>144</v>
      </c>
      <c r="AK78" s="611">
        <f t="shared" si="336"/>
        <v>138</v>
      </c>
      <c r="AL78" s="611">
        <f t="shared" si="337"/>
        <v>0</v>
      </c>
      <c r="AM78" s="611">
        <f t="shared" si="338"/>
        <v>0</v>
      </c>
      <c r="AN78" s="611">
        <f t="shared" si="339"/>
        <v>0</v>
      </c>
      <c r="AO78" s="611">
        <f t="shared" si="340"/>
        <v>0</v>
      </c>
      <c r="AP78" s="611">
        <f t="shared" si="341"/>
        <v>0</v>
      </c>
      <c r="AQ78" s="611">
        <f t="shared" si="342"/>
        <v>0</v>
      </c>
      <c r="AR78" s="611">
        <f t="shared" si="343"/>
        <v>0</v>
      </c>
      <c r="AS78" s="611">
        <f t="shared" si="344"/>
        <v>0</v>
      </c>
      <c r="AT78" s="611">
        <f t="shared" si="345"/>
        <v>0</v>
      </c>
      <c r="AU78" s="611">
        <f t="shared" si="346"/>
        <v>0</v>
      </c>
      <c r="AV78" s="611">
        <f t="shared" si="347"/>
        <v>0</v>
      </c>
      <c r="AW78" s="611">
        <f t="shared" si="348"/>
        <v>0</v>
      </c>
      <c r="AX78" s="611">
        <f t="shared" si="349"/>
        <v>0</v>
      </c>
      <c r="AY78" s="611">
        <f t="shared" si="350"/>
        <v>0</v>
      </c>
      <c r="AZ78" s="611">
        <f t="shared" si="351"/>
        <v>0</v>
      </c>
      <c r="BA78" s="611">
        <f t="shared" si="352"/>
        <v>0</v>
      </c>
      <c r="BB78" s="611"/>
      <c r="BC78" s="611"/>
      <c r="BD78" s="611"/>
      <c r="BE78" s="611"/>
      <c r="BF78" s="611"/>
      <c r="BG78" s="611"/>
      <c r="BH78" s="611"/>
      <c r="BI78" s="611"/>
      <c r="BJ78" s="611"/>
      <c r="BK78" s="611"/>
      <c r="BL78" s="611"/>
      <c r="BM78" s="611"/>
      <c r="BO78" s="609" t="s">
        <v>324</v>
      </c>
      <c r="BP78" s="611"/>
      <c r="BQ78" s="611"/>
      <c r="BR78" s="611"/>
      <c r="BS78" s="611"/>
      <c r="BT78" s="611"/>
      <c r="BV78" s="609" t="s">
        <v>324</v>
      </c>
      <c r="BW78" s="611"/>
      <c r="BX78" s="611"/>
      <c r="BY78" s="611"/>
      <c r="BZ78" s="611"/>
      <c r="CA78" s="611"/>
      <c r="CC78" s="609" t="s">
        <v>324</v>
      </c>
      <c r="CD78" s="611"/>
      <c r="CE78" s="611"/>
      <c r="CF78" s="611"/>
      <c r="CG78" s="611"/>
      <c r="CH78" s="611"/>
      <c r="CJ78" s="609" t="s">
        <v>324</v>
      </c>
      <c r="CK78" s="611"/>
      <c r="CL78" s="611"/>
      <c r="CM78" s="611"/>
      <c r="CN78" s="611"/>
      <c r="CO78" s="611"/>
      <c r="CQ78" s="609" t="s">
        <v>324</v>
      </c>
      <c r="CR78" s="611"/>
      <c r="CS78" s="611"/>
      <c r="CT78" s="611"/>
      <c r="CU78" s="611"/>
      <c r="CV78" s="611"/>
      <c r="CX78" s="609" t="s">
        <v>324</v>
      </c>
      <c r="CY78" s="611"/>
      <c r="CZ78" s="611"/>
      <c r="DA78" s="611"/>
      <c r="DB78" s="611"/>
      <c r="DC78" s="611"/>
      <c r="DE78" s="609" t="s">
        <v>324</v>
      </c>
      <c r="DF78" s="611"/>
      <c r="DG78" s="611"/>
      <c r="DH78" s="611"/>
      <c r="DI78" s="611"/>
      <c r="DJ78" s="611"/>
      <c r="DL78" s="609" t="s">
        <v>324</v>
      </c>
      <c r="DM78" s="611"/>
      <c r="DN78" s="611"/>
      <c r="DO78" s="611"/>
      <c r="DP78" s="611"/>
      <c r="DQ78" s="611"/>
      <c r="DS78" s="609" t="s">
        <v>324</v>
      </c>
      <c r="DT78" s="611"/>
      <c r="DU78" s="611"/>
      <c r="DV78" s="611"/>
      <c r="DW78" s="611"/>
      <c r="DX78" s="611"/>
      <c r="DZ78" s="609" t="s">
        <v>324</v>
      </c>
      <c r="EA78" s="611"/>
      <c r="EB78" s="611"/>
      <c r="EC78" s="611"/>
      <c r="ED78" s="611"/>
      <c r="EE78" s="611"/>
      <c r="EG78" s="609" t="s">
        <v>324</v>
      </c>
      <c r="EH78" s="611"/>
      <c r="EI78" s="611"/>
      <c r="EJ78" s="611"/>
      <c r="EK78" s="611"/>
      <c r="EL78" s="611"/>
      <c r="EN78" s="609" t="s">
        <v>324</v>
      </c>
      <c r="EO78" s="611"/>
      <c r="EP78" s="611"/>
      <c r="EQ78" s="611"/>
      <c r="ER78" s="611"/>
      <c r="ES78" s="611"/>
      <c r="EU78" s="609" t="s">
        <v>324</v>
      </c>
      <c r="EV78" s="611"/>
      <c r="EW78" s="611"/>
      <c r="EX78" s="611"/>
      <c r="EY78" s="611"/>
      <c r="EZ78" s="611"/>
      <c r="FB78" s="609" t="s">
        <v>324</v>
      </c>
      <c r="FC78" s="611"/>
      <c r="FD78" s="611"/>
      <c r="FE78" s="611"/>
      <c r="FF78" s="611"/>
      <c r="FG78" s="611"/>
      <c r="FI78" s="609" t="s">
        <v>324</v>
      </c>
      <c r="FJ78" s="611"/>
      <c r="FK78" s="611"/>
      <c r="FL78" s="611"/>
      <c r="FM78" s="611"/>
      <c r="FN78" s="611"/>
      <c r="FP78" s="609" t="s">
        <v>324</v>
      </c>
      <c r="FQ78" s="611"/>
      <c r="FR78" s="611"/>
      <c r="FS78" s="611"/>
      <c r="FT78" s="611"/>
      <c r="FU78" s="611"/>
      <c r="FW78" s="609" t="s">
        <v>324</v>
      </c>
      <c r="FX78" s="611"/>
      <c r="FY78" s="611"/>
      <c r="FZ78" s="611"/>
      <c r="GA78" s="611"/>
      <c r="GB78" s="611"/>
      <c r="GD78" s="609" t="s">
        <v>324</v>
      </c>
      <c r="GE78" s="611"/>
      <c r="GF78" s="611"/>
      <c r="GG78" s="611"/>
      <c r="GH78" s="611"/>
      <c r="GI78" s="611"/>
      <c r="GK78" s="609" t="s">
        <v>324</v>
      </c>
      <c r="GL78" s="611"/>
      <c r="GM78" s="611"/>
      <c r="GN78" s="611"/>
      <c r="GO78" s="611"/>
      <c r="GP78" s="611"/>
      <c r="GR78" s="609" t="s">
        <v>324</v>
      </c>
      <c r="GS78" s="611"/>
      <c r="GT78" s="611"/>
      <c r="GU78" s="611"/>
      <c r="GV78" s="611"/>
      <c r="GW78" s="611"/>
      <c r="GY78" s="609" t="s">
        <v>324</v>
      </c>
      <c r="GZ78" s="611"/>
      <c r="HA78" s="611"/>
      <c r="HB78" s="611"/>
      <c r="HC78" s="611"/>
      <c r="HD78" s="611"/>
      <c r="HF78" s="609" t="s">
        <v>324</v>
      </c>
      <c r="HG78" s="611">
        <v>31</v>
      </c>
      <c r="HH78" s="611">
        <v>37</v>
      </c>
      <c r="HI78" s="611">
        <v>36</v>
      </c>
      <c r="HJ78" s="611">
        <v>37</v>
      </c>
      <c r="HK78" s="611">
        <v>141</v>
      </c>
      <c r="HM78" s="609" t="s">
        <v>324</v>
      </c>
      <c r="HN78" s="611">
        <v>33</v>
      </c>
      <c r="HO78" s="611">
        <v>37</v>
      </c>
      <c r="HP78" s="611">
        <v>37</v>
      </c>
      <c r="HQ78" s="611">
        <v>37</v>
      </c>
      <c r="HR78" s="611">
        <v>144</v>
      </c>
      <c r="HT78" s="609" t="s">
        <v>324</v>
      </c>
      <c r="HU78" s="611">
        <v>34</v>
      </c>
      <c r="HV78" s="611">
        <v>36</v>
      </c>
      <c r="HW78" s="611">
        <v>33</v>
      </c>
      <c r="HX78" s="611">
        <v>35</v>
      </c>
      <c r="HY78" s="611">
        <v>138</v>
      </c>
      <c r="IA78" s="609" t="s">
        <v>324</v>
      </c>
      <c r="IB78" s="611"/>
      <c r="IC78" s="611"/>
      <c r="ID78" s="611"/>
      <c r="IE78" s="611"/>
      <c r="IF78" s="611"/>
      <c r="IH78" s="609" t="s">
        <v>324</v>
      </c>
      <c r="II78" s="611"/>
      <c r="IJ78" s="611"/>
      <c r="IK78" s="611"/>
      <c r="IL78" s="611"/>
      <c r="IM78" s="611"/>
      <c r="IO78" s="609" t="s">
        <v>324</v>
      </c>
      <c r="IP78" s="611"/>
      <c r="IQ78" s="611"/>
      <c r="IR78" s="611"/>
      <c r="IS78" s="611"/>
      <c r="IT78" s="611"/>
      <c r="IV78" s="609" t="s">
        <v>324</v>
      </c>
      <c r="IW78" s="611"/>
      <c r="IX78" s="611"/>
      <c r="IY78" s="611"/>
      <c r="IZ78" s="611"/>
      <c r="JA78" s="611"/>
      <c r="JC78" s="609" t="s">
        <v>324</v>
      </c>
      <c r="JD78" s="611"/>
      <c r="JE78" s="611"/>
      <c r="JF78" s="611"/>
      <c r="JG78" s="611"/>
      <c r="JH78" s="611"/>
      <c r="JJ78" s="609" t="s">
        <v>324</v>
      </c>
      <c r="JK78" s="611"/>
      <c r="JL78" s="611"/>
      <c r="JM78" s="611"/>
      <c r="JN78" s="611"/>
      <c r="JO78" s="611"/>
      <c r="JQ78" s="609" t="s">
        <v>324</v>
      </c>
      <c r="JR78" s="611"/>
      <c r="JS78" s="611"/>
      <c r="JT78" s="611"/>
      <c r="JU78" s="611"/>
      <c r="JV78" s="611"/>
      <c r="JX78" s="609" t="s">
        <v>324</v>
      </c>
      <c r="JY78" s="611"/>
      <c r="JZ78" s="611"/>
      <c r="KA78" s="611"/>
      <c r="KB78" s="611"/>
      <c r="KC78" s="611"/>
      <c r="KE78" s="609" t="s">
        <v>324</v>
      </c>
      <c r="KF78" s="611"/>
      <c r="KG78" s="611"/>
      <c r="KH78" s="611"/>
      <c r="KI78" s="611"/>
      <c r="KJ78" s="611"/>
      <c r="KL78" s="609" t="s">
        <v>324</v>
      </c>
      <c r="KM78" s="611"/>
      <c r="KN78" s="611"/>
      <c r="KO78" s="611"/>
      <c r="KP78" s="611"/>
      <c r="KQ78" s="611"/>
      <c r="KS78" s="609" t="s">
        <v>324</v>
      </c>
      <c r="KT78" s="611"/>
      <c r="KU78" s="611"/>
      <c r="KV78" s="610"/>
      <c r="KW78" s="611"/>
      <c r="KX78" s="611"/>
      <c r="KZ78" s="609" t="s">
        <v>324</v>
      </c>
      <c r="LA78" s="611"/>
      <c r="LB78" s="612"/>
      <c r="LC78" s="612"/>
      <c r="LD78" s="612"/>
      <c r="LE78" s="613"/>
      <c r="LF78" s="608"/>
      <c r="LG78" s="609" t="s">
        <v>324</v>
      </c>
      <c r="LH78" s="612"/>
      <c r="LI78" s="612"/>
      <c r="LJ78" s="612"/>
      <c r="LK78" s="612"/>
      <c r="LL78" s="613"/>
      <c r="LM78" s="608"/>
      <c r="LN78" s="609" t="s">
        <v>324</v>
      </c>
      <c r="LO78" s="612"/>
      <c r="LP78" s="612"/>
      <c r="LQ78" s="612"/>
      <c r="LR78" s="612"/>
      <c r="LS78" s="613"/>
      <c r="LT78" s="608"/>
      <c r="LU78" s="609" t="s">
        <v>324</v>
      </c>
      <c r="LV78" s="612"/>
      <c r="LW78" s="612"/>
      <c r="LX78" s="612"/>
      <c r="LY78" s="612"/>
      <c r="LZ78" s="613"/>
      <c r="MA78" s="608"/>
      <c r="MB78" s="609" t="s">
        <v>324</v>
      </c>
      <c r="MC78" s="612"/>
      <c r="MD78" s="612"/>
      <c r="ME78" s="612"/>
      <c r="MF78" s="612"/>
      <c r="MG78" s="613"/>
      <c r="MH78" s="608"/>
    </row>
    <row r="79" spans="1:346" s="158" customFormat="1" ht="13.15" collapsed="1" x14ac:dyDescent="0.4">
      <c r="A79" s="604"/>
      <c r="B79" s="159"/>
      <c r="BO79" s="159"/>
      <c r="BP79" s="614"/>
      <c r="BQ79" s="614"/>
      <c r="BR79" s="614"/>
      <c r="BS79" s="614"/>
      <c r="BT79" s="614"/>
      <c r="BV79" s="159"/>
      <c r="BW79" s="614"/>
      <c r="BX79" s="614"/>
      <c r="BY79" s="614"/>
      <c r="BZ79" s="614"/>
      <c r="CA79" s="614"/>
      <c r="CC79" s="159"/>
      <c r="CD79" s="614"/>
      <c r="CE79" s="614"/>
      <c r="CF79" s="614"/>
      <c r="CG79" s="614"/>
      <c r="CH79" s="614"/>
      <c r="CJ79" s="159"/>
      <c r="CK79" s="614"/>
      <c r="CL79" s="614"/>
      <c r="CM79" s="614"/>
      <c r="CN79" s="614"/>
      <c r="CO79" s="614"/>
      <c r="CQ79" s="159"/>
      <c r="CR79" s="614"/>
      <c r="CS79" s="614"/>
      <c r="CT79" s="614"/>
      <c r="CU79" s="614"/>
      <c r="CV79" s="614"/>
      <c r="CX79" s="159"/>
      <c r="CY79" s="614"/>
      <c r="CZ79" s="614"/>
      <c r="DA79" s="614"/>
      <c r="DB79" s="614"/>
      <c r="DC79" s="614"/>
      <c r="DE79" s="159"/>
      <c r="DF79" s="614"/>
      <c r="DG79" s="614"/>
      <c r="DH79" s="614"/>
      <c r="DI79" s="614"/>
      <c r="DJ79" s="614"/>
      <c r="DL79" s="159"/>
      <c r="DM79" s="614"/>
      <c r="DN79" s="614"/>
      <c r="DO79" s="614"/>
      <c r="DP79" s="614"/>
      <c r="DQ79" s="614"/>
      <c r="DS79" s="159"/>
      <c r="DT79" s="614"/>
      <c r="DU79" s="614"/>
      <c r="DV79" s="614"/>
      <c r="DW79" s="614"/>
      <c r="DX79" s="614"/>
      <c r="DZ79" s="159"/>
      <c r="EA79" s="614"/>
      <c r="EB79" s="614"/>
      <c r="EC79" s="614"/>
      <c r="ED79" s="614"/>
      <c r="EE79" s="614"/>
      <c r="EG79" s="159"/>
      <c r="EH79" s="614"/>
      <c r="EI79" s="614"/>
      <c r="EJ79" s="614"/>
      <c r="EK79" s="614"/>
      <c r="EL79" s="614"/>
      <c r="EN79" s="159"/>
      <c r="EO79" s="614"/>
      <c r="EP79" s="614"/>
      <c r="EQ79" s="614"/>
      <c r="ER79" s="614"/>
      <c r="ES79" s="614"/>
      <c r="EU79" s="159"/>
      <c r="EV79" s="614"/>
      <c r="EW79" s="614"/>
      <c r="EX79" s="614"/>
      <c r="EY79" s="614"/>
      <c r="EZ79" s="614"/>
      <c r="FB79" s="159"/>
      <c r="FC79" s="614"/>
      <c r="FD79" s="614"/>
      <c r="FE79" s="614"/>
      <c r="FF79" s="614"/>
      <c r="FG79" s="614"/>
      <c r="FI79" s="159"/>
      <c r="FJ79" s="614"/>
      <c r="FK79" s="614"/>
      <c r="FL79" s="614"/>
      <c r="FM79" s="614"/>
      <c r="FN79" s="614"/>
      <c r="FP79" s="159"/>
      <c r="FQ79" s="614"/>
      <c r="FR79" s="614"/>
      <c r="FS79" s="614"/>
      <c r="FT79" s="614"/>
      <c r="FU79" s="614"/>
      <c r="FW79" s="159"/>
      <c r="FX79" s="614"/>
      <c r="FY79" s="614"/>
      <c r="FZ79" s="614"/>
      <c r="GA79" s="614"/>
      <c r="GB79" s="614"/>
      <c r="GD79" s="159"/>
      <c r="GE79" s="614"/>
      <c r="GF79" s="614"/>
      <c r="GG79" s="614"/>
      <c r="GH79" s="614"/>
      <c r="GI79" s="614"/>
      <c r="GK79" s="159"/>
      <c r="GL79" s="614"/>
      <c r="GM79" s="614"/>
      <c r="GN79" s="614"/>
      <c r="GO79" s="614"/>
      <c r="GP79" s="614"/>
      <c r="GR79" s="159"/>
      <c r="GS79" s="614"/>
      <c r="GT79" s="614"/>
      <c r="GU79" s="614"/>
      <c r="GV79" s="614"/>
      <c r="GW79" s="614"/>
      <c r="GY79" s="159"/>
      <c r="GZ79" s="614"/>
      <c r="HA79" s="614"/>
      <c r="HB79" s="614"/>
      <c r="HC79" s="614"/>
      <c r="HD79" s="614"/>
      <c r="HF79" s="159"/>
      <c r="HG79" s="614"/>
      <c r="HH79" s="614"/>
      <c r="HI79" s="614"/>
      <c r="HJ79" s="614"/>
      <c r="HK79" s="614"/>
      <c r="HM79" s="159"/>
      <c r="HN79" s="614"/>
      <c r="HO79" s="614"/>
      <c r="HP79" s="614"/>
      <c r="HQ79" s="614"/>
      <c r="HR79" s="614"/>
      <c r="HT79" s="159"/>
      <c r="HU79" s="614"/>
      <c r="HV79" s="614"/>
      <c r="HW79" s="614"/>
      <c r="HX79" s="614"/>
      <c r="HY79" s="614"/>
      <c r="IA79" s="159"/>
      <c r="IB79" s="614"/>
      <c r="IC79" s="614"/>
      <c r="ID79" s="614"/>
      <c r="IE79" s="614"/>
      <c r="IF79" s="614"/>
      <c r="IH79" s="159"/>
      <c r="II79" s="614"/>
      <c r="IJ79" s="614"/>
      <c r="IK79" s="614"/>
      <c r="IL79" s="614"/>
      <c r="IM79" s="614"/>
      <c r="IO79" s="159"/>
      <c r="IP79" s="614"/>
      <c r="IQ79" s="614"/>
      <c r="IR79" s="614"/>
      <c r="IS79" s="614"/>
      <c r="IT79" s="614"/>
      <c r="IV79" s="159"/>
      <c r="IW79" s="614"/>
      <c r="IX79" s="614"/>
      <c r="IY79" s="614"/>
      <c r="IZ79" s="614"/>
      <c r="JA79" s="614"/>
      <c r="JC79" s="159"/>
      <c r="JD79" s="614"/>
      <c r="JE79" s="614"/>
      <c r="JF79" s="614"/>
      <c r="JG79" s="614"/>
      <c r="JH79" s="614"/>
      <c r="JJ79" s="159"/>
      <c r="JK79" s="614"/>
      <c r="JL79" s="614"/>
      <c r="JM79" s="614"/>
      <c r="JN79" s="614"/>
      <c r="JO79" s="614"/>
      <c r="JQ79" s="159"/>
      <c r="JR79" s="614"/>
      <c r="JS79" s="614"/>
      <c r="JT79" s="614"/>
      <c r="JU79" s="614"/>
      <c r="JV79" s="614"/>
      <c r="JX79" s="159"/>
      <c r="JY79" s="614"/>
      <c r="JZ79" s="614"/>
      <c r="KA79" s="614"/>
      <c r="KB79" s="614"/>
      <c r="KC79" s="614"/>
      <c r="KE79" s="159"/>
      <c r="KF79" s="614"/>
      <c r="KG79" s="614"/>
      <c r="KH79" s="614"/>
      <c r="KI79" s="614"/>
      <c r="KJ79" s="614"/>
      <c r="KL79" s="159"/>
      <c r="KM79" s="614"/>
      <c r="KN79" s="614"/>
      <c r="KO79" s="614"/>
      <c r="KP79" s="614"/>
      <c r="KQ79" s="614"/>
      <c r="KS79" s="159"/>
      <c r="KT79" s="614"/>
      <c r="KU79" s="614"/>
      <c r="KX79" s="614"/>
      <c r="KZ79" s="159"/>
      <c r="LA79" s="614"/>
      <c r="LE79" s="615"/>
      <c r="LF79" s="568"/>
      <c r="LG79" s="159"/>
      <c r="LL79" s="615"/>
      <c r="LM79" s="568"/>
      <c r="LN79" s="159"/>
      <c r="LS79" s="615"/>
      <c r="LT79" s="568"/>
      <c r="LU79" s="159"/>
      <c r="LZ79" s="615"/>
      <c r="MA79" s="568"/>
      <c r="MB79" s="159"/>
      <c r="MG79" s="615"/>
      <c r="MH79" s="568"/>
    </row>
    <row r="80" spans="1:346" s="158" customFormat="1" ht="13.5" thickBot="1" x14ac:dyDescent="0.45">
      <c r="A80" s="604"/>
      <c r="B80" s="616" t="s">
        <v>146</v>
      </c>
      <c r="C80" s="617">
        <f t="shared" ref="C80:M80" si="415">SUM(C69:C78)</f>
        <v>0</v>
      </c>
      <c r="D80" s="617">
        <f t="shared" si="415"/>
        <v>0</v>
      </c>
      <c r="E80" s="617">
        <f t="shared" si="415"/>
        <v>4535</v>
      </c>
      <c r="F80" s="617">
        <f t="shared" si="415"/>
        <v>4169.3</v>
      </c>
      <c r="G80" s="617">
        <f t="shared" si="415"/>
        <v>3279.1000000000004</v>
      </c>
      <c r="H80" s="617">
        <f t="shared" si="415"/>
        <v>3284</v>
      </c>
      <c r="I80" s="617">
        <f t="shared" si="415"/>
        <v>3419</v>
      </c>
      <c r="J80" s="617">
        <f t="shared" si="415"/>
        <v>3087</v>
      </c>
      <c r="K80" s="617">
        <f t="shared" si="415"/>
        <v>2918</v>
      </c>
      <c r="L80" s="617">
        <f t="shared" si="415"/>
        <v>3028</v>
      </c>
      <c r="M80" s="617">
        <f t="shared" si="415"/>
        <v>3031</v>
      </c>
      <c r="N80" s="618">
        <f>BT80</f>
        <v>2856</v>
      </c>
      <c r="O80" s="618">
        <f>CA80</f>
        <v>2748</v>
      </c>
      <c r="P80" s="618">
        <f>CH80</f>
        <v>2479</v>
      </c>
      <c r="Q80" s="618">
        <f>CO80</f>
        <v>2539</v>
      </c>
      <c r="R80" s="618">
        <f>CV80</f>
        <v>2637</v>
      </c>
      <c r="S80" s="618">
        <f>DC80</f>
        <v>2802</v>
      </c>
      <c r="T80" s="618">
        <f>DJ80</f>
        <v>2905</v>
      </c>
      <c r="U80" s="618">
        <f>DQ80</f>
        <v>2855</v>
      </c>
      <c r="V80" s="618">
        <f>DX80</f>
        <v>2978</v>
      </c>
      <c r="W80" s="618">
        <f>EE80</f>
        <v>2986</v>
      </c>
      <c r="X80" s="618">
        <f>EL80</f>
        <v>3369</v>
      </c>
      <c r="Y80" s="618">
        <f>ES80</f>
        <v>3511</v>
      </c>
      <c r="Z80" s="618">
        <f>EZ80</f>
        <v>3315</v>
      </c>
      <c r="AA80" s="618">
        <f>FG80</f>
        <v>3328</v>
      </c>
      <c r="AB80" s="618">
        <f>FN80</f>
        <v>3418</v>
      </c>
      <c r="AC80" s="618">
        <f>FU80</f>
        <v>3494</v>
      </c>
      <c r="AD80" s="618">
        <f>GB80</f>
        <v>3376</v>
      </c>
      <c r="AE80" s="618">
        <f>GI80</f>
        <v>3287</v>
      </c>
      <c r="AF80" s="618">
        <f>GP80</f>
        <v>3143</v>
      </c>
      <c r="AG80" s="618">
        <f>GW80</f>
        <v>2880</v>
      </c>
      <c r="AH80" s="618">
        <f>HD80</f>
        <v>2338</v>
      </c>
      <c r="AI80" s="618">
        <f>HK80</f>
        <v>2588</v>
      </c>
      <c r="AJ80" s="618">
        <f>HR80</f>
        <v>2654</v>
      </c>
      <c r="AK80" s="618">
        <f>HY80</f>
        <v>2668</v>
      </c>
      <c r="AL80" s="618">
        <f>IF80</f>
        <v>2762</v>
      </c>
      <c r="AM80" s="618">
        <f>IM80</f>
        <v>2932</v>
      </c>
      <c r="AN80" s="618">
        <f>IT80</f>
        <v>2860</v>
      </c>
      <c r="AO80" s="618">
        <f>JA80</f>
        <v>2802</v>
      </c>
      <c r="AP80" s="618">
        <f>JH80</f>
        <v>2702</v>
      </c>
      <c r="AQ80" s="618">
        <f>JO80</f>
        <v>2700</v>
      </c>
      <c r="AR80" s="618">
        <f>JV80</f>
        <v>2707</v>
      </c>
      <c r="AS80" s="618">
        <f>KC80</f>
        <v>2535</v>
      </c>
      <c r="AT80" s="618">
        <f>KJ80</f>
        <v>2571</v>
      </c>
      <c r="AU80" s="618">
        <f>KQ80</f>
        <v>2558</v>
      </c>
      <c r="AV80" s="618">
        <f>KX80</f>
        <v>2621</v>
      </c>
      <c r="AW80" s="618">
        <f>LE80</f>
        <v>2648</v>
      </c>
      <c r="AX80" s="618">
        <f>LL80</f>
        <v>2594</v>
      </c>
      <c r="AY80" s="618">
        <f>LS80</f>
        <v>2579.2849999999999</v>
      </c>
      <c r="AZ80" s="618">
        <f>LZ80</f>
        <v>2651.1315999999997</v>
      </c>
      <c r="BA80" s="618">
        <f>MG80</f>
        <v>2718.9426201249998</v>
      </c>
      <c r="BB80" s="618"/>
      <c r="BC80" s="618"/>
      <c r="BD80" s="618"/>
      <c r="BE80" s="618"/>
      <c r="BF80" s="618"/>
      <c r="BG80" s="618"/>
      <c r="BH80" s="618"/>
      <c r="BI80" s="618"/>
      <c r="BJ80" s="618"/>
      <c r="BK80" s="618"/>
      <c r="BL80" s="618"/>
      <c r="BM80" s="618"/>
      <c r="BO80" s="616" t="s">
        <v>146</v>
      </c>
      <c r="BP80" s="619">
        <f>SUM(BP69:BP78)</f>
        <v>733</v>
      </c>
      <c r="BQ80" s="619">
        <f>SUM(BQ69:BQ78)</f>
        <v>746</v>
      </c>
      <c r="BR80" s="619">
        <f>SUM(BR69:BR78)</f>
        <v>700</v>
      </c>
      <c r="BS80" s="619">
        <f>SUM(BS69:BS78)</f>
        <v>677</v>
      </c>
      <c r="BT80" s="619">
        <f>SUM(BT69:BT78)</f>
        <v>2856</v>
      </c>
      <c r="BV80" s="616" t="s">
        <v>146</v>
      </c>
      <c r="BW80" s="619">
        <f>SUM(BW69:BW78)</f>
        <v>709</v>
      </c>
      <c r="BX80" s="619">
        <f>SUM(BX69:BX78)</f>
        <v>722</v>
      </c>
      <c r="BY80" s="619">
        <f>SUM(BY69:BY78)</f>
        <v>670</v>
      </c>
      <c r="BZ80" s="619">
        <f>SUM(BZ69:BZ78)</f>
        <v>647</v>
      </c>
      <c r="CA80" s="619">
        <f>SUM(CA69:CA78)</f>
        <v>2748</v>
      </c>
      <c r="CC80" s="616" t="s">
        <v>146</v>
      </c>
      <c r="CD80" s="619">
        <f>SUM(CD69:CD78)</f>
        <v>614</v>
      </c>
      <c r="CE80" s="619">
        <f>SUM(CE69:CE78)</f>
        <v>617</v>
      </c>
      <c r="CF80" s="619">
        <f>SUM(CF69:CF78)</f>
        <v>619</v>
      </c>
      <c r="CG80" s="619">
        <f>SUM(CG69:CG78)</f>
        <v>629</v>
      </c>
      <c r="CH80" s="619">
        <f>SUM(CH69:CH78)</f>
        <v>2479</v>
      </c>
      <c r="CJ80" s="616" t="s">
        <v>146</v>
      </c>
      <c r="CK80" s="619">
        <f>SUM(CK69:CK78)</f>
        <v>625</v>
      </c>
      <c r="CL80" s="619">
        <f>SUM(CL69:CL78)</f>
        <v>650</v>
      </c>
      <c r="CM80" s="619">
        <f>SUM(CM69:CM78)</f>
        <v>617</v>
      </c>
      <c r="CN80" s="619">
        <f>SUM(CN69:CN78)</f>
        <v>647</v>
      </c>
      <c r="CO80" s="619">
        <f>SUM(CO69:CO78)</f>
        <v>2539</v>
      </c>
      <c r="CQ80" s="616" t="s">
        <v>146</v>
      </c>
      <c r="CR80" s="619">
        <f>SUM(CR69:CR78)</f>
        <v>642</v>
      </c>
      <c r="CS80" s="619">
        <f>SUM(CS69:CS78)</f>
        <v>670</v>
      </c>
      <c r="CT80" s="619">
        <f>SUM(CT69:CT78)</f>
        <v>649</v>
      </c>
      <c r="CU80" s="619">
        <f>SUM(CU69:CU78)</f>
        <v>676</v>
      </c>
      <c r="CV80" s="619">
        <f>SUM(CV69:CV78)</f>
        <v>2637</v>
      </c>
      <c r="CX80" s="616" t="s">
        <v>146</v>
      </c>
      <c r="CY80" s="619">
        <f>SUM(CY69:CY78)</f>
        <v>678</v>
      </c>
      <c r="CZ80" s="619">
        <f>SUM(CZ69:CZ78)</f>
        <v>720</v>
      </c>
      <c r="DA80" s="619">
        <f>SUM(DA69:DA78)</f>
        <v>689</v>
      </c>
      <c r="DB80" s="619">
        <f>SUM(DB69:DB78)</f>
        <v>715</v>
      </c>
      <c r="DC80" s="619">
        <f>SUM(DC69:DC78)</f>
        <v>2802</v>
      </c>
      <c r="DE80" s="616" t="s">
        <v>146</v>
      </c>
      <c r="DF80" s="619">
        <f>SUM(DF69:DF78)</f>
        <v>730</v>
      </c>
      <c r="DG80" s="619">
        <f>SUM(DG69:DG78)</f>
        <v>740</v>
      </c>
      <c r="DH80" s="619">
        <f>SUM(DH69:DH78)</f>
        <v>714</v>
      </c>
      <c r="DI80" s="619">
        <f>SUM(DI69:DI78)</f>
        <v>721</v>
      </c>
      <c r="DJ80" s="619">
        <f>SUM(DJ69:DJ78)</f>
        <v>2905</v>
      </c>
      <c r="DL80" s="616" t="s">
        <v>146</v>
      </c>
      <c r="DM80" s="619">
        <f>SUM(DM69:DM78)</f>
        <v>702</v>
      </c>
      <c r="DN80" s="619">
        <f>SUM(DN69:DN78)</f>
        <v>731</v>
      </c>
      <c r="DO80" s="619">
        <f>SUM(DO69:DO78)</f>
        <v>705</v>
      </c>
      <c r="DP80" s="619">
        <f>SUM(DP69:DP78)</f>
        <v>717</v>
      </c>
      <c r="DQ80" s="619">
        <f>SUM(DQ69:DQ78)</f>
        <v>2855</v>
      </c>
      <c r="DS80" s="616" t="s">
        <v>146</v>
      </c>
      <c r="DT80" s="619">
        <f>SUM(DT69:DT78)</f>
        <v>729</v>
      </c>
      <c r="DU80" s="619">
        <f>SUM(DU69:DU78)</f>
        <v>757</v>
      </c>
      <c r="DV80" s="619">
        <f>SUM(DV69:DV78)</f>
        <v>730</v>
      </c>
      <c r="DW80" s="619">
        <f>SUM(DW69:DW78)</f>
        <v>762</v>
      </c>
      <c r="DX80" s="619">
        <f>SUM(DX69:DX78)</f>
        <v>2978</v>
      </c>
      <c r="DZ80" s="616" t="s">
        <v>146</v>
      </c>
      <c r="EA80" s="619">
        <f>SUM(EA69:EA78)</f>
        <v>747</v>
      </c>
      <c r="EB80" s="619">
        <f>SUM(EB69:EB78)</f>
        <v>781</v>
      </c>
      <c r="EC80" s="619">
        <f>SUM(EC69:EC78)</f>
        <v>717</v>
      </c>
      <c r="ED80" s="619">
        <f>SUM(ED69:ED78)</f>
        <v>744</v>
      </c>
      <c r="EE80" s="619">
        <f>SUM(EE69:EE78)</f>
        <v>2986</v>
      </c>
      <c r="EG80" s="616" t="s">
        <v>146</v>
      </c>
      <c r="EH80" s="619">
        <f>SUM(EH69:EH78)</f>
        <v>817</v>
      </c>
      <c r="EI80" s="619">
        <f>SUM(EI69:EI78)</f>
        <v>808</v>
      </c>
      <c r="EJ80" s="619">
        <f>SUM(EJ69:EJ78)</f>
        <v>869</v>
      </c>
      <c r="EK80" s="619">
        <f>SUM(EK69:EK78)</f>
        <v>886</v>
      </c>
      <c r="EL80" s="619">
        <f>SUM(EL69:EL78)</f>
        <v>3369</v>
      </c>
      <c r="EN80" s="616" t="s">
        <v>146</v>
      </c>
      <c r="EO80" s="619">
        <f>SUM(EO69:EO78)</f>
        <v>903</v>
      </c>
      <c r="EP80" s="619">
        <f>SUM(EP69:EP78)</f>
        <v>906</v>
      </c>
      <c r="EQ80" s="619">
        <f>SUM(EQ69:EQ78)</f>
        <v>854</v>
      </c>
      <c r="ER80" s="619">
        <f>SUM(ER69:ER78)</f>
        <v>848</v>
      </c>
      <c r="ES80" s="619">
        <f>SUM(ES69:ES78)</f>
        <v>3511</v>
      </c>
      <c r="EU80" s="616" t="s">
        <v>146</v>
      </c>
      <c r="EV80" s="619">
        <f>SUM(EV69:EV78)</f>
        <v>838</v>
      </c>
      <c r="EW80" s="619">
        <f>SUM(EW69:EW78)</f>
        <v>846</v>
      </c>
      <c r="EX80" s="619">
        <f>SUM(EX69:EX78)</f>
        <v>813</v>
      </c>
      <c r="EY80" s="619">
        <f>SUM(EY69:EY78)</f>
        <v>818</v>
      </c>
      <c r="EZ80" s="619">
        <f>SUM(EZ69:EZ78)</f>
        <v>3315</v>
      </c>
      <c r="FB80" s="616" t="s">
        <v>146</v>
      </c>
      <c r="FC80" s="619">
        <f>SUM(FC69:FC78)</f>
        <v>812</v>
      </c>
      <c r="FD80" s="619">
        <f>SUM(FD69:FD78)</f>
        <v>864</v>
      </c>
      <c r="FE80" s="619">
        <f>SUM(FE69:FE78)</f>
        <v>829</v>
      </c>
      <c r="FF80" s="619">
        <f>SUM(FF69:FF78)</f>
        <v>823</v>
      </c>
      <c r="FG80" s="619">
        <f>SUM(FG69:FG78)</f>
        <v>3328</v>
      </c>
      <c r="FI80" s="616" t="s">
        <v>146</v>
      </c>
      <c r="FJ80" s="619">
        <f>SUM(FJ69:FJ78)</f>
        <v>837</v>
      </c>
      <c r="FK80" s="619">
        <f>SUM(FK69:FK78)</f>
        <v>864</v>
      </c>
      <c r="FL80" s="619">
        <f>SUM(FL69:FL78)</f>
        <v>849</v>
      </c>
      <c r="FM80" s="619">
        <f>SUM(FM69:FM78)</f>
        <v>868</v>
      </c>
      <c r="FN80" s="619">
        <f>SUM(FN69:FN78)</f>
        <v>3418</v>
      </c>
      <c r="FP80" s="616" t="s">
        <v>146</v>
      </c>
      <c r="FQ80" s="619">
        <f>SUM(FQ69:FQ78)</f>
        <v>855</v>
      </c>
      <c r="FR80" s="619">
        <f>SUM(FR69:FR78)</f>
        <v>890</v>
      </c>
      <c r="FS80" s="619">
        <f>SUM(FS69:FS78)</f>
        <v>835</v>
      </c>
      <c r="FT80" s="619">
        <f>SUM(FT69:FT78)</f>
        <v>914</v>
      </c>
      <c r="FU80" s="619">
        <f>SUM(FU69:FU78)</f>
        <v>3494</v>
      </c>
      <c r="FW80" s="616" t="s">
        <v>146</v>
      </c>
      <c r="FX80" s="619">
        <f>SUM(FX69:FX78)</f>
        <v>858</v>
      </c>
      <c r="FY80" s="619">
        <f>SUM(FY69:FY78)</f>
        <v>867</v>
      </c>
      <c r="FZ80" s="619">
        <f>SUM(FZ69:FZ78)</f>
        <v>833</v>
      </c>
      <c r="GA80" s="619">
        <f>SUM(GA69:GA78)</f>
        <v>818</v>
      </c>
      <c r="GB80" s="619">
        <f>SUM(GB69:GB78)</f>
        <v>3376</v>
      </c>
      <c r="GD80" s="616" t="s">
        <v>146</v>
      </c>
      <c r="GE80" s="619">
        <f>SUM(GE69:GE78)</f>
        <v>834</v>
      </c>
      <c r="GF80" s="619">
        <f>SUM(GF69:GF78)</f>
        <v>853</v>
      </c>
      <c r="GG80" s="619">
        <f>SUM(GG69:GG78)</f>
        <v>813</v>
      </c>
      <c r="GH80" s="619">
        <f>SUM(GH69:GH78)</f>
        <v>787</v>
      </c>
      <c r="GI80" s="619">
        <f>SUM(GI69:GI78)</f>
        <v>3287</v>
      </c>
      <c r="GK80" s="616" t="s">
        <v>146</v>
      </c>
      <c r="GL80" s="619">
        <f>SUM(GL69:GL78)</f>
        <v>784</v>
      </c>
      <c r="GM80" s="619">
        <f>SUM(GM69:GM78)</f>
        <v>822</v>
      </c>
      <c r="GN80" s="619">
        <f>SUM(GN69:GN78)</f>
        <v>778</v>
      </c>
      <c r="GO80" s="619">
        <f>SUM(GO69:GO78)</f>
        <v>759</v>
      </c>
      <c r="GP80" s="619">
        <f>SUM(GP69:GP78)</f>
        <v>3143</v>
      </c>
      <c r="GR80" s="616" t="s">
        <v>146</v>
      </c>
      <c r="GS80" s="619">
        <f>SUM(GS69:GS78)</f>
        <v>746</v>
      </c>
      <c r="GT80" s="619">
        <f>SUM(GT69:GT78)</f>
        <v>769</v>
      </c>
      <c r="GU80" s="619">
        <f>SUM(GU69:GU78)</f>
        <v>732</v>
      </c>
      <c r="GV80" s="619">
        <f>SUM(GV69:GV78)</f>
        <v>633</v>
      </c>
      <c r="GW80" s="619">
        <f>SUM(GW69:GW78)</f>
        <v>2880</v>
      </c>
      <c r="GY80" s="616" t="s">
        <v>146</v>
      </c>
      <c r="GZ80" s="619">
        <f>SUM(GZ69:GZ78)</f>
        <v>548</v>
      </c>
      <c r="HA80" s="619">
        <f>SUM(HA69:HA78)</f>
        <v>579</v>
      </c>
      <c r="HB80" s="619">
        <f>SUM(HB69:HB78)</f>
        <v>602</v>
      </c>
      <c r="HC80" s="619">
        <f>SUM(HC69:HC78)</f>
        <v>609</v>
      </c>
      <c r="HD80" s="619">
        <f>SUM(HD69:HD78)</f>
        <v>2338</v>
      </c>
      <c r="HF80" s="616" t="s">
        <v>146</v>
      </c>
      <c r="HG80" s="619">
        <f>SUM(HG69:HG78)</f>
        <v>613</v>
      </c>
      <c r="HH80" s="619">
        <f>SUM(HH69:HH78)</f>
        <v>659</v>
      </c>
      <c r="HI80" s="619">
        <f>SUM(HI69:HI78)</f>
        <v>643</v>
      </c>
      <c r="HJ80" s="619">
        <f>SUM(HJ69:HJ78)</f>
        <v>673</v>
      </c>
      <c r="HK80" s="619">
        <f>SUM(HK69:HK78)</f>
        <v>2588</v>
      </c>
      <c r="HM80" s="616" t="s">
        <v>146</v>
      </c>
      <c r="HN80" s="619">
        <f>SUM(HN69:HN78)</f>
        <v>654</v>
      </c>
      <c r="HO80" s="619">
        <f>SUM(HO69:HO78)</f>
        <v>677</v>
      </c>
      <c r="HP80" s="619">
        <f>SUM(HP69:HP78)</f>
        <v>657</v>
      </c>
      <c r="HQ80" s="619">
        <f>SUM(HQ69:HQ78)</f>
        <v>666</v>
      </c>
      <c r="HR80" s="619">
        <f>SUM(HR69:HR78)</f>
        <v>2654</v>
      </c>
      <c r="HT80" s="616" t="s">
        <v>146</v>
      </c>
      <c r="HU80" s="619">
        <f>SUM(HU69:HU78)</f>
        <v>671</v>
      </c>
      <c r="HV80" s="619">
        <f>SUM(HV69:HV78)</f>
        <v>680</v>
      </c>
      <c r="HW80" s="619">
        <f>SUM(HW69:HW78)</f>
        <v>655</v>
      </c>
      <c r="HX80" s="619">
        <f>SUM(HX69:HX78)</f>
        <v>662</v>
      </c>
      <c r="HY80" s="619">
        <f>SUM(HY69:HY78)</f>
        <v>2668</v>
      </c>
      <c r="IA80" s="616" t="s">
        <v>146</v>
      </c>
      <c r="IB80" s="619">
        <f>SUM(IB69:IB75)</f>
        <v>666</v>
      </c>
      <c r="IC80" s="619">
        <f>SUM(IC69:IC75)</f>
        <v>702</v>
      </c>
      <c r="ID80" s="619">
        <f>SUM(ID69:ID75)</f>
        <v>687</v>
      </c>
      <c r="IE80" s="619">
        <f>SUM(IE69:IE75)</f>
        <v>707</v>
      </c>
      <c r="IF80" s="619">
        <f>SUM(IF69:IF75)</f>
        <v>2762</v>
      </c>
      <c r="IH80" s="616" t="s">
        <v>146</v>
      </c>
      <c r="II80" s="619">
        <f>SUM(II69:II75)</f>
        <v>680</v>
      </c>
      <c r="IJ80" s="619">
        <f>SUM(IJ69:IJ75)</f>
        <v>760</v>
      </c>
      <c r="IK80" s="619">
        <f>SUM(IK69:IK75)</f>
        <v>748</v>
      </c>
      <c r="IL80" s="619">
        <f>SUM(IL69:IL75)</f>
        <v>744</v>
      </c>
      <c r="IM80" s="619">
        <f>SUM(IM69:IM75)</f>
        <v>2932</v>
      </c>
      <c r="IO80" s="616" t="s">
        <v>146</v>
      </c>
      <c r="IP80" s="619">
        <f>SUM(IP69:IP75)</f>
        <v>691</v>
      </c>
      <c r="IQ80" s="619">
        <f>SUM(IQ69:IQ75)</f>
        <v>741</v>
      </c>
      <c r="IR80" s="619">
        <f>SUM(IR69:IR75)</f>
        <v>720</v>
      </c>
      <c r="IS80" s="619">
        <f>SUM(IS69:IS75)</f>
        <v>708</v>
      </c>
      <c r="IT80" s="619">
        <f>SUM(IT69:IT75)</f>
        <v>2860</v>
      </c>
      <c r="IV80" s="616" t="s">
        <v>146</v>
      </c>
      <c r="IW80" s="619">
        <f>SUM(IW69:IW75)</f>
        <v>673</v>
      </c>
      <c r="IX80" s="619">
        <f>SUM(IX69:IX75)</f>
        <v>706</v>
      </c>
      <c r="IY80" s="619">
        <f>SUM(IY69:IY75)</f>
        <v>686</v>
      </c>
      <c r="IZ80" s="619">
        <f>SUM(IZ69:IZ75)</f>
        <v>737</v>
      </c>
      <c r="JA80" s="619">
        <f>SUM(JA69:JA75)</f>
        <v>2802</v>
      </c>
      <c r="JC80" s="616" t="s">
        <v>146</v>
      </c>
      <c r="JD80" s="619">
        <f>SUM(JD69:JD75)</f>
        <v>699</v>
      </c>
      <c r="JE80" s="619">
        <f>SUM(JE69:JE75)</f>
        <v>694</v>
      </c>
      <c r="JF80" s="619">
        <f>SUM(JF69:JF75)</f>
        <v>651</v>
      </c>
      <c r="JG80" s="619">
        <f>SUM(JG69:JG75)</f>
        <v>658</v>
      </c>
      <c r="JH80" s="619">
        <f>SUM(JH69:JH75)</f>
        <v>2702</v>
      </c>
      <c r="JJ80" s="616" t="s">
        <v>146</v>
      </c>
      <c r="JK80" s="619">
        <f>SUM(JK69:JK75)</f>
        <v>642</v>
      </c>
      <c r="JL80" s="619">
        <f>SUM(JL69:JL75)</f>
        <v>689</v>
      </c>
      <c r="JM80" s="619">
        <f>SUM(JM69:JM75)</f>
        <v>683</v>
      </c>
      <c r="JN80" s="619">
        <f>SUM(JN69:JN75)</f>
        <v>686</v>
      </c>
      <c r="JO80" s="619">
        <f>SUM(JO69:JO75)</f>
        <v>2700</v>
      </c>
      <c r="JQ80" s="616" t="s">
        <v>146</v>
      </c>
      <c r="JR80" s="619">
        <f>SUM(JR69:JR75)</f>
        <v>662</v>
      </c>
      <c r="JS80" s="619">
        <f>SUM(JS69:JS75)</f>
        <v>697</v>
      </c>
      <c r="JT80" s="619">
        <f>SUM(JT69:JT75)</f>
        <v>683</v>
      </c>
      <c r="JU80" s="619">
        <f>SUM(JU69:JU75)</f>
        <v>665</v>
      </c>
      <c r="JV80" s="619">
        <f>SUM(JV69:JV75)</f>
        <v>2707</v>
      </c>
      <c r="JX80" s="616" t="s">
        <v>146</v>
      </c>
      <c r="JY80" s="619">
        <f>SUM(JY69:JY75)</f>
        <v>673</v>
      </c>
      <c r="JZ80" s="619">
        <f>SUM(JZ69:JZ75)</f>
        <v>544</v>
      </c>
      <c r="KA80" s="619">
        <f>SUM(KA69:KA75)</f>
        <v>650</v>
      </c>
      <c r="KB80" s="619">
        <f>SUM(KB69:KB75)</f>
        <v>668</v>
      </c>
      <c r="KC80" s="619">
        <f>SUM(KC69:KC75)</f>
        <v>2535</v>
      </c>
      <c r="KE80" s="616" t="s">
        <v>146</v>
      </c>
      <c r="KF80" s="619">
        <f>SUM(KF69:KF75)</f>
        <v>631</v>
      </c>
      <c r="KG80" s="619">
        <f>SUM(KG69:KG75)</f>
        <v>656</v>
      </c>
      <c r="KH80" s="619">
        <f>SUM(KH69:KH75)</f>
        <v>639</v>
      </c>
      <c r="KI80" s="619">
        <f>SUM(KI69:KI75)</f>
        <v>645</v>
      </c>
      <c r="KJ80" s="619">
        <f>SUM(KJ69:KJ75)</f>
        <v>2571</v>
      </c>
      <c r="KL80" s="616" t="s">
        <v>146</v>
      </c>
      <c r="KM80" s="619">
        <f>SUM(KM69:KM75)</f>
        <v>621</v>
      </c>
      <c r="KN80" s="619">
        <f>SUM(KN69:KN75)</f>
        <v>657</v>
      </c>
      <c r="KO80" s="619">
        <f>SUM(KO69:KO75)</f>
        <v>648</v>
      </c>
      <c r="KP80" s="619">
        <f>SUM(KP69:KP75)</f>
        <v>632</v>
      </c>
      <c r="KQ80" s="619">
        <f>SUM(KQ69:KQ75)</f>
        <v>2558</v>
      </c>
      <c r="KS80" s="616" t="s">
        <v>146</v>
      </c>
      <c r="KT80" s="619">
        <f>SUM(KT69:KT75)</f>
        <v>647</v>
      </c>
      <c r="KU80" s="619">
        <f>SUM(KU69:KU75)</f>
        <v>677</v>
      </c>
      <c r="KV80" s="617">
        <f>SUM(KV69:KV75)</f>
        <v>649</v>
      </c>
      <c r="KW80" s="619">
        <f>SUM(KW69:KW75)</f>
        <v>648</v>
      </c>
      <c r="KX80" s="619">
        <f>SUM(KX69:KX75)</f>
        <v>2621</v>
      </c>
      <c r="KZ80" s="616" t="s">
        <v>146</v>
      </c>
      <c r="LA80" s="619">
        <f>SUM(LA69:LA75)</f>
        <v>645</v>
      </c>
      <c r="LB80" s="617">
        <f>SUM(LB69:LB75)</f>
        <v>683</v>
      </c>
      <c r="LC80" s="617">
        <f>SUM(LC69:LC75)</f>
        <v>670</v>
      </c>
      <c r="LD80" s="617">
        <f>SUM(LD69:LD75)</f>
        <v>650</v>
      </c>
      <c r="LE80" s="620">
        <f>SUM(LE69:LE75)</f>
        <v>2648</v>
      </c>
      <c r="LF80" s="608"/>
      <c r="LG80" s="616" t="s">
        <v>146</v>
      </c>
      <c r="LH80" s="617">
        <f>SUM(LH69:LH75)</f>
        <v>630</v>
      </c>
      <c r="LI80" s="617">
        <f>SUM(LI69:LI75)</f>
        <v>670</v>
      </c>
      <c r="LJ80" s="617">
        <f>SUM(LJ69:LJ75)</f>
        <v>660</v>
      </c>
      <c r="LK80" s="617">
        <f>SUM(LK69:LK75)</f>
        <v>634</v>
      </c>
      <c r="LL80" s="620">
        <f>SUM(LL69:LL75)</f>
        <v>2594</v>
      </c>
      <c r="LM80" s="608"/>
      <c r="LN80" s="616" t="s">
        <v>146</v>
      </c>
      <c r="LO80" s="617">
        <f>SUM(LO69:LO75)</f>
        <v>618.24</v>
      </c>
      <c r="LP80" s="617">
        <f>SUM(LP69:LP75)</f>
        <v>655.77499999999998</v>
      </c>
      <c r="LQ80" s="617">
        <f>SUM(LQ69:LQ75)</f>
        <v>655.52500000000009</v>
      </c>
      <c r="LR80" s="617">
        <f>SUM(LR69:LR75)</f>
        <v>649.745</v>
      </c>
      <c r="LS80" s="620">
        <f>SUM(LS69:LS75)</f>
        <v>2579.2849999999999</v>
      </c>
      <c r="LT80" s="608"/>
      <c r="LU80" s="616" t="s">
        <v>146</v>
      </c>
      <c r="LV80" s="617">
        <f>SUM(LV69:LV75)</f>
        <v>635.90809999999988</v>
      </c>
      <c r="LW80" s="617">
        <f>SUM(LW69:LW75)</f>
        <v>674.69202500000006</v>
      </c>
      <c r="LX80" s="617">
        <f>SUM(LX69:LX75)</f>
        <v>673.33457499999997</v>
      </c>
      <c r="LY80" s="617">
        <f>SUM(LY69:LY75)</f>
        <v>667.19690000000003</v>
      </c>
      <c r="LZ80" s="620">
        <f>SUM(LZ69:LZ75)</f>
        <v>2651.1315999999997</v>
      </c>
      <c r="MA80" s="608"/>
      <c r="MB80" s="616" t="s">
        <v>146</v>
      </c>
      <c r="MC80" s="617">
        <f>SUM(MC69:MC75)</f>
        <v>653.17031262499995</v>
      </c>
      <c r="MD80" s="617">
        <f>SUM(MD69:MD75)</f>
        <v>692.61816049999993</v>
      </c>
      <c r="ME80" s="617">
        <f>SUM(ME69:ME75)</f>
        <v>690.28702087499994</v>
      </c>
      <c r="MF80" s="617">
        <f>SUM(MF69:MF75)</f>
        <v>682.86712612499991</v>
      </c>
      <c r="MG80" s="620">
        <f>SUM(MG69:MG75)</f>
        <v>2718.9426201249998</v>
      </c>
      <c r="MH80" s="608"/>
    </row>
    <row r="81" spans="1:346" s="50" customFormat="1" ht="13.5" thickTop="1" x14ac:dyDescent="0.4">
      <c r="A81" s="133"/>
      <c r="B81" s="111" t="s">
        <v>3</v>
      </c>
      <c r="C81" s="112"/>
      <c r="D81" s="112"/>
      <c r="E81" s="112"/>
      <c r="F81" s="112"/>
      <c r="G81" s="112"/>
      <c r="H81" s="112"/>
      <c r="I81" s="112"/>
      <c r="J81" s="112"/>
      <c r="K81" s="112"/>
      <c r="L81" s="112"/>
      <c r="M81" s="112"/>
      <c r="N81" s="66">
        <f>BT81</f>
        <v>0</v>
      </c>
      <c r="O81" s="66">
        <f>CA81</f>
        <v>0</v>
      </c>
      <c r="P81" s="66">
        <f>CH81</f>
        <v>0</v>
      </c>
      <c r="Q81" s="66">
        <f>CO81</f>
        <v>0</v>
      </c>
      <c r="R81" s="66">
        <f>CV81</f>
        <v>0</v>
      </c>
      <c r="S81" s="66">
        <f>DC81</f>
        <v>0</v>
      </c>
      <c r="T81" s="66">
        <f>DJ81</f>
        <v>0</v>
      </c>
      <c r="U81" s="66">
        <f>DQ81</f>
        <v>0</v>
      </c>
      <c r="V81" s="66">
        <f>DX81</f>
        <v>0</v>
      </c>
      <c r="W81" s="66">
        <f>EE81</f>
        <v>0</v>
      </c>
      <c r="X81" s="66">
        <f>EL81</f>
        <v>0</v>
      </c>
      <c r="Y81" s="66">
        <f>ES81</f>
        <v>0</v>
      </c>
      <c r="Z81" s="66">
        <f>EZ81</f>
        <v>0</v>
      </c>
      <c r="AA81" s="66">
        <f>FG81</f>
        <v>0</v>
      </c>
      <c r="AB81" s="66">
        <f>FN81</f>
        <v>0</v>
      </c>
      <c r="AC81" s="66">
        <f>FU81</f>
        <v>0</v>
      </c>
      <c r="AD81" s="66" t="str">
        <f>GB81</f>
        <v>-</v>
      </c>
      <c r="AE81" s="66">
        <f>GI81</f>
        <v>-2.6362559241706163E-2</v>
      </c>
      <c r="AF81" s="66">
        <f>GP81</f>
        <v>-4.3808944326133248E-2</v>
      </c>
      <c r="AG81" s="66">
        <f>GW81</f>
        <v>-8.367801463569835E-2</v>
      </c>
      <c r="AH81" s="66">
        <f>HD81</f>
        <v>-0.18819444444444444</v>
      </c>
      <c r="AI81" s="66">
        <f>HK81</f>
        <v>0.1069289991445681</v>
      </c>
      <c r="AJ81" s="66">
        <f>HR81</f>
        <v>2.5502318392581103E-2</v>
      </c>
      <c r="AK81" s="66">
        <f>HY81</f>
        <v>5.2750565184627174E-3</v>
      </c>
      <c r="AL81" s="66">
        <f>IF81</f>
        <v>3.5232383808095902E-2</v>
      </c>
      <c r="AM81" s="66">
        <f>IM81</f>
        <v>6.1549601737871162E-2</v>
      </c>
      <c r="AN81" s="66">
        <f>IT81</f>
        <v>-2.4556616643929052E-2</v>
      </c>
      <c r="AO81" s="66">
        <f>JA81</f>
        <v>-2.0279720279720248E-2</v>
      </c>
      <c r="AP81" s="66">
        <f>JH81</f>
        <v>-3.5688793718772316E-2</v>
      </c>
      <c r="AQ81" s="66">
        <f>JO81</f>
        <v>-7.4019245003698053E-4</v>
      </c>
      <c r="AR81" s="66">
        <f>JV81</f>
        <v>2.5925925925927018E-3</v>
      </c>
      <c r="AS81" s="66">
        <f>KC81</f>
        <v>-6.3538973032877699E-2</v>
      </c>
      <c r="AT81" s="66">
        <f>KJ81</f>
        <v>1.4201183431952646E-2</v>
      </c>
      <c r="AU81" s="66">
        <f>KQ81</f>
        <v>-5.056398288603603E-3</v>
      </c>
      <c r="AV81" s="66">
        <f>KX81</f>
        <v>2.4628616106333157E-2</v>
      </c>
      <c r="AW81" s="66">
        <f>LE81</f>
        <v>1.0301411674933147E-2</v>
      </c>
      <c r="AX81" s="66">
        <f>LL81</f>
        <v>-2.0392749244713015E-2</v>
      </c>
      <c r="AY81" s="66">
        <f>LS81</f>
        <v>-5.672706245181236E-3</v>
      </c>
      <c r="AZ81" s="66">
        <f>LZ81</f>
        <v>2.7855238951880024E-2</v>
      </c>
      <c r="BA81" s="66">
        <f>MG81</f>
        <v>2.5578141848937364E-2</v>
      </c>
      <c r="BB81" s="66"/>
      <c r="BC81" s="66"/>
      <c r="BD81" s="66"/>
      <c r="BE81" s="66"/>
      <c r="BF81" s="66"/>
      <c r="BG81" s="66"/>
      <c r="BH81" s="66"/>
      <c r="BI81" s="66"/>
      <c r="BJ81" s="66"/>
      <c r="BK81" s="66"/>
      <c r="BL81" s="66"/>
      <c r="BM81" s="66"/>
      <c r="BO81" s="111" t="s">
        <v>3</v>
      </c>
      <c r="BP81" s="66"/>
      <c r="BQ81" s="66"/>
      <c r="BR81" s="66"/>
      <c r="BS81" s="66"/>
      <c r="BT81" s="66"/>
      <c r="BV81" s="111" t="s">
        <v>3</v>
      </c>
      <c r="BW81" s="66"/>
      <c r="BX81" s="66"/>
      <c r="BY81" s="66"/>
      <c r="BZ81" s="66"/>
      <c r="CA81" s="66"/>
      <c r="CC81" s="111" t="s">
        <v>3</v>
      </c>
      <c r="CD81" s="66"/>
      <c r="CE81" s="66"/>
      <c r="CF81" s="66"/>
      <c r="CG81" s="66"/>
      <c r="CH81" s="66"/>
      <c r="CJ81" s="111" t="s">
        <v>3</v>
      </c>
      <c r="CK81" s="66"/>
      <c r="CL81" s="66"/>
      <c r="CM81" s="66"/>
      <c r="CN81" s="66"/>
      <c r="CO81" s="66"/>
      <c r="CQ81" s="111" t="s">
        <v>3</v>
      </c>
      <c r="CR81" s="66"/>
      <c r="CS81" s="66"/>
      <c r="CT81" s="66"/>
      <c r="CU81" s="66"/>
      <c r="CV81" s="66"/>
      <c r="CX81" s="111" t="s">
        <v>3</v>
      </c>
      <c r="CY81" s="66"/>
      <c r="CZ81" s="66"/>
      <c r="DA81" s="66"/>
      <c r="DB81" s="66"/>
      <c r="DC81" s="66"/>
      <c r="DE81" s="111" t="s">
        <v>3</v>
      </c>
      <c r="DF81" s="66"/>
      <c r="DG81" s="66"/>
      <c r="DH81" s="66"/>
      <c r="DI81" s="66"/>
      <c r="DJ81" s="66"/>
      <c r="DL81" s="111" t="s">
        <v>3</v>
      </c>
      <c r="DM81" s="66"/>
      <c r="DN81" s="66"/>
      <c r="DO81" s="66"/>
      <c r="DP81" s="66"/>
      <c r="DQ81" s="66"/>
      <c r="DS81" s="111" t="s">
        <v>3</v>
      </c>
      <c r="DT81" s="66"/>
      <c r="DU81" s="66"/>
      <c r="DV81" s="66"/>
      <c r="DW81" s="66"/>
      <c r="DX81" s="66"/>
      <c r="DZ81" s="111" t="s">
        <v>3</v>
      </c>
      <c r="EA81" s="66"/>
      <c r="EB81" s="66"/>
      <c r="EC81" s="66"/>
      <c r="ED81" s="66"/>
      <c r="EE81" s="66"/>
      <c r="EG81" s="111" t="s">
        <v>3</v>
      </c>
      <c r="EH81" s="66"/>
      <c r="EI81" s="66"/>
      <c r="EJ81" s="66"/>
      <c r="EK81" s="66"/>
      <c r="EL81" s="66"/>
      <c r="EN81" s="111" t="s">
        <v>3</v>
      </c>
      <c r="EO81" s="66"/>
      <c r="EP81" s="66"/>
      <c r="EQ81" s="66"/>
      <c r="ER81" s="66"/>
      <c r="ES81" s="66"/>
      <c r="EU81" s="111" t="s">
        <v>3</v>
      </c>
      <c r="EV81" s="66"/>
      <c r="EW81" s="66"/>
      <c r="EX81" s="66"/>
      <c r="EY81" s="66"/>
      <c r="EZ81" s="66"/>
      <c r="FB81" s="111" t="s">
        <v>3</v>
      </c>
      <c r="FC81" s="66"/>
      <c r="FD81" s="66"/>
      <c r="FE81" s="66"/>
      <c r="FF81" s="66"/>
      <c r="FG81" s="66"/>
      <c r="FI81" s="111" t="s">
        <v>3</v>
      </c>
      <c r="FJ81" s="66"/>
      <c r="FK81" s="66"/>
      <c r="FL81" s="66"/>
      <c r="FM81" s="66"/>
      <c r="FN81" s="66"/>
      <c r="FP81" s="111" t="s">
        <v>3</v>
      </c>
      <c r="FQ81" s="66"/>
      <c r="FR81" s="66"/>
      <c r="FS81" s="66"/>
      <c r="FT81" s="66"/>
      <c r="FU81" s="66"/>
      <c r="FW81" s="111" t="s">
        <v>3</v>
      </c>
      <c r="FX81" s="66" t="s">
        <v>80</v>
      </c>
      <c r="FY81" s="66" t="s">
        <v>80</v>
      </c>
      <c r="FZ81" s="66" t="s">
        <v>80</v>
      </c>
      <c r="GA81" s="66" t="s">
        <v>80</v>
      </c>
      <c r="GB81" s="66" t="s">
        <v>80</v>
      </c>
      <c r="GD81" s="111" t="s">
        <v>3</v>
      </c>
      <c r="GE81" s="66">
        <f>GE80/FX80-1</f>
        <v>-2.7972027972028024E-2</v>
      </c>
      <c r="GF81" s="66">
        <f>GF80/FY80-1</f>
        <v>-1.6147635524798143E-2</v>
      </c>
      <c r="GG81" s="66">
        <f>GG80/FZ80-1</f>
        <v>-2.4009603841536609E-2</v>
      </c>
      <c r="GH81" s="66">
        <f>GH80/GA80-1</f>
        <v>-3.7897310513447469E-2</v>
      </c>
      <c r="GI81" s="66">
        <f>GI80/GB80-1</f>
        <v>-2.6362559241706163E-2</v>
      </c>
      <c r="GK81" s="111" t="s">
        <v>3</v>
      </c>
      <c r="GL81" s="66">
        <f>GL80/GE80-1</f>
        <v>-5.9952038369304517E-2</v>
      </c>
      <c r="GM81" s="66">
        <f>GM80/GF80-1</f>
        <v>-3.6342321219226315E-2</v>
      </c>
      <c r="GN81" s="66">
        <f>GN80/GG80-1</f>
        <v>-4.3050430504305015E-2</v>
      </c>
      <c r="GO81" s="66">
        <f>GO80/GH80-1</f>
        <v>-3.5578144853875449E-2</v>
      </c>
      <c r="GP81" s="66">
        <f>GP80/GI80-1</f>
        <v>-4.3808944326133248E-2</v>
      </c>
      <c r="GR81" s="111" t="s">
        <v>3</v>
      </c>
      <c r="GS81" s="66">
        <f>GS80/GL80-1</f>
        <v>-4.8469387755102011E-2</v>
      </c>
      <c r="GT81" s="66">
        <f>GT80/GM80-1</f>
        <v>-6.4476885644768833E-2</v>
      </c>
      <c r="GU81" s="66">
        <f>GU80/GN80-1</f>
        <v>-5.9125964010282805E-2</v>
      </c>
      <c r="GV81" s="66">
        <f>GV80/GO80-1</f>
        <v>-0.16600790513833996</v>
      </c>
      <c r="GW81" s="66">
        <f>GW80/GP80-1</f>
        <v>-8.367801463569835E-2</v>
      </c>
      <c r="GY81" s="111" t="s">
        <v>3</v>
      </c>
      <c r="GZ81" s="66">
        <f>GZ80/GS80-1</f>
        <v>-0.26541554959785518</v>
      </c>
      <c r="HA81" s="66">
        <f>HA80/GT80-1</f>
        <v>-0.24707412223667102</v>
      </c>
      <c r="HB81" s="66">
        <f>HB80/GU80-1</f>
        <v>-0.17759562841530052</v>
      </c>
      <c r="HC81" s="66">
        <f>HC80/GV80-1</f>
        <v>-3.7914691943127909E-2</v>
      </c>
      <c r="HD81" s="66">
        <f>HD80/GW80-1</f>
        <v>-0.18819444444444444</v>
      </c>
      <c r="HF81" s="111" t="s">
        <v>3</v>
      </c>
      <c r="HG81" s="66">
        <f>HG80/GZ80-1</f>
        <v>0.11861313868613133</v>
      </c>
      <c r="HH81" s="66">
        <f>HH80/HA80-1</f>
        <v>0.13816925734024177</v>
      </c>
      <c r="HI81" s="66">
        <f>HI80/HB80-1</f>
        <v>6.8106312292358862E-2</v>
      </c>
      <c r="HJ81" s="66">
        <f>HJ80/HC80-1</f>
        <v>0.1050903119868638</v>
      </c>
      <c r="HK81" s="66">
        <f>HK80/HD80-1</f>
        <v>0.1069289991445681</v>
      </c>
      <c r="HM81" s="111" t="s">
        <v>3</v>
      </c>
      <c r="HN81" s="66">
        <f>HN80/HG80-1</f>
        <v>6.6884176182707922E-2</v>
      </c>
      <c r="HO81" s="66">
        <f>HO80/HH80-1</f>
        <v>2.7314112291350501E-2</v>
      </c>
      <c r="HP81" s="66">
        <f>HP80/HI80-1</f>
        <v>2.1772939346811793E-2</v>
      </c>
      <c r="HQ81" s="66">
        <f>HQ80/HJ80-1</f>
        <v>-1.0401188707280795E-2</v>
      </c>
      <c r="HR81" s="66">
        <f>HR80/HK80-1</f>
        <v>2.5502318392581103E-2</v>
      </c>
      <c r="HT81" s="111" t="s">
        <v>3</v>
      </c>
      <c r="HU81" s="66">
        <f>HU80/HN80-1</f>
        <v>2.5993883792049033E-2</v>
      </c>
      <c r="HV81" s="66">
        <f>HV80/HO80-1</f>
        <v>4.4313146233383449E-3</v>
      </c>
      <c r="HW81" s="66">
        <f>HW80/HP80-1</f>
        <v>-3.0441400304414001E-3</v>
      </c>
      <c r="HX81" s="66">
        <f>HX80/HQ80-1</f>
        <v>-6.0060060060059817E-3</v>
      </c>
      <c r="HY81" s="66">
        <f>HY80/HR80-1</f>
        <v>5.2750565184627174E-3</v>
      </c>
      <c r="IA81" s="111" t="s">
        <v>3</v>
      </c>
      <c r="IB81" s="66">
        <f>IB80/HU80-1</f>
        <v>-7.4515648286139768E-3</v>
      </c>
      <c r="IC81" s="66">
        <f>IC80/HV80-1</f>
        <v>3.2352941176470695E-2</v>
      </c>
      <c r="ID81" s="66">
        <f>ID80/HW80-1</f>
        <v>4.8854961832061061E-2</v>
      </c>
      <c r="IE81" s="66">
        <f>IE80/HX80-1</f>
        <v>6.7975830815709903E-2</v>
      </c>
      <c r="IF81" s="66">
        <f>IF80/HY80-1</f>
        <v>3.5232383808095902E-2</v>
      </c>
      <c r="IH81" s="111" t="s">
        <v>3</v>
      </c>
      <c r="II81" s="66">
        <f>II80/IB80-1</f>
        <v>2.1021021021021102E-2</v>
      </c>
      <c r="IJ81" s="66">
        <f>IJ80/IC80-1</f>
        <v>8.2621082621082698E-2</v>
      </c>
      <c r="IK81" s="66">
        <f>IK80/ID80-1</f>
        <v>8.879184861717615E-2</v>
      </c>
      <c r="IL81" s="66">
        <f>IL80/IE80-1</f>
        <v>5.2333804809052253E-2</v>
      </c>
      <c r="IM81" s="66">
        <f>IM80/IF80-1</f>
        <v>6.1549601737871162E-2</v>
      </c>
      <c r="IO81" s="111" t="s">
        <v>3</v>
      </c>
      <c r="IP81" s="66">
        <f>IP80/II80-1</f>
        <v>1.6176470588235237E-2</v>
      </c>
      <c r="IQ81" s="66">
        <f>IQ80/IJ80-1</f>
        <v>-2.5000000000000022E-2</v>
      </c>
      <c r="IR81" s="66">
        <f>IR80/IK80-1</f>
        <v>-3.7433155080213942E-2</v>
      </c>
      <c r="IS81" s="66">
        <f>IS80/IL80-1</f>
        <v>-4.8387096774193505E-2</v>
      </c>
      <c r="IT81" s="66">
        <f>IT80/IM80-1</f>
        <v>-2.4556616643929052E-2</v>
      </c>
      <c r="IV81" s="111" t="s">
        <v>3</v>
      </c>
      <c r="IW81" s="66">
        <f>IW80/IP80-1</f>
        <v>-2.6049204052098429E-2</v>
      </c>
      <c r="IX81" s="66">
        <f>IX80/IQ80-1</f>
        <v>-4.7233468286099867E-2</v>
      </c>
      <c r="IY81" s="66">
        <f>IY80/IR80-1</f>
        <v>-4.7222222222222276E-2</v>
      </c>
      <c r="IZ81" s="66">
        <f>IZ80/IS80-1</f>
        <v>4.0960451977401169E-2</v>
      </c>
      <c r="JA81" s="66">
        <f>JA80/IT80-1</f>
        <v>-2.0279720279720248E-2</v>
      </c>
      <c r="JC81" s="111" t="s">
        <v>3</v>
      </c>
      <c r="JD81" s="66">
        <f>JD80/IW80-1</f>
        <v>3.8632986627043175E-2</v>
      </c>
      <c r="JE81" s="66">
        <f>JE80/IX80-1</f>
        <v>-1.6997167138810165E-2</v>
      </c>
      <c r="JF81" s="66">
        <f>JF80/IY80-1</f>
        <v>-5.1020408163265252E-2</v>
      </c>
      <c r="JG81" s="66">
        <f>JG80/IZ80-1</f>
        <v>-0.10719131614653998</v>
      </c>
      <c r="JH81" s="66">
        <f>JH80/JA80-1</f>
        <v>-3.5688793718772316E-2</v>
      </c>
      <c r="JJ81" s="111" t="s">
        <v>3</v>
      </c>
      <c r="JK81" s="66">
        <f>JK80/JD80-1</f>
        <v>-8.1545064377682386E-2</v>
      </c>
      <c r="JL81" s="66">
        <f>JL80/JE80-1</f>
        <v>-7.2046109510086609E-3</v>
      </c>
      <c r="JM81" s="66">
        <f>JM80/JF80-1</f>
        <v>4.9155145929339561E-2</v>
      </c>
      <c r="JN81" s="66">
        <f>JN80/JG80-1</f>
        <v>4.2553191489361764E-2</v>
      </c>
      <c r="JO81" s="66">
        <f>JO80/JH80-1</f>
        <v>-7.4019245003698053E-4</v>
      </c>
      <c r="JQ81" s="111" t="s">
        <v>3</v>
      </c>
      <c r="JR81" s="66">
        <f>JR80/JK80-1</f>
        <v>3.1152647975077885E-2</v>
      </c>
      <c r="JS81" s="66">
        <f>JS80/JL80-1</f>
        <v>1.1611030478954953E-2</v>
      </c>
      <c r="JT81" s="66">
        <f>JT80/JM80-1</f>
        <v>0</v>
      </c>
      <c r="JU81" s="66">
        <f>JU80/JN80-1</f>
        <v>-3.0612244897959218E-2</v>
      </c>
      <c r="JV81" s="66">
        <f>JV80/JO80-1</f>
        <v>2.5925925925927018E-3</v>
      </c>
      <c r="JX81" s="111" t="s">
        <v>3</v>
      </c>
      <c r="JY81" s="66">
        <f>JY80/JR80-1</f>
        <v>1.6616314199395799E-2</v>
      </c>
      <c r="JZ81" s="66">
        <f>JZ80/JS80-1</f>
        <v>-0.21951219512195119</v>
      </c>
      <c r="KA81" s="66">
        <f>KA80/JT80-1</f>
        <v>-4.8316251830161083E-2</v>
      </c>
      <c r="KB81" s="66">
        <f>KB80/JU80-1</f>
        <v>4.5112781954887993E-3</v>
      </c>
      <c r="KC81" s="66">
        <f>KC80/JV80-1</f>
        <v>-6.3538973032877699E-2</v>
      </c>
      <c r="KE81" s="111" t="s">
        <v>3</v>
      </c>
      <c r="KF81" s="66">
        <f>KF80/JY80-1</f>
        <v>-6.2407132243684993E-2</v>
      </c>
      <c r="KG81" s="66">
        <f>KG80/JZ80-1</f>
        <v>0.20588235294117641</v>
      </c>
      <c r="KH81" s="66">
        <f>KH80/KA80-1</f>
        <v>-1.692307692307693E-2</v>
      </c>
      <c r="KI81" s="66">
        <f>KI80/KB80-1</f>
        <v>-3.4431137724550864E-2</v>
      </c>
      <c r="KJ81" s="66">
        <f>KJ80/KC80-1</f>
        <v>1.4201183431952646E-2</v>
      </c>
      <c r="KL81" s="111" t="s">
        <v>3</v>
      </c>
      <c r="KM81" s="66">
        <f>KM80/KF80-1</f>
        <v>-1.5847860538827252E-2</v>
      </c>
      <c r="KN81" s="66">
        <f>KN80/KG80-1</f>
        <v>1.5243902439023849E-3</v>
      </c>
      <c r="KO81" s="66">
        <f>KO80/KH80-1</f>
        <v>1.4084507042253502E-2</v>
      </c>
      <c r="KP81" s="66">
        <f>KP80/KI80-1</f>
        <v>-2.0155038759689936E-2</v>
      </c>
      <c r="KQ81" s="66">
        <f>KQ80/KJ80-1</f>
        <v>-5.056398288603603E-3</v>
      </c>
      <c r="KS81" s="111" t="s">
        <v>3</v>
      </c>
      <c r="KT81" s="66">
        <f>KT80/KM80-1</f>
        <v>4.1867954911433136E-2</v>
      </c>
      <c r="KU81" s="66">
        <f>KU80/KN80-1</f>
        <v>3.0441400304414001E-2</v>
      </c>
      <c r="KV81" s="112">
        <f>KV80/KO80-1</f>
        <v>1.5432098765431057E-3</v>
      </c>
      <c r="KW81" s="66">
        <f>KW80/KP80-1</f>
        <v>2.5316455696202445E-2</v>
      </c>
      <c r="KX81" s="66">
        <f>KX80/KQ80-1</f>
        <v>2.4628616106333157E-2</v>
      </c>
      <c r="KZ81" s="111" t="s">
        <v>3</v>
      </c>
      <c r="LA81" s="66">
        <f>LA80/KT80-1</f>
        <v>-3.0911901081916993E-3</v>
      </c>
      <c r="LB81" s="112">
        <f>LB80/KU80-1</f>
        <v>8.8626292466764678E-3</v>
      </c>
      <c r="LC81" s="112">
        <f>LC80/KV80-1</f>
        <v>3.2357473035439233E-2</v>
      </c>
      <c r="LD81" s="112">
        <f>LD80/KW80-1</f>
        <v>3.0864197530864335E-3</v>
      </c>
      <c r="LE81" s="112">
        <f>LE80/KX80-1</f>
        <v>1.0301411674933147E-2</v>
      </c>
      <c r="LF81" s="566"/>
      <c r="LG81" s="111" t="s">
        <v>3</v>
      </c>
      <c r="LH81" s="112">
        <f>LH80/LA80-1</f>
        <v>-2.3255813953488413E-2</v>
      </c>
      <c r="LI81" s="112">
        <f>LI80/LB80-1</f>
        <v>-1.9033674963396807E-2</v>
      </c>
      <c r="LJ81" s="112">
        <f>LJ80/LC80-1</f>
        <v>-1.4925373134328401E-2</v>
      </c>
      <c r="LK81" s="112">
        <f>LK80/LD80-1</f>
        <v>-2.4615384615384595E-2</v>
      </c>
      <c r="LL81" s="112">
        <f>LL80/LE80-1</f>
        <v>-2.0392749244713015E-2</v>
      </c>
      <c r="LM81" s="566"/>
      <c r="LN81" s="111" t="s">
        <v>3</v>
      </c>
      <c r="LO81" s="112">
        <f>LO80/LH80-1</f>
        <v>-1.8666666666666609E-2</v>
      </c>
      <c r="LP81" s="112">
        <f>LP80/LI80-1</f>
        <v>-2.1231343283582116E-2</v>
      </c>
      <c r="LQ81" s="112">
        <f>LQ80/LJ80-1</f>
        <v>-6.7803030303028589E-3</v>
      </c>
      <c r="LR81" s="112">
        <f>LR80/LK80-1</f>
        <v>2.4834384858044123E-2</v>
      </c>
      <c r="LS81" s="112">
        <f>LS80/LL80-1</f>
        <v>-5.672706245181236E-3</v>
      </c>
      <c r="LT81" s="566"/>
      <c r="LU81" s="111" t="s">
        <v>3</v>
      </c>
      <c r="LV81" s="112">
        <f>LV80/LO80-1</f>
        <v>2.857806030020682E-2</v>
      </c>
      <c r="LW81" s="112">
        <f>LW80/LP80-1</f>
        <v>2.8846822461972677E-2</v>
      </c>
      <c r="LX81" s="112">
        <f>LX80/LQ80-1</f>
        <v>2.7168414629495263E-2</v>
      </c>
      <c r="LY81" s="112">
        <f>LY80/LR80-1</f>
        <v>2.6859614156322875E-2</v>
      </c>
      <c r="LZ81" s="112">
        <f>LZ80/LS80-1</f>
        <v>2.7855238951880024E-2</v>
      </c>
      <c r="MA81" s="566"/>
      <c r="MB81" s="111" t="s">
        <v>3</v>
      </c>
      <c r="MC81" s="112">
        <f>MC80/LV80-1</f>
        <v>2.7145766227856027E-2</v>
      </c>
      <c r="MD81" s="112">
        <f>MD80/LW80-1</f>
        <v>2.6569360294424582E-2</v>
      </c>
      <c r="ME81" s="112">
        <f>ME80/LX80-1</f>
        <v>2.5176853386743137E-2</v>
      </c>
      <c r="MF81" s="112">
        <f>MF80/LY80-1</f>
        <v>2.3486659073205907E-2</v>
      </c>
      <c r="MG81" s="112">
        <f>MG80/LZ80-1</f>
        <v>2.5578141848937364E-2</v>
      </c>
      <c r="MH81" s="566"/>
    </row>
    <row r="82" spans="1:346" s="37" customFormat="1" ht="13.15" x14ac:dyDescent="0.4">
      <c r="A82" s="100"/>
      <c r="B82" s="36"/>
      <c r="BO82" s="36"/>
      <c r="BP82" s="53"/>
      <c r="BQ82" s="53"/>
      <c r="BR82" s="53"/>
      <c r="BS82" s="53"/>
      <c r="BT82" s="53"/>
      <c r="BV82" s="36"/>
      <c r="BW82" s="53"/>
      <c r="BX82" s="53"/>
      <c r="BY82" s="53"/>
      <c r="BZ82" s="53"/>
      <c r="CA82" s="53"/>
      <c r="CC82" s="36"/>
      <c r="CD82" s="53"/>
      <c r="CE82" s="53"/>
      <c r="CF82" s="53"/>
      <c r="CG82" s="53"/>
      <c r="CH82" s="53"/>
      <c r="CJ82" s="36"/>
      <c r="CK82" s="53"/>
      <c r="CL82" s="53"/>
      <c r="CM82" s="53"/>
      <c r="CN82" s="53"/>
      <c r="CO82" s="53"/>
      <c r="CQ82" s="36"/>
      <c r="CR82" s="53"/>
      <c r="CS82" s="53"/>
      <c r="CT82" s="53"/>
      <c r="CU82" s="53"/>
      <c r="CV82" s="53"/>
      <c r="CX82" s="36"/>
      <c r="CY82" s="53"/>
      <c r="CZ82" s="53"/>
      <c r="DA82" s="53"/>
      <c r="DB82" s="53"/>
      <c r="DC82" s="53"/>
      <c r="DE82" s="36"/>
      <c r="DF82" s="53"/>
      <c r="DG82" s="53"/>
      <c r="DH82" s="53"/>
      <c r="DI82" s="53"/>
      <c r="DJ82" s="53"/>
      <c r="DL82" s="36"/>
      <c r="DM82" s="53"/>
      <c r="DN82" s="53"/>
      <c r="DO82" s="53"/>
      <c r="DP82" s="53"/>
      <c r="DQ82" s="53"/>
      <c r="DS82" s="36"/>
      <c r="DT82" s="53"/>
      <c r="DU82" s="53"/>
      <c r="DV82" s="53"/>
      <c r="DW82" s="53"/>
      <c r="DX82" s="53"/>
      <c r="DZ82" s="36"/>
      <c r="EA82" s="53"/>
      <c r="EB82" s="53"/>
      <c r="EC82" s="53"/>
      <c r="ED82" s="53"/>
      <c r="EE82" s="53"/>
      <c r="EG82" s="36"/>
      <c r="EH82" s="53"/>
      <c r="EI82" s="53"/>
      <c r="EJ82" s="53"/>
      <c r="EK82" s="53"/>
      <c r="EL82" s="53"/>
      <c r="EN82" s="36"/>
      <c r="EO82" s="53"/>
      <c r="EP82" s="53"/>
      <c r="EQ82" s="53"/>
      <c r="ER82" s="53"/>
      <c r="ES82" s="53"/>
      <c r="EU82" s="36"/>
      <c r="EV82" s="53"/>
      <c r="EW82" s="53"/>
      <c r="EX82" s="53"/>
      <c r="EY82" s="53"/>
      <c r="EZ82" s="53"/>
      <c r="FB82" s="36"/>
      <c r="FC82" s="53"/>
      <c r="FD82" s="53"/>
      <c r="FE82" s="53"/>
      <c r="FF82" s="53"/>
      <c r="FG82" s="53"/>
      <c r="FI82" s="36"/>
      <c r="FJ82" s="53"/>
      <c r="FK82" s="53"/>
      <c r="FL82" s="53"/>
      <c r="FM82" s="53"/>
      <c r="FN82" s="53"/>
      <c r="FP82" s="36"/>
      <c r="FQ82" s="53"/>
      <c r="FR82" s="53"/>
      <c r="FS82" s="53"/>
      <c r="FT82" s="53"/>
      <c r="FU82" s="53"/>
      <c r="FW82" s="36"/>
      <c r="FX82" s="53"/>
      <c r="FY82" s="53"/>
      <c r="FZ82" s="53"/>
      <c r="GA82" s="53"/>
      <c r="GB82" s="53"/>
      <c r="GD82" s="36"/>
      <c r="GE82" s="53"/>
      <c r="GF82" s="53"/>
      <c r="GG82" s="53"/>
      <c r="GH82" s="53"/>
      <c r="GI82" s="53"/>
      <c r="GK82" s="36"/>
      <c r="GL82" s="53"/>
      <c r="GM82" s="53"/>
      <c r="GN82" s="53"/>
      <c r="GO82" s="53"/>
      <c r="GP82" s="53"/>
      <c r="GR82" s="36"/>
      <c r="GS82" s="53"/>
      <c r="GT82" s="53"/>
      <c r="GU82" s="53"/>
      <c r="GV82" s="53"/>
      <c r="GW82" s="53"/>
      <c r="GY82" s="36"/>
      <c r="GZ82" s="53"/>
      <c r="HA82" s="53"/>
      <c r="HB82" s="53"/>
      <c r="HC82" s="53"/>
      <c r="HD82" s="53"/>
      <c r="HF82" s="36"/>
      <c r="HG82" s="53"/>
      <c r="HH82" s="53"/>
      <c r="HI82" s="53"/>
      <c r="HJ82" s="53"/>
      <c r="HK82" s="53"/>
      <c r="HM82" s="36"/>
      <c r="HN82" s="53"/>
      <c r="HO82" s="53"/>
      <c r="HP82" s="53"/>
      <c r="HQ82" s="53"/>
      <c r="HR82" s="53"/>
      <c r="HT82" s="36"/>
      <c r="HU82" s="53"/>
      <c r="HV82" s="53"/>
      <c r="HW82" s="53"/>
      <c r="HX82" s="53"/>
      <c r="HY82" s="53"/>
      <c r="IA82" s="36"/>
      <c r="IB82" s="53"/>
      <c r="IC82" s="53"/>
      <c r="ID82" s="53"/>
      <c r="IE82" s="53"/>
      <c r="IF82" s="53"/>
      <c r="IH82" s="36"/>
      <c r="II82" s="53"/>
      <c r="IJ82" s="53"/>
      <c r="IK82" s="53"/>
      <c r="IL82" s="53"/>
      <c r="IM82" s="53"/>
      <c r="IO82" s="36"/>
      <c r="IP82" s="53"/>
      <c r="IQ82" s="53"/>
      <c r="IR82" s="53"/>
      <c r="IS82" s="53"/>
      <c r="IT82" s="53"/>
      <c r="IV82" s="36"/>
      <c r="IW82" s="53"/>
      <c r="IX82" s="53"/>
      <c r="IY82" s="53"/>
      <c r="IZ82" s="53"/>
      <c r="JA82" s="53"/>
      <c r="JC82" s="36"/>
      <c r="JD82" s="53"/>
      <c r="JE82" s="53"/>
      <c r="JF82" s="53"/>
      <c r="JG82" s="53"/>
      <c r="JH82" s="53"/>
      <c r="JJ82" s="36"/>
      <c r="JK82" s="53"/>
      <c r="JL82" s="53"/>
      <c r="JM82" s="53"/>
      <c r="JN82" s="53"/>
      <c r="JO82" s="53"/>
      <c r="JQ82" s="36"/>
      <c r="JR82" s="53"/>
      <c r="JS82" s="53"/>
      <c r="JT82" s="53"/>
      <c r="JU82" s="53"/>
      <c r="JV82" s="53"/>
      <c r="JX82" s="36"/>
      <c r="JY82" s="53"/>
      <c r="JZ82" s="53"/>
      <c r="KA82" s="53"/>
      <c r="KB82" s="53"/>
      <c r="KC82" s="53"/>
      <c r="KE82" s="36"/>
      <c r="KF82" s="53"/>
      <c r="KG82" s="53"/>
      <c r="KH82" s="53"/>
      <c r="KI82" s="53"/>
      <c r="KJ82" s="53"/>
      <c r="KL82" s="36"/>
      <c r="KM82" s="53"/>
      <c r="KN82" s="53"/>
      <c r="KO82" s="53"/>
      <c r="KP82" s="53"/>
      <c r="KQ82" s="53"/>
      <c r="KS82" s="36"/>
      <c r="KT82" s="53"/>
      <c r="KU82" s="53"/>
      <c r="KX82" s="53"/>
      <c r="KZ82" s="630"/>
      <c r="LA82" s="631"/>
      <c r="LB82" s="631"/>
      <c r="LC82" s="631"/>
      <c r="LD82" s="631"/>
      <c r="LE82" s="631"/>
      <c r="LF82" s="566"/>
      <c r="LG82" s="630"/>
      <c r="LH82" s="631"/>
      <c r="LI82" s="631"/>
      <c r="LJ82" s="631"/>
      <c r="LK82" s="631"/>
      <c r="LL82" s="631"/>
      <c r="LM82" s="566"/>
      <c r="LN82" s="630"/>
      <c r="LO82" s="631"/>
      <c r="LP82" s="631"/>
      <c r="LQ82" s="631"/>
      <c r="LR82" s="631"/>
      <c r="LS82" s="631"/>
      <c r="LT82" s="566"/>
      <c r="LU82" s="630"/>
      <c r="LV82" s="631"/>
      <c r="LW82" s="631"/>
      <c r="LX82" s="631"/>
      <c r="LY82" s="631"/>
      <c r="LZ82" s="631"/>
      <c r="MA82" s="566"/>
      <c r="MB82" s="630"/>
      <c r="MC82" s="631"/>
      <c r="MD82" s="631"/>
      <c r="ME82" s="631"/>
      <c r="MF82" s="631"/>
      <c r="MG82" s="631"/>
      <c r="MH82" s="566"/>
    </row>
    <row r="83" spans="1:346" s="37" customFormat="1" ht="13.15" hidden="1" outlineLevel="1" x14ac:dyDescent="0.4">
      <c r="A83" s="100"/>
      <c r="B83" s="128" t="s">
        <v>326</v>
      </c>
      <c r="C83" s="129"/>
      <c r="D83" s="129"/>
      <c r="E83" s="129"/>
      <c r="F83" s="129"/>
      <c r="G83" s="129"/>
      <c r="H83" s="129"/>
      <c r="I83" s="129"/>
      <c r="J83" s="129"/>
      <c r="K83" s="129"/>
      <c r="L83" s="129"/>
      <c r="M83" s="129"/>
      <c r="N83" s="61">
        <f t="shared" ref="N83:N88" si="416">BT83</f>
        <v>0</v>
      </c>
      <c r="O83" s="61">
        <f t="shared" ref="O83:O88" si="417">CA83</f>
        <v>0</v>
      </c>
      <c r="P83" s="61">
        <f t="shared" ref="P83:P88" si="418">CH83</f>
        <v>0</v>
      </c>
      <c r="Q83" s="61">
        <f t="shared" ref="Q83:Q88" si="419">CO83</f>
        <v>465.8</v>
      </c>
      <c r="R83" s="61">
        <f t="shared" ref="R83:R88" si="420">CV83</f>
        <v>520</v>
      </c>
      <c r="S83" s="61">
        <f t="shared" ref="S83:S88" si="421">DC83</f>
        <v>578</v>
      </c>
      <c r="T83" s="61">
        <f t="shared" ref="T83:T88" si="422">DJ83</f>
        <v>547</v>
      </c>
      <c r="U83" s="61">
        <f t="shared" ref="U83:U88" si="423">DQ83</f>
        <v>565</v>
      </c>
      <c r="V83" s="61">
        <f t="shared" ref="V83:V88" si="424">DX83</f>
        <v>588</v>
      </c>
      <c r="W83" s="61">
        <f t="shared" ref="W83:W88" si="425">EE83</f>
        <v>600</v>
      </c>
      <c r="X83" s="61">
        <f t="shared" ref="X83:X88" si="426">EL83</f>
        <v>893</v>
      </c>
      <c r="Y83" s="61">
        <f t="shared" ref="Y83:Y88" si="427">ES83</f>
        <v>931</v>
      </c>
      <c r="Z83" s="61">
        <f t="shared" ref="Z83:Z88" si="428">EZ83</f>
        <v>901</v>
      </c>
      <c r="AA83" s="61">
        <f t="shared" ref="AA83:AA88" si="429">FG83</f>
        <v>982</v>
      </c>
      <c r="AB83" s="61">
        <f t="shared" ref="AB83:AB88" si="430">FN83</f>
        <v>1060</v>
      </c>
      <c r="AC83" s="61">
        <f t="shared" ref="AC83:AC88" si="431">FU83</f>
        <v>1028</v>
      </c>
      <c r="AD83" s="61">
        <f t="shared" ref="AD83:AD88" si="432">GB83</f>
        <v>891</v>
      </c>
      <c r="AE83" s="61">
        <f t="shared" ref="AE83:AE88" si="433">GI83</f>
        <v>898</v>
      </c>
      <c r="AF83" s="61">
        <f t="shared" ref="AF83:AF88" si="434">GP83</f>
        <v>979</v>
      </c>
      <c r="AG83" s="61">
        <f t="shared" ref="AG83:AG88" si="435">GW83</f>
        <v>1069</v>
      </c>
      <c r="AH83" s="61">
        <f t="shared" ref="AH83:AH88" si="436">HD83</f>
        <v>1122</v>
      </c>
      <c r="AI83" s="61">
        <f t="shared" ref="AI83:AI88" si="437">HK83</f>
        <v>0</v>
      </c>
      <c r="AJ83" s="61">
        <f t="shared" ref="AJ83:AJ88" si="438">HR83</f>
        <v>1207.93</v>
      </c>
      <c r="AK83" s="61">
        <f t="shared" ref="AK83:AK88" si="439">HY83</f>
        <v>1274.3</v>
      </c>
      <c r="AL83" s="61">
        <f t="shared" ref="AL83:AL88" si="440">IF83</f>
        <v>1375.63</v>
      </c>
      <c r="AM83" s="61">
        <f t="shared" ref="AM83:AM88" si="441">IM83</f>
        <v>1480.71</v>
      </c>
      <c r="AN83" s="61">
        <f t="shared" ref="AN83:AN88" si="442">IT83</f>
        <v>1661.5</v>
      </c>
      <c r="AO83" s="61">
        <f t="shared" ref="AO83:AO88" si="443">JA83</f>
        <v>1736.65</v>
      </c>
      <c r="AP83" s="61">
        <f t="shared" ref="AP83:AP88" si="444">JH83</f>
        <v>1733.95</v>
      </c>
      <c r="AQ83" s="61">
        <f t="shared" ref="AQ83:AQ88" si="445">JO83</f>
        <v>1765.3500000000001</v>
      </c>
      <c r="AR83" s="61">
        <f t="shared" ref="AR83:AR88" si="446">JV83</f>
        <v>0</v>
      </c>
      <c r="AS83" s="61">
        <f t="shared" ref="AS83:AS88" si="447">KC83</f>
        <v>0</v>
      </c>
      <c r="AT83" s="61">
        <f t="shared" ref="AT83:AT88" si="448">KJ83</f>
        <v>0</v>
      </c>
      <c r="AU83" s="61">
        <f t="shared" ref="AU83:AU88" si="449">KQ83</f>
        <v>0</v>
      </c>
      <c r="AV83" s="61">
        <f t="shared" ref="AV83:AV88" si="450">KX83</f>
        <v>0</v>
      </c>
      <c r="AW83" s="61">
        <f t="shared" ref="AW83:AW88" si="451">LE83</f>
        <v>0</v>
      </c>
      <c r="AX83" s="61">
        <f t="shared" ref="AX83:AX88" si="452">LL83</f>
        <v>0</v>
      </c>
      <c r="AY83" s="61">
        <f t="shared" ref="AY83:AY88" si="453">LS83</f>
        <v>0</v>
      </c>
      <c r="AZ83" s="61">
        <f t="shared" ref="AZ83:AZ88" si="454">LZ83</f>
        <v>0</v>
      </c>
      <c r="BA83" s="61">
        <f t="shared" ref="BA83:BA88" si="455">MG83</f>
        <v>0</v>
      </c>
      <c r="BB83" s="61"/>
      <c r="BC83" s="61"/>
      <c r="BD83" s="61"/>
      <c r="BE83" s="61"/>
      <c r="BF83" s="61"/>
      <c r="BG83" s="61"/>
      <c r="BH83" s="61"/>
      <c r="BI83" s="61"/>
      <c r="BJ83" s="61"/>
      <c r="BK83" s="61"/>
      <c r="BL83" s="61"/>
      <c r="BM83" s="61"/>
      <c r="BO83" s="128" t="s">
        <v>326</v>
      </c>
      <c r="BP83" s="61"/>
      <c r="BQ83" s="61"/>
      <c r="BR83" s="61"/>
      <c r="BS83" s="61"/>
      <c r="BT83" s="61"/>
      <c r="BV83" s="128" t="s">
        <v>326</v>
      </c>
      <c r="BW83" s="61"/>
      <c r="BX83" s="61"/>
      <c r="BY83" s="61"/>
      <c r="BZ83" s="61"/>
      <c r="CA83" s="61"/>
      <c r="CC83" s="128" t="s">
        <v>326</v>
      </c>
      <c r="CD83" s="61"/>
      <c r="CE83" s="61"/>
      <c r="CF83" s="61"/>
      <c r="CG83" s="61"/>
      <c r="CH83" s="61"/>
      <c r="CJ83" s="128" t="s">
        <v>326</v>
      </c>
      <c r="CK83" s="61">
        <v>108.1</v>
      </c>
      <c r="CL83" s="61">
        <v>114.4</v>
      </c>
      <c r="CM83" s="61">
        <v>118.3</v>
      </c>
      <c r="CN83" s="61">
        <v>125</v>
      </c>
      <c r="CO83" s="61">
        <f>CK83+CL83+CM83+CN83</f>
        <v>465.8</v>
      </c>
      <c r="CQ83" s="128" t="s">
        <v>326</v>
      </c>
      <c r="CR83" s="61">
        <v>120</v>
      </c>
      <c r="CS83" s="61">
        <v>126</v>
      </c>
      <c r="CT83" s="61">
        <v>131</v>
      </c>
      <c r="CU83" s="61">
        <v>143</v>
      </c>
      <c r="CV83" s="61">
        <f>CR83+CS83+CT83+CU83</f>
        <v>520</v>
      </c>
      <c r="CX83" s="128" t="s">
        <v>326</v>
      </c>
      <c r="CY83" s="61">
        <v>136</v>
      </c>
      <c r="CZ83" s="61">
        <v>148</v>
      </c>
      <c r="DA83" s="61">
        <v>141</v>
      </c>
      <c r="DB83" s="61">
        <v>153</v>
      </c>
      <c r="DC83" s="61">
        <f>CY83+CZ83+DA83+DB83</f>
        <v>578</v>
      </c>
      <c r="DE83" s="128" t="s">
        <v>326</v>
      </c>
      <c r="DF83" s="61">
        <v>134</v>
      </c>
      <c r="DG83" s="61">
        <v>134</v>
      </c>
      <c r="DH83" s="61">
        <v>135</v>
      </c>
      <c r="DI83" s="61">
        <v>144</v>
      </c>
      <c r="DJ83" s="61">
        <f>DF83+DG83+DH83+DI83</f>
        <v>547</v>
      </c>
      <c r="DL83" s="128" t="s">
        <v>326</v>
      </c>
      <c r="DM83" s="61">
        <v>135</v>
      </c>
      <c r="DN83" s="61">
        <v>141</v>
      </c>
      <c r="DO83" s="61">
        <v>141</v>
      </c>
      <c r="DP83" s="61">
        <v>148</v>
      </c>
      <c r="DQ83" s="61">
        <f>DM83+DN83+DO83+DP83</f>
        <v>565</v>
      </c>
      <c r="DS83" s="128" t="s">
        <v>326</v>
      </c>
      <c r="DT83" s="61">
        <v>142</v>
      </c>
      <c r="DU83" s="61">
        <v>148</v>
      </c>
      <c r="DV83" s="61">
        <v>145</v>
      </c>
      <c r="DW83" s="61">
        <v>153</v>
      </c>
      <c r="DX83" s="61">
        <f>DT83+DU83+DV83+DW83</f>
        <v>588</v>
      </c>
      <c r="DZ83" s="128" t="s">
        <v>326</v>
      </c>
      <c r="EA83" s="61">
        <v>142</v>
      </c>
      <c r="EB83" s="61">
        <v>147</v>
      </c>
      <c r="EC83" s="61">
        <v>146</v>
      </c>
      <c r="ED83" s="61">
        <v>165</v>
      </c>
      <c r="EE83" s="61">
        <f t="shared" ref="EE83:EE88" si="456">EA83+EB83+EC83+ED83</f>
        <v>600</v>
      </c>
      <c r="EG83" s="128" t="s">
        <v>326</v>
      </c>
      <c r="EH83" s="61">
        <v>163</v>
      </c>
      <c r="EI83" s="61">
        <v>190</v>
      </c>
      <c r="EJ83" s="61">
        <v>264</v>
      </c>
      <c r="EK83" s="61">
        <v>276</v>
      </c>
      <c r="EL83" s="61">
        <f t="shared" ref="EL83:EL88" si="457">EH83+EI83+EJ83+EK83</f>
        <v>893</v>
      </c>
      <c r="EN83" s="128" t="s">
        <v>326</v>
      </c>
      <c r="EO83" s="61">
        <v>254</v>
      </c>
      <c r="EP83" s="61">
        <v>238</v>
      </c>
      <c r="EQ83" s="61">
        <v>217</v>
      </c>
      <c r="ER83" s="61">
        <v>222</v>
      </c>
      <c r="ES83" s="61">
        <f t="shared" ref="ES83:ES88" si="458">EO83+EP83+EQ83+ER83</f>
        <v>931</v>
      </c>
      <c r="EU83" s="128" t="s">
        <v>326</v>
      </c>
      <c r="EV83" s="61">
        <v>202</v>
      </c>
      <c r="EW83" s="61">
        <v>227</v>
      </c>
      <c r="EX83" s="61">
        <v>231</v>
      </c>
      <c r="EY83" s="61">
        <v>241</v>
      </c>
      <c r="EZ83" s="61">
        <f t="shared" ref="EZ83:EZ88" si="459">EV83+EW83+EX83+EY83</f>
        <v>901</v>
      </c>
      <c r="FB83" s="128" t="s">
        <v>326</v>
      </c>
      <c r="FC83" s="61">
        <v>220</v>
      </c>
      <c r="FD83" s="61">
        <v>242</v>
      </c>
      <c r="FE83" s="61">
        <v>252</v>
      </c>
      <c r="FF83" s="61">
        <v>268</v>
      </c>
      <c r="FG83" s="61">
        <f t="shared" ref="FG83:FG88" si="460">FC83+FD83+FE83+FF83</f>
        <v>982</v>
      </c>
      <c r="FI83" s="128" t="s">
        <v>326</v>
      </c>
      <c r="FJ83" s="61">
        <v>247</v>
      </c>
      <c r="FK83" s="61">
        <v>265</v>
      </c>
      <c r="FL83" s="61">
        <v>263</v>
      </c>
      <c r="FM83" s="61">
        <v>285</v>
      </c>
      <c r="FN83" s="61">
        <f t="shared" ref="FN83:FN88" si="461">FJ83+FK83+FL83+FM83</f>
        <v>1060</v>
      </c>
      <c r="FP83" s="128" t="s">
        <v>326</v>
      </c>
      <c r="FQ83" s="61">
        <v>254</v>
      </c>
      <c r="FR83" s="61">
        <v>267</v>
      </c>
      <c r="FS83" s="61">
        <v>239</v>
      </c>
      <c r="FT83" s="61">
        <v>268</v>
      </c>
      <c r="FU83" s="61">
        <f>FQ83+FR83+FS83+FT83</f>
        <v>1028</v>
      </c>
      <c r="FW83" s="128" t="s">
        <v>326</v>
      </c>
      <c r="FX83" s="61">
        <v>212</v>
      </c>
      <c r="FY83" s="61">
        <v>223</v>
      </c>
      <c r="FZ83" s="61">
        <v>216</v>
      </c>
      <c r="GA83" s="61">
        <v>240</v>
      </c>
      <c r="GB83" s="61">
        <f>FX83+FY83+FZ83+GA83</f>
        <v>891</v>
      </c>
      <c r="GD83" s="128" t="s">
        <v>326</v>
      </c>
      <c r="GE83" s="61">
        <v>214</v>
      </c>
      <c r="GF83" s="61">
        <v>221</v>
      </c>
      <c r="GG83" s="61">
        <v>226</v>
      </c>
      <c r="GH83" s="61">
        <v>237</v>
      </c>
      <c r="GI83" s="61">
        <f>GE83+GF83+GG83+GH83</f>
        <v>898</v>
      </c>
      <c r="GK83" s="128" t="s">
        <v>326</v>
      </c>
      <c r="GL83" s="61">
        <v>217</v>
      </c>
      <c r="GM83" s="61">
        <v>239</v>
      </c>
      <c r="GN83" s="61">
        <v>250</v>
      </c>
      <c r="GO83" s="61">
        <v>273</v>
      </c>
      <c r="GP83" s="61">
        <f>GL83+GM83+GN83+GO83</f>
        <v>979</v>
      </c>
      <c r="GR83" s="128" t="s">
        <v>326</v>
      </c>
      <c r="GS83" s="61">
        <v>255</v>
      </c>
      <c r="GT83" s="61">
        <v>268</v>
      </c>
      <c r="GU83" s="61">
        <v>274</v>
      </c>
      <c r="GV83" s="61">
        <v>272</v>
      </c>
      <c r="GW83" s="61">
        <f>GS83+GT83+GU83+GV83</f>
        <v>1069</v>
      </c>
      <c r="GY83" s="128" t="s">
        <v>326</v>
      </c>
      <c r="GZ83" s="61">
        <v>254</v>
      </c>
      <c r="HA83" s="61">
        <v>274</v>
      </c>
      <c r="HB83" s="61">
        <v>280</v>
      </c>
      <c r="HC83" s="61">
        <v>314</v>
      </c>
      <c r="HD83" s="61">
        <f>GZ83+HA83+HB83+HC83</f>
        <v>1122</v>
      </c>
      <c r="HF83" s="128" t="s">
        <v>326</v>
      </c>
      <c r="HG83" s="61">
        <v>281</v>
      </c>
      <c r="HH83" s="61">
        <v>295.90000000000003</v>
      </c>
      <c r="HI83" s="61">
        <v>287</v>
      </c>
      <c r="HJ83" s="61"/>
      <c r="HK83" s="61"/>
      <c r="HM83" s="128" t="s">
        <v>326</v>
      </c>
      <c r="HN83" s="61">
        <v>282.03000000000003</v>
      </c>
      <c r="HO83" s="61">
        <v>307.93</v>
      </c>
      <c r="HP83" s="61">
        <v>299.52</v>
      </c>
      <c r="HQ83" s="61">
        <v>318.45000000000005</v>
      </c>
      <c r="HR83" s="61">
        <f>HN83+HO83+HP83+HQ83</f>
        <v>1207.93</v>
      </c>
      <c r="HT83" s="128" t="s">
        <v>326</v>
      </c>
      <c r="HU83" s="61">
        <v>306</v>
      </c>
      <c r="HV83" s="61">
        <v>327.08</v>
      </c>
      <c r="HW83" s="61">
        <v>317.22000000000003</v>
      </c>
      <c r="HX83" s="61">
        <v>324</v>
      </c>
      <c r="HY83" s="61">
        <f>HU83+HV83+HW83+HX83</f>
        <v>1274.3</v>
      </c>
      <c r="IA83" s="128" t="s">
        <v>326</v>
      </c>
      <c r="IB83" s="61">
        <v>319.8</v>
      </c>
      <c r="IC83" s="61">
        <v>341.32</v>
      </c>
      <c r="ID83" s="61">
        <v>348.21000000000004</v>
      </c>
      <c r="IE83" s="61">
        <v>366.3</v>
      </c>
      <c r="IF83" s="61">
        <f>IB83+IC83+ID83+IE83</f>
        <v>1375.63</v>
      </c>
      <c r="IH83" s="128" t="s">
        <v>326</v>
      </c>
      <c r="II83" s="61">
        <v>342.91</v>
      </c>
      <c r="IJ83" s="61">
        <v>366.23</v>
      </c>
      <c r="IK83" s="61">
        <v>373.14000000000004</v>
      </c>
      <c r="IL83" s="61">
        <f>0.57*IL85</f>
        <v>398.42999999999995</v>
      </c>
      <c r="IM83" s="61">
        <f>II83+IJ83+IK83+IL83</f>
        <v>1480.71</v>
      </c>
      <c r="IO83" s="128" t="s">
        <v>326</v>
      </c>
      <c r="IP83" s="61">
        <f>0.57*IP85</f>
        <v>373.34999999999997</v>
      </c>
      <c r="IQ83" s="61">
        <f>0.56*IQ85</f>
        <v>404.88000000000005</v>
      </c>
      <c r="IR83" s="61">
        <f>0.59*IR85</f>
        <v>431.28999999999996</v>
      </c>
      <c r="IS83" s="61">
        <f>0.62*IS85</f>
        <v>451.98</v>
      </c>
      <c r="IT83" s="61">
        <f>IP83+IQ83+IR83+IS83</f>
        <v>1661.5</v>
      </c>
      <c r="IV83" s="128" t="s">
        <v>326</v>
      </c>
      <c r="IW83" s="61">
        <f>0.62*IW85</f>
        <v>420.36</v>
      </c>
      <c r="IX83" s="61">
        <f>0.61*IX85</f>
        <v>423.34</v>
      </c>
      <c r="IY83" s="61">
        <f>0.61*IY85</f>
        <v>415.40999999999997</v>
      </c>
      <c r="IZ83" s="61">
        <f>0.63*IZ85</f>
        <v>477.54</v>
      </c>
      <c r="JA83" s="61">
        <f>IW83+IX83+IY83+IZ83</f>
        <v>1736.65</v>
      </c>
      <c r="JC83" s="128" t="s">
        <v>326</v>
      </c>
      <c r="JD83" s="61">
        <f>0.62*JD85</f>
        <v>426.56</v>
      </c>
      <c r="JE83" s="61">
        <f>0.6*JE85</f>
        <v>430.8</v>
      </c>
      <c r="JF83" s="61">
        <f>0.59*JF85</f>
        <v>423.62</v>
      </c>
      <c r="JG83" s="61">
        <f>0.63*JG85</f>
        <v>452.97</v>
      </c>
      <c r="JH83" s="61">
        <f>JD83+JE83+JF83+JG83</f>
        <v>1733.95</v>
      </c>
      <c r="JJ83" s="128" t="s">
        <v>326</v>
      </c>
      <c r="JK83" s="61">
        <f>0.62*JK85</f>
        <v>427.18</v>
      </c>
      <c r="JL83" s="61">
        <f>0.6*JL85</f>
        <v>441</v>
      </c>
      <c r="JM83" s="61">
        <f>0.59*JM85</f>
        <v>436.01</v>
      </c>
      <c r="JN83" s="61">
        <f>0.63*JN85</f>
        <v>461.16</v>
      </c>
      <c r="JO83" s="61">
        <f>JK83+JL83+JM83+JN83</f>
        <v>1765.3500000000001</v>
      </c>
      <c r="JQ83" s="128" t="s">
        <v>326</v>
      </c>
      <c r="JR83" s="61"/>
      <c r="JS83" s="61"/>
      <c r="JT83" s="61"/>
      <c r="JU83" s="61"/>
      <c r="JV83" s="61"/>
      <c r="JX83" s="128" t="s">
        <v>326</v>
      </c>
      <c r="JY83" s="61"/>
      <c r="JZ83" s="61"/>
      <c r="KA83" s="61"/>
      <c r="KB83" s="61"/>
      <c r="KC83" s="61"/>
      <c r="KE83" s="128" t="s">
        <v>326</v>
      </c>
      <c r="KF83" s="61"/>
      <c r="KG83" s="61"/>
      <c r="KH83" s="61"/>
      <c r="KI83" s="61"/>
      <c r="KJ83" s="61"/>
      <c r="KL83" s="128" t="s">
        <v>326</v>
      </c>
      <c r="KM83" s="61"/>
      <c r="KN83" s="61"/>
      <c r="KO83" s="61"/>
      <c r="KP83" s="61"/>
      <c r="KQ83" s="61"/>
      <c r="KS83" s="128" t="s">
        <v>326</v>
      </c>
      <c r="KT83" s="61"/>
      <c r="KU83" s="61"/>
      <c r="KV83" s="129"/>
      <c r="KW83" s="61"/>
      <c r="KX83" s="61"/>
      <c r="KZ83" s="128" t="s">
        <v>326</v>
      </c>
      <c r="LA83" s="61"/>
      <c r="LB83" s="129"/>
      <c r="LC83" s="129"/>
      <c r="LD83" s="129"/>
      <c r="LE83" s="129"/>
      <c r="LF83" s="558"/>
      <c r="LG83" s="128" t="s">
        <v>326</v>
      </c>
      <c r="LH83" s="129"/>
      <c r="LI83" s="129"/>
      <c r="LJ83" s="129"/>
      <c r="LK83" s="129"/>
      <c r="LL83" s="129"/>
      <c r="LM83" s="558"/>
      <c r="LN83" s="128" t="s">
        <v>326</v>
      </c>
      <c r="LO83" s="129"/>
      <c r="LP83" s="129"/>
      <c r="LQ83" s="129"/>
      <c r="LR83" s="129"/>
      <c r="LS83" s="129"/>
      <c r="LT83" s="558"/>
      <c r="LU83" s="128" t="s">
        <v>326</v>
      </c>
      <c r="LV83" s="129"/>
      <c r="LW83" s="129"/>
      <c r="LX83" s="129"/>
      <c r="LY83" s="129"/>
      <c r="LZ83" s="129"/>
      <c r="MA83" s="558"/>
      <c r="MB83" s="128" t="s">
        <v>326</v>
      </c>
      <c r="MC83" s="129"/>
      <c r="MD83" s="129"/>
      <c r="ME83" s="129"/>
      <c r="MF83" s="129"/>
      <c r="MG83" s="129"/>
      <c r="MH83" s="558"/>
    </row>
    <row r="84" spans="1:346" s="37" customFormat="1" ht="13.15" hidden="1" outlineLevel="1" x14ac:dyDescent="0.4">
      <c r="A84" s="100"/>
      <c r="B84" s="128" t="s">
        <v>327</v>
      </c>
      <c r="C84" s="129"/>
      <c r="D84" s="129"/>
      <c r="E84" s="129"/>
      <c r="F84" s="129"/>
      <c r="G84" s="129"/>
      <c r="H84" s="129"/>
      <c r="I84" s="129"/>
      <c r="J84" s="129"/>
      <c r="K84" s="129"/>
      <c r="L84" s="129"/>
      <c r="M84" s="129"/>
      <c r="N84" s="61">
        <f t="shared" si="416"/>
        <v>0</v>
      </c>
      <c r="O84" s="61">
        <f t="shared" si="417"/>
        <v>0</v>
      </c>
      <c r="P84" s="61">
        <f t="shared" si="418"/>
        <v>0</v>
      </c>
      <c r="Q84" s="61">
        <f t="shared" si="419"/>
        <v>617.9</v>
      </c>
      <c r="R84" s="61">
        <f t="shared" si="420"/>
        <v>621</v>
      </c>
      <c r="S84" s="61">
        <f t="shared" si="421"/>
        <v>705</v>
      </c>
      <c r="T84" s="61">
        <f t="shared" si="422"/>
        <v>425</v>
      </c>
      <c r="U84" s="61">
        <f t="shared" si="423"/>
        <v>415</v>
      </c>
      <c r="V84" s="61">
        <f t="shared" si="424"/>
        <v>442</v>
      </c>
      <c r="W84" s="61">
        <f t="shared" si="425"/>
        <v>441</v>
      </c>
      <c r="X84" s="61">
        <f t="shared" si="426"/>
        <v>752</v>
      </c>
      <c r="Y84" s="61">
        <f t="shared" si="427"/>
        <v>1121</v>
      </c>
      <c r="Z84" s="61">
        <f t="shared" si="428"/>
        <v>1103</v>
      </c>
      <c r="AA84" s="61">
        <f t="shared" si="429"/>
        <v>1137</v>
      </c>
      <c r="AB84" s="61">
        <f t="shared" si="430"/>
        <v>1170</v>
      </c>
      <c r="AC84" s="61">
        <f t="shared" si="431"/>
        <v>1278</v>
      </c>
      <c r="AD84" s="61">
        <f t="shared" si="432"/>
        <v>1274</v>
      </c>
      <c r="AE84" s="61">
        <f t="shared" si="433"/>
        <v>1281</v>
      </c>
      <c r="AF84" s="61">
        <f t="shared" si="434"/>
        <v>1132</v>
      </c>
      <c r="AG84" s="61">
        <f t="shared" si="435"/>
        <v>1000</v>
      </c>
      <c r="AH84" s="61">
        <f t="shared" si="436"/>
        <v>780</v>
      </c>
      <c r="AI84" s="61">
        <f t="shared" si="437"/>
        <v>0</v>
      </c>
      <c r="AJ84" s="61">
        <f t="shared" si="438"/>
        <v>1081.07</v>
      </c>
      <c r="AK84" s="61">
        <f t="shared" si="439"/>
        <v>1176.7</v>
      </c>
      <c r="AL84" s="61">
        <f t="shared" si="440"/>
        <v>1206.3699999999999</v>
      </c>
      <c r="AM84" s="61">
        <f t="shared" si="441"/>
        <v>1247.29</v>
      </c>
      <c r="AN84" s="61">
        <f t="shared" si="442"/>
        <v>1176.5</v>
      </c>
      <c r="AO84" s="61">
        <f t="shared" si="443"/>
        <v>1074.3499999999999</v>
      </c>
      <c r="AP84" s="61">
        <f t="shared" si="444"/>
        <v>1109.05</v>
      </c>
      <c r="AQ84" s="61">
        <f t="shared" si="445"/>
        <v>1129.6499999999999</v>
      </c>
      <c r="AR84" s="61">
        <f t="shared" si="446"/>
        <v>0</v>
      </c>
      <c r="AS84" s="61">
        <f t="shared" si="447"/>
        <v>0</v>
      </c>
      <c r="AT84" s="61">
        <f t="shared" si="448"/>
        <v>0</v>
      </c>
      <c r="AU84" s="61">
        <f t="shared" si="449"/>
        <v>0</v>
      </c>
      <c r="AV84" s="61">
        <f t="shared" si="450"/>
        <v>0</v>
      </c>
      <c r="AW84" s="61">
        <f t="shared" si="451"/>
        <v>0</v>
      </c>
      <c r="AX84" s="61">
        <f t="shared" si="452"/>
        <v>0</v>
      </c>
      <c r="AY84" s="61">
        <f t="shared" si="453"/>
        <v>0</v>
      </c>
      <c r="AZ84" s="61">
        <f t="shared" si="454"/>
        <v>0</v>
      </c>
      <c r="BA84" s="61">
        <f t="shared" si="455"/>
        <v>0</v>
      </c>
      <c r="BB84" s="61"/>
      <c r="BC84" s="61"/>
      <c r="BD84" s="61"/>
      <c r="BE84" s="61"/>
      <c r="BF84" s="61"/>
      <c r="BG84" s="61"/>
      <c r="BH84" s="61"/>
      <c r="BI84" s="61"/>
      <c r="BJ84" s="61"/>
      <c r="BK84" s="61"/>
      <c r="BL84" s="61"/>
      <c r="BM84" s="61"/>
      <c r="BO84" s="128" t="s">
        <v>327</v>
      </c>
      <c r="BP84" s="61"/>
      <c r="BQ84" s="61"/>
      <c r="BR84" s="61"/>
      <c r="BS84" s="61"/>
      <c r="BT84" s="61"/>
      <c r="BV84" s="128" t="s">
        <v>327</v>
      </c>
      <c r="BW84" s="61"/>
      <c r="BX84" s="61"/>
      <c r="BY84" s="61"/>
      <c r="BZ84" s="61"/>
      <c r="CA84" s="61"/>
      <c r="CC84" s="128" t="s">
        <v>327</v>
      </c>
      <c r="CD84" s="61"/>
      <c r="CE84" s="61"/>
      <c r="CF84" s="61"/>
      <c r="CG84" s="61"/>
      <c r="CH84" s="61"/>
      <c r="CJ84" s="128" t="s">
        <v>327</v>
      </c>
      <c r="CK84" s="61">
        <v>153.19999999999999</v>
      </c>
      <c r="CL84" s="61">
        <v>149</v>
      </c>
      <c r="CM84" s="61">
        <v>153.69999999999999</v>
      </c>
      <c r="CN84" s="61">
        <v>162</v>
      </c>
      <c r="CO84" s="61">
        <f>CK84+CL84+CM84+CN84</f>
        <v>617.9</v>
      </c>
      <c r="CQ84" s="128" t="s">
        <v>327</v>
      </c>
      <c r="CR84" s="61">
        <v>149</v>
      </c>
      <c r="CS84" s="61">
        <v>148</v>
      </c>
      <c r="CT84" s="61">
        <v>158</v>
      </c>
      <c r="CU84" s="61">
        <v>166</v>
      </c>
      <c r="CV84" s="61">
        <f>CR84+CS84+CT84+CU84</f>
        <v>621</v>
      </c>
      <c r="CX84" s="128" t="s">
        <v>327</v>
      </c>
      <c r="CY84" s="61">
        <v>166</v>
      </c>
      <c r="CZ84" s="61">
        <v>173</v>
      </c>
      <c r="DA84" s="61">
        <v>179</v>
      </c>
      <c r="DB84" s="61">
        <v>187</v>
      </c>
      <c r="DC84" s="61">
        <f>CY84+CZ84+DA84+DB84</f>
        <v>705</v>
      </c>
      <c r="DE84" s="128" t="s">
        <v>327</v>
      </c>
      <c r="DF84" s="61">
        <v>105</v>
      </c>
      <c r="DG84" s="61">
        <v>108</v>
      </c>
      <c r="DH84" s="61">
        <v>106</v>
      </c>
      <c r="DI84" s="61">
        <v>106</v>
      </c>
      <c r="DJ84" s="61">
        <f>DF84+DG84+DH84+DI84</f>
        <v>425</v>
      </c>
      <c r="DL84" s="128" t="s">
        <v>327</v>
      </c>
      <c r="DM84" s="61">
        <v>101</v>
      </c>
      <c r="DN84" s="61">
        <v>104</v>
      </c>
      <c r="DO84" s="61">
        <v>105</v>
      </c>
      <c r="DP84" s="61">
        <v>105</v>
      </c>
      <c r="DQ84" s="61">
        <f>DM84+DN84+DO84+DP84</f>
        <v>415</v>
      </c>
      <c r="DS84" s="128" t="s">
        <v>327</v>
      </c>
      <c r="DT84" s="61">
        <v>106</v>
      </c>
      <c r="DU84" s="61">
        <v>111</v>
      </c>
      <c r="DV84" s="61">
        <v>114</v>
      </c>
      <c r="DW84" s="61">
        <v>111</v>
      </c>
      <c r="DX84" s="61">
        <f>DT84+DU84+DV84+DW84</f>
        <v>442</v>
      </c>
      <c r="DZ84" s="128" t="s">
        <v>327</v>
      </c>
      <c r="EA84" s="61">
        <v>110</v>
      </c>
      <c r="EB84" s="61">
        <v>109</v>
      </c>
      <c r="EC84" s="61">
        <v>113</v>
      </c>
      <c r="ED84" s="61">
        <v>109</v>
      </c>
      <c r="EE84" s="61">
        <f t="shared" si="456"/>
        <v>441</v>
      </c>
      <c r="EG84" s="128" t="s">
        <v>327</v>
      </c>
      <c r="EH84" s="61">
        <v>113</v>
      </c>
      <c r="EI84" s="61">
        <v>156</v>
      </c>
      <c r="EJ84" s="61">
        <v>240</v>
      </c>
      <c r="EK84" s="61">
        <v>243</v>
      </c>
      <c r="EL84" s="61">
        <f t="shared" si="457"/>
        <v>752</v>
      </c>
      <c r="EN84" s="128" t="s">
        <v>327</v>
      </c>
      <c r="EO84" s="61">
        <v>274</v>
      </c>
      <c r="EP84" s="61">
        <v>281</v>
      </c>
      <c r="EQ84" s="61">
        <v>291</v>
      </c>
      <c r="ER84" s="61">
        <v>275</v>
      </c>
      <c r="ES84" s="61">
        <f t="shared" si="458"/>
        <v>1121</v>
      </c>
      <c r="EU84" s="128" t="s">
        <v>327</v>
      </c>
      <c r="EV84" s="61">
        <v>279</v>
      </c>
      <c r="EW84" s="61">
        <v>270</v>
      </c>
      <c r="EX84" s="61">
        <v>286</v>
      </c>
      <c r="EY84" s="61">
        <v>268</v>
      </c>
      <c r="EZ84" s="61">
        <f t="shared" si="459"/>
        <v>1103</v>
      </c>
      <c r="FB84" s="128" t="s">
        <v>327</v>
      </c>
      <c r="FC84" s="61">
        <v>261</v>
      </c>
      <c r="FD84" s="61">
        <v>295</v>
      </c>
      <c r="FE84" s="61">
        <v>314</v>
      </c>
      <c r="FF84" s="61">
        <v>267</v>
      </c>
      <c r="FG84" s="61">
        <f t="shared" si="460"/>
        <v>1137</v>
      </c>
      <c r="FI84" s="128" t="s">
        <v>327</v>
      </c>
      <c r="FJ84" s="61">
        <v>279</v>
      </c>
      <c r="FK84" s="61">
        <v>300</v>
      </c>
      <c r="FL84" s="61">
        <v>301</v>
      </c>
      <c r="FM84" s="61">
        <v>290</v>
      </c>
      <c r="FN84" s="61">
        <f t="shared" si="461"/>
        <v>1170</v>
      </c>
      <c r="FP84" s="128" t="s">
        <v>327</v>
      </c>
      <c r="FQ84" s="61">
        <v>295</v>
      </c>
      <c r="FR84" s="61">
        <v>322</v>
      </c>
      <c r="FS84" s="61">
        <v>320</v>
      </c>
      <c r="FT84" s="61">
        <v>341</v>
      </c>
      <c r="FU84" s="61">
        <f>FQ84+FR84+FS84+FT84</f>
        <v>1278</v>
      </c>
      <c r="FW84" s="128" t="s">
        <v>327</v>
      </c>
      <c r="FX84" s="61">
        <v>316</v>
      </c>
      <c r="FY84" s="61">
        <v>320</v>
      </c>
      <c r="FZ84" s="61">
        <v>328</v>
      </c>
      <c r="GA84" s="61">
        <v>310</v>
      </c>
      <c r="GB84" s="61">
        <f>FX84+FY84+FZ84+GA84</f>
        <v>1274</v>
      </c>
      <c r="GD84" s="128" t="s">
        <v>327</v>
      </c>
      <c r="GE84" s="61">
        <v>302</v>
      </c>
      <c r="GF84" s="61">
        <v>326</v>
      </c>
      <c r="GG84" s="61">
        <v>338</v>
      </c>
      <c r="GH84" s="61">
        <v>315</v>
      </c>
      <c r="GI84" s="61">
        <f>GE84+GF84+GG84+GH84</f>
        <v>1281</v>
      </c>
      <c r="GK84" s="128" t="s">
        <v>327</v>
      </c>
      <c r="GL84" s="61">
        <v>292</v>
      </c>
      <c r="GM84" s="61">
        <v>300</v>
      </c>
      <c r="GN84" s="61">
        <v>280</v>
      </c>
      <c r="GO84" s="61">
        <v>260</v>
      </c>
      <c r="GP84" s="61">
        <f>GL84+GM84+GN84+GO84</f>
        <v>1132</v>
      </c>
      <c r="GR84" s="128" t="s">
        <v>327</v>
      </c>
      <c r="GS84" s="61">
        <v>253</v>
      </c>
      <c r="GT84" s="61">
        <v>262</v>
      </c>
      <c r="GU84" s="61">
        <v>258</v>
      </c>
      <c r="GV84" s="61">
        <v>227</v>
      </c>
      <c r="GW84" s="61">
        <f>GS84+GT84+GU84+GV84</f>
        <v>1000</v>
      </c>
      <c r="GY84" s="128" t="s">
        <v>327</v>
      </c>
      <c r="GZ84" s="61">
        <v>186</v>
      </c>
      <c r="HA84" s="61">
        <v>183</v>
      </c>
      <c r="HB84" s="61">
        <v>201</v>
      </c>
      <c r="HC84" s="61">
        <v>210</v>
      </c>
      <c r="HD84" s="61">
        <f>GZ84+HA84+HB84+HC84</f>
        <v>780</v>
      </c>
      <c r="HF84" s="128" t="s">
        <v>327</v>
      </c>
      <c r="HG84" s="61">
        <v>219</v>
      </c>
      <c r="HH84" s="61">
        <v>242.09999999999997</v>
      </c>
      <c r="HI84" s="61">
        <v>287</v>
      </c>
      <c r="HJ84" s="61"/>
      <c r="HK84" s="61"/>
      <c r="HM84" s="128" t="s">
        <v>327</v>
      </c>
      <c r="HN84" s="61">
        <v>270.96999999999997</v>
      </c>
      <c r="HO84" s="61">
        <v>273.07</v>
      </c>
      <c r="HP84" s="61">
        <v>276.48</v>
      </c>
      <c r="HQ84" s="61">
        <v>260.54999999999995</v>
      </c>
      <c r="HR84" s="61">
        <f>HN84+HO84+HP84+HQ84</f>
        <v>1081.07</v>
      </c>
      <c r="HT84" s="128" t="s">
        <v>327</v>
      </c>
      <c r="HU84" s="61">
        <v>294</v>
      </c>
      <c r="HV84" s="61">
        <v>301.92</v>
      </c>
      <c r="HW84" s="61">
        <v>304.77999999999997</v>
      </c>
      <c r="HX84" s="61">
        <v>276</v>
      </c>
      <c r="HY84" s="61">
        <f>HU84+HV84+HW84+HX84</f>
        <v>1176.7</v>
      </c>
      <c r="IA84" s="128" t="s">
        <v>327</v>
      </c>
      <c r="IB84" s="61">
        <v>295.2</v>
      </c>
      <c r="IC84" s="61">
        <v>302.68</v>
      </c>
      <c r="ID84" s="61">
        <v>308.78999999999996</v>
      </c>
      <c r="IE84" s="61">
        <v>299.7</v>
      </c>
      <c r="IF84" s="61">
        <f>IB84+IC84+ID84+IE84</f>
        <v>1206.3699999999999</v>
      </c>
      <c r="IH84" s="128" t="s">
        <v>327</v>
      </c>
      <c r="II84" s="61">
        <v>304.08999999999997</v>
      </c>
      <c r="IJ84" s="61">
        <v>324.77</v>
      </c>
      <c r="IK84" s="61">
        <v>317.85999999999996</v>
      </c>
      <c r="IL84" s="61">
        <f>IL85-IL83</f>
        <v>300.57000000000005</v>
      </c>
      <c r="IM84" s="61">
        <f>II84+IJ84+IK84+IL84</f>
        <v>1247.29</v>
      </c>
      <c r="IO84" s="128" t="s">
        <v>327</v>
      </c>
      <c r="IP84" s="61">
        <f>IP85-IP83</f>
        <v>281.65000000000003</v>
      </c>
      <c r="IQ84" s="61">
        <f>IQ85-IQ83</f>
        <v>318.11999999999995</v>
      </c>
      <c r="IR84" s="61">
        <f>IR85-IR83</f>
        <v>299.71000000000004</v>
      </c>
      <c r="IS84" s="61">
        <f>IS85-IS83</f>
        <v>277.02</v>
      </c>
      <c r="IT84" s="61">
        <f>IP84+IQ84+IR84+IS84</f>
        <v>1176.5</v>
      </c>
      <c r="IV84" s="128" t="s">
        <v>327</v>
      </c>
      <c r="IW84" s="61">
        <f>IW85-IW83</f>
        <v>257.64</v>
      </c>
      <c r="IX84" s="61">
        <f>IX85-IX83</f>
        <v>270.66000000000003</v>
      </c>
      <c r="IY84" s="61">
        <f>IY85-IY83</f>
        <v>265.59000000000003</v>
      </c>
      <c r="IZ84" s="61">
        <f>IZ85-IZ83</f>
        <v>280.45999999999998</v>
      </c>
      <c r="JA84" s="61">
        <f>IW84+IX84+IY84+IZ84</f>
        <v>1074.3499999999999</v>
      </c>
      <c r="JC84" s="128" t="s">
        <v>327</v>
      </c>
      <c r="JD84" s="61">
        <f>JD85-JD83</f>
        <v>261.44</v>
      </c>
      <c r="JE84" s="61">
        <f>JE85-JE83</f>
        <v>287.2</v>
      </c>
      <c r="JF84" s="61">
        <f>JF85-JF83</f>
        <v>294.38</v>
      </c>
      <c r="JG84" s="61">
        <f>JG85-JG83</f>
        <v>266.02999999999997</v>
      </c>
      <c r="JH84" s="61">
        <f>JD84+JE84+JF84+JG84</f>
        <v>1109.05</v>
      </c>
      <c r="JJ84" s="128" t="s">
        <v>327</v>
      </c>
      <c r="JK84" s="61">
        <f>JK85-JK83</f>
        <v>261.82</v>
      </c>
      <c r="JL84" s="61">
        <f>JL85-JL83</f>
        <v>294</v>
      </c>
      <c r="JM84" s="61">
        <f>JM85-JM83</f>
        <v>302.99</v>
      </c>
      <c r="JN84" s="61">
        <f>JN85-JN83</f>
        <v>270.83999999999997</v>
      </c>
      <c r="JO84" s="61">
        <f>JK84+JL84+JM84+JN84</f>
        <v>1129.6499999999999</v>
      </c>
      <c r="JQ84" s="128" t="s">
        <v>327</v>
      </c>
      <c r="JR84" s="61"/>
      <c r="JS84" s="61"/>
      <c r="JT84" s="61"/>
      <c r="JU84" s="61"/>
      <c r="JV84" s="61"/>
      <c r="JX84" s="128" t="s">
        <v>327</v>
      </c>
      <c r="JY84" s="61"/>
      <c r="JZ84" s="61"/>
      <c r="KA84" s="61"/>
      <c r="KB84" s="61"/>
      <c r="KC84" s="61"/>
      <c r="KE84" s="128" t="s">
        <v>327</v>
      </c>
      <c r="KF84" s="61"/>
      <c r="KG84" s="61"/>
      <c r="KH84" s="61"/>
      <c r="KI84" s="61"/>
      <c r="KJ84" s="61"/>
      <c r="KL84" s="128" t="s">
        <v>327</v>
      </c>
      <c r="KM84" s="61"/>
      <c r="KN84" s="61"/>
      <c r="KO84" s="61"/>
      <c r="KP84" s="61"/>
      <c r="KQ84" s="61"/>
      <c r="KS84" s="128" t="s">
        <v>327</v>
      </c>
      <c r="KT84" s="61"/>
      <c r="KU84" s="61"/>
      <c r="KV84" s="129"/>
      <c r="KW84" s="61"/>
      <c r="KX84" s="61"/>
      <c r="KZ84" s="128" t="s">
        <v>327</v>
      </c>
      <c r="LA84" s="61"/>
      <c r="LB84" s="129"/>
      <c r="LC84" s="129"/>
      <c r="LD84" s="129"/>
      <c r="LE84" s="129"/>
      <c r="LF84" s="558"/>
      <c r="LG84" s="128" t="s">
        <v>327</v>
      </c>
      <c r="LH84" s="129"/>
      <c r="LI84" s="129"/>
      <c r="LJ84" s="129"/>
      <c r="LK84" s="129"/>
      <c r="LL84" s="129"/>
      <c r="LM84" s="558"/>
      <c r="LN84" s="128" t="s">
        <v>327</v>
      </c>
      <c r="LO84" s="129"/>
      <c r="LP84" s="129"/>
      <c r="LQ84" s="129"/>
      <c r="LR84" s="129"/>
      <c r="LS84" s="129"/>
      <c r="LT84" s="558"/>
      <c r="LU84" s="128" t="s">
        <v>327</v>
      </c>
      <c r="LV84" s="129"/>
      <c r="LW84" s="129"/>
      <c r="LX84" s="129"/>
      <c r="LY84" s="129"/>
      <c r="LZ84" s="129"/>
      <c r="MA84" s="558"/>
      <c r="MB84" s="128" t="s">
        <v>327</v>
      </c>
      <c r="MC84" s="129"/>
      <c r="MD84" s="129"/>
      <c r="ME84" s="129"/>
      <c r="MF84" s="129"/>
      <c r="MG84" s="129"/>
      <c r="MH84" s="558"/>
    </row>
    <row r="85" spans="1:346" s="158" customFormat="1" ht="13.15" collapsed="1" x14ac:dyDescent="0.4">
      <c r="A85" s="604"/>
      <c r="B85" s="605" t="s">
        <v>32</v>
      </c>
      <c r="C85" s="606"/>
      <c r="D85" s="606"/>
      <c r="E85" s="606">
        <f>616</f>
        <v>616</v>
      </c>
      <c r="F85" s="606">
        <f>574.4</f>
        <v>574.4</v>
      </c>
      <c r="G85" s="606">
        <f>623.4</f>
        <v>623.4</v>
      </c>
      <c r="H85" s="606">
        <v>763</v>
      </c>
      <c r="I85" s="606">
        <v>845</v>
      </c>
      <c r="J85" s="606">
        <v>780</v>
      </c>
      <c r="K85" s="606">
        <v>854</v>
      </c>
      <c r="L85" s="606">
        <v>1023</v>
      </c>
      <c r="M85" s="606">
        <v>1032</v>
      </c>
      <c r="N85" s="607">
        <f t="shared" si="416"/>
        <v>987</v>
      </c>
      <c r="O85" s="607">
        <f t="shared" si="417"/>
        <v>980</v>
      </c>
      <c r="P85" s="607">
        <f t="shared" si="418"/>
        <v>1023</v>
      </c>
      <c r="Q85" s="607">
        <f t="shared" si="419"/>
        <v>1083.6999999999998</v>
      </c>
      <c r="R85" s="607">
        <f t="shared" si="420"/>
        <v>1141</v>
      </c>
      <c r="S85" s="607">
        <f t="shared" si="421"/>
        <v>1283</v>
      </c>
      <c r="T85" s="607">
        <f t="shared" si="422"/>
        <v>972</v>
      </c>
      <c r="U85" s="607">
        <f t="shared" si="423"/>
        <v>980</v>
      </c>
      <c r="V85" s="607">
        <f t="shared" si="424"/>
        <v>1030</v>
      </c>
      <c r="W85" s="607">
        <f t="shared" si="425"/>
        <v>1041</v>
      </c>
      <c r="X85" s="607">
        <f t="shared" si="426"/>
        <v>1645</v>
      </c>
      <c r="Y85" s="607">
        <f t="shared" si="427"/>
        <v>2052</v>
      </c>
      <c r="Z85" s="607">
        <f t="shared" si="428"/>
        <v>2004</v>
      </c>
      <c r="AA85" s="607">
        <f t="shared" si="429"/>
        <v>2119</v>
      </c>
      <c r="AB85" s="607">
        <f t="shared" si="430"/>
        <v>2230</v>
      </c>
      <c r="AC85" s="607">
        <f t="shared" si="431"/>
        <v>2306</v>
      </c>
      <c r="AD85" s="607">
        <f t="shared" si="432"/>
        <v>2165</v>
      </c>
      <c r="AE85" s="607">
        <f t="shared" si="433"/>
        <v>2179</v>
      </c>
      <c r="AF85" s="607">
        <f t="shared" si="434"/>
        <v>2111</v>
      </c>
      <c r="AG85" s="607">
        <f t="shared" si="435"/>
        <v>2069</v>
      </c>
      <c r="AH85" s="607">
        <f t="shared" si="436"/>
        <v>1902</v>
      </c>
      <c r="AI85" s="607">
        <f t="shared" si="437"/>
        <v>2223</v>
      </c>
      <c r="AJ85" s="607">
        <f t="shared" si="438"/>
        <v>2289</v>
      </c>
      <c r="AK85" s="607">
        <f t="shared" si="439"/>
        <v>2451</v>
      </c>
      <c r="AL85" s="607">
        <f t="shared" si="440"/>
        <v>2582</v>
      </c>
      <c r="AM85" s="607">
        <f t="shared" si="441"/>
        <v>2728</v>
      </c>
      <c r="AN85" s="607">
        <f t="shared" si="442"/>
        <v>2838</v>
      </c>
      <c r="AO85" s="607">
        <f t="shared" si="443"/>
        <v>2811</v>
      </c>
      <c r="AP85" s="607">
        <f t="shared" si="444"/>
        <v>2843</v>
      </c>
      <c r="AQ85" s="607">
        <f t="shared" si="445"/>
        <v>2895</v>
      </c>
      <c r="AR85" s="607">
        <f t="shared" si="446"/>
        <v>2670</v>
      </c>
      <c r="AS85" s="607">
        <f t="shared" si="447"/>
        <v>2720</v>
      </c>
      <c r="AT85" s="607">
        <f t="shared" si="448"/>
        <v>2976</v>
      </c>
      <c r="AU85" s="607">
        <f t="shared" si="449"/>
        <v>2963</v>
      </c>
      <c r="AV85" s="607">
        <f t="shared" si="450"/>
        <v>2766</v>
      </c>
      <c r="AW85" s="607">
        <f t="shared" si="451"/>
        <v>2893</v>
      </c>
      <c r="AX85" s="607">
        <f t="shared" si="452"/>
        <v>2995</v>
      </c>
      <c r="AY85" s="607">
        <f t="shared" si="453"/>
        <v>3141.17</v>
      </c>
      <c r="AZ85" s="607">
        <f t="shared" si="454"/>
        <v>3235.4051000000004</v>
      </c>
      <c r="BA85" s="607">
        <f t="shared" si="455"/>
        <v>3332.4672529999998</v>
      </c>
      <c r="BB85" s="607"/>
      <c r="BC85" s="607"/>
      <c r="BD85" s="607"/>
      <c r="BE85" s="607"/>
      <c r="BF85" s="607"/>
      <c r="BG85" s="607"/>
      <c r="BH85" s="607"/>
      <c r="BI85" s="607"/>
      <c r="BJ85" s="607"/>
      <c r="BK85" s="607"/>
      <c r="BL85" s="607"/>
      <c r="BM85" s="607"/>
      <c r="BO85" s="605" t="s">
        <v>32</v>
      </c>
      <c r="BP85" s="607">
        <f>BW85+7</f>
        <v>240</v>
      </c>
      <c r="BQ85" s="607">
        <f>BX85+7</f>
        <v>245</v>
      </c>
      <c r="BR85" s="607">
        <f>BY85-4</f>
        <v>243</v>
      </c>
      <c r="BS85" s="607">
        <f>BZ85-3</f>
        <v>259</v>
      </c>
      <c r="BT85" s="607">
        <f>BP85+BQ85+BR85+BS85</f>
        <v>987</v>
      </c>
      <c r="BV85" s="605" t="s">
        <v>32</v>
      </c>
      <c r="BW85" s="607">
        <v>233</v>
      </c>
      <c r="BX85" s="607">
        <v>238</v>
      </c>
      <c r="BY85" s="607">
        <v>247</v>
      </c>
      <c r="BZ85" s="607">
        <v>262</v>
      </c>
      <c r="CA85" s="607">
        <f>BW85+BX85+BY85+BZ85</f>
        <v>980</v>
      </c>
      <c r="CC85" s="605" t="s">
        <v>32</v>
      </c>
      <c r="CD85" s="607">
        <v>236</v>
      </c>
      <c r="CE85" s="607">
        <v>246</v>
      </c>
      <c r="CF85" s="607">
        <v>265</v>
      </c>
      <c r="CG85" s="607">
        <v>276</v>
      </c>
      <c r="CH85" s="607">
        <f>CD85+CE85+CF85+CG85</f>
        <v>1023</v>
      </c>
      <c r="CJ85" s="605" t="s">
        <v>32</v>
      </c>
      <c r="CK85" s="607">
        <f>SUM(CK83:CK84)</f>
        <v>261.29999999999995</v>
      </c>
      <c r="CL85" s="607">
        <f>SUM(CL83:CL84)</f>
        <v>263.39999999999998</v>
      </c>
      <c r="CM85" s="607">
        <f>SUM(CM83:CM84)</f>
        <v>272</v>
      </c>
      <c r="CN85" s="607">
        <f>SUM(CN83:CN84)</f>
        <v>287</v>
      </c>
      <c r="CO85" s="607">
        <f>CK85+CL85+CM85+CN85</f>
        <v>1083.6999999999998</v>
      </c>
      <c r="CQ85" s="605" t="s">
        <v>32</v>
      </c>
      <c r="CR85" s="607">
        <f>SUM(CR83:CR84)</f>
        <v>269</v>
      </c>
      <c r="CS85" s="607">
        <f>SUM(CS83:CS84)</f>
        <v>274</v>
      </c>
      <c r="CT85" s="607">
        <f>SUM(CT83:CT84)</f>
        <v>289</v>
      </c>
      <c r="CU85" s="607">
        <f>SUM(CU83:CU84)</f>
        <v>309</v>
      </c>
      <c r="CV85" s="607">
        <f>CR85+CS85+CT85+CU85</f>
        <v>1141</v>
      </c>
      <c r="CX85" s="605" t="s">
        <v>32</v>
      </c>
      <c r="CY85" s="607">
        <f>SUM(CY83:CY84)</f>
        <v>302</v>
      </c>
      <c r="CZ85" s="607">
        <f>SUM(CZ83:CZ84)</f>
        <v>321</v>
      </c>
      <c r="DA85" s="607">
        <f>SUM(DA83:DA84)</f>
        <v>320</v>
      </c>
      <c r="DB85" s="607">
        <f>SUM(DB83:DB84)</f>
        <v>340</v>
      </c>
      <c r="DC85" s="607">
        <f>CY85+CZ85+DA85+DB85</f>
        <v>1283</v>
      </c>
      <c r="DE85" s="605" t="s">
        <v>32</v>
      </c>
      <c r="DF85" s="607">
        <f>SUM(DF83:DF84)</f>
        <v>239</v>
      </c>
      <c r="DG85" s="607">
        <f>SUM(DG83:DG84)</f>
        <v>242</v>
      </c>
      <c r="DH85" s="607">
        <f>SUM(DH83:DH84)</f>
        <v>241</v>
      </c>
      <c r="DI85" s="607">
        <f>SUM(DI83:DI84)</f>
        <v>250</v>
      </c>
      <c r="DJ85" s="607">
        <f>DF85+DG85+DH85+DI85</f>
        <v>972</v>
      </c>
      <c r="DL85" s="605" t="s">
        <v>32</v>
      </c>
      <c r="DM85" s="607">
        <f>SUM(DM83:DM84)</f>
        <v>236</v>
      </c>
      <c r="DN85" s="607">
        <f>SUM(DN83:DN84)</f>
        <v>245</v>
      </c>
      <c r="DO85" s="607">
        <f>SUM(DO83:DO84)</f>
        <v>246</v>
      </c>
      <c r="DP85" s="607">
        <f>SUM(DP83:DP84)</f>
        <v>253</v>
      </c>
      <c r="DQ85" s="607">
        <f>DM85+DN85+DO85+DP85</f>
        <v>980</v>
      </c>
      <c r="DS85" s="605" t="s">
        <v>32</v>
      </c>
      <c r="DT85" s="607">
        <f>SUM(DT83:DT84)</f>
        <v>248</v>
      </c>
      <c r="DU85" s="607">
        <f>SUM(DU83:DU84)</f>
        <v>259</v>
      </c>
      <c r="DV85" s="607">
        <f>SUM(DV83:DV84)</f>
        <v>259</v>
      </c>
      <c r="DW85" s="607">
        <f>SUM(DW83:DW84)</f>
        <v>264</v>
      </c>
      <c r="DX85" s="607">
        <f>DT85+DU85+DV85+DW85</f>
        <v>1030</v>
      </c>
      <c r="DZ85" s="605" t="s">
        <v>32</v>
      </c>
      <c r="EA85" s="607">
        <f>SUM(EA83:EA84)</f>
        <v>252</v>
      </c>
      <c r="EB85" s="607">
        <f>SUM(EB83:EB84)</f>
        <v>256</v>
      </c>
      <c r="EC85" s="607">
        <f>SUM(EC83:EC84)</f>
        <v>259</v>
      </c>
      <c r="ED85" s="607">
        <f>SUM(ED83:ED84)</f>
        <v>274</v>
      </c>
      <c r="EE85" s="607">
        <f t="shared" si="456"/>
        <v>1041</v>
      </c>
      <c r="EG85" s="605" t="s">
        <v>32</v>
      </c>
      <c r="EH85" s="607">
        <f>SUM(EH83:EH84)</f>
        <v>276</v>
      </c>
      <c r="EI85" s="607">
        <f>SUM(EI83:EI84)</f>
        <v>346</v>
      </c>
      <c r="EJ85" s="607">
        <f>SUM(EJ83:EJ84)</f>
        <v>504</v>
      </c>
      <c r="EK85" s="607">
        <f>SUM(EK83:EK84)</f>
        <v>519</v>
      </c>
      <c r="EL85" s="607">
        <f t="shared" si="457"/>
        <v>1645</v>
      </c>
      <c r="EN85" s="605" t="s">
        <v>32</v>
      </c>
      <c r="EO85" s="607">
        <f>SUM(EO83:EO84)</f>
        <v>528</v>
      </c>
      <c r="EP85" s="607">
        <f>SUM(EP83:EP84)</f>
        <v>519</v>
      </c>
      <c r="EQ85" s="607">
        <f>SUM(EQ83:EQ84)</f>
        <v>508</v>
      </c>
      <c r="ER85" s="607">
        <f>SUM(ER83:ER84)</f>
        <v>497</v>
      </c>
      <c r="ES85" s="607">
        <f t="shared" si="458"/>
        <v>2052</v>
      </c>
      <c r="EU85" s="605" t="s">
        <v>32</v>
      </c>
      <c r="EV85" s="607">
        <f>SUM(EV83:EV84)</f>
        <v>481</v>
      </c>
      <c r="EW85" s="607">
        <f>SUM(EW83:EW84)</f>
        <v>497</v>
      </c>
      <c r="EX85" s="607">
        <f>SUM(EX83:EX84)</f>
        <v>517</v>
      </c>
      <c r="EY85" s="607">
        <f>SUM(EY83:EY84)</f>
        <v>509</v>
      </c>
      <c r="EZ85" s="607">
        <f t="shared" si="459"/>
        <v>2004</v>
      </c>
      <c r="FB85" s="605" t="s">
        <v>32</v>
      </c>
      <c r="FC85" s="607">
        <f>SUM(FC83:FC84)</f>
        <v>481</v>
      </c>
      <c r="FD85" s="607">
        <f>SUM(FD83:FD84)</f>
        <v>537</v>
      </c>
      <c r="FE85" s="607">
        <f>SUM(FE83:FE84)</f>
        <v>566</v>
      </c>
      <c r="FF85" s="607">
        <f>SUM(FF83:FF84)</f>
        <v>535</v>
      </c>
      <c r="FG85" s="607">
        <f t="shared" si="460"/>
        <v>2119</v>
      </c>
      <c r="FI85" s="605" t="s">
        <v>32</v>
      </c>
      <c r="FJ85" s="607">
        <f>SUM(FJ83:FJ84)</f>
        <v>526</v>
      </c>
      <c r="FK85" s="607">
        <f>SUM(FK83:FK84)</f>
        <v>565</v>
      </c>
      <c r="FL85" s="607">
        <f>SUM(FL83:FL84)</f>
        <v>564</v>
      </c>
      <c r="FM85" s="607">
        <f>SUM(FM83:FM84)</f>
        <v>575</v>
      </c>
      <c r="FN85" s="607">
        <f t="shared" si="461"/>
        <v>2230</v>
      </c>
      <c r="FP85" s="605" t="s">
        <v>32</v>
      </c>
      <c r="FQ85" s="607">
        <f>SUM(FQ83:FQ84)</f>
        <v>549</v>
      </c>
      <c r="FR85" s="607">
        <f>SUM(FR83:FR84)</f>
        <v>589</v>
      </c>
      <c r="FS85" s="607">
        <f>SUM(FS83:FS84)</f>
        <v>559</v>
      </c>
      <c r="FT85" s="607">
        <f>SUM(FT83:FT84)</f>
        <v>609</v>
      </c>
      <c r="FU85" s="607">
        <f>FQ85+FR85+FS85+FT85</f>
        <v>2306</v>
      </c>
      <c r="FW85" s="605" t="s">
        <v>32</v>
      </c>
      <c r="FX85" s="607">
        <v>528</v>
      </c>
      <c r="FY85" s="607">
        <v>543</v>
      </c>
      <c r="FZ85" s="607">
        <v>544</v>
      </c>
      <c r="GA85" s="607">
        <v>550</v>
      </c>
      <c r="GB85" s="607">
        <f>SUM(FX85:GA85)</f>
        <v>2165</v>
      </c>
      <c r="GD85" s="605" t="s">
        <v>32</v>
      </c>
      <c r="GE85" s="607">
        <v>516</v>
      </c>
      <c r="GF85" s="607">
        <v>547</v>
      </c>
      <c r="GG85" s="607">
        <v>564</v>
      </c>
      <c r="GH85" s="607">
        <v>552</v>
      </c>
      <c r="GI85" s="607">
        <f>SUM(GE85:GH85)</f>
        <v>2179</v>
      </c>
      <c r="GK85" s="605" t="s">
        <v>32</v>
      </c>
      <c r="GL85" s="607">
        <v>509</v>
      </c>
      <c r="GM85" s="607">
        <v>539</v>
      </c>
      <c r="GN85" s="607">
        <v>530</v>
      </c>
      <c r="GO85" s="607">
        <v>533</v>
      </c>
      <c r="GP85" s="607">
        <f>SUM(GL85:GO85)</f>
        <v>2111</v>
      </c>
      <c r="GR85" s="605" t="s">
        <v>32</v>
      </c>
      <c r="GS85" s="607">
        <v>508</v>
      </c>
      <c r="GT85" s="607">
        <v>530</v>
      </c>
      <c r="GU85" s="607">
        <v>532</v>
      </c>
      <c r="GV85" s="607">
        <v>499</v>
      </c>
      <c r="GW85" s="607">
        <f>SUM(GS85:GV85)</f>
        <v>2069</v>
      </c>
      <c r="GY85" s="605" t="s">
        <v>32</v>
      </c>
      <c r="GZ85" s="607">
        <v>440</v>
      </c>
      <c r="HA85" s="607">
        <v>457</v>
      </c>
      <c r="HB85" s="607">
        <v>481</v>
      </c>
      <c r="HC85" s="607">
        <v>524</v>
      </c>
      <c r="HD85" s="607">
        <f>SUM(GZ85:HC85)</f>
        <v>1902</v>
      </c>
      <c r="HF85" s="605" t="s">
        <v>32</v>
      </c>
      <c r="HG85" s="607">
        <v>500</v>
      </c>
      <c r="HH85" s="607">
        <v>538</v>
      </c>
      <c r="HI85" s="607">
        <v>574</v>
      </c>
      <c r="HJ85" s="607">
        <v>611</v>
      </c>
      <c r="HK85" s="607">
        <f>SUM(HG85:HJ85)</f>
        <v>2223</v>
      </c>
      <c r="HM85" s="605" t="s">
        <v>32</v>
      </c>
      <c r="HN85" s="607">
        <v>553</v>
      </c>
      <c r="HO85" s="607">
        <v>581</v>
      </c>
      <c r="HP85" s="607">
        <v>576</v>
      </c>
      <c r="HQ85" s="607">
        <v>579</v>
      </c>
      <c r="HR85" s="607">
        <f>SUM(HN85:HQ85)</f>
        <v>2289</v>
      </c>
      <c r="HT85" s="605" t="s">
        <v>32</v>
      </c>
      <c r="HU85" s="607">
        <v>600</v>
      </c>
      <c r="HV85" s="607">
        <v>629</v>
      </c>
      <c r="HW85" s="607">
        <v>622</v>
      </c>
      <c r="HX85" s="607">
        <v>600</v>
      </c>
      <c r="HY85" s="607">
        <f>SUM(HU85:HX85)</f>
        <v>2451</v>
      </c>
      <c r="IA85" s="605" t="s">
        <v>32</v>
      </c>
      <c r="IB85" s="607">
        <v>615</v>
      </c>
      <c r="IC85" s="607">
        <v>644</v>
      </c>
      <c r="ID85" s="607">
        <v>657</v>
      </c>
      <c r="IE85" s="607">
        <v>666</v>
      </c>
      <c r="IF85" s="607">
        <f>SUM(IB85:IE85)</f>
        <v>2582</v>
      </c>
      <c r="IH85" s="605" t="s">
        <v>32</v>
      </c>
      <c r="II85" s="607">
        <v>647</v>
      </c>
      <c r="IJ85" s="607">
        <v>691</v>
      </c>
      <c r="IK85" s="607">
        <v>691</v>
      </c>
      <c r="IL85" s="607">
        <v>699</v>
      </c>
      <c r="IM85" s="607">
        <f>SUM(II85:IL85)</f>
        <v>2728</v>
      </c>
      <c r="IO85" s="605" t="s">
        <v>32</v>
      </c>
      <c r="IP85" s="607">
        <v>655</v>
      </c>
      <c r="IQ85" s="607">
        <v>723</v>
      </c>
      <c r="IR85" s="607">
        <v>731</v>
      </c>
      <c r="IS85" s="607">
        <v>729</v>
      </c>
      <c r="IT85" s="607">
        <f>SUM(IP85:IS85)</f>
        <v>2838</v>
      </c>
      <c r="IV85" s="605" t="s">
        <v>32</v>
      </c>
      <c r="IW85" s="607">
        <v>678</v>
      </c>
      <c r="IX85" s="607">
        <v>694</v>
      </c>
      <c r="IY85" s="607">
        <v>681</v>
      </c>
      <c r="IZ85" s="607">
        <v>758</v>
      </c>
      <c r="JA85" s="607">
        <f>SUM(IW85:IZ85)</f>
        <v>2811</v>
      </c>
      <c r="JC85" s="605" t="s">
        <v>32</v>
      </c>
      <c r="JD85" s="607">
        <v>688</v>
      </c>
      <c r="JE85" s="607">
        <v>718</v>
      </c>
      <c r="JF85" s="607">
        <v>718</v>
      </c>
      <c r="JG85" s="607">
        <v>719</v>
      </c>
      <c r="JH85" s="607">
        <f>SUM(JD85:JG85)</f>
        <v>2843</v>
      </c>
      <c r="JJ85" s="605" t="s">
        <v>32</v>
      </c>
      <c r="JK85" s="607">
        <v>689</v>
      </c>
      <c r="JL85" s="607">
        <v>735</v>
      </c>
      <c r="JM85" s="607">
        <v>739</v>
      </c>
      <c r="JN85" s="607">
        <v>732</v>
      </c>
      <c r="JO85" s="607">
        <f>SUM(JK85:JN85)</f>
        <v>2895</v>
      </c>
      <c r="JQ85" s="605" t="s">
        <v>32</v>
      </c>
      <c r="JR85" s="607">
        <v>657</v>
      </c>
      <c r="JS85" s="607">
        <v>658</v>
      </c>
      <c r="JT85" s="607">
        <v>673</v>
      </c>
      <c r="JU85" s="607">
        <v>682</v>
      </c>
      <c r="JV85" s="607">
        <f>SUM(JR85:JU85)</f>
        <v>2670</v>
      </c>
      <c r="JX85" s="605" t="s">
        <v>32</v>
      </c>
      <c r="JY85" s="607">
        <v>660</v>
      </c>
      <c r="JZ85" s="607">
        <v>586</v>
      </c>
      <c r="KA85" s="607">
        <v>717</v>
      </c>
      <c r="KB85" s="607">
        <v>757</v>
      </c>
      <c r="KC85" s="607">
        <f>SUM(JY85:KB85)</f>
        <v>2720</v>
      </c>
      <c r="KE85" s="605" t="s">
        <v>32</v>
      </c>
      <c r="KF85" s="607">
        <v>726</v>
      </c>
      <c r="KG85" s="607">
        <v>752</v>
      </c>
      <c r="KH85" s="607">
        <v>744</v>
      </c>
      <c r="KI85" s="607">
        <v>754</v>
      </c>
      <c r="KJ85" s="607">
        <f>SUM(KF85:KI85)</f>
        <v>2976</v>
      </c>
      <c r="KL85" s="605" t="s">
        <v>32</v>
      </c>
      <c r="KM85" s="607">
        <v>722</v>
      </c>
      <c r="KN85" s="607">
        <v>759</v>
      </c>
      <c r="KO85" s="607">
        <v>762</v>
      </c>
      <c r="KP85" s="607">
        <v>720</v>
      </c>
      <c r="KQ85" s="607">
        <f>SUM(KM85:KP85)</f>
        <v>2963</v>
      </c>
      <c r="KS85" s="605" t="s">
        <v>32</v>
      </c>
      <c r="KT85" s="607">
        <v>654</v>
      </c>
      <c r="KU85" s="607">
        <v>684</v>
      </c>
      <c r="KV85" s="606">
        <v>708</v>
      </c>
      <c r="KW85" s="607">
        <v>720</v>
      </c>
      <c r="KX85" s="607">
        <f>SUM(KT85:KW85)</f>
        <v>2766</v>
      </c>
      <c r="KZ85" s="605" t="s">
        <v>32</v>
      </c>
      <c r="LA85" s="607">
        <v>701</v>
      </c>
      <c r="LB85" s="606">
        <v>716</v>
      </c>
      <c r="LC85" s="606">
        <v>730</v>
      </c>
      <c r="LD85" s="606">
        <v>746</v>
      </c>
      <c r="LE85" s="606">
        <f t="shared" ref="LE85" si="462">LE250</f>
        <v>2893</v>
      </c>
      <c r="LF85" s="608"/>
      <c r="LG85" s="605" t="s">
        <v>32</v>
      </c>
      <c r="LH85" s="606">
        <v>716</v>
      </c>
      <c r="LI85" s="606">
        <v>729</v>
      </c>
      <c r="LJ85" s="606">
        <v>768</v>
      </c>
      <c r="LK85" s="606">
        <v>782</v>
      </c>
      <c r="LL85" s="606">
        <f>SUM(LH85:LK85)</f>
        <v>2995</v>
      </c>
      <c r="LM85" s="608"/>
      <c r="LN85" s="605" t="s">
        <v>32</v>
      </c>
      <c r="LO85" s="606">
        <f t="shared" ref="LO85:LR85" si="463">LO250</f>
        <v>748.21999999999991</v>
      </c>
      <c r="LP85" s="606">
        <f t="shared" si="463"/>
        <v>765.45</v>
      </c>
      <c r="LQ85" s="606">
        <f t="shared" si="463"/>
        <v>806.40000000000009</v>
      </c>
      <c r="LR85" s="606">
        <f t="shared" si="463"/>
        <v>821.1</v>
      </c>
      <c r="LS85" s="606">
        <f>SUM(LO85:LR85)</f>
        <v>3141.17</v>
      </c>
      <c r="LT85" s="608"/>
      <c r="LU85" s="605" t="s">
        <v>32</v>
      </c>
      <c r="LV85" s="606">
        <f t="shared" ref="LV85:LY85" si="464">LV250</f>
        <v>770.6665999999999</v>
      </c>
      <c r="LW85" s="606">
        <f t="shared" si="464"/>
        <v>788.41350000000011</v>
      </c>
      <c r="LX85" s="606">
        <f t="shared" si="464"/>
        <v>830.5920000000001</v>
      </c>
      <c r="LY85" s="606">
        <f t="shared" si="464"/>
        <v>845.73300000000006</v>
      </c>
      <c r="LZ85" s="606">
        <f>SUM(LV85:LY85)</f>
        <v>3235.4051000000004</v>
      </c>
      <c r="MA85" s="608"/>
      <c r="MB85" s="605" t="s">
        <v>32</v>
      </c>
      <c r="MC85" s="606">
        <f t="shared" ref="MC85:MF85" si="465">MC250</f>
        <v>793.78659799999991</v>
      </c>
      <c r="MD85" s="606">
        <f t="shared" si="465"/>
        <v>812.06590500000016</v>
      </c>
      <c r="ME85" s="606">
        <f t="shared" si="465"/>
        <v>855.50976000000014</v>
      </c>
      <c r="MF85" s="606">
        <f t="shared" si="465"/>
        <v>871.10499000000004</v>
      </c>
      <c r="MG85" s="606">
        <f>SUM(MC85:MF85)</f>
        <v>3332.4672529999998</v>
      </c>
      <c r="MH85" s="608"/>
    </row>
    <row r="86" spans="1:346" s="158" customFormat="1" ht="13.15" x14ac:dyDescent="0.4">
      <c r="A86" s="604"/>
      <c r="B86" s="605" t="s">
        <v>147</v>
      </c>
      <c r="C86" s="606"/>
      <c r="D86" s="606"/>
      <c r="E86" s="606">
        <v>2413.9</v>
      </c>
      <c r="F86" s="606">
        <v>2531.8000000000002</v>
      </c>
      <c r="G86" s="606">
        <v>2295.5</v>
      </c>
      <c r="H86" s="606">
        <v>1804</v>
      </c>
      <c r="I86" s="606">
        <v>2282</v>
      </c>
      <c r="J86" s="606">
        <v>1902</v>
      </c>
      <c r="K86" s="606">
        <v>1940</v>
      </c>
      <c r="L86" s="606">
        <v>2006</v>
      </c>
      <c r="M86" s="606">
        <v>1931</v>
      </c>
      <c r="N86" s="607">
        <f t="shared" si="416"/>
        <v>1907</v>
      </c>
      <c r="O86" s="607">
        <f t="shared" si="417"/>
        <v>1948</v>
      </c>
      <c r="P86" s="607">
        <f t="shared" si="418"/>
        <v>1794</v>
      </c>
      <c r="Q86" s="607">
        <f t="shared" si="419"/>
        <v>1760</v>
      </c>
      <c r="R86" s="607">
        <f t="shared" si="420"/>
        <v>1566</v>
      </c>
      <c r="S86" s="607">
        <f t="shared" si="421"/>
        <v>1678</v>
      </c>
      <c r="T86" s="607">
        <f t="shared" si="422"/>
        <v>1678</v>
      </c>
      <c r="U86" s="607">
        <f t="shared" si="423"/>
        <v>1711</v>
      </c>
      <c r="V86" s="607">
        <f t="shared" si="424"/>
        <v>1714</v>
      </c>
      <c r="W86" s="607">
        <f t="shared" si="425"/>
        <v>1651</v>
      </c>
      <c r="X86" s="607">
        <f t="shared" si="426"/>
        <v>1614</v>
      </c>
      <c r="Y86" s="607">
        <f t="shared" si="427"/>
        <v>1660</v>
      </c>
      <c r="Z86" s="607">
        <f t="shared" si="428"/>
        <v>1722</v>
      </c>
      <c r="AA86" s="607">
        <f t="shared" si="429"/>
        <v>1574</v>
      </c>
      <c r="AB86" s="607">
        <f t="shared" si="430"/>
        <v>1570</v>
      </c>
      <c r="AC86" s="607">
        <f t="shared" si="431"/>
        <v>1659</v>
      </c>
      <c r="AD86" s="607">
        <f t="shared" si="432"/>
        <v>1726</v>
      </c>
      <c r="AE86" s="607">
        <f t="shared" si="433"/>
        <v>1798</v>
      </c>
      <c r="AF86" s="607">
        <f t="shared" si="434"/>
        <v>1771</v>
      </c>
      <c r="AG86" s="607">
        <f t="shared" si="435"/>
        <v>1779</v>
      </c>
      <c r="AH86" s="607">
        <f t="shared" si="436"/>
        <v>1506</v>
      </c>
      <c r="AI86" s="607">
        <f t="shared" si="437"/>
        <v>1573</v>
      </c>
      <c r="AJ86" s="607">
        <f t="shared" si="438"/>
        <v>1533</v>
      </c>
      <c r="AK86" s="607">
        <f t="shared" si="439"/>
        <v>1290</v>
      </c>
      <c r="AL86" s="607">
        <f t="shared" si="440"/>
        <v>1195</v>
      </c>
      <c r="AM86" s="607">
        <f t="shared" si="441"/>
        <v>1262</v>
      </c>
      <c r="AN86" s="607">
        <f t="shared" si="442"/>
        <v>1063</v>
      </c>
      <c r="AO86" s="607">
        <f t="shared" si="443"/>
        <v>838</v>
      </c>
      <c r="AP86" s="607">
        <f t="shared" si="444"/>
        <v>855</v>
      </c>
      <c r="AQ86" s="607">
        <f t="shared" si="445"/>
        <v>887</v>
      </c>
      <c r="AR86" s="607">
        <f t="shared" si="446"/>
        <v>843</v>
      </c>
      <c r="AS86" s="607">
        <f t="shared" si="447"/>
        <v>637</v>
      </c>
      <c r="AT86" s="607">
        <f t="shared" si="448"/>
        <v>706</v>
      </c>
      <c r="AU86" s="607">
        <f t="shared" si="449"/>
        <v>697</v>
      </c>
      <c r="AV86" s="607">
        <f t="shared" si="450"/>
        <v>755</v>
      </c>
      <c r="AW86" s="607">
        <f t="shared" si="451"/>
        <v>736</v>
      </c>
      <c r="AX86" s="607">
        <f t="shared" si="452"/>
        <v>718</v>
      </c>
      <c r="AY86" s="607">
        <f t="shared" si="453"/>
        <v>735.90499999999997</v>
      </c>
      <c r="AZ86" s="607">
        <f t="shared" si="454"/>
        <v>733.14857499999994</v>
      </c>
      <c r="BA86" s="607">
        <f t="shared" si="455"/>
        <v>727.64996068749997</v>
      </c>
      <c r="BB86" s="607"/>
      <c r="BC86" s="607"/>
      <c r="BD86" s="607"/>
      <c r="BE86" s="607"/>
      <c r="BF86" s="607"/>
      <c r="BG86" s="607"/>
      <c r="BH86" s="607"/>
      <c r="BI86" s="607"/>
      <c r="BJ86" s="607"/>
      <c r="BK86" s="607"/>
      <c r="BL86" s="607"/>
      <c r="BM86" s="607"/>
      <c r="BO86" s="605" t="s">
        <v>147</v>
      </c>
      <c r="BP86" s="607">
        <f>BW86-13</f>
        <v>486</v>
      </c>
      <c r="BQ86" s="607">
        <f>BX86-10</f>
        <v>489</v>
      </c>
      <c r="BR86" s="607">
        <f>BY86-19</f>
        <v>460</v>
      </c>
      <c r="BS86" s="607">
        <f>BZ86+1</f>
        <v>472</v>
      </c>
      <c r="BT86" s="607">
        <f>BP86+BQ86+BR86+BS86</f>
        <v>1907</v>
      </c>
      <c r="BV86" s="605" t="s">
        <v>147</v>
      </c>
      <c r="BW86" s="607">
        <v>499</v>
      </c>
      <c r="BX86" s="607">
        <v>499</v>
      </c>
      <c r="BY86" s="607">
        <v>479</v>
      </c>
      <c r="BZ86" s="607">
        <v>471</v>
      </c>
      <c r="CA86" s="607">
        <f>BW86+BX86+BY86+BZ86</f>
        <v>1948</v>
      </c>
      <c r="CC86" s="605" t="s">
        <v>147</v>
      </c>
      <c r="CD86" s="607">
        <v>441</v>
      </c>
      <c r="CE86" s="607">
        <v>434</v>
      </c>
      <c r="CF86" s="607">
        <v>463</v>
      </c>
      <c r="CG86" s="607">
        <v>456</v>
      </c>
      <c r="CH86" s="607">
        <f>CD86+CE86+CF86+CG86</f>
        <v>1794</v>
      </c>
      <c r="CJ86" s="605" t="s">
        <v>147</v>
      </c>
      <c r="CK86" s="607">
        <v>442</v>
      </c>
      <c r="CL86" s="607">
        <v>434</v>
      </c>
      <c r="CM86" s="607">
        <v>443</v>
      </c>
      <c r="CN86" s="607">
        <v>441</v>
      </c>
      <c r="CO86" s="607">
        <f>CK86+CL86+CM86+CN86</f>
        <v>1760</v>
      </c>
      <c r="CQ86" s="605" t="s">
        <v>147</v>
      </c>
      <c r="CR86" s="607">
        <v>394</v>
      </c>
      <c r="CS86" s="607">
        <v>406</v>
      </c>
      <c r="CT86" s="607">
        <v>391</v>
      </c>
      <c r="CU86" s="607">
        <v>375</v>
      </c>
      <c r="CV86" s="607">
        <f>CR86+CS86+CT86+CU86</f>
        <v>1566</v>
      </c>
      <c r="CX86" s="605" t="s">
        <v>147</v>
      </c>
      <c r="CY86" s="607">
        <v>396</v>
      </c>
      <c r="CZ86" s="607">
        <v>421</v>
      </c>
      <c r="DA86" s="607">
        <v>430</v>
      </c>
      <c r="DB86" s="607">
        <v>431</v>
      </c>
      <c r="DC86" s="607">
        <f>CY86+CZ86+DA86+DB86</f>
        <v>1678</v>
      </c>
      <c r="DE86" s="605" t="s">
        <v>147</v>
      </c>
      <c r="DF86" s="607">
        <v>414</v>
      </c>
      <c r="DG86" s="607">
        <v>420</v>
      </c>
      <c r="DH86" s="607">
        <v>423</v>
      </c>
      <c r="DI86" s="607">
        <v>421</v>
      </c>
      <c r="DJ86" s="607">
        <f>DF86+DG86+DH86+DI86</f>
        <v>1678</v>
      </c>
      <c r="DL86" s="605" t="s">
        <v>147</v>
      </c>
      <c r="DM86" s="607">
        <v>402</v>
      </c>
      <c r="DN86" s="607">
        <v>434</v>
      </c>
      <c r="DO86" s="607">
        <v>433</v>
      </c>
      <c r="DP86" s="607">
        <v>442</v>
      </c>
      <c r="DQ86" s="607">
        <f>DM86+DN86+DO86+DP86</f>
        <v>1711</v>
      </c>
      <c r="DS86" s="605" t="s">
        <v>147</v>
      </c>
      <c r="DT86" s="607">
        <v>430</v>
      </c>
      <c r="DU86" s="607">
        <v>421</v>
      </c>
      <c r="DV86" s="607">
        <v>428</v>
      </c>
      <c r="DW86" s="607">
        <v>435</v>
      </c>
      <c r="DX86" s="607">
        <f>DT86+DU86+DV86+DW86</f>
        <v>1714</v>
      </c>
      <c r="DZ86" s="605" t="s">
        <v>147</v>
      </c>
      <c r="EA86" s="607">
        <v>407</v>
      </c>
      <c r="EB86" s="607">
        <v>412</v>
      </c>
      <c r="EC86" s="607">
        <v>415</v>
      </c>
      <c r="ED86" s="607">
        <v>417</v>
      </c>
      <c r="EE86" s="607">
        <f t="shared" si="456"/>
        <v>1651</v>
      </c>
      <c r="EG86" s="605" t="s">
        <v>147</v>
      </c>
      <c r="EH86" s="607">
        <v>396</v>
      </c>
      <c r="EI86" s="607">
        <v>377</v>
      </c>
      <c r="EJ86" s="607">
        <v>428</v>
      </c>
      <c r="EK86" s="607">
        <v>413</v>
      </c>
      <c r="EL86" s="607">
        <f t="shared" si="457"/>
        <v>1614</v>
      </c>
      <c r="EN86" s="605" t="s">
        <v>147</v>
      </c>
      <c r="EO86" s="607">
        <v>396</v>
      </c>
      <c r="EP86" s="607">
        <v>409</v>
      </c>
      <c r="EQ86" s="607">
        <v>433</v>
      </c>
      <c r="ER86" s="607">
        <v>422</v>
      </c>
      <c r="ES86" s="607">
        <f t="shared" si="458"/>
        <v>1660</v>
      </c>
      <c r="EU86" s="605" t="s">
        <v>147</v>
      </c>
      <c r="EV86" s="607">
        <v>439</v>
      </c>
      <c r="EW86" s="607">
        <v>430</v>
      </c>
      <c r="EX86" s="607">
        <v>422</v>
      </c>
      <c r="EY86" s="607">
        <v>431</v>
      </c>
      <c r="EZ86" s="607">
        <f t="shared" si="459"/>
        <v>1722</v>
      </c>
      <c r="FB86" s="605" t="s">
        <v>147</v>
      </c>
      <c r="FC86" s="607">
        <v>393</v>
      </c>
      <c r="FD86" s="607">
        <v>391</v>
      </c>
      <c r="FE86" s="607">
        <v>395</v>
      </c>
      <c r="FF86" s="607">
        <v>395</v>
      </c>
      <c r="FG86" s="607">
        <f t="shared" si="460"/>
        <v>1574</v>
      </c>
      <c r="FI86" s="605" t="s">
        <v>147</v>
      </c>
      <c r="FJ86" s="607">
        <v>373</v>
      </c>
      <c r="FK86" s="607">
        <v>400</v>
      </c>
      <c r="FL86" s="607">
        <v>391</v>
      </c>
      <c r="FM86" s="607">
        <v>406</v>
      </c>
      <c r="FN86" s="607">
        <f t="shared" si="461"/>
        <v>1570</v>
      </c>
      <c r="FP86" s="605" t="s">
        <v>147</v>
      </c>
      <c r="FQ86" s="607">
        <v>403</v>
      </c>
      <c r="FR86" s="607">
        <v>410</v>
      </c>
      <c r="FS86" s="607">
        <v>406</v>
      </c>
      <c r="FT86" s="607">
        <v>440</v>
      </c>
      <c r="FU86" s="607">
        <f>FQ86+FR86+FS86+FT86</f>
        <v>1659</v>
      </c>
      <c r="FW86" s="605" t="s">
        <v>147</v>
      </c>
      <c r="FX86" s="607">
        <v>437</v>
      </c>
      <c r="FY86" s="607">
        <v>438</v>
      </c>
      <c r="FZ86" s="607">
        <v>422</v>
      </c>
      <c r="GA86" s="607">
        <v>429</v>
      </c>
      <c r="GB86" s="607">
        <f>SUM(FX86:GA86)</f>
        <v>1726</v>
      </c>
      <c r="GD86" s="605" t="s">
        <v>147</v>
      </c>
      <c r="GE86" s="607">
        <v>456</v>
      </c>
      <c r="GF86" s="607">
        <v>446</v>
      </c>
      <c r="GG86" s="607">
        <v>451</v>
      </c>
      <c r="GH86" s="607">
        <v>445</v>
      </c>
      <c r="GI86" s="607">
        <f>SUM(GE86:GH86)</f>
        <v>1798</v>
      </c>
      <c r="GK86" s="605" t="s">
        <v>147</v>
      </c>
      <c r="GL86" s="607">
        <v>441</v>
      </c>
      <c r="GM86" s="607">
        <v>442</v>
      </c>
      <c r="GN86" s="607">
        <v>441</v>
      </c>
      <c r="GO86" s="607">
        <v>447</v>
      </c>
      <c r="GP86" s="607">
        <f>SUM(GL86:GO86)</f>
        <v>1771</v>
      </c>
      <c r="GR86" s="605" t="s">
        <v>147</v>
      </c>
      <c r="GS86" s="607">
        <v>440</v>
      </c>
      <c r="GT86" s="607">
        <v>450</v>
      </c>
      <c r="GU86" s="607">
        <v>440</v>
      </c>
      <c r="GV86" s="607">
        <v>449</v>
      </c>
      <c r="GW86" s="607">
        <f>SUM(GS86:GV86)</f>
        <v>1779</v>
      </c>
      <c r="GY86" s="605" t="s">
        <v>147</v>
      </c>
      <c r="GZ86" s="607">
        <v>415</v>
      </c>
      <c r="HA86" s="607">
        <v>361</v>
      </c>
      <c r="HB86" s="607">
        <v>365</v>
      </c>
      <c r="HC86" s="607">
        <v>365</v>
      </c>
      <c r="HD86" s="607">
        <f>SUM(GZ86:HC86)</f>
        <v>1506</v>
      </c>
      <c r="HF86" s="605" t="s">
        <v>147</v>
      </c>
      <c r="HG86" s="607">
        <v>373</v>
      </c>
      <c r="HH86" s="607">
        <v>401</v>
      </c>
      <c r="HI86" s="607">
        <v>392</v>
      </c>
      <c r="HJ86" s="607">
        <v>407</v>
      </c>
      <c r="HK86" s="607">
        <f>SUM(HG86:HJ86)</f>
        <v>1573</v>
      </c>
      <c r="HM86" s="605" t="s">
        <v>147</v>
      </c>
      <c r="HN86" s="607">
        <v>385</v>
      </c>
      <c r="HO86" s="607">
        <v>388</v>
      </c>
      <c r="HP86" s="607">
        <v>386</v>
      </c>
      <c r="HQ86" s="607">
        <v>374</v>
      </c>
      <c r="HR86" s="607">
        <f>SUM(HN86:HQ86)</f>
        <v>1533</v>
      </c>
      <c r="HT86" s="605" t="s">
        <v>147</v>
      </c>
      <c r="HU86" s="607">
        <v>331</v>
      </c>
      <c r="HV86" s="607">
        <v>331</v>
      </c>
      <c r="HW86" s="607">
        <v>323</v>
      </c>
      <c r="HX86" s="607">
        <v>305</v>
      </c>
      <c r="HY86" s="607">
        <f>SUM(HU86:HX86)</f>
        <v>1290</v>
      </c>
      <c r="IA86" s="605" t="s">
        <v>147</v>
      </c>
      <c r="IB86" s="607">
        <v>297</v>
      </c>
      <c r="IC86" s="607">
        <v>310</v>
      </c>
      <c r="ID86" s="607">
        <v>299</v>
      </c>
      <c r="IE86" s="607">
        <v>289</v>
      </c>
      <c r="IF86" s="607">
        <f>SUM(IB86:IE86)</f>
        <v>1195</v>
      </c>
      <c r="IH86" s="605" t="s">
        <v>147</v>
      </c>
      <c r="II86" s="607">
        <v>293</v>
      </c>
      <c r="IJ86" s="607">
        <v>330</v>
      </c>
      <c r="IK86" s="607">
        <v>319</v>
      </c>
      <c r="IL86" s="607">
        <v>320</v>
      </c>
      <c r="IM86" s="607">
        <f>SUM(II86:IL86)</f>
        <v>1262</v>
      </c>
      <c r="IO86" s="605" t="s">
        <v>147</v>
      </c>
      <c r="IP86" s="607">
        <v>289</v>
      </c>
      <c r="IQ86" s="607">
        <v>295</v>
      </c>
      <c r="IR86" s="607">
        <v>261</v>
      </c>
      <c r="IS86" s="607">
        <v>218</v>
      </c>
      <c r="IT86" s="607">
        <f>SUM(IP86:IS86)</f>
        <v>1063</v>
      </c>
      <c r="IV86" s="605" t="s">
        <v>147</v>
      </c>
      <c r="IW86" s="607">
        <v>200</v>
      </c>
      <c r="IX86" s="607">
        <v>195</v>
      </c>
      <c r="IY86" s="607">
        <v>207</v>
      </c>
      <c r="IZ86" s="607">
        <v>236</v>
      </c>
      <c r="JA86" s="607">
        <f>SUM(IW86:IZ86)</f>
        <v>838</v>
      </c>
      <c r="JC86" s="605" t="s">
        <v>147</v>
      </c>
      <c r="JD86" s="607">
        <v>205</v>
      </c>
      <c r="JE86" s="607">
        <v>208</v>
      </c>
      <c r="JF86" s="607">
        <v>218</v>
      </c>
      <c r="JG86" s="607">
        <v>224</v>
      </c>
      <c r="JH86" s="607">
        <f>SUM(JD86:JG86)</f>
        <v>855</v>
      </c>
      <c r="JJ86" s="605" t="s">
        <v>147</v>
      </c>
      <c r="JK86" s="607">
        <v>201</v>
      </c>
      <c r="JL86" s="607">
        <v>222</v>
      </c>
      <c r="JM86" s="607">
        <v>234</v>
      </c>
      <c r="JN86" s="607">
        <v>230</v>
      </c>
      <c r="JO86" s="607">
        <f>SUM(JK86:JN86)</f>
        <v>887</v>
      </c>
      <c r="JQ86" s="605" t="s">
        <v>147</v>
      </c>
      <c r="JR86" s="607">
        <v>212</v>
      </c>
      <c r="JS86" s="607">
        <v>226</v>
      </c>
      <c r="JT86" s="607">
        <v>213</v>
      </c>
      <c r="JU86" s="607">
        <v>192</v>
      </c>
      <c r="JV86" s="607">
        <f>SUM(JR86:JU86)</f>
        <v>843</v>
      </c>
      <c r="JX86" s="605" t="s">
        <v>147</v>
      </c>
      <c r="JY86" s="607">
        <v>181</v>
      </c>
      <c r="JZ86" s="607">
        <v>127</v>
      </c>
      <c r="KA86" s="607">
        <v>155</v>
      </c>
      <c r="KB86" s="607">
        <v>174</v>
      </c>
      <c r="KC86" s="607">
        <f>SUM(JY86:KB86)</f>
        <v>637</v>
      </c>
      <c r="KE86" s="605" t="s">
        <v>147</v>
      </c>
      <c r="KF86" s="607">
        <v>172</v>
      </c>
      <c r="KG86" s="607">
        <v>183</v>
      </c>
      <c r="KH86" s="607">
        <v>180</v>
      </c>
      <c r="KI86" s="607">
        <v>171</v>
      </c>
      <c r="KJ86" s="607">
        <f>SUM(KF86:KI86)</f>
        <v>706</v>
      </c>
      <c r="KL86" s="605" t="s">
        <v>147</v>
      </c>
      <c r="KM86" s="607">
        <v>155</v>
      </c>
      <c r="KN86" s="607">
        <v>178</v>
      </c>
      <c r="KO86" s="607">
        <v>177</v>
      </c>
      <c r="KP86" s="607">
        <v>187</v>
      </c>
      <c r="KQ86" s="607">
        <f>SUM(KM86:KP86)</f>
        <v>697</v>
      </c>
      <c r="KS86" s="605" t="s">
        <v>147</v>
      </c>
      <c r="KT86" s="607">
        <v>185</v>
      </c>
      <c r="KU86" s="607">
        <v>185</v>
      </c>
      <c r="KV86" s="606">
        <v>193</v>
      </c>
      <c r="KW86" s="607">
        <v>192</v>
      </c>
      <c r="KX86" s="607">
        <f>SUM(KT86:KW86)</f>
        <v>755</v>
      </c>
      <c r="KZ86" s="605" t="s">
        <v>147</v>
      </c>
      <c r="LA86" s="607">
        <v>188</v>
      </c>
      <c r="LB86" s="606">
        <v>179</v>
      </c>
      <c r="LC86" s="606">
        <v>190</v>
      </c>
      <c r="LD86" s="606">
        <v>179</v>
      </c>
      <c r="LE86" s="606">
        <f t="shared" ref="LE86" si="466">LE260</f>
        <v>736</v>
      </c>
      <c r="LF86" s="608"/>
      <c r="LG86" s="605" t="s">
        <v>147</v>
      </c>
      <c r="LH86" s="606">
        <v>172</v>
      </c>
      <c r="LI86" s="606">
        <v>181</v>
      </c>
      <c r="LJ86" s="606">
        <v>184</v>
      </c>
      <c r="LK86" s="606">
        <v>181</v>
      </c>
      <c r="LL86" s="606">
        <f>SUM(LH86:LK86)</f>
        <v>718</v>
      </c>
      <c r="LM86" s="608"/>
      <c r="LN86" s="605" t="s">
        <v>147</v>
      </c>
      <c r="LO86" s="606">
        <f t="shared" ref="LO86:LR86" si="467">LO260</f>
        <v>177.16</v>
      </c>
      <c r="LP86" s="606">
        <f t="shared" si="467"/>
        <v>184.62</v>
      </c>
      <c r="LQ86" s="606">
        <f t="shared" si="467"/>
        <v>188.6</v>
      </c>
      <c r="LR86" s="606">
        <f t="shared" si="467"/>
        <v>185.52499999999998</v>
      </c>
      <c r="LS86" s="606">
        <f>SUM(LO86:LR86)</f>
        <v>735.90499999999997</v>
      </c>
      <c r="LT86" s="608"/>
      <c r="LU86" s="605" t="s">
        <v>147</v>
      </c>
      <c r="LV86" s="606">
        <f t="shared" ref="LV86:LY86" si="468">LV260</f>
        <v>176.27420000000001</v>
      </c>
      <c r="LW86" s="606">
        <f t="shared" si="468"/>
        <v>184.62</v>
      </c>
      <c r="LX86" s="606">
        <f t="shared" si="468"/>
        <v>187.65699999999998</v>
      </c>
      <c r="LY86" s="606">
        <f t="shared" si="468"/>
        <v>184.59737499999997</v>
      </c>
      <c r="LZ86" s="606">
        <f>SUM(LV86:LY86)</f>
        <v>733.14857499999994</v>
      </c>
      <c r="MA86" s="608"/>
      <c r="MB86" s="605" t="s">
        <v>147</v>
      </c>
      <c r="MC86" s="606">
        <f t="shared" ref="MC86:MF86" si="469">MC260</f>
        <v>174.95214350000001</v>
      </c>
      <c r="MD86" s="606">
        <f t="shared" si="469"/>
        <v>183.23535000000001</v>
      </c>
      <c r="ME86" s="606">
        <f t="shared" si="469"/>
        <v>186.2495725</v>
      </c>
      <c r="MF86" s="606">
        <f t="shared" si="469"/>
        <v>183.21289468749998</v>
      </c>
      <c r="MG86" s="606">
        <f>SUM(MC86:MF86)</f>
        <v>727.64996068749997</v>
      </c>
      <c r="MH86" s="608"/>
    </row>
    <row r="87" spans="1:346" s="158" customFormat="1" ht="13.15" hidden="1" outlineLevel="1" x14ac:dyDescent="0.4">
      <c r="A87" s="604"/>
      <c r="B87" s="609" t="s">
        <v>328</v>
      </c>
      <c r="C87" s="610"/>
      <c r="D87" s="610"/>
      <c r="E87" s="610"/>
      <c r="F87" s="610"/>
      <c r="G87" s="610"/>
      <c r="H87" s="610"/>
      <c r="I87" s="610"/>
      <c r="J87" s="610"/>
      <c r="K87" s="610"/>
      <c r="L87" s="610"/>
      <c r="M87" s="610"/>
      <c r="N87" s="611">
        <f t="shared" si="416"/>
        <v>0</v>
      </c>
      <c r="O87" s="611">
        <f t="shared" si="417"/>
        <v>0</v>
      </c>
      <c r="P87" s="611">
        <f t="shared" si="418"/>
        <v>0</v>
      </c>
      <c r="Q87" s="611">
        <f t="shared" si="419"/>
        <v>0</v>
      </c>
      <c r="R87" s="611">
        <f t="shared" si="420"/>
        <v>0</v>
      </c>
      <c r="S87" s="611">
        <f t="shared" si="421"/>
        <v>0</v>
      </c>
      <c r="T87" s="611">
        <f t="shared" si="422"/>
        <v>0</v>
      </c>
      <c r="U87" s="611">
        <f t="shared" si="423"/>
        <v>0</v>
      </c>
      <c r="V87" s="611">
        <f t="shared" si="424"/>
        <v>0</v>
      </c>
      <c r="W87" s="611">
        <f t="shared" si="425"/>
        <v>27</v>
      </c>
      <c r="X87" s="611">
        <f t="shared" si="426"/>
        <v>43</v>
      </c>
      <c r="Y87" s="611">
        <f t="shared" si="427"/>
        <v>46</v>
      </c>
      <c r="Z87" s="611">
        <f t="shared" si="428"/>
        <v>39</v>
      </c>
      <c r="AA87" s="611">
        <f t="shared" si="429"/>
        <v>70</v>
      </c>
      <c r="AB87" s="611">
        <f t="shared" si="430"/>
        <v>65</v>
      </c>
      <c r="AC87" s="611">
        <f t="shared" si="431"/>
        <v>71</v>
      </c>
      <c r="AD87" s="611">
        <f t="shared" si="432"/>
        <v>83</v>
      </c>
      <c r="AE87" s="611">
        <f t="shared" si="433"/>
        <v>94</v>
      </c>
      <c r="AF87" s="611">
        <f t="shared" si="434"/>
        <v>91</v>
      </c>
      <c r="AG87" s="611">
        <f t="shared" si="435"/>
        <v>100</v>
      </c>
      <c r="AH87" s="611">
        <f t="shared" si="436"/>
        <v>47</v>
      </c>
      <c r="AI87" s="611">
        <f t="shared" si="437"/>
        <v>0</v>
      </c>
      <c r="AJ87" s="611">
        <f t="shared" si="438"/>
        <v>0</v>
      </c>
      <c r="AK87" s="611">
        <f t="shared" si="439"/>
        <v>0</v>
      </c>
      <c r="AL87" s="611">
        <f t="shared" si="440"/>
        <v>0</v>
      </c>
      <c r="AM87" s="611">
        <f t="shared" si="441"/>
        <v>0</v>
      </c>
      <c r="AN87" s="611">
        <f t="shared" si="442"/>
        <v>0</v>
      </c>
      <c r="AO87" s="611">
        <f t="shared" si="443"/>
        <v>0</v>
      </c>
      <c r="AP87" s="611">
        <f t="shared" si="444"/>
        <v>0</v>
      </c>
      <c r="AQ87" s="611">
        <f t="shared" si="445"/>
        <v>0</v>
      </c>
      <c r="AR87" s="611">
        <f t="shared" si="446"/>
        <v>0</v>
      </c>
      <c r="AS87" s="611">
        <f t="shared" si="447"/>
        <v>0</v>
      </c>
      <c r="AT87" s="611">
        <f t="shared" si="448"/>
        <v>0</v>
      </c>
      <c r="AU87" s="611">
        <f t="shared" si="449"/>
        <v>0</v>
      </c>
      <c r="AV87" s="611">
        <f t="shared" si="450"/>
        <v>0</v>
      </c>
      <c r="AW87" s="611">
        <f t="shared" si="451"/>
        <v>0</v>
      </c>
      <c r="AX87" s="611">
        <f t="shared" si="452"/>
        <v>0</v>
      </c>
      <c r="AY87" s="611">
        <f t="shared" si="453"/>
        <v>0</v>
      </c>
      <c r="AZ87" s="611">
        <f t="shared" si="454"/>
        <v>0</v>
      </c>
      <c r="BA87" s="611">
        <f t="shared" si="455"/>
        <v>0</v>
      </c>
      <c r="BB87" s="611"/>
      <c r="BC87" s="611"/>
      <c r="BD87" s="611"/>
      <c r="BE87" s="611"/>
      <c r="BF87" s="611"/>
      <c r="BG87" s="611"/>
      <c r="BH87" s="611"/>
      <c r="BI87" s="611"/>
      <c r="BJ87" s="611"/>
      <c r="BK87" s="611"/>
      <c r="BL87" s="611"/>
      <c r="BM87" s="611"/>
      <c r="BO87" s="609" t="s">
        <v>328</v>
      </c>
      <c r="BP87" s="611"/>
      <c r="BQ87" s="611"/>
      <c r="BR87" s="611"/>
      <c r="BS87" s="611"/>
      <c r="BT87" s="611"/>
      <c r="BV87" s="609" t="s">
        <v>328</v>
      </c>
      <c r="BW87" s="611"/>
      <c r="BX87" s="611"/>
      <c r="BY87" s="611"/>
      <c r="BZ87" s="611"/>
      <c r="CA87" s="611"/>
      <c r="CC87" s="609" t="s">
        <v>328</v>
      </c>
      <c r="CD87" s="611"/>
      <c r="CE87" s="611"/>
      <c r="CF87" s="611"/>
      <c r="CG87" s="611"/>
      <c r="CH87" s="611"/>
      <c r="CJ87" s="609" t="s">
        <v>328</v>
      </c>
      <c r="CK87" s="611"/>
      <c r="CL87" s="611"/>
      <c r="CM87" s="611"/>
      <c r="CN87" s="611"/>
      <c r="CO87" s="611"/>
      <c r="CQ87" s="609" t="s">
        <v>328</v>
      </c>
      <c r="CR87" s="611"/>
      <c r="CS87" s="611"/>
      <c r="CT87" s="611"/>
      <c r="CU87" s="611"/>
      <c r="CV87" s="611"/>
      <c r="CX87" s="609" t="s">
        <v>328</v>
      </c>
      <c r="CY87" s="611"/>
      <c r="CZ87" s="611"/>
      <c r="DA87" s="611"/>
      <c r="DB87" s="611"/>
      <c r="DC87" s="611"/>
      <c r="DE87" s="609" t="s">
        <v>328</v>
      </c>
      <c r="DF87" s="611"/>
      <c r="DG87" s="611"/>
      <c r="DH87" s="611"/>
      <c r="DI87" s="611"/>
      <c r="DJ87" s="611"/>
      <c r="DL87" s="609" t="s">
        <v>328</v>
      </c>
      <c r="DM87" s="611"/>
      <c r="DN87" s="611"/>
      <c r="DO87" s="611"/>
      <c r="DP87" s="611"/>
      <c r="DQ87" s="611"/>
      <c r="DS87" s="609" t="s">
        <v>328</v>
      </c>
      <c r="DT87" s="611"/>
      <c r="DU87" s="611"/>
      <c r="DV87" s="611"/>
      <c r="DW87" s="611"/>
      <c r="DX87" s="611"/>
      <c r="DZ87" s="609" t="s">
        <v>328</v>
      </c>
      <c r="EA87" s="611"/>
      <c r="EB87" s="611"/>
      <c r="EC87" s="611">
        <v>14</v>
      </c>
      <c r="ED87" s="611">
        <v>13</v>
      </c>
      <c r="EE87" s="611">
        <f t="shared" si="456"/>
        <v>27</v>
      </c>
      <c r="EG87" s="609" t="s">
        <v>328</v>
      </c>
      <c r="EH87" s="611"/>
      <c r="EI87" s="611">
        <v>15</v>
      </c>
      <c r="EJ87" s="611">
        <v>15</v>
      </c>
      <c r="EK87" s="611">
        <v>13</v>
      </c>
      <c r="EL87" s="611">
        <f t="shared" si="457"/>
        <v>43</v>
      </c>
      <c r="EN87" s="609" t="s">
        <v>328</v>
      </c>
      <c r="EO87" s="611">
        <v>12</v>
      </c>
      <c r="EP87" s="611">
        <v>12</v>
      </c>
      <c r="EQ87" s="611">
        <v>12</v>
      </c>
      <c r="ER87" s="611">
        <v>10</v>
      </c>
      <c r="ES87" s="611">
        <f t="shared" si="458"/>
        <v>46</v>
      </c>
      <c r="EU87" s="609" t="s">
        <v>328</v>
      </c>
      <c r="EV87" s="611">
        <v>10</v>
      </c>
      <c r="EW87" s="611">
        <v>11</v>
      </c>
      <c r="EX87" s="611">
        <v>10</v>
      </c>
      <c r="EY87" s="611">
        <v>8</v>
      </c>
      <c r="EZ87" s="611">
        <f t="shared" si="459"/>
        <v>39</v>
      </c>
      <c r="FB87" s="609" t="s">
        <v>328</v>
      </c>
      <c r="FC87" s="611">
        <v>12</v>
      </c>
      <c r="FD87" s="611">
        <v>18</v>
      </c>
      <c r="FE87" s="611">
        <v>22</v>
      </c>
      <c r="FF87" s="611">
        <v>18</v>
      </c>
      <c r="FG87" s="611">
        <f t="shared" si="460"/>
        <v>70</v>
      </c>
      <c r="FI87" s="609" t="s">
        <v>328</v>
      </c>
      <c r="FJ87" s="611">
        <v>12</v>
      </c>
      <c r="FK87" s="611">
        <v>18</v>
      </c>
      <c r="FL87" s="611">
        <v>17</v>
      </c>
      <c r="FM87" s="611">
        <v>18</v>
      </c>
      <c r="FN87" s="611">
        <f t="shared" si="461"/>
        <v>65</v>
      </c>
      <c r="FP87" s="609" t="s">
        <v>328</v>
      </c>
      <c r="FQ87" s="611">
        <v>17</v>
      </c>
      <c r="FR87" s="611">
        <v>17</v>
      </c>
      <c r="FS87" s="611">
        <v>17</v>
      </c>
      <c r="FT87" s="611">
        <v>20</v>
      </c>
      <c r="FU87" s="611">
        <f>FQ87+FR87+FS87+FT87</f>
        <v>71</v>
      </c>
      <c r="FW87" s="609" t="s">
        <v>328</v>
      </c>
      <c r="FX87" s="611">
        <v>21</v>
      </c>
      <c r="FY87" s="611">
        <v>21</v>
      </c>
      <c r="FZ87" s="611">
        <v>20</v>
      </c>
      <c r="GA87" s="611">
        <v>21</v>
      </c>
      <c r="GB87" s="611">
        <v>83</v>
      </c>
      <c r="GD87" s="609" t="s">
        <v>328</v>
      </c>
      <c r="GE87" s="611">
        <v>20</v>
      </c>
      <c r="GF87" s="611">
        <v>24</v>
      </c>
      <c r="GG87" s="611">
        <v>24</v>
      </c>
      <c r="GH87" s="611">
        <v>26</v>
      </c>
      <c r="GI87" s="611">
        <v>94</v>
      </c>
      <c r="GK87" s="609" t="s">
        <v>328</v>
      </c>
      <c r="GL87" s="611">
        <v>21</v>
      </c>
      <c r="GM87" s="611">
        <v>24</v>
      </c>
      <c r="GN87" s="611">
        <v>24</v>
      </c>
      <c r="GO87" s="611">
        <v>22</v>
      </c>
      <c r="GP87" s="611">
        <v>91</v>
      </c>
      <c r="GR87" s="609" t="s">
        <v>328</v>
      </c>
      <c r="GS87" s="611">
        <v>23</v>
      </c>
      <c r="GT87" s="611">
        <v>27</v>
      </c>
      <c r="GU87" s="611">
        <v>28</v>
      </c>
      <c r="GV87" s="611">
        <v>22</v>
      </c>
      <c r="GW87" s="611">
        <v>100</v>
      </c>
      <c r="GY87" s="609" t="s">
        <v>328</v>
      </c>
      <c r="GZ87" s="611">
        <v>16</v>
      </c>
      <c r="HA87" s="611">
        <v>14</v>
      </c>
      <c r="HB87" s="611">
        <v>17</v>
      </c>
      <c r="HC87" s="611"/>
      <c r="HD87" s="611">
        <v>47</v>
      </c>
      <c r="HF87" s="609" t="s">
        <v>328</v>
      </c>
      <c r="HG87" s="611"/>
      <c r="HH87" s="611"/>
      <c r="HI87" s="611"/>
      <c r="HJ87" s="611"/>
      <c r="HK87" s="611"/>
      <c r="HM87" s="609" t="s">
        <v>328</v>
      </c>
      <c r="HN87" s="611"/>
      <c r="HO87" s="611"/>
      <c r="HP87" s="611"/>
      <c r="HQ87" s="611"/>
      <c r="HR87" s="611"/>
      <c r="HT87" s="609" t="s">
        <v>328</v>
      </c>
      <c r="HU87" s="611"/>
      <c r="HV87" s="611"/>
      <c r="HW87" s="611"/>
      <c r="HX87" s="611"/>
      <c r="HY87" s="611"/>
      <c r="IA87" s="609" t="s">
        <v>328</v>
      </c>
      <c r="IB87" s="611"/>
      <c r="IC87" s="611"/>
      <c r="ID87" s="611"/>
      <c r="IE87" s="611"/>
      <c r="IF87" s="611"/>
      <c r="IH87" s="609" t="s">
        <v>328</v>
      </c>
      <c r="II87" s="611"/>
      <c r="IJ87" s="611"/>
      <c r="IK87" s="611"/>
      <c r="IL87" s="611"/>
      <c r="IM87" s="611"/>
      <c r="IO87" s="609" t="s">
        <v>328</v>
      </c>
      <c r="IP87" s="611"/>
      <c r="IQ87" s="611"/>
      <c r="IR87" s="611"/>
      <c r="IS87" s="611"/>
      <c r="IT87" s="611"/>
      <c r="IV87" s="609" t="s">
        <v>328</v>
      </c>
      <c r="IW87" s="611"/>
      <c r="IX87" s="611"/>
      <c r="IY87" s="611"/>
      <c r="IZ87" s="611"/>
      <c r="JA87" s="611"/>
      <c r="JC87" s="609" t="s">
        <v>328</v>
      </c>
      <c r="JD87" s="611"/>
      <c r="JE87" s="611"/>
      <c r="JF87" s="611"/>
      <c r="JG87" s="611"/>
      <c r="JH87" s="611"/>
      <c r="JJ87" s="609" t="s">
        <v>328</v>
      </c>
      <c r="JK87" s="611"/>
      <c r="JL87" s="611"/>
      <c r="JM87" s="611"/>
      <c r="JN87" s="611"/>
      <c r="JO87" s="611"/>
      <c r="JQ87" s="609" t="s">
        <v>328</v>
      </c>
      <c r="JR87" s="611"/>
      <c r="JS87" s="611"/>
      <c r="JT87" s="611"/>
      <c r="JU87" s="611"/>
      <c r="JV87" s="611"/>
      <c r="JX87" s="609" t="s">
        <v>328</v>
      </c>
      <c r="JY87" s="611"/>
      <c r="JZ87" s="611"/>
      <c r="KA87" s="611"/>
      <c r="KB87" s="611"/>
      <c r="KC87" s="611"/>
      <c r="KE87" s="609" t="s">
        <v>328</v>
      </c>
      <c r="KF87" s="611"/>
      <c r="KG87" s="611"/>
      <c r="KH87" s="611"/>
      <c r="KI87" s="611"/>
      <c r="KJ87" s="611"/>
      <c r="KL87" s="609" t="s">
        <v>328</v>
      </c>
      <c r="KM87" s="611"/>
      <c r="KN87" s="611"/>
      <c r="KO87" s="611"/>
      <c r="KP87" s="611"/>
      <c r="KQ87" s="611"/>
      <c r="KS87" s="609" t="s">
        <v>328</v>
      </c>
      <c r="KT87" s="611"/>
      <c r="KU87" s="611"/>
      <c r="KV87" s="610"/>
      <c r="KW87" s="611"/>
      <c r="KX87" s="611"/>
      <c r="KZ87" s="609" t="s">
        <v>328</v>
      </c>
      <c r="LA87" s="611"/>
      <c r="LB87" s="610"/>
      <c r="LC87" s="610"/>
      <c r="LD87" s="610"/>
      <c r="LE87" s="610"/>
      <c r="LF87" s="608"/>
      <c r="LG87" s="609" t="s">
        <v>328</v>
      </c>
      <c r="LH87" s="610"/>
      <c r="LI87" s="610"/>
      <c r="LJ87" s="610"/>
      <c r="LK87" s="610"/>
      <c r="LL87" s="610"/>
      <c r="LM87" s="608"/>
      <c r="LN87" s="609" t="s">
        <v>328</v>
      </c>
      <c r="LO87" s="610"/>
      <c r="LP87" s="610"/>
      <c r="LQ87" s="610"/>
      <c r="LR87" s="610"/>
      <c r="LS87" s="610"/>
      <c r="LT87" s="608"/>
      <c r="LU87" s="609" t="s">
        <v>328</v>
      </c>
      <c r="LV87" s="610"/>
      <c r="LW87" s="610"/>
      <c r="LX87" s="610"/>
      <c r="LY87" s="610"/>
      <c r="LZ87" s="610"/>
      <c r="MA87" s="608"/>
      <c r="MB87" s="609" t="s">
        <v>328</v>
      </c>
      <c r="MC87" s="610"/>
      <c r="MD87" s="610"/>
      <c r="ME87" s="610"/>
      <c r="MF87" s="610"/>
      <c r="MG87" s="610"/>
      <c r="MH87" s="608"/>
    </row>
    <row r="88" spans="1:346" s="158" customFormat="1" ht="13.15" hidden="1" outlineLevel="1" x14ac:dyDescent="0.4">
      <c r="A88" s="604"/>
      <c r="B88" s="609" t="s">
        <v>329</v>
      </c>
      <c r="C88" s="610"/>
      <c r="D88" s="610"/>
      <c r="E88" s="610"/>
      <c r="F88" s="610"/>
      <c r="G88" s="610"/>
      <c r="H88" s="610"/>
      <c r="I88" s="610"/>
      <c r="J88" s="610"/>
      <c r="K88" s="610"/>
      <c r="L88" s="610"/>
      <c r="M88" s="610"/>
      <c r="N88" s="611">
        <f t="shared" si="416"/>
        <v>0</v>
      </c>
      <c r="O88" s="611">
        <f t="shared" si="417"/>
        <v>0</v>
      </c>
      <c r="P88" s="611">
        <f t="shared" si="418"/>
        <v>0</v>
      </c>
      <c r="Q88" s="611">
        <f t="shared" si="419"/>
        <v>0</v>
      </c>
      <c r="R88" s="611">
        <f t="shared" si="420"/>
        <v>0</v>
      </c>
      <c r="S88" s="611">
        <f t="shared" si="421"/>
        <v>0</v>
      </c>
      <c r="T88" s="611">
        <f t="shared" si="422"/>
        <v>0</v>
      </c>
      <c r="U88" s="611">
        <f t="shared" si="423"/>
        <v>0</v>
      </c>
      <c r="V88" s="611">
        <f t="shared" si="424"/>
        <v>0</v>
      </c>
      <c r="W88" s="611">
        <f t="shared" si="425"/>
        <v>28</v>
      </c>
      <c r="X88" s="611">
        <f t="shared" si="426"/>
        <v>54</v>
      </c>
      <c r="Y88" s="611">
        <f t="shared" si="427"/>
        <v>49</v>
      </c>
      <c r="Z88" s="611">
        <f t="shared" si="428"/>
        <v>38</v>
      </c>
      <c r="AA88" s="611">
        <f t="shared" si="429"/>
        <v>0</v>
      </c>
      <c r="AB88" s="611">
        <f t="shared" si="430"/>
        <v>0</v>
      </c>
      <c r="AC88" s="611">
        <f t="shared" si="431"/>
        <v>0</v>
      </c>
      <c r="AD88" s="611">
        <f t="shared" si="432"/>
        <v>0</v>
      </c>
      <c r="AE88" s="611">
        <f t="shared" si="433"/>
        <v>0</v>
      </c>
      <c r="AF88" s="611">
        <f t="shared" si="434"/>
        <v>0</v>
      </c>
      <c r="AG88" s="611">
        <f t="shared" si="435"/>
        <v>0</v>
      </c>
      <c r="AH88" s="611">
        <f t="shared" si="436"/>
        <v>0</v>
      </c>
      <c r="AI88" s="611">
        <f t="shared" si="437"/>
        <v>0</v>
      </c>
      <c r="AJ88" s="611">
        <f t="shared" si="438"/>
        <v>0</v>
      </c>
      <c r="AK88" s="611">
        <f t="shared" si="439"/>
        <v>0</v>
      </c>
      <c r="AL88" s="611">
        <f t="shared" si="440"/>
        <v>0</v>
      </c>
      <c r="AM88" s="611">
        <f t="shared" si="441"/>
        <v>0</v>
      </c>
      <c r="AN88" s="611">
        <f t="shared" si="442"/>
        <v>0</v>
      </c>
      <c r="AO88" s="611">
        <f t="shared" si="443"/>
        <v>0</v>
      </c>
      <c r="AP88" s="611">
        <f t="shared" si="444"/>
        <v>0</v>
      </c>
      <c r="AQ88" s="611">
        <f t="shared" si="445"/>
        <v>0</v>
      </c>
      <c r="AR88" s="611">
        <f t="shared" si="446"/>
        <v>0</v>
      </c>
      <c r="AS88" s="611">
        <f t="shared" si="447"/>
        <v>0</v>
      </c>
      <c r="AT88" s="611">
        <f t="shared" si="448"/>
        <v>0</v>
      </c>
      <c r="AU88" s="611">
        <f t="shared" si="449"/>
        <v>0</v>
      </c>
      <c r="AV88" s="611">
        <f t="shared" si="450"/>
        <v>0</v>
      </c>
      <c r="AW88" s="611">
        <f t="shared" si="451"/>
        <v>0</v>
      </c>
      <c r="AX88" s="611">
        <f t="shared" si="452"/>
        <v>0</v>
      </c>
      <c r="AY88" s="611">
        <f t="shared" si="453"/>
        <v>0</v>
      </c>
      <c r="AZ88" s="611">
        <f t="shared" si="454"/>
        <v>0</v>
      </c>
      <c r="BA88" s="611">
        <f t="shared" si="455"/>
        <v>0</v>
      </c>
      <c r="BB88" s="611"/>
      <c r="BC88" s="611"/>
      <c r="BD88" s="611"/>
      <c r="BE88" s="611"/>
      <c r="BF88" s="611"/>
      <c r="BG88" s="611"/>
      <c r="BH88" s="611"/>
      <c r="BI88" s="611"/>
      <c r="BJ88" s="611"/>
      <c r="BK88" s="611"/>
      <c r="BL88" s="611"/>
      <c r="BM88" s="611"/>
      <c r="BO88" s="609" t="s">
        <v>329</v>
      </c>
      <c r="BP88" s="611"/>
      <c r="BQ88" s="611"/>
      <c r="BR88" s="611"/>
      <c r="BS88" s="611"/>
      <c r="BT88" s="611"/>
      <c r="BV88" s="609" t="s">
        <v>329</v>
      </c>
      <c r="BW88" s="611"/>
      <c r="BX88" s="611"/>
      <c r="BY88" s="611"/>
      <c r="BZ88" s="611"/>
      <c r="CA88" s="611"/>
      <c r="CC88" s="609" t="s">
        <v>329</v>
      </c>
      <c r="CD88" s="611"/>
      <c r="CE88" s="611"/>
      <c r="CF88" s="611"/>
      <c r="CG88" s="611"/>
      <c r="CH88" s="611"/>
      <c r="CJ88" s="609" t="s">
        <v>329</v>
      </c>
      <c r="CK88" s="611"/>
      <c r="CL88" s="611"/>
      <c r="CM88" s="611"/>
      <c r="CN88" s="611"/>
      <c r="CO88" s="611"/>
      <c r="CQ88" s="609" t="s">
        <v>329</v>
      </c>
      <c r="CR88" s="611"/>
      <c r="CS88" s="611"/>
      <c r="CT88" s="611"/>
      <c r="CU88" s="611"/>
      <c r="CV88" s="611"/>
      <c r="CX88" s="609" t="s">
        <v>329</v>
      </c>
      <c r="CY88" s="611"/>
      <c r="CZ88" s="611"/>
      <c r="DA88" s="611"/>
      <c r="DB88" s="611"/>
      <c r="DC88" s="611"/>
      <c r="DE88" s="609" t="s">
        <v>329</v>
      </c>
      <c r="DF88" s="611"/>
      <c r="DG88" s="611"/>
      <c r="DH88" s="611"/>
      <c r="DI88" s="611"/>
      <c r="DJ88" s="611"/>
      <c r="DL88" s="609" t="s">
        <v>329</v>
      </c>
      <c r="DM88" s="611"/>
      <c r="DN88" s="611"/>
      <c r="DO88" s="611"/>
      <c r="DP88" s="611"/>
      <c r="DQ88" s="611"/>
      <c r="DS88" s="609" t="s">
        <v>329</v>
      </c>
      <c r="DT88" s="611"/>
      <c r="DU88" s="611"/>
      <c r="DV88" s="611"/>
      <c r="DW88" s="611"/>
      <c r="DX88" s="611"/>
      <c r="DZ88" s="609" t="s">
        <v>329</v>
      </c>
      <c r="EA88" s="611"/>
      <c r="EB88" s="611"/>
      <c r="EC88" s="611">
        <v>13</v>
      </c>
      <c r="ED88" s="611">
        <v>15</v>
      </c>
      <c r="EE88" s="611">
        <f t="shared" si="456"/>
        <v>28</v>
      </c>
      <c r="EG88" s="609" t="s">
        <v>329</v>
      </c>
      <c r="EH88" s="611"/>
      <c r="EI88" s="611">
        <v>22</v>
      </c>
      <c r="EJ88" s="611">
        <v>19</v>
      </c>
      <c r="EK88" s="611">
        <v>13</v>
      </c>
      <c r="EL88" s="611">
        <f t="shared" si="457"/>
        <v>54</v>
      </c>
      <c r="EN88" s="609" t="s">
        <v>329</v>
      </c>
      <c r="EO88" s="611">
        <v>8</v>
      </c>
      <c r="EP88" s="611">
        <v>13</v>
      </c>
      <c r="EQ88" s="611">
        <v>14</v>
      </c>
      <c r="ER88" s="611">
        <v>14</v>
      </c>
      <c r="ES88" s="611">
        <f t="shared" si="458"/>
        <v>49</v>
      </c>
      <c r="EU88" s="609" t="s">
        <v>329</v>
      </c>
      <c r="EV88" s="611">
        <v>5</v>
      </c>
      <c r="EW88" s="611">
        <v>13</v>
      </c>
      <c r="EX88" s="611">
        <v>12</v>
      </c>
      <c r="EY88" s="611">
        <v>8</v>
      </c>
      <c r="EZ88" s="611">
        <f t="shared" si="459"/>
        <v>38</v>
      </c>
      <c r="FB88" s="609" t="s">
        <v>329</v>
      </c>
      <c r="FC88" s="611"/>
      <c r="FD88" s="611"/>
      <c r="FE88" s="611"/>
      <c r="FF88" s="611"/>
      <c r="FG88" s="611">
        <f t="shared" si="460"/>
        <v>0</v>
      </c>
      <c r="FI88" s="609" t="s">
        <v>329</v>
      </c>
      <c r="FJ88" s="611"/>
      <c r="FK88" s="611"/>
      <c r="FL88" s="611"/>
      <c r="FM88" s="611"/>
      <c r="FN88" s="611">
        <f t="shared" si="461"/>
        <v>0</v>
      </c>
      <c r="FP88" s="609" t="s">
        <v>329</v>
      </c>
      <c r="FQ88" s="611"/>
      <c r="FR88" s="611"/>
      <c r="FS88" s="611"/>
      <c r="FT88" s="611"/>
      <c r="FU88" s="611"/>
      <c r="FW88" s="609" t="s">
        <v>329</v>
      </c>
      <c r="FX88" s="611"/>
      <c r="FY88" s="611"/>
      <c r="FZ88" s="611"/>
      <c r="GA88" s="611"/>
      <c r="GB88" s="611"/>
      <c r="GD88" s="609" t="s">
        <v>329</v>
      </c>
      <c r="GE88" s="611"/>
      <c r="GF88" s="611"/>
      <c r="GG88" s="611"/>
      <c r="GH88" s="611"/>
      <c r="GI88" s="611"/>
      <c r="GK88" s="609" t="s">
        <v>329</v>
      </c>
      <c r="GL88" s="611"/>
      <c r="GM88" s="611"/>
      <c r="GN88" s="611"/>
      <c r="GO88" s="611"/>
      <c r="GP88" s="611"/>
      <c r="GR88" s="609" t="s">
        <v>329</v>
      </c>
      <c r="GS88" s="611"/>
      <c r="GT88" s="611"/>
      <c r="GU88" s="611"/>
      <c r="GV88" s="611"/>
      <c r="GW88" s="611"/>
      <c r="GY88" s="609" t="s">
        <v>329</v>
      </c>
      <c r="GZ88" s="611"/>
      <c r="HA88" s="611"/>
      <c r="HB88" s="611"/>
      <c r="HC88" s="611"/>
      <c r="HD88" s="611"/>
      <c r="HF88" s="609" t="s">
        <v>329</v>
      </c>
      <c r="HG88" s="611"/>
      <c r="HH88" s="611"/>
      <c r="HI88" s="611"/>
      <c r="HJ88" s="611"/>
      <c r="HK88" s="611"/>
      <c r="HM88" s="609" t="s">
        <v>329</v>
      </c>
      <c r="HN88" s="611"/>
      <c r="HO88" s="611"/>
      <c r="HP88" s="611"/>
      <c r="HQ88" s="611"/>
      <c r="HR88" s="611"/>
      <c r="HT88" s="609" t="s">
        <v>329</v>
      </c>
      <c r="HU88" s="611"/>
      <c r="HV88" s="611"/>
      <c r="HW88" s="611"/>
      <c r="HX88" s="611"/>
      <c r="HY88" s="611"/>
      <c r="IA88" s="609" t="s">
        <v>329</v>
      </c>
      <c r="IB88" s="611"/>
      <c r="IC88" s="611"/>
      <c r="ID88" s="611"/>
      <c r="IE88" s="611"/>
      <c r="IF88" s="611"/>
      <c r="IH88" s="609" t="s">
        <v>329</v>
      </c>
      <c r="II88" s="611"/>
      <c r="IJ88" s="611"/>
      <c r="IK88" s="611"/>
      <c r="IL88" s="611"/>
      <c r="IM88" s="611"/>
      <c r="IO88" s="609" t="s">
        <v>329</v>
      </c>
      <c r="IP88" s="611"/>
      <c r="IQ88" s="611"/>
      <c r="IR88" s="611"/>
      <c r="IS88" s="611"/>
      <c r="IT88" s="611"/>
      <c r="IV88" s="609" t="s">
        <v>329</v>
      </c>
      <c r="IW88" s="611"/>
      <c r="IX88" s="611"/>
      <c r="IY88" s="611"/>
      <c r="IZ88" s="611"/>
      <c r="JA88" s="611"/>
      <c r="JC88" s="609" t="s">
        <v>329</v>
      </c>
      <c r="JD88" s="611"/>
      <c r="JE88" s="611"/>
      <c r="JF88" s="611"/>
      <c r="JG88" s="611"/>
      <c r="JH88" s="611"/>
      <c r="JJ88" s="609" t="s">
        <v>329</v>
      </c>
      <c r="JK88" s="611"/>
      <c r="JL88" s="611"/>
      <c r="JM88" s="611"/>
      <c r="JN88" s="611"/>
      <c r="JO88" s="611"/>
      <c r="JQ88" s="609" t="s">
        <v>329</v>
      </c>
      <c r="JR88" s="611"/>
      <c r="JS88" s="611"/>
      <c r="JT88" s="611"/>
      <c r="JU88" s="611"/>
      <c r="JV88" s="611"/>
      <c r="JX88" s="609" t="s">
        <v>329</v>
      </c>
      <c r="JY88" s="611"/>
      <c r="JZ88" s="611"/>
      <c r="KA88" s="611"/>
      <c r="KB88" s="611"/>
      <c r="KC88" s="611"/>
      <c r="KE88" s="609" t="s">
        <v>329</v>
      </c>
      <c r="KF88" s="611"/>
      <c r="KG88" s="611"/>
      <c r="KH88" s="611"/>
      <c r="KI88" s="611"/>
      <c r="KJ88" s="611"/>
      <c r="KL88" s="609" t="s">
        <v>329</v>
      </c>
      <c r="KM88" s="611"/>
      <c r="KN88" s="611"/>
      <c r="KO88" s="611"/>
      <c r="KP88" s="611"/>
      <c r="KQ88" s="611"/>
      <c r="KS88" s="609" t="s">
        <v>329</v>
      </c>
      <c r="KT88" s="611"/>
      <c r="KU88" s="611"/>
      <c r="KV88" s="610"/>
      <c r="KW88" s="611"/>
      <c r="KX88" s="611"/>
      <c r="KZ88" s="609" t="s">
        <v>329</v>
      </c>
      <c r="LA88" s="611"/>
      <c r="LB88" s="610"/>
      <c r="LC88" s="610"/>
      <c r="LD88" s="610"/>
      <c r="LE88" s="610"/>
      <c r="LF88" s="608"/>
      <c r="LG88" s="609" t="s">
        <v>329</v>
      </c>
      <c r="LH88" s="610"/>
      <c r="LI88" s="610"/>
      <c r="LJ88" s="610"/>
      <c r="LK88" s="610"/>
      <c r="LL88" s="610"/>
      <c r="LM88" s="608"/>
      <c r="LN88" s="609" t="s">
        <v>329</v>
      </c>
      <c r="LO88" s="610"/>
      <c r="LP88" s="610"/>
      <c r="LQ88" s="610"/>
      <c r="LR88" s="610"/>
      <c r="LS88" s="610"/>
      <c r="LT88" s="608"/>
      <c r="LU88" s="609" t="s">
        <v>329</v>
      </c>
      <c r="LV88" s="610"/>
      <c r="LW88" s="610"/>
      <c r="LX88" s="610"/>
      <c r="LY88" s="610"/>
      <c r="LZ88" s="610"/>
      <c r="MA88" s="608"/>
      <c r="MB88" s="609" t="s">
        <v>329</v>
      </c>
      <c r="MC88" s="610"/>
      <c r="MD88" s="610"/>
      <c r="ME88" s="610"/>
      <c r="MF88" s="610"/>
      <c r="MG88" s="610"/>
      <c r="MH88" s="608"/>
    </row>
    <row r="89" spans="1:346" s="158" customFormat="1" ht="13.15" collapsed="1" x14ac:dyDescent="0.4">
      <c r="A89" s="604"/>
      <c r="B89" s="605"/>
      <c r="C89" s="606"/>
      <c r="D89" s="606"/>
      <c r="E89" s="606"/>
      <c r="F89" s="606"/>
      <c r="G89" s="606"/>
      <c r="H89" s="606"/>
      <c r="I89" s="606"/>
      <c r="J89" s="606"/>
      <c r="K89" s="606"/>
      <c r="L89" s="606"/>
      <c r="M89" s="606"/>
      <c r="N89" s="606"/>
      <c r="O89" s="606"/>
      <c r="P89" s="606"/>
      <c r="Q89" s="606"/>
      <c r="R89" s="606"/>
      <c r="S89" s="606"/>
      <c r="T89" s="606"/>
      <c r="U89" s="606"/>
      <c r="V89" s="606"/>
      <c r="W89" s="606"/>
      <c r="X89" s="606"/>
      <c r="Y89" s="606"/>
      <c r="Z89" s="606"/>
      <c r="AA89" s="606"/>
      <c r="AB89" s="606"/>
      <c r="AC89" s="606"/>
      <c r="AD89" s="606"/>
      <c r="AE89" s="606"/>
      <c r="AF89" s="606"/>
      <c r="AG89" s="606"/>
      <c r="AH89" s="606"/>
      <c r="AI89" s="606"/>
      <c r="AJ89" s="606"/>
      <c r="AK89" s="606"/>
      <c r="AL89" s="606"/>
      <c r="AM89" s="606"/>
      <c r="AN89" s="606"/>
      <c r="AO89" s="606"/>
      <c r="AP89" s="606"/>
      <c r="AQ89" s="606"/>
      <c r="AR89" s="606"/>
      <c r="AS89" s="606"/>
      <c r="AT89" s="606"/>
      <c r="AU89" s="606"/>
      <c r="AV89" s="606"/>
      <c r="AW89" s="606"/>
      <c r="AX89" s="606"/>
      <c r="AY89" s="606"/>
      <c r="AZ89" s="606"/>
      <c r="BA89" s="606"/>
      <c r="BB89" s="606"/>
      <c r="BC89" s="606"/>
      <c r="BD89" s="606"/>
      <c r="BE89" s="606"/>
      <c r="BF89" s="606"/>
      <c r="BG89" s="606"/>
      <c r="BH89" s="606"/>
      <c r="BI89" s="606"/>
      <c r="BJ89" s="606"/>
      <c r="BK89" s="606"/>
      <c r="BL89" s="606"/>
      <c r="BM89" s="606"/>
      <c r="BO89" s="605"/>
      <c r="BP89" s="607"/>
      <c r="BQ89" s="607"/>
      <c r="BR89" s="607"/>
      <c r="BS89" s="607"/>
      <c r="BT89" s="607"/>
      <c r="BV89" s="605"/>
      <c r="BW89" s="607"/>
      <c r="BX89" s="607"/>
      <c r="BY89" s="607"/>
      <c r="BZ89" s="607"/>
      <c r="CA89" s="607"/>
      <c r="CC89" s="605"/>
      <c r="CD89" s="607"/>
      <c r="CE89" s="607"/>
      <c r="CF89" s="607"/>
      <c r="CG89" s="607"/>
      <c r="CH89" s="607"/>
      <c r="CJ89" s="605"/>
      <c r="CK89" s="607"/>
      <c r="CL89" s="607"/>
      <c r="CM89" s="607"/>
      <c r="CN89" s="607"/>
      <c r="CO89" s="607"/>
      <c r="CQ89" s="605"/>
      <c r="CR89" s="607"/>
      <c r="CS89" s="607"/>
      <c r="CT89" s="607"/>
      <c r="CU89" s="607"/>
      <c r="CV89" s="607"/>
      <c r="CX89" s="605"/>
      <c r="CY89" s="607"/>
      <c r="CZ89" s="607"/>
      <c r="DA89" s="607"/>
      <c r="DB89" s="607"/>
      <c r="DC89" s="607"/>
      <c r="DE89" s="605"/>
      <c r="DF89" s="607"/>
      <c r="DG89" s="607"/>
      <c r="DH89" s="607"/>
      <c r="DI89" s="607"/>
      <c r="DJ89" s="607"/>
      <c r="DL89" s="605"/>
      <c r="DM89" s="607"/>
      <c r="DN89" s="607"/>
      <c r="DO89" s="607"/>
      <c r="DP89" s="607"/>
      <c r="DQ89" s="607"/>
      <c r="DS89" s="605"/>
      <c r="DT89" s="607"/>
      <c r="DU89" s="607"/>
      <c r="DV89" s="607"/>
      <c r="DW89" s="607"/>
      <c r="DX89" s="607"/>
      <c r="DZ89" s="605"/>
      <c r="EA89" s="607"/>
      <c r="EB89" s="607"/>
      <c r="EC89" s="607"/>
      <c r="ED89" s="607"/>
      <c r="EE89" s="607"/>
      <c r="EG89" s="605"/>
      <c r="EH89" s="607"/>
      <c r="EI89" s="607"/>
      <c r="EJ89" s="607"/>
      <c r="EK89" s="607"/>
      <c r="EL89" s="607"/>
      <c r="EN89" s="605"/>
      <c r="EO89" s="607"/>
      <c r="EP89" s="607"/>
      <c r="EQ89" s="607"/>
      <c r="ER89" s="607"/>
      <c r="ES89" s="607"/>
      <c r="EU89" s="605"/>
      <c r="EV89" s="607"/>
      <c r="EW89" s="607"/>
      <c r="EX89" s="607"/>
      <c r="EY89" s="607"/>
      <c r="EZ89" s="607"/>
      <c r="FB89" s="605"/>
      <c r="FC89" s="607"/>
      <c r="FD89" s="607"/>
      <c r="FE89" s="607"/>
      <c r="FF89" s="607"/>
      <c r="FG89" s="607"/>
      <c r="FI89" s="605"/>
      <c r="FJ89" s="607"/>
      <c r="FK89" s="607"/>
      <c r="FL89" s="607"/>
      <c r="FM89" s="607"/>
      <c r="FN89" s="607"/>
      <c r="FP89" s="605"/>
      <c r="FQ89" s="607"/>
      <c r="FR89" s="607"/>
      <c r="FS89" s="607"/>
      <c r="FT89" s="607"/>
      <c r="FU89" s="607"/>
      <c r="FW89" s="605"/>
      <c r="FX89" s="607"/>
      <c r="FY89" s="607"/>
      <c r="FZ89" s="607"/>
      <c r="GA89" s="607"/>
      <c r="GB89" s="607"/>
      <c r="GD89" s="605"/>
      <c r="GE89" s="607"/>
      <c r="GF89" s="607"/>
      <c r="GG89" s="607"/>
      <c r="GH89" s="607"/>
      <c r="GI89" s="607"/>
      <c r="GK89" s="605"/>
      <c r="GL89" s="607"/>
      <c r="GM89" s="607"/>
      <c r="GN89" s="607"/>
      <c r="GO89" s="607"/>
      <c r="GP89" s="607"/>
      <c r="GR89" s="605"/>
      <c r="GS89" s="607"/>
      <c r="GT89" s="607"/>
      <c r="GU89" s="607"/>
      <c r="GV89" s="607"/>
      <c r="GW89" s="607"/>
      <c r="GY89" s="605"/>
      <c r="GZ89" s="607"/>
      <c r="HA89" s="607"/>
      <c r="HB89" s="607"/>
      <c r="HC89" s="607"/>
      <c r="HD89" s="607"/>
      <c r="HF89" s="605"/>
      <c r="HG89" s="607"/>
      <c r="HH89" s="607"/>
      <c r="HI89" s="607"/>
      <c r="HJ89" s="607"/>
      <c r="HK89" s="607"/>
      <c r="HM89" s="605"/>
      <c r="HN89" s="607"/>
      <c r="HO89" s="607"/>
      <c r="HP89" s="607"/>
      <c r="HQ89" s="607"/>
      <c r="HR89" s="607"/>
      <c r="HT89" s="605"/>
      <c r="HU89" s="607"/>
      <c r="HV89" s="607"/>
      <c r="HW89" s="607"/>
      <c r="HX89" s="607"/>
      <c r="HY89" s="607"/>
      <c r="IA89" s="605"/>
      <c r="IB89" s="607"/>
      <c r="IC89" s="607"/>
      <c r="ID89" s="607"/>
      <c r="IE89" s="607"/>
      <c r="IF89" s="607"/>
      <c r="IH89" s="605"/>
      <c r="II89" s="607"/>
      <c r="IJ89" s="607"/>
      <c r="IK89" s="607"/>
      <c r="IL89" s="607"/>
      <c r="IM89" s="607"/>
      <c r="IO89" s="605"/>
      <c r="IP89" s="607"/>
      <c r="IQ89" s="607"/>
      <c r="IR89" s="607"/>
      <c r="IS89" s="607"/>
      <c r="IT89" s="607"/>
      <c r="IV89" s="605"/>
      <c r="IW89" s="607"/>
      <c r="IX89" s="607"/>
      <c r="IY89" s="607"/>
      <c r="IZ89" s="607"/>
      <c r="JA89" s="607"/>
      <c r="JC89" s="605"/>
      <c r="JD89" s="607"/>
      <c r="JE89" s="607"/>
      <c r="JF89" s="607"/>
      <c r="JG89" s="607"/>
      <c r="JH89" s="607"/>
      <c r="JJ89" s="605"/>
      <c r="JK89" s="607"/>
      <c r="JL89" s="607"/>
      <c r="JM89" s="607"/>
      <c r="JN89" s="607"/>
      <c r="JO89" s="607"/>
      <c r="JQ89" s="605"/>
      <c r="JR89" s="607"/>
      <c r="JS89" s="607"/>
      <c r="JT89" s="607"/>
      <c r="JU89" s="607"/>
      <c r="JV89" s="607"/>
      <c r="JX89" s="605"/>
      <c r="JY89" s="607"/>
      <c r="JZ89" s="607"/>
      <c r="KA89" s="607"/>
      <c r="KB89" s="607"/>
      <c r="KC89" s="607"/>
      <c r="KE89" s="605"/>
      <c r="KF89" s="607"/>
      <c r="KG89" s="607"/>
      <c r="KH89" s="607"/>
      <c r="KI89" s="607"/>
      <c r="KJ89" s="607"/>
      <c r="KL89" s="605"/>
      <c r="KM89" s="607"/>
      <c r="KN89" s="607"/>
      <c r="KO89" s="607"/>
      <c r="KP89" s="607"/>
      <c r="KQ89" s="607"/>
      <c r="KS89" s="605"/>
      <c r="KT89" s="607"/>
      <c r="KU89" s="607"/>
      <c r="KV89" s="606"/>
      <c r="KW89" s="606"/>
      <c r="KX89" s="607"/>
      <c r="KZ89" s="605"/>
      <c r="LA89" s="607"/>
      <c r="LB89" s="606"/>
      <c r="LC89" s="606"/>
      <c r="LD89" s="606"/>
      <c r="LE89" s="606"/>
      <c r="LF89" s="608"/>
      <c r="LG89" s="605"/>
      <c r="LH89" s="606"/>
      <c r="LI89" s="606"/>
      <c r="LJ89" s="606"/>
      <c r="LK89" s="606"/>
      <c r="LL89" s="606"/>
      <c r="LM89" s="608"/>
      <c r="LN89" s="605"/>
      <c r="LO89" s="606"/>
      <c r="LP89" s="606"/>
      <c r="LQ89" s="606"/>
      <c r="LR89" s="606"/>
      <c r="LS89" s="606"/>
      <c r="LT89" s="608"/>
      <c r="LU89" s="605"/>
      <c r="LV89" s="606"/>
      <c r="LW89" s="606"/>
      <c r="LX89" s="606"/>
      <c r="LY89" s="606"/>
      <c r="LZ89" s="606"/>
      <c r="MA89" s="608"/>
      <c r="MB89" s="605"/>
      <c r="MC89" s="606"/>
      <c r="MD89" s="606"/>
      <c r="ME89" s="606"/>
      <c r="MF89" s="606"/>
      <c r="MG89" s="606"/>
      <c r="MH89" s="608"/>
    </row>
    <row r="90" spans="1:346" s="158" customFormat="1" ht="13.5" thickBot="1" x14ac:dyDescent="0.45">
      <c r="A90" s="604"/>
      <c r="B90" s="621" t="s">
        <v>428</v>
      </c>
      <c r="C90" s="622">
        <f t="shared" ref="C90:M90" si="470">SUM(C85:C88,C80)</f>
        <v>0</v>
      </c>
      <c r="D90" s="622">
        <f t="shared" si="470"/>
        <v>0</v>
      </c>
      <c r="E90" s="622">
        <f t="shared" si="470"/>
        <v>7564.9</v>
      </c>
      <c r="F90" s="622">
        <f t="shared" si="470"/>
        <v>7275.5</v>
      </c>
      <c r="G90" s="622">
        <f t="shared" si="470"/>
        <v>6198</v>
      </c>
      <c r="H90" s="622">
        <f t="shared" si="470"/>
        <v>5851</v>
      </c>
      <c r="I90" s="622">
        <f t="shared" si="470"/>
        <v>6546</v>
      </c>
      <c r="J90" s="622">
        <f t="shared" si="470"/>
        <v>5769</v>
      </c>
      <c r="K90" s="622">
        <f t="shared" si="470"/>
        <v>5712</v>
      </c>
      <c r="L90" s="622">
        <f t="shared" si="470"/>
        <v>6057</v>
      </c>
      <c r="M90" s="622">
        <f t="shared" si="470"/>
        <v>5994</v>
      </c>
      <c r="N90" s="183">
        <f>BT90</f>
        <v>5750</v>
      </c>
      <c r="O90" s="183">
        <f>CA90</f>
        <v>5676</v>
      </c>
      <c r="P90" s="183">
        <f>CH90</f>
        <v>5296</v>
      </c>
      <c r="Q90" s="183">
        <f>CO90</f>
        <v>5382.7</v>
      </c>
      <c r="R90" s="183">
        <f>CV90</f>
        <v>5344</v>
      </c>
      <c r="S90" s="183">
        <f>DC90</f>
        <v>5763</v>
      </c>
      <c r="T90" s="183">
        <f>DJ90</f>
        <v>5555</v>
      </c>
      <c r="U90" s="183">
        <f>DQ90</f>
        <v>5546</v>
      </c>
      <c r="V90" s="183">
        <f>DX90</f>
        <v>5722</v>
      </c>
      <c r="W90" s="183">
        <f>EE90</f>
        <v>5733</v>
      </c>
      <c r="X90" s="183">
        <f>EL90</f>
        <v>6725</v>
      </c>
      <c r="Y90" s="183">
        <f>ES90</f>
        <v>7318</v>
      </c>
      <c r="Z90" s="183">
        <f>EZ90</f>
        <v>7118</v>
      </c>
      <c r="AA90" s="183">
        <f>FG90</f>
        <v>7091</v>
      </c>
      <c r="AB90" s="183">
        <f>FN90</f>
        <v>7283</v>
      </c>
      <c r="AC90" s="183">
        <f>FU90</f>
        <v>7530</v>
      </c>
      <c r="AD90" s="183">
        <f>GB90</f>
        <v>7350</v>
      </c>
      <c r="AE90" s="183">
        <f>GI90</f>
        <v>7358</v>
      </c>
      <c r="AF90" s="183">
        <f>GP90</f>
        <v>7116</v>
      </c>
      <c r="AG90" s="183">
        <f>GW90</f>
        <v>6828</v>
      </c>
      <c r="AH90" s="183">
        <f>HD90</f>
        <v>5793</v>
      </c>
      <c r="AI90" s="183">
        <f>HK90</f>
        <v>6384</v>
      </c>
      <c r="AJ90" s="183">
        <f>HR90</f>
        <v>6476</v>
      </c>
      <c r="AK90" s="183">
        <f>HY90</f>
        <v>6409</v>
      </c>
      <c r="AL90" s="183">
        <f>IF90</f>
        <v>6539</v>
      </c>
      <c r="AM90" s="183">
        <f>IM90</f>
        <v>6922</v>
      </c>
      <c r="AN90" s="183">
        <f>IT90</f>
        <v>6761</v>
      </c>
      <c r="AO90" s="183">
        <f>JA90</f>
        <v>6451</v>
      </c>
      <c r="AP90" s="183">
        <f>JH90</f>
        <v>6400</v>
      </c>
      <c r="AQ90" s="183">
        <f>JO90</f>
        <v>6482</v>
      </c>
      <c r="AR90" s="183">
        <f>JV90</f>
        <v>6220</v>
      </c>
      <c r="AS90" s="183">
        <f>KC90</f>
        <v>5892</v>
      </c>
      <c r="AT90" s="183">
        <f>KJ90</f>
        <v>6253</v>
      </c>
      <c r="AU90" s="183">
        <f>KQ90</f>
        <v>6218</v>
      </c>
      <c r="AV90" s="183">
        <f>KX90</f>
        <v>6142</v>
      </c>
      <c r="AW90" s="183">
        <f>LE90</f>
        <v>6277</v>
      </c>
      <c r="AX90" s="183">
        <f>LL90</f>
        <v>6307</v>
      </c>
      <c r="AY90" s="183">
        <f>LS90</f>
        <v>6456.36</v>
      </c>
      <c r="AZ90" s="183">
        <f>LZ90</f>
        <v>6619.6852749999998</v>
      </c>
      <c r="BA90" s="183">
        <f>MG90</f>
        <v>6779.0598338125001</v>
      </c>
      <c r="BB90" s="183"/>
      <c r="BC90" s="183"/>
      <c r="BD90" s="183"/>
      <c r="BE90" s="183"/>
      <c r="BF90" s="183"/>
      <c r="BG90" s="183"/>
      <c r="BH90" s="183"/>
      <c r="BI90" s="183"/>
      <c r="BJ90" s="183"/>
      <c r="BK90" s="183"/>
      <c r="BL90" s="183"/>
      <c r="BM90" s="183"/>
      <c r="BO90" s="621" t="s">
        <v>428</v>
      </c>
      <c r="BP90" s="183">
        <f>SUM(BP85:BP88,BP80)</f>
        <v>1459</v>
      </c>
      <c r="BQ90" s="183">
        <f>SUM(BQ85:BQ88,BQ80)</f>
        <v>1480</v>
      </c>
      <c r="BR90" s="183">
        <f>SUM(BR85:BR88,BR80)</f>
        <v>1403</v>
      </c>
      <c r="BS90" s="183">
        <f>SUM(BS85:BS88,BS80)</f>
        <v>1408</v>
      </c>
      <c r="BT90" s="183">
        <f>SUM(BT85:BT88,BT80)</f>
        <v>5750</v>
      </c>
      <c r="BV90" s="621" t="s">
        <v>428</v>
      </c>
      <c r="BW90" s="183">
        <f>SUM(BW85:BW88,BW80)</f>
        <v>1441</v>
      </c>
      <c r="BX90" s="183">
        <f>SUM(BX85:BX88,BX80)</f>
        <v>1459</v>
      </c>
      <c r="BY90" s="183">
        <f>SUM(BY85:BY88,BY80)</f>
        <v>1396</v>
      </c>
      <c r="BZ90" s="183">
        <f>SUM(BZ85:BZ88,BZ80)</f>
        <v>1380</v>
      </c>
      <c r="CA90" s="183">
        <f>SUM(CA85:CA88,CA80)</f>
        <v>5676</v>
      </c>
      <c r="CC90" s="621" t="s">
        <v>428</v>
      </c>
      <c r="CD90" s="183">
        <f>SUM(CD85:CD88,CD80)</f>
        <v>1291</v>
      </c>
      <c r="CE90" s="183">
        <f>SUM(CE85:CE88,CE80)</f>
        <v>1297</v>
      </c>
      <c r="CF90" s="183">
        <f>SUM(CF85:CF88,CF80)</f>
        <v>1347</v>
      </c>
      <c r="CG90" s="183">
        <f>SUM(CG85:CG88,CG80)</f>
        <v>1361</v>
      </c>
      <c r="CH90" s="183">
        <f>SUM(CH85:CH88,CH80)</f>
        <v>5296</v>
      </c>
      <c r="CJ90" s="621" t="s">
        <v>428</v>
      </c>
      <c r="CK90" s="183">
        <f>SUM(CK85:CK88,CK80)</f>
        <v>1328.3</v>
      </c>
      <c r="CL90" s="183">
        <f>SUM(CL85:CL88,CL80)</f>
        <v>1347.4</v>
      </c>
      <c r="CM90" s="183">
        <f>SUM(CM85:CM88,CM80)</f>
        <v>1332</v>
      </c>
      <c r="CN90" s="183">
        <f>SUM(CN85:CN88,CN80)</f>
        <v>1375</v>
      </c>
      <c r="CO90" s="183">
        <f>SUM(CO85:CO88,CO80)</f>
        <v>5382.7</v>
      </c>
      <c r="CQ90" s="621" t="s">
        <v>428</v>
      </c>
      <c r="CR90" s="183">
        <f>SUM(CR85:CR88,CR80)</f>
        <v>1305</v>
      </c>
      <c r="CS90" s="183">
        <f>SUM(CS85:CS88,CS80)</f>
        <v>1350</v>
      </c>
      <c r="CT90" s="183">
        <f>SUM(CT85:CT88,CT80)</f>
        <v>1329</v>
      </c>
      <c r="CU90" s="183">
        <f>SUM(CU85:CU88,CU80)</f>
        <v>1360</v>
      </c>
      <c r="CV90" s="183">
        <f>SUM(CV85:CV88,CV80)</f>
        <v>5344</v>
      </c>
      <c r="CX90" s="621" t="s">
        <v>428</v>
      </c>
      <c r="CY90" s="183">
        <f>SUM(CY85:CY88,CY80)</f>
        <v>1376</v>
      </c>
      <c r="CZ90" s="183">
        <f>SUM(CZ85:CZ88,CZ80)</f>
        <v>1462</v>
      </c>
      <c r="DA90" s="183">
        <f>SUM(DA85:DA88,DA80)</f>
        <v>1439</v>
      </c>
      <c r="DB90" s="183">
        <f>SUM(DB85:DB88,DB80)</f>
        <v>1486</v>
      </c>
      <c r="DC90" s="183">
        <f>SUM(DC85:DC88,DC80)</f>
        <v>5763</v>
      </c>
      <c r="DE90" s="621" t="s">
        <v>428</v>
      </c>
      <c r="DF90" s="183">
        <f>SUM(DF85:DF88,DF80)</f>
        <v>1383</v>
      </c>
      <c r="DG90" s="183">
        <f>SUM(DG85:DG88,DG80)</f>
        <v>1402</v>
      </c>
      <c r="DH90" s="183">
        <f>SUM(DH85:DH88,DH80)</f>
        <v>1378</v>
      </c>
      <c r="DI90" s="183">
        <f>SUM(DI85:DI88,DI80)</f>
        <v>1392</v>
      </c>
      <c r="DJ90" s="183">
        <f>SUM(DJ85:DJ88,DJ80)</f>
        <v>5555</v>
      </c>
      <c r="DL90" s="621" t="s">
        <v>428</v>
      </c>
      <c r="DM90" s="183">
        <f>SUM(DM85:DM88,DM80)</f>
        <v>1340</v>
      </c>
      <c r="DN90" s="183">
        <f>SUM(DN85:DN88,DN80)</f>
        <v>1410</v>
      </c>
      <c r="DO90" s="183">
        <f>SUM(DO85:DO88,DO80)</f>
        <v>1384</v>
      </c>
      <c r="DP90" s="183">
        <f>SUM(DP85:DP88,DP80)</f>
        <v>1412</v>
      </c>
      <c r="DQ90" s="183">
        <f>SUM(DQ85:DQ88,DQ80)</f>
        <v>5546</v>
      </c>
      <c r="DS90" s="621" t="s">
        <v>428</v>
      </c>
      <c r="DT90" s="183">
        <f>SUM(DT85:DT88,DT80)</f>
        <v>1407</v>
      </c>
      <c r="DU90" s="183">
        <f>SUM(DU85:DU88,DU80)</f>
        <v>1437</v>
      </c>
      <c r="DV90" s="183">
        <f>SUM(DV85:DV88,DV80)</f>
        <v>1417</v>
      </c>
      <c r="DW90" s="183">
        <f>SUM(DW85:DW88,DW80)</f>
        <v>1461</v>
      </c>
      <c r="DX90" s="183">
        <f>SUM(DX85:DX88,DX80)</f>
        <v>5722</v>
      </c>
      <c r="DZ90" s="621" t="s">
        <v>428</v>
      </c>
      <c r="EA90" s="183">
        <f>SUM(EA85:EA88,EA80)</f>
        <v>1406</v>
      </c>
      <c r="EB90" s="183">
        <f>SUM(EB85:EB88,EB80)</f>
        <v>1449</v>
      </c>
      <c r="EC90" s="183">
        <f>SUM(EC85:EC88,EC80)</f>
        <v>1418</v>
      </c>
      <c r="ED90" s="183">
        <f>SUM(ED85:ED88,ED80)</f>
        <v>1463</v>
      </c>
      <c r="EE90" s="183">
        <f>SUM(EE85:EE88,EE80)</f>
        <v>5733</v>
      </c>
      <c r="EG90" s="621" t="s">
        <v>428</v>
      </c>
      <c r="EH90" s="183">
        <f>SUM(EH85:EH88,EH80)</f>
        <v>1489</v>
      </c>
      <c r="EI90" s="183">
        <f>SUM(EI85:EI88,EI80)</f>
        <v>1568</v>
      </c>
      <c r="EJ90" s="183">
        <f>SUM(EJ85:EJ88,EJ80)</f>
        <v>1835</v>
      </c>
      <c r="EK90" s="183">
        <f>SUM(EK85:EK88,EK80)</f>
        <v>1844</v>
      </c>
      <c r="EL90" s="183">
        <f>SUM(EL85:EL88,EL80)</f>
        <v>6725</v>
      </c>
      <c r="EN90" s="621" t="s">
        <v>428</v>
      </c>
      <c r="EO90" s="183">
        <f>SUM(EO85:EO88,EO80)</f>
        <v>1847</v>
      </c>
      <c r="EP90" s="183">
        <f>SUM(EP85:EP88,EP80)</f>
        <v>1859</v>
      </c>
      <c r="EQ90" s="183">
        <f>SUM(EQ85:EQ88,EQ80)</f>
        <v>1821</v>
      </c>
      <c r="ER90" s="183">
        <f>SUM(ER85:ER88,ER80)</f>
        <v>1791</v>
      </c>
      <c r="ES90" s="183">
        <f>SUM(ES85:ES88,ES80)</f>
        <v>7318</v>
      </c>
      <c r="EU90" s="621" t="s">
        <v>428</v>
      </c>
      <c r="EV90" s="183">
        <f>SUM(EV85:EV88,EV80)</f>
        <v>1773</v>
      </c>
      <c r="EW90" s="183">
        <f>SUM(EW85:EW88,EW80)</f>
        <v>1797</v>
      </c>
      <c r="EX90" s="183">
        <f>SUM(EX85:EX88,EX80)</f>
        <v>1774</v>
      </c>
      <c r="EY90" s="183">
        <f>SUM(EY85:EY88,EY80)</f>
        <v>1774</v>
      </c>
      <c r="EZ90" s="183">
        <f>SUM(EZ85:EZ88,EZ80)</f>
        <v>7118</v>
      </c>
      <c r="FB90" s="621" t="s">
        <v>428</v>
      </c>
      <c r="FC90" s="183">
        <f>SUM(FC85:FC88,FC80)</f>
        <v>1698</v>
      </c>
      <c r="FD90" s="183">
        <f>SUM(FD85:FD88,FD80)</f>
        <v>1810</v>
      </c>
      <c r="FE90" s="183">
        <f>SUM(FE85:FE88,FE80)</f>
        <v>1812</v>
      </c>
      <c r="FF90" s="183">
        <f>SUM(FF85:FF88,FF80)</f>
        <v>1771</v>
      </c>
      <c r="FG90" s="183">
        <f>SUM(FG85:FG88,FG80)</f>
        <v>7091</v>
      </c>
      <c r="FI90" s="621" t="s">
        <v>428</v>
      </c>
      <c r="FJ90" s="183">
        <f>SUM(FJ85:FJ88,FJ80)</f>
        <v>1748</v>
      </c>
      <c r="FK90" s="183">
        <f>SUM(FK85:FK88,FK80)</f>
        <v>1847</v>
      </c>
      <c r="FL90" s="183">
        <f>SUM(FL85:FL88,FL80)</f>
        <v>1821</v>
      </c>
      <c r="FM90" s="183">
        <f>SUM(FM85:FM88,FM80)</f>
        <v>1867</v>
      </c>
      <c r="FN90" s="183">
        <f>SUM(FN85:FN88,FN80)</f>
        <v>7283</v>
      </c>
      <c r="FP90" s="621" t="s">
        <v>428</v>
      </c>
      <c r="FQ90" s="183">
        <f>SUM(FQ85:FQ88,FQ80)</f>
        <v>1824</v>
      </c>
      <c r="FR90" s="183">
        <f>SUM(FR85:FR88,FR80)</f>
        <v>1906</v>
      </c>
      <c r="FS90" s="183">
        <f>SUM(FS85:FS88,FS80)</f>
        <v>1817</v>
      </c>
      <c r="FT90" s="183">
        <f>SUM(FT85:FT88,FT80)</f>
        <v>1983</v>
      </c>
      <c r="FU90" s="183">
        <f>SUM(FU85:FU88,FU80)</f>
        <v>7530</v>
      </c>
      <c r="FW90" s="621" t="s">
        <v>428</v>
      </c>
      <c r="FX90" s="183">
        <f>SUM(FX85:FX88,FX80)</f>
        <v>1844</v>
      </c>
      <c r="FY90" s="183">
        <f>SUM(FY85:FY88,FY80)</f>
        <v>1869</v>
      </c>
      <c r="FZ90" s="183">
        <f>SUM(FZ85:FZ88,FZ80)</f>
        <v>1819</v>
      </c>
      <c r="GA90" s="183">
        <f>SUM(GA85:GA88,GA80)</f>
        <v>1818</v>
      </c>
      <c r="GB90" s="183">
        <f>SUM(GB85:GB88,GB80)</f>
        <v>7350</v>
      </c>
      <c r="GD90" s="621" t="s">
        <v>428</v>
      </c>
      <c r="GE90" s="183">
        <f>SUM(GE85:GE88,GE80)</f>
        <v>1826</v>
      </c>
      <c r="GF90" s="183">
        <f>SUM(GF85:GF88,GF80)</f>
        <v>1870</v>
      </c>
      <c r="GG90" s="183">
        <f>SUM(GG85:GG88,GG80)</f>
        <v>1852</v>
      </c>
      <c r="GH90" s="183">
        <f>SUM(GH85:GH88,GH80)</f>
        <v>1810</v>
      </c>
      <c r="GI90" s="183">
        <f>SUM(GI85:GI88,GI80)</f>
        <v>7358</v>
      </c>
      <c r="GK90" s="621" t="s">
        <v>428</v>
      </c>
      <c r="GL90" s="183">
        <f>SUM(GL85:GL88,GL80)</f>
        <v>1755</v>
      </c>
      <c r="GM90" s="183">
        <f>SUM(GM85:GM88,GM80)</f>
        <v>1827</v>
      </c>
      <c r="GN90" s="183">
        <f>SUM(GN85:GN88,GN80)</f>
        <v>1773</v>
      </c>
      <c r="GO90" s="183">
        <f>SUM(GO85:GO88,GO80)</f>
        <v>1761</v>
      </c>
      <c r="GP90" s="183">
        <f>SUM(GP85:GP88,GP80)</f>
        <v>7116</v>
      </c>
      <c r="GR90" s="621" t="s">
        <v>428</v>
      </c>
      <c r="GS90" s="183">
        <f>SUM(GS85:GS88,GS80)</f>
        <v>1717</v>
      </c>
      <c r="GT90" s="183">
        <f>SUM(GT85:GT88,GT80)</f>
        <v>1776</v>
      </c>
      <c r="GU90" s="183">
        <f>SUM(GU85:GU88,GU80)</f>
        <v>1732</v>
      </c>
      <c r="GV90" s="183">
        <f>SUM(GV85:GV88,GV80)</f>
        <v>1603</v>
      </c>
      <c r="GW90" s="183">
        <f>SUM(GW85:GW88,GW80)</f>
        <v>6828</v>
      </c>
      <c r="GY90" s="621" t="s">
        <v>428</v>
      </c>
      <c r="GZ90" s="183">
        <f>SUM(GZ85:GZ88,GZ80)</f>
        <v>1419</v>
      </c>
      <c r="HA90" s="183">
        <f>SUM(HA85:HA88,HA80)</f>
        <v>1411</v>
      </c>
      <c r="HB90" s="183">
        <f>SUM(HB85:HB88,HB80)</f>
        <v>1465</v>
      </c>
      <c r="HC90" s="183">
        <f>SUM(HC85:HC88,HC80)</f>
        <v>1498</v>
      </c>
      <c r="HD90" s="183">
        <f>SUM(HD85:HD88,HD80)</f>
        <v>5793</v>
      </c>
      <c r="HF90" s="621" t="s">
        <v>428</v>
      </c>
      <c r="HG90" s="183">
        <f>SUM(HG85:HG88,HG80)</f>
        <v>1486</v>
      </c>
      <c r="HH90" s="183">
        <f>SUM(HH85:HH88,HH80)</f>
        <v>1598</v>
      </c>
      <c r="HI90" s="183">
        <f>SUM(HI85:HI88,HI80)</f>
        <v>1609</v>
      </c>
      <c r="HJ90" s="183">
        <f>SUM(HJ85:HJ88,HJ80)</f>
        <v>1691</v>
      </c>
      <c r="HK90" s="183">
        <f>SUM(HK85:HK88,HK80)</f>
        <v>6384</v>
      </c>
      <c r="HM90" s="621" t="s">
        <v>428</v>
      </c>
      <c r="HN90" s="183">
        <f>SUM(HN85:HN88,HN80)</f>
        <v>1592</v>
      </c>
      <c r="HO90" s="183">
        <f>SUM(HO85:HO88,HO80)</f>
        <v>1646</v>
      </c>
      <c r="HP90" s="183">
        <f>SUM(HP85:HP88,HP80)</f>
        <v>1619</v>
      </c>
      <c r="HQ90" s="183">
        <f>SUM(HQ85:HQ88,HQ80)</f>
        <v>1619</v>
      </c>
      <c r="HR90" s="183">
        <f>SUM(HR85:HR88,HR80)</f>
        <v>6476</v>
      </c>
      <c r="HT90" s="621" t="s">
        <v>428</v>
      </c>
      <c r="HU90" s="183">
        <f>SUM(HU85:HU88,HU80)</f>
        <v>1602</v>
      </c>
      <c r="HV90" s="183">
        <f>SUM(HV85:HV88,HV80)</f>
        <v>1640</v>
      </c>
      <c r="HW90" s="183">
        <f>SUM(HW85:HW88,HW80)</f>
        <v>1600</v>
      </c>
      <c r="HX90" s="183">
        <f>SUM(HX85:HX88,HX80)</f>
        <v>1567</v>
      </c>
      <c r="HY90" s="183">
        <f>SUM(HY85:HY88,HY80)</f>
        <v>6409</v>
      </c>
      <c r="IA90" s="621" t="s">
        <v>428</v>
      </c>
      <c r="IB90" s="183">
        <f>SUM(IB85:IB88,IB80)</f>
        <v>1578</v>
      </c>
      <c r="IC90" s="183">
        <f>SUM(IC85:IC88,IC80)</f>
        <v>1656</v>
      </c>
      <c r="ID90" s="183">
        <f>SUM(ID85:ID88,ID80)</f>
        <v>1643</v>
      </c>
      <c r="IE90" s="183">
        <f>SUM(IE85:IE88,IE80)</f>
        <v>1662</v>
      </c>
      <c r="IF90" s="183">
        <f>SUM(IF85:IF88,IF80)</f>
        <v>6539</v>
      </c>
      <c r="IH90" s="621" t="s">
        <v>428</v>
      </c>
      <c r="II90" s="183">
        <f>SUM(II85:II88,II80)</f>
        <v>1620</v>
      </c>
      <c r="IJ90" s="183">
        <f>SUM(IJ85:IJ88,IJ80)</f>
        <v>1781</v>
      </c>
      <c r="IK90" s="183">
        <f>SUM(IK85:IK88,IK80)</f>
        <v>1758</v>
      </c>
      <c r="IL90" s="183">
        <f>SUM(IL85:IL88,IL80)</f>
        <v>1763</v>
      </c>
      <c r="IM90" s="183">
        <f>SUM(IM85:IM88,IM80)</f>
        <v>6922</v>
      </c>
      <c r="IO90" s="621" t="s">
        <v>428</v>
      </c>
      <c r="IP90" s="183">
        <f>SUM(IP85:IP88,IP80)</f>
        <v>1635</v>
      </c>
      <c r="IQ90" s="183">
        <f>SUM(IQ85:IQ88,IQ80)</f>
        <v>1759</v>
      </c>
      <c r="IR90" s="183">
        <f>SUM(IR85:IR88,IR80)</f>
        <v>1712</v>
      </c>
      <c r="IS90" s="183">
        <f>SUM(IS85:IS88,IS80)</f>
        <v>1655</v>
      </c>
      <c r="IT90" s="183">
        <f>SUM(IT85:IT88,IT80)</f>
        <v>6761</v>
      </c>
      <c r="IV90" s="621" t="s">
        <v>428</v>
      </c>
      <c r="IW90" s="183">
        <f>SUM(IW85:IW88,IW80)</f>
        <v>1551</v>
      </c>
      <c r="IX90" s="183">
        <f>SUM(IX85:IX88,IX80)</f>
        <v>1595</v>
      </c>
      <c r="IY90" s="183">
        <f>SUM(IY85:IY88,IY80)</f>
        <v>1574</v>
      </c>
      <c r="IZ90" s="183">
        <f>SUM(IZ85:IZ88,IZ80)</f>
        <v>1731</v>
      </c>
      <c r="JA90" s="183">
        <f>SUM(JA85:JA88,JA80)</f>
        <v>6451</v>
      </c>
      <c r="JC90" s="621" t="s">
        <v>428</v>
      </c>
      <c r="JD90" s="183">
        <f>SUM(JD85:JD88,JD80)</f>
        <v>1592</v>
      </c>
      <c r="JE90" s="183">
        <f>SUM(JE85:JE88,JE80)</f>
        <v>1620</v>
      </c>
      <c r="JF90" s="183">
        <f>SUM(JF85:JF88,JF80)</f>
        <v>1587</v>
      </c>
      <c r="JG90" s="183">
        <f>SUM(JG85:JG88,JG80)</f>
        <v>1601</v>
      </c>
      <c r="JH90" s="183">
        <f>SUM(JH85:JH88,JH80)</f>
        <v>6400</v>
      </c>
      <c r="JJ90" s="621" t="s">
        <v>428</v>
      </c>
      <c r="JK90" s="183">
        <f>SUM(JK85:JK88,JK80)</f>
        <v>1532</v>
      </c>
      <c r="JL90" s="183">
        <f>SUM(JL85:JL88,JL80)</f>
        <v>1646</v>
      </c>
      <c r="JM90" s="183">
        <f>SUM(JM85:JM88,JM80)</f>
        <v>1656</v>
      </c>
      <c r="JN90" s="183">
        <f>SUM(JN85:JN88,JN80)</f>
        <v>1648</v>
      </c>
      <c r="JO90" s="183">
        <f>SUM(JO85:JO88,JO80)</f>
        <v>6482</v>
      </c>
      <c r="JQ90" s="621" t="s">
        <v>428</v>
      </c>
      <c r="JR90" s="183">
        <f>SUM(JR85:JR88,JR80)</f>
        <v>1531</v>
      </c>
      <c r="JS90" s="183">
        <f>SUM(JS85:JS88,JS80)</f>
        <v>1581</v>
      </c>
      <c r="JT90" s="183">
        <f>SUM(JT85:JT88,JT80)</f>
        <v>1569</v>
      </c>
      <c r="JU90" s="183">
        <f>SUM(JU85:JU88,JU80)</f>
        <v>1539</v>
      </c>
      <c r="JV90" s="183">
        <f>SUM(JV85:JV88,JV80)</f>
        <v>6220</v>
      </c>
      <c r="JX90" s="621" t="s">
        <v>428</v>
      </c>
      <c r="JY90" s="183">
        <f>SUM(JY85:JY88,JY80)</f>
        <v>1514</v>
      </c>
      <c r="JZ90" s="183">
        <f>SUM(JZ85:JZ88,JZ80)</f>
        <v>1257</v>
      </c>
      <c r="KA90" s="183">
        <f>SUM(KA85:KA88,KA80)</f>
        <v>1522</v>
      </c>
      <c r="KB90" s="183">
        <f>SUM(KB85:KB88,KB80)</f>
        <v>1599</v>
      </c>
      <c r="KC90" s="183">
        <f>SUM(KC85:KC88,KC80)</f>
        <v>5892</v>
      </c>
      <c r="KE90" s="621" t="s">
        <v>428</v>
      </c>
      <c r="KF90" s="183">
        <f>SUM(KF85:KF88,KF80)</f>
        <v>1529</v>
      </c>
      <c r="KG90" s="183">
        <f>SUM(KG85:KG88,KG80)</f>
        <v>1591</v>
      </c>
      <c r="KH90" s="183">
        <f>SUM(KH85:KH88,KH80)</f>
        <v>1563</v>
      </c>
      <c r="KI90" s="183">
        <f>SUM(KI85:KI88,KI80)</f>
        <v>1570</v>
      </c>
      <c r="KJ90" s="183">
        <f>SUM(KJ85:KJ88,KJ80)</f>
        <v>6253</v>
      </c>
      <c r="KL90" s="621" t="s">
        <v>428</v>
      </c>
      <c r="KM90" s="183">
        <f>SUM(KM85:KM88,KM80)</f>
        <v>1498</v>
      </c>
      <c r="KN90" s="183">
        <f>SUM(KN85:KN88,KN80)</f>
        <v>1594</v>
      </c>
      <c r="KO90" s="183">
        <f>SUM(KO85:KO88,KO80)</f>
        <v>1587</v>
      </c>
      <c r="KP90" s="183">
        <f>SUM(KP85:KP88,KP80)</f>
        <v>1539</v>
      </c>
      <c r="KQ90" s="183">
        <f>SUM(KQ85:KQ88,KQ80)</f>
        <v>6218</v>
      </c>
      <c r="KS90" s="621" t="s">
        <v>428</v>
      </c>
      <c r="KT90" s="183">
        <f>SUM(KT85:KT88,KT80)</f>
        <v>1486</v>
      </c>
      <c r="KU90" s="183">
        <f>SUM(KU85:KU88,KU80)</f>
        <v>1546</v>
      </c>
      <c r="KV90" s="622">
        <f>SUM(KV85:KV88,KV80)</f>
        <v>1550</v>
      </c>
      <c r="KW90" s="622">
        <f>SUM(KW85:KW88,KW80)</f>
        <v>1560</v>
      </c>
      <c r="KX90" s="183">
        <f>SUM(KX85:KX88,KX80)</f>
        <v>6142</v>
      </c>
      <c r="KY90" s="648"/>
      <c r="KZ90" s="621" t="s">
        <v>428</v>
      </c>
      <c r="LA90" s="183">
        <f>SUM(LA85:LA88,LA80)</f>
        <v>1534</v>
      </c>
      <c r="LB90" s="622">
        <f>SUM(LB85:LB88,LB80)</f>
        <v>1578</v>
      </c>
      <c r="LC90" s="622">
        <f>SUM(LC85:LC88,LC80)</f>
        <v>1590</v>
      </c>
      <c r="LD90" s="622">
        <f>SUM(LD85:LD88,LD80)</f>
        <v>1575</v>
      </c>
      <c r="LE90" s="622">
        <f>SUM(LE85:LE88,LE80)</f>
        <v>6277</v>
      </c>
      <c r="LF90" s="608"/>
      <c r="LG90" s="621" t="s">
        <v>428</v>
      </c>
      <c r="LH90" s="622">
        <f>SUM(LH85:LH88,LH80)</f>
        <v>1518</v>
      </c>
      <c r="LI90" s="622">
        <f>SUM(LI85:LI88,LI80)</f>
        <v>1580</v>
      </c>
      <c r="LJ90" s="622">
        <f>SUM(LJ85:LJ88,LJ80)</f>
        <v>1612</v>
      </c>
      <c r="LK90" s="622">
        <f>SUM(LK85:LK88,LK80)</f>
        <v>1597</v>
      </c>
      <c r="LL90" s="622">
        <f>SUM(LL85:LL88,LL80)</f>
        <v>6307</v>
      </c>
      <c r="LM90" s="608"/>
      <c r="LN90" s="621" t="s">
        <v>428</v>
      </c>
      <c r="LO90" s="622">
        <f>SUM(LO85:LO88,LO80)</f>
        <v>1543.62</v>
      </c>
      <c r="LP90" s="622">
        <f>SUM(LP85:LP88,LP80)</f>
        <v>1605.845</v>
      </c>
      <c r="LQ90" s="622">
        <f>SUM(LQ85:LQ88,LQ80)</f>
        <v>1650.5250000000001</v>
      </c>
      <c r="LR90" s="622">
        <f>SUM(LR85:LR88,LR80)</f>
        <v>1656.37</v>
      </c>
      <c r="LS90" s="622">
        <f>SUM(LS85:LS88,LS80)</f>
        <v>6456.36</v>
      </c>
      <c r="LT90" s="608"/>
      <c r="LU90" s="621" t="s">
        <v>428</v>
      </c>
      <c r="LV90" s="622">
        <f>SUM(LV85:LV88,LV80)</f>
        <v>1582.8488999999997</v>
      </c>
      <c r="LW90" s="622">
        <f>SUM(LW85:LW88,LW80)</f>
        <v>1647.7255250000003</v>
      </c>
      <c r="LX90" s="622">
        <f>SUM(LX85:LX88,LX80)</f>
        <v>1691.5835750000001</v>
      </c>
      <c r="LY90" s="622">
        <f>SUM(LY85:LY88,LY80)</f>
        <v>1697.5272749999999</v>
      </c>
      <c r="LZ90" s="622">
        <f>SUM(LZ85:LZ88,LZ80)</f>
        <v>6619.6852749999998</v>
      </c>
      <c r="MA90" s="608"/>
      <c r="MB90" s="621" t="s">
        <v>428</v>
      </c>
      <c r="MC90" s="622">
        <f>SUM(MC85:MC88,MC80)</f>
        <v>1621.9090541249998</v>
      </c>
      <c r="MD90" s="622">
        <f>SUM(MD85:MD88,MD80)</f>
        <v>1687.9194155</v>
      </c>
      <c r="ME90" s="622">
        <f>SUM(ME85:ME88,ME80)</f>
        <v>1732.0463533750003</v>
      </c>
      <c r="MF90" s="622">
        <f>SUM(MF85:MF88,MF80)</f>
        <v>1737.1850108125</v>
      </c>
      <c r="MG90" s="622">
        <f>SUM(MG85:MG88,MG80)</f>
        <v>6779.0598338125001</v>
      </c>
      <c r="MH90" s="608"/>
    </row>
    <row r="91" spans="1:346" s="50" customFormat="1" ht="13.15" x14ac:dyDescent="0.4">
      <c r="A91" s="133"/>
      <c r="B91" s="111" t="s">
        <v>3</v>
      </c>
      <c r="C91" s="112"/>
      <c r="D91" s="112"/>
      <c r="E91" s="112"/>
      <c r="F91" s="112"/>
      <c r="G91" s="112"/>
      <c r="H91" s="112"/>
      <c r="I91" s="112"/>
      <c r="J91" s="112"/>
      <c r="K91" s="112"/>
      <c r="L91" s="112"/>
      <c r="M91" s="112"/>
      <c r="N91" s="66">
        <f>BT91</f>
        <v>0</v>
      </c>
      <c r="O91" s="66">
        <f>CA91</f>
        <v>0</v>
      </c>
      <c r="P91" s="66">
        <f>CH91</f>
        <v>0</v>
      </c>
      <c r="Q91" s="66">
        <f>CO91</f>
        <v>0</v>
      </c>
      <c r="R91" s="66">
        <f>CV91</f>
        <v>0</v>
      </c>
      <c r="S91" s="66">
        <f>DC91</f>
        <v>0</v>
      </c>
      <c r="T91" s="66">
        <f>DJ91</f>
        <v>0</v>
      </c>
      <c r="U91" s="66">
        <f>DQ91</f>
        <v>0</v>
      </c>
      <c r="V91" s="66">
        <f>DX91</f>
        <v>0</v>
      </c>
      <c r="W91" s="66">
        <f>EE91</f>
        <v>0</v>
      </c>
      <c r="X91" s="66">
        <f>EL91</f>
        <v>0</v>
      </c>
      <c r="Y91" s="66">
        <f>ES91</f>
        <v>0</v>
      </c>
      <c r="Z91" s="66">
        <f>EZ91</f>
        <v>0</v>
      </c>
      <c r="AA91" s="66">
        <f>FG91</f>
        <v>0</v>
      </c>
      <c r="AB91" s="66">
        <f>FN91</f>
        <v>0</v>
      </c>
      <c r="AC91" s="66">
        <f>FU91</f>
        <v>0</v>
      </c>
      <c r="AD91" s="66" t="str">
        <f>GB91</f>
        <v>-</v>
      </c>
      <c r="AE91" s="66">
        <f>GI91</f>
        <v>1.0884353741495989E-3</v>
      </c>
      <c r="AF91" s="66">
        <f>GP91</f>
        <v>-3.2889372111986948E-2</v>
      </c>
      <c r="AG91" s="66">
        <f>GW91</f>
        <v>-4.04721753794266E-2</v>
      </c>
      <c r="AH91" s="66">
        <f>HD91</f>
        <v>-0.15158172231985945</v>
      </c>
      <c r="AI91" s="66">
        <f>HK91</f>
        <v>0.10201967892283781</v>
      </c>
      <c r="AJ91" s="66">
        <f>HR91</f>
        <v>1.4411027568922208E-2</v>
      </c>
      <c r="AK91" s="66">
        <f>HY91</f>
        <v>-1.0345892526250733E-2</v>
      </c>
      <c r="AL91" s="66">
        <f>IF91</f>
        <v>2.0283975659229236E-2</v>
      </c>
      <c r="AM91" s="66">
        <f>IM91</f>
        <v>5.8571647040831953E-2</v>
      </c>
      <c r="AN91" s="66">
        <f>IT91</f>
        <v>-2.3259173649234355E-2</v>
      </c>
      <c r="AO91" s="66">
        <f>JA91</f>
        <v>-4.5851205442981824E-2</v>
      </c>
      <c r="AP91" s="66">
        <f>JH91</f>
        <v>-7.9057510463493852E-3</v>
      </c>
      <c r="AQ91" s="66">
        <f>JO91</f>
        <v>1.2812499999999893E-2</v>
      </c>
      <c r="AR91" s="66">
        <f>JV91</f>
        <v>-4.0419623572971353E-2</v>
      </c>
      <c r="AS91" s="66">
        <f>KC91</f>
        <v>-5.2733118971061144E-2</v>
      </c>
      <c r="AT91" s="66">
        <f>KJ91</f>
        <v>6.1269517990495626E-2</v>
      </c>
      <c r="AU91" s="66">
        <f>KQ91</f>
        <v>-5.5973132896209865E-3</v>
      </c>
      <c r="AV91" s="66">
        <f>KX91</f>
        <v>-1.2222579607590878E-2</v>
      </c>
      <c r="AW91" s="66">
        <f>LE91</f>
        <v>2.1979811136437544E-2</v>
      </c>
      <c r="AX91" s="66">
        <f>LL91</f>
        <v>4.7793531942010858E-3</v>
      </c>
      <c r="AY91" s="66">
        <f>LS91</f>
        <v>2.3681623592833212E-2</v>
      </c>
      <c r="AZ91" s="66">
        <f>LZ91</f>
        <v>2.529680423644276E-2</v>
      </c>
      <c r="BA91" s="66">
        <f>MG91</f>
        <v>2.4075851372329815E-2</v>
      </c>
      <c r="BB91" s="66"/>
      <c r="BC91" s="66"/>
      <c r="BD91" s="66"/>
      <c r="BE91" s="66"/>
      <c r="BF91" s="66"/>
      <c r="BG91" s="66"/>
      <c r="BH91" s="66"/>
      <c r="BI91" s="66"/>
      <c r="BJ91" s="66"/>
      <c r="BK91" s="66"/>
      <c r="BL91" s="66"/>
      <c r="BM91" s="66"/>
      <c r="BO91" s="111" t="s">
        <v>3</v>
      </c>
      <c r="BP91" s="66"/>
      <c r="BQ91" s="66"/>
      <c r="BR91" s="66"/>
      <c r="BS91" s="66"/>
      <c r="BT91" s="66"/>
      <c r="BV91" s="111" t="s">
        <v>3</v>
      </c>
      <c r="BW91" s="66"/>
      <c r="BX91" s="66"/>
      <c r="BY91" s="66"/>
      <c r="BZ91" s="66"/>
      <c r="CA91" s="66"/>
      <c r="CC91" s="111" t="s">
        <v>3</v>
      </c>
      <c r="CD91" s="66"/>
      <c r="CE91" s="66"/>
      <c r="CF91" s="66"/>
      <c r="CG91" s="66"/>
      <c r="CH91" s="66"/>
      <c r="CJ91" s="111" t="s">
        <v>3</v>
      </c>
      <c r="CK91" s="66"/>
      <c r="CL91" s="66"/>
      <c r="CM91" s="66"/>
      <c r="CN91" s="66"/>
      <c r="CO91" s="66"/>
      <c r="CQ91" s="111" t="s">
        <v>3</v>
      </c>
      <c r="CR91" s="66"/>
      <c r="CS91" s="66"/>
      <c r="CT91" s="66"/>
      <c r="CU91" s="66"/>
      <c r="CV91" s="66"/>
      <c r="CX91" s="111" t="s">
        <v>3</v>
      </c>
      <c r="CY91" s="66"/>
      <c r="CZ91" s="66"/>
      <c r="DA91" s="66"/>
      <c r="DB91" s="66"/>
      <c r="DC91" s="66"/>
      <c r="DE91" s="111" t="s">
        <v>3</v>
      </c>
      <c r="DF91" s="66"/>
      <c r="DG91" s="66"/>
      <c r="DH91" s="66"/>
      <c r="DI91" s="66"/>
      <c r="DJ91" s="66"/>
      <c r="DL91" s="111" t="s">
        <v>3</v>
      </c>
      <c r="DM91" s="66"/>
      <c r="DN91" s="66"/>
      <c r="DO91" s="66"/>
      <c r="DP91" s="66"/>
      <c r="DQ91" s="66"/>
      <c r="DS91" s="111" t="s">
        <v>3</v>
      </c>
      <c r="DT91" s="66"/>
      <c r="DU91" s="66"/>
      <c r="DV91" s="66"/>
      <c r="DW91" s="66"/>
      <c r="DX91" s="66"/>
      <c r="DZ91" s="111" t="s">
        <v>3</v>
      </c>
      <c r="EA91" s="66"/>
      <c r="EB91" s="66"/>
      <c r="EC91" s="66"/>
      <c r="ED91" s="66"/>
      <c r="EE91" s="66"/>
      <c r="EG91" s="111" t="s">
        <v>3</v>
      </c>
      <c r="EH91" s="66"/>
      <c r="EI91" s="66"/>
      <c r="EJ91" s="66"/>
      <c r="EK91" s="66"/>
      <c r="EL91" s="66"/>
      <c r="EN91" s="111" t="s">
        <v>3</v>
      </c>
      <c r="EO91" s="66"/>
      <c r="EP91" s="66"/>
      <c r="EQ91" s="66"/>
      <c r="ER91" s="66"/>
      <c r="ES91" s="66"/>
      <c r="EU91" s="111" t="s">
        <v>3</v>
      </c>
      <c r="EV91" s="66"/>
      <c r="EW91" s="66"/>
      <c r="EX91" s="66"/>
      <c r="EY91" s="66"/>
      <c r="EZ91" s="66"/>
      <c r="FB91" s="111" t="s">
        <v>3</v>
      </c>
      <c r="FC91" s="66"/>
      <c r="FD91" s="66"/>
      <c r="FE91" s="66"/>
      <c r="FF91" s="66"/>
      <c r="FG91" s="66"/>
      <c r="FI91" s="111" t="s">
        <v>3</v>
      </c>
      <c r="FJ91" s="66"/>
      <c r="FK91" s="66"/>
      <c r="FL91" s="66"/>
      <c r="FM91" s="66"/>
      <c r="FN91" s="66"/>
      <c r="FP91" s="111" t="s">
        <v>3</v>
      </c>
      <c r="FQ91" s="66"/>
      <c r="FR91" s="66"/>
      <c r="FS91" s="66"/>
      <c r="FT91" s="66"/>
      <c r="FU91" s="66"/>
      <c r="FW91" s="111" t="s">
        <v>3</v>
      </c>
      <c r="FX91" s="66" t="s">
        <v>80</v>
      </c>
      <c r="FY91" s="66" t="s">
        <v>80</v>
      </c>
      <c r="FZ91" s="66" t="s">
        <v>80</v>
      </c>
      <c r="GA91" s="66" t="s">
        <v>80</v>
      </c>
      <c r="GB91" s="66" t="s">
        <v>80</v>
      </c>
      <c r="GD91" s="111" t="s">
        <v>3</v>
      </c>
      <c r="GE91" s="66">
        <f>GE90/FX90-1</f>
        <v>-9.761388286334105E-3</v>
      </c>
      <c r="GF91" s="66">
        <f>GF90/FY90-1</f>
        <v>5.3504547886573661E-4</v>
      </c>
      <c r="GG91" s="66">
        <f>GG90/FZ90-1</f>
        <v>1.8141836173721781E-2</v>
      </c>
      <c r="GH91" s="66">
        <f>GH90/GA90-1</f>
        <v>-4.4004400440044167E-3</v>
      </c>
      <c r="GI91" s="66">
        <f>GI90/GB90-1</f>
        <v>1.0884353741495989E-3</v>
      </c>
      <c r="GK91" s="111" t="s">
        <v>3</v>
      </c>
      <c r="GL91" s="66">
        <f>GL90/GE90-1</f>
        <v>-3.8882803943044886E-2</v>
      </c>
      <c r="GM91" s="66">
        <f>GM90/GF90-1</f>
        <v>-2.2994652406417071E-2</v>
      </c>
      <c r="GN91" s="66">
        <f>GN90/GG90-1</f>
        <v>-4.2656587473002161E-2</v>
      </c>
      <c r="GO91" s="66">
        <f>GO90/GH90-1</f>
        <v>-2.707182320441992E-2</v>
      </c>
      <c r="GP91" s="66">
        <f>GP90/GI90-1</f>
        <v>-3.2889372111986948E-2</v>
      </c>
      <c r="GR91" s="111" t="s">
        <v>3</v>
      </c>
      <c r="GS91" s="66">
        <f>GS90/GL90-1</f>
        <v>-2.165242165242165E-2</v>
      </c>
      <c r="GT91" s="66">
        <f>GT90/GM90-1</f>
        <v>-2.7914614121510639E-2</v>
      </c>
      <c r="GU91" s="66">
        <f>GU90/GN90-1</f>
        <v>-2.3124647490129768E-2</v>
      </c>
      <c r="GV91" s="66">
        <f>GV90/GO90-1</f>
        <v>-8.972174900624641E-2</v>
      </c>
      <c r="GW91" s="66">
        <f>GW90/GP90-1</f>
        <v>-4.04721753794266E-2</v>
      </c>
      <c r="GY91" s="111" t="s">
        <v>3</v>
      </c>
      <c r="GZ91" s="66">
        <f>GZ90/GS90-1</f>
        <v>-0.17355853232382057</v>
      </c>
      <c r="HA91" s="66">
        <f>HA90/GT90-1</f>
        <v>-0.20551801801801806</v>
      </c>
      <c r="HB91" s="66">
        <f>HB90/GU90-1</f>
        <v>-0.15415704387990758</v>
      </c>
      <c r="HC91" s="66">
        <f>HC90/GV90-1</f>
        <v>-6.5502183406113579E-2</v>
      </c>
      <c r="HD91" s="66">
        <f>HD90/GW90-1</f>
        <v>-0.15158172231985945</v>
      </c>
      <c r="HF91" s="111" t="s">
        <v>3</v>
      </c>
      <c r="HG91" s="66">
        <f>HG90/GZ90-1</f>
        <v>4.721634954193088E-2</v>
      </c>
      <c r="HH91" s="66">
        <f>HH90/HA90-1</f>
        <v>0.1325301204819278</v>
      </c>
      <c r="HI91" s="66">
        <f>HI90/HB90-1</f>
        <v>9.8293515358361727E-2</v>
      </c>
      <c r="HJ91" s="66">
        <f>HJ90/HC90-1</f>
        <v>0.1288384512683578</v>
      </c>
      <c r="HK91" s="66">
        <f>HK90/HD90-1</f>
        <v>0.10201967892283781</v>
      </c>
      <c r="HM91" s="111" t="s">
        <v>3</v>
      </c>
      <c r="HN91" s="66">
        <f>HN90/HG90-1</f>
        <v>7.1332436069986516E-2</v>
      </c>
      <c r="HO91" s="66">
        <f>HO90/HH90-1</f>
        <v>3.0037546933667114E-2</v>
      </c>
      <c r="HP91" s="66">
        <f>HP90/HI90-1</f>
        <v>6.2150403977625501E-3</v>
      </c>
      <c r="HQ91" s="66">
        <f>HQ90/HJ90-1</f>
        <v>-4.2578356002365481E-2</v>
      </c>
      <c r="HR91" s="66">
        <f>HR90/HK90-1</f>
        <v>1.4411027568922208E-2</v>
      </c>
      <c r="HT91" s="111" t="s">
        <v>3</v>
      </c>
      <c r="HU91" s="66">
        <f>HU90/HN90-1</f>
        <v>6.2814070351759899E-3</v>
      </c>
      <c r="HV91" s="66">
        <f>HV90/HO90-1</f>
        <v>-3.6452004860266785E-3</v>
      </c>
      <c r="HW91" s="66">
        <f>HW90/HP90-1</f>
        <v>-1.1735639283508292E-2</v>
      </c>
      <c r="HX91" s="66">
        <f>HX90/HQ90-1</f>
        <v>-3.2118591723286016E-2</v>
      </c>
      <c r="HY91" s="66">
        <f>HY90/HR90-1</f>
        <v>-1.0345892526250733E-2</v>
      </c>
      <c r="IA91" s="111" t="s">
        <v>3</v>
      </c>
      <c r="IB91" s="66">
        <f>IB90/HU90-1</f>
        <v>-1.4981273408239737E-2</v>
      </c>
      <c r="IC91" s="66">
        <f>IC90/HV90-1</f>
        <v>9.7560975609756184E-3</v>
      </c>
      <c r="ID91" s="66">
        <f>ID90/HW90-1</f>
        <v>2.6874999999999982E-2</v>
      </c>
      <c r="IE91" s="66">
        <f>IE90/HX90-1</f>
        <v>6.0625398851308132E-2</v>
      </c>
      <c r="IF91" s="66">
        <f>IF90/HY90-1</f>
        <v>2.0283975659229236E-2</v>
      </c>
      <c r="IH91" s="111" t="s">
        <v>3</v>
      </c>
      <c r="II91" s="66">
        <f>II90/IB90-1</f>
        <v>2.6615969581748944E-2</v>
      </c>
      <c r="IJ91" s="66">
        <f>IJ90/IC90-1</f>
        <v>7.5483091787439616E-2</v>
      </c>
      <c r="IK91" s="66">
        <f>IK90/ID90-1</f>
        <v>6.9993913572732769E-2</v>
      </c>
      <c r="IL91" s="66">
        <f>IL90/IE90-1</f>
        <v>6.0770156438026524E-2</v>
      </c>
      <c r="IM91" s="66">
        <f>IM90/IF90-1</f>
        <v>5.8571647040831953E-2</v>
      </c>
      <c r="IO91" s="111" t="s">
        <v>3</v>
      </c>
      <c r="IP91" s="66">
        <f>IP90/II90-1</f>
        <v>9.2592592592593004E-3</v>
      </c>
      <c r="IQ91" s="66">
        <f>IQ90/IJ90-1</f>
        <v>-1.2352610892756855E-2</v>
      </c>
      <c r="IR91" s="66">
        <f>IR90/IK90-1</f>
        <v>-2.6166097838452806E-2</v>
      </c>
      <c r="IS91" s="66">
        <f>IS90/IL90-1</f>
        <v>-6.1259217243335273E-2</v>
      </c>
      <c r="IT91" s="66">
        <f>IT90/IM90-1</f>
        <v>-2.3259173649234355E-2</v>
      </c>
      <c r="IV91" s="111" t="s">
        <v>3</v>
      </c>
      <c r="IW91" s="66">
        <f>IW90/IP90-1</f>
        <v>-5.1376146788990829E-2</v>
      </c>
      <c r="IX91" s="66">
        <f>IX90/IQ90-1</f>
        <v>-9.3234792495736185E-2</v>
      </c>
      <c r="IY91" s="66">
        <f>IY90/IR90-1</f>
        <v>-8.0607476635514042E-2</v>
      </c>
      <c r="IZ91" s="66">
        <f>IZ90/IS90-1</f>
        <v>4.5921450151057419E-2</v>
      </c>
      <c r="JA91" s="66">
        <f>JA90/IT90-1</f>
        <v>-4.5851205442981824E-2</v>
      </c>
      <c r="JC91" s="111" t="s">
        <v>3</v>
      </c>
      <c r="JD91" s="66">
        <f>JD90/IW90-1</f>
        <v>2.6434558349452075E-2</v>
      </c>
      <c r="JE91" s="66">
        <f>JE90/IX90-1</f>
        <v>1.5673981191222541E-2</v>
      </c>
      <c r="JF91" s="66">
        <f>JF90/IY90-1</f>
        <v>8.2592121982210109E-3</v>
      </c>
      <c r="JG91" s="66">
        <f>JG90/IZ90-1</f>
        <v>-7.5101097631426916E-2</v>
      </c>
      <c r="JH91" s="66">
        <f>JH90/JA90-1</f>
        <v>-7.9057510463493852E-3</v>
      </c>
      <c r="JJ91" s="111" t="s">
        <v>3</v>
      </c>
      <c r="JK91" s="66">
        <f>JK90/JD90-1</f>
        <v>-3.7688442211055273E-2</v>
      </c>
      <c r="JL91" s="66">
        <f>JL90/JE90-1</f>
        <v>1.6049382716049276E-2</v>
      </c>
      <c r="JM91" s="66">
        <f>JM90/JF90-1</f>
        <v>4.3478260869565188E-2</v>
      </c>
      <c r="JN91" s="66">
        <f>JN90/JG90-1</f>
        <v>2.9356652092442204E-2</v>
      </c>
      <c r="JO91" s="66">
        <f>JO90/JH90-1</f>
        <v>1.2812499999999893E-2</v>
      </c>
      <c r="JQ91" s="111" t="s">
        <v>3</v>
      </c>
      <c r="JR91" s="66">
        <f>JR90/JK90-1</f>
        <v>-6.5274151436034433E-4</v>
      </c>
      <c r="JS91" s="66">
        <f>JS90/JL90-1</f>
        <v>-3.9489671931956294E-2</v>
      </c>
      <c r="JT91" s="66">
        <f>JT90/JM90-1</f>
        <v>-5.2536231884057982E-2</v>
      </c>
      <c r="JU91" s="66">
        <f>JU90/JN90-1</f>
        <v>-6.614077669902918E-2</v>
      </c>
      <c r="JV91" s="66">
        <f>JV90/JO90-1</f>
        <v>-4.0419623572971353E-2</v>
      </c>
      <c r="JX91" s="111" t="s">
        <v>3</v>
      </c>
      <c r="JY91" s="66">
        <f>JY90/JR90-1</f>
        <v>-1.1103853690398457E-2</v>
      </c>
      <c r="JZ91" s="66">
        <f>JZ90/JS90-1</f>
        <v>-0.20493358633776093</v>
      </c>
      <c r="KA91" s="66">
        <f>KA90/JT90-1</f>
        <v>-2.9955385595920925E-2</v>
      </c>
      <c r="KB91" s="66">
        <f>KB90/JU90-1</f>
        <v>3.8986354775828458E-2</v>
      </c>
      <c r="KC91" s="66">
        <f>KC90/JV90-1</f>
        <v>-5.2733118971061144E-2</v>
      </c>
      <c r="KE91" s="111" t="s">
        <v>3</v>
      </c>
      <c r="KF91" s="66">
        <f>KF90/JY90-1</f>
        <v>9.9075297225892367E-3</v>
      </c>
      <c r="KG91" s="66">
        <f>KG90/JZ90-1</f>
        <v>0.26571201272871914</v>
      </c>
      <c r="KH91" s="66">
        <f>KH90/KA90-1</f>
        <v>2.6938239159001398E-2</v>
      </c>
      <c r="KI91" s="66">
        <f>KI90/KB90-1</f>
        <v>-1.8136335209505972E-2</v>
      </c>
      <c r="KJ91" s="66">
        <f>KJ90/KC90-1</f>
        <v>6.1269517990495626E-2</v>
      </c>
      <c r="KL91" s="111" t="s">
        <v>3</v>
      </c>
      <c r="KM91" s="66">
        <f>KM90/KF90-1</f>
        <v>-2.0274689339437546E-2</v>
      </c>
      <c r="KN91" s="66">
        <f>KN90/KG90-1</f>
        <v>1.8856065367693908E-3</v>
      </c>
      <c r="KO91" s="66">
        <f>KO90/KH90-1</f>
        <v>1.5355086372360827E-2</v>
      </c>
      <c r="KP91" s="66">
        <f>KP90/KI90-1</f>
        <v>-1.9745222929936301E-2</v>
      </c>
      <c r="KQ91" s="66">
        <f>KQ90/KJ90-1</f>
        <v>-5.5973132896209865E-3</v>
      </c>
      <c r="KS91" s="111" t="s">
        <v>3</v>
      </c>
      <c r="KT91" s="66">
        <f>KT90/KM90-1</f>
        <v>-8.0106809078771546E-3</v>
      </c>
      <c r="KU91" s="66">
        <f>KU90/KN90-1</f>
        <v>-3.0112923462986219E-2</v>
      </c>
      <c r="KV91" s="112">
        <f>KV90/KO90-1</f>
        <v>-2.3314429741650877E-2</v>
      </c>
      <c r="KW91" s="66">
        <f>KW90/KP90-1</f>
        <v>1.3645224171539905E-2</v>
      </c>
      <c r="KX91" s="66">
        <f>KX90/KQ90-1</f>
        <v>-1.2222579607590878E-2</v>
      </c>
      <c r="KZ91" s="111" t="s">
        <v>3</v>
      </c>
      <c r="LA91" s="66">
        <f>LA90/KT90-1</f>
        <v>3.2301480484522305E-2</v>
      </c>
      <c r="LB91" s="112">
        <f>LB90/KU90-1</f>
        <v>2.0698576972833171E-2</v>
      </c>
      <c r="LC91" s="112">
        <f>LC90/KV90-1</f>
        <v>2.5806451612903292E-2</v>
      </c>
      <c r="LD91" s="112">
        <f>LD90/KW90-1</f>
        <v>9.6153846153845812E-3</v>
      </c>
      <c r="LE91" s="112">
        <f>LE90/KX90-1</f>
        <v>2.1979811136437544E-2</v>
      </c>
      <c r="LF91" s="566"/>
      <c r="LG91" s="111" t="s">
        <v>3</v>
      </c>
      <c r="LH91" s="112">
        <f>LH90/LA90-1</f>
        <v>-1.0430247718383301E-2</v>
      </c>
      <c r="LI91" s="112">
        <f>LI90/LB90-1</f>
        <v>1.2674271229404788E-3</v>
      </c>
      <c r="LJ91" s="112">
        <f>LJ90/LC90-1</f>
        <v>1.3836477987421381E-2</v>
      </c>
      <c r="LK91" s="112">
        <f>LK90/LD90-1</f>
        <v>1.3968253968253963E-2</v>
      </c>
      <c r="LL91" s="112">
        <f>LL90/LE90-1</f>
        <v>4.7793531942010858E-3</v>
      </c>
      <c r="LM91" s="566"/>
      <c r="LN91" s="111" t="s">
        <v>3</v>
      </c>
      <c r="LO91" s="112">
        <f>LO90/LH90-1</f>
        <v>1.6877470355731061E-2</v>
      </c>
      <c r="LP91" s="112">
        <f>LP90/LI90-1</f>
        <v>1.6357594936708963E-2</v>
      </c>
      <c r="LQ91" s="112">
        <f>LQ90/LJ90-1</f>
        <v>2.3898883374689817E-2</v>
      </c>
      <c r="LR91" s="112">
        <f>LR90/LK90-1</f>
        <v>3.7175954915466436E-2</v>
      </c>
      <c r="LS91" s="112">
        <f>LS90/LL90-1</f>
        <v>2.3681623592833212E-2</v>
      </c>
      <c r="LT91" s="566"/>
      <c r="LU91" s="111" t="s">
        <v>3</v>
      </c>
      <c r="LV91" s="112">
        <f>LV90/LO90-1</f>
        <v>2.5413573288762592E-2</v>
      </c>
      <c r="LW91" s="112">
        <f>LW90/LP90-1</f>
        <v>2.6080054426174559E-2</v>
      </c>
      <c r="LX91" s="112">
        <f>LX90/LQ90-1</f>
        <v>2.4876069735387141E-2</v>
      </c>
      <c r="LY91" s="112">
        <f>LY90/LR90-1</f>
        <v>2.4847875172817613E-2</v>
      </c>
      <c r="LZ91" s="112">
        <f>LZ90/LS90-1</f>
        <v>2.529680423644276E-2</v>
      </c>
      <c r="MA91" s="566"/>
      <c r="MB91" s="111" t="s">
        <v>3</v>
      </c>
      <c r="MC91" s="112">
        <f>MC90/LV90-1</f>
        <v>2.4677121186362116E-2</v>
      </c>
      <c r="MD91" s="112">
        <f>MD90/LW90-1</f>
        <v>2.4393559418823596E-2</v>
      </c>
      <c r="ME91" s="112">
        <f>ME90/LX90-1</f>
        <v>2.3920058679335554E-2</v>
      </c>
      <c r="MF91" s="112">
        <f>MF90/LY90-1</f>
        <v>2.3362061038165072E-2</v>
      </c>
      <c r="MG91" s="112">
        <f>MG90/LZ90-1</f>
        <v>2.4075851372329815E-2</v>
      </c>
      <c r="MH91" s="566"/>
    </row>
    <row r="92" spans="1:346" s="37" customFormat="1" ht="13.5" thickBot="1" x14ac:dyDescent="0.45">
      <c r="A92" s="100"/>
      <c r="B92" s="36"/>
      <c r="BO92" s="36"/>
      <c r="BP92" s="53"/>
      <c r="BQ92" s="53"/>
      <c r="BR92" s="53"/>
      <c r="BS92" s="53"/>
      <c r="BT92" s="53"/>
      <c r="BV92" s="36"/>
      <c r="BW92" s="53"/>
      <c r="BX92" s="53"/>
      <c r="BY92" s="53"/>
      <c r="BZ92" s="53"/>
      <c r="CA92" s="53"/>
      <c r="CC92" s="36"/>
      <c r="CD92" s="53"/>
      <c r="CE92" s="53"/>
      <c r="CF92" s="53"/>
      <c r="CG92" s="53"/>
      <c r="CH92" s="53"/>
      <c r="CJ92" s="36"/>
      <c r="CK92" s="53"/>
      <c r="CL92" s="53"/>
      <c r="CM92" s="53"/>
      <c r="CN92" s="53"/>
      <c r="CO92" s="53"/>
      <c r="CQ92" s="36"/>
      <c r="CR92" s="53"/>
      <c r="CS92" s="53"/>
      <c r="CT92" s="53"/>
      <c r="CU92" s="53"/>
      <c r="CV92" s="53"/>
      <c r="CX92" s="36"/>
      <c r="CY92" s="53"/>
      <c r="CZ92" s="53"/>
      <c r="DA92" s="53"/>
      <c r="DB92" s="53"/>
      <c r="DC92" s="53"/>
      <c r="DE92" s="36"/>
      <c r="DF92" s="53"/>
      <c r="DG92" s="53"/>
      <c r="DH92" s="53"/>
      <c r="DI92" s="53"/>
      <c r="DJ92" s="53"/>
      <c r="DL92" s="36"/>
      <c r="DM92" s="53"/>
      <c r="DN92" s="53"/>
      <c r="DO92" s="53"/>
      <c r="DP92" s="53"/>
      <c r="DQ92" s="53"/>
      <c r="DS92" s="36"/>
      <c r="DT92" s="53"/>
      <c r="DU92" s="53"/>
      <c r="DV92" s="53"/>
      <c r="DW92" s="53"/>
      <c r="DX92" s="53"/>
      <c r="DZ92" s="36"/>
      <c r="EA92" s="53"/>
      <c r="EB92" s="53"/>
      <c r="EC92" s="53"/>
      <c r="ED92" s="53"/>
      <c r="EE92" s="53"/>
      <c r="EG92" s="36"/>
      <c r="EH92" s="53"/>
      <c r="EI92" s="53"/>
      <c r="EJ92" s="53"/>
      <c r="EK92" s="53"/>
      <c r="EL92" s="53"/>
      <c r="EN92" s="36"/>
      <c r="EO92" s="53"/>
      <c r="EP92" s="53"/>
      <c r="EQ92" s="53"/>
      <c r="ER92" s="53"/>
      <c r="ES92" s="53"/>
      <c r="EU92" s="36"/>
      <c r="EV92" s="53"/>
      <c r="EW92" s="53"/>
      <c r="EX92" s="53"/>
      <c r="EY92" s="53"/>
      <c r="EZ92" s="53"/>
      <c r="FB92" s="36"/>
      <c r="FC92" s="53"/>
      <c r="FD92" s="53"/>
      <c r="FE92" s="53"/>
      <c r="FF92" s="53"/>
      <c r="FG92" s="53"/>
      <c r="FI92" s="36"/>
      <c r="FJ92" s="53"/>
      <c r="FK92" s="53"/>
      <c r="FL92" s="53"/>
      <c r="FM92" s="53"/>
      <c r="FN92" s="53"/>
      <c r="FP92" s="36"/>
      <c r="FQ92" s="53"/>
      <c r="FR92" s="53"/>
      <c r="FS92" s="53"/>
      <c r="FT92" s="53"/>
      <c r="FU92" s="53"/>
      <c r="FW92" s="36"/>
      <c r="FX92" s="53"/>
      <c r="FY92" s="53"/>
      <c r="FZ92" s="53"/>
      <c r="GA92" s="53"/>
      <c r="GB92" s="53"/>
      <c r="GD92" s="36"/>
      <c r="GE92" s="53"/>
      <c r="GF92" s="53"/>
      <c r="GG92" s="53"/>
      <c r="GH92" s="53"/>
      <c r="GI92" s="53"/>
      <c r="GK92" s="36"/>
      <c r="GL92" s="53"/>
      <c r="GM92" s="53"/>
      <c r="GN92" s="53"/>
      <c r="GO92" s="53"/>
      <c r="GP92" s="53"/>
      <c r="GR92" s="36"/>
      <c r="GS92" s="53"/>
      <c r="GT92" s="53"/>
      <c r="GU92" s="53"/>
      <c r="GV92" s="53"/>
      <c r="GW92" s="53"/>
      <c r="GY92" s="36"/>
      <c r="GZ92" s="53"/>
      <c r="HA92" s="53"/>
      <c r="HB92" s="53"/>
      <c r="HC92" s="53"/>
      <c r="HD92" s="53"/>
      <c r="HF92" s="36"/>
      <c r="HG92" s="53"/>
      <c r="HH92" s="53"/>
      <c r="HI92" s="53"/>
      <c r="HJ92" s="53"/>
      <c r="HK92" s="53"/>
      <c r="HM92" s="36"/>
      <c r="HN92" s="53"/>
      <c r="HO92" s="53"/>
      <c r="HP92" s="53"/>
      <c r="HQ92" s="53"/>
      <c r="HR92" s="53"/>
      <c r="HT92" s="36"/>
      <c r="HU92" s="53"/>
      <c r="HV92" s="53"/>
      <c r="HW92" s="53"/>
      <c r="HX92" s="53"/>
      <c r="HY92" s="53"/>
      <c r="IA92" s="36"/>
      <c r="IB92" s="53"/>
      <c r="IC92" s="53"/>
      <c r="ID92" s="53"/>
      <c r="IE92" s="53"/>
      <c r="IF92" s="53"/>
      <c r="IH92" s="36"/>
      <c r="II92" s="53"/>
      <c r="IJ92" s="53"/>
      <c r="IK92" s="53"/>
      <c r="IL92" s="53"/>
      <c r="IM92" s="53"/>
      <c r="IO92" s="36"/>
      <c r="IP92" s="53"/>
      <c r="IQ92" s="53"/>
      <c r="IR92" s="53"/>
      <c r="IS92" s="53"/>
      <c r="IT92" s="53"/>
      <c r="IV92" s="36"/>
      <c r="IW92" s="752">
        <f>+IW90/IS90-1</f>
        <v>-6.2839879154078515E-2</v>
      </c>
      <c r="IX92" s="53"/>
      <c r="IY92" s="53"/>
      <c r="IZ92" s="53"/>
      <c r="JA92" s="53"/>
      <c r="JC92" s="36"/>
      <c r="JD92" s="752">
        <f>+JD90/IZ90-1</f>
        <v>-8.0300404390525659E-2</v>
      </c>
      <c r="JE92" s="53"/>
      <c r="JF92" s="53"/>
      <c r="JG92" s="53"/>
      <c r="JH92" s="53"/>
      <c r="JJ92" s="36"/>
      <c r="JK92" s="752">
        <f>+JK90/JG90-1</f>
        <v>-4.30980637101811E-2</v>
      </c>
      <c r="JL92" s="53"/>
      <c r="JM92" s="53"/>
      <c r="JN92" s="53"/>
      <c r="JO92" s="53"/>
      <c r="JQ92" s="36"/>
      <c r="JR92" s="752">
        <f>+JR90/JN90-1</f>
        <v>-7.0995145631068013E-2</v>
      </c>
      <c r="JS92" s="53"/>
      <c r="JT92" s="53"/>
      <c r="JU92" s="53"/>
      <c r="JV92" s="53"/>
      <c r="JX92" s="36"/>
      <c r="JY92" s="752">
        <f>+JY90/JU90-1</f>
        <v>-1.624431448992858E-2</v>
      </c>
      <c r="JZ92" s="53"/>
      <c r="KA92" s="53"/>
      <c r="KB92" s="53"/>
      <c r="KC92" s="53"/>
      <c r="KE92" s="36"/>
      <c r="KF92" s="752">
        <f>+KF90/KB90-1</f>
        <v>-4.3777360850531633E-2</v>
      </c>
      <c r="KG92" s="53"/>
      <c r="KH92" s="53"/>
      <c r="KI92" s="53"/>
      <c r="KJ92" s="53"/>
      <c r="KL92" s="36"/>
      <c r="KM92" s="752">
        <f>+KM90/KI90-1</f>
        <v>-4.5859872611464958E-2</v>
      </c>
      <c r="KN92" s="53"/>
      <c r="KO92" s="53"/>
      <c r="KP92" s="53"/>
      <c r="KQ92" s="53"/>
      <c r="KS92" s="36"/>
      <c r="KT92" s="752">
        <f>+KT90/KP90-1</f>
        <v>-3.4437946718648527E-2</v>
      </c>
      <c r="KU92" s="53"/>
      <c r="KX92" s="53"/>
      <c r="KZ92" s="630"/>
      <c r="LA92" s="752">
        <f>+LA90/KW90-1</f>
        <v>-1.6666666666666718E-2</v>
      </c>
      <c r="LB92" s="631"/>
      <c r="LC92" s="631"/>
      <c r="LD92" s="631"/>
      <c r="LE92" s="631"/>
      <c r="LF92" s="566"/>
      <c r="LG92" s="630"/>
      <c r="LH92" s="752">
        <f>+LH90/LD90-1</f>
        <v>-3.6190476190476217E-2</v>
      </c>
      <c r="LI92" s="631"/>
      <c r="LJ92" s="631"/>
      <c r="LK92" s="631"/>
      <c r="LL92" s="631"/>
      <c r="LM92" s="566"/>
      <c r="LN92" s="630"/>
      <c r="LO92" s="752">
        <f>+LO90/LK90-1</f>
        <v>-3.3425172197871111E-2</v>
      </c>
      <c r="LP92" s="631"/>
      <c r="LQ92" s="631"/>
      <c r="LR92" s="631"/>
      <c r="LS92" s="631"/>
      <c r="LT92" s="566"/>
      <c r="LU92" s="630"/>
      <c r="LV92" s="631"/>
      <c r="LW92" s="631"/>
      <c r="LX92" s="631"/>
      <c r="LY92" s="631"/>
      <c r="LZ92" s="631"/>
      <c r="MA92" s="566"/>
      <c r="MB92" s="630"/>
      <c r="MC92" s="631"/>
      <c r="MD92" s="631"/>
      <c r="ME92" s="631"/>
      <c r="MF92" s="631"/>
      <c r="MG92" s="631"/>
      <c r="MH92" s="566"/>
    </row>
    <row r="93" spans="1:346" s="37" customFormat="1" ht="13.5" thickBot="1" x14ac:dyDescent="0.45">
      <c r="A93" s="100"/>
      <c r="B93" s="114" t="s">
        <v>426</v>
      </c>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c r="AY93" s="115"/>
      <c r="AZ93" s="115"/>
      <c r="BA93" s="115"/>
      <c r="BB93" s="115"/>
      <c r="BC93" s="115"/>
      <c r="BD93" s="115"/>
      <c r="BE93" s="115"/>
      <c r="BF93" s="115"/>
      <c r="BG93" s="115"/>
      <c r="BH93" s="115"/>
      <c r="BI93" s="115"/>
      <c r="BJ93" s="115"/>
      <c r="BK93" s="115"/>
      <c r="BL93" s="115"/>
      <c r="BM93" s="115"/>
      <c r="BO93" s="114" t="s">
        <v>426</v>
      </c>
      <c r="BP93" s="115"/>
      <c r="BQ93" s="115"/>
      <c r="BR93" s="115"/>
      <c r="BS93" s="115"/>
      <c r="BT93" s="115"/>
      <c r="BV93" s="114" t="s">
        <v>426</v>
      </c>
      <c r="BW93" s="115"/>
      <c r="BX93" s="115"/>
      <c r="BY93" s="115"/>
      <c r="BZ93" s="115"/>
      <c r="CA93" s="115"/>
      <c r="CC93" s="114" t="s">
        <v>426</v>
      </c>
      <c r="CD93" s="115"/>
      <c r="CE93" s="115"/>
      <c r="CF93" s="115"/>
      <c r="CG93" s="115"/>
      <c r="CH93" s="115"/>
      <c r="CJ93" s="114" t="s">
        <v>426</v>
      </c>
      <c r="CK93" s="115"/>
      <c r="CL93" s="115"/>
      <c r="CM93" s="115"/>
      <c r="CN93" s="115"/>
      <c r="CO93" s="115"/>
      <c r="CQ93" s="114" t="s">
        <v>426</v>
      </c>
      <c r="CR93" s="115"/>
      <c r="CS93" s="115"/>
      <c r="CT93" s="115"/>
      <c r="CU93" s="115"/>
      <c r="CV93" s="115"/>
      <c r="CX93" s="114" t="s">
        <v>426</v>
      </c>
      <c r="CY93" s="115"/>
      <c r="CZ93" s="115"/>
      <c r="DA93" s="115"/>
      <c r="DB93" s="115"/>
      <c r="DC93" s="115"/>
      <c r="DE93" s="114" t="s">
        <v>426</v>
      </c>
      <c r="DF93" s="115"/>
      <c r="DG93" s="115"/>
      <c r="DH93" s="115"/>
      <c r="DI93" s="115"/>
      <c r="DJ93" s="115"/>
      <c r="DL93" s="114" t="s">
        <v>426</v>
      </c>
      <c r="DM93" s="115"/>
      <c r="DN93" s="115"/>
      <c r="DO93" s="115"/>
      <c r="DP93" s="115"/>
      <c r="DQ93" s="115"/>
      <c r="DS93" s="114" t="s">
        <v>426</v>
      </c>
      <c r="DT93" s="115"/>
      <c r="DU93" s="115"/>
      <c r="DV93" s="115"/>
      <c r="DW93" s="115"/>
      <c r="DX93" s="115"/>
      <c r="DZ93" s="114" t="s">
        <v>426</v>
      </c>
      <c r="EA93" s="115"/>
      <c r="EB93" s="115"/>
      <c r="EC93" s="115"/>
      <c r="ED93" s="115"/>
      <c r="EE93" s="115"/>
      <c r="EG93" s="114" t="s">
        <v>426</v>
      </c>
      <c r="EH93" s="115"/>
      <c r="EI93" s="115"/>
      <c r="EJ93" s="115"/>
      <c r="EK93" s="115"/>
      <c r="EL93" s="115"/>
      <c r="EN93" s="114" t="s">
        <v>426</v>
      </c>
      <c r="EO93" s="115"/>
      <c r="EP93" s="115"/>
      <c r="EQ93" s="115"/>
      <c r="ER93" s="115"/>
      <c r="ES93" s="115"/>
      <c r="EU93" s="114" t="s">
        <v>426</v>
      </c>
      <c r="EV93" s="115"/>
      <c r="EW93" s="115"/>
      <c r="EX93" s="115"/>
      <c r="EY93" s="115"/>
      <c r="EZ93" s="115"/>
      <c r="FB93" s="114" t="s">
        <v>426</v>
      </c>
      <c r="FC93" s="115"/>
      <c r="FD93" s="115"/>
      <c r="FE93" s="115"/>
      <c r="FF93" s="115"/>
      <c r="FG93" s="115"/>
      <c r="FI93" s="114" t="s">
        <v>426</v>
      </c>
      <c r="FJ93" s="115"/>
      <c r="FK93" s="115"/>
      <c r="FL93" s="115"/>
      <c r="FM93" s="115"/>
      <c r="FN93" s="115"/>
      <c r="FP93" s="114" t="s">
        <v>426</v>
      </c>
      <c r="FQ93" s="115"/>
      <c r="FR93" s="115"/>
      <c r="FS93" s="115"/>
      <c r="FT93" s="115"/>
      <c r="FU93" s="115"/>
      <c r="FW93" s="114" t="s">
        <v>426</v>
      </c>
      <c r="FX93" s="115"/>
      <c r="FY93" s="115"/>
      <c r="FZ93" s="115"/>
      <c r="GA93" s="115"/>
      <c r="GB93" s="115"/>
      <c r="GD93" s="114" t="s">
        <v>426</v>
      </c>
      <c r="GE93" s="115"/>
      <c r="GF93" s="115"/>
      <c r="GG93" s="115"/>
      <c r="GH93" s="115"/>
      <c r="GI93" s="115"/>
      <c r="GK93" s="114" t="s">
        <v>426</v>
      </c>
      <c r="GL93" s="115"/>
      <c r="GM93" s="115"/>
      <c r="GN93" s="115"/>
      <c r="GO93" s="115"/>
      <c r="GP93" s="115"/>
      <c r="GR93" s="114" t="s">
        <v>426</v>
      </c>
      <c r="GS93" s="115"/>
      <c r="GT93" s="115"/>
      <c r="GU93" s="115"/>
      <c r="GV93" s="115"/>
      <c r="GW93" s="115"/>
      <c r="GY93" s="114" t="s">
        <v>426</v>
      </c>
      <c r="GZ93" s="115"/>
      <c r="HA93" s="115"/>
      <c r="HB93" s="115"/>
      <c r="HC93" s="115"/>
      <c r="HD93" s="115"/>
      <c r="HF93" s="114" t="s">
        <v>426</v>
      </c>
      <c r="HG93" s="115"/>
      <c r="HH93" s="115"/>
      <c r="HI93" s="115"/>
      <c r="HJ93" s="115"/>
      <c r="HK93" s="115"/>
      <c r="HM93" s="114" t="s">
        <v>426</v>
      </c>
      <c r="HN93" s="115"/>
      <c r="HO93" s="115"/>
      <c r="HP93" s="115"/>
      <c r="HQ93" s="115"/>
      <c r="HR93" s="115"/>
      <c r="HT93" s="114" t="s">
        <v>426</v>
      </c>
      <c r="HU93" s="115"/>
      <c r="HV93" s="115"/>
      <c r="HW93" s="115"/>
      <c r="HX93" s="115"/>
      <c r="HY93" s="115"/>
      <c r="IA93" s="114" t="s">
        <v>426</v>
      </c>
      <c r="IB93" s="115"/>
      <c r="IC93" s="115"/>
      <c r="ID93" s="115"/>
      <c r="IE93" s="115"/>
      <c r="IF93" s="115"/>
      <c r="IH93" s="114" t="s">
        <v>426</v>
      </c>
      <c r="II93" s="115"/>
      <c r="IJ93" s="115"/>
      <c r="IK93" s="115"/>
      <c r="IL93" s="115"/>
      <c r="IM93" s="115"/>
      <c r="IO93" s="114" t="s">
        <v>426</v>
      </c>
      <c r="IP93" s="115"/>
      <c r="IQ93" s="115"/>
      <c r="IR93" s="115"/>
      <c r="IS93" s="115"/>
      <c r="IT93" s="115"/>
      <c r="IV93" s="114" t="s">
        <v>426</v>
      </c>
      <c r="IW93" s="115"/>
      <c r="IX93" s="115"/>
      <c r="IY93" s="115"/>
      <c r="IZ93" s="115"/>
      <c r="JA93" s="115"/>
      <c r="JC93" s="114" t="s">
        <v>426</v>
      </c>
      <c r="JD93" s="115"/>
      <c r="JE93" s="115"/>
      <c r="JF93" s="115"/>
      <c r="JG93" s="115"/>
      <c r="JH93" s="115"/>
      <c r="JJ93" s="114" t="s">
        <v>426</v>
      </c>
      <c r="JK93" s="115"/>
      <c r="JL93" s="115"/>
      <c r="JM93" s="115"/>
      <c r="JN93" s="115"/>
      <c r="JO93" s="115"/>
      <c r="JQ93" s="114" t="s">
        <v>426</v>
      </c>
      <c r="JR93" s="115"/>
      <c r="JS93" s="115"/>
      <c r="JT93" s="115"/>
      <c r="JU93" s="115"/>
      <c r="JV93" s="115"/>
      <c r="JX93" s="114" t="s">
        <v>426</v>
      </c>
      <c r="JY93" s="115"/>
      <c r="JZ93" s="115"/>
      <c r="KA93" s="115"/>
      <c r="KB93" s="115"/>
      <c r="KC93" s="115"/>
      <c r="KE93" s="114" t="s">
        <v>426</v>
      </c>
      <c r="KF93" s="115"/>
      <c r="KG93" s="115"/>
      <c r="KH93" s="115"/>
      <c r="KI93" s="115"/>
      <c r="KJ93" s="115"/>
      <c r="KL93" s="114" t="s">
        <v>426</v>
      </c>
      <c r="KM93" s="115"/>
      <c r="KN93" s="115"/>
      <c r="KO93" s="115"/>
      <c r="KP93" s="115"/>
      <c r="KQ93" s="115"/>
      <c r="KS93" s="114" t="s">
        <v>426</v>
      </c>
      <c r="KT93" s="115"/>
      <c r="KU93" s="115"/>
      <c r="KV93" s="115"/>
      <c r="KW93" s="115"/>
      <c r="KX93" s="115"/>
      <c r="KZ93" s="114" t="s">
        <v>426</v>
      </c>
      <c r="LA93" s="115"/>
      <c r="LB93" s="213"/>
      <c r="LC93" s="213"/>
      <c r="LD93" s="213"/>
      <c r="LE93" s="213"/>
      <c r="LF93" s="565"/>
      <c r="LG93" s="114" t="s">
        <v>426</v>
      </c>
      <c r="LH93" s="213"/>
      <c r="LI93" s="213"/>
      <c r="LJ93" s="213"/>
      <c r="LK93" s="213"/>
      <c r="LL93" s="213"/>
      <c r="LM93" s="565"/>
      <c r="LN93" s="114" t="s">
        <v>426</v>
      </c>
      <c r="LO93" s="213"/>
      <c r="LP93" s="213"/>
      <c r="LQ93" s="213"/>
      <c r="LR93" s="213"/>
      <c r="LS93" s="213"/>
      <c r="LT93" s="565"/>
      <c r="LU93" s="114" t="s">
        <v>426</v>
      </c>
      <c r="LV93" s="213"/>
      <c r="LW93" s="213"/>
      <c r="LX93" s="213"/>
      <c r="LY93" s="213"/>
      <c r="LZ93" s="213"/>
      <c r="MA93" s="565"/>
      <c r="MB93" s="114" t="s">
        <v>426</v>
      </c>
      <c r="MC93" s="213"/>
      <c r="MD93" s="213"/>
      <c r="ME93" s="213"/>
      <c r="MF93" s="213"/>
      <c r="MG93" s="213"/>
      <c r="MH93" s="565"/>
    </row>
    <row r="94" spans="1:346" s="50" customFormat="1" ht="13.15" x14ac:dyDescent="0.4">
      <c r="A94" s="133"/>
      <c r="B94" s="136"/>
      <c r="BO94" s="136"/>
      <c r="BP94" s="137"/>
      <c r="BQ94" s="137"/>
      <c r="BR94" s="137"/>
      <c r="BS94" s="137"/>
      <c r="BT94" s="137"/>
      <c r="BV94" s="136"/>
      <c r="BW94" s="137"/>
      <c r="BX94" s="137"/>
      <c r="BY94" s="137"/>
      <c r="BZ94" s="137"/>
      <c r="CA94" s="137"/>
      <c r="CC94" s="136"/>
      <c r="CD94" s="137"/>
      <c r="CE94" s="137"/>
      <c r="CF94" s="137"/>
      <c r="CG94" s="137"/>
      <c r="CH94" s="137"/>
      <c r="CJ94" s="136"/>
      <c r="CK94" s="137"/>
      <c r="CL94" s="137"/>
      <c r="CM94" s="137"/>
      <c r="CN94" s="137"/>
      <c r="CO94" s="137"/>
      <c r="CQ94" s="136"/>
      <c r="CR94" s="137"/>
      <c r="CS94" s="137"/>
      <c r="CT94" s="137"/>
      <c r="CU94" s="137"/>
      <c r="CV94" s="137"/>
      <c r="CX94" s="136"/>
      <c r="CY94" s="137"/>
      <c r="CZ94" s="137"/>
      <c r="DA94" s="137"/>
      <c r="DB94" s="137"/>
      <c r="DC94" s="137"/>
      <c r="DE94" s="136"/>
      <c r="DF94" s="137"/>
      <c r="DG94" s="137"/>
      <c r="DH94" s="137"/>
      <c r="DI94" s="137"/>
      <c r="DJ94" s="137"/>
      <c r="DL94" s="136"/>
      <c r="DM94" s="137"/>
      <c r="DN94" s="137"/>
      <c r="DO94" s="137"/>
      <c r="DP94" s="137"/>
      <c r="DQ94" s="137"/>
      <c r="DS94" s="136"/>
      <c r="DT94" s="137"/>
      <c r="DU94" s="137"/>
      <c r="DV94" s="137"/>
      <c r="DW94" s="137"/>
      <c r="DX94" s="137"/>
      <c r="DZ94" s="136"/>
      <c r="EA94" s="137"/>
      <c r="EB94" s="137"/>
      <c r="EC94" s="137"/>
      <c r="ED94" s="137"/>
      <c r="EE94" s="137"/>
      <c r="EG94" s="136"/>
      <c r="EH94" s="137"/>
      <c r="EI94" s="137"/>
      <c r="EJ94" s="137"/>
      <c r="EK94" s="137"/>
      <c r="EL94" s="137"/>
      <c r="EN94" s="136"/>
      <c r="EO94" s="137"/>
      <c r="EP94" s="137"/>
      <c r="EQ94" s="137"/>
      <c r="ER94" s="137"/>
      <c r="ES94" s="137"/>
      <c r="EU94" s="136"/>
      <c r="EV94" s="137"/>
      <c r="EW94" s="137"/>
      <c r="EX94" s="137"/>
      <c r="EY94" s="137"/>
      <c r="EZ94" s="137"/>
      <c r="FB94" s="136"/>
      <c r="FC94" s="137"/>
      <c r="FD94" s="137"/>
      <c r="FE94" s="137"/>
      <c r="FF94" s="137"/>
      <c r="FG94" s="137"/>
      <c r="FI94" s="136"/>
      <c r="FJ94" s="137"/>
      <c r="FK94" s="137"/>
      <c r="FL94" s="137"/>
      <c r="FM94" s="137"/>
      <c r="FN94" s="137"/>
      <c r="FP94" s="136"/>
      <c r="FQ94" s="137"/>
      <c r="FR94" s="137"/>
      <c r="FS94" s="137"/>
      <c r="FT94" s="137"/>
      <c r="FU94" s="137"/>
      <c r="FW94" s="136"/>
      <c r="FX94" s="137"/>
      <c r="FY94" s="137"/>
      <c r="FZ94" s="137"/>
      <c r="GA94" s="137"/>
      <c r="GB94" s="137"/>
      <c r="GD94" s="136"/>
      <c r="GE94" s="137"/>
      <c r="GF94" s="137"/>
      <c r="GG94" s="137"/>
      <c r="GH94" s="137"/>
      <c r="GI94" s="137"/>
      <c r="GK94" s="136"/>
      <c r="GL94" s="137"/>
      <c r="GM94" s="137"/>
      <c r="GN94" s="137"/>
      <c r="GO94" s="137"/>
      <c r="GP94" s="137"/>
      <c r="GR94" s="136"/>
      <c r="GS94" s="137"/>
      <c r="GT94" s="137"/>
      <c r="GU94" s="137"/>
      <c r="GV94" s="137"/>
      <c r="GW94" s="137"/>
      <c r="GY94" s="136"/>
      <c r="GZ94" s="137"/>
      <c r="HA94" s="137"/>
      <c r="HB94" s="137"/>
      <c r="HC94" s="137"/>
      <c r="HD94" s="137"/>
      <c r="HF94" s="136"/>
      <c r="HG94" s="137"/>
      <c r="HH94" s="137"/>
      <c r="HI94" s="137"/>
      <c r="HJ94" s="137"/>
      <c r="HK94" s="137"/>
      <c r="HM94" s="136"/>
      <c r="HN94" s="137"/>
      <c r="HO94" s="137"/>
      <c r="HP94" s="137"/>
      <c r="HQ94" s="137"/>
      <c r="HR94" s="137"/>
      <c r="HT94" s="136"/>
      <c r="HU94" s="137"/>
      <c r="HV94" s="137"/>
      <c r="HW94" s="137"/>
      <c r="HX94" s="137"/>
      <c r="HY94" s="137"/>
      <c r="IA94" s="136"/>
      <c r="IB94" s="137"/>
      <c r="IC94" s="137"/>
      <c r="ID94" s="137"/>
      <c r="IE94" s="137"/>
      <c r="IF94" s="137"/>
      <c r="IH94" s="136"/>
      <c r="II94" s="137"/>
      <c r="IJ94" s="137"/>
      <c r="IK94" s="137"/>
      <c r="IL94" s="137"/>
      <c r="IM94" s="137"/>
      <c r="IO94" s="136"/>
      <c r="IP94" s="137"/>
      <c r="IQ94" s="137"/>
      <c r="IR94" s="137"/>
      <c r="IS94" s="137"/>
      <c r="IT94" s="137"/>
      <c r="IV94" s="136"/>
      <c r="IW94" s="137"/>
      <c r="IX94" s="137"/>
      <c r="IY94" s="137"/>
      <c r="IZ94" s="137"/>
      <c r="JA94" s="137"/>
      <c r="JC94" s="136"/>
      <c r="JD94" s="137"/>
      <c r="JE94" s="137"/>
      <c r="JF94" s="137"/>
      <c r="JG94" s="137"/>
      <c r="JH94" s="137"/>
      <c r="JJ94" s="136"/>
      <c r="JK94" s="137"/>
      <c r="JL94" s="137"/>
      <c r="JM94" s="137"/>
      <c r="JN94" s="137"/>
      <c r="JO94" s="137"/>
      <c r="JQ94" s="136"/>
      <c r="JR94" s="137"/>
      <c r="JS94" s="137"/>
      <c r="JT94" s="137"/>
      <c r="JU94" s="137"/>
      <c r="JV94" s="137"/>
      <c r="JX94" s="136"/>
      <c r="JY94" s="137"/>
      <c r="JZ94" s="137"/>
      <c r="KA94" s="137"/>
      <c r="KB94" s="137"/>
      <c r="KC94" s="137"/>
      <c r="KE94" s="136"/>
      <c r="KF94" s="137"/>
      <c r="KG94" s="137"/>
      <c r="KH94" s="137"/>
      <c r="KI94" s="137"/>
      <c r="KJ94" s="137"/>
      <c r="KL94" s="136"/>
      <c r="KM94" s="137"/>
      <c r="KN94" s="137"/>
      <c r="KO94" s="137"/>
      <c r="KP94" s="137"/>
      <c r="KQ94" s="137"/>
      <c r="KS94" s="136"/>
      <c r="KT94" s="137"/>
      <c r="KU94" s="137"/>
      <c r="KX94" s="137"/>
      <c r="KZ94" s="628"/>
      <c r="LA94" s="629"/>
      <c r="LB94" s="629"/>
      <c r="LC94" s="629"/>
      <c r="LD94" s="629"/>
      <c r="LE94" s="629"/>
      <c r="LF94" s="560"/>
      <c r="LG94" s="628"/>
      <c r="LH94" s="629"/>
      <c r="LI94" s="629"/>
      <c r="LJ94" s="629"/>
      <c r="LK94" s="629"/>
      <c r="LL94" s="629"/>
      <c r="LM94" s="560"/>
      <c r="LN94" s="628"/>
      <c r="LO94" s="629"/>
      <c r="LP94" s="629"/>
      <c r="LQ94" s="629"/>
      <c r="LR94" s="629"/>
      <c r="LS94" s="629"/>
      <c r="LT94" s="560"/>
      <c r="LU94" s="628"/>
      <c r="LV94" s="629"/>
      <c r="LW94" s="629"/>
      <c r="LX94" s="629"/>
      <c r="LY94" s="629"/>
      <c r="LZ94" s="629"/>
      <c r="MA94" s="560"/>
      <c r="MB94" s="628"/>
      <c r="MC94" s="629"/>
      <c r="MD94" s="629"/>
      <c r="ME94" s="629"/>
      <c r="MF94" s="629"/>
      <c r="MG94" s="629"/>
      <c r="MH94" s="560"/>
    </row>
    <row r="95" spans="1:346" s="37" customFormat="1" ht="13.15" x14ac:dyDescent="0.4">
      <c r="A95" s="100"/>
      <c r="B95" s="116" t="s">
        <v>31</v>
      </c>
      <c r="C95" s="117"/>
      <c r="D95" s="117"/>
      <c r="E95" s="117"/>
      <c r="F95" s="117"/>
      <c r="G95" s="117"/>
      <c r="H95" s="117"/>
      <c r="I95" s="117"/>
      <c r="J95" s="117"/>
      <c r="K95" s="117"/>
      <c r="L95" s="117"/>
      <c r="M95" s="117"/>
      <c r="N95" s="117">
        <f t="shared" ref="N95:N101" si="471">BT95</f>
        <v>0</v>
      </c>
      <c r="O95" s="117">
        <f t="shared" ref="O95:O101" si="472">CA95</f>
        <v>-1.0695187165775444E-2</v>
      </c>
      <c r="P95" s="117">
        <f t="shared" ref="P95:P101" si="473">CH95</f>
        <v>-6.2162162162162193E-2</v>
      </c>
      <c r="Q95" s="117">
        <f t="shared" ref="Q95:Q101" si="474">CO95</f>
        <v>2.5936599423631135E-2</v>
      </c>
      <c r="R95" s="117">
        <f t="shared" ref="R95:R101" si="475">CV95</f>
        <v>4.2134831460674205E-2</v>
      </c>
      <c r="S95" s="117">
        <f t="shared" ref="S95:S101" si="476">DC95</f>
        <v>4.0431266846361114E-2</v>
      </c>
      <c r="T95" s="117">
        <f t="shared" ref="T95:T101" si="477">DJ95</f>
        <v>5.1813471502590636E-2</v>
      </c>
      <c r="U95" s="117">
        <f t="shared" ref="U95:U101" si="478">DQ95</f>
        <v>7.3891625615762901E-3</v>
      </c>
      <c r="V95" s="117">
        <f t="shared" ref="V95:V101" si="479">DX95</f>
        <v>6.3569682151589202E-2</v>
      </c>
      <c r="W95" s="117">
        <f t="shared" ref="W95:W101" si="480">EE95</f>
        <v>2.0689655172413834E-2</v>
      </c>
      <c r="X95" s="117">
        <f t="shared" ref="X95:X101" si="481">EL95</f>
        <v>0.22747747747747749</v>
      </c>
      <c r="Y95" s="117">
        <f t="shared" ref="Y95:Y101" si="482">ES95</f>
        <v>3.4862385321100975E-2</v>
      </c>
      <c r="Z95" s="117">
        <f t="shared" ref="Z95:Z101" si="483">EZ95</f>
        <v>-4.2553191489361653E-2</v>
      </c>
      <c r="AA95" s="117">
        <f t="shared" ref="AA95:AA101" si="484">FG95</f>
        <v>3.7037037037037646E-3</v>
      </c>
      <c r="AB95" s="117">
        <f t="shared" ref="AB95:AB101" si="485">FN95</f>
        <v>-1.8450184501844769E-3</v>
      </c>
      <c r="AC95" s="117">
        <f t="shared" ref="AC95:AC101" si="486">FU95</f>
        <v>4.2513863216266268E-2</v>
      </c>
      <c r="AD95" s="117">
        <f t="shared" ref="AD95:AD101" si="487">GB95</f>
        <v>-5.4964539007092195E-2</v>
      </c>
      <c r="AE95" s="117">
        <f t="shared" ref="AE95:AE101" si="488">GI95</f>
        <v>-9.3808630393996673E-3</v>
      </c>
      <c r="AF95" s="117">
        <f t="shared" ref="AF95:AF101" si="489">GP95</f>
        <v>-1.8939393939394478E-3</v>
      </c>
      <c r="AG95" s="117">
        <f t="shared" ref="AG95:AG101" si="490">GW95</f>
        <v>-6.4516129032258118E-2</v>
      </c>
      <c r="AH95" s="117">
        <f t="shared" ref="AH95:AH101" si="491">HD95</f>
        <v>-0.13995943204868155</v>
      </c>
      <c r="AI95" s="117">
        <f t="shared" ref="AI95:AI101" si="492">HK95</f>
        <v>8.7264150943396235E-2</v>
      </c>
      <c r="AJ95" s="117">
        <f t="shared" ref="AJ95:AJ101" si="493">HR95</f>
        <v>2.1691973969630851E-3</v>
      </c>
      <c r="AK95" s="117">
        <f t="shared" ref="AK95:AK101" si="494">HY95</f>
        <v>1.9480519480519431E-2</v>
      </c>
      <c r="AL95" s="117">
        <f t="shared" ref="AL95:AL101" si="495">IF95</f>
        <v>0.35881104033970268</v>
      </c>
      <c r="AM95" s="117">
        <f t="shared" ref="AM95:AM101" si="496">IM95</f>
        <v>0.13749999999999996</v>
      </c>
      <c r="AN95" s="117">
        <f t="shared" ref="AN95:AN101" si="497">IT95</f>
        <v>-2.7472527472527375E-3</v>
      </c>
      <c r="AO95" s="117">
        <f t="shared" ref="AO95:AO101" si="498">JA95</f>
        <v>-3.5812672176308569E-2</v>
      </c>
      <c r="AP95" s="117">
        <f t="shared" ref="AP95:AP101" si="499">JH95</f>
        <v>-4.0000000000000036E-2</v>
      </c>
      <c r="AQ95" s="117">
        <f t="shared" ref="AQ95:AQ101" si="500">JO95</f>
        <v>4.4642857142858094E-3</v>
      </c>
      <c r="AR95" s="117">
        <f t="shared" ref="AR95:AR101" si="501">JV95</f>
        <v>-8.8888888888888351E-3</v>
      </c>
      <c r="AS95" s="117">
        <f t="shared" ref="AS95:AS101" si="502">KC95</f>
        <v>-7.4738415545589909E-3</v>
      </c>
      <c r="AT95" s="117">
        <f t="shared" ref="AT95:AT101" si="503">KJ95</f>
        <v>-7.5301204819276935E-3</v>
      </c>
      <c r="AU95" s="117">
        <f t="shared" ref="AU95:AU101" si="504">KQ95</f>
        <v>-2.7314112291350501E-2</v>
      </c>
      <c r="AV95" s="117">
        <f t="shared" ref="AV95:AV101" si="505">KX95</f>
        <v>1.5600624024960652E-3</v>
      </c>
      <c r="AW95" s="117">
        <f t="shared" ref="AW95:AW101" si="506">LE95</f>
        <v>7.1651090342679025E-2</v>
      </c>
      <c r="AX95" s="117">
        <f t="shared" ref="AX95:AX101" si="507">LL95</f>
        <v>-4.7965116279069742E-2</v>
      </c>
      <c r="AY95" s="117">
        <f t="shared" ref="AY95:AY101" si="508">LS95</f>
        <v>-1.8916030534351091E-2</v>
      </c>
      <c r="AZ95" s="117">
        <f t="shared" ref="AZ95:AZ101" si="509">LZ95</f>
        <v>2.9999999999999805E-2</v>
      </c>
      <c r="BA95" s="117">
        <f t="shared" ref="BA95:BA101" si="510">MG95</f>
        <v>2.6848049361199111E-2</v>
      </c>
      <c r="BB95" s="117"/>
      <c r="BC95" s="117"/>
      <c r="BD95" s="117"/>
      <c r="BE95" s="117"/>
      <c r="BF95" s="117"/>
      <c r="BG95" s="117"/>
      <c r="BH95" s="117"/>
      <c r="BI95" s="117"/>
      <c r="BJ95" s="117"/>
      <c r="BK95" s="117"/>
      <c r="BL95" s="117"/>
      <c r="BM95" s="117"/>
      <c r="BO95" s="116" t="s">
        <v>31</v>
      </c>
      <c r="BP95" s="117"/>
      <c r="BQ95" s="117"/>
      <c r="BR95" s="117"/>
      <c r="BS95" s="117"/>
      <c r="BT95" s="117"/>
      <c r="BV95" s="116" t="s">
        <v>31</v>
      </c>
      <c r="BW95" s="117">
        <f t="shared" ref="BW95:CA97" si="511">BW69/BP69-1</f>
        <v>-3.0612244897959218E-2</v>
      </c>
      <c r="BX95" s="117">
        <f t="shared" si="511"/>
        <v>-1.0638297872340385E-2</v>
      </c>
      <c r="BY95" s="117">
        <f t="shared" si="511"/>
        <v>1.0752688172043001E-2</v>
      </c>
      <c r="BZ95" s="117">
        <f t="shared" si="511"/>
        <v>-1.1235955056179803E-2</v>
      </c>
      <c r="CA95" s="117">
        <f t="shared" si="511"/>
        <v>-1.0695187165775444E-2</v>
      </c>
      <c r="CC95" s="116" t="s">
        <v>31</v>
      </c>
      <c r="CD95" s="117">
        <f t="shared" ref="CD95:CH97" si="512">CD69/BW69-1</f>
        <v>-0.10526315789473684</v>
      </c>
      <c r="CE95" s="117">
        <f t="shared" si="512"/>
        <v>-8.6021505376344121E-2</v>
      </c>
      <c r="CF95" s="117">
        <f t="shared" si="512"/>
        <v>-5.3191489361702149E-2</v>
      </c>
      <c r="CG95" s="117">
        <f t="shared" si="512"/>
        <v>0</v>
      </c>
      <c r="CH95" s="117">
        <f t="shared" si="512"/>
        <v>-6.2162162162162193E-2</v>
      </c>
      <c r="CJ95" s="116" t="s">
        <v>31</v>
      </c>
      <c r="CK95" s="117">
        <f t="shared" ref="CK95:CO97" si="513">CK69/CD69-1</f>
        <v>3.529411764705892E-2</v>
      </c>
      <c r="CL95" s="117">
        <f t="shared" si="513"/>
        <v>5.8823529411764719E-2</v>
      </c>
      <c r="CM95" s="117">
        <f t="shared" si="513"/>
        <v>1.1235955056179803E-2</v>
      </c>
      <c r="CN95" s="117">
        <f t="shared" si="513"/>
        <v>0</v>
      </c>
      <c r="CO95" s="117">
        <f t="shared" si="513"/>
        <v>2.5936599423631135E-2</v>
      </c>
      <c r="CQ95" s="116" t="s">
        <v>31</v>
      </c>
      <c r="CR95" s="117">
        <f t="shared" ref="CR95:CV97" si="514">CR69/CK69-1</f>
        <v>2.2727272727272707E-2</v>
      </c>
      <c r="CS95" s="117">
        <f t="shared" si="514"/>
        <v>3.3333333333333437E-2</v>
      </c>
      <c r="CT95" s="117">
        <f t="shared" si="514"/>
        <v>4.4444444444444509E-2</v>
      </c>
      <c r="CU95" s="117">
        <f t="shared" si="514"/>
        <v>6.8181818181818121E-2</v>
      </c>
      <c r="CV95" s="117">
        <f t="shared" si="514"/>
        <v>4.2134831460674205E-2</v>
      </c>
      <c r="CX95" s="116" t="s">
        <v>31</v>
      </c>
      <c r="CY95" s="117">
        <f t="shared" ref="CY95:DC97" si="515">CY69/CR69-1</f>
        <v>4.4444444444444509E-2</v>
      </c>
      <c r="CZ95" s="117">
        <f t="shared" si="515"/>
        <v>4.3010752688172005E-2</v>
      </c>
      <c r="DA95" s="117">
        <f t="shared" si="515"/>
        <v>2.1276595744680771E-2</v>
      </c>
      <c r="DB95" s="117">
        <f t="shared" si="515"/>
        <v>5.3191489361702038E-2</v>
      </c>
      <c r="DC95" s="117">
        <f t="shared" si="515"/>
        <v>4.0431266846361114E-2</v>
      </c>
      <c r="DE95" s="116" t="s">
        <v>31</v>
      </c>
      <c r="DF95" s="117">
        <f t="shared" ref="DF95:DJ97" si="516">DF69/CY69-1</f>
        <v>8.5106382978723305E-2</v>
      </c>
      <c r="DG95" s="117">
        <f t="shared" si="516"/>
        <v>3.0927835051546282E-2</v>
      </c>
      <c r="DH95" s="117">
        <f t="shared" si="516"/>
        <v>8.3333333333333259E-2</v>
      </c>
      <c r="DI95" s="117">
        <f t="shared" si="516"/>
        <v>1.0101010101010166E-2</v>
      </c>
      <c r="DJ95" s="117">
        <f t="shared" si="516"/>
        <v>5.1813471502590636E-2</v>
      </c>
      <c r="DL95" s="116" t="s">
        <v>31</v>
      </c>
      <c r="DM95" s="117">
        <f t="shared" ref="DM95:DQ97" si="517">DM69/DF69-1</f>
        <v>0</v>
      </c>
      <c r="DN95" s="117">
        <f t="shared" si="517"/>
        <v>1.0000000000000009E-2</v>
      </c>
      <c r="DO95" s="117">
        <f t="shared" si="517"/>
        <v>0</v>
      </c>
      <c r="DP95" s="117">
        <f t="shared" si="517"/>
        <v>2.0000000000000018E-2</v>
      </c>
      <c r="DQ95" s="117">
        <f t="shared" si="517"/>
        <v>7.3891625615762901E-3</v>
      </c>
      <c r="DS95" s="116" t="s">
        <v>31</v>
      </c>
      <c r="DT95" s="117">
        <f t="shared" ref="DT95:DX97" si="518">DT69/DM69-1</f>
        <v>5.8823529411764719E-2</v>
      </c>
      <c r="DU95" s="117">
        <f t="shared" si="518"/>
        <v>7.9207920792079278E-2</v>
      </c>
      <c r="DV95" s="117">
        <f t="shared" si="518"/>
        <v>4.8076923076923128E-2</v>
      </c>
      <c r="DW95" s="117">
        <f t="shared" si="518"/>
        <v>6.8627450980392135E-2</v>
      </c>
      <c r="DX95" s="117">
        <f t="shared" si="518"/>
        <v>6.3569682151589202E-2</v>
      </c>
      <c r="DZ95" s="116" t="s">
        <v>31</v>
      </c>
      <c r="EA95" s="117">
        <f t="shared" ref="EA95:EE97" si="519">EA69/DT69-1</f>
        <v>3.7037037037036979E-2</v>
      </c>
      <c r="EB95" s="117">
        <f t="shared" si="519"/>
        <v>2.7522935779816571E-2</v>
      </c>
      <c r="EC95" s="117">
        <f t="shared" si="519"/>
        <v>2.7522935779816571E-2</v>
      </c>
      <c r="ED95" s="117">
        <f t="shared" si="519"/>
        <v>-9.1743119266054496E-3</v>
      </c>
      <c r="EE95" s="117">
        <f t="shared" si="519"/>
        <v>2.0689655172413834E-2</v>
      </c>
      <c r="EG95" s="116" t="s">
        <v>31</v>
      </c>
      <c r="EH95" s="117">
        <f t="shared" ref="EH95:EL97" si="520">EH69/EA69-1</f>
        <v>8.0357142857142794E-2</v>
      </c>
      <c r="EI95" s="117">
        <f t="shared" si="520"/>
        <v>0.15178571428571419</v>
      </c>
      <c r="EJ95" s="117">
        <f t="shared" si="520"/>
        <v>0.3125</v>
      </c>
      <c r="EK95" s="117">
        <f t="shared" si="520"/>
        <v>0.37037037037037046</v>
      </c>
      <c r="EL95" s="117">
        <f t="shared" si="520"/>
        <v>0.22747747747747749</v>
      </c>
      <c r="EN95" s="116" t="s">
        <v>31</v>
      </c>
      <c r="EO95" s="117">
        <f t="shared" ref="EO95:ES97" si="521">EO69/EH69-1</f>
        <v>0.17355371900826455</v>
      </c>
      <c r="EP95" s="117">
        <f t="shared" si="521"/>
        <v>0.12403100775193798</v>
      </c>
      <c r="EQ95" s="117">
        <f t="shared" si="521"/>
        <v>-4.7619047619047672E-2</v>
      </c>
      <c r="ER95" s="117">
        <f t="shared" si="521"/>
        <v>-7.4324324324324342E-2</v>
      </c>
      <c r="ES95" s="117">
        <f t="shared" si="521"/>
        <v>3.4862385321100975E-2</v>
      </c>
      <c r="EU95" s="116" t="s">
        <v>31</v>
      </c>
      <c r="EV95" s="117">
        <f t="shared" ref="EV95:EZ97" si="522">EV69/EO69-1</f>
        <v>-1.4084507042253502E-2</v>
      </c>
      <c r="EW95" s="117">
        <f t="shared" si="522"/>
        <v>-4.8275862068965503E-2</v>
      </c>
      <c r="EX95" s="117">
        <f t="shared" si="522"/>
        <v>-5.0000000000000044E-2</v>
      </c>
      <c r="EY95" s="117">
        <f t="shared" si="522"/>
        <v>-5.8394160583941646E-2</v>
      </c>
      <c r="EZ95" s="117">
        <f t="shared" si="522"/>
        <v>-4.2553191489361653E-2</v>
      </c>
      <c r="FB95" s="116" t="s">
        <v>31</v>
      </c>
      <c r="FC95" s="117">
        <f t="shared" ref="FC95:FG97" si="523">FC69/EV69-1</f>
        <v>-3.5714285714285698E-2</v>
      </c>
      <c r="FD95" s="117">
        <f t="shared" si="523"/>
        <v>1.449275362318847E-2</v>
      </c>
      <c r="FE95" s="117">
        <f t="shared" si="523"/>
        <v>7.5187969924812581E-3</v>
      </c>
      <c r="FF95" s="117">
        <f t="shared" si="523"/>
        <v>3.1007751937984551E-2</v>
      </c>
      <c r="FG95" s="117">
        <f t="shared" si="523"/>
        <v>3.7037037037037646E-3</v>
      </c>
      <c r="FI95" s="116" t="s">
        <v>31</v>
      </c>
      <c r="FJ95" s="117">
        <f t="shared" ref="FJ95:FN97" si="524">FJ69/FC69-1</f>
        <v>1.4814814814814836E-2</v>
      </c>
      <c r="FK95" s="117">
        <f t="shared" si="524"/>
        <v>-5.0000000000000044E-2</v>
      </c>
      <c r="FL95" s="117">
        <f t="shared" si="524"/>
        <v>1.4925373134328401E-2</v>
      </c>
      <c r="FM95" s="117">
        <f t="shared" si="524"/>
        <v>1.5037593984962516E-2</v>
      </c>
      <c r="FN95" s="117">
        <f t="shared" si="524"/>
        <v>-1.8450184501844769E-3</v>
      </c>
      <c r="FP95" s="116" t="s">
        <v>31</v>
      </c>
      <c r="FQ95" s="117">
        <f t="shared" ref="FQ95:FU97" si="525">FQ69/FJ69-1</f>
        <v>1.4598540145985384E-2</v>
      </c>
      <c r="FR95" s="117">
        <f t="shared" si="525"/>
        <v>5.2631578947368363E-2</v>
      </c>
      <c r="FS95" s="117">
        <f t="shared" si="525"/>
        <v>2.2058823529411686E-2</v>
      </c>
      <c r="FT95" s="117">
        <f t="shared" si="525"/>
        <v>8.1481481481481488E-2</v>
      </c>
      <c r="FU95" s="117">
        <f t="shared" si="525"/>
        <v>4.2513863216266268E-2</v>
      </c>
      <c r="FW95" s="116" t="s">
        <v>31</v>
      </c>
      <c r="FX95" s="117">
        <f t="shared" ref="FX95:GB97" si="526">FX69/FQ69-1</f>
        <v>7.194244604316502E-3</v>
      </c>
      <c r="FY95" s="117">
        <f t="shared" si="526"/>
        <v>-3.5714285714285698E-2</v>
      </c>
      <c r="FZ95" s="117">
        <f t="shared" si="526"/>
        <v>-5.7553956834532349E-2</v>
      </c>
      <c r="GA95" s="117">
        <f t="shared" si="526"/>
        <v>-0.13013698630136983</v>
      </c>
      <c r="GB95" s="117">
        <f t="shared" si="526"/>
        <v>-5.4964539007092195E-2</v>
      </c>
      <c r="GD95" s="116" t="s">
        <v>31</v>
      </c>
      <c r="GE95" s="117">
        <f t="shared" ref="GE95:GI97" si="527">GE69/FX69-1</f>
        <v>-3.5714285714285698E-2</v>
      </c>
      <c r="GF95" s="117">
        <f t="shared" si="527"/>
        <v>-7.4074074074074181E-3</v>
      </c>
      <c r="GG95" s="117">
        <f t="shared" si="527"/>
        <v>1.5267175572519109E-2</v>
      </c>
      <c r="GH95" s="117">
        <f t="shared" si="527"/>
        <v>-7.8740157480314821E-3</v>
      </c>
      <c r="GI95" s="117">
        <f t="shared" si="527"/>
        <v>-9.3808630393996673E-3</v>
      </c>
      <c r="GK95" s="116" t="s">
        <v>31</v>
      </c>
      <c r="GL95" s="117">
        <f t="shared" ref="GL95:GP97" si="528">GL69/GE69-1</f>
        <v>-7.4074074074074181E-3</v>
      </c>
      <c r="GM95" s="117">
        <f t="shared" si="528"/>
        <v>1.4925373134328401E-2</v>
      </c>
      <c r="GN95" s="117">
        <f t="shared" si="528"/>
        <v>-1.5037593984962405E-2</v>
      </c>
      <c r="GO95" s="117">
        <f t="shared" si="528"/>
        <v>0</v>
      </c>
      <c r="GP95" s="117">
        <f t="shared" si="528"/>
        <v>-1.8939393939394478E-3</v>
      </c>
      <c r="GR95" s="116" t="s">
        <v>31</v>
      </c>
      <c r="GS95" s="117">
        <f t="shared" ref="GS95:GW97" si="529">GS69/GL69-1</f>
        <v>-3.7313432835820892E-2</v>
      </c>
      <c r="GT95" s="117">
        <f t="shared" si="529"/>
        <v>-3.6764705882352922E-2</v>
      </c>
      <c r="GU95" s="117">
        <f t="shared" si="529"/>
        <v>-4.5801526717557217E-2</v>
      </c>
      <c r="GV95" s="117">
        <f t="shared" si="529"/>
        <v>-0.1428571428571429</v>
      </c>
      <c r="GW95" s="117">
        <f t="shared" si="529"/>
        <v>-6.4516129032258118E-2</v>
      </c>
      <c r="GY95" s="116" t="s">
        <v>31</v>
      </c>
      <c r="GZ95" s="117">
        <f t="shared" ref="GZ95:HD97" si="530">GZ69/GS69-1</f>
        <v>-0.18604651162790697</v>
      </c>
      <c r="HA95" s="117">
        <f t="shared" si="530"/>
        <v>-0.19847328244274809</v>
      </c>
      <c r="HB95" s="117">
        <f t="shared" si="530"/>
        <v>-0.12</v>
      </c>
      <c r="HC95" s="117">
        <f t="shared" si="530"/>
        <v>-3.703703703703709E-2</v>
      </c>
      <c r="HD95" s="117">
        <f t="shared" si="530"/>
        <v>-0.13995943204868155</v>
      </c>
      <c r="HF95" s="116" t="s">
        <v>31</v>
      </c>
      <c r="HG95" s="117">
        <f t="shared" ref="HG95:HK97" si="531">HG69/GZ69-1</f>
        <v>6.6666666666666652E-2</v>
      </c>
      <c r="HH95" s="117">
        <f t="shared" si="531"/>
        <v>0.10476190476190483</v>
      </c>
      <c r="HI95" s="117">
        <f t="shared" si="531"/>
        <v>5.4545454545454453E-2</v>
      </c>
      <c r="HJ95" s="117">
        <f t="shared" si="531"/>
        <v>0.125</v>
      </c>
      <c r="HK95" s="117">
        <f t="shared" si="531"/>
        <v>8.7264150943396235E-2</v>
      </c>
      <c r="HM95" s="116" t="s">
        <v>31</v>
      </c>
      <c r="HN95" s="117">
        <f t="shared" ref="HN95:HR101" si="532">HN69/HG69-1</f>
        <v>4.4642857142857206E-2</v>
      </c>
      <c r="HO95" s="117">
        <f t="shared" si="532"/>
        <v>2.5862068965517349E-2</v>
      </c>
      <c r="HP95" s="117">
        <f t="shared" si="532"/>
        <v>0</v>
      </c>
      <c r="HQ95" s="117">
        <f t="shared" si="532"/>
        <v>-5.9829059829059839E-2</v>
      </c>
      <c r="HR95" s="117">
        <f t="shared" si="532"/>
        <v>2.1691973969630851E-3</v>
      </c>
      <c r="HT95" s="116" t="s">
        <v>31</v>
      </c>
      <c r="HU95" s="117">
        <f t="shared" ref="HU95:HY101" si="533">HU69/HN69-1</f>
        <v>0</v>
      </c>
      <c r="HV95" s="117">
        <f t="shared" si="533"/>
        <v>8.4033613445377853E-3</v>
      </c>
      <c r="HW95" s="117">
        <f t="shared" si="533"/>
        <v>1.7241379310344751E-2</v>
      </c>
      <c r="HX95" s="117">
        <f t="shared" si="533"/>
        <v>5.4545454545454453E-2</v>
      </c>
      <c r="HY95" s="117">
        <f t="shared" si="533"/>
        <v>1.9480519480519431E-2</v>
      </c>
      <c r="IA95" s="116" t="s">
        <v>31</v>
      </c>
      <c r="IB95" s="117">
        <f t="shared" ref="IB95:IF101" si="534">IB69/HU69-1</f>
        <v>0.29059829059829068</v>
      </c>
      <c r="IC95" s="117">
        <f t="shared" si="534"/>
        <v>0.33333333333333326</v>
      </c>
      <c r="ID95" s="117">
        <f t="shared" si="534"/>
        <v>0.38983050847457634</v>
      </c>
      <c r="IE95" s="117">
        <f t="shared" si="534"/>
        <v>0.42241379310344818</v>
      </c>
      <c r="IF95" s="117">
        <f t="shared" si="534"/>
        <v>0.35881104033970268</v>
      </c>
      <c r="IH95" s="116" t="s">
        <v>31</v>
      </c>
      <c r="II95" s="117">
        <f t="shared" ref="II95:IM101" si="535">II69/IB69-1</f>
        <v>9.27152317880795E-2</v>
      </c>
      <c r="IJ95" s="117">
        <f t="shared" si="535"/>
        <v>0.16250000000000009</v>
      </c>
      <c r="IK95" s="117">
        <f t="shared" si="535"/>
        <v>0.15243902439024382</v>
      </c>
      <c r="IL95" s="117">
        <f t="shared" si="535"/>
        <v>0.1393939393939394</v>
      </c>
      <c r="IM95" s="117">
        <f t="shared" si="535"/>
        <v>0.13749999999999996</v>
      </c>
      <c r="IO95" s="116" t="s">
        <v>31</v>
      </c>
      <c r="IP95" s="117">
        <f t="shared" ref="IP95:IT101" si="536">IP69/II69-1</f>
        <v>6.6666666666666652E-2</v>
      </c>
      <c r="IQ95" s="117">
        <f t="shared" si="536"/>
        <v>5.3763440860215006E-3</v>
      </c>
      <c r="IR95" s="117">
        <f t="shared" si="536"/>
        <v>-1.0582010582010581E-2</v>
      </c>
      <c r="IS95" s="117">
        <f t="shared" si="536"/>
        <v>-6.3829787234042534E-2</v>
      </c>
      <c r="IT95" s="117">
        <f t="shared" si="536"/>
        <v>-2.7472527472527375E-3</v>
      </c>
      <c r="IV95" s="116" t="s">
        <v>31</v>
      </c>
      <c r="IW95" s="117">
        <f t="shared" ref="IW95:JA101" si="537">IW69/IP69-1</f>
        <v>-5.6818181818182323E-3</v>
      </c>
      <c r="IX95" s="117">
        <f t="shared" si="537"/>
        <v>-8.0213903743315496E-2</v>
      </c>
      <c r="IY95" s="117">
        <f t="shared" si="537"/>
        <v>-7.4866310160427774E-2</v>
      </c>
      <c r="IZ95" s="117">
        <f t="shared" si="537"/>
        <v>2.2727272727272707E-2</v>
      </c>
      <c r="JA95" s="117">
        <f t="shared" si="537"/>
        <v>-3.5812672176308569E-2</v>
      </c>
      <c r="JC95" s="116" t="s">
        <v>31</v>
      </c>
      <c r="JD95" s="117">
        <f t="shared" ref="JD95:JH101" si="538">JD69/IW69-1</f>
        <v>0</v>
      </c>
      <c r="JE95" s="117">
        <f t="shared" si="538"/>
        <v>-1.744186046511631E-2</v>
      </c>
      <c r="JF95" s="117">
        <f t="shared" si="538"/>
        <v>-5.2023121387283267E-2</v>
      </c>
      <c r="JG95" s="117">
        <f t="shared" si="538"/>
        <v>-8.8888888888888906E-2</v>
      </c>
      <c r="JH95" s="117">
        <f t="shared" si="538"/>
        <v>-4.0000000000000036E-2</v>
      </c>
      <c r="JJ95" s="116" t="s">
        <v>31</v>
      </c>
      <c r="JK95" s="117">
        <f t="shared" ref="JK95:JO101" si="539">JK69/JD69-1</f>
        <v>-7.4285714285714288E-2</v>
      </c>
      <c r="JL95" s="117">
        <f t="shared" si="539"/>
        <v>0</v>
      </c>
      <c r="JM95" s="117">
        <f t="shared" si="539"/>
        <v>4.8780487804878092E-2</v>
      </c>
      <c r="JN95" s="117">
        <f t="shared" si="539"/>
        <v>4.8780487804878092E-2</v>
      </c>
      <c r="JO95" s="117">
        <f t="shared" si="539"/>
        <v>4.4642857142858094E-3</v>
      </c>
      <c r="JQ95" s="116" t="s">
        <v>31</v>
      </c>
      <c r="JR95" s="117">
        <f t="shared" ref="JR95:JV101" si="540">JR69/JK69-1</f>
        <v>3.0864197530864113E-2</v>
      </c>
      <c r="JS95" s="117">
        <f t="shared" si="540"/>
        <v>2.3668639053254337E-2</v>
      </c>
      <c r="JT95" s="117">
        <f t="shared" si="540"/>
        <v>-3.4883720930232509E-2</v>
      </c>
      <c r="JU95" s="117">
        <f t="shared" si="540"/>
        <v>-5.2325581395348819E-2</v>
      </c>
      <c r="JV95" s="117">
        <f t="shared" si="540"/>
        <v>-8.8888888888888351E-3</v>
      </c>
      <c r="JX95" s="116" t="s">
        <v>31</v>
      </c>
      <c r="JY95" s="117">
        <f t="shared" ref="JY95:KC101" si="541">JY69/JR69-1</f>
        <v>6.5868263473053856E-2</v>
      </c>
      <c r="JZ95" s="117">
        <f t="shared" si="541"/>
        <v>-0.12138728323699421</v>
      </c>
      <c r="KA95" s="117">
        <f t="shared" si="541"/>
        <v>-6.0240963855421326E-3</v>
      </c>
      <c r="KB95" s="117">
        <f t="shared" si="541"/>
        <v>3.6809815950920255E-2</v>
      </c>
      <c r="KC95" s="117">
        <f t="shared" si="541"/>
        <v>-7.4738415545589909E-3</v>
      </c>
      <c r="KE95" s="116" t="s">
        <v>31</v>
      </c>
      <c r="KF95" s="117">
        <f t="shared" ref="KF95:KJ101" si="542">KF69/JY69-1</f>
        <v>-8.4269662921348298E-2</v>
      </c>
      <c r="KG95" s="117">
        <f t="shared" si="542"/>
        <v>9.8684210526315708E-2</v>
      </c>
      <c r="KH95" s="117">
        <f t="shared" si="542"/>
        <v>6.0606060606060996E-3</v>
      </c>
      <c r="KI95" s="117">
        <f t="shared" si="542"/>
        <v>-3.5502958579881616E-2</v>
      </c>
      <c r="KJ95" s="117">
        <f t="shared" si="542"/>
        <v>-7.5301204819276935E-3</v>
      </c>
      <c r="KL95" s="116" t="s">
        <v>31</v>
      </c>
      <c r="KM95" s="117">
        <f t="shared" ref="KM95:KQ101" si="543">KM69/KF69-1</f>
        <v>-1.2269938650306789E-2</v>
      </c>
      <c r="KN95" s="117">
        <f t="shared" si="543"/>
        <v>-1.19760479041916E-2</v>
      </c>
      <c r="KO95" s="117">
        <f t="shared" si="543"/>
        <v>-2.4096385542168641E-2</v>
      </c>
      <c r="KP95" s="117">
        <f t="shared" si="543"/>
        <v>-6.1349693251533721E-2</v>
      </c>
      <c r="KQ95" s="117">
        <f t="shared" si="543"/>
        <v>-2.7314112291350501E-2</v>
      </c>
      <c r="KS95" s="116" t="s">
        <v>31</v>
      </c>
      <c r="KT95" s="117">
        <f t="shared" ref="KT95:KX101" si="544">KT69/KM69-1</f>
        <v>-6.2111801242236142E-3</v>
      </c>
      <c r="KU95" s="117">
        <f t="shared" si="544"/>
        <v>-3.0303030303030276E-2</v>
      </c>
      <c r="KV95" s="117">
        <f t="shared" si="544"/>
        <v>-6.1728395061728669E-3</v>
      </c>
      <c r="KW95" s="117">
        <f t="shared" si="544"/>
        <v>5.2287581699346442E-2</v>
      </c>
      <c r="KX95" s="117">
        <f t="shared" si="544"/>
        <v>1.5600624024960652E-3</v>
      </c>
      <c r="KZ95" s="116" t="s">
        <v>31</v>
      </c>
      <c r="LA95" s="117">
        <f>(LA69/KT69)-1</f>
        <v>4.3749999999999956E-2</v>
      </c>
      <c r="LB95" s="117">
        <f>(LB69/KU69)-1</f>
        <v>8.7499999999999911E-2</v>
      </c>
      <c r="LC95" s="216">
        <f t="shared" ref="LC95:LE95" si="545">(LC69/KV69)-1</f>
        <v>9.3167701863354102E-2</v>
      </c>
      <c r="LD95" s="216">
        <f t="shared" si="545"/>
        <v>6.211180124223592E-2</v>
      </c>
      <c r="LE95" s="216">
        <f t="shared" si="545"/>
        <v>7.1651090342679025E-2</v>
      </c>
      <c r="LF95" s="567"/>
      <c r="LG95" s="116" t="s">
        <v>31</v>
      </c>
      <c r="LH95" s="216">
        <f t="shared" ref="LH95:LH101" si="546">(LH69/LA69)-1</f>
        <v>-5.9880239520958556E-3</v>
      </c>
      <c r="LI95" s="216">
        <f t="shared" ref="LI95:LI101" si="547">(LI69/LB69)-1</f>
        <v>-5.7471264367816133E-2</v>
      </c>
      <c r="LJ95" s="216">
        <f t="shared" ref="LJ95:LJ101" si="548">(LJ69/LC69)-1</f>
        <v>-6.8181818181818232E-2</v>
      </c>
      <c r="LK95" s="216">
        <f t="shared" ref="LK95:LK101" si="549">(LK69/LD69)-1</f>
        <v>-5.8479532163742687E-2</v>
      </c>
      <c r="LL95" s="216">
        <f t="shared" ref="LL95:LL101" si="550">LL69/LE69-1</f>
        <v>-4.7965116279069742E-2</v>
      </c>
      <c r="LM95" s="567"/>
      <c r="LN95" s="116" t="s">
        <v>31</v>
      </c>
      <c r="LO95" s="216">
        <f t="shared" ref="LO95:LO101" si="551">(LO69/LH69)-1</f>
        <v>-4.500000000000004E-2</v>
      </c>
      <c r="LP95" s="216">
        <f t="shared" ref="LP95:LP101" si="552">(LP69/LI69)-1</f>
        <v>-2.0000000000000018E-2</v>
      </c>
      <c r="LQ95" s="216">
        <f t="shared" ref="LQ95:LQ101" si="553">(LQ69/LJ69)-1</f>
        <v>-1.000000000000012E-2</v>
      </c>
      <c r="LR95" s="216">
        <f t="shared" ref="LR95:LR101" si="554">(LR69/LK69)-1</f>
        <v>0</v>
      </c>
      <c r="LS95" s="216">
        <f t="shared" ref="LS95:LS101" si="555">LS69/LL69-1</f>
        <v>-1.8916030534351091E-2</v>
      </c>
      <c r="LT95" s="567"/>
      <c r="LU95" s="116" t="s">
        <v>31</v>
      </c>
      <c r="LV95" s="216">
        <f t="shared" ref="LV95:LV101" si="556">(LV69/LO69)-1</f>
        <v>3.0000000000000027E-2</v>
      </c>
      <c r="LW95" s="216">
        <f t="shared" ref="LW95:LW101" si="557">(LW69/LP69)-1</f>
        <v>3.0000000000000027E-2</v>
      </c>
      <c r="LX95" s="216">
        <f t="shared" ref="LX95:LX101" si="558">(LX69/LQ69)-1</f>
        <v>3.0000000000000027E-2</v>
      </c>
      <c r="LY95" s="216">
        <f t="shared" ref="LY95:LY101" si="559">(LY69/LR69)-1</f>
        <v>3.0000000000000027E-2</v>
      </c>
      <c r="LZ95" s="216">
        <f t="shared" ref="LZ95:LZ101" si="560">LZ69/LS69-1</f>
        <v>2.9999999999999805E-2</v>
      </c>
      <c r="MA95" s="567"/>
      <c r="MB95" s="116" t="s">
        <v>31</v>
      </c>
      <c r="MC95" s="216">
        <f t="shared" ref="MC95:MC101" si="561">(MC69/LV69)-1</f>
        <v>3.2499999999999973E-2</v>
      </c>
      <c r="MD95" s="216">
        <f t="shared" ref="MD95:MD101" si="562">(MD69/LW69)-1</f>
        <v>3.0000000000000027E-2</v>
      </c>
      <c r="ME95" s="216">
        <f t="shared" ref="ME95:ME101" si="563">(ME69/LX69)-1</f>
        <v>2.4999999999999911E-2</v>
      </c>
      <c r="MF95" s="216">
        <f t="shared" ref="MF95:MF101" si="564">(MF69/LY69)-1</f>
        <v>2.0000000000000018E-2</v>
      </c>
      <c r="MG95" s="216">
        <f t="shared" ref="MG95:MG101" si="565">MG69/LZ69-1</f>
        <v>2.6848049361199111E-2</v>
      </c>
      <c r="MH95" s="567"/>
    </row>
    <row r="96" spans="1:346" s="37" customFormat="1" ht="13.15" x14ac:dyDescent="0.4">
      <c r="A96" s="100"/>
      <c r="B96" s="116" t="s">
        <v>141</v>
      </c>
      <c r="C96" s="117"/>
      <c r="D96" s="117"/>
      <c r="E96" s="117"/>
      <c r="F96" s="117"/>
      <c r="G96" s="117"/>
      <c r="H96" s="117"/>
      <c r="I96" s="117"/>
      <c r="J96" s="117"/>
      <c r="K96" s="117"/>
      <c r="L96" s="117"/>
      <c r="M96" s="117"/>
      <c r="N96" s="117">
        <f t="shared" si="471"/>
        <v>0</v>
      </c>
      <c r="O96" s="117">
        <f t="shared" si="472"/>
        <v>-3.5842293906810374E-3</v>
      </c>
      <c r="P96" s="117">
        <f t="shared" si="473"/>
        <v>-5.3956834532374098E-2</v>
      </c>
      <c r="Q96" s="117">
        <f t="shared" si="474"/>
        <v>3.8022813688212143E-3</v>
      </c>
      <c r="R96" s="117">
        <f t="shared" si="475"/>
        <v>7.575757575757569E-2</v>
      </c>
      <c r="S96" s="117">
        <f t="shared" si="476"/>
        <v>-7.3943661971830998E-2</v>
      </c>
      <c r="T96" s="117">
        <f t="shared" si="477"/>
        <v>6.4638783269961975E-2</v>
      </c>
      <c r="U96" s="117">
        <f t="shared" si="478"/>
        <v>-7.4999999999999956E-2</v>
      </c>
      <c r="V96" s="117">
        <f t="shared" si="479"/>
        <v>3.8610038610038533E-2</v>
      </c>
      <c r="W96" s="117">
        <f t="shared" si="480"/>
        <v>2.9739776951672958E-2</v>
      </c>
      <c r="X96" s="117">
        <f t="shared" si="481"/>
        <v>0.17689530685920585</v>
      </c>
      <c r="Y96" s="117">
        <f t="shared" si="482"/>
        <v>0.38957055214723924</v>
      </c>
      <c r="Z96" s="117">
        <f t="shared" si="483"/>
        <v>3.0905077262693093E-2</v>
      </c>
      <c r="AA96" s="117">
        <f t="shared" si="484"/>
        <v>-3.2119914346895095E-2</v>
      </c>
      <c r="AB96" s="117">
        <f t="shared" si="485"/>
        <v>0.26327433628318575</v>
      </c>
      <c r="AC96" s="117">
        <f t="shared" si="486"/>
        <v>5.2539404553415103E-2</v>
      </c>
      <c r="AD96" s="117">
        <f t="shared" si="487"/>
        <v>8.3194675540765317E-3</v>
      </c>
      <c r="AE96" s="117">
        <f t="shared" si="488"/>
        <v>5.9405940594059459E-2</v>
      </c>
      <c r="AF96" s="117">
        <f t="shared" si="489"/>
        <v>-0.17757009345794394</v>
      </c>
      <c r="AG96" s="117">
        <f t="shared" si="490"/>
        <v>2.4621212121212155E-2</v>
      </c>
      <c r="AH96" s="117">
        <f t="shared" si="491"/>
        <v>-2.4029574861367808E-2</v>
      </c>
      <c r="AI96" s="117">
        <f t="shared" si="492"/>
        <v>3.7878787878787845E-2</v>
      </c>
      <c r="AJ96" s="117">
        <f t="shared" si="493"/>
        <v>-4.1970802919708006E-2</v>
      </c>
      <c r="AK96" s="117">
        <f t="shared" si="494"/>
        <v>-5.9047619047619015E-2</v>
      </c>
      <c r="AL96" s="117">
        <f t="shared" si="495"/>
        <v>-1.619433198380571E-2</v>
      </c>
      <c r="AM96" s="117">
        <f t="shared" si="496"/>
        <v>5.555555555555558E-2</v>
      </c>
      <c r="AN96" s="117">
        <f t="shared" si="497"/>
        <v>-1.9493177387914229E-2</v>
      </c>
      <c r="AO96" s="117">
        <f t="shared" si="498"/>
        <v>-5.1689860834990053E-2</v>
      </c>
      <c r="AP96" s="117">
        <f t="shared" si="499"/>
        <v>-5.031446540880502E-2</v>
      </c>
      <c r="AQ96" s="117">
        <f t="shared" si="500"/>
        <v>-1.5452538631346546E-2</v>
      </c>
      <c r="AR96" s="117">
        <f t="shared" si="501"/>
        <v>1.3452914798206317E-2</v>
      </c>
      <c r="AS96" s="117">
        <f t="shared" si="502"/>
        <v>2.433628318584069E-2</v>
      </c>
      <c r="AT96" s="117">
        <f t="shared" si="503"/>
        <v>8.6393088552916275E-3</v>
      </c>
      <c r="AU96" s="117">
        <f t="shared" si="504"/>
        <v>2.9978586723768741E-2</v>
      </c>
      <c r="AV96" s="117">
        <f t="shared" si="505"/>
        <v>-2.7027027027026973E-2</v>
      </c>
      <c r="AW96" s="117">
        <f t="shared" si="506"/>
        <v>-1.0683760683760646E-2</v>
      </c>
      <c r="AX96" s="117">
        <f t="shared" si="507"/>
        <v>-1.295896328293733E-2</v>
      </c>
      <c r="AY96" s="117">
        <f t="shared" si="508"/>
        <v>-1.6291028446389522E-2</v>
      </c>
      <c r="AZ96" s="117">
        <f t="shared" si="509"/>
        <v>2.4999999999999911E-2</v>
      </c>
      <c r="BA96" s="117">
        <f t="shared" si="510"/>
        <v>2.0000000000000018E-2</v>
      </c>
      <c r="BB96" s="117"/>
      <c r="BC96" s="117"/>
      <c r="BD96" s="117"/>
      <c r="BE96" s="117"/>
      <c r="BF96" s="117"/>
      <c r="BG96" s="117"/>
      <c r="BH96" s="117"/>
      <c r="BI96" s="117"/>
      <c r="BJ96" s="117"/>
      <c r="BK96" s="117"/>
      <c r="BL96" s="117"/>
      <c r="BM96" s="117"/>
      <c r="BO96" s="116" t="s">
        <v>141</v>
      </c>
      <c r="BP96" s="117"/>
      <c r="BQ96" s="117"/>
      <c r="BR96" s="117"/>
      <c r="BS96" s="117"/>
      <c r="BT96" s="117"/>
      <c r="BV96" s="116" t="s">
        <v>141</v>
      </c>
      <c r="BW96" s="117">
        <f t="shared" si="511"/>
        <v>0.19117647058823528</v>
      </c>
      <c r="BX96" s="117">
        <f t="shared" si="511"/>
        <v>-7.3529411764705843E-2</v>
      </c>
      <c r="BY96" s="117">
        <f t="shared" si="511"/>
        <v>-6.25E-2</v>
      </c>
      <c r="BZ96" s="117">
        <f t="shared" si="511"/>
        <v>-6.3291139240506333E-2</v>
      </c>
      <c r="CA96" s="117">
        <f t="shared" si="511"/>
        <v>-3.5842293906810374E-3</v>
      </c>
      <c r="CC96" s="116" t="s">
        <v>141</v>
      </c>
      <c r="CD96" s="117">
        <f t="shared" si="512"/>
        <v>-0.11111111111111116</v>
      </c>
      <c r="CE96" s="117">
        <f t="shared" si="512"/>
        <v>-4.7619047619047672E-2</v>
      </c>
      <c r="CF96" s="117">
        <f t="shared" si="512"/>
        <v>6.6666666666666652E-2</v>
      </c>
      <c r="CG96" s="117">
        <f t="shared" si="512"/>
        <v>-9.4594594594594628E-2</v>
      </c>
      <c r="CH96" s="117">
        <f t="shared" si="512"/>
        <v>-5.3956834532374098E-2</v>
      </c>
      <c r="CJ96" s="116" t="s">
        <v>141</v>
      </c>
      <c r="CK96" s="117">
        <f t="shared" si="513"/>
        <v>-0.11111111111111116</v>
      </c>
      <c r="CL96" s="117">
        <f t="shared" si="513"/>
        <v>0</v>
      </c>
      <c r="CM96" s="117">
        <f t="shared" si="513"/>
        <v>-3.125E-2</v>
      </c>
      <c r="CN96" s="117">
        <f t="shared" si="513"/>
        <v>0.16417910447761197</v>
      </c>
      <c r="CO96" s="117">
        <f t="shared" si="513"/>
        <v>3.8022813688212143E-3</v>
      </c>
      <c r="CQ96" s="116" t="s">
        <v>141</v>
      </c>
      <c r="CR96" s="117">
        <f t="shared" si="514"/>
        <v>0.15625</v>
      </c>
      <c r="CS96" s="117">
        <f t="shared" si="514"/>
        <v>0.1333333333333333</v>
      </c>
      <c r="CT96" s="117">
        <f t="shared" si="514"/>
        <v>9.6774193548387011E-2</v>
      </c>
      <c r="CU96" s="117">
        <f t="shared" si="514"/>
        <v>-5.1282051282051322E-2</v>
      </c>
      <c r="CV96" s="117">
        <f t="shared" si="514"/>
        <v>7.575757575757569E-2</v>
      </c>
      <c r="CX96" s="116" t="s">
        <v>141</v>
      </c>
      <c r="CY96" s="117">
        <f t="shared" si="515"/>
        <v>-0.10810810810810811</v>
      </c>
      <c r="CZ96" s="117">
        <f t="shared" si="515"/>
        <v>-5.8823529411764719E-2</v>
      </c>
      <c r="DA96" s="117">
        <f t="shared" si="515"/>
        <v>-0.1470588235294118</v>
      </c>
      <c r="DB96" s="117">
        <f t="shared" si="515"/>
        <v>1.3513513513513598E-2</v>
      </c>
      <c r="DC96" s="117">
        <f t="shared" si="515"/>
        <v>-7.3943661971830998E-2</v>
      </c>
      <c r="DE96" s="116" t="s">
        <v>141</v>
      </c>
      <c r="DF96" s="117">
        <f t="shared" si="516"/>
        <v>9.0909090909090828E-2</v>
      </c>
      <c r="DG96" s="117">
        <f t="shared" si="516"/>
        <v>9.375E-2</v>
      </c>
      <c r="DH96" s="117">
        <f t="shared" si="516"/>
        <v>0.1206896551724137</v>
      </c>
      <c r="DI96" s="117">
        <f t="shared" si="516"/>
        <v>-2.6666666666666616E-2</v>
      </c>
      <c r="DJ96" s="117">
        <f t="shared" si="516"/>
        <v>6.4638783269961975E-2</v>
      </c>
      <c r="DL96" s="116" t="s">
        <v>141</v>
      </c>
      <c r="DM96" s="117">
        <f t="shared" si="517"/>
        <v>2.7777777777777679E-2</v>
      </c>
      <c r="DN96" s="117">
        <f t="shared" si="517"/>
        <v>-7.1428571428571397E-2</v>
      </c>
      <c r="DO96" s="117">
        <f t="shared" si="517"/>
        <v>-0.16923076923076918</v>
      </c>
      <c r="DP96" s="117">
        <f t="shared" si="517"/>
        <v>-9.589041095890416E-2</v>
      </c>
      <c r="DQ96" s="117">
        <f t="shared" si="517"/>
        <v>-7.4999999999999956E-2</v>
      </c>
      <c r="DS96" s="116" t="s">
        <v>141</v>
      </c>
      <c r="DT96" s="117">
        <f t="shared" si="518"/>
        <v>-6.7567567567567544E-2</v>
      </c>
      <c r="DU96" s="117">
        <f t="shared" si="518"/>
        <v>3.076923076923066E-2</v>
      </c>
      <c r="DV96" s="117">
        <f t="shared" si="518"/>
        <v>0.11111111111111116</v>
      </c>
      <c r="DW96" s="117">
        <f t="shared" si="518"/>
        <v>0.10606060606060597</v>
      </c>
      <c r="DX96" s="117">
        <f t="shared" si="518"/>
        <v>3.8610038610038533E-2</v>
      </c>
      <c r="DZ96" s="116" t="s">
        <v>141</v>
      </c>
      <c r="EA96" s="117">
        <f t="shared" si="519"/>
        <v>0</v>
      </c>
      <c r="EB96" s="117">
        <f t="shared" si="519"/>
        <v>0</v>
      </c>
      <c r="EC96" s="117">
        <f t="shared" si="519"/>
        <v>6.6666666666666652E-2</v>
      </c>
      <c r="ED96" s="117">
        <f t="shared" si="519"/>
        <v>5.4794520547945202E-2</v>
      </c>
      <c r="EE96" s="117">
        <f t="shared" si="519"/>
        <v>2.9739776951672958E-2</v>
      </c>
      <c r="EG96" s="116" t="s">
        <v>141</v>
      </c>
      <c r="EH96" s="117">
        <f t="shared" si="520"/>
        <v>0.10144927536231885</v>
      </c>
      <c r="EI96" s="117">
        <f t="shared" si="520"/>
        <v>8.9552238805970186E-2</v>
      </c>
      <c r="EJ96" s="117">
        <f t="shared" si="520"/>
        <v>0.3125</v>
      </c>
      <c r="EK96" s="117">
        <f t="shared" si="520"/>
        <v>0.20779220779220786</v>
      </c>
      <c r="EL96" s="117">
        <f t="shared" si="520"/>
        <v>0.17689530685920585</v>
      </c>
      <c r="EN96" s="116" t="s">
        <v>141</v>
      </c>
      <c r="EO96" s="117">
        <f t="shared" si="521"/>
        <v>0.5</v>
      </c>
      <c r="EP96" s="117">
        <f t="shared" si="521"/>
        <v>0.49315068493150682</v>
      </c>
      <c r="EQ96" s="117">
        <f t="shared" si="521"/>
        <v>0.30952380952380953</v>
      </c>
      <c r="ER96" s="117">
        <f t="shared" si="521"/>
        <v>0.29032258064516125</v>
      </c>
      <c r="ES96" s="117">
        <f t="shared" si="521"/>
        <v>0.38957055214723924</v>
      </c>
      <c r="EU96" s="116" t="s">
        <v>141</v>
      </c>
      <c r="EV96" s="117">
        <f t="shared" si="522"/>
        <v>8.7719298245614086E-2</v>
      </c>
      <c r="EW96" s="117">
        <f t="shared" si="522"/>
        <v>6.4220183486238591E-2</v>
      </c>
      <c r="EX96" s="117">
        <f t="shared" si="522"/>
        <v>9.0909090909090384E-3</v>
      </c>
      <c r="EY96" s="117">
        <f t="shared" si="522"/>
        <v>-3.3333333333333326E-2</v>
      </c>
      <c r="EZ96" s="117">
        <f t="shared" si="522"/>
        <v>3.0905077262693093E-2</v>
      </c>
      <c r="FB96" s="116" t="s">
        <v>141</v>
      </c>
      <c r="FC96" s="117">
        <f t="shared" si="523"/>
        <v>-7.2580645161290369E-2</v>
      </c>
      <c r="FD96" s="117">
        <f t="shared" si="523"/>
        <v>-5.1724137931034475E-2</v>
      </c>
      <c r="FE96" s="117">
        <f t="shared" si="523"/>
        <v>-1.8018018018018056E-2</v>
      </c>
      <c r="FF96" s="117">
        <f t="shared" si="523"/>
        <v>1.7241379310344751E-2</v>
      </c>
      <c r="FG96" s="117">
        <f t="shared" si="523"/>
        <v>-3.2119914346895095E-2</v>
      </c>
      <c r="FI96" s="116" t="s">
        <v>141</v>
      </c>
      <c r="FJ96" s="117">
        <f t="shared" si="524"/>
        <v>0</v>
      </c>
      <c r="FK96" s="117">
        <f t="shared" si="524"/>
        <v>0.3727272727272728</v>
      </c>
      <c r="FL96" s="117">
        <f t="shared" si="524"/>
        <v>0.3669724770642202</v>
      </c>
      <c r="FM96" s="117">
        <f t="shared" si="524"/>
        <v>0.32203389830508478</v>
      </c>
      <c r="FN96" s="117">
        <f t="shared" si="524"/>
        <v>0.26327433628318575</v>
      </c>
      <c r="FP96" s="116" t="s">
        <v>141</v>
      </c>
      <c r="FQ96" s="117">
        <f t="shared" si="525"/>
        <v>0.31304347826086953</v>
      </c>
      <c r="FR96" s="117">
        <f t="shared" si="525"/>
        <v>-6.6225165562914245E-3</v>
      </c>
      <c r="FS96" s="117">
        <f t="shared" si="525"/>
        <v>-5.3691275167785268E-2</v>
      </c>
      <c r="FT96" s="117">
        <f t="shared" si="525"/>
        <v>1.9230769230769162E-2</v>
      </c>
      <c r="FU96" s="117">
        <f t="shared" si="525"/>
        <v>5.2539404553415103E-2</v>
      </c>
      <c r="FW96" s="116" t="s">
        <v>141</v>
      </c>
      <c r="FX96" s="117">
        <f t="shared" si="526"/>
        <v>2.6490066225165476E-2</v>
      </c>
      <c r="FY96" s="117">
        <f t="shared" si="526"/>
        <v>0</v>
      </c>
      <c r="FZ96" s="117">
        <f t="shared" si="526"/>
        <v>6.3829787234042534E-2</v>
      </c>
      <c r="GA96" s="117">
        <f t="shared" si="526"/>
        <v>-5.031446540880502E-2</v>
      </c>
      <c r="GB96" s="117">
        <f t="shared" si="526"/>
        <v>8.3194675540765317E-3</v>
      </c>
      <c r="GD96" s="116" t="s">
        <v>141</v>
      </c>
      <c r="GE96" s="117">
        <f t="shared" si="527"/>
        <v>3.2258064516129004E-2</v>
      </c>
      <c r="GF96" s="117">
        <f t="shared" si="527"/>
        <v>6.0000000000000053E-2</v>
      </c>
      <c r="GG96" s="117">
        <f t="shared" si="527"/>
        <v>8.666666666666667E-2</v>
      </c>
      <c r="GH96" s="117">
        <f t="shared" si="527"/>
        <v>5.9602649006622599E-2</v>
      </c>
      <c r="GI96" s="117">
        <f t="shared" si="527"/>
        <v>5.9405940594059459E-2</v>
      </c>
      <c r="GK96" s="116" t="s">
        <v>141</v>
      </c>
      <c r="GL96" s="117">
        <f t="shared" si="528"/>
        <v>-0.21250000000000002</v>
      </c>
      <c r="GM96" s="117">
        <f t="shared" si="528"/>
        <v>-0.15723270440251569</v>
      </c>
      <c r="GN96" s="117">
        <f t="shared" si="528"/>
        <v>-0.2024539877300614</v>
      </c>
      <c r="GO96" s="117">
        <f t="shared" si="528"/>
        <v>-0.13749999999999996</v>
      </c>
      <c r="GP96" s="117">
        <f t="shared" si="528"/>
        <v>-0.17757009345794394</v>
      </c>
      <c r="GR96" s="116" t="s">
        <v>141</v>
      </c>
      <c r="GS96" s="117">
        <f t="shared" si="529"/>
        <v>7.9365079365079305E-2</v>
      </c>
      <c r="GT96" s="117">
        <f t="shared" si="529"/>
        <v>1.4925373134328401E-2</v>
      </c>
      <c r="GU96" s="117">
        <f t="shared" si="529"/>
        <v>2.3076923076922995E-2</v>
      </c>
      <c r="GV96" s="117">
        <f t="shared" si="529"/>
        <v>-1.4492753623188359E-2</v>
      </c>
      <c r="GW96" s="117">
        <f t="shared" si="529"/>
        <v>2.4621212121212155E-2</v>
      </c>
      <c r="GY96" s="116" t="s">
        <v>141</v>
      </c>
      <c r="GZ96" s="117">
        <f t="shared" si="530"/>
        <v>-1.4705882352941124E-2</v>
      </c>
      <c r="HA96" s="117">
        <f t="shared" si="530"/>
        <v>-3.6764705882352922E-2</v>
      </c>
      <c r="HB96" s="117">
        <f t="shared" si="530"/>
        <v>-4.5112781954887216E-2</v>
      </c>
      <c r="HC96" s="117">
        <f t="shared" si="530"/>
        <v>0</v>
      </c>
      <c r="HD96" s="117">
        <f t="shared" si="530"/>
        <v>-2.4029574861367808E-2</v>
      </c>
      <c r="HF96" s="116" t="s">
        <v>141</v>
      </c>
      <c r="HG96" s="117">
        <f t="shared" si="531"/>
        <v>3.7313432835820892E-2</v>
      </c>
      <c r="HH96" s="117">
        <f t="shared" si="531"/>
        <v>7.6335877862594437E-3</v>
      </c>
      <c r="HI96" s="117">
        <f t="shared" si="531"/>
        <v>2.3622047244094446E-2</v>
      </c>
      <c r="HJ96" s="117">
        <f t="shared" si="531"/>
        <v>8.0882352941176405E-2</v>
      </c>
      <c r="HK96" s="117">
        <f t="shared" si="531"/>
        <v>3.7878787878787845E-2</v>
      </c>
      <c r="HM96" s="116" t="s">
        <v>141</v>
      </c>
      <c r="HN96" s="117">
        <f t="shared" si="532"/>
        <v>-3.5971223021582732E-2</v>
      </c>
      <c r="HO96" s="117">
        <f t="shared" si="532"/>
        <v>3.0303030303030276E-2</v>
      </c>
      <c r="HP96" s="117">
        <f t="shared" si="532"/>
        <v>-7.6923076923076872E-2</v>
      </c>
      <c r="HQ96" s="117">
        <f t="shared" si="532"/>
        <v>-8.1632653061224469E-2</v>
      </c>
      <c r="HR96" s="117">
        <f t="shared" si="532"/>
        <v>-4.1970802919708006E-2</v>
      </c>
      <c r="HT96" s="116" t="s">
        <v>141</v>
      </c>
      <c r="HU96" s="117">
        <f t="shared" si="533"/>
        <v>-7.4626865671642006E-3</v>
      </c>
      <c r="HV96" s="117">
        <f t="shared" si="533"/>
        <v>-7.3529411764705843E-2</v>
      </c>
      <c r="HW96" s="117">
        <f t="shared" si="533"/>
        <v>-5.8333333333333348E-2</v>
      </c>
      <c r="HX96" s="117">
        <f t="shared" si="533"/>
        <v>-9.6296296296296324E-2</v>
      </c>
      <c r="HY96" s="117">
        <f t="shared" si="533"/>
        <v>-5.9047619047619015E-2</v>
      </c>
      <c r="IA96" s="116" t="s">
        <v>141</v>
      </c>
      <c r="IB96" s="117">
        <f t="shared" si="534"/>
        <v>-0.10526315789473684</v>
      </c>
      <c r="IC96" s="117">
        <f t="shared" si="534"/>
        <v>-4.7619047619047672E-2</v>
      </c>
      <c r="ID96" s="117">
        <f t="shared" si="534"/>
        <v>-2.6548672566371723E-2</v>
      </c>
      <c r="IE96" s="117">
        <f t="shared" si="534"/>
        <v>0.12295081967213117</v>
      </c>
      <c r="IF96" s="117">
        <f t="shared" si="534"/>
        <v>-1.619433198380571E-2</v>
      </c>
      <c r="IH96" s="116" t="s">
        <v>141</v>
      </c>
      <c r="II96" s="117">
        <f t="shared" si="535"/>
        <v>8.4033613445378075E-2</v>
      </c>
      <c r="IJ96" s="117">
        <f t="shared" si="535"/>
        <v>8.3333333333333259E-2</v>
      </c>
      <c r="IK96" s="117">
        <f t="shared" si="535"/>
        <v>0.10000000000000009</v>
      </c>
      <c r="IL96" s="117">
        <f t="shared" si="535"/>
        <v>-2.9197080291970767E-2</v>
      </c>
      <c r="IM96" s="117">
        <f t="shared" si="535"/>
        <v>5.555555555555558E-2</v>
      </c>
      <c r="IO96" s="116" t="s">
        <v>141</v>
      </c>
      <c r="IP96" s="117">
        <f t="shared" si="536"/>
        <v>2.3255813953488413E-2</v>
      </c>
      <c r="IQ96" s="117">
        <f t="shared" si="536"/>
        <v>-3.8461538461538436E-2</v>
      </c>
      <c r="IR96" s="117">
        <f t="shared" si="536"/>
        <v>0</v>
      </c>
      <c r="IS96" s="117">
        <f t="shared" si="536"/>
        <v>-6.0150375939849621E-2</v>
      </c>
      <c r="IT96" s="117">
        <f t="shared" si="536"/>
        <v>-1.9493177387914229E-2</v>
      </c>
      <c r="IV96" s="116" t="s">
        <v>141</v>
      </c>
      <c r="IW96" s="117">
        <f t="shared" si="537"/>
        <v>-8.333333333333337E-2</v>
      </c>
      <c r="IX96" s="117">
        <f t="shared" si="537"/>
        <v>-7.1999999999999953E-2</v>
      </c>
      <c r="IY96" s="117">
        <f t="shared" si="537"/>
        <v>-9.9173553719008267E-2</v>
      </c>
      <c r="IZ96" s="117">
        <f t="shared" si="537"/>
        <v>4.8000000000000043E-2</v>
      </c>
      <c r="JA96" s="117">
        <f t="shared" si="537"/>
        <v>-5.1689860834990053E-2</v>
      </c>
      <c r="JC96" s="116" t="s">
        <v>141</v>
      </c>
      <c r="JD96" s="117">
        <f t="shared" si="538"/>
        <v>0</v>
      </c>
      <c r="JE96" s="117">
        <f t="shared" si="538"/>
        <v>-1.7241379310344862E-2</v>
      </c>
      <c r="JF96" s="117">
        <f t="shared" si="538"/>
        <v>-3.669724770642202E-2</v>
      </c>
      <c r="JG96" s="117">
        <f t="shared" si="538"/>
        <v>-0.13740458015267176</v>
      </c>
      <c r="JH96" s="117">
        <f t="shared" si="538"/>
        <v>-5.031446540880502E-2</v>
      </c>
      <c r="JJ96" s="116" t="s">
        <v>141</v>
      </c>
      <c r="JK96" s="117">
        <f t="shared" si="539"/>
        <v>-0.11570247933884292</v>
      </c>
      <c r="JL96" s="117">
        <f t="shared" si="539"/>
        <v>-1.7543859649122862E-2</v>
      </c>
      <c r="JM96" s="117">
        <f t="shared" si="539"/>
        <v>5.7142857142857162E-2</v>
      </c>
      <c r="JN96" s="117">
        <f t="shared" si="539"/>
        <v>2.6548672566371723E-2</v>
      </c>
      <c r="JO96" s="117">
        <f t="shared" si="539"/>
        <v>-1.5452538631346546E-2</v>
      </c>
      <c r="JQ96" s="116" t="s">
        <v>141</v>
      </c>
      <c r="JR96" s="117">
        <f t="shared" si="540"/>
        <v>6.5420560747663448E-2</v>
      </c>
      <c r="JS96" s="117">
        <f t="shared" si="540"/>
        <v>5.3571428571428603E-2</v>
      </c>
      <c r="JT96" s="117">
        <f t="shared" si="540"/>
        <v>-9.009009009009028E-3</v>
      </c>
      <c r="JU96" s="117">
        <f t="shared" si="540"/>
        <v>-5.1724137931034475E-2</v>
      </c>
      <c r="JV96" s="117">
        <f t="shared" si="540"/>
        <v>1.3452914798206317E-2</v>
      </c>
      <c r="JX96" s="116" t="s">
        <v>141</v>
      </c>
      <c r="JY96" s="117">
        <f t="shared" si="541"/>
        <v>6.1403508771929793E-2</v>
      </c>
      <c r="JZ96" s="117">
        <f t="shared" si="541"/>
        <v>-0.13559322033898302</v>
      </c>
      <c r="KA96" s="117">
        <f t="shared" si="541"/>
        <v>4.5454545454545414E-2</v>
      </c>
      <c r="KB96" s="117">
        <f t="shared" si="541"/>
        <v>0.13636363636363646</v>
      </c>
      <c r="KC96" s="117">
        <f t="shared" si="541"/>
        <v>2.433628318584069E-2</v>
      </c>
      <c r="KE96" s="116" t="s">
        <v>141</v>
      </c>
      <c r="KF96" s="117">
        <f t="shared" si="542"/>
        <v>-4.132231404958675E-2</v>
      </c>
      <c r="KG96" s="117">
        <f t="shared" si="542"/>
        <v>0.14705882352941169</v>
      </c>
      <c r="KH96" s="117">
        <f t="shared" si="542"/>
        <v>-5.2173913043478293E-2</v>
      </c>
      <c r="KI96" s="117">
        <f t="shared" si="542"/>
        <v>0</v>
      </c>
      <c r="KJ96" s="117">
        <f t="shared" si="542"/>
        <v>8.6393088552916275E-3</v>
      </c>
      <c r="KL96" s="116" t="s">
        <v>141</v>
      </c>
      <c r="KM96" s="117">
        <f t="shared" si="543"/>
        <v>1.7241379310344751E-2</v>
      </c>
      <c r="KN96" s="117">
        <f t="shared" si="543"/>
        <v>2.564102564102555E-2</v>
      </c>
      <c r="KO96" s="117">
        <f t="shared" si="543"/>
        <v>0.10091743119266061</v>
      </c>
      <c r="KP96" s="117">
        <f t="shared" si="543"/>
        <v>-1.6000000000000014E-2</v>
      </c>
      <c r="KQ96" s="117">
        <f t="shared" si="543"/>
        <v>2.9978586723768741E-2</v>
      </c>
      <c r="KS96" s="116" t="s">
        <v>141</v>
      </c>
      <c r="KT96" s="117">
        <f t="shared" si="544"/>
        <v>3.3898305084745672E-2</v>
      </c>
      <c r="KU96" s="117">
        <f t="shared" si="544"/>
        <v>-1.6666666666666718E-2</v>
      </c>
      <c r="KV96" s="117">
        <f t="shared" si="544"/>
        <v>-9.9999999999999978E-2</v>
      </c>
      <c r="KW96" s="117">
        <f t="shared" si="544"/>
        <v>-2.4390243902439046E-2</v>
      </c>
      <c r="KX96" s="117">
        <f t="shared" si="544"/>
        <v>-2.7027027027026973E-2</v>
      </c>
      <c r="KZ96" s="116" t="s">
        <v>141</v>
      </c>
      <c r="LA96" s="117">
        <f t="shared" ref="LA96:LE96" si="566">(LA70/KT70)-1</f>
        <v>-6.557377049180324E-2</v>
      </c>
      <c r="LB96" s="117">
        <f t="shared" si="566"/>
        <v>-2.5423728813559365E-2</v>
      </c>
      <c r="LC96" s="216">
        <f t="shared" si="566"/>
        <v>9.259259259259256E-2</v>
      </c>
      <c r="LD96" s="216">
        <f t="shared" si="566"/>
        <v>-3.3333333333333326E-2</v>
      </c>
      <c r="LE96" s="216">
        <f t="shared" si="566"/>
        <v>-1.0683760683760646E-2</v>
      </c>
      <c r="LF96" s="567"/>
      <c r="LG96" s="116" t="s">
        <v>141</v>
      </c>
      <c r="LH96" s="216">
        <f t="shared" si="546"/>
        <v>8.7719298245614308E-3</v>
      </c>
      <c r="LI96" s="216">
        <f t="shared" si="547"/>
        <v>1.7391304347825987E-2</v>
      </c>
      <c r="LJ96" s="216">
        <f t="shared" si="548"/>
        <v>-6.7796610169491567E-2</v>
      </c>
      <c r="LK96" s="216">
        <f t="shared" si="549"/>
        <v>-8.6206896551723755E-3</v>
      </c>
      <c r="LL96" s="216">
        <f t="shared" si="550"/>
        <v>-1.295896328293733E-2</v>
      </c>
      <c r="LM96" s="567"/>
      <c r="LN96" s="116" t="s">
        <v>141</v>
      </c>
      <c r="LO96" s="216">
        <f t="shared" si="551"/>
        <v>-1.5000000000000124E-2</v>
      </c>
      <c r="LP96" s="216">
        <f t="shared" si="552"/>
        <v>-3.5000000000000031E-2</v>
      </c>
      <c r="LQ96" s="216">
        <f t="shared" si="553"/>
        <v>-2.0000000000000018E-2</v>
      </c>
      <c r="LR96" s="216">
        <f t="shared" si="554"/>
        <v>4.9999999999998934E-3</v>
      </c>
      <c r="LS96" s="216">
        <f t="shared" si="555"/>
        <v>-1.6291028446389522E-2</v>
      </c>
      <c r="LT96" s="567"/>
      <c r="LU96" s="116" t="s">
        <v>141</v>
      </c>
      <c r="LV96" s="216">
        <f t="shared" si="556"/>
        <v>2.4999999999999911E-2</v>
      </c>
      <c r="LW96" s="216">
        <f t="shared" si="557"/>
        <v>2.4999999999999911E-2</v>
      </c>
      <c r="LX96" s="216">
        <f t="shared" si="558"/>
        <v>2.4999999999999911E-2</v>
      </c>
      <c r="LY96" s="216">
        <f t="shared" si="559"/>
        <v>2.4999999999999911E-2</v>
      </c>
      <c r="LZ96" s="216">
        <f t="shared" si="560"/>
        <v>2.4999999999999911E-2</v>
      </c>
      <c r="MA96" s="567"/>
      <c r="MB96" s="116" t="s">
        <v>141</v>
      </c>
      <c r="MC96" s="216">
        <f t="shared" si="561"/>
        <v>2.0000000000000018E-2</v>
      </c>
      <c r="MD96" s="216">
        <f t="shared" si="562"/>
        <v>2.0000000000000018E-2</v>
      </c>
      <c r="ME96" s="216">
        <f t="shared" si="563"/>
        <v>2.0000000000000018E-2</v>
      </c>
      <c r="MF96" s="216">
        <f t="shared" si="564"/>
        <v>2.0000000000000018E-2</v>
      </c>
      <c r="MG96" s="216">
        <f t="shared" si="565"/>
        <v>2.0000000000000018E-2</v>
      </c>
      <c r="MH96" s="567"/>
    </row>
    <row r="97" spans="1:346" s="37" customFormat="1" ht="13.15" x14ac:dyDescent="0.4">
      <c r="A97" s="100"/>
      <c r="B97" s="116" t="s">
        <v>33</v>
      </c>
      <c r="C97" s="117"/>
      <c r="D97" s="117"/>
      <c r="E97" s="117"/>
      <c r="F97" s="117"/>
      <c r="G97" s="117"/>
      <c r="H97" s="117"/>
      <c r="I97" s="117"/>
      <c r="J97" s="117"/>
      <c r="K97" s="117"/>
      <c r="L97" s="117"/>
      <c r="M97" s="117"/>
      <c r="N97" s="117">
        <f t="shared" si="471"/>
        <v>0</v>
      </c>
      <c r="O97" s="117">
        <f t="shared" si="472"/>
        <v>-7.8571428571428625E-2</v>
      </c>
      <c r="P97" s="117">
        <f t="shared" si="473"/>
        <v>2.7131782945736482E-2</v>
      </c>
      <c r="Q97" s="117">
        <f t="shared" si="474"/>
        <v>8.679245283018866E-2</v>
      </c>
      <c r="R97" s="117">
        <f t="shared" si="475"/>
        <v>0.13194444444444442</v>
      </c>
      <c r="S97" s="117">
        <f t="shared" si="476"/>
        <v>8.5889570552147187E-2</v>
      </c>
      <c r="T97" s="117">
        <f t="shared" si="477"/>
        <v>8.4745762711864181E-3</v>
      </c>
      <c r="U97" s="117">
        <f t="shared" si="478"/>
        <v>2.8011204481792618E-2</v>
      </c>
      <c r="V97" s="117">
        <f t="shared" si="479"/>
        <v>5.4495912806539426E-2</v>
      </c>
      <c r="W97" s="117">
        <f t="shared" si="480"/>
        <v>6.4599483204134334E-2</v>
      </c>
      <c r="X97" s="117">
        <f t="shared" si="481"/>
        <v>0.34223300970873782</v>
      </c>
      <c r="Y97" s="117">
        <f t="shared" si="482"/>
        <v>5.9674502712477429E-2</v>
      </c>
      <c r="Z97" s="117">
        <f t="shared" si="483"/>
        <v>-0.11945392491467577</v>
      </c>
      <c r="AA97" s="117">
        <f t="shared" si="484"/>
        <v>4.2635658914728758E-2</v>
      </c>
      <c r="AB97" s="117">
        <f t="shared" si="485"/>
        <v>-1.6728624535315983E-2</v>
      </c>
      <c r="AC97" s="117">
        <f t="shared" si="486"/>
        <v>-4.1587901701323204E-2</v>
      </c>
      <c r="AD97" s="117">
        <f t="shared" si="487"/>
        <v>-3.7475345167652829E-2</v>
      </c>
      <c r="AE97" s="117">
        <f t="shared" si="488"/>
        <v>-5.1229508196721341E-2</v>
      </c>
      <c r="AF97" s="117">
        <f t="shared" si="489"/>
        <v>-5.1835853131749432E-2</v>
      </c>
      <c r="AG97" s="117">
        <f t="shared" si="490"/>
        <v>-0.21867881548974943</v>
      </c>
      <c r="AH97" s="117">
        <f t="shared" si="491"/>
        <v>-0.31778425655976672</v>
      </c>
      <c r="AI97" s="117">
        <f t="shared" si="492"/>
        <v>0.45299145299145294</v>
      </c>
      <c r="AJ97" s="117">
        <f t="shared" si="493"/>
        <v>6.1764705882352944E-2</v>
      </c>
      <c r="AK97" s="117">
        <f t="shared" si="494"/>
        <v>0.17728531855955687</v>
      </c>
      <c r="AL97" s="117">
        <f t="shared" si="495"/>
        <v>1.6470588235294015E-2</v>
      </c>
      <c r="AM97" s="117">
        <f t="shared" si="496"/>
        <v>6.9444444444444198E-3</v>
      </c>
      <c r="AN97" s="117">
        <f t="shared" si="497"/>
        <v>3.4482758620689724E-2</v>
      </c>
      <c r="AO97" s="117">
        <f t="shared" si="498"/>
        <v>7.1111111111111125E-2</v>
      </c>
      <c r="AP97" s="117">
        <f t="shared" si="499"/>
        <v>-4.9792531120331995E-2</v>
      </c>
      <c r="AQ97" s="117">
        <f t="shared" si="500"/>
        <v>1.3100436681222627E-2</v>
      </c>
      <c r="AR97" s="117">
        <f t="shared" si="501"/>
        <v>1.93965517241379E-2</v>
      </c>
      <c r="AS97" s="117">
        <f t="shared" si="502"/>
        <v>-0.27272727272727271</v>
      </c>
      <c r="AT97" s="117">
        <f t="shared" si="503"/>
        <v>-7.5581395348837233E-2</v>
      </c>
      <c r="AU97" s="117">
        <f t="shared" si="504"/>
        <v>6.2893081761006275E-2</v>
      </c>
      <c r="AV97" s="117">
        <f t="shared" si="505"/>
        <v>0.14792899408284033</v>
      </c>
      <c r="AW97" s="117">
        <f t="shared" si="506"/>
        <v>1.2886597938144284E-2</v>
      </c>
      <c r="AX97" s="117">
        <f t="shared" si="507"/>
        <v>-3.30788804071247E-2</v>
      </c>
      <c r="AY97" s="117">
        <f t="shared" si="508"/>
        <v>-2.0749999999999935E-2</v>
      </c>
      <c r="AZ97" s="117">
        <f t="shared" si="509"/>
        <v>2.9999999999999805E-2</v>
      </c>
      <c r="BA97" s="117">
        <f t="shared" si="510"/>
        <v>3.0000000000000027E-2</v>
      </c>
      <c r="BB97" s="117"/>
      <c r="BC97" s="117"/>
      <c r="BD97" s="117"/>
      <c r="BE97" s="117"/>
      <c r="BF97" s="117"/>
      <c r="BG97" s="117"/>
      <c r="BH97" s="117"/>
      <c r="BI97" s="117"/>
      <c r="BJ97" s="117"/>
      <c r="BK97" s="117"/>
      <c r="BL97" s="117"/>
      <c r="BM97" s="117"/>
      <c r="BO97" s="116" t="s">
        <v>33</v>
      </c>
      <c r="BP97" s="117"/>
      <c r="BQ97" s="117"/>
      <c r="BR97" s="117"/>
      <c r="BS97" s="117"/>
      <c r="BT97" s="117"/>
      <c r="BV97" s="116" t="s">
        <v>33</v>
      </c>
      <c r="BW97" s="117">
        <f t="shared" si="511"/>
        <v>-0.23684210526315785</v>
      </c>
      <c r="BX97" s="117">
        <f t="shared" si="511"/>
        <v>-7.5949367088607556E-2</v>
      </c>
      <c r="BY97" s="117">
        <f t="shared" si="511"/>
        <v>6.8965517241379226E-2</v>
      </c>
      <c r="BZ97" s="117">
        <f t="shared" si="511"/>
        <v>-2.9850746268656692E-2</v>
      </c>
      <c r="CA97" s="117">
        <f t="shared" si="511"/>
        <v>-7.8571428571428625E-2</v>
      </c>
      <c r="CC97" s="116" t="s">
        <v>33</v>
      </c>
      <c r="CD97" s="117">
        <f t="shared" si="512"/>
        <v>0</v>
      </c>
      <c r="CE97" s="117">
        <f t="shared" si="512"/>
        <v>-2.7397260273972601E-2</v>
      </c>
      <c r="CF97" s="117">
        <f t="shared" si="512"/>
        <v>-1.6129032258064502E-2</v>
      </c>
      <c r="CG97" s="117">
        <f t="shared" si="512"/>
        <v>0.15384615384615374</v>
      </c>
      <c r="CH97" s="117">
        <f t="shared" si="512"/>
        <v>2.7131782945736482E-2</v>
      </c>
      <c r="CJ97" s="116" t="s">
        <v>33</v>
      </c>
      <c r="CK97" s="117">
        <f t="shared" si="513"/>
        <v>0.22413793103448265</v>
      </c>
      <c r="CL97" s="117">
        <f t="shared" si="513"/>
        <v>8.4507042253521236E-2</v>
      </c>
      <c r="CM97" s="117">
        <f t="shared" si="513"/>
        <v>1.6393442622950838E-2</v>
      </c>
      <c r="CN97" s="117">
        <f t="shared" si="513"/>
        <v>4.0000000000000036E-2</v>
      </c>
      <c r="CO97" s="117">
        <f t="shared" si="513"/>
        <v>8.679245283018866E-2</v>
      </c>
      <c r="CQ97" s="116" t="s">
        <v>33</v>
      </c>
      <c r="CR97" s="117">
        <f t="shared" si="514"/>
        <v>0.12676056338028174</v>
      </c>
      <c r="CS97" s="117">
        <f t="shared" si="514"/>
        <v>0.11688311688311681</v>
      </c>
      <c r="CT97" s="117">
        <f t="shared" si="514"/>
        <v>9.6774193548387011E-2</v>
      </c>
      <c r="CU97" s="117">
        <f t="shared" si="514"/>
        <v>0.17948717948717952</v>
      </c>
      <c r="CV97" s="117">
        <f t="shared" si="514"/>
        <v>0.13194444444444442</v>
      </c>
      <c r="CX97" s="116" t="s">
        <v>33</v>
      </c>
      <c r="CY97" s="117">
        <f t="shared" si="515"/>
        <v>0.13749999999999996</v>
      </c>
      <c r="CZ97" s="117">
        <f t="shared" si="515"/>
        <v>0.12790697674418605</v>
      </c>
      <c r="DA97" s="117">
        <f t="shared" si="515"/>
        <v>0.11764705882352944</v>
      </c>
      <c r="DB97" s="117">
        <f t="shared" si="515"/>
        <v>-2.1739130434782594E-2</v>
      </c>
      <c r="DC97" s="117">
        <f t="shared" si="515"/>
        <v>8.5889570552147187E-2</v>
      </c>
      <c r="DE97" s="116" t="s">
        <v>33</v>
      </c>
      <c r="DF97" s="117">
        <f t="shared" si="516"/>
        <v>0</v>
      </c>
      <c r="DG97" s="117">
        <f t="shared" si="516"/>
        <v>-6.1855670103092786E-2</v>
      </c>
      <c r="DH97" s="117">
        <f t="shared" si="516"/>
        <v>2.6315789473684292E-2</v>
      </c>
      <c r="DI97" s="117">
        <f t="shared" si="516"/>
        <v>7.7777777777777724E-2</v>
      </c>
      <c r="DJ97" s="117">
        <f t="shared" si="516"/>
        <v>8.4745762711864181E-3</v>
      </c>
      <c r="DL97" s="116" t="s">
        <v>33</v>
      </c>
      <c r="DM97" s="117">
        <f t="shared" si="517"/>
        <v>-5.4945054945054972E-2</v>
      </c>
      <c r="DN97" s="117">
        <f t="shared" si="517"/>
        <v>9.8901098901098994E-2</v>
      </c>
      <c r="DO97" s="117">
        <f t="shared" si="517"/>
        <v>0.11538461538461542</v>
      </c>
      <c r="DP97" s="117">
        <f t="shared" si="517"/>
        <v>-3.0927835051546393E-2</v>
      </c>
      <c r="DQ97" s="117">
        <f t="shared" si="517"/>
        <v>2.8011204481792618E-2</v>
      </c>
      <c r="DS97" s="116" t="s">
        <v>33</v>
      </c>
      <c r="DT97" s="117">
        <f t="shared" si="518"/>
        <v>0.13953488372093026</v>
      </c>
      <c r="DU97" s="117">
        <f t="shared" si="518"/>
        <v>2.0000000000000018E-2</v>
      </c>
      <c r="DV97" s="117">
        <f t="shared" si="518"/>
        <v>-2.2988505747126409E-2</v>
      </c>
      <c r="DW97" s="117">
        <f t="shared" si="518"/>
        <v>8.5106382978723305E-2</v>
      </c>
      <c r="DX97" s="117">
        <f t="shared" si="518"/>
        <v>5.4495912806539426E-2</v>
      </c>
      <c r="DZ97" s="116" t="s">
        <v>33</v>
      </c>
      <c r="EA97" s="117">
        <f t="shared" si="519"/>
        <v>0</v>
      </c>
      <c r="EB97" s="117">
        <f t="shared" si="519"/>
        <v>5.8823529411764719E-2</v>
      </c>
      <c r="EC97" s="117">
        <f t="shared" si="519"/>
        <v>2.3529411764705799E-2</v>
      </c>
      <c r="ED97" s="117">
        <f t="shared" si="519"/>
        <v>0.16666666666666674</v>
      </c>
      <c r="EE97" s="117">
        <f t="shared" si="519"/>
        <v>6.4599483204134334E-2</v>
      </c>
      <c r="EG97" s="116" t="s">
        <v>33</v>
      </c>
      <c r="EH97" s="117">
        <f t="shared" si="520"/>
        <v>0.21428571428571419</v>
      </c>
      <c r="EI97" s="117">
        <f t="shared" si="520"/>
        <v>0.22222222222222232</v>
      </c>
      <c r="EJ97" s="117">
        <f t="shared" si="520"/>
        <v>0.66666666666666674</v>
      </c>
      <c r="EK97" s="117">
        <f t="shared" si="520"/>
        <v>0.31932773109243695</v>
      </c>
      <c r="EL97" s="117">
        <f t="shared" si="520"/>
        <v>0.34223300970873782</v>
      </c>
      <c r="EN97" s="116" t="s">
        <v>33</v>
      </c>
      <c r="EO97" s="117">
        <f t="shared" si="521"/>
        <v>0.32773109243697474</v>
      </c>
      <c r="EP97" s="117">
        <f t="shared" si="521"/>
        <v>0.19696969696969702</v>
      </c>
      <c r="EQ97" s="117">
        <f t="shared" si="521"/>
        <v>-8.9655172413793061E-2</v>
      </c>
      <c r="ER97" s="117">
        <f t="shared" si="521"/>
        <v>-0.12101910828025475</v>
      </c>
      <c r="ES97" s="117">
        <f t="shared" si="521"/>
        <v>5.9674502712477429E-2</v>
      </c>
      <c r="EU97" s="116" t="s">
        <v>33</v>
      </c>
      <c r="EV97" s="117">
        <f t="shared" si="522"/>
        <v>-0.19620253164556967</v>
      </c>
      <c r="EW97" s="117">
        <f t="shared" si="522"/>
        <v>-0.120253164556962</v>
      </c>
      <c r="EX97" s="117">
        <f t="shared" si="522"/>
        <v>-9.8484848484848508E-2</v>
      </c>
      <c r="EY97" s="117">
        <f t="shared" si="522"/>
        <v>-5.0724637681159424E-2</v>
      </c>
      <c r="EZ97" s="117">
        <f t="shared" si="522"/>
        <v>-0.11945392491467577</v>
      </c>
      <c r="FB97" s="116" t="s">
        <v>33</v>
      </c>
      <c r="FC97" s="117">
        <f t="shared" si="523"/>
        <v>1.5748031496062964E-2</v>
      </c>
      <c r="FD97" s="117">
        <f t="shared" si="523"/>
        <v>6.4748201438848962E-2</v>
      </c>
      <c r="FE97" s="117">
        <f t="shared" si="523"/>
        <v>4.2016806722689148E-2</v>
      </c>
      <c r="FF97" s="117">
        <f t="shared" si="523"/>
        <v>4.5801526717557328E-2</v>
      </c>
      <c r="FG97" s="117">
        <f t="shared" si="523"/>
        <v>4.2635658914728758E-2</v>
      </c>
      <c r="FI97" s="116" t="s">
        <v>33</v>
      </c>
      <c r="FJ97" s="117">
        <f t="shared" si="524"/>
        <v>1.5503875968992276E-2</v>
      </c>
      <c r="FK97" s="117">
        <f t="shared" si="524"/>
        <v>-6.0810810810810856E-2</v>
      </c>
      <c r="FL97" s="117">
        <f t="shared" si="524"/>
        <v>-3.2258064516129004E-2</v>
      </c>
      <c r="FM97" s="117">
        <f t="shared" si="524"/>
        <v>1.4598540145985384E-2</v>
      </c>
      <c r="FN97" s="117">
        <f t="shared" si="524"/>
        <v>-1.6728624535315983E-2</v>
      </c>
      <c r="FP97" s="116" t="s">
        <v>33</v>
      </c>
      <c r="FQ97" s="117">
        <f t="shared" si="525"/>
        <v>-4.5801526717557217E-2</v>
      </c>
      <c r="FR97" s="117">
        <f t="shared" si="525"/>
        <v>-2.877697841726623E-2</v>
      </c>
      <c r="FS97" s="117">
        <f t="shared" si="525"/>
        <v>-6.6666666666666652E-2</v>
      </c>
      <c r="FT97" s="117">
        <f t="shared" si="525"/>
        <v>-2.877697841726623E-2</v>
      </c>
      <c r="FU97" s="117">
        <f t="shared" si="525"/>
        <v>-4.1587901701323204E-2</v>
      </c>
      <c r="FW97" s="116" t="s">
        <v>33</v>
      </c>
      <c r="FX97" s="117">
        <f t="shared" si="526"/>
        <v>0</v>
      </c>
      <c r="FY97" s="117">
        <f t="shared" si="526"/>
        <v>-8.1481481481481488E-2</v>
      </c>
      <c r="FZ97" s="117">
        <f t="shared" si="526"/>
        <v>1.7857142857142794E-2</v>
      </c>
      <c r="GA97" s="117">
        <f t="shared" si="526"/>
        <v>-7.407407407407407E-2</v>
      </c>
      <c r="GB97" s="117">
        <f t="shared" si="526"/>
        <v>-3.7475345167652829E-2</v>
      </c>
      <c r="GD97" s="116" t="s">
        <v>33</v>
      </c>
      <c r="GE97" s="117">
        <f t="shared" si="527"/>
        <v>1.6000000000000014E-2</v>
      </c>
      <c r="GF97" s="117">
        <f t="shared" si="527"/>
        <v>0</v>
      </c>
      <c r="GG97" s="117">
        <f t="shared" si="527"/>
        <v>-0.1228070175438597</v>
      </c>
      <c r="GH97" s="117">
        <f t="shared" si="527"/>
        <v>-0.10399999999999998</v>
      </c>
      <c r="GI97" s="117">
        <f t="shared" si="527"/>
        <v>-5.1229508196721341E-2</v>
      </c>
      <c r="GK97" s="116" t="s">
        <v>33</v>
      </c>
      <c r="GL97" s="117">
        <f t="shared" si="528"/>
        <v>-0.1417322834645669</v>
      </c>
      <c r="GM97" s="117">
        <f t="shared" si="528"/>
        <v>-4.0322580645161255E-2</v>
      </c>
      <c r="GN97" s="117">
        <f t="shared" si="528"/>
        <v>2.0000000000000018E-2</v>
      </c>
      <c r="GO97" s="117">
        <f t="shared" si="528"/>
        <v>-2.6785714285714302E-2</v>
      </c>
      <c r="GP97" s="117">
        <f t="shared" si="528"/>
        <v>-5.1835853131749432E-2</v>
      </c>
      <c r="GR97" s="116" t="s">
        <v>33</v>
      </c>
      <c r="GS97" s="117">
        <f t="shared" si="529"/>
        <v>-0.11926605504587151</v>
      </c>
      <c r="GT97" s="117">
        <f t="shared" si="529"/>
        <v>-0.22689075630252098</v>
      </c>
      <c r="GU97" s="117">
        <f t="shared" si="529"/>
        <v>-0.22549019607843135</v>
      </c>
      <c r="GV97" s="117">
        <f t="shared" si="529"/>
        <v>-0.30275229357798161</v>
      </c>
      <c r="GW97" s="117">
        <f t="shared" si="529"/>
        <v>-0.21867881548974943</v>
      </c>
      <c r="GY97" s="116" t="s">
        <v>33</v>
      </c>
      <c r="GZ97" s="117">
        <f t="shared" si="530"/>
        <v>-0.53125</v>
      </c>
      <c r="HA97" s="117">
        <f t="shared" si="530"/>
        <v>-0.41304347826086951</v>
      </c>
      <c r="HB97" s="117">
        <f t="shared" si="530"/>
        <v>-0.27848101265822789</v>
      </c>
      <c r="HC97" s="117">
        <f t="shared" si="530"/>
        <v>2.6315789473684292E-2</v>
      </c>
      <c r="HD97" s="117">
        <f t="shared" si="530"/>
        <v>-0.31778425655976672</v>
      </c>
      <c r="HF97" s="116" t="s">
        <v>33</v>
      </c>
      <c r="HG97" s="117">
        <f t="shared" si="531"/>
        <v>0.64444444444444438</v>
      </c>
      <c r="HH97" s="117">
        <f t="shared" si="531"/>
        <v>0.62962962962962954</v>
      </c>
      <c r="HI97" s="117">
        <f t="shared" si="531"/>
        <v>0.43859649122807021</v>
      </c>
      <c r="HJ97" s="117">
        <f t="shared" si="531"/>
        <v>0.23076923076923084</v>
      </c>
      <c r="HK97" s="117">
        <f t="shared" si="531"/>
        <v>0.45299145299145294</v>
      </c>
      <c r="HM97" s="116" t="s">
        <v>33</v>
      </c>
      <c r="HN97" s="117">
        <f t="shared" si="532"/>
        <v>0.20270270270270263</v>
      </c>
      <c r="HO97" s="117">
        <f t="shared" si="532"/>
        <v>-1.1363636363636354E-2</v>
      </c>
      <c r="HP97" s="117">
        <f t="shared" si="532"/>
        <v>4.8780487804878092E-2</v>
      </c>
      <c r="HQ97" s="117">
        <f t="shared" si="532"/>
        <v>3.125E-2</v>
      </c>
      <c r="HR97" s="117">
        <f t="shared" si="532"/>
        <v>6.1764705882352944E-2</v>
      </c>
      <c r="HT97" s="116" t="s">
        <v>33</v>
      </c>
      <c r="HU97" s="117">
        <f t="shared" si="533"/>
        <v>0.1797752808988764</v>
      </c>
      <c r="HV97" s="117">
        <f t="shared" si="533"/>
        <v>0.27586206896551735</v>
      </c>
      <c r="HW97" s="117">
        <f t="shared" si="533"/>
        <v>0.16279069767441867</v>
      </c>
      <c r="HX97" s="117">
        <f t="shared" si="533"/>
        <v>0.10101010101010099</v>
      </c>
      <c r="HY97" s="117">
        <f t="shared" si="533"/>
        <v>0.17728531855955687</v>
      </c>
      <c r="IA97" s="116" t="s">
        <v>33</v>
      </c>
      <c r="IB97" s="117">
        <f t="shared" si="534"/>
        <v>0</v>
      </c>
      <c r="IC97" s="117">
        <f t="shared" si="534"/>
        <v>1.8018018018018056E-2</v>
      </c>
      <c r="ID97" s="117">
        <f t="shared" si="534"/>
        <v>1.0000000000000009E-2</v>
      </c>
      <c r="IE97" s="117">
        <f t="shared" si="534"/>
        <v>3.669724770642202E-2</v>
      </c>
      <c r="IF97" s="117">
        <f t="shared" si="534"/>
        <v>1.6470588235294015E-2</v>
      </c>
      <c r="IH97" s="116" t="s">
        <v>33</v>
      </c>
      <c r="II97" s="117">
        <f t="shared" si="535"/>
        <v>-6.6666666666666652E-2</v>
      </c>
      <c r="IJ97" s="117">
        <f t="shared" si="535"/>
        <v>8.8495575221239076E-3</v>
      </c>
      <c r="IK97" s="117">
        <f t="shared" si="535"/>
        <v>7.9207920792079278E-2</v>
      </c>
      <c r="IL97" s="117">
        <f t="shared" si="535"/>
        <v>8.8495575221239076E-3</v>
      </c>
      <c r="IM97" s="117">
        <f t="shared" si="535"/>
        <v>6.9444444444444198E-3</v>
      </c>
      <c r="IO97" s="116" t="s">
        <v>33</v>
      </c>
      <c r="IP97" s="117">
        <f t="shared" si="536"/>
        <v>3.0612244897959107E-2</v>
      </c>
      <c r="IQ97" s="117">
        <f t="shared" si="536"/>
        <v>5.2631578947368363E-2</v>
      </c>
      <c r="IR97" s="117">
        <f t="shared" si="536"/>
        <v>0</v>
      </c>
      <c r="IS97" s="117">
        <f t="shared" si="536"/>
        <v>5.2631578947368363E-2</v>
      </c>
      <c r="IT97" s="117">
        <f t="shared" si="536"/>
        <v>3.4482758620689724E-2</v>
      </c>
      <c r="IV97" s="116" t="s">
        <v>33</v>
      </c>
      <c r="IW97" s="117">
        <f t="shared" si="537"/>
        <v>0.11881188118811892</v>
      </c>
      <c r="IX97" s="117">
        <f t="shared" si="537"/>
        <v>8.3333333333333037E-3</v>
      </c>
      <c r="IY97" s="117">
        <f t="shared" si="537"/>
        <v>5.504587155963292E-2</v>
      </c>
      <c r="IZ97" s="117">
        <f t="shared" si="537"/>
        <v>0.10833333333333339</v>
      </c>
      <c r="JA97" s="117">
        <f t="shared" si="537"/>
        <v>7.1111111111111125E-2</v>
      </c>
      <c r="JC97" s="116" t="s">
        <v>33</v>
      </c>
      <c r="JD97" s="117">
        <f t="shared" si="538"/>
        <v>5.3097345132743445E-2</v>
      </c>
      <c r="JE97" s="117">
        <f t="shared" si="538"/>
        <v>-4.132231404958675E-2</v>
      </c>
      <c r="JF97" s="117">
        <f t="shared" si="538"/>
        <v>-7.8260869565217384E-2</v>
      </c>
      <c r="JG97" s="117">
        <f t="shared" si="538"/>
        <v>-0.12030075187969924</v>
      </c>
      <c r="JH97" s="117">
        <f t="shared" si="538"/>
        <v>-4.9792531120331995E-2</v>
      </c>
      <c r="JJ97" s="116" t="s">
        <v>33</v>
      </c>
      <c r="JK97" s="117">
        <f t="shared" si="539"/>
        <v>-5.8823529411764719E-2</v>
      </c>
      <c r="JL97" s="117">
        <f t="shared" si="539"/>
        <v>1.7241379310344751E-2</v>
      </c>
      <c r="JM97" s="117">
        <f t="shared" si="539"/>
        <v>5.6603773584905648E-2</v>
      </c>
      <c r="JN97" s="117">
        <f t="shared" si="539"/>
        <v>4.2735042735042805E-2</v>
      </c>
      <c r="JO97" s="117">
        <f t="shared" si="539"/>
        <v>1.3100436681222627E-2</v>
      </c>
      <c r="JQ97" s="116" t="s">
        <v>33</v>
      </c>
      <c r="JR97" s="117">
        <f t="shared" si="540"/>
        <v>2.6785714285714191E-2</v>
      </c>
      <c r="JS97" s="117">
        <f t="shared" si="540"/>
        <v>2.5423728813559254E-2</v>
      </c>
      <c r="JT97" s="117">
        <f t="shared" si="540"/>
        <v>6.25E-2</v>
      </c>
      <c r="JU97" s="117">
        <f t="shared" si="540"/>
        <v>-3.2786885245901676E-2</v>
      </c>
      <c r="JV97" s="117">
        <f t="shared" si="540"/>
        <v>1.93965517241379E-2</v>
      </c>
      <c r="JX97" s="116" t="s">
        <v>33</v>
      </c>
      <c r="JY97" s="117">
        <f t="shared" si="541"/>
        <v>-9.5652173913043481E-2</v>
      </c>
      <c r="JZ97" s="117">
        <f t="shared" si="541"/>
        <v>-0.71074380165289264</v>
      </c>
      <c r="KA97" s="117">
        <f t="shared" si="541"/>
        <v>-0.1428571428571429</v>
      </c>
      <c r="KB97" s="117">
        <f t="shared" si="541"/>
        <v>-0.1271186440677966</v>
      </c>
      <c r="KC97" s="117">
        <f t="shared" si="541"/>
        <v>-0.27272727272727271</v>
      </c>
      <c r="KE97" s="116" t="s">
        <v>33</v>
      </c>
      <c r="KF97" s="117">
        <f t="shared" si="542"/>
        <v>-0.16346153846153844</v>
      </c>
      <c r="KG97" s="117">
        <f t="shared" si="542"/>
        <v>1.2000000000000002</v>
      </c>
      <c r="KH97" s="117">
        <f t="shared" si="542"/>
        <v>-0.26470588235294112</v>
      </c>
      <c r="KI97" s="117">
        <f t="shared" si="542"/>
        <v>-0.23300970873786409</v>
      </c>
      <c r="KJ97" s="117">
        <f t="shared" si="542"/>
        <v>-7.5581395348837233E-2</v>
      </c>
      <c r="KL97" s="116" t="s">
        <v>33</v>
      </c>
      <c r="KM97" s="117">
        <f t="shared" si="543"/>
        <v>-0.10344827586206895</v>
      </c>
      <c r="KN97" s="117">
        <f t="shared" si="543"/>
        <v>0.10389610389610393</v>
      </c>
      <c r="KO97" s="117">
        <f t="shared" si="543"/>
        <v>0.1333333333333333</v>
      </c>
      <c r="KP97" s="117">
        <f t="shared" si="543"/>
        <v>0.139240506329114</v>
      </c>
      <c r="KQ97" s="117">
        <f t="shared" si="543"/>
        <v>6.2893081761006275E-2</v>
      </c>
      <c r="KS97" s="116" t="s">
        <v>33</v>
      </c>
      <c r="KT97" s="117">
        <f t="shared" si="544"/>
        <v>0.10256410256410264</v>
      </c>
      <c r="KU97" s="117">
        <f t="shared" si="544"/>
        <v>0.21176470588235285</v>
      </c>
      <c r="KV97" s="117">
        <f t="shared" si="544"/>
        <v>0.18823529411764706</v>
      </c>
      <c r="KW97" s="117">
        <f t="shared" si="544"/>
        <v>8.8888888888888795E-2</v>
      </c>
      <c r="KX97" s="117">
        <f t="shared" si="544"/>
        <v>0.14792899408284033</v>
      </c>
      <c r="KZ97" s="116" t="s">
        <v>33</v>
      </c>
      <c r="LA97" s="117">
        <f t="shared" ref="LA97:LE97" si="567">(LA71/KT71)-1</f>
        <v>9.3023255813953432E-2</v>
      </c>
      <c r="LB97" s="117">
        <f t="shared" si="567"/>
        <v>1.9417475728155331E-2</v>
      </c>
      <c r="LC97" s="216">
        <f t="shared" si="567"/>
        <v>-2.9702970297029729E-2</v>
      </c>
      <c r="LD97" s="216">
        <f t="shared" si="567"/>
        <v>-2.0408163265306145E-2</v>
      </c>
      <c r="LE97" s="216">
        <f t="shared" si="567"/>
        <v>1.2886597938144284E-2</v>
      </c>
      <c r="LF97" s="567"/>
      <c r="LG97" s="116" t="s">
        <v>33</v>
      </c>
      <c r="LH97" s="216">
        <f t="shared" si="546"/>
        <v>-7.4468085106383031E-2</v>
      </c>
      <c r="LI97" s="216">
        <f t="shared" si="547"/>
        <v>-1.9047619047619091E-2</v>
      </c>
      <c r="LJ97" s="216">
        <f t="shared" si="548"/>
        <v>1.0204081632652962E-2</v>
      </c>
      <c r="LK97" s="216">
        <f t="shared" si="549"/>
        <v>-5.208333333333337E-2</v>
      </c>
      <c r="LL97" s="216">
        <f t="shared" si="550"/>
        <v>-3.30788804071247E-2</v>
      </c>
      <c r="LM97" s="567"/>
      <c r="LN97" s="116" t="s">
        <v>33</v>
      </c>
      <c r="LO97" s="216">
        <f t="shared" si="551"/>
        <v>-1.5000000000000124E-2</v>
      </c>
      <c r="LP97" s="216">
        <f t="shared" si="552"/>
        <v>-6.0000000000000053E-2</v>
      </c>
      <c r="LQ97" s="216">
        <f t="shared" si="553"/>
        <v>-5.0000000000000044E-2</v>
      </c>
      <c r="LR97" s="216">
        <f t="shared" si="554"/>
        <v>5.0000000000000044E-2</v>
      </c>
      <c r="LS97" s="216">
        <f t="shared" si="555"/>
        <v>-2.0749999999999935E-2</v>
      </c>
      <c r="LT97" s="567"/>
      <c r="LU97" s="116" t="s">
        <v>33</v>
      </c>
      <c r="LV97" s="216">
        <f t="shared" si="556"/>
        <v>3.0000000000000027E-2</v>
      </c>
      <c r="LW97" s="216">
        <f t="shared" si="557"/>
        <v>3.0000000000000027E-2</v>
      </c>
      <c r="LX97" s="216">
        <f t="shared" si="558"/>
        <v>3.0000000000000027E-2</v>
      </c>
      <c r="LY97" s="216">
        <f t="shared" si="559"/>
        <v>3.0000000000000027E-2</v>
      </c>
      <c r="LZ97" s="216">
        <f t="shared" si="560"/>
        <v>2.9999999999999805E-2</v>
      </c>
      <c r="MA97" s="567"/>
      <c r="MB97" s="116" t="s">
        <v>33</v>
      </c>
      <c r="MC97" s="216">
        <f t="shared" si="561"/>
        <v>3.0000000000000027E-2</v>
      </c>
      <c r="MD97" s="216">
        <f t="shared" si="562"/>
        <v>3.0000000000000027E-2</v>
      </c>
      <c r="ME97" s="216">
        <f t="shared" si="563"/>
        <v>3.0000000000000027E-2</v>
      </c>
      <c r="MF97" s="216">
        <f t="shared" si="564"/>
        <v>3.0000000000000027E-2</v>
      </c>
      <c r="MG97" s="216">
        <f t="shared" si="565"/>
        <v>3.0000000000000027E-2</v>
      </c>
      <c r="MH97" s="567"/>
    </row>
    <row r="98" spans="1:346" s="37" customFormat="1" ht="13.15" x14ac:dyDescent="0.4">
      <c r="A98" s="100"/>
      <c r="B98" s="116" t="s">
        <v>143</v>
      </c>
      <c r="C98" s="117"/>
      <c r="D98" s="117"/>
      <c r="E98" s="117"/>
      <c r="F98" s="117"/>
      <c r="G98" s="117"/>
      <c r="H98" s="117"/>
      <c r="I98" s="117"/>
      <c r="J98" s="117"/>
      <c r="K98" s="117"/>
      <c r="L98" s="117"/>
      <c r="M98" s="117"/>
      <c r="N98" s="117">
        <f t="shared" si="471"/>
        <v>0</v>
      </c>
      <c r="O98" s="117" t="str">
        <f t="shared" si="472"/>
        <v>-</v>
      </c>
      <c r="P98" s="117" t="str">
        <f t="shared" si="473"/>
        <v>-</v>
      </c>
      <c r="Q98" s="117" t="str">
        <f t="shared" si="474"/>
        <v>-</v>
      </c>
      <c r="R98" s="117" t="str">
        <f t="shared" si="475"/>
        <v>-</v>
      </c>
      <c r="S98" s="117" t="str">
        <f t="shared" si="476"/>
        <v>-</v>
      </c>
      <c r="T98" s="117" t="str">
        <f t="shared" si="477"/>
        <v>-</v>
      </c>
      <c r="U98" s="117" t="str">
        <f t="shared" si="478"/>
        <v>-</v>
      </c>
      <c r="V98" s="117" t="str">
        <f t="shared" si="479"/>
        <v>-</v>
      </c>
      <c r="W98" s="117" t="str">
        <f t="shared" si="480"/>
        <v>-</v>
      </c>
      <c r="X98" s="117" t="str">
        <f t="shared" si="481"/>
        <v>-</v>
      </c>
      <c r="Y98" s="117" t="str">
        <f t="shared" si="482"/>
        <v>-</v>
      </c>
      <c r="Z98" s="117" t="str">
        <f t="shared" si="483"/>
        <v>-</v>
      </c>
      <c r="AA98" s="117" t="str">
        <f t="shared" si="484"/>
        <v>-</v>
      </c>
      <c r="AB98" s="117" t="str">
        <f t="shared" si="485"/>
        <v>-</v>
      </c>
      <c r="AC98" s="117" t="str">
        <f t="shared" si="486"/>
        <v>-</v>
      </c>
      <c r="AD98" s="117" t="str">
        <f t="shared" si="487"/>
        <v>-</v>
      </c>
      <c r="AE98" s="117" t="str">
        <f t="shared" si="488"/>
        <v>-</v>
      </c>
      <c r="AF98" s="117" t="str">
        <f t="shared" si="489"/>
        <v>-</v>
      </c>
      <c r="AG98" s="117" t="str">
        <f t="shared" si="490"/>
        <v>-</v>
      </c>
      <c r="AH98" s="117" t="str">
        <f t="shared" si="491"/>
        <v>-</v>
      </c>
      <c r="AI98" s="117" t="str">
        <f t="shared" si="492"/>
        <v>-</v>
      </c>
      <c r="AJ98" s="117">
        <f t="shared" si="493"/>
        <v>6.498194945848379E-2</v>
      </c>
      <c r="AK98" s="117">
        <f t="shared" si="494"/>
        <v>-8.4745762711864403E-2</v>
      </c>
      <c r="AL98" s="117">
        <f t="shared" si="495"/>
        <v>0</v>
      </c>
      <c r="AM98" s="117">
        <f t="shared" si="496"/>
        <v>6.6666666666666652E-2</v>
      </c>
      <c r="AN98" s="117">
        <f t="shared" si="497"/>
        <v>6.25E-2</v>
      </c>
      <c r="AO98" s="117">
        <f t="shared" si="498"/>
        <v>1.3071895424836555E-2</v>
      </c>
      <c r="AP98" s="117">
        <f t="shared" si="499"/>
        <v>-0.1387096774193548</v>
      </c>
      <c r="AQ98" s="117">
        <f t="shared" si="500"/>
        <v>6.367041198501866E-2</v>
      </c>
      <c r="AR98" s="117">
        <f t="shared" si="501"/>
        <v>6.6901408450704247E-2</v>
      </c>
      <c r="AS98" s="117">
        <f t="shared" si="502"/>
        <v>5.9405940594059459E-2</v>
      </c>
      <c r="AT98" s="117">
        <f t="shared" si="503"/>
        <v>1.2461059190031154E-2</v>
      </c>
      <c r="AU98" s="117">
        <f t="shared" si="504"/>
        <v>3.6923076923076836E-2</v>
      </c>
      <c r="AV98" s="117">
        <f t="shared" si="505"/>
        <v>6.2314540059347223E-2</v>
      </c>
      <c r="AW98" s="117">
        <f t="shared" si="506"/>
        <v>8.379888268156499E-3</v>
      </c>
      <c r="AX98" s="117">
        <f t="shared" si="507"/>
        <v>3.8781163434903121E-2</v>
      </c>
      <c r="AY98" s="117">
        <f t="shared" si="508"/>
        <v>3.1479999999999952E-2</v>
      </c>
      <c r="AZ98" s="117">
        <f t="shared" si="509"/>
        <v>4.0000000000000036E-2</v>
      </c>
      <c r="BA98" s="117">
        <f t="shared" si="510"/>
        <v>3.499999999999992E-2</v>
      </c>
      <c r="BB98" s="117"/>
      <c r="BC98" s="117"/>
      <c r="BD98" s="117"/>
      <c r="BE98" s="117"/>
      <c r="BF98" s="117"/>
      <c r="BG98" s="117"/>
      <c r="BH98" s="117"/>
      <c r="BI98" s="117"/>
      <c r="BJ98" s="117"/>
      <c r="BK98" s="117"/>
      <c r="BL98" s="117"/>
      <c r="BM98" s="117"/>
      <c r="BO98" s="116" t="s">
        <v>143</v>
      </c>
      <c r="BP98" s="117"/>
      <c r="BQ98" s="117"/>
      <c r="BR98" s="117"/>
      <c r="BS98" s="117"/>
      <c r="BT98" s="117"/>
      <c r="BV98" s="116" t="s">
        <v>143</v>
      </c>
      <c r="BW98" s="117" t="s">
        <v>80</v>
      </c>
      <c r="BX98" s="117" t="s">
        <v>80</v>
      </c>
      <c r="BY98" s="117" t="s">
        <v>80</v>
      </c>
      <c r="BZ98" s="117" t="s">
        <v>80</v>
      </c>
      <c r="CA98" s="117" t="s">
        <v>80</v>
      </c>
      <c r="CC98" s="116" t="s">
        <v>143</v>
      </c>
      <c r="CD98" s="117" t="s">
        <v>80</v>
      </c>
      <c r="CE98" s="117" t="s">
        <v>80</v>
      </c>
      <c r="CF98" s="117" t="s">
        <v>80</v>
      </c>
      <c r="CG98" s="117" t="s">
        <v>80</v>
      </c>
      <c r="CH98" s="117" t="s">
        <v>80</v>
      </c>
      <c r="CJ98" s="116" t="s">
        <v>143</v>
      </c>
      <c r="CK98" s="117" t="s">
        <v>80</v>
      </c>
      <c r="CL98" s="117" t="s">
        <v>80</v>
      </c>
      <c r="CM98" s="117" t="s">
        <v>80</v>
      </c>
      <c r="CN98" s="117" t="s">
        <v>80</v>
      </c>
      <c r="CO98" s="117" t="s">
        <v>80</v>
      </c>
      <c r="CQ98" s="116" t="s">
        <v>143</v>
      </c>
      <c r="CR98" s="117" t="s">
        <v>80</v>
      </c>
      <c r="CS98" s="117" t="s">
        <v>80</v>
      </c>
      <c r="CT98" s="117" t="s">
        <v>80</v>
      </c>
      <c r="CU98" s="117" t="s">
        <v>80</v>
      </c>
      <c r="CV98" s="117" t="s">
        <v>80</v>
      </c>
      <c r="CX98" s="116" t="s">
        <v>143</v>
      </c>
      <c r="CY98" s="117" t="s">
        <v>80</v>
      </c>
      <c r="CZ98" s="117" t="s">
        <v>80</v>
      </c>
      <c r="DA98" s="117" t="s">
        <v>80</v>
      </c>
      <c r="DB98" s="117" t="s">
        <v>80</v>
      </c>
      <c r="DC98" s="117" t="s">
        <v>80</v>
      </c>
      <c r="DE98" s="116" t="s">
        <v>143</v>
      </c>
      <c r="DF98" s="117" t="s">
        <v>80</v>
      </c>
      <c r="DG98" s="117" t="s">
        <v>80</v>
      </c>
      <c r="DH98" s="117" t="s">
        <v>80</v>
      </c>
      <c r="DI98" s="117" t="s">
        <v>80</v>
      </c>
      <c r="DJ98" s="117" t="s">
        <v>80</v>
      </c>
      <c r="DL98" s="116" t="s">
        <v>143</v>
      </c>
      <c r="DM98" s="117" t="s">
        <v>80</v>
      </c>
      <c r="DN98" s="117" t="s">
        <v>80</v>
      </c>
      <c r="DO98" s="117" t="s">
        <v>80</v>
      </c>
      <c r="DP98" s="117" t="s">
        <v>80</v>
      </c>
      <c r="DQ98" s="117" t="s">
        <v>80</v>
      </c>
      <c r="DS98" s="116" t="s">
        <v>143</v>
      </c>
      <c r="DT98" s="117" t="s">
        <v>80</v>
      </c>
      <c r="DU98" s="117" t="s">
        <v>80</v>
      </c>
      <c r="DV98" s="117" t="s">
        <v>80</v>
      </c>
      <c r="DW98" s="117" t="s">
        <v>80</v>
      </c>
      <c r="DX98" s="117" t="s">
        <v>80</v>
      </c>
      <c r="DZ98" s="116" t="s">
        <v>143</v>
      </c>
      <c r="EA98" s="117" t="s">
        <v>80</v>
      </c>
      <c r="EB98" s="117" t="s">
        <v>80</v>
      </c>
      <c r="EC98" s="117" t="s">
        <v>80</v>
      </c>
      <c r="ED98" s="117" t="s">
        <v>80</v>
      </c>
      <c r="EE98" s="117" t="s">
        <v>80</v>
      </c>
      <c r="EG98" s="116" t="s">
        <v>143</v>
      </c>
      <c r="EH98" s="117" t="s">
        <v>80</v>
      </c>
      <c r="EI98" s="117" t="s">
        <v>80</v>
      </c>
      <c r="EJ98" s="117" t="s">
        <v>80</v>
      </c>
      <c r="EK98" s="117" t="s">
        <v>80</v>
      </c>
      <c r="EL98" s="117" t="s">
        <v>80</v>
      </c>
      <c r="EN98" s="116" t="s">
        <v>143</v>
      </c>
      <c r="EO98" s="117" t="s">
        <v>80</v>
      </c>
      <c r="EP98" s="117" t="s">
        <v>80</v>
      </c>
      <c r="EQ98" s="117" t="s">
        <v>80</v>
      </c>
      <c r="ER98" s="117" t="s">
        <v>80</v>
      </c>
      <c r="ES98" s="117" t="s">
        <v>80</v>
      </c>
      <c r="EU98" s="116" t="s">
        <v>143</v>
      </c>
      <c r="EV98" s="117" t="s">
        <v>80</v>
      </c>
      <c r="EW98" s="117" t="s">
        <v>80</v>
      </c>
      <c r="EX98" s="117" t="s">
        <v>80</v>
      </c>
      <c r="EY98" s="117" t="s">
        <v>80</v>
      </c>
      <c r="EZ98" s="117" t="s">
        <v>80</v>
      </c>
      <c r="FB98" s="116" t="s">
        <v>143</v>
      </c>
      <c r="FC98" s="117" t="s">
        <v>80</v>
      </c>
      <c r="FD98" s="117" t="s">
        <v>80</v>
      </c>
      <c r="FE98" s="117" t="s">
        <v>80</v>
      </c>
      <c r="FF98" s="117" t="s">
        <v>80</v>
      </c>
      <c r="FG98" s="117" t="s">
        <v>80</v>
      </c>
      <c r="FI98" s="116" t="s">
        <v>143</v>
      </c>
      <c r="FJ98" s="117" t="s">
        <v>80</v>
      </c>
      <c r="FK98" s="117" t="s">
        <v>80</v>
      </c>
      <c r="FL98" s="117" t="s">
        <v>80</v>
      </c>
      <c r="FM98" s="117" t="s">
        <v>80</v>
      </c>
      <c r="FN98" s="117" t="s">
        <v>80</v>
      </c>
      <c r="FP98" s="116" t="s">
        <v>143</v>
      </c>
      <c r="FQ98" s="117" t="s">
        <v>80</v>
      </c>
      <c r="FR98" s="117" t="s">
        <v>80</v>
      </c>
      <c r="FS98" s="117" t="s">
        <v>80</v>
      </c>
      <c r="FT98" s="117" t="s">
        <v>80</v>
      </c>
      <c r="FU98" s="117" t="s">
        <v>80</v>
      </c>
      <c r="FW98" s="116" t="s">
        <v>143</v>
      </c>
      <c r="FX98" s="117" t="s">
        <v>80</v>
      </c>
      <c r="FY98" s="117" t="s">
        <v>80</v>
      </c>
      <c r="FZ98" s="117" t="s">
        <v>80</v>
      </c>
      <c r="GA98" s="117" t="s">
        <v>80</v>
      </c>
      <c r="GB98" s="117" t="s">
        <v>80</v>
      </c>
      <c r="GD98" s="116" t="s">
        <v>143</v>
      </c>
      <c r="GE98" s="117" t="s">
        <v>80</v>
      </c>
      <c r="GF98" s="117" t="s">
        <v>80</v>
      </c>
      <c r="GG98" s="117" t="s">
        <v>80</v>
      </c>
      <c r="GH98" s="117" t="s">
        <v>80</v>
      </c>
      <c r="GI98" s="117" t="s">
        <v>80</v>
      </c>
      <c r="GK98" s="116" t="s">
        <v>143</v>
      </c>
      <c r="GL98" s="117" t="s">
        <v>80</v>
      </c>
      <c r="GM98" s="117" t="s">
        <v>80</v>
      </c>
      <c r="GN98" s="117" t="s">
        <v>80</v>
      </c>
      <c r="GO98" s="117" t="s">
        <v>80</v>
      </c>
      <c r="GP98" s="117" t="s">
        <v>80</v>
      </c>
      <c r="GR98" s="116" t="s">
        <v>143</v>
      </c>
      <c r="GS98" s="117" t="s">
        <v>80</v>
      </c>
      <c r="GT98" s="117" t="s">
        <v>80</v>
      </c>
      <c r="GU98" s="117" t="s">
        <v>80</v>
      </c>
      <c r="GV98" s="117" t="s">
        <v>80</v>
      </c>
      <c r="GW98" s="117" t="s">
        <v>80</v>
      </c>
      <c r="GY98" s="116" t="s">
        <v>143</v>
      </c>
      <c r="GZ98" s="117" t="s">
        <v>80</v>
      </c>
      <c r="HA98" s="117" t="s">
        <v>80</v>
      </c>
      <c r="HB98" s="117" t="s">
        <v>80</v>
      </c>
      <c r="HC98" s="117" t="s">
        <v>80</v>
      </c>
      <c r="HD98" s="117" t="s">
        <v>80</v>
      </c>
      <c r="HF98" s="116" t="s">
        <v>143</v>
      </c>
      <c r="HG98" s="117" t="s">
        <v>80</v>
      </c>
      <c r="HH98" s="117" t="s">
        <v>80</v>
      </c>
      <c r="HI98" s="117" t="s">
        <v>80</v>
      </c>
      <c r="HJ98" s="117" t="s">
        <v>80</v>
      </c>
      <c r="HK98" s="117" t="s">
        <v>80</v>
      </c>
      <c r="HM98" s="116" t="s">
        <v>143</v>
      </c>
      <c r="HN98" s="117">
        <f t="shared" si="532"/>
        <v>0.14814814814814814</v>
      </c>
      <c r="HO98" s="117">
        <f t="shared" si="532"/>
        <v>5.2631578947368363E-2</v>
      </c>
      <c r="HP98" s="117">
        <f t="shared" si="532"/>
        <v>2.5974025974025983E-2</v>
      </c>
      <c r="HQ98" s="117">
        <f t="shared" si="532"/>
        <v>5.7142857142857162E-2</v>
      </c>
      <c r="HR98" s="117">
        <f t="shared" si="532"/>
        <v>6.498194945848379E-2</v>
      </c>
      <c r="HT98" s="116" t="s">
        <v>143</v>
      </c>
      <c r="HU98" s="117">
        <f t="shared" si="533"/>
        <v>-8.064516129032262E-2</v>
      </c>
      <c r="HV98" s="117">
        <f t="shared" si="533"/>
        <v>-0.125</v>
      </c>
      <c r="HW98" s="117">
        <f t="shared" si="533"/>
        <v>-6.3291139240506333E-2</v>
      </c>
      <c r="HX98" s="117">
        <f t="shared" si="533"/>
        <v>-6.7567567567567544E-2</v>
      </c>
      <c r="HY98" s="117">
        <f t="shared" si="533"/>
        <v>-8.4745762711864403E-2</v>
      </c>
      <c r="IA98" s="116" t="s">
        <v>143</v>
      </c>
      <c r="IB98" s="117">
        <f t="shared" si="534"/>
        <v>-1.7543859649122862E-2</v>
      </c>
      <c r="IC98" s="117">
        <f t="shared" si="534"/>
        <v>4.2857142857142927E-2</v>
      </c>
      <c r="ID98" s="117">
        <f t="shared" si="534"/>
        <v>1.3513513513513598E-2</v>
      </c>
      <c r="IE98" s="117">
        <f t="shared" si="534"/>
        <v>-4.3478260869565188E-2</v>
      </c>
      <c r="IF98" s="117">
        <f t="shared" si="534"/>
        <v>0</v>
      </c>
      <c r="IH98" s="116" t="s">
        <v>143</v>
      </c>
      <c r="II98" s="117">
        <f t="shared" si="535"/>
        <v>-5.3571428571428603E-2</v>
      </c>
      <c r="IJ98" s="117">
        <f t="shared" si="535"/>
        <v>6.8493150684931559E-2</v>
      </c>
      <c r="IK98" s="117">
        <f t="shared" si="535"/>
        <v>0.10666666666666669</v>
      </c>
      <c r="IL98" s="117">
        <f t="shared" si="535"/>
        <v>0.1212121212121211</v>
      </c>
      <c r="IM98" s="117">
        <f t="shared" si="535"/>
        <v>6.6666666666666652E-2</v>
      </c>
      <c r="IO98" s="116" t="s">
        <v>143</v>
      </c>
      <c r="IP98" s="117">
        <f t="shared" si="536"/>
        <v>0.1132075471698113</v>
      </c>
      <c r="IQ98" s="117">
        <f t="shared" si="536"/>
        <v>5.1282051282051322E-2</v>
      </c>
      <c r="IR98" s="117">
        <f t="shared" si="536"/>
        <v>4.8192771084337283E-2</v>
      </c>
      <c r="IS98" s="117">
        <f t="shared" si="536"/>
        <v>5.4054054054053946E-2</v>
      </c>
      <c r="IT98" s="117">
        <f t="shared" si="536"/>
        <v>6.25E-2</v>
      </c>
      <c r="IV98" s="116" t="s">
        <v>143</v>
      </c>
      <c r="IW98" s="117">
        <f t="shared" si="537"/>
        <v>-1.6949152542372836E-2</v>
      </c>
      <c r="IX98" s="117">
        <f t="shared" si="537"/>
        <v>4.8780487804878092E-2</v>
      </c>
      <c r="IY98" s="117">
        <f t="shared" si="537"/>
        <v>-1.1494252873563204E-2</v>
      </c>
      <c r="IZ98" s="117">
        <f t="shared" si="537"/>
        <v>2.564102564102555E-2</v>
      </c>
      <c r="JA98" s="117">
        <f t="shared" si="537"/>
        <v>1.3071895424836555E-2</v>
      </c>
      <c r="JC98" s="116" t="s">
        <v>143</v>
      </c>
      <c r="JD98" s="117">
        <f t="shared" si="538"/>
        <v>0.2068965517241379</v>
      </c>
      <c r="JE98" s="117">
        <f t="shared" si="538"/>
        <v>-0.22093023255813948</v>
      </c>
      <c r="JF98" s="117">
        <f t="shared" si="538"/>
        <v>-0.2558139534883721</v>
      </c>
      <c r="JG98" s="117">
        <f t="shared" si="538"/>
        <v>-0.17500000000000004</v>
      </c>
      <c r="JH98" s="117">
        <f t="shared" si="538"/>
        <v>-0.1387096774193548</v>
      </c>
      <c r="JJ98" s="116" t="s">
        <v>143</v>
      </c>
      <c r="JK98" s="117">
        <f t="shared" si="539"/>
        <v>-5.7142857142857162E-2</v>
      </c>
      <c r="JL98" s="117">
        <f t="shared" si="539"/>
        <v>5.9701492537313383E-2</v>
      </c>
      <c r="JM98" s="117">
        <f t="shared" si="539"/>
        <v>0.15625</v>
      </c>
      <c r="JN98" s="117">
        <f t="shared" si="539"/>
        <v>0.10606060606060597</v>
      </c>
      <c r="JO98" s="117">
        <f t="shared" si="539"/>
        <v>6.367041198501866E-2</v>
      </c>
      <c r="JQ98" s="116" t="s">
        <v>143</v>
      </c>
      <c r="JR98" s="117">
        <f t="shared" si="540"/>
        <v>4.5454545454545414E-2</v>
      </c>
      <c r="JS98" s="117">
        <f t="shared" si="540"/>
        <v>0.26760563380281699</v>
      </c>
      <c r="JT98" s="117">
        <f t="shared" si="540"/>
        <v>-1.3513513513513487E-2</v>
      </c>
      <c r="JU98" s="117">
        <f t="shared" si="540"/>
        <v>-2.7397260273972601E-2</v>
      </c>
      <c r="JV98" s="117">
        <f t="shared" si="540"/>
        <v>6.6901408450704247E-2</v>
      </c>
      <c r="JX98" s="116" t="s">
        <v>143</v>
      </c>
      <c r="JY98" s="117">
        <f t="shared" si="541"/>
        <v>7.2463768115942129E-2</v>
      </c>
      <c r="JZ98" s="117">
        <f t="shared" si="541"/>
        <v>-7.7777777777777724E-2</v>
      </c>
      <c r="KA98" s="117">
        <f t="shared" si="541"/>
        <v>0.17808219178082196</v>
      </c>
      <c r="KB98" s="117">
        <f t="shared" si="541"/>
        <v>9.8591549295774739E-2</v>
      </c>
      <c r="KC98" s="117">
        <f t="shared" si="541"/>
        <v>5.9405940594059459E-2</v>
      </c>
      <c r="KE98" s="116" t="s">
        <v>143</v>
      </c>
      <c r="KF98" s="117">
        <f t="shared" si="542"/>
        <v>-9.4594594594594628E-2</v>
      </c>
      <c r="KG98" s="117">
        <f t="shared" si="542"/>
        <v>4.8192771084337283E-2</v>
      </c>
      <c r="KH98" s="117">
        <f t="shared" si="542"/>
        <v>4.6511627906976827E-2</v>
      </c>
      <c r="KI98" s="117">
        <f t="shared" si="542"/>
        <v>3.8461538461538547E-2</v>
      </c>
      <c r="KJ98" s="117">
        <f t="shared" si="542"/>
        <v>1.2461059190031154E-2</v>
      </c>
      <c r="KL98" s="116" t="s">
        <v>143</v>
      </c>
      <c r="KM98" s="117">
        <f t="shared" si="543"/>
        <v>7.4626865671641784E-2</v>
      </c>
      <c r="KN98" s="117">
        <f t="shared" si="543"/>
        <v>3.4482758620689724E-2</v>
      </c>
      <c r="KO98" s="117">
        <f t="shared" si="543"/>
        <v>1.1111111111111072E-2</v>
      </c>
      <c r="KP98" s="117">
        <f t="shared" si="543"/>
        <v>3.7037037037036979E-2</v>
      </c>
      <c r="KQ98" s="117">
        <f t="shared" si="543"/>
        <v>3.6923076923076836E-2</v>
      </c>
      <c r="KS98" s="116" t="s">
        <v>143</v>
      </c>
      <c r="KT98" s="117">
        <f t="shared" si="544"/>
        <v>0.15277777777777768</v>
      </c>
      <c r="KU98" s="117">
        <f t="shared" si="544"/>
        <v>5.555555555555558E-2</v>
      </c>
      <c r="KV98" s="117">
        <f t="shared" si="544"/>
        <v>4.3956043956044022E-2</v>
      </c>
      <c r="KW98" s="117">
        <f t="shared" si="544"/>
        <v>1.1904761904761862E-2</v>
      </c>
      <c r="KX98" s="117">
        <f t="shared" si="544"/>
        <v>6.2314540059347223E-2</v>
      </c>
      <c r="KZ98" s="116" t="s">
        <v>143</v>
      </c>
      <c r="LA98" s="117">
        <f t="shared" ref="LA98:LE98" si="568">(LA72/KT72)-1</f>
        <v>-3.6144578313253017E-2</v>
      </c>
      <c r="LB98" s="117">
        <f t="shared" si="568"/>
        <v>2.1052631578947434E-2</v>
      </c>
      <c r="LC98" s="216">
        <f t="shared" si="568"/>
        <v>1.0526315789473717E-2</v>
      </c>
      <c r="LD98" s="216">
        <f t="shared" si="568"/>
        <v>3.529411764705892E-2</v>
      </c>
      <c r="LE98" s="216">
        <f t="shared" si="568"/>
        <v>8.379888268156499E-3</v>
      </c>
      <c r="LF98" s="567"/>
      <c r="LG98" s="116" t="s">
        <v>143</v>
      </c>
      <c r="LH98" s="216">
        <f t="shared" si="546"/>
        <v>-1.2499999999999956E-2</v>
      </c>
      <c r="LI98" s="216">
        <f t="shared" si="547"/>
        <v>2.0618556701030855E-2</v>
      </c>
      <c r="LJ98" s="216">
        <f t="shared" si="548"/>
        <v>8.3333333333333259E-2</v>
      </c>
      <c r="LK98" s="216">
        <f t="shared" si="549"/>
        <v>5.6818181818181879E-2</v>
      </c>
      <c r="LL98" s="216">
        <f t="shared" si="550"/>
        <v>3.8781163434903121E-2</v>
      </c>
      <c r="LM98" s="567"/>
      <c r="LN98" s="116" t="s">
        <v>143</v>
      </c>
      <c r="LO98" s="216">
        <f t="shared" si="551"/>
        <v>3.499999999999992E-2</v>
      </c>
      <c r="LP98" s="216">
        <f t="shared" si="552"/>
        <v>2.4999999999999911E-2</v>
      </c>
      <c r="LQ98" s="216">
        <f t="shared" si="553"/>
        <v>4.9999999999998934E-3</v>
      </c>
      <c r="LR98" s="216">
        <f t="shared" si="554"/>
        <v>6.4999999999999947E-2</v>
      </c>
      <c r="LS98" s="216">
        <f t="shared" si="555"/>
        <v>3.1479999999999952E-2</v>
      </c>
      <c r="LT98" s="567"/>
      <c r="LU98" s="116" t="s">
        <v>143</v>
      </c>
      <c r="LV98" s="216">
        <f t="shared" si="556"/>
        <v>4.0000000000000036E-2</v>
      </c>
      <c r="LW98" s="216">
        <f t="shared" si="557"/>
        <v>4.0000000000000036E-2</v>
      </c>
      <c r="LX98" s="216">
        <f t="shared" si="558"/>
        <v>4.0000000000000036E-2</v>
      </c>
      <c r="LY98" s="216">
        <f t="shared" si="559"/>
        <v>4.0000000000000036E-2</v>
      </c>
      <c r="LZ98" s="216">
        <f t="shared" si="560"/>
        <v>4.0000000000000036E-2</v>
      </c>
      <c r="MA98" s="567"/>
      <c r="MB98" s="116" t="s">
        <v>143</v>
      </c>
      <c r="MC98" s="216">
        <f t="shared" si="561"/>
        <v>3.499999999999992E-2</v>
      </c>
      <c r="MD98" s="216">
        <f t="shared" si="562"/>
        <v>3.499999999999992E-2</v>
      </c>
      <c r="ME98" s="216">
        <f t="shared" si="563"/>
        <v>3.499999999999992E-2</v>
      </c>
      <c r="MF98" s="216">
        <f t="shared" si="564"/>
        <v>3.499999999999992E-2</v>
      </c>
      <c r="MG98" s="216">
        <f t="shared" si="565"/>
        <v>3.499999999999992E-2</v>
      </c>
      <c r="MH98" s="567"/>
    </row>
    <row r="99" spans="1:346" s="37" customFormat="1" ht="13.15" x14ac:dyDescent="0.4">
      <c r="A99" s="100"/>
      <c r="B99" s="116" t="s">
        <v>144</v>
      </c>
      <c r="C99" s="117"/>
      <c r="D99" s="117"/>
      <c r="E99" s="117"/>
      <c r="F99" s="117"/>
      <c r="G99" s="117"/>
      <c r="H99" s="117"/>
      <c r="I99" s="117"/>
      <c r="J99" s="117"/>
      <c r="K99" s="117"/>
      <c r="L99" s="117"/>
      <c r="M99" s="117"/>
      <c r="N99" s="117">
        <f t="shared" si="471"/>
        <v>0</v>
      </c>
      <c r="O99" s="117">
        <f t="shared" si="472"/>
        <v>-6.7999999999999949E-2</v>
      </c>
      <c r="P99" s="117">
        <f t="shared" si="473"/>
        <v>-0.14592274678111583</v>
      </c>
      <c r="Q99" s="117">
        <f t="shared" si="474"/>
        <v>0.13567839195979903</v>
      </c>
      <c r="R99" s="117">
        <f t="shared" si="475"/>
        <v>0.1415929203539823</v>
      </c>
      <c r="S99" s="117">
        <f t="shared" si="476"/>
        <v>0.13178294573643412</v>
      </c>
      <c r="T99" s="117">
        <f t="shared" si="477"/>
        <v>3.082191780821919E-2</v>
      </c>
      <c r="U99" s="117">
        <f t="shared" si="478"/>
        <v>-7.9734219269102957E-2</v>
      </c>
      <c r="V99" s="117">
        <f t="shared" si="479"/>
        <v>0.1407942238267148</v>
      </c>
      <c r="W99" s="117">
        <f t="shared" si="480"/>
        <v>-8.2278481012658222E-2</v>
      </c>
      <c r="X99" s="117">
        <f t="shared" si="481"/>
        <v>0.12413793103448278</v>
      </c>
      <c r="Y99" s="117">
        <f t="shared" si="482"/>
        <v>5.2147239263803602E-2</v>
      </c>
      <c r="Z99" s="117">
        <f t="shared" si="483"/>
        <v>-6.9970845481049593E-2</v>
      </c>
      <c r="AA99" s="117">
        <f t="shared" si="484"/>
        <v>0</v>
      </c>
      <c r="AB99" s="117">
        <f t="shared" si="485"/>
        <v>9.0909090909090828E-2</v>
      </c>
      <c r="AC99" s="117">
        <f t="shared" si="486"/>
        <v>9.1954022988505857E-2</v>
      </c>
      <c r="AD99" s="117">
        <f t="shared" si="487"/>
        <v>-5.0000000000000044E-2</v>
      </c>
      <c r="AE99" s="117">
        <f t="shared" si="488"/>
        <v>8.310249307479145E-3</v>
      </c>
      <c r="AF99" s="117">
        <f t="shared" si="489"/>
        <v>-2.4725274725274748E-2</v>
      </c>
      <c r="AG99" s="117">
        <f t="shared" si="490"/>
        <v>-5.070422535211272E-2</v>
      </c>
      <c r="AH99" s="117">
        <f t="shared" si="491"/>
        <v>-0.40652818991097928</v>
      </c>
      <c r="AI99" s="117">
        <f t="shared" si="492"/>
        <v>0.21500000000000008</v>
      </c>
      <c r="AJ99" s="117">
        <f t="shared" si="493"/>
        <v>9.0534979423868345E-2</v>
      </c>
      <c r="AK99" s="117">
        <f t="shared" si="494"/>
        <v>-7.547169811320753E-3</v>
      </c>
      <c r="AL99" s="117">
        <f t="shared" si="495"/>
        <v>0.17490494296577941</v>
      </c>
      <c r="AM99" s="117">
        <f t="shared" si="496"/>
        <v>7.1197411003236288E-2</v>
      </c>
      <c r="AN99" s="117">
        <f t="shared" si="497"/>
        <v>-0.14199395770392753</v>
      </c>
      <c r="AO99" s="117">
        <f t="shared" si="498"/>
        <v>-6.3380281690140872E-2</v>
      </c>
      <c r="AP99" s="117">
        <f t="shared" si="499"/>
        <v>-3.7593984962406068E-2</v>
      </c>
      <c r="AQ99" s="117">
        <f t="shared" si="500"/>
        <v>4.296875E-2</v>
      </c>
      <c r="AR99" s="117">
        <f t="shared" si="501"/>
        <v>-7.1161048689138529E-2</v>
      </c>
      <c r="AS99" s="117">
        <f t="shared" si="502"/>
        <v>-3.6290322580645129E-2</v>
      </c>
      <c r="AT99" s="117">
        <f t="shared" si="503"/>
        <v>0.15899581589958167</v>
      </c>
      <c r="AU99" s="117">
        <f t="shared" si="504"/>
        <v>-3.6101083032490933E-2</v>
      </c>
      <c r="AV99" s="117">
        <f t="shared" si="505"/>
        <v>6.367041198501866E-2</v>
      </c>
      <c r="AW99" s="117">
        <f t="shared" si="506"/>
        <v>-5.633802816901412E-2</v>
      </c>
      <c r="AX99" s="117">
        <f t="shared" si="507"/>
        <v>-1.1194029850746245E-2</v>
      </c>
      <c r="AY99" s="117">
        <f t="shared" si="508"/>
        <v>1.5830188679245349E-2</v>
      </c>
      <c r="AZ99" s="117">
        <f t="shared" si="509"/>
        <v>2.4999999999999689E-2</v>
      </c>
      <c r="BA99" s="117">
        <f t="shared" si="510"/>
        <v>2.4999999999999911E-2</v>
      </c>
      <c r="BB99" s="117"/>
      <c r="BC99" s="117"/>
      <c r="BD99" s="117"/>
      <c r="BE99" s="117"/>
      <c r="BF99" s="117"/>
      <c r="BG99" s="117"/>
      <c r="BH99" s="117"/>
      <c r="BI99" s="117"/>
      <c r="BJ99" s="117"/>
      <c r="BK99" s="117"/>
      <c r="BL99" s="117"/>
      <c r="BM99" s="117"/>
      <c r="BO99" s="116" t="s">
        <v>144</v>
      </c>
      <c r="BP99" s="117"/>
      <c r="BQ99" s="117"/>
      <c r="BR99" s="117"/>
      <c r="BS99" s="117"/>
      <c r="BT99" s="117"/>
      <c r="BV99" s="116" t="s">
        <v>144</v>
      </c>
      <c r="BW99" s="117">
        <f t="shared" ref="BW99:CA101" si="569">BW73/BP73-1</f>
        <v>-7.0175438596491224E-2</v>
      </c>
      <c r="BX99" s="117">
        <f t="shared" si="569"/>
        <v>-9.8591549295774628E-2</v>
      </c>
      <c r="BY99" s="117">
        <f t="shared" si="569"/>
        <v>-7.4626865671641784E-2</v>
      </c>
      <c r="BZ99" s="117">
        <f t="shared" si="569"/>
        <v>-1.8181818181818188E-2</v>
      </c>
      <c r="CA99" s="117">
        <f t="shared" si="569"/>
        <v>-6.7999999999999949E-2</v>
      </c>
      <c r="CC99" s="116" t="s">
        <v>144</v>
      </c>
      <c r="CD99" s="117">
        <f t="shared" ref="CD99:CH101" si="570">CD73/BW73-1</f>
        <v>-0.16981132075471694</v>
      </c>
      <c r="CE99" s="117">
        <f t="shared" si="570"/>
        <v>-0.234375</v>
      </c>
      <c r="CF99" s="117">
        <f t="shared" si="570"/>
        <v>-0.11290322580645162</v>
      </c>
      <c r="CG99" s="117">
        <f t="shared" si="570"/>
        <v>-5.555555555555558E-2</v>
      </c>
      <c r="CH99" s="117">
        <f t="shared" si="570"/>
        <v>-0.14592274678111583</v>
      </c>
      <c r="CJ99" s="116" t="s">
        <v>144</v>
      </c>
      <c r="CK99" s="117">
        <f t="shared" ref="CK99:CO101" si="571">CK73/CD73-1</f>
        <v>9.0909090909090828E-2</v>
      </c>
      <c r="CL99" s="117">
        <f t="shared" si="571"/>
        <v>0.26530612244897966</v>
      </c>
      <c r="CM99" s="117">
        <f t="shared" si="571"/>
        <v>5.4545454545454453E-2</v>
      </c>
      <c r="CN99" s="117">
        <f t="shared" si="571"/>
        <v>0.13725490196078427</v>
      </c>
      <c r="CO99" s="117">
        <f t="shared" si="571"/>
        <v>0.13567839195979903</v>
      </c>
      <c r="CQ99" s="116" t="s">
        <v>144</v>
      </c>
      <c r="CR99" s="117">
        <f t="shared" ref="CR99:CV101" si="572">CR73/CK73-1</f>
        <v>0.16666666666666674</v>
      </c>
      <c r="CS99" s="117">
        <f t="shared" si="572"/>
        <v>9.6774193548387011E-2</v>
      </c>
      <c r="CT99" s="117">
        <f t="shared" si="572"/>
        <v>0.18965517241379315</v>
      </c>
      <c r="CU99" s="117">
        <f t="shared" si="572"/>
        <v>0.1206896551724137</v>
      </c>
      <c r="CV99" s="117">
        <f t="shared" si="572"/>
        <v>0.1415929203539823</v>
      </c>
      <c r="CX99" s="116" t="s">
        <v>144</v>
      </c>
      <c r="CY99" s="117">
        <f t="shared" ref="CY99:DC101" si="573">CY73/CR73-1</f>
        <v>0.21428571428571419</v>
      </c>
      <c r="CZ99" s="117">
        <f t="shared" si="573"/>
        <v>0.10294117647058831</v>
      </c>
      <c r="DA99" s="117">
        <f t="shared" si="573"/>
        <v>0.11594202898550732</v>
      </c>
      <c r="DB99" s="117">
        <f t="shared" si="573"/>
        <v>0.10769230769230775</v>
      </c>
      <c r="DC99" s="117">
        <f t="shared" si="573"/>
        <v>0.13178294573643412</v>
      </c>
      <c r="DE99" s="116" t="s">
        <v>144</v>
      </c>
      <c r="DF99" s="117">
        <f t="shared" ref="DF99:DJ101" si="574">DF73/CY73-1</f>
        <v>8.8235294117646967E-2</v>
      </c>
      <c r="DG99" s="117">
        <f t="shared" si="574"/>
        <v>8.0000000000000071E-2</v>
      </c>
      <c r="DH99" s="117">
        <f t="shared" si="574"/>
        <v>-1.2987012987012991E-2</v>
      </c>
      <c r="DI99" s="117">
        <f t="shared" si="574"/>
        <v>-2.777777777777779E-2</v>
      </c>
      <c r="DJ99" s="117">
        <f t="shared" si="574"/>
        <v>3.082191780821919E-2</v>
      </c>
      <c r="DL99" s="116" t="s">
        <v>144</v>
      </c>
      <c r="DM99" s="117">
        <f t="shared" ref="DM99:DQ101" si="575">DM73/DF73-1</f>
        <v>-0.1216216216216216</v>
      </c>
      <c r="DN99" s="117">
        <f t="shared" si="575"/>
        <v>-0.12345679012345678</v>
      </c>
      <c r="DO99" s="117">
        <f t="shared" si="575"/>
        <v>-7.8947368421052655E-2</v>
      </c>
      <c r="DP99" s="117">
        <f t="shared" si="575"/>
        <v>1.4285714285714235E-2</v>
      </c>
      <c r="DQ99" s="117">
        <f t="shared" si="575"/>
        <v>-7.9734219269102957E-2</v>
      </c>
      <c r="DS99" s="116" t="s">
        <v>144</v>
      </c>
      <c r="DT99" s="117">
        <f t="shared" ref="DT99:DX101" si="576">DT73/DM73-1</f>
        <v>9.2307692307692202E-2</v>
      </c>
      <c r="DU99" s="117">
        <f t="shared" si="576"/>
        <v>0.15492957746478875</v>
      </c>
      <c r="DV99" s="117">
        <f t="shared" si="576"/>
        <v>0.14285714285714279</v>
      </c>
      <c r="DW99" s="117">
        <f t="shared" si="576"/>
        <v>0.16901408450704225</v>
      </c>
      <c r="DX99" s="117">
        <f t="shared" si="576"/>
        <v>0.1407942238267148</v>
      </c>
      <c r="DZ99" s="116" t="s">
        <v>144</v>
      </c>
      <c r="EA99" s="117">
        <f t="shared" ref="EA99:EE101" si="577">EA73/DT73-1</f>
        <v>5.6338028169014009E-2</v>
      </c>
      <c r="EB99" s="117">
        <f t="shared" si="577"/>
        <v>6.0975609756097615E-2</v>
      </c>
      <c r="EC99" s="117">
        <f t="shared" si="577"/>
        <v>-0.17500000000000004</v>
      </c>
      <c r="ED99" s="117">
        <f t="shared" si="577"/>
        <v>-0.25301204819277112</v>
      </c>
      <c r="EE99" s="117">
        <f t="shared" si="577"/>
        <v>-8.2278481012658222E-2</v>
      </c>
      <c r="EG99" s="116" t="s">
        <v>144</v>
      </c>
      <c r="EH99" s="117">
        <f t="shared" ref="EH99:EL101" si="578">EH73/EA73-1</f>
        <v>5.3333333333333233E-2</v>
      </c>
      <c r="EI99" s="117">
        <f t="shared" si="578"/>
        <v>-0.10344827586206895</v>
      </c>
      <c r="EJ99" s="117">
        <f t="shared" si="578"/>
        <v>0.28787878787878785</v>
      </c>
      <c r="EK99" s="117">
        <f t="shared" si="578"/>
        <v>0.35483870967741926</v>
      </c>
      <c r="EL99" s="117">
        <f t="shared" si="578"/>
        <v>0.12413793103448278</v>
      </c>
      <c r="EN99" s="116" t="s">
        <v>144</v>
      </c>
      <c r="EO99" s="117">
        <f t="shared" ref="EO99:ES101" si="579">EO73/EH73-1</f>
        <v>0.15189873417721511</v>
      </c>
      <c r="EP99" s="117">
        <f t="shared" si="579"/>
        <v>0.14102564102564097</v>
      </c>
      <c r="EQ99" s="117">
        <f t="shared" si="579"/>
        <v>-1.1764705882352899E-2</v>
      </c>
      <c r="ER99" s="117">
        <f t="shared" si="579"/>
        <v>-5.9523809523809534E-2</v>
      </c>
      <c r="ES99" s="117">
        <f t="shared" si="579"/>
        <v>5.2147239263803602E-2</v>
      </c>
      <c r="EU99" s="116" t="s">
        <v>144</v>
      </c>
      <c r="EV99" s="117">
        <f t="shared" ref="EV99:EZ101" si="580">EV73/EO73-1</f>
        <v>-0.10989010989010994</v>
      </c>
      <c r="EW99" s="117">
        <f t="shared" si="580"/>
        <v>-6.7415730337078705E-2</v>
      </c>
      <c r="EX99" s="117">
        <f t="shared" si="580"/>
        <v>-3.5714285714285698E-2</v>
      </c>
      <c r="EY99" s="117">
        <f t="shared" si="580"/>
        <v>-6.3291139240506333E-2</v>
      </c>
      <c r="EZ99" s="117">
        <f t="shared" si="580"/>
        <v>-6.9970845481049593E-2</v>
      </c>
      <c r="FB99" s="116" t="s">
        <v>144</v>
      </c>
      <c r="FC99" s="117">
        <f t="shared" ref="FC99:FG101" si="581">FC73/EV73-1</f>
        <v>-4.9382716049382713E-2</v>
      </c>
      <c r="FD99" s="117">
        <f t="shared" si="581"/>
        <v>-3.6144578313253017E-2</v>
      </c>
      <c r="FE99" s="117">
        <f t="shared" si="581"/>
        <v>2.4691358024691468E-2</v>
      </c>
      <c r="FF99" s="117">
        <f t="shared" si="581"/>
        <v>6.7567567567567544E-2</v>
      </c>
      <c r="FG99" s="117">
        <f t="shared" si="581"/>
        <v>0</v>
      </c>
      <c r="FI99" s="116" t="s">
        <v>144</v>
      </c>
      <c r="FJ99" s="117">
        <f t="shared" ref="FJ99:FN101" si="582">FJ73/FC73-1</f>
        <v>0.14285714285714279</v>
      </c>
      <c r="FK99" s="117">
        <f t="shared" si="582"/>
        <v>8.7499999999999911E-2</v>
      </c>
      <c r="FL99" s="117">
        <f t="shared" si="582"/>
        <v>2.4096385542168752E-2</v>
      </c>
      <c r="FM99" s="117">
        <f t="shared" si="582"/>
        <v>0.11392405063291133</v>
      </c>
      <c r="FN99" s="117">
        <f t="shared" si="582"/>
        <v>9.0909090909090828E-2</v>
      </c>
      <c r="FP99" s="116" t="s">
        <v>144</v>
      </c>
      <c r="FQ99" s="117">
        <f t="shared" ref="FQ99:FU101" si="583">FQ73/FJ73-1</f>
        <v>6.8181818181818121E-2</v>
      </c>
      <c r="FR99" s="117">
        <f t="shared" si="583"/>
        <v>9.1954022988505857E-2</v>
      </c>
      <c r="FS99" s="117">
        <f t="shared" si="583"/>
        <v>0.11764705882352944</v>
      </c>
      <c r="FT99" s="117">
        <f t="shared" si="583"/>
        <v>9.0909090909090828E-2</v>
      </c>
      <c r="FU99" s="117">
        <f t="shared" si="583"/>
        <v>9.1954022988505857E-2</v>
      </c>
      <c r="FW99" s="116" t="s">
        <v>144</v>
      </c>
      <c r="FX99" s="117">
        <f t="shared" ref="FX99:GB101" si="584">FX73/FQ73-1</f>
        <v>-1.0638297872340385E-2</v>
      </c>
      <c r="FY99" s="117">
        <f t="shared" si="584"/>
        <v>-3.157894736842104E-2</v>
      </c>
      <c r="FZ99" s="117">
        <f t="shared" si="584"/>
        <v>-7.3684210526315796E-2</v>
      </c>
      <c r="GA99" s="117">
        <f t="shared" si="584"/>
        <v>-8.333333333333337E-2</v>
      </c>
      <c r="GB99" s="117">
        <f t="shared" si="584"/>
        <v>-5.0000000000000044E-2</v>
      </c>
      <c r="GD99" s="116" t="s">
        <v>144</v>
      </c>
      <c r="GE99" s="117">
        <f t="shared" ref="GE99:GI101" si="585">GE73/FX73-1</f>
        <v>1.0752688172043001E-2</v>
      </c>
      <c r="GF99" s="117">
        <f t="shared" si="585"/>
        <v>3.2608695652173836E-2</v>
      </c>
      <c r="GG99" s="117">
        <f t="shared" si="585"/>
        <v>3.4090909090909172E-2</v>
      </c>
      <c r="GH99" s="117">
        <f t="shared" si="585"/>
        <v>-4.5454545454545414E-2</v>
      </c>
      <c r="GI99" s="117">
        <f t="shared" si="585"/>
        <v>8.310249307479145E-3</v>
      </c>
      <c r="GK99" s="116" t="s">
        <v>144</v>
      </c>
      <c r="GL99" s="117">
        <f t="shared" ref="GL99:GP101" si="586">GL73/GE73-1</f>
        <v>-1.0638297872340385E-2</v>
      </c>
      <c r="GM99" s="117">
        <f t="shared" si="586"/>
        <v>-1.0526315789473717E-2</v>
      </c>
      <c r="GN99" s="117">
        <f t="shared" si="586"/>
        <v>-2.1978021978022011E-2</v>
      </c>
      <c r="GO99" s="117">
        <f t="shared" si="586"/>
        <v>-5.9523809523809534E-2</v>
      </c>
      <c r="GP99" s="117">
        <f t="shared" si="586"/>
        <v>-2.4725274725274748E-2</v>
      </c>
      <c r="GR99" s="116" t="s">
        <v>144</v>
      </c>
      <c r="GS99" s="117">
        <f t="shared" ref="GS99:GW101" si="587">GS73/GL73-1</f>
        <v>-1.0752688172043001E-2</v>
      </c>
      <c r="GT99" s="117">
        <f t="shared" si="587"/>
        <v>2.1276595744680771E-2</v>
      </c>
      <c r="GU99" s="117">
        <f t="shared" si="587"/>
        <v>3.3707865168539408E-2</v>
      </c>
      <c r="GV99" s="117">
        <f t="shared" si="587"/>
        <v>-0.27848101265822789</v>
      </c>
      <c r="GW99" s="117">
        <f t="shared" si="587"/>
        <v>-5.070422535211272E-2</v>
      </c>
      <c r="GY99" s="116" t="s">
        <v>144</v>
      </c>
      <c r="GZ99" s="117">
        <f t="shared" ref="GZ99:HD101" si="588">GZ73/GS73-1</f>
        <v>-0.47826086956521741</v>
      </c>
      <c r="HA99" s="117">
        <f t="shared" si="588"/>
        <v>-0.53125</v>
      </c>
      <c r="HB99" s="117">
        <f t="shared" si="588"/>
        <v>-0.40217391304347827</v>
      </c>
      <c r="HC99" s="117">
        <f t="shared" si="588"/>
        <v>-8.7719298245614086E-2</v>
      </c>
      <c r="HD99" s="117">
        <f t="shared" si="588"/>
        <v>-0.40652818991097928</v>
      </c>
      <c r="HF99" s="116" t="s">
        <v>144</v>
      </c>
      <c r="HG99" s="117">
        <f t="shared" ref="HG99:HK101" si="589">HG73/GZ73-1</f>
        <v>0.27083333333333326</v>
      </c>
      <c r="HH99" s="117">
        <f t="shared" si="589"/>
        <v>0.44444444444444442</v>
      </c>
      <c r="HI99" s="117">
        <f t="shared" si="589"/>
        <v>3.6363636363636376E-2</v>
      </c>
      <c r="HJ99" s="117">
        <f t="shared" si="589"/>
        <v>0.15384615384615374</v>
      </c>
      <c r="HK99" s="117">
        <f t="shared" si="589"/>
        <v>0.21500000000000008</v>
      </c>
      <c r="HM99" s="116" t="s">
        <v>144</v>
      </c>
      <c r="HN99" s="117">
        <f t="shared" si="532"/>
        <v>9.8360655737705027E-2</v>
      </c>
      <c r="HO99" s="117">
        <f t="shared" si="532"/>
        <v>4.6153846153846212E-2</v>
      </c>
      <c r="HP99" s="117">
        <f t="shared" si="532"/>
        <v>0.15789473684210531</v>
      </c>
      <c r="HQ99" s="117">
        <f t="shared" si="532"/>
        <v>6.6666666666666652E-2</v>
      </c>
      <c r="HR99" s="117">
        <f t="shared" si="532"/>
        <v>9.0534979423868345E-2</v>
      </c>
      <c r="HT99" s="116" t="s">
        <v>144</v>
      </c>
      <c r="HU99" s="117">
        <f t="shared" si="533"/>
        <v>7.4626865671641784E-2</v>
      </c>
      <c r="HV99" s="117">
        <f t="shared" si="533"/>
        <v>-1.4705882352941124E-2</v>
      </c>
      <c r="HW99" s="117">
        <f t="shared" si="533"/>
        <v>-3.0303030303030276E-2</v>
      </c>
      <c r="HX99" s="117">
        <f t="shared" si="533"/>
        <v>-6.25E-2</v>
      </c>
      <c r="HY99" s="117">
        <f t="shared" si="533"/>
        <v>-7.547169811320753E-3</v>
      </c>
      <c r="IA99" s="116" t="s">
        <v>144</v>
      </c>
      <c r="IB99" s="117">
        <f t="shared" si="534"/>
        <v>8.3333333333333259E-2</v>
      </c>
      <c r="IC99" s="117">
        <f t="shared" si="534"/>
        <v>0.13432835820895517</v>
      </c>
      <c r="ID99" s="117">
        <f t="shared" si="534"/>
        <v>0.25</v>
      </c>
      <c r="IE99" s="117">
        <f t="shared" si="534"/>
        <v>0.25</v>
      </c>
      <c r="IF99" s="117">
        <f t="shared" si="534"/>
        <v>0.17490494296577941</v>
      </c>
      <c r="IH99" s="116" t="s">
        <v>144</v>
      </c>
      <c r="II99" s="117">
        <f t="shared" si="535"/>
        <v>0</v>
      </c>
      <c r="IJ99" s="117">
        <f t="shared" si="535"/>
        <v>0.14473684210526305</v>
      </c>
      <c r="IK99" s="117">
        <f t="shared" si="535"/>
        <v>8.7499999999999911E-2</v>
      </c>
      <c r="IL99" s="117">
        <f t="shared" si="535"/>
        <v>5.3333333333333233E-2</v>
      </c>
      <c r="IM99" s="117">
        <f t="shared" si="535"/>
        <v>7.1197411003236288E-2</v>
      </c>
      <c r="IO99" s="116" t="s">
        <v>144</v>
      </c>
      <c r="IP99" s="117">
        <f t="shared" si="536"/>
        <v>-7.6923076923076872E-2</v>
      </c>
      <c r="IQ99" s="117">
        <f t="shared" si="536"/>
        <v>-0.13793103448275867</v>
      </c>
      <c r="IR99" s="117">
        <f t="shared" si="536"/>
        <v>-0.17241379310344829</v>
      </c>
      <c r="IS99" s="117">
        <f t="shared" si="536"/>
        <v>-0.17721518987341767</v>
      </c>
      <c r="IT99" s="117">
        <f t="shared" si="536"/>
        <v>-0.14199395770392753</v>
      </c>
      <c r="IV99" s="116" t="s">
        <v>144</v>
      </c>
      <c r="IW99" s="117">
        <f t="shared" si="537"/>
        <v>-0.13888888888888884</v>
      </c>
      <c r="IX99" s="117">
        <f t="shared" si="537"/>
        <v>-5.3333333333333344E-2</v>
      </c>
      <c r="IY99" s="117">
        <f t="shared" si="537"/>
        <v>-0.125</v>
      </c>
      <c r="IZ99" s="117">
        <f t="shared" si="537"/>
        <v>7.6923076923076872E-2</v>
      </c>
      <c r="JA99" s="117">
        <f t="shared" si="537"/>
        <v>-6.3380281690140872E-2</v>
      </c>
      <c r="JC99" s="116" t="s">
        <v>144</v>
      </c>
      <c r="JD99" s="117">
        <f t="shared" si="538"/>
        <v>0.12903225806451624</v>
      </c>
      <c r="JE99" s="117">
        <f t="shared" si="538"/>
        <v>-5.633802816901412E-2</v>
      </c>
      <c r="JF99" s="117">
        <f t="shared" si="538"/>
        <v>1.5873015873015817E-2</v>
      </c>
      <c r="JG99" s="117">
        <f t="shared" si="538"/>
        <v>-0.2142857142857143</v>
      </c>
      <c r="JH99" s="117">
        <f t="shared" si="538"/>
        <v>-3.7593984962406068E-2</v>
      </c>
      <c r="JJ99" s="116" t="s">
        <v>144</v>
      </c>
      <c r="JK99" s="117">
        <f t="shared" si="539"/>
        <v>-8.5714285714285743E-2</v>
      </c>
      <c r="JL99" s="117">
        <f t="shared" si="539"/>
        <v>2.9850746268656803E-2</v>
      </c>
      <c r="JM99" s="117">
        <f t="shared" si="539"/>
        <v>7.8125E-2</v>
      </c>
      <c r="JN99" s="117">
        <f t="shared" si="539"/>
        <v>0.18181818181818188</v>
      </c>
      <c r="JO99" s="117">
        <f t="shared" si="539"/>
        <v>4.296875E-2</v>
      </c>
      <c r="JQ99" s="116" t="s">
        <v>144</v>
      </c>
      <c r="JR99" s="117">
        <f t="shared" si="540"/>
        <v>0</v>
      </c>
      <c r="JS99" s="117">
        <f t="shared" si="540"/>
        <v>-8.6956521739130488E-2</v>
      </c>
      <c r="JT99" s="117">
        <f t="shared" si="540"/>
        <v>-5.7971014492753659E-2</v>
      </c>
      <c r="JU99" s="117">
        <f t="shared" si="540"/>
        <v>-0.13846153846153841</v>
      </c>
      <c r="JV99" s="117">
        <f t="shared" si="540"/>
        <v>-7.1161048689138529E-2</v>
      </c>
      <c r="JX99" s="116" t="s">
        <v>144</v>
      </c>
      <c r="JY99" s="117">
        <f t="shared" si="541"/>
        <v>4.6875E-2</v>
      </c>
      <c r="JZ99" s="117">
        <f t="shared" si="541"/>
        <v>-0.23809523809523814</v>
      </c>
      <c r="KA99" s="117">
        <f t="shared" si="541"/>
        <v>-0.10769230769230764</v>
      </c>
      <c r="KB99" s="117">
        <f t="shared" si="541"/>
        <v>0.1785714285714286</v>
      </c>
      <c r="KC99" s="117">
        <f t="shared" si="541"/>
        <v>-3.6290322580645129E-2</v>
      </c>
      <c r="KE99" s="116" t="s">
        <v>144</v>
      </c>
      <c r="KF99" s="117">
        <f t="shared" si="542"/>
        <v>1.4925373134328401E-2</v>
      </c>
      <c r="KG99" s="117">
        <f t="shared" si="542"/>
        <v>0.47916666666666674</v>
      </c>
      <c r="KH99" s="117">
        <f t="shared" si="542"/>
        <v>0.2068965517241379</v>
      </c>
      <c r="KI99" s="117">
        <f t="shared" si="542"/>
        <v>3.0303030303030276E-2</v>
      </c>
      <c r="KJ99" s="117">
        <f t="shared" si="542"/>
        <v>0.15899581589958167</v>
      </c>
      <c r="KL99" s="116" t="s">
        <v>144</v>
      </c>
      <c r="KM99" s="117">
        <f t="shared" si="543"/>
        <v>-2.9411764705882359E-2</v>
      </c>
      <c r="KN99" s="117">
        <f t="shared" si="543"/>
        <v>-2.8169014084507005E-2</v>
      </c>
      <c r="KO99" s="117">
        <f t="shared" si="543"/>
        <v>-4.2857142857142816E-2</v>
      </c>
      <c r="KP99" s="117">
        <f t="shared" si="543"/>
        <v>-4.4117647058823484E-2</v>
      </c>
      <c r="KQ99" s="117">
        <f t="shared" si="543"/>
        <v>-3.6101083032490933E-2</v>
      </c>
      <c r="KS99" s="116" t="s">
        <v>144</v>
      </c>
      <c r="KT99" s="117">
        <f t="shared" si="544"/>
        <v>0.10606060606060597</v>
      </c>
      <c r="KU99" s="117">
        <f t="shared" si="544"/>
        <v>7.2463768115942129E-2</v>
      </c>
      <c r="KV99" s="117">
        <f t="shared" si="544"/>
        <v>4.4776119402984982E-2</v>
      </c>
      <c r="KW99" s="117">
        <f t="shared" si="544"/>
        <v>3.076923076923066E-2</v>
      </c>
      <c r="KX99" s="117">
        <f t="shared" si="544"/>
        <v>6.367041198501866E-2</v>
      </c>
      <c r="KZ99" s="116" t="s">
        <v>144</v>
      </c>
      <c r="LA99" s="117">
        <f t="shared" ref="LA99:LE99" si="590">(LA73/KT73)-1</f>
        <v>0</v>
      </c>
      <c r="LB99" s="117">
        <f t="shared" si="590"/>
        <v>-8.108108108108103E-2</v>
      </c>
      <c r="LC99" s="216">
        <f t="shared" si="590"/>
        <v>-8.5714285714285743E-2</v>
      </c>
      <c r="LD99" s="216">
        <f t="shared" si="590"/>
        <v>-5.9701492537313383E-2</v>
      </c>
      <c r="LE99" s="216">
        <f t="shared" si="590"/>
        <v>-5.633802816901412E-2</v>
      </c>
      <c r="LF99" s="567"/>
      <c r="LG99" s="116" t="s">
        <v>144</v>
      </c>
      <c r="LH99" s="216">
        <f t="shared" si="546"/>
        <v>-0.1095890410958904</v>
      </c>
      <c r="LI99" s="216">
        <f t="shared" si="547"/>
        <v>2.9411764705882248E-2</v>
      </c>
      <c r="LJ99" s="216">
        <f t="shared" si="548"/>
        <v>4.6875E-2</v>
      </c>
      <c r="LK99" s="216">
        <f t="shared" si="549"/>
        <v>0</v>
      </c>
      <c r="LL99" s="216">
        <f t="shared" si="550"/>
        <v>-1.1194029850746245E-2</v>
      </c>
      <c r="LM99" s="567"/>
      <c r="LN99" s="116" t="s">
        <v>144</v>
      </c>
      <c r="LO99" s="216">
        <f t="shared" si="551"/>
        <v>3.499999999999992E-2</v>
      </c>
      <c r="LP99" s="216">
        <f t="shared" si="552"/>
        <v>-1.0000000000000009E-2</v>
      </c>
      <c r="LQ99" s="216">
        <f t="shared" si="553"/>
        <v>2.4999999999999911E-2</v>
      </c>
      <c r="LR99" s="216">
        <f t="shared" si="554"/>
        <v>1.4999999999999902E-2</v>
      </c>
      <c r="LS99" s="216">
        <f t="shared" si="555"/>
        <v>1.5830188679245349E-2</v>
      </c>
      <c r="LT99" s="567"/>
      <c r="LU99" s="116" t="s">
        <v>144</v>
      </c>
      <c r="LV99" s="216">
        <f t="shared" si="556"/>
        <v>2.4999999999999911E-2</v>
      </c>
      <c r="LW99" s="216">
        <f t="shared" si="557"/>
        <v>2.4999999999999911E-2</v>
      </c>
      <c r="LX99" s="216">
        <f t="shared" si="558"/>
        <v>2.4999999999999911E-2</v>
      </c>
      <c r="LY99" s="216">
        <f t="shared" si="559"/>
        <v>2.4999999999999911E-2</v>
      </c>
      <c r="LZ99" s="216">
        <f t="shared" si="560"/>
        <v>2.4999999999999689E-2</v>
      </c>
      <c r="MA99" s="567"/>
      <c r="MB99" s="116" t="s">
        <v>144</v>
      </c>
      <c r="MC99" s="216">
        <f t="shared" si="561"/>
        <v>2.4999999999999911E-2</v>
      </c>
      <c r="MD99" s="216">
        <f t="shared" si="562"/>
        <v>2.4999999999999911E-2</v>
      </c>
      <c r="ME99" s="216">
        <f t="shared" si="563"/>
        <v>2.4999999999999911E-2</v>
      </c>
      <c r="MF99" s="216">
        <f t="shared" si="564"/>
        <v>2.4999999999999911E-2</v>
      </c>
      <c r="MG99" s="216">
        <f t="shared" si="565"/>
        <v>2.4999999999999911E-2</v>
      </c>
      <c r="MH99" s="567"/>
    </row>
    <row r="100" spans="1:346" s="37" customFormat="1" ht="13.15" x14ac:dyDescent="0.4">
      <c r="A100" s="100"/>
      <c r="B100" s="116" t="s">
        <v>142</v>
      </c>
      <c r="C100" s="117"/>
      <c r="D100" s="117"/>
      <c r="E100" s="117"/>
      <c r="F100" s="117"/>
      <c r="G100" s="117"/>
      <c r="H100" s="117"/>
      <c r="I100" s="117"/>
      <c r="J100" s="117"/>
      <c r="K100" s="117"/>
      <c r="L100" s="117"/>
      <c r="M100" s="117"/>
      <c r="N100" s="117">
        <f t="shared" si="471"/>
        <v>0</v>
      </c>
      <c r="O100" s="117">
        <f t="shared" si="472"/>
        <v>-6.7641681901279727E-2</v>
      </c>
      <c r="P100" s="117">
        <f t="shared" si="473"/>
        <v>-0.13921568627450975</v>
      </c>
      <c r="Q100" s="117">
        <f t="shared" si="474"/>
        <v>4.5558086560364419E-3</v>
      </c>
      <c r="R100" s="117">
        <f t="shared" si="475"/>
        <v>-1.3605442176870763E-2</v>
      </c>
      <c r="S100" s="117">
        <f t="shared" si="476"/>
        <v>1.6091954022988464E-2</v>
      </c>
      <c r="T100" s="117">
        <f t="shared" si="477"/>
        <v>3.167420814479649E-2</v>
      </c>
      <c r="U100" s="117">
        <f t="shared" si="478"/>
        <v>8.7719298245614308E-3</v>
      </c>
      <c r="V100" s="117">
        <f t="shared" si="479"/>
        <v>2.3913043478260843E-2</v>
      </c>
      <c r="W100" s="117">
        <f t="shared" si="480"/>
        <v>-2.9723991507430991E-2</v>
      </c>
      <c r="X100" s="117">
        <f t="shared" si="481"/>
        <v>0.10503282275711157</v>
      </c>
      <c r="Y100" s="117">
        <f t="shared" si="482"/>
        <v>0.2831683168316832</v>
      </c>
      <c r="Z100" s="117">
        <f t="shared" si="483"/>
        <v>-7.870370370370372E-2</v>
      </c>
      <c r="AA100" s="117">
        <f t="shared" si="484"/>
        <v>-1.1725293132328285E-2</v>
      </c>
      <c r="AB100" s="117">
        <f t="shared" si="485"/>
        <v>-0.16440677966101691</v>
      </c>
      <c r="AC100" s="117">
        <f t="shared" si="486"/>
        <v>-5.679513184584184E-2</v>
      </c>
      <c r="AD100" s="117">
        <f t="shared" si="487"/>
        <v>-5.5913978494623651E-2</v>
      </c>
      <c r="AE100" s="117">
        <f t="shared" si="488"/>
        <v>-7.9726651480637845E-2</v>
      </c>
      <c r="AF100" s="117">
        <f t="shared" si="489"/>
        <v>-4.7029702970297071E-2</v>
      </c>
      <c r="AG100" s="117">
        <f t="shared" si="490"/>
        <v>-0.10649350649350653</v>
      </c>
      <c r="AH100" s="117">
        <f t="shared" si="491"/>
        <v>-0.25</v>
      </c>
      <c r="AI100" s="117">
        <f t="shared" si="492"/>
        <v>2.7131782945736482E-2</v>
      </c>
      <c r="AJ100" s="117">
        <f t="shared" si="493"/>
        <v>6.0377358490566024E-2</v>
      </c>
      <c r="AK100" s="117">
        <f t="shared" si="494"/>
        <v>1.7793594306049876E-2</v>
      </c>
      <c r="AL100" s="117">
        <f t="shared" si="495"/>
        <v>4.195804195804187E-2</v>
      </c>
      <c r="AM100" s="117">
        <f t="shared" si="496"/>
        <v>3.0201342281879207E-2</v>
      </c>
      <c r="AN100" s="117">
        <f t="shared" si="497"/>
        <v>-5.5374592833876246E-2</v>
      </c>
      <c r="AO100" s="117">
        <f t="shared" si="498"/>
        <v>-2.0689655172413834E-2</v>
      </c>
      <c r="AP100" s="117">
        <f t="shared" si="499"/>
        <v>7.3943661971830998E-2</v>
      </c>
      <c r="AQ100" s="117">
        <f t="shared" si="500"/>
        <v>3.6065573770491799E-2</v>
      </c>
      <c r="AR100" s="117">
        <f t="shared" si="501"/>
        <v>9.493670886076E-3</v>
      </c>
      <c r="AS100" s="117">
        <f t="shared" si="502"/>
        <v>-0.15360501567398122</v>
      </c>
      <c r="AT100" s="117">
        <f t="shared" si="503"/>
        <v>9.6296296296296324E-2</v>
      </c>
      <c r="AU100" s="117">
        <f t="shared" si="504"/>
        <v>-1.6891891891891886E-2</v>
      </c>
      <c r="AV100" s="117">
        <f t="shared" si="505"/>
        <v>-3.0927835051546393E-2</v>
      </c>
      <c r="AW100" s="117">
        <f t="shared" si="506"/>
        <v>2.4822695035461084E-2</v>
      </c>
      <c r="AX100" s="117">
        <f t="shared" si="507"/>
        <v>-5.8823529411764719E-2</v>
      </c>
      <c r="AY100" s="117">
        <f t="shared" si="508"/>
        <v>-2.7536764705882399E-2</v>
      </c>
      <c r="AZ100" s="117">
        <f t="shared" si="509"/>
        <v>1.3766209217042746E-2</v>
      </c>
      <c r="BA100" s="117">
        <f t="shared" si="510"/>
        <v>2.5100189706333875E-2</v>
      </c>
      <c r="BB100" s="117"/>
      <c r="BC100" s="117"/>
      <c r="BD100" s="117"/>
      <c r="BE100" s="117"/>
      <c r="BF100" s="117"/>
      <c r="BG100" s="117"/>
      <c r="BH100" s="117"/>
      <c r="BI100" s="117"/>
      <c r="BJ100" s="117"/>
      <c r="BK100" s="117"/>
      <c r="BL100" s="117"/>
      <c r="BM100" s="117"/>
      <c r="BO100" s="116" t="s">
        <v>142</v>
      </c>
      <c r="BP100" s="117"/>
      <c r="BQ100" s="117"/>
      <c r="BR100" s="117"/>
      <c r="BS100" s="117"/>
      <c r="BT100" s="117"/>
      <c r="BV100" s="116" t="s">
        <v>142</v>
      </c>
      <c r="BW100" s="117">
        <f t="shared" si="569"/>
        <v>-6.8027210884353706E-2</v>
      </c>
      <c r="BX100" s="117">
        <f t="shared" si="569"/>
        <v>-5.0359712230215847E-2</v>
      </c>
      <c r="BY100" s="117">
        <f t="shared" si="569"/>
        <v>-7.2992700729927029E-2</v>
      </c>
      <c r="BZ100" s="117">
        <f t="shared" si="569"/>
        <v>-8.064516129032262E-2</v>
      </c>
      <c r="CA100" s="117">
        <f t="shared" si="569"/>
        <v>-6.7641681901279727E-2</v>
      </c>
      <c r="CC100" s="116" t="s">
        <v>142</v>
      </c>
      <c r="CD100" s="117">
        <f t="shared" si="570"/>
        <v>-0.17518248175182483</v>
      </c>
      <c r="CE100" s="117">
        <f t="shared" si="570"/>
        <v>-0.18939393939393945</v>
      </c>
      <c r="CF100" s="117">
        <f t="shared" si="570"/>
        <v>-0.13385826771653542</v>
      </c>
      <c r="CG100" s="117">
        <f t="shared" si="570"/>
        <v>-4.3859649122807043E-2</v>
      </c>
      <c r="CH100" s="117">
        <f t="shared" si="570"/>
        <v>-0.13921568627450975</v>
      </c>
      <c r="CJ100" s="116" t="s">
        <v>142</v>
      </c>
      <c r="CK100" s="117">
        <f t="shared" si="571"/>
        <v>1.7699115044247815E-2</v>
      </c>
      <c r="CL100" s="117">
        <f t="shared" si="571"/>
        <v>1.8691588785046731E-2</v>
      </c>
      <c r="CM100" s="117">
        <f t="shared" si="571"/>
        <v>-9.0909090909090384E-3</v>
      </c>
      <c r="CN100" s="117">
        <f t="shared" si="571"/>
        <v>-9.1743119266054496E-3</v>
      </c>
      <c r="CO100" s="117">
        <f t="shared" si="571"/>
        <v>4.5558086560364419E-3</v>
      </c>
      <c r="CQ100" s="116" t="s">
        <v>142</v>
      </c>
      <c r="CR100" s="117">
        <f t="shared" si="572"/>
        <v>-4.3478260869565188E-2</v>
      </c>
      <c r="CS100" s="117">
        <f t="shared" si="572"/>
        <v>0</v>
      </c>
      <c r="CT100" s="117">
        <f t="shared" si="572"/>
        <v>-1.834862385321101E-2</v>
      </c>
      <c r="CU100" s="117">
        <f t="shared" si="572"/>
        <v>9.2592592592593004E-3</v>
      </c>
      <c r="CV100" s="117">
        <f t="shared" si="572"/>
        <v>-1.3605442176870763E-2</v>
      </c>
      <c r="CX100" s="116" t="s">
        <v>142</v>
      </c>
      <c r="CY100" s="117">
        <f t="shared" si="573"/>
        <v>9.0909090909090384E-3</v>
      </c>
      <c r="CZ100" s="117">
        <f t="shared" si="573"/>
        <v>3.669724770642202E-2</v>
      </c>
      <c r="DA100" s="117">
        <f t="shared" si="573"/>
        <v>2.8037383177569986E-2</v>
      </c>
      <c r="DB100" s="117">
        <f t="shared" si="573"/>
        <v>-9.1743119266054496E-3</v>
      </c>
      <c r="DC100" s="117">
        <f t="shared" si="573"/>
        <v>1.6091954022988464E-2</v>
      </c>
      <c r="DE100" s="116" t="s">
        <v>142</v>
      </c>
      <c r="DF100" s="117">
        <f t="shared" si="574"/>
        <v>9.009009009008917E-3</v>
      </c>
      <c r="DG100" s="117">
        <f t="shared" si="574"/>
        <v>2.6548672566371723E-2</v>
      </c>
      <c r="DH100" s="117">
        <f t="shared" si="574"/>
        <v>5.4545454545454453E-2</v>
      </c>
      <c r="DI100" s="117">
        <f t="shared" si="574"/>
        <v>3.7037037037036979E-2</v>
      </c>
      <c r="DJ100" s="117">
        <f t="shared" si="574"/>
        <v>3.167420814479649E-2</v>
      </c>
      <c r="DL100" s="116" t="s">
        <v>142</v>
      </c>
      <c r="DM100" s="117">
        <f t="shared" si="575"/>
        <v>4.4642857142857206E-2</v>
      </c>
      <c r="DN100" s="117">
        <f t="shared" si="575"/>
        <v>-5.1724137931034475E-2</v>
      </c>
      <c r="DO100" s="117">
        <f t="shared" si="575"/>
        <v>1.7241379310344751E-2</v>
      </c>
      <c r="DP100" s="117">
        <f t="shared" si="575"/>
        <v>2.6785714285714191E-2</v>
      </c>
      <c r="DQ100" s="117">
        <f t="shared" si="575"/>
        <v>8.7719298245614308E-3</v>
      </c>
      <c r="DS100" s="116" t="s">
        <v>142</v>
      </c>
      <c r="DT100" s="117">
        <f t="shared" si="576"/>
        <v>2.564102564102555E-2</v>
      </c>
      <c r="DU100" s="117">
        <f t="shared" si="576"/>
        <v>7.2727272727272751E-2</v>
      </c>
      <c r="DV100" s="117">
        <f t="shared" si="576"/>
        <v>-8.4745762711864181E-3</v>
      </c>
      <c r="DW100" s="117">
        <f t="shared" si="576"/>
        <v>8.6956521739129933E-3</v>
      </c>
      <c r="DX100" s="117">
        <f t="shared" si="576"/>
        <v>2.3913043478260843E-2</v>
      </c>
      <c r="DZ100" s="116" t="s">
        <v>142</v>
      </c>
      <c r="EA100" s="117">
        <f t="shared" si="577"/>
        <v>-1.6666666666666718E-2</v>
      </c>
      <c r="EB100" s="117">
        <f t="shared" si="577"/>
        <v>-1.6949152542372836E-2</v>
      </c>
      <c r="EC100" s="117">
        <f t="shared" si="577"/>
        <v>-1.7094017094017144E-2</v>
      </c>
      <c r="ED100" s="117">
        <f t="shared" si="577"/>
        <v>-6.8965517241379337E-2</v>
      </c>
      <c r="EE100" s="117">
        <f t="shared" si="577"/>
        <v>-2.9723991507430991E-2</v>
      </c>
      <c r="EG100" s="116" t="s">
        <v>142</v>
      </c>
      <c r="EH100" s="117">
        <f t="shared" si="578"/>
        <v>2.5423728813559254E-2</v>
      </c>
      <c r="EI100" s="117">
        <f t="shared" si="578"/>
        <v>4.31034482758621E-2</v>
      </c>
      <c r="EJ100" s="117">
        <f t="shared" si="578"/>
        <v>0.14782608695652177</v>
      </c>
      <c r="EK100" s="117">
        <f t="shared" si="578"/>
        <v>0.21296296296296302</v>
      </c>
      <c r="EL100" s="117">
        <f t="shared" si="578"/>
        <v>0.10503282275711157</v>
      </c>
      <c r="EN100" s="116" t="s">
        <v>142</v>
      </c>
      <c r="EO100" s="117">
        <f t="shared" si="579"/>
        <v>0.41322314049586772</v>
      </c>
      <c r="EP100" s="117">
        <f t="shared" si="579"/>
        <v>0.38016528925619841</v>
      </c>
      <c r="EQ100" s="117">
        <f t="shared" si="579"/>
        <v>0.19696969696969702</v>
      </c>
      <c r="ER100" s="117">
        <f t="shared" si="579"/>
        <v>0.16030534351145032</v>
      </c>
      <c r="ES100" s="117">
        <f t="shared" si="579"/>
        <v>0.2831683168316832</v>
      </c>
      <c r="EU100" s="116" t="s">
        <v>142</v>
      </c>
      <c r="EV100" s="117">
        <f t="shared" si="580"/>
        <v>-0.11695906432748537</v>
      </c>
      <c r="EW100" s="117">
        <f t="shared" si="580"/>
        <v>-8.9820359281437168E-2</v>
      </c>
      <c r="EX100" s="117">
        <f t="shared" si="580"/>
        <v>-5.0632911392405111E-2</v>
      </c>
      <c r="EY100" s="117">
        <f t="shared" si="580"/>
        <v>-5.2631578947368474E-2</v>
      </c>
      <c r="EZ100" s="117">
        <f t="shared" si="580"/>
        <v>-7.870370370370372E-2</v>
      </c>
      <c r="FB100" s="116" t="s">
        <v>142</v>
      </c>
      <c r="FC100" s="117">
        <f t="shared" si="581"/>
        <v>-4.635761589403975E-2</v>
      </c>
      <c r="FD100" s="117">
        <f t="shared" si="581"/>
        <v>0</v>
      </c>
      <c r="FE100" s="117">
        <f t="shared" si="581"/>
        <v>6.6666666666665986E-3</v>
      </c>
      <c r="FF100" s="117">
        <f t="shared" si="581"/>
        <v>-6.9444444444444198E-3</v>
      </c>
      <c r="FG100" s="117">
        <f t="shared" si="581"/>
        <v>-1.1725293132328285E-2</v>
      </c>
      <c r="FI100" s="116" t="s">
        <v>142</v>
      </c>
      <c r="FJ100" s="117">
        <f t="shared" si="582"/>
        <v>2.7777777777777679E-2</v>
      </c>
      <c r="FK100" s="117">
        <f t="shared" si="582"/>
        <v>-0.23684210526315785</v>
      </c>
      <c r="FL100" s="117">
        <f t="shared" si="582"/>
        <v>-0.23841059602649006</v>
      </c>
      <c r="FM100" s="117">
        <f t="shared" si="582"/>
        <v>-0.20279720279720281</v>
      </c>
      <c r="FN100" s="117">
        <f t="shared" si="582"/>
        <v>-0.16440677966101691</v>
      </c>
      <c r="FP100" s="116" t="s">
        <v>142</v>
      </c>
      <c r="FQ100" s="117">
        <f t="shared" si="583"/>
        <v>-0.22972972972972971</v>
      </c>
      <c r="FR100" s="117">
        <f t="shared" si="583"/>
        <v>-8.6206896551723755E-3</v>
      </c>
      <c r="FS100" s="117">
        <f t="shared" si="583"/>
        <v>0</v>
      </c>
      <c r="FT100" s="117">
        <f t="shared" si="583"/>
        <v>6.1403508771929793E-2</v>
      </c>
      <c r="FU100" s="117">
        <f t="shared" si="583"/>
        <v>-5.679513184584184E-2</v>
      </c>
      <c r="FW100" s="116" t="s">
        <v>142</v>
      </c>
      <c r="FX100" s="117">
        <f t="shared" si="584"/>
        <v>-8.7719298245614308E-3</v>
      </c>
      <c r="FY100" s="117">
        <f t="shared" si="584"/>
        <v>-1.7391304347826098E-2</v>
      </c>
      <c r="FZ100" s="117">
        <f t="shared" si="584"/>
        <v>-6.956521739130439E-2</v>
      </c>
      <c r="GA100" s="117">
        <f t="shared" si="584"/>
        <v>-0.12396694214876036</v>
      </c>
      <c r="GB100" s="117">
        <f t="shared" si="584"/>
        <v>-5.5913978494623651E-2</v>
      </c>
      <c r="GD100" s="116" t="s">
        <v>142</v>
      </c>
      <c r="GE100" s="117">
        <f t="shared" si="585"/>
        <v>-6.1946902654867242E-2</v>
      </c>
      <c r="GF100" s="117">
        <f t="shared" si="585"/>
        <v>-8.8495575221238965E-2</v>
      </c>
      <c r="GG100" s="117">
        <f t="shared" si="585"/>
        <v>-6.5420560747663559E-2</v>
      </c>
      <c r="GH100" s="117">
        <f t="shared" si="585"/>
        <v>-0.10377358490566035</v>
      </c>
      <c r="GI100" s="117">
        <f t="shared" si="585"/>
        <v>-7.9726651480637845E-2</v>
      </c>
      <c r="GK100" s="116" t="s">
        <v>142</v>
      </c>
      <c r="GL100" s="117">
        <f t="shared" si="586"/>
        <v>-3.7735849056603765E-2</v>
      </c>
      <c r="GM100" s="117">
        <f t="shared" si="586"/>
        <v>-2.9126213592232997E-2</v>
      </c>
      <c r="GN100" s="117">
        <f t="shared" si="586"/>
        <v>-4.0000000000000036E-2</v>
      </c>
      <c r="GO100" s="117">
        <f t="shared" si="586"/>
        <v>-8.4210526315789513E-2</v>
      </c>
      <c r="GP100" s="117">
        <f t="shared" si="586"/>
        <v>-4.7029702970297071E-2</v>
      </c>
      <c r="GR100" s="116" t="s">
        <v>142</v>
      </c>
      <c r="GS100" s="117">
        <f t="shared" si="587"/>
        <v>-0.1470588235294118</v>
      </c>
      <c r="GT100" s="117">
        <f t="shared" si="587"/>
        <v>-9.9999999999999978E-2</v>
      </c>
      <c r="GU100" s="117">
        <f t="shared" si="587"/>
        <v>-6.25E-2</v>
      </c>
      <c r="GV100" s="117">
        <f t="shared" si="587"/>
        <v>-0.11494252873563215</v>
      </c>
      <c r="GW100" s="117">
        <f t="shared" si="587"/>
        <v>-0.10649350649350653</v>
      </c>
      <c r="GY100" s="116" t="s">
        <v>142</v>
      </c>
      <c r="GZ100" s="117">
        <f t="shared" si="588"/>
        <v>-0.25287356321839083</v>
      </c>
      <c r="HA100" s="117">
        <f t="shared" si="588"/>
        <v>-0.28888888888888886</v>
      </c>
      <c r="HB100" s="117">
        <f t="shared" si="588"/>
        <v>-0.25555555555555554</v>
      </c>
      <c r="HC100" s="117">
        <f t="shared" si="588"/>
        <v>-0.19480519480519476</v>
      </c>
      <c r="HD100" s="117">
        <f t="shared" si="588"/>
        <v>-0.25</v>
      </c>
      <c r="HF100" s="116" t="s">
        <v>142</v>
      </c>
      <c r="HG100" s="117">
        <f t="shared" si="589"/>
        <v>-3.0769230769230771E-2</v>
      </c>
      <c r="HH100" s="117">
        <f t="shared" si="589"/>
        <v>1.5625E-2</v>
      </c>
      <c r="HI100" s="117">
        <f t="shared" si="589"/>
        <v>0</v>
      </c>
      <c r="HJ100" s="117">
        <f t="shared" si="589"/>
        <v>0.12903225806451624</v>
      </c>
      <c r="HK100" s="117">
        <f t="shared" si="589"/>
        <v>2.7131782945736482E-2</v>
      </c>
      <c r="HM100" s="116" t="s">
        <v>142</v>
      </c>
      <c r="HN100" s="117">
        <f t="shared" si="532"/>
        <v>9.5238095238095344E-2</v>
      </c>
      <c r="HO100" s="117">
        <f t="shared" si="532"/>
        <v>7.6923076923076872E-2</v>
      </c>
      <c r="HP100" s="117">
        <f t="shared" si="532"/>
        <v>8.9552238805970186E-2</v>
      </c>
      <c r="HQ100" s="117">
        <f t="shared" si="532"/>
        <v>-1.4285714285714235E-2</v>
      </c>
      <c r="HR100" s="117">
        <f t="shared" si="532"/>
        <v>6.0377358490566024E-2</v>
      </c>
      <c r="HT100" s="116" t="s">
        <v>142</v>
      </c>
      <c r="HU100" s="117">
        <f t="shared" si="533"/>
        <v>5.7971014492753659E-2</v>
      </c>
      <c r="HV100" s="117">
        <f t="shared" si="533"/>
        <v>1.4285714285714235E-2</v>
      </c>
      <c r="HW100" s="117">
        <f t="shared" si="533"/>
        <v>0</v>
      </c>
      <c r="HX100" s="117">
        <f t="shared" si="533"/>
        <v>0</v>
      </c>
      <c r="HY100" s="117">
        <f t="shared" si="533"/>
        <v>1.7793594306049876E-2</v>
      </c>
      <c r="IA100" s="116" t="s">
        <v>142</v>
      </c>
      <c r="IB100" s="117">
        <f t="shared" si="534"/>
        <v>0</v>
      </c>
      <c r="IC100" s="117">
        <f t="shared" si="534"/>
        <v>4.2253521126760507E-2</v>
      </c>
      <c r="ID100" s="117">
        <f t="shared" si="534"/>
        <v>5.4794520547945202E-2</v>
      </c>
      <c r="IE100" s="117">
        <f t="shared" si="534"/>
        <v>7.2463768115942129E-2</v>
      </c>
      <c r="IF100" s="117">
        <f t="shared" si="534"/>
        <v>4.195804195804187E-2</v>
      </c>
      <c r="IH100" s="116" t="s">
        <v>142</v>
      </c>
      <c r="II100" s="117">
        <f t="shared" si="535"/>
        <v>1.3698630136986356E-2</v>
      </c>
      <c r="IJ100" s="117">
        <f t="shared" si="535"/>
        <v>6.7567567567567544E-2</v>
      </c>
      <c r="IK100" s="117">
        <f t="shared" si="535"/>
        <v>0</v>
      </c>
      <c r="IL100" s="117">
        <f t="shared" si="535"/>
        <v>4.0540540540540571E-2</v>
      </c>
      <c r="IM100" s="117">
        <f t="shared" si="535"/>
        <v>3.0201342281879207E-2</v>
      </c>
      <c r="IO100" s="116" t="s">
        <v>142</v>
      </c>
      <c r="IP100" s="117">
        <f t="shared" si="536"/>
        <v>-1.3513513513513487E-2</v>
      </c>
      <c r="IQ100" s="117">
        <f t="shared" si="536"/>
        <v>-6.3291139240506333E-2</v>
      </c>
      <c r="IR100" s="117">
        <f t="shared" si="536"/>
        <v>-5.1948051948051965E-2</v>
      </c>
      <c r="IS100" s="117">
        <f t="shared" si="536"/>
        <v>-9.0909090909090939E-2</v>
      </c>
      <c r="IT100" s="117">
        <f t="shared" si="536"/>
        <v>-5.5374592833876246E-2</v>
      </c>
      <c r="IV100" s="116" t="s">
        <v>142</v>
      </c>
      <c r="IW100" s="117">
        <f t="shared" si="537"/>
        <v>-6.8493150684931559E-2</v>
      </c>
      <c r="IX100" s="117">
        <f t="shared" si="537"/>
        <v>-8.108108108108103E-2</v>
      </c>
      <c r="IY100" s="117">
        <f t="shared" si="537"/>
        <v>-6.8493150684931559E-2</v>
      </c>
      <c r="IZ100" s="117">
        <f t="shared" si="537"/>
        <v>0.14285714285714279</v>
      </c>
      <c r="JA100" s="117">
        <f t="shared" si="537"/>
        <v>-2.0689655172413834E-2</v>
      </c>
      <c r="JC100" s="116" t="s">
        <v>142</v>
      </c>
      <c r="JD100" s="117">
        <f t="shared" si="538"/>
        <v>-1.4705882352941124E-2</v>
      </c>
      <c r="JE100" s="117">
        <f t="shared" si="538"/>
        <v>0.22058823529411775</v>
      </c>
      <c r="JF100" s="117">
        <f t="shared" si="538"/>
        <v>0.17647058823529416</v>
      </c>
      <c r="JG100" s="117">
        <f t="shared" si="538"/>
        <v>-6.25E-2</v>
      </c>
      <c r="JH100" s="117">
        <f t="shared" si="538"/>
        <v>7.3943661971830998E-2</v>
      </c>
      <c r="JJ100" s="116" t="s">
        <v>142</v>
      </c>
      <c r="JK100" s="117">
        <f t="shared" si="539"/>
        <v>0</v>
      </c>
      <c r="JL100" s="117">
        <f t="shared" si="539"/>
        <v>3.6144578313253017E-2</v>
      </c>
      <c r="JM100" s="117">
        <f t="shared" si="539"/>
        <v>6.25E-2</v>
      </c>
      <c r="JN100" s="117">
        <f t="shared" si="539"/>
        <v>4.0000000000000036E-2</v>
      </c>
      <c r="JO100" s="117">
        <f t="shared" si="539"/>
        <v>3.6065573770491799E-2</v>
      </c>
      <c r="JQ100" s="116" t="s">
        <v>142</v>
      </c>
      <c r="JR100" s="117">
        <f t="shared" si="540"/>
        <v>5.9701492537313383E-2</v>
      </c>
      <c r="JS100" s="117">
        <f t="shared" si="540"/>
        <v>-0.17441860465116277</v>
      </c>
      <c r="JT100" s="117">
        <f t="shared" si="540"/>
        <v>5.8823529411764719E-2</v>
      </c>
      <c r="JU100" s="117">
        <f t="shared" si="540"/>
        <v>0.11538461538461542</v>
      </c>
      <c r="JV100" s="117">
        <f t="shared" si="540"/>
        <v>9.493670886076E-3</v>
      </c>
      <c r="JX100" s="116" t="s">
        <v>142</v>
      </c>
      <c r="JY100" s="117">
        <f t="shared" si="541"/>
        <v>0</v>
      </c>
      <c r="JZ100" s="117">
        <f t="shared" si="541"/>
        <v>-9.8591549295774628E-2</v>
      </c>
      <c r="KA100" s="117">
        <f t="shared" si="541"/>
        <v>-0.25555555555555554</v>
      </c>
      <c r="KB100" s="117">
        <f t="shared" si="541"/>
        <v>-0.2183908045977011</v>
      </c>
      <c r="KC100" s="117">
        <f t="shared" si="541"/>
        <v>-0.15360501567398122</v>
      </c>
      <c r="KE100" s="116" t="s">
        <v>142</v>
      </c>
      <c r="KF100" s="117">
        <f t="shared" si="542"/>
        <v>2.8169014084507005E-2</v>
      </c>
      <c r="KG100" s="117">
        <f t="shared" si="542"/>
        <v>0.171875</v>
      </c>
      <c r="KH100" s="117">
        <f t="shared" si="542"/>
        <v>0.11940298507462677</v>
      </c>
      <c r="KI100" s="117">
        <f t="shared" si="542"/>
        <v>7.3529411764705843E-2</v>
      </c>
      <c r="KJ100" s="117">
        <f t="shared" si="542"/>
        <v>9.6296296296296324E-2</v>
      </c>
      <c r="KL100" s="116" t="s">
        <v>142</v>
      </c>
      <c r="KM100" s="117">
        <f t="shared" si="543"/>
        <v>-4.1095890410958957E-2</v>
      </c>
      <c r="KN100" s="117">
        <f t="shared" si="543"/>
        <v>-1.3333333333333308E-2</v>
      </c>
      <c r="KO100" s="117">
        <f t="shared" si="543"/>
        <v>0</v>
      </c>
      <c r="KP100" s="117">
        <f t="shared" si="543"/>
        <v>-1.3698630136986356E-2</v>
      </c>
      <c r="KQ100" s="117">
        <f t="shared" si="543"/>
        <v>-1.6891891891891886E-2</v>
      </c>
      <c r="KS100" s="116" t="s">
        <v>142</v>
      </c>
      <c r="KT100" s="117">
        <f t="shared" si="544"/>
        <v>4.2857142857142927E-2</v>
      </c>
      <c r="KU100" s="117">
        <f t="shared" si="544"/>
        <v>-2.7027027027026973E-2</v>
      </c>
      <c r="KV100" s="117">
        <f t="shared" si="544"/>
        <v>-0.10666666666666669</v>
      </c>
      <c r="KW100" s="117">
        <f t="shared" si="544"/>
        <v>-2.777777777777779E-2</v>
      </c>
      <c r="KX100" s="117">
        <f t="shared" si="544"/>
        <v>-3.0927835051546393E-2</v>
      </c>
      <c r="KZ100" s="116" t="s">
        <v>142</v>
      </c>
      <c r="LA100" s="117">
        <f t="shared" ref="LA100:LE100" si="591">(LA74/KT74)-1</f>
        <v>-4.1095890410958957E-2</v>
      </c>
      <c r="LB100" s="117">
        <f t="shared" si="591"/>
        <v>2.7777777777777679E-2</v>
      </c>
      <c r="LC100" s="216">
        <f t="shared" si="591"/>
        <v>8.9552238805970186E-2</v>
      </c>
      <c r="LD100" s="216">
        <f t="shared" si="591"/>
        <v>2.857142857142847E-2</v>
      </c>
      <c r="LE100" s="216">
        <f t="shared" si="591"/>
        <v>2.4822695035461084E-2</v>
      </c>
      <c r="LF100" s="567"/>
      <c r="LG100" s="116" t="s">
        <v>142</v>
      </c>
      <c r="LH100" s="216">
        <f t="shared" si="546"/>
        <v>0</v>
      </c>
      <c r="LI100" s="216">
        <f t="shared" si="547"/>
        <v>-5.4054054054054057E-2</v>
      </c>
      <c r="LJ100" s="216">
        <f t="shared" si="548"/>
        <v>-6.8493150684931559E-2</v>
      </c>
      <c r="LK100" s="216">
        <f t="shared" si="549"/>
        <v>-0.11111111111111116</v>
      </c>
      <c r="LL100" s="216">
        <f t="shared" si="550"/>
        <v>-5.8823529411764719E-2</v>
      </c>
      <c r="LM100" s="567"/>
      <c r="LN100" s="116" t="s">
        <v>142</v>
      </c>
      <c r="LO100" s="216">
        <f t="shared" si="551"/>
        <v>-8.9999999999999969E-2</v>
      </c>
      <c r="LP100" s="216">
        <f t="shared" si="552"/>
        <v>-4.500000000000004E-2</v>
      </c>
      <c r="LQ100" s="216">
        <f t="shared" si="553"/>
        <v>1.0000000000000009E-2</v>
      </c>
      <c r="LR100" s="216">
        <f t="shared" si="554"/>
        <v>2.0000000000000018E-2</v>
      </c>
      <c r="LS100" s="216">
        <f t="shared" si="555"/>
        <v>-2.7536764705882399E-2</v>
      </c>
      <c r="LT100" s="567"/>
      <c r="LU100" s="116" t="s">
        <v>142</v>
      </c>
      <c r="LV100" s="216">
        <f t="shared" si="556"/>
        <v>1.0000000000000009E-2</v>
      </c>
      <c r="LW100" s="216">
        <f t="shared" si="557"/>
        <v>1.0000000000000009E-2</v>
      </c>
      <c r="LX100" s="216">
        <f t="shared" si="558"/>
        <v>1.4999999999999902E-2</v>
      </c>
      <c r="LY100" s="216">
        <f t="shared" si="559"/>
        <v>2.0000000000000018E-2</v>
      </c>
      <c r="LZ100" s="216">
        <f t="shared" si="560"/>
        <v>1.3766209217042746E-2</v>
      </c>
      <c r="MA100" s="567"/>
      <c r="MB100" s="116" t="s">
        <v>142</v>
      </c>
      <c r="MC100" s="216">
        <f t="shared" si="561"/>
        <v>2.0000000000000018E-2</v>
      </c>
      <c r="MD100" s="216">
        <f t="shared" si="562"/>
        <v>2.4999999999999911E-2</v>
      </c>
      <c r="ME100" s="216">
        <f t="shared" si="563"/>
        <v>3.0000000000000027E-2</v>
      </c>
      <c r="MF100" s="216">
        <f t="shared" si="564"/>
        <v>2.4999999999999911E-2</v>
      </c>
      <c r="MG100" s="216">
        <f t="shared" si="565"/>
        <v>2.5100189706333875E-2</v>
      </c>
      <c r="MH100" s="567"/>
    </row>
    <row r="101" spans="1:346" s="37" customFormat="1" ht="13.15" x14ac:dyDescent="0.4">
      <c r="A101" s="100"/>
      <c r="B101" s="116" t="s">
        <v>145</v>
      </c>
      <c r="C101" s="117"/>
      <c r="D101" s="117"/>
      <c r="E101" s="117"/>
      <c r="F101" s="117"/>
      <c r="G101" s="117"/>
      <c r="H101" s="117"/>
      <c r="I101" s="117"/>
      <c r="J101" s="117"/>
      <c r="K101" s="117"/>
      <c r="L101" s="117"/>
      <c r="M101" s="117"/>
      <c r="N101" s="117">
        <f t="shared" si="471"/>
        <v>0</v>
      </c>
      <c r="O101" s="117">
        <f t="shared" si="472"/>
        <v>-3.2818532818532864E-2</v>
      </c>
      <c r="P101" s="117">
        <f t="shared" si="473"/>
        <v>-5.1896207584830378E-2</v>
      </c>
      <c r="Q101" s="117">
        <f t="shared" si="474"/>
        <v>-3.7894736842105314E-2</v>
      </c>
      <c r="R101" s="117">
        <f t="shared" si="475"/>
        <v>-7.4398249452954035E-2</v>
      </c>
      <c r="S101" s="117">
        <f t="shared" si="476"/>
        <v>0.11111111111111116</v>
      </c>
      <c r="T101" s="117">
        <f t="shared" si="477"/>
        <v>8.9361702127659592E-2</v>
      </c>
      <c r="U101" s="117">
        <f t="shared" si="478"/>
        <v>-1.953125E-3</v>
      </c>
      <c r="V101" s="117">
        <f t="shared" si="479"/>
        <v>-9.7847358121331274E-3</v>
      </c>
      <c r="W101" s="117">
        <f t="shared" si="480"/>
        <v>6.5217391304347894E-2</v>
      </c>
      <c r="X101" s="117">
        <f t="shared" si="481"/>
        <v>-2.2263450834879461E-2</v>
      </c>
      <c r="Y101" s="117">
        <f t="shared" si="482"/>
        <v>-7.5901328273244806E-2</v>
      </c>
      <c r="Z101" s="117">
        <f t="shared" si="483"/>
        <v>-9.4455852156057452E-2</v>
      </c>
      <c r="AA101" s="117">
        <f t="shared" si="484"/>
        <v>4.9886621315192725E-2</v>
      </c>
      <c r="AB101" s="117">
        <f t="shared" si="485"/>
        <v>-6.4794816414687206E-3</v>
      </c>
      <c r="AC101" s="117">
        <f t="shared" si="486"/>
        <v>2.3913043478260843E-2</v>
      </c>
      <c r="AD101" s="117">
        <f t="shared" si="487"/>
        <v>-5.7324840764331197E-2</v>
      </c>
      <c r="AE101" s="117">
        <f t="shared" si="488"/>
        <v>-0.18468468468468469</v>
      </c>
      <c r="AF101" s="117">
        <f t="shared" si="489"/>
        <v>2.7624309392264568E-3</v>
      </c>
      <c r="AG101" s="117">
        <f t="shared" si="490"/>
        <v>-7.7134986225895319E-2</v>
      </c>
      <c r="AH101" s="117">
        <f t="shared" si="491"/>
        <v>-0.13731343283582087</v>
      </c>
      <c r="AI101" s="117">
        <f t="shared" si="492"/>
        <v>8.3044982698961878E-2</v>
      </c>
      <c r="AJ101" s="117">
        <f t="shared" si="493"/>
        <v>2.5559105431310014E-2</v>
      </c>
      <c r="AK101" s="117">
        <f t="shared" si="494"/>
        <v>0</v>
      </c>
      <c r="AL101" s="117">
        <f t="shared" si="495"/>
        <v>1.8691588785046731E-2</v>
      </c>
      <c r="AM101" s="117">
        <f t="shared" si="496"/>
        <v>9.1743119266054496E-3</v>
      </c>
      <c r="AN101" s="117">
        <f t="shared" si="497"/>
        <v>-8.787878787878789E-2</v>
      </c>
      <c r="AO101" s="117">
        <f t="shared" si="498"/>
        <v>-5.980066445182719E-2</v>
      </c>
      <c r="AP101" s="117">
        <f t="shared" si="499"/>
        <v>2.8268551236749095E-2</v>
      </c>
      <c r="AQ101" s="117">
        <f t="shared" si="500"/>
        <v>-0.14776632302405501</v>
      </c>
      <c r="AR101" s="117">
        <f t="shared" si="501"/>
        <v>-2.0161290322580627E-2</v>
      </c>
      <c r="AS101" s="117">
        <f t="shared" si="502"/>
        <v>-3.703703703703709E-2</v>
      </c>
      <c r="AT101" s="117">
        <f t="shared" si="503"/>
        <v>-2.1367521367521403E-2</v>
      </c>
      <c r="AU101" s="117">
        <f t="shared" si="504"/>
        <v>-0.11353711790393017</v>
      </c>
      <c r="AV101" s="117">
        <f t="shared" si="505"/>
        <v>-1.9704433497536922E-2</v>
      </c>
      <c r="AW101" s="117">
        <f t="shared" si="506"/>
        <v>-6.5326633165829096E-2</v>
      </c>
      <c r="AX101" s="117">
        <f t="shared" si="507"/>
        <v>2.1505376344086002E-2</v>
      </c>
      <c r="AY101" s="117">
        <f t="shared" si="508"/>
        <v>2.3657894736841989E-2</v>
      </c>
      <c r="AZ101" s="117">
        <f t="shared" si="509"/>
        <v>2.222473585439233E-2</v>
      </c>
      <c r="BA101" s="117">
        <f t="shared" si="510"/>
        <v>8.1376447557963694E-3</v>
      </c>
      <c r="BB101" s="117"/>
      <c r="BC101" s="117"/>
      <c r="BD101" s="117"/>
      <c r="BE101" s="117"/>
      <c r="BF101" s="117"/>
      <c r="BG101" s="117"/>
      <c r="BH101" s="117"/>
      <c r="BI101" s="117"/>
      <c r="BJ101" s="117"/>
      <c r="BK101" s="117"/>
      <c r="BL101" s="117"/>
      <c r="BM101" s="117"/>
      <c r="BO101" s="116" t="s">
        <v>145</v>
      </c>
      <c r="BP101" s="117"/>
      <c r="BQ101" s="117"/>
      <c r="BR101" s="117"/>
      <c r="BS101" s="117"/>
      <c r="BT101" s="117"/>
      <c r="BV101" s="116" t="s">
        <v>145</v>
      </c>
      <c r="BW101" s="117">
        <f t="shared" si="569"/>
        <v>-4.3478260869565188E-2</v>
      </c>
      <c r="BX101" s="117">
        <f t="shared" si="569"/>
        <v>1.5267175572519109E-2</v>
      </c>
      <c r="BY101" s="117">
        <f t="shared" si="569"/>
        <v>-7.999999999999996E-2</v>
      </c>
      <c r="BZ101" s="117">
        <f t="shared" si="569"/>
        <v>-2.4193548387096753E-2</v>
      </c>
      <c r="CA101" s="117">
        <f t="shared" si="569"/>
        <v>-3.2818532818532864E-2</v>
      </c>
      <c r="CC101" s="116" t="s">
        <v>145</v>
      </c>
      <c r="CD101" s="117">
        <f t="shared" si="570"/>
        <v>-6.0606060606060552E-2</v>
      </c>
      <c r="CE101" s="117">
        <f t="shared" si="570"/>
        <v>-0.1278195488721805</v>
      </c>
      <c r="CF101" s="117">
        <f t="shared" si="570"/>
        <v>8.6956521739129933E-3</v>
      </c>
      <c r="CG101" s="117">
        <f t="shared" si="570"/>
        <v>-1.6528925619834656E-2</v>
      </c>
      <c r="CH101" s="117">
        <f t="shared" si="570"/>
        <v>-5.1896207584830378E-2</v>
      </c>
      <c r="CJ101" s="116" t="s">
        <v>145</v>
      </c>
      <c r="CK101" s="117">
        <f t="shared" si="571"/>
        <v>-3.2258064516129004E-2</v>
      </c>
      <c r="CL101" s="117">
        <f t="shared" si="571"/>
        <v>6.0344827586206851E-2</v>
      </c>
      <c r="CM101" s="117">
        <f t="shared" si="571"/>
        <v>-9.4827586206896575E-2</v>
      </c>
      <c r="CN101" s="117">
        <f t="shared" si="571"/>
        <v>-8.4033613445378186E-2</v>
      </c>
      <c r="CO101" s="117">
        <f t="shared" si="571"/>
        <v>-3.7894736842105314E-2</v>
      </c>
      <c r="CQ101" s="116" t="s">
        <v>145</v>
      </c>
      <c r="CR101" s="117">
        <f t="shared" si="572"/>
        <v>-7.4999999999999956E-2</v>
      </c>
      <c r="CS101" s="117">
        <f t="shared" si="572"/>
        <v>-0.11382113821138207</v>
      </c>
      <c r="CT101" s="117">
        <f t="shared" si="572"/>
        <v>-2.8571428571428581E-2</v>
      </c>
      <c r="CU101" s="117">
        <f t="shared" si="572"/>
        <v>-7.3394495412844041E-2</v>
      </c>
      <c r="CV101" s="117">
        <f t="shared" si="572"/>
        <v>-7.4398249452954035E-2</v>
      </c>
      <c r="CX101" s="116" t="s">
        <v>145</v>
      </c>
      <c r="CY101" s="117">
        <f t="shared" si="573"/>
        <v>1.8018018018018056E-2</v>
      </c>
      <c r="CZ101" s="117">
        <f t="shared" si="573"/>
        <v>9.174311926605494E-2</v>
      </c>
      <c r="DA101" s="117">
        <f t="shared" si="573"/>
        <v>0.12745098039215685</v>
      </c>
      <c r="DB101" s="117">
        <f t="shared" si="573"/>
        <v>0.21782178217821779</v>
      </c>
      <c r="DC101" s="117">
        <f t="shared" si="573"/>
        <v>0.11111111111111116</v>
      </c>
      <c r="DE101" s="116" t="s">
        <v>145</v>
      </c>
      <c r="DF101" s="117">
        <f t="shared" si="574"/>
        <v>0.20353982300884965</v>
      </c>
      <c r="DG101" s="117">
        <f t="shared" si="574"/>
        <v>5.8823529411764719E-2</v>
      </c>
      <c r="DH101" s="117">
        <f t="shared" si="574"/>
        <v>6.956521739130439E-2</v>
      </c>
      <c r="DI101" s="117">
        <f t="shared" si="574"/>
        <v>3.2520325203251987E-2</v>
      </c>
      <c r="DJ101" s="117">
        <f t="shared" si="574"/>
        <v>8.9361702127659592E-2</v>
      </c>
      <c r="DL101" s="116" t="s">
        <v>145</v>
      </c>
      <c r="DM101" s="117">
        <f t="shared" si="575"/>
        <v>-4.4117647058823484E-2</v>
      </c>
      <c r="DN101" s="117">
        <f t="shared" si="575"/>
        <v>1.5873015873015817E-2</v>
      </c>
      <c r="DO101" s="117">
        <f t="shared" si="575"/>
        <v>4.0650406504065151E-2</v>
      </c>
      <c r="DP101" s="117">
        <f t="shared" si="575"/>
        <v>-1.5748031496062964E-2</v>
      </c>
      <c r="DQ101" s="117">
        <f t="shared" si="575"/>
        <v>-1.953125E-3</v>
      </c>
      <c r="DS101" s="116" t="s">
        <v>145</v>
      </c>
      <c r="DT101" s="117">
        <f t="shared" si="576"/>
        <v>-3.8461538461538436E-2</v>
      </c>
      <c r="DU101" s="117">
        <f t="shared" si="576"/>
        <v>7.8125E-3</v>
      </c>
      <c r="DV101" s="117">
        <f t="shared" si="576"/>
        <v>-5.46875E-2</v>
      </c>
      <c r="DW101" s="117">
        <f t="shared" si="576"/>
        <v>4.8000000000000043E-2</v>
      </c>
      <c r="DX101" s="117">
        <f t="shared" si="576"/>
        <v>-9.7847358121331274E-3</v>
      </c>
      <c r="DZ101" s="116" t="s">
        <v>145</v>
      </c>
      <c r="EA101" s="117">
        <f t="shared" si="577"/>
        <v>8.0000000000000071E-2</v>
      </c>
      <c r="EB101" s="117">
        <f t="shared" si="577"/>
        <v>6.9767441860465018E-2</v>
      </c>
      <c r="EC101" s="117">
        <f t="shared" si="577"/>
        <v>8.2644628099173501E-2</v>
      </c>
      <c r="ED101" s="117">
        <f t="shared" si="577"/>
        <v>3.0534351145038219E-2</v>
      </c>
      <c r="EE101" s="117">
        <f t="shared" si="577"/>
        <v>6.5217391304347894E-2</v>
      </c>
      <c r="EG101" s="116" t="s">
        <v>145</v>
      </c>
      <c r="EH101" s="117">
        <f t="shared" si="578"/>
        <v>9.6296296296296324E-2</v>
      </c>
      <c r="EI101" s="117">
        <f t="shared" si="578"/>
        <v>-7.2463768115942018E-2</v>
      </c>
      <c r="EJ101" s="117">
        <f t="shared" si="578"/>
        <v>-3.0534351145038219E-2</v>
      </c>
      <c r="EK101" s="117">
        <f t="shared" si="578"/>
        <v>-8.1481481481481488E-2</v>
      </c>
      <c r="EL101" s="117">
        <f t="shared" si="578"/>
        <v>-2.2263450834879461E-2</v>
      </c>
      <c r="EN101" s="116" t="s">
        <v>145</v>
      </c>
      <c r="EO101" s="117">
        <f t="shared" si="579"/>
        <v>-0.11486486486486491</v>
      </c>
      <c r="EP101" s="117">
        <f t="shared" si="579"/>
        <v>-3.90625E-2</v>
      </c>
      <c r="EQ101" s="117">
        <f t="shared" si="579"/>
        <v>-9.4488188976378007E-2</v>
      </c>
      <c r="ER101" s="117">
        <f t="shared" si="579"/>
        <v>-4.8387096774193505E-2</v>
      </c>
      <c r="ES101" s="117">
        <f t="shared" si="579"/>
        <v>-7.5901328273244806E-2</v>
      </c>
      <c r="EU101" s="116" t="s">
        <v>145</v>
      </c>
      <c r="EV101" s="117">
        <f t="shared" si="580"/>
        <v>-9.1603053435114545E-2</v>
      </c>
      <c r="EW101" s="117">
        <f t="shared" si="580"/>
        <v>-0.14634146341463417</v>
      </c>
      <c r="EX101" s="117">
        <f t="shared" si="580"/>
        <v>-0.12173913043478257</v>
      </c>
      <c r="EY101" s="117">
        <f t="shared" si="580"/>
        <v>-1.6949152542372836E-2</v>
      </c>
      <c r="EZ101" s="117">
        <f t="shared" si="580"/>
        <v>-9.4455852156057452E-2</v>
      </c>
      <c r="FB101" s="116" t="s">
        <v>145</v>
      </c>
      <c r="FC101" s="117">
        <f t="shared" si="581"/>
        <v>0</v>
      </c>
      <c r="FD101" s="117">
        <f t="shared" si="581"/>
        <v>0.1333333333333333</v>
      </c>
      <c r="FE101" s="117">
        <f t="shared" si="581"/>
        <v>0.11881188118811892</v>
      </c>
      <c r="FF101" s="117">
        <f t="shared" si="581"/>
        <v>-3.4482758620689613E-2</v>
      </c>
      <c r="FG101" s="117">
        <f t="shared" si="581"/>
        <v>4.9886621315192725E-2</v>
      </c>
      <c r="FI101" s="116" t="s">
        <v>145</v>
      </c>
      <c r="FJ101" s="117">
        <f t="shared" si="582"/>
        <v>-1.6806722689075682E-2</v>
      </c>
      <c r="FK101" s="117">
        <f t="shared" si="582"/>
        <v>-5.0420168067226934E-2</v>
      </c>
      <c r="FL101" s="117">
        <f t="shared" si="582"/>
        <v>8.8495575221239076E-3</v>
      </c>
      <c r="FM101" s="117">
        <f t="shared" si="582"/>
        <v>3.5714285714285809E-2</v>
      </c>
      <c r="FN101" s="117">
        <f t="shared" si="582"/>
        <v>-6.4794816414687206E-3</v>
      </c>
      <c r="FP101" s="116" t="s">
        <v>145</v>
      </c>
      <c r="FQ101" s="117">
        <f t="shared" si="583"/>
        <v>2.564102564102555E-2</v>
      </c>
      <c r="FR101" s="117">
        <f t="shared" si="583"/>
        <v>7.079646017699126E-2</v>
      </c>
      <c r="FS101" s="117">
        <f t="shared" si="583"/>
        <v>-6.1403508771929793E-2</v>
      </c>
      <c r="FT101" s="117">
        <f t="shared" si="583"/>
        <v>6.0344827586206851E-2</v>
      </c>
      <c r="FU101" s="117">
        <f t="shared" si="583"/>
        <v>2.3913043478260843E-2</v>
      </c>
      <c r="FW101" s="116" t="s">
        <v>145</v>
      </c>
      <c r="FX101" s="117">
        <f t="shared" si="584"/>
        <v>-2.5000000000000022E-2</v>
      </c>
      <c r="FY101" s="117">
        <f t="shared" si="584"/>
        <v>-3.3057851239669422E-2</v>
      </c>
      <c r="FZ101" s="117">
        <f t="shared" si="584"/>
        <v>3.7383177570093462E-2</v>
      </c>
      <c r="GA101" s="117">
        <f t="shared" si="584"/>
        <v>-0.19512195121951215</v>
      </c>
      <c r="GB101" s="117">
        <f t="shared" si="584"/>
        <v>-5.7324840764331197E-2</v>
      </c>
      <c r="GD101" s="116" t="s">
        <v>145</v>
      </c>
      <c r="GE101" s="117">
        <f t="shared" si="585"/>
        <v>-0.24786324786324787</v>
      </c>
      <c r="GF101" s="117">
        <f t="shared" si="585"/>
        <v>-0.19658119658119655</v>
      </c>
      <c r="GG101" s="117">
        <f t="shared" si="585"/>
        <v>-0.16216216216216217</v>
      </c>
      <c r="GH101" s="117">
        <f t="shared" si="585"/>
        <v>-0.12121212121212122</v>
      </c>
      <c r="GI101" s="117">
        <f t="shared" si="585"/>
        <v>-0.18468468468468469</v>
      </c>
      <c r="GK101" s="116" t="s">
        <v>145</v>
      </c>
      <c r="GL101" s="117">
        <f t="shared" si="586"/>
        <v>4.5454545454545414E-2</v>
      </c>
      <c r="GM101" s="117">
        <f t="shared" si="586"/>
        <v>-5.3191489361702149E-2</v>
      </c>
      <c r="GN101" s="117">
        <f t="shared" si="586"/>
        <v>-3.2258064516129004E-2</v>
      </c>
      <c r="GO101" s="117">
        <f t="shared" si="586"/>
        <v>5.7471264367816133E-2</v>
      </c>
      <c r="GP101" s="117">
        <f t="shared" si="586"/>
        <v>2.7624309392264568E-3</v>
      </c>
      <c r="GR101" s="116" t="s">
        <v>145</v>
      </c>
      <c r="GS101" s="117">
        <f t="shared" si="587"/>
        <v>-1.0869565217391353E-2</v>
      </c>
      <c r="GT101" s="117">
        <f t="shared" si="587"/>
        <v>2.2471910112359605E-2</v>
      </c>
      <c r="GU101" s="117">
        <f t="shared" si="587"/>
        <v>-3.3333333333333326E-2</v>
      </c>
      <c r="GV101" s="117">
        <f t="shared" si="587"/>
        <v>-0.28260869565217395</v>
      </c>
      <c r="GW101" s="117">
        <f t="shared" si="587"/>
        <v>-7.7134986225895319E-2</v>
      </c>
      <c r="GY101" s="116" t="s">
        <v>145</v>
      </c>
      <c r="GZ101" s="117">
        <f t="shared" si="588"/>
        <v>-0.34065934065934067</v>
      </c>
      <c r="HA101" s="117">
        <f t="shared" si="588"/>
        <v>-0.18681318681318682</v>
      </c>
      <c r="HB101" s="117">
        <f t="shared" si="588"/>
        <v>-0.11494252873563215</v>
      </c>
      <c r="HC101" s="117">
        <f t="shared" si="588"/>
        <v>0.18181818181818188</v>
      </c>
      <c r="HD101" s="117">
        <f t="shared" si="588"/>
        <v>-0.13731343283582087</v>
      </c>
      <c r="HF101" s="116" t="s">
        <v>145</v>
      </c>
      <c r="HG101" s="117">
        <f t="shared" si="589"/>
        <v>0.31666666666666665</v>
      </c>
      <c r="HH101" s="117">
        <f t="shared" si="589"/>
        <v>8.1081081081081141E-2</v>
      </c>
      <c r="HI101" s="117">
        <f t="shared" si="589"/>
        <v>1.298701298701288E-2</v>
      </c>
      <c r="HJ101" s="117">
        <f t="shared" si="589"/>
        <v>-2.5641025641025661E-2</v>
      </c>
      <c r="HK101" s="117">
        <f t="shared" si="589"/>
        <v>8.3044982698961878E-2</v>
      </c>
      <c r="HM101" s="116" t="s">
        <v>145</v>
      </c>
      <c r="HN101" s="117">
        <f t="shared" si="532"/>
        <v>5.0632911392405111E-2</v>
      </c>
      <c r="HO101" s="117">
        <f t="shared" si="532"/>
        <v>0</v>
      </c>
      <c r="HP101" s="117">
        <f t="shared" si="532"/>
        <v>2.564102564102555E-2</v>
      </c>
      <c r="HQ101" s="117">
        <f t="shared" si="532"/>
        <v>2.6315789473684292E-2</v>
      </c>
      <c r="HR101" s="117">
        <f t="shared" si="532"/>
        <v>2.5559105431310014E-2</v>
      </c>
      <c r="HT101" s="116" t="s">
        <v>145</v>
      </c>
      <c r="HU101" s="117">
        <f t="shared" si="533"/>
        <v>-3.6144578313253017E-2</v>
      </c>
      <c r="HV101" s="117">
        <f t="shared" si="533"/>
        <v>-1.2499999999999956E-2</v>
      </c>
      <c r="HW101" s="117">
        <f t="shared" si="533"/>
        <v>0</v>
      </c>
      <c r="HX101" s="117">
        <f t="shared" si="533"/>
        <v>5.1282051282051322E-2</v>
      </c>
      <c r="HY101" s="117">
        <f t="shared" si="533"/>
        <v>0</v>
      </c>
      <c r="IA101" s="116" t="s">
        <v>145</v>
      </c>
      <c r="IB101" s="117">
        <f t="shared" si="534"/>
        <v>5.0000000000000044E-2</v>
      </c>
      <c r="IC101" s="117">
        <f t="shared" si="534"/>
        <v>8.8607594936708889E-2</v>
      </c>
      <c r="ID101" s="117">
        <f t="shared" si="534"/>
        <v>0</v>
      </c>
      <c r="IE101" s="117">
        <f t="shared" si="534"/>
        <v>-6.0975609756097615E-2</v>
      </c>
      <c r="IF101" s="117">
        <f t="shared" si="534"/>
        <v>1.8691588785046731E-2</v>
      </c>
      <c r="IH101" s="116" t="s">
        <v>145</v>
      </c>
      <c r="II101" s="117">
        <f t="shared" si="535"/>
        <v>-1.1904761904761862E-2</v>
      </c>
      <c r="IJ101" s="117">
        <f t="shared" si="535"/>
        <v>0</v>
      </c>
      <c r="IK101" s="117">
        <f t="shared" si="535"/>
        <v>2.4999999999999911E-2</v>
      </c>
      <c r="IL101" s="117">
        <f t="shared" si="535"/>
        <v>2.5974025974025983E-2</v>
      </c>
      <c r="IM101" s="117">
        <f t="shared" si="535"/>
        <v>9.1743119266054496E-3</v>
      </c>
      <c r="IO101" s="116" t="s">
        <v>145</v>
      </c>
      <c r="IP101" s="117">
        <f t="shared" si="536"/>
        <v>-6.0240963855421659E-2</v>
      </c>
      <c r="IQ101" s="117">
        <f t="shared" si="536"/>
        <v>-9.3023255813953543E-2</v>
      </c>
      <c r="IR101" s="117">
        <f t="shared" si="536"/>
        <v>-0.13414634146341464</v>
      </c>
      <c r="IS101" s="117">
        <f t="shared" si="536"/>
        <v>-6.3291139240506333E-2</v>
      </c>
      <c r="IT101" s="117">
        <f t="shared" si="536"/>
        <v>-8.787878787878789E-2</v>
      </c>
      <c r="IV101" s="116" t="s">
        <v>145</v>
      </c>
      <c r="IW101" s="117">
        <f t="shared" si="537"/>
        <v>-2.5641025641025661E-2</v>
      </c>
      <c r="IX101" s="117">
        <f t="shared" si="537"/>
        <v>-7.6923076923076872E-2</v>
      </c>
      <c r="IY101" s="117">
        <f t="shared" si="537"/>
        <v>1.4084507042253502E-2</v>
      </c>
      <c r="IZ101" s="117">
        <f t="shared" si="537"/>
        <v>-0.14864864864864868</v>
      </c>
      <c r="JA101" s="117">
        <f t="shared" si="537"/>
        <v>-5.980066445182719E-2</v>
      </c>
      <c r="JC101" s="116" t="s">
        <v>145</v>
      </c>
      <c r="JD101" s="117">
        <f t="shared" si="538"/>
        <v>1.3157894736842035E-2</v>
      </c>
      <c r="JE101" s="117">
        <f t="shared" si="538"/>
        <v>8.3333333333333259E-2</v>
      </c>
      <c r="JF101" s="117">
        <f t="shared" si="538"/>
        <v>-5.555555555555558E-2</v>
      </c>
      <c r="JG101" s="117">
        <f t="shared" si="538"/>
        <v>7.9365079365079305E-2</v>
      </c>
      <c r="JH101" s="117">
        <f t="shared" si="538"/>
        <v>2.8268551236749095E-2</v>
      </c>
      <c r="JJ101" s="116" t="s">
        <v>145</v>
      </c>
      <c r="JK101" s="117">
        <f t="shared" si="539"/>
        <v>-0.16883116883116878</v>
      </c>
      <c r="JL101" s="117">
        <f t="shared" si="539"/>
        <v>-0.17948717948717952</v>
      </c>
      <c r="JM101" s="117">
        <f t="shared" si="539"/>
        <v>-0.11764705882352944</v>
      </c>
      <c r="JN101" s="117">
        <f t="shared" si="539"/>
        <v>-0.11764705882352944</v>
      </c>
      <c r="JO101" s="117">
        <f t="shared" si="539"/>
        <v>-0.14776632302405501</v>
      </c>
      <c r="JQ101" s="116" t="s">
        <v>145</v>
      </c>
      <c r="JR101" s="117">
        <f t="shared" si="540"/>
        <v>-3.125E-2</v>
      </c>
      <c r="JS101" s="117">
        <f t="shared" si="540"/>
        <v>-4.6875E-2</v>
      </c>
      <c r="JT101" s="117">
        <f t="shared" si="540"/>
        <v>0</v>
      </c>
      <c r="JU101" s="117">
        <f t="shared" si="540"/>
        <v>0</v>
      </c>
      <c r="JV101" s="117">
        <f t="shared" si="540"/>
        <v>-2.0161290322580627E-2</v>
      </c>
      <c r="JX101" s="116" t="s">
        <v>145</v>
      </c>
      <c r="JY101" s="117">
        <f t="shared" si="541"/>
        <v>-6.4516129032258118E-2</v>
      </c>
      <c r="JZ101" s="117">
        <f t="shared" si="541"/>
        <v>-1.6393442622950838E-2</v>
      </c>
      <c r="KA101" s="117">
        <f t="shared" si="541"/>
        <v>-5.0000000000000044E-2</v>
      </c>
      <c r="KB101" s="117">
        <f t="shared" si="541"/>
        <v>-1.6666666666666718E-2</v>
      </c>
      <c r="KC101" s="117">
        <f t="shared" si="541"/>
        <v>-3.703703703703709E-2</v>
      </c>
      <c r="KE101" s="116" t="s">
        <v>145</v>
      </c>
      <c r="KF101" s="117">
        <f t="shared" si="542"/>
        <v>-1.7241379310344862E-2</v>
      </c>
      <c r="KG101" s="117">
        <f t="shared" si="542"/>
        <v>3.3333333333333437E-2</v>
      </c>
      <c r="KH101" s="117">
        <f t="shared" si="542"/>
        <v>-5.2631578947368474E-2</v>
      </c>
      <c r="KI101" s="117">
        <f t="shared" si="542"/>
        <v>-5.084745762711862E-2</v>
      </c>
      <c r="KJ101" s="117">
        <f t="shared" si="542"/>
        <v>-2.1367521367521403E-2</v>
      </c>
      <c r="KL101" s="116" t="s">
        <v>145</v>
      </c>
      <c r="KM101" s="117">
        <f t="shared" si="543"/>
        <v>-1.7543859649122862E-2</v>
      </c>
      <c r="KN101" s="117">
        <f t="shared" si="543"/>
        <v>-0.12903225806451613</v>
      </c>
      <c r="KO101" s="117">
        <f t="shared" si="543"/>
        <v>-0.11111111111111116</v>
      </c>
      <c r="KP101" s="117">
        <f t="shared" si="543"/>
        <v>-0.1964285714285714</v>
      </c>
      <c r="KQ101" s="117">
        <f t="shared" si="543"/>
        <v>-0.11353711790393017</v>
      </c>
      <c r="KS101" s="116" t="s">
        <v>145</v>
      </c>
      <c r="KT101" s="117">
        <f t="shared" si="544"/>
        <v>-0.1071428571428571</v>
      </c>
      <c r="KU101" s="117">
        <f t="shared" si="544"/>
        <v>1.8518518518518601E-2</v>
      </c>
      <c r="KV101" s="117">
        <f t="shared" si="544"/>
        <v>-2.083333333333337E-2</v>
      </c>
      <c r="KW101" s="117">
        <f t="shared" si="544"/>
        <v>4.4444444444444509E-2</v>
      </c>
      <c r="KX101" s="117">
        <f t="shared" si="544"/>
        <v>-1.9704433497536922E-2</v>
      </c>
      <c r="KZ101" s="116" t="s">
        <v>145</v>
      </c>
      <c r="LA101" s="117">
        <f t="shared" ref="LA101:LE101" si="592">(LA75/KT75)-1</f>
        <v>-6.0000000000000053E-2</v>
      </c>
      <c r="LB101" s="117">
        <f t="shared" si="592"/>
        <v>-9.0909090909090939E-2</v>
      </c>
      <c r="LC101" s="216">
        <f t="shared" si="592"/>
        <v>-4.2553191489361653E-2</v>
      </c>
      <c r="LD101" s="216">
        <f t="shared" si="592"/>
        <v>-6.3829787234042534E-2</v>
      </c>
      <c r="LE101" s="216">
        <f t="shared" si="592"/>
        <v>-6.5326633165829096E-2</v>
      </c>
      <c r="LF101" s="567"/>
      <c r="LG101" s="116" t="s">
        <v>145</v>
      </c>
      <c r="LH101" s="216">
        <f t="shared" si="546"/>
        <v>2.1276595744680771E-2</v>
      </c>
      <c r="LI101" s="216">
        <f t="shared" si="547"/>
        <v>-6.0000000000000053E-2</v>
      </c>
      <c r="LJ101" s="216">
        <f t="shared" si="548"/>
        <v>6.6666666666666652E-2</v>
      </c>
      <c r="LK101" s="216">
        <f t="shared" si="549"/>
        <v>6.8181818181818121E-2</v>
      </c>
      <c r="LL101" s="216">
        <f t="shared" si="550"/>
        <v>2.1505376344086002E-2</v>
      </c>
      <c r="LM101" s="567"/>
      <c r="LN101" s="116" t="s">
        <v>145</v>
      </c>
      <c r="LO101" s="216">
        <f t="shared" si="551"/>
        <v>0</v>
      </c>
      <c r="LP101" s="216">
        <f t="shared" si="552"/>
        <v>1.4999999999999902E-2</v>
      </c>
      <c r="LQ101" s="216">
        <f t="shared" si="553"/>
        <v>3.0000000000000027E-2</v>
      </c>
      <c r="LR101" s="216">
        <f t="shared" si="554"/>
        <v>5.0000000000000044E-2</v>
      </c>
      <c r="LS101" s="216">
        <f t="shared" si="555"/>
        <v>2.3657894736841989E-2</v>
      </c>
      <c r="LT101" s="567"/>
      <c r="LU101" s="116" t="s">
        <v>145</v>
      </c>
      <c r="LV101" s="216">
        <f t="shared" si="556"/>
        <v>4.0000000000000036E-2</v>
      </c>
      <c r="LW101" s="216">
        <f t="shared" si="557"/>
        <v>4.0000000000000036E-2</v>
      </c>
      <c r="LX101" s="216">
        <f t="shared" si="558"/>
        <v>1.0000000000000009E-2</v>
      </c>
      <c r="LY101" s="216">
        <f t="shared" si="559"/>
        <v>0</v>
      </c>
      <c r="LZ101" s="216">
        <f t="shared" si="560"/>
        <v>2.222473585439233E-2</v>
      </c>
      <c r="MA101" s="567"/>
      <c r="MB101" s="116" t="s">
        <v>145</v>
      </c>
      <c r="MC101" s="216">
        <f t="shared" si="561"/>
        <v>2.0000000000000018E-2</v>
      </c>
      <c r="MD101" s="216">
        <f t="shared" si="562"/>
        <v>1.0000000000000009E-2</v>
      </c>
      <c r="ME101" s="216">
        <f t="shared" si="563"/>
        <v>0</v>
      </c>
      <c r="MF101" s="216">
        <f t="shared" si="564"/>
        <v>2.4999999999999467E-3</v>
      </c>
      <c r="MG101" s="216">
        <f t="shared" si="565"/>
        <v>8.1376447557963694E-3</v>
      </c>
      <c r="MH101" s="567"/>
    </row>
    <row r="102" spans="1:346" s="37" customFormat="1" ht="13.15" x14ac:dyDescent="0.4">
      <c r="A102" s="100"/>
      <c r="B102" s="118"/>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O102" s="118"/>
      <c r="BP102" s="119"/>
      <c r="BQ102" s="119"/>
      <c r="BR102" s="119"/>
      <c r="BS102" s="119"/>
      <c r="BT102" s="119"/>
      <c r="BV102" s="118"/>
      <c r="BW102" s="119"/>
      <c r="BX102" s="119"/>
      <c r="BY102" s="119"/>
      <c r="BZ102" s="119"/>
      <c r="CA102" s="119"/>
      <c r="CC102" s="118"/>
      <c r="CD102" s="119"/>
      <c r="CE102" s="119"/>
      <c r="CF102" s="119"/>
      <c r="CG102" s="119"/>
      <c r="CH102" s="119"/>
      <c r="CJ102" s="118"/>
      <c r="CK102" s="119"/>
      <c r="CL102" s="119"/>
      <c r="CM102" s="119"/>
      <c r="CN102" s="119"/>
      <c r="CO102" s="119"/>
      <c r="CQ102" s="118"/>
      <c r="CR102" s="119"/>
      <c r="CS102" s="119"/>
      <c r="CT102" s="119"/>
      <c r="CU102" s="119"/>
      <c r="CV102" s="119"/>
      <c r="CX102" s="118"/>
      <c r="CY102" s="119"/>
      <c r="CZ102" s="119"/>
      <c r="DA102" s="119"/>
      <c r="DB102" s="119"/>
      <c r="DC102" s="119"/>
      <c r="DE102" s="118"/>
      <c r="DF102" s="119"/>
      <c r="DG102" s="119"/>
      <c r="DH102" s="119"/>
      <c r="DI102" s="119"/>
      <c r="DJ102" s="119"/>
      <c r="DL102" s="118"/>
      <c r="DM102" s="119"/>
      <c r="DN102" s="119"/>
      <c r="DO102" s="119"/>
      <c r="DP102" s="119"/>
      <c r="DQ102" s="119"/>
      <c r="DS102" s="118"/>
      <c r="DT102" s="119"/>
      <c r="DU102" s="119"/>
      <c r="DV102" s="119"/>
      <c r="DW102" s="119"/>
      <c r="DX102" s="119"/>
      <c r="DZ102" s="118"/>
      <c r="EA102" s="119"/>
      <c r="EB102" s="119"/>
      <c r="EC102" s="119"/>
      <c r="ED102" s="119"/>
      <c r="EE102" s="119"/>
      <c r="EG102" s="118"/>
      <c r="EH102" s="119"/>
      <c r="EI102" s="119"/>
      <c r="EJ102" s="119"/>
      <c r="EK102" s="119"/>
      <c r="EL102" s="119"/>
      <c r="EN102" s="118"/>
      <c r="EO102" s="119"/>
      <c r="EP102" s="119"/>
      <c r="EQ102" s="119"/>
      <c r="ER102" s="119"/>
      <c r="ES102" s="119"/>
      <c r="EU102" s="118"/>
      <c r="EV102" s="119"/>
      <c r="EW102" s="119"/>
      <c r="EX102" s="119"/>
      <c r="EY102" s="119"/>
      <c r="EZ102" s="119"/>
      <c r="FB102" s="118"/>
      <c r="FC102" s="119"/>
      <c r="FD102" s="119"/>
      <c r="FE102" s="119"/>
      <c r="FF102" s="119"/>
      <c r="FG102" s="119"/>
      <c r="FI102" s="118"/>
      <c r="FJ102" s="119"/>
      <c r="FK102" s="119"/>
      <c r="FL102" s="119"/>
      <c r="FM102" s="119"/>
      <c r="FN102" s="119"/>
      <c r="FP102" s="118"/>
      <c r="FQ102" s="119"/>
      <c r="FR102" s="119"/>
      <c r="FS102" s="119"/>
      <c r="FT102" s="119"/>
      <c r="FU102" s="119"/>
      <c r="FW102" s="118"/>
      <c r="FX102" s="119"/>
      <c r="FY102" s="119"/>
      <c r="FZ102" s="119"/>
      <c r="GA102" s="119"/>
      <c r="GB102" s="119"/>
      <c r="GD102" s="118"/>
      <c r="GE102" s="119"/>
      <c r="GF102" s="119"/>
      <c r="GG102" s="119"/>
      <c r="GH102" s="119"/>
      <c r="GI102" s="119"/>
      <c r="GK102" s="118"/>
      <c r="GL102" s="119"/>
      <c r="GM102" s="119"/>
      <c r="GN102" s="119"/>
      <c r="GO102" s="119"/>
      <c r="GP102" s="119"/>
      <c r="GR102" s="118"/>
      <c r="GS102" s="119"/>
      <c r="GT102" s="119"/>
      <c r="GU102" s="119"/>
      <c r="GV102" s="119"/>
      <c r="GW102" s="119"/>
      <c r="GY102" s="118"/>
      <c r="GZ102" s="119"/>
      <c r="HA102" s="119"/>
      <c r="HB102" s="119"/>
      <c r="HC102" s="119"/>
      <c r="HD102" s="119"/>
      <c r="HF102" s="118"/>
      <c r="HG102" s="119"/>
      <c r="HH102" s="119"/>
      <c r="HI102" s="119"/>
      <c r="HJ102" s="119"/>
      <c r="HK102" s="119"/>
      <c r="HM102" s="118"/>
      <c r="HN102" s="119"/>
      <c r="HO102" s="119"/>
      <c r="HP102" s="119"/>
      <c r="HQ102" s="119"/>
      <c r="HR102" s="119"/>
      <c r="HT102" s="118"/>
      <c r="HU102" s="119"/>
      <c r="HV102" s="119"/>
      <c r="HW102" s="119"/>
      <c r="HX102" s="119"/>
      <c r="HY102" s="119"/>
      <c r="IA102" s="118"/>
      <c r="IB102" s="119"/>
      <c r="IC102" s="119"/>
      <c r="ID102" s="119"/>
      <c r="IE102" s="119"/>
      <c r="IF102" s="119"/>
      <c r="IH102" s="118"/>
      <c r="II102" s="119"/>
      <c r="IJ102" s="119"/>
      <c r="IK102" s="119"/>
      <c r="IL102" s="119"/>
      <c r="IM102" s="119"/>
      <c r="IO102" s="118"/>
      <c r="IP102" s="119"/>
      <c r="IQ102" s="119"/>
      <c r="IR102" s="119"/>
      <c r="IS102" s="119"/>
      <c r="IT102" s="119"/>
      <c r="IV102" s="118"/>
      <c r="IW102" s="119"/>
      <c r="IX102" s="119"/>
      <c r="IY102" s="119"/>
      <c r="IZ102" s="119"/>
      <c r="JA102" s="119"/>
      <c r="JC102" s="118"/>
      <c r="JD102" s="119"/>
      <c r="JE102" s="119"/>
      <c r="JF102" s="119"/>
      <c r="JG102" s="119"/>
      <c r="JH102" s="119"/>
      <c r="JJ102" s="118"/>
      <c r="JK102" s="119"/>
      <c r="JL102" s="119"/>
      <c r="JM102" s="119"/>
      <c r="JN102" s="119"/>
      <c r="JO102" s="119"/>
      <c r="JQ102" s="118"/>
      <c r="JR102" s="119"/>
      <c r="JS102" s="119"/>
      <c r="JT102" s="119"/>
      <c r="JU102" s="119"/>
      <c r="JV102" s="119"/>
      <c r="JX102" s="118"/>
      <c r="JY102" s="119"/>
      <c r="JZ102" s="119"/>
      <c r="KA102" s="119"/>
      <c r="KB102" s="119"/>
      <c r="KC102" s="119"/>
      <c r="KE102" s="118"/>
      <c r="KF102" s="119"/>
      <c r="KG102" s="119"/>
      <c r="KH102" s="119"/>
      <c r="KI102" s="119"/>
      <c r="KJ102" s="119"/>
      <c r="KL102" s="118"/>
      <c r="KM102" s="119"/>
      <c r="KN102" s="119"/>
      <c r="KO102" s="119"/>
      <c r="KP102" s="119"/>
      <c r="KQ102" s="119"/>
      <c r="KS102" s="118"/>
      <c r="KT102" s="119"/>
      <c r="KU102" s="119"/>
      <c r="KV102" s="119"/>
      <c r="KW102" s="119"/>
      <c r="KX102" s="119"/>
      <c r="KZ102" s="118"/>
      <c r="LA102" s="119"/>
      <c r="LB102" s="119"/>
      <c r="LD102" s="217"/>
      <c r="LE102" s="161"/>
      <c r="LF102" s="565"/>
      <c r="LG102" s="118"/>
      <c r="LL102" s="161"/>
      <c r="LM102" s="565"/>
      <c r="LN102" s="118"/>
      <c r="LS102" s="161"/>
      <c r="LT102" s="565"/>
      <c r="LU102" s="118"/>
      <c r="LZ102" s="161"/>
      <c r="MA102" s="565"/>
      <c r="MB102" s="118"/>
      <c r="MG102" s="161"/>
      <c r="MH102" s="565"/>
    </row>
    <row r="103" spans="1:346" s="37" customFormat="1" ht="13.5" thickBot="1" x14ac:dyDescent="0.45">
      <c r="A103" s="100"/>
      <c r="B103" s="138" t="s">
        <v>146</v>
      </c>
      <c r="C103" s="139"/>
      <c r="D103" s="139"/>
      <c r="E103" s="139"/>
      <c r="F103" s="139"/>
      <c r="G103" s="139"/>
      <c r="H103" s="139"/>
      <c r="I103" s="139"/>
      <c r="J103" s="139"/>
      <c r="K103" s="139"/>
      <c r="L103" s="139"/>
      <c r="M103" s="139"/>
      <c r="N103" s="139">
        <f>BT103</f>
        <v>0</v>
      </c>
      <c r="O103" s="139">
        <f>CA103</f>
        <v>-3.7815126050420145E-2</v>
      </c>
      <c r="P103" s="139">
        <f>CH103</f>
        <v>-9.788937409024745E-2</v>
      </c>
      <c r="Q103" s="139">
        <f>CO103</f>
        <v>2.4203307785397365E-2</v>
      </c>
      <c r="R103" s="139">
        <f>CV103</f>
        <v>3.8597873178416675E-2</v>
      </c>
      <c r="S103" s="139">
        <f>DC103</f>
        <v>6.2571103526734895E-2</v>
      </c>
      <c r="T103" s="139">
        <f>DJ103</f>
        <v>3.6759457530335382E-2</v>
      </c>
      <c r="U103" s="139">
        <f>DQ103</f>
        <v>-1.7211703958691871E-2</v>
      </c>
      <c r="V103" s="139">
        <f>DX103</f>
        <v>4.3082311733800394E-2</v>
      </c>
      <c r="W103" s="139">
        <f>EE103</f>
        <v>2.686366689053088E-3</v>
      </c>
      <c r="X103" s="139">
        <f>EL103</f>
        <v>0.1282652377762894</v>
      </c>
      <c r="Y103" s="139">
        <f>ES103</f>
        <v>4.2149005639655623E-2</v>
      </c>
      <c r="Z103" s="139">
        <f>EZ103</f>
        <v>-5.5824551409854761E-2</v>
      </c>
      <c r="AA103" s="139">
        <f>FG103</f>
        <v>3.9215686274509665E-3</v>
      </c>
      <c r="AB103" s="139">
        <f>FN103</f>
        <v>2.7043269230769162E-2</v>
      </c>
      <c r="AC103" s="139">
        <f>FU103</f>
        <v>2.2235225277940307E-2</v>
      </c>
      <c r="AD103" s="139">
        <f>GB103</f>
        <v>-3.3772180881511127E-2</v>
      </c>
      <c r="AE103" s="139">
        <f>GI103</f>
        <v>-2.6362559241706163E-2</v>
      </c>
      <c r="AF103" s="139">
        <f>GP103</f>
        <v>-4.3808944326133248E-2</v>
      </c>
      <c r="AG103" s="139">
        <f>GW103</f>
        <v>-8.367801463569835E-2</v>
      </c>
      <c r="AH103" s="139">
        <f>HD103</f>
        <v>-0.18819444444444444</v>
      </c>
      <c r="AI103" s="139">
        <f>HK103</f>
        <v>0.1069289991445681</v>
      </c>
      <c r="AJ103" s="139">
        <f>HR103</f>
        <v>2.5502318392581103E-2</v>
      </c>
      <c r="AK103" s="139">
        <f>HY103</f>
        <v>5.2750565184627174E-3</v>
      </c>
      <c r="AL103" s="139">
        <f>IF103</f>
        <v>3.5232383808095902E-2</v>
      </c>
      <c r="AM103" s="139">
        <f>IM103</f>
        <v>6.1549601737871162E-2</v>
      </c>
      <c r="AN103" s="139">
        <f>IT103</f>
        <v>-2.4556616643929052E-2</v>
      </c>
      <c r="AO103" s="139">
        <f>JA103</f>
        <v>-2.0279720279720248E-2</v>
      </c>
      <c r="AP103" s="139">
        <f>JH103</f>
        <v>-3.5688793718772316E-2</v>
      </c>
      <c r="AQ103" s="139">
        <f>JO103</f>
        <v>-7.4019245003698053E-4</v>
      </c>
      <c r="AR103" s="139">
        <f>JV103</f>
        <v>2.5925925925927018E-3</v>
      </c>
      <c r="AS103" s="139">
        <f>KC103</f>
        <v>-6.3538973032877699E-2</v>
      </c>
      <c r="AT103" s="139">
        <f>KJ103</f>
        <v>1.4201183431952646E-2</v>
      </c>
      <c r="AU103" s="139">
        <f>KQ103</f>
        <v>-5.056398288603603E-3</v>
      </c>
      <c r="AV103" s="139">
        <f>KX103</f>
        <v>2.4628616106333157E-2</v>
      </c>
      <c r="AW103" s="139">
        <f>LE103</f>
        <v>1.0301411674933147E-2</v>
      </c>
      <c r="AX103" s="139">
        <f>LL103</f>
        <v>-2.0392749244713015E-2</v>
      </c>
      <c r="AY103" s="139">
        <f>LS103</f>
        <v>-5.672706245181236E-3</v>
      </c>
      <c r="AZ103" s="139">
        <f>LZ103</f>
        <v>2.7855238951880024E-2</v>
      </c>
      <c r="BA103" s="139">
        <f>MG103</f>
        <v>2.5578141848937364E-2</v>
      </c>
      <c r="BB103" s="139"/>
      <c r="BC103" s="139"/>
      <c r="BD103" s="139"/>
      <c r="BE103" s="139"/>
      <c r="BF103" s="139"/>
      <c r="BG103" s="139"/>
      <c r="BH103" s="139"/>
      <c r="BI103" s="139"/>
      <c r="BJ103" s="139"/>
      <c r="BK103" s="139"/>
      <c r="BL103" s="139"/>
      <c r="BM103" s="139"/>
      <c r="BO103" s="138" t="s">
        <v>146</v>
      </c>
      <c r="BP103" s="139"/>
      <c r="BQ103" s="139"/>
      <c r="BR103" s="139"/>
      <c r="BS103" s="139"/>
      <c r="BT103" s="139"/>
      <c r="BV103" s="138" t="s">
        <v>146</v>
      </c>
      <c r="BW103" s="139">
        <f>BW80/BP80-1</f>
        <v>-3.2742155525238736E-2</v>
      </c>
      <c r="BX103" s="139">
        <f>BX80/BQ80-1</f>
        <v>-3.2171581769437019E-2</v>
      </c>
      <c r="BY103" s="139">
        <f>BY80/BR80-1</f>
        <v>-4.2857142857142816E-2</v>
      </c>
      <c r="BZ103" s="139">
        <f>BZ80/BS80-1</f>
        <v>-4.4313146233382561E-2</v>
      </c>
      <c r="CA103" s="139">
        <f>CA80/BT80-1</f>
        <v>-3.7815126050420145E-2</v>
      </c>
      <c r="CC103" s="138" t="s">
        <v>146</v>
      </c>
      <c r="CD103" s="139">
        <f>CD80/BW80-1</f>
        <v>-0.13399153737658676</v>
      </c>
      <c r="CE103" s="139">
        <f>CE80/BX80-1</f>
        <v>-0.14542936288088648</v>
      </c>
      <c r="CF103" s="139">
        <f>CF80/BY80-1</f>
        <v>-7.611940298507458E-2</v>
      </c>
      <c r="CG103" s="139">
        <f>CG80/BZ80-1</f>
        <v>-2.7820710973724849E-2</v>
      </c>
      <c r="CH103" s="139">
        <f>CH80/CA80-1</f>
        <v>-9.788937409024745E-2</v>
      </c>
      <c r="CJ103" s="138" t="s">
        <v>146</v>
      </c>
      <c r="CK103" s="139">
        <f>CK80/CD80-1</f>
        <v>1.791530944625408E-2</v>
      </c>
      <c r="CL103" s="139">
        <f>CL80/CE80-1</f>
        <v>5.3484602917341917E-2</v>
      </c>
      <c r="CM103" s="139">
        <f>CM80/CF80-1</f>
        <v>-3.231017770597755E-3</v>
      </c>
      <c r="CN103" s="139">
        <f>CN80/CG80-1</f>
        <v>2.8616852146263971E-2</v>
      </c>
      <c r="CO103" s="139">
        <f>CO80/CH80-1</f>
        <v>2.4203307785397365E-2</v>
      </c>
      <c r="CQ103" s="138" t="s">
        <v>146</v>
      </c>
      <c r="CR103" s="139">
        <f>CR80/CK80-1</f>
        <v>2.7199999999999891E-2</v>
      </c>
      <c r="CS103" s="139">
        <f>CS80/CL80-1</f>
        <v>3.076923076923066E-2</v>
      </c>
      <c r="CT103" s="139">
        <f>CT80/CM80-1</f>
        <v>5.1863857374392142E-2</v>
      </c>
      <c r="CU103" s="139">
        <f>CU80/CN80-1</f>
        <v>4.4822256568779029E-2</v>
      </c>
      <c r="CV103" s="139">
        <f>CV80/CO80-1</f>
        <v>3.8597873178416675E-2</v>
      </c>
      <c r="CX103" s="138" t="s">
        <v>146</v>
      </c>
      <c r="CY103" s="139">
        <f>CY80/CR80-1</f>
        <v>5.6074766355140193E-2</v>
      </c>
      <c r="CZ103" s="139">
        <f>CZ80/CS80-1</f>
        <v>7.4626865671641784E-2</v>
      </c>
      <c r="DA103" s="139">
        <f>DA80/CT80-1</f>
        <v>6.1633281972264919E-2</v>
      </c>
      <c r="DB103" s="139">
        <f>DB80/CU80-1</f>
        <v>5.7692307692307709E-2</v>
      </c>
      <c r="DC103" s="139">
        <f>DC80/CV80-1</f>
        <v>6.2571103526734895E-2</v>
      </c>
      <c r="DE103" s="138" t="s">
        <v>146</v>
      </c>
      <c r="DF103" s="139">
        <f>DF80/CY80-1</f>
        <v>7.6696165191740384E-2</v>
      </c>
      <c r="DG103" s="139">
        <f>DG80/CZ80-1</f>
        <v>2.7777777777777679E-2</v>
      </c>
      <c r="DH103" s="139">
        <f>DH80/DA80-1</f>
        <v>3.6284470246734424E-2</v>
      </c>
      <c r="DI103" s="139">
        <f>DI80/DB80-1</f>
        <v>8.3916083916084627E-3</v>
      </c>
      <c r="DJ103" s="139">
        <f>DJ80/DC80-1</f>
        <v>3.6759457530335382E-2</v>
      </c>
      <c r="DL103" s="138" t="s">
        <v>146</v>
      </c>
      <c r="DM103" s="139">
        <f>DM80/DF80-1</f>
        <v>-3.8356164383561597E-2</v>
      </c>
      <c r="DN103" s="139">
        <f>DN80/DG80-1</f>
        <v>-1.2162162162162149E-2</v>
      </c>
      <c r="DO103" s="139">
        <f>DO80/DH80-1</f>
        <v>-1.2605042016806678E-2</v>
      </c>
      <c r="DP103" s="139">
        <f>DP80/DI80-1</f>
        <v>-5.5478502080443803E-3</v>
      </c>
      <c r="DQ103" s="139">
        <f>DQ80/DJ80-1</f>
        <v>-1.7211703958691871E-2</v>
      </c>
      <c r="DS103" s="138" t="s">
        <v>146</v>
      </c>
      <c r="DT103" s="139">
        <f>DT80/DM80-1</f>
        <v>3.8461538461538547E-2</v>
      </c>
      <c r="DU103" s="139">
        <f>DU80/DN80-1</f>
        <v>3.5567715458276306E-2</v>
      </c>
      <c r="DV103" s="139">
        <f>DV80/DO80-1</f>
        <v>3.5460992907801359E-2</v>
      </c>
      <c r="DW103" s="139">
        <f>DW80/DP80-1</f>
        <v>6.2761506276150625E-2</v>
      </c>
      <c r="DX103" s="139">
        <f>DX80/DQ80-1</f>
        <v>4.3082311733800394E-2</v>
      </c>
      <c r="DZ103" s="138" t="s">
        <v>146</v>
      </c>
      <c r="EA103" s="139">
        <f>EA80/DT80-1</f>
        <v>2.4691358024691468E-2</v>
      </c>
      <c r="EB103" s="139">
        <f>EB80/DU80-1</f>
        <v>3.1704095112285335E-2</v>
      </c>
      <c r="EC103" s="139">
        <f>EC80/DV80-1</f>
        <v>-1.7808219178082174E-2</v>
      </c>
      <c r="ED103" s="139">
        <f>ED80/DW80-1</f>
        <v>-2.3622047244094446E-2</v>
      </c>
      <c r="EE103" s="139">
        <f>EE80/DX80-1</f>
        <v>2.686366689053088E-3</v>
      </c>
      <c r="EG103" s="138" t="s">
        <v>146</v>
      </c>
      <c r="EH103" s="139">
        <f>EH80/EA80-1</f>
        <v>9.3708165997322679E-2</v>
      </c>
      <c r="EI103" s="139">
        <f>EI80/EB80-1</f>
        <v>3.4571062740076819E-2</v>
      </c>
      <c r="EJ103" s="139">
        <f>EJ80/EC80-1</f>
        <v>0.21199442119944223</v>
      </c>
      <c r="EK103" s="139">
        <f>EK80/ED80-1</f>
        <v>0.19086021505376349</v>
      </c>
      <c r="EL103" s="139">
        <f>EL80/EE80-1</f>
        <v>0.1282652377762894</v>
      </c>
      <c r="EN103" s="138" t="s">
        <v>146</v>
      </c>
      <c r="EO103" s="139">
        <f>EO80/EH80-1</f>
        <v>0.10526315789473695</v>
      </c>
      <c r="EP103" s="139">
        <f>EP80/EI80-1</f>
        <v>0.12128712871287139</v>
      </c>
      <c r="EQ103" s="139">
        <f>EQ80/EJ80-1</f>
        <v>-1.7261219792865323E-2</v>
      </c>
      <c r="ER103" s="139">
        <f>ER80/EK80-1</f>
        <v>-4.2889390519187387E-2</v>
      </c>
      <c r="ES103" s="139">
        <f>ES80/EL80-1</f>
        <v>4.2149005639655623E-2</v>
      </c>
      <c r="EU103" s="138" t="s">
        <v>146</v>
      </c>
      <c r="EV103" s="139">
        <f>EV80/EO80-1</f>
        <v>-7.1982281284606819E-2</v>
      </c>
      <c r="EW103" s="139">
        <f>EW80/EP80-1</f>
        <v>-6.6225165562913912E-2</v>
      </c>
      <c r="EX103" s="139">
        <f>EX80/EQ80-1</f>
        <v>-4.8009367681498882E-2</v>
      </c>
      <c r="EY103" s="139">
        <f>EY80/ER80-1</f>
        <v>-3.5377358490566002E-2</v>
      </c>
      <c r="EZ103" s="139">
        <f>EZ80/ES80-1</f>
        <v>-5.5824551409854761E-2</v>
      </c>
      <c r="FB103" s="138" t="s">
        <v>146</v>
      </c>
      <c r="FC103" s="139">
        <f>FC80/EV80-1</f>
        <v>-3.1026252983293534E-2</v>
      </c>
      <c r="FD103" s="139">
        <f>FD80/EW80-1</f>
        <v>2.1276595744680771E-2</v>
      </c>
      <c r="FE103" s="139">
        <f>FE80/EX80-1</f>
        <v>1.9680196801967975E-2</v>
      </c>
      <c r="FF103" s="139">
        <f>FF80/EY80-1</f>
        <v>6.1124694376528677E-3</v>
      </c>
      <c r="FG103" s="139">
        <f>FG80/EZ80-1</f>
        <v>3.9215686274509665E-3</v>
      </c>
      <c r="FI103" s="138" t="s">
        <v>146</v>
      </c>
      <c r="FJ103" s="139">
        <f>FJ80/FC80-1</f>
        <v>3.0788177339901468E-2</v>
      </c>
      <c r="FK103" s="139">
        <f>FK80/FD80-1</f>
        <v>0</v>
      </c>
      <c r="FL103" s="139">
        <f>FL80/FE80-1</f>
        <v>2.4125452352231624E-2</v>
      </c>
      <c r="FM103" s="139">
        <f>FM80/FF80-1</f>
        <v>5.4678007290400954E-2</v>
      </c>
      <c r="FN103" s="139">
        <f>FN80/FG80-1</f>
        <v>2.7043269230769162E-2</v>
      </c>
      <c r="FP103" s="138" t="s">
        <v>146</v>
      </c>
      <c r="FQ103" s="139">
        <f>FQ80/FJ80-1</f>
        <v>2.1505376344086002E-2</v>
      </c>
      <c r="FR103" s="139">
        <f>FR80/FK80-1</f>
        <v>3.009259259259256E-2</v>
      </c>
      <c r="FS103" s="139">
        <f>FS80/FL80-1</f>
        <v>-1.6489988221436991E-2</v>
      </c>
      <c r="FT103" s="139">
        <f>FT80/FM80-1</f>
        <v>5.2995391705069173E-2</v>
      </c>
      <c r="FU103" s="139">
        <f>FU80/FN80-1</f>
        <v>2.2235225277940307E-2</v>
      </c>
      <c r="FW103" s="138" t="s">
        <v>146</v>
      </c>
      <c r="FX103" s="139">
        <f>FX80/FQ80-1</f>
        <v>3.5087719298245723E-3</v>
      </c>
      <c r="FY103" s="139">
        <f>FY80/FR80-1</f>
        <v>-2.5842696629213457E-2</v>
      </c>
      <c r="FZ103" s="139">
        <f>FZ80/FS80-1</f>
        <v>-2.3952095808382756E-3</v>
      </c>
      <c r="GA103" s="139">
        <f>GA80/FT80-1</f>
        <v>-0.10503282275711157</v>
      </c>
      <c r="GB103" s="139">
        <f>GB80/FU80-1</f>
        <v>-3.3772180881511127E-2</v>
      </c>
      <c r="GD103" s="138" t="s">
        <v>146</v>
      </c>
      <c r="GE103" s="139">
        <f>GE80/FX80-1</f>
        <v>-2.7972027972028024E-2</v>
      </c>
      <c r="GF103" s="139">
        <f>GF80/FY80-1</f>
        <v>-1.6147635524798143E-2</v>
      </c>
      <c r="GG103" s="139">
        <f>GG80/FZ80-1</f>
        <v>-2.4009603841536609E-2</v>
      </c>
      <c r="GH103" s="139">
        <f>GH80/GA80-1</f>
        <v>-3.7897310513447469E-2</v>
      </c>
      <c r="GI103" s="139">
        <f>GI80/GB80-1</f>
        <v>-2.6362559241706163E-2</v>
      </c>
      <c r="GK103" s="138" t="s">
        <v>146</v>
      </c>
      <c r="GL103" s="139">
        <f>GL80/GE80-1</f>
        <v>-5.9952038369304517E-2</v>
      </c>
      <c r="GM103" s="139">
        <f>GM80/GF80-1</f>
        <v>-3.6342321219226315E-2</v>
      </c>
      <c r="GN103" s="139">
        <f>GN80/GG80-1</f>
        <v>-4.3050430504305015E-2</v>
      </c>
      <c r="GO103" s="139">
        <f>GO80/GH80-1</f>
        <v>-3.5578144853875449E-2</v>
      </c>
      <c r="GP103" s="139">
        <f>GP80/GI80-1</f>
        <v>-4.3808944326133248E-2</v>
      </c>
      <c r="GR103" s="138" t="s">
        <v>146</v>
      </c>
      <c r="GS103" s="139">
        <f>GS80/GL80-1</f>
        <v>-4.8469387755102011E-2</v>
      </c>
      <c r="GT103" s="139">
        <f>GT80/GM80-1</f>
        <v>-6.4476885644768833E-2</v>
      </c>
      <c r="GU103" s="139">
        <f>GU80/GN80-1</f>
        <v>-5.9125964010282805E-2</v>
      </c>
      <c r="GV103" s="139">
        <f>GV80/GO80-1</f>
        <v>-0.16600790513833996</v>
      </c>
      <c r="GW103" s="139">
        <f>GW80/GP80-1</f>
        <v>-8.367801463569835E-2</v>
      </c>
      <c r="GY103" s="138" t="s">
        <v>146</v>
      </c>
      <c r="GZ103" s="139">
        <f>GZ80/GS80-1</f>
        <v>-0.26541554959785518</v>
      </c>
      <c r="HA103" s="139">
        <f>HA80/GT80-1</f>
        <v>-0.24707412223667102</v>
      </c>
      <c r="HB103" s="139">
        <f>HB80/GU80-1</f>
        <v>-0.17759562841530052</v>
      </c>
      <c r="HC103" s="139">
        <f>HC80/GV80-1</f>
        <v>-3.7914691943127909E-2</v>
      </c>
      <c r="HD103" s="139">
        <f>HD80/GW80-1</f>
        <v>-0.18819444444444444</v>
      </c>
      <c r="HF103" s="138" t="s">
        <v>146</v>
      </c>
      <c r="HG103" s="139">
        <f>HG80/GZ80-1</f>
        <v>0.11861313868613133</v>
      </c>
      <c r="HH103" s="139">
        <f>HH80/HA80-1</f>
        <v>0.13816925734024177</v>
      </c>
      <c r="HI103" s="139">
        <f>HI80/HB80-1</f>
        <v>6.8106312292358862E-2</v>
      </c>
      <c r="HJ103" s="139">
        <f>HJ80/HC80-1</f>
        <v>0.1050903119868638</v>
      </c>
      <c r="HK103" s="139">
        <f>HK80/HD80-1</f>
        <v>0.1069289991445681</v>
      </c>
      <c r="HM103" s="138" t="s">
        <v>146</v>
      </c>
      <c r="HN103" s="139">
        <f>HN80/HG80-1</f>
        <v>6.6884176182707922E-2</v>
      </c>
      <c r="HO103" s="139">
        <f>HO80/HH80-1</f>
        <v>2.7314112291350501E-2</v>
      </c>
      <c r="HP103" s="139">
        <f>HP80/HI80-1</f>
        <v>2.1772939346811793E-2</v>
      </c>
      <c r="HQ103" s="139">
        <f>HQ80/HJ80-1</f>
        <v>-1.0401188707280795E-2</v>
      </c>
      <c r="HR103" s="139">
        <f>HR80/HK80-1</f>
        <v>2.5502318392581103E-2</v>
      </c>
      <c r="HT103" s="138" t="s">
        <v>146</v>
      </c>
      <c r="HU103" s="139">
        <f>HU80/HN80-1</f>
        <v>2.5993883792049033E-2</v>
      </c>
      <c r="HV103" s="139">
        <f>HV80/HO80-1</f>
        <v>4.4313146233383449E-3</v>
      </c>
      <c r="HW103" s="139">
        <f>HW80/HP80-1</f>
        <v>-3.0441400304414001E-3</v>
      </c>
      <c r="HX103" s="139">
        <f>HX80/HQ80-1</f>
        <v>-6.0060060060059817E-3</v>
      </c>
      <c r="HY103" s="139">
        <f>HY80/HR80-1</f>
        <v>5.2750565184627174E-3</v>
      </c>
      <c r="IA103" s="138" t="s">
        <v>146</v>
      </c>
      <c r="IB103" s="139">
        <f>IB80/HU80-1</f>
        <v>-7.4515648286139768E-3</v>
      </c>
      <c r="IC103" s="139">
        <f>IC80/HV80-1</f>
        <v>3.2352941176470695E-2</v>
      </c>
      <c r="ID103" s="139">
        <f>ID80/HW80-1</f>
        <v>4.8854961832061061E-2</v>
      </c>
      <c r="IE103" s="139">
        <f>IE80/HX80-1</f>
        <v>6.7975830815709903E-2</v>
      </c>
      <c r="IF103" s="139">
        <f>IF80/HY80-1</f>
        <v>3.5232383808095902E-2</v>
      </c>
      <c r="IH103" s="138" t="s">
        <v>146</v>
      </c>
      <c r="II103" s="139">
        <f>II80/IB80-1</f>
        <v>2.1021021021021102E-2</v>
      </c>
      <c r="IJ103" s="139">
        <f>IJ80/IC80-1</f>
        <v>8.2621082621082698E-2</v>
      </c>
      <c r="IK103" s="139">
        <f>IK80/ID80-1</f>
        <v>8.879184861717615E-2</v>
      </c>
      <c r="IL103" s="139">
        <f>IL80/IE80-1</f>
        <v>5.2333804809052253E-2</v>
      </c>
      <c r="IM103" s="139">
        <f>IM80/IF80-1</f>
        <v>6.1549601737871162E-2</v>
      </c>
      <c r="IO103" s="138" t="s">
        <v>146</v>
      </c>
      <c r="IP103" s="139">
        <f>IP80/II80-1</f>
        <v>1.6176470588235237E-2</v>
      </c>
      <c r="IQ103" s="139">
        <f>IQ80/IJ80-1</f>
        <v>-2.5000000000000022E-2</v>
      </c>
      <c r="IR103" s="139">
        <f>IR80/IK80-1</f>
        <v>-3.7433155080213942E-2</v>
      </c>
      <c r="IS103" s="139">
        <f>IS80/IL80-1</f>
        <v>-4.8387096774193505E-2</v>
      </c>
      <c r="IT103" s="139">
        <f>IT80/IM80-1</f>
        <v>-2.4556616643929052E-2</v>
      </c>
      <c r="IV103" s="138" t="s">
        <v>146</v>
      </c>
      <c r="IW103" s="139">
        <f>IW80/IP80-1</f>
        <v>-2.6049204052098429E-2</v>
      </c>
      <c r="IX103" s="139">
        <f>IX80/IQ80-1</f>
        <v>-4.7233468286099867E-2</v>
      </c>
      <c r="IY103" s="139">
        <f>IY80/IR80-1</f>
        <v>-4.7222222222222276E-2</v>
      </c>
      <c r="IZ103" s="139">
        <f>IZ80/IS80-1</f>
        <v>4.0960451977401169E-2</v>
      </c>
      <c r="JA103" s="139">
        <f>JA80/IT80-1</f>
        <v>-2.0279720279720248E-2</v>
      </c>
      <c r="JC103" s="138" t="s">
        <v>146</v>
      </c>
      <c r="JD103" s="139">
        <f>JD80/IW80-1</f>
        <v>3.8632986627043175E-2</v>
      </c>
      <c r="JE103" s="139">
        <f>JE80/IX80-1</f>
        <v>-1.6997167138810165E-2</v>
      </c>
      <c r="JF103" s="139">
        <f>JF80/IY80-1</f>
        <v>-5.1020408163265252E-2</v>
      </c>
      <c r="JG103" s="139">
        <f>JG80/IZ80-1</f>
        <v>-0.10719131614653998</v>
      </c>
      <c r="JH103" s="139">
        <f>JH80/JA80-1</f>
        <v>-3.5688793718772316E-2</v>
      </c>
      <c r="JJ103" s="138" t="s">
        <v>146</v>
      </c>
      <c r="JK103" s="139">
        <f>JK80/JD80-1</f>
        <v>-8.1545064377682386E-2</v>
      </c>
      <c r="JL103" s="139">
        <f>JL80/JE80-1</f>
        <v>-7.2046109510086609E-3</v>
      </c>
      <c r="JM103" s="139">
        <f>JM80/JF80-1</f>
        <v>4.9155145929339561E-2</v>
      </c>
      <c r="JN103" s="139">
        <f>JN80/JG80-1</f>
        <v>4.2553191489361764E-2</v>
      </c>
      <c r="JO103" s="139">
        <f>JO80/JH80-1</f>
        <v>-7.4019245003698053E-4</v>
      </c>
      <c r="JQ103" s="138" t="s">
        <v>146</v>
      </c>
      <c r="JR103" s="139">
        <f>JR80/JK80-1</f>
        <v>3.1152647975077885E-2</v>
      </c>
      <c r="JS103" s="139">
        <f>JS80/JL80-1</f>
        <v>1.1611030478954953E-2</v>
      </c>
      <c r="JT103" s="139">
        <f>JT80/JM80-1</f>
        <v>0</v>
      </c>
      <c r="JU103" s="139">
        <f>JU80/JN80-1</f>
        <v>-3.0612244897959218E-2</v>
      </c>
      <c r="JV103" s="139">
        <f>JV80/JO80-1</f>
        <v>2.5925925925927018E-3</v>
      </c>
      <c r="JX103" s="138" t="s">
        <v>146</v>
      </c>
      <c r="JY103" s="139">
        <f>JY80/JR80-1</f>
        <v>1.6616314199395799E-2</v>
      </c>
      <c r="JZ103" s="139">
        <f>JZ80/JS80-1</f>
        <v>-0.21951219512195119</v>
      </c>
      <c r="KA103" s="139">
        <f>KA80/JT80-1</f>
        <v>-4.8316251830161083E-2</v>
      </c>
      <c r="KB103" s="139">
        <f>KB80/JU80-1</f>
        <v>4.5112781954887993E-3</v>
      </c>
      <c r="KC103" s="139">
        <f>KC80/JV80-1</f>
        <v>-6.3538973032877699E-2</v>
      </c>
      <c r="KE103" s="138" t="s">
        <v>146</v>
      </c>
      <c r="KF103" s="139">
        <f>KF80/JY80-1</f>
        <v>-6.2407132243684993E-2</v>
      </c>
      <c r="KG103" s="139">
        <f>KG80/JZ80-1</f>
        <v>0.20588235294117641</v>
      </c>
      <c r="KH103" s="139">
        <f>KH80/KA80-1</f>
        <v>-1.692307692307693E-2</v>
      </c>
      <c r="KI103" s="139">
        <f>KI80/KB80-1</f>
        <v>-3.4431137724550864E-2</v>
      </c>
      <c r="KJ103" s="139">
        <f>KJ80/KC80-1</f>
        <v>1.4201183431952646E-2</v>
      </c>
      <c r="KL103" s="138" t="s">
        <v>146</v>
      </c>
      <c r="KM103" s="139">
        <f>KM80/KF80-1</f>
        <v>-1.5847860538827252E-2</v>
      </c>
      <c r="KN103" s="139">
        <f>KN80/KG80-1</f>
        <v>1.5243902439023849E-3</v>
      </c>
      <c r="KO103" s="139">
        <f>KO80/KH80-1</f>
        <v>1.4084507042253502E-2</v>
      </c>
      <c r="KP103" s="139">
        <f>KP80/KI80-1</f>
        <v>-2.0155038759689936E-2</v>
      </c>
      <c r="KQ103" s="139">
        <f>KQ80/KJ80-1</f>
        <v>-5.056398288603603E-3</v>
      </c>
      <c r="KS103" s="138" t="s">
        <v>146</v>
      </c>
      <c r="KT103" s="139">
        <f>KT80/KM80-1</f>
        <v>4.1867954911433136E-2</v>
      </c>
      <c r="KU103" s="139">
        <f>KU80/KN80-1</f>
        <v>3.0441400304414001E-2</v>
      </c>
      <c r="KV103" s="139">
        <f>KV80/KO80-1</f>
        <v>1.5432098765431057E-3</v>
      </c>
      <c r="KW103" s="139">
        <f>KW80/KP80-1</f>
        <v>2.5316455696202445E-2</v>
      </c>
      <c r="KX103" s="139">
        <f>KX80/KQ80-1</f>
        <v>2.4628616106333157E-2</v>
      </c>
      <c r="KZ103" s="138" t="s">
        <v>146</v>
      </c>
      <c r="LA103" s="139">
        <f>LA80/KT80-1</f>
        <v>-3.0911901081916993E-3</v>
      </c>
      <c r="LB103" s="139">
        <f>LB80/KU80-1</f>
        <v>8.8626292466764678E-3</v>
      </c>
      <c r="LC103" s="218">
        <f>LC80/KV80-1</f>
        <v>3.2357473035439233E-2</v>
      </c>
      <c r="LD103" s="218">
        <f>LD80/KW80-1</f>
        <v>3.0864197530864335E-3</v>
      </c>
      <c r="LE103" s="218">
        <f>LE80/KX80-1</f>
        <v>1.0301411674933147E-2</v>
      </c>
      <c r="LF103" s="560"/>
      <c r="LG103" s="138" t="s">
        <v>146</v>
      </c>
      <c r="LH103" s="218">
        <f>LH80/LA80-1</f>
        <v>-2.3255813953488413E-2</v>
      </c>
      <c r="LI103" s="218">
        <f>LI80/LB80-1</f>
        <v>-1.9033674963396807E-2</v>
      </c>
      <c r="LJ103" s="218">
        <f>LJ80/LC80-1</f>
        <v>-1.4925373134328401E-2</v>
      </c>
      <c r="LK103" s="218">
        <f>LK80/LD80-1</f>
        <v>-2.4615384615384595E-2</v>
      </c>
      <c r="LL103" s="218">
        <f>LL80/LE80-1</f>
        <v>-2.0392749244713015E-2</v>
      </c>
      <c r="LM103" s="560"/>
      <c r="LN103" s="138" t="s">
        <v>146</v>
      </c>
      <c r="LO103" s="218">
        <f>LO80/LH80-1</f>
        <v>-1.8666666666666609E-2</v>
      </c>
      <c r="LP103" s="218">
        <f>LP80/LI80-1</f>
        <v>-2.1231343283582116E-2</v>
      </c>
      <c r="LQ103" s="218">
        <f>LQ80/LJ80-1</f>
        <v>-6.7803030303028589E-3</v>
      </c>
      <c r="LR103" s="218">
        <f>LR80/LK80-1</f>
        <v>2.4834384858044123E-2</v>
      </c>
      <c r="LS103" s="218">
        <f>LS80/LL80-1</f>
        <v>-5.672706245181236E-3</v>
      </c>
      <c r="LT103" s="560"/>
      <c r="LU103" s="138" t="s">
        <v>146</v>
      </c>
      <c r="LV103" s="218">
        <f>LV80/LO80-1</f>
        <v>2.857806030020682E-2</v>
      </c>
      <c r="LW103" s="218">
        <f>LW80/LP80-1</f>
        <v>2.8846822461972677E-2</v>
      </c>
      <c r="LX103" s="218">
        <f>LX80/LQ80-1</f>
        <v>2.7168414629495263E-2</v>
      </c>
      <c r="LY103" s="218">
        <f>LY80/LR80-1</f>
        <v>2.6859614156322875E-2</v>
      </c>
      <c r="LZ103" s="218">
        <f>LZ80/LS80-1</f>
        <v>2.7855238951880024E-2</v>
      </c>
      <c r="MA103" s="560"/>
      <c r="MB103" s="138" t="s">
        <v>146</v>
      </c>
      <c r="MC103" s="218">
        <f>MC80/LV80-1</f>
        <v>2.7145766227856027E-2</v>
      </c>
      <c r="MD103" s="218">
        <f>MD80/LW80-1</f>
        <v>2.6569360294424582E-2</v>
      </c>
      <c r="ME103" s="218">
        <f>ME80/LX80-1</f>
        <v>2.5176853386743137E-2</v>
      </c>
      <c r="MF103" s="218">
        <f>MF80/LY80-1</f>
        <v>2.3486659073205907E-2</v>
      </c>
      <c r="MG103" s="218">
        <f>MG80/LZ80-1</f>
        <v>2.5578141848937364E-2</v>
      </c>
      <c r="MH103" s="560"/>
    </row>
    <row r="104" spans="1:346" s="50" customFormat="1" ht="13.5" thickTop="1" x14ac:dyDescent="0.4">
      <c r="A104" s="133"/>
      <c r="B104" s="136"/>
      <c r="BO104" s="136"/>
      <c r="BP104" s="137"/>
      <c r="BQ104" s="137"/>
      <c r="BR104" s="137"/>
      <c r="BS104" s="137"/>
      <c r="BT104" s="137"/>
      <c r="BV104" s="136"/>
      <c r="BW104" s="137"/>
      <c r="BX104" s="137"/>
      <c r="BY104" s="137"/>
      <c r="BZ104" s="137"/>
      <c r="CA104" s="137"/>
      <c r="CC104" s="136"/>
      <c r="CD104" s="137"/>
      <c r="CE104" s="137"/>
      <c r="CF104" s="137"/>
      <c r="CG104" s="137"/>
      <c r="CH104" s="137"/>
      <c r="CJ104" s="136"/>
      <c r="CK104" s="137"/>
      <c r="CL104" s="137"/>
      <c r="CM104" s="137"/>
      <c r="CN104" s="137"/>
      <c r="CO104" s="137"/>
      <c r="CQ104" s="136"/>
      <c r="CR104" s="137"/>
      <c r="CS104" s="137"/>
      <c r="CT104" s="137"/>
      <c r="CU104" s="137"/>
      <c r="CV104" s="137"/>
      <c r="CX104" s="136"/>
      <c r="CY104" s="137"/>
      <c r="CZ104" s="137"/>
      <c r="DA104" s="137"/>
      <c r="DB104" s="137"/>
      <c r="DC104" s="137"/>
      <c r="DE104" s="136"/>
      <c r="DF104" s="137"/>
      <c r="DG104" s="137"/>
      <c r="DH104" s="137"/>
      <c r="DI104" s="137"/>
      <c r="DJ104" s="137"/>
      <c r="DL104" s="136"/>
      <c r="DM104" s="137"/>
      <c r="DN104" s="137"/>
      <c r="DO104" s="137"/>
      <c r="DP104" s="137"/>
      <c r="DQ104" s="137"/>
      <c r="DS104" s="136"/>
      <c r="DT104" s="137"/>
      <c r="DU104" s="137"/>
      <c r="DV104" s="137"/>
      <c r="DW104" s="137"/>
      <c r="DX104" s="137"/>
      <c r="DZ104" s="136"/>
      <c r="EA104" s="137"/>
      <c r="EB104" s="137"/>
      <c r="EC104" s="137"/>
      <c r="ED104" s="137"/>
      <c r="EE104" s="137"/>
      <c r="EG104" s="136"/>
      <c r="EH104" s="137"/>
      <c r="EI104" s="137"/>
      <c r="EJ104" s="137"/>
      <c r="EK104" s="137"/>
      <c r="EL104" s="137"/>
      <c r="EN104" s="136"/>
      <c r="EO104" s="137"/>
      <c r="EP104" s="137"/>
      <c r="EQ104" s="137"/>
      <c r="ER104" s="137"/>
      <c r="ES104" s="137"/>
      <c r="EU104" s="136"/>
      <c r="EV104" s="137"/>
      <c r="EW104" s="137"/>
      <c r="EX104" s="137"/>
      <c r="EY104" s="137"/>
      <c r="EZ104" s="137"/>
      <c r="FB104" s="136"/>
      <c r="FC104" s="137"/>
      <c r="FD104" s="137"/>
      <c r="FE104" s="137"/>
      <c r="FF104" s="137"/>
      <c r="FG104" s="137"/>
      <c r="FI104" s="136"/>
      <c r="FJ104" s="137"/>
      <c r="FK104" s="137"/>
      <c r="FL104" s="137"/>
      <c r="FM104" s="137"/>
      <c r="FN104" s="137"/>
      <c r="FP104" s="136"/>
      <c r="FQ104" s="137"/>
      <c r="FR104" s="137"/>
      <c r="FS104" s="137"/>
      <c r="FT104" s="137"/>
      <c r="FU104" s="137"/>
      <c r="FW104" s="136"/>
      <c r="FX104" s="137"/>
      <c r="FY104" s="137"/>
      <c r="FZ104" s="137"/>
      <c r="GA104" s="137"/>
      <c r="GB104" s="137"/>
      <c r="GD104" s="136"/>
      <c r="GE104" s="137"/>
      <c r="GF104" s="137"/>
      <c r="GG104" s="137"/>
      <c r="GH104" s="137"/>
      <c r="GI104" s="137"/>
      <c r="GK104" s="136"/>
      <c r="GL104" s="137"/>
      <c r="GM104" s="137"/>
      <c r="GN104" s="137"/>
      <c r="GO104" s="137"/>
      <c r="GP104" s="137"/>
      <c r="GR104" s="136"/>
      <c r="GS104" s="137"/>
      <c r="GT104" s="137"/>
      <c r="GU104" s="137"/>
      <c r="GV104" s="137"/>
      <c r="GW104" s="137"/>
      <c r="GY104" s="136"/>
      <c r="GZ104" s="137"/>
      <c r="HA104" s="137"/>
      <c r="HB104" s="137"/>
      <c r="HC104" s="137"/>
      <c r="HD104" s="137"/>
      <c r="HF104" s="136"/>
      <c r="HG104" s="137"/>
      <c r="HH104" s="137"/>
      <c r="HI104" s="137"/>
      <c r="HJ104" s="137"/>
      <c r="HK104" s="137"/>
      <c r="HM104" s="136"/>
      <c r="HN104" s="137"/>
      <c r="HO104" s="137"/>
      <c r="HP104" s="137"/>
      <c r="HQ104" s="137"/>
      <c r="HR104" s="137"/>
      <c r="HT104" s="136"/>
      <c r="HU104" s="137"/>
      <c r="HV104" s="137"/>
      <c r="HW104" s="137"/>
      <c r="HX104" s="137"/>
      <c r="HY104" s="137"/>
      <c r="IA104" s="136"/>
      <c r="IB104" s="137"/>
      <c r="IC104" s="137"/>
      <c r="ID104" s="137"/>
      <c r="IE104" s="137"/>
      <c r="IF104" s="137"/>
      <c r="IH104" s="136"/>
      <c r="II104" s="137"/>
      <c r="IJ104" s="137"/>
      <c r="IK104" s="137"/>
      <c r="IL104" s="137"/>
      <c r="IM104" s="137"/>
      <c r="IO104" s="136"/>
      <c r="IP104" s="137"/>
      <c r="IQ104" s="137"/>
      <c r="IR104" s="137"/>
      <c r="IS104" s="137"/>
      <c r="IT104" s="137"/>
      <c r="IV104" s="136"/>
      <c r="IW104" s="137"/>
      <c r="IX104" s="137"/>
      <c r="IY104" s="137"/>
      <c r="IZ104" s="137"/>
      <c r="JA104" s="137"/>
      <c r="JC104" s="136"/>
      <c r="JD104" s="137"/>
      <c r="JE104" s="137"/>
      <c r="JF104" s="137"/>
      <c r="JG104" s="137"/>
      <c r="JH104" s="137"/>
      <c r="JJ104" s="136"/>
      <c r="JK104" s="137"/>
      <c r="JL104" s="137"/>
      <c r="JM104" s="137"/>
      <c r="JN104" s="137"/>
      <c r="JO104" s="137"/>
      <c r="JQ104" s="136"/>
      <c r="JR104" s="137"/>
      <c r="JS104" s="137"/>
      <c r="JT104" s="137"/>
      <c r="JU104" s="137"/>
      <c r="JV104" s="137"/>
      <c r="JX104" s="136"/>
      <c r="JY104" s="137"/>
      <c r="JZ104" s="137"/>
      <c r="KA104" s="137"/>
      <c r="KB104" s="137"/>
      <c r="KC104" s="137"/>
      <c r="KE104" s="136"/>
      <c r="KF104" s="137"/>
      <c r="KG104" s="137"/>
      <c r="KH104" s="137"/>
      <c r="KI104" s="137"/>
      <c r="KJ104" s="137"/>
      <c r="KL104" s="136"/>
      <c r="KM104" s="137"/>
      <c r="KN104" s="137"/>
      <c r="KO104" s="137"/>
      <c r="KP104" s="137"/>
      <c r="KQ104" s="137"/>
      <c r="KS104" s="136"/>
      <c r="KT104" s="137"/>
      <c r="KU104" s="137"/>
      <c r="KX104" s="137"/>
      <c r="KZ104" s="628"/>
      <c r="LA104" s="629"/>
      <c r="LB104" s="629"/>
      <c r="LC104" s="629"/>
      <c r="LD104" s="629"/>
      <c r="LE104" s="629"/>
      <c r="LF104" s="560"/>
      <c r="LG104" s="628"/>
      <c r="LH104" s="629"/>
      <c r="LI104" s="629"/>
      <c r="LJ104" s="629"/>
      <c r="LK104" s="629"/>
      <c r="LL104" s="629"/>
      <c r="LM104" s="560"/>
      <c r="LN104" s="628"/>
      <c r="LO104" s="629"/>
      <c r="LP104" s="629"/>
      <c r="LQ104" s="629"/>
      <c r="LR104" s="629"/>
      <c r="LS104" s="629"/>
      <c r="LT104" s="560"/>
      <c r="LU104" s="628"/>
      <c r="LV104" s="629"/>
      <c r="LW104" s="629"/>
      <c r="LX104" s="629"/>
      <c r="LY104" s="629"/>
      <c r="LZ104" s="629"/>
      <c r="MA104" s="560"/>
      <c r="MB104" s="628"/>
      <c r="MC104" s="629"/>
      <c r="MD104" s="629"/>
      <c r="ME104" s="629"/>
      <c r="MF104" s="629"/>
      <c r="MG104" s="629"/>
      <c r="MH104" s="560"/>
    </row>
    <row r="105" spans="1:346" s="37" customFormat="1" ht="13.15" x14ac:dyDescent="0.4">
      <c r="A105" s="100"/>
      <c r="B105" s="116" t="s">
        <v>32</v>
      </c>
      <c r="C105" s="117"/>
      <c r="D105" s="117"/>
      <c r="E105" s="117"/>
      <c r="F105" s="117"/>
      <c r="G105" s="117"/>
      <c r="H105" s="117"/>
      <c r="I105" s="117"/>
      <c r="J105" s="117"/>
      <c r="K105" s="117"/>
      <c r="L105" s="117"/>
      <c r="M105" s="117"/>
      <c r="N105" s="117">
        <f>BT105</f>
        <v>0</v>
      </c>
      <c r="O105" s="117">
        <f>CA105</f>
        <v>-7.0921985815602939E-3</v>
      </c>
      <c r="P105" s="117">
        <f>CH105</f>
        <v>4.3877551020408134E-2</v>
      </c>
      <c r="Q105" s="117">
        <f>CO105</f>
        <v>5.9335288367546202E-2</v>
      </c>
      <c r="R105" s="117">
        <f>CV105</f>
        <v>5.2874411737565907E-2</v>
      </c>
      <c r="S105" s="117">
        <f>DC105</f>
        <v>0.12445223488168278</v>
      </c>
      <c r="T105" s="117">
        <f>DJ105</f>
        <v>-0.24240062353858149</v>
      </c>
      <c r="U105" s="117">
        <f>DQ105</f>
        <v>8.2304526748970819E-3</v>
      </c>
      <c r="V105" s="117">
        <f>DX105</f>
        <v>5.1020408163265252E-2</v>
      </c>
      <c r="W105" s="117">
        <f>EE105</f>
        <v>1.0679611650485477E-2</v>
      </c>
      <c r="X105" s="117">
        <f>EL105</f>
        <v>0.58021133525456281</v>
      </c>
      <c r="Y105" s="117">
        <f>ES105</f>
        <v>0.24741641337386011</v>
      </c>
      <c r="Z105" s="117">
        <f>EZ105</f>
        <v>-2.3391812865497075E-2</v>
      </c>
      <c r="AA105" s="117">
        <f>FG105</f>
        <v>5.738522954091807E-2</v>
      </c>
      <c r="AB105" s="117">
        <f>FN105</f>
        <v>5.2383199622463517E-2</v>
      </c>
      <c r="AC105" s="117">
        <f>FU105</f>
        <v>3.4080717488789158E-2</v>
      </c>
      <c r="AD105" s="117">
        <f>GB105</f>
        <v>-6.1144839549002628E-2</v>
      </c>
      <c r="AE105" s="117">
        <f>GI105</f>
        <v>6.4665127020784308E-3</v>
      </c>
      <c r="AF105" s="117">
        <f>GP105</f>
        <v>-3.1206975676915993E-2</v>
      </c>
      <c r="AG105" s="117">
        <f>GW105</f>
        <v>-1.9895783988631011E-2</v>
      </c>
      <c r="AH105" s="117">
        <f>HD105</f>
        <v>-8.0715321411309771E-2</v>
      </c>
      <c r="AI105" s="117">
        <f>HK105</f>
        <v>0.16876971608832814</v>
      </c>
      <c r="AJ105" s="117">
        <f>HR105</f>
        <v>2.9689608636977116E-2</v>
      </c>
      <c r="AK105" s="117">
        <f>HY105</f>
        <v>7.0773263433813849E-2</v>
      </c>
      <c r="AL105" s="117">
        <f>IF105</f>
        <v>5.3447572419420553E-2</v>
      </c>
      <c r="AM105" s="117">
        <f>IM105</f>
        <v>5.6545313710302025E-2</v>
      </c>
      <c r="AN105" s="117">
        <f>IT105</f>
        <v>4.0322580645161255E-2</v>
      </c>
      <c r="AO105" s="117">
        <f>JA105</f>
        <v>-9.5137420718816035E-3</v>
      </c>
      <c r="AP105" s="117">
        <f>JH105</f>
        <v>1.1383849163998594E-2</v>
      </c>
      <c r="AQ105" s="117">
        <f>JO105</f>
        <v>1.8290538163911352E-2</v>
      </c>
      <c r="AR105" s="117">
        <f>JV105</f>
        <v>-7.7720207253886064E-2</v>
      </c>
      <c r="AS105" s="117">
        <f>KC105</f>
        <v>1.8726591760299671E-2</v>
      </c>
      <c r="AT105" s="117">
        <f>KJ105</f>
        <v>9.4117647058823639E-2</v>
      </c>
      <c r="AU105" s="117">
        <f>KQ105</f>
        <v>-4.368279569892497E-3</v>
      </c>
      <c r="AV105" s="117">
        <f>KX105</f>
        <v>-6.6486668916638569E-2</v>
      </c>
      <c r="AW105" s="117">
        <f>LE105</f>
        <v>4.5914678235719375E-2</v>
      </c>
      <c r="AX105" s="117">
        <f>LL105</f>
        <v>3.5257518147252087E-2</v>
      </c>
      <c r="AY105" s="117">
        <f>LS105</f>
        <v>4.8804674457429087E-2</v>
      </c>
      <c r="AZ105" s="117">
        <f>LZ105</f>
        <v>3.0000000000000027E-2</v>
      </c>
      <c r="BA105" s="117">
        <f>MG105</f>
        <v>2.9999999999999805E-2</v>
      </c>
      <c r="BB105" s="117"/>
      <c r="BC105" s="117"/>
      <c r="BD105" s="117"/>
      <c r="BE105" s="117"/>
      <c r="BF105" s="117"/>
      <c r="BG105" s="117"/>
      <c r="BH105" s="117"/>
      <c r="BI105" s="117"/>
      <c r="BJ105" s="117"/>
      <c r="BK105" s="117"/>
      <c r="BL105" s="117"/>
      <c r="BM105" s="117"/>
      <c r="BO105" s="116" t="s">
        <v>32</v>
      </c>
      <c r="BP105" s="117"/>
      <c r="BQ105" s="117"/>
      <c r="BR105" s="117"/>
      <c r="BS105" s="117"/>
      <c r="BT105" s="117"/>
      <c r="BV105" s="116" t="s">
        <v>32</v>
      </c>
      <c r="BW105" s="117">
        <f t="shared" ref="BW105:CA106" si="593">BW85/BP85-1</f>
        <v>-2.9166666666666674E-2</v>
      </c>
      <c r="BX105" s="117">
        <f t="shared" si="593"/>
        <v>-2.8571428571428581E-2</v>
      </c>
      <c r="BY105" s="117">
        <f t="shared" si="593"/>
        <v>1.6460905349794164E-2</v>
      </c>
      <c r="BZ105" s="117">
        <f t="shared" si="593"/>
        <v>1.158301158301156E-2</v>
      </c>
      <c r="CA105" s="117">
        <f t="shared" si="593"/>
        <v>-7.0921985815602939E-3</v>
      </c>
      <c r="CC105" s="116" t="s">
        <v>32</v>
      </c>
      <c r="CD105" s="117">
        <f t="shared" ref="CD105:CH106" si="594">CD85/BW85-1</f>
        <v>1.2875536480686733E-2</v>
      </c>
      <c r="CE105" s="117">
        <f t="shared" si="594"/>
        <v>3.3613445378151363E-2</v>
      </c>
      <c r="CF105" s="117">
        <f t="shared" si="594"/>
        <v>7.2874493927125528E-2</v>
      </c>
      <c r="CG105" s="117">
        <f t="shared" si="594"/>
        <v>5.3435114503816772E-2</v>
      </c>
      <c r="CH105" s="117">
        <f t="shared" si="594"/>
        <v>4.3877551020408134E-2</v>
      </c>
      <c r="CJ105" s="116" t="s">
        <v>32</v>
      </c>
      <c r="CK105" s="117">
        <f t="shared" ref="CK105:CO106" si="595">CK85/CD85-1</f>
        <v>0.10720338983050826</v>
      </c>
      <c r="CL105" s="117">
        <f t="shared" si="595"/>
        <v>7.0731707317073012E-2</v>
      </c>
      <c r="CM105" s="117">
        <f t="shared" si="595"/>
        <v>2.6415094339622636E-2</v>
      </c>
      <c r="CN105" s="117">
        <f t="shared" si="595"/>
        <v>3.9855072463768071E-2</v>
      </c>
      <c r="CO105" s="117">
        <f t="shared" si="595"/>
        <v>5.9335288367546202E-2</v>
      </c>
      <c r="CQ105" s="116" t="s">
        <v>32</v>
      </c>
      <c r="CR105" s="117">
        <f t="shared" ref="CR105:CV106" si="596">CR85/CK85-1</f>
        <v>2.9468044393417658E-2</v>
      </c>
      <c r="CS105" s="117">
        <f t="shared" si="596"/>
        <v>4.0242976461655422E-2</v>
      </c>
      <c r="CT105" s="117">
        <f t="shared" si="596"/>
        <v>6.25E-2</v>
      </c>
      <c r="CU105" s="117">
        <f t="shared" si="596"/>
        <v>7.6655052264808399E-2</v>
      </c>
      <c r="CV105" s="117">
        <f t="shared" si="596"/>
        <v>5.2874411737565907E-2</v>
      </c>
      <c r="CX105" s="116" t="s">
        <v>32</v>
      </c>
      <c r="CY105" s="117">
        <f t="shared" ref="CY105:DC106" si="597">CY85/CR85-1</f>
        <v>0.12267657992565062</v>
      </c>
      <c r="CZ105" s="117">
        <f t="shared" si="597"/>
        <v>0.17153284671532854</v>
      </c>
      <c r="DA105" s="117">
        <f t="shared" si="597"/>
        <v>0.10726643598615926</v>
      </c>
      <c r="DB105" s="117">
        <f t="shared" si="597"/>
        <v>0.10032362459546929</v>
      </c>
      <c r="DC105" s="117">
        <f t="shared" si="597"/>
        <v>0.12445223488168278</v>
      </c>
      <c r="DE105" s="116" t="s">
        <v>32</v>
      </c>
      <c r="DF105" s="117">
        <f t="shared" ref="DF105:DJ106" si="598">DF85/CY85-1</f>
        <v>-0.20860927152317876</v>
      </c>
      <c r="DG105" s="117">
        <f t="shared" si="598"/>
        <v>-0.24610591900311529</v>
      </c>
      <c r="DH105" s="117">
        <f t="shared" si="598"/>
        <v>-0.24687499999999996</v>
      </c>
      <c r="DI105" s="117">
        <f t="shared" si="598"/>
        <v>-0.26470588235294112</v>
      </c>
      <c r="DJ105" s="117">
        <f t="shared" si="598"/>
        <v>-0.24240062353858149</v>
      </c>
      <c r="DL105" s="116" t="s">
        <v>32</v>
      </c>
      <c r="DM105" s="117">
        <f t="shared" ref="DM105:DQ106" si="599">DM85/DF85-1</f>
        <v>-1.2552301255230103E-2</v>
      </c>
      <c r="DN105" s="117">
        <f t="shared" si="599"/>
        <v>1.2396694214876103E-2</v>
      </c>
      <c r="DO105" s="117">
        <f t="shared" si="599"/>
        <v>2.0746887966804906E-2</v>
      </c>
      <c r="DP105" s="117">
        <f t="shared" si="599"/>
        <v>1.2000000000000011E-2</v>
      </c>
      <c r="DQ105" s="117">
        <f t="shared" si="599"/>
        <v>8.2304526748970819E-3</v>
      </c>
      <c r="DS105" s="116" t="s">
        <v>32</v>
      </c>
      <c r="DT105" s="117">
        <f t="shared" ref="DT105:DX106" si="600">DT85/DM85-1</f>
        <v>5.0847457627118731E-2</v>
      </c>
      <c r="DU105" s="117">
        <f t="shared" si="600"/>
        <v>5.7142857142857162E-2</v>
      </c>
      <c r="DV105" s="117">
        <f t="shared" si="600"/>
        <v>5.2845528455284452E-2</v>
      </c>
      <c r="DW105" s="117">
        <f t="shared" si="600"/>
        <v>4.3478260869565188E-2</v>
      </c>
      <c r="DX105" s="117">
        <f t="shared" si="600"/>
        <v>5.1020408163265252E-2</v>
      </c>
      <c r="DZ105" s="116" t="s">
        <v>32</v>
      </c>
      <c r="EA105" s="117">
        <f t="shared" ref="EA105:EE106" si="601">EA85/DT85-1</f>
        <v>1.6129032258064502E-2</v>
      </c>
      <c r="EB105" s="117">
        <f t="shared" si="601"/>
        <v>-1.158301158301156E-2</v>
      </c>
      <c r="EC105" s="117">
        <f t="shared" si="601"/>
        <v>0</v>
      </c>
      <c r="ED105" s="117">
        <f t="shared" si="601"/>
        <v>3.7878787878787845E-2</v>
      </c>
      <c r="EE105" s="117">
        <f t="shared" si="601"/>
        <v>1.0679611650485477E-2</v>
      </c>
      <c r="EG105" s="116" t="s">
        <v>32</v>
      </c>
      <c r="EH105" s="117">
        <f t="shared" ref="EH105:EL106" si="602">EH85/EA85-1</f>
        <v>9.5238095238095344E-2</v>
      </c>
      <c r="EI105" s="117">
        <f t="shared" si="602"/>
        <v>0.3515625</v>
      </c>
      <c r="EJ105" s="117">
        <f t="shared" si="602"/>
        <v>0.94594594594594605</v>
      </c>
      <c r="EK105" s="117">
        <f t="shared" si="602"/>
        <v>0.8941605839416058</v>
      </c>
      <c r="EL105" s="117">
        <f t="shared" si="602"/>
        <v>0.58021133525456281</v>
      </c>
      <c r="EN105" s="116" t="s">
        <v>32</v>
      </c>
      <c r="EO105" s="117">
        <f t="shared" ref="EO105:ES106" si="603">EO85/EH85-1</f>
        <v>0.91304347826086962</v>
      </c>
      <c r="EP105" s="117">
        <f t="shared" si="603"/>
        <v>0.5</v>
      </c>
      <c r="EQ105" s="117">
        <f t="shared" si="603"/>
        <v>7.9365079365079083E-3</v>
      </c>
      <c r="ER105" s="117">
        <f t="shared" si="603"/>
        <v>-4.2389210019267876E-2</v>
      </c>
      <c r="ES105" s="117">
        <f t="shared" si="603"/>
        <v>0.24741641337386011</v>
      </c>
      <c r="EU105" s="116" t="s">
        <v>32</v>
      </c>
      <c r="EV105" s="117">
        <f t="shared" ref="EV105:EZ106" si="604">EV85/EO85-1</f>
        <v>-8.9015151515151492E-2</v>
      </c>
      <c r="EW105" s="117">
        <f t="shared" si="604"/>
        <v>-4.2389210019267876E-2</v>
      </c>
      <c r="EX105" s="117">
        <f t="shared" si="604"/>
        <v>1.7716535433070835E-2</v>
      </c>
      <c r="EY105" s="117">
        <f t="shared" si="604"/>
        <v>2.4144869215291687E-2</v>
      </c>
      <c r="EZ105" s="117">
        <f t="shared" si="604"/>
        <v>-2.3391812865497075E-2</v>
      </c>
      <c r="FB105" s="116" t="s">
        <v>32</v>
      </c>
      <c r="FC105" s="117">
        <f t="shared" ref="FC105:FG106" si="605">FC85/EV85-1</f>
        <v>0</v>
      </c>
      <c r="FD105" s="117">
        <f t="shared" si="605"/>
        <v>8.0482897384305918E-2</v>
      </c>
      <c r="FE105" s="117">
        <f t="shared" si="605"/>
        <v>9.4777562862669251E-2</v>
      </c>
      <c r="FF105" s="117">
        <f t="shared" si="605"/>
        <v>5.1080550098231869E-2</v>
      </c>
      <c r="FG105" s="117">
        <f t="shared" si="605"/>
        <v>5.738522954091807E-2</v>
      </c>
      <c r="FI105" s="116" t="s">
        <v>32</v>
      </c>
      <c r="FJ105" s="117">
        <f t="shared" ref="FJ105:FN106" si="606">FJ85/FC85-1</f>
        <v>9.3555093555093505E-2</v>
      </c>
      <c r="FK105" s="117">
        <f t="shared" si="606"/>
        <v>5.2141527001862142E-2</v>
      </c>
      <c r="FL105" s="117">
        <f t="shared" si="606"/>
        <v>-3.5335689045936647E-3</v>
      </c>
      <c r="FM105" s="117">
        <f t="shared" si="606"/>
        <v>7.4766355140186924E-2</v>
      </c>
      <c r="FN105" s="117">
        <f t="shared" si="606"/>
        <v>5.2383199622463517E-2</v>
      </c>
      <c r="FP105" s="116" t="s">
        <v>32</v>
      </c>
      <c r="FQ105" s="117">
        <f t="shared" ref="FQ105:FU106" si="607">FQ85/FJ85-1</f>
        <v>4.3726235741444963E-2</v>
      </c>
      <c r="FR105" s="117">
        <f t="shared" si="607"/>
        <v>4.2477876106194801E-2</v>
      </c>
      <c r="FS105" s="117">
        <f t="shared" si="607"/>
        <v>-8.8652482269503396E-3</v>
      </c>
      <c r="FT105" s="117">
        <f t="shared" si="607"/>
        <v>5.913043478260871E-2</v>
      </c>
      <c r="FU105" s="117">
        <f t="shared" si="607"/>
        <v>3.4080717488789158E-2</v>
      </c>
      <c r="FW105" s="116" t="s">
        <v>32</v>
      </c>
      <c r="FX105" s="117">
        <f t="shared" ref="FX105:GB106" si="608">FX85/FQ85-1</f>
        <v>-3.8251366120218622E-2</v>
      </c>
      <c r="FY105" s="117">
        <f t="shared" si="608"/>
        <v>-7.8098471986417617E-2</v>
      </c>
      <c r="FZ105" s="117">
        <f t="shared" si="608"/>
        <v>-2.6833631484794229E-2</v>
      </c>
      <c r="GA105" s="117">
        <f t="shared" si="608"/>
        <v>-9.6880131362889976E-2</v>
      </c>
      <c r="GB105" s="117">
        <f t="shared" si="608"/>
        <v>-6.1144839549002628E-2</v>
      </c>
      <c r="GD105" s="116" t="s">
        <v>32</v>
      </c>
      <c r="GE105" s="117">
        <f t="shared" ref="GE105:GI106" si="609">GE85/FX85-1</f>
        <v>-2.2727272727272707E-2</v>
      </c>
      <c r="GF105" s="117">
        <f t="shared" si="609"/>
        <v>7.3664825046040328E-3</v>
      </c>
      <c r="GG105" s="117">
        <f t="shared" si="609"/>
        <v>3.6764705882353033E-2</v>
      </c>
      <c r="GH105" s="117">
        <f t="shared" si="609"/>
        <v>3.6363636363636598E-3</v>
      </c>
      <c r="GI105" s="117">
        <f t="shared" si="609"/>
        <v>6.4665127020784308E-3</v>
      </c>
      <c r="GK105" s="116" t="s">
        <v>32</v>
      </c>
      <c r="GL105" s="117">
        <f t="shared" ref="GL105:GP106" si="610">GL85/GE85-1</f>
        <v>-1.3565891472868241E-2</v>
      </c>
      <c r="GM105" s="117">
        <f t="shared" si="610"/>
        <v>-1.4625228519195566E-2</v>
      </c>
      <c r="GN105" s="117">
        <f t="shared" si="610"/>
        <v>-6.0283687943262443E-2</v>
      </c>
      <c r="GO105" s="117">
        <f t="shared" si="610"/>
        <v>-3.4420289855072506E-2</v>
      </c>
      <c r="GP105" s="117">
        <f t="shared" si="610"/>
        <v>-3.1206975676915993E-2</v>
      </c>
      <c r="GR105" s="116" t="s">
        <v>32</v>
      </c>
      <c r="GS105" s="117">
        <f t="shared" ref="GS105:GW106" si="611">GS85/GL85-1</f>
        <v>-1.9646365422396617E-3</v>
      </c>
      <c r="GT105" s="117">
        <f t="shared" si="611"/>
        <v>-1.6697588126159513E-2</v>
      </c>
      <c r="GU105" s="117">
        <f t="shared" si="611"/>
        <v>3.7735849056603765E-3</v>
      </c>
      <c r="GV105" s="117">
        <f t="shared" si="611"/>
        <v>-6.3789868667917471E-2</v>
      </c>
      <c r="GW105" s="117">
        <f t="shared" si="611"/>
        <v>-1.9895783988631011E-2</v>
      </c>
      <c r="GY105" s="116" t="s">
        <v>32</v>
      </c>
      <c r="GZ105" s="117">
        <f t="shared" ref="GZ105:HD106" si="612">GZ85/GS85-1</f>
        <v>-0.13385826771653542</v>
      </c>
      <c r="HA105" s="117">
        <f t="shared" si="612"/>
        <v>-0.13773584905660374</v>
      </c>
      <c r="HB105" s="117">
        <f t="shared" si="612"/>
        <v>-9.5864661654135319E-2</v>
      </c>
      <c r="HC105" s="117">
        <f t="shared" si="612"/>
        <v>5.0100200400801542E-2</v>
      </c>
      <c r="HD105" s="117">
        <f t="shared" si="612"/>
        <v>-8.0715321411309771E-2</v>
      </c>
      <c r="HF105" s="116" t="s">
        <v>32</v>
      </c>
      <c r="HG105" s="117">
        <f t="shared" ref="HG105:HK106" si="613">HG85/GZ85-1</f>
        <v>0.13636363636363646</v>
      </c>
      <c r="HH105" s="117">
        <f t="shared" si="613"/>
        <v>0.17724288840262581</v>
      </c>
      <c r="HI105" s="117">
        <f t="shared" si="613"/>
        <v>0.1933471933471933</v>
      </c>
      <c r="HJ105" s="117">
        <f t="shared" si="613"/>
        <v>0.16603053435114501</v>
      </c>
      <c r="HK105" s="117">
        <f t="shared" si="613"/>
        <v>0.16876971608832814</v>
      </c>
      <c r="HM105" s="116" t="s">
        <v>32</v>
      </c>
      <c r="HN105" s="117">
        <f t="shared" ref="HN105:HR106" si="614">HN85/HG85-1</f>
        <v>0.10600000000000009</v>
      </c>
      <c r="HO105" s="117">
        <f t="shared" si="614"/>
        <v>7.9925650557620909E-2</v>
      </c>
      <c r="HP105" s="117">
        <f t="shared" si="614"/>
        <v>3.4843205574912606E-3</v>
      </c>
      <c r="HQ105" s="117">
        <f t="shared" si="614"/>
        <v>-5.2373158756137461E-2</v>
      </c>
      <c r="HR105" s="117">
        <f t="shared" si="614"/>
        <v>2.9689608636977116E-2</v>
      </c>
      <c r="HT105" s="116" t="s">
        <v>32</v>
      </c>
      <c r="HU105" s="117">
        <f t="shared" ref="HU105:HY106" si="615">HU85/HN85-1</f>
        <v>8.4990958408679873E-2</v>
      </c>
      <c r="HV105" s="117">
        <f t="shared" si="615"/>
        <v>8.2616179001721246E-2</v>
      </c>
      <c r="HW105" s="117">
        <f t="shared" si="615"/>
        <v>7.986111111111116E-2</v>
      </c>
      <c r="HX105" s="117">
        <f t="shared" si="615"/>
        <v>3.6269430051813378E-2</v>
      </c>
      <c r="HY105" s="117">
        <f t="shared" si="615"/>
        <v>7.0773263433813849E-2</v>
      </c>
      <c r="IA105" s="116" t="s">
        <v>32</v>
      </c>
      <c r="IB105" s="117">
        <f t="shared" ref="IB105:IF106" si="616">IB85/HU85-1</f>
        <v>2.4999999999999911E-2</v>
      </c>
      <c r="IC105" s="117">
        <f t="shared" si="616"/>
        <v>2.3847376788553198E-2</v>
      </c>
      <c r="ID105" s="117">
        <f t="shared" si="616"/>
        <v>5.6270096463022501E-2</v>
      </c>
      <c r="IE105" s="117">
        <f t="shared" si="616"/>
        <v>0.1100000000000001</v>
      </c>
      <c r="IF105" s="117">
        <f t="shared" si="616"/>
        <v>5.3447572419420553E-2</v>
      </c>
      <c r="IH105" s="116" t="s">
        <v>32</v>
      </c>
      <c r="II105" s="117">
        <f t="shared" ref="II105:IM106" si="617">II85/IB85-1</f>
        <v>5.2032520325203224E-2</v>
      </c>
      <c r="IJ105" s="117">
        <f t="shared" si="617"/>
        <v>7.2981366459627273E-2</v>
      </c>
      <c r="IK105" s="117">
        <f t="shared" si="617"/>
        <v>5.1750380517503913E-2</v>
      </c>
      <c r="IL105" s="117">
        <f t="shared" si="617"/>
        <v>4.9549549549549488E-2</v>
      </c>
      <c r="IM105" s="117">
        <f t="shared" si="617"/>
        <v>5.6545313710302025E-2</v>
      </c>
      <c r="IO105" s="116" t="s">
        <v>32</v>
      </c>
      <c r="IP105" s="117">
        <f t="shared" ref="IP105:IT106" si="618">IP85/II85-1</f>
        <v>1.2364760432766575E-2</v>
      </c>
      <c r="IQ105" s="117">
        <f t="shared" si="618"/>
        <v>4.6309696092619479E-2</v>
      </c>
      <c r="IR105" s="117">
        <f t="shared" si="618"/>
        <v>5.7887120115774238E-2</v>
      </c>
      <c r="IS105" s="117">
        <f t="shared" si="618"/>
        <v>4.2918454935622297E-2</v>
      </c>
      <c r="IT105" s="117">
        <f t="shared" si="618"/>
        <v>4.0322580645161255E-2</v>
      </c>
      <c r="IV105" s="116" t="s">
        <v>32</v>
      </c>
      <c r="IW105" s="117">
        <f t="shared" ref="IW105:JA106" si="619">IW85/IP85-1</f>
        <v>3.5114503816793929E-2</v>
      </c>
      <c r="IX105" s="117">
        <f t="shared" si="619"/>
        <v>-4.0110650069156262E-2</v>
      </c>
      <c r="IY105" s="117">
        <f t="shared" si="619"/>
        <v>-6.8399452804377536E-2</v>
      </c>
      <c r="IZ105" s="117">
        <f t="shared" si="619"/>
        <v>3.9780521262002821E-2</v>
      </c>
      <c r="JA105" s="117">
        <f t="shared" si="619"/>
        <v>-9.5137420718816035E-3</v>
      </c>
      <c r="JC105" s="116" t="s">
        <v>32</v>
      </c>
      <c r="JD105" s="117">
        <f t="shared" ref="JD105:JH106" si="620">JD85/IW85-1</f>
        <v>1.4749262536873253E-2</v>
      </c>
      <c r="JE105" s="117">
        <f t="shared" si="620"/>
        <v>3.4582132564841439E-2</v>
      </c>
      <c r="JF105" s="117">
        <f t="shared" si="620"/>
        <v>5.4331864904552107E-2</v>
      </c>
      <c r="JG105" s="117">
        <f t="shared" si="620"/>
        <v>-5.1451187335092352E-2</v>
      </c>
      <c r="JH105" s="117">
        <f t="shared" si="620"/>
        <v>1.1383849163998594E-2</v>
      </c>
      <c r="JJ105" s="116" t="s">
        <v>32</v>
      </c>
      <c r="JK105" s="117">
        <f t="shared" ref="JK105:JO106" si="621">JK85/JD85-1</f>
        <v>1.4534883720929148E-3</v>
      </c>
      <c r="JL105" s="117">
        <f t="shared" si="621"/>
        <v>2.3676880222841312E-2</v>
      </c>
      <c r="JM105" s="117">
        <f t="shared" si="621"/>
        <v>2.9247910863509752E-2</v>
      </c>
      <c r="JN105" s="117">
        <f t="shared" si="621"/>
        <v>1.8080667593880495E-2</v>
      </c>
      <c r="JO105" s="117">
        <f t="shared" si="621"/>
        <v>1.8290538163911352E-2</v>
      </c>
      <c r="JQ105" s="116" t="s">
        <v>32</v>
      </c>
      <c r="JR105" s="117">
        <f t="shared" ref="JR105:JV106" si="622">JR85/JK85-1</f>
        <v>-4.6444121915820036E-2</v>
      </c>
      <c r="JS105" s="117">
        <f t="shared" si="622"/>
        <v>-0.10476190476190472</v>
      </c>
      <c r="JT105" s="117">
        <f t="shared" si="622"/>
        <v>-8.9309878213802429E-2</v>
      </c>
      <c r="JU105" s="117">
        <f t="shared" si="622"/>
        <v>-6.8306010928961713E-2</v>
      </c>
      <c r="JV105" s="117">
        <f t="shared" si="622"/>
        <v>-7.7720207253886064E-2</v>
      </c>
      <c r="JX105" s="116" t="s">
        <v>32</v>
      </c>
      <c r="JY105" s="117">
        <f t="shared" ref="JY105:KC106" si="623">JY85/JR85-1</f>
        <v>4.5662100456620447E-3</v>
      </c>
      <c r="JZ105" s="117">
        <f t="shared" si="623"/>
        <v>-0.10942249240121582</v>
      </c>
      <c r="KA105" s="117">
        <f t="shared" si="623"/>
        <v>6.537890044576522E-2</v>
      </c>
      <c r="KB105" s="117">
        <f t="shared" si="623"/>
        <v>0.10997067448680342</v>
      </c>
      <c r="KC105" s="117">
        <f t="shared" si="623"/>
        <v>1.8726591760299671E-2</v>
      </c>
      <c r="KE105" s="116" t="s">
        <v>32</v>
      </c>
      <c r="KF105" s="117">
        <f t="shared" ref="KF105:KJ106" si="624">KF85/JY85-1</f>
        <v>0.10000000000000009</v>
      </c>
      <c r="KG105" s="117">
        <f t="shared" si="624"/>
        <v>0.28327645051194539</v>
      </c>
      <c r="KH105" s="117">
        <f t="shared" si="624"/>
        <v>3.7656903765690419E-2</v>
      </c>
      <c r="KI105" s="117">
        <f t="shared" si="624"/>
        <v>-3.9630118890356947E-3</v>
      </c>
      <c r="KJ105" s="117">
        <f t="shared" si="624"/>
        <v>9.4117647058823639E-2</v>
      </c>
      <c r="KL105" s="116" t="s">
        <v>32</v>
      </c>
      <c r="KM105" s="117">
        <f t="shared" ref="KM105:KQ106" si="625">KM85/KF85-1</f>
        <v>-5.5096418732781816E-3</v>
      </c>
      <c r="KN105" s="117">
        <f t="shared" si="625"/>
        <v>9.3085106382979621E-3</v>
      </c>
      <c r="KO105" s="117">
        <f t="shared" si="625"/>
        <v>2.4193548387096753E-2</v>
      </c>
      <c r="KP105" s="117">
        <f t="shared" si="625"/>
        <v>-4.5092838196286511E-2</v>
      </c>
      <c r="KQ105" s="117">
        <f t="shared" si="625"/>
        <v>-4.368279569892497E-3</v>
      </c>
      <c r="KS105" s="116" t="s">
        <v>32</v>
      </c>
      <c r="KT105" s="117">
        <f t="shared" ref="KT105:KX106" si="626">KT85/KM85-1</f>
        <v>-9.4182825484764532E-2</v>
      </c>
      <c r="KU105" s="117">
        <f t="shared" si="626"/>
        <v>-9.8814229249011842E-2</v>
      </c>
      <c r="KV105" s="117">
        <f t="shared" si="626"/>
        <v>-7.086614173228345E-2</v>
      </c>
      <c r="KW105" s="117">
        <f t="shared" si="626"/>
        <v>0</v>
      </c>
      <c r="KX105" s="117">
        <f t="shared" si="626"/>
        <v>-6.6486668916638569E-2</v>
      </c>
      <c r="KZ105" s="116" t="s">
        <v>32</v>
      </c>
      <c r="LA105" s="117">
        <f t="shared" ref="LA105:LB106" si="627">LA85/KT85-1</f>
        <v>7.1865443425076503E-2</v>
      </c>
      <c r="LB105" s="117">
        <f t="shared" si="627"/>
        <v>4.6783625730994149E-2</v>
      </c>
      <c r="LC105" s="216">
        <f t="shared" ref="LC105:LC106" si="628">LC85/KV85-1</f>
        <v>3.1073446327683607E-2</v>
      </c>
      <c r="LD105" s="216">
        <f t="shared" ref="LD105:LD106" si="629">LD85/KW85-1</f>
        <v>3.6111111111111205E-2</v>
      </c>
      <c r="LE105" s="216">
        <f t="shared" ref="LE105:LE106" si="630">LE85/KX85-1</f>
        <v>4.5914678235719375E-2</v>
      </c>
      <c r="LF105" s="567"/>
      <c r="LG105" s="116" t="s">
        <v>32</v>
      </c>
      <c r="LH105" s="216">
        <f t="shared" ref="LH105:LH106" si="631">LH85/LA85-1</f>
        <v>2.1398002853067144E-2</v>
      </c>
      <c r="LI105" s="216">
        <f t="shared" ref="LI105:LI106" si="632">LI85/LB85-1</f>
        <v>1.8156424581005526E-2</v>
      </c>
      <c r="LJ105" s="216">
        <f t="shared" ref="LJ105:LJ106" si="633">LJ85/LC85-1</f>
        <v>5.2054794520547842E-2</v>
      </c>
      <c r="LK105" s="216">
        <f t="shared" ref="LK105:LK106" si="634">LK85/LD85-1</f>
        <v>4.8257372654155528E-2</v>
      </c>
      <c r="LL105" s="216">
        <f>LL85/LE85-1</f>
        <v>3.5257518147252087E-2</v>
      </c>
      <c r="LM105" s="567"/>
      <c r="LN105" s="116" t="s">
        <v>32</v>
      </c>
      <c r="LO105" s="216">
        <f t="shared" ref="LO105:LO106" si="635">LO85/LH85-1</f>
        <v>4.4999999999999929E-2</v>
      </c>
      <c r="LP105" s="216">
        <f t="shared" ref="LP105:LP106" si="636">LP85/LI85-1</f>
        <v>5.0000000000000044E-2</v>
      </c>
      <c r="LQ105" s="216">
        <f t="shared" ref="LQ105:LQ106" si="637">LQ85/LJ85-1</f>
        <v>5.0000000000000044E-2</v>
      </c>
      <c r="LR105" s="216">
        <f t="shared" ref="LR105:LR106" si="638">LR85/LK85-1</f>
        <v>5.0000000000000044E-2</v>
      </c>
      <c r="LS105" s="216">
        <f>LS85/LL85-1</f>
        <v>4.8804674457429087E-2</v>
      </c>
      <c r="LT105" s="567"/>
      <c r="LU105" s="116" t="s">
        <v>32</v>
      </c>
      <c r="LV105" s="216">
        <f t="shared" ref="LV105:LV106" si="639">LV85/LO85-1</f>
        <v>3.0000000000000027E-2</v>
      </c>
      <c r="LW105" s="216">
        <f t="shared" ref="LW105:LW106" si="640">LW85/LP85-1</f>
        <v>3.0000000000000027E-2</v>
      </c>
      <c r="LX105" s="216">
        <f t="shared" ref="LX105:LX106" si="641">LX85/LQ85-1</f>
        <v>3.0000000000000027E-2</v>
      </c>
      <c r="LY105" s="216">
        <f t="shared" ref="LY105:LY106" si="642">LY85/LR85-1</f>
        <v>3.0000000000000027E-2</v>
      </c>
      <c r="LZ105" s="216">
        <f>LZ85/LS85-1</f>
        <v>3.0000000000000027E-2</v>
      </c>
      <c r="MA105" s="567"/>
      <c r="MB105" s="116" t="s">
        <v>32</v>
      </c>
      <c r="MC105" s="216">
        <f t="shared" ref="MC105:MC106" si="643">MC85/LV85-1</f>
        <v>3.0000000000000027E-2</v>
      </c>
      <c r="MD105" s="216">
        <f t="shared" ref="MD105:MD106" si="644">MD85/LW85-1</f>
        <v>3.0000000000000027E-2</v>
      </c>
      <c r="ME105" s="216">
        <f t="shared" ref="ME105:ME106" si="645">ME85/LX85-1</f>
        <v>3.0000000000000027E-2</v>
      </c>
      <c r="MF105" s="216">
        <f t="shared" ref="MF105:MF106" si="646">MF85/LY85-1</f>
        <v>3.0000000000000027E-2</v>
      </c>
      <c r="MG105" s="216">
        <f>MG85/LZ85-1</f>
        <v>2.9999999999999805E-2</v>
      </c>
      <c r="MH105" s="567"/>
    </row>
    <row r="106" spans="1:346" s="37" customFormat="1" ht="13.15" x14ac:dyDescent="0.4">
      <c r="A106" s="100"/>
      <c r="B106" s="116" t="s">
        <v>147</v>
      </c>
      <c r="C106" s="117"/>
      <c r="D106" s="117"/>
      <c r="E106" s="117"/>
      <c r="F106" s="117"/>
      <c r="G106" s="117"/>
      <c r="H106" s="117"/>
      <c r="I106" s="117"/>
      <c r="J106" s="117"/>
      <c r="K106" s="117"/>
      <c r="L106" s="117"/>
      <c r="M106" s="117"/>
      <c r="N106" s="117">
        <f>BT106</f>
        <v>0</v>
      </c>
      <c r="O106" s="117">
        <f>CA106</f>
        <v>2.1499737808075459E-2</v>
      </c>
      <c r="P106" s="117">
        <f>CH106</f>
        <v>-7.9055441478439459E-2</v>
      </c>
      <c r="Q106" s="117">
        <f>CO106</f>
        <v>-1.8952062430323324E-2</v>
      </c>
      <c r="R106" s="117">
        <f>CV106</f>
        <v>-0.11022727272727273</v>
      </c>
      <c r="S106" s="117">
        <f>DC106</f>
        <v>7.1519795657726704E-2</v>
      </c>
      <c r="T106" s="117">
        <f>DJ106</f>
        <v>0</v>
      </c>
      <c r="U106" s="117">
        <f>DQ106</f>
        <v>1.966626936829563E-2</v>
      </c>
      <c r="V106" s="117">
        <f>DX106</f>
        <v>1.753360607831711E-3</v>
      </c>
      <c r="W106" s="117">
        <f>EE106</f>
        <v>-3.6756126021003532E-2</v>
      </c>
      <c r="X106" s="117">
        <f>EL106</f>
        <v>-2.2410660205935851E-2</v>
      </c>
      <c r="Y106" s="117">
        <f>ES106</f>
        <v>2.8500619578686548E-2</v>
      </c>
      <c r="Z106" s="117">
        <f>EZ106</f>
        <v>3.7349397590361377E-2</v>
      </c>
      <c r="AA106" s="117">
        <f>FG106</f>
        <v>-8.594657375145176E-2</v>
      </c>
      <c r="AB106" s="117">
        <f>FN106</f>
        <v>-2.5412960609910717E-3</v>
      </c>
      <c r="AC106" s="117">
        <f>FU106</f>
        <v>5.6687898089172073E-2</v>
      </c>
      <c r="AD106" s="117">
        <f>GB106</f>
        <v>4.0385774562989862E-2</v>
      </c>
      <c r="AE106" s="117">
        <f>GI106</f>
        <v>4.1714947856315243E-2</v>
      </c>
      <c r="AF106" s="117">
        <f>GP106</f>
        <v>-1.5016685205784253E-2</v>
      </c>
      <c r="AG106" s="117">
        <f>GW106</f>
        <v>4.5172219085263254E-3</v>
      </c>
      <c r="AH106" s="117">
        <f>HD106</f>
        <v>-0.15345699831365933</v>
      </c>
      <c r="AI106" s="117">
        <f>HK106</f>
        <v>4.4488711819389071E-2</v>
      </c>
      <c r="AJ106" s="117">
        <f>HR106</f>
        <v>-2.5429116338207214E-2</v>
      </c>
      <c r="AK106" s="117">
        <f>HY106</f>
        <v>-0.15851272015655582</v>
      </c>
      <c r="AL106" s="117">
        <f>IF106</f>
        <v>-7.3643410852713198E-2</v>
      </c>
      <c r="AM106" s="117">
        <f>IM106</f>
        <v>5.6066945606694452E-2</v>
      </c>
      <c r="AN106" s="117">
        <f>IT106</f>
        <v>-0.15768621236133118</v>
      </c>
      <c r="AO106" s="117">
        <f>JA106</f>
        <v>-0.21166509877704609</v>
      </c>
      <c r="AP106" s="117">
        <f>JH106</f>
        <v>2.028639618138417E-2</v>
      </c>
      <c r="AQ106" s="117">
        <f>JO106</f>
        <v>3.7426900584795364E-2</v>
      </c>
      <c r="AR106" s="117">
        <f>JV106</f>
        <v>-4.9605411499436314E-2</v>
      </c>
      <c r="AS106" s="117">
        <f>KC106</f>
        <v>-0.24436536180308421</v>
      </c>
      <c r="AT106" s="117">
        <f>KJ106</f>
        <v>0.10832025117739397</v>
      </c>
      <c r="AU106" s="117">
        <f>KQ106</f>
        <v>-1.2747875354107596E-2</v>
      </c>
      <c r="AV106" s="117">
        <f>KX106</f>
        <v>8.3213773314203765E-2</v>
      </c>
      <c r="AW106" s="117">
        <f>LE106</f>
        <v>-2.5165562913907258E-2</v>
      </c>
      <c r="AX106" s="117">
        <f>LL106</f>
        <v>-2.4456521739130488E-2</v>
      </c>
      <c r="AY106" s="117">
        <f>LS106</f>
        <v>2.4937325905292518E-2</v>
      </c>
      <c r="AZ106" s="117">
        <f>LZ106</f>
        <v>-3.7456261338081331E-3</v>
      </c>
      <c r="BA106" s="117">
        <f>MG106</f>
        <v>-7.4999999999999512E-3</v>
      </c>
      <c r="BB106" s="117"/>
      <c r="BC106" s="117"/>
      <c r="BD106" s="117"/>
      <c r="BE106" s="117"/>
      <c r="BF106" s="117"/>
      <c r="BG106" s="117"/>
      <c r="BH106" s="117"/>
      <c r="BI106" s="117"/>
      <c r="BJ106" s="117"/>
      <c r="BK106" s="117"/>
      <c r="BL106" s="117"/>
      <c r="BM106" s="117"/>
      <c r="BO106" s="116" t="s">
        <v>147</v>
      </c>
      <c r="BP106" s="117"/>
      <c r="BQ106" s="117"/>
      <c r="BR106" s="117"/>
      <c r="BS106" s="117"/>
      <c r="BT106" s="117"/>
      <c r="BV106" s="116" t="s">
        <v>147</v>
      </c>
      <c r="BW106" s="117">
        <f t="shared" si="593"/>
        <v>2.6748971193415683E-2</v>
      </c>
      <c r="BX106" s="117">
        <f t="shared" si="593"/>
        <v>2.0449897750511203E-2</v>
      </c>
      <c r="BY106" s="117">
        <f t="shared" si="593"/>
        <v>4.1304347826087051E-2</v>
      </c>
      <c r="BZ106" s="117">
        <f t="shared" si="593"/>
        <v>-2.1186440677966045E-3</v>
      </c>
      <c r="CA106" s="117">
        <f t="shared" si="593"/>
        <v>2.1499737808075459E-2</v>
      </c>
      <c r="CC106" s="116" t="s">
        <v>147</v>
      </c>
      <c r="CD106" s="117">
        <f t="shared" si="594"/>
        <v>-0.11623246492985972</v>
      </c>
      <c r="CE106" s="117">
        <f t="shared" si="594"/>
        <v>-0.13026052104208419</v>
      </c>
      <c r="CF106" s="117">
        <f t="shared" si="594"/>
        <v>-3.3402922755741082E-2</v>
      </c>
      <c r="CG106" s="117">
        <f t="shared" si="594"/>
        <v>-3.1847133757961776E-2</v>
      </c>
      <c r="CH106" s="117">
        <f t="shared" si="594"/>
        <v>-7.9055441478439459E-2</v>
      </c>
      <c r="CJ106" s="116" t="s">
        <v>147</v>
      </c>
      <c r="CK106" s="117">
        <f t="shared" si="595"/>
        <v>2.2675736961450532E-3</v>
      </c>
      <c r="CL106" s="117">
        <f t="shared" si="595"/>
        <v>0</v>
      </c>
      <c r="CM106" s="117">
        <f t="shared" si="595"/>
        <v>-4.3196544276457916E-2</v>
      </c>
      <c r="CN106" s="117">
        <f t="shared" si="595"/>
        <v>-3.289473684210531E-2</v>
      </c>
      <c r="CO106" s="117">
        <f t="shared" si="595"/>
        <v>-1.8952062430323324E-2</v>
      </c>
      <c r="CQ106" s="116" t="s">
        <v>147</v>
      </c>
      <c r="CR106" s="117">
        <f t="shared" si="596"/>
        <v>-0.10859728506787325</v>
      </c>
      <c r="CS106" s="117">
        <f t="shared" si="596"/>
        <v>-6.4516129032258118E-2</v>
      </c>
      <c r="CT106" s="117">
        <f t="shared" si="596"/>
        <v>-0.11738148984198649</v>
      </c>
      <c r="CU106" s="117">
        <f t="shared" si="596"/>
        <v>-0.14965986394557829</v>
      </c>
      <c r="CV106" s="117">
        <f t="shared" si="596"/>
        <v>-0.11022727272727273</v>
      </c>
      <c r="CX106" s="116" t="s">
        <v>147</v>
      </c>
      <c r="CY106" s="117">
        <f t="shared" si="597"/>
        <v>5.0761421319795996E-3</v>
      </c>
      <c r="CZ106" s="117">
        <f t="shared" si="597"/>
        <v>3.6945812807881673E-2</v>
      </c>
      <c r="DA106" s="117">
        <f t="shared" si="597"/>
        <v>9.9744245524296726E-2</v>
      </c>
      <c r="DB106" s="117">
        <f t="shared" si="597"/>
        <v>0.14933333333333332</v>
      </c>
      <c r="DC106" s="117">
        <f t="shared" si="597"/>
        <v>7.1519795657726704E-2</v>
      </c>
      <c r="DE106" s="116" t="s">
        <v>147</v>
      </c>
      <c r="DF106" s="117">
        <f t="shared" si="598"/>
        <v>4.5454545454545414E-2</v>
      </c>
      <c r="DG106" s="117">
        <f t="shared" si="598"/>
        <v>-2.3752969121140222E-3</v>
      </c>
      <c r="DH106" s="117">
        <f t="shared" si="598"/>
        <v>-1.6279069767441867E-2</v>
      </c>
      <c r="DI106" s="117">
        <f t="shared" si="598"/>
        <v>-2.3201856148491906E-2</v>
      </c>
      <c r="DJ106" s="117">
        <f t="shared" si="598"/>
        <v>0</v>
      </c>
      <c r="DL106" s="116" t="s">
        <v>147</v>
      </c>
      <c r="DM106" s="117">
        <f t="shared" si="599"/>
        <v>-2.8985507246376829E-2</v>
      </c>
      <c r="DN106" s="117">
        <f t="shared" si="599"/>
        <v>3.3333333333333437E-2</v>
      </c>
      <c r="DO106" s="117">
        <f t="shared" si="599"/>
        <v>2.3640661938534313E-2</v>
      </c>
      <c r="DP106" s="117">
        <f t="shared" si="599"/>
        <v>4.9881235154394243E-2</v>
      </c>
      <c r="DQ106" s="117">
        <f t="shared" si="599"/>
        <v>1.966626936829563E-2</v>
      </c>
      <c r="DS106" s="116" t="s">
        <v>147</v>
      </c>
      <c r="DT106" s="117">
        <f t="shared" si="600"/>
        <v>6.9651741293532243E-2</v>
      </c>
      <c r="DU106" s="117">
        <f t="shared" si="600"/>
        <v>-2.9953917050691281E-2</v>
      </c>
      <c r="DV106" s="117">
        <f t="shared" si="600"/>
        <v>-1.1547344110854452E-2</v>
      </c>
      <c r="DW106" s="117">
        <f t="shared" si="600"/>
        <v>-1.5837104072398245E-2</v>
      </c>
      <c r="DX106" s="117">
        <f t="shared" si="600"/>
        <v>1.753360607831711E-3</v>
      </c>
      <c r="DZ106" s="116" t="s">
        <v>147</v>
      </c>
      <c r="EA106" s="117">
        <f t="shared" si="601"/>
        <v>-5.3488372093023262E-2</v>
      </c>
      <c r="EB106" s="117">
        <f t="shared" si="601"/>
        <v>-2.1377672209026088E-2</v>
      </c>
      <c r="EC106" s="117">
        <f t="shared" si="601"/>
        <v>-3.0373831775700966E-2</v>
      </c>
      <c r="ED106" s="117">
        <f t="shared" si="601"/>
        <v>-4.1379310344827558E-2</v>
      </c>
      <c r="EE106" s="117">
        <f t="shared" si="601"/>
        <v>-3.6756126021003532E-2</v>
      </c>
      <c r="EG106" s="116" t="s">
        <v>147</v>
      </c>
      <c r="EH106" s="117">
        <f t="shared" si="602"/>
        <v>-2.7027027027026973E-2</v>
      </c>
      <c r="EI106" s="117">
        <f t="shared" si="602"/>
        <v>-8.4951456310679574E-2</v>
      </c>
      <c r="EJ106" s="117">
        <f t="shared" si="602"/>
        <v>3.1325301204819356E-2</v>
      </c>
      <c r="EK106" s="117">
        <f t="shared" si="602"/>
        <v>-9.5923261390887804E-3</v>
      </c>
      <c r="EL106" s="117">
        <f t="shared" si="602"/>
        <v>-2.2410660205935851E-2</v>
      </c>
      <c r="EN106" s="116" t="s">
        <v>147</v>
      </c>
      <c r="EO106" s="117">
        <f t="shared" si="603"/>
        <v>0</v>
      </c>
      <c r="EP106" s="117">
        <f t="shared" si="603"/>
        <v>8.4880636604774518E-2</v>
      </c>
      <c r="EQ106" s="117">
        <f t="shared" si="603"/>
        <v>1.1682242990654235E-2</v>
      </c>
      <c r="ER106" s="117">
        <f t="shared" si="603"/>
        <v>2.1791767554479424E-2</v>
      </c>
      <c r="ES106" s="117">
        <f t="shared" si="603"/>
        <v>2.8500619578686548E-2</v>
      </c>
      <c r="EU106" s="116" t="s">
        <v>147</v>
      </c>
      <c r="EV106" s="117">
        <f t="shared" si="604"/>
        <v>0.10858585858585856</v>
      </c>
      <c r="EW106" s="117">
        <f t="shared" si="604"/>
        <v>5.1344743276283689E-2</v>
      </c>
      <c r="EX106" s="117">
        <f t="shared" si="604"/>
        <v>-2.5404157043879882E-2</v>
      </c>
      <c r="EY106" s="117">
        <f t="shared" si="604"/>
        <v>2.1327014218009532E-2</v>
      </c>
      <c r="EZ106" s="117">
        <f t="shared" si="604"/>
        <v>3.7349397590361377E-2</v>
      </c>
      <c r="FB106" s="116" t="s">
        <v>147</v>
      </c>
      <c r="FC106" s="117">
        <f t="shared" si="605"/>
        <v>-0.10478359908883828</v>
      </c>
      <c r="FD106" s="117">
        <f t="shared" si="605"/>
        <v>-9.0697674418604657E-2</v>
      </c>
      <c r="FE106" s="117">
        <f t="shared" si="605"/>
        <v>-6.3981042654028486E-2</v>
      </c>
      <c r="FF106" s="117">
        <f t="shared" si="605"/>
        <v>-8.3526682134570818E-2</v>
      </c>
      <c r="FG106" s="117">
        <f t="shared" si="605"/>
        <v>-8.594657375145176E-2</v>
      </c>
      <c r="FI106" s="116" t="s">
        <v>147</v>
      </c>
      <c r="FJ106" s="117">
        <f t="shared" si="606"/>
        <v>-5.0890585241730291E-2</v>
      </c>
      <c r="FK106" s="117">
        <f t="shared" si="606"/>
        <v>2.3017902813299296E-2</v>
      </c>
      <c r="FL106" s="117">
        <f t="shared" si="606"/>
        <v>-1.0126582278481067E-2</v>
      </c>
      <c r="FM106" s="117">
        <f t="shared" si="606"/>
        <v>2.7848101265822711E-2</v>
      </c>
      <c r="FN106" s="117">
        <f t="shared" si="606"/>
        <v>-2.5412960609910717E-3</v>
      </c>
      <c r="FP106" s="116" t="s">
        <v>147</v>
      </c>
      <c r="FQ106" s="117">
        <f t="shared" si="607"/>
        <v>8.0428954423592547E-2</v>
      </c>
      <c r="FR106" s="117">
        <f t="shared" si="607"/>
        <v>2.4999999999999911E-2</v>
      </c>
      <c r="FS106" s="117">
        <f t="shared" si="607"/>
        <v>3.8363171355498826E-2</v>
      </c>
      <c r="FT106" s="117">
        <f t="shared" si="607"/>
        <v>8.3743842364532028E-2</v>
      </c>
      <c r="FU106" s="117">
        <f t="shared" si="607"/>
        <v>5.6687898089172073E-2</v>
      </c>
      <c r="FW106" s="116" t="s">
        <v>147</v>
      </c>
      <c r="FX106" s="117">
        <f t="shared" si="608"/>
        <v>8.4367245657568146E-2</v>
      </c>
      <c r="FY106" s="117">
        <f t="shared" si="608"/>
        <v>6.8292682926829329E-2</v>
      </c>
      <c r="FZ106" s="117">
        <f t="shared" si="608"/>
        <v>3.9408866995073843E-2</v>
      </c>
      <c r="GA106" s="117">
        <f t="shared" si="608"/>
        <v>-2.5000000000000022E-2</v>
      </c>
      <c r="GB106" s="117">
        <f t="shared" si="608"/>
        <v>4.0385774562989862E-2</v>
      </c>
      <c r="GD106" s="116" t="s">
        <v>147</v>
      </c>
      <c r="GE106" s="117">
        <f t="shared" si="609"/>
        <v>4.3478260869565188E-2</v>
      </c>
      <c r="GF106" s="117">
        <f t="shared" si="609"/>
        <v>1.8264840182648401E-2</v>
      </c>
      <c r="GG106" s="117">
        <f t="shared" si="609"/>
        <v>6.872037914691953E-2</v>
      </c>
      <c r="GH106" s="117">
        <f t="shared" si="609"/>
        <v>3.7296037296037365E-2</v>
      </c>
      <c r="GI106" s="117">
        <f t="shared" si="609"/>
        <v>4.1714947856315243E-2</v>
      </c>
      <c r="GK106" s="116" t="s">
        <v>147</v>
      </c>
      <c r="GL106" s="117">
        <f t="shared" si="610"/>
        <v>-3.289473684210531E-2</v>
      </c>
      <c r="GM106" s="117">
        <f t="shared" si="610"/>
        <v>-8.9686098654708779E-3</v>
      </c>
      <c r="GN106" s="117">
        <f t="shared" si="610"/>
        <v>-2.2172949002217335E-2</v>
      </c>
      <c r="GO106" s="117">
        <f t="shared" si="610"/>
        <v>4.4943820224718767E-3</v>
      </c>
      <c r="GP106" s="117">
        <f t="shared" si="610"/>
        <v>-1.5016685205784253E-2</v>
      </c>
      <c r="GR106" s="116" t="s">
        <v>147</v>
      </c>
      <c r="GS106" s="117">
        <f t="shared" si="611"/>
        <v>-2.2675736961451642E-3</v>
      </c>
      <c r="GT106" s="117">
        <f t="shared" si="611"/>
        <v>1.8099547511312153E-2</v>
      </c>
      <c r="GU106" s="117">
        <f t="shared" si="611"/>
        <v>-2.2675736961451642E-3</v>
      </c>
      <c r="GV106" s="117">
        <f t="shared" si="611"/>
        <v>4.4742729306488371E-3</v>
      </c>
      <c r="GW106" s="117">
        <f t="shared" si="611"/>
        <v>4.5172219085263254E-3</v>
      </c>
      <c r="GY106" s="116" t="s">
        <v>147</v>
      </c>
      <c r="GZ106" s="117">
        <f t="shared" si="612"/>
        <v>-5.6818181818181768E-2</v>
      </c>
      <c r="HA106" s="117">
        <f t="shared" si="612"/>
        <v>-0.19777777777777783</v>
      </c>
      <c r="HB106" s="117">
        <f t="shared" si="612"/>
        <v>-0.17045454545454541</v>
      </c>
      <c r="HC106" s="117">
        <f t="shared" si="612"/>
        <v>-0.18708240534521159</v>
      </c>
      <c r="HD106" s="117">
        <f t="shared" si="612"/>
        <v>-0.15345699831365933</v>
      </c>
      <c r="HF106" s="116" t="s">
        <v>147</v>
      </c>
      <c r="HG106" s="117">
        <f t="shared" si="613"/>
        <v>-0.10120481927710845</v>
      </c>
      <c r="HH106" s="117">
        <f t="shared" si="613"/>
        <v>0.11080332409972304</v>
      </c>
      <c r="HI106" s="117">
        <f t="shared" si="613"/>
        <v>7.3972602739726057E-2</v>
      </c>
      <c r="HJ106" s="117">
        <f t="shared" si="613"/>
        <v>0.1150684931506849</v>
      </c>
      <c r="HK106" s="117">
        <f t="shared" si="613"/>
        <v>4.4488711819389071E-2</v>
      </c>
      <c r="HM106" s="116" t="s">
        <v>147</v>
      </c>
      <c r="HN106" s="117">
        <f t="shared" si="614"/>
        <v>3.2171581769437019E-2</v>
      </c>
      <c r="HO106" s="117">
        <f t="shared" si="614"/>
        <v>-3.2418952618453845E-2</v>
      </c>
      <c r="HP106" s="117">
        <f t="shared" si="614"/>
        <v>-1.5306122448979553E-2</v>
      </c>
      <c r="HQ106" s="117">
        <f t="shared" si="614"/>
        <v>-8.108108108108103E-2</v>
      </c>
      <c r="HR106" s="117">
        <f t="shared" si="614"/>
        <v>-2.5429116338207214E-2</v>
      </c>
      <c r="HT106" s="116" t="s">
        <v>147</v>
      </c>
      <c r="HU106" s="117">
        <f t="shared" si="615"/>
        <v>-0.14025974025974031</v>
      </c>
      <c r="HV106" s="117">
        <f t="shared" si="615"/>
        <v>-0.14690721649484539</v>
      </c>
      <c r="HW106" s="117">
        <f t="shared" si="615"/>
        <v>-0.16321243523316065</v>
      </c>
      <c r="HX106" s="117">
        <f t="shared" si="615"/>
        <v>-0.18449197860962563</v>
      </c>
      <c r="HY106" s="117">
        <f t="shared" si="615"/>
        <v>-0.15851272015655582</v>
      </c>
      <c r="IA106" s="116" t="s">
        <v>147</v>
      </c>
      <c r="IB106" s="117">
        <f t="shared" si="616"/>
        <v>-0.10271903323262843</v>
      </c>
      <c r="IC106" s="117">
        <f t="shared" si="616"/>
        <v>-6.3444108761329332E-2</v>
      </c>
      <c r="ID106" s="117">
        <f t="shared" si="616"/>
        <v>-7.4303405572755388E-2</v>
      </c>
      <c r="IE106" s="117">
        <f t="shared" si="616"/>
        <v>-5.2459016393442637E-2</v>
      </c>
      <c r="IF106" s="117">
        <f t="shared" si="616"/>
        <v>-7.3643410852713198E-2</v>
      </c>
      <c r="IH106" s="116" t="s">
        <v>147</v>
      </c>
      <c r="II106" s="117">
        <f t="shared" si="617"/>
        <v>-1.3468013468013518E-2</v>
      </c>
      <c r="IJ106" s="117">
        <f t="shared" si="617"/>
        <v>6.4516129032258007E-2</v>
      </c>
      <c r="IK106" s="117">
        <f t="shared" si="617"/>
        <v>6.6889632107023367E-2</v>
      </c>
      <c r="IL106" s="117">
        <f t="shared" si="617"/>
        <v>0.10726643598615926</v>
      </c>
      <c r="IM106" s="117">
        <f t="shared" si="617"/>
        <v>5.6066945606694452E-2</v>
      </c>
      <c r="IO106" s="116" t="s">
        <v>147</v>
      </c>
      <c r="IP106" s="117">
        <f t="shared" si="618"/>
        <v>-1.3651877133105783E-2</v>
      </c>
      <c r="IQ106" s="117">
        <f t="shared" si="618"/>
        <v>-0.10606060606060608</v>
      </c>
      <c r="IR106" s="117">
        <f t="shared" si="618"/>
        <v>-0.18181818181818177</v>
      </c>
      <c r="IS106" s="117">
        <f t="shared" si="618"/>
        <v>-0.31874999999999998</v>
      </c>
      <c r="IT106" s="117">
        <f t="shared" si="618"/>
        <v>-0.15768621236133118</v>
      </c>
      <c r="IV106" s="116" t="s">
        <v>147</v>
      </c>
      <c r="IW106" s="117">
        <f t="shared" si="619"/>
        <v>-0.30795847750865057</v>
      </c>
      <c r="IX106" s="117">
        <f t="shared" si="619"/>
        <v>-0.33898305084745761</v>
      </c>
      <c r="IY106" s="117">
        <f t="shared" si="619"/>
        <v>-0.2068965517241379</v>
      </c>
      <c r="IZ106" s="117">
        <f t="shared" si="619"/>
        <v>8.256880733944949E-2</v>
      </c>
      <c r="JA106" s="117">
        <f t="shared" si="619"/>
        <v>-0.21166509877704609</v>
      </c>
      <c r="JC106" s="116" t="s">
        <v>147</v>
      </c>
      <c r="JD106" s="117">
        <f t="shared" si="620"/>
        <v>2.4999999999999911E-2</v>
      </c>
      <c r="JE106" s="117">
        <f t="shared" si="620"/>
        <v>6.6666666666666652E-2</v>
      </c>
      <c r="JF106" s="117">
        <f t="shared" si="620"/>
        <v>5.3140096618357502E-2</v>
      </c>
      <c r="JG106" s="117">
        <f t="shared" si="620"/>
        <v>-5.084745762711862E-2</v>
      </c>
      <c r="JH106" s="117">
        <f t="shared" si="620"/>
        <v>2.028639618138417E-2</v>
      </c>
      <c r="JJ106" s="116" t="s">
        <v>147</v>
      </c>
      <c r="JK106" s="117">
        <f t="shared" si="621"/>
        <v>-1.9512195121951237E-2</v>
      </c>
      <c r="JL106" s="117">
        <f t="shared" si="621"/>
        <v>6.7307692307692291E-2</v>
      </c>
      <c r="JM106" s="117">
        <f t="shared" si="621"/>
        <v>7.3394495412844041E-2</v>
      </c>
      <c r="JN106" s="117">
        <f t="shared" si="621"/>
        <v>2.6785714285714191E-2</v>
      </c>
      <c r="JO106" s="117">
        <f t="shared" si="621"/>
        <v>3.7426900584795364E-2</v>
      </c>
      <c r="JQ106" s="116" t="s">
        <v>147</v>
      </c>
      <c r="JR106" s="117">
        <f t="shared" si="622"/>
        <v>5.4726368159204064E-2</v>
      </c>
      <c r="JS106" s="117">
        <f t="shared" si="622"/>
        <v>1.8018018018018056E-2</v>
      </c>
      <c r="JT106" s="117">
        <f t="shared" si="622"/>
        <v>-8.9743589743589758E-2</v>
      </c>
      <c r="JU106" s="117">
        <f t="shared" si="622"/>
        <v>-0.16521739130434787</v>
      </c>
      <c r="JV106" s="117">
        <f t="shared" si="622"/>
        <v>-4.9605411499436314E-2</v>
      </c>
      <c r="JX106" s="116" t="s">
        <v>147</v>
      </c>
      <c r="JY106" s="117">
        <f t="shared" si="623"/>
        <v>-0.14622641509433965</v>
      </c>
      <c r="JZ106" s="117">
        <f t="shared" si="623"/>
        <v>-0.43805309734513276</v>
      </c>
      <c r="KA106" s="117">
        <f t="shared" si="623"/>
        <v>-0.27230046948356812</v>
      </c>
      <c r="KB106" s="117">
        <f t="shared" si="623"/>
        <v>-9.375E-2</v>
      </c>
      <c r="KC106" s="117">
        <f t="shared" si="623"/>
        <v>-0.24436536180308421</v>
      </c>
      <c r="KE106" s="116" t="s">
        <v>147</v>
      </c>
      <c r="KF106" s="117">
        <f t="shared" si="624"/>
        <v>-4.9723756906077332E-2</v>
      </c>
      <c r="KG106" s="117">
        <f t="shared" si="624"/>
        <v>0.44094488188976388</v>
      </c>
      <c r="KH106" s="117">
        <f t="shared" si="624"/>
        <v>0.16129032258064524</v>
      </c>
      <c r="KI106" s="117">
        <f t="shared" si="624"/>
        <v>-1.7241379310344862E-2</v>
      </c>
      <c r="KJ106" s="117">
        <f t="shared" si="624"/>
        <v>0.10832025117739397</v>
      </c>
      <c r="KL106" s="116" t="s">
        <v>147</v>
      </c>
      <c r="KM106" s="117">
        <f t="shared" si="625"/>
        <v>-9.8837209302325535E-2</v>
      </c>
      <c r="KN106" s="117">
        <f t="shared" si="625"/>
        <v>-2.732240437158473E-2</v>
      </c>
      <c r="KO106" s="117">
        <f t="shared" si="625"/>
        <v>-1.6666666666666718E-2</v>
      </c>
      <c r="KP106" s="117">
        <f t="shared" si="625"/>
        <v>9.3567251461988299E-2</v>
      </c>
      <c r="KQ106" s="117">
        <f t="shared" si="625"/>
        <v>-1.2747875354107596E-2</v>
      </c>
      <c r="KS106" s="116" t="s">
        <v>147</v>
      </c>
      <c r="KT106" s="117">
        <f t="shared" si="626"/>
        <v>0.19354838709677424</v>
      </c>
      <c r="KU106" s="117">
        <f t="shared" si="626"/>
        <v>3.9325842696629199E-2</v>
      </c>
      <c r="KV106" s="117">
        <f t="shared" si="626"/>
        <v>9.0395480225988756E-2</v>
      </c>
      <c r="KW106" s="117">
        <f t="shared" si="626"/>
        <v>2.673796791443861E-2</v>
      </c>
      <c r="KX106" s="117">
        <f t="shared" si="626"/>
        <v>8.3213773314203765E-2</v>
      </c>
      <c r="KZ106" s="116" t="s">
        <v>147</v>
      </c>
      <c r="LA106" s="117">
        <f t="shared" si="627"/>
        <v>1.6216216216216273E-2</v>
      </c>
      <c r="LB106" s="117">
        <f t="shared" si="627"/>
        <v>-3.2432432432432434E-2</v>
      </c>
      <c r="LC106" s="216">
        <f t="shared" si="628"/>
        <v>-1.5544041450777257E-2</v>
      </c>
      <c r="LD106" s="216">
        <f t="shared" si="629"/>
        <v>-6.770833333333337E-2</v>
      </c>
      <c r="LE106" s="216">
        <f t="shared" si="630"/>
        <v>-2.5165562913907258E-2</v>
      </c>
      <c r="LF106" s="567"/>
      <c r="LG106" s="116" t="s">
        <v>147</v>
      </c>
      <c r="LH106" s="216">
        <f t="shared" si="631"/>
        <v>-8.5106382978723416E-2</v>
      </c>
      <c r="LI106" s="216">
        <f t="shared" si="632"/>
        <v>1.1173184357541999E-2</v>
      </c>
      <c r="LJ106" s="216">
        <f t="shared" si="633"/>
        <v>-3.157894736842104E-2</v>
      </c>
      <c r="LK106" s="216">
        <f t="shared" si="634"/>
        <v>1.1173184357541999E-2</v>
      </c>
      <c r="LL106" s="216">
        <f>LL86/LE86-1</f>
        <v>-2.4456521739130488E-2</v>
      </c>
      <c r="LM106" s="567"/>
      <c r="LN106" s="116" t="s">
        <v>147</v>
      </c>
      <c r="LO106" s="216">
        <f t="shared" si="635"/>
        <v>3.0000000000000027E-2</v>
      </c>
      <c r="LP106" s="216">
        <f t="shared" si="636"/>
        <v>2.0000000000000018E-2</v>
      </c>
      <c r="LQ106" s="216">
        <f t="shared" si="637"/>
        <v>2.4999999999999911E-2</v>
      </c>
      <c r="LR106" s="216">
        <f t="shared" si="638"/>
        <v>2.4999999999999911E-2</v>
      </c>
      <c r="LS106" s="216">
        <f>LS86/LL86-1</f>
        <v>2.4937325905292518E-2</v>
      </c>
      <c r="LT106" s="567"/>
      <c r="LU106" s="116" t="s">
        <v>147</v>
      </c>
      <c r="LV106" s="216">
        <f t="shared" si="639"/>
        <v>-4.9999999999998934E-3</v>
      </c>
      <c r="LW106" s="216">
        <f t="shared" si="640"/>
        <v>0</v>
      </c>
      <c r="LX106" s="216">
        <f t="shared" si="641"/>
        <v>-5.0000000000001155E-3</v>
      </c>
      <c r="LY106" s="216">
        <f t="shared" si="642"/>
        <v>-5.0000000000000044E-3</v>
      </c>
      <c r="LZ106" s="216">
        <f>LZ86/LS86-1</f>
        <v>-3.7456261338081331E-3</v>
      </c>
      <c r="MA106" s="567"/>
      <c r="MB106" s="116" t="s">
        <v>147</v>
      </c>
      <c r="MC106" s="216">
        <f t="shared" si="643"/>
        <v>-7.5000000000000622E-3</v>
      </c>
      <c r="MD106" s="216">
        <f t="shared" si="644"/>
        <v>-7.4999999999999512E-3</v>
      </c>
      <c r="ME106" s="216">
        <f t="shared" si="645"/>
        <v>-7.4999999999999512E-3</v>
      </c>
      <c r="MF106" s="216">
        <f t="shared" si="646"/>
        <v>-7.4999999999999512E-3</v>
      </c>
      <c r="MG106" s="216">
        <f>MG86/LZ86-1</f>
        <v>-7.4999999999999512E-3</v>
      </c>
      <c r="MH106" s="567"/>
    </row>
    <row r="107" spans="1:346" s="50" customFormat="1" ht="13.15" x14ac:dyDescent="0.4">
      <c r="A107" s="133"/>
      <c r="B107" s="136"/>
      <c r="BO107" s="136"/>
      <c r="BP107" s="137"/>
      <c r="BQ107" s="137"/>
      <c r="BR107" s="137"/>
      <c r="BS107" s="137"/>
      <c r="BT107" s="137"/>
      <c r="BV107" s="136"/>
      <c r="BW107" s="137"/>
      <c r="BX107" s="137"/>
      <c r="BY107" s="137"/>
      <c r="BZ107" s="137"/>
      <c r="CA107" s="137"/>
      <c r="CC107" s="136"/>
      <c r="CD107" s="137"/>
      <c r="CE107" s="137"/>
      <c r="CF107" s="137"/>
      <c r="CG107" s="137"/>
      <c r="CH107" s="137"/>
      <c r="CJ107" s="136"/>
      <c r="CK107" s="137"/>
      <c r="CL107" s="137"/>
      <c r="CM107" s="137"/>
      <c r="CN107" s="137"/>
      <c r="CO107" s="137"/>
      <c r="CQ107" s="136"/>
      <c r="CR107" s="137"/>
      <c r="CS107" s="137"/>
      <c r="CT107" s="137"/>
      <c r="CU107" s="137"/>
      <c r="CV107" s="137"/>
      <c r="CX107" s="136"/>
      <c r="CY107" s="137"/>
      <c r="CZ107" s="137"/>
      <c r="DA107" s="137"/>
      <c r="DB107" s="137"/>
      <c r="DC107" s="137"/>
      <c r="DE107" s="136"/>
      <c r="DF107" s="137"/>
      <c r="DG107" s="137"/>
      <c r="DH107" s="137"/>
      <c r="DI107" s="137"/>
      <c r="DJ107" s="137"/>
      <c r="DL107" s="136"/>
      <c r="DM107" s="137"/>
      <c r="DN107" s="137"/>
      <c r="DO107" s="137"/>
      <c r="DP107" s="137"/>
      <c r="DQ107" s="137"/>
      <c r="DS107" s="136"/>
      <c r="DT107" s="137"/>
      <c r="DU107" s="137"/>
      <c r="DV107" s="137"/>
      <c r="DW107" s="137"/>
      <c r="DX107" s="137"/>
      <c r="DZ107" s="136"/>
      <c r="EA107" s="137"/>
      <c r="EB107" s="137"/>
      <c r="EC107" s="137"/>
      <c r="ED107" s="137"/>
      <c r="EE107" s="137"/>
      <c r="EG107" s="136"/>
      <c r="EH107" s="137"/>
      <c r="EI107" s="137"/>
      <c r="EJ107" s="137"/>
      <c r="EK107" s="137"/>
      <c r="EL107" s="137"/>
      <c r="EN107" s="136"/>
      <c r="EO107" s="137"/>
      <c r="EP107" s="137"/>
      <c r="EQ107" s="137"/>
      <c r="ER107" s="137"/>
      <c r="ES107" s="137"/>
      <c r="EU107" s="136"/>
      <c r="EV107" s="137"/>
      <c r="EW107" s="137"/>
      <c r="EX107" s="137"/>
      <c r="EY107" s="137"/>
      <c r="EZ107" s="137"/>
      <c r="FB107" s="136"/>
      <c r="FC107" s="137"/>
      <c r="FD107" s="137"/>
      <c r="FE107" s="137"/>
      <c r="FF107" s="137"/>
      <c r="FG107" s="137"/>
      <c r="FI107" s="136"/>
      <c r="FJ107" s="137"/>
      <c r="FK107" s="137"/>
      <c r="FL107" s="137"/>
      <c r="FM107" s="137"/>
      <c r="FN107" s="137"/>
      <c r="FP107" s="136"/>
      <c r="FQ107" s="137"/>
      <c r="FR107" s="137"/>
      <c r="FS107" s="137"/>
      <c r="FT107" s="137"/>
      <c r="FU107" s="137"/>
      <c r="FW107" s="136"/>
      <c r="FX107" s="137"/>
      <c r="FY107" s="137"/>
      <c r="FZ107" s="137"/>
      <c r="GA107" s="137"/>
      <c r="GB107" s="137"/>
      <c r="GD107" s="136"/>
      <c r="GE107" s="137"/>
      <c r="GF107" s="137"/>
      <c r="GG107" s="137"/>
      <c r="GH107" s="137"/>
      <c r="GI107" s="137"/>
      <c r="GK107" s="136"/>
      <c r="GL107" s="137"/>
      <c r="GM107" s="137"/>
      <c r="GN107" s="137"/>
      <c r="GO107" s="137"/>
      <c r="GP107" s="137"/>
      <c r="GR107" s="136"/>
      <c r="GS107" s="137"/>
      <c r="GT107" s="137"/>
      <c r="GU107" s="137"/>
      <c r="GV107" s="137"/>
      <c r="GW107" s="137"/>
      <c r="GY107" s="136"/>
      <c r="GZ107" s="137"/>
      <c r="HA107" s="137"/>
      <c r="HB107" s="137"/>
      <c r="HC107" s="137"/>
      <c r="HD107" s="137"/>
      <c r="HF107" s="136"/>
      <c r="HG107" s="137"/>
      <c r="HH107" s="137"/>
      <c r="HI107" s="137"/>
      <c r="HJ107" s="137"/>
      <c r="HK107" s="137"/>
      <c r="HM107" s="136"/>
      <c r="HN107" s="137"/>
      <c r="HO107" s="137"/>
      <c r="HP107" s="137"/>
      <c r="HQ107" s="137"/>
      <c r="HR107" s="137"/>
      <c r="HT107" s="136"/>
      <c r="HU107" s="137"/>
      <c r="HV107" s="137"/>
      <c r="HW107" s="137"/>
      <c r="HX107" s="137"/>
      <c r="HY107" s="137"/>
      <c r="IA107" s="136"/>
      <c r="IB107" s="137"/>
      <c r="IC107" s="137"/>
      <c r="ID107" s="137"/>
      <c r="IE107" s="137"/>
      <c r="IF107" s="137"/>
      <c r="IH107" s="136"/>
      <c r="II107" s="137"/>
      <c r="IJ107" s="137"/>
      <c r="IK107" s="137"/>
      <c r="IL107" s="137"/>
      <c r="IM107" s="137"/>
      <c r="IO107" s="136"/>
      <c r="IP107" s="137"/>
      <c r="IQ107" s="137"/>
      <c r="IR107" s="137"/>
      <c r="IS107" s="137"/>
      <c r="IT107" s="137"/>
      <c r="IV107" s="136"/>
      <c r="IW107" s="137"/>
      <c r="IX107" s="137"/>
      <c r="IY107" s="137"/>
      <c r="IZ107" s="137"/>
      <c r="JA107" s="137"/>
      <c r="JC107" s="136"/>
      <c r="JD107" s="137"/>
      <c r="JE107" s="137"/>
      <c r="JF107" s="137"/>
      <c r="JG107" s="137"/>
      <c r="JH107" s="137"/>
      <c r="JJ107" s="136"/>
      <c r="JK107" s="137"/>
      <c r="JL107" s="137"/>
      <c r="JM107" s="137"/>
      <c r="JN107" s="137"/>
      <c r="JO107" s="137"/>
      <c r="JQ107" s="136"/>
      <c r="JR107" s="137"/>
      <c r="JS107" s="137"/>
      <c r="JT107" s="137"/>
      <c r="JU107" s="137"/>
      <c r="JV107" s="137"/>
      <c r="JX107" s="136"/>
      <c r="JY107" s="137"/>
      <c r="JZ107" s="137"/>
      <c r="KA107" s="137"/>
      <c r="KB107" s="137"/>
      <c r="KC107" s="137"/>
      <c r="KE107" s="136"/>
      <c r="KF107" s="137"/>
      <c r="KG107" s="137"/>
      <c r="KH107" s="137"/>
      <c r="KI107" s="137"/>
      <c r="KJ107" s="137"/>
      <c r="KL107" s="136"/>
      <c r="KM107" s="137"/>
      <c r="KN107" s="137"/>
      <c r="KO107" s="137"/>
      <c r="KP107" s="137"/>
      <c r="KQ107" s="137"/>
      <c r="KS107" s="136"/>
      <c r="KT107" s="137"/>
      <c r="KU107" s="137"/>
      <c r="KX107" s="137"/>
      <c r="KZ107" s="628"/>
      <c r="LA107" s="629"/>
      <c r="LB107" s="629"/>
      <c r="LC107" s="629"/>
      <c r="LD107" s="629"/>
      <c r="LE107" s="629"/>
      <c r="LF107" s="560"/>
      <c r="LG107" s="628"/>
      <c r="LH107" s="629"/>
      <c r="LI107" s="629"/>
      <c r="LJ107" s="629"/>
      <c r="LK107" s="629"/>
      <c r="LL107" s="629"/>
      <c r="LM107" s="560"/>
      <c r="LN107" s="628"/>
      <c r="LO107" s="629"/>
      <c r="LP107" s="629"/>
      <c r="LQ107" s="629"/>
      <c r="LR107" s="629"/>
      <c r="LS107" s="629"/>
      <c r="LT107" s="560"/>
      <c r="LU107" s="628"/>
      <c r="LV107" s="629"/>
      <c r="LW107" s="629"/>
      <c r="LX107" s="629"/>
      <c r="LY107" s="629"/>
      <c r="LZ107" s="629"/>
      <c r="MA107" s="560"/>
      <c r="MB107" s="628"/>
      <c r="MC107" s="629"/>
      <c r="MD107" s="629"/>
      <c r="ME107" s="629"/>
      <c r="MF107" s="629"/>
      <c r="MG107" s="629"/>
      <c r="MH107" s="560"/>
    </row>
    <row r="108" spans="1:346" s="68" customFormat="1" ht="13.15" thickBot="1" x14ac:dyDescent="0.4">
      <c r="A108" s="140"/>
      <c r="B108" s="141" t="s">
        <v>428</v>
      </c>
      <c r="C108" s="142"/>
      <c r="D108" s="142"/>
      <c r="E108" s="142"/>
      <c r="F108" s="142"/>
      <c r="G108" s="142"/>
      <c r="H108" s="142"/>
      <c r="I108" s="142"/>
      <c r="J108" s="142"/>
      <c r="K108" s="142"/>
      <c r="L108" s="142"/>
      <c r="M108" s="142"/>
      <c r="N108" s="142">
        <f>BT108</f>
        <v>0</v>
      </c>
      <c r="O108" s="142">
        <f>CA108</f>
        <v>-1.2869565217391354E-2</v>
      </c>
      <c r="P108" s="142">
        <f>CH108</f>
        <v>-6.6948555320648362E-2</v>
      </c>
      <c r="Q108" s="142">
        <f>CO108</f>
        <v>1.6370845921450217E-2</v>
      </c>
      <c r="R108" s="142">
        <f>CV108</f>
        <v>-7.1897003362624279E-3</v>
      </c>
      <c r="S108" s="142">
        <f>DC108</f>
        <v>7.8405688622754433E-2</v>
      </c>
      <c r="T108" s="142">
        <f>DJ108</f>
        <v>-3.6092313031407253E-2</v>
      </c>
      <c r="U108" s="142">
        <f>DQ108</f>
        <v>-1.6201620162016317E-3</v>
      </c>
      <c r="V108" s="142">
        <f>DX108</f>
        <v>3.1734583483591816E-2</v>
      </c>
      <c r="W108" s="142">
        <f>EE108</f>
        <v>1.9224047535826294E-3</v>
      </c>
      <c r="X108" s="142">
        <f>EL108</f>
        <v>0.17303331589045867</v>
      </c>
      <c r="Y108" s="142">
        <f>ES108</f>
        <v>8.8178438661709935E-2</v>
      </c>
      <c r="Z108" s="142">
        <f>EZ108</f>
        <v>-2.7329871549603757E-2</v>
      </c>
      <c r="AA108" s="142">
        <f>FG108</f>
        <v>-3.7932003371733414E-3</v>
      </c>
      <c r="AB108" s="142">
        <f>FN108</f>
        <v>2.7076575941334058E-2</v>
      </c>
      <c r="AC108" s="142">
        <f>FU108</f>
        <v>3.3914595633667499E-2</v>
      </c>
      <c r="AD108" s="142">
        <f>GB108</f>
        <v>-2.3904382470119501E-2</v>
      </c>
      <c r="AE108" s="142">
        <f>GI108</f>
        <v>1.0884353741495989E-3</v>
      </c>
      <c r="AF108" s="142">
        <f>GP108</f>
        <v>-3.2889372111986948E-2</v>
      </c>
      <c r="AG108" s="142">
        <f>GW108</f>
        <v>-4.04721753794266E-2</v>
      </c>
      <c r="AH108" s="142">
        <f>HD108</f>
        <v>-0.15158172231985945</v>
      </c>
      <c r="AI108" s="142">
        <f>HK108</f>
        <v>0.10201967892283781</v>
      </c>
      <c r="AJ108" s="142">
        <f>HR108</f>
        <v>1.4411027568922208E-2</v>
      </c>
      <c r="AK108" s="142">
        <f>HY108</f>
        <v>-1.0345892526250733E-2</v>
      </c>
      <c r="AL108" s="142">
        <f>IF108</f>
        <v>2.0283975659229236E-2</v>
      </c>
      <c r="AM108" s="142">
        <f>IM108</f>
        <v>5.8571647040831953E-2</v>
      </c>
      <c r="AN108" s="142">
        <f>IT108</f>
        <v>-2.3259173649234355E-2</v>
      </c>
      <c r="AO108" s="142">
        <f>JA108</f>
        <v>-4.5851205442981824E-2</v>
      </c>
      <c r="AP108" s="142">
        <f>JH108</f>
        <v>-7.9057510463493852E-3</v>
      </c>
      <c r="AQ108" s="142">
        <f>JO108</f>
        <v>1.2812499999999893E-2</v>
      </c>
      <c r="AR108" s="142">
        <f>JV108</f>
        <v>-4.0419623572971353E-2</v>
      </c>
      <c r="AS108" s="142">
        <f>KC108</f>
        <v>-5.2733118971061144E-2</v>
      </c>
      <c r="AT108" s="142">
        <f>KJ108</f>
        <v>6.1269517990495626E-2</v>
      </c>
      <c r="AU108" s="142">
        <f>KQ108</f>
        <v>-5.5973132896209865E-3</v>
      </c>
      <c r="AV108" s="142">
        <f>KX108</f>
        <v>-1.2222579607590878E-2</v>
      </c>
      <c r="AW108" s="142">
        <f>LE108</f>
        <v>2.1979811136437544E-2</v>
      </c>
      <c r="AX108" s="142">
        <f>LL108</f>
        <v>4.7793531942010858E-3</v>
      </c>
      <c r="AY108" s="142">
        <f>LS108</f>
        <v>2.3681623592833212E-2</v>
      </c>
      <c r="AZ108" s="142">
        <f>LZ108</f>
        <v>2.529680423644276E-2</v>
      </c>
      <c r="BA108" s="142">
        <f>MG108</f>
        <v>2.4075851372329815E-2</v>
      </c>
      <c r="BB108" s="142"/>
      <c r="BC108" s="142"/>
      <c r="BD108" s="142"/>
      <c r="BE108" s="142"/>
      <c r="BF108" s="142"/>
      <c r="BG108" s="142"/>
      <c r="BH108" s="142"/>
      <c r="BI108" s="142"/>
      <c r="BJ108" s="142"/>
      <c r="BK108" s="142"/>
      <c r="BL108" s="142"/>
      <c r="BM108" s="142"/>
      <c r="BO108" s="141" t="s">
        <v>428</v>
      </c>
      <c r="BP108" s="142"/>
      <c r="BQ108" s="142"/>
      <c r="BR108" s="142"/>
      <c r="BS108" s="142"/>
      <c r="BT108" s="142"/>
      <c r="BV108" s="141" t="s">
        <v>428</v>
      </c>
      <c r="BW108" s="142">
        <f>BW90/BP90-1</f>
        <v>-1.2337217272104128E-2</v>
      </c>
      <c r="BX108" s="142">
        <f>BX90/BQ90-1</f>
        <v>-1.4189189189189211E-2</v>
      </c>
      <c r="BY108" s="142">
        <f>BY90/BR90-1</f>
        <v>-4.9893086243762985E-3</v>
      </c>
      <c r="BZ108" s="142">
        <f>BZ90/BS90-1</f>
        <v>-1.9886363636363646E-2</v>
      </c>
      <c r="CA108" s="142">
        <f>CA90/BT90-1</f>
        <v>-1.2869565217391354E-2</v>
      </c>
      <c r="CC108" s="141" t="s">
        <v>428</v>
      </c>
      <c r="CD108" s="142">
        <f>CD90/BW90-1</f>
        <v>-0.10409437890353923</v>
      </c>
      <c r="CE108" s="142">
        <f>CE90/BX90-1</f>
        <v>-0.1110349554489376</v>
      </c>
      <c r="CF108" s="142">
        <f>CF90/BY90-1</f>
        <v>-3.5100286532951275E-2</v>
      </c>
      <c r="CG108" s="142">
        <f>CG90/BZ90-1</f>
        <v>-1.376811594202898E-2</v>
      </c>
      <c r="CH108" s="142">
        <f>CH90/CA90-1</f>
        <v>-6.6948555320648362E-2</v>
      </c>
      <c r="CJ108" s="141" t="s">
        <v>428</v>
      </c>
      <c r="CK108" s="142">
        <f>CK90/CD90-1</f>
        <v>2.8892331525948833E-2</v>
      </c>
      <c r="CL108" s="142">
        <f>CL90/CE90-1</f>
        <v>3.8858905165767288E-2</v>
      </c>
      <c r="CM108" s="142">
        <f>CM90/CF90-1</f>
        <v>-1.1135857461024523E-2</v>
      </c>
      <c r="CN108" s="142">
        <f>CN90/CG90-1</f>
        <v>1.0286554004408588E-2</v>
      </c>
      <c r="CO108" s="142">
        <f>CO90/CH90-1</f>
        <v>1.6370845921450217E-2</v>
      </c>
      <c r="CQ108" s="141" t="s">
        <v>428</v>
      </c>
      <c r="CR108" s="142">
        <f>CR90/CK90-1</f>
        <v>-1.7541218098321099E-2</v>
      </c>
      <c r="CS108" s="142">
        <f>CS90/CL90-1</f>
        <v>1.9296422740091579E-3</v>
      </c>
      <c r="CT108" s="142">
        <f>CT90/CM90-1</f>
        <v>-2.2522522522522292E-3</v>
      </c>
      <c r="CU108" s="142">
        <f>CU90/CN90-1</f>
        <v>-1.0909090909090868E-2</v>
      </c>
      <c r="CV108" s="142">
        <f>CV90/CO90-1</f>
        <v>-7.1897003362624279E-3</v>
      </c>
      <c r="CX108" s="141" t="s">
        <v>428</v>
      </c>
      <c r="CY108" s="142">
        <f>CY90/CR90-1</f>
        <v>5.4406130268199293E-2</v>
      </c>
      <c r="CZ108" s="142">
        <f>CZ90/CS90-1</f>
        <v>8.2962962962962905E-2</v>
      </c>
      <c r="DA108" s="142">
        <f>DA90/CT90-1</f>
        <v>8.2768999247554653E-2</v>
      </c>
      <c r="DB108" s="142">
        <f>DB90/CU90-1</f>
        <v>9.2647058823529305E-2</v>
      </c>
      <c r="DC108" s="142">
        <f>DC90/CV90-1</f>
        <v>7.8405688622754433E-2</v>
      </c>
      <c r="DE108" s="141" t="s">
        <v>428</v>
      </c>
      <c r="DF108" s="142">
        <f>DF90/CY90-1</f>
        <v>5.0872093023255349E-3</v>
      </c>
      <c r="DG108" s="142">
        <f>DG90/CZ90-1</f>
        <v>-4.1039671682626566E-2</v>
      </c>
      <c r="DH108" s="142">
        <f>DH90/DA90-1</f>
        <v>-4.2390548992355837E-2</v>
      </c>
      <c r="DI108" s="142">
        <f>DI90/DB90-1</f>
        <v>-6.3257065948855939E-2</v>
      </c>
      <c r="DJ108" s="142">
        <f>DJ90/DC90-1</f>
        <v>-3.6092313031407253E-2</v>
      </c>
      <c r="DL108" s="141" t="s">
        <v>428</v>
      </c>
      <c r="DM108" s="142">
        <f>DM90/DF90-1</f>
        <v>-3.1091829356471479E-2</v>
      </c>
      <c r="DN108" s="142">
        <f>DN90/DG90-1</f>
        <v>5.7061340941511052E-3</v>
      </c>
      <c r="DO108" s="142">
        <f>DO90/DH90-1</f>
        <v>4.3541364296080243E-3</v>
      </c>
      <c r="DP108" s="142">
        <f>DP90/DI90-1</f>
        <v>1.4367816091954033E-2</v>
      </c>
      <c r="DQ108" s="142">
        <f>DQ90/DJ90-1</f>
        <v>-1.6201620162016317E-3</v>
      </c>
      <c r="DS108" s="141" t="s">
        <v>428</v>
      </c>
      <c r="DT108" s="142">
        <f>DT90/DM90-1</f>
        <v>5.0000000000000044E-2</v>
      </c>
      <c r="DU108" s="142">
        <f>DU90/DN90-1</f>
        <v>1.9148936170212849E-2</v>
      </c>
      <c r="DV108" s="142">
        <f>DV90/DO90-1</f>
        <v>2.3843930635838229E-2</v>
      </c>
      <c r="DW108" s="142">
        <f>DW90/DP90-1</f>
        <v>3.4702549575070796E-2</v>
      </c>
      <c r="DX108" s="142">
        <f>DX90/DQ90-1</f>
        <v>3.1734583483591816E-2</v>
      </c>
      <c r="DZ108" s="141" t="s">
        <v>428</v>
      </c>
      <c r="EA108" s="142">
        <f>EA90/DT90-1</f>
        <v>-7.1073205401561701E-4</v>
      </c>
      <c r="EB108" s="142">
        <f>EB90/DU90-1</f>
        <v>8.3507306889352151E-3</v>
      </c>
      <c r="EC108" s="142">
        <f>EC90/DV90-1</f>
        <v>7.057163020465218E-4</v>
      </c>
      <c r="ED108" s="142">
        <f>ED90/DW90-1</f>
        <v>1.3689253935660339E-3</v>
      </c>
      <c r="EE108" s="142">
        <f>EE90/DX90-1</f>
        <v>1.9224047535826294E-3</v>
      </c>
      <c r="EG108" s="141" t="s">
        <v>428</v>
      </c>
      <c r="EH108" s="142">
        <f>EH90/EA90-1</f>
        <v>5.9032716927453821E-2</v>
      </c>
      <c r="EI108" s="142">
        <f>EI90/EB90-1</f>
        <v>8.212560386473422E-2</v>
      </c>
      <c r="EJ108" s="142">
        <f>EJ90/EC90-1</f>
        <v>0.29407616361071942</v>
      </c>
      <c r="EK108" s="142">
        <f>EK90/ED90-1</f>
        <v>0.26042378673957622</v>
      </c>
      <c r="EL108" s="142">
        <f>EL90/EE90-1</f>
        <v>0.17303331589045867</v>
      </c>
      <c r="EN108" s="141" t="s">
        <v>428</v>
      </c>
      <c r="EO108" s="142">
        <f>EO90/EH90-1</f>
        <v>0.24042981867024849</v>
      </c>
      <c r="EP108" s="142">
        <f>EP90/EI90-1</f>
        <v>0.18558673469387754</v>
      </c>
      <c r="EQ108" s="142">
        <f>EQ90/EJ90-1</f>
        <v>-7.629427792915533E-3</v>
      </c>
      <c r="ER108" s="142">
        <f>ER90/EK90-1</f>
        <v>-2.8741865509761433E-2</v>
      </c>
      <c r="ES108" s="142">
        <f>ES90/EL90-1</f>
        <v>8.8178438661709935E-2</v>
      </c>
      <c r="EU108" s="141" t="s">
        <v>428</v>
      </c>
      <c r="EV108" s="142">
        <f>EV90/EO90-1</f>
        <v>-4.0064970221981633E-2</v>
      </c>
      <c r="EW108" s="142">
        <f>EW90/EP90-1</f>
        <v>-3.3351264120494939E-2</v>
      </c>
      <c r="EX108" s="142">
        <f>EX90/EQ90-1</f>
        <v>-2.5809994508511847E-2</v>
      </c>
      <c r="EY108" s="142">
        <f>EY90/ER90-1</f>
        <v>-9.4919039642658021E-3</v>
      </c>
      <c r="EZ108" s="142">
        <f>EZ90/ES90-1</f>
        <v>-2.7329871549603757E-2</v>
      </c>
      <c r="FB108" s="141" t="s">
        <v>428</v>
      </c>
      <c r="FC108" s="142">
        <f>FC90/EV90-1</f>
        <v>-4.2301184433164107E-2</v>
      </c>
      <c r="FD108" s="142">
        <f>FD90/EW90-1</f>
        <v>7.2342793544797335E-3</v>
      </c>
      <c r="FE108" s="142">
        <f>FE90/EX90-1</f>
        <v>2.1420518602029315E-2</v>
      </c>
      <c r="FF108" s="142">
        <f>FF90/EY90-1</f>
        <v>-1.6910935738444488E-3</v>
      </c>
      <c r="FG108" s="142">
        <f>FG90/EZ90-1</f>
        <v>-3.7932003371733414E-3</v>
      </c>
      <c r="FI108" s="141" t="s">
        <v>428</v>
      </c>
      <c r="FJ108" s="142">
        <f>FJ90/FC90-1</f>
        <v>2.9446407538280317E-2</v>
      </c>
      <c r="FK108" s="142">
        <f>FK90/FD90-1</f>
        <v>2.0441988950276269E-2</v>
      </c>
      <c r="FL108" s="142">
        <f>FL90/FE90-1</f>
        <v>4.9668874172186239E-3</v>
      </c>
      <c r="FM108" s="142">
        <f>FM90/FF90-1</f>
        <v>5.4206662902315017E-2</v>
      </c>
      <c r="FN108" s="142">
        <f>FN90/FG90-1</f>
        <v>2.7076575941334058E-2</v>
      </c>
      <c r="FP108" s="141" t="s">
        <v>428</v>
      </c>
      <c r="FQ108" s="142">
        <f>FQ90/FJ90-1</f>
        <v>4.3478260869565188E-2</v>
      </c>
      <c r="FR108" s="142">
        <f>FR90/FK90-1</f>
        <v>3.1943692474282637E-2</v>
      </c>
      <c r="FS108" s="142">
        <f>FS90/FL90-1</f>
        <v>-2.1965952773201902E-3</v>
      </c>
      <c r="FT108" s="142">
        <f>FT90/FM90-1</f>
        <v>6.2131762185324124E-2</v>
      </c>
      <c r="FU108" s="142">
        <f>FU90/FN90-1</f>
        <v>3.3914595633667499E-2</v>
      </c>
      <c r="FW108" s="141" t="s">
        <v>428</v>
      </c>
      <c r="FX108" s="142">
        <f>FX90/FQ90-1</f>
        <v>1.0964912280701844E-2</v>
      </c>
      <c r="FY108" s="142">
        <f>FY90/FR90-1</f>
        <v>-1.9412381951731339E-2</v>
      </c>
      <c r="FZ108" s="142">
        <f>FZ90/FS90-1</f>
        <v>1.1007154650521933E-3</v>
      </c>
      <c r="GA108" s="142">
        <f>GA90/FT90-1</f>
        <v>-8.3207261724659642E-2</v>
      </c>
      <c r="GB108" s="142">
        <f>GB90/FU90-1</f>
        <v>-2.3904382470119501E-2</v>
      </c>
      <c r="GD108" s="141" t="s">
        <v>428</v>
      </c>
      <c r="GE108" s="142">
        <f>GE90/FX90-1</f>
        <v>-9.761388286334105E-3</v>
      </c>
      <c r="GF108" s="142">
        <f>GF90/FY90-1</f>
        <v>5.3504547886573661E-4</v>
      </c>
      <c r="GG108" s="142">
        <f>GG90/FZ90-1</f>
        <v>1.8141836173721781E-2</v>
      </c>
      <c r="GH108" s="142">
        <f>GH90/GA90-1</f>
        <v>-4.4004400440044167E-3</v>
      </c>
      <c r="GI108" s="142">
        <f>GI90/GB90-1</f>
        <v>1.0884353741495989E-3</v>
      </c>
      <c r="GK108" s="141" t="s">
        <v>428</v>
      </c>
      <c r="GL108" s="142">
        <f>GL90/GE90-1</f>
        <v>-3.8882803943044886E-2</v>
      </c>
      <c r="GM108" s="142">
        <f>GM90/GF90-1</f>
        <v>-2.2994652406417071E-2</v>
      </c>
      <c r="GN108" s="142">
        <f>GN90/GG90-1</f>
        <v>-4.2656587473002161E-2</v>
      </c>
      <c r="GO108" s="142">
        <f>GO90/GH90-1</f>
        <v>-2.707182320441992E-2</v>
      </c>
      <c r="GP108" s="142">
        <f>GP90/GI90-1</f>
        <v>-3.2889372111986948E-2</v>
      </c>
      <c r="GR108" s="141" t="s">
        <v>428</v>
      </c>
      <c r="GS108" s="142">
        <f>GS90/GL90-1</f>
        <v>-2.165242165242165E-2</v>
      </c>
      <c r="GT108" s="142">
        <f>GT90/GM90-1</f>
        <v>-2.7914614121510639E-2</v>
      </c>
      <c r="GU108" s="142">
        <f>GU90/GN90-1</f>
        <v>-2.3124647490129768E-2</v>
      </c>
      <c r="GV108" s="142">
        <f>GV90/GO90-1</f>
        <v>-8.972174900624641E-2</v>
      </c>
      <c r="GW108" s="142">
        <f>GW90/GP90-1</f>
        <v>-4.04721753794266E-2</v>
      </c>
      <c r="GY108" s="141" t="s">
        <v>428</v>
      </c>
      <c r="GZ108" s="142">
        <f>GZ90/GS90-1</f>
        <v>-0.17355853232382057</v>
      </c>
      <c r="HA108" s="142">
        <f>HA90/GT90-1</f>
        <v>-0.20551801801801806</v>
      </c>
      <c r="HB108" s="142">
        <f>HB90/GU90-1</f>
        <v>-0.15415704387990758</v>
      </c>
      <c r="HC108" s="142">
        <f>HC90/GV90-1</f>
        <v>-6.5502183406113579E-2</v>
      </c>
      <c r="HD108" s="142">
        <f>HD90/GW90-1</f>
        <v>-0.15158172231985945</v>
      </c>
      <c r="HF108" s="141" t="s">
        <v>428</v>
      </c>
      <c r="HG108" s="142">
        <f>HG90/GZ90-1</f>
        <v>4.721634954193088E-2</v>
      </c>
      <c r="HH108" s="142">
        <f>HH90/HA90-1</f>
        <v>0.1325301204819278</v>
      </c>
      <c r="HI108" s="142">
        <f>HI90/HB90-1</f>
        <v>9.8293515358361727E-2</v>
      </c>
      <c r="HJ108" s="142">
        <f>HJ90/HC90-1</f>
        <v>0.1288384512683578</v>
      </c>
      <c r="HK108" s="142">
        <f>HK90/HD90-1</f>
        <v>0.10201967892283781</v>
      </c>
      <c r="HM108" s="141" t="s">
        <v>428</v>
      </c>
      <c r="HN108" s="142">
        <f>HN90/HG90-1</f>
        <v>7.1332436069986516E-2</v>
      </c>
      <c r="HO108" s="142">
        <f>HO90/HH90-1</f>
        <v>3.0037546933667114E-2</v>
      </c>
      <c r="HP108" s="142">
        <f>HP90/HI90-1</f>
        <v>6.2150403977625501E-3</v>
      </c>
      <c r="HQ108" s="142">
        <f>HQ90/HJ90-1</f>
        <v>-4.2578356002365481E-2</v>
      </c>
      <c r="HR108" s="142">
        <f>HR90/HK90-1</f>
        <v>1.4411027568922208E-2</v>
      </c>
      <c r="HT108" s="141" t="s">
        <v>428</v>
      </c>
      <c r="HU108" s="142">
        <f>HU90/HN90-1</f>
        <v>6.2814070351759899E-3</v>
      </c>
      <c r="HV108" s="142">
        <f>HV90/HO90-1</f>
        <v>-3.6452004860266785E-3</v>
      </c>
      <c r="HW108" s="142">
        <f>HW90/HP90-1</f>
        <v>-1.1735639283508292E-2</v>
      </c>
      <c r="HX108" s="142">
        <f>HX90/HQ90-1</f>
        <v>-3.2118591723286016E-2</v>
      </c>
      <c r="HY108" s="142">
        <f>HY90/HR90-1</f>
        <v>-1.0345892526250733E-2</v>
      </c>
      <c r="IA108" s="141" t="s">
        <v>428</v>
      </c>
      <c r="IB108" s="142">
        <f>IB90/HU90-1</f>
        <v>-1.4981273408239737E-2</v>
      </c>
      <c r="IC108" s="142">
        <f>IC90/HV90-1</f>
        <v>9.7560975609756184E-3</v>
      </c>
      <c r="ID108" s="142">
        <f>ID90/HW90-1</f>
        <v>2.6874999999999982E-2</v>
      </c>
      <c r="IE108" s="142">
        <f>IE90/HX90-1</f>
        <v>6.0625398851308132E-2</v>
      </c>
      <c r="IF108" s="142">
        <f>IF90/HY90-1</f>
        <v>2.0283975659229236E-2</v>
      </c>
      <c r="IH108" s="141" t="s">
        <v>428</v>
      </c>
      <c r="II108" s="142">
        <f>II90/IB90-1</f>
        <v>2.6615969581748944E-2</v>
      </c>
      <c r="IJ108" s="142">
        <f>IJ90/IC90-1</f>
        <v>7.5483091787439616E-2</v>
      </c>
      <c r="IK108" s="142">
        <f>IK90/ID90-1</f>
        <v>6.9993913572732769E-2</v>
      </c>
      <c r="IL108" s="142">
        <f>IL90/IE90-1</f>
        <v>6.0770156438026524E-2</v>
      </c>
      <c r="IM108" s="142">
        <f>IM90/IF90-1</f>
        <v>5.8571647040831953E-2</v>
      </c>
      <c r="IO108" s="141" t="s">
        <v>428</v>
      </c>
      <c r="IP108" s="142">
        <f>IP90/II90-1</f>
        <v>9.2592592592593004E-3</v>
      </c>
      <c r="IQ108" s="142">
        <f>IQ90/IJ90-1</f>
        <v>-1.2352610892756855E-2</v>
      </c>
      <c r="IR108" s="142">
        <f>IR90/IK90-1</f>
        <v>-2.6166097838452806E-2</v>
      </c>
      <c r="IS108" s="142">
        <f>IS90/IL90-1</f>
        <v>-6.1259217243335273E-2</v>
      </c>
      <c r="IT108" s="142">
        <f>IT90/IM90-1</f>
        <v>-2.3259173649234355E-2</v>
      </c>
      <c r="IV108" s="141" t="s">
        <v>428</v>
      </c>
      <c r="IW108" s="142">
        <f>IW90/IP90-1</f>
        <v>-5.1376146788990829E-2</v>
      </c>
      <c r="IX108" s="142">
        <f>IX90/IQ90-1</f>
        <v>-9.3234792495736185E-2</v>
      </c>
      <c r="IY108" s="142">
        <f>IY90/IR90-1</f>
        <v>-8.0607476635514042E-2</v>
      </c>
      <c r="IZ108" s="142">
        <f>IZ90/IS90-1</f>
        <v>4.5921450151057419E-2</v>
      </c>
      <c r="JA108" s="142">
        <f>JA90/IT90-1</f>
        <v>-4.5851205442981824E-2</v>
      </c>
      <c r="JC108" s="141" t="s">
        <v>428</v>
      </c>
      <c r="JD108" s="142">
        <f>JD90/IW90-1</f>
        <v>2.6434558349452075E-2</v>
      </c>
      <c r="JE108" s="142">
        <f>JE90/IX90-1</f>
        <v>1.5673981191222541E-2</v>
      </c>
      <c r="JF108" s="142">
        <f>JF90/IY90-1</f>
        <v>8.2592121982210109E-3</v>
      </c>
      <c r="JG108" s="142">
        <f>JG90/IZ90-1</f>
        <v>-7.5101097631426916E-2</v>
      </c>
      <c r="JH108" s="142">
        <f>JH90/JA90-1</f>
        <v>-7.9057510463493852E-3</v>
      </c>
      <c r="JJ108" s="141" t="s">
        <v>428</v>
      </c>
      <c r="JK108" s="142">
        <f>JK90/JD90-1</f>
        <v>-3.7688442211055273E-2</v>
      </c>
      <c r="JL108" s="142">
        <f>JL90/JE90-1</f>
        <v>1.6049382716049276E-2</v>
      </c>
      <c r="JM108" s="142">
        <f>JM90/JF90-1</f>
        <v>4.3478260869565188E-2</v>
      </c>
      <c r="JN108" s="142">
        <f>JN90/JG90-1</f>
        <v>2.9356652092442204E-2</v>
      </c>
      <c r="JO108" s="142">
        <f>JO90/JH90-1</f>
        <v>1.2812499999999893E-2</v>
      </c>
      <c r="JQ108" s="141" t="s">
        <v>428</v>
      </c>
      <c r="JR108" s="142">
        <f>JR90/JK90-1</f>
        <v>-6.5274151436034433E-4</v>
      </c>
      <c r="JS108" s="142">
        <f>JS90/JL90-1</f>
        <v>-3.9489671931956294E-2</v>
      </c>
      <c r="JT108" s="142">
        <f>JT90/JM90-1</f>
        <v>-5.2536231884057982E-2</v>
      </c>
      <c r="JU108" s="142">
        <f>JU90/JN90-1</f>
        <v>-6.614077669902918E-2</v>
      </c>
      <c r="JV108" s="142">
        <f>JV90/JO90-1</f>
        <v>-4.0419623572971353E-2</v>
      </c>
      <c r="JX108" s="141" t="s">
        <v>428</v>
      </c>
      <c r="JY108" s="142">
        <f>JY90/JR90-1</f>
        <v>-1.1103853690398457E-2</v>
      </c>
      <c r="JZ108" s="142">
        <f>JZ90/JS90-1</f>
        <v>-0.20493358633776093</v>
      </c>
      <c r="KA108" s="142">
        <f>KA90/JT90-1</f>
        <v>-2.9955385595920925E-2</v>
      </c>
      <c r="KB108" s="142">
        <f>KB90/JU90-1</f>
        <v>3.8986354775828458E-2</v>
      </c>
      <c r="KC108" s="142">
        <f>KC90/JV90-1</f>
        <v>-5.2733118971061144E-2</v>
      </c>
      <c r="KE108" s="141" t="s">
        <v>428</v>
      </c>
      <c r="KF108" s="142">
        <f>KF90/JY90-1</f>
        <v>9.9075297225892367E-3</v>
      </c>
      <c r="KG108" s="142">
        <f>KG90/JZ90-1</f>
        <v>0.26571201272871914</v>
      </c>
      <c r="KH108" s="142">
        <f>KH90/KA90-1</f>
        <v>2.6938239159001398E-2</v>
      </c>
      <c r="KI108" s="142">
        <f>KI90/KB90-1</f>
        <v>-1.8136335209505972E-2</v>
      </c>
      <c r="KJ108" s="142">
        <f>KJ90/KC90-1</f>
        <v>6.1269517990495626E-2</v>
      </c>
      <c r="KL108" s="141" t="s">
        <v>428</v>
      </c>
      <c r="KM108" s="142">
        <f>KM90/KF90-1</f>
        <v>-2.0274689339437546E-2</v>
      </c>
      <c r="KN108" s="142">
        <f>KN90/KG90-1</f>
        <v>1.8856065367693908E-3</v>
      </c>
      <c r="KO108" s="142">
        <f>KO90/KH90-1</f>
        <v>1.5355086372360827E-2</v>
      </c>
      <c r="KP108" s="142">
        <f>KP90/KI90-1</f>
        <v>-1.9745222929936301E-2</v>
      </c>
      <c r="KQ108" s="142">
        <f>KQ90/KJ90-1</f>
        <v>-5.5973132896209865E-3</v>
      </c>
      <c r="KS108" s="141" t="s">
        <v>428</v>
      </c>
      <c r="KT108" s="142">
        <f>KT90/KM90-1</f>
        <v>-8.0106809078771546E-3</v>
      </c>
      <c r="KU108" s="142">
        <f>KU90/KN90-1</f>
        <v>-3.0112923462986219E-2</v>
      </c>
      <c r="KV108" s="142">
        <f>KV90/KO90-1</f>
        <v>-2.3314429741650877E-2</v>
      </c>
      <c r="KW108" s="142">
        <f>KW90/KP90-1</f>
        <v>1.3645224171539905E-2</v>
      </c>
      <c r="KX108" s="142">
        <f>KX90/KQ90-1</f>
        <v>-1.2222579607590878E-2</v>
      </c>
      <c r="KZ108" s="624" t="s">
        <v>428</v>
      </c>
      <c r="LA108" s="625">
        <f>LA90/KT90-1</f>
        <v>3.2301480484522305E-2</v>
      </c>
      <c r="LB108" s="625">
        <f>LB90/KU90-1</f>
        <v>2.0698576972833171E-2</v>
      </c>
      <c r="LC108" s="626">
        <f>LC90/KV90-1</f>
        <v>2.5806451612903292E-2</v>
      </c>
      <c r="LD108" s="626">
        <f>LD90/KW90-1</f>
        <v>9.6153846153845812E-3</v>
      </c>
      <c r="LE108" s="626">
        <f>LE90/KX90-1</f>
        <v>2.1979811136437544E-2</v>
      </c>
      <c r="LF108" s="560"/>
      <c r="LG108" s="624" t="s">
        <v>428</v>
      </c>
      <c r="LH108" s="626">
        <f>LH90/LA90-1</f>
        <v>-1.0430247718383301E-2</v>
      </c>
      <c r="LI108" s="626">
        <f>LI90/LB90-1</f>
        <v>1.2674271229404788E-3</v>
      </c>
      <c r="LJ108" s="626">
        <f>LJ90/LC90-1</f>
        <v>1.3836477987421381E-2</v>
      </c>
      <c r="LK108" s="626">
        <f>LK90/LD90-1</f>
        <v>1.3968253968253963E-2</v>
      </c>
      <c r="LL108" s="626">
        <f>LL90/LE90-1</f>
        <v>4.7793531942010858E-3</v>
      </c>
      <c r="LM108" s="560"/>
      <c r="LN108" s="624" t="s">
        <v>428</v>
      </c>
      <c r="LO108" s="626">
        <f>LO90/LH90-1</f>
        <v>1.6877470355731061E-2</v>
      </c>
      <c r="LP108" s="626">
        <f>LP90/LI90-1</f>
        <v>1.6357594936708963E-2</v>
      </c>
      <c r="LQ108" s="626">
        <f>LQ90/LJ90-1</f>
        <v>2.3898883374689817E-2</v>
      </c>
      <c r="LR108" s="626">
        <f>LR90/LK90-1</f>
        <v>3.7175954915466436E-2</v>
      </c>
      <c r="LS108" s="626">
        <f>LS90/LL90-1</f>
        <v>2.3681623592833212E-2</v>
      </c>
      <c r="LT108" s="560"/>
      <c r="LU108" s="624" t="s">
        <v>428</v>
      </c>
      <c r="LV108" s="626">
        <f>LV90/LO90-1</f>
        <v>2.5413573288762592E-2</v>
      </c>
      <c r="LW108" s="626">
        <f>LW90/LP90-1</f>
        <v>2.6080054426174559E-2</v>
      </c>
      <c r="LX108" s="626">
        <f>LX90/LQ90-1</f>
        <v>2.4876069735387141E-2</v>
      </c>
      <c r="LY108" s="626">
        <f>LY90/LR90-1</f>
        <v>2.4847875172817613E-2</v>
      </c>
      <c r="LZ108" s="626">
        <f>LZ90/LS90-1</f>
        <v>2.529680423644276E-2</v>
      </c>
      <c r="MA108" s="560"/>
      <c r="MB108" s="624" t="s">
        <v>428</v>
      </c>
      <c r="MC108" s="626">
        <f>MC90/LV90-1</f>
        <v>2.4677121186362116E-2</v>
      </c>
      <c r="MD108" s="626">
        <f>MD90/LW90-1</f>
        <v>2.4393559418823596E-2</v>
      </c>
      <c r="ME108" s="626">
        <f>ME90/LX90-1</f>
        <v>2.3920058679335554E-2</v>
      </c>
      <c r="MF108" s="626">
        <f>MF90/LY90-1</f>
        <v>2.3362061038165072E-2</v>
      </c>
      <c r="MG108" s="626">
        <f>MG90/LZ90-1</f>
        <v>2.4075851372329815E-2</v>
      </c>
      <c r="MH108" s="560"/>
    </row>
    <row r="109" spans="1:346" s="37" customFormat="1" ht="13.15" x14ac:dyDescent="0.4">
      <c r="A109" s="100"/>
      <c r="B109" s="143"/>
      <c r="C109" s="144"/>
      <c r="D109" s="144"/>
      <c r="E109" s="144"/>
      <c r="F109" s="144"/>
      <c r="G109" s="144"/>
      <c r="H109" s="144"/>
      <c r="I109" s="144"/>
      <c r="J109" s="144"/>
      <c r="K109" s="144"/>
      <c r="L109" s="144"/>
      <c r="M109" s="144"/>
      <c r="N109" s="144"/>
      <c r="O109" s="144"/>
      <c r="P109" s="144"/>
      <c r="Q109" s="144"/>
      <c r="R109" s="144"/>
      <c r="S109" s="144"/>
      <c r="T109" s="144"/>
      <c r="U109" s="144"/>
      <c r="V109" s="144"/>
      <c r="W109" s="144"/>
      <c r="X109" s="144"/>
      <c r="Y109" s="144"/>
      <c r="Z109" s="144"/>
      <c r="AA109" s="144"/>
      <c r="AB109" s="144"/>
      <c r="AC109" s="144"/>
      <c r="AD109" s="144"/>
      <c r="AE109" s="144"/>
      <c r="AF109" s="144"/>
      <c r="AG109" s="144"/>
      <c r="AH109" s="144"/>
      <c r="AI109" s="144"/>
      <c r="AJ109" s="144"/>
      <c r="AK109" s="144"/>
      <c r="AL109" s="144"/>
      <c r="AM109" s="144"/>
      <c r="AN109" s="144"/>
      <c r="AO109" s="144"/>
      <c r="AP109" s="144"/>
      <c r="AQ109" s="144"/>
      <c r="AR109" s="144"/>
      <c r="AS109" s="144"/>
      <c r="AT109" s="144"/>
      <c r="AU109" s="144"/>
      <c r="AV109" s="144"/>
      <c r="AW109" s="144"/>
      <c r="AX109" s="144"/>
      <c r="AY109" s="144"/>
      <c r="AZ109" s="144"/>
      <c r="BA109" s="144"/>
      <c r="BB109" s="144"/>
      <c r="BC109" s="144"/>
      <c r="BD109" s="144"/>
      <c r="BE109" s="144"/>
      <c r="BF109" s="144"/>
      <c r="BG109" s="144"/>
      <c r="BH109" s="144"/>
      <c r="BI109" s="144"/>
      <c r="BJ109" s="144"/>
      <c r="BK109" s="144"/>
      <c r="BL109" s="144"/>
      <c r="BM109" s="144"/>
      <c r="BO109" s="143"/>
      <c r="BP109" s="144"/>
      <c r="BQ109" s="144"/>
      <c r="BR109" s="144"/>
      <c r="BS109" s="144"/>
      <c r="BT109" s="144"/>
      <c r="BV109" s="143"/>
      <c r="BW109" s="144"/>
      <c r="BX109" s="144"/>
      <c r="BY109" s="144"/>
      <c r="BZ109" s="144"/>
      <c r="CA109" s="144"/>
      <c r="CC109" s="143"/>
      <c r="CD109" s="144"/>
      <c r="CE109" s="144"/>
      <c r="CF109" s="144"/>
      <c r="CG109" s="144"/>
      <c r="CH109" s="144"/>
      <c r="CJ109" s="143"/>
      <c r="CK109" s="144"/>
      <c r="CL109" s="144"/>
      <c r="CM109" s="144"/>
      <c r="CN109" s="144"/>
      <c r="CO109" s="144"/>
      <c r="CQ109" s="143"/>
      <c r="CR109" s="144"/>
      <c r="CS109" s="144"/>
      <c r="CT109" s="144"/>
      <c r="CU109" s="144"/>
      <c r="CV109" s="144"/>
      <c r="CX109" s="143"/>
      <c r="CY109" s="144"/>
      <c r="CZ109" s="144"/>
      <c r="DA109" s="144"/>
      <c r="DB109" s="144"/>
      <c r="DC109" s="144"/>
      <c r="DE109" s="143"/>
      <c r="DF109" s="144"/>
      <c r="DG109" s="144"/>
      <c r="DH109" s="144"/>
      <c r="DI109" s="144"/>
      <c r="DJ109" s="144"/>
      <c r="DL109" s="143"/>
      <c r="DM109" s="144"/>
      <c r="DN109" s="144"/>
      <c r="DO109" s="144"/>
      <c r="DP109" s="144"/>
      <c r="DQ109" s="144"/>
      <c r="DS109" s="143"/>
      <c r="DT109" s="144"/>
      <c r="DU109" s="144"/>
      <c r="DV109" s="144"/>
      <c r="DW109" s="144"/>
      <c r="DX109" s="144"/>
      <c r="DZ109" s="143"/>
      <c r="EA109" s="144"/>
      <c r="EB109" s="144"/>
      <c r="EC109" s="144"/>
      <c r="ED109" s="144"/>
      <c r="EE109" s="144"/>
      <c r="EG109" s="143"/>
      <c r="EH109" s="144"/>
      <c r="EI109" s="144"/>
      <c r="EJ109" s="144"/>
      <c r="EK109" s="144"/>
      <c r="EL109" s="144"/>
      <c r="EN109" s="143"/>
      <c r="EO109" s="144"/>
      <c r="EP109" s="144"/>
      <c r="EQ109" s="144"/>
      <c r="ER109" s="144"/>
      <c r="ES109" s="144"/>
      <c r="EU109" s="143"/>
      <c r="EV109" s="144"/>
      <c r="EW109" s="144"/>
      <c r="EX109" s="144"/>
      <c r="EY109" s="144"/>
      <c r="EZ109" s="144"/>
      <c r="FB109" s="143"/>
      <c r="FC109" s="144"/>
      <c r="FD109" s="144"/>
      <c r="FE109" s="144"/>
      <c r="FF109" s="144"/>
      <c r="FG109" s="144"/>
      <c r="FI109" s="143"/>
      <c r="FJ109" s="144"/>
      <c r="FK109" s="144"/>
      <c r="FL109" s="144"/>
      <c r="FM109" s="144"/>
      <c r="FN109" s="144"/>
      <c r="FP109" s="143"/>
      <c r="FQ109" s="144"/>
      <c r="FR109" s="144"/>
      <c r="FS109" s="144"/>
      <c r="FT109" s="144"/>
      <c r="FU109" s="144"/>
      <c r="FW109" s="143"/>
      <c r="FX109" s="144"/>
      <c r="FY109" s="144"/>
      <c r="FZ109" s="144"/>
      <c r="GA109" s="144"/>
      <c r="GB109" s="144"/>
      <c r="GD109" s="143"/>
      <c r="GE109" s="144"/>
      <c r="GF109" s="144"/>
      <c r="GG109" s="144"/>
      <c r="GH109" s="144"/>
      <c r="GI109" s="144"/>
      <c r="GK109" s="143"/>
      <c r="GL109" s="144"/>
      <c r="GM109" s="144"/>
      <c r="GN109" s="144"/>
      <c r="GO109" s="144"/>
      <c r="GP109" s="144"/>
      <c r="GR109" s="143"/>
      <c r="GS109" s="144"/>
      <c r="GT109" s="144"/>
      <c r="GU109" s="144"/>
      <c r="GV109" s="144"/>
      <c r="GW109" s="144"/>
      <c r="GY109" s="143"/>
      <c r="GZ109" s="144"/>
      <c r="HA109" s="144"/>
      <c r="HB109" s="144"/>
      <c r="HC109" s="144"/>
      <c r="HD109" s="144"/>
      <c r="HF109" s="143"/>
      <c r="HG109" s="144"/>
      <c r="HH109" s="144"/>
      <c r="HI109" s="144"/>
      <c r="HJ109" s="144"/>
      <c r="HK109" s="144"/>
      <c r="HM109" s="143"/>
      <c r="HN109" s="144"/>
      <c r="HO109" s="144"/>
      <c r="HP109" s="144"/>
      <c r="HQ109" s="144"/>
      <c r="HR109" s="144"/>
      <c r="HT109" s="143"/>
      <c r="HU109" s="144"/>
      <c r="HV109" s="144"/>
      <c r="HW109" s="144"/>
      <c r="HX109" s="144"/>
      <c r="HY109" s="144"/>
      <c r="IA109" s="143"/>
      <c r="IB109" s="144"/>
      <c r="IC109" s="144"/>
      <c r="ID109" s="144"/>
      <c r="IE109" s="144"/>
      <c r="IF109" s="144"/>
      <c r="IH109" s="143"/>
      <c r="II109" s="144"/>
      <c r="IJ109" s="144"/>
      <c r="IK109" s="144"/>
      <c r="IL109" s="144"/>
      <c r="IM109" s="144"/>
      <c r="IO109" s="143"/>
      <c r="IP109" s="144"/>
      <c r="IQ109" s="144"/>
      <c r="IR109" s="144"/>
      <c r="IS109" s="144"/>
      <c r="IT109" s="144"/>
      <c r="IV109" s="143"/>
      <c r="IW109" s="144"/>
      <c r="IX109" s="144"/>
      <c r="IY109" s="144"/>
      <c r="IZ109" s="144"/>
      <c r="JA109" s="144"/>
      <c r="JC109" s="143"/>
      <c r="JD109" s="144"/>
      <c r="JE109" s="144"/>
      <c r="JF109" s="144"/>
      <c r="JG109" s="144"/>
      <c r="JH109" s="144"/>
      <c r="JJ109" s="143"/>
      <c r="JK109" s="144"/>
      <c r="JL109" s="144"/>
      <c r="JM109" s="144"/>
      <c r="JN109" s="144"/>
      <c r="JO109" s="144"/>
      <c r="JQ109" s="143"/>
      <c r="JR109" s="144"/>
      <c r="JS109" s="144"/>
      <c r="JT109" s="144"/>
      <c r="JU109" s="144"/>
      <c r="JV109" s="144"/>
      <c r="JX109" s="143"/>
      <c r="JY109" s="144"/>
      <c r="JZ109" s="144"/>
      <c r="KA109" s="144"/>
      <c r="KB109" s="144"/>
      <c r="KC109" s="144"/>
      <c r="KE109" s="143"/>
      <c r="KF109" s="144"/>
      <c r="KG109" s="144"/>
      <c r="KH109" s="144"/>
      <c r="KI109" s="144"/>
      <c r="KJ109" s="144"/>
      <c r="KL109" s="143"/>
      <c r="KM109" s="144"/>
      <c r="KN109" s="144"/>
      <c r="KO109" s="144"/>
      <c r="KP109" s="144"/>
      <c r="KQ109" s="144"/>
      <c r="KS109" s="143"/>
      <c r="KT109" s="144"/>
      <c r="KU109" s="144"/>
      <c r="KV109" s="144"/>
      <c r="KW109" s="144"/>
      <c r="KX109" s="144"/>
      <c r="KZ109" s="628"/>
      <c r="LA109" s="629"/>
      <c r="LB109" s="629"/>
      <c r="LC109" s="629"/>
      <c r="LD109" s="629"/>
      <c r="LE109" s="629"/>
      <c r="LF109" s="560"/>
      <c r="LG109" s="628"/>
      <c r="LH109" s="629"/>
      <c r="LI109" s="629"/>
      <c r="LJ109" s="629"/>
      <c r="LK109" s="629"/>
      <c r="LL109" s="629"/>
      <c r="LM109" s="560"/>
      <c r="LN109" s="628"/>
      <c r="LO109" s="629"/>
      <c r="LP109" s="629"/>
      <c r="LQ109" s="629"/>
      <c r="LR109" s="629"/>
      <c r="LS109" s="629"/>
      <c r="LT109" s="560"/>
      <c r="LU109" s="628"/>
      <c r="LV109" s="629"/>
      <c r="LW109" s="629"/>
      <c r="LX109" s="629"/>
      <c r="LY109" s="629"/>
      <c r="LZ109" s="629"/>
      <c r="MA109" s="560"/>
      <c r="MB109" s="628"/>
      <c r="MC109" s="629"/>
      <c r="MD109" s="629"/>
      <c r="ME109" s="629"/>
      <c r="MF109" s="629"/>
      <c r="MG109" s="629"/>
      <c r="MH109" s="560"/>
    </row>
    <row r="110" spans="1:346" s="37" customFormat="1" ht="13.15" x14ac:dyDescent="0.4">
      <c r="A110" s="46"/>
      <c r="B110" s="39" t="s">
        <v>434</v>
      </c>
      <c r="C110" s="40"/>
      <c r="D110" s="40"/>
      <c r="E110" s="40"/>
      <c r="F110" s="40"/>
      <c r="G110" s="40"/>
      <c r="H110" s="40"/>
      <c r="I110" s="40"/>
      <c r="J110" s="40"/>
      <c r="K110" s="40"/>
      <c r="L110" s="40"/>
      <c r="M110" s="40"/>
      <c r="N110" s="40">
        <f>BT110</f>
        <v>1989</v>
      </c>
      <c r="O110" s="40">
        <f>CA110</f>
        <v>1990</v>
      </c>
      <c r="P110" s="40">
        <f>CH110</f>
        <v>1991</v>
      </c>
      <c r="Q110" s="40">
        <f>CO110</f>
        <v>1992</v>
      </c>
      <c r="R110" s="40">
        <f>CV110</f>
        <v>1993</v>
      </c>
      <c r="S110" s="40">
        <f>DC110</f>
        <v>1994</v>
      </c>
      <c r="T110" s="40">
        <f>DJ110</f>
        <v>1995</v>
      </c>
      <c r="U110" s="40">
        <f>DQ110</f>
        <v>1996</v>
      </c>
      <c r="V110" s="40">
        <f>DX110</f>
        <v>1997</v>
      </c>
      <c r="W110" s="40">
        <f>EE110</f>
        <v>1998</v>
      </c>
      <c r="X110" s="40">
        <f>EL110</f>
        <v>1999</v>
      </c>
      <c r="Y110" s="40">
        <f>ES110</f>
        <v>2000</v>
      </c>
      <c r="Z110" s="40">
        <f>EZ110</f>
        <v>2001</v>
      </c>
      <c r="AA110" s="40">
        <f>FG110</f>
        <v>2002</v>
      </c>
      <c r="AB110" s="40">
        <f>FN110</f>
        <v>2003</v>
      </c>
      <c r="AC110" s="40">
        <f>FU110</f>
        <v>2004</v>
      </c>
      <c r="AD110" s="40">
        <f>GB110</f>
        <v>2005</v>
      </c>
      <c r="AE110" s="40">
        <f>GI110</f>
        <v>2006</v>
      </c>
      <c r="AF110" s="40">
        <f>GP110</f>
        <v>2007</v>
      </c>
      <c r="AG110" s="40">
        <f>GW110</f>
        <v>2008</v>
      </c>
      <c r="AH110" s="40">
        <f>HD110</f>
        <v>2009</v>
      </c>
      <c r="AI110" s="40">
        <f>HK110</f>
        <v>2010</v>
      </c>
      <c r="AJ110" s="40">
        <f>HR110</f>
        <v>2011</v>
      </c>
      <c r="AK110" s="40">
        <f>HY110</f>
        <v>2012</v>
      </c>
      <c r="AL110" s="40">
        <f>IF110</f>
        <v>2013</v>
      </c>
      <c r="AM110" s="40">
        <f>IM110</f>
        <v>2014</v>
      </c>
      <c r="AN110" s="40">
        <f>IT110</f>
        <v>2015</v>
      </c>
      <c r="AO110" s="40">
        <f>JA110</f>
        <v>2016</v>
      </c>
      <c r="AP110" s="40">
        <f>JH110</f>
        <v>2017</v>
      </c>
      <c r="AQ110" s="40">
        <f>JO110</f>
        <v>2018</v>
      </c>
      <c r="AR110" s="40">
        <f>JV110</f>
        <v>2019</v>
      </c>
      <c r="AS110" s="40">
        <f>KC110</f>
        <v>2020</v>
      </c>
      <c r="AT110" s="40">
        <f>KJ110</f>
        <v>2021</v>
      </c>
      <c r="AU110" s="40">
        <f>KQ110</f>
        <v>2022</v>
      </c>
      <c r="AV110" s="40">
        <f>KX110</f>
        <v>2023</v>
      </c>
      <c r="AW110" s="40">
        <f>LE110</f>
        <v>2024</v>
      </c>
      <c r="AX110" s="40">
        <f>LL110</f>
        <v>2025</v>
      </c>
      <c r="AY110" s="40" t="str">
        <f>LS110</f>
        <v>2026E</v>
      </c>
      <c r="AZ110" s="40" t="str">
        <f>LZ110</f>
        <v>2027E</v>
      </c>
      <c r="BA110" s="40" t="str">
        <f>MG110</f>
        <v>2028E</v>
      </c>
      <c r="BB110" s="40"/>
      <c r="BC110" s="40"/>
      <c r="BD110" s="40"/>
      <c r="BE110" s="40"/>
      <c r="BF110" s="40"/>
      <c r="BG110" s="40"/>
      <c r="BH110" s="40"/>
      <c r="BI110" s="40"/>
      <c r="BJ110" s="40"/>
      <c r="BK110" s="40"/>
      <c r="BL110" s="40"/>
      <c r="BM110" s="40"/>
      <c r="BO110" s="39" t="s">
        <v>434</v>
      </c>
      <c r="BP110" s="40" t="str">
        <f>CSX!BR4</f>
        <v>1Q89</v>
      </c>
      <c r="BQ110" s="40" t="str">
        <f>CSX!BS4</f>
        <v>2Q89</v>
      </c>
      <c r="BR110" s="40" t="str">
        <f>CSX!BT4</f>
        <v>3Q89</v>
      </c>
      <c r="BS110" s="40" t="str">
        <f>CSX!BU4</f>
        <v>4Q89</v>
      </c>
      <c r="BT110" s="40">
        <f>CSX!BV4</f>
        <v>1989</v>
      </c>
      <c r="BV110" s="39" t="s">
        <v>434</v>
      </c>
      <c r="BW110" s="40" t="str">
        <f>CSX!BY4</f>
        <v>1Q90</v>
      </c>
      <c r="BX110" s="40" t="str">
        <f>CSX!BZ4</f>
        <v>2Q90</v>
      </c>
      <c r="BY110" s="40" t="str">
        <f>CSX!CA4</f>
        <v>3Q90</v>
      </c>
      <c r="BZ110" s="40" t="str">
        <f>CSX!CB4</f>
        <v>4Q90</v>
      </c>
      <c r="CA110" s="40">
        <f>CSX!CC4</f>
        <v>1990</v>
      </c>
      <c r="CC110" s="39" t="s">
        <v>434</v>
      </c>
      <c r="CD110" s="40" t="str">
        <f>CSX!CF4</f>
        <v>1Q91</v>
      </c>
      <c r="CE110" s="40" t="str">
        <f>CSX!CG4</f>
        <v>2Q91</v>
      </c>
      <c r="CF110" s="40" t="str">
        <f>CSX!CH4</f>
        <v>3Q91</v>
      </c>
      <c r="CG110" s="40" t="str">
        <f>CSX!CI4</f>
        <v>4Q91</v>
      </c>
      <c r="CH110" s="40">
        <f>CSX!CJ4</f>
        <v>1991</v>
      </c>
      <c r="CJ110" s="39" t="s">
        <v>434</v>
      </c>
      <c r="CK110" s="40" t="str">
        <f>CSX!CM4</f>
        <v>1Q92</v>
      </c>
      <c r="CL110" s="40" t="str">
        <f>CSX!CN4</f>
        <v>2Q92</v>
      </c>
      <c r="CM110" s="40" t="str">
        <f>CSX!CO4</f>
        <v>3Q92</v>
      </c>
      <c r="CN110" s="40" t="str">
        <f>CSX!CP4</f>
        <v>4Q92</v>
      </c>
      <c r="CO110" s="40">
        <f>CSX!CQ4</f>
        <v>1992</v>
      </c>
      <c r="CQ110" s="39" t="s">
        <v>434</v>
      </c>
      <c r="CR110" s="40" t="str">
        <f>CSX!CT4</f>
        <v>1Q93</v>
      </c>
      <c r="CS110" s="40" t="str">
        <f>CSX!CU4</f>
        <v>2Q93</v>
      </c>
      <c r="CT110" s="40" t="str">
        <f>CSX!CV4</f>
        <v>3Q93</v>
      </c>
      <c r="CU110" s="40" t="str">
        <f>CSX!CW4</f>
        <v>4Q93</v>
      </c>
      <c r="CV110" s="40">
        <f>CSX!CX4</f>
        <v>1993</v>
      </c>
      <c r="CX110" s="39" t="s">
        <v>434</v>
      </c>
      <c r="CY110" s="40" t="str">
        <f>CSX!DA4</f>
        <v>1Q94</v>
      </c>
      <c r="CZ110" s="40" t="str">
        <f>CSX!DB4</f>
        <v>2Q94</v>
      </c>
      <c r="DA110" s="40" t="str">
        <f>CSX!DC4</f>
        <v>3Q94</v>
      </c>
      <c r="DB110" s="40" t="str">
        <f>CSX!DD4</f>
        <v>4Q94</v>
      </c>
      <c r="DC110" s="40">
        <f>CSX!DE4</f>
        <v>1994</v>
      </c>
      <c r="DE110" s="39" t="s">
        <v>434</v>
      </c>
      <c r="DF110" s="40" t="str">
        <f>CSX!DH4</f>
        <v>1Q95</v>
      </c>
      <c r="DG110" s="40" t="str">
        <f>CSX!DI4</f>
        <v>2Q95</v>
      </c>
      <c r="DH110" s="40" t="str">
        <f>CSX!DJ4</f>
        <v>3Q95</v>
      </c>
      <c r="DI110" s="40" t="str">
        <f>CSX!DK4</f>
        <v>4Q95</v>
      </c>
      <c r="DJ110" s="40">
        <f>CSX!DL4</f>
        <v>1995</v>
      </c>
      <c r="DL110" s="39" t="s">
        <v>434</v>
      </c>
      <c r="DM110" s="40" t="str">
        <f>CSX!DO4</f>
        <v>1Q96</v>
      </c>
      <c r="DN110" s="40" t="str">
        <f>CSX!DP4</f>
        <v>2Q96</v>
      </c>
      <c r="DO110" s="40" t="str">
        <f>CSX!DQ4</f>
        <v>3Q96</v>
      </c>
      <c r="DP110" s="40" t="str">
        <f>CSX!DR4</f>
        <v>4Q96</v>
      </c>
      <c r="DQ110" s="40">
        <f>CSX!DS4</f>
        <v>1996</v>
      </c>
      <c r="DS110" s="39" t="s">
        <v>434</v>
      </c>
      <c r="DT110" s="40" t="str">
        <f>CSX!DV4</f>
        <v>1Q97</v>
      </c>
      <c r="DU110" s="40" t="str">
        <f>CSX!DW4</f>
        <v>2Q97</v>
      </c>
      <c r="DV110" s="40" t="str">
        <f>CSX!DX4</f>
        <v>3Q97</v>
      </c>
      <c r="DW110" s="40" t="str">
        <f>CSX!DY4</f>
        <v>4Q97</v>
      </c>
      <c r="DX110" s="40">
        <f>CSX!DZ4</f>
        <v>1997</v>
      </c>
      <c r="DZ110" s="39" t="s">
        <v>434</v>
      </c>
      <c r="EA110" s="40" t="str">
        <f>CSX!EC4</f>
        <v>1Q98</v>
      </c>
      <c r="EB110" s="40" t="str">
        <f>CSX!ED4</f>
        <v>2Q98</v>
      </c>
      <c r="EC110" s="40" t="str">
        <f>CSX!EE4</f>
        <v>3Q98</v>
      </c>
      <c r="ED110" s="40" t="str">
        <f>CSX!EF4</f>
        <v>4Q98</v>
      </c>
      <c r="EE110" s="40">
        <f>CSX!EG4</f>
        <v>1998</v>
      </c>
      <c r="EG110" s="39" t="s">
        <v>434</v>
      </c>
      <c r="EH110" s="40" t="str">
        <f>CSX!EJ4</f>
        <v>1Q99</v>
      </c>
      <c r="EI110" s="40" t="str">
        <f>CSX!EK4</f>
        <v>2Q99</v>
      </c>
      <c r="EJ110" s="40" t="str">
        <f>CSX!EL4</f>
        <v>3Q99</v>
      </c>
      <c r="EK110" s="40" t="str">
        <f>CSX!EM4</f>
        <v>4Q99</v>
      </c>
      <c r="EL110" s="40">
        <f>CSX!EN4</f>
        <v>1999</v>
      </c>
      <c r="EN110" s="39" t="s">
        <v>434</v>
      </c>
      <c r="EO110" s="40" t="str">
        <f>CSX!EQ4</f>
        <v>1Q00</v>
      </c>
      <c r="EP110" s="40" t="str">
        <f>CSX!ER4</f>
        <v>2Q00</v>
      </c>
      <c r="EQ110" s="40" t="str">
        <f>CSX!ES4</f>
        <v>3Q00</v>
      </c>
      <c r="ER110" s="40" t="str">
        <f>CSX!ET4</f>
        <v>4Q00</v>
      </c>
      <c r="ES110" s="40">
        <f>CSX!EU4</f>
        <v>2000</v>
      </c>
      <c r="EU110" s="39" t="s">
        <v>434</v>
      </c>
      <c r="EV110" s="40" t="str">
        <f>CSX!EX4</f>
        <v>1Q01</v>
      </c>
      <c r="EW110" s="40" t="str">
        <f>CSX!EY4</f>
        <v>2Q01</v>
      </c>
      <c r="EX110" s="40" t="str">
        <f>CSX!EZ4</f>
        <v>3Q01</v>
      </c>
      <c r="EY110" s="40" t="str">
        <f>CSX!FA4</f>
        <v>4Q01</v>
      </c>
      <c r="EZ110" s="40">
        <f>CSX!FB4</f>
        <v>2001</v>
      </c>
      <c r="FB110" s="39" t="s">
        <v>434</v>
      </c>
      <c r="FC110" s="40" t="str">
        <f>CSX!FE4</f>
        <v>1Q02</v>
      </c>
      <c r="FD110" s="40" t="str">
        <f>CSX!FF4</f>
        <v>2Q02</v>
      </c>
      <c r="FE110" s="40" t="str">
        <f>CSX!FG4</f>
        <v>3Q02</v>
      </c>
      <c r="FF110" s="40" t="str">
        <f>CSX!FH4</f>
        <v>4Q02</v>
      </c>
      <c r="FG110" s="40">
        <f>CSX!FI4</f>
        <v>2002</v>
      </c>
      <c r="FI110" s="39" t="s">
        <v>434</v>
      </c>
      <c r="FJ110" s="40" t="str">
        <f>CSX!FL4</f>
        <v>1Q03</v>
      </c>
      <c r="FK110" s="40" t="str">
        <f>CSX!FM4</f>
        <v>2Q03</v>
      </c>
      <c r="FL110" s="40" t="str">
        <f>CSX!FN4</f>
        <v>3Q03</v>
      </c>
      <c r="FM110" s="40" t="str">
        <f>CSX!FO4</f>
        <v>4Q03</v>
      </c>
      <c r="FN110" s="40">
        <f>CSX!FP4</f>
        <v>2003</v>
      </c>
      <c r="FP110" s="39" t="s">
        <v>434</v>
      </c>
      <c r="FQ110" s="40" t="str">
        <f>CSX!FS4</f>
        <v>1Q04</v>
      </c>
      <c r="FR110" s="40" t="str">
        <f>CSX!FT4</f>
        <v>2Q04</v>
      </c>
      <c r="FS110" s="40" t="str">
        <f>CSX!FU4</f>
        <v>3Q04</v>
      </c>
      <c r="FT110" s="40" t="str">
        <f>CSX!FV4</f>
        <v>4Q04</v>
      </c>
      <c r="FU110" s="40">
        <f>CSX!FW4</f>
        <v>2004</v>
      </c>
      <c r="FW110" s="39" t="s">
        <v>434</v>
      </c>
      <c r="FX110" s="40" t="str">
        <f>CSX!FZ4</f>
        <v>1Q05</v>
      </c>
      <c r="FY110" s="40" t="str">
        <f>CSX!GA4</f>
        <v>2Q05</v>
      </c>
      <c r="FZ110" s="40" t="str">
        <f>CSX!GB4</f>
        <v>3Q05</v>
      </c>
      <c r="GA110" s="40" t="str">
        <f>CSX!GC4</f>
        <v>4Q05</v>
      </c>
      <c r="GB110" s="40">
        <f>CSX!GD4</f>
        <v>2005</v>
      </c>
      <c r="GD110" s="39" t="s">
        <v>434</v>
      </c>
      <c r="GE110" s="40" t="str">
        <f>CSX!GG4</f>
        <v>1Q06</v>
      </c>
      <c r="GF110" s="40" t="str">
        <f>CSX!GH4</f>
        <v>2Q06</v>
      </c>
      <c r="GG110" s="40" t="str">
        <f>CSX!GI4</f>
        <v>3Q06</v>
      </c>
      <c r="GH110" s="40" t="str">
        <f>CSX!GJ4</f>
        <v>4Q06</v>
      </c>
      <c r="GI110" s="40">
        <f>CSX!GK4</f>
        <v>2006</v>
      </c>
      <c r="GK110" s="39" t="s">
        <v>434</v>
      </c>
      <c r="GL110" s="40" t="str">
        <f>CSX!GN4</f>
        <v>1Q07</v>
      </c>
      <c r="GM110" s="40" t="str">
        <f>CSX!GO4</f>
        <v>2Q07</v>
      </c>
      <c r="GN110" s="40" t="str">
        <f>CSX!GP4</f>
        <v>3Q07</v>
      </c>
      <c r="GO110" s="40" t="str">
        <f>CSX!GQ4</f>
        <v>4Q07</v>
      </c>
      <c r="GP110" s="40">
        <f>CSX!GR4</f>
        <v>2007</v>
      </c>
      <c r="GR110" s="39" t="s">
        <v>434</v>
      </c>
      <c r="GS110" s="40" t="str">
        <f>CSX!GU4</f>
        <v>1Q08</v>
      </c>
      <c r="GT110" s="40" t="str">
        <f>CSX!GV4</f>
        <v>2Q08</v>
      </c>
      <c r="GU110" s="40" t="str">
        <f>CSX!GW4</f>
        <v>3Q08</v>
      </c>
      <c r="GV110" s="40" t="str">
        <f>CSX!GX4</f>
        <v>4Q08</v>
      </c>
      <c r="GW110" s="40">
        <f>CSX!GY4</f>
        <v>2008</v>
      </c>
      <c r="GY110" s="39" t="s">
        <v>434</v>
      </c>
      <c r="GZ110" s="40" t="str">
        <f>CSX!HB4</f>
        <v>1Q09</v>
      </c>
      <c r="HA110" s="40" t="str">
        <f>CSX!HC4</f>
        <v>2Q09</v>
      </c>
      <c r="HB110" s="40" t="str">
        <f>CSX!HD4</f>
        <v>3Q09</v>
      </c>
      <c r="HC110" s="40" t="str">
        <f>CSX!HE4</f>
        <v>4Q09</v>
      </c>
      <c r="HD110" s="40">
        <f>CSX!HF4</f>
        <v>2009</v>
      </c>
      <c r="HF110" s="39" t="s">
        <v>434</v>
      </c>
      <c r="HG110" s="40" t="str">
        <f>CSX!HI4</f>
        <v>1Q10</v>
      </c>
      <c r="HH110" s="40" t="str">
        <f>CSX!HJ4</f>
        <v>2Q10</v>
      </c>
      <c r="HI110" s="40" t="str">
        <f>CSX!HK4</f>
        <v>3Q10</v>
      </c>
      <c r="HJ110" s="40" t="str">
        <f>CSX!HL4</f>
        <v>4Q10</v>
      </c>
      <c r="HK110" s="40">
        <f>CSX!HM4</f>
        <v>2010</v>
      </c>
      <c r="HM110" s="39" t="s">
        <v>434</v>
      </c>
      <c r="HN110" s="40" t="str">
        <f>CSX!HP4</f>
        <v>1Q11</v>
      </c>
      <c r="HO110" s="40" t="str">
        <f>CSX!HQ4</f>
        <v>2Q11</v>
      </c>
      <c r="HP110" s="40" t="str">
        <f>CSX!HR4</f>
        <v>3Q11</v>
      </c>
      <c r="HQ110" s="40" t="str">
        <f>CSX!HS4</f>
        <v>4Q11</v>
      </c>
      <c r="HR110" s="40">
        <f>CSX!HT4</f>
        <v>2011</v>
      </c>
      <c r="HT110" s="39" t="s">
        <v>434</v>
      </c>
      <c r="HU110" s="40" t="str">
        <f>CSX!HW4</f>
        <v>1Q12</v>
      </c>
      <c r="HV110" s="40" t="str">
        <f>CSX!HX4</f>
        <v>2Q12</v>
      </c>
      <c r="HW110" s="40" t="str">
        <f>CSX!HY4</f>
        <v>3Q12</v>
      </c>
      <c r="HX110" s="40" t="str">
        <f>CSX!HZ4</f>
        <v>4Q12</v>
      </c>
      <c r="HY110" s="40">
        <f>CSX!IA4</f>
        <v>2012</v>
      </c>
      <c r="IA110" s="39" t="s">
        <v>434</v>
      </c>
      <c r="IB110" s="40" t="str">
        <f>CSX!ID4</f>
        <v>1Q13</v>
      </c>
      <c r="IC110" s="40" t="str">
        <f>CSX!IE4</f>
        <v>2Q13</v>
      </c>
      <c r="ID110" s="40" t="str">
        <f>CSX!IF4</f>
        <v>3Q13</v>
      </c>
      <c r="IE110" s="40" t="str">
        <f>CSX!IG4</f>
        <v>4Q13</v>
      </c>
      <c r="IF110" s="40">
        <f>CSX!IH4</f>
        <v>2013</v>
      </c>
      <c r="IH110" s="39" t="s">
        <v>434</v>
      </c>
      <c r="II110" s="40" t="str">
        <f>CSX!IK4</f>
        <v>1Q14</v>
      </c>
      <c r="IJ110" s="40" t="str">
        <f>CSX!IL4</f>
        <v>2Q14</v>
      </c>
      <c r="IK110" s="40" t="str">
        <f>CSX!IM4</f>
        <v>3Q14</v>
      </c>
      <c r="IL110" s="40" t="str">
        <f>CSX!IN4</f>
        <v>4Q14</v>
      </c>
      <c r="IM110" s="40">
        <f>CSX!IO4</f>
        <v>2014</v>
      </c>
      <c r="IO110" s="39" t="s">
        <v>434</v>
      </c>
      <c r="IP110" s="40" t="str">
        <f>CSX!IR4</f>
        <v>1Q15</v>
      </c>
      <c r="IQ110" s="40" t="str">
        <f>CSX!IS4</f>
        <v>2Q15</v>
      </c>
      <c r="IR110" s="40" t="str">
        <f>CSX!IT4</f>
        <v>3Q15</v>
      </c>
      <c r="IS110" s="40" t="str">
        <f>CSX!IU4</f>
        <v>4Q15</v>
      </c>
      <c r="IT110" s="40">
        <f>CSX!IV4</f>
        <v>2015</v>
      </c>
      <c r="IV110" s="39" t="s">
        <v>434</v>
      </c>
      <c r="IW110" s="40" t="str">
        <f>CSX!IY4</f>
        <v>1Q16</v>
      </c>
      <c r="IX110" s="40" t="str">
        <f>CSX!IZ4</f>
        <v>2Q16</v>
      </c>
      <c r="IY110" s="40" t="str">
        <f>CSX!JA4</f>
        <v>3Q16</v>
      </c>
      <c r="IZ110" s="40" t="str">
        <f>CSX!JB4</f>
        <v>4Q16</v>
      </c>
      <c r="JA110" s="40">
        <f>CSX!JC4</f>
        <v>2016</v>
      </c>
      <c r="JC110" s="39" t="s">
        <v>434</v>
      </c>
      <c r="JD110" s="40" t="str">
        <f>CSX!JF4</f>
        <v>1Q17</v>
      </c>
      <c r="JE110" s="40" t="str">
        <f>CSX!JG4</f>
        <v>2Q17</v>
      </c>
      <c r="JF110" s="40" t="str">
        <f>CSX!JH4</f>
        <v>3Q17</v>
      </c>
      <c r="JG110" s="40" t="str">
        <f>CSX!JI4</f>
        <v>4Q17</v>
      </c>
      <c r="JH110" s="40">
        <f>CSX!JJ4</f>
        <v>2017</v>
      </c>
      <c r="JJ110" s="39" t="s">
        <v>434</v>
      </c>
      <c r="JK110" s="40" t="str">
        <f>CSX!JM4</f>
        <v>1Q18</v>
      </c>
      <c r="JL110" s="40" t="str">
        <f>CSX!JN4</f>
        <v>2Q18</v>
      </c>
      <c r="JM110" s="40" t="str">
        <f>CSX!JO4</f>
        <v>3Q18</v>
      </c>
      <c r="JN110" s="40" t="str">
        <f>CSX!JP4</f>
        <v>4Q18</v>
      </c>
      <c r="JO110" s="40">
        <f>CSX!JQ4</f>
        <v>2018</v>
      </c>
      <c r="JQ110" s="39" t="s">
        <v>434</v>
      </c>
      <c r="JR110" s="40" t="str">
        <f>CSX!JT4</f>
        <v>1Q19</v>
      </c>
      <c r="JS110" s="40" t="str">
        <f>CSX!JU4</f>
        <v>2Q19</v>
      </c>
      <c r="JT110" s="40" t="str">
        <f>CSX!JV4</f>
        <v>3Q19</v>
      </c>
      <c r="JU110" s="40" t="str">
        <f>CSX!JW4</f>
        <v>4Q19</v>
      </c>
      <c r="JV110" s="40">
        <f>CSX!JX4</f>
        <v>2019</v>
      </c>
      <c r="JX110" s="39" t="s">
        <v>434</v>
      </c>
      <c r="JY110" s="40" t="str">
        <f>CSX!KA4</f>
        <v>1Q20</v>
      </c>
      <c r="JZ110" s="40" t="str">
        <f>CSX!KB4</f>
        <v>2Q20</v>
      </c>
      <c r="KA110" s="40" t="str">
        <f>CSX!KC4</f>
        <v>3Q20</v>
      </c>
      <c r="KB110" s="40" t="str">
        <f>CSX!KD4</f>
        <v>4Q20</v>
      </c>
      <c r="KC110" s="40">
        <f>CSX!KE4</f>
        <v>2020</v>
      </c>
      <c r="KE110" s="39" t="s">
        <v>434</v>
      </c>
      <c r="KF110" s="40" t="str">
        <f>CSX!KH4</f>
        <v>1Q21</v>
      </c>
      <c r="KG110" s="40" t="str">
        <f>CSX!KI4</f>
        <v>2Q21</v>
      </c>
      <c r="KH110" s="40" t="str">
        <f>CSX!KJ4</f>
        <v>3Q21</v>
      </c>
      <c r="KI110" s="40" t="str">
        <f>CSX!KK4</f>
        <v>4Q21</v>
      </c>
      <c r="KJ110" s="40">
        <f>CSX!KL4</f>
        <v>2021</v>
      </c>
      <c r="KL110" s="39" t="s">
        <v>434</v>
      </c>
      <c r="KM110" s="40" t="str">
        <f>CSX!KO4</f>
        <v>1Q22</v>
      </c>
      <c r="KN110" s="40" t="str">
        <f>CSX!KP4</f>
        <v>2Q22</v>
      </c>
      <c r="KO110" s="40" t="str">
        <f>CSX!KQ4</f>
        <v>3Q22</v>
      </c>
      <c r="KP110" s="40" t="str">
        <f>CSX!KR4</f>
        <v>4Q22</v>
      </c>
      <c r="KQ110" s="40">
        <f>CSX!KS4</f>
        <v>2022</v>
      </c>
      <c r="KS110" s="39" t="s">
        <v>434</v>
      </c>
      <c r="KT110" s="40" t="str">
        <f>CSX!KV4</f>
        <v>1Q23</v>
      </c>
      <c r="KU110" s="40" t="str">
        <f>CSX!KW4</f>
        <v>2Q23</v>
      </c>
      <c r="KV110" s="40" t="str">
        <f>CSX!KX4</f>
        <v>3Q23</v>
      </c>
      <c r="KW110" s="40" t="str">
        <f>CSX!KY4</f>
        <v>4Q23</v>
      </c>
      <c r="KX110" s="40">
        <f>CSX!KZ4</f>
        <v>2023</v>
      </c>
      <c r="KZ110" s="627" t="s">
        <v>434</v>
      </c>
      <c r="LA110" s="47" t="str">
        <f>CSX!LC4</f>
        <v>1Q24</v>
      </c>
      <c r="LB110" s="47" t="str">
        <f>CSX!LD4</f>
        <v>2Q24</v>
      </c>
      <c r="LC110" s="47" t="str">
        <f>CSX!LE4</f>
        <v>3Q24</v>
      </c>
      <c r="LD110" s="47" t="str">
        <f>CSX!LF4</f>
        <v>4Q24</v>
      </c>
      <c r="LE110" s="47">
        <f>CSX!LG4</f>
        <v>2024</v>
      </c>
      <c r="LF110" s="546"/>
      <c r="LG110" s="627" t="s">
        <v>434</v>
      </c>
      <c r="LH110" s="47" t="str">
        <f>CSX!LJ4</f>
        <v>1Q25</v>
      </c>
      <c r="LI110" s="47" t="str">
        <f>CSX!LK4</f>
        <v>2Q25</v>
      </c>
      <c r="LJ110" s="47" t="str">
        <f>CSX!LL4</f>
        <v>3Q25</v>
      </c>
      <c r="LK110" s="47" t="str">
        <f>CSX!LM4</f>
        <v>4Q25</v>
      </c>
      <c r="LL110" s="47">
        <f>CSX!LN4</f>
        <v>2025</v>
      </c>
      <c r="LM110" s="546"/>
      <c r="LN110" s="627" t="s">
        <v>434</v>
      </c>
      <c r="LO110" s="47" t="str">
        <f>CSX!LQ4</f>
        <v>1Q26E</v>
      </c>
      <c r="LP110" s="47" t="str">
        <f>CSX!LR4</f>
        <v>2Q26E</v>
      </c>
      <c r="LQ110" s="47" t="str">
        <f>CSX!LS4</f>
        <v>3Q26E</v>
      </c>
      <c r="LR110" s="47" t="str">
        <f>CSX!LT4</f>
        <v>4Q26E</v>
      </c>
      <c r="LS110" s="47" t="str">
        <f>CSX!LU4</f>
        <v>2026E</v>
      </c>
      <c r="LT110" s="546"/>
      <c r="LU110" s="627" t="s">
        <v>434</v>
      </c>
      <c r="LV110" s="47" t="str">
        <f>CSX!LX4</f>
        <v>1Q27E</v>
      </c>
      <c r="LW110" s="47" t="str">
        <f>CSX!LY4</f>
        <v>2Q27E</v>
      </c>
      <c r="LX110" s="47" t="str">
        <f>CSX!LZ4</f>
        <v>3Q27E</v>
      </c>
      <c r="LY110" s="47" t="str">
        <f>CSX!MA4</f>
        <v>4Q27E</v>
      </c>
      <c r="LZ110" s="47" t="str">
        <f>CSX!MB4</f>
        <v>2027E</v>
      </c>
      <c r="MA110" s="546"/>
      <c r="MB110" s="627" t="s">
        <v>434</v>
      </c>
      <c r="MC110" s="47" t="str">
        <f>CSX!ME4</f>
        <v>1Q28E</v>
      </c>
      <c r="MD110" s="47" t="str">
        <f>CSX!MF4</f>
        <v>2Q28E</v>
      </c>
      <c r="ME110" s="47" t="str">
        <f>CSX!MG4</f>
        <v>3Q28E</v>
      </c>
      <c r="MF110" s="47" t="str">
        <f>CSX!MH4</f>
        <v>4Q28E</v>
      </c>
      <c r="MG110" s="47" t="str">
        <f>CSX!MI4</f>
        <v>2028E</v>
      </c>
      <c r="MH110" s="546"/>
    </row>
    <row r="111" spans="1:346" s="37" customFormat="1" ht="13.15" x14ac:dyDescent="0.4">
      <c r="A111" s="46"/>
      <c r="B111" s="42" t="s">
        <v>430</v>
      </c>
      <c r="C111" s="43"/>
      <c r="D111" s="43"/>
      <c r="E111" s="43"/>
      <c r="F111" s="43"/>
      <c r="G111" s="43"/>
      <c r="H111" s="43"/>
      <c r="I111" s="43"/>
      <c r="J111" s="43"/>
      <c r="K111" s="43"/>
      <c r="L111" s="43"/>
      <c r="M111" s="43"/>
      <c r="N111" s="43" t="str">
        <f>BT111</f>
        <v>FY</v>
      </c>
      <c r="O111" s="43" t="str">
        <f>CA111</f>
        <v>FY</v>
      </c>
      <c r="P111" s="43" t="str">
        <f>CH111</f>
        <v>FY</v>
      </c>
      <c r="Q111" s="43" t="str">
        <f>CO111</f>
        <v>FY</v>
      </c>
      <c r="R111" s="43" t="str">
        <f>CV111</f>
        <v>FY</v>
      </c>
      <c r="S111" s="43" t="str">
        <f>DC111</f>
        <v>FY</v>
      </c>
      <c r="T111" s="43" t="str">
        <f>DJ111</f>
        <v>FY</v>
      </c>
      <c r="U111" s="43" t="str">
        <f>DQ111</f>
        <v>FY</v>
      </c>
      <c r="V111" s="43" t="str">
        <f>DX111</f>
        <v>FY</v>
      </c>
      <c r="W111" s="43" t="str">
        <f>EE111</f>
        <v>FY</v>
      </c>
      <c r="X111" s="43" t="str">
        <f>EL111</f>
        <v>FY</v>
      </c>
      <c r="Y111" s="43" t="str">
        <f>ES111</f>
        <v>FY</v>
      </c>
      <c r="Z111" s="43" t="str">
        <f>EZ111</f>
        <v>FY</v>
      </c>
      <c r="AA111" s="43" t="str">
        <f>FG111</f>
        <v>FY</v>
      </c>
      <c r="AB111" s="43" t="str">
        <f>FN111</f>
        <v>FY</v>
      </c>
      <c r="AC111" s="43" t="str">
        <f>FU111</f>
        <v>FY</v>
      </c>
      <c r="AD111" s="43" t="str">
        <f>GB111</f>
        <v>FY</v>
      </c>
      <c r="AE111" s="43" t="str">
        <f>GI111</f>
        <v>FY</v>
      </c>
      <c r="AF111" s="43" t="str">
        <f>GP111</f>
        <v>FY</v>
      </c>
      <c r="AG111" s="43" t="str">
        <f>GW111</f>
        <v>FY</v>
      </c>
      <c r="AH111" s="43" t="str">
        <f>HD111</f>
        <v>FY</v>
      </c>
      <c r="AI111" s="43" t="str">
        <f>HK111</f>
        <v>FY</v>
      </c>
      <c r="AJ111" s="43" t="str">
        <f>HR111</f>
        <v>FY</v>
      </c>
      <c r="AK111" s="43" t="str">
        <f>HY111</f>
        <v>FY</v>
      </c>
      <c r="AL111" s="43" t="str">
        <f>IF111</f>
        <v>FY</v>
      </c>
      <c r="AM111" s="43" t="str">
        <f>IM111</f>
        <v>FY</v>
      </c>
      <c r="AN111" s="43" t="str">
        <f>IT111</f>
        <v>FY</v>
      </c>
      <c r="AO111" s="43" t="str">
        <f>JA111</f>
        <v>FY</v>
      </c>
      <c r="AP111" s="43" t="str">
        <f>JH111</f>
        <v>FY</v>
      </c>
      <c r="AQ111" s="43" t="str">
        <f>JO111</f>
        <v>FY</v>
      </c>
      <c r="AR111" s="43" t="str">
        <f>JV111</f>
        <v>FY</v>
      </c>
      <c r="AS111" s="43" t="str">
        <f>KC111</f>
        <v>FY</v>
      </c>
      <c r="AT111" s="43" t="str">
        <f>KJ111</f>
        <v>FY</v>
      </c>
      <c r="AU111" s="43" t="str">
        <f>KQ111</f>
        <v>FY</v>
      </c>
      <c r="AV111" s="43" t="str">
        <f>KX111</f>
        <v>FY</v>
      </c>
      <c r="AW111" s="43" t="str">
        <f>LE111</f>
        <v>FY</v>
      </c>
      <c r="AX111" s="43" t="str">
        <f>LL111</f>
        <v>FY</v>
      </c>
      <c r="AY111" s="43" t="str">
        <f>LS111</f>
        <v>FY</v>
      </c>
      <c r="AZ111" s="43" t="str">
        <f>LZ111</f>
        <v>FY</v>
      </c>
      <c r="BA111" s="43" t="str">
        <f>MG111</f>
        <v>FY</v>
      </c>
      <c r="BB111" s="43"/>
      <c r="BC111" s="43"/>
      <c r="BD111" s="43"/>
      <c r="BE111" s="43"/>
      <c r="BF111" s="43"/>
      <c r="BG111" s="43"/>
      <c r="BH111" s="43"/>
      <c r="BI111" s="43"/>
      <c r="BJ111" s="43"/>
      <c r="BK111" s="43"/>
      <c r="BL111" s="43"/>
      <c r="BM111" s="43"/>
      <c r="BO111" s="42" t="s">
        <v>430</v>
      </c>
      <c r="BP111" s="44">
        <f>CSX!BR5</f>
        <v>32598</v>
      </c>
      <c r="BQ111" s="44">
        <f>CSX!BS5</f>
        <v>32689</v>
      </c>
      <c r="BR111" s="44">
        <f>CSX!BT5</f>
        <v>32781</v>
      </c>
      <c r="BS111" s="44">
        <f>CSX!BU5</f>
        <v>32873</v>
      </c>
      <c r="BT111" s="44" t="str">
        <f>CSX!BV5</f>
        <v>FY</v>
      </c>
      <c r="BV111" s="42" t="s">
        <v>430</v>
      </c>
      <c r="BW111" s="44">
        <f>CSX!BY5</f>
        <v>32963</v>
      </c>
      <c r="BX111" s="44">
        <f>CSX!BZ5</f>
        <v>33054</v>
      </c>
      <c r="BY111" s="44">
        <f>CSX!CA5</f>
        <v>33146</v>
      </c>
      <c r="BZ111" s="44">
        <f>CSX!CB5</f>
        <v>33238</v>
      </c>
      <c r="CA111" s="44" t="str">
        <f>CSX!CC5</f>
        <v>FY</v>
      </c>
      <c r="CC111" s="42" t="s">
        <v>430</v>
      </c>
      <c r="CD111" s="44">
        <f>CSX!CF5</f>
        <v>33328</v>
      </c>
      <c r="CE111" s="44">
        <f>CSX!CG5</f>
        <v>33419</v>
      </c>
      <c r="CF111" s="44">
        <f>CSX!CH5</f>
        <v>33511</v>
      </c>
      <c r="CG111" s="44">
        <f>CSX!CI5</f>
        <v>33603</v>
      </c>
      <c r="CH111" s="44" t="str">
        <f>CSX!CJ5</f>
        <v>FY</v>
      </c>
      <c r="CJ111" s="42" t="s">
        <v>430</v>
      </c>
      <c r="CK111" s="44">
        <f>CSX!CM5</f>
        <v>33694</v>
      </c>
      <c r="CL111" s="44">
        <f>CSX!CN5</f>
        <v>33785</v>
      </c>
      <c r="CM111" s="44">
        <f>CSX!CO5</f>
        <v>33877</v>
      </c>
      <c r="CN111" s="44">
        <f>CSX!CP5</f>
        <v>33969</v>
      </c>
      <c r="CO111" s="44" t="str">
        <f>CSX!CQ5</f>
        <v>FY</v>
      </c>
      <c r="CQ111" s="42" t="s">
        <v>430</v>
      </c>
      <c r="CR111" s="44">
        <f>CSX!CT5</f>
        <v>34059</v>
      </c>
      <c r="CS111" s="44">
        <f>CSX!CU5</f>
        <v>34150</v>
      </c>
      <c r="CT111" s="44">
        <f>CSX!CV5</f>
        <v>34242</v>
      </c>
      <c r="CU111" s="44">
        <f>CSX!CW5</f>
        <v>34334</v>
      </c>
      <c r="CV111" s="44" t="str">
        <f>CSX!CX5</f>
        <v>FY</v>
      </c>
      <c r="CX111" s="42" t="s">
        <v>430</v>
      </c>
      <c r="CY111" s="44">
        <f>CSX!DA5</f>
        <v>34424</v>
      </c>
      <c r="CZ111" s="44">
        <f>CSX!DB5</f>
        <v>34515</v>
      </c>
      <c r="DA111" s="44">
        <f>CSX!DC5</f>
        <v>34607</v>
      </c>
      <c r="DB111" s="44">
        <f>CSX!DD5</f>
        <v>34699</v>
      </c>
      <c r="DC111" s="44" t="str">
        <f>CSX!DE5</f>
        <v>FY</v>
      </c>
      <c r="DE111" s="42" t="s">
        <v>430</v>
      </c>
      <c r="DF111" s="44">
        <f>CSX!DH5</f>
        <v>34789</v>
      </c>
      <c r="DG111" s="44">
        <f>CSX!DI5</f>
        <v>34880</v>
      </c>
      <c r="DH111" s="44">
        <f>CSX!DJ5</f>
        <v>34972</v>
      </c>
      <c r="DI111" s="44">
        <f>CSX!DK5</f>
        <v>35064</v>
      </c>
      <c r="DJ111" s="44" t="str">
        <f>CSX!DL5</f>
        <v>FY</v>
      </c>
      <c r="DL111" s="42" t="s">
        <v>430</v>
      </c>
      <c r="DM111" s="44">
        <f>CSX!DO5</f>
        <v>35155</v>
      </c>
      <c r="DN111" s="44">
        <f>CSX!DP5</f>
        <v>35246</v>
      </c>
      <c r="DO111" s="44">
        <f>CSX!DQ5</f>
        <v>35338</v>
      </c>
      <c r="DP111" s="44">
        <f>CSX!DR5</f>
        <v>35430</v>
      </c>
      <c r="DQ111" s="44" t="str">
        <f>CSX!DS5</f>
        <v>FY</v>
      </c>
      <c r="DS111" s="42" t="s">
        <v>430</v>
      </c>
      <c r="DT111" s="44">
        <f>CSX!DV5</f>
        <v>35520</v>
      </c>
      <c r="DU111" s="44">
        <f>CSX!DW5</f>
        <v>35611</v>
      </c>
      <c r="DV111" s="44">
        <f>CSX!DX5</f>
        <v>35703</v>
      </c>
      <c r="DW111" s="44">
        <f>CSX!DY5</f>
        <v>35795</v>
      </c>
      <c r="DX111" s="44" t="str">
        <f>CSX!DZ5</f>
        <v>FY</v>
      </c>
      <c r="DZ111" s="42" t="s">
        <v>430</v>
      </c>
      <c r="EA111" s="44">
        <f>CSX!EC5</f>
        <v>35885</v>
      </c>
      <c r="EB111" s="44">
        <f>CSX!ED5</f>
        <v>35976</v>
      </c>
      <c r="EC111" s="44">
        <f>CSX!EE5</f>
        <v>36068</v>
      </c>
      <c r="ED111" s="44">
        <f>CSX!EF5</f>
        <v>36160</v>
      </c>
      <c r="EE111" s="44" t="str">
        <f>CSX!EG5</f>
        <v>FY</v>
      </c>
      <c r="EG111" s="42" t="s">
        <v>430</v>
      </c>
      <c r="EH111" s="44">
        <f>CSX!EJ5</f>
        <v>36250</v>
      </c>
      <c r="EI111" s="44">
        <f>CSX!EK5</f>
        <v>36341</v>
      </c>
      <c r="EJ111" s="44">
        <f>CSX!EL5</f>
        <v>36433</v>
      </c>
      <c r="EK111" s="44">
        <f>CSX!EM5</f>
        <v>36525</v>
      </c>
      <c r="EL111" s="44" t="str">
        <f>CSX!EN5</f>
        <v>FY</v>
      </c>
      <c r="EN111" s="42" t="s">
        <v>430</v>
      </c>
      <c r="EO111" s="44">
        <f>CSX!EQ5</f>
        <v>36616</v>
      </c>
      <c r="EP111" s="44">
        <f>CSX!ER5</f>
        <v>36707</v>
      </c>
      <c r="EQ111" s="44">
        <f>CSX!ES5</f>
        <v>36799</v>
      </c>
      <c r="ER111" s="44">
        <f>CSX!ET5</f>
        <v>36891</v>
      </c>
      <c r="ES111" s="44" t="str">
        <f>CSX!EU5</f>
        <v>FY</v>
      </c>
      <c r="EU111" s="42" t="s">
        <v>430</v>
      </c>
      <c r="EV111" s="44">
        <f>CSX!EX5</f>
        <v>36981</v>
      </c>
      <c r="EW111" s="44">
        <f>CSX!EY5</f>
        <v>37072</v>
      </c>
      <c r="EX111" s="44">
        <f>CSX!EZ5</f>
        <v>37164</v>
      </c>
      <c r="EY111" s="44">
        <f>CSX!FA5</f>
        <v>37256</v>
      </c>
      <c r="EZ111" s="44" t="str">
        <f>CSX!FB5</f>
        <v>FY</v>
      </c>
      <c r="FB111" s="42" t="s">
        <v>430</v>
      </c>
      <c r="FC111" s="44">
        <f>CSX!FE5</f>
        <v>37346</v>
      </c>
      <c r="FD111" s="44">
        <f>CSX!FF5</f>
        <v>37437</v>
      </c>
      <c r="FE111" s="44">
        <f>CSX!FG5</f>
        <v>37529</v>
      </c>
      <c r="FF111" s="44">
        <f>CSX!FH5</f>
        <v>37621</v>
      </c>
      <c r="FG111" s="44" t="str">
        <f>CSX!FI5</f>
        <v>FY</v>
      </c>
      <c r="FI111" s="42" t="s">
        <v>430</v>
      </c>
      <c r="FJ111" s="44">
        <f>CSX!FL5</f>
        <v>37711</v>
      </c>
      <c r="FK111" s="44">
        <f>CSX!FM5</f>
        <v>37802</v>
      </c>
      <c r="FL111" s="44">
        <f>CSX!FN5</f>
        <v>37894</v>
      </c>
      <c r="FM111" s="44">
        <f>CSX!FO5</f>
        <v>37986</v>
      </c>
      <c r="FN111" s="44" t="str">
        <f>CSX!FP5</f>
        <v>FY</v>
      </c>
      <c r="FP111" s="42" t="s">
        <v>430</v>
      </c>
      <c r="FQ111" s="44">
        <f>CSX!FS5</f>
        <v>38077</v>
      </c>
      <c r="FR111" s="44">
        <f>CSX!FT5</f>
        <v>38168</v>
      </c>
      <c r="FS111" s="44">
        <f>CSX!FU5</f>
        <v>38260</v>
      </c>
      <c r="FT111" s="44">
        <f>CSX!FV5</f>
        <v>38352</v>
      </c>
      <c r="FU111" s="44" t="str">
        <f>CSX!FW5</f>
        <v>FY</v>
      </c>
      <c r="FW111" s="42" t="s">
        <v>430</v>
      </c>
      <c r="FX111" s="44">
        <f>CSX!FZ5</f>
        <v>38442</v>
      </c>
      <c r="FY111" s="44">
        <f>CSX!GA5</f>
        <v>38533</v>
      </c>
      <c r="FZ111" s="44">
        <f>CSX!GB5</f>
        <v>38625</v>
      </c>
      <c r="GA111" s="44">
        <f>CSX!GC5</f>
        <v>38717</v>
      </c>
      <c r="GB111" s="44" t="str">
        <f>CSX!GD5</f>
        <v>FY</v>
      </c>
      <c r="GD111" s="42" t="s">
        <v>430</v>
      </c>
      <c r="GE111" s="44">
        <f>CSX!GG5</f>
        <v>38807</v>
      </c>
      <c r="GF111" s="44">
        <f>CSX!GH5</f>
        <v>38898</v>
      </c>
      <c r="GG111" s="44">
        <f>CSX!GI5</f>
        <v>38990</v>
      </c>
      <c r="GH111" s="44">
        <f>CSX!GJ5</f>
        <v>39082</v>
      </c>
      <c r="GI111" s="44" t="str">
        <f>CSX!GK5</f>
        <v>FY</v>
      </c>
      <c r="GK111" s="42" t="s">
        <v>430</v>
      </c>
      <c r="GL111" s="44">
        <f>CSX!GN5</f>
        <v>39172</v>
      </c>
      <c r="GM111" s="44">
        <f>CSX!GO5</f>
        <v>39263</v>
      </c>
      <c r="GN111" s="44">
        <f>CSX!GP5</f>
        <v>39355</v>
      </c>
      <c r="GO111" s="44">
        <f>CSX!GQ5</f>
        <v>39447</v>
      </c>
      <c r="GP111" s="44" t="str">
        <f>CSX!GR5</f>
        <v>FY</v>
      </c>
      <c r="GR111" s="42" t="s">
        <v>430</v>
      </c>
      <c r="GS111" s="44">
        <f>CSX!GU5</f>
        <v>39538</v>
      </c>
      <c r="GT111" s="44">
        <f>CSX!GV5</f>
        <v>39629</v>
      </c>
      <c r="GU111" s="44">
        <f>CSX!GW5</f>
        <v>39721</v>
      </c>
      <c r="GV111" s="44">
        <f>CSX!GX5</f>
        <v>39813</v>
      </c>
      <c r="GW111" s="44" t="str">
        <f>CSX!GY5</f>
        <v>FY</v>
      </c>
      <c r="GY111" s="42" t="s">
        <v>430</v>
      </c>
      <c r="GZ111" s="44">
        <f>CSX!HB5</f>
        <v>39903</v>
      </c>
      <c r="HA111" s="44">
        <f>CSX!HC5</f>
        <v>39994</v>
      </c>
      <c r="HB111" s="44">
        <f>CSX!HD5</f>
        <v>40086</v>
      </c>
      <c r="HC111" s="44">
        <f>CSX!HE5</f>
        <v>40178</v>
      </c>
      <c r="HD111" s="44" t="str">
        <f>CSX!HF5</f>
        <v>FY</v>
      </c>
      <c r="HF111" s="42" t="s">
        <v>430</v>
      </c>
      <c r="HG111" s="44">
        <f>CSX!HI5</f>
        <v>40268</v>
      </c>
      <c r="HH111" s="44">
        <f>CSX!HJ5</f>
        <v>40359</v>
      </c>
      <c r="HI111" s="44">
        <f>CSX!HK5</f>
        <v>40451</v>
      </c>
      <c r="HJ111" s="44">
        <f>CSX!HL5</f>
        <v>40543</v>
      </c>
      <c r="HK111" s="44" t="str">
        <f>CSX!HM5</f>
        <v>FY</v>
      </c>
      <c r="HM111" s="42" t="s">
        <v>430</v>
      </c>
      <c r="HN111" s="44">
        <f>CSX!HP5</f>
        <v>40633</v>
      </c>
      <c r="HO111" s="44">
        <f>CSX!HQ5</f>
        <v>40724</v>
      </c>
      <c r="HP111" s="44">
        <f>CSX!HR5</f>
        <v>40816</v>
      </c>
      <c r="HQ111" s="44">
        <f>CSX!HS5</f>
        <v>40908</v>
      </c>
      <c r="HR111" s="44" t="str">
        <f>CSX!HT5</f>
        <v>FY</v>
      </c>
      <c r="HT111" s="42" t="s">
        <v>430</v>
      </c>
      <c r="HU111" s="44">
        <f>CSX!HW5</f>
        <v>40999</v>
      </c>
      <c r="HV111" s="44">
        <f>CSX!HX5</f>
        <v>41090</v>
      </c>
      <c r="HW111" s="44">
        <f>CSX!HY5</f>
        <v>41182</v>
      </c>
      <c r="HX111" s="44">
        <f>CSX!HZ5</f>
        <v>41274</v>
      </c>
      <c r="HY111" s="44" t="str">
        <f>CSX!IA5</f>
        <v>FY</v>
      </c>
      <c r="IA111" s="42" t="s">
        <v>430</v>
      </c>
      <c r="IB111" s="44">
        <f>CSX!ID5</f>
        <v>41364</v>
      </c>
      <c r="IC111" s="44">
        <f>CSX!IE5</f>
        <v>41455</v>
      </c>
      <c r="ID111" s="44">
        <f>CSX!IF5</f>
        <v>41547</v>
      </c>
      <c r="IE111" s="44">
        <f>CSX!IG5</f>
        <v>41639</v>
      </c>
      <c r="IF111" s="44" t="str">
        <f>CSX!IH5</f>
        <v>FY</v>
      </c>
      <c r="IH111" s="42" t="s">
        <v>430</v>
      </c>
      <c r="II111" s="44">
        <f>CSX!IK5</f>
        <v>41729</v>
      </c>
      <c r="IJ111" s="44">
        <f>CSX!IL5</f>
        <v>41820</v>
      </c>
      <c r="IK111" s="44">
        <f>CSX!IM5</f>
        <v>41912</v>
      </c>
      <c r="IL111" s="44">
        <f>CSX!IN5</f>
        <v>42004</v>
      </c>
      <c r="IM111" s="44" t="str">
        <f>CSX!IO5</f>
        <v>FY</v>
      </c>
      <c r="IO111" s="42" t="s">
        <v>430</v>
      </c>
      <c r="IP111" s="44">
        <f>CSX!IR5</f>
        <v>42094</v>
      </c>
      <c r="IQ111" s="44">
        <f>CSX!IS5</f>
        <v>42185</v>
      </c>
      <c r="IR111" s="44">
        <f>CSX!IT5</f>
        <v>42277</v>
      </c>
      <c r="IS111" s="44">
        <f>CSX!IU5</f>
        <v>42369</v>
      </c>
      <c r="IT111" s="44" t="str">
        <f>CSX!IV5</f>
        <v>FY</v>
      </c>
      <c r="IV111" s="42" t="s">
        <v>430</v>
      </c>
      <c r="IW111" s="44">
        <f>CSX!IY5</f>
        <v>42460</v>
      </c>
      <c r="IX111" s="44">
        <f>CSX!IZ5</f>
        <v>42551</v>
      </c>
      <c r="IY111" s="44">
        <f>CSX!JA5</f>
        <v>42643</v>
      </c>
      <c r="IZ111" s="44">
        <f>CSX!JB5</f>
        <v>42735</v>
      </c>
      <c r="JA111" s="44" t="str">
        <f>CSX!JC5</f>
        <v>FY</v>
      </c>
      <c r="JC111" s="42" t="s">
        <v>430</v>
      </c>
      <c r="JD111" s="44">
        <f>CSX!JF5</f>
        <v>42825</v>
      </c>
      <c r="JE111" s="44">
        <f>CSX!JG5</f>
        <v>42916</v>
      </c>
      <c r="JF111" s="44">
        <f>CSX!JH5</f>
        <v>43008</v>
      </c>
      <c r="JG111" s="44">
        <f>CSX!JI5</f>
        <v>43100</v>
      </c>
      <c r="JH111" s="44" t="str">
        <f>CSX!JJ5</f>
        <v>FY</v>
      </c>
      <c r="JJ111" s="42" t="s">
        <v>430</v>
      </c>
      <c r="JK111" s="44">
        <f>CSX!JM5</f>
        <v>43190</v>
      </c>
      <c r="JL111" s="44">
        <f>CSX!JN5</f>
        <v>43281</v>
      </c>
      <c r="JM111" s="44">
        <f>CSX!JO5</f>
        <v>43373</v>
      </c>
      <c r="JN111" s="44">
        <f>CSX!JP5</f>
        <v>43465</v>
      </c>
      <c r="JO111" s="44" t="str">
        <f>CSX!JQ5</f>
        <v>FY</v>
      </c>
      <c r="JQ111" s="42" t="s">
        <v>430</v>
      </c>
      <c r="JR111" s="44">
        <f>CSX!JT5</f>
        <v>43555</v>
      </c>
      <c r="JS111" s="44">
        <f>CSX!JU5</f>
        <v>43646</v>
      </c>
      <c r="JT111" s="44">
        <f>CSX!JV5</f>
        <v>43738</v>
      </c>
      <c r="JU111" s="44">
        <f>CSX!JW5</f>
        <v>43830</v>
      </c>
      <c r="JV111" s="44" t="str">
        <f>CSX!JX5</f>
        <v>FY</v>
      </c>
      <c r="JX111" s="42" t="s">
        <v>430</v>
      </c>
      <c r="JY111" s="44">
        <f>CSX!KA5</f>
        <v>43921</v>
      </c>
      <c r="JZ111" s="44">
        <f>CSX!KB5</f>
        <v>44012</v>
      </c>
      <c r="KA111" s="44">
        <f>CSX!KC5</f>
        <v>44104</v>
      </c>
      <c r="KB111" s="44">
        <f>CSX!KD5</f>
        <v>44196</v>
      </c>
      <c r="KC111" s="44" t="str">
        <f>CSX!KE5</f>
        <v>FY</v>
      </c>
      <c r="KE111" s="42" t="s">
        <v>430</v>
      </c>
      <c r="KF111" s="44">
        <f>CSX!KH5</f>
        <v>44286</v>
      </c>
      <c r="KG111" s="44">
        <f>CSX!KI5</f>
        <v>44377</v>
      </c>
      <c r="KH111" s="44">
        <f>CSX!KJ5</f>
        <v>44469</v>
      </c>
      <c r="KI111" s="44">
        <f>CSX!KK5</f>
        <v>44561</v>
      </c>
      <c r="KJ111" s="44" t="str">
        <f>CSX!KL5</f>
        <v>FY</v>
      </c>
      <c r="KL111" s="42" t="s">
        <v>430</v>
      </c>
      <c r="KM111" s="44">
        <f>CSX!KO5</f>
        <v>44651</v>
      </c>
      <c r="KN111" s="44">
        <f>CSX!KP5</f>
        <v>44742</v>
      </c>
      <c r="KO111" s="44">
        <f>CSX!KQ5</f>
        <v>44834</v>
      </c>
      <c r="KP111" s="44">
        <f>CSX!KR5</f>
        <v>44926</v>
      </c>
      <c r="KQ111" s="44" t="str">
        <f>CSX!KS5</f>
        <v>FY</v>
      </c>
      <c r="KS111" s="42" t="s">
        <v>430</v>
      </c>
      <c r="KT111" s="44">
        <f>CSX!KV5</f>
        <v>45016</v>
      </c>
      <c r="KU111" s="44">
        <f>CSX!KW5</f>
        <v>45107</v>
      </c>
      <c r="KV111" s="44">
        <f>CSX!KX5</f>
        <v>45199</v>
      </c>
      <c r="KW111" s="44">
        <f>CSX!KY5</f>
        <v>45291</v>
      </c>
      <c r="KX111" s="44" t="str">
        <f>CSX!KZ5</f>
        <v>FY</v>
      </c>
      <c r="KZ111" s="42" t="s">
        <v>430</v>
      </c>
      <c r="LA111" s="44">
        <f>CSX!LC5</f>
        <v>45382</v>
      </c>
      <c r="LB111" s="44">
        <f>CSX!LD5</f>
        <v>45473</v>
      </c>
      <c r="LC111" s="44">
        <f>CSX!LE5</f>
        <v>45565</v>
      </c>
      <c r="LD111" s="44">
        <f>CSX!LF5</f>
        <v>45657</v>
      </c>
      <c r="LE111" s="44" t="str">
        <f>CSX!LG5</f>
        <v>FY</v>
      </c>
      <c r="LF111" s="547"/>
      <c r="LG111" s="42" t="s">
        <v>430</v>
      </c>
      <c r="LH111" s="44">
        <f>CSX!LJ5</f>
        <v>45747</v>
      </c>
      <c r="LI111" s="44">
        <f>CSX!LK5</f>
        <v>45838</v>
      </c>
      <c r="LJ111" s="44">
        <f>CSX!LL5</f>
        <v>45930</v>
      </c>
      <c r="LK111" s="44">
        <f>CSX!LM5</f>
        <v>46022</v>
      </c>
      <c r="LL111" s="44" t="str">
        <f>CSX!LN5</f>
        <v>FY</v>
      </c>
      <c r="LM111" s="547"/>
      <c r="LN111" s="42" t="s">
        <v>430</v>
      </c>
      <c r="LO111" s="44">
        <f>CSX!LQ5</f>
        <v>46112</v>
      </c>
      <c r="LP111" s="44">
        <f>CSX!LR5</f>
        <v>46203</v>
      </c>
      <c r="LQ111" s="44">
        <f>CSX!LS5</f>
        <v>46295</v>
      </c>
      <c r="LR111" s="44">
        <f>CSX!LT5</f>
        <v>46387</v>
      </c>
      <c r="LS111" s="44" t="str">
        <f>CSX!LU5</f>
        <v>FY</v>
      </c>
      <c r="LT111" s="547"/>
      <c r="LU111" s="42" t="s">
        <v>430</v>
      </c>
      <c r="LV111" s="44">
        <f>CSX!LX5</f>
        <v>46477</v>
      </c>
      <c r="LW111" s="44">
        <f>CSX!LY5</f>
        <v>46568</v>
      </c>
      <c r="LX111" s="44">
        <f>CSX!LZ5</f>
        <v>46660</v>
      </c>
      <c r="LY111" s="44">
        <f>CSX!MA5</f>
        <v>46752</v>
      </c>
      <c r="LZ111" s="44" t="str">
        <f>CSX!MB5</f>
        <v>FY</v>
      </c>
      <c r="MA111" s="547"/>
      <c r="MB111" s="42" t="s">
        <v>430</v>
      </c>
      <c r="MC111" s="44">
        <f>CSX!ME5</f>
        <v>46843</v>
      </c>
      <c r="MD111" s="44">
        <f>CSX!MF5</f>
        <v>46934</v>
      </c>
      <c r="ME111" s="44">
        <f>CSX!MG5</f>
        <v>47026</v>
      </c>
      <c r="MF111" s="44">
        <f>CSX!MH5</f>
        <v>47118</v>
      </c>
      <c r="MG111" s="44" t="str">
        <f>CSX!MI5</f>
        <v>FY</v>
      </c>
      <c r="MH111" s="547"/>
    </row>
    <row r="112" spans="1:346" s="37" customFormat="1" ht="13.5" thickBot="1" x14ac:dyDescent="0.45">
      <c r="A112" s="96"/>
      <c r="B112" s="36"/>
      <c r="BO112" s="36"/>
      <c r="BV112" s="36"/>
      <c r="CC112" s="36"/>
      <c r="CJ112" s="36"/>
      <c r="CQ112" s="36"/>
      <c r="CX112" s="36"/>
      <c r="DE112" s="36"/>
      <c r="DL112" s="36"/>
      <c r="DS112" s="36"/>
      <c r="DZ112" s="36"/>
      <c r="EG112" s="36"/>
      <c r="EN112" s="36"/>
      <c r="EU112" s="36"/>
      <c r="FB112" s="36"/>
      <c r="FI112" s="36"/>
      <c r="FP112" s="36"/>
      <c r="FW112" s="36"/>
      <c r="GD112" s="36"/>
      <c r="GK112" s="36"/>
      <c r="GR112" s="36"/>
      <c r="GY112" s="36"/>
      <c r="HF112" s="36"/>
      <c r="HM112" s="36"/>
      <c r="HT112" s="36"/>
      <c r="IA112" s="36"/>
      <c r="IH112" s="36"/>
      <c r="IO112" s="36"/>
      <c r="IV112" s="36"/>
      <c r="JC112" s="36"/>
      <c r="JJ112" s="36"/>
      <c r="JQ112" s="36"/>
      <c r="JX112" s="36"/>
      <c r="KE112" s="36"/>
      <c r="KL112" s="36"/>
      <c r="KS112" s="36"/>
      <c r="KZ112" s="36"/>
      <c r="LF112" s="565"/>
      <c r="LG112" s="36"/>
      <c r="LM112" s="565"/>
      <c r="LN112" s="36"/>
      <c r="LT112" s="565"/>
      <c r="LU112" s="36"/>
      <c r="MA112" s="565"/>
      <c r="MB112" s="36"/>
      <c r="MH112" s="565"/>
    </row>
    <row r="113" spans="1:346" s="37" customFormat="1" ht="13.5" thickBot="1" x14ac:dyDescent="0.45">
      <c r="A113" s="97"/>
      <c r="B113" s="98" t="s">
        <v>149</v>
      </c>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c r="AA113" s="99"/>
      <c r="AB113" s="99"/>
      <c r="AC113" s="99"/>
      <c r="AD113" s="99"/>
      <c r="AE113" s="99"/>
      <c r="AF113" s="99"/>
      <c r="AG113" s="99"/>
      <c r="AH113" s="99"/>
      <c r="AI113" s="99"/>
      <c r="AJ113" s="99"/>
      <c r="AK113" s="99"/>
      <c r="AL113" s="99"/>
      <c r="AM113" s="99"/>
      <c r="AN113" s="99"/>
      <c r="AO113" s="99"/>
      <c r="AP113" s="99"/>
      <c r="AQ113" s="99"/>
      <c r="AR113" s="99"/>
      <c r="AS113" s="99"/>
      <c r="AT113" s="99"/>
      <c r="AU113" s="99"/>
      <c r="AV113" s="99"/>
      <c r="AW113" s="99"/>
      <c r="AX113" s="99"/>
      <c r="AY113" s="99"/>
      <c r="AZ113" s="99"/>
      <c r="BA113" s="99"/>
      <c r="BB113" s="99"/>
      <c r="BC113" s="99"/>
      <c r="BD113" s="99"/>
      <c r="BE113" s="99"/>
      <c r="BF113" s="99"/>
      <c r="BG113" s="99"/>
      <c r="BH113" s="99"/>
      <c r="BI113" s="99"/>
      <c r="BJ113" s="99"/>
      <c r="BK113" s="99"/>
      <c r="BL113" s="99"/>
      <c r="BM113" s="99"/>
      <c r="BO113" s="98" t="s">
        <v>149</v>
      </c>
      <c r="BP113" s="99"/>
      <c r="BQ113" s="99"/>
      <c r="BR113" s="99"/>
      <c r="BS113" s="99"/>
      <c r="BT113" s="99"/>
      <c r="BV113" s="98" t="s">
        <v>149</v>
      </c>
      <c r="BW113" s="99"/>
      <c r="BX113" s="99"/>
      <c r="BY113" s="99"/>
      <c r="BZ113" s="99"/>
      <c r="CA113" s="99"/>
      <c r="CC113" s="98" t="s">
        <v>149</v>
      </c>
      <c r="CD113" s="99"/>
      <c r="CE113" s="99"/>
      <c r="CF113" s="99"/>
      <c r="CG113" s="99"/>
      <c r="CH113" s="99"/>
      <c r="CJ113" s="98" t="s">
        <v>149</v>
      </c>
      <c r="CK113" s="99"/>
      <c r="CL113" s="99"/>
      <c r="CM113" s="99"/>
      <c r="CN113" s="99"/>
      <c r="CO113" s="99"/>
      <c r="CQ113" s="98" t="s">
        <v>149</v>
      </c>
      <c r="CR113" s="99"/>
      <c r="CS113" s="99"/>
      <c r="CT113" s="99"/>
      <c r="CU113" s="99"/>
      <c r="CV113" s="99"/>
      <c r="CX113" s="98" t="s">
        <v>149</v>
      </c>
      <c r="CY113" s="99"/>
      <c r="CZ113" s="99"/>
      <c r="DA113" s="99"/>
      <c r="DB113" s="99"/>
      <c r="DC113" s="99"/>
      <c r="DE113" s="98" t="s">
        <v>149</v>
      </c>
      <c r="DF113" s="99"/>
      <c r="DG113" s="99"/>
      <c r="DH113" s="99"/>
      <c r="DI113" s="99"/>
      <c r="DJ113" s="99"/>
      <c r="DL113" s="98" t="s">
        <v>149</v>
      </c>
      <c r="DM113" s="99"/>
      <c r="DN113" s="99"/>
      <c r="DO113" s="99"/>
      <c r="DP113" s="99"/>
      <c r="DQ113" s="99"/>
      <c r="DS113" s="98" t="s">
        <v>149</v>
      </c>
      <c r="DT113" s="99"/>
      <c r="DU113" s="99"/>
      <c r="DV113" s="99"/>
      <c r="DW113" s="99"/>
      <c r="DX113" s="99"/>
      <c r="DZ113" s="98" t="s">
        <v>149</v>
      </c>
      <c r="EA113" s="99"/>
      <c r="EB113" s="99"/>
      <c r="EC113" s="99"/>
      <c r="ED113" s="99"/>
      <c r="EE113" s="99"/>
      <c r="EG113" s="98" t="s">
        <v>149</v>
      </c>
      <c r="EH113" s="99"/>
      <c r="EI113" s="99"/>
      <c r="EJ113" s="99"/>
      <c r="EK113" s="99"/>
      <c r="EL113" s="99"/>
      <c r="EN113" s="98" t="s">
        <v>149</v>
      </c>
      <c r="EO113" s="99"/>
      <c r="EP113" s="99"/>
      <c r="EQ113" s="99"/>
      <c r="ER113" s="99"/>
      <c r="ES113" s="99"/>
      <c r="EU113" s="98" t="s">
        <v>149</v>
      </c>
      <c r="EV113" s="99"/>
      <c r="EW113" s="99"/>
      <c r="EX113" s="99"/>
      <c r="EY113" s="99"/>
      <c r="EZ113" s="99"/>
      <c r="FB113" s="98" t="s">
        <v>149</v>
      </c>
      <c r="FC113" s="99"/>
      <c r="FD113" s="99"/>
      <c r="FE113" s="99"/>
      <c r="FF113" s="99"/>
      <c r="FG113" s="99"/>
      <c r="FI113" s="98" t="s">
        <v>149</v>
      </c>
      <c r="FJ113" s="99"/>
      <c r="FK113" s="99"/>
      <c r="FL113" s="99"/>
      <c r="FM113" s="99"/>
      <c r="FN113" s="99"/>
      <c r="FP113" s="98" t="s">
        <v>149</v>
      </c>
      <c r="FQ113" s="99"/>
      <c r="FR113" s="99"/>
      <c r="FS113" s="99"/>
      <c r="FT113" s="99"/>
      <c r="FU113" s="99"/>
      <c r="FW113" s="98" t="s">
        <v>149</v>
      </c>
      <c r="FX113" s="99"/>
      <c r="FY113" s="99"/>
      <c r="FZ113" s="99"/>
      <c r="GA113" s="99"/>
      <c r="GB113" s="99"/>
      <c r="GD113" s="98" t="s">
        <v>149</v>
      </c>
      <c r="GE113" s="99"/>
      <c r="GF113" s="99"/>
      <c r="GG113" s="99"/>
      <c r="GH113" s="99"/>
      <c r="GI113" s="99"/>
      <c r="GK113" s="98" t="s">
        <v>149</v>
      </c>
      <c r="GL113" s="99"/>
      <c r="GM113" s="99"/>
      <c r="GN113" s="99"/>
      <c r="GO113" s="99"/>
      <c r="GP113" s="99"/>
      <c r="GR113" s="98" t="s">
        <v>149</v>
      </c>
      <c r="GS113" s="99"/>
      <c r="GT113" s="99"/>
      <c r="GU113" s="99"/>
      <c r="GV113" s="99"/>
      <c r="GW113" s="99"/>
      <c r="GY113" s="98" t="s">
        <v>149</v>
      </c>
      <c r="GZ113" s="99"/>
      <c r="HA113" s="99"/>
      <c r="HB113" s="99"/>
      <c r="HC113" s="99"/>
      <c r="HD113" s="99"/>
      <c r="HF113" s="98" t="s">
        <v>149</v>
      </c>
      <c r="HG113" s="99"/>
      <c r="HH113" s="99"/>
      <c r="HI113" s="99"/>
      <c r="HJ113" s="99"/>
      <c r="HK113" s="99"/>
      <c r="HM113" s="98" t="s">
        <v>149</v>
      </c>
      <c r="HN113" s="99"/>
      <c r="HO113" s="99"/>
      <c r="HP113" s="99"/>
      <c r="HQ113" s="99"/>
      <c r="HR113" s="99"/>
      <c r="HT113" s="98" t="s">
        <v>149</v>
      </c>
      <c r="HU113" s="99"/>
      <c r="HV113" s="99"/>
      <c r="HW113" s="99"/>
      <c r="HX113" s="99"/>
      <c r="HY113" s="99"/>
      <c r="IA113" s="98" t="s">
        <v>149</v>
      </c>
      <c r="IB113" s="99"/>
      <c r="IC113" s="99"/>
      <c r="ID113" s="99"/>
      <c r="IE113" s="99"/>
      <c r="IF113" s="99"/>
      <c r="IH113" s="98" t="s">
        <v>149</v>
      </c>
      <c r="II113" s="99"/>
      <c r="IJ113" s="99"/>
      <c r="IK113" s="99"/>
      <c r="IL113" s="99"/>
      <c r="IM113" s="99"/>
      <c r="IO113" s="98" t="s">
        <v>149</v>
      </c>
      <c r="IP113" s="99"/>
      <c r="IQ113" s="99"/>
      <c r="IR113" s="99"/>
      <c r="IS113" s="99"/>
      <c r="IT113" s="99"/>
      <c r="IV113" s="98" t="s">
        <v>149</v>
      </c>
      <c r="IW113" s="99"/>
      <c r="IX113" s="99"/>
      <c r="IY113" s="99"/>
      <c r="IZ113" s="99"/>
      <c r="JA113" s="99"/>
      <c r="JC113" s="98" t="s">
        <v>149</v>
      </c>
      <c r="JD113" s="99"/>
      <c r="JE113" s="99"/>
      <c r="JF113" s="99"/>
      <c r="JG113" s="99"/>
      <c r="JH113" s="99"/>
      <c r="JJ113" s="98" t="s">
        <v>149</v>
      </c>
      <c r="JK113" s="99"/>
      <c r="JL113" s="99"/>
      <c r="JM113" s="99"/>
      <c r="JN113" s="99"/>
      <c r="JO113" s="99"/>
      <c r="JQ113" s="98" t="s">
        <v>149</v>
      </c>
      <c r="JR113" s="99"/>
      <c r="JS113" s="99"/>
      <c r="JT113" s="99"/>
      <c r="JU113" s="99"/>
      <c r="JV113" s="99"/>
      <c r="JX113" s="98" t="s">
        <v>149</v>
      </c>
      <c r="JY113" s="99"/>
      <c r="JZ113" s="99"/>
      <c r="KA113" s="99"/>
      <c r="KB113" s="99"/>
      <c r="KC113" s="99"/>
      <c r="KE113" s="98" t="s">
        <v>149</v>
      </c>
      <c r="KF113" s="99"/>
      <c r="KG113" s="99"/>
      <c r="KH113" s="99"/>
      <c r="KI113" s="99"/>
      <c r="KJ113" s="99"/>
      <c r="KL113" s="98" t="s">
        <v>149</v>
      </c>
      <c r="KM113" s="99"/>
      <c r="KN113" s="99"/>
      <c r="KO113" s="99"/>
      <c r="KP113" s="99"/>
      <c r="KQ113" s="99"/>
      <c r="KS113" s="98" t="s">
        <v>149</v>
      </c>
      <c r="KT113" s="99"/>
      <c r="KU113" s="99"/>
      <c r="KV113" s="99"/>
      <c r="KW113" s="99"/>
      <c r="KX113" s="99"/>
      <c r="KZ113" s="98" t="s">
        <v>149</v>
      </c>
      <c r="LA113" s="99"/>
      <c r="LB113" s="99"/>
      <c r="LC113" s="99"/>
      <c r="LD113" s="99"/>
      <c r="LE113" s="99"/>
      <c r="LF113" s="565"/>
      <c r="LG113" s="98" t="s">
        <v>149</v>
      </c>
      <c r="LH113" s="99"/>
      <c r="LI113" s="99"/>
      <c r="LJ113" s="99"/>
      <c r="LK113" s="99"/>
      <c r="LL113" s="99"/>
      <c r="LM113" s="565"/>
      <c r="LN113" s="98" t="s">
        <v>149</v>
      </c>
      <c r="LO113" s="99"/>
      <c r="LP113" s="99"/>
      <c r="LQ113" s="99"/>
      <c r="LR113" s="99"/>
      <c r="LS113" s="99"/>
      <c r="LT113" s="565"/>
      <c r="LU113" s="98" t="s">
        <v>149</v>
      </c>
      <c r="LV113" s="99"/>
      <c r="LW113" s="99"/>
      <c r="LX113" s="99"/>
      <c r="LY113" s="99"/>
      <c r="LZ113" s="99"/>
      <c r="MA113" s="565"/>
      <c r="MB113" s="98" t="s">
        <v>149</v>
      </c>
      <c r="MC113" s="99"/>
      <c r="MD113" s="99"/>
      <c r="ME113" s="99"/>
      <c r="MF113" s="99"/>
      <c r="MG113" s="99"/>
      <c r="MH113" s="565"/>
    </row>
    <row r="114" spans="1:346" s="37" customFormat="1" ht="13.15" x14ac:dyDescent="0.4">
      <c r="A114" s="97"/>
      <c r="B114" s="36"/>
      <c r="BO114" s="36"/>
      <c r="BV114" s="36"/>
      <c r="CC114" s="36"/>
      <c r="CJ114" s="36"/>
      <c r="CQ114" s="36"/>
      <c r="CX114" s="36"/>
      <c r="DE114" s="36"/>
      <c r="DL114" s="36"/>
      <c r="DS114" s="36"/>
      <c r="DZ114" s="36"/>
      <c r="EG114" s="36"/>
      <c r="EN114" s="36"/>
      <c r="EU114" s="36"/>
      <c r="FB114" s="36"/>
      <c r="FI114" s="36"/>
      <c r="FP114" s="36"/>
      <c r="FW114" s="36"/>
      <c r="GD114" s="36"/>
      <c r="GK114" s="36"/>
      <c r="GR114" s="36"/>
      <c r="GY114" s="36"/>
      <c r="HF114" s="36"/>
      <c r="HM114" s="36"/>
      <c r="HT114" s="36"/>
      <c r="IA114" s="36"/>
      <c r="IH114" s="36"/>
      <c r="IO114" s="36"/>
      <c r="IV114" s="36"/>
      <c r="JC114" s="36"/>
      <c r="JJ114" s="36"/>
      <c r="JQ114" s="36"/>
      <c r="JX114" s="36"/>
      <c r="KE114" s="36"/>
      <c r="KL114" s="36"/>
      <c r="KS114" s="36"/>
      <c r="KZ114" s="628"/>
      <c r="LA114" s="629"/>
      <c r="LB114" s="629"/>
      <c r="LC114" s="629"/>
      <c r="LD114" s="629"/>
      <c r="LE114" s="629"/>
      <c r="LF114" s="560"/>
      <c r="LG114" s="628"/>
      <c r="LH114" s="629"/>
      <c r="LI114" s="629"/>
      <c r="LJ114" s="629"/>
      <c r="LK114" s="629"/>
      <c r="LL114" s="629"/>
      <c r="LM114" s="560"/>
      <c r="LN114" s="628"/>
      <c r="LO114" s="629"/>
      <c r="LP114" s="629"/>
      <c r="LQ114" s="629"/>
      <c r="LR114" s="629"/>
      <c r="LS114" s="629"/>
      <c r="LT114" s="560"/>
      <c r="LU114" s="628"/>
      <c r="LV114" s="629"/>
      <c r="LW114" s="629"/>
      <c r="LX114" s="629"/>
      <c r="LY114" s="629"/>
      <c r="LZ114" s="629"/>
      <c r="MA114" s="560"/>
      <c r="MB114" s="628"/>
      <c r="MC114" s="629"/>
      <c r="MD114" s="629"/>
      <c r="ME114" s="629"/>
      <c r="MF114" s="629"/>
      <c r="MG114" s="629"/>
      <c r="MH114" s="560"/>
    </row>
    <row r="115" spans="1:346" s="37" customFormat="1" ht="13.15" x14ac:dyDescent="0.4">
      <c r="A115" s="100"/>
      <c r="B115" s="143" t="s">
        <v>31</v>
      </c>
      <c r="C115" s="103" t="str">
        <f t="shared" ref="C115:M115" si="647">IFERROR(C9/C69*1000,"")</f>
        <v/>
      </c>
      <c r="D115" s="103" t="str">
        <f t="shared" si="647"/>
        <v/>
      </c>
      <c r="E115" s="103">
        <f t="shared" si="647"/>
        <v>948.03871625063675</v>
      </c>
      <c r="F115" s="103">
        <f t="shared" si="647"/>
        <v>1102.2245762711864</v>
      </c>
      <c r="G115" s="103">
        <f t="shared" si="647"/>
        <v>1170.2263308893848</v>
      </c>
      <c r="H115" s="103">
        <f t="shared" si="647"/>
        <v>1267.9127725856697</v>
      </c>
      <c r="I115" s="103">
        <f t="shared" si="647"/>
        <v>1331.3432835820895</v>
      </c>
      <c r="J115" s="103">
        <f t="shared" si="647"/>
        <v>1374.1935483870968</v>
      </c>
      <c r="K115" s="103">
        <f t="shared" si="647"/>
        <v>1421.383647798742</v>
      </c>
      <c r="L115" s="103">
        <f t="shared" si="647"/>
        <v>1435.0282485875707</v>
      </c>
      <c r="M115" s="103">
        <f t="shared" si="647"/>
        <v>1484.1269841269841</v>
      </c>
      <c r="N115" s="103">
        <f t="shared" ref="N115:N124" si="648">BT115</f>
        <v>1510.6951871657755</v>
      </c>
      <c r="O115" s="103">
        <f t="shared" ref="O115:O124" si="649">CA115</f>
        <v>1586.4864864864865</v>
      </c>
      <c r="P115" s="103">
        <f t="shared" ref="P115:P124" si="650">CH115</f>
        <v>1708.9337175792507</v>
      </c>
      <c r="Q115" s="103">
        <f t="shared" ref="Q115:Q124" si="651">CO115</f>
        <v>1738.7640449438202</v>
      </c>
      <c r="R115" s="103">
        <f t="shared" ref="R115:R124" si="652">CV115</f>
        <v>1757.4123989218328</v>
      </c>
      <c r="S115" s="103">
        <f t="shared" ref="S115:S124" si="653">DC115</f>
        <v>1774.6113989637306</v>
      </c>
      <c r="T115" s="103">
        <f t="shared" ref="T115:T124" si="654">DJ115</f>
        <v>1724.1379310344826</v>
      </c>
      <c r="U115" s="103">
        <f t="shared" ref="U115:U124" si="655">DQ115</f>
        <v>1760.3911980440096</v>
      </c>
      <c r="V115" s="103">
        <f t="shared" ref="V115:V124" si="656">DX115</f>
        <v>1717.2413793103449</v>
      </c>
      <c r="W115" s="103">
        <f t="shared" ref="W115:W124" si="657">EE115</f>
        <v>1668.918918918919</v>
      </c>
      <c r="X115" s="103">
        <f t="shared" ref="X115:X124" si="658">EL115</f>
        <v>1667.8899082568807</v>
      </c>
      <c r="Y115" s="103">
        <f t="shared" ref="Y115:Y124" si="659">ES115</f>
        <v>1728.7234042553193</v>
      </c>
      <c r="Z115" s="103">
        <f t="shared" ref="Z115:Z124" si="660">EZ115</f>
        <v>1735.1851851851852</v>
      </c>
      <c r="AA115" s="103">
        <f t="shared" ref="AA115:AA124" si="661">FG115</f>
        <v>1778.5977859778598</v>
      </c>
      <c r="AB115" s="103">
        <f t="shared" ref="AB115:AB124" si="662">FN115</f>
        <v>1828.0961182994456</v>
      </c>
      <c r="AC115" s="103">
        <f t="shared" ref="AC115:AC124" si="663">FU115</f>
        <v>1895.3900709219859</v>
      </c>
      <c r="AD115" s="103">
        <f t="shared" ref="AD115:AD124" si="664">GB115</f>
        <v>2041.2757973733583</v>
      </c>
      <c r="AE115" s="103">
        <f t="shared" ref="AE115:AE124" si="665">GI115</f>
        <v>2291.6666666666665</v>
      </c>
      <c r="AF115" s="103">
        <f t="shared" ref="AF115:AF124" si="666">GP115</f>
        <v>2525.61669829222</v>
      </c>
      <c r="AG115" s="103">
        <f t="shared" ref="AG115:AG124" si="667">GW115</f>
        <v>2949.2900608519271</v>
      </c>
      <c r="AH115" s="103">
        <f t="shared" ref="AH115:AH124" si="668">HD115</f>
        <v>2988.2075471698113</v>
      </c>
      <c r="AI115" s="103">
        <f t="shared" ref="AI115:AI124" si="669">HK115</f>
        <v>3221.2581344902387</v>
      </c>
      <c r="AJ115" s="103">
        <f t="shared" ref="AJ115:AJ124" si="670">HR115</f>
        <v>3454.5454545454545</v>
      </c>
      <c r="AK115" s="103">
        <f t="shared" ref="AK115:AK124" si="671">HY115</f>
        <v>3571.1252653927813</v>
      </c>
      <c r="AL115" s="103">
        <f t="shared" ref="AL115:AL124" si="672">IF115</f>
        <v>3246.875</v>
      </c>
      <c r="AM115" s="103">
        <f t="shared" ref="AM115:AM124" si="673">IM115</f>
        <v>3262.3626373626375</v>
      </c>
      <c r="AN115" s="103">
        <f t="shared" ref="AN115:AN124" si="674">IT115</f>
        <v>3146.0055096418732</v>
      </c>
      <c r="AO115" s="103">
        <f t="shared" ref="AO115:AO124" si="675">JA115</f>
        <v>3130</v>
      </c>
      <c r="AP115" s="103">
        <f t="shared" ref="AP115:AP124" si="676">JH115</f>
        <v>3288.6904761904761</v>
      </c>
      <c r="AQ115" s="103">
        <f t="shared" ref="AQ115:AQ124" si="677">JO115</f>
        <v>3465.1851851851852</v>
      </c>
      <c r="AR115" s="103">
        <f t="shared" ref="AR115:AR124" si="678">JV115</f>
        <v>3503.7369207772799</v>
      </c>
      <c r="AS115" s="103">
        <f t="shared" ref="AS115:AS124" si="679">KC115</f>
        <v>3477.4096385542166</v>
      </c>
      <c r="AT115" s="103">
        <f t="shared" ref="AT115:AT124" si="680">KJ115</f>
        <v>3673.7481031866464</v>
      </c>
      <c r="AU115" s="103">
        <f t="shared" ref="AU115:AU124" si="681">KQ115</f>
        <v>4031.201248049922</v>
      </c>
      <c r="AV115" s="103">
        <f t="shared" ref="AV115:AV124" si="682">KX115</f>
        <v>4048.2866043613708</v>
      </c>
      <c r="AW115" s="103">
        <f t="shared" ref="AW115:AW124" si="683">LE115</f>
        <v>4142.4418604651155</v>
      </c>
      <c r="AX115" s="103">
        <f t="shared" ref="AX115:AX124" si="684">LL115</f>
        <v>4238.1679389312976</v>
      </c>
      <c r="AY115" s="103">
        <f t="shared" ref="AY115:AY124" si="685">LS115</f>
        <v>4344.4271019747594</v>
      </c>
      <c r="AZ115" s="103">
        <f t="shared" ref="AZ115:AZ124" si="686">LZ115</f>
        <v>4463.8988472790661</v>
      </c>
      <c r="BA115" s="103">
        <f t="shared" ref="BA115:BA124" si="687">MG115</f>
        <v>4575.4032332183015</v>
      </c>
      <c r="BB115" s="103"/>
      <c r="BC115" s="103"/>
      <c r="BD115" s="103"/>
      <c r="BE115" s="103"/>
      <c r="BF115" s="103"/>
      <c r="BG115" s="103"/>
      <c r="BH115" s="103"/>
      <c r="BI115" s="103"/>
      <c r="BJ115" s="103"/>
      <c r="BK115" s="103"/>
      <c r="BL115" s="103"/>
      <c r="BM115" s="103"/>
      <c r="BO115" s="143" t="s">
        <v>31</v>
      </c>
      <c r="BP115" s="103">
        <f t="shared" ref="BP115:BT124" si="688">IFERROR(BP9/BP69*1000,"")</f>
        <v>1469.387755102041</v>
      </c>
      <c r="BQ115" s="103">
        <f t="shared" si="688"/>
        <v>1510.6382978723404</v>
      </c>
      <c r="BR115" s="103">
        <f t="shared" si="688"/>
        <v>1494.6236559139786</v>
      </c>
      <c r="BS115" s="103">
        <f t="shared" si="688"/>
        <v>1573.0337078651687</v>
      </c>
      <c r="BT115" s="103">
        <f t="shared" si="688"/>
        <v>1510.6951871657755</v>
      </c>
      <c r="BV115" s="143" t="s">
        <v>31</v>
      </c>
      <c r="BW115" s="103">
        <f t="shared" ref="BW115:CA124" si="689">IFERROR(BW9/BW69*1000,"")</f>
        <v>1568.421052631579</v>
      </c>
      <c r="BX115" s="103">
        <f t="shared" si="689"/>
        <v>1569.8924731182794</v>
      </c>
      <c r="BY115" s="103">
        <f t="shared" si="689"/>
        <v>1553.191489361702</v>
      </c>
      <c r="BZ115" s="103">
        <f t="shared" si="689"/>
        <v>1659.0909090909092</v>
      </c>
      <c r="CA115" s="103">
        <f t="shared" si="689"/>
        <v>1586.4864864864865</v>
      </c>
      <c r="CC115" s="143" t="s">
        <v>31</v>
      </c>
      <c r="CD115" s="103">
        <f t="shared" ref="CD115:CH124" si="690">IFERROR(CD9/CD69*1000,"")</f>
        <v>1682.3529411764705</v>
      </c>
      <c r="CE115" s="103">
        <f t="shared" si="690"/>
        <v>1717.6470588235293</v>
      </c>
      <c r="CF115" s="103">
        <f t="shared" si="690"/>
        <v>1707.8651685393259</v>
      </c>
      <c r="CG115" s="103">
        <f t="shared" si="690"/>
        <v>1727.2727272727273</v>
      </c>
      <c r="CH115" s="103">
        <f t="shared" si="690"/>
        <v>1708.9337175792507</v>
      </c>
      <c r="CJ115" s="143" t="s">
        <v>31</v>
      </c>
      <c r="CK115" s="103">
        <f t="shared" ref="CK115:CO124" si="691">IFERROR(CK9/CK69*1000,"")</f>
        <v>1750</v>
      </c>
      <c r="CL115" s="103">
        <f t="shared" si="691"/>
        <v>1755.5555555555554</v>
      </c>
      <c r="CM115" s="103">
        <f t="shared" si="691"/>
        <v>1711.1111111111111</v>
      </c>
      <c r="CN115" s="103">
        <f t="shared" si="691"/>
        <v>1738.6363636363635</v>
      </c>
      <c r="CO115" s="103">
        <f t="shared" si="691"/>
        <v>1738.7640449438202</v>
      </c>
      <c r="CQ115" s="143" t="s">
        <v>31</v>
      </c>
      <c r="CR115" s="103">
        <f t="shared" ref="CR115:CV124" si="692">IFERROR(CR9/CR69*1000,"")</f>
        <v>1766.6666666666665</v>
      </c>
      <c r="CS115" s="103">
        <f t="shared" si="692"/>
        <v>1763.4408602150538</v>
      </c>
      <c r="CT115" s="103">
        <f t="shared" si="692"/>
        <v>1734.0425531914893</v>
      </c>
      <c r="CU115" s="103">
        <f t="shared" si="692"/>
        <v>1765.9574468085107</v>
      </c>
      <c r="CV115" s="103">
        <f t="shared" si="692"/>
        <v>1757.4123989218328</v>
      </c>
      <c r="CX115" s="143" t="s">
        <v>31</v>
      </c>
      <c r="CY115" s="103">
        <f t="shared" ref="CY115:DC124" si="693">IFERROR(CY9/CY69*1000,"")</f>
        <v>1787.2340425531913</v>
      </c>
      <c r="CZ115" s="103">
        <f t="shared" si="693"/>
        <v>1793.8144329896909</v>
      </c>
      <c r="DA115" s="103">
        <f t="shared" si="693"/>
        <v>1760.4166666666667</v>
      </c>
      <c r="DB115" s="103">
        <f t="shared" si="693"/>
        <v>1757.5757575757575</v>
      </c>
      <c r="DC115" s="103">
        <f t="shared" si="693"/>
        <v>1774.6113989637306</v>
      </c>
      <c r="DE115" s="143" t="s">
        <v>31</v>
      </c>
      <c r="DF115" s="103">
        <f t="shared" ref="DF115:DJ124" si="694">IFERROR(DF9/DF69*1000,"")</f>
        <v>1745.0980392156862</v>
      </c>
      <c r="DG115" s="103">
        <f t="shared" si="694"/>
        <v>1740</v>
      </c>
      <c r="DH115" s="103">
        <f t="shared" si="694"/>
        <v>1682.6923076923076</v>
      </c>
      <c r="DI115" s="103">
        <f t="shared" si="694"/>
        <v>1730</v>
      </c>
      <c r="DJ115" s="103">
        <f t="shared" si="694"/>
        <v>1724.1379310344826</v>
      </c>
      <c r="DL115" s="143" t="s">
        <v>31</v>
      </c>
      <c r="DM115" s="103">
        <f t="shared" ref="DM115:DQ124" si="695">IFERROR(DM9/DM69*1000,"")</f>
        <v>1745.0980392156862</v>
      </c>
      <c r="DN115" s="103">
        <f t="shared" si="695"/>
        <v>1762.3762376237623</v>
      </c>
      <c r="DO115" s="103">
        <f t="shared" si="695"/>
        <v>1759.6153846153845</v>
      </c>
      <c r="DP115" s="103">
        <f t="shared" si="695"/>
        <v>1774.5098039215686</v>
      </c>
      <c r="DQ115" s="103">
        <f t="shared" si="695"/>
        <v>1760.3911980440096</v>
      </c>
      <c r="DS115" s="143" t="s">
        <v>31</v>
      </c>
      <c r="DT115" s="103">
        <f t="shared" ref="DT115:DX124" si="696">IFERROR(DT9/DT69*1000,"")</f>
        <v>1750</v>
      </c>
      <c r="DU115" s="103">
        <f t="shared" si="696"/>
        <v>1752.2935779816512</v>
      </c>
      <c r="DV115" s="103">
        <f t="shared" si="696"/>
        <v>1678.8990825688072</v>
      </c>
      <c r="DW115" s="103">
        <f t="shared" si="696"/>
        <v>1688.0733944954129</v>
      </c>
      <c r="DX115" s="103">
        <f t="shared" si="696"/>
        <v>1717.2413793103449</v>
      </c>
      <c r="DZ115" s="143" t="s">
        <v>31</v>
      </c>
      <c r="EA115" s="103">
        <f t="shared" ref="EA115:EE124" si="697">IFERROR(EA9/EA69*1000,"")</f>
        <v>1678.5714285714287</v>
      </c>
      <c r="EB115" s="103">
        <f t="shared" si="697"/>
        <v>1669.6428571428571</v>
      </c>
      <c r="EC115" s="103">
        <f t="shared" si="697"/>
        <v>1678.5714285714287</v>
      </c>
      <c r="ED115" s="103">
        <f t="shared" si="697"/>
        <v>1648.148148148148</v>
      </c>
      <c r="EE115" s="103">
        <f t="shared" si="697"/>
        <v>1668.918918918919</v>
      </c>
      <c r="EG115" s="143" t="s">
        <v>31</v>
      </c>
      <c r="EH115" s="103">
        <f t="shared" ref="EH115:EL124" si="698">IFERROR(EH9/EH69*1000,"")</f>
        <v>1661.1570247933885</v>
      </c>
      <c r="EI115" s="103">
        <f t="shared" si="698"/>
        <v>1697.674418604651</v>
      </c>
      <c r="EJ115" s="103">
        <f t="shared" si="698"/>
        <v>1666.6666666666667</v>
      </c>
      <c r="EK115" s="103">
        <f t="shared" si="698"/>
        <v>1648.6486486486488</v>
      </c>
      <c r="EL115" s="103">
        <f t="shared" si="698"/>
        <v>1667.8899082568807</v>
      </c>
      <c r="EN115" s="143" t="s">
        <v>31</v>
      </c>
      <c r="EO115" s="103">
        <f t="shared" ref="EO115:ES124" si="699">IFERROR(EO9/EO69*1000,"")</f>
        <v>1725.3521126760563</v>
      </c>
      <c r="EP115" s="103">
        <f t="shared" si="699"/>
        <v>1724.1379310344826</v>
      </c>
      <c r="EQ115" s="103">
        <f t="shared" si="699"/>
        <v>1735.7142857142858</v>
      </c>
      <c r="ER115" s="103">
        <f t="shared" si="699"/>
        <v>1729.9270072992701</v>
      </c>
      <c r="ES115" s="103">
        <f t="shared" si="699"/>
        <v>1728.7234042553193</v>
      </c>
      <c r="EU115" s="143" t="s">
        <v>31</v>
      </c>
      <c r="EV115" s="103">
        <f t="shared" ref="EV115:EZ124" si="700">IFERROR(EV9/EV69*1000,"")</f>
        <v>1742.8571428571429</v>
      </c>
      <c r="EW115" s="103">
        <f t="shared" si="700"/>
        <v>1731.8840579710145</v>
      </c>
      <c r="EX115" s="103">
        <f t="shared" si="700"/>
        <v>1729.3233082706768</v>
      </c>
      <c r="EY115" s="103">
        <f t="shared" si="700"/>
        <v>1736.4341085271317</v>
      </c>
      <c r="EZ115" s="103">
        <f t="shared" si="700"/>
        <v>1735.1851851851852</v>
      </c>
      <c r="FB115" s="143" t="s">
        <v>31</v>
      </c>
      <c r="FC115" s="103">
        <f t="shared" ref="FC115:FG124" si="701">IFERROR(FC9/FC69*1000,"")</f>
        <v>1762.962962962963</v>
      </c>
      <c r="FD115" s="103">
        <f t="shared" si="701"/>
        <v>1757.1428571428571</v>
      </c>
      <c r="FE115" s="103">
        <f t="shared" si="701"/>
        <v>1783.5820895522388</v>
      </c>
      <c r="FF115" s="103">
        <f t="shared" si="701"/>
        <v>1812.0300751879699</v>
      </c>
      <c r="FG115" s="103">
        <f t="shared" si="701"/>
        <v>1778.5977859778598</v>
      </c>
      <c r="FI115" s="143" t="s">
        <v>31</v>
      </c>
      <c r="FJ115" s="103">
        <f t="shared" ref="FJ115:FN124" si="702">IFERROR(FJ9/FJ69*1000,"")</f>
        <v>1824.8175182481752</v>
      </c>
      <c r="FK115" s="103">
        <f t="shared" si="702"/>
        <v>1827.0676691729325</v>
      </c>
      <c r="FL115" s="103">
        <f t="shared" si="702"/>
        <v>1823.5294117647059</v>
      </c>
      <c r="FM115" s="103">
        <f t="shared" si="702"/>
        <v>1837.037037037037</v>
      </c>
      <c r="FN115" s="103">
        <f t="shared" si="702"/>
        <v>1828.0961182994456</v>
      </c>
      <c r="FP115" s="143" t="s">
        <v>31</v>
      </c>
      <c r="FQ115" s="103">
        <f t="shared" ref="FQ115:FU124" si="703">IFERROR(FQ9/FQ69*1000,"")</f>
        <v>1841.7266187050361</v>
      </c>
      <c r="FR115" s="103">
        <f t="shared" si="703"/>
        <v>1885.7142857142858</v>
      </c>
      <c r="FS115" s="103">
        <f t="shared" si="703"/>
        <v>1913.6690647482014</v>
      </c>
      <c r="FT115" s="103">
        <f t="shared" si="703"/>
        <v>1938.3561643835617</v>
      </c>
      <c r="FU115" s="103">
        <f t="shared" si="703"/>
        <v>1895.3900709219859</v>
      </c>
      <c r="FW115" s="143" t="s">
        <v>31</v>
      </c>
      <c r="FX115" s="103">
        <f t="shared" ref="FX115:GB124" si="704">IFERROR(FX9/FX69*1000,"")</f>
        <v>1964.2857142857142</v>
      </c>
      <c r="FY115" s="103">
        <f t="shared" si="704"/>
        <v>2000</v>
      </c>
      <c r="FZ115" s="103">
        <f t="shared" si="704"/>
        <v>2053.4351145038172</v>
      </c>
      <c r="GA115" s="103">
        <f t="shared" si="704"/>
        <v>2157.48031496063</v>
      </c>
      <c r="GB115" s="103">
        <f t="shared" si="704"/>
        <v>2041.2757973733583</v>
      </c>
      <c r="GD115" s="143" t="s">
        <v>31</v>
      </c>
      <c r="GE115" s="103">
        <f t="shared" ref="GE115:GI124" si="705">IFERROR(GE9/GE69*1000,"")</f>
        <v>2185.1851851851852</v>
      </c>
      <c r="GF115" s="103">
        <f t="shared" si="705"/>
        <v>2276.1194029850744</v>
      </c>
      <c r="GG115" s="103">
        <f t="shared" si="705"/>
        <v>2353.3834586466169</v>
      </c>
      <c r="GH115" s="103">
        <f t="shared" si="705"/>
        <v>2357.1428571428573</v>
      </c>
      <c r="GI115" s="103">
        <f t="shared" si="705"/>
        <v>2291.6666666666665</v>
      </c>
      <c r="GK115" s="143" t="s">
        <v>31</v>
      </c>
      <c r="GL115" s="103">
        <f t="shared" ref="GL115:GP124" si="706">IFERROR(GL9/GL69*1000,"")</f>
        <v>2395.5223880597014</v>
      </c>
      <c r="GM115" s="103">
        <f t="shared" si="706"/>
        <v>2433.8235294117644</v>
      </c>
      <c r="GN115" s="103">
        <f t="shared" si="706"/>
        <v>2603.0534351145034</v>
      </c>
      <c r="GO115" s="103">
        <f t="shared" si="706"/>
        <v>2682.5396825396824</v>
      </c>
      <c r="GP115" s="103">
        <f t="shared" si="706"/>
        <v>2525.61669829222</v>
      </c>
      <c r="GR115" s="143" t="s">
        <v>31</v>
      </c>
      <c r="GS115" s="103">
        <f t="shared" ref="GS115:GW124" si="707">IFERROR(GS9/GS69*1000,"")</f>
        <v>2806.2015503875969</v>
      </c>
      <c r="GT115" s="103">
        <f t="shared" si="707"/>
        <v>2908.3969465648852</v>
      </c>
      <c r="GU115" s="103">
        <f t="shared" si="707"/>
        <v>3080</v>
      </c>
      <c r="GV115" s="103">
        <f t="shared" si="707"/>
        <v>3018.5185185185187</v>
      </c>
      <c r="GW115" s="103">
        <f t="shared" si="707"/>
        <v>2949.2900608519271</v>
      </c>
      <c r="GY115" s="143" t="s">
        <v>31</v>
      </c>
      <c r="GZ115" s="103">
        <f t="shared" ref="GZ115:HD124" si="708">IFERROR(GZ9/GZ69*1000,"")</f>
        <v>2933.333333333333</v>
      </c>
      <c r="HA115" s="103">
        <f t="shared" si="708"/>
        <v>2933.333333333333</v>
      </c>
      <c r="HB115" s="103">
        <f t="shared" si="708"/>
        <v>3018.181818181818</v>
      </c>
      <c r="HC115" s="103">
        <f t="shared" si="708"/>
        <v>3067.3076923076924</v>
      </c>
      <c r="HD115" s="103">
        <f t="shared" si="708"/>
        <v>2988.2075471698113</v>
      </c>
      <c r="HF115" s="143" t="s">
        <v>31</v>
      </c>
      <c r="HG115" s="103">
        <f t="shared" ref="HG115:HK124" si="709">IFERROR(HG9/HG69*1000,"")</f>
        <v>3133.9285714285716</v>
      </c>
      <c r="HH115" s="103">
        <f t="shared" si="709"/>
        <v>3206.8965517241377</v>
      </c>
      <c r="HI115" s="103">
        <f t="shared" si="709"/>
        <v>3267.2413793103447</v>
      </c>
      <c r="HJ115" s="103">
        <f t="shared" si="709"/>
        <v>3273.5042735042734</v>
      </c>
      <c r="HK115" s="103">
        <f t="shared" si="709"/>
        <v>3221.2581344902387</v>
      </c>
      <c r="HM115" s="143" t="s">
        <v>31</v>
      </c>
      <c r="HN115" s="103">
        <f t="shared" ref="HN115:HR124" si="710">IFERROR(HN9/HN69*1000,"")</f>
        <v>3367.5213675213677</v>
      </c>
      <c r="HO115" s="103">
        <f t="shared" si="710"/>
        <v>3470.5882352941176</v>
      </c>
      <c r="HP115" s="103">
        <f t="shared" si="710"/>
        <v>3508.6206896551726</v>
      </c>
      <c r="HQ115" s="103">
        <f t="shared" si="710"/>
        <v>3472.7272727272725</v>
      </c>
      <c r="HR115" s="103">
        <f t="shared" si="710"/>
        <v>3454.5454545454545</v>
      </c>
      <c r="HT115" s="143" t="s">
        <v>31</v>
      </c>
      <c r="HU115" s="103">
        <f t="shared" ref="HU115:HY124" si="711">IFERROR(HU9/HU69*1000,"")</f>
        <v>3547.0085470085469</v>
      </c>
      <c r="HV115" s="103">
        <f t="shared" si="711"/>
        <v>3583.3333333333335</v>
      </c>
      <c r="HW115" s="103">
        <f t="shared" si="711"/>
        <v>3593.2203389830511</v>
      </c>
      <c r="HX115" s="103">
        <f t="shared" si="711"/>
        <v>3560.344827586207</v>
      </c>
      <c r="HY115" s="103">
        <f t="shared" si="711"/>
        <v>3571.1252653927813</v>
      </c>
      <c r="IA115" s="143" t="s">
        <v>31</v>
      </c>
      <c r="IB115" s="103">
        <f t="shared" ref="IB115:IF124" si="712">IFERROR(IB9/IB69*1000,"")</f>
        <v>3337.7483443708611</v>
      </c>
      <c r="IC115" s="103">
        <f t="shared" si="712"/>
        <v>3262.5</v>
      </c>
      <c r="ID115" s="103">
        <f t="shared" si="712"/>
        <v>3189.0243902439024</v>
      </c>
      <c r="IE115" s="103">
        <f t="shared" si="712"/>
        <v>3206.060606060606</v>
      </c>
      <c r="IF115" s="103">
        <f t="shared" si="712"/>
        <v>3246.875</v>
      </c>
      <c r="IH115" s="143" t="s">
        <v>31</v>
      </c>
      <c r="II115" s="103">
        <f t="shared" ref="II115:IM124" si="713">IFERROR(II9/II69*1000,"")</f>
        <v>3345.454545454545</v>
      </c>
      <c r="IJ115" s="103">
        <f t="shared" si="713"/>
        <v>3263.4408602150538</v>
      </c>
      <c r="IK115" s="103">
        <f t="shared" si="713"/>
        <v>3253.968253968254</v>
      </c>
      <c r="IL115" s="103">
        <f t="shared" si="713"/>
        <v>3196.8085106382978</v>
      </c>
      <c r="IM115" s="103">
        <f t="shared" si="713"/>
        <v>3262.3626373626375</v>
      </c>
      <c r="IO115" s="143" t="s">
        <v>31</v>
      </c>
      <c r="IP115" s="103">
        <f t="shared" ref="IP115:IT124" si="714">IFERROR(IP9/IP69*1000,"")</f>
        <v>3255.6818181818185</v>
      </c>
      <c r="IQ115" s="103">
        <f t="shared" si="714"/>
        <v>3106.9518716577541</v>
      </c>
      <c r="IR115" s="103">
        <f t="shared" si="714"/>
        <v>3112.2994652406419</v>
      </c>
      <c r="IS115" s="103">
        <f t="shared" si="714"/>
        <v>3113.636363636364</v>
      </c>
      <c r="IT115" s="103">
        <f t="shared" si="714"/>
        <v>3146.0055096418732</v>
      </c>
      <c r="IV115" s="143" t="s">
        <v>31</v>
      </c>
      <c r="IW115" s="103">
        <f t="shared" ref="IW115:JA124" si="715">IFERROR(IW9/IW69*1000,"")</f>
        <v>3120</v>
      </c>
      <c r="IX115" s="103">
        <f t="shared" si="715"/>
        <v>3104.651162790698</v>
      </c>
      <c r="IY115" s="103">
        <f t="shared" si="715"/>
        <v>3132.9479768786127</v>
      </c>
      <c r="IZ115" s="103">
        <f t="shared" si="715"/>
        <v>3161.1111111111109</v>
      </c>
      <c r="JA115" s="103">
        <f t="shared" si="715"/>
        <v>3130</v>
      </c>
      <c r="JC115" s="143" t="s">
        <v>31</v>
      </c>
      <c r="JD115" s="103">
        <f t="shared" ref="JD115:JH124" si="716">IFERROR(JD9/JD69*1000,"")</f>
        <v>3234.2857142857142</v>
      </c>
      <c r="JE115" s="103">
        <f t="shared" si="716"/>
        <v>3266.2721893491121</v>
      </c>
      <c r="JF115" s="103">
        <f t="shared" si="716"/>
        <v>3329.2682926829266</v>
      </c>
      <c r="JG115" s="103">
        <f t="shared" si="716"/>
        <v>3329.2682926829266</v>
      </c>
      <c r="JH115" s="103">
        <f t="shared" si="716"/>
        <v>3288.6904761904761</v>
      </c>
      <c r="JJ115" s="143" t="s">
        <v>31</v>
      </c>
      <c r="JK115" s="103">
        <f t="shared" ref="JK115:JO124" si="717">IFERROR(JK9/JK69*1000,"")</f>
        <v>3438.2716049382716</v>
      </c>
      <c r="JL115" s="103">
        <f t="shared" si="717"/>
        <v>3479.2899408284025</v>
      </c>
      <c r="JM115" s="103">
        <f t="shared" si="717"/>
        <v>3465.1162790697672</v>
      </c>
      <c r="JN115" s="103">
        <f t="shared" si="717"/>
        <v>3476.7441860465115</v>
      </c>
      <c r="JO115" s="103">
        <f t="shared" si="717"/>
        <v>3465.1851851851852</v>
      </c>
      <c r="JQ115" s="143" t="s">
        <v>31</v>
      </c>
      <c r="JR115" s="103">
        <f t="shared" ref="JR115:JV124" si="718">IFERROR(JR9/JR69*1000,"")</f>
        <v>3508.9820359281434</v>
      </c>
      <c r="JS115" s="103">
        <f t="shared" si="718"/>
        <v>3421.965317919075</v>
      </c>
      <c r="JT115" s="103">
        <f t="shared" si="718"/>
        <v>3548.1927710843374</v>
      </c>
      <c r="JU115" s="103">
        <f t="shared" si="718"/>
        <v>3539.877300613497</v>
      </c>
      <c r="JV115" s="103">
        <f t="shared" si="718"/>
        <v>3503.7369207772799</v>
      </c>
      <c r="JX115" s="143" t="s">
        <v>31</v>
      </c>
      <c r="JY115" s="103">
        <f t="shared" ref="JY115:KC124" si="719">IFERROR(JY9/JY69*1000,"")</f>
        <v>3516.8539325842694</v>
      </c>
      <c r="JZ115" s="103">
        <f t="shared" si="719"/>
        <v>3493.4210526315787</v>
      </c>
      <c r="KA115" s="103">
        <f t="shared" si="719"/>
        <v>3430.30303030303</v>
      </c>
      <c r="KB115" s="103">
        <f t="shared" si="719"/>
        <v>3467.455621301775</v>
      </c>
      <c r="KC115" s="103">
        <f t="shared" si="719"/>
        <v>3477.4096385542166</v>
      </c>
      <c r="KE115" s="143" t="s">
        <v>31</v>
      </c>
      <c r="KF115" s="103">
        <f t="shared" ref="KF115:KJ124" si="720">IFERROR(KF9/KF69*1000,"")</f>
        <v>3558.282208588957</v>
      </c>
      <c r="KG115" s="103">
        <f t="shared" si="720"/>
        <v>3628.7425149700598</v>
      </c>
      <c r="KH115" s="103">
        <f t="shared" si="720"/>
        <v>3759.0361445783133</v>
      </c>
      <c r="KI115" s="103">
        <f t="shared" si="720"/>
        <v>3748.4662576687119</v>
      </c>
      <c r="KJ115" s="103">
        <f t="shared" si="720"/>
        <v>3673.7481031866464</v>
      </c>
      <c r="KL115" s="143" t="s">
        <v>31</v>
      </c>
      <c r="KM115" s="103">
        <f t="shared" ref="KM115:KQ124" si="721">IFERROR(KM9/KM69*1000,"")</f>
        <v>3838.5093167701862</v>
      </c>
      <c r="KN115" s="103">
        <f t="shared" si="721"/>
        <v>4036.363636363636</v>
      </c>
      <c r="KO115" s="103">
        <f t="shared" si="721"/>
        <v>4185.1851851851852</v>
      </c>
      <c r="KP115" s="103">
        <f t="shared" si="721"/>
        <v>4065.3594771241828</v>
      </c>
      <c r="KQ115" s="103">
        <f t="shared" si="721"/>
        <v>4031.201248049922</v>
      </c>
      <c r="KS115" s="143" t="s">
        <v>31</v>
      </c>
      <c r="KT115" s="247">
        <f t="shared" ref="KT115:KX124" si="722">IFERROR(KT9/KT69*1000,"")</f>
        <v>4062.5</v>
      </c>
      <c r="KU115" s="247">
        <f t="shared" si="722"/>
        <v>4012.5</v>
      </c>
      <c r="KV115" s="247">
        <f t="shared" si="722"/>
        <v>4012.4223602484471</v>
      </c>
      <c r="KW115" s="247">
        <f t="shared" si="722"/>
        <v>4105.5900621118017</v>
      </c>
      <c r="KX115" s="247">
        <f t="shared" si="722"/>
        <v>4048.2866043613708</v>
      </c>
      <c r="KY115" s="521"/>
      <c r="KZ115" s="246" t="s">
        <v>31</v>
      </c>
      <c r="LA115" s="247">
        <f t="shared" ref="LA115:LA121" si="723">IFERROR(LA9/LA69*1000,"")</f>
        <v>4149.7005988023957</v>
      </c>
      <c r="LB115" s="301">
        <v>4149</v>
      </c>
      <c r="LC115" s="301">
        <v>4131</v>
      </c>
      <c r="LD115" s="301">
        <v>4140</v>
      </c>
      <c r="LE115" s="301">
        <f t="shared" ref="LE115:LE121" si="724">LE9/LE69*1000</f>
        <v>4142.4418604651155</v>
      </c>
      <c r="LF115" s="561"/>
      <c r="LG115" s="246" t="s">
        <v>31</v>
      </c>
      <c r="LH115" s="301">
        <v>4205</v>
      </c>
      <c r="LI115" s="301">
        <v>4274</v>
      </c>
      <c r="LJ115" s="301">
        <v>4250</v>
      </c>
      <c r="LK115" s="301">
        <v>4224</v>
      </c>
      <c r="LL115" s="301">
        <f t="shared" ref="LL115:LL121" si="725">LL9/LL69*1000</f>
        <v>4238.1679389312976</v>
      </c>
      <c r="LM115" s="561"/>
      <c r="LN115" s="246" t="s">
        <v>31</v>
      </c>
      <c r="LO115" s="301">
        <f t="shared" ref="LO115:LR115" si="726">LO173</f>
        <v>4288.9156626506019</v>
      </c>
      <c r="LP115" s="301">
        <f t="shared" si="726"/>
        <v>4359.8780487804879</v>
      </c>
      <c r="LQ115" s="301">
        <f t="shared" si="726"/>
        <v>4377.5</v>
      </c>
      <c r="LR115" s="301">
        <f t="shared" si="726"/>
        <v>4350.3105590062114</v>
      </c>
      <c r="LS115" s="301">
        <f t="shared" ref="LS115:LS121" si="727">LS9/LS69*1000</f>
        <v>4344.4271019747594</v>
      </c>
      <c r="LT115" s="561"/>
      <c r="LU115" s="246" t="s">
        <v>31</v>
      </c>
      <c r="LV115" s="301">
        <f t="shared" ref="LV115:LY115" si="728">LV173</f>
        <v>4406.8608433734935</v>
      </c>
      <c r="LW115" s="301">
        <f t="shared" si="728"/>
        <v>4479.7746951219515</v>
      </c>
      <c r="LX115" s="301">
        <f t="shared" si="728"/>
        <v>4497.8812500000004</v>
      </c>
      <c r="LY115" s="301">
        <f t="shared" si="728"/>
        <v>4469.9440993788821</v>
      </c>
      <c r="LZ115" s="301">
        <f t="shared" ref="LZ115:LZ121" si="729">LZ9/LZ69*1000</f>
        <v>4463.8988472790661</v>
      </c>
      <c r="MA115" s="561"/>
      <c r="MB115" s="246" t="s">
        <v>31</v>
      </c>
      <c r="MC115" s="301">
        <f t="shared" ref="MC115:MF115" si="730">MC173</f>
        <v>4517.0323644578302</v>
      </c>
      <c r="MD115" s="301">
        <f t="shared" si="730"/>
        <v>4591.7690624999996</v>
      </c>
      <c r="ME115" s="301">
        <f t="shared" si="730"/>
        <v>4610.3282812500001</v>
      </c>
      <c r="MF115" s="301">
        <f t="shared" si="730"/>
        <v>4581.6927018633542</v>
      </c>
      <c r="MG115" s="301">
        <f t="shared" ref="MG115:MG121" si="731">MG9/MG69*1000</f>
        <v>4575.4032332183015</v>
      </c>
      <c r="MH115" s="561"/>
    </row>
    <row r="116" spans="1:346" s="37" customFormat="1" ht="13.15" x14ac:dyDescent="0.4">
      <c r="A116" s="100"/>
      <c r="B116" s="143" t="s">
        <v>141</v>
      </c>
      <c r="C116" s="103" t="str">
        <f t="shared" ref="C116:M116" si="732">IFERROR(C10/C70*1000,"")</f>
        <v/>
      </c>
      <c r="D116" s="103" t="str">
        <f t="shared" si="732"/>
        <v/>
      </c>
      <c r="E116" s="103">
        <f t="shared" si="732"/>
        <v>759.50039861812377</v>
      </c>
      <c r="F116" s="103">
        <f t="shared" si="732"/>
        <v>814.43001443001435</v>
      </c>
      <c r="G116" s="103">
        <f t="shared" si="732"/>
        <v>794.97907949790795</v>
      </c>
      <c r="H116" s="103">
        <f t="shared" si="732"/>
        <v>888.8888888888888</v>
      </c>
      <c r="I116" s="103">
        <f t="shared" si="732"/>
        <v>972.86821705426348</v>
      </c>
      <c r="J116" s="103">
        <f t="shared" si="732"/>
        <v>1092.8270042194092</v>
      </c>
      <c r="K116" s="103">
        <f t="shared" si="732"/>
        <v>1012.5</v>
      </c>
      <c r="L116" s="103">
        <f t="shared" si="732"/>
        <v>992.42424242424238</v>
      </c>
      <c r="M116" s="103">
        <f t="shared" si="732"/>
        <v>1051.5873015873017</v>
      </c>
      <c r="N116" s="103">
        <f t="shared" si="648"/>
        <v>1021.505376344086</v>
      </c>
      <c r="O116" s="103">
        <f t="shared" si="649"/>
        <v>1075.5395683453237</v>
      </c>
      <c r="P116" s="103">
        <f t="shared" si="650"/>
        <v>1125.4752851711028</v>
      </c>
      <c r="Q116" s="103">
        <f t="shared" si="651"/>
        <v>1125</v>
      </c>
      <c r="R116" s="103">
        <f t="shared" si="652"/>
        <v>1151.4084507042253</v>
      </c>
      <c r="S116" s="103">
        <f t="shared" si="653"/>
        <v>1209.125475285171</v>
      </c>
      <c r="T116" s="103">
        <f t="shared" si="654"/>
        <v>1200</v>
      </c>
      <c r="U116" s="103">
        <f t="shared" si="655"/>
        <v>1305.019305019305</v>
      </c>
      <c r="V116" s="103">
        <f t="shared" si="656"/>
        <v>1289.9628252788104</v>
      </c>
      <c r="W116" s="103">
        <f t="shared" si="657"/>
        <v>1335.7400722021662</v>
      </c>
      <c r="X116" s="103">
        <f t="shared" si="658"/>
        <v>1343.5582822085889</v>
      </c>
      <c r="Y116" s="103">
        <f t="shared" si="659"/>
        <v>1397.3509933774835</v>
      </c>
      <c r="Z116" s="103">
        <f t="shared" si="660"/>
        <v>1417.5588865096361</v>
      </c>
      <c r="AA116" s="103">
        <f t="shared" si="661"/>
        <v>1433.6283185840707</v>
      </c>
      <c r="AB116" s="103">
        <f t="shared" si="662"/>
        <v>1409.8073555166375</v>
      </c>
      <c r="AC116" s="103">
        <f t="shared" si="663"/>
        <v>1480.865224625624</v>
      </c>
      <c r="AD116" s="103">
        <f t="shared" si="664"/>
        <v>1632.0132013201321</v>
      </c>
      <c r="AE116" s="103">
        <f t="shared" si="665"/>
        <v>1803.7383177570093</v>
      </c>
      <c r="AF116" s="103">
        <f t="shared" si="666"/>
        <v>1863.6363636363635</v>
      </c>
      <c r="AG116" s="103">
        <f t="shared" si="667"/>
        <v>2386.3216266173749</v>
      </c>
      <c r="AH116" s="103">
        <f t="shared" si="668"/>
        <v>2259.469696969697</v>
      </c>
      <c r="AI116" s="103">
        <f t="shared" si="669"/>
        <v>2374.087591240876</v>
      </c>
      <c r="AJ116" s="103">
        <f t="shared" si="670"/>
        <v>2497.1428571428573</v>
      </c>
      <c r="AK116" s="103">
        <f t="shared" si="671"/>
        <v>2591.0931174089069</v>
      </c>
      <c r="AL116" s="103">
        <f t="shared" si="672"/>
        <v>2637.8600823045267</v>
      </c>
      <c r="AM116" s="103">
        <f t="shared" si="673"/>
        <v>2719.2982456140353</v>
      </c>
      <c r="AN116" s="103">
        <f t="shared" si="674"/>
        <v>2673.9562624254472</v>
      </c>
      <c r="AO116" s="103">
        <f t="shared" si="675"/>
        <v>2696.0167714884697</v>
      </c>
      <c r="AP116" s="103">
        <f t="shared" si="676"/>
        <v>2743.9293598233994</v>
      </c>
      <c r="AQ116" s="103">
        <f t="shared" si="677"/>
        <v>2872.1973094170403</v>
      </c>
      <c r="AR116" s="103">
        <f t="shared" si="678"/>
        <v>2871.6814159292035</v>
      </c>
      <c r="AS116" s="103">
        <f t="shared" si="679"/>
        <v>2993.5205183585313</v>
      </c>
      <c r="AT116" s="103">
        <f t="shared" si="680"/>
        <v>3128.4796573875806</v>
      </c>
      <c r="AU116" s="103">
        <f t="shared" si="681"/>
        <v>3459.4594594594596</v>
      </c>
      <c r="AV116" s="103">
        <f t="shared" si="682"/>
        <v>3540.5982905982905</v>
      </c>
      <c r="AW116" s="103">
        <f t="shared" si="683"/>
        <v>3550.7559395248381</v>
      </c>
      <c r="AX116" s="103">
        <f t="shared" si="684"/>
        <v>3540.4814004376367</v>
      </c>
      <c r="AY116" s="103">
        <f t="shared" si="685"/>
        <v>3606.8641211865061</v>
      </c>
      <c r="AZ116" s="103">
        <f t="shared" si="686"/>
        <v>3706.0528845191352</v>
      </c>
      <c r="BA116" s="103">
        <f t="shared" si="687"/>
        <v>3798.7042066321142</v>
      </c>
      <c r="BB116" s="103"/>
      <c r="BC116" s="103"/>
      <c r="BD116" s="103"/>
      <c r="BE116" s="103"/>
      <c r="BF116" s="103"/>
      <c r="BG116" s="103"/>
      <c r="BH116" s="103"/>
      <c r="BI116" s="103"/>
      <c r="BJ116" s="103"/>
      <c r="BK116" s="103"/>
      <c r="BL116" s="103"/>
      <c r="BM116" s="103"/>
      <c r="BO116" s="143" t="s">
        <v>141</v>
      </c>
      <c r="BP116" s="103">
        <f t="shared" si="688"/>
        <v>1044.1176470588236</v>
      </c>
      <c r="BQ116" s="103">
        <f t="shared" si="688"/>
        <v>1014.7058823529411</v>
      </c>
      <c r="BR116" s="103">
        <f t="shared" si="688"/>
        <v>1000</v>
      </c>
      <c r="BS116" s="103">
        <f t="shared" si="688"/>
        <v>1025.3164556962024</v>
      </c>
      <c r="BT116" s="103">
        <f t="shared" si="688"/>
        <v>1021.505376344086</v>
      </c>
      <c r="BV116" s="143" t="s">
        <v>141</v>
      </c>
      <c r="BW116" s="103">
        <f t="shared" si="689"/>
        <v>1049.3827160493827</v>
      </c>
      <c r="BX116" s="103">
        <f t="shared" si="689"/>
        <v>1095.2380952380954</v>
      </c>
      <c r="BY116" s="103">
        <f t="shared" si="689"/>
        <v>1083.3333333333333</v>
      </c>
      <c r="BZ116" s="103">
        <f t="shared" si="689"/>
        <v>1081.081081081081</v>
      </c>
      <c r="CA116" s="103">
        <f t="shared" si="689"/>
        <v>1075.5395683453237</v>
      </c>
      <c r="CC116" s="143" t="s">
        <v>141</v>
      </c>
      <c r="CD116" s="103">
        <f t="shared" si="690"/>
        <v>1083.3333333333333</v>
      </c>
      <c r="CE116" s="103">
        <f t="shared" si="690"/>
        <v>1150</v>
      </c>
      <c r="CF116" s="103">
        <f t="shared" si="690"/>
        <v>1125</v>
      </c>
      <c r="CG116" s="103">
        <f t="shared" si="690"/>
        <v>1149.2537313432836</v>
      </c>
      <c r="CH116" s="103">
        <f t="shared" si="690"/>
        <v>1125.4752851711028</v>
      </c>
      <c r="CJ116" s="143" t="s">
        <v>141</v>
      </c>
      <c r="CK116" s="103">
        <f t="shared" si="691"/>
        <v>1156.25</v>
      </c>
      <c r="CL116" s="103">
        <f t="shared" si="691"/>
        <v>1166.6666666666667</v>
      </c>
      <c r="CM116" s="103">
        <f t="shared" si="691"/>
        <v>1096.7741935483871</v>
      </c>
      <c r="CN116" s="103">
        <f t="shared" si="691"/>
        <v>1089.7435897435896</v>
      </c>
      <c r="CO116" s="103">
        <f t="shared" si="691"/>
        <v>1125</v>
      </c>
      <c r="CQ116" s="143" t="s">
        <v>141</v>
      </c>
      <c r="CR116" s="103">
        <f t="shared" si="692"/>
        <v>1121.6216216216217</v>
      </c>
      <c r="CS116" s="103">
        <f t="shared" si="692"/>
        <v>1147.0588235294117</v>
      </c>
      <c r="CT116" s="103">
        <f t="shared" si="692"/>
        <v>1102.9411764705883</v>
      </c>
      <c r="CU116" s="103">
        <f t="shared" si="692"/>
        <v>1229.7297297297298</v>
      </c>
      <c r="CV116" s="103">
        <f t="shared" si="692"/>
        <v>1151.4084507042253</v>
      </c>
      <c r="CX116" s="143" t="s">
        <v>141</v>
      </c>
      <c r="CY116" s="103">
        <f t="shared" si="693"/>
        <v>1242.4242424242425</v>
      </c>
      <c r="CZ116" s="103">
        <f t="shared" si="693"/>
        <v>1265.625</v>
      </c>
      <c r="DA116" s="103">
        <f t="shared" si="693"/>
        <v>1172.4137931034481</v>
      </c>
      <c r="DB116" s="103">
        <f t="shared" si="693"/>
        <v>1160</v>
      </c>
      <c r="DC116" s="103">
        <f t="shared" si="693"/>
        <v>1209.125475285171</v>
      </c>
      <c r="DE116" s="143" t="s">
        <v>141</v>
      </c>
      <c r="DF116" s="103">
        <f t="shared" si="694"/>
        <v>1166.6666666666667</v>
      </c>
      <c r="DG116" s="103">
        <f t="shared" si="694"/>
        <v>1185.7142857142858</v>
      </c>
      <c r="DH116" s="103">
        <f t="shared" si="694"/>
        <v>1215.3846153846152</v>
      </c>
      <c r="DI116" s="103">
        <f t="shared" si="694"/>
        <v>1232.8767123287671</v>
      </c>
      <c r="DJ116" s="103">
        <f t="shared" si="694"/>
        <v>1200</v>
      </c>
      <c r="DL116" s="143" t="s">
        <v>141</v>
      </c>
      <c r="DM116" s="103">
        <f t="shared" si="695"/>
        <v>1202.7027027027027</v>
      </c>
      <c r="DN116" s="103">
        <f t="shared" si="695"/>
        <v>1369.2307692307693</v>
      </c>
      <c r="DO116" s="103">
        <f t="shared" si="695"/>
        <v>1240.7407407407406</v>
      </c>
      <c r="DP116" s="103">
        <f t="shared" si="695"/>
        <v>1409.0909090909092</v>
      </c>
      <c r="DQ116" s="103">
        <f t="shared" si="695"/>
        <v>1305.019305019305</v>
      </c>
      <c r="DS116" s="143" t="s">
        <v>141</v>
      </c>
      <c r="DT116" s="103">
        <f t="shared" si="696"/>
        <v>1333.3333333333333</v>
      </c>
      <c r="DU116" s="103">
        <f t="shared" si="696"/>
        <v>1313.4328358208954</v>
      </c>
      <c r="DV116" s="103">
        <f t="shared" si="696"/>
        <v>1233.3333333333335</v>
      </c>
      <c r="DW116" s="103">
        <f t="shared" si="696"/>
        <v>1273.972602739726</v>
      </c>
      <c r="DX116" s="103">
        <f t="shared" si="696"/>
        <v>1289.9628252788104</v>
      </c>
      <c r="DZ116" s="143" t="s">
        <v>141</v>
      </c>
      <c r="EA116" s="103">
        <f t="shared" si="697"/>
        <v>1318.840579710145</v>
      </c>
      <c r="EB116" s="103">
        <f t="shared" si="697"/>
        <v>1298.5074626865671</v>
      </c>
      <c r="EC116" s="103">
        <f t="shared" si="697"/>
        <v>1359.375</v>
      </c>
      <c r="ED116" s="103">
        <f t="shared" si="697"/>
        <v>1363.6363636363635</v>
      </c>
      <c r="EE116" s="103">
        <f t="shared" si="697"/>
        <v>1335.7400722021662</v>
      </c>
      <c r="EG116" s="143" t="s">
        <v>141</v>
      </c>
      <c r="EH116" s="103">
        <f t="shared" si="698"/>
        <v>1315.7894736842106</v>
      </c>
      <c r="EI116" s="103">
        <f t="shared" si="698"/>
        <v>1369.8630136986301</v>
      </c>
      <c r="EJ116" s="103">
        <f t="shared" si="698"/>
        <v>1333.3333333333333</v>
      </c>
      <c r="EK116" s="103">
        <f t="shared" si="698"/>
        <v>1354.8387096774193</v>
      </c>
      <c r="EL116" s="103">
        <f t="shared" si="698"/>
        <v>1343.5582822085889</v>
      </c>
      <c r="EN116" s="143" t="s">
        <v>141</v>
      </c>
      <c r="EO116" s="103">
        <f t="shared" si="699"/>
        <v>1377.1929824561405</v>
      </c>
      <c r="EP116" s="103">
        <f t="shared" si="699"/>
        <v>1403.6697247706422</v>
      </c>
      <c r="EQ116" s="103">
        <f t="shared" si="699"/>
        <v>1400</v>
      </c>
      <c r="ER116" s="103">
        <f t="shared" si="699"/>
        <v>1408.3333333333335</v>
      </c>
      <c r="ES116" s="103">
        <f t="shared" si="699"/>
        <v>1397.3509933774835</v>
      </c>
      <c r="EU116" s="143" t="s">
        <v>141</v>
      </c>
      <c r="EV116" s="103">
        <f t="shared" si="700"/>
        <v>1403.2258064516129</v>
      </c>
      <c r="EW116" s="103">
        <f t="shared" si="700"/>
        <v>1431.0344827586207</v>
      </c>
      <c r="EX116" s="103">
        <f t="shared" si="700"/>
        <v>1414.4144144144143</v>
      </c>
      <c r="EY116" s="103">
        <f t="shared" si="700"/>
        <v>1422.4137931034481</v>
      </c>
      <c r="EZ116" s="103">
        <f t="shared" si="700"/>
        <v>1417.5588865096361</v>
      </c>
      <c r="FB116" s="143" t="s">
        <v>141</v>
      </c>
      <c r="FC116" s="103">
        <f t="shared" si="701"/>
        <v>1443.4782608695652</v>
      </c>
      <c r="FD116" s="103">
        <f t="shared" si="701"/>
        <v>1445.4545454545455</v>
      </c>
      <c r="FE116" s="103">
        <f t="shared" si="701"/>
        <v>1412.8440366972477</v>
      </c>
      <c r="FF116" s="103">
        <f t="shared" si="701"/>
        <v>1432.2033898305085</v>
      </c>
      <c r="FG116" s="103">
        <f t="shared" si="701"/>
        <v>1433.6283185840707</v>
      </c>
      <c r="FI116" s="143" t="s">
        <v>141</v>
      </c>
      <c r="FJ116" s="103">
        <f t="shared" si="702"/>
        <v>1460.8695652173913</v>
      </c>
      <c r="FK116" s="103">
        <f t="shared" si="702"/>
        <v>1417.2185430463576</v>
      </c>
      <c r="FL116" s="103">
        <f t="shared" si="702"/>
        <v>1375.8389261744965</v>
      </c>
      <c r="FM116" s="103">
        <f t="shared" si="702"/>
        <v>1397.4358974358975</v>
      </c>
      <c r="FN116" s="103">
        <f t="shared" si="702"/>
        <v>1409.8073555166375</v>
      </c>
      <c r="FP116" s="143" t="s">
        <v>141</v>
      </c>
      <c r="FQ116" s="103">
        <f t="shared" si="703"/>
        <v>1450.3311258278147</v>
      </c>
      <c r="FR116" s="103">
        <f t="shared" si="703"/>
        <v>1460</v>
      </c>
      <c r="FS116" s="103">
        <f t="shared" si="703"/>
        <v>1489.3617021276596</v>
      </c>
      <c r="FT116" s="103">
        <f t="shared" si="703"/>
        <v>1522.0125786163524</v>
      </c>
      <c r="FU116" s="103">
        <f t="shared" si="703"/>
        <v>1480.865224625624</v>
      </c>
      <c r="FW116" s="143" t="s">
        <v>141</v>
      </c>
      <c r="FX116" s="103">
        <f t="shared" si="704"/>
        <v>1561.2903225806451</v>
      </c>
      <c r="FY116" s="103">
        <f t="shared" si="704"/>
        <v>1613.3333333333333</v>
      </c>
      <c r="FZ116" s="103">
        <f t="shared" si="704"/>
        <v>1620</v>
      </c>
      <c r="GA116" s="103">
        <f t="shared" si="704"/>
        <v>1735.0993377483444</v>
      </c>
      <c r="GB116" s="103">
        <f t="shared" si="704"/>
        <v>1632.0132013201321</v>
      </c>
      <c r="GD116" s="143" t="s">
        <v>141</v>
      </c>
      <c r="GE116" s="103">
        <f t="shared" si="705"/>
        <v>1718.75</v>
      </c>
      <c r="GF116" s="103">
        <f t="shared" si="705"/>
        <v>1786.1635220125786</v>
      </c>
      <c r="GG116" s="103">
        <f t="shared" si="705"/>
        <v>1834.3558282208589</v>
      </c>
      <c r="GH116" s="103">
        <f t="shared" si="705"/>
        <v>1875</v>
      </c>
      <c r="GI116" s="103">
        <f t="shared" si="705"/>
        <v>1803.7383177570093</v>
      </c>
      <c r="GK116" s="143" t="s">
        <v>141</v>
      </c>
      <c r="GL116" s="103">
        <f t="shared" si="706"/>
        <v>1928.5714285714287</v>
      </c>
      <c r="GM116" s="103">
        <f t="shared" si="706"/>
        <v>1925.3731343283582</v>
      </c>
      <c r="GN116" s="103">
        <f t="shared" si="706"/>
        <v>1461.5384615384614</v>
      </c>
      <c r="GO116" s="103">
        <f t="shared" si="706"/>
        <v>2123.1884057971015</v>
      </c>
      <c r="GP116" s="103">
        <f t="shared" si="706"/>
        <v>1863.6363636363635</v>
      </c>
      <c r="GR116" s="143" t="s">
        <v>141</v>
      </c>
      <c r="GS116" s="103">
        <f t="shared" si="707"/>
        <v>2205.8823529411766</v>
      </c>
      <c r="GT116" s="103">
        <f t="shared" si="707"/>
        <v>2323.5294117647059</v>
      </c>
      <c r="GU116" s="103">
        <f t="shared" si="707"/>
        <v>2488.7218045112782</v>
      </c>
      <c r="GV116" s="103">
        <f t="shared" si="707"/>
        <v>2529.4117647058824</v>
      </c>
      <c r="GW116" s="103">
        <f t="shared" si="707"/>
        <v>2386.3216266173749</v>
      </c>
      <c r="GY116" s="143" t="s">
        <v>141</v>
      </c>
      <c r="GZ116" s="103">
        <f t="shared" si="708"/>
        <v>2305.9701492537315</v>
      </c>
      <c r="HA116" s="103">
        <f t="shared" si="708"/>
        <v>2229.0076335877866</v>
      </c>
      <c r="HB116" s="103">
        <f t="shared" si="708"/>
        <v>2204.7244094488192</v>
      </c>
      <c r="HC116" s="103">
        <f t="shared" si="708"/>
        <v>2294.1176470588234</v>
      </c>
      <c r="HD116" s="103">
        <f t="shared" si="708"/>
        <v>2259.469696969697</v>
      </c>
      <c r="HF116" s="143" t="s">
        <v>141</v>
      </c>
      <c r="HG116" s="103">
        <f t="shared" si="709"/>
        <v>2345.3237410071943</v>
      </c>
      <c r="HH116" s="103">
        <f t="shared" si="709"/>
        <v>2378.787878787879</v>
      </c>
      <c r="HI116" s="103">
        <f t="shared" si="709"/>
        <v>2369.2307692307691</v>
      </c>
      <c r="HJ116" s="103">
        <f t="shared" si="709"/>
        <v>2401.3605442176868</v>
      </c>
      <c r="HK116" s="103">
        <f t="shared" si="709"/>
        <v>2374.087591240876</v>
      </c>
      <c r="HM116" s="143" t="s">
        <v>141</v>
      </c>
      <c r="HN116" s="103">
        <f t="shared" si="710"/>
        <v>2410.4477611940301</v>
      </c>
      <c r="HO116" s="103">
        <f t="shared" si="710"/>
        <v>2522.0588235294117</v>
      </c>
      <c r="HP116" s="103">
        <f t="shared" si="710"/>
        <v>2483.3333333333335</v>
      </c>
      <c r="HQ116" s="103">
        <f t="shared" si="710"/>
        <v>2570.3703703703704</v>
      </c>
      <c r="HR116" s="103">
        <f t="shared" si="710"/>
        <v>2497.1428571428573</v>
      </c>
      <c r="HT116" s="143" t="s">
        <v>141</v>
      </c>
      <c r="HU116" s="103">
        <f t="shared" si="711"/>
        <v>2571.4285714285716</v>
      </c>
      <c r="HV116" s="103">
        <f t="shared" si="711"/>
        <v>2611.1111111111113</v>
      </c>
      <c r="HW116" s="103">
        <f t="shared" si="711"/>
        <v>2539.8230088495575</v>
      </c>
      <c r="HX116" s="103">
        <f t="shared" si="711"/>
        <v>2639.344262295082</v>
      </c>
      <c r="HY116" s="103">
        <f t="shared" si="711"/>
        <v>2591.0931174089069</v>
      </c>
      <c r="IA116" s="143" t="s">
        <v>141</v>
      </c>
      <c r="IB116" s="103">
        <f t="shared" si="712"/>
        <v>2596.6386554621849</v>
      </c>
      <c r="IC116" s="103">
        <f t="shared" si="712"/>
        <v>2641.6666666666665</v>
      </c>
      <c r="ID116" s="103">
        <f t="shared" si="712"/>
        <v>2609.090909090909</v>
      </c>
      <c r="IE116" s="103">
        <f t="shared" si="712"/>
        <v>2693.4306569343066</v>
      </c>
      <c r="IF116" s="103">
        <f t="shared" si="712"/>
        <v>2637.8600823045267</v>
      </c>
      <c r="IH116" s="143" t="s">
        <v>141</v>
      </c>
      <c r="II116" s="103">
        <f t="shared" si="713"/>
        <v>2705.4263565891474</v>
      </c>
      <c r="IJ116" s="103">
        <f t="shared" si="713"/>
        <v>2730.7692307692309</v>
      </c>
      <c r="IK116" s="103">
        <f t="shared" si="713"/>
        <v>2677.6859504132231</v>
      </c>
      <c r="IL116" s="103">
        <f t="shared" si="713"/>
        <v>2759.3984962406016</v>
      </c>
      <c r="IM116" s="103">
        <f t="shared" si="713"/>
        <v>2719.2982456140353</v>
      </c>
      <c r="IO116" s="143" t="s">
        <v>141</v>
      </c>
      <c r="IP116" s="103">
        <f t="shared" si="714"/>
        <v>2689.3939393939395</v>
      </c>
      <c r="IQ116" s="103">
        <f t="shared" si="714"/>
        <v>2672</v>
      </c>
      <c r="IR116" s="103">
        <f t="shared" si="714"/>
        <v>2652.8925619834708</v>
      </c>
      <c r="IS116" s="103">
        <f t="shared" si="714"/>
        <v>2680</v>
      </c>
      <c r="IT116" s="103">
        <f t="shared" si="714"/>
        <v>2673.9562624254472</v>
      </c>
      <c r="IV116" s="143" t="s">
        <v>141</v>
      </c>
      <c r="IW116" s="103">
        <f t="shared" si="715"/>
        <v>2669.4214876033061</v>
      </c>
      <c r="IX116" s="103">
        <f t="shared" si="715"/>
        <v>2646.5517241379312</v>
      </c>
      <c r="IY116" s="103">
        <f t="shared" si="715"/>
        <v>2706.4220183486236</v>
      </c>
      <c r="IZ116" s="103">
        <f t="shared" si="715"/>
        <v>2755.7251908396947</v>
      </c>
      <c r="JA116" s="103">
        <f t="shared" si="715"/>
        <v>2696.0167714884697</v>
      </c>
      <c r="JC116" s="143" t="s">
        <v>141</v>
      </c>
      <c r="JD116" s="103">
        <f t="shared" si="716"/>
        <v>2743.8016528925623</v>
      </c>
      <c r="JE116" s="103">
        <f t="shared" si="716"/>
        <v>2815.7894736842104</v>
      </c>
      <c r="JF116" s="103">
        <f t="shared" si="716"/>
        <v>2561.9047619047615</v>
      </c>
      <c r="JG116" s="103">
        <f t="shared" si="716"/>
        <v>2840.7079646017701</v>
      </c>
      <c r="JH116" s="103">
        <f t="shared" si="716"/>
        <v>2743.9293598233994</v>
      </c>
      <c r="JJ116" s="143" t="s">
        <v>141</v>
      </c>
      <c r="JK116" s="103">
        <f t="shared" si="717"/>
        <v>2869.1588785046729</v>
      </c>
      <c r="JL116" s="103">
        <f t="shared" si="717"/>
        <v>2919.6428571428573</v>
      </c>
      <c r="JM116" s="103">
        <f t="shared" si="717"/>
        <v>2702.7027027027025</v>
      </c>
      <c r="JN116" s="103">
        <f t="shared" si="717"/>
        <v>2991.3793103448274</v>
      </c>
      <c r="JO116" s="103">
        <f t="shared" si="717"/>
        <v>2872.1973094170403</v>
      </c>
      <c r="JQ116" s="143" t="s">
        <v>141</v>
      </c>
      <c r="JR116" s="103">
        <f t="shared" si="718"/>
        <v>3017.5438596491231</v>
      </c>
      <c r="JS116" s="103">
        <f t="shared" si="718"/>
        <v>3033.8983050847455</v>
      </c>
      <c r="JT116" s="103">
        <f t="shared" si="718"/>
        <v>2700</v>
      </c>
      <c r="JU116" s="103">
        <f t="shared" si="718"/>
        <v>2718.1818181818185</v>
      </c>
      <c r="JV116" s="103">
        <f t="shared" si="718"/>
        <v>2871.6814159292035</v>
      </c>
      <c r="JX116" s="143" t="s">
        <v>141</v>
      </c>
      <c r="JY116" s="103">
        <f t="shared" si="719"/>
        <v>3016.5289256198348</v>
      </c>
      <c r="JZ116" s="103">
        <f t="shared" si="719"/>
        <v>3049.0196078431372</v>
      </c>
      <c r="KA116" s="103">
        <f t="shared" si="719"/>
        <v>2913.0434782608695</v>
      </c>
      <c r="KB116" s="103">
        <f t="shared" si="719"/>
        <v>3000</v>
      </c>
      <c r="KC116" s="103">
        <f t="shared" si="719"/>
        <v>2993.5205183585313</v>
      </c>
      <c r="KE116" s="143" t="s">
        <v>141</v>
      </c>
      <c r="KF116" s="103">
        <f t="shared" si="720"/>
        <v>3008.6206896551726</v>
      </c>
      <c r="KG116" s="103">
        <f t="shared" si="720"/>
        <v>3162.3931623931621</v>
      </c>
      <c r="KH116" s="103">
        <f t="shared" si="720"/>
        <v>3146.788990825688</v>
      </c>
      <c r="KI116" s="103">
        <f t="shared" si="720"/>
        <v>3192</v>
      </c>
      <c r="KJ116" s="103">
        <f t="shared" si="720"/>
        <v>3128.4796573875806</v>
      </c>
      <c r="KL116" s="143" t="s">
        <v>141</v>
      </c>
      <c r="KM116" s="103">
        <f t="shared" si="721"/>
        <v>3279.6610169491528</v>
      </c>
      <c r="KN116" s="103">
        <f t="shared" si="721"/>
        <v>3433.333333333333</v>
      </c>
      <c r="KO116" s="103">
        <f t="shared" si="721"/>
        <v>3566.666666666667</v>
      </c>
      <c r="KP116" s="103">
        <f t="shared" si="721"/>
        <v>3552.8455284552842</v>
      </c>
      <c r="KQ116" s="103">
        <f t="shared" si="721"/>
        <v>3459.4594594594596</v>
      </c>
      <c r="KS116" s="143" t="s">
        <v>141</v>
      </c>
      <c r="KT116" s="247">
        <f t="shared" si="722"/>
        <v>3581.967213114754</v>
      </c>
      <c r="KU116" s="247">
        <f t="shared" si="722"/>
        <v>3516.9491525423728</v>
      </c>
      <c r="KV116" s="247">
        <f t="shared" si="722"/>
        <v>3481.4814814814813</v>
      </c>
      <c r="KW116" s="247">
        <f t="shared" si="722"/>
        <v>3575</v>
      </c>
      <c r="KX116" s="247">
        <f t="shared" si="722"/>
        <v>3540.5982905982905</v>
      </c>
      <c r="KY116" s="521"/>
      <c r="KZ116" s="246" t="s">
        <v>141</v>
      </c>
      <c r="LA116" s="247">
        <f t="shared" si="723"/>
        <v>3570.1754385964914</v>
      </c>
      <c r="LB116" s="301">
        <v>3530</v>
      </c>
      <c r="LC116" s="301">
        <v>3525</v>
      </c>
      <c r="LD116" s="301">
        <v>3578</v>
      </c>
      <c r="LE116" s="301">
        <f t="shared" si="724"/>
        <v>3550.7559395248381</v>
      </c>
      <c r="LF116" s="561"/>
      <c r="LG116" s="246" t="s">
        <v>141</v>
      </c>
      <c r="LH116" s="301">
        <v>3548</v>
      </c>
      <c r="LI116" s="301">
        <v>3573</v>
      </c>
      <c r="LJ116" s="301">
        <v>3473</v>
      </c>
      <c r="LK116" s="301">
        <v>3565</v>
      </c>
      <c r="LL116" s="301">
        <f t="shared" si="725"/>
        <v>3540.4814004376367</v>
      </c>
      <c r="LM116" s="561"/>
      <c r="LN116" s="246" t="s">
        <v>141</v>
      </c>
      <c r="LO116" s="301">
        <f t="shared" ref="LO116:LR116" si="733">LO183</f>
        <v>3601.0434782608691</v>
      </c>
      <c r="LP116" s="301">
        <f t="shared" si="733"/>
        <v>3644.1025641025644</v>
      </c>
      <c r="LQ116" s="301">
        <f t="shared" si="733"/>
        <v>3542.181818181818</v>
      </c>
      <c r="LR116" s="301">
        <f t="shared" si="733"/>
        <v>3636.5217391304345</v>
      </c>
      <c r="LS116" s="301">
        <f t="shared" si="727"/>
        <v>3606.8641211865061</v>
      </c>
      <c r="LT116" s="561"/>
      <c r="LU116" s="246" t="s">
        <v>141</v>
      </c>
      <c r="LV116" s="301">
        <f t="shared" ref="LV116:LY116" si="734">LV183</f>
        <v>3700.0721739130431</v>
      </c>
      <c r="LW116" s="301">
        <f t="shared" si="734"/>
        <v>3744.315384615385</v>
      </c>
      <c r="LX116" s="301">
        <f t="shared" si="734"/>
        <v>3639.5918181818183</v>
      </c>
      <c r="LY116" s="301">
        <f t="shared" si="734"/>
        <v>3736.5260869565218</v>
      </c>
      <c r="LZ116" s="301">
        <f t="shared" si="729"/>
        <v>3706.0528845191352</v>
      </c>
      <c r="MA116" s="561"/>
      <c r="MB116" s="246" t="s">
        <v>141</v>
      </c>
      <c r="MC116" s="301">
        <f t="shared" ref="MC116:MF116" si="735">MC183</f>
        <v>3792.5739782608689</v>
      </c>
      <c r="MD116" s="301">
        <f t="shared" si="735"/>
        <v>3837.9232692307692</v>
      </c>
      <c r="ME116" s="301">
        <f t="shared" si="735"/>
        <v>3730.5816136363633</v>
      </c>
      <c r="MF116" s="301">
        <f t="shared" si="735"/>
        <v>3829.9392391304345</v>
      </c>
      <c r="MG116" s="301">
        <f t="shared" si="731"/>
        <v>3798.7042066321142</v>
      </c>
      <c r="MH116" s="561"/>
    </row>
    <row r="117" spans="1:346" s="37" customFormat="1" ht="13.15" x14ac:dyDescent="0.4">
      <c r="A117" s="100"/>
      <c r="B117" s="143" t="s">
        <v>33</v>
      </c>
      <c r="C117" s="103" t="str">
        <f t="shared" ref="C117:M117" si="736">IFERROR(C11/C71*1000,"")</f>
        <v/>
      </c>
      <c r="D117" s="103" t="str">
        <f t="shared" si="736"/>
        <v/>
      </c>
      <c r="E117" s="103">
        <f t="shared" si="736"/>
        <v>756.55853314527496</v>
      </c>
      <c r="F117" s="103">
        <f t="shared" si="736"/>
        <v>889.48948948948942</v>
      </c>
      <c r="G117" s="103">
        <f t="shared" si="736"/>
        <v>885.92233009708741</v>
      </c>
      <c r="H117" s="103">
        <f t="shared" si="736"/>
        <v>1055.1948051948052</v>
      </c>
      <c r="I117" s="103">
        <f t="shared" si="736"/>
        <v>1034.6820809248557</v>
      </c>
      <c r="J117" s="103">
        <f t="shared" si="736"/>
        <v>1125</v>
      </c>
      <c r="K117" s="103">
        <f t="shared" si="736"/>
        <v>1204.4025157232704</v>
      </c>
      <c r="L117" s="103">
        <f t="shared" si="736"/>
        <v>1169.3811074918567</v>
      </c>
      <c r="M117" s="103">
        <f t="shared" si="736"/>
        <v>1245.1612903225805</v>
      </c>
      <c r="N117" s="103">
        <f t="shared" si="648"/>
        <v>1271.4285714285713</v>
      </c>
      <c r="O117" s="103">
        <f t="shared" si="649"/>
        <v>1325.5813953488371</v>
      </c>
      <c r="P117" s="103">
        <f t="shared" si="650"/>
        <v>1388.6792452830189</v>
      </c>
      <c r="Q117" s="103">
        <f t="shared" si="651"/>
        <v>1434.0277777777776</v>
      </c>
      <c r="R117" s="103">
        <f t="shared" si="652"/>
        <v>1414.1104294478528</v>
      </c>
      <c r="S117" s="103">
        <f t="shared" si="653"/>
        <v>1392.6553672316384</v>
      </c>
      <c r="T117" s="103">
        <f t="shared" si="654"/>
        <v>1408.9635854341739</v>
      </c>
      <c r="U117" s="103">
        <f t="shared" si="655"/>
        <v>1416.8937329700273</v>
      </c>
      <c r="V117" s="103">
        <f t="shared" si="656"/>
        <v>1403.1007751937984</v>
      </c>
      <c r="W117" s="103">
        <f t="shared" si="657"/>
        <v>1308.2524271844659</v>
      </c>
      <c r="X117" s="103">
        <f t="shared" si="658"/>
        <v>1370.7052441229657</v>
      </c>
      <c r="Y117" s="103">
        <f t="shared" si="659"/>
        <v>1482.9351535836176</v>
      </c>
      <c r="Z117" s="103">
        <f t="shared" si="660"/>
        <v>1538.7596899224807</v>
      </c>
      <c r="AA117" s="103">
        <f t="shared" si="661"/>
        <v>1570.6319702602229</v>
      </c>
      <c r="AB117" s="103">
        <f t="shared" si="662"/>
        <v>1612.4763705103971</v>
      </c>
      <c r="AC117" s="103">
        <f t="shared" si="663"/>
        <v>1646.9428007889546</v>
      </c>
      <c r="AD117" s="103">
        <f t="shared" si="664"/>
        <v>1729.5081967213116</v>
      </c>
      <c r="AE117" s="103">
        <f t="shared" si="665"/>
        <v>1829.3736501079914</v>
      </c>
      <c r="AF117" s="103">
        <f t="shared" si="666"/>
        <v>1911.1617312072892</v>
      </c>
      <c r="AG117" s="103">
        <f t="shared" si="667"/>
        <v>2285.7142857142858</v>
      </c>
      <c r="AH117" s="103">
        <f t="shared" si="668"/>
        <v>2183.7606837606836</v>
      </c>
      <c r="AI117" s="103">
        <f t="shared" si="669"/>
        <v>2352.9411764705883</v>
      </c>
      <c r="AJ117" s="103">
        <f t="shared" si="670"/>
        <v>2592.7977839335181</v>
      </c>
      <c r="AK117" s="103">
        <f t="shared" si="671"/>
        <v>2715.294117647059</v>
      </c>
      <c r="AL117" s="103">
        <f t="shared" si="672"/>
        <v>2817.1296296296296</v>
      </c>
      <c r="AM117" s="103">
        <f t="shared" si="673"/>
        <v>2788.5057471264367</v>
      </c>
      <c r="AN117" s="103">
        <f t="shared" si="674"/>
        <v>2611.1111111111113</v>
      </c>
      <c r="AO117" s="103">
        <f t="shared" si="675"/>
        <v>2616.1825726141078</v>
      </c>
      <c r="AP117" s="103">
        <f t="shared" si="676"/>
        <v>2650.6550218340612</v>
      </c>
      <c r="AQ117" s="103">
        <f t="shared" si="677"/>
        <v>2784.4827586206893</v>
      </c>
      <c r="AR117" s="103">
        <f t="shared" si="678"/>
        <v>2849.8942917547565</v>
      </c>
      <c r="AS117" s="103">
        <f t="shared" si="679"/>
        <v>2674.4186046511627</v>
      </c>
      <c r="AT117" s="103">
        <f t="shared" si="680"/>
        <v>2786.1635220125786</v>
      </c>
      <c r="AU117" s="103">
        <f t="shared" si="681"/>
        <v>3118.3431952662722</v>
      </c>
      <c r="AV117" s="103">
        <f t="shared" si="682"/>
        <v>3141.7525773195875</v>
      </c>
      <c r="AW117" s="103">
        <f t="shared" si="683"/>
        <v>3119.592875318066</v>
      </c>
      <c r="AX117" s="103">
        <f t="shared" si="684"/>
        <v>3110.5263157894738</v>
      </c>
      <c r="AY117" s="103">
        <f t="shared" si="685"/>
        <v>3181.677774343952</v>
      </c>
      <c r="AZ117" s="103">
        <f t="shared" si="686"/>
        <v>3261.2197187025513</v>
      </c>
      <c r="BA117" s="103">
        <f t="shared" si="687"/>
        <v>3326.4441130766022</v>
      </c>
      <c r="BB117" s="103"/>
      <c r="BC117" s="103"/>
      <c r="BD117" s="103"/>
      <c r="BE117" s="103"/>
      <c r="BF117" s="103"/>
      <c r="BG117" s="103"/>
      <c r="BH117" s="103"/>
      <c r="BI117" s="103"/>
      <c r="BJ117" s="103"/>
      <c r="BK117" s="103"/>
      <c r="BL117" s="103"/>
      <c r="BM117" s="103"/>
      <c r="BO117" s="143" t="s">
        <v>33</v>
      </c>
      <c r="BP117" s="103">
        <f t="shared" si="688"/>
        <v>1276.3157894736844</v>
      </c>
      <c r="BQ117" s="103">
        <f t="shared" si="688"/>
        <v>1227.8481012658228</v>
      </c>
      <c r="BR117" s="103">
        <f t="shared" si="688"/>
        <v>1241.3793103448277</v>
      </c>
      <c r="BS117" s="103">
        <f t="shared" si="688"/>
        <v>1343.2835820895523</v>
      </c>
      <c r="BT117" s="103">
        <f t="shared" si="688"/>
        <v>1271.4285714285713</v>
      </c>
      <c r="BV117" s="143" t="s">
        <v>33</v>
      </c>
      <c r="BW117" s="103">
        <f t="shared" si="689"/>
        <v>1310.3448275862067</v>
      </c>
      <c r="BX117" s="103">
        <f t="shared" si="689"/>
        <v>1301.3698630136987</v>
      </c>
      <c r="BY117" s="103">
        <f t="shared" si="689"/>
        <v>1370.9677419354837</v>
      </c>
      <c r="BZ117" s="103">
        <f t="shared" si="689"/>
        <v>1323.0769230769231</v>
      </c>
      <c r="CA117" s="103">
        <f t="shared" si="689"/>
        <v>1325.5813953488371</v>
      </c>
      <c r="CC117" s="143" t="s">
        <v>33</v>
      </c>
      <c r="CD117" s="103">
        <f t="shared" si="690"/>
        <v>1396.5517241379312</v>
      </c>
      <c r="CE117" s="103">
        <f t="shared" si="690"/>
        <v>1352.1126760563379</v>
      </c>
      <c r="CF117" s="103">
        <f t="shared" si="690"/>
        <v>1377.0491803278687</v>
      </c>
      <c r="CG117" s="103">
        <f t="shared" si="690"/>
        <v>1426.6666666666667</v>
      </c>
      <c r="CH117" s="103">
        <f t="shared" si="690"/>
        <v>1388.6792452830189</v>
      </c>
      <c r="CJ117" s="143" t="s">
        <v>33</v>
      </c>
      <c r="CK117" s="103">
        <f t="shared" si="691"/>
        <v>1464.7887323943662</v>
      </c>
      <c r="CL117" s="103">
        <f t="shared" si="691"/>
        <v>1428.5714285714287</v>
      </c>
      <c r="CM117" s="103">
        <f t="shared" si="691"/>
        <v>1435.483870967742</v>
      </c>
      <c r="CN117" s="103">
        <f t="shared" si="691"/>
        <v>1410.2564102564104</v>
      </c>
      <c r="CO117" s="103">
        <f t="shared" si="691"/>
        <v>1434.0277777777776</v>
      </c>
      <c r="CQ117" s="143" t="s">
        <v>33</v>
      </c>
      <c r="CR117" s="103">
        <f t="shared" si="692"/>
        <v>1437.5</v>
      </c>
      <c r="CS117" s="103">
        <f t="shared" si="692"/>
        <v>1430.2325581395351</v>
      </c>
      <c r="CT117" s="103">
        <f t="shared" si="692"/>
        <v>1411.7647058823529</v>
      </c>
      <c r="CU117" s="103">
        <f t="shared" si="692"/>
        <v>1380.4347826086955</v>
      </c>
      <c r="CV117" s="103">
        <f t="shared" si="692"/>
        <v>1414.1104294478528</v>
      </c>
      <c r="CX117" s="143" t="s">
        <v>33</v>
      </c>
      <c r="CY117" s="103">
        <f t="shared" si="693"/>
        <v>1395.6043956043954</v>
      </c>
      <c r="CZ117" s="103">
        <f t="shared" si="693"/>
        <v>1360.8247422680413</v>
      </c>
      <c r="DA117" s="103">
        <f t="shared" si="693"/>
        <v>1407.8947368421052</v>
      </c>
      <c r="DB117" s="103">
        <f t="shared" si="693"/>
        <v>1411.1111111111113</v>
      </c>
      <c r="DC117" s="103">
        <f t="shared" si="693"/>
        <v>1392.6553672316384</v>
      </c>
      <c r="DE117" s="143" t="s">
        <v>33</v>
      </c>
      <c r="DF117" s="103">
        <f t="shared" si="694"/>
        <v>1384.6153846153845</v>
      </c>
      <c r="DG117" s="103">
        <f t="shared" si="694"/>
        <v>1406.5934065934066</v>
      </c>
      <c r="DH117" s="103">
        <f t="shared" si="694"/>
        <v>1423.0769230769231</v>
      </c>
      <c r="DI117" s="103">
        <f t="shared" si="694"/>
        <v>1422.680412371134</v>
      </c>
      <c r="DJ117" s="103">
        <f t="shared" si="694"/>
        <v>1408.9635854341739</v>
      </c>
      <c r="DL117" s="143" t="s">
        <v>33</v>
      </c>
      <c r="DM117" s="103">
        <f t="shared" si="695"/>
        <v>1418.6046511627908</v>
      </c>
      <c r="DN117" s="103">
        <f t="shared" si="695"/>
        <v>1420</v>
      </c>
      <c r="DO117" s="103">
        <f t="shared" si="695"/>
        <v>1413.7931034482758</v>
      </c>
      <c r="DP117" s="103">
        <f t="shared" si="695"/>
        <v>1414.8936170212767</v>
      </c>
      <c r="DQ117" s="103">
        <f t="shared" si="695"/>
        <v>1416.8937329700273</v>
      </c>
      <c r="DS117" s="143" t="s">
        <v>33</v>
      </c>
      <c r="DT117" s="103">
        <f t="shared" si="696"/>
        <v>1387.7551020408164</v>
      </c>
      <c r="DU117" s="103">
        <f t="shared" si="696"/>
        <v>1372.5490196078431</v>
      </c>
      <c r="DV117" s="103">
        <f t="shared" si="696"/>
        <v>1411.7647058823529</v>
      </c>
      <c r="DW117" s="103">
        <f t="shared" si="696"/>
        <v>1441.1764705882354</v>
      </c>
      <c r="DX117" s="103">
        <f t="shared" si="696"/>
        <v>1403.1007751937984</v>
      </c>
      <c r="DZ117" s="143" t="s">
        <v>33</v>
      </c>
      <c r="EA117" s="103">
        <f t="shared" si="697"/>
        <v>1326.5306122448978</v>
      </c>
      <c r="EB117" s="103">
        <f t="shared" si="697"/>
        <v>1305.5555555555557</v>
      </c>
      <c r="EC117" s="103">
        <f t="shared" si="697"/>
        <v>1275.8620689655174</v>
      </c>
      <c r="ED117" s="103">
        <f t="shared" si="697"/>
        <v>1319.327731092437</v>
      </c>
      <c r="EE117" s="103">
        <f t="shared" si="697"/>
        <v>1308.2524271844659</v>
      </c>
      <c r="EG117" s="143" t="s">
        <v>33</v>
      </c>
      <c r="EH117" s="103">
        <f t="shared" si="698"/>
        <v>1277.3109243697479</v>
      </c>
      <c r="EI117" s="103">
        <f t="shared" si="698"/>
        <v>1340.9090909090908</v>
      </c>
      <c r="EJ117" s="103">
        <f t="shared" si="698"/>
        <v>1400</v>
      </c>
      <c r="EK117" s="103">
        <f t="shared" si="698"/>
        <v>1439.4904458598726</v>
      </c>
      <c r="EL117" s="103">
        <f t="shared" si="698"/>
        <v>1370.7052441229657</v>
      </c>
      <c r="EN117" s="143" t="s">
        <v>33</v>
      </c>
      <c r="EO117" s="103">
        <f t="shared" si="699"/>
        <v>1436.7088607594937</v>
      </c>
      <c r="EP117" s="103">
        <f t="shared" si="699"/>
        <v>1506.3291139240507</v>
      </c>
      <c r="EQ117" s="103">
        <f t="shared" si="699"/>
        <v>1484.8484848484848</v>
      </c>
      <c r="ER117" s="103">
        <f t="shared" si="699"/>
        <v>1507.2463768115942</v>
      </c>
      <c r="ES117" s="103">
        <f t="shared" si="699"/>
        <v>1482.9351535836176</v>
      </c>
      <c r="EU117" s="143" t="s">
        <v>33</v>
      </c>
      <c r="EV117" s="103">
        <f t="shared" si="700"/>
        <v>1527.5590551181101</v>
      </c>
      <c r="EW117" s="103">
        <f t="shared" si="700"/>
        <v>1532.3741007194244</v>
      </c>
      <c r="EX117" s="103">
        <f t="shared" si="700"/>
        <v>1546.2184873949579</v>
      </c>
      <c r="EY117" s="103">
        <f t="shared" si="700"/>
        <v>1549.6183206106871</v>
      </c>
      <c r="EZ117" s="103">
        <f t="shared" si="700"/>
        <v>1538.7596899224807</v>
      </c>
      <c r="FB117" s="143" t="s">
        <v>33</v>
      </c>
      <c r="FC117" s="103">
        <f t="shared" si="701"/>
        <v>1550.3875968992249</v>
      </c>
      <c r="FD117" s="103">
        <f t="shared" si="701"/>
        <v>1560.8108108108108</v>
      </c>
      <c r="FE117" s="103">
        <f t="shared" si="701"/>
        <v>1572.5806451612902</v>
      </c>
      <c r="FF117" s="103">
        <f t="shared" si="701"/>
        <v>1598.5401459854013</v>
      </c>
      <c r="FG117" s="103">
        <f t="shared" si="701"/>
        <v>1570.6319702602229</v>
      </c>
      <c r="FI117" s="143" t="s">
        <v>33</v>
      </c>
      <c r="FJ117" s="103">
        <f t="shared" si="702"/>
        <v>1587.7862595419847</v>
      </c>
      <c r="FK117" s="103">
        <f t="shared" si="702"/>
        <v>1611.5107913669065</v>
      </c>
      <c r="FL117" s="103">
        <f t="shared" si="702"/>
        <v>1608.3333333333335</v>
      </c>
      <c r="FM117" s="103">
        <f t="shared" si="702"/>
        <v>1640.2877697841727</v>
      </c>
      <c r="FN117" s="103">
        <f t="shared" si="702"/>
        <v>1612.4763705103971</v>
      </c>
      <c r="FP117" s="143" t="s">
        <v>33</v>
      </c>
      <c r="FQ117" s="103">
        <f t="shared" si="703"/>
        <v>1616</v>
      </c>
      <c r="FR117" s="103">
        <f t="shared" si="703"/>
        <v>1629.6296296296296</v>
      </c>
      <c r="FS117" s="103">
        <f t="shared" si="703"/>
        <v>1651.7857142857142</v>
      </c>
      <c r="FT117" s="103">
        <f t="shared" si="703"/>
        <v>1688.8888888888889</v>
      </c>
      <c r="FU117" s="103">
        <f t="shared" si="703"/>
        <v>1646.9428007889546</v>
      </c>
      <c r="FW117" s="143" t="s">
        <v>33</v>
      </c>
      <c r="FX117" s="103">
        <f t="shared" si="704"/>
        <v>1664</v>
      </c>
      <c r="FY117" s="103">
        <f t="shared" si="704"/>
        <v>1701.6129032258066</v>
      </c>
      <c r="FZ117" s="103">
        <f t="shared" si="704"/>
        <v>1754.3859649122805</v>
      </c>
      <c r="GA117" s="103">
        <f t="shared" si="704"/>
        <v>1800</v>
      </c>
      <c r="GB117" s="103">
        <f t="shared" si="704"/>
        <v>1729.5081967213116</v>
      </c>
      <c r="GD117" s="143" t="s">
        <v>33</v>
      </c>
      <c r="GE117" s="103">
        <f t="shared" si="705"/>
        <v>1818.8976377952756</v>
      </c>
      <c r="GF117" s="103">
        <f t="shared" si="705"/>
        <v>1798.3870967741934</v>
      </c>
      <c r="GG117" s="103">
        <f t="shared" si="705"/>
        <v>1830</v>
      </c>
      <c r="GH117" s="103">
        <f t="shared" si="705"/>
        <v>1875</v>
      </c>
      <c r="GI117" s="103">
        <f t="shared" si="705"/>
        <v>1829.3736501079914</v>
      </c>
      <c r="GK117" s="143" t="s">
        <v>33</v>
      </c>
      <c r="GL117" s="103">
        <f t="shared" si="706"/>
        <v>1862.3853211009173</v>
      </c>
      <c r="GM117" s="103">
        <f t="shared" si="706"/>
        <v>1873.9495798319329</v>
      </c>
      <c r="GN117" s="103">
        <f t="shared" si="706"/>
        <v>1941.1764705882354</v>
      </c>
      <c r="GO117" s="103">
        <f t="shared" si="706"/>
        <v>1972.4770642201834</v>
      </c>
      <c r="GP117" s="103">
        <f t="shared" si="706"/>
        <v>1911.1617312072892</v>
      </c>
      <c r="GR117" s="143" t="s">
        <v>33</v>
      </c>
      <c r="GS117" s="103">
        <f t="shared" si="707"/>
        <v>2104.1666666666665</v>
      </c>
      <c r="GT117" s="103">
        <f t="shared" si="707"/>
        <v>2228.2608695652175</v>
      </c>
      <c r="GU117" s="103">
        <f t="shared" si="707"/>
        <v>2468.3544303797466</v>
      </c>
      <c r="GV117" s="103">
        <f t="shared" si="707"/>
        <v>2394.7368421052633</v>
      </c>
      <c r="GW117" s="103">
        <f t="shared" si="707"/>
        <v>2285.7142857142858</v>
      </c>
      <c r="GY117" s="143" t="s">
        <v>33</v>
      </c>
      <c r="GZ117" s="103">
        <f t="shared" si="708"/>
        <v>2111.1111111111113</v>
      </c>
      <c r="HA117" s="103">
        <f t="shared" si="708"/>
        <v>2092.5925925925926</v>
      </c>
      <c r="HB117" s="103">
        <f t="shared" si="708"/>
        <v>2228.0701754385964</v>
      </c>
      <c r="HC117" s="103">
        <f t="shared" si="708"/>
        <v>2256.4102564102564</v>
      </c>
      <c r="HD117" s="103">
        <f t="shared" si="708"/>
        <v>2183.7606837606836</v>
      </c>
      <c r="HF117" s="143" t="s">
        <v>33</v>
      </c>
      <c r="HG117" s="103">
        <f t="shared" si="709"/>
        <v>2297.2972972972975</v>
      </c>
      <c r="HH117" s="103">
        <f t="shared" si="709"/>
        <v>2318.1818181818185</v>
      </c>
      <c r="HI117" s="103">
        <f t="shared" si="709"/>
        <v>2390.2439024390242</v>
      </c>
      <c r="HJ117" s="103">
        <f t="shared" si="709"/>
        <v>2395.8333333333335</v>
      </c>
      <c r="HK117" s="103">
        <f t="shared" si="709"/>
        <v>2352.9411764705883</v>
      </c>
      <c r="HM117" s="143" t="s">
        <v>33</v>
      </c>
      <c r="HN117" s="103">
        <f t="shared" si="710"/>
        <v>2460.674157303371</v>
      </c>
      <c r="HO117" s="103">
        <f t="shared" si="710"/>
        <v>2597.7011494252874</v>
      </c>
      <c r="HP117" s="103">
        <f t="shared" si="710"/>
        <v>2651.1627906976742</v>
      </c>
      <c r="HQ117" s="103">
        <f t="shared" si="710"/>
        <v>2656.5656565656564</v>
      </c>
      <c r="HR117" s="103">
        <f t="shared" si="710"/>
        <v>2592.7977839335181</v>
      </c>
      <c r="HT117" s="143" t="s">
        <v>33</v>
      </c>
      <c r="HU117" s="103">
        <f t="shared" si="711"/>
        <v>2676.1904761904761</v>
      </c>
      <c r="HV117" s="103">
        <f t="shared" si="711"/>
        <v>2720.7207207207207</v>
      </c>
      <c r="HW117" s="103">
        <f t="shared" si="711"/>
        <v>2700</v>
      </c>
      <c r="HX117" s="103">
        <f t="shared" si="711"/>
        <v>2761.4678899082569</v>
      </c>
      <c r="HY117" s="103">
        <f t="shared" si="711"/>
        <v>2715.294117647059</v>
      </c>
      <c r="IA117" s="143" t="s">
        <v>33</v>
      </c>
      <c r="IB117" s="103">
        <f t="shared" si="712"/>
        <v>2790.4761904761904</v>
      </c>
      <c r="IC117" s="103">
        <f t="shared" si="712"/>
        <v>2814.1592920353983</v>
      </c>
      <c r="ID117" s="103">
        <f t="shared" si="712"/>
        <v>2831.6831683168316</v>
      </c>
      <c r="IE117" s="103">
        <f t="shared" si="712"/>
        <v>2831.858407079646</v>
      </c>
      <c r="IF117" s="103">
        <f t="shared" si="712"/>
        <v>2817.1296296296296</v>
      </c>
      <c r="IH117" s="143" t="s">
        <v>33</v>
      </c>
      <c r="II117" s="103">
        <f t="shared" si="713"/>
        <v>2806.1224489795918</v>
      </c>
      <c r="IJ117" s="103">
        <f t="shared" si="713"/>
        <v>2815.7894736842104</v>
      </c>
      <c r="IK117" s="103">
        <f t="shared" si="713"/>
        <v>2798.1651376146788</v>
      </c>
      <c r="IL117" s="103">
        <f t="shared" si="713"/>
        <v>2736.8421052631579</v>
      </c>
      <c r="IM117" s="103">
        <f t="shared" si="713"/>
        <v>2788.5057471264367</v>
      </c>
      <c r="IO117" s="143" t="s">
        <v>33</v>
      </c>
      <c r="IP117" s="103">
        <f t="shared" si="714"/>
        <v>2643.5643564356437</v>
      </c>
      <c r="IQ117" s="103">
        <f t="shared" si="714"/>
        <v>2608.3333333333335</v>
      </c>
      <c r="IR117" s="103">
        <f t="shared" si="714"/>
        <v>2633.0275229357799</v>
      </c>
      <c r="IS117" s="103">
        <f t="shared" si="714"/>
        <v>2566.666666666667</v>
      </c>
      <c r="IT117" s="103">
        <f t="shared" si="714"/>
        <v>2611.1111111111113</v>
      </c>
      <c r="IV117" s="143" t="s">
        <v>33</v>
      </c>
      <c r="IW117" s="103">
        <f t="shared" si="715"/>
        <v>2566.3716814159293</v>
      </c>
      <c r="IX117" s="103">
        <f t="shared" si="715"/>
        <v>2586.7768595041321</v>
      </c>
      <c r="IY117" s="103">
        <f t="shared" si="715"/>
        <v>2643.478260869565</v>
      </c>
      <c r="IZ117" s="103">
        <f t="shared" si="715"/>
        <v>2661.6541353383459</v>
      </c>
      <c r="JA117" s="103">
        <f t="shared" si="715"/>
        <v>2616.1825726141078</v>
      </c>
      <c r="JC117" s="143" t="s">
        <v>33</v>
      </c>
      <c r="JD117" s="103">
        <f t="shared" si="716"/>
        <v>2655.4621848739494</v>
      </c>
      <c r="JE117" s="103">
        <f t="shared" si="716"/>
        <v>2646.5517241379312</v>
      </c>
      <c r="JF117" s="103">
        <f t="shared" si="716"/>
        <v>2716.9811320754716</v>
      </c>
      <c r="JG117" s="103">
        <f t="shared" si="716"/>
        <v>2589.7435897435898</v>
      </c>
      <c r="JH117" s="103">
        <f t="shared" si="716"/>
        <v>2650.6550218340612</v>
      </c>
      <c r="JJ117" s="143" t="s">
        <v>33</v>
      </c>
      <c r="JK117" s="103">
        <f t="shared" si="717"/>
        <v>2714.2857142857142</v>
      </c>
      <c r="JL117" s="103">
        <f t="shared" si="717"/>
        <v>2796.6101694915255</v>
      </c>
      <c r="JM117" s="103">
        <f t="shared" si="717"/>
        <v>2901.7857142857142</v>
      </c>
      <c r="JN117" s="103">
        <f t="shared" si="717"/>
        <v>2729.5081967213114</v>
      </c>
      <c r="JO117" s="103">
        <f t="shared" si="717"/>
        <v>2784.4827586206893</v>
      </c>
      <c r="JQ117" s="143" t="s">
        <v>33</v>
      </c>
      <c r="JR117" s="103">
        <f t="shared" si="718"/>
        <v>2704.3478260869565</v>
      </c>
      <c r="JS117" s="103">
        <f t="shared" si="718"/>
        <v>2719.0082644628101</v>
      </c>
      <c r="JT117" s="103">
        <f t="shared" si="718"/>
        <v>2974.7899159663866</v>
      </c>
      <c r="JU117" s="103">
        <f t="shared" si="718"/>
        <v>3000</v>
      </c>
      <c r="JV117" s="103">
        <f t="shared" si="718"/>
        <v>2849.8942917547565</v>
      </c>
      <c r="JX117" s="143" t="s">
        <v>33</v>
      </c>
      <c r="JY117" s="103">
        <f t="shared" si="719"/>
        <v>2701.9230769230771</v>
      </c>
      <c r="JZ117" s="103">
        <f t="shared" si="719"/>
        <v>2657.1428571428569</v>
      </c>
      <c r="KA117" s="103">
        <f t="shared" si="719"/>
        <v>2656.8627450980389</v>
      </c>
      <c r="KB117" s="103">
        <f t="shared" si="719"/>
        <v>2669.9029126213595</v>
      </c>
      <c r="KC117" s="103">
        <f t="shared" si="719"/>
        <v>2674.4186046511627</v>
      </c>
      <c r="KE117" s="143" t="s">
        <v>33</v>
      </c>
      <c r="KF117" s="103">
        <f t="shared" si="720"/>
        <v>2712.6436781609195</v>
      </c>
      <c r="KG117" s="103">
        <f t="shared" si="720"/>
        <v>2805.1948051948052</v>
      </c>
      <c r="KH117" s="103">
        <f t="shared" si="720"/>
        <v>2786.6666666666665</v>
      </c>
      <c r="KI117" s="103">
        <f t="shared" si="720"/>
        <v>2848.1012658227851</v>
      </c>
      <c r="KJ117" s="103">
        <f t="shared" si="720"/>
        <v>2786.1635220125786</v>
      </c>
      <c r="KL117" s="143" t="s">
        <v>33</v>
      </c>
      <c r="KM117" s="103">
        <f t="shared" si="721"/>
        <v>2910.2564102564102</v>
      </c>
      <c r="KN117" s="103">
        <f t="shared" si="721"/>
        <v>3152.9411764705883</v>
      </c>
      <c r="KO117" s="103">
        <f t="shared" si="721"/>
        <v>3223.5294117647059</v>
      </c>
      <c r="KP117" s="103">
        <f t="shared" si="721"/>
        <v>3166.6666666666665</v>
      </c>
      <c r="KQ117" s="103">
        <f t="shared" si="721"/>
        <v>3118.3431952662722</v>
      </c>
      <c r="KS117" s="143" t="s">
        <v>33</v>
      </c>
      <c r="KT117" s="247">
        <f t="shared" si="722"/>
        <v>3186.046511627907</v>
      </c>
      <c r="KU117" s="247">
        <f t="shared" si="722"/>
        <v>3135.9223300970875</v>
      </c>
      <c r="KV117" s="247">
        <f t="shared" si="722"/>
        <v>3049.5049504950493</v>
      </c>
      <c r="KW117" s="247">
        <f t="shared" si="722"/>
        <v>3204.0816326530612</v>
      </c>
      <c r="KX117" s="247">
        <f t="shared" si="722"/>
        <v>3141.7525773195875</v>
      </c>
      <c r="KY117" s="521"/>
      <c r="KZ117" s="246" t="s">
        <v>33</v>
      </c>
      <c r="LA117" s="247">
        <f t="shared" si="723"/>
        <v>3117.0212765957449</v>
      </c>
      <c r="LB117" s="301">
        <v>3200</v>
      </c>
      <c r="LC117" s="301">
        <v>3071</v>
      </c>
      <c r="LD117" s="301">
        <v>3083</v>
      </c>
      <c r="LE117" s="301">
        <f t="shared" si="724"/>
        <v>3119.592875318066</v>
      </c>
      <c r="LF117" s="561"/>
      <c r="LG117" s="246" t="s">
        <v>33</v>
      </c>
      <c r="LH117" s="301">
        <v>3115</v>
      </c>
      <c r="LI117" s="301">
        <v>3107</v>
      </c>
      <c r="LJ117" s="301">
        <v>3091</v>
      </c>
      <c r="LK117" s="301">
        <v>3132</v>
      </c>
      <c r="LL117" s="301">
        <f t="shared" si="725"/>
        <v>3110.5263157894738</v>
      </c>
      <c r="LM117" s="561"/>
      <c r="LN117" s="246" t="s">
        <v>33</v>
      </c>
      <c r="LO117" s="301">
        <f t="shared" ref="LO117:LR117" si="737">LO193</f>
        <v>3161.6666666666661</v>
      </c>
      <c r="LP117" s="301">
        <f t="shared" si="737"/>
        <v>3168.9320388349511</v>
      </c>
      <c r="LQ117" s="301">
        <f t="shared" si="737"/>
        <v>3168.181818181818</v>
      </c>
      <c r="LR117" s="301">
        <f t="shared" si="737"/>
        <v>3225.8241758241761</v>
      </c>
      <c r="LS117" s="301">
        <f t="shared" si="727"/>
        <v>3181.677774343952</v>
      </c>
      <c r="LT117" s="561"/>
      <c r="LU117" s="246" t="s">
        <v>33</v>
      </c>
      <c r="LV117" s="301">
        <f t="shared" ref="LV117:LY117" si="738">LV193</f>
        <v>3240.7083333333326</v>
      </c>
      <c r="LW117" s="301">
        <f t="shared" si="738"/>
        <v>3248.1553398058245</v>
      </c>
      <c r="LX117" s="301">
        <f t="shared" si="738"/>
        <v>3247.3863636363631</v>
      </c>
      <c r="LY117" s="301">
        <f t="shared" si="738"/>
        <v>3306.4697802197802</v>
      </c>
      <c r="LZ117" s="301">
        <f t="shared" si="729"/>
        <v>3261.2197187025513</v>
      </c>
      <c r="MA117" s="561"/>
      <c r="MB117" s="246" t="s">
        <v>33</v>
      </c>
      <c r="MC117" s="301">
        <f t="shared" ref="MC117:MF117" si="739">MC193</f>
        <v>3305.5224999999991</v>
      </c>
      <c r="MD117" s="301">
        <f t="shared" si="739"/>
        <v>3313.1184466019408</v>
      </c>
      <c r="ME117" s="301">
        <f t="shared" si="739"/>
        <v>3312.3340909090903</v>
      </c>
      <c r="MF117" s="301">
        <f t="shared" si="739"/>
        <v>3372.5991758241757</v>
      </c>
      <c r="MG117" s="301">
        <f t="shared" si="731"/>
        <v>3326.4441130766022</v>
      </c>
      <c r="MH117" s="561"/>
    </row>
    <row r="118" spans="1:346" s="37" customFormat="1" ht="13.15" x14ac:dyDescent="0.4">
      <c r="A118" s="100"/>
      <c r="B118" s="143" t="s">
        <v>143</v>
      </c>
      <c r="C118" s="103" t="str">
        <f t="shared" ref="C118:M118" si="740">IFERROR(C12/C72*1000,"")</f>
        <v/>
      </c>
      <c r="D118" s="103" t="str">
        <f t="shared" si="740"/>
        <v/>
      </c>
      <c r="E118" s="103">
        <f t="shared" si="740"/>
        <v>506.15357947651239</v>
      </c>
      <c r="F118" s="103">
        <f t="shared" si="740"/>
        <v>629.15392456676864</v>
      </c>
      <c r="G118" s="103">
        <f t="shared" si="740"/>
        <v>684.48182311448727</v>
      </c>
      <c r="H118" s="103">
        <f t="shared" si="740"/>
        <v>724.56575682382129</v>
      </c>
      <c r="I118" s="103">
        <f t="shared" si="740"/>
        <v>751.14155251141551</v>
      </c>
      <c r="J118" s="103">
        <f t="shared" si="740"/>
        <v>708.33333333333337</v>
      </c>
      <c r="K118" s="103">
        <f t="shared" si="740"/>
        <v>733.99014778325125</v>
      </c>
      <c r="L118" s="103">
        <f t="shared" si="740"/>
        <v>718.06167400881066</v>
      </c>
      <c r="M118" s="103">
        <f t="shared" si="740"/>
        <v>709.45945945945948</v>
      </c>
      <c r="N118" s="103">
        <f t="shared" si="648"/>
        <v>781.86274509803923</v>
      </c>
      <c r="O118" s="103">
        <f t="shared" si="649"/>
        <v>788.8349514563107</v>
      </c>
      <c r="P118" s="103">
        <f t="shared" si="650"/>
        <v>896.02446483180427</v>
      </c>
      <c r="Q118" s="103">
        <f t="shared" si="651"/>
        <v>895.6521739130435</v>
      </c>
      <c r="R118" s="103">
        <f t="shared" si="652"/>
        <v>887.70053475935833</v>
      </c>
      <c r="S118" s="103">
        <f t="shared" si="653"/>
        <v>871.12171837708831</v>
      </c>
      <c r="T118" s="103">
        <f t="shared" si="654"/>
        <v>905.79710144927537</v>
      </c>
      <c r="U118" s="103">
        <f t="shared" si="655"/>
        <v>888.11188811188811</v>
      </c>
      <c r="V118" s="103">
        <f t="shared" si="656"/>
        <v>885.39325842696621</v>
      </c>
      <c r="W118" s="103">
        <f t="shared" si="657"/>
        <v>876.45687645687644</v>
      </c>
      <c r="X118" s="103">
        <f t="shared" si="658"/>
        <v>914.74654377880188</v>
      </c>
      <c r="Y118" s="103" t="str">
        <f t="shared" si="659"/>
        <v/>
      </c>
      <c r="Z118" s="103" t="str">
        <f t="shared" si="660"/>
        <v/>
      </c>
      <c r="AA118" s="103" t="str">
        <f t="shared" si="661"/>
        <v/>
      </c>
      <c r="AB118" s="103" t="str">
        <f t="shared" si="662"/>
        <v/>
      </c>
      <c r="AC118" s="103" t="str">
        <f t="shared" si="663"/>
        <v/>
      </c>
      <c r="AD118" s="103" t="str">
        <f t="shared" si="664"/>
        <v/>
      </c>
      <c r="AE118" s="103" t="str">
        <f t="shared" si="665"/>
        <v/>
      </c>
      <c r="AF118" s="103" t="str">
        <f t="shared" si="666"/>
        <v/>
      </c>
      <c r="AG118" s="103" t="str">
        <f t="shared" si="667"/>
        <v/>
      </c>
      <c r="AH118" s="103" t="str">
        <f t="shared" si="668"/>
        <v/>
      </c>
      <c r="AI118" s="103">
        <f t="shared" si="669"/>
        <v>1361.0108303249099</v>
      </c>
      <c r="AJ118" s="103">
        <f t="shared" si="670"/>
        <v>1433.8983050847457</v>
      </c>
      <c r="AK118" s="103">
        <f t="shared" si="671"/>
        <v>1514.8148148148148</v>
      </c>
      <c r="AL118" s="103">
        <f t="shared" si="672"/>
        <v>1562.9629629629628</v>
      </c>
      <c r="AM118" s="103">
        <f t="shared" si="673"/>
        <v>1555.5555555555557</v>
      </c>
      <c r="AN118" s="103">
        <f t="shared" si="674"/>
        <v>1500</v>
      </c>
      <c r="AO118" s="103">
        <f t="shared" si="675"/>
        <v>1493.5483870967744</v>
      </c>
      <c r="AP118" s="103">
        <f t="shared" si="676"/>
        <v>2059.925093632959</v>
      </c>
      <c r="AQ118" s="103">
        <f t="shared" si="677"/>
        <v>1823.943661971831</v>
      </c>
      <c r="AR118" s="103">
        <f t="shared" si="678"/>
        <v>1825.0825082508252</v>
      </c>
      <c r="AS118" s="103">
        <f t="shared" si="679"/>
        <v>1676.0124610591899</v>
      </c>
      <c r="AT118" s="103">
        <f t="shared" si="680"/>
        <v>1806.1538461538462</v>
      </c>
      <c r="AU118" s="103">
        <f t="shared" si="681"/>
        <v>1952.5222551928782</v>
      </c>
      <c r="AV118" s="103">
        <f t="shared" si="682"/>
        <v>2047.4860335195531</v>
      </c>
      <c r="AW118" s="103">
        <f t="shared" si="683"/>
        <v>2138.5041551246536</v>
      </c>
      <c r="AX118" s="103">
        <f t="shared" si="684"/>
        <v>2218.6666666666665</v>
      </c>
      <c r="AY118" s="103">
        <f t="shared" si="685"/>
        <v>2299.4529866470184</v>
      </c>
      <c r="AZ118" s="103">
        <f t="shared" si="686"/>
        <v>2362.2036000859607</v>
      </c>
      <c r="BA118" s="103">
        <f t="shared" si="687"/>
        <v>2421.2586900881092</v>
      </c>
      <c r="BB118" s="103"/>
      <c r="BC118" s="103"/>
      <c r="BD118" s="103"/>
      <c r="BE118" s="103"/>
      <c r="BF118" s="103"/>
      <c r="BG118" s="103"/>
      <c r="BH118" s="103"/>
      <c r="BI118" s="103"/>
      <c r="BJ118" s="103"/>
      <c r="BK118" s="103"/>
      <c r="BL118" s="103"/>
      <c r="BM118" s="103"/>
      <c r="BO118" s="143" t="s">
        <v>143</v>
      </c>
      <c r="BP118" s="103">
        <f t="shared" si="688"/>
        <v>814.43298969072168</v>
      </c>
      <c r="BQ118" s="103">
        <f t="shared" si="688"/>
        <v>754.5454545454545</v>
      </c>
      <c r="BR118" s="103">
        <f t="shared" si="688"/>
        <v>742.85714285714289</v>
      </c>
      <c r="BS118" s="103">
        <f t="shared" si="688"/>
        <v>822.91666666666663</v>
      </c>
      <c r="BT118" s="103">
        <f t="shared" si="688"/>
        <v>781.86274509803923</v>
      </c>
      <c r="BV118" s="143" t="s">
        <v>143</v>
      </c>
      <c r="BW118" s="103">
        <f t="shared" si="689"/>
        <v>796.11650485436894</v>
      </c>
      <c r="BX118" s="103">
        <f t="shared" si="689"/>
        <v>773.91304347826087</v>
      </c>
      <c r="BY118" s="103">
        <f t="shared" si="689"/>
        <v>776.69902912621353</v>
      </c>
      <c r="BZ118" s="103">
        <f t="shared" si="689"/>
        <v>813.1868131868132</v>
      </c>
      <c r="CA118" s="103">
        <f t="shared" si="689"/>
        <v>788.8349514563107</v>
      </c>
      <c r="CC118" s="143" t="s">
        <v>143</v>
      </c>
      <c r="CD118" s="103">
        <f t="shared" si="690"/>
        <v>921.0526315789474</v>
      </c>
      <c r="CE118" s="103">
        <f t="shared" si="690"/>
        <v>882.35294117647061</v>
      </c>
      <c r="CF118" s="103">
        <f t="shared" si="690"/>
        <v>880.95238095238096</v>
      </c>
      <c r="CG118" s="103">
        <f t="shared" si="690"/>
        <v>902.43902439024396</v>
      </c>
      <c r="CH118" s="103">
        <f t="shared" si="690"/>
        <v>896.02446483180427</v>
      </c>
      <c r="CJ118" s="143" t="s">
        <v>143</v>
      </c>
      <c r="CK118" s="103">
        <f t="shared" si="691"/>
        <v>936.70886075949363</v>
      </c>
      <c r="CL118" s="103">
        <f t="shared" si="691"/>
        <v>887.64044943820215</v>
      </c>
      <c r="CM118" s="103">
        <f t="shared" si="691"/>
        <v>877.77777777777771</v>
      </c>
      <c r="CN118" s="103">
        <f t="shared" si="691"/>
        <v>885.05747126436779</v>
      </c>
      <c r="CO118" s="103">
        <f t="shared" si="691"/>
        <v>895.6521739130435</v>
      </c>
      <c r="CQ118" s="143" t="s">
        <v>143</v>
      </c>
      <c r="CR118" s="103">
        <f t="shared" si="692"/>
        <v>938.27160493827159</v>
      </c>
      <c r="CS118" s="103">
        <f t="shared" si="692"/>
        <v>885.41666666666663</v>
      </c>
      <c r="CT118" s="103">
        <f t="shared" si="692"/>
        <v>860</v>
      </c>
      <c r="CU118" s="103">
        <f t="shared" si="692"/>
        <v>876.28865979381442</v>
      </c>
      <c r="CV118" s="103">
        <f t="shared" si="692"/>
        <v>887.70053475935833</v>
      </c>
      <c r="CX118" s="143" t="s">
        <v>143</v>
      </c>
      <c r="CY118" s="103">
        <f t="shared" si="693"/>
        <v>904.25531914893622</v>
      </c>
      <c r="CZ118" s="103">
        <f t="shared" si="693"/>
        <v>871.55963302752298</v>
      </c>
      <c r="DA118" s="103">
        <f t="shared" si="693"/>
        <v>864.8648648648649</v>
      </c>
      <c r="DB118" s="103">
        <f t="shared" si="693"/>
        <v>847.61904761904759</v>
      </c>
      <c r="DC118" s="103">
        <f t="shared" si="693"/>
        <v>871.12171837708831</v>
      </c>
      <c r="DE118" s="143" t="s">
        <v>143</v>
      </c>
      <c r="DF118" s="103">
        <f t="shared" si="694"/>
        <v>938.77551020408168</v>
      </c>
      <c r="DG118" s="103">
        <f t="shared" si="694"/>
        <v>889.90825688073392</v>
      </c>
      <c r="DH118" s="103">
        <f t="shared" si="694"/>
        <v>897.19626168224295</v>
      </c>
      <c r="DI118" s="103">
        <f t="shared" si="694"/>
        <v>900</v>
      </c>
      <c r="DJ118" s="103">
        <f t="shared" si="694"/>
        <v>905.79710144927537</v>
      </c>
      <c r="DL118" s="143" t="s">
        <v>143</v>
      </c>
      <c r="DM118" s="103">
        <f t="shared" si="695"/>
        <v>925.531914893617</v>
      </c>
      <c r="DN118" s="103">
        <f t="shared" si="695"/>
        <v>892.85714285714289</v>
      </c>
      <c r="DO118" s="103">
        <f t="shared" si="695"/>
        <v>883.92857142857144</v>
      </c>
      <c r="DP118" s="103">
        <f t="shared" si="695"/>
        <v>855.85585585585591</v>
      </c>
      <c r="DQ118" s="103">
        <f t="shared" si="695"/>
        <v>888.11188811188811</v>
      </c>
      <c r="DS118" s="143" t="s">
        <v>143</v>
      </c>
      <c r="DT118" s="103">
        <f t="shared" si="696"/>
        <v>894.23076923076928</v>
      </c>
      <c r="DU118" s="103">
        <f t="shared" si="696"/>
        <v>891.89189189189187</v>
      </c>
      <c r="DV118" s="103">
        <f t="shared" si="696"/>
        <v>873.94957983193274</v>
      </c>
      <c r="DW118" s="103">
        <f t="shared" si="696"/>
        <v>882.88288288288288</v>
      </c>
      <c r="DX118" s="103">
        <f t="shared" si="696"/>
        <v>885.39325842696621</v>
      </c>
      <c r="DZ118" s="143" t="s">
        <v>143</v>
      </c>
      <c r="EA118" s="103">
        <f t="shared" si="697"/>
        <v>912.62135922330106</v>
      </c>
      <c r="EB118" s="103">
        <f t="shared" si="697"/>
        <v>847.45762711864404</v>
      </c>
      <c r="EC118" s="103">
        <f t="shared" si="697"/>
        <v>869.15887850467288</v>
      </c>
      <c r="ED118" s="103">
        <f t="shared" si="697"/>
        <v>881.18811881188117</v>
      </c>
      <c r="EE118" s="103">
        <f t="shared" si="697"/>
        <v>876.45687645687644</v>
      </c>
      <c r="EG118" s="143" t="s">
        <v>143</v>
      </c>
      <c r="EH118" s="103">
        <f t="shared" si="698"/>
        <v>911.50442477876106</v>
      </c>
      <c r="EI118" s="103">
        <f t="shared" si="698"/>
        <v>908.25688073394497</v>
      </c>
      <c r="EJ118" s="103">
        <f t="shared" si="698"/>
        <v>925.23364485981313</v>
      </c>
      <c r="EK118" s="103">
        <f t="shared" si="698"/>
        <v>914.28571428571422</v>
      </c>
      <c r="EL118" s="103">
        <f t="shared" si="698"/>
        <v>914.74654377880188</v>
      </c>
      <c r="EN118" s="143" t="s">
        <v>143</v>
      </c>
      <c r="EO118" s="103" t="str">
        <f t="shared" si="699"/>
        <v/>
      </c>
      <c r="EP118" s="103" t="str">
        <f t="shared" si="699"/>
        <v/>
      </c>
      <c r="EQ118" s="103" t="str">
        <f t="shared" si="699"/>
        <v/>
      </c>
      <c r="ER118" s="103" t="str">
        <f t="shared" si="699"/>
        <v/>
      </c>
      <c r="ES118" s="103" t="str">
        <f t="shared" si="699"/>
        <v/>
      </c>
      <c r="EU118" s="143" t="s">
        <v>143</v>
      </c>
      <c r="EV118" s="103" t="str">
        <f t="shared" si="700"/>
        <v/>
      </c>
      <c r="EW118" s="103" t="str">
        <f t="shared" si="700"/>
        <v/>
      </c>
      <c r="EX118" s="103" t="str">
        <f t="shared" si="700"/>
        <v/>
      </c>
      <c r="EY118" s="103" t="str">
        <f t="shared" si="700"/>
        <v/>
      </c>
      <c r="EZ118" s="103" t="str">
        <f t="shared" si="700"/>
        <v/>
      </c>
      <c r="FB118" s="143" t="s">
        <v>143</v>
      </c>
      <c r="FC118" s="103" t="str">
        <f t="shared" si="701"/>
        <v/>
      </c>
      <c r="FD118" s="103" t="str">
        <f t="shared" si="701"/>
        <v/>
      </c>
      <c r="FE118" s="103" t="str">
        <f t="shared" si="701"/>
        <v/>
      </c>
      <c r="FF118" s="103" t="str">
        <f t="shared" si="701"/>
        <v/>
      </c>
      <c r="FG118" s="103" t="str">
        <f t="shared" si="701"/>
        <v/>
      </c>
      <c r="FI118" s="143" t="s">
        <v>143</v>
      </c>
      <c r="FJ118" s="103" t="str">
        <f t="shared" si="702"/>
        <v/>
      </c>
      <c r="FK118" s="103" t="str">
        <f t="shared" si="702"/>
        <v/>
      </c>
      <c r="FL118" s="103" t="str">
        <f t="shared" si="702"/>
        <v/>
      </c>
      <c r="FM118" s="103" t="str">
        <f t="shared" si="702"/>
        <v/>
      </c>
      <c r="FN118" s="103" t="str">
        <f t="shared" si="702"/>
        <v/>
      </c>
      <c r="FP118" s="143" t="s">
        <v>143</v>
      </c>
      <c r="FQ118" s="103" t="str">
        <f t="shared" si="703"/>
        <v/>
      </c>
      <c r="FR118" s="103" t="str">
        <f t="shared" si="703"/>
        <v/>
      </c>
      <c r="FS118" s="103" t="str">
        <f t="shared" si="703"/>
        <v/>
      </c>
      <c r="FT118" s="103" t="str">
        <f t="shared" si="703"/>
        <v/>
      </c>
      <c r="FU118" s="103" t="str">
        <f t="shared" si="703"/>
        <v/>
      </c>
      <c r="FW118" s="143" t="s">
        <v>143</v>
      </c>
      <c r="FX118" s="103" t="str">
        <f t="shared" si="704"/>
        <v/>
      </c>
      <c r="FY118" s="103" t="str">
        <f t="shared" si="704"/>
        <v/>
      </c>
      <c r="FZ118" s="103" t="str">
        <f t="shared" si="704"/>
        <v/>
      </c>
      <c r="GA118" s="103" t="str">
        <f t="shared" si="704"/>
        <v/>
      </c>
      <c r="GB118" s="103" t="str">
        <f t="shared" si="704"/>
        <v/>
      </c>
      <c r="GD118" s="143" t="s">
        <v>143</v>
      </c>
      <c r="GE118" s="103" t="str">
        <f t="shared" si="705"/>
        <v/>
      </c>
      <c r="GF118" s="103" t="str">
        <f t="shared" si="705"/>
        <v/>
      </c>
      <c r="GG118" s="103" t="str">
        <f t="shared" si="705"/>
        <v/>
      </c>
      <c r="GH118" s="103" t="str">
        <f t="shared" si="705"/>
        <v/>
      </c>
      <c r="GI118" s="103" t="str">
        <f t="shared" si="705"/>
        <v/>
      </c>
      <c r="GK118" s="143" t="s">
        <v>143</v>
      </c>
      <c r="GL118" s="103" t="str">
        <f t="shared" si="706"/>
        <v/>
      </c>
      <c r="GM118" s="103" t="str">
        <f t="shared" si="706"/>
        <v/>
      </c>
      <c r="GN118" s="103" t="str">
        <f t="shared" si="706"/>
        <v/>
      </c>
      <c r="GO118" s="103" t="str">
        <f t="shared" si="706"/>
        <v/>
      </c>
      <c r="GP118" s="103" t="str">
        <f t="shared" si="706"/>
        <v/>
      </c>
      <c r="GR118" s="143" t="s">
        <v>143</v>
      </c>
      <c r="GS118" s="103" t="str">
        <f t="shared" si="707"/>
        <v/>
      </c>
      <c r="GT118" s="103" t="str">
        <f t="shared" si="707"/>
        <v/>
      </c>
      <c r="GU118" s="103" t="str">
        <f t="shared" si="707"/>
        <v/>
      </c>
      <c r="GV118" s="103" t="str">
        <f t="shared" si="707"/>
        <v/>
      </c>
      <c r="GW118" s="103" t="str">
        <f t="shared" si="707"/>
        <v/>
      </c>
      <c r="GY118" s="143" t="s">
        <v>143</v>
      </c>
      <c r="GZ118" s="103" t="str">
        <f t="shared" si="708"/>
        <v/>
      </c>
      <c r="HA118" s="103" t="str">
        <f t="shared" si="708"/>
        <v/>
      </c>
      <c r="HB118" s="103" t="str">
        <f t="shared" si="708"/>
        <v/>
      </c>
      <c r="HC118" s="103" t="str">
        <f t="shared" si="708"/>
        <v/>
      </c>
      <c r="HD118" s="103" t="str">
        <f t="shared" si="708"/>
        <v/>
      </c>
      <c r="HF118" s="143" t="s">
        <v>143</v>
      </c>
      <c r="HG118" s="103">
        <f t="shared" si="709"/>
        <v>1425.9259259259259</v>
      </c>
      <c r="HH118" s="103">
        <f t="shared" si="709"/>
        <v>1342.1052631578948</v>
      </c>
      <c r="HI118" s="103">
        <f t="shared" si="709"/>
        <v>1324.6753246753246</v>
      </c>
      <c r="HJ118" s="103">
        <f t="shared" si="709"/>
        <v>1371.4285714285713</v>
      </c>
      <c r="HK118" s="103">
        <f t="shared" si="709"/>
        <v>1361.0108303249099</v>
      </c>
      <c r="HM118" s="143" t="s">
        <v>143</v>
      </c>
      <c r="HN118" s="103">
        <f t="shared" si="710"/>
        <v>1467.741935483871</v>
      </c>
      <c r="HO118" s="103">
        <f t="shared" si="710"/>
        <v>1412.5</v>
      </c>
      <c r="HP118" s="103">
        <f t="shared" si="710"/>
        <v>1443.0379746835442</v>
      </c>
      <c r="HQ118" s="103">
        <f t="shared" si="710"/>
        <v>1418.918918918919</v>
      </c>
      <c r="HR118" s="103">
        <f t="shared" si="710"/>
        <v>1433.8983050847457</v>
      </c>
      <c r="HT118" s="143" t="s">
        <v>143</v>
      </c>
      <c r="HU118" s="103">
        <f t="shared" si="711"/>
        <v>1649.1228070175439</v>
      </c>
      <c r="HV118" s="103">
        <f t="shared" si="711"/>
        <v>1528.5714285714284</v>
      </c>
      <c r="HW118" s="103">
        <f t="shared" si="711"/>
        <v>1405.4054054054054</v>
      </c>
      <c r="HX118" s="103">
        <f t="shared" si="711"/>
        <v>1507.2463768115942</v>
      </c>
      <c r="HY118" s="103">
        <f t="shared" si="711"/>
        <v>1514.8148148148148</v>
      </c>
      <c r="IA118" s="143" t="s">
        <v>143</v>
      </c>
      <c r="IB118" s="103">
        <f t="shared" si="712"/>
        <v>1678.5714285714287</v>
      </c>
      <c r="IC118" s="103">
        <f t="shared" si="712"/>
        <v>1534.2465753424656</v>
      </c>
      <c r="ID118" s="103">
        <f t="shared" si="712"/>
        <v>1480</v>
      </c>
      <c r="IE118" s="103">
        <f t="shared" si="712"/>
        <v>1590.9090909090908</v>
      </c>
      <c r="IF118" s="103">
        <f t="shared" si="712"/>
        <v>1562.9629629629628</v>
      </c>
      <c r="IH118" s="143" t="s">
        <v>143</v>
      </c>
      <c r="II118" s="103">
        <f t="shared" si="713"/>
        <v>1754.7169811320755</v>
      </c>
      <c r="IJ118" s="103">
        <f t="shared" si="713"/>
        <v>1538.4615384615386</v>
      </c>
      <c r="IK118" s="103">
        <f t="shared" si="713"/>
        <v>1481.9277108433735</v>
      </c>
      <c r="IL118" s="103">
        <f t="shared" si="713"/>
        <v>1513.5135135135135</v>
      </c>
      <c r="IM118" s="103">
        <f t="shared" si="713"/>
        <v>1555.5555555555557</v>
      </c>
      <c r="IO118" s="143" t="s">
        <v>143</v>
      </c>
      <c r="IP118" s="103">
        <f t="shared" si="714"/>
        <v>1694.9152542372881</v>
      </c>
      <c r="IQ118" s="103">
        <f t="shared" si="714"/>
        <v>1475.6097560975609</v>
      </c>
      <c r="IR118" s="103">
        <f t="shared" si="714"/>
        <v>1436.7816091954021</v>
      </c>
      <c r="IS118" s="103">
        <f t="shared" si="714"/>
        <v>1448.7179487179487</v>
      </c>
      <c r="IT118" s="103">
        <f t="shared" si="714"/>
        <v>1500</v>
      </c>
      <c r="IV118" s="143" t="s">
        <v>143</v>
      </c>
      <c r="IW118" s="103">
        <f t="shared" si="715"/>
        <v>1620.6896551724137</v>
      </c>
      <c r="IX118" s="103">
        <f t="shared" si="715"/>
        <v>1465.1162790697674</v>
      </c>
      <c r="IY118" s="103">
        <f t="shared" si="715"/>
        <v>1453.4883720930231</v>
      </c>
      <c r="IZ118" s="103">
        <f t="shared" si="715"/>
        <v>1475</v>
      </c>
      <c r="JA118" s="103">
        <f t="shared" si="715"/>
        <v>1493.5483870967744</v>
      </c>
      <c r="JC118" s="143" t="s">
        <v>143</v>
      </c>
      <c r="JD118" s="103">
        <f t="shared" si="716"/>
        <v>1628.5714285714287</v>
      </c>
      <c r="JE118" s="103">
        <f t="shared" si="716"/>
        <v>1910.4477611940299</v>
      </c>
      <c r="JF118" s="103">
        <f t="shared" si="716"/>
        <v>1875</v>
      </c>
      <c r="JG118" s="103">
        <f t="shared" si="716"/>
        <v>2848.4848484848485</v>
      </c>
      <c r="JH118" s="103">
        <f t="shared" si="716"/>
        <v>2059.925093632959</v>
      </c>
      <c r="JJ118" s="143" t="s">
        <v>143</v>
      </c>
      <c r="JK118" s="103">
        <f t="shared" si="717"/>
        <v>1727.2727272727273</v>
      </c>
      <c r="JL118" s="103">
        <f t="shared" si="717"/>
        <v>1929.5774647887324</v>
      </c>
      <c r="JM118" s="103">
        <f t="shared" si="717"/>
        <v>1851.3513513513512</v>
      </c>
      <c r="JN118" s="103">
        <f t="shared" si="717"/>
        <v>1780.8219178082193</v>
      </c>
      <c r="JO118" s="103">
        <f t="shared" si="717"/>
        <v>1823.943661971831</v>
      </c>
      <c r="JQ118" s="143" t="s">
        <v>143</v>
      </c>
      <c r="JR118" s="103">
        <f t="shared" si="718"/>
        <v>1782.6086956521738</v>
      </c>
      <c r="JS118" s="103">
        <f t="shared" si="718"/>
        <v>1633.3333333333333</v>
      </c>
      <c r="JT118" s="103">
        <f t="shared" si="718"/>
        <v>1986.3013698630136</v>
      </c>
      <c r="JU118" s="103">
        <f t="shared" si="718"/>
        <v>1943.661971830986</v>
      </c>
      <c r="JV118" s="103">
        <f t="shared" si="718"/>
        <v>1825.0825082508252</v>
      </c>
      <c r="JX118" s="143" t="s">
        <v>143</v>
      </c>
      <c r="JY118" s="103">
        <f t="shared" si="719"/>
        <v>1716.2162162162163</v>
      </c>
      <c r="JZ118" s="103">
        <f t="shared" si="719"/>
        <v>1614.4578313253012</v>
      </c>
      <c r="KA118" s="103">
        <f t="shared" si="719"/>
        <v>1674.4186046511629</v>
      </c>
      <c r="KB118" s="103">
        <f t="shared" si="719"/>
        <v>1705.1282051282051</v>
      </c>
      <c r="KC118" s="103">
        <f t="shared" si="719"/>
        <v>1676.0124610591899</v>
      </c>
      <c r="KE118" s="143" t="s">
        <v>143</v>
      </c>
      <c r="KF118" s="103">
        <f t="shared" si="720"/>
        <v>1865.6716417910447</v>
      </c>
      <c r="KG118" s="103">
        <f t="shared" si="720"/>
        <v>1747.1264367816093</v>
      </c>
      <c r="KH118" s="103">
        <f t="shared" si="720"/>
        <v>1800</v>
      </c>
      <c r="KI118" s="103">
        <f t="shared" si="720"/>
        <v>1827.1604938271603</v>
      </c>
      <c r="KJ118" s="103">
        <f t="shared" si="720"/>
        <v>1806.1538461538462</v>
      </c>
      <c r="KL118" s="143" t="s">
        <v>143</v>
      </c>
      <c r="KM118" s="103">
        <f t="shared" si="721"/>
        <v>2000</v>
      </c>
      <c r="KN118" s="103">
        <f t="shared" si="721"/>
        <v>1888.8888888888889</v>
      </c>
      <c r="KO118" s="103">
        <f t="shared" si="721"/>
        <v>1978.0219780219782</v>
      </c>
      <c r="KP118" s="103">
        <f t="shared" si="721"/>
        <v>1952.3809523809523</v>
      </c>
      <c r="KQ118" s="103">
        <f t="shared" si="721"/>
        <v>1952.5222551928782</v>
      </c>
      <c r="KS118" s="143" t="s">
        <v>143</v>
      </c>
      <c r="KT118" s="247">
        <f t="shared" si="722"/>
        <v>2084.3373493975905</v>
      </c>
      <c r="KU118" s="247">
        <f t="shared" si="722"/>
        <v>2010.5263157894738</v>
      </c>
      <c r="KV118" s="247">
        <f t="shared" si="722"/>
        <v>2000</v>
      </c>
      <c r="KW118" s="247">
        <f t="shared" si="722"/>
        <v>2105.8823529411766</v>
      </c>
      <c r="KX118" s="247">
        <f t="shared" si="722"/>
        <v>2047.4860335195531</v>
      </c>
      <c r="KY118" s="521"/>
      <c r="KZ118" s="246" t="s">
        <v>143</v>
      </c>
      <c r="LA118" s="247">
        <f t="shared" si="723"/>
        <v>2175</v>
      </c>
      <c r="LB118" s="301">
        <v>2134</v>
      </c>
      <c r="LC118" s="301">
        <v>2104</v>
      </c>
      <c r="LD118" s="301">
        <v>2148</v>
      </c>
      <c r="LE118" s="301">
        <f t="shared" si="724"/>
        <v>2138.5041551246536</v>
      </c>
      <c r="LF118" s="561"/>
      <c r="LG118" s="246" t="s">
        <v>143</v>
      </c>
      <c r="LH118" s="301">
        <v>2291</v>
      </c>
      <c r="LI118" s="301">
        <v>2202</v>
      </c>
      <c r="LJ118" s="301">
        <v>2173</v>
      </c>
      <c r="LK118" s="301">
        <v>2226</v>
      </c>
      <c r="LL118" s="301">
        <f t="shared" si="725"/>
        <v>2218.6666666666665</v>
      </c>
      <c r="LM118" s="561"/>
      <c r="LN118" s="246" t="s">
        <v>143</v>
      </c>
      <c r="LO118" s="301">
        <f t="shared" ref="LO118:LR118" si="741">LO203</f>
        <v>2377.0569620253168</v>
      </c>
      <c r="LP118" s="301">
        <f t="shared" si="741"/>
        <v>2284.5959595959598</v>
      </c>
      <c r="LQ118" s="301">
        <f t="shared" si="741"/>
        <v>2249.1346153846148</v>
      </c>
      <c r="LR118" s="301">
        <f t="shared" si="741"/>
        <v>2303.7096774193542</v>
      </c>
      <c r="LS118" s="301">
        <f t="shared" si="727"/>
        <v>2299.4529866470184</v>
      </c>
      <c r="LT118" s="561"/>
      <c r="LU118" s="246" t="s">
        <v>143</v>
      </c>
      <c r="LV118" s="301">
        <f t="shared" ref="LV118:LY118" si="742">LV203</f>
        <v>2454.3113132911394</v>
      </c>
      <c r="LW118" s="301">
        <f t="shared" si="742"/>
        <v>2335.9993686868688</v>
      </c>
      <c r="LX118" s="301">
        <f t="shared" si="742"/>
        <v>2310.9858173076918</v>
      </c>
      <c r="LY118" s="301">
        <f t="shared" si="742"/>
        <v>2367.0616935483868</v>
      </c>
      <c r="LZ118" s="301">
        <f t="shared" si="729"/>
        <v>2362.2036000859607</v>
      </c>
      <c r="MA118" s="561"/>
      <c r="MB118" s="246" t="s">
        <v>143</v>
      </c>
      <c r="MC118" s="301">
        <f t="shared" ref="MC118:MF118" si="743">MC203</f>
        <v>2515.6690961234176</v>
      </c>
      <c r="MD118" s="301">
        <f t="shared" si="743"/>
        <v>2394.3993529040404</v>
      </c>
      <c r="ME118" s="301">
        <f t="shared" si="743"/>
        <v>2368.7604627403839</v>
      </c>
      <c r="MF118" s="301">
        <f t="shared" si="743"/>
        <v>2426.2382358870964</v>
      </c>
      <c r="MG118" s="301">
        <f t="shared" si="731"/>
        <v>2421.2586900881092</v>
      </c>
      <c r="MH118" s="561"/>
    </row>
    <row r="119" spans="1:346" s="37" customFormat="1" ht="13.15" x14ac:dyDescent="0.4">
      <c r="A119" s="100"/>
      <c r="B119" s="143" t="s">
        <v>144</v>
      </c>
      <c r="C119" s="103" t="str">
        <f t="shared" ref="C119:M119" si="744">IFERROR(C13/C73*1000,"")</f>
        <v/>
      </c>
      <c r="D119" s="103" t="str">
        <f t="shared" si="744"/>
        <v/>
      </c>
      <c r="E119" s="103">
        <f t="shared" si="744"/>
        <v>677.22507249609646</v>
      </c>
      <c r="F119" s="103">
        <f t="shared" si="744"/>
        <v>797.12707182320446</v>
      </c>
      <c r="G119" s="103">
        <f t="shared" si="744"/>
        <v>795.15757109915455</v>
      </c>
      <c r="H119" s="103">
        <f t="shared" si="744"/>
        <v>795.53903345724905</v>
      </c>
      <c r="I119" s="103">
        <f t="shared" si="744"/>
        <v>807.18954248366015</v>
      </c>
      <c r="J119" s="103">
        <f t="shared" si="744"/>
        <v>899.61389961389955</v>
      </c>
      <c r="K119" s="103">
        <f t="shared" si="744"/>
        <v>791.82156133828994</v>
      </c>
      <c r="L119" s="103">
        <f t="shared" si="744"/>
        <v>812.08053691275177</v>
      </c>
      <c r="M119" s="103">
        <f t="shared" si="744"/>
        <v>865.57377049180332</v>
      </c>
      <c r="N119" s="103">
        <f t="shared" si="648"/>
        <v>944</v>
      </c>
      <c r="O119" s="103">
        <f t="shared" si="649"/>
        <v>948.49785407725312</v>
      </c>
      <c r="P119" s="103">
        <f t="shared" si="650"/>
        <v>1015.0753768844221</v>
      </c>
      <c r="Q119" s="103">
        <f t="shared" si="651"/>
        <v>973.45132743362831</v>
      </c>
      <c r="R119" s="103">
        <f t="shared" si="652"/>
        <v>941.8604651162791</v>
      </c>
      <c r="S119" s="103">
        <f t="shared" si="653"/>
        <v>976.02739726027403</v>
      </c>
      <c r="T119" s="103">
        <f t="shared" si="654"/>
        <v>966.7774086378738</v>
      </c>
      <c r="U119" s="103">
        <f t="shared" si="655"/>
        <v>1046.9314079422384</v>
      </c>
      <c r="V119" s="103">
        <f t="shared" si="656"/>
        <v>993.67088607594928</v>
      </c>
      <c r="W119" s="103">
        <f t="shared" si="657"/>
        <v>1072.4137931034484</v>
      </c>
      <c r="X119" s="103">
        <f t="shared" si="658"/>
        <v>1131.9018404907974</v>
      </c>
      <c r="Y119" s="103">
        <f t="shared" si="659"/>
        <v>1186.588921282799</v>
      </c>
      <c r="Z119" s="103">
        <f t="shared" si="660"/>
        <v>1238.244514106583</v>
      </c>
      <c r="AA119" s="103">
        <f t="shared" si="661"/>
        <v>1257.0532915360502</v>
      </c>
      <c r="AB119" s="103">
        <f t="shared" si="662"/>
        <v>1250</v>
      </c>
      <c r="AC119" s="103">
        <f t="shared" si="663"/>
        <v>1344.7368421052631</v>
      </c>
      <c r="AD119" s="103">
        <f t="shared" si="664"/>
        <v>1578.9473684210527</v>
      </c>
      <c r="AE119" s="103">
        <f t="shared" si="665"/>
        <v>1848.901098901099</v>
      </c>
      <c r="AF119" s="103">
        <f t="shared" si="666"/>
        <v>2160.5633802816901</v>
      </c>
      <c r="AG119" s="103">
        <f t="shared" si="667"/>
        <v>2231.4540059347182</v>
      </c>
      <c r="AH119" s="103">
        <f t="shared" si="668"/>
        <v>1995</v>
      </c>
      <c r="AI119" s="103">
        <f t="shared" si="669"/>
        <v>2139.9176954732511</v>
      </c>
      <c r="AJ119" s="103">
        <f t="shared" si="670"/>
        <v>2313.2075471698113</v>
      </c>
      <c r="AK119" s="103">
        <f t="shared" si="671"/>
        <v>2414.4486692015212</v>
      </c>
      <c r="AL119" s="103">
        <f t="shared" si="672"/>
        <v>2381.8770226537217</v>
      </c>
      <c r="AM119" s="103">
        <f t="shared" si="673"/>
        <v>2489.4259818731121</v>
      </c>
      <c r="AN119" s="103">
        <f t="shared" si="674"/>
        <v>2545.7746478873241</v>
      </c>
      <c r="AO119" s="103">
        <f t="shared" si="675"/>
        <v>2751.8796992481207</v>
      </c>
      <c r="AP119" s="103">
        <f t="shared" si="676"/>
        <v>2746.09375</v>
      </c>
      <c r="AQ119" s="103">
        <f t="shared" si="677"/>
        <v>2880.1498127340824</v>
      </c>
      <c r="AR119" s="103">
        <f t="shared" si="678"/>
        <v>2991.9354838709673</v>
      </c>
      <c r="AS119" s="103">
        <f t="shared" si="679"/>
        <v>2824.2677824267785</v>
      </c>
      <c r="AT119" s="103">
        <f t="shared" si="680"/>
        <v>2873.6462093862815</v>
      </c>
      <c r="AU119" s="103">
        <f t="shared" si="681"/>
        <v>3101.1235955056181</v>
      </c>
      <c r="AV119" s="103">
        <f t="shared" si="682"/>
        <v>3228.8732394366193</v>
      </c>
      <c r="AW119" s="103">
        <f t="shared" si="683"/>
        <v>3361.940298507463</v>
      </c>
      <c r="AX119" s="103">
        <f t="shared" si="684"/>
        <v>3279.2452830188677</v>
      </c>
      <c r="AY119" s="103">
        <f t="shared" si="685"/>
        <v>3390.3388343022716</v>
      </c>
      <c r="AZ119" s="103">
        <f t="shared" si="686"/>
        <v>3483.5731522455849</v>
      </c>
      <c r="BA119" s="103">
        <f t="shared" si="687"/>
        <v>3570.6624810517237</v>
      </c>
      <c r="BB119" s="103"/>
      <c r="BC119" s="103"/>
      <c r="BD119" s="103"/>
      <c r="BE119" s="103"/>
      <c r="BF119" s="103"/>
      <c r="BG119" s="103"/>
      <c r="BH119" s="103"/>
      <c r="BI119" s="103"/>
      <c r="BJ119" s="103"/>
      <c r="BK119" s="103"/>
      <c r="BL119" s="103"/>
      <c r="BM119" s="103"/>
      <c r="BO119" s="143" t="s">
        <v>144</v>
      </c>
      <c r="BP119" s="103">
        <f t="shared" si="688"/>
        <v>1000</v>
      </c>
      <c r="BQ119" s="103">
        <f t="shared" si="688"/>
        <v>887.32394366197184</v>
      </c>
      <c r="BR119" s="103">
        <f t="shared" si="688"/>
        <v>895.52238805970148</v>
      </c>
      <c r="BS119" s="103">
        <f t="shared" si="688"/>
        <v>1018.1818181818181</v>
      </c>
      <c r="BT119" s="103">
        <f t="shared" si="688"/>
        <v>944</v>
      </c>
      <c r="BV119" s="143" t="s">
        <v>144</v>
      </c>
      <c r="BW119" s="103">
        <f t="shared" si="689"/>
        <v>1000</v>
      </c>
      <c r="BX119" s="103">
        <f t="shared" si="689"/>
        <v>921.875</v>
      </c>
      <c r="BY119" s="103">
        <f t="shared" si="689"/>
        <v>887.09677419354841</v>
      </c>
      <c r="BZ119" s="103">
        <f t="shared" si="689"/>
        <v>1000</v>
      </c>
      <c r="CA119" s="103">
        <f t="shared" si="689"/>
        <v>948.49785407725312</v>
      </c>
      <c r="CC119" s="143" t="s">
        <v>144</v>
      </c>
      <c r="CD119" s="103">
        <f t="shared" si="690"/>
        <v>1090.9090909090908</v>
      </c>
      <c r="CE119" s="103">
        <f t="shared" si="690"/>
        <v>979.59183673469386</v>
      </c>
      <c r="CF119" s="103">
        <f t="shared" si="690"/>
        <v>981.81818181818176</v>
      </c>
      <c r="CG119" s="103">
        <f t="shared" si="690"/>
        <v>1019.6078431372548</v>
      </c>
      <c r="CH119" s="103">
        <f t="shared" si="690"/>
        <v>1015.0753768844221</v>
      </c>
      <c r="CJ119" s="143" t="s">
        <v>144</v>
      </c>
      <c r="CK119" s="103">
        <f t="shared" si="691"/>
        <v>1041.6666666666667</v>
      </c>
      <c r="CL119" s="103">
        <f t="shared" si="691"/>
        <v>951.61290322580646</v>
      </c>
      <c r="CM119" s="103">
        <f t="shared" si="691"/>
        <v>948.27586206896558</v>
      </c>
      <c r="CN119" s="103">
        <f t="shared" si="691"/>
        <v>965.51724137931035</v>
      </c>
      <c r="CO119" s="103">
        <f t="shared" si="691"/>
        <v>973.45132743362831</v>
      </c>
      <c r="CQ119" s="143" t="s">
        <v>144</v>
      </c>
      <c r="CR119" s="103">
        <f t="shared" si="692"/>
        <v>1000</v>
      </c>
      <c r="CS119" s="103">
        <f t="shared" si="692"/>
        <v>926.47058823529414</v>
      </c>
      <c r="CT119" s="103">
        <f t="shared" si="692"/>
        <v>869.56521739130437</v>
      </c>
      <c r="CU119" s="103">
        <f t="shared" si="692"/>
        <v>984.61538461538464</v>
      </c>
      <c r="CV119" s="103">
        <f t="shared" si="692"/>
        <v>941.8604651162791</v>
      </c>
      <c r="CX119" s="143" t="s">
        <v>144</v>
      </c>
      <c r="CY119" s="103">
        <f t="shared" si="693"/>
        <v>1029.4117647058822</v>
      </c>
      <c r="CZ119" s="103">
        <f t="shared" si="693"/>
        <v>973.33333333333337</v>
      </c>
      <c r="DA119" s="103">
        <f t="shared" si="693"/>
        <v>935.06493506493507</v>
      </c>
      <c r="DB119" s="103">
        <f t="shared" si="693"/>
        <v>972.22222222222217</v>
      </c>
      <c r="DC119" s="103">
        <f t="shared" si="693"/>
        <v>976.02739726027403</v>
      </c>
      <c r="DE119" s="143" t="s">
        <v>144</v>
      </c>
      <c r="DF119" s="103">
        <f t="shared" si="694"/>
        <v>1000</v>
      </c>
      <c r="DG119" s="103">
        <f t="shared" si="694"/>
        <v>938.27160493827159</v>
      </c>
      <c r="DH119" s="103">
        <f t="shared" si="694"/>
        <v>960.52631578947364</v>
      </c>
      <c r="DI119" s="103">
        <f t="shared" si="694"/>
        <v>971.42857142857144</v>
      </c>
      <c r="DJ119" s="103">
        <f t="shared" si="694"/>
        <v>966.7774086378738</v>
      </c>
      <c r="DL119" s="143" t="s">
        <v>144</v>
      </c>
      <c r="DM119" s="103">
        <f t="shared" si="695"/>
        <v>1076.9230769230769</v>
      </c>
      <c r="DN119" s="103">
        <f t="shared" si="695"/>
        <v>1028.1690140845069</v>
      </c>
      <c r="DO119" s="103">
        <f t="shared" si="695"/>
        <v>1028.5714285714284</v>
      </c>
      <c r="DP119" s="103">
        <f t="shared" si="695"/>
        <v>1056.338028169014</v>
      </c>
      <c r="DQ119" s="103">
        <f t="shared" si="695"/>
        <v>1046.9314079422384</v>
      </c>
      <c r="DS119" s="143" t="s">
        <v>144</v>
      </c>
      <c r="DT119" s="103">
        <f t="shared" si="696"/>
        <v>1056.338028169014</v>
      </c>
      <c r="DU119" s="103">
        <f t="shared" si="696"/>
        <v>987.80487804878044</v>
      </c>
      <c r="DV119" s="103">
        <f t="shared" si="696"/>
        <v>987.5</v>
      </c>
      <c r="DW119" s="103">
        <f t="shared" si="696"/>
        <v>951.80722891566256</v>
      </c>
      <c r="DX119" s="103">
        <f t="shared" si="696"/>
        <v>993.67088607594928</v>
      </c>
      <c r="DZ119" s="143" t="s">
        <v>144</v>
      </c>
      <c r="EA119" s="103">
        <f t="shared" si="697"/>
        <v>1040</v>
      </c>
      <c r="EB119" s="103">
        <f t="shared" si="697"/>
        <v>988.50574712643675</v>
      </c>
      <c r="EC119" s="103">
        <f t="shared" si="697"/>
        <v>1151.5151515151515</v>
      </c>
      <c r="ED119" s="103">
        <f t="shared" si="697"/>
        <v>1145.1612903225807</v>
      </c>
      <c r="EE119" s="103">
        <f t="shared" si="697"/>
        <v>1072.4137931034484</v>
      </c>
      <c r="EG119" s="143" t="s">
        <v>144</v>
      </c>
      <c r="EH119" s="103">
        <f t="shared" si="698"/>
        <v>1063.2911392405063</v>
      </c>
      <c r="EI119" s="103">
        <f t="shared" si="698"/>
        <v>1128.2051282051282</v>
      </c>
      <c r="EJ119" s="103">
        <f t="shared" si="698"/>
        <v>1176.4705882352941</v>
      </c>
      <c r="EK119" s="103">
        <f t="shared" si="698"/>
        <v>1154.7619047619046</v>
      </c>
      <c r="EL119" s="103">
        <f t="shared" si="698"/>
        <v>1131.9018404907974</v>
      </c>
      <c r="EN119" s="143" t="s">
        <v>144</v>
      </c>
      <c r="EO119" s="103">
        <f t="shared" si="699"/>
        <v>1153.8461538461538</v>
      </c>
      <c r="EP119" s="103">
        <f t="shared" si="699"/>
        <v>1191.0112359550562</v>
      </c>
      <c r="EQ119" s="103">
        <f t="shared" si="699"/>
        <v>1190.4761904761904</v>
      </c>
      <c r="ER119" s="103">
        <f t="shared" si="699"/>
        <v>1215.1898734177216</v>
      </c>
      <c r="ES119" s="103">
        <f t="shared" si="699"/>
        <v>1186.588921282799</v>
      </c>
      <c r="EU119" s="143" t="s">
        <v>144</v>
      </c>
      <c r="EV119" s="103">
        <f t="shared" si="700"/>
        <v>1222.2222222222224</v>
      </c>
      <c r="EW119" s="103">
        <f t="shared" si="700"/>
        <v>1240.963855421687</v>
      </c>
      <c r="EX119" s="103">
        <f t="shared" si="700"/>
        <v>1259.2592592592594</v>
      </c>
      <c r="EY119" s="103">
        <f t="shared" si="700"/>
        <v>1229.7297297297298</v>
      </c>
      <c r="EZ119" s="103">
        <f t="shared" si="700"/>
        <v>1238.244514106583</v>
      </c>
      <c r="FB119" s="143" t="s">
        <v>144</v>
      </c>
      <c r="FC119" s="103">
        <f t="shared" si="701"/>
        <v>1272.7272727272727</v>
      </c>
      <c r="FD119" s="103">
        <f t="shared" si="701"/>
        <v>1250</v>
      </c>
      <c r="FE119" s="103">
        <f t="shared" si="701"/>
        <v>1253.0120481927711</v>
      </c>
      <c r="FF119" s="103">
        <f t="shared" si="701"/>
        <v>1253.1645569620252</v>
      </c>
      <c r="FG119" s="103">
        <f t="shared" si="701"/>
        <v>1257.0532915360502</v>
      </c>
      <c r="FI119" s="143" t="s">
        <v>144</v>
      </c>
      <c r="FJ119" s="103">
        <f t="shared" si="702"/>
        <v>1250</v>
      </c>
      <c r="FK119" s="103">
        <f t="shared" si="702"/>
        <v>1241.3793103448277</v>
      </c>
      <c r="FL119" s="103">
        <f t="shared" si="702"/>
        <v>1258.8235294117646</v>
      </c>
      <c r="FM119" s="103">
        <f t="shared" si="702"/>
        <v>1250</v>
      </c>
      <c r="FN119" s="103">
        <f t="shared" si="702"/>
        <v>1250</v>
      </c>
      <c r="FP119" s="143" t="s">
        <v>144</v>
      </c>
      <c r="FQ119" s="103">
        <f t="shared" si="703"/>
        <v>1265.9574468085107</v>
      </c>
      <c r="FR119" s="103">
        <f t="shared" si="703"/>
        <v>1315.7894736842106</v>
      </c>
      <c r="FS119" s="103">
        <f t="shared" si="703"/>
        <v>1357.8947368421052</v>
      </c>
      <c r="FT119" s="103">
        <f t="shared" si="703"/>
        <v>1437.5</v>
      </c>
      <c r="FU119" s="103">
        <f t="shared" si="703"/>
        <v>1344.7368421052631</v>
      </c>
      <c r="FW119" s="143" t="s">
        <v>144</v>
      </c>
      <c r="FX119" s="103">
        <f t="shared" si="704"/>
        <v>1483.8709677419356</v>
      </c>
      <c r="FY119" s="103">
        <f t="shared" si="704"/>
        <v>1521.7391304347827</v>
      </c>
      <c r="FZ119" s="103">
        <f t="shared" si="704"/>
        <v>1613.6363636363635</v>
      </c>
      <c r="GA119" s="103">
        <f t="shared" si="704"/>
        <v>1704.5454545454545</v>
      </c>
      <c r="GB119" s="103">
        <f t="shared" si="704"/>
        <v>1578.9473684210527</v>
      </c>
      <c r="GD119" s="143" t="s">
        <v>144</v>
      </c>
      <c r="GE119" s="103">
        <f t="shared" si="705"/>
        <v>1744.6808510638298</v>
      </c>
      <c r="GF119" s="103">
        <f t="shared" si="705"/>
        <v>1821.0526315789475</v>
      </c>
      <c r="GG119" s="103">
        <f t="shared" si="705"/>
        <v>1934.065934065934</v>
      </c>
      <c r="GH119" s="103">
        <f t="shared" si="705"/>
        <v>1904.7619047619046</v>
      </c>
      <c r="GI119" s="103">
        <f t="shared" si="705"/>
        <v>1848.901098901099</v>
      </c>
      <c r="GK119" s="143" t="s">
        <v>144</v>
      </c>
      <c r="GL119" s="103">
        <f t="shared" si="706"/>
        <v>1892.4731182795699</v>
      </c>
      <c r="GM119" s="103">
        <f t="shared" si="706"/>
        <v>1936.1702127659576</v>
      </c>
      <c r="GN119" s="103">
        <f t="shared" si="706"/>
        <v>2764.0449438202249</v>
      </c>
      <c r="GO119" s="103">
        <f t="shared" si="706"/>
        <v>2063.2911392405063</v>
      </c>
      <c r="GP119" s="103">
        <f t="shared" si="706"/>
        <v>2160.5633802816901</v>
      </c>
      <c r="GR119" s="143" t="s">
        <v>144</v>
      </c>
      <c r="GS119" s="103">
        <f t="shared" si="707"/>
        <v>2141.304347826087</v>
      </c>
      <c r="GT119" s="103">
        <f t="shared" si="707"/>
        <v>2197.9166666666665</v>
      </c>
      <c r="GU119" s="103">
        <f t="shared" si="707"/>
        <v>2336.9565217391305</v>
      </c>
      <c r="GV119" s="103">
        <f t="shared" si="707"/>
        <v>2263.1578947368421</v>
      </c>
      <c r="GW119" s="103">
        <f t="shared" si="707"/>
        <v>2231.4540059347182</v>
      </c>
      <c r="GY119" s="143" t="s">
        <v>144</v>
      </c>
      <c r="GZ119" s="103">
        <f t="shared" si="708"/>
        <v>2020.8333333333335</v>
      </c>
      <c r="HA119" s="103">
        <f t="shared" si="708"/>
        <v>1933.3333333333333</v>
      </c>
      <c r="HB119" s="103">
        <f t="shared" si="708"/>
        <v>2018.181818181818</v>
      </c>
      <c r="HC119" s="103">
        <f t="shared" si="708"/>
        <v>2000</v>
      </c>
      <c r="HD119" s="103">
        <f t="shared" si="708"/>
        <v>1995</v>
      </c>
      <c r="HF119" s="143" t="s">
        <v>144</v>
      </c>
      <c r="HG119" s="103">
        <f t="shared" si="709"/>
        <v>2098.3606557377052</v>
      </c>
      <c r="HH119" s="103">
        <f t="shared" si="709"/>
        <v>2153.8461538461538</v>
      </c>
      <c r="HI119" s="103">
        <f t="shared" si="709"/>
        <v>2192.9824561403511</v>
      </c>
      <c r="HJ119" s="103">
        <f t="shared" si="709"/>
        <v>2116.6666666666665</v>
      </c>
      <c r="HK119" s="103">
        <f t="shared" si="709"/>
        <v>2139.9176954732511</v>
      </c>
      <c r="HM119" s="143" t="s">
        <v>144</v>
      </c>
      <c r="HN119" s="103">
        <f t="shared" si="710"/>
        <v>2208.9552238805973</v>
      </c>
      <c r="HO119" s="103">
        <f t="shared" si="710"/>
        <v>2323.5294117647059</v>
      </c>
      <c r="HP119" s="103">
        <f t="shared" si="710"/>
        <v>2348.4848484848485</v>
      </c>
      <c r="HQ119" s="103">
        <f t="shared" si="710"/>
        <v>2375</v>
      </c>
      <c r="HR119" s="103">
        <f t="shared" si="710"/>
        <v>2313.2075471698113</v>
      </c>
      <c r="HT119" s="143" t="s">
        <v>144</v>
      </c>
      <c r="HU119" s="103">
        <f t="shared" si="711"/>
        <v>2375</v>
      </c>
      <c r="HV119" s="103">
        <f t="shared" si="711"/>
        <v>2432.8358208955224</v>
      </c>
      <c r="HW119" s="103">
        <f t="shared" si="711"/>
        <v>2421.875</v>
      </c>
      <c r="HX119" s="103">
        <f t="shared" si="711"/>
        <v>2433.333333333333</v>
      </c>
      <c r="HY119" s="103">
        <f t="shared" si="711"/>
        <v>2414.4486692015212</v>
      </c>
      <c r="IA119" s="143" t="s">
        <v>144</v>
      </c>
      <c r="IB119" s="103">
        <f t="shared" si="712"/>
        <v>2358.9743589743589</v>
      </c>
      <c r="IC119" s="103">
        <f t="shared" si="712"/>
        <v>2407.8947368421054</v>
      </c>
      <c r="ID119" s="103">
        <f t="shared" si="712"/>
        <v>2362.5</v>
      </c>
      <c r="IE119" s="103">
        <f t="shared" si="712"/>
        <v>2400</v>
      </c>
      <c r="IF119" s="103">
        <f t="shared" si="712"/>
        <v>2381.8770226537217</v>
      </c>
      <c r="IH119" s="143" t="s">
        <v>144</v>
      </c>
      <c r="II119" s="103">
        <f t="shared" si="713"/>
        <v>2435.8974358974356</v>
      </c>
      <c r="IJ119" s="103">
        <f t="shared" si="713"/>
        <v>2471.2643678160921</v>
      </c>
      <c r="IK119" s="103">
        <f t="shared" si="713"/>
        <v>2574.7126436781609</v>
      </c>
      <c r="IL119" s="103">
        <f t="shared" si="713"/>
        <v>2468.3544303797466</v>
      </c>
      <c r="IM119" s="103">
        <f t="shared" si="713"/>
        <v>2489.4259818731121</v>
      </c>
      <c r="IO119" s="143" t="s">
        <v>144</v>
      </c>
      <c r="IP119" s="103">
        <f t="shared" si="714"/>
        <v>2500</v>
      </c>
      <c r="IQ119" s="103">
        <f t="shared" si="714"/>
        <v>2466.666666666667</v>
      </c>
      <c r="IR119" s="103">
        <f t="shared" si="714"/>
        <v>2638.8888888888887</v>
      </c>
      <c r="IS119" s="103">
        <f t="shared" si="714"/>
        <v>2584.6153846153848</v>
      </c>
      <c r="IT119" s="103">
        <f t="shared" si="714"/>
        <v>2545.7746478873241</v>
      </c>
      <c r="IV119" s="143" t="s">
        <v>144</v>
      </c>
      <c r="IW119" s="103">
        <f t="shared" si="715"/>
        <v>2661.2903225806449</v>
      </c>
      <c r="IX119" s="103">
        <f t="shared" si="715"/>
        <v>2619.7183098591549</v>
      </c>
      <c r="IY119" s="103">
        <f t="shared" si="715"/>
        <v>2857.1428571428573</v>
      </c>
      <c r="IZ119" s="103">
        <f t="shared" si="715"/>
        <v>2871.4285714285716</v>
      </c>
      <c r="JA119" s="103">
        <f t="shared" si="715"/>
        <v>2751.8796992481207</v>
      </c>
      <c r="JC119" s="143" t="s">
        <v>144</v>
      </c>
      <c r="JD119" s="103">
        <f t="shared" si="716"/>
        <v>2714.2857142857142</v>
      </c>
      <c r="JE119" s="103">
        <f t="shared" si="716"/>
        <v>2656.7164179104479</v>
      </c>
      <c r="JF119" s="103">
        <f t="shared" si="716"/>
        <v>2781.25</v>
      </c>
      <c r="JG119" s="103">
        <f t="shared" si="716"/>
        <v>2854.5454545454545</v>
      </c>
      <c r="JH119" s="103">
        <f t="shared" si="716"/>
        <v>2746.09375</v>
      </c>
      <c r="JJ119" s="143" t="s">
        <v>144</v>
      </c>
      <c r="JK119" s="103">
        <f t="shared" si="717"/>
        <v>2906.25</v>
      </c>
      <c r="JL119" s="103">
        <f t="shared" si="717"/>
        <v>2869.565217391304</v>
      </c>
      <c r="JM119" s="103">
        <f t="shared" si="717"/>
        <v>2971.014492753623</v>
      </c>
      <c r="JN119" s="103">
        <f t="shared" si="717"/>
        <v>2769.2307692307691</v>
      </c>
      <c r="JO119" s="103">
        <f t="shared" si="717"/>
        <v>2880.1498127340824</v>
      </c>
      <c r="JQ119" s="143" t="s">
        <v>144</v>
      </c>
      <c r="JR119" s="103">
        <f t="shared" si="718"/>
        <v>2953.125</v>
      </c>
      <c r="JS119" s="103">
        <f t="shared" si="718"/>
        <v>2984.1269841269841</v>
      </c>
      <c r="JT119" s="103">
        <f t="shared" si="718"/>
        <v>3000</v>
      </c>
      <c r="JU119" s="103">
        <f t="shared" si="718"/>
        <v>3035.7142857142858</v>
      </c>
      <c r="JV119" s="103">
        <f t="shared" si="718"/>
        <v>2991.9354838709673</v>
      </c>
      <c r="JX119" s="143" t="s">
        <v>144</v>
      </c>
      <c r="JY119" s="103">
        <f t="shared" si="719"/>
        <v>2970.1492537313434</v>
      </c>
      <c r="JZ119" s="103">
        <f t="shared" si="719"/>
        <v>2958.3333333333335</v>
      </c>
      <c r="KA119" s="103">
        <f t="shared" si="719"/>
        <v>2741.3793103448274</v>
      </c>
      <c r="KB119" s="103">
        <f t="shared" si="719"/>
        <v>2651.5151515151515</v>
      </c>
      <c r="KC119" s="103">
        <f t="shared" si="719"/>
        <v>2824.2677824267785</v>
      </c>
      <c r="KE119" s="143" t="s">
        <v>144</v>
      </c>
      <c r="KF119" s="103">
        <f t="shared" si="720"/>
        <v>2735.294117647059</v>
      </c>
      <c r="KG119" s="103">
        <f t="shared" si="720"/>
        <v>2873.2394366197186</v>
      </c>
      <c r="KH119" s="103">
        <f t="shared" si="720"/>
        <v>2942.8571428571431</v>
      </c>
      <c r="KI119" s="103">
        <f t="shared" si="720"/>
        <v>2941.1764705882356</v>
      </c>
      <c r="KJ119" s="103">
        <f t="shared" si="720"/>
        <v>2873.6462093862815</v>
      </c>
      <c r="KL119" s="143" t="s">
        <v>144</v>
      </c>
      <c r="KM119" s="103">
        <f t="shared" si="721"/>
        <v>2984.848484848485</v>
      </c>
      <c r="KN119" s="103">
        <f t="shared" si="721"/>
        <v>3130.434782608696</v>
      </c>
      <c r="KO119" s="103">
        <f t="shared" si="721"/>
        <v>3149.2537313432836</v>
      </c>
      <c r="KP119" s="103">
        <f t="shared" si="721"/>
        <v>3138.4615384615386</v>
      </c>
      <c r="KQ119" s="103">
        <f t="shared" si="721"/>
        <v>3101.1235955056181</v>
      </c>
      <c r="KS119" s="143" t="s">
        <v>144</v>
      </c>
      <c r="KT119" s="247">
        <f t="shared" si="722"/>
        <v>3273.9726027397264</v>
      </c>
      <c r="KU119" s="247">
        <f t="shared" si="722"/>
        <v>3243.2432432432433</v>
      </c>
      <c r="KV119" s="247">
        <f t="shared" si="722"/>
        <v>3214.2857142857142</v>
      </c>
      <c r="KW119" s="247">
        <f t="shared" si="722"/>
        <v>3179.1044776119402</v>
      </c>
      <c r="KX119" s="247">
        <f t="shared" si="722"/>
        <v>3228.8732394366193</v>
      </c>
      <c r="KY119" s="521"/>
      <c r="KZ119" s="246" t="s">
        <v>144</v>
      </c>
      <c r="LA119" s="247">
        <f t="shared" si="723"/>
        <v>3589.0410958904113</v>
      </c>
      <c r="LB119" s="301">
        <v>3382</v>
      </c>
      <c r="LC119" s="301">
        <v>3250</v>
      </c>
      <c r="LD119" s="301">
        <v>3190</v>
      </c>
      <c r="LE119" s="301">
        <f t="shared" si="724"/>
        <v>3361.940298507463</v>
      </c>
      <c r="LF119" s="561"/>
      <c r="LG119" s="246" t="s">
        <v>144</v>
      </c>
      <c r="LH119" s="301">
        <v>3215</v>
      </c>
      <c r="LI119" s="301">
        <v>3200</v>
      </c>
      <c r="LJ119" s="301">
        <v>3343</v>
      </c>
      <c r="LK119" s="301">
        <v>3365</v>
      </c>
      <c r="LL119" s="301">
        <f t="shared" si="725"/>
        <v>3279.2452830188677</v>
      </c>
      <c r="LM119" s="561"/>
      <c r="LN119" s="246" t="s">
        <v>144</v>
      </c>
      <c r="LO119" s="301">
        <f t="shared" ref="LO119:LR119" si="745">LO213</f>
        <v>3335.961538461539</v>
      </c>
      <c r="LP119" s="301">
        <f t="shared" si="745"/>
        <v>3320.0000000000005</v>
      </c>
      <c r="LQ119" s="301">
        <f t="shared" si="745"/>
        <v>3451.9402985074626</v>
      </c>
      <c r="LR119" s="301">
        <f t="shared" si="745"/>
        <v>3457.6190476190482</v>
      </c>
      <c r="LS119" s="301">
        <f t="shared" si="727"/>
        <v>3390.3388343022716</v>
      </c>
      <c r="LT119" s="561"/>
      <c r="LU119" s="246" t="s">
        <v>144</v>
      </c>
      <c r="LV119" s="301">
        <f t="shared" ref="LV119:LY119" si="746">LV213</f>
        <v>3427.7004807692315</v>
      </c>
      <c r="LW119" s="301">
        <f t="shared" si="746"/>
        <v>3411.3000000000006</v>
      </c>
      <c r="LX119" s="301">
        <f t="shared" si="746"/>
        <v>3546.8686567164182</v>
      </c>
      <c r="LY119" s="301">
        <f t="shared" si="746"/>
        <v>3552.7035714285721</v>
      </c>
      <c r="LZ119" s="301">
        <f t="shared" si="729"/>
        <v>3483.5731522455849</v>
      </c>
      <c r="MA119" s="561"/>
      <c r="MB119" s="246" t="s">
        <v>144</v>
      </c>
      <c r="MC119" s="301">
        <f t="shared" ref="MC119:MF119" si="747">MC213</f>
        <v>3513.3929927884619</v>
      </c>
      <c r="MD119" s="301">
        <f t="shared" si="747"/>
        <v>3496.5825000000004</v>
      </c>
      <c r="ME119" s="301">
        <f t="shared" si="747"/>
        <v>3635.5403731343281</v>
      </c>
      <c r="MF119" s="301">
        <f t="shared" si="747"/>
        <v>3641.521160714286</v>
      </c>
      <c r="MG119" s="301">
        <f t="shared" si="731"/>
        <v>3570.6624810517237</v>
      </c>
      <c r="MH119" s="561"/>
    </row>
    <row r="120" spans="1:346" s="37" customFormat="1" ht="13.15" x14ac:dyDescent="0.4">
      <c r="A120" s="100"/>
      <c r="B120" s="143" t="s">
        <v>142</v>
      </c>
      <c r="C120" s="103" t="str">
        <f t="shared" ref="C120:M120" si="748">IFERROR(C14/C74*1000,"")</f>
        <v/>
      </c>
      <c r="D120" s="103" t="str">
        <f t="shared" si="748"/>
        <v/>
      </c>
      <c r="E120" s="103">
        <f t="shared" si="748"/>
        <v>479.17368361962497</v>
      </c>
      <c r="F120" s="103">
        <f t="shared" si="748"/>
        <v>568.11560424192987</v>
      </c>
      <c r="G120" s="103">
        <f t="shared" si="748"/>
        <v>611.09618484685654</v>
      </c>
      <c r="H120" s="103">
        <f t="shared" si="748"/>
        <v>637.62102351313968</v>
      </c>
      <c r="I120" s="103">
        <f t="shared" si="748"/>
        <v>675.0700280112045</v>
      </c>
      <c r="J120" s="103">
        <f t="shared" si="748"/>
        <v>825.32751091703062</v>
      </c>
      <c r="K120" s="103">
        <f t="shared" si="748"/>
        <v>754.94672754946725</v>
      </c>
      <c r="L120" s="103">
        <f t="shared" si="748"/>
        <v>742.46987951807228</v>
      </c>
      <c r="M120" s="103">
        <f t="shared" si="748"/>
        <v>805.46623794212212</v>
      </c>
      <c r="N120" s="103">
        <f t="shared" si="648"/>
        <v>870.20109689213893</v>
      </c>
      <c r="O120" s="103">
        <f t="shared" si="649"/>
        <v>905.88235294117646</v>
      </c>
      <c r="P120" s="103">
        <f t="shared" si="650"/>
        <v>984.05466970387249</v>
      </c>
      <c r="Q120" s="103">
        <f t="shared" si="651"/>
        <v>1015.8730158730158</v>
      </c>
      <c r="R120" s="103">
        <f t="shared" si="652"/>
        <v>1016.0919540229885</v>
      </c>
      <c r="S120" s="103">
        <f t="shared" si="653"/>
        <v>1004.5248868778281</v>
      </c>
      <c r="T120" s="103">
        <f t="shared" si="654"/>
        <v>1017.5438596491229</v>
      </c>
      <c r="U120" s="103">
        <f t="shared" si="655"/>
        <v>1073.913043478261</v>
      </c>
      <c r="V120" s="103">
        <f t="shared" si="656"/>
        <v>1059.4479830148621</v>
      </c>
      <c r="W120" s="103">
        <f t="shared" si="657"/>
        <v>1094.0919037199124</v>
      </c>
      <c r="X120" s="103">
        <f t="shared" si="658"/>
        <v>1182.178217821782</v>
      </c>
      <c r="Y120" s="103">
        <f t="shared" si="659"/>
        <v>1254.6296296296296</v>
      </c>
      <c r="Z120" s="103">
        <f t="shared" si="660"/>
        <v>1299.8324958123953</v>
      </c>
      <c r="AA120" s="103">
        <f t="shared" si="661"/>
        <v>1306.7796610169491</v>
      </c>
      <c r="AB120" s="103">
        <f t="shared" si="662"/>
        <v>1348.8843813387423</v>
      </c>
      <c r="AC120" s="103">
        <f t="shared" si="663"/>
        <v>1464.516129032258</v>
      </c>
      <c r="AD120" s="103">
        <f t="shared" si="664"/>
        <v>1633.2574031890661</v>
      </c>
      <c r="AE120" s="103">
        <f t="shared" si="665"/>
        <v>1913.3663366336632</v>
      </c>
      <c r="AF120" s="103">
        <f t="shared" si="666"/>
        <v>2085.7142857142858</v>
      </c>
      <c r="AG120" s="103">
        <f t="shared" si="667"/>
        <v>2305.2325581395348</v>
      </c>
      <c r="AH120" s="103">
        <f t="shared" si="668"/>
        <v>2120.1550387596903</v>
      </c>
      <c r="AI120" s="103">
        <f t="shared" si="669"/>
        <v>2264.1509433962265</v>
      </c>
      <c r="AJ120" s="103">
        <f t="shared" si="670"/>
        <v>2434.1637010676159</v>
      </c>
      <c r="AK120" s="103">
        <f t="shared" si="671"/>
        <v>2524.4755244755247</v>
      </c>
      <c r="AL120" s="103">
        <f t="shared" si="672"/>
        <v>2600.6711409395975</v>
      </c>
      <c r="AM120" s="103">
        <f t="shared" si="673"/>
        <v>2667.7524429967425</v>
      </c>
      <c r="AN120" s="103">
        <f t="shared" si="674"/>
        <v>2744.8275862068967</v>
      </c>
      <c r="AO120" s="103">
        <f t="shared" si="675"/>
        <v>2433.0985915492961</v>
      </c>
      <c r="AP120" s="103">
        <f t="shared" si="676"/>
        <v>2236.0655737704919</v>
      </c>
      <c r="AQ120" s="103">
        <f t="shared" si="677"/>
        <v>2689.8734177215192</v>
      </c>
      <c r="AR120" s="103">
        <f t="shared" si="678"/>
        <v>2736.6771159874606</v>
      </c>
      <c r="AS120" s="103">
        <f t="shared" si="679"/>
        <v>3051.8518518518517</v>
      </c>
      <c r="AT120" s="103">
        <f t="shared" si="680"/>
        <v>3101.3513513513512</v>
      </c>
      <c r="AU120" s="103">
        <f t="shared" si="681"/>
        <v>3422.680412371134</v>
      </c>
      <c r="AV120" s="103">
        <f t="shared" si="682"/>
        <v>3588.6524822695037</v>
      </c>
      <c r="AW120" s="103">
        <f t="shared" si="683"/>
        <v>3477.5086505190316</v>
      </c>
      <c r="AX120" s="103">
        <f t="shared" si="684"/>
        <v>3584.5588235294117</v>
      </c>
      <c r="AY120" s="103">
        <f t="shared" si="685"/>
        <v>3675.4311746247781</v>
      </c>
      <c r="AZ120" s="103">
        <f t="shared" si="686"/>
        <v>3794.9950434465545</v>
      </c>
      <c r="BA120" s="103">
        <f t="shared" si="687"/>
        <v>3908.9924133712752</v>
      </c>
      <c r="BB120" s="103"/>
      <c r="BC120" s="103"/>
      <c r="BD120" s="103"/>
      <c r="BE120" s="103"/>
      <c r="BF120" s="103"/>
      <c r="BG120" s="103"/>
      <c r="BH120" s="103"/>
      <c r="BI120" s="103"/>
      <c r="BJ120" s="103"/>
      <c r="BK120" s="103"/>
      <c r="BL120" s="103"/>
      <c r="BM120" s="103"/>
      <c r="BO120" s="143" t="s">
        <v>142</v>
      </c>
      <c r="BP120" s="103">
        <f t="shared" si="688"/>
        <v>850.34013605442169</v>
      </c>
      <c r="BQ120" s="103">
        <f t="shared" si="688"/>
        <v>841.726618705036</v>
      </c>
      <c r="BR120" s="103">
        <f t="shared" si="688"/>
        <v>846.7153284671532</v>
      </c>
      <c r="BS120" s="103">
        <f t="shared" si="688"/>
        <v>951.61290322580646</v>
      </c>
      <c r="BT120" s="103">
        <f t="shared" si="688"/>
        <v>870.20109689213893</v>
      </c>
      <c r="BV120" s="143" t="s">
        <v>142</v>
      </c>
      <c r="BW120" s="103">
        <f t="shared" si="689"/>
        <v>875.91240875912411</v>
      </c>
      <c r="BX120" s="103">
        <f t="shared" si="689"/>
        <v>893.93939393939388</v>
      </c>
      <c r="BY120" s="103">
        <f t="shared" si="689"/>
        <v>881.88976377952758</v>
      </c>
      <c r="BZ120" s="103">
        <f t="shared" si="689"/>
        <v>982.45614035087715</v>
      </c>
      <c r="CA120" s="103">
        <f t="shared" si="689"/>
        <v>905.88235294117646</v>
      </c>
      <c r="CC120" s="143" t="s">
        <v>142</v>
      </c>
      <c r="CD120" s="103">
        <f t="shared" si="690"/>
        <v>955.75221238938059</v>
      </c>
      <c r="CE120" s="103">
        <f t="shared" si="690"/>
        <v>990.65420560747668</v>
      </c>
      <c r="CF120" s="103">
        <f t="shared" si="690"/>
        <v>1000</v>
      </c>
      <c r="CG120" s="103">
        <f t="shared" si="690"/>
        <v>990.82568807339453</v>
      </c>
      <c r="CH120" s="103">
        <f t="shared" si="690"/>
        <v>984.05466970387249</v>
      </c>
      <c r="CJ120" s="143" t="s">
        <v>142</v>
      </c>
      <c r="CK120" s="103">
        <f t="shared" si="691"/>
        <v>1017.391304347826</v>
      </c>
      <c r="CL120" s="103">
        <f t="shared" si="691"/>
        <v>1018.3486238532109</v>
      </c>
      <c r="CM120" s="103">
        <f t="shared" si="691"/>
        <v>1009.1743119266055</v>
      </c>
      <c r="CN120" s="103">
        <f t="shared" si="691"/>
        <v>1018.5185185185186</v>
      </c>
      <c r="CO120" s="103">
        <f t="shared" si="691"/>
        <v>1015.8730158730158</v>
      </c>
      <c r="CQ120" s="143" t="s">
        <v>142</v>
      </c>
      <c r="CR120" s="103">
        <f t="shared" si="692"/>
        <v>1027.2727272727273</v>
      </c>
      <c r="CS120" s="103">
        <f t="shared" si="692"/>
        <v>1018.3486238532109</v>
      </c>
      <c r="CT120" s="103">
        <f t="shared" si="692"/>
        <v>1000</v>
      </c>
      <c r="CU120" s="103">
        <f t="shared" si="692"/>
        <v>1018.3486238532109</v>
      </c>
      <c r="CV120" s="103">
        <f t="shared" si="692"/>
        <v>1016.0919540229885</v>
      </c>
      <c r="CX120" s="143" t="s">
        <v>142</v>
      </c>
      <c r="CY120" s="103">
        <f t="shared" si="693"/>
        <v>1000</v>
      </c>
      <c r="CZ120" s="103">
        <f t="shared" si="693"/>
        <v>1008.8495575221239</v>
      </c>
      <c r="DA120" s="103">
        <f t="shared" si="693"/>
        <v>1000</v>
      </c>
      <c r="DB120" s="103">
        <f t="shared" si="693"/>
        <v>1009.2592592592594</v>
      </c>
      <c r="DC120" s="103">
        <f t="shared" si="693"/>
        <v>1004.5248868778281</v>
      </c>
      <c r="DE120" s="143" t="s">
        <v>142</v>
      </c>
      <c r="DF120" s="103">
        <f t="shared" si="694"/>
        <v>1008.9285714285714</v>
      </c>
      <c r="DG120" s="103">
        <f t="shared" si="694"/>
        <v>1025.8620689655174</v>
      </c>
      <c r="DH120" s="103">
        <f t="shared" si="694"/>
        <v>1008.6206896551723</v>
      </c>
      <c r="DI120" s="103">
        <f t="shared" si="694"/>
        <v>1026.7857142857142</v>
      </c>
      <c r="DJ120" s="103">
        <f t="shared" si="694"/>
        <v>1017.5438596491229</v>
      </c>
      <c r="DL120" s="143" t="s">
        <v>142</v>
      </c>
      <c r="DM120" s="103">
        <f t="shared" si="695"/>
        <v>1025.6410256410256</v>
      </c>
      <c r="DN120" s="103">
        <f t="shared" si="695"/>
        <v>1136.3636363636365</v>
      </c>
      <c r="DO120" s="103">
        <f t="shared" si="695"/>
        <v>1050.8474576271187</v>
      </c>
      <c r="DP120" s="103">
        <f t="shared" si="695"/>
        <v>1086.9565217391303</v>
      </c>
      <c r="DQ120" s="103">
        <f t="shared" si="695"/>
        <v>1073.913043478261</v>
      </c>
      <c r="DS120" s="143" t="s">
        <v>142</v>
      </c>
      <c r="DT120" s="103">
        <f t="shared" si="696"/>
        <v>1066.6666666666667</v>
      </c>
      <c r="DU120" s="103">
        <f t="shared" si="696"/>
        <v>1067.7966101694915</v>
      </c>
      <c r="DV120" s="103">
        <f t="shared" si="696"/>
        <v>1051.2820512820513</v>
      </c>
      <c r="DW120" s="103">
        <f t="shared" si="696"/>
        <v>1051.7241379310344</v>
      </c>
      <c r="DX120" s="103">
        <f t="shared" si="696"/>
        <v>1059.4479830148621</v>
      </c>
      <c r="DZ120" s="143" t="s">
        <v>142</v>
      </c>
      <c r="EA120" s="103">
        <f t="shared" si="697"/>
        <v>1067.7966101694915</v>
      </c>
      <c r="EB120" s="103">
        <f t="shared" si="697"/>
        <v>1068.9655172413793</v>
      </c>
      <c r="EC120" s="103">
        <f t="shared" si="697"/>
        <v>1113.0434782608695</v>
      </c>
      <c r="ED120" s="103">
        <f t="shared" si="697"/>
        <v>1129.6296296296296</v>
      </c>
      <c r="EE120" s="103">
        <f t="shared" si="697"/>
        <v>1094.0919037199124</v>
      </c>
      <c r="EG120" s="143" t="s">
        <v>142</v>
      </c>
      <c r="EH120" s="103">
        <f t="shared" si="698"/>
        <v>1107.4380165289258</v>
      </c>
      <c r="EI120" s="103">
        <f t="shared" si="698"/>
        <v>1173.5537190082646</v>
      </c>
      <c r="EJ120" s="103">
        <f t="shared" si="698"/>
        <v>1212.1212121212122</v>
      </c>
      <c r="EK120" s="103">
        <f t="shared" si="698"/>
        <v>1229.0076335877861</v>
      </c>
      <c r="EL120" s="103">
        <f t="shared" si="698"/>
        <v>1182.178217821782</v>
      </c>
      <c r="EN120" s="143" t="s">
        <v>142</v>
      </c>
      <c r="EO120" s="103">
        <f t="shared" si="699"/>
        <v>1216.374269005848</v>
      </c>
      <c r="EP120" s="103">
        <f t="shared" si="699"/>
        <v>1251.4970059880238</v>
      </c>
      <c r="EQ120" s="103">
        <f t="shared" si="699"/>
        <v>1265.8227848101267</v>
      </c>
      <c r="ER120" s="103">
        <f t="shared" si="699"/>
        <v>1289.4736842105262</v>
      </c>
      <c r="ES120" s="103">
        <f t="shared" si="699"/>
        <v>1254.6296296296296</v>
      </c>
      <c r="EU120" s="143" t="s">
        <v>142</v>
      </c>
      <c r="EV120" s="103">
        <f t="shared" si="700"/>
        <v>1298.0132450331125</v>
      </c>
      <c r="EW120" s="103">
        <f t="shared" si="700"/>
        <v>1302.6315789473683</v>
      </c>
      <c r="EX120" s="103">
        <f t="shared" si="700"/>
        <v>1320</v>
      </c>
      <c r="EY120" s="103">
        <f t="shared" si="700"/>
        <v>1277.7777777777776</v>
      </c>
      <c r="EZ120" s="103">
        <f t="shared" si="700"/>
        <v>1299.8324958123953</v>
      </c>
      <c r="FB120" s="143" t="s">
        <v>142</v>
      </c>
      <c r="FC120" s="103">
        <f t="shared" si="701"/>
        <v>1312.5</v>
      </c>
      <c r="FD120" s="103">
        <f t="shared" si="701"/>
        <v>1296.0526315789473</v>
      </c>
      <c r="FE120" s="103">
        <f t="shared" si="701"/>
        <v>1291.3907284768211</v>
      </c>
      <c r="FF120" s="103">
        <f t="shared" si="701"/>
        <v>1328.6713286713289</v>
      </c>
      <c r="FG120" s="103">
        <f t="shared" si="701"/>
        <v>1306.7796610169491</v>
      </c>
      <c r="FI120" s="143" t="s">
        <v>142</v>
      </c>
      <c r="FJ120" s="103">
        <f t="shared" si="702"/>
        <v>1317.5675675675675</v>
      </c>
      <c r="FK120" s="103">
        <f t="shared" si="702"/>
        <v>1370.6896551724137</v>
      </c>
      <c r="FL120" s="103">
        <f t="shared" si="702"/>
        <v>1373.913043478261</v>
      </c>
      <c r="FM120" s="103">
        <f t="shared" si="702"/>
        <v>1342.1052631578948</v>
      </c>
      <c r="FN120" s="103">
        <f t="shared" si="702"/>
        <v>1348.8843813387423</v>
      </c>
      <c r="FP120" s="143" t="s">
        <v>142</v>
      </c>
      <c r="FQ120" s="103">
        <f t="shared" si="703"/>
        <v>1394.7368421052631</v>
      </c>
      <c r="FR120" s="103">
        <f t="shared" si="703"/>
        <v>1443.4782608695652</v>
      </c>
      <c r="FS120" s="103">
        <f t="shared" si="703"/>
        <v>1486.9565217391305</v>
      </c>
      <c r="FT120" s="103">
        <f t="shared" si="703"/>
        <v>1528.9256198347107</v>
      </c>
      <c r="FU120" s="103">
        <f t="shared" si="703"/>
        <v>1464.516129032258</v>
      </c>
      <c r="FW120" s="143" t="s">
        <v>142</v>
      </c>
      <c r="FX120" s="103">
        <f t="shared" si="704"/>
        <v>1557.5221238938052</v>
      </c>
      <c r="FY120" s="103">
        <f t="shared" si="704"/>
        <v>1601.7699115044247</v>
      </c>
      <c r="FZ120" s="103">
        <f t="shared" si="704"/>
        <v>1654.2056074766356</v>
      </c>
      <c r="GA120" s="103">
        <f t="shared" si="704"/>
        <v>1726.4150943396226</v>
      </c>
      <c r="GB120" s="103">
        <f t="shared" si="704"/>
        <v>1633.2574031890661</v>
      </c>
      <c r="GD120" s="143" t="s">
        <v>142</v>
      </c>
      <c r="GE120" s="103">
        <f t="shared" si="705"/>
        <v>1801.8867924528302</v>
      </c>
      <c r="GF120" s="103">
        <f t="shared" si="705"/>
        <v>1883.495145631068</v>
      </c>
      <c r="GG120" s="103">
        <f t="shared" si="705"/>
        <v>2000</v>
      </c>
      <c r="GH120" s="103">
        <f t="shared" si="705"/>
        <v>1978.9473684210525</v>
      </c>
      <c r="GI120" s="103">
        <f t="shared" si="705"/>
        <v>1913.3663366336632</v>
      </c>
      <c r="GK120" s="143" t="s">
        <v>142</v>
      </c>
      <c r="GL120" s="103">
        <f t="shared" si="706"/>
        <v>2009.8039215686274</v>
      </c>
      <c r="GM120" s="103">
        <f t="shared" si="706"/>
        <v>2100</v>
      </c>
      <c r="GN120" s="103">
        <f t="shared" si="706"/>
        <v>2114.5833333333335</v>
      </c>
      <c r="GO120" s="103">
        <f t="shared" si="706"/>
        <v>2126.4367816091958</v>
      </c>
      <c r="GP120" s="103">
        <f t="shared" si="706"/>
        <v>2085.7142857142858</v>
      </c>
      <c r="GR120" s="143" t="s">
        <v>142</v>
      </c>
      <c r="GS120" s="103">
        <f t="shared" si="707"/>
        <v>2206.8965517241377</v>
      </c>
      <c r="GT120" s="103">
        <f t="shared" si="707"/>
        <v>2277.7777777777778</v>
      </c>
      <c r="GU120" s="103">
        <f t="shared" si="707"/>
        <v>2400</v>
      </c>
      <c r="GV120" s="103">
        <f t="shared" si="707"/>
        <v>2337.6623376623374</v>
      </c>
      <c r="GW120" s="103">
        <f t="shared" si="707"/>
        <v>2305.2325581395348</v>
      </c>
      <c r="GY120" s="143" t="s">
        <v>142</v>
      </c>
      <c r="GZ120" s="103">
        <f t="shared" si="708"/>
        <v>2153.8461538461538</v>
      </c>
      <c r="HA120" s="103">
        <f t="shared" si="708"/>
        <v>2078.125</v>
      </c>
      <c r="HB120" s="103">
        <f t="shared" si="708"/>
        <v>2089.5522388059699</v>
      </c>
      <c r="HC120" s="103">
        <f t="shared" si="708"/>
        <v>2161.2903225806449</v>
      </c>
      <c r="HD120" s="103">
        <f t="shared" si="708"/>
        <v>2120.1550387596903</v>
      </c>
      <c r="HF120" s="143" t="s">
        <v>142</v>
      </c>
      <c r="HG120" s="103">
        <f t="shared" si="709"/>
        <v>2222.2222222222222</v>
      </c>
      <c r="HH120" s="103">
        <f t="shared" si="709"/>
        <v>2307.6923076923076</v>
      </c>
      <c r="HI120" s="103">
        <f t="shared" si="709"/>
        <v>2238.8059701492534</v>
      </c>
      <c r="HJ120" s="103">
        <f t="shared" si="709"/>
        <v>2285.7142857142858</v>
      </c>
      <c r="HK120" s="103">
        <f t="shared" si="709"/>
        <v>2264.1509433962265</v>
      </c>
      <c r="HM120" s="143" t="s">
        <v>142</v>
      </c>
      <c r="HN120" s="103">
        <f t="shared" si="710"/>
        <v>2333.3333333333335</v>
      </c>
      <c r="HO120" s="103">
        <f t="shared" si="710"/>
        <v>2485.7142857142858</v>
      </c>
      <c r="HP120" s="103">
        <f t="shared" si="710"/>
        <v>2452.0547945205481</v>
      </c>
      <c r="HQ120" s="103">
        <f t="shared" si="710"/>
        <v>2463.768115942029</v>
      </c>
      <c r="HR120" s="103">
        <f t="shared" si="710"/>
        <v>2434.1637010676159</v>
      </c>
      <c r="HT120" s="143" t="s">
        <v>142</v>
      </c>
      <c r="HU120" s="103">
        <f t="shared" si="711"/>
        <v>2479.4520547945208</v>
      </c>
      <c r="HV120" s="103">
        <f t="shared" si="711"/>
        <v>2591.5492957746478</v>
      </c>
      <c r="HW120" s="103">
        <f t="shared" si="711"/>
        <v>2493.1506849315069</v>
      </c>
      <c r="HX120" s="103">
        <f t="shared" si="711"/>
        <v>2536.231884057971</v>
      </c>
      <c r="HY120" s="103">
        <f t="shared" si="711"/>
        <v>2524.4755244755247</v>
      </c>
      <c r="IA120" s="143" t="s">
        <v>142</v>
      </c>
      <c r="IB120" s="103">
        <f t="shared" si="712"/>
        <v>2589.0410958904113</v>
      </c>
      <c r="IC120" s="103">
        <f t="shared" si="712"/>
        <v>2635.135135135135</v>
      </c>
      <c r="ID120" s="103">
        <f t="shared" si="712"/>
        <v>2584.4155844155844</v>
      </c>
      <c r="IE120" s="103">
        <f t="shared" si="712"/>
        <v>2594.5945945945946</v>
      </c>
      <c r="IF120" s="103">
        <f t="shared" si="712"/>
        <v>2600.6711409395975</v>
      </c>
      <c r="IH120" s="143" t="s">
        <v>142</v>
      </c>
      <c r="II120" s="103">
        <f t="shared" si="713"/>
        <v>2621.6216216216217</v>
      </c>
      <c r="IJ120" s="103">
        <f t="shared" si="713"/>
        <v>2658.2278481012659</v>
      </c>
      <c r="IK120" s="103">
        <f t="shared" si="713"/>
        <v>2714.2857142857142</v>
      </c>
      <c r="IL120" s="103">
        <f t="shared" si="713"/>
        <v>2675.3246753246749</v>
      </c>
      <c r="IM120" s="103">
        <f t="shared" si="713"/>
        <v>2667.7524429967425</v>
      </c>
      <c r="IO120" s="143" t="s">
        <v>142</v>
      </c>
      <c r="IP120" s="103">
        <f t="shared" si="714"/>
        <v>2712.3287671232879</v>
      </c>
      <c r="IQ120" s="103">
        <f t="shared" si="714"/>
        <v>2729.72972972973</v>
      </c>
      <c r="IR120" s="103">
        <f t="shared" si="714"/>
        <v>2780.821917808219</v>
      </c>
      <c r="IS120" s="103">
        <f t="shared" si="714"/>
        <v>2757.1428571428573</v>
      </c>
      <c r="IT120" s="103">
        <f t="shared" si="714"/>
        <v>2744.8275862068967</v>
      </c>
      <c r="IV120" s="143" t="s">
        <v>142</v>
      </c>
      <c r="IW120" s="103">
        <f t="shared" si="715"/>
        <v>2779.4117647058824</v>
      </c>
      <c r="IX120" s="103">
        <f t="shared" si="715"/>
        <v>2823.5294117647059</v>
      </c>
      <c r="IY120" s="103">
        <f t="shared" si="715"/>
        <v>2808.8235294117644</v>
      </c>
      <c r="IZ120" s="103">
        <f t="shared" si="715"/>
        <v>1487.5</v>
      </c>
      <c r="JA120" s="103">
        <f t="shared" si="715"/>
        <v>2433.0985915492961</v>
      </c>
      <c r="JC120" s="143" t="s">
        <v>142</v>
      </c>
      <c r="JD120" s="103">
        <f t="shared" si="716"/>
        <v>2865.6716417910447</v>
      </c>
      <c r="JE120" s="103">
        <f t="shared" si="716"/>
        <v>2337.3493975903616</v>
      </c>
      <c r="JF120" s="103">
        <f t="shared" si="716"/>
        <v>2262.5</v>
      </c>
      <c r="JG120" s="103">
        <f t="shared" si="716"/>
        <v>1533.3333333333335</v>
      </c>
      <c r="JH120" s="103">
        <f t="shared" si="716"/>
        <v>2236.0655737704919</v>
      </c>
      <c r="JJ120" s="143" t="s">
        <v>142</v>
      </c>
      <c r="JK120" s="103">
        <f t="shared" si="717"/>
        <v>2910.4477611940301</v>
      </c>
      <c r="JL120" s="103">
        <f t="shared" si="717"/>
        <v>2500</v>
      </c>
      <c r="JM120" s="103">
        <f t="shared" si="717"/>
        <v>2623.5294117647059</v>
      </c>
      <c r="JN120" s="103">
        <f t="shared" si="717"/>
        <v>2782.0512820512818</v>
      </c>
      <c r="JO120" s="103">
        <f t="shared" si="717"/>
        <v>2689.8734177215192</v>
      </c>
      <c r="JQ120" s="143" t="s">
        <v>142</v>
      </c>
      <c r="JR120" s="103">
        <f t="shared" si="718"/>
        <v>3042.2535211267605</v>
      </c>
      <c r="JS120" s="103">
        <f t="shared" si="718"/>
        <v>3070.4225352112676</v>
      </c>
      <c r="JT120" s="103">
        <f t="shared" si="718"/>
        <v>2500</v>
      </c>
      <c r="JU120" s="103">
        <f t="shared" si="718"/>
        <v>2459.7701149425288</v>
      </c>
      <c r="JV120" s="103">
        <f t="shared" si="718"/>
        <v>2736.6771159874606</v>
      </c>
      <c r="JX120" s="143" t="s">
        <v>142</v>
      </c>
      <c r="JY120" s="103">
        <f t="shared" si="719"/>
        <v>3056.3380281690138</v>
      </c>
      <c r="JZ120" s="103">
        <f t="shared" si="719"/>
        <v>3031.25</v>
      </c>
      <c r="KA120" s="103">
        <f t="shared" si="719"/>
        <v>3074.626865671642</v>
      </c>
      <c r="KB120" s="103">
        <f t="shared" si="719"/>
        <v>3044.1176470588234</v>
      </c>
      <c r="KC120" s="103">
        <f t="shared" si="719"/>
        <v>3051.8518518518517</v>
      </c>
      <c r="KE120" s="143" t="s">
        <v>142</v>
      </c>
      <c r="KF120" s="103">
        <f t="shared" si="720"/>
        <v>3013.6986301369861</v>
      </c>
      <c r="KG120" s="103">
        <f t="shared" si="720"/>
        <v>3106.6666666666665</v>
      </c>
      <c r="KH120" s="103">
        <f t="shared" si="720"/>
        <v>3080</v>
      </c>
      <c r="KI120" s="103">
        <f t="shared" si="720"/>
        <v>3205.4794520547944</v>
      </c>
      <c r="KJ120" s="103">
        <f t="shared" si="720"/>
        <v>3101.3513513513512</v>
      </c>
      <c r="KL120" s="143" t="s">
        <v>142</v>
      </c>
      <c r="KM120" s="103">
        <f t="shared" si="721"/>
        <v>3257.1428571428573</v>
      </c>
      <c r="KN120" s="103">
        <f t="shared" si="721"/>
        <v>3391.8918918918921</v>
      </c>
      <c r="KO120" s="103">
        <f t="shared" si="721"/>
        <v>3520</v>
      </c>
      <c r="KP120" s="103">
        <f t="shared" si="721"/>
        <v>3513.8888888888887</v>
      </c>
      <c r="KQ120" s="103">
        <f t="shared" si="721"/>
        <v>3422.680412371134</v>
      </c>
      <c r="KS120" s="143" t="s">
        <v>142</v>
      </c>
      <c r="KT120" s="247">
        <f t="shared" si="722"/>
        <v>3575.3424657534247</v>
      </c>
      <c r="KU120" s="247">
        <f t="shared" si="722"/>
        <v>3569.4444444444448</v>
      </c>
      <c r="KV120" s="247">
        <f t="shared" si="722"/>
        <v>3626.8656716417909</v>
      </c>
      <c r="KW120" s="247">
        <f t="shared" si="722"/>
        <v>3585.7142857142858</v>
      </c>
      <c r="KX120" s="247">
        <f t="shared" si="722"/>
        <v>3588.6524822695037</v>
      </c>
      <c r="KY120" s="521"/>
      <c r="KZ120" s="246" t="s">
        <v>142</v>
      </c>
      <c r="LA120" s="247">
        <f t="shared" si="723"/>
        <v>3142.8571428571427</v>
      </c>
      <c r="LB120" s="301">
        <v>3635</v>
      </c>
      <c r="LC120" s="301">
        <v>3548</v>
      </c>
      <c r="LD120" s="301">
        <v>3569</v>
      </c>
      <c r="LE120" s="301">
        <f t="shared" si="724"/>
        <v>3477.5086505190316</v>
      </c>
      <c r="LF120" s="561"/>
      <c r="LG120" s="246" t="s">
        <v>142</v>
      </c>
      <c r="LH120" s="301">
        <v>3557</v>
      </c>
      <c r="LI120" s="301">
        <v>3571</v>
      </c>
      <c r="LJ120" s="301">
        <v>3632</v>
      </c>
      <c r="LK120" s="301">
        <v>3578</v>
      </c>
      <c r="LL120" s="301">
        <f t="shared" si="725"/>
        <v>3584.5588235294117</v>
      </c>
      <c r="LM120" s="561"/>
      <c r="LN120" s="246" t="s">
        <v>142</v>
      </c>
      <c r="LO120" s="301">
        <f t="shared" ref="LO120:LR120" si="749">LO223</f>
        <v>3628.2857142857142</v>
      </c>
      <c r="LP120" s="301">
        <f t="shared" si="749"/>
        <v>3642.8571428571431</v>
      </c>
      <c r="LQ120" s="301">
        <f t="shared" si="749"/>
        <v>3741.3235294117649</v>
      </c>
      <c r="LR120" s="301">
        <f t="shared" si="749"/>
        <v>3685.46875</v>
      </c>
      <c r="LS120" s="301">
        <f t="shared" si="727"/>
        <v>3675.4311746247781</v>
      </c>
      <c r="LT120" s="561"/>
      <c r="LU120" s="246" t="s">
        <v>142</v>
      </c>
      <c r="LV120" s="301">
        <f t="shared" ref="LV120:LY120" si="750">LV223</f>
        <v>3746.2049999999999</v>
      </c>
      <c r="LW120" s="301">
        <f t="shared" si="750"/>
        <v>3761.25</v>
      </c>
      <c r="LX120" s="301">
        <f t="shared" si="750"/>
        <v>3862.9165441176469</v>
      </c>
      <c r="LY120" s="301">
        <f t="shared" si="750"/>
        <v>3805.2464843749999</v>
      </c>
      <c r="LZ120" s="301">
        <f t="shared" si="729"/>
        <v>3794.9950434465545</v>
      </c>
      <c r="MA120" s="561"/>
      <c r="MB120" s="246" t="s">
        <v>142</v>
      </c>
      <c r="MC120" s="301">
        <f t="shared" ref="MC120:MF120" si="751">MC223</f>
        <v>3858.5911500000002</v>
      </c>
      <c r="MD120" s="301">
        <f t="shared" si="751"/>
        <v>3874.0875000000001</v>
      </c>
      <c r="ME120" s="301">
        <f t="shared" si="751"/>
        <v>3978.8040404411763</v>
      </c>
      <c r="MF120" s="301">
        <f t="shared" si="751"/>
        <v>3919.4038789062502</v>
      </c>
      <c r="MG120" s="301">
        <f t="shared" si="731"/>
        <v>3908.9924133712752</v>
      </c>
      <c r="MH120" s="561"/>
    </row>
    <row r="121" spans="1:346" s="37" customFormat="1" ht="13.15" x14ac:dyDescent="0.4">
      <c r="A121" s="100"/>
      <c r="B121" s="143" t="s">
        <v>145</v>
      </c>
      <c r="C121" s="103" t="str">
        <f t="shared" ref="C121:M121" si="752">IFERROR(C15/C75*1000,"")</f>
        <v/>
      </c>
      <c r="D121" s="103" t="str">
        <f t="shared" si="752"/>
        <v/>
      </c>
      <c r="E121" s="103">
        <f t="shared" si="752"/>
        <v>396.77338038820272</v>
      </c>
      <c r="F121" s="103">
        <f t="shared" si="752"/>
        <v>489.20759090250613</v>
      </c>
      <c r="G121" s="103">
        <f t="shared" si="752"/>
        <v>528.22732404968008</v>
      </c>
      <c r="H121" s="103">
        <f t="shared" si="752"/>
        <v>530.50847457627117</v>
      </c>
      <c r="I121" s="103">
        <f t="shared" si="752"/>
        <v>528.61952861952864</v>
      </c>
      <c r="J121" s="103">
        <f t="shared" si="752"/>
        <v>573.03370786516848</v>
      </c>
      <c r="K121" s="103">
        <f t="shared" si="752"/>
        <v>541.37115839243495</v>
      </c>
      <c r="L121" s="103">
        <f t="shared" si="752"/>
        <v>550.10660980810235</v>
      </c>
      <c r="M121" s="103">
        <f t="shared" si="752"/>
        <v>558.82352941176475</v>
      </c>
      <c r="N121" s="103">
        <f t="shared" si="648"/>
        <v>513.51351351351343</v>
      </c>
      <c r="O121" s="103">
        <f t="shared" si="649"/>
        <v>544.91017964071852</v>
      </c>
      <c r="P121" s="103">
        <f t="shared" si="650"/>
        <v>570.52631578947364</v>
      </c>
      <c r="Q121" s="103">
        <f t="shared" si="651"/>
        <v>586.43326039387307</v>
      </c>
      <c r="R121" s="103">
        <f t="shared" si="652"/>
        <v>605.20094562647751</v>
      </c>
      <c r="S121" s="103">
        <f t="shared" si="653"/>
        <v>540.42553191489367</v>
      </c>
      <c r="T121" s="103">
        <f t="shared" si="654"/>
        <v>550.78125</v>
      </c>
      <c r="U121" s="103">
        <f t="shared" si="655"/>
        <v>545.9882583170255</v>
      </c>
      <c r="V121" s="103">
        <f t="shared" si="656"/>
        <v>577.07509881422925</v>
      </c>
      <c r="W121" s="103">
        <f t="shared" si="657"/>
        <v>562.15213358070503</v>
      </c>
      <c r="X121" s="103">
        <f t="shared" si="658"/>
        <v>601.51802656546488</v>
      </c>
      <c r="Y121" s="103">
        <f t="shared" si="659"/>
        <v>650.92402464065708</v>
      </c>
      <c r="Z121" s="103">
        <f t="shared" si="660"/>
        <v>693.87755102040819</v>
      </c>
      <c r="AA121" s="103">
        <f t="shared" si="661"/>
        <v>699.78401727861774</v>
      </c>
      <c r="AB121" s="103">
        <f t="shared" si="662"/>
        <v>715.21739130434776</v>
      </c>
      <c r="AC121" s="103">
        <f t="shared" si="663"/>
        <v>723.99150743099779</v>
      </c>
      <c r="AD121" s="103">
        <f t="shared" si="664"/>
        <v>790.54054054054052</v>
      </c>
      <c r="AE121" s="103">
        <f t="shared" si="665"/>
        <v>977.90055248618773</v>
      </c>
      <c r="AF121" s="103">
        <f t="shared" si="666"/>
        <v>1159.7796143250689</v>
      </c>
      <c r="AG121" s="103">
        <f t="shared" si="667"/>
        <v>1376.1194029850747</v>
      </c>
      <c r="AH121" s="103">
        <f t="shared" si="668"/>
        <v>1290.6574394463669</v>
      </c>
      <c r="AI121" s="103">
        <f t="shared" si="669"/>
        <v>1485.6230031948883</v>
      </c>
      <c r="AJ121" s="103">
        <f t="shared" si="670"/>
        <v>1526.4797507788162</v>
      </c>
      <c r="AK121" s="103">
        <f t="shared" si="671"/>
        <v>1595.0155763239875</v>
      </c>
      <c r="AL121" s="103">
        <f t="shared" si="672"/>
        <v>1611.6207951070337</v>
      </c>
      <c r="AM121" s="103">
        <f t="shared" si="673"/>
        <v>1618.1818181818182</v>
      </c>
      <c r="AN121" s="103">
        <f t="shared" si="674"/>
        <v>1624.5847176079735</v>
      </c>
      <c r="AO121" s="103">
        <f t="shared" si="675"/>
        <v>1830.3886925795052</v>
      </c>
      <c r="AP121" s="103">
        <f t="shared" si="676"/>
        <v>1601.3745704467356</v>
      </c>
      <c r="AQ121" s="103">
        <f t="shared" si="677"/>
        <v>1782.258064516129</v>
      </c>
      <c r="AR121" s="103">
        <f t="shared" si="678"/>
        <v>1773.6625514403293</v>
      </c>
      <c r="AS121" s="103">
        <f t="shared" si="679"/>
        <v>1811.965811965812</v>
      </c>
      <c r="AT121" s="103">
        <f t="shared" si="680"/>
        <v>2052.4017467248909</v>
      </c>
      <c r="AU121" s="103">
        <f t="shared" si="681"/>
        <v>2241.3793103448274</v>
      </c>
      <c r="AV121" s="103">
        <f t="shared" si="682"/>
        <v>2592.9648241206032</v>
      </c>
      <c r="AW121" s="103">
        <f t="shared" si="683"/>
        <v>2715.0537634408602</v>
      </c>
      <c r="AX121" s="103">
        <f t="shared" si="684"/>
        <v>2742.1052631578946</v>
      </c>
      <c r="AY121" s="103">
        <f t="shared" si="685"/>
        <v>2814.0576878583001</v>
      </c>
      <c r="AZ121" s="103">
        <f t="shared" si="686"/>
        <v>2891.2632799359817</v>
      </c>
      <c r="BA121" s="103">
        <f t="shared" si="687"/>
        <v>2963.8374507116555</v>
      </c>
      <c r="BB121" s="103"/>
      <c r="BC121" s="103"/>
      <c r="BD121" s="103"/>
      <c r="BE121" s="103"/>
      <c r="BF121" s="103"/>
      <c r="BG121" s="103"/>
      <c r="BH121" s="103"/>
      <c r="BI121" s="103"/>
      <c r="BJ121" s="103"/>
      <c r="BK121" s="103"/>
      <c r="BL121" s="103"/>
      <c r="BM121" s="103"/>
      <c r="BO121" s="143" t="s">
        <v>145</v>
      </c>
      <c r="BP121" s="103">
        <f t="shared" si="688"/>
        <v>557.97101449275362</v>
      </c>
      <c r="BQ121" s="103">
        <f t="shared" si="688"/>
        <v>496.18320610687022</v>
      </c>
      <c r="BR121" s="103">
        <f t="shared" si="688"/>
        <v>472</v>
      </c>
      <c r="BS121" s="103">
        <f t="shared" si="688"/>
        <v>524.19354838709671</v>
      </c>
      <c r="BT121" s="103">
        <f t="shared" si="688"/>
        <v>513.51351351351343</v>
      </c>
      <c r="BV121" s="143" t="s">
        <v>145</v>
      </c>
      <c r="BW121" s="103">
        <f t="shared" si="689"/>
        <v>598.4848484848485</v>
      </c>
      <c r="BX121" s="103">
        <f t="shared" si="689"/>
        <v>526.31578947368416</v>
      </c>
      <c r="BY121" s="103">
        <f t="shared" si="689"/>
        <v>495.6521739130435</v>
      </c>
      <c r="BZ121" s="103">
        <f t="shared" si="689"/>
        <v>553.7190082644629</v>
      </c>
      <c r="CA121" s="103">
        <f t="shared" si="689"/>
        <v>544.91017964071852</v>
      </c>
      <c r="CC121" s="143" t="s">
        <v>145</v>
      </c>
      <c r="CD121" s="103">
        <f t="shared" si="690"/>
        <v>604.83870967741939</v>
      </c>
      <c r="CE121" s="103">
        <f t="shared" si="690"/>
        <v>586.20689655172407</v>
      </c>
      <c r="CF121" s="103">
        <f t="shared" si="690"/>
        <v>525.86206896551721</v>
      </c>
      <c r="CG121" s="103">
        <f t="shared" si="690"/>
        <v>563.02521008403357</v>
      </c>
      <c r="CH121" s="103">
        <f t="shared" si="690"/>
        <v>570.52631578947364</v>
      </c>
      <c r="CJ121" s="143" t="s">
        <v>145</v>
      </c>
      <c r="CK121" s="103">
        <f t="shared" si="691"/>
        <v>641.66666666666674</v>
      </c>
      <c r="CL121" s="103">
        <f t="shared" si="691"/>
        <v>577.23577235772359</v>
      </c>
      <c r="CM121" s="103">
        <f t="shared" si="691"/>
        <v>542.85714285714278</v>
      </c>
      <c r="CN121" s="103">
        <f t="shared" si="691"/>
        <v>577.98165137614671</v>
      </c>
      <c r="CO121" s="103">
        <f t="shared" si="691"/>
        <v>586.43326039387307</v>
      </c>
      <c r="CQ121" s="143" t="s">
        <v>145</v>
      </c>
      <c r="CR121" s="103">
        <f t="shared" si="692"/>
        <v>630.63063063063066</v>
      </c>
      <c r="CS121" s="103">
        <f t="shared" si="692"/>
        <v>614.67889908256882</v>
      </c>
      <c r="CT121" s="103">
        <f t="shared" si="692"/>
        <v>568.62745098039215</v>
      </c>
      <c r="CU121" s="103">
        <f t="shared" si="692"/>
        <v>603.96039603960389</v>
      </c>
      <c r="CV121" s="103">
        <f t="shared" si="692"/>
        <v>605.20094562647751</v>
      </c>
      <c r="CX121" s="143" t="s">
        <v>145</v>
      </c>
      <c r="CY121" s="103">
        <f t="shared" si="693"/>
        <v>592.92035398230087</v>
      </c>
      <c r="CZ121" s="103">
        <f t="shared" si="693"/>
        <v>537.81512605042019</v>
      </c>
      <c r="DA121" s="103">
        <f t="shared" si="693"/>
        <v>513.04347826086962</v>
      </c>
      <c r="DB121" s="103">
        <f t="shared" si="693"/>
        <v>520.32520325203257</v>
      </c>
      <c r="DC121" s="103">
        <f t="shared" si="693"/>
        <v>540.42553191489367</v>
      </c>
      <c r="DE121" s="143" t="s">
        <v>145</v>
      </c>
      <c r="DF121" s="103">
        <f t="shared" si="694"/>
        <v>580.88235294117646</v>
      </c>
      <c r="DG121" s="103">
        <f t="shared" si="694"/>
        <v>531.74603174603169</v>
      </c>
      <c r="DH121" s="103">
        <f t="shared" si="694"/>
        <v>528.45528455284557</v>
      </c>
      <c r="DI121" s="103">
        <f t="shared" si="694"/>
        <v>559.05511811023621</v>
      </c>
      <c r="DJ121" s="103">
        <f t="shared" si="694"/>
        <v>550.78125</v>
      </c>
      <c r="DL121" s="143" t="s">
        <v>145</v>
      </c>
      <c r="DM121" s="103">
        <f t="shared" si="695"/>
        <v>576.92307692307691</v>
      </c>
      <c r="DN121" s="103">
        <f t="shared" si="695"/>
        <v>539.0625</v>
      </c>
      <c r="DO121" s="103">
        <f t="shared" si="695"/>
        <v>515.625</v>
      </c>
      <c r="DP121" s="103">
        <f t="shared" si="695"/>
        <v>552</v>
      </c>
      <c r="DQ121" s="103">
        <f t="shared" si="695"/>
        <v>545.9882583170255</v>
      </c>
      <c r="DS121" s="143" t="s">
        <v>145</v>
      </c>
      <c r="DT121" s="103">
        <f t="shared" si="696"/>
        <v>600</v>
      </c>
      <c r="DU121" s="103">
        <f t="shared" si="696"/>
        <v>573.64341085271315</v>
      </c>
      <c r="DV121" s="103">
        <f t="shared" si="696"/>
        <v>561.98347107438019</v>
      </c>
      <c r="DW121" s="103">
        <f t="shared" si="696"/>
        <v>572.51908396946556</v>
      </c>
      <c r="DX121" s="103">
        <f t="shared" si="696"/>
        <v>577.07509881422925</v>
      </c>
      <c r="DZ121" s="143" t="s">
        <v>145</v>
      </c>
      <c r="EA121" s="103">
        <f t="shared" si="697"/>
        <v>614.81481481481478</v>
      </c>
      <c r="EB121" s="103">
        <f t="shared" si="697"/>
        <v>565.21739130434776</v>
      </c>
      <c r="EC121" s="103">
        <f t="shared" si="697"/>
        <v>526.71755725190837</v>
      </c>
      <c r="ED121" s="103">
        <f t="shared" si="697"/>
        <v>540.74074074074076</v>
      </c>
      <c r="EE121" s="103">
        <f t="shared" si="697"/>
        <v>562.15213358070503</v>
      </c>
      <c r="EG121" s="143" t="s">
        <v>145</v>
      </c>
      <c r="EH121" s="103">
        <f t="shared" si="698"/>
        <v>601.35135135135135</v>
      </c>
      <c r="EI121" s="103">
        <f t="shared" si="698"/>
        <v>609.375</v>
      </c>
      <c r="EJ121" s="103">
        <f t="shared" si="698"/>
        <v>559.05511811023621</v>
      </c>
      <c r="EK121" s="103">
        <f t="shared" si="698"/>
        <v>637.09677419354841</v>
      </c>
      <c r="EL121" s="103">
        <f t="shared" si="698"/>
        <v>601.51802656546488</v>
      </c>
      <c r="EN121" s="143" t="s">
        <v>145</v>
      </c>
      <c r="EO121" s="103">
        <f t="shared" si="699"/>
        <v>709.92366412213732</v>
      </c>
      <c r="EP121" s="103">
        <f t="shared" si="699"/>
        <v>601.6260162601626</v>
      </c>
      <c r="EQ121" s="103">
        <f t="shared" si="699"/>
        <v>652.17391304347825</v>
      </c>
      <c r="ER121" s="103">
        <f t="shared" si="699"/>
        <v>635.59322033898297</v>
      </c>
      <c r="ES121" s="103">
        <f t="shared" si="699"/>
        <v>650.92402464065708</v>
      </c>
      <c r="EU121" s="143" t="s">
        <v>145</v>
      </c>
      <c r="EV121" s="103">
        <f t="shared" si="700"/>
        <v>747.89915966386559</v>
      </c>
      <c r="EW121" s="103">
        <f t="shared" si="700"/>
        <v>714.28571428571433</v>
      </c>
      <c r="EX121" s="103">
        <f t="shared" si="700"/>
        <v>623.76237623762381</v>
      </c>
      <c r="EY121" s="103">
        <f t="shared" si="700"/>
        <v>681.0344827586207</v>
      </c>
      <c r="EZ121" s="103">
        <f t="shared" si="700"/>
        <v>693.87755102040819</v>
      </c>
      <c r="FB121" s="143" t="s">
        <v>145</v>
      </c>
      <c r="FC121" s="103">
        <f t="shared" si="701"/>
        <v>747.89915966386559</v>
      </c>
      <c r="FD121" s="103">
        <f t="shared" si="701"/>
        <v>697.47899159663859</v>
      </c>
      <c r="FE121" s="103">
        <f t="shared" si="701"/>
        <v>646.01769911504425</v>
      </c>
      <c r="FF121" s="103">
        <f t="shared" si="701"/>
        <v>705.35714285714289</v>
      </c>
      <c r="FG121" s="103">
        <f t="shared" si="701"/>
        <v>699.78401727861774</v>
      </c>
      <c r="FI121" s="143" t="s">
        <v>145</v>
      </c>
      <c r="FJ121" s="103">
        <f t="shared" si="702"/>
        <v>743.58974358974365</v>
      </c>
      <c r="FK121" s="103">
        <f t="shared" si="702"/>
        <v>752.21238938053091</v>
      </c>
      <c r="FL121" s="103">
        <f t="shared" si="702"/>
        <v>649.12280701754389</v>
      </c>
      <c r="FM121" s="103">
        <f t="shared" si="702"/>
        <v>715.51724137931035</v>
      </c>
      <c r="FN121" s="103">
        <f t="shared" si="702"/>
        <v>715.21739130434776</v>
      </c>
      <c r="FP121" s="143" t="s">
        <v>145</v>
      </c>
      <c r="FQ121" s="103">
        <f t="shared" si="703"/>
        <v>741.66666666666674</v>
      </c>
      <c r="FR121" s="103">
        <f t="shared" si="703"/>
        <v>727.27272727272725</v>
      </c>
      <c r="FS121" s="103">
        <f t="shared" si="703"/>
        <v>700.93457943925227</v>
      </c>
      <c r="FT121" s="103">
        <f t="shared" si="703"/>
        <v>723.57723577235777</v>
      </c>
      <c r="FU121" s="103">
        <f t="shared" si="703"/>
        <v>723.99150743099779</v>
      </c>
      <c r="FW121" s="143" t="s">
        <v>145</v>
      </c>
      <c r="FX121" s="103">
        <f t="shared" si="704"/>
        <v>769.23076923076928</v>
      </c>
      <c r="FY121" s="103">
        <f t="shared" si="704"/>
        <v>777.77777777777783</v>
      </c>
      <c r="FZ121" s="103">
        <f t="shared" si="704"/>
        <v>747.74774774774778</v>
      </c>
      <c r="GA121" s="103">
        <f t="shared" si="704"/>
        <v>878.78787878787875</v>
      </c>
      <c r="GB121" s="103">
        <f t="shared" si="704"/>
        <v>790.54054054054052</v>
      </c>
      <c r="GD121" s="143" t="s">
        <v>145</v>
      </c>
      <c r="GE121" s="103">
        <f t="shared" si="705"/>
        <v>1022.7272727272727</v>
      </c>
      <c r="GF121" s="103">
        <f t="shared" si="705"/>
        <v>989.36170212765967</v>
      </c>
      <c r="GG121" s="103">
        <f t="shared" si="705"/>
        <v>881.72043010752691</v>
      </c>
      <c r="GH121" s="103">
        <f t="shared" si="705"/>
        <v>1022.9885057471264</v>
      </c>
      <c r="GI121" s="103">
        <f t="shared" si="705"/>
        <v>977.90055248618773</v>
      </c>
      <c r="GK121" s="143" t="s">
        <v>145</v>
      </c>
      <c r="GL121" s="103">
        <f t="shared" si="706"/>
        <v>1152.1739130434783</v>
      </c>
      <c r="GM121" s="103">
        <f t="shared" si="706"/>
        <v>1168.5393258426966</v>
      </c>
      <c r="GN121" s="103">
        <f t="shared" si="706"/>
        <v>1122.2222222222222</v>
      </c>
      <c r="GO121" s="103">
        <f t="shared" si="706"/>
        <v>1195.6521739130435</v>
      </c>
      <c r="GP121" s="103">
        <f t="shared" si="706"/>
        <v>1159.7796143250689</v>
      </c>
      <c r="GR121" s="143" t="s">
        <v>145</v>
      </c>
      <c r="GS121" s="103">
        <f t="shared" si="707"/>
        <v>1428.5714285714287</v>
      </c>
      <c r="GT121" s="103">
        <f t="shared" si="707"/>
        <v>1406.5934065934066</v>
      </c>
      <c r="GU121" s="103">
        <f t="shared" si="707"/>
        <v>1344.8275862068965</v>
      </c>
      <c r="GV121" s="103">
        <f t="shared" si="707"/>
        <v>1303.030303030303</v>
      </c>
      <c r="GW121" s="103">
        <f t="shared" si="707"/>
        <v>1376.1194029850747</v>
      </c>
      <c r="GY121" s="143" t="s">
        <v>145</v>
      </c>
      <c r="GZ121" s="103">
        <f t="shared" si="708"/>
        <v>1450</v>
      </c>
      <c r="HA121" s="103">
        <f t="shared" si="708"/>
        <v>1270.2702702702702</v>
      </c>
      <c r="HB121" s="103">
        <f t="shared" si="708"/>
        <v>1220.7792207792209</v>
      </c>
      <c r="HC121" s="103">
        <f t="shared" si="708"/>
        <v>1256.4102564102564</v>
      </c>
      <c r="HD121" s="103">
        <f t="shared" si="708"/>
        <v>1290.6574394463669</v>
      </c>
      <c r="HF121" s="143" t="s">
        <v>145</v>
      </c>
      <c r="HG121" s="103">
        <f t="shared" si="709"/>
        <v>1556.9620253164558</v>
      </c>
      <c r="HH121" s="103">
        <f t="shared" si="709"/>
        <v>1362.5</v>
      </c>
      <c r="HI121" s="103">
        <f t="shared" si="709"/>
        <v>1371.7948717948718</v>
      </c>
      <c r="HJ121" s="103">
        <f t="shared" si="709"/>
        <v>1657.8947368421052</v>
      </c>
      <c r="HK121" s="103">
        <f t="shared" si="709"/>
        <v>1485.6230031948883</v>
      </c>
      <c r="HM121" s="143" t="s">
        <v>145</v>
      </c>
      <c r="HN121" s="103">
        <f t="shared" si="710"/>
        <v>1638.5542168674699</v>
      </c>
      <c r="HO121" s="103">
        <f t="shared" si="710"/>
        <v>1487.5</v>
      </c>
      <c r="HP121" s="103">
        <f t="shared" si="710"/>
        <v>1475</v>
      </c>
      <c r="HQ121" s="103">
        <f t="shared" si="710"/>
        <v>1500</v>
      </c>
      <c r="HR121" s="103">
        <f t="shared" si="710"/>
        <v>1526.4797507788162</v>
      </c>
      <c r="HT121" s="143" t="s">
        <v>145</v>
      </c>
      <c r="HU121" s="103">
        <f t="shared" si="711"/>
        <v>1637.5</v>
      </c>
      <c r="HV121" s="103">
        <f t="shared" si="711"/>
        <v>1582.2784810126582</v>
      </c>
      <c r="HW121" s="103">
        <f t="shared" si="711"/>
        <v>1537.5</v>
      </c>
      <c r="HX121" s="103">
        <f t="shared" si="711"/>
        <v>1621.9512195121952</v>
      </c>
      <c r="HY121" s="103">
        <f t="shared" si="711"/>
        <v>1595.0155763239875</v>
      </c>
      <c r="IA121" s="143" t="s">
        <v>145</v>
      </c>
      <c r="IB121" s="103">
        <f t="shared" si="712"/>
        <v>1714.2857142857142</v>
      </c>
      <c r="IC121" s="103">
        <f t="shared" si="712"/>
        <v>1569.7674418604649</v>
      </c>
      <c r="ID121" s="103">
        <f t="shared" si="712"/>
        <v>1550</v>
      </c>
      <c r="IE121" s="103">
        <f t="shared" si="712"/>
        <v>1610.3896103896104</v>
      </c>
      <c r="IF121" s="103">
        <f t="shared" si="712"/>
        <v>1611.6207951070337</v>
      </c>
      <c r="IH121" s="143" t="s">
        <v>145</v>
      </c>
      <c r="II121" s="103">
        <f t="shared" si="713"/>
        <v>1614.4578313253012</v>
      </c>
      <c r="IJ121" s="103">
        <f t="shared" si="713"/>
        <v>1662.7906976744187</v>
      </c>
      <c r="IK121" s="103">
        <f t="shared" si="713"/>
        <v>1548.780487804878</v>
      </c>
      <c r="IL121" s="103">
        <f t="shared" si="713"/>
        <v>1645.5696202531647</v>
      </c>
      <c r="IM121" s="103">
        <f t="shared" si="713"/>
        <v>1618.1818181818182</v>
      </c>
      <c r="IO121" s="143" t="s">
        <v>145</v>
      </c>
      <c r="IP121" s="103">
        <f t="shared" si="714"/>
        <v>1743.5897435897436</v>
      </c>
      <c r="IQ121" s="103">
        <f t="shared" si="714"/>
        <v>1564.1025641025642</v>
      </c>
      <c r="IR121" s="103">
        <f t="shared" si="714"/>
        <v>1563.3802816901407</v>
      </c>
      <c r="IS121" s="103">
        <f t="shared" si="714"/>
        <v>1621.6216216216217</v>
      </c>
      <c r="IT121" s="103">
        <f t="shared" si="714"/>
        <v>1624.5847176079735</v>
      </c>
      <c r="IV121" s="143" t="s">
        <v>145</v>
      </c>
      <c r="IW121" s="103">
        <f t="shared" si="715"/>
        <v>1671.0526315789473</v>
      </c>
      <c r="IX121" s="103">
        <f t="shared" si="715"/>
        <v>1583.3333333333333</v>
      </c>
      <c r="IY121" s="103">
        <f t="shared" si="715"/>
        <v>1444.4444444444443</v>
      </c>
      <c r="IZ121" s="103">
        <f t="shared" si="715"/>
        <v>2746.031746031746</v>
      </c>
      <c r="JA121" s="103">
        <f t="shared" si="715"/>
        <v>1830.3886925795052</v>
      </c>
      <c r="JC121" s="143" t="s">
        <v>145</v>
      </c>
      <c r="JD121" s="103">
        <f t="shared" si="716"/>
        <v>1675.3246753246754</v>
      </c>
      <c r="JE121" s="103">
        <f t="shared" si="716"/>
        <v>1512.8205128205127</v>
      </c>
      <c r="JF121" s="103">
        <f t="shared" si="716"/>
        <v>1558.8235294117646</v>
      </c>
      <c r="JG121" s="103">
        <f t="shared" si="716"/>
        <v>1661.7647058823529</v>
      </c>
      <c r="JH121" s="103">
        <f t="shared" si="716"/>
        <v>1601.3745704467356</v>
      </c>
      <c r="JJ121" s="143" t="s">
        <v>145</v>
      </c>
      <c r="JK121" s="103">
        <f t="shared" si="717"/>
        <v>1812.5</v>
      </c>
      <c r="JL121" s="103">
        <f t="shared" si="717"/>
        <v>1750</v>
      </c>
      <c r="JM121" s="103">
        <f t="shared" si="717"/>
        <v>1733.3333333333335</v>
      </c>
      <c r="JN121" s="103">
        <f t="shared" si="717"/>
        <v>1833.3333333333333</v>
      </c>
      <c r="JO121" s="103">
        <f t="shared" si="717"/>
        <v>1782.258064516129</v>
      </c>
      <c r="JQ121" s="143" t="s">
        <v>145</v>
      </c>
      <c r="JR121" s="103">
        <f t="shared" si="718"/>
        <v>1774.1935483870968</v>
      </c>
      <c r="JS121" s="103">
        <f t="shared" si="718"/>
        <v>1836.0655737704919</v>
      </c>
      <c r="JT121" s="103">
        <f t="shared" si="718"/>
        <v>1683.3333333333333</v>
      </c>
      <c r="JU121" s="103">
        <f t="shared" si="718"/>
        <v>1800</v>
      </c>
      <c r="JV121" s="103">
        <f t="shared" si="718"/>
        <v>1773.6625514403293</v>
      </c>
      <c r="JX121" s="143" t="s">
        <v>145</v>
      </c>
      <c r="JY121" s="103">
        <f t="shared" si="719"/>
        <v>1931.0344827586207</v>
      </c>
      <c r="JZ121" s="103">
        <f t="shared" si="719"/>
        <v>1716.6666666666665</v>
      </c>
      <c r="KA121" s="103">
        <f t="shared" si="719"/>
        <v>1684.2105263157894</v>
      </c>
      <c r="KB121" s="103">
        <f t="shared" si="719"/>
        <v>1915.2542372881355</v>
      </c>
      <c r="KC121" s="103">
        <f t="shared" si="719"/>
        <v>1811.965811965812</v>
      </c>
      <c r="KE121" s="143" t="s">
        <v>145</v>
      </c>
      <c r="KF121" s="103">
        <f t="shared" si="720"/>
        <v>2140.3508771929824</v>
      </c>
      <c r="KG121" s="103">
        <f t="shared" si="720"/>
        <v>1967.741935483871</v>
      </c>
      <c r="KH121" s="103">
        <f t="shared" si="720"/>
        <v>1962.962962962963</v>
      </c>
      <c r="KI121" s="103">
        <f t="shared" si="720"/>
        <v>2142.8571428571427</v>
      </c>
      <c r="KJ121" s="103">
        <f t="shared" si="720"/>
        <v>2052.4017467248909</v>
      </c>
      <c r="KL121" s="143" t="s">
        <v>145</v>
      </c>
      <c r="KM121" s="103">
        <f t="shared" si="721"/>
        <v>2142.8571428571427</v>
      </c>
      <c r="KN121" s="103">
        <f t="shared" si="721"/>
        <v>2185.1851851851852</v>
      </c>
      <c r="KO121" s="103">
        <f t="shared" si="721"/>
        <v>2250</v>
      </c>
      <c r="KP121" s="103">
        <f t="shared" si="721"/>
        <v>2422.2222222222222</v>
      </c>
      <c r="KQ121" s="103">
        <f t="shared" si="721"/>
        <v>2241.3793103448274</v>
      </c>
      <c r="KS121" s="143" t="s">
        <v>145</v>
      </c>
      <c r="KT121" s="247">
        <f t="shared" si="722"/>
        <v>2580</v>
      </c>
      <c r="KU121" s="247">
        <f t="shared" si="722"/>
        <v>2327.272727272727</v>
      </c>
      <c r="KV121" s="247">
        <f t="shared" si="722"/>
        <v>2638.2978723404253</v>
      </c>
      <c r="KW121" s="247">
        <f t="shared" si="722"/>
        <v>2872.3404255319151</v>
      </c>
      <c r="KX121" s="247">
        <f t="shared" si="722"/>
        <v>2592.9648241206032</v>
      </c>
      <c r="KY121" s="521"/>
      <c r="KZ121" s="246" t="s">
        <v>145</v>
      </c>
      <c r="LA121" s="247">
        <f t="shared" si="723"/>
        <v>2893.617021276596</v>
      </c>
      <c r="LB121" s="301">
        <v>2520</v>
      </c>
      <c r="LC121" s="301">
        <v>2622</v>
      </c>
      <c r="LD121" s="301">
        <v>2841</v>
      </c>
      <c r="LE121" s="301">
        <f t="shared" si="724"/>
        <v>2715.0537634408602</v>
      </c>
      <c r="LF121" s="561"/>
      <c r="LG121" s="246" t="s">
        <v>145</v>
      </c>
      <c r="LH121" s="301">
        <v>2833</v>
      </c>
      <c r="LI121" s="301">
        <v>2681</v>
      </c>
      <c r="LJ121" s="301">
        <v>2625</v>
      </c>
      <c r="LK121" s="301">
        <v>2830</v>
      </c>
      <c r="LL121" s="301">
        <f t="shared" si="725"/>
        <v>2742.1052631578946</v>
      </c>
      <c r="LM121" s="561"/>
      <c r="LN121" s="246" t="s">
        <v>145</v>
      </c>
      <c r="LO121" s="301">
        <f t="shared" ref="LO121:LR121" si="753">LO233</f>
        <v>2890</v>
      </c>
      <c r="LP121" s="301">
        <f t="shared" si="753"/>
        <v>2747.8723404255315</v>
      </c>
      <c r="LQ121" s="301">
        <f t="shared" si="753"/>
        <v>2703.75</v>
      </c>
      <c r="LR121" s="301">
        <f t="shared" si="753"/>
        <v>2914.6808510638302</v>
      </c>
      <c r="LS121" s="301">
        <f t="shared" si="727"/>
        <v>2814.0576878583001</v>
      </c>
      <c r="LT121" s="561"/>
      <c r="LU121" s="246" t="s">
        <v>145</v>
      </c>
      <c r="LV121" s="301">
        <f t="shared" ref="LV121:LY121" si="754">LV233</f>
        <v>2969.4750000000004</v>
      </c>
      <c r="LW121" s="301">
        <f t="shared" si="754"/>
        <v>2823.4388297872338</v>
      </c>
      <c r="LX121" s="301">
        <f t="shared" si="754"/>
        <v>2778.1031250000001</v>
      </c>
      <c r="LY121" s="301">
        <f t="shared" si="754"/>
        <v>2994.834574468086</v>
      </c>
      <c r="LZ121" s="301">
        <f t="shared" si="729"/>
        <v>2891.2632799359817</v>
      </c>
      <c r="MA121" s="561"/>
      <c r="MB121" s="246" t="s">
        <v>145</v>
      </c>
      <c r="MC121" s="301">
        <f t="shared" ref="MC121:MF121" si="755">MC233</f>
        <v>3043.711875</v>
      </c>
      <c r="MD121" s="301">
        <f t="shared" si="755"/>
        <v>2894.0248005319145</v>
      </c>
      <c r="ME121" s="301">
        <f t="shared" si="755"/>
        <v>2847.555703125</v>
      </c>
      <c r="MF121" s="301">
        <f t="shared" si="755"/>
        <v>3069.7054388297879</v>
      </c>
      <c r="MG121" s="301">
        <f t="shared" si="731"/>
        <v>2963.8374507116555</v>
      </c>
      <c r="MH121" s="561"/>
    </row>
    <row r="122" spans="1:346" s="37" customFormat="1" ht="13.15" hidden="1" outlineLevel="1" x14ac:dyDescent="0.4">
      <c r="A122" s="100"/>
      <c r="B122" s="128" t="s">
        <v>321</v>
      </c>
      <c r="C122" s="129" t="str">
        <f t="shared" ref="C122:M122" si="756">IFERROR(C16/C76*1000,"")</f>
        <v/>
      </c>
      <c r="D122" s="129" t="str">
        <f t="shared" si="756"/>
        <v/>
      </c>
      <c r="E122" s="129">
        <f t="shared" si="756"/>
        <v>623.09554321515031</v>
      </c>
      <c r="F122" s="129">
        <f t="shared" si="756"/>
        <v>775.45103092783506</v>
      </c>
      <c r="G122" s="129">
        <f t="shared" si="756"/>
        <v>832.57195066240297</v>
      </c>
      <c r="H122" s="129">
        <f t="shared" si="756"/>
        <v>923.44497607655512</v>
      </c>
      <c r="I122" s="129">
        <f t="shared" si="756"/>
        <v>915.8878504672897</v>
      </c>
      <c r="J122" s="129">
        <f t="shared" si="756"/>
        <v>918.83116883116872</v>
      </c>
      <c r="K122" s="129">
        <f t="shared" si="756"/>
        <v>864.11149825783968</v>
      </c>
      <c r="L122" s="129">
        <f t="shared" si="756"/>
        <v>1000</v>
      </c>
      <c r="M122" s="129">
        <f t="shared" si="756"/>
        <v>1000</v>
      </c>
      <c r="N122" s="129">
        <f t="shared" si="648"/>
        <v>995</v>
      </c>
      <c r="O122" s="129">
        <f t="shared" si="649"/>
        <v>1043.010752688172</v>
      </c>
      <c r="P122" s="129">
        <f t="shared" si="650"/>
        <v>1256.0975609756097</v>
      </c>
      <c r="Q122" s="129">
        <f t="shared" si="651"/>
        <v>1203.7037037037037</v>
      </c>
      <c r="R122" s="129">
        <f t="shared" si="652"/>
        <v>1180.7228915662652</v>
      </c>
      <c r="S122" s="129">
        <f t="shared" si="653"/>
        <v>1159.0909090909092</v>
      </c>
      <c r="T122" s="129">
        <f t="shared" si="654"/>
        <v>1156.4245810055866</v>
      </c>
      <c r="U122" s="129">
        <f t="shared" si="655"/>
        <v>1111.8881118881118</v>
      </c>
      <c r="V122" s="129">
        <f t="shared" si="656"/>
        <v>1093.9597315436242</v>
      </c>
      <c r="W122" s="129">
        <f t="shared" si="657"/>
        <v>1108.695652173913</v>
      </c>
      <c r="X122" s="129">
        <f t="shared" si="658"/>
        <v>1228.7581699346406</v>
      </c>
      <c r="Y122" s="129" t="str">
        <f t="shared" si="659"/>
        <v/>
      </c>
      <c r="Z122" s="129" t="str">
        <f t="shared" si="660"/>
        <v/>
      </c>
      <c r="AA122" s="129" t="str">
        <f t="shared" si="661"/>
        <v/>
      </c>
      <c r="AB122" s="129" t="str">
        <f t="shared" si="662"/>
        <v/>
      </c>
      <c r="AC122" s="129" t="str">
        <f t="shared" si="663"/>
        <v/>
      </c>
      <c r="AD122" s="129" t="str">
        <f t="shared" si="664"/>
        <v/>
      </c>
      <c r="AE122" s="129" t="str">
        <f t="shared" si="665"/>
        <v/>
      </c>
      <c r="AF122" s="129" t="str">
        <f t="shared" si="666"/>
        <v/>
      </c>
      <c r="AG122" s="129" t="str">
        <f t="shared" si="667"/>
        <v/>
      </c>
      <c r="AH122" s="129" t="str">
        <f t="shared" si="668"/>
        <v/>
      </c>
      <c r="AI122" s="129" t="str">
        <f t="shared" si="669"/>
        <v/>
      </c>
      <c r="AJ122" s="129" t="str">
        <f t="shared" si="670"/>
        <v/>
      </c>
      <c r="AK122" s="129" t="str">
        <f t="shared" si="671"/>
        <v/>
      </c>
      <c r="AL122" s="129" t="str">
        <f t="shared" si="672"/>
        <v/>
      </c>
      <c r="AM122" s="129" t="str">
        <f t="shared" si="673"/>
        <v/>
      </c>
      <c r="AN122" s="129" t="str">
        <f t="shared" si="674"/>
        <v/>
      </c>
      <c r="AO122" s="129" t="str">
        <f t="shared" si="675"/>
        <v/>
      </c>
      <c r="AP122" s="129" t="str">
        <f t="shared" si="676"/>
        <v/>
      </c>
      <c r="AQ122" s="129" t="str">
        <f t="shared" si="677"/>
        <v/>
      </c>
      <c r="AR122" s="129" t="str">
        <f t="shared" si="678"/>
        <v/>
      </c>
      <c r="AS122" s="129" t="str">
        <f t="shared" si="679"/>
        <v/>
      </c>
      <c r="AT122" s="129" t="str">
        <f t="shared" si="680"/>
        <v/>
      </c>
      <c r="AU122" s="129" t="str">
        <f t="shared" si="681"/>
        <v/>
      </c>
      <c r="AV122" s="129" t="str">
        <f t="shared" si="682"/>
        <v/>
      </c>
      <c r="AW122" s="129">
        <f t="shared" si="683"/>
        <v>0</v>
      </c>
      <c r="AX122" s="129">
        <f t="shared" si="684"/>
        <v>0</v>
      </c>
      <c r="AY122" s="129">
        <f t="shared" si="685"/>
        <v>0</v>
      </c>
      <c r="AZ122" s="129">
        <f t="shared" si="686"/>
        <v>0</v>
      </c>
      <c r="BA122" s="129">
        <f t="shared" si="687"/>
        <v>0</v>
      </c>
      <c r="BB122" s="129"/>
      <c r="BC122" s="129"/>
      <c r="BD122" s="129"/>
      <c r="BE122" s="129"/>
      <c r="BF122" s="129"/>
      <c r="BG122" s="129"/>
      <c r="BH122" s="129"/>
      <c r="BI122" s="129"/>
      <c r="BJ122" s="129"/>
      <c r="BK122" s="129"/>
      <c r="BL122" s="129"/>
      <c r="BM122" s="129"/>
      <c r="BO122" s="128" t="s">
        <v>321</v>
      </c>
      <c r="BP122" s="61">
        <f t="shared" si="688"/>
        <v>942.30769230769226</v>
      </c>
      <c r="BQ122" s="61">
        <f t="shared" si="688"/>
        <v>944.44444444444446</v>
      </c>
      <c r="BR122" s="61">
        <f t="shared" si="688"/>
        <v>960.78431372549028</v>
      </c>
      <c r="BS122" s="61">
        <f t="shared" si="688"/>
        <v>1162.7906976744187</v>
      </c>
      <c r="BT122" s="61">
        <f t="shared" si="688"/>
        <v>995</v>
      </c>
      <c r="BV122" s="128" t="s">
        <v>321</v>
      </c>
      <c r="BW122" s="61">
        <f t="shared" si="689"/>
        <v>1000</v>
      </c>
      <c r="BX122" s="61">
        <f t="shared" si="689"/>
        <v>959.18367346938771</v>
      </c>
      <c r="BY122" s="61">
        <f t="shared" si="689"/>
        <v>1000</v>
      </c>
      <c r="BZ122" s="61">
        <f t="shared" si="689"/>
        <v>1250</v>
      </c>
      <c r="CA122" s="61">
        <f t="shared" si="689"/>
        <v>1043.010752688172</v>
      </c>
      <c r="CC122" s="128" t="s">
        <v>321</v>
      </c>
      <c r="CD122" s="61">
        <f t="shared" si="690"/>
        <v>1261.9047619047619</v>
      </c>
      <c r="CE122" s="61">
        <f t="shared" si="690"/>
        <v>1272.7272727272727</v>
      </c>
      <c r="CF122" s="61">
        <f t="shared" si="690"/>
        <v>1250</v>
      </c>
      <c r="CG122" s="61">
        <f t="shared" si="690"/>
        <v>1236.8421052631579</v>
      </c>
      <c r="CH122" s="61">
        <f t="shared" si="690"/>
        <v>1256.0975609756097</v>
      </c>
      <c r="CJ122" s="128" t="s">
        <v>321</v>
      </c>
      <c r="CK122" s="61">
        <f t="shared" si="691"/>
        <v>1275</v>
      </c>
      <c r="CL122" s="61">
        <f t="shared" si="691"/>
        <v>1200</v>
      </c>
      <c r="CM122" s="61">
        <f t="shared" si="691"/>
        <v>1170.7317073170732</v>
      </c>
      <c r="CN122" s="61">
        <f t="shared" si="691"/>
        <v>1170.7317073170732</v>
      </c>
      <c r="CO122" s="61">
        <f t="shared" si="691"/>
        <v>1203.7037037037037</v>
      </c>
      <c r="CQ122" s="128" t="s">
        <v>321</v>
      </c>
      <c r="CR122" s="61">
        <f t="shared" si="692"/>
        <v>1200</v>
      </c>
      <c r="CS122" s="61">
        <f t="shared" si="692"/>
        <v>1170.7317073170732</v>
      </c>
      <c r="CT122" s="61">
        <f t="shared" si="692"/>
        <v>1170.7317073170732</v>
      </c>
      <c r="CU122" s="61">
        <f t="shared" si="692"/>
        <v>1181.818181818182</v>
      </c>
      <c r="CV122" s="61">
        <f t="shared" si="692"/>
        <v>1180.7228915662652</v>
      </c>
      <c r="CX122" s="128" t="s">
        <v>321</v>
      </c>
      <c r="CY122" s="61">
        <f t="shared" si="693"/>
        <v>1170.7317073170732</v>
      </c>
      <c r="CZ122" s="61">
        <f t="shared" si="693"/>
        <v>1152.1739130434783</v>
      </c>
      <c r="DA122" s="61">
        <f t="shared" si="693"/>
        <v>1130.4347826086955</v>
      </c>
      <c r="DB122" s="61">
        <f t="shared" si="693"/>
        <v>1186.0465116279072</v>
      </c>
      <c r="DC122" s="61">
        <f t="shared" si="693"/>
        <v>1159.0909090909092</v>
      </c>
      <c r="DE122" s="128" t="s">
        <v>321</v>
      </c>
      <c r="DF122" s="61">
        <f t="shared" si="694"/>
        <v>1177.7777777777778</v>
      </c>
      <c r="DG122" s="61">
        <f t="shared" si="694"/>
        <v>1127.6595744680851</v>
      </c>
      <c r="DH122" s="61">
        <f t="shared" si="694"/>
        <v>1133.3333333333333</v>
      </c>
      <c r="DI122" s="61">
        <f t="shared" si="694"/>
        <v>1190.4761904761904</v>
      </c>
      <c r="DJ122" s="61">
        <f t="shared" si="694"/>
        <v>1156.4245810055866</v>
      </c>
      <c r="DL122" s="128" t="s">
        <v>321</v>
      </c>
      <c r="DM122" s="61">
        <f t="shared" si="695"/>
        <v>1411.7647058823529</v>
      </c>
      <c r="DN122" s="61">
        <f t="shared" si="695"/>
        <v>840.90909090909099</v>
      </c>
      <c r="DO122" s="61">
        <f t="shared" si="695"/>
        <v>1187.5</v>
      </c>
      <c r="DP122" s="61">
        <f t="shared" si="695"/>
        <v>1090.9090909090908</v>
      </c>
      <c r="DQ122" s="61">
        <f t="shared" si="695"/>
        <v>1111.8881118881118</v>
      </c>
      <c r="DS122" s="128" t="s">
        <v>321</v>
      </c>
      <c r="DT122" s="61">
        <f t="shared" si="696"/>
        <v>1117.6470588235295</v>
      </c>
      <c r="DU122" s="61">
        <f t="shared" si="696"/>
        <v>1076.9230769230769</v>
      </c>
      <c r="DV122" s="61">
        <f t="shared" si="696"/>
        <v>1102.5641025641025</v>
      </c>
      <c r="DW122" s="61">
        <f t="shared" si="696"/>
        <v>1081.081081081081</v>
      </c>
      <c r="DX122" s="61">
        <f t="shared" si="696"/>
        <v>1093.9597315436242</v>
      </c>
      <c r="DZ122" s="128" t="s">
        <v>321</v>
      </c>
      <c r="EA122" s="61">
        <f t="shared" si="697"/>
        <v>1108.1081081081081</v>
      </c>
      <c r="EB122" s="61">
        <f t="shared" si="697"/>
        <v>1114.2857142857142</v>
      </c>
      <c r="EC122" s="61">
        <f t="shared" si="697"/>
        <v>1090.9090909090908</v>
      </c>
      <c r="ED122" s="61">
        <f t="shared" si="697"/>
        <v>1121.212121212121</v>
      </c>
      <c r="EE122" s="61">
        <f t="shared" si="697"/>
        <v>1108.695652173913</v>
      </c>
      <c r="EG122" s="128" t="s">
        <v>321</v>
      </c>
      <c r="EH122" s="61">
        <f t="shared" si="698"/>
        <v>1162.1621621621621</v>
      </c>
      <c r="EI122" s="61">
        <f t="shared" si="698"/>
        <v>1171.4285714285716</v>
      </c>
      <c r="EJ122" s="61">
        <f t="shared" si="698"/>
        <v>1282.0512820512822</v>
      </c>
      <c r="EK122" s="61">
        <f t="shared" si="698"/>
        <v>1285.7142857142858</v>
      </c>
      <c r="EL122" s="61">
        <f t="shared" si="698"/>
        <v>1228.7581699346406</v>
      </c>
      <c r="EN122" s="128" t="s">
        <v>321</v>
      </c>
      <c r="EO122" s="61" t="str">
        <f t="shared" si="699"/>
        <v/>
      </c>
      <c r="EP122" s="61" t="str">
        <f t="shared" si="699"/>
        <v/>
      </c>
      <c r="EQ122" s="61" t="str">
        <f t="shared" si="699"/>
        <v/>
      </c>
      <c r="ER122" s="61" t="str">
        <f t="shared" si="699"/>
        <v/>
      </c>
      <c r="ES122" s="61" t="str">
        <f t="shared" si="699"/>
        <v/>
      </c>
      <c r="EU122" s="128" t="s">
        <v>321</v>
      </c>
      <c r="EV122" s="61" t="str">
        <f t="shared" si="700"/>
        <v/>
      </c>
      <c r="EW122" s="61" t="str">
        <f t="shared" si="700"/>
        <v/>
      </c>
      <c r="EX122" s="61" t="str">
        <f t="shared" si="700"/>
        <v/>
      </c>
      <c r="EY122" s="61" t="str">
        <f t="shared" si="700"/>
        <v/>
      </c>
      <c r="EZ122" s="61" t="str">
        <f t="shared" si="700"/>
        <v/>
      </c>
      <c r="FB122" s="128" t="s">
        <v>321</v>
      </c>
      <c r="FC122" s="61" t="str">
        <f t="shared" si="701"/>
        <v/>
      </c>
      <c r="FD122" s="61" t="str">
        <f t="shared" si="701"/>
        <v/>
      </c>
      <c r="FE122" s="61" t="str">
        <f t="shared" si="701"/>
        <v/>
      </c>
      <c r="FF122" s="61" t="str">
        <f t="shared" si="701"/>
        <v/>
      </c>
      <c r="FG122" s="61" t="str">
        <f t="shared" si="701"/>
        <v/>
      </c>
      <c r="FI122" s="128" t="s">
        <v>321</v>
      </c>
      <c r="FJ122" s="61" t="str">
        <f t="shared" si="702"/>
        <v/>
      </c>
      <c r="FK122" s="61" t="str">
        <f t="shared" si="702"/>
        <v/>
      </c>
      <c r="FL122" s="61" t="str">
        <f t="shared" si="702"/>
        <v/>
      </c>
      <c r="FM122" s="61" t="str">
        <f t="shared" si="702"/>
        <v/>
      </c>
      <c r="FN122" s="61" t="str">
        <f t="shared" si="702"/>
        <v/>
      </c>
      <c r="FP122" s="128" t="s">
        <v>321</v>
      </c>
      <c r="FQ122" s="61" t="str">
        <f t="shared" si="703"/>
        <v/>
      </c>
      <c r="FR122" s="61" t="str">
        <f t="shared" si="703"/>
        <v/>
      </c>
      <c r="FS122" s="61" t="str">
        <f t="shared" si="703"/>
        <v/>
      </c>
      <c r="FT122" s="61" t="str">
        <f t="shared" si="703"/>
        <v/>
      </c>
      <c r="FU122" s="61" t="str">
        <f t="shared" si="703"/>
        <v/>
      </c>
      <c r="FW122" s="128" t="s">
        <v>321</v>
      </c>
      <c r="FX122" s="61" t="str">
        <f t="shared" si="704"/>
        <v/>
      </c>
      <c r="FY122" s="61" t="str">
        <f t="shared" si="704"/>
        <v/>
      </c>
      <c r="FZ122" s="61" t="str">
        <f t="shared" si="704"/>
        <v/>
      </c>
      <c r="GA122" s="61" t="str">
        <f t="shared" si="704"/>
        <v/>
      </c>
      <c r="GB122" s="61" t="str">
        <f t="shared" si="704"/>
        <v/>
      </c>
      <c r="GD122" s="128" t="s">
        <v>321</v>
      </c>
      <c r="GE122" s="61" t="str">
        <f t="shared" si="705"/>
        <v/>
      </c>
      <c r="GF122" s="61" t="str">
        <f t="shared" si="705"/>
        <v/>
      </c>
      <c r="GG122" s="61" t="str">
        <f t="shared" si="705"/>
        <v/>
      </c>
      <c r="GH122" s="61" t="str">
        <f t="shared" si="705"/>
        <v/>
      </c>
      <c r="GI122" s="61" t="str">
        <f t="shared" si="705"/>
        <v/>
      </c>
      <c r="GK122" s="128" t="s">
        <v>321</v>
      </c>
      <c r="GL122" s="61" t="str">
        <f t="shared" si="706"/>
        <v/>
      </c>
      <c r="GM122" s="61" t="str">
        <f t="shared" si="706"/>
        <v/>
      </c>
      <c r="GN122" s="61" t="str">
        <f t="shared" si="706"/>
        <v/>
      </c>
      <c r="GO122" s="61" t="str">
        <f t="shared" si="706"/>
        <v/>
      </c>
      <c r="GP122" s="61" t="str">
        <f t="shared" si="706"/>
        <v/>
      </c>
      <c r="GR122" s="128" t="s">
        <v>321</v>
      </c>
      <c r="GS122" s="61" t="str">
        <f t="shared" si="707"/>
        <v/>
      </c>
      <c r="GT122" s="61" t="str">
        <f t="shared" si="707"/>
        <v/>
      </c>
      <c r="GU122" s="61" t="str">
        <f t="shared" si="707"/>
        <v/>
      </c>
      <c r="GV122" s="61" t="str">
        <f t="shared" si="707"/>
        <v/>
      </c>
      <c r="GW122" s="61" t="str">
        <f t="shared" si="707"/>
        <v/>
      </c>
      <c r="GY122" s="128" t="s">
        <v>321</v>
      </c>
      <c r="GZ122" s="61" t="str">
        <f t="shared" si="708"/>
        <v/>
      </c>
      <c r="HA122" s="61" t="str">
        <f t="shared" si="708"/>
        <v/>
      </c>
      <c r="HB122" s="61" t="str">
        <f t="shared" si="708"/>
        <v/>
      </c>
      <c r="HC122" s="61" t="str">
        <f t="shared" si="708"/>
        <v/>
      </c>
      <c r="HD122" s="61" t="str">
        <f t="shared" si="708"/>
        <v/>
      </c>
      <c r="HF122" s="128" t="s">
        <v>321</v>
      </c>
      <c r="HG122" s="61" t="str">
        <f t="shared" si="709"/>
        <v/>
      </c>
      <c r="HH122" s="61" t="str">
        <f t="shared" si="709"/>
        <v/>
      </c>
      <c r="HI122" s="61" t="str">
        <f t="shared" si="709"/>
        <v/>
      </c>
      <c r="HJ122" s="61" t="str">
        <f t="shared" si="709"/>
        <v/>
      </c>
      <c r="HK122" s="61" t="str">
        <f t="shared" si="709"/>
        <v/>
      </c>
      <c r="HM122" s="128" t="s">
        <v>321</v>
      </c>
      <c r="HN122" s="61" t="str">
        <f t="shared" si="710"/>
        <v/>
      </c>
      <c r="HO122" s="61" t="str">
        <f t="shared" si="710"/>
        <v/>
      </c>
      <c r="HP122" s="61" t="str">
        <f t="shared" si="710"/>
        <v/>
      </c>
      <c r="HQ122" s="61" t="str">
        <f t="shared" si="710"/>
        <v/>
      </c>
      <c r="HR122" s="61" t="str">
        <f t="shared" si="710"/>
        <v/>
      </c>
      <c r="HT122" s="128" t="s">
        <v>321</v>
      </c>
      <c r="HU122" s="61" t="str">
        <f t="shared" si="711"/>
        <v/>
      </c>
      <c r="HV122" s="61" t="str">
        <f t="shared" si="711"/>
        <v/>
      </c>
      <c r="HW122" s="61" t="str">
        <f t="shared" si="711"/>
        <v/>
      </c>
      <c r="HX122" s="61" t="str">
        <f t="shared" si="711"/>
        <v/>
      </c>
      <c r="HY122" s="61" t="str">
        <f t="shared" si="711"/>
        <v/>
      </c>
      <c r="IA122" s="128" t="s">
        <v>321</v>
      </c>
      <c r="IB122" s="61" t="str">
        <f t="shared" si="712"/>
        <v/>
      </c>
      <c r="IC122" s="61" t="str">
        <f t="shared" si="712"/>
        <v/>
      </c>
      <c r="ID122" s="61" t="str">
        <f t="shared" si="712"/>
        <v/>
      </c>
      <c r="IE122" s="61" t="str">
        <f t="shared" si="712"/>
        <v/>
      </c>
      <c r="IF122" s="61" t="str">
        <f t="shared" si="712"/>
        <v/>
      </c>
      <c r="IH122" s="128" t="s">
        <v>321</v>
      </c>
      <c r="II122" s="61" t="str">
        <f t="shared" si="713"/>
        <v/>
      </c>
      <c r="IJ122" s="61" t="str">
        <f t="shared" si="713"/>
        <v/>
      </c>
      <c r="IK122" s="61" t="str">
        <f t="shared" si="713"/>
        <v/>
      </c>
      <c r="IL122" s="61" t="str">
        <f t="shared" si="713"/>
        <v/>
      </c>
      <c r="IM122" s="61" t="str">
        <f t="shared" si="713"/>
        <v/>
      </c>
      <c r="IO122" s="128" t="s">
        <v>321</v>
      </c>
      <c r="IP122" s="61" t="str">
        <f t="shared" si="714"/>
        <v/>
      </c>
      <c r="IQ122" s="61" t="str">
        <f t="shared" si="714"/>
        <v/>
      </c>
      <c r="IR122" s="61" t="str">
        <f t="shared" si="714"/>
        <v/>
      </c>
      <c r="IS122" s="61" t="str">
        <f t="shared" si="714"/>
        <v/>
      </c>
      <c r="IT122" s="61" t="str">
        <f t="shared" si="714"/>
        <v/>
      </c>
      <c r="IV122" s="128" t="s">
        <v>321</v>
      </c>
      <c r="IW122" s="61" t="str">
        <f t="shared" si="715"/>
        <v/>
      </c>
      <c r="IX122" s="61" t="str">
        <f t="shared" si="715"/>
        <v/>
      </c>
      <c r="IY122" s="61" t="str">
        <f t="shared" si="715"/>
        <v/>
      </c>
      <c r="IZ122" s="61" t="str">
        <f t="shared" si="715"/>
        <v/>
      </c>
      <c r="JA122" s="61" t="str">
        <f t="shared" si="715"/>
        <v/>
      </c>
      <c r="JC122" s="128" t="s">
        <v>321</v>
      </c>
      <c r="JD122" s="61" t="str">
        <f t="shared" si="716"/>
        <v/>
      </c>
      <c r="JE122" s="61" t="str">
        <f t="shared" si="716"/>
        <v/>
      </c>
      <c r="JF122" s="61" t="str">
        <f t="shared" si="716"/>
        <v/>
      </c>
      <c r="JG122" s="61" t="str">
        <f t="shared" si="716"/>
        <v/>
      </c>
      <c r="JH122" s="61" t="str">
        <f t="shared" si="716"/>
        <v/>
      </c>
      <c r="JJ122" s="128" t="s">
        <v>321</v>
      </c>
      <c r="JK122" s="61" t="str">
        <f t="shared" si="717"/>
        <v/>
      </c>
      <c r="JL122" s="61" t="str">
        <f t="shared" si="717"/>
        <v/>
      </c>
      <c r="JM122" s="61" t="str">
        <f t="shared" si="717"/>
        <v/>
      </c>
      <c r="JN122" s="61" t="str">
        <f t="shared" si="717"/>
        <v/>
      </c>
      <c r="JO122" s="61" t="str">
        <f t="shared" si="717"/>
        <v/>
      </c>
      <c r="JQ122" s="128" t="s">
        <v>321</v>
      </c>
      <c r="JR122" s="61" t="str">
        <f t="shared" si="718"/>
        <v/>
      </c>
      <c r="JS122" s="61" t="str">
        <f t="shared" si="718"/>
        <v/>
      </c>
      <c r="JT122" s="61" t="str">
        <f t="shared" si="718"/>
        <v/>
      </c>
      <c r="JU122" s="61" t="str">
        <f t="shared" si="718"/>
        <v/>
      </c>
      <c r="JV122" s="61" t="str">
        <f t="shared" si="718"/>
        <v/>
      </c>
      <c r="JX122" s="128" t="s">
        <v>321</v>
      </c>
      <c r="JY122" s="61" t="str">
        <f t="shared" si="719"/>
        <v/>
      </c>
      <c r="JZ122" s="61" t="str">
        <f t="shared" si="719"/>
        <v/>
      </c>
      <c r="KA122" s="61" t="str">
        <f t="shared" si="719"/>
        <v/>
      </c>
      <c r="KB122" s="61" t="str">
        <f t="shared" si="719"/>
        <v/>
      </c>
      <c r="KC122" s="61" t="str">
        <f t="shared" si="719"/>
        <v/>
      </c>
      <c r="KE122" s="128" t="s">
        <v>321</v>
      </c>
      <c r="KF122" s="61" t="str">
        <f t="shared" si="720"/>
        <v/>
      </c>
      <c r="KG122" s="61" t="str">
        <f t="shared" si="720"/>
        <v/>
      </c>
      <c r="KH122" s="61" t="str">
        <f t="shared" si="720"/>
        <v/>
      </c>
      <c r="KI122" s="61" t="str">
        <f t="shared" si="720"/>
        <v/>
      </c>
      <c r="KJ122" s="61" t="str">
        <f t="shared" si="720"/>
        <v/>
      </c>
      <c r="KL122" s="128" t="s">
        <v>321</v>
      </c>
      <c r="KM122" s="61" t="str">
        <f t="shared" si="721"/>
        <v/>
      </c>
      <c r="KN122" s="61" t="str">
        <f t="shared" si="721"/>
        <v/>
      </c>
      <c r="KO122" s="61" t="str">
        <f t="shared" si="721"/>
        <v/>
      </c>
      <c r="KP122" s="61" t="str">
        <f t="shared" si="721"/>
        <v/>
      </c>
      <c r="KQ122" s="61" t="str">
        <f t="shared" si="721"/>
        <v/>
      </c>
      <c r="KS122" s="128" t="s">
        <v>321</v>
      </c>
      <c r="KT122" s="523" t="str">
        <f t="shared" si="722"/>
        <v/>
      </c>
      <c r="KU122" s="523" t="str">
        <f t="shared" si="722"/>
        <v/>
      </c>
      <c r="KV122" s="524" t="str">
        <f t="shared" si="722"/>
        <v/>
      </c>
      <c r="KW122" s="523" t="str">
        <f t="shared" si="722"/>
        <v/>
      </c>
      <c r="KX122" s="523" t="str">
        <f t="shared" si="722"/>
        <v/>
      </c>
      <c r="KY122" s="521"/>
      <c r="KZ122" s="525" t="s">
        <v>321</v>
      </c>
      <c r="LA122" s="523"/>
      <c r="LB122" s="524"/>
      <c r="LC122" s="524"/>
      <c r="LD122" s="524"/>
      <c r="LE122" s="524"/>
      <c r="LF122" s="561"/>
      <c r="LG122" s="525" t="s">
        <v>321</v>
      </c>
      <c r="LH122" s="524"/>
      <c r="LI122" s="524"/>
      <c r="LJ122" s="524"/>
      <c r="LK122" s="524"/>
      <c r="LL122" s="524"/>
      <c r="LM122" s="561"/>
      <c r="LN122" s="525" t="s">
        <v>321</v>
      </c>
      <c r="LO122" s="524"/>
      <c r="LP122" s="524"/>
      <c r="LQ122" s="524"/>
      <c r="LR122" s="524"/>
      <c r="LS122" s="524"/>
      <c r="LT122" s="561"/>
      <c r="LU122" s="525" t="s">
        <v>321</v>
      </c>
      <c r="LV122" s="524"/>
      <c r="LW122" s="524"/>
      <c r="LX122" s="524"/>
      <c r="LY122" s="524"/>
      <c r="LZ122" s="524"/>
      <c r="MA122" s="561"/>
      <c r="MB122" s="525" t="s">
        <v>321</v>
      </c>
      <c r="MC122" s="524"/>
      <c r="MD122" s="524"/>
      <c r="ME122" s="524"/>
      <c r="MF122" s="524"/>
      <c r="MG122" s="524"/>
      <c r="MH122" s="561"/>
    </row>
    <row r="123" spans="1:346" s="37" customFormat="1" ht="13.15" hidden="1" outlineLevel="1" x14ac:dyDescent="0.4">
      <c r="A123" s="100"/>
      <c r="B123" s="128" t="s">
        <v>323</v>
      </c>
      <c r="C123" s="129" t="str">
        <f t="shared" ref="C123:M123" si="757">IFERROR(C17/C77*1000,"")</f>
        <v/>
      </c>
      <c r="D123" s="129" t="str">
        <f t="shared" si="757"/>
        <v/>
      </c>
      <c r="E123" s="129" t="str">
        <f t="shared" si="757"/>
        <v/>
      </c>
      <c r="F123" s="129" t="str">
        <f t="shared" si="757"/>
        <v/>
      </c>
      <c r="G123" s="129" t="str">
        <f t="shared" si="757"/>
        <v/>
      </c>
      <c r="H123" s="129" t="str">
        <f t="shared" si="757"/>
        <v/>
      </c>
      <c r="I123" s="129" t="str">
        <f t="shared" si="757"/>
        <v/>
      </c>
      <c r="J123" s="129" t="str">
        <f t="shared" si="757"/>
        <v/>
      </c>
      <c r="K123" s="129" t="str">
        <f t="shared" si="757"/>
        <v/>
      </c>
      <c r="L123" s="129" t="str">
        <f t="shared" si="757"/>
        <v/>
      </c>
      <c r="M123" s="129" t="str">
        <f t="shared" si="757"/>
        <v/>
      </c>
      <c r="N123" s="129" t="str">
        <f t="shared" si="648"/>
        <v/>
      </c>
      <c r="O123" s="129" t="str">
        <f t="shared" si="649"/>
        <v/>
      </c>
      <c r="P123" s="129" t="str">
        <f t="shared" si="650"/>
        <v/>
      </c>
      <c r="Q123" s="129" t="str">
        <f t="shared" si="651"/>
        <v/>
      </c>
      <c r="R123" s="129" t="str">
        <f t="shared" si="652"/>
        <v/>
      </c>
      <c r="S123" s="129" t="str">
        <f t="shared" si="653"/>
        <v/>
      </c>
      <c r="T123" s="129" t="str">
        <f t="shared" si="654"/>
        <v/>
      </c>
      <c r="U123" s="129" t="str">
        <f t="shared" si="655"/>
        <v/>
      </c>
      <c r="V123" s="129" t="str">
        <f t="shared" si="656"/>
        <v/>
      </c>
      <c r="W123" s="129" t="str">
        <f t="shared" si="657"/>
        <v/>
      </c>
      <c r="X123" s="129" t="str">
        <f t="shared" si="658"/>
        <v/>
      </c>
      <c r="Y123" s="129">
        <f t="shared" si="659"/>
        <v>855.81395348837214</v>
      </c>
      <c r="Z123" s="129">
        <f t="shared" si="660"/>
        <v>882.75862068965512</v>
      </c>
      <c r="AA123" s="129">
        <f t="shared" si="661"/>
        <v>938.67924528301887</v>
      </c>
      <c r="AB123" s="129">
        <f t="shared" si="662"/>
        <v>989.49579831932772</v>
      </c>
      <c r="AC123" s="129">
        <f t="shared" si="663"/>
        <v>994.07114624505937</v>
      </c>
      <c r="AD123" s="129">
        <f t="shared" si="664"/>
        <v>1015.8415841584158</v>
      </c>
      <c r="AE123" s="129">
        <f t="shared" si="665"/>
        <v>1106.8702290076335</v>
      </c>
      <c r="AF123" s="129">
        <f t="shared" si="666"/>
        <v>1252.7472527472528</v>
      </c>
      <c r="AG123" s="129">
        <f t="shared" si="667"/>
        <v>1466.1190965092403</v>
      </c>
      <c r="AH123" s="129">
        <f t="shared" si="668"/>
        <v>1444.4444444444443</v>
      </c>
      <c r="AI123" s="129" t="str">
        <f t="shared" si="669"/>
        <v/>
      </c>
      <c r="AJ123" s="129" t="str">
        <f t="shared" si="670"/>
        <v/>
      </c>
      <c r="AK123" s="129" t="str">
        <f t="shared" si="671"/>
        <v/>
      </c>
      <c r="AL123" s="129" t="str">
        <f t="shared" si="672"/>
        <v/>
      </c>
      <c r="AM123" s="129" t="str">
        <f t="shared" si="673"/>
        <v/>
      </c>
      <c r="AN123" s="129" t="str">
        <f t="shared" si="674"/>
        <v/>
      </c>
      <c r="AO123" s="129" t="str">
        <f t="shared" si="675"/>
        <v/>
      </c>
      <c r="AP123" s="129" t="str">
        <f t="shared" si="676"/>
        <v/>
      </c>
      <c r="AQ123" s="129" t="str">
        <f t="shared" si="677"/>
        <v/>
      </c>
      <c r="AR123" s="129" t="str">
        <f t="shared" si="678"/>
        <v/>
      </c>
      <c r="AS123" s="129" t="str">
        <f t="shared" si="679"/>
        <v/>
      </c>
      <c r="AT123" s="129" t="str">
        <f t="shared" si="680"/>
        <v/>
      </c>
      <c r="AU123" s="129" t="str">
        <f t="shared" si="681"/>
        <v/>
      </c>
      <c r="AV123" s="129" t="str">
        <f t="shared" si="682"/>
        <v/>
      </c>
      <c r="AW123" s="129">
        <f t="shared" si="683"/>
        <v>0</v>
      </c>
      <c r="AX123" s="129">
        <f t="shared" si="684"/>
        <v>0</v>
      </c>
      <c r="AY123" s="129">
        <f t="shared" si="685"/>
        <v>0</v>
      </c>
      <c r="AZ123" s="129">
        <f t="shared" si="686"/>
        <v>0</v>
      </c>
      <c r="BA123" s="129">
        <f t="shared" si="687"/>
        <v>0</v>
      </c>
      <c r="BB123" s="129"/>
      <c r="BC123" s="129"/>
      <c r="BD123" s="129"/>
      <c r="BE123" s="129"/>
      <c r="BF123" s="129"/>
      <c r="BG123" s="129"/>
      <c r="BH123" s="129"/>
      <c r="BI123" s="129"/>
      <c r="BJ123" s="129"/>
      <c r="BK123" s="129"/>
      <c r="BL123" s="129"/>
      <c r="BM123" s="129"/>
      <c r="BO123" s="128" t="s">
        <v>323</v>
      </c>
      <c r="BP123" s="61" t="str">
        <f t="shared" si="688"/>
        <v/>
      </c>
      <c r="BQ123" s="61" t="str">
        <f t="shared" si="688"/>
        <v/>
      </c>
      <c r="BR123" s="61" t="str">
        <f t="shared" si="688"/>
        <v/>
      </c>
      <c r="BS123" s="61" t="str">
        <f t="shared" si="688"/>
        <v/>
      </c>
      <c r="BT123" s="61" t="str">
        <f t="shared" si="688"/>
        <v/>
      </c>
      <c r="BV123" s="128" t="s">
        <v>323</v>
      </c>
      <c r="BW123" s="61" t="str">
        <f t="shared" si="689"/>
        <v/>
      </c>
      <c r="BX123" s="61" t="str">
        <f t="shared" si="689"/>
        <v/>
      </c>
      <c r="BY123" s="61" t="str">
        <f t="shared" si="689"/>
        <v/>
      </c>
      <c r="BZ123" s="61" t="str">
        <f t="shared" si="689"/>
        <v/>
      </c>
      <c r="CA123" s="61" t="str">
        <f t="shared" si="689"/>
        <v/>
      </c>
      <c r="CC123" s="128" t="s">
        <v>323</v>
      </c>
      <c r="CD123" s="61" t="str">
        <f t="shared" si="690"/>
        <v/>
      </c>
      <c r="CE123" s="61" t="str">
        <f t="shared" si="690"/>
        <v/>
      </c>
      <c r="CF123" s="61" t="str">
        <f t="shared" si="690"/>
        <v/>
      </c>
      <c r="CG123" s="61" t="str">
        <f t="shared" si="690"/>
        <v/>
      </c>
      <c r="CH123" s="61" t="str">
        <f t="shared" si="690"/>
        <v/>
      </c>
      <c r="CJ123" s="128" t="s">
        <v>323</v>
      </c>
      <c r="CK123" s="61" t="str">
        <f t="shared" si="691"/>
        <v/>
      </c>
      <c r="CL123" s="61" t="str">
        <f t="shared" si="691"/>
        <v/>
      </c>
      <c r="CM123" s="61" t="str">
        <f t="shared" si="691"/>
        <v/>
      </c>
      <c r="CN123" s="61" t="str">
        <f t="shared" si="691"/>
        <v/>
      </c>
      <c r="CO123" s="61" t="str">
        <f t="shared" si="691"/>
        <v/>
      </c>
      <c r="CQ123" s="128" t="s">
        <v>323</v>
      </c>
      <c r="CR123" s="61" t="str">
        <f t="shared" si="692"/>
        <v/>
      </c>
      <c r="CS123" s="61" t="str">
        <f t="shared" si="692"/>
        <v/>
      </c>
      <c r="CT123" s="61" t="str">
        <f t="shared" si="692"/>
        <v/>
      </c>
      <c r="CU123" s="61" t="str">
        <f t="shared" si="692"/>
        <v/>
      </c>
      <c r="CV123" s="61" t="str">
        <f t="shared" si="692"/>
        <v/>
      </c>
      <c r="CX123" s="128" t="s">
        <v>323</v>
      </c>
      <c r="CY123" s="61" t="str">
        <f t="shared" si="693"/>
        <v/>
      </c>
      <c r="CZ123" s="61" t="str">
        <f t="shared" si="693"/>
        <v/>
      </c>
      <c r="DA123" s="61" t="str">
        <f t="shared" si="693"/>
        <v/>
      </c>
      <c r="DB123" s="61" t="str">
        <f t="shared" si="693"/>
        <v/>
      </c>
      <c r="DC123" s="61" t="str">
        <f t="shared" si="693"/>
        <v/>
      </c>
      <c r="DE123" s="128" t="s">
        <v>323</v>
      </c>
      <c r="DF123" s="61" t="str">
        <f t="shared" si="694"/>
        <v/>
      </c>
      <c r="DG123" s="61" t="str">
        <f t="shared" si="694"/>
        <v/>
      </c>
      <c r="DH123" s="61" t="str">
        <f t="shared" si="694"/>
        <v/>
      </c>
      <c r="DI123" s="61" t="str">
        <f t="shared" si="694"/>
        <v/>
      </c>
      <c r="DJ123" s="61" t="str">
        <f t="shared" si="694"/>
        <v/>
      </c>
      <c r="DL123" s="128" t="s">
        <v>323</v>
      </c>
      <c r="DM123" s="61" t="str">
        <f t="shared" si="695"/>
        <v/>
      </c>
      <c r="DN123" s="61" t="str">
        <f t="shared" si="695"/>
        <v/>
      </c>
      <c r="DO123" s="61" t="str">
        <f t="shared" si="695"/>
        <v/>
      </c>
      <c r="DP123" s="61" t="str">
        <f t="shared" si="695"/>
        <v/>
      </c>
      <c r="DQ123" s="61" t="str">
        <f t="shared" si="695"/>
        <v/>
      </c>
      <c r="DS123" s="128" t="s">
        <v>323</v>
      </c>
      <c r="DT123" s="61" t="str">
        <f t="shared" si="696"/>
        <v/>
      </c>
      <c r="DU123" s="61" t="str">
        <f t="shared" si="696"/>
        <v/>
      </c>
      <c r="DV123" s="61" t="str">
        <f t="shared" si="696"/>
        <v/>
      </c>
      <c r="DW123" s="61" t="str">
        <f t="shared" si="696"/>
        <v/>
      </c>
      <c r="DX123" s="61" t="str">
        <f t="shared" si="696"/>
        <v/>
      </c>
      <c r="DZ123" s="128" t="s">
        <v>323</v>
      </c>
      <c r="EA123" s="61" t="str">
        <f t="shared" si="697"/>
        <v/>
      </c>
      <c r="EB123" s="61" t="str">
        <f t="shared" si="697"/>
        <v/>
      </c>
      <c r="EC123" s="61">
        <f t="shared" si="697"/>
        <v>2000</v>
      </c>
      <c r="ED123" s="61">
        <f t="shared" si="697"/>
        <v>3000</v>
      </c>
      <c r="EE123" s="61" t="str">
        <f t="shared" si="697"/>
        <v/>
      </c>
      <c r="EG123" s="128" t="s">
        <v>323</v>
      </c>
      <c r="EH123" s="61">
        <f t="shared" si="698"/>
        <v>0</v>
      </c>
      <c r="EI123" s="61">
        <f t="shared" si="698"/>
        <v>3000</v>
      </c>
      <c r="EJ123" s="61">
        <f t="shared" si="698"/>
        <v>2333.3333333333335</v>
      </c>
      <c r="EK123" s="61">
        <f t="shared" si="698"/>
        <v>2500</v>
      </c>
      <c r="EL123" s="61" t="str">
        <f t="shared" si="698"/>
        <v/>
      </c>
      <c r="EN123" s="128" t="s">
        <v>323</v>
      </c>
      <c r="EO123" s="61">
        <f t="shared" si="699"/>
        <v>843.75</v>
      </c>
      <c r="EP123" s="61">
        <f t="shared" si="699"/>
        <v>869.56521739130437</v>
      </c>
      <c r="EQ123" s="61">
        <f t="shared" si="699"/>
        <v>852.17391304347825</v>
      </c>
      <c r="ER123" s="61">
        <f t="shared" si="699"/>
        <v>855.76923076923072</v>
      </c>
      <c r="ES123" s="61">
        <f t="shared" si="699"/>
        <v>855.81395348837214</v>
      </c>
      <c r="EU123" s="128" t="s">
        <v>323</v>
      </c>
      <c r="EV123" s="61">
        <f t="shared" si="700"/>
        <v>916.66666666666663</v>
      </c>
      <c r="EW123" s="61">
        <f t="shared" si="700"/>
        <v>884.95575221238937</v>
      </c>
      <c r="EX123" s="61">
        <f t="shared" si="700"/>
        <v>864.40677966101703</v>
      </c>
      <c r="EY123" s="61">
        <f t="shared" si="700"/>
        <v>870.37037037037032</v>
      </c>
      <c r="EZ123" s="61">
        <f t="shared" si="700"/>
        <v>882.75862068965512</v>
      </c>
      <c r="FB123" s="128" t="s">
        <v>323</v>
      </c>
      <c r="FC123" s="61">
        <f t="shared" si="701"/>
        <v>946.23655913978496</v>
      </c>
      <c r="FD123" s="61">
        <f t="shared" si="701"/>
        <v>930.43478260869563</v>
      </c>
      <c r="FE123" s="61">
        <f t="shared" si="701"/>
        <v>921.73913043478262</v>
      </c>
      <c r="FF123" s="61">
        <f t="shared" si="701"/>
        <v>960.39603960396039</v>
      </c>
      <c r="FG123" s="61">
        <f t="shared" si="701"/>
        <v>938.67924528301887</v>
      </c>
      <c r="FI123" s="128" t="s">
        <v>323</v>
      </c>
      <c r="FJ123" s="61">
        <f t="shared" si="702"/>
        <v>1108.9108910891091</v>
      </c>
      <c r="FK123" s="61">
        <f t="shared" si="702"/>
        <v>944</v>
      </c>
      <c r="FL123" s="61">
        <f t="shared" si="702"/>
        <v>961.53846153846155</v>
      </c>
      <c r="FM123" s="61">
        <f t="shared" si="702"/>
        <v>966.66666666666663</v>
      </c>
      <c r="FN123" s="61">
        <f t="shared" si="702"/>
        <v>989.49579831932772</v>
      </c>
      <c r="FP123" s="128" t="s">
        <v>323</v>
      </c>
      <c r="FQ123" s="61">
        <f t="shared" si="703"/>
        <v>1035.7142857142858</v>
      </c>
      <c r="FR123" s="61">
        <f t="shared" si="703"/>
        <v>962.68656716417911</v>
      </c>
      <c r="FS123" s="61">
        <f t="shared" si="703"/>
        <v>952.38095238095229</v>
      </c>
      <c r="FT123" s="61">
        <f t="shared" si="703"/>
        <v>1029.8507462686568</v>
      </c>
      <c r="FU123" s="61">
        <f t="shared" si="703"/>
        <v>994.07114624505937</v>
      </c>
      <c r="FW123" s="128" t="s">
        <v>323</v>
      </c>
      <c r="FX123" s="61">
        <f t="shared" si="704"/>
        <v>1017.391304347826</v>
      </c>
      <c r="FY123" s="61">
        <f t="shared" si="704"/>
        <v>1007.3529411764706</v>
      </c>
      <c r="FZ123" s="61">
        <f t="shared" si="704"/>
        <v>1022.7272727272727</v>
      </c>
      <c r="GA123" s="61">
        <f t="shared" si="704"/>
        <v>1016.3934426229508</v>
      </c>
      <c r="GB123" s="61">
        <f t="shared" si="704"/>
        <v>1015.8415841584158</v>
      </c>
      <c r="GD123" s="128" t="s">
        <v>323</v>
      </c>
      <c r="GE123" s="61">
        <f t="shared" si="705"/>
        <v>1080.6451612903224</v>
      </c>
      <c r="GF123" s="61">
        <f t="shared" si="705"/>
        <v>1097.2222222222224</v>
      </c>
      <c r="GG123" s="61">
        <f t="shared" si="705"/>
        <v>1127.8195488721806</v>
      </c>
      <c r="GH123" s="61">
        <f t="shared" si="705"/>
        <v>1121.9512195121952</v>
      </c>
      <c r="GI123" s="61">
        <f t="shared" si="705"/>
        <v>1106.8702290076335</v>
      </c>
      <c r="GK123" s="128" t="s">
        <v>323</v>
      </c>
      <c r="GL123" s="61">
        <f t="shared" si="706"/>
        <v>1234.375</v>
      </c>
      <c r="GM123" s="61">
        <f t="shared" si="706"/>
        <v>1220</v>
      </c>
      <c r="GN123" s="61">
        <f t="shared" si="706"/>
        <v>1264.2857142857142</v>
      </c>
      <c r="GO123" s="61">
        <f t="shared" si="706"/>
        <v>1296.875</v>
      </c>
      <c r="GP123" s="61">
        <f t="shared" si="706"/>
        <v>1252.7472527472528</v>
      </c>
      <c r="GR123" s="128" t="s">
        <v>323</v>
      </c>
      <c r="GS123" s="61">
        <f t="shared" si="707"/>
        <v>1400</v>
      </c>
      <c r="GT123" s="61">
        <f t="shared" si="707"/>
        <v>1436.0902255639098</v>
      </c>
      <c r="GU123" s="61">
        <f t="shared" si="707"/>
        <v>1531.7460317460318</v>
      </c>
      <c r="GV123" s="61">
        <f t="shared" si="707"/>
        <v>1495.5752212389382</v>
      </c>
      <c r="GW123" s="61">
        <f t="shared" si="707"/>
        <v>1466.1190965092403</v>
      </c>
      <c r="GY123" s="128" t="s">
        <v>323</v>
      </c>
      <c r="GZ123" s="61">
        <f t="shared" si="708"/>
        <v>1472.5274725274726</v>
      </c>
      <c r="HA123" s="61">
        <f t="shared" si="708"/>
        <v>1386.7924528301887</v>
      </c>
      <c r="HB123" s="61">
        <f t="shared" si="708"/>
        <v>1458.715596330275</v>
      </c>
      <c r="HC123" s="61">
        <f t="shared" si="708"/>
        <v>1464.6464646464647</v>
      </c>
      <c r="HD123" s="61">
        <f t="shared" si="708"/>
        <v>1444.4444444444443</v>
      </c>
      <c r="HF123" s="128" t="s">
        <v>323</v>
      </c>
      <c r="HG123" s="61" t="str">
        <f t="shared" si="709"/>
        <v/>
      </c>
      <c r="HH123" s="61" t="str">
        <f t="shared" si="709"/>
        <v/>
      </c>
      <c r="HI123" s="61" t="str">
        <f t="shared" si="709"/>
        <v/>
      </c>
      <c r="HJ123" s="61" t="str">
        <f t="shared" si="709"/>
        <v/>
      </c>
      <c r="HK123" s="61" t="str">
        <f t="shared" si="709"/>
        <v/>
      </c>
      <c r="HM123" s="128" t="s">
        <v>323</v>
      </c>
      <c r="HN123" s="61" t="str">
        <f t="shared" si="710"/>
        <v/>
      </c>
      <c r="HO123" s="61" t="str">
        <f t="shared" si="710"/>
        <v/>
      </c>
      <c r="HP123" s="61" t="str">
        <f t="shared" si="710"/>
        <v/>
      </c>
      <c r="HQ123" s="61" t="str">
        <f t="shared" si="710"/>
        <v/>
      </c>
      <c r="HR123" s="61" t="str">
        <f t="shared" si="710"/>
        <v/>
      </c>
      <c r="HT123" s="128" t="s">
        <v>323</v>
      </c>
      <c r="HU123" s="61" t="str">
        <f t="shared" si="711"/>
        <v/>
      </c>
      <c r="HV123" s="61" t="str">
        <f t="shared" si="711"/>
        <v/>
      </c>
      <c r="HW123" s="61" t="str">
        <f t="shared" si="711"/>
        <v/>
      </c>
      <c r="HX123" s="61" t="str">
        <f t="shared" si="711"/>
        <v/>
      </c>
      <c r="HY123" s="61" t="str">
        <f t="shared" si="711"/>
        <v/>
      </c>
      <c r="IA123" s="128" t="s">
        <v>323</v>
      </c>
      <c r="IB123" s="61" t="str">
        <f t="shared" si="712"/>
        <v/>
      </c>
      <c r="IC123" s="61" t="str">
        <f t="shared" si="712"/>
        <v/>
      </c>
      <c r="ID123" s="61" t="str">
        <f t="shared" si="712"/>
        <v/>
      </c>
      <c r="IE123" s="61" t="str">
        <f t="shared" si="712"/>
        <v/>
      </c>
      <c r="IF123" s="61" t="str">
        <f t="shared" si="712"/>
        <v/>
      </c>
      <c r="IH123" s="128" t="s">
        <v>323</v>
      </c>
      <c r="II123" s="61" t="str">
        <f t="shared" si="713"/>
        <v/>
      </c>
      <c r="IJ123" s="61" t="str">
        <f t="shared" si="713"/>
        <v/>
      </c>
      <c r="IK123" s="61" t="str">
        <f t="shared" si="713"/>
        <v/>
      </c>
      <c r="IL123" s="61" t="str">
        <f t="shared" si="713"/>
        <v/>
      </c>
      <c r="IM123" s="61" t="str">
        <f t="shared" si="713"/>
        <v/>
      </c>
      <c r="IO123" s="128" t="s">
        <v>323</v>
      </c>
      <c r="IP123" s="61" t="str">
        <f t="shared" si="714"/>
        <v/>
      </c>
      <c r="IQ123" s="61" t="str">
        <f t="shared" si="714"/>
        <v/>
      </c>
      <c r="IR123" s="61" t="str">
        <f t="shared" si="714"/>
        <v/>
      </c>
      <c r="IS123" s="61" t="str">
        <f t="shared" si="714"/>
        <v/>
      </c>
      <c r="IT123" s="61" t="str">
        <f t="shared" si="714"/>
        <v/>
      </c>
      <c r="IV123" s="128" t="s">
        <v>323</v>
      </c>
      <c r="IW123" s="61" t="str">
        <f t="shared" si="715"/>
        <v/>
      </c>
      <c r="IX123" s="61" t="str">
        <f t="shared" si="715"/>
        <v/>
      </c>
      <c r="IY123" s="61" t="str">
        <f t="shared" si="715"/>
        <v/>
      </c>
      <c r="IZ123" s="61" t="str">
        <f t="shared" si="715"/>
        <v/>
      </c>
      <c r="JA123" s="61" t="str">
        <f t="shared" si="715"/>
        <v/>
      </c>
      <c r="JC123" s="128" t="s">
        <v>323</v>
      </c>
      <c r="JD123" s="61" t="str">
        <f t="shared" si="716"/>
        <v/>
      </c>
      <c r="JE123" s="61" t="str">
        <f t="shared" si="716"/>
        <v/>
      </c>
      <c r="JF123" s="61" t="str">
        <f t="shared" si="716"/>
        <v/>
      </c>
      <c r="JG123" s="61" t="str">
        <f t="shared" si="716"/>
        <v/>
      </c>
      <c r="JH123" s="61" t="str">
        <f t="shared" si="716"/>
        <v/>
      </c>
      <c r="JJ123" s="128" t="s">
        <v>323</v>
      </c>
      <c r="JK123" s="61" t="str">
        <f t="shared" si="717"/>
        <v/>
      </c>
      <c r="JL123" s="61" t="str">
        <f t="shared" si="717"/>
        <v/>
      </c>
      <c r="JM123" s="61" t="str">
        <f t="shared" si="717"/>
        <v/>
      </c>
      <c r="JN123" s="61" t="str">
        <f t="shared" si="717"/>
        <v/>
      </c>
      <c r="JO123" s="61" t="str">
        <f t="shared" si="717"/>
        <v/>
      </c>
      <c r="JQ123" s="128" t="s">
        <v>323</v>
      </c>
      <c r="JR123" s="61" t="str">
        <f t="shared" si="718"/>
        <v/>
      </c>
      <c r="JS123" s="61" t="str">
        <f t="shared" si="718"/>
        <v/>
      </c>
      <c r="JT123" s="61" t="str">
        <f t="shared" si="718"/>
        <v/>
      </c>
      <c r="JU123" s="61" t="str">
        <f t="shared" si="718"/>
        <v/>
      </c>
      <c r="JV123" s="61" t="str">
        <f t="shared" si="718"/>
        <v/>
      </c>
      <c r="JX123" s="128" t="s">
        <v>323</v>
      </c>
      <c r="JY123" s="61" t="str">
        <f t="shared" si="719"/>
        <v/>
      </c>
      <c r="JZ123" s="61" t="str">
        <f t="shared" si="719"/>
        <v/>
      </c>
      <c r="KA123" s="61" t="str">
        <f t="shared" si="719"/>
        <v/>
      </c>
      <c r="KB123" s="61" t="str">
        <f t="shared" si="719"/>
        <v/>
      </c>
      <c r="KC123" s="61" t="str">
        <f t="shared" si="719"/>
        <v/>
      </c>
      <c r="KE123" s="128" t="s">
        <v>323</v>
      </c>
      <c r="KF123" s="61" t="str">
        <f t="shared" si="720"/>
        <v/>
      </c>
      <c r="KG123" s="61" t="str">
        <f t="shared" si="720"/>
        <v/>
      </c>
      <c r="KH123" s="61" t="str">
        <f t="shared" si="720"/>
        <v/>
      </c>
      <c r="KI123" s="61" t="str">
        <f t="shared" si="720"/>
        <v/>
      </c>
      <c r="KJ123" s="61" t="str">
        <f t="shared" si="720"/>
        <v/>
      </c>
      <c r="KL123" s="128" t="s">
        <v>323</v>
      </c>
      <c r="KM123" s="61" t="str">
        <f t="shared" si="721"/>
        <v/>
      </c>
      <c r="KN123" s="61" t="str">
        <f t="shared" si="721"/>
        <v/>
      </c>
      <c r="KO123" s="61" t="str">
        <f t="shared" si="721"/>
        <v/>
      </c>
      <c r="KP123" s="61" t="str">
        <f t="shared" si="721"/>
        <v/>
      </c>
      <c r="KQ123" s="61" t="str">
        <f t="shared" si="721"/>
        <v/>
      </c>
      <c r="KS123" s="128" t="s">
        <v>323</v>
      </c>
      <c r="KT123" s="523" t="str">
        <f t="shared" si="722"/>
        <v/>
      </c>
      <c r="KU123" s="523" t="str">
        <f t="shared" si="722"/>
        <v/>
      </c>
      <c r="KV123" s="524" t="str">
        <f t="shared" si="722"/>
        <v/>
      </c>
      <c r="KW123" s="523" t="str">
        <f t="shared" si="722"/>
        <v/>
      </c>
      <c r="KX123" s="523" t="str">
        <f t="shared" si="722"/>
        <v/>
      </c>
      <c r="KY123" s="521"/>
      <c r="KZ123" s="525" t="s">
        <v>323</v>
      </c>
      <c r="LA123" s="523"/>
      <c r="LB123" s="524"/>
      <c r="LC123" s="524"/>
      <c r="LD123" s="524"/>
      <c r="LE123" s="524"/>
      <c r="LF123" s="561"/>
      <c r="LG123" s="525" t="s">
        <v>323</v>
      </c>
      <c r="LH123" s="524"/>
      <c r="LI123" s="524"/>
      <c r="LJ123" s="524"/>
      <c r="LK123" s="524"/>
      <c r="LL123" s="524"/>
      <c r="LM123" s="561"/>
      <c r="LN123" s="525" t="s">
        <v>323</v>
      </c>
      <c r="LO123" s="524"/>
      <c r="LP123" s="524"/>
      <c r="LQ123" s="524"/>
      <c r="LR123" s="524"/>
      <c r="LS123" s="524"/>
      <c r="LT123" s="561"/>
      <c r="LU123" s="525" t="s">
        <v>323</v>
      </c>
      <c r="LV123" s="524"/>
      <c r="LW123" s="524"/>
      <c r="LX123" s="524"/>
      <c r="LY123" s="524"/>
      <c r="LZ123" s="524"/>
      <c r="MA123" s="561"/>
      <c r="MB123" s="525" t="s">
        <v>323</v>
      </c>
      <c r="MC123" s="524"/>
      <c r="MD123" s="524"/>
      <c r="ME123" s="524"/>
      <c r="MF123" s="524"/>
      <c r="MG123" s="524"/>
      <c r="MH123" s="561"/>
    </row>
    <row r="124" spans="1:346" s="37" customFormat="1" ht="13.15" hidden="1" outlineLevel="1" x14ac:dyDescent="0.4">
      <c r="A124" s="100"/>
      <c r="B124" s="128" t="s">
        <v>324</v>
      </c>
      <c r="C124" s="129" t="str">
        <f t="shared" ref="C124:M124" si="758">IFERROR(C18/C78*1000,"")</f>
        <v/>
      </c>
      <c r="D124" s="129" t="str">
        <f t="shared" si="758"/>
        <v/>
      </c>
      <c r="E124" s="129" t="str">
        <f t="shared" si="758"/>
        <v/>
      </c>
      <c r="F124" s="129" t="str">
        <f t="shared" si="758"/>
        <v/>
      </c>
      <c r="G124" s="129" t="str">
        <f t="shared" si="758"/>
        <v/>
      </c>
      <c r="H124" s="129" t="str">
        <f t="shared" si="758"/>
        <v/>
      </c>
      <c r="I124" s="129" t="str">
        <f t="shared" si="758"/>
        <v/>
      </c>
      <c r="J124" s="129" t="str">
        <f t="shared" si="758"/>
        <v/>
      </c>
      <c r="K124" s="129" t="str">
        <f t="shared" si="758"/>
        <v/>
      </c>
      <c r="L124" s="129" t="str">
        <f t="shared" si="758"/>
        <v/>
      </c>
      <c r="M124" s="129" t="str">
        <f t="shared" si="758"/>
        <v/>
      </c>
      <c r="N124" s="129" t="str">
        <f t="shared" si="648"/>
        <v/>
      </c>
      <c r="O124" s="129" t="str">
        <f t="shared" si="649"/>
        <v/>
      </c>
      <c r="P124" s="129" t="str">
        <f t="shared" si="650"/>
        <v/>
      </c>
      <c r="Q124" s="129" t="str">
        <f t="shared" si="651"/>
        <v/>
      </c>
      <c r="R124" s="129" t="str">
        <f t="shared" si="652"/>
        <v/>
      </c>
      <c r="S124" s="129" t="str">
        <f t="shared" si="653"/>
        <v/>
      </c>
      <c r="T124" s="129" t="str">
        <f t="shared" si="654"/>
        <v/>
      </c>
      <c r="U124" s="129" t="str">
        <f t="shared" si="655"/>
        <v/>
      </c>
      <c r="V124" s="129" t="str">
        <f t="shared" si="656"/>
        <v/>
      </c>
      <c r="W124" s="129" t="str">
        <f t="shared" si="657"/>
        <v/>
      </c>
      <c r="X124" s="129" t="str">
        <f t="shared" si="658"/>
        <v/>
      </c>
      <c r="Y124" s="129" t="str">
        <f t="shared" si="659"/>
        <v/>
      </c>
      <c r="Z124" s="129" t="str">
        <f t="shared" si="660"/>
        <v/>
      </c>
      <c r="AA124" s="129" t="str">
        <f t="shared" si="661"/>
        <v/>
      </c>
      <c r="AB124" s="129" t="str">
        <f t="shared" si="662"/>
        <v/>
      </c>
      <c r="AC124" s="129" t="str">
        <f t="shared" si="663"/>
        <v/>
      </c>
      <c r="AD124" s="129" t="str">
        <f t="shared" si="664"/>
        <v/>
      </c>
      <c r="AE124" s="129" t="str">
        <f t="shared" si="665"/>
        <v/>
      </c>
      <c r="AF124" s="129" t="str">
        <f t="shared" si="666"/>
        <v/>
      </c>
      <c r="AG124" s="129" t="str">
        <f t="shared" si="667"/>
        <v/>
      </c>
      <c r="AH124" s="129" t="str">
        <f t="shared" si="668"/>
        <v/>
      </c>
      <c r="AI124" s="129">
        <f t="shared" si="669"/>
        <v>1687.9432624113474</v>
      </c>
      <c r="AJ124" s="129">
        <f t="shared" si="670"/>
        <v>1729.1666666666667</v>
      </c>
      <c r="AK124" s="129">
        <f t="shared" si="671"/>
        <v>1898.5507246376812</v>
      </c>
      <c r="AL124" s="129" t="str">
        <f t="shared" si="672"/>
        <v/>
      </c>
      <c r="AM124" s="129" t="str">
        <f t="shared" si="673"/>
        <v/>
      </c>
      <c r="AN124" s="129" t="str">
        <f t="shared" si="674"/>
        <v/>
      </c>
      <c r="AO124" s="129" t="str">
        <f t="shared" si="675"/>
        <v/>
      </c>
      <c r="AP124" s="129" t="str">
        <f t="shared" si="676"/>
        <v/>
      </c>
      <c r="AQ124" s="129" t="str">
        <f t="shared" si="677"/>
        <v/>
      </c>
      <c r="AR124" s="129" t="str">
        <f t="shared" si="678"/>
        <v/>
      </c>
      <c r="AS124" s="129" t="str">
        <f t="shared" si="679"/>
        <v/>
      </c>
      <c r="AT124" s="129" t="str">
        <f t="shared" si="680"/>
        <v/>
      </c>
      <c r="AU124" s="129" t="str">
        <f t="shared" si="681"/>
        <v/>
      </c>
      <c r="AV124" s="129" t="str">
        <f t="shared" si="682"/>
        <v/>
      </c>
      <c r="AW124" s="129">
        <f t="shared" si="683"/>
        <v>0</v>
      </c>
      <c r="AX124" s="129">
        <f t="shared" si="684"/>
        <v>0</v>
      </c>
      <c r="AY124" s="129">
        <f t="shared" si="685"/>
        <v>0</v>
      </c>
      <c r="AZ124" s="129">
        <f t="shared" si="686"/>
        <v>0</v>
      </c>
      <c r="BA124" s="129">
        <f t="shared" si="687"/>
        <v>0</v>
      </c>
      <c r="BB124" s="129"/>
      <c r="BC124" s="129"/>
      <c r="BD124" s="129"/>
      <c r="BE124" s="129"/>
      <c r="BF124" s="129"/>
      <c r="BG124" s="129"/>
      <c r="BH124" s="129"/>
      <c r="BI124" s="129"/>
      <c r="BJ124" s="129"/>
      <c r="BK124" s="129"/>
      <c r="BL124" s="129"/>
      <c r="BM124" s="129"/>
      <c r="BO124" s="128" t="s">
        <v>324</v>
      </c>
      <c r="BP124" s="61" t="str">
        <f t="shared" si="688"/>
        <v/>
      </c>
      <c r="BQ124" s="61" t="str">
        <f t="shared" si="688"/>
        <v/>
      </c>
      <c r="BR124" s="61" t="str">
        <f t="shared" si="688"/>
        <v/>
      </c>
      <c r="BS124" s="61" t="str">
        <f t="shared" si="688"/>
        <v/>
      </c>
      <c r="BT124" s="61" t="str">
        <f t="shared" si="688"/>
        <v/>
      </c>
      <c r="BV124" s="128" t="s">
        <v>324</v>
      </c>
      <c r="BW124" s="61" t="str">
        <f t="shared" si="689"/>
        <v/>
      </c>
      <c r="BX124" s="61" t="str">
        <f t="shared" si="689"/>
        <v/>
      </c>
      <c r="BY124" s="61" t="str">
        <f t="shared" si="689"/>
        <v/>
      </c>
      <c r="BZ124" s="61" t="str">
        <f t="shared" si="689"/>
        <v/>
      </c>
      <c r="CA124" s="61" t="str">
        <f t="shared" si="689"/>
        <v/>
      </c>
      <c r="CC124" s="128" t="s">
        <v>324</v>
      </c>
      <c r="CD124" s="61" t="str">
        <f t="shared" si="690"/>
        <v/>
      </c>
      <c r="CE124" s="61" t="str">
        <f t="shared" si="690"/>
        <v/>
      </c>
      <c r="CF124" s="61" t="str">
        <f t="shared" si="690"/>
        <v/>
      </c>
      <c r="CG124" s="61" t="str">
        <f t="shared" si="690"/>
        <v/>
      </c>
      <c r="CH124" s="61" t="str">
        <f t="shared" si="690"/>
        <v/>
      </c>
      <c r="CJ124" s="128" t="s">
        <v>324</v>
      </c>
      <c r="CK124" s="61" t="str">
        <f t="shared" si="691"/>
        <v/>
      </c>
      <c r="CL124" s="61" t="str">
        <f t="shared" si="691"/>
        <v/>
      </c>
      <c r="CM124" s="61" t="str">
        <f t="shared" si="691"/>
        <v/>
      </c>
      <c r="CN124" s="61" t="str">
        <f t="shared" si="691"/>
        <v/>
      </c>
      <c r="CO124" s="61" t="str">
        <f t="shared" si="691"/>
        <v/>
      </c>
      <c r="CQ124" s="128" t="s">
        <v>324</v>
      </c>
      <c r="CR124" s="61" t="str">
        <f t="shared" si="692"/>
        <v/>
      </c>
      <c r="CS124" s="61" t="str">
        <f t="shared" si="692"/>
        <v/>
      </c>
      <c r="CT124" s="61" t="str">
        <f t="shared" si="692"/>
        <v/>
      </c>
      <c r="CU124" s="61" t="str">
        <f t="shared" si="692"/>
        <v/>
      </c>
      <c r="CV124" s="61" t="str">
        <f t="shared" si="692"/>
        <v/>
      </c>
      <c r="CX124" s="128" t="s">
        <v>324</v>
      </c>
      <c r="CY124" s="61" t="str">
        <f t="shared" si="693"/>
        <v/>
      </c>
      <c r="CZ124" s="61" t="str">
        <f t="shared" si="693"/>
        <v/>
      </c>
      <c r="DA124" s="61" t="str">
        <f t="shared" si="693"/>
        <v/>
      </c>
      <c r="DB124" s="61" t="str">
        <f t="shared" si="693"/>
        <v/>
      </c>
      <c r="DC124" s="61" t="str">
        <f t="shared" si="693"/>
        <v/>
      </c>
      <c r="DE124" s="128" t="s">
        <v>324</v>
      </c>
      <c r="DF124" s="61" t="str">
        <f t="shared" si="694"/>
        <v/>
      </c>
      <c r="DG124" s="61" t="str">
        <f t="shared" si="694"/>
        <v/>
      </c>
      <c r="DH124" s="61" t="str">
        <f t="shared" si="694"/>
        <v/>
      </c>
      <c r="DI124" s="61" t="str">
        <f t="shared" si="694"/>
        <v/>
      </c>
      <c r="DJ124" s="61" t="str">
        <f t="shared" si="694"/>
        <v/>
      </c>
      <c r="DL124" s="128" t="s">
        <v>324</v>
      </c>
      <c r="DM124" s="61" t="str">
        <f t="shared" si="695"/>
        <v/>
      </c>
      <c r="DN124" s="61" t="str">
        <f t="shared" si="695"/>
        <v/>
      </c>
      <c r="DO124" s="61" t="str">
        <f t="shared" si="695"/>
        <v/>
      </c>
      <c r="DP124" s="61" t="str">
        <f t="shared" si="695"/>
        <v/>
      </c>
      <c r="DQ124" s="61" t="str">
        <f t="shared" si="695"/>
        <v/>
      </c>
      <c r="DS124" s="128" t="s">
        <v>324</v>
      </c>
      <c r="DT124" s="61" t="str">
        <f t="shared" si="696"/>
        <v/>
      </c>
      <c r="DU124" s="61" t="str">
        <f t="shared" si="696"/>
        <v/>
      </c>
      <c r="DV124" s="61" t="str">
        <f t="shared" si="696"/>
        <v/>
      </c>
      <c r="DW124" s="61" t="str">
        <f t="shared" si="696"/>
        <v/>
      </c>
      <c r="DX124" s="61" t="str">
        <f t="shared" si="696"/>
        <v/>
      </c>
      <c r="DZ124" s="128" t="s">
        <v>324</v>
      </c>
      <c r="EA124" s="61" t="str">
        <f t="shared" si="697"/>
        <v/>
      </c>
      <c r="EB124" s="61" t="str">
        <f t="shared" si="697"/>
        <v/>
      </c>
      <c r="EC124" s="61" t="str">
        <f t="shared" si="697"/>
        <v/>
      </c>
      <c r="ED124" s="61" t="str">
        <f t="shared" si="697"/>
        <v/>
      </c>
      <c r="EE124" s="61" t="str">
        <f t="shared" si="697"/>
        <v/>
      </c>
      <c r="EG124" s="128" t="s">
        <v>324</v>
      </c>
      <c r="EH124" s="61" t="str">
        <f t="shared" si="698"/>
        <v/>
      </c>
      <c r="EI124" s="61" t="str">
        <f t="shared" si="698"/>
        <v/>
      </c>
      <c r="EJ124" s="61" t="str">
        <f t="shared" si="698"/>
        <v/>
      </c>
      <c r="EK124" s="61" t="str">
        <f t="shared" si="698"/>
        <v/>
      </c>
      <c r="EL124" s="61" t="str">
        <f t="shared" si="698"/>
        <v/>
      </c>
      <c r="EN124" s="128" t="s">
        <v>324</v>
      </c>
      <c r="EO124" s="61" t="str">
        <f t="shared" si="699"/>
        <v/>
      </c>
      <c r="EP124" s="61" t="str">
        <f t="shared" si="699"/>
        <v/>
      </c>
      <c r="EQ124" s="61" t="str">
        <f t="shared" si="699"/>
        <v/>
      </c>
      <c r="ER124" s="61" t="str">
        <f t="shared" si="699"/>
        <v/>
      </c>
      <c r="ES124" s="61" t="str">
        <f t="shared" si="699"/>
        <v/>
      </c>
      <c r="EU124" s="128" t="s">
        <v>324</v>
      </c>
      <c r="EV124" s="61" t="str">
        <f t="shared" si="700"/>
        <v/>
      </c>
      <c r="EW124" s="61" t="str">
        <f t="shared" si="700"/>
        <v/>
      </c>
      <c r="EX124" s="61" t="str">
        <f t="shared" si="700"/>
        <v/>
      </c>
      <c r="EY124" s="61" t="str">
        <f t="shared" si="700"/>
        <v/>
      </c>
      <c r="EZ124" s="61" t="str">
        <f t="shared" si="700"/>
        <v/>
      </c>
      <c r="FB124" s="128" t="s">
        <v>324</v>
      </c>
      <c r="FC124" s="61" t="str">
        <f t="shared" si="701"/>
        <v/>
      </c>
      <c r="FD124" s="61" t="str">
        <f t="shared" si="701"/>
        <v/>
      </c>
      <c r="FE124" s="61" t="str">
        <f t="shared" si="701"/>
        <v/>
      </c>
      <c r="FF124" s="61" t="str">
        <f t="shared" si="701"/>
        <v/>
      </c>
      <c r="FG124" s="61" t="str">
        <f t="shared" si="701"/>
        <v/>
      </c>
      <c r="FI124" s="128" t="s">
        <v>324</v>
      </c>
      <c r="FJ124" s="61" t="str">
        <f t="shared" si="702"/>
        <v/>
      </c>
      <c r="FK124" s="61" t="str">
        <f t="shared" si="702"/>
        <v/>
      </c>
      <c r="FL124" s="61" t="str">
        <f t="shared" si="702"/>
        <v/>
      </c>
      <c r="FM124" s="61" t="str">
        <f t="shared" si="702"/>
        <v/>
      </c>
      <c r="FN124" s="61" t="str">
        <f t="shared" si="702"/>
        <v/>
      </c>
      <c r="FP124" s="128" t="s">
        <v>324</v>
      </c>
      <c r="FQ124" s="61" t="str">
        <f t="shared" si="703"/>
        <v/>
      </c>
      <c r="FR124" s="61" t="str">
        <f t="shared" si="703"/>
        <v/>
      </c>
      <c r="FS124" s="61" t="str">
        <f t="shared" si="703"/>
        <v/>
      </c>
      <c r="FT124" s="61" t="str">
        <f t="shared" si="703"/>
        <v/>
      </c>
      <c r="FU124" s="61" t="str">
        <f t="shared" si="703"/>
        <v/>
      </c>
      <c r="FW124" s="128" t="s">
        <v>324</v>
      </c>
      <c r="FX124" s="61" t="str">
        <f t="shared" si="704"/>
        <v/>
      </c>
      <c r="FY124" s="61" t="str">
        <f t="shared" si="704"/>
        <v/>
      </c>
      <c r="FZ124" s="61" t="str">
        <f t="shared" si="704"/>
        <v/>
      </c>
      <c r="GA124" s="61" t="str">
        <f t="shared" si="704"/>
        <v/>
      </c>
      <c r="GB124" s="61" t="str">
        <f t="shared" si="704"/>
        <v/>
      </c>
      <c r="GD124" s="128" t="s">
        <v>324</v>
      </c>
      <c r="GE124" s="61" t="str">
        <f t="shared" si="705"/>
        <v/>
      </c>
      <c r="GF124" s="61" t="str">
        <f t="shared" si="705"/>
        <v/>
      </c>
      <c r="GG124" s="61" t="str">
        <f t="shared" si="705"/>
        <v/>
      </c>
      <c r="GH124" s="61" t="str">
        <f t="shared" si="705"/>
        <v/>
      </c>
      <c r="GI124" s="61" t="str">
        <f t="shared" si="705"/>
        <v/>
      </c>
      <c r="GK124" s="128" t="s">
        <v>324</v>
      </c>
      <c r="GL124" s="61" t="str">
        <f t="shared" si="706"/>
        <v/>
      </c>
      <c r="GM124" s="61" t="str">
        <f t="shared" si="706"/>
        <v/>
      </c>
      <c r="GN124" s="61" t="str">
        <f t="shared" si="706"/>
        <v/>
      </c>
      <c r="GO124" s="61" t="str">
        <f t="shared" si="706"/>
        <v/>
      </c>
      <c r="GP124" s="61" t="str">
        <f t="shared" si="706"/>
        <v/>
      </c>
      <c r="GR124" s="128" t="s">
        <v>324</v>
      </c>
      <c r="GS124" s="61" t="str">
        <f t="shared" si="707"/>
        <v/>
      </c>
      <c r="GT124" s="61" t="str">
        <f t="shared" si="707"/>
        <v/>
      </c>
      <c r="GU124" s="61" t="str">
        <f t="shared" si="707"/>
        <v/>
      </c>
      <c r="GV124" s="61" t="str">
        <f t="shared" si="707"/>
        <v/>
      </c>
      <c r="GW124" s="61" t="str">
        <f t="shared" si="707"/>
        <v/>
      </c>
      <c r="GY124" s="128" t="s">
        <v>324</v>
      </c>
      <c r="GZ124" s="61" t="str">
        <f t="shared" si="708"/>
        <v/>
      </c>
      <c r="HA124" s="61" t="str">
        <f t="shared" si="708"/>
        <v/>
      </c>
      <c r="HB124" s="61" t="str">
        <f t="shared" si="708"/>
        <v/>
      </c>
      <c r="HC124" s="61" t="str">
        <f t="shared" si="708"/>
        <v/>
      </c>
      <c r="HD124" s="61" t="str">
        <f t="shared" si="708"/>
        <v/>
      </c>
      <c r="HF124" s="128" t="s">
        <v>324</v>
      </c>
      <c r="HG124" s="61">
        <f t="shared" si="709"/>
        <v>1709.6774193548388</v>
      </c>
      <c r="HH124" s="61">
        <f t="shared" si="709"/>
        <v>1756.7567567567569</v>
      </c>
      <c r="HI124" s="61">
        <f t="shared" si="709"/>
        <v>1694.4444444444443</v>
      </c>
      <c r="HJ124" s="61">
        <f t="shared" si="709"/>
        <v>1594.5945945945946</v>
      </c>
      <c r="HK124" s="61">
        <f t="shared" si="709"/>
        <v>1687.9432624113474</v>
      </c>
      <c r="HM124" s="128" t="s">
        <v>324</v>
      </c>
      <c r="HN124" s="61">
        <f t="shared" si="710"/>
        <v>1636.3636363636365</v>
      </c>
      <c r="HO124" s="61">
        <f t="shared" si="710"/>
        <v>1783.7837837837837</v>
      </c>
      <c r="HP124" s="61">
        <f t="shared" si="710"/>
        <v>1783.7837837837837</v>
      </c>
      <c r="HQ124" s="61">
        <f t="shared" si="710"/>
        <v>1702.7027027027027</v>
      </c>
      <c r="HR124" s="61">
        <f t="shared" si="710"/>
        <v>1729.1666666666667</v>
      </c>
      <c r="HT124" s="128" t="s">
        <v>324</v>
      </c>
      <c r="HU124" s="61">
        <f t="shared" si="711"/>
        <v>1764.7058823529412</v>
      </c>
      <c r="HV124" s="61">
        <f t="shared" si="711"/>
        <v>1972.2222222222224</v>
      </c>
      <c r="HW124" s="61">
        <f t="shared" si="711"/>
        <v>1939.3939393939395</v>
      </c>
      <c r="HX124" s="61">
        <f t="shared" si="711"/>
        <v>1914.2857142857144</v>
      </c>
      <c r="HY124" s="61">
        <f t="shared" si="711"/>
        <v>1898.5507246376812</v>
      </c>
      <c r="IA124" s="128" t="s">
        <v>324</v>
      </c>
      <c r="IB124" s="61" t="str">
        <f t="shared" si="712"/>
        <v/>
      </c>
      <c r="IC124" s="61" t="str">
        <f t="shared" si="712"/>
        <v/>
      </c>
      <c r="ID124" s="61" t="str">
        <f t="shared" si="712"/>
        <v/>
      </c>
      <c r="IE124" s="61" t="str">
        <f t="shared" si="712"/>
        <v/>
      </c>
      <c r="IF124" s="61" t="str">
        <f t="shared" si="712"/>
        <v/>
      </c>
      <c r="IH124" s="128" t="s">
        <v>324</v>
      </c>
      <c r="II124" s="61" t="str">
        <f t="shared" si="713"/>
        <v/>
      </c>
      <c r="IJ124" s="61" t="str">
        <f t="shared" si="713"/>
        <v/>
      </c>
      <c r="IK124" s="61" t="str">
        <f t="shared" si="713"/>
        <v/>
      </c>
      <c r="IL124" s="61" t="str">
        <f t="shared" si="713"/>
        <v/>
      </c>
      <c r="IM124" s="61" t="str">
        <f t="shared" si="713"/>
        <v/>
      </c>
      <c r="IO124" s="128" t="s">
        <v>324</v>
      </c>
      <c r="IP124" s="61" t="str">
        <f t="shared" si="714"/>
        <v/>
      </c>
      <c r="IQ124" s="61" t="str">
        <f t="shared" si="714"/>
        <v/>
      </c>
      <c r="IR124" s="61" t="str">
        <f t="shared" si="714"/>
        <v/>
      </c>
      <c r="IS124" s="61" t="str">
        <f t="shared" si="714"/>
        <v/>
      </c>
      <c r="IT124" s="61" t="str">
        <f t="shared" si="714"/>
        <v/>
      </c>
      <c r="IV124" s="128" t="s">
        <v>324</v>
      </c>
      <c r="IW124" s="61" t="str">
        <f t="shared" si="715"/>
        <v/>
      </c>
      <c r="IX124" s="61" t="str">
        <f t="shared" si="715"/>
        <v/>
      </c>
      <c r="IY124" s="61" t="str">
        <f t="shared" si="715"/>
        <v/>
      </c>
      <c r="IZ124" s="61" t="str">
        <f t="shared" si="715"/>
        <v/>
      </c>
      <c r="JA124" s="61" t="str">
        <f t="shared" si="715"/>
        <v/>
      </c>
      <c r="JC124" s="128" t="s">
        <v>324</v>
      </c>
      <c r="JD124" s="61" t="str">
        <f t="shared" si="716"/>
        <v/>
      </c>
      <c r="JE124" s="61" t="str">
        <f t="shared" si="716"/>
        <v/>
      </c>
      <c r="JF124" s="61" t="str">
        <f t="shared" si="716"/>
        <v/>
      </c>
      <c r="JG124" s="61" t="str">
        <f t="shared" si="716"/>
        <v/>
      </c>
      <c r="JH124" s="61" t="str">
        <f t="shared" si="716"/>
        <v/>
      </c>
      <c r="JJ124" s="128" t="s">
        <v>324</v>
      </c>
      <c r="JK124" s="61" t="str">
        <f t="shared" si="717"/>
        <v/>
      </c>
      <c r="JL124" s="61" t="str">
        <f t="shared" si="717"/>
        <v/>
      </c>
      <c r="JM124" s="61" t="str">
        <f t="shared" si="717"/>
        <v/>
      </c>
      <c r="JN124" s="61" t="str">
        <f t="shared" si="717"/>
        <v/>
      </c>
      <c r="JO124" s="61" t="str">
        <f t="shared" si="717"/>
        <v/>
      </c>
      <c r="JQ124" s="128" t="s">
        <v>324</v>
      </c>
      <c r="JR124" s="61" t="str">
        <f t="shared" si="718"/>
        <v/>
      </c>
      <c r="JS124" s="61" t="str">
        <f t="shared" si="718"/>
        <v/>
      </c>
      <c r="JT124" s="61" t="str">
        <f t="shared" si="718"/>
        <v/>
      </c>
      <c r="JU124" s="61" t="str">
        <f t="shared" si="718"/>
        <v/>
      </c>
      <c r="JV124" s="61" t="str">
        <f t="shared" si="718"/>
        <v/>
      </c>
      <c r="JX124" s="128" t="s">
        <v>324</v>
      </c>
      <c r="JY124" s="61" t="str">
        <f t="shared" si="719"/>
        <v/>
      </c>
      <c r="JZ124" s="61" t="str">
        <f t="shared" si="719"/>
        <v/>
      </c>
      <c r="KA124" s="61" t="str">
        <f t="shared" si="719"/>
        <v/>
      </c>
      <c r="KB124" s="61" t="str">
        <f t="shared" si="719"/>
        <v/>
      </c>
      <c r="KC124" s="61" t="str">
        <f t="shared" si="719"/>
        <v/>
      </c>
      <c r="KE124" s="128" t="s">
        <v>324</v>
      </c>
      <c r="KF124" s="61" t="str">
        <f t="shared" si="720"/>
        <v/>
      </c>
      <c r="KG124" s="61" t="str">
        <f t="shared" si="720"/>
        <v/>
      </c>
      <c r="KH124" s="61" t="str">
        <f t="shared" si="720"/>
        <v/>
      </c>
      <c r="KI124" s="61" t="str">
        <f t="shared" si="720"/>
        <v/>
      </c>
      <c r="KJ124" s="61" t="str">
        <f t="shared" si="720"/>
        <v/>
      </c>
      <c r="KL124" s="128" t="s">
        <v>324</v>
      </c>
      <c r="KM124" s="61" t="str">
        <f t="shared" si="721"/>
        <v/>
      </c>
      <c r="KN124" s="61" t="str">
        <f t="shared" si="721"/>
        <v/>
      </c>
      <c r="KO124" s="61" t="str">
        <f t="shared" si="721"/>
        <v/>
      </c>
      <c r="KP124" s="61" t="str">
        <f t="shared" si="721"/>
        <v/>
      </c>
      <c r="KQ124" s="61" t="str">
        <f t="shared" si="721"/>
        <v/>
      </c>
      <c r="KS124" s="128" t="s">
        <v>324</v>
      </c>
      <c r="KT124" s="523" t="str">
        <f t="shared" si="722"/>
        <v/>
      </c>
      <c r="KU124" s="523" t="str">
        <f t="shared" si="722"/>
        <v/>
      </c>
      <c r="KV124" s="524" t="str">
        <f t="shared" si="722"/>
        <v/>
      </c>
      <c r="KW124" s="523" t="str">
        <f t="shared" si="722"/>
        <v/>
      </c>
      <c r="KX124" s="523" t="str">
        <f t="shared" si="722"/>
        <v/>
      </c>
      <c r="KY124" s="521"/>
      <c r="KZ124" s="525" t="s">
        <v>324</v>
      </c>
      <c r="LA124" s="523"/>
      <c r="LB124" s="524"/>
      <c r="LC124" s="524"/>
      <c r="LD124" s="524"/>
      <c r="LE124" s="524"/>
      <c r="LF124" s="561"/>
      <c r="LG124" s="525" t="s">
        <v>324</v>
      </c>
      <c r="LH124" s="524"/>
      <c r="LI124" s="524"/>
      <c r="LJ124" s="524"/>
      <c r="LK124" s="524"/>
      <c r="LL124" s="524"/>
      <c r="LM124" s="561"/>
      <c r="LN124" s="525" t="s">
        <v>324</v>
      </c>
      <c r="LO124" s="524"/>
      <c r="LP124" s="524"/>
      <c r="LQ124" s="524"/>
      <c r="LR124" s="524"/>
      <c r="LS124" s="524"/>
      <c r="LT124" s="561"/>
      <c r="LU124" s="525" t="s">
        <v>324</v>
      </c>
      <c r="LV124" s="524"/>
      <c r="LW124" s="524"/>
      <c r="LX124" s="524"/>
      <c r="LY124" s="524"/>
      <c r="LZ124" s="524"/>
      <c r="MA124" s="561"/>
      <c r="MB124" s="525" t="s">
        <v>324</v>
      </c>
      <c r="MC124" s="524"/>
      <c r="MD124" s="524"/>
      <c r="ME124" s="524"/>
      <c r="MF124" s="524"/>
      <c r="MG124" s="524"/>
      <c r="MH124" s="561"/>
    </row>
    <row r="125" spans="1:346" s="37" customFormat="1" ht="14.1" customHeight="1" collapsed="1" x14ac:dyDescent="0.4">
      <c r="A125" s="100"/>
      <c r="B125" s="69"/>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c r="AS125" s="53"/>
      <c r="AT125" s="53"/>
      <c r="AU125" s="53"/>
      <c r="AV125" s="53"/>
      <c r="AW125" s="53"/>
      <c r="AX125" s="53"/>
      <c r="AY125" s="53"/>
      <c r="AZ125" s="53"/>
      <c r="BA125" s="53"/>
      <c r="BB125" s="53"/>
      <c r="BC125" s="53"/>
      <c r="BD125" s="53"/>
      <c r="BE125" s="53"/>
      <c r="BF125" s="53"/>
      <c r="BG125" s="53"/>
      <c r="BH125" s="53"/>
      <c r="BI125" s="53"/>
      <c r="BJ125" s="53"/>
      <c r="BK125" s="53"/>
      <c r="BL125" s="53"/>
      <c r="BM125" s="53"/>
      <c r="BO125" s="69"/>
      <c r="BP125" s="53"/>
      <c r="BQ125" s="53"/>
      <c r="BR125" s="53"/>
      <c r="BS125" s="53"/>
      <c r="BT125" s="53"/>
      <c r="BV125" s="69"/>
      <c r="BW125" s="53"/>
      <c r="BX125" s="53"/>
      <c r="BY125" s="53"/>
      <c r="BZ125" s="53"/>
      <c r="CA125" s="53"/>
      <c r="CC125" s="69"/>
      <c r="CD125" s="53"/>
      <c r="CE125" s="53"/>
      <c r="CF125" s="53"/>
      <c r="CG125" s="53"/>
      <c r="CH125" s="53"/>
      <c r="CJ125" s="69"/>
      <c r="CK125" s="53"/>
      <c r="CL125" s="53"/>
      <c r="CM125" s="53"/>
      <c r="CN125" s="53"/>
      <c r="CO125" s="53"/>
      <c r="CQ125" s="69"/>
      <c r="CR125" s="53"/>
      <c r="CS125" s="53"/>
      <c r="CT125" s="53"/>
      <c r="CU125" s="53"/>
      <c r="CV125" s="53"/>
      <c r="CX125" s="69"/>
      <c r="CY125" s="53"/>
      <c r="CZ125" s="53"/>
      <c r="DA125" s="53"/>
      <c r="DB125" s="53"/>
      <c r="DC125" s="53"/>
      <c r="DE125" s="69"/>
      <c r="DF125" s="53"/>
      <c r="DG125" s="53"/>
      <c r="DH125" s="53"/>
      <c r="DI125" s="53"/>
      <c r="DJ125" s="53"/>
      <c r="DL125" s="69"/>
      <c r="DM125" s="53"/>
      <c r="DN125" s="53"/>
      <c r="DO125" s="53"/>
      <c r="DP125" s="53"/>
      <c r="DQ125" s="53"/>
      <c r="DS125" s="69"/>
      <c r="DT125" s="53"/>
      <c r="DU125" s="53"/>
      <c r="DV125" s="53"/>
      <c r="DW125" s="53"/>
      <c r="DX125" s="53"/>
      <c r="DZ125" s="69"/>
      <c r="EA125" s="53"/>
      <c r="EB125" s="53"/>
      <c r="EC125" s="53"/>
      <c r="ED125" s="53"/>
      <c r="EE125" s="53"/>
      <c r="EG125" s="69"/>
      <c r="EH125" s="53"/>
      <c r="EI125" s="53"/>
      <c r="EJ125" s="53"/>
      <c r="EK125" s="53"/>
      <c r="EL125" s="53"/>
      <c r="EN125" s="69"/>
      <c r="EO125" s="53"/>
      <c r="EP125" s="53"/>
      <c r="EQ125" s="53"/>
      <c r="ER125" s="53"/>
      <c r="ES125" s="53"/>
      <c r="EU125" s="69"/>
      <c r="EV125" s="53"/>
      <c r="EW125" s="53"/>
      <c r="EX125" s="53"/>
      <c r="EY125" s="53"/>
      <c r="EZ125" s="53"/>
      <c r="FB125" s="69"/>
      <c r="FC125" s="53"/>
      <c r="FD125" s="53"/>
      <c r="FE125" s="53"/>
      <c r="FF125" s="53"/>
      <c r="FG125" s="53"/>
      <c r="FI125" s="69"/>
      <c r="FJ125" s="53"/>
      <c r="FK125" s="53"/>
      <c r="FL125" s="53"/>
      <c r="FM125" s="53"/>
      <c r="FN125" s="53"/>
      <c r="FP125" s="69"/>
      <c r="FQ125" s="53"/>
      <c r="FR125" s="53"/>
      <c r="FS125" s="53"/>
      <c r="FT125" s="53"/>
      <c r="FU125" s="53"/>
      <c r="FW125" s="69"/>
      <c r="FX125" s="53"/>
      <c r="FY125" s="53"/>
      <c r="FZ125" s="53"/>
      <c r="GA125" s="53"/>
      <c r="GB125" s="53"/>
      <c r="GD125" s="69"/>
      <c r="GE125" s="53"/>
      <c r="GF125" s="53"/>
      <c r="GG125" s="53"/>
      <c r="GH125" s="53"/>
      <c r="GI125" s="53"/>
      <c r="GK125" s="69"/>
      <c r="GL125" s="53"/>
      <c r="GM125" s="53"/>
      <c r="GN125" s="53"/>
      <c r="GO125" s="53"/>
      <c r="GP125" s="53"/>
      <c r="GR125" s="69"/>
      <c r="GS125" s="53"/>
      <c r="GT125" s="53"/>
      <c r="GU125" s="53"/>
      <c r="GV125" s="53"/>
      <c r="GW125" s="53"/>
      <c r="GY125" s="69"/>
      <c r="GZ125" s="53"/>
      <c r="HA125" s="53"/>
      <c r="HB125" s="53"/>
      <c r="HC125" s="53"/>
      <c r="HD125" s="53"/>
      <c r="HF125" s="69"/>
      <c r="HG125" s="53"/>
      <c r="HH125" s="53"/>
      <c r="HI125" s="53"/>
      <c r="HJ125" s="53"/>
      <c r="HK125" s="53"/>
      <c r="HM125" s="69"/>
      <c r="HN125" s="53"/>
      <c r="HO125" s="53"/>
      <c r="HP125" s="53"/>
      <c r="HQ125" s="53"/>
      <c r="HR125" s="53"/>
      <c r="HT125" s="69"/>
      <c r="HU125" s="53"/>
      <c r="HV125" s="53"/>
      <c r="HW125" s="53"/>
      <c r="HX125" s="53"/>
      <c r="HY125" s="53"/>
      <c r="IA125" s="69"/>
      <c r="IB125" s="53"/>
      <c r="IC125" s="53"/>
      <c r="ID125" s="53"/>
      <c r="IE125" s="53"/>
      <c r="IF125" s="53"/>
      <c r="IH125" s="69"/>
      <c r="II125" s="53"/>
      <c r="IJ125" s="53"/>
      <c r="IK125" s="53"/>
      <c r="IL125" s="53"/>
      <c r="IM125" s="53"/>
      <c r="IO125" s="69"/>
      <c r="IP125" s="53"/>
      <c r="IQ125" s="53"/>
      <c r="IR125" s="53"/>
      <c r="IS125" s="53"/>
      <c r="IT125" s="53"/>
      <c r="IV125" s="69"/>
      <c r="IW125" s="53"/>
      <c r="IX125" s="53"/>
      <c r="IY125" s="53"/>
      <c r="IZ125" s="53"/>
      <c r="JA125" s="53"/>
      <c r="JC125" s="69"/>
      <c r="JD125" s="53"/>
      <c r="JE125" s="53"/>
      <c r="JF125" s="53"/>
      <c r="JG125" s="53"/>
      <c r="JH125" s="53"/>
      <c r="JJ125" s="69"/>
      <c r="JK125" s="53"/>
      <c r="JL125" s="53"/>
      <c r="JM125" s="53"/>
      <c r="JN125" s="53"/>
      <c r="JO125" s="53"/>
      <c r="JQ125" s="69"/>
      <c r="JR125" s="53"/>
      <c r="JS125" s="53"/>
      <c r="JT125" s="53"/>
      <c r="JU125" s="53"/>
      <c r="JV125" s="53"/>
      <c r="JX125" s="69"/>
      <c r="JY125" s="53"/>
      <c r="JZ125" s="53"/>
      <c r="KA125" s="53"/>
      <c r="KB125" s="53"/>
      <c r="KC125" s="53"/>
      <c r="KE125" s="69"/>
      <c r="KF125" s="53"/>
      <c r="KG125" s="53"/>
      <c r="KH125" s="53"/>
      <c r="KI125" s="53"/>
      <c r="KJ125" s="53"/>
      <c r="KL125" s="69"/>
      <c r="KM125" s="53"/>
      <c r="KN125" s="53"/>
      <c r="KO125" s="53"/>
      <c r="KP125" s="53"/>
      <c r="KQ125" s="53"/>
      <c r="KS125" s="69"/>
      <c r="KT125" s="526"/>
      <c r="KU125" s="526"/>
      <c r="KV125" s="526"/>
      <c r="KW125" s="526"/>
      <c r="KX125" s="526"/>
      <c r="KY125" s="521"/>
      <c r="KZ125" s="527"/>
      <c r="LA125" s="526"/>
      <c r="LB125" s="521"/>
      <c r="LC125" s="521"/>
      <c r="LD125" s="521"/>
      <c r="LE125" s="521"/>
      <c r="LF125" s="571"/>
      <c r="LG125" s="527"/>
      <c r="LH125" s="521"/>
      <c r="LI125" s="521"/>
      <c r="LJ125" s="521"/>
      <c r="LK125" s="521"/>
      <c r="LL125" s="521"/>
      <c r="LM125" s="571"/>
      <c r="LN125" s="527"/>
      <c r="LO125" s="521"/>
      <c r="LP125" s="521"/>
      <c r="LQ125" s="521"/>
      <c r="LR125" s="521"/>
      <c r="LS125" s="521"/>
      <c r="LT125" s="571"/>
      <c r="LU125" s="527"/>
      <c r="LV125" s="521"/>
      <c r="LW125" s="521"/>
      <c r="LX125" s="521"/>
      <c r="LY125" s="521"/>
      <c r="LZ125" s="521"/>
      <c r="MA125" s="571"/>
      <c r="MB125" s="527"/>
      <c r="MC125" s="521"/>
      <c r="MD125" s="521"/>
      <c r="ME125" s="521"/>
      <c r="MF125" s="521"/>
      <c r="MG125" s="521"/>
      <c r="MH125" s="571"/>
    </row>
    <row r="126" spans="1:346" s="37" customFormat="1" ht="13.5" thickBot="1" x14ac:dyDescent="0.45">
      <c r="A126" s="100"/>
      <c r="B126" s="181" t="s">
        <v>146</v>
      </c>
      <c r="C126" s="131" t="str">
        <f t="shared" ref="C126:M126" si="759">IFERROR(C20/C80*1000,"")</f>
        <v/>
      </c>
      <c r="D126" s="131" t="str">
        <f t="shared" si="759"/>
        <v/>
      </c>
      <c r="E126" s="131">
        <f t="shared" si="759"/>
        <v>595.58985667034176</v>
      </c>
      <c r="F126" s="131">
        <f t="shared" si="759"/>
        <v>712.46971913750497</v>
      </c>
      <c r="G126" s="131">
        <f t="shared" si="759"/>
        <v>746.51581226556061</v>
      </c>
      <c r="H126" s="131">
        <f t="shared" si="759"/>
        <v>798.41656516443356</v>
      </c>
      <c r="I126" s="131">
        <f t="shared" si="759"/>
        <v>824.51009066978656</v>
      </c>
      <c r="J126" s="131">
        <f t="shared" si="759"/>
        <v>890.83252348558472</v>
      </c>
      <c r="K126" s="131">
        <f t="shared" si="759"/>
        <v>877.99862919808095</v>
      </c>
      <c r="L126" s="131">
        <f t="shared" si="759"/>
        <v>880.44914134742407</v>
      </c>
      <c r="M126" s="131">
        <f t="shared" si="759"/>
        <v>919.49851534147137</v>
      </c>
      <c r="N126" s="131">
        <f>BT126</f>
        <v>946.07843137254895</v>
      </c>
      <c r="O126" s="131">
        <f>CA126</f>
        <v>983.62445414847161</v>
      </c>
      <c r="P126" s="131">
        <f>CH126</f>
        <v>1073.4167002823719</v>
      </c>
      <c r="Q126" s="131">
        <f>CO126</f>
        <v>1090.5868452146515</v>
      </c>
      <c r="R126" s="131">
        <f>CV126</f>
        <v>1103.1475161167994</v>
      </c>
      <c r="S126" s="131">
        <f>DC126</f>
        <v>1087.7944325481799</v>
      </c>
      <c r="T126" s="131">
        <f>DJ126</f>
        <v>1087.091222030981</v>
      </c>
      <c r="U126" s="131">
        <f>DQ126</f>
        <v>1114.1856392294221</v>
      </c>
      <c r="V126" s="131">
        <f>DX126</f>
        <v>1107.7904633982539</v>
      </c>
      <c r="W126" s="131">
        <f>EE126</f>
        <v>1102.8131279303418</v>
      </c>
      <c r="X126" s="131">
        <f>EL126</f>
        <v>1179.2816859602256</v>
      </c>
      <c r="Y126" s="131">
        <f>ES126</f>
        <v>1248.0774708060383</v>
      </c>
      <c r="Z126" s="131">
        <f>EZ126</f>
        <v>1283.2579185520362</v>
      </c>
      <c r="AA126" s="131">
        <f>FG126</f>
        <v>1307.3918269230769</v>
      </c>
      <c r="AB126" s="131">
        <f>FN126</f>
        <v>1330.3101228788764</v>
      </c>
      <c r="AC126" s="131">
        <f>FU126</f>
        <v>1382.3697767601604</v>
      </c>
      <c r="AD126" s="131">
        <f>GB126</f>
        <v>1502.3696682464456</v>
      </c>
      <c r="AE126" s="131">
        <f>GI126</f>
        <v>1702.1600243383025</v>
      </c>
      <c r="AF126" s="131">
        <f>GP126</f>
        <v>1854.5975182946231</v>
      </c>
      <c r="AG126" s="131">
        <f>GW126</f>
        <v>2169.791666666667</v>
      </c>
      <c r="AH126" s="131">
        <f>HD126</f>
        <v>2085.1154833190758</v>
      </c>
      <c r="AI126" s="131">
        <f>HK126</f>
        <v>2235.7032457496134</v>
      </c>
      <c r="AJ126" s="131">
        <f>HR126</f>
        <v>2374.5290128108513</v>
      </c>
      <c r="AK126" s="131">
        <f>HY126</f>
        <v>2494.7526236881558</v>
      </c>
      <c r="AL126" s="131">
        <f>IF126</f>
        <v>2547.7914554670529</v>
      </c>
      <c r="AM126" s="131">
        <f>IM126</f>
        <v>2594.8158253751703</v>
      </c>
      <c r="AN126" s="131">
        <f>IT126</f>
        <v>2542.3076923076924</v>
      </c>
      <c r="AO126" s="131">
        <f>JA126</f>
        <v>2548.8936473947178</v>
      </c>
      <c r="AP126" s="131">
        <f>JH126</f>
        <v>2615.8401184307922</v>
      </c>
      <c r="AQ126" s="131">
        <f>JO126</f>
        <v>2774.4444444444443</v>
      </c>
      <c r="AR126" s="131">
        <f>JV126</f>
        <v>2803.4724787587738</v>
      </c>
      <c r="AS126" s="131">
        <f>KC126</f>
        <v>2791.3214990138067</v>
      </c>
      <c r="AT126" s="131">
        <f>KJ126</f>
        <v>2932.3220536756126</v>
      </c>
      <c r="AU126" s="131">
        <f>KQ126</f>
        <v>3220.8756841282252</v>
      </c>
      <c r="AV126" s="131">
        <f>KX126</f>
        <v>3301.4116749332316</v>
      </c>
      <c r="AW126" s="131">
        <f>LE126</f>
        <v>3362.1601208459215</v>
      </c>
      <c r="AX126" s="131">
        <f>LL126</f>
        <v>3382.0354664610641</v>
      </c>
      <c r="AY126" s="131">
        <f>LS126</f>
        <v>3457.8640010700633</v>
      </c>
      <c r="AZ126" s="131">
        <f>LZ126</f>
        <v>3551.7724375665539</v>
      </c>
      <c r="BA126" s="131">
        <f>MG126</f>
        <v>3639.2406838677211</v>
      </c>
      <c r="BB126" s="131"/>
      <c r="BC126" s="131"/>
      <c r="BD126" s="131"/>
      <c r="BE126" s="131"/>
      <c r="BF126" s="131"/>
      <c r="BG126" s="131"/>
      <c r="BH126" s="131"/>
      <c r="BI126" s="131"/>
      <c r="BJ126" s="131"/>
      <c r="BK126" s="131"/>
      <c r="BL126" s="131"/>
      <c r="BM126" s="131"/>
      <c r="BO126" s="181" t="s">
        <v>146</v>
      </c>
      <c r="BP126" s="131">
        <f>IFERROR(BP20/BP80*1000,"")</f>
        <v>953.61527967257837</v>
      </c>
      <c r="BQ126" s="131">
        <f>IFERROR(BQ20/BQ80*1000,"")</f>
        <v>920.91152815013402</v>
      </c>
      <c r="BR126" s="131">
        <f>IFERROR(BR20/BR80*1000,"")</f>
        <v>910</v>
      </c>
      <c r="BS126" s="131">
        <f>IFERROR(BS20/BS80*1000,"")</f>
        <v>1002.9542097488921</v>
      </c>
      <c r="BT126" s="131">
        <f>IFERROR(BT20/BT80*1000,"")</f>
        <v>946.07843137254895</v>
      </c>
      <c r="BV126" s="181" t="s">
        <v>146</v>
      </c>
      <c r="BW126" s="131">
        <f>IFERROR(BW20/BW80*1000,"")</f>
        <v>978.84344146685476</v>
      </c>
      <c r="BX126" s="131">
        <f>IFERROR(BX20/BX80*1000,"")</f>
        <v>959.83379501385048</v>
      </c>
      <c r="BY126" s="131">
        <f>IFERROR(BY20/BY80*1000,"")</f>
        <v>965.67164179104486</v>
      </c>
      <c r="BZ126" s="131">
        <f>IFERROR(BZ20/BZ80*1000,"")</f>
        <v>1034.0030911901081</v>
      </c>
      <c r="CA126" s="131">
        <f>IFERROR(CA20/CA80*1000,"")</f>
        <v>983.62445414847161</v>
      </c>
      <c r="CC126" s="181" t="s">
        <v>146</v>
      </c>
      <c r="CD126" s="131">
        <f>IFERROR(CD20/CD80*1000,"")</f>
        <v>1068.4039087947883</v>
      </c>
      <c r="CE126" s="131">
        <f>IFERROR(CE20/CE80*1000,"")</f>
        <v>1076.1750405186385</v>
      </c>
      <c r="CF126" s="131">
        <f>IFERROR(CF20/CF80*1000,"")</f>
        <v>1061.3893376413571</v>
      </c>
      <c r="CG126" s="131">
        <f>IFERROR(CG20/CG80*1000,"")</f>
        <v>1087.4403815580288</v>
      </c>
      <c r="CH126" s="131">
        <f>IFERROR(CH20/CH80*1000,"")</f>
        <v>1073.4167002823719</v>
      </c>
      <c r="CJ126" s="181" t="s">
        <v>146</v>
      </c>
      <c r="CK126" s="131">
        <f>IFERROR(CK20/CK80*1000,"")</f>
        <v>1121.5999999999999</v>
      </c>
      <c r="CL126" s="131">
        <f>IFERROR(CL20/CL80*1000,"")</f>
        <v>1086.1538461538462</v>
      </c>
      <c r="CM126" s="131">
        <f>IFERROR(CM20/CM80*1000,"")</f>
        <v>1069.6920583468395</v>
      </c>
      <c r="CN126" s="131">
        <f>IFERROR(CN20/CN80*1000,"")</f>
        <v>1085.0077279752707</v>
      </c>
      <c r="CO126" s="131">
        <f>IFERROR(CO20/CO80*1000,"")</f>
        <v>1090.5868452146515</v>
      </c>
      <c r="CQ126" s="181" t="s">
        <v>146</v>
      </c>
      <c r="CR126" s="131">
        <f>IFERROR(CR20/CR80*1000,"")</f>
        <v>1121.4953271028037</v>
      </c>
      <c r="CS126" s="131">
        <f>IFERROR(CS20/CS80*1000,"")</f>
        <v>1102.9850746268658</v>
      </c>
      <c r="CT126" s="131">
        <f>IFERROR(CT20/CT80*1000,"")</f>
        <v>1067.7966101694915</v>
      </c>
      <c r="CU126" s="131">
        <f>IFERROR(CU20/CU80*1000,"")</f>
        <v>1119.8224852071005</v>
      </c>
      <c r="CV126" s="131">
        <f>IFERROR(CV20/CV80*1000,"")</f>
        <v>1103.1475161167994</v>
      </c>
      <c r="CX126" s="181" t="s">
        <v>146</v>
      </c>
      <c r="CY126" s="131">
        <f>IFERROR(CY20/CY80*1000,"")</f>
        <v>1117.9941002949854</v>
      </c>
      <c r="CZ126" s="131">
        <f>IFERROR(CZ20/CZ80*1000,"")</f>
        <v>1091.6666666666665</v>
      </c>
      <c r="DA126" s="131">
        <f>IFERROR(DA20/DA80*1000,"")</f>
        <v>1063.8606676342526</v>
      </c>
      <c r="DB126" s="131">
        <f>IFERROR(DB20/DB80*1000,"")</f>
        <v>1078.3216783216783</v>
      </c>
      <c r="DC126" s="131">
        <f>IFERROR(DC20/DC80*1000,"")</f>
        <v>1087.7944325481799</v>
      </c>
      <c r="DE126" s="181" t="s">
        <v>146</v>
      </c>
      <c r="DF126" s="131">
        <f>IFERROR(DF20/DF80*1000,"")</f>
        <v>1094.5205479452054</v>
      </c>
      <c r="DG126" s="131">
        <f>IFERROR(DG20/DG80*1000,"")</f>
        <v>1077.0270270270271</v>
      </c>
      <c r="DH126" s="131">
        <f>IFERROR(DH20/DH80*1000,"")</f>
        <v>1074.2296918767506</v>
      </c>
      <c r="DI126" s="131">
        <f>IFERROR(DI20/DI80*1000,"")</f>
        <v>1102.635228848821</v>
      </c>
      <c r="DJ126" s="131">
        <f>IFERROR(DJ20/DJ80*1000,"")</f>
        <v>1087.091222030981</v>
      </c>
      <c r="DL126" s="181" t="s">
        <v>146</v>
      </c>
      <c r="DM126" s="131">
        <f>IFERROR(DM20/DM80*1000,"")</f>
        <v>1123.931623931624</v>
      </c>
      <c r="DN126" s="131">
        <f>IFERROR(DN20/DN80*1000,"")</f>
        <v>1112.1751025991794</v>
      </c>
      <c r="DO126" s="131">
        <f>IFERROR(DO20/DO80*1000,"")</f>
        <v>1095.0354609929079</v>
      </c>
      <c r="DP126" s="131">
        <f>IFERROR(DP20/DP80*1000,"")</f>
        <v>1125.5230125523012</v>
      </c>
      <c r="DQ126" s="131">
        <f>IFERROR(DQ20/DQ80*1000,"")</f>
        <v>1114.1856392294221</v>
      </c>
      <c r="DS126" s="181" t="s">
        <v>146</v>
      </c>
      <c r="DT126" s="131">
        <f>IFERROR(DT20/DT80*1000,"")</f>
        <v>1133.0589849108369</v>
      </c>
      <c r="DU126" s="131">
        <f>IFERROR(DU20/DU80*1000,"")</f>
        <v>1110.9643328929988</v>
      </c>
      <c r="DV126" s="131">
        <f>IFERROR(DV20/DV80*1000,"")</f>
        <v>1087.6712328767123</v>
      </c>
      <c r="DW126" s="131">
        <f>IFERROR(DW20/DW80*1000,"")</f>
        <v>1099.737532808399</v>
      </c>
      <c r="DX126" s="131">
        <f>IFERROR(DX20/DX80*1000,"")</f>
        <v>1107.7904633982539</v>
      </c>
      <c r="DZ126" s="181" t="s">
        <v>146</v>
      </c>
      <c r="EA126" s="131">
        <f>IFERROR(EA20/EA80*1000,"")</f>
        <v>1112.4497991967871</v>
      </c>
      <c r="EB126" s="131">
        <f>IFERROR(EB20/EB80*1000,"")</f>
        <v>1078.1049935979515</v>
      </c>
      <c r="EC126" s="131">
        <f>IFERROR(EC20/EC80*1000,"")</f>
        <v>1104.6025104602511</v>
      </c>
      <c r="ED126" s="131">
        <f>IFERROR(ED20/ED80*1000,"")</f>
        <v>1122.3118279569892</v>
      </c>
      <c r="EE126" s="131">
        <f>IFERROR(EE20/EE80*1000,"")</f>
        <v>1102.8131279303418</v>
      </c>
      <c r="EG126" s="181" t="s">
        <v>146</v>
      </c>
      <c r="EH126" s="131">
        <f>IFERROR(EH20/EH80*1000,"")</f>
        <v>1108.9351285189719</v>
      </c>
      <c r="EI126" s="131">
        <f>IFERROR(EI20/EI80*1000,"")</f>
        <v>1179.4554455445545</v>
      </c>
      <c r="EJ126" s="131">
        <f>IFERROR(EJ20/EJ80*1000,"")</f>
        <v>1204.8331415420023</v>
      </c>
      <c r="EK126" s="131">
        <f>IFERROR(EK20/EK80*1000,"")</f>
        <v>1227.9909706546275</v>
      </c>
      <c r="EL126" s="131">
        <f>IFERROR(EL20/EL80*1000,"")</f>
        <v>1179.2816859602256</v>
      </c>
      <c r="EN126" s="181" t="s">
        <v>146</v>
      </c>
      <c r="EO126" s="131">
        <f>IFERROR(EO20/EO80*1000,"")</f>
        <v>1235.8803986710964</v>
      </c>
      <c r="EP126" s="131">
        <f>IFERROR(EP20/EP80*1000,"")</f>
        <v>1247.2406181015451</v>
      </c>
      <c r="EQ126" s="131">
        <f>IFERROR(EQ20/EQ80*1000,"")</f>
        <v>1248.2435597189697</v>
      </c>
      <c r="ER126" s="131">
        <f>IFERROR(ER20/ER80*1000,"")</f>
        <v>1261.7924528301887</v>
      </c>
      <c r="ES126" s="131">
        <f>IFERROR(ES20/ES80*1000,"")</f>
        <v>1248.0774708060383</v>
      </c>
      <c r="EU126" s="181" t="s">
        <v>146</v>
      </c>
      <c r="EV126" s="131">
        <f>IFERROR(EV20/EV80*1000,"")</f>
        <v>1293.5560859188545</v>
      </c>
      <c r="EW126" s="131">
        <f>IFERROR(EW20/EW80*1000,"")</f>
        <v>1293.1442080378251</v>
      </c>
      <c r="EX126" s="131">
        <f>IFERROR(EX20/EX80*1000,"")</f>
        <v>1274.2927429274293</v>
      </c>
      <c r="EY126" s="131">
        <f>IFERROR(EY20/EY80*1000,"")</f>
        <v>1271.3936430317849</v>
      </c>
      <c r="EZ126" s="131">
        <f>IFERROR(EZ20/EZ80*1000,"")</f>
        <v>1283.2579185520362</v>
      </c>
      <c r="FB126" s="181" t="s">
        <v>146</v>
      </c>
      <c r="FC126" s="131">
        <f>IFERROR(FC20/FC80*1000,"")</f>
        <v>1315.2709359605913</v>
      </c>
      <c r="FD126" s="131">
        <f>IFERROR(FD20/FD80*1000,"")</f>
        <v>1299.7685185185187</v>
      </c>
      <c r="FE126" s="131">
        <f>IFERROR(FE20/FE80*1000,"")</f>
        <v>1285.8866103739447</v>
      </c>
      <c r="FF126" s="131">
        <f>IFERROR(FF20/FF80*1000,"")</f>
        <v>1329.2831105710814</v>
      </c>
      <c r="FG126" s="131">
        <f>IFERROR(FG20/FG80*1000,"")</f>
        <v>1307.3918269230769</v>
      </c>
      <c r="FI126" s="181" t="s">
        <v>146</v>
      </c>
      <c r="FJ126" s="131">
        <f>IFERROR(FJ20/FJ80*1000,"")</f>
        <v>1350.0597371565113</v>
      </c>
      <c r="FK126" s="131">
        <f>IFERROR(FK20/FK80*1000,"")</f>
        <v>1332.1759259259259</v>
      </c>
      <c r="FL126" s="131">
        <f>IFERROR(FL20/FL80*1000,"")</f>
        <v>1307.4204946996465</v>
      </c>
      <c r="FM126" s="131">
        <f>IFERROR(FM20/FM80*1000,"")</f>
        <v>1331.7972350230414</v>
      </c>
      <c r="FN126" s="131">
        <f>IFERROR(FN20/FN80*1000,"")</f>
        <v>1330.3101228788764</v>
      </c>
      <c r="FP126" s="181" t="s">
        <v>146</v>
      </c>
      <c r="FQ126" s="131">
        <f>IFERROR(FQ20/FQ80*1000,"")</f>
        <v>1356.7251461988303</v>
      </c>
      <c r="FR126" s="131">
        <f>IFERROR(FR20/FR80*1000,"")</f>
        <v>1360.6741573033707</v>
      </c>
      <c r="FS126" s="131">
        <f>IFERROR(FS20/FS80*1000,"")</f>
        <v>1384.4311377245508</v>
      </c>
      <c r="FT126" s="131">
        <f>IFERROR(FT20/FT80*1000,"")</f>
        <v>1425.6017505470459</v>
      </c>
      <c r="FU126" s="131">
        <f>IFERROR(FU20/FU80*1000,"")</f>
        <v>1382.3697767601604</v>
      </c>
      <c r="FW126" s="181" t="s">
        <v>146</v>
      </c>
      <c r="FX126" s="131">
        <f>IFERROR(FX20/FX80*1000,"")</f>
        <v>1452.2144522144522</v>
      </c>
      <c r="FY126" s="131">
        <f>IFERROR(FY20/FY80*1000,"")</f>
        <v>1467.128027681661</v>
      </c>
      <c r="FZ126" s="131">
        <f>IFERROR(FZ20/FZ80*1000,"")</f>
        <v>1499.3997599039617</v>
      </c>
      <c r="GA126" s="131">
        <f>IFERROR(GA20/GA80*1000,"")</f>
        <v>1595.3545232273839</v>
      </c>
      <c r="GB126" s="131">
        <f>IFERROR(GB20/GB80*1000,"")</f>
        <v>1502.3696682464456</v>
      </c>
      <c r="GD126" s="181" t="s">
        <v>146</v>
      </c>
      <c r="GE126" s="131">
        <f>IFERROR(GE20/GE80*1000,"")</f>
        <v>1654.6762589928057</v>
      </c>
      <c r="GF126" s="131">
        <f>IFERROR(GF20/GF80*1000,"")</f>
        <v>1676.4361078546308</v>
      </c>
      <c r="GG126" s="131">
        <f>IFERROR(GG20/GG80*1000,"")</f>
        <v>1725.7072570725707</v>
      </c>
      <c r="GH126" s="131">
        <f>IFERROR(GH20/GH80*1000,"")</f>
        <v>1756.0355781448538</v>
      </c>
      <c r="GI126" s="131">
        <f>IFERROR(GI20/GI80*1000,"")</f>
        <v>1702.1600243383025</v>
      </c>
      <c r="GK126" s="181" t="s">
        <v>146</v>
      </c>
      <c r="GL126" s="131">
        <f>IFERROR(GL20/GL80*1000,"")</f>
        <v>1801.0204081632653</v>
      </c>
      <c r="GM126" s="131">
        <f>IFERROR(GM20/GM80*1000,"")</f>
        <v>1813.868613138686</v>
      </c>
      <c r="GN126" s="131">
        <f>IFERROR(GN20/GN80*1000,"")</f>
        <v>1871.46529562982</v>
      </c>
      <c r="GO126" s="131">
        <f>IFERROR(GO20/GO80*1000,"")</f>
        <v>1936.7588932806323</v>
      </c>
      <c r="GP126" s="131">
        <f>IFERROR(GP20/GP80*1000,"")</f>
        <v>1854.5975182946231</v>
      </c>
      <c r="GR126" s="181" t="s">
        <v>146</v>
      </c>
      <c r="GS126" s="131">
        <f>IFERROR(GS20/GS80*1000,"")</f>
        <v>2069.7050938337802</v>
      </c>
      <c r="GT126" s="131">
        <f>IFERROR(GT20/GT80*1000,"")</f>
        <v>2128.7386215864758</v>
      </c>
      <c r="GU126" s="131">
        <f>IFERROR(GU20/GU80*1000,"")</f>
        <v>2256.8306010928964</v>
      </c>
      <c r="GV126" s="131">
        <f>IFERROR(GV20/GV80*1000,"")</f>
        <v>2236.9668246445499</v>
      </c>
      <c r="GW126" s="131">
        <f>IFERROR(GW20/GW80*1000,"")</f>
        <v>2169.791666666667</v>
      </c>
      <c r="GY126" s="181" t="s">
        <v>146</v>
      </c>
      <c r="GZ126" s="131">
        <f>IFERROR(GZ20/GZ80*1000,"")</f>
        <v>2135.0364963503648</v>
      </c>
      <c r="HA126" s="131">
        <f>IFERROR(HA20/HA80*1000,"")</f>
        <v>2027.6338514680483</v>
      </c>
      <c r="HB126" s="131">
        <f>IFERROR(HB20/HB80*1000,"")</f>
        <v>2064.784053156146</v>
      </c>
      <c r="HC126" s="131">
        <f>IFERROR(HC20/HC80*1000,"")</f>
        <v>2114.9425287356321</v>
      </c>
      <c r="HD126" s="131">
        <f>IFERROR(HD20/HD80*1000,"")</f>
        <v>2085.1154833190758</v>
      </c>
      <c r="HF126" s="181" t="s">
        <v>146</v>
      </c>
      <c r="HG126" s="131">
        <f>IFERROR(HG20/HG80*1000,"")</f>
        <v>2231.6476345840128</v>
      </c>
      <c r="HH126" s="131">
        <f>IFERROR(HH20/HH80*1000,"")</f>
        <v>2209.4081942336875</v>
      </c>
      <c r="HI126" s="131">
        <f>IFERROR(HI20/HI80*1000,"")</f>
        <v>2220.8398133748055</v>
      </c>
      <c r="HJ126" s="131">
        <f>IFERROR(HJ20/HJ80*1000,"")</f>
        <v>2279.3462109955422</v>
      </c>
      <c r="HK126" s="131">
        <f>IFERROR(HK20/HK80*1000,"")</f>
        <v>2235.7032457496134</v>
      </c>
      <c r="HM126" s="181" t="s">
        <v>146</v>
      </c>
      <c r="HN126" s="131">
        <f>IFERROR(HN20/HN80*1000,"")</f>
        <v>2333.3333333333335</v>
      </c>
      <c r="HO126" s="131">
        <f>IFERROR(HO20/HO80*1000,"")</f>
        <v>2381.09305760709</v>
      </c>
      <c r="HP126" s="131">
        <f>IFERROR(HP20/HP80*1000,"")</f>
        <v>2382.0395738203961</v>
      </c>
      <c r="HQ126" s="131">
        <f>IFERROR(HQ20/HQ80*1000,"")</f>
        <v>2400.900900900901</v>
      </c>
      <c r="HR126" s="131">
        <f>IFERROR(HR20/HR80*1000,"")</f>
        <v>2374.5290128108513</v>
      </c>
      <c r="HT126" s="181" t="s">
        <v>146</v>
      </c>
      <c r="HU126" s="131">
        <f>IFERROR(HU20/HU80*1000,"")</f>
        <v>2496.2742175856929</v>
      </c>
      <c r="HV126" s="131">
        <f>IFERROR(HV20/HV80*1000,"")</f>
        <v>2516.1764705882351</v>
      </c>
      <c r="HW126" s="131">
        <f>IFERROR(HW20/HW80*1000,"")</f>
        <v>2456.4885496183206</v>
      </c>
      <c r="HX126" s="131">
        <f>IFERROR(HX20/HX80*1000,"")</f>
        <v>2509.0634441087614</v>
      </c>
      <c r="HY126" s="131">
        <f>IFERROR(HY20/HY80*1000,"")</f>
        <v>2494.7526236881558</v>
      </c>
      <c r="IA126" s="181" t="s">
        <v>146</v>
      </c>
      <c r="IB126" s="131">
        <f>IFERROR(IB20/IB80*1000,"")</f>
        <v>2578.0780780780779</v>
      </c>
      <c r="IC126" s="131">
        <f>IFERROR(IC20/IC80*1000,"")</f>
        <v>2538.4615384615381</v>
      </c>
      <c r="ID126" s="131">
        <f>IFERROR(ID20/ID80*1000,"")</f>
        <v>2502.1834061135369</v>
      </c>
      <c r="IE126" s="131">
        <f>IFERROR(IE20/IE80*1000,"")</f>
        <v>2572.8429985855728</v>
      </c>
      <c r="IF126" s="131">
        <f>IFERROR(IF20/IF80*1000,"")</f>
        <v>2547.7914554670529</v>
      </c>
      <c r="IH126" s="181" t="s">
        <v>146</v>
      </c>
      <c r="II126" s="131">
        <f>IFERROR(II20/II80*1000,"")</f>
        <v>2627.9411764705883</v>
      </c>
      <c r="IJ126" s="131">
        <f>IFERROR(IJ20/IJ80*1000,"")</f>
        <v>2593.4210526315787</v>
      </c>
      <c r="IK126" s="131">
        <f>IFERROR(IK20/IK80*1000,"")</f>
        <v>2576.2032085561495</v>
      </c>
      <c r="IL126" s="131">
        <f>IFERROR(IL20/IL80*1000,"")</f>
        <v>2584.6774193548385</v>
      </c>
      <c r="IM126" s="131">
        <f>IFERROR(IM20/IM80*1000,"")</f>
        <v>2594.8158253751703</v>
      </c>
      <c r="IO126" s="181" t="s">
        <v>146</v>
      </c>
      <c r="IP126" s="131">
        <f>IFERROR(IP20/IP80*1000,"")</f>
        <v>2617.94500723589</v>
      </c>
      <c r="IQ126" s="131">
        <f>IFERROR(IQ20/IQ80*1000,"")</f>
        <v>2507.422402159244</v>
      </c>
      <c r="IR126" s="131">
        <f>IFERROR(IR20/IR80*1000,"")</f>
        <v>2526.3888888888891</v>
      </c>
      <c r="IS126" s="131">
        <f>IFERROR(IS20/IS80*1000,"")</f>
        <v>2521.1864406779664</v>
      </c>
      <c r="IT126" s="131">
        <f>IFERROR(IT20/IT80*1000,"")</f>
        <v>2542.3076923076924</v>
      </c>
      <c r="IV126" s="181" t="s">
        <v>146</v>
      </c>
      <c r="IW126" s="131">
        <f>IFERROR(IW20/IW80*1000,"")</f>
        <v>2576.5230312035665</v>
      </c>
      <c r="IX126" s="131">
        <f>IFERROR(IX20/IX80*1000,"")</f>
        <v>2509.9150141643063</v>
      </c>
      <c r="IY126" s="131">
        <f>IFERROR(IY20/IY80*1000,"")</f>
        <v>2537.9008746355685</v>
      </c>
      <c r="IZ126" s="131">
        <f>IFERROR(IZ20/IZ80*1000,"")</f>
        <v>2571.2347354138401</v>
      </c>
      <c r="JA126" s="131">
        <f>IFERROR(JA20/JA80*1000,"")</f>
        <v>2548.8936473947178</v>
      </c>
      <c r="JC126" s="181" t="s">
        <v>146</v>
      </c>
      <c r="JD126" s="131">
        <f>IFERROR(JD20/JD80*1000,"")</f>
        <v>2630.9012875536482</v>
      </c>
      <c r="JE126" s="131">
        <f>IFERROR(JE20/JE80*1000,"")</f>
        <v>2590.7780979827089</v>
      </c>
      <c r="JF126" s="131">
        <f>IFERROR(JF20/JF80*1000,"")</f>
        <v>2592.9339477726576</v>
      </c>
      <c r="JG126" s="131">
        <f>IFERROR(JG20/JG80*1000,"")</f>
        <v>2648.9361702127662</v>
      </c>
      <c r="JH126" s="131">
        <f>IFERROR(JH20/JH80*1000,"")</f>
        <v>2615.8401184307922</v>
      </c>
      <c r="JJ126" s="181" t="s">
        <v>146</v>
      </c>
      <c r="JK126" s="131">
        <f>IFERROR(JK20/JK80*1000,"")</f>
        <v>2771.0280373831779</v>
      </c>
      <c r="JL126" s="131">
        <f>IFERROR(JL20/JL80*1000,"")</f>
        <v>2767.7793904209002</v>
      </c>
      <c r="JM126" s="131">
        <f>IFERROR(JM20/JM80*1000,"")</f>
        <v>2767.2035139092241</v>
      </c>
      <c r="JN126" s="131">
        <f>IFERROR(JN20/JN80*1000,"")</f>
        <v>2791.5451895043734</v>
      </c>
      <c r="JO126" s="131">
        <f>IFERROR(JO20/JO80*1000,"")</f>
        <v>2774.4444444444443</v>
      </c>
      <c r="JQ126" s="181" t="s">
        <v>146</v>
      </c>
      <c r="JR126" s="131">
        <f>IFERROR(JR20/JR80*1000,"")</f>
        <v>2838.368580060423</v>
      </c>
      <c r="JS126" s="131">
        <f>IFERROR(JS20/JS80*1000,"")</f>
        <v>2789.0961262553801</v>
      </c>
      <c r="JT126" s="131">
        <f>IFERROR(JT20/JT80*1000,"")</f>
        <v>2790.6295754026355</v>
      </c>
      <c r="JU126" s="131">
        <f>IFERROR(JU20/JU80*1000,"")</f>
        <v>2796.9924812030076</v>
      </c>
      <c r="JV126" s="131">
        <f>IFERROR(JV20/JV80*1000,"")</f>
        <v>2803.4724787587738</v>
      </c>
      <c r="JX126" s="181" t="s">
        <v>146</v>
      </c>
      <c r="JY126" s="131">
        <f>IFERROR(JY20/JY80*1000,"")</f>
        <v>2863.2986627043092</v>
      </c>
      <c r="JZ126" s="131">
        <f>IFERROR(JZ20/JZ80*1000,"")</f>
        <v>2772.0588235294117</v>
      </c>
      <c r="KA126" s="131">
        <f>IFERROR(KA20/KA80*1000,"")</f>
        <v>2733.8461538461538</v>
      </c>
      <c r="KB126" s="131">
        <f>IFERROR(KB20/KB80*1000,"")</f>
        <v>2790.4191616766466</v>
      </c>
      <c r="KC126" s="131">
        <f>IFERROR(KC20/KC80*1000,"")</f>
        <v>2791.3214990138067</v>
      </c>
      <c r="KE126" s="181" t="s">
        <v>146</v>
      </c>
      <c r="KF126" s="131">
        <f>IFERROR(KF20/KF80*1000,"")</f>
        <v>2881.1410459587955</v>
      </c>
      <c r="KG126" s="131">
        <f>IFERROR(KG20/KG80*1000,"")</f>
        <v>2900.9146341463415</v>
      </c>
      <c r="KH126" s="131">
        <f>IFERROR(KH20/KH80*1000,"")</f>
        <v>2943.6619718309862</v>
      </c>
      <c r="KI126" s="131">
        <f>IFERROR(KI20/KI80*1000,"")</f>
        <v>3003.1007751937982</v>
      </c>
      <c r="KJ126" s="131">
        <f>IFERROR(KJ20/KJ80*1000,"")</f>
        <v>2932.3220536756126</v>
      </c>
      <c r="KL126" s="181" t="s">
        <v>146</v>
      </c>
      <c r="KM126" s="131">
        <f>IFERROR(KM20/KM80*1000,"")</f>
        <v>3093.3977455716586</v>
      </c>
      <c r="KN126" s="131">
        <f>IFERROR(KN20/KN80*1000,"")</f>
        <v>3197.8691019786911</v>
      </c>
      <c r="KO126" s="131">
        <f>IFERROR(KO20/KO80*1000,"")</f>
        <v>3307.0987654320988</v>
      </c>
      <c r="KP126" s="131">
        <f>IFERROR(KP20/KP80*1000,"")</f>
        <v>3281.6455696202534</v>
      </c>
      <c r="KQ126" s="131">
        <f>IFERROR(KQ20/KQ80*1000,"")</f>
        <v>3220.8756841282252</v>
      </c>
      <c r="KS126" s="181" t="s">
        <v>146</v>
      </c>
      <c r="KT126" s="528">
        <f>IFERROR(KT20/KT80*1000,"")</f>
        <v>3343.1221020092735</v>
      </c>
      <c r="KU126" s="528">
        <f>IFERROR(KU20/KU80*1000,"")</f>
        <v>3243.722304283604</v>
      </c>
      <c r="KV126" s="528">
        <f>IFERROR(KV20/KV80*1000,"")</f>
        <v>3254.2372881355936</v>
      </c>
      <c r="KW126" s="528">
        <f>IFERROR(KW20/KW80*1000,"")</f>
        <v>3367.2839506172841</v>
      </c>
      <c r="KX126" s="528">
        <f>IFERROR(KX20/KX80*1000,"")</f>
        <v>3301.4116749332316</v>
      </c>
      <c r="KY126" s="521"/>
      <c r="KZ126" s="529" t="s">
        <v>146</v>
      </c>
      <c r="LA126" s="528">
        <f>LA20/LA80*1000</f>
        <v>3387.5968992248058</v>
      </c>
      <c r="LB126" s="530">
        <f>LB20/LB80*1000</f>
        <v>3361.6398243045387</v>
      </c>
      <c r="LC126" s="530">
        <f>LC20/LC80*1000</f>
        <v>3329.8507462686566</v>
      </c>
      <c r="LD126" s="530">
        <f>LD20/LD80*1000</f>
        <v>3370.7692307692309</v>
      </c>
      <c r="LE126" s="530">
        <f>LE20/LE80*1000</f>
        <v>3362.1601208459215</v>
      </c>
      <c r="LF126" s="561"/>
      <c r="LG126" s="529" t="s">
        <v>146</v>
      </c>
      <c r="LH126" s="530">
        <f>LH20/LH80*1000</f>
        <v>3415.8730158730159</v>
      </c>
      <c r="LI126" s="530">
        <f>LI20/LI80*1000</f>
        <v>3368.6567164179105</v>
      </c>
      <c r="LJ126" s="530">
        <f>LJ20/LJ80*1000</f>
        <v>3345.454545454545</v>
      </c>
      <c r="LK126" s="530">
        <f>LK20/LK80*1000</f>
        <v>3400.6309148264986</v>
      </c>
      <c r="LL126" s="530">
        <f>LL20/LL80*1000</f>
        <v>3382.0354664610641</v>
      </c>
      <c r="LM126" s="561"/>
      <c r="LN126" s="529" t="s">
        <v>146</v>
      </c>
      <c r="LO126" s="530">
        <f>LO20/LO80*1000</f>
        <v>3473.404664855072</v>
      </c>
      <c r="LP126" s="530">
        <f>LP20/LP80*1000</f>
        <v>3439.4275856810641</v>
      </c>
      <c r="LQ126" s="530">
        <f>LQ20/LQ80*1000</f>
        <v>3437.4198543152429</v>
      </c>
      <c r="LR126" s="530">
        <f>LR20/LR80*1000</f>
        <v>3482.3104063901997</v>
      </c>
      <c r="LS126" s="530">
        <f>LS20/LS80*1000</f>
        <v>3457.8640010700633</v>
      </c>
      <c r="LT126" s="561"/>
      <c r="LU126" s="529" t="s">
        <v>146</v>
      </c>
      <c r="LV126" s="530">
        <f>LV20/LV80*1000</f>
        <v>3568.9890784589693</v>
      </c>
      <c r="LW126" s="530">
        <f>LW20/LW80*1000</f>
        <v>3530.0626348480996</v>
      </c>
      <c r="LX126" s="530">
        <f>LX20/LX80*1000</f>
        <v>3531.3863180592643</v>
      </c>
      <c r="LY126" s="530">
        <f>LY20/LY80*1000</f>
        <v>3577.8905272557099</v>
      </c>
      <c r="LZ126" s="530">
        <f>LZ20/LZ80*1000</f>
        <v>3551.7724375665539</v>
      </c>
      <c r="MA126" s="561"/>
      <c r="MB126" s="529" t="s">
        <v>146</v>
      </c>
      <c r="MC126" s="530">
        <f>MC20/MC80*1000</f>
        <v>3657.7616960947707</v>
      </c>
      <c r="MD126" s="530">
        <f>MD20/MD80*1000</f>
        <v>3617.4699721388001</v>
      </c>
      <c r="ME126" s="530">
        <f>ME20/ME80*1000</f>
        <v>3618.6381211085695</v>
      </c>
      <c r="MF126" s="530">
        <f>MF20/MF80*1000</f>
        <v>3664.433134895512</v>
      </c>
      <c r="MG126" s="530">
        <f>MG20/MG80*1000</f>
        <v>3639.2406838677211</v>
      </c>
      <c r="MH126" s="561"/>
    </row>
    <row r="127" spans="1:346" s="37" customFormat="1" ht="13.5" thickTop="1" x14ac:dyDescent="0.4">
      <c r="A127" s="100"/>
      <c r="B127" s="65" t="s">
        <v>3</v>
      </c>
      <c r="C127" s="66"/>
      <c r="D127" s="66"/>
      <c r="E127" s="66"/>
      <c r="F127" s="66"/>
      <c r="G127" s="66"/>
      <c r="H127" s="66"/>
      <c r="I127" s="66"/>
      <c r="J127" s="66"/>
      <c r="K127" s="66"/>
      <c r="L127" s="66"/>
      <c r="M127" s="66"/>
      <c r="N127" s="66"/>
      <c r="O127" s="66">
        <f>CA127</f>
        <v>3.9685951535172181E-2</v>
      </c>
      <c r="P127" s="66">
        <f>CH127</f>
        <v>9.1287122595618886E-2</v>
      </c>
      <c r="Q127" s="66">
        <f>CO127</f>
        <v>1.5995787030109287E-2</v>
      </c>
      <c r="R127" s="66">
        <f>CV127</f>
        <v>1.1517350458849274E-2</v>
      </c>
      <c r="S127" s="66">
        <f>DC127</f>
        <v>-1.3917525393760566E-2</v>
      </c>
      <c r="T127" s="66">
        <f>DJ127</f>
        <v>-6.4645533766116703E-4</v>
      </c>
      <c r="U127" s="66">
        <f>DQ127</f>
        <v>2.4923775161960426E-2</v>
      </c>
      <c r="V127" s="66">
        <f>DX127</f>
        <v>-5.7397758560154832E-3</v>
      </c>
      <c r="W127" s="66">
        <f>EE127</f>
        <v>-4.4930297130774122E-3</v>
      </c>
      <c r="X127" s="66">
        <f>EL127</f>
        <v>6.93395427504504E-2</v>
      </c>
      <c r="Y127" s="66">
        <f>ES127</f>
        <v>5.8337024703131846E-2</v>
      </c>
      <c r="Z127" s="66">
        <f>EZ127</f>
        <v>2.8187711555499595E-2</v>
      </c>
      <c r="AA127" s="66">
        <f>FG127</f>
        <v>1.8806748060648859E-2</v>
      </c>
      <c r="AB127" s="66">
        <f>FN127</f>
        <v>1.752978371429581E-2</v>
      </c>
      <c r="AC127" s="66">
        <f>FU127</f>
        <v>3.9133471952106591E-2</v>
      </c>
      <c r="AD127" s="66">
        <f>GB127</f>
        <v>8.6807374917821978E-2</v>
      </c>
      <c r="AE127" s="66">
        <f>GI127</f>
        <v>0.13298348623148826</v>
      </c>
      <c r="AF127" s="66">
        <f>GP127</f>
        <v>8.9555324867636399E-2</v>
      </c>
      <c r="AG127" s="66">
        <f>GW127</f>
        <v>0.16995285783725067</v>
      </c>
      <c r="AH127" s="66">
        <f>HD127</f>
        <v>-3.9025029291256619E-2</v>
      </c>
      <c r="AI127" s="66">
        <f>HK127</f>
        <v>7.2220346371814736E-2</v>
      </c>
      <c r="AJ127" s="66">
        <f>HR127</f>
        <v>6.2094898920581398E-2</v>
      </c>
      <c r="AK127" s="66">
        <f>HY127</f>
        <v>5.0630508293933119E-2</v>
      </c>
      <c r="AL127" s="66">
        <f>IF127</f>
        <v>2.1260156728680535E-2</v>
      </c>
      <c r="AM127" s="66">
        <f>IM127</f>
        <v>1.8456914833909321E-2</v>
      </c>
      <c r="AN127" s="66">
        <f>IT127</f>
        <v>-2.0235784194774675E-2</v>
      </c>
      <c r="AO127" s="66">
        <f>JA127</f>
        <v>2.5905420917196054E-3</v>
      </c>
      <c r="AP127" s="66">
        <f>JH127</f>
        <v>2.6264913447644922E-2</v>
      </c>
      <c r="AQ127" s="66">
        <f>JO127</f>
        <v>6.0632270640759378E-2</v>
      </c>
      <c r="AR127" s="66">
        <f>JV127</f>
        <v>1.0462647530194769E-2</v>
      </c>
      <c r="AS127" s="66">
        <f>KC127</f>
        <v>-4.3342603992128081E-3</v>
      </c>
      <c r="AT127" s="66">
        <f>KJ127</f>
        <v>5.0513907019174464E-2</v>
      </c>
      <c r="AU127" s="66">
        <f>KQ127</f>
        <v>9.8404481216828099E-2</v>
      </c>
      <c r="AV127" s="66">
        <f>KX127</f>
        <v>2.5004377288409652E-2</v>
      </c>
      <c r="AW127" s="66">
        <f>LE127</f>
        <v>1.8400748496147035E-2</v>
      </c>
      <c r="AX127" s="66">
        <f>LL127</f>
        <v>5.9114809826910086E-3</v>
      </c>
      <c r="AY127" s="66">
        <f>LS127</f>
        <v>2.2420975581413982E-2</v>
      </c>
      <c r="AZ127" s="66">
        <f>LZ127</f>
        <v>2.715793231527619E-2</v>
      </c>
      <c r="BA127" s="66">
        <f>MG127</f>
        <v>2.4626647072326202E-2</v>
      </c>
      <c r="BB127" s="66"/>
      <c r="BC127" s="66"/>
      <c r="BD127" s="66"/>
      <c r="BE127" s="66"/>
      <c r="BF127" s="66"/>
      <c r="BG127" s="66"/>
      <c r="BH127" s="66"/>
      <c r="BI127" s="66"/>
      <c r="BJ127" s="66"/>
      <c r="BK127" s="66"/>
      <c r="BL127" s="66"/>
      <c r="BM127" s="66"/>
      <c r="BO127" s="65" t="s">
        <v>3</v>
      </c>
      <c r="BP127" s="66"/>
      <c r="BQ127" s="66"/>
      <c r="BR127" s="66"/>
      <c r="BS127" s="66"/>
      <c r="BT127" s="66"/>
      <c r="BV127" s="65" t="s">
        <v>3</v>
      </c>
      <c r="BW127" s="66">
        <f>BW126/BP126-1</f>
        <v>2.6455282682696035E-2</v>
      </c>
      <c r="BX127" s="66">
        <f>BX126/BQ126-1</f>
        <v>4.2264936070352865E-2</v>
      </c>
      <c r="BY127" s="66">
        <f>BY126/BR126-1</f>
        <v>6.1177628341807511E-2</v>
      </c>
      <c r="BZ127" s="66">
        <f>BZ126/BS126-1</f>
        <v>3.0957426709430358E-2</v>
      </c>
      <c r="CA127" s="66">
        <f>CA126/BT126-1</f>
        <v>3.9685951535172181E-2</v>
      </c>
      <c r="CC127" s="65" t="s">
        <v>3</v>
      </c>
      <c r="CD127" s="66">
        <f>CD126/BW126-1</f>
        <v>9.1496212298998403E-2</v>
      </c>
      <c r="CE127" s="66">
        <f>CE126/BX126-1</f>
        <v>0.12120978247396397</v>
      </c>
      <c r="CF127" s="66">
        <f>CF126/BY126-1</f>
        <v>9.9120334188113057E-2</v>
      </c>
      <c r="CG127" s="66">
        <f>CG126/BZ126-1</f>
        <v>5.1680010266135668E-2</v>
      </c>
      <c r="CH127" s="66">
        <f>CH126/CA126-1</f>
        <v>9.1287122595618886E-2</v>
      </c>
      <c r="CJ127" s="65" t="s">
        <v>3</v>
      </c>
      <c r="CK127" s="66">
        <f>CK126/CD126-1</f>
        <v>4.9790243902438913E-2</v>
      </c>
      <c r="CL127" s="66">
        <f>CL126/CE126-1</f>
        <v>9.2724745134384889E-3</v>
      </c>
      <c r="CM127" s="66">
        <f>CM126/CF126-1</f>
        <v>7.8225024607208038E-3</v>
      </c>
      <c r="CN127" s="66">
        <f>CN126/CG126-1</f>
        <v>-2.2370454730333833E-3</v>
      </c>
      <c r="CO127" s="66">
        <f>CO126/CH126-1</f>
        <v>1.5995787030109287E-2</v>
      </c>
      <c r="CQ127" s="65" t="s">
        <v>3</v>
      </c>
      <c r="CR127" s="66">
        <f>CR126/CK126-1</f>
        <v>-9.3324623035129228E-5</v>
      </c>
      <c r="CS127" s="66">
        <f>CS126/CL126-1</f>
        <v>1.5496173523318335E-2</v>
      </c>
      <c r="CT127" s="66">
        <f>CT126/CM126-1</f>
        <v>-1.7719568567026167E-3</v>
      </c>
      <c r="CU127" s="66">
        <f>CU126/CN126-1</f>
        <v>3.2087105311957131E-2</v>
      </c>
      <c r="CV127" s="66">
        <f>CV126/CO126-1</f>
        <v>1.1517350458849274E-2</v>
      </c>
      <c r="CX127" s="65" t="s">
        <v>3</v>
      </c>
      <c r="CY127" s="66">
        <f>CY126/CR126-1</f>
        <v>-3.1219272369713558E-3</v>
      </c>
      <c r="CZ127" s="66">
        <f>CZ126/CS126-1</f>
        <v>-1.0261614794767948E-2</v>
      </c>
      <c r="DA127" s="66">
        <f>DA126/CT126-1</f>
        <v>-3.6860414218903292E-3</v>
      </c>
      <c r="DB127" s="66">
        <f>DB126/CU126-1</f>
        <v>-3.7060165725951721E-2</v>
      </c>
      <c r="DC127" s="66">
        <f>DC126/CV126-1</f>
        <v>-1.3917525393760566E-2</v>
      </c>
      <c r="DE127" s="65" t="s">
        <v>3</v>
      </c>
      <c r="DF127" s="66">
        <f>DF126/CY126-1</f>
        <v>-2.0996132576716175E-2</v>
      </c>
      <c r="DG127" s="66">
        <f>DG126/CZ126-1</f>
        <v>-1.3410356921807143E-2</v>
      </c>
      <c r="DH127" s="66">
        <f>DH126/DA126-1</f>
        <v>9.7465998677777055E-3</v>
      </c>
      <c r="DI127" s="66">
        <f>DI126/DB126-1</f>
        <v>2.2547585767713541E-2</v>
      </c>
      <c r="DJ127" s="66">
        <f>DJ126/DC126-1</f>
        <v>-6.4645533766116703E-4</v>
      </c>
      <c r="DL127" s="65" t="s">
        <v>3</v>
      </c>
      <c r="DM127" s="66">
        <f>DM126/DF126-1</f>
        <v>2.6871195832397499E-2</v>
      </c>
      <c r="DN127" s="66">
        <f>DN126/DG126-1</f>
        <v>3.263434871191051E-2</v>
      </c>
      <c r="DO127" s="66">
        <f>DO126/DH126-1</f>
        <v>1.9368082332381187E-2</v>
      </c>
      <c r="DP127" s="66">
        <f>DP126/DI126-1</f>
        <v>2.0757348490829219E-2</v>
      </c>
      <c r="DQ127" s="66">
        <f>DQ126/DJ126-1</f>
        <v>2.4923775161960426E-2</v>
      </c>
      <c r="DS127" s="65" t="s">
        <v>3</v>
      </c>
      <c r="DT127" s="66">
        <f>DT126/DM126-1</f>
        <v>8.1209219358775453E-3</v>
      </c>
      <c r="DU127" s="66">
        <f>DU126/DN126-1</f>
        <v>-1.0886502524206643E-3</v>
      </c>
      <c r="DV127" s="66">
        <f>DV126/DO126-1</f>
        <v>-6.7251046916034785E-3</v>
      </c>
      <c r="DW127" s="66">
        <f>DW126/DP126-1</f>
        <v>-2.2909775683243927E-2</v>
      </c>
      <c r="DX127" s="66">
        <f>DX126/DQ126-1</f>
        <v>-5.7397758560154832E-3</v>
      </c>
      <c r="DZ127" s="65" t="s">
        <v>3</v>
      </c>
      <c r="EA127" s="66">
        <f>EA126/DT126-1</f>
        <v>-1.8188978674990697E-2</v>
      </c>
      <c r="EB127" s="66">
        <f>EB126/DU126-1</f>
        <v>-2.9577312540250533E-2</v>
      </c>
      <c r="EC127" s="66">
        <f>EC126/DV126-1</f>
        <v>1.5566539843807625E-2</v>
      </c>
      <c r="ED127" s="66">
        <f>ED126/DW126-1</f>
        <v>2.052698437139111E-2</v>
      </c>
      <c r="EE127" s="66">
        <f>EE126/DX126-1</f>
        <v>-4.4930297130774122E-3</v>
      </c>
      <c r="EG127" s="65" t="s">
        <v>3</v>
      </c>
      <c r="EH127" s="66">
        <f>EH126/EA126-1</f>
        <v>-3.159397107494577E-3</v>
      </c>
      <c r="EI127" s="66">
        <f>EI126/EB126-1</f>
        <v>9.4007960772324095E-2</v>
      </c>
      <c r="EJ127" s="66">
        <f>EJ126/EC126-1</f>
        <v>9.0739094047494362E-2</v>
      </c>
      <c r="EK127" s="66">
        <f>EK126/ED126-1</f>
        <v>9.4162014571308905E-2</v>
      </c>
      <c r="EL127" s="66">
        <f>EL126/EE126-1</f>
        <v>6.93395427504504E-2</v>
      </c>
      <c r="EN127" s="65" t="s">
        <v>3</v>
      </c>
      <c r="EO127" s="66">
        <f>EO126/EH126-1</f>
        <v>0.11447492904446555</v>
      </c>
      <c r="EP127" s="66">
        <f>EP126/EI126-1</f>
        <v>5.7471583867836795E-2</v>
      </c>
      <c r="EQ127" s="66">
        <f>EQ126/EJ126-1</f>
        <v>3.6030232469708379E-2</v>
      </c>
      <c r="ER127" s="66">
        <f>ER126/EK126-1</f>
        <v>2.7525839345172054E-2</v>
      </c>
      <c r="ES127" s="66">
        <f>ES126/EL126-1</f>
        <v>5.8337024703131846E-2</v>
      </c>
      <c r="EU127" s="65" t="s">
        <v>3</v>
      </c>
      <c r="EV127" s="66">
        <f>EV126/EO126-1</f>
        <v>4.6667693176277281E-2</v>
      </c>
      <c r="EW127" s="66">
        <f>EW126/EP126-1</f>
        <v>3.6804117240946566E-2</v>
      </c>
      <c r="EX127" s="66">
        <f>EX126/EQ126-1</f>
        <v>2.0868670225163699E-2</v>
      </c>
      <c r="EY127" s="66">
        <f>EY126/ER126-1</f>
        <v>7.6091675616387633E-3</v>
      </c>
      <c r="EZ127" s="66">
        <f>EZ126/ES126-1</f>
        <v>2.8187711555499595E-2</v>
      </c>
      <c r="FB127" s="65" t="s">
        <v>3</v>
      </c>
      <c r="FC127" s="66">
        <f>FC126/EV126-1</f>
        <v>1.6786941268427613E-2</v>
      </c>
      <c r="FD127" s="66">
        <f>FD126/EW126-1</f>
        <v>5.1226386349787489E-3</v>
      </c>
      <c r="FE127" s="66">
        <f>FE126/EX126-1</f>
        <v>9.0982762876612444E-3</v>
      </c>
      <c r="FF127" s="66">
        <f>FF126/EY126-1</f>
        <v>4.5532292737638924E-2</v>
      </c>
      <c r="FG127" s="66">
        <f>FG126/EZ126-1</f>
        <v>1.8806748060648859E-2</v>
      </c>
      <c r="FI127" s="65" t="s">
        <v>3</v>
      </c>
      <c r="FJ127" s="66">
        <f>FJ126/FC126-1</f>
        <v>2.6449912519744379E-2</v>
      </c>
      <c r="FK127" s="66">
        <f>FK126/FD126-1</f>
        <v>2.4933214603739762E-2</v>
      </c>
      <c r="FL127" s="66">
        <f>FL126/FE126-1</f>
        <v>1.6746332181995172E-2</v>
      </c>
      <c r="FM127" s="66">
        <f>FM126/FF126-1</f>
        <v>1.8913385959442586E-3</v>
      </c>
      <c r="FN127" s="66">
        <f>FN126/FG126-1</f>
        <v>1.752978371429581E-2</v>
      </c>
      <c r="FP127" s="65" t="s">
        <v>3</v>
      </c>
      <c r="FQ127" s="66">
        <f>FQ126/FJ126-1</f>
        <v>4.9371215649742783E-3</v>
      </c>
      <c r="FR127" s="66">
        <f>FR126/FK126-1</f>
        <v>2.1392243188629312E-2</v>
      </c>
      <c r="FS127" s="66">
        <f>FS126/FL126-1</f>
        <v>5.8902735070399892E-2</v>
      </c>
      <c r="FT127" s="66">
        <f>FT126/FM126-1</f>
        <v>7.0434532417678053E-2</v>
      </c>
      <c r="FU127" s="66">
        <f>FU126/FN126-1</f>
        <v>3.9133471952106591E-2</v>
      </c>
      <c r="FW127" s="65" t="s">
        <v>3</v>
      </c>
      <c r="FX127" s="66">
        <f>FX126/FQ126-1</f>
        <v>7.0382204002893634E-2</v>
      </c>
      <c r="FY127" s="66">
        <f>FY126/FR126-1</f>
        <v>7.8236122738793101E-2</v>
      </c>
      <c r="FZ127" s="66">
        <f>FZ126/FS126-1</f>
        <v>8.3043944221287358E-2</v>
      </c>
      <c r="GA127" s="66">
        <f>GA126/FT126-1</f>
        <v>0.11907446986172587</v>
      </c>
      <c r="GB127" s="66">
        <f>GB126/FU126-1</f>
        <v>8.6807374917821978E-2</v>
      </c>
      <c r="GD127" s="65" t="s">
        <v>3</v>
      </c>
      <c r="GE127" s="66">
        <f>GE126/FX126-1</f>
        <v>0.13941591510098506</v>
      </c>
      <c r="GF127" s="66">
        <f>GF126/FY126-1</f>
        <v>0.14266517728770811</v>
      </c>
      <c r="GG127" s="66">
        <f>GG126/FZ126-1</f>
        <v>0.15093206176257112</v>
      </c>
      <c r="GH127" s="66">
        <f>GH126/GA126-1</f>
        <v>0.10071808653064407</v>
      </c>
      <c r="GI127" s="66">
        <f>GI126/GB126-1</f>
        <v>0.13298348623148826</v>
      </c>
      <c r="GK127" s="65" t="s">
        <v>3</v>
      </c>
      <c r="GL127" s="66">
        <f>GL126/GE126-1</f>
        <v>8.8442768411712613E-2</v>
      </c>
      <c r="GM127" s="66">
        <f>GM126/GF126-1</f>
        <v>8.1978969935174284E-2</v>
      </c>
      <c r="GN127" s="66">
        <f>GN126/GG126-1</f>
        <v>8.4462783568812316E-2</v>
      </c>
      <c r="GO127" s="66">
        <f>GO126/GH126-1</f>
        <v>0.10291552026907214</v>
      </c>
      <c r="GP127" s="66">
        <f>GP126/GI126-1</f>
        <v>8.9555324867636399E-2</v>
      </c>
      <c r="GR127" s="65" t="s">
        <v>3</v>
      </c>
      <c r="GS127" s="66">
        <f>GS126/GL126-1</f>
        <v>0.14918469799269385</v>
      </c>
      <c r="GT127" s="66">
        <f>GT126/GM126-1</f>
        <v>0.17359030646819806</v>
      </c>
      <c r="GU127" s="66">
        <f>GU126/GN126-1</f>
        <v>0.20591635140815479</v>
      </c>
      <c r="GV127" s="66">
        <f>GV126/GO126-1</f>
        <v>0.15500531966341047</v>
      </c>
      <c r="GW127" s="66">
        <f>GW126/GP126-1</f>
        <v>0.16995285783725067</v>
      </c>
      <c r="GY127" s="65" t="s">
        <v>3</v>
      </c>
      <c r="GZ127" s="66">
        <f>GZ126/GS126-1</f>
        <v>3.1565561060474145E-2</v>
      </c>
      <c r="HA127" s="66">
        <f>HA126/GT126-1</f>
        <v>-4.7495154686054253E-2</v>
      </c>
      <c r="HB127" s="66">
        <f>HB126/GU126-1</f>
        <v>-8.5095685889649664E-2</v>
      </c>
      <c r="HC127" s="66">
        <f>HC126/GV126-1</f>
        <v>-5.4548996688096762E-2</v>
      </c>
      <c r="HD127" s="66">
        <f>HD126/GW126-1</f>
        <v>-3.9025029291256619E-2</v>
      </c>
      <c r="HF127" s="65" t="s">
        <v>3</v>
      </c>
      <c r="HG127" s="66">
        <f>HG126/GZ126-1</f>
        <v>4.525034508721304E-2</v>
      </c>
      <c r="HH127" s="66">
        <f>HH126/HA126-1</f>
        <v>8.9648504651878236E-2</v>
      </c>
      <c r="HI127" s="66">
        <f>HI126/HB126-1</f>
        <v>7.5579700443791697E-2</v>
      </c>
      <c r="HJ127" s="66">
        <f>HJ126/HC126-1</f>
        <v>7.7734349764196686E-2</v>
      </c>
      <c r="HK127" s="66">
        <f>HK126/HD126-1</f>
        <v>7.2220346371814736E-2</v>
      </c>
      <c r="HM127" s="65" t="s">
        <v>3</v>
      </c>
      <c r="HN127" s="66">
        <f>HN126/HG126-1</f>
        <v>4.5565302144249697E-2</v>
      </c>
      <c r="HO127" s="66">
        <f>HO126/HH126-1</f>
        <v>7.7706267144967311E-2</v>
      </c>
      <c r="HP127" s="66">
        <f>HP126/HI126-1</f>
        <v>7.2585046195038361E-2</v>
      </c>
      <c r="HQ127" s="66">
        <f>HQ126/HJ126-1</f>
        <v>5.3328752481294872E-2</v>
      </c>
      <c r="HR127" s="66">
        <f>HR126/HK126-1</f>
        <v>6.2094898920581398E-2</v>
      </c>
      <c r="HT127" s="65" t="s">
        <v>3</v>
      </c>
      <c r="HU127" s="66">
        <f>HU126/HN126-1</f>
        <v>6.9831807536725465E-2</v>
      </c>
      <c r="HV127" s="66">
        <f>HV126/HO126-1</f>
        <v>5.6731681506349441E-2</v>
      </c>
      <c r="HW127" s="66">
        <f>HW126/HP126-1</f>
        <v>3.1254298465965835E-2</v>
      </c>
      <c r="HX127" s="66">
        <f>HX126/HQ126-1</f>
        <v>4.5050815369878094E-2</v>
      </c>
      <c r="HY127" s="66">
        <f>HY126/HR126-1</f>
        <v>5.0630508293933119E-2</v>
      </c>
      <c r="IA127" s="65" t="s">
        <v>3</v>
      </c>
      <c r="IB127" s="66">
        <f>IB126/HU126-1</f>
        <v>3.2770382322621083E-2</v>
      </c>
      <c r="IC127" s="66">
        <f>IC126/HV126-1</f>
        <v>8.8567189677650759E-3</v>
      </c>
      <c r="ID127" s="66">
        <f>ID126/HW126-1</f>
        <v>1.8601697330246525E-2</v>
      </c>
      <c r="IE127" s="66">
        <f>IE126/HX126-1</f>
        <v>2.5419665902257194E-2</v>
      </c>
      <c r="IF127" s="66">
        <f>IF126/HY126-1</f>
        <v>2.1260156728680535E-2</v>
      </c>
      <c r="IH127" s="65" t="s">
        <v>3</v>
      </c>
      <c r="II127" s="66">
        <f>II126/IB126-1</f>
        <v>1.9341190174380962E-2</v>
      </c>
      <c r="IJ127" s="66">
        <f>IJ126/IC126-1</f>
        <v>2.1650717703349365E-2</v>
      </c>
      <c r="IK127" s="66">
        <f>IK126/ID126-1</f>
        <v>2.958208509486604E-2</v>
      </c>
      <c r="IL127" s="66">
        <f>IL126/IE126-1</f>
        <v>4.5997446310450663E-3</v>
      </c>
      <c r="IM127" s="66">
        <f>IM126/IF126-1</f>
        <v>1.8456914833909321E-2</v>
      </c>
      <c r="IO127" s="65" t="s">
        <v>3</v>
      </c>
      <c r="IP127" s="66">
        <f>IP126/II126-1</f>
        <v>-3.8038025067682613E-3</v>
      </c>
      <c r="IQ127" s="66">
        <f>IQ126/IJ126-1</f>
        <v>-3.3160311699124478E-2</v>
      </c>
      <c r="IR127" s="66">
        <f>IR126/IK126-1</f>
        <v>-1.9336331661188755E-2</v>
      </c>
      <c r="IS127" s="66">
        <f>IS126/IL126-1</f>
        <v>-2.4564372405404544E-2</v>
      </c>
      <c r="IT127" s="66">
        <f>IT126/IM126-1</f>
        <v>-2.0235784194774675E-2</v>
      </c>
      <c r="IV127" s="65" t="s">
        <v>3</v>
      </c>
      <c r="IW127" s="66">
        <f>IW126/IP126-1</f>
        <v>-1.5822324730976001E-2</v>
      </c>
      <c r="IX127" s="66">
        <f>IX126/IQ126-1</f>
        <v>9.9409337769174044E-4</v>
      </c>
      <c r="IY127" s="66">
        <f>IY126/IR126-1</f>
        <v>4.5566958425558024E-3</v>
      </c>
      <c r="IZ127" s="66">
        <f>IZ126/IS126-1</f>
        <v>1.9851088332212052E-2</v>
      </c>
      <c r="JA127" s="66">
        <f>JA126/IT126-1</f>
        <v>2.5905420917196054E-3</v>
      </c>
      <c r="JC127" s="65" t="s">
        <v>3</v>
      </c>
      <c r="JD127" s="66">
        <f>JD126/IW126-1</f>
        <v>2.1105286345793006E-2</v>
      </c>
      <c r="JE127" s="66">
        <f>JE126/IX126-1</f>
        <v>3.2217458902817242E-2</v>
      </c>
      <c r="JF127" s="66">
        <f>JF126/IY126-1</f>
        <v>2.1684484877681376E-2</v>
      </c>
      <c r="JG127" s="66">
        <f>JG126/IZ126-1</f>
        <v>3.0219502610453031E-2</v>
      </c>
      <c r="JH127" s="66">
        <f>JH126/JA126-1</f>
        <v>2.6264913447644922E-2</v>
      </c>
      <c r="JJ127" s="65" t="s">
        <v>3</v>
      </c>
      <c r="JK127" s="66">
        <f>JK126/JD126-1</f>
        <v>5.3261880440914178E-2</v>
      </c>
      <c r="JL127" s="66">
        <f>JL126/JE126-1</f>
        <v>6.8319742465019262E-2</v>
      </c>
      <c r="JM127" s="66">
        <f>JM126/JF126-1</f>
        <v>6.7209412058592877E-2</v>
      </c>
      <c r="JN127" s="66">
        <f>JN126/JG126-1</f>
        <v>5.3836336600044499E-2</v>
      </c>
      <c r="JO127" s="66">
        <f>JO126/JH126-1</f>
        <v>6.0632270640759378E-2</v>
      </c>
      <c r="JQ127" s="65" t="s">
        <v>3</v>
      </c>
      <c r="JR127" s="66">
        <f>JR126/JK126-1</f>
        <v>2.4301646092631524E-2</v>
      </c>
      <c r="JS127" s="66">
        <f>JS126/JL126-1</f>
        <v>7.7017467173343679E-3</v>
      </c>
      <c r="JT127" s="66">
        <f>JT126/JM126-1</f>
        <v>8.4656084656085095E-3</v>
      </c>
      <c r="JU127" s="66">
        <f>JU126/JN126-1</f>
        <v>1.9513535797719417E-3</v>
      </c>
      <c r="JV127" s="66">
        <f>JV126/JO126-1</f>
        <v>1.0462647530194769E-2</v>
      </c>
      <c r="JX127" s="65" t="s">
        <v>3</v>
      </c>
      <c r="JY127" s="66">
        <f>JY126/JR126-1</f>
        <v>8.7832435924708463E-3</v>
      </c>
      <c r="JZ127" s="66">
        <f>JZ126/JS126-1</f>
        <v>-6.108539094650145E-3</v>
      </c>
      <c r="KA127" s="66">
        <f>KA126/JT126-1</f>
        <v>-2.0347889256598584E-2</v>
      </c>
      <c r="KB127" s="66">
        <f>KB126/JU126-1</f>
        <v>-2.3501384328118435E-3</v>
      </c>
      <c r="KC127" s="66">
        <f>KC126/JV126-1</f>
        <v>-4.3342603992128081E-3</v>
      </c>
      <c r="KE127" s="65" t="s">
        <v>3</v>
      </c>
      <c r="KF127" s="66">
        <f>KF126/JY126-1</f>
        <v>6.2314083706638268E-3</v>
      </c>
      <c r="KG127" s="66">
        <f>KG126/JZ126-1</f>
        <v>4.6483793750404345E-2</v>
      </c>
      <c r="KH127" s="66">
        <f>KH126/KA126-1</f>
        <v>7.6747485475599841E-2</v>
      </c>
      <c r="KI127" s="66">
        <f>KI126/KB126-1</f>
        <v>7.6218518148850389E-2</v>
      </c>
      <c r="KJ127" s="66">
        <f>KJ126/KC126-1</f>
        <v>5.0513907019174464E-2</v>
      </c>
      <c r="KL127" s="65" t="s">
        <v>3</v>
      </c>
      <c r="KM127" s="66">
        <f>KM126/KF126-1</f>
        <v>7.3671054706114791E-2</v>
      </c>
      <c r="KN127" s="66">
        <f>KN126/KG126-1</f>
        <v>0.10236580709302223</v>
      </c>
      <c r="KO127" s="66">
        <f>KO126/KH126-1</f>
        <v>0.1234641739027702</v>
      </c>
      <c r="KP127" s="66">
        <f>KP126/KI126-1</f>
        <v>9.2752396698535744E-2</v>
      </c>
      <c r="KQ127" s="66">
        <f>KQ126/KJ126-1</f>
        <v>9.8404481216828099E-2</v>
      </c>
      <c r="KS127" s="65" t="s">
        <v>3</v>
      </c>
      <c r="KT127" s="66">
        <f>KT126/KM126-1</f>
        <v>8.0728175610493835E-2</v>
      </c>
      <c r="KU127" s="66">
        <f>KU126/KN126-1</f>
        <v>1.4338673924001899E-2</v>
      </c>
      <c r="KV127" s="66">
        <f>KV126/KO126-1</f>
        <v>-1.5984245118121909E-2</v>
      </c>
      <c r="KW127" s="66">
        <f>KW126/KP126-1</f>
        <v>2.6096170101313154E-2</v>
      </c>
      <c r="KX127" s="66">
        <f>KX126/KQ126-1</f>
        <v>2.5004377288409652E-2</v>
      </c>
      <c r="KZ127" s="65" t="s">
        <v>3</v>
      </c>
      <c r="LA127" s="66">
        <f>LA126/KT126-1</f>
        <v>1.3303372075103681E-2</v>
      </c>
      <c r="LB127" s="112">
        <f>LB126/KU126-1</f>
        <v>3.6352532356180633E-2</v>
      </c>
      <c r="LC127" s="112">
        <f>LC126/KV126-1</f>
        <v>2.3235385572139222E-2</v>
      </c>
      <c r="LD127" s="112">
        <f>LD126/KW126-1</f>
        <v>1.0350419516322873E-3</v>
      </c>
      <c r="LE127" s="112">
        <f>LE126/KX126-1</f>
        <v>1.8400748496147035E-2</v>
      </c>
      <c r="LF127" s="566"/>
      <c r="LG127" s="65" t="s">
        <v>3</v>
      </c>
      <c r="LH127" s="112">
        <f>LH126/LA126-1</f>
        <v>8.3469543423777548E-3</v>
      </c>
      <c r="LI127" s="112">
        <f>LI126/LB126-1</f>
        <v>2.0873420354672323E-3</v>
      </c>
      <c r="LJ127" s="112">
        <f>LJ126/LC126-1</f>
        <v>4.6860356138704873E-3</v>
      </c>
      <c r="LK127" s="112">
        <f>LK126/LD126-1</f>
        <v>8.8590117011519975E-3</v>
      </c>
      <c r="LL127" s="112">
        <f>LL126/LE126-1</f>
        <v>5.9114809826910086E-3</v>
      </c>
      <c r="LM127" s="566"/>
      <c r="LN127" s="65" t="s">
        <v>3</v>
      </c>
      <c r="LO127" s="112">
        <f>LO126/LH126-1</f>
        <v>1.6842443707572263E-2</v>
      </c>
      <c r="LP127" s="112">
        <f>LP126/LI126-1</f>
        <v>2.1008631992163407E-2</v>
      </c>
      <c r="LQ127" s="112">
        <f>LQ126/LJ126-1</f>
        <v>2.748963036596952E-2</v>
      </c>
      <c r="LR127" s="112">
        <f>LR126/LK126-1</f>
        <v>2.4018922843871193E-2</v>
      </c>
      <c r="LS127" s="112">
        <f>LS126/LL126-1</f>
        <v>2.2420975581413982E-2</v>
      </c>
      <c r="LT127" s="566"/>
      <c r="LU127" s="65" t="s">
        <v>3</v>
      </c>
      <c r="LV127" s="112">
        <f>LV126/LO126-1</f>
        <v>2.7518939722471325E-2</v>
      </c>
      <c r="LW127" s="112">
        <f>LW126/LP126-1</f>
        <v>2.6351782937476198E-2</v>
      </c>
      <c r="LX127" s="112">
        <f>LX126/LQ126-1</f>
        <v>2.7336335893346941E-2</v>
      </c>
      <c r="LY127" s="112">
        <f>LY126/LR126-1</f>
        <v>2.7447329419604927E-2</v>
      </c>
      <c r="LZ127" s="112">
        <f>LZ126/LS126-1</f>
        <v>2.715793231527619E-2</v>
      </c>
      <c r="MA127" s="566"/>
      <c r="MB127" s="65" t="s">
        <v>3</v>
      </c>
      <c r="MC127" s="112">
        <f>MC126/LV126-1</f>
        <v>2.4873322860974323E-2</v>
      </c>
      <c r="MD127" s="112">
        <f>MD126/LW126-1</f>
        <v>2.4760846005346115E-2</v>
      </c>
      <c r="ME127" s="112">
        <f>ME126/LX126-1</f>
        <v>2.4707521406849731E-2</v>
      </c>
      <c r="MF127" s="112">
        <f>MF126/LY126-1</f>
        <v>2.4188165339474876E-2</v>
      </c>
      <c r="MG127" s="112">
        <f>MG126/LZ126-1</f>
        <v>2.4626647072326202E-2</v>
      </c>
      <c r="MH127" s="566"/>
    </row>
    <row r="128" spans="1:346" s="37" customFormat="1" ht="13.15" x14ac:dyDescent="0.4">
      <c r="A128" s="100"/>
      <c r="B128" s="143"/>
      <c r="C128" s="144"/>
      <c r="D128" s="144"/>
      <c r="E128" s="144"/>
      <c r="F128" s="144"/>
      <c r="G128" s="144"/>
      <c r="H128" s="144"/>
      <c r="I128" s="144"/>
      <c r="J128" s="144"/>
      <c r="K128" s="144"/>
      <c r="L128" s="144"/>
      <c r="M128" s="144"/>
      <c r="N128" s="144"/>
      <c r="O128" s="144"/>
      <c r="P128" s="144"/>
      <c r="Q128" s="144"/>
      <c r="R128" s="144"/>
      <c r="S128" s="144"/>
      <c r="T128" s="144"/>
      <c r="U128" s="144"/>
      <c r="V128" s="144"/>
      <c r="W128" s="144"/>
      <c r="X128" s="144"/>
      <c r="Y128" s="144"/>
      <c r="Z128" s="144"/>
      <c r="AA128" s="144"/>
      <c r="AB128" s="144"/>
      <c r="AC128" s="144"/>
      <c r="AD128" s="144"/>
      <c r="AE128" s="144"/>
      <c r="AF128" s="144"/>
      <c r="AG128" s="144"/>
      <c r="AH128" s="144"/>
      <c r="AI128" s="144"/>
      <c r="AJ128" s="144"/>
      <c r="AK128" s="144"/>
      <c r="AL128" s="144"/>
      <c r="AM128" s="144"/>
      <c r="AN128" s="144"/>
      <c r="AO128" s="144"/>
      <c r="AP128" s="144"/>
      <c r="AQ128" s="144"/>
      <c r="AR128" s="144"/>
      <c r="AS128" s="144"/>
      <c r="AT128" s="144"/>
      <c r="AU128" s="144"/>
      <c r="AV128" s="144"/>
      <c r="AW128" s="144"/>
      <c r="AX128" s="144"/>
      <c r="AY128" s="144"/>
      <c r="AZ128" s="144"/>
      <c r="BA128" s="144"/>
      <c r="BB128" s="144"/>
      <c r="BC128" s="144"/>
      <c r="BD128" s="144"/>
      <c r="BE128" s="144"/>
      <c r="BF128" s="144"/>
      <c r="BG128" s="144"/>
      <c r="BH128" s="144"/>
      <c r="BI128" s="144"/>
      <c r="BJ128" s="144"/>
      <c r="BK128" s="144"/>
      <c r="BL128" s="144"/>
      <c r="BM128" s="144"/>
      <c r="BO128" s="143"/>
      <c r="BP128" s="144"/>
      <c r="BQ128" s="144"/>
      <c r="BR128" s="144"/>
      <c r="BS128" s="144"/>
      <c r="BT128" s="144"/>
      <c r="BV128" s="143"/>
      <c r="BW128" s="144"/>
      <c r="BX128" s="144"/>
      <c r="BY128" s="144"/>
      <c r="BZ128" s="144"/>
      <c r="CA128" s="144"/>
      <c r="CC128" s="143"/>
      <c r="CD128" s="144"/>
      <c r="CE128" s="144"/>
      <c r="CF128" s="144"/>
      <c r="CG128" s="144"/>
      <c r="CH128" s="144"/>
      <c r="CJ128" s="143"/>
      <c r="CK128" s="144"/>
      <c r="CL128" s="144"/>
      <c r="CM128" s="144"/>
      <c r="CN128" s="144"/>
      <c r="CO128" s="144"/>
      <c r="CQ128" s="143"/>
      <c r="CR128" s="144"/>
      <c r="CS128" s="144"/>
      <c r="CT128" s="144"/>
      <c r="CU128" s="144"/>
      <c r="CV128" s="144"/>
      <c r="CX128" s="143"/>
      <c r="CY128" s="144"/>
      <c r="CZ128" s="144"/>
      <c r="DA128" s="144"/>
      <c r="DB128" s="144"/>
      <c r="DC128" s="144"/>
      <c r="DE128" s="143"/>
      <c r="DF128" s="144"/>
      <c r="DG128" s="144"/>
      <c r="DH128" s="144"/>
      <c r="DI128" s="144"/>
      <c r="DJ128" s="144"/>
      <c r="DL128" s="143"/>
      <c r="DM128" s="144"/>
      <c r="DN128" s="144"/>
      <c r="DO128" s="144"/>
      <c r="DP128" s="144"/>
      <c r="DQ128" s="144"/>
      <c r="DS128" s="143"/>
      <c r="DT128" s="144"/>
      <c r="DU128" s="144"/>
      <c r="DV128" s="144"/>
      <c r="DW128" s="144"/>
      <c r="DX128" s="144"/>
      <c r="DZ128" s="143"/>
      <c r="EA128" s="144"/>
      <c r="EB128" s="144"/>
      <c r="EC128" s="144"/>
      <c r="ED128" s="144"/>
      <c r="EE128" s="144"/>
      <c r="EG128" s="143"/>
      <c r="EH128" s="144"/>
      <c r="EI128" s="144"/>
      <c r="EJ128" s="144"/>
      <c r="EK128" s="144"/>
      <c r="EL128" s="144"/>
      <c r="EN128" s="143"/>
      <c r="EO128" s="144"/>
      <c r="EP128" s="144"/>
      <c r="EQ128" s="144"/>
      <c r="ER128" s="144"/>
      <c r="ES128" s="144"/>
      <c r="EU128" s="143"/>
      <c r="EV128" s="144"/>
      <c r="EW128" s="144"/>
      <c r="EX128" s="144"/>
      <c r="EY128" s="144"/>
      <c r="EZ128" s="144"/>
      <c r="FB128" s="143"/>
      <c r="FC128" s="144"/>
      <c r="FD128" s="144"/>
      <c r="FE128" s="144"/>
      <c r="FF128" s="144"/>
      <c r="FG128" s="144"/>
      <c r="FI128" s="143"/>
      <c r="FJ128" s="144"/>
      <c r="FK128" s="144"/>
      <c r="FL128" s="144"/>
      <c r="FM128" s="144"/>
      <c r="FN128" s="144"/>
      <c r="FP128" s="143"/>
      <c r="FQ128" s="144"/>
      <c r="FR128" s="144"/>
      <c r="FS128" s="144"/>
      <c r="FT128" s="144"/>
      <c r="FU128" s="144"/>
      <c r="FW128" s="143"/>
      <c r="FX128" s="144"/>
      <c r="FY128" s="144"/>
      <c r="FZ128" s="144"/>
      <c r="GA128" s="144"/>
      <c r="GB128" s="144"/>
      <c r="GD128" s="143"/>
      <c r="GE128" s="144"/>
      <c r="GF128" s="144"/>
      <c r="GG128" s="144"/>
      <c r="GH128" s="144"/>
      <c r="GI128" s="144"/>
      <c r="GK128" s="143"/>
      <c r="GL128" s="144"/>
      <c r="GM128" s="144"/>
      <c r="GN128" s="144"/>
      <c r="GO128" s="144"/>
      <c r="GP128" s="144"/>
      <c r="GR128" s="143"/>
      <c r="GS128" s="144"/>
      <c r="GT128" s="144"/>
      <c r="GU128" s="144"/>
      <c r="GV128" s="144"/>
      <c r="GW128" s="144"/>
      <c r="GY128" s="143"/>
      <c r="GZ128" s="144"/>
      <c r="HA128" s="144"/>
      <c r="HB128" s="144"/>
      <c r="HC128" s="144"/>
      <c r="HD128" s="144"/>
      <c r="HF128" s="143"/>
      <c r="HG128" s="144"/>
      <c r="HH128" s="144"/>
      <c r="HI128" s="144"/>
      <c r="HJ128" s="144"/>
      <c r="HK128" s="144"/>
      <c r="HM128" s="143"/>
      <c r="HN128" s="144"/>
      <c r="HO128" s="144"/>
      <c r="HP128" s="144"/>
      <c r="HQ128" s="144"/>
      <c r="HR128" s="144"/>
      <c r="HT128" s="143"/>
      <c r="HU128" s="144"/>
      <c r="HV128" s="144"/>
      <c r="HW128" s="144"/>
      <c r="HX128" s="144"/>
      <c r="HY128" s="144"/>
      <c r="IA128" s="143"/>
      <c r="IB128" s="144"/>
      <c r="IC128" s="144"/>
      <c r="ID128" s="144"/>
      <c r="IE128" s="144"/>
      <c r="IF128" s="144"/>
      <c r="IH128" s="143"/>
      <c r="II128" s="144"/>
      <c r="IJ128" s="144"/>
      <c r="IK128" s="144"/>
      <c r="IL128" s="144"/>
      <c r="IM128" s="144"/>
      <c r="IO128" s="143"/>
      <c r="IP128" s="144"/>
      <c r="IQ128" s="144"/>
      <c r="IR128" s="144"/>
      <c r="IS128" s="144"/>
      <c r="IT128" s="144"/>
      <c r="IV128" s="143"/>
      <c r="IW128" s="144"/>
      <c r="IX128" s="144"/>
      <c r="IY128" s="144"/>
      <c r="IZ128" s="144"/>
      <c r="JA128" s="144"/>
      <c r="JC128" s="143"/>
      <c r="JD128" s="144"/>
      <c r="JE128" s="144"/>
      <c r="JF128" s="144"/>
      <c r="JG128" s="144"/>
      <c r="JH128" s="144"/>
      <c r="JJ128" s="143"/>
      <c r="JK128" s="144"/>
      <c r="JL128" s="144"/>
      <c r="JM128" s="144"/>
      <c r="JN128" s="144"/>
      <c r="JO128" s="144"/>
      <c r="JQ128" s="143"/>
      <c r="JR128" s="144"/>
      <c r="JS128" s="144"/>
      <c r="JT128" s="144"/>
      <c r="JU128" s="144"/>
      <c r="JV128" s="144"/>
      <c r="JX128" s="143"/>
      <c r="JY128" s="144"/>
      <c r="JZ128" s="144"/>
      <c r="KA128" s="144"/>
      <c r="KB128" s="144"/>
      <c r="KC128" s="144"/>
      <c r="KE128" s="143"/>
      <c r="KF128" s="144"/>
      <c r="KG128" s="144"/>
      <c r="KH128" s="144"/>
      <c r="KI128" s="144"/>
      <c r="KJ128" s="144"/>
      <c r="KL128" s="143"/>
      <c r="KM128" s="144"/>
      <c r="KN128" s="144"/>
      <c r="KO128" s="144"/>
      <c r="KP128" s="144"/>
      <c r="KQ128" s="144"/>
      <c r="KS128" s="143"/>
      <c r="KT128" s="144"/>
      <c r="KU128" s="144"/>
      <c r="KV128" s="144"/>
      <c r="KW128" s="144"/>
      <c r="KX128" s="144"/>
      <c r="LF128" s="632"/>
      <c r="LM128" s="632"/>
      <c r="LT128" s="632"/>
      <c r="MA128" s="632"/>
      <c r="MH128" s="632"/>
    </row>
    <row r="129" spans="1:346" s="37" customFormat="1" ht="13.15" hidden="1" outlineLevel="1" x14ac:dyDescent="0.4">
      <c r="A129" s="100"/>
      <c r="B129" s="128" t="s">
        <v>326</v>
      </c>
      <c r="C129" s="129" t="str">
        <f t="shared" ref="C129:M129" si="760">IFERROR(C23/C83*1000,"")</f>
        <v/>
      </c>
      <c r="D129" s="129" t="str">
        <f t="shared" si="760"/>
        <v/>
      </c>
      <c r="E129" s="129" t="str">
        <f t="shared" si="760"/>
        <v/>
      </c>
      <c r="F129" s="129" t="str">
        <f t="shared" si="760"/>
        <v/>
      </c>
      <c r="G129" s="129" t="str">
        <f t="shared" si="760"/>
        <v/>
      </c>
      <c r="H129" s="129" t="str">
        <f t="shared" si="760"/>
        <v/>
      </c>
      <c r="I129" s="129" t="str">
        <f t="shared" si="760"/>
        <v/>
      </c>
      <c r="J129" s="129" t="str">
        <f t="shared" si="760"/>
        <v/>
      </c>
      <c r="K129" s="129" t="str">
        <f t="shared" si="760"/>
        <v/>
      </c>
      <c r="L129" s="129" t="str">
        <f t="shared" si="760"/>
        <v/>
      </c>
      <c r="M129" s="129" t="str">
        <f t="shared" si="760"/>
        <v/>
      </c>
      <c r="N129" s="129" t="str">
        <f t="shared" ref="N129:N134" si="761">BT129</f>
        <v/>
      </c>
      <c r="O129" s="129" t="str">
        <f t="shared" ref="O129:O134" si="762">CA129</f>
        <v/>
      </c>
      <c r="P129" s="129" t="str">
        <f t="shared" ref="P129:P134" si="763">CH129</f>
        <v/>
      </c>
      <c r="Q129" s="129">
        <f t="shared" ref="Q129:Q134" si="764">CO129</f>
        <v>732.07385143838553</v>
      </c>
      <c r="R129" s="129">
        <f t="shared" ref="R129:R134" si="765">CV129</f>
        <v>740.38461538461547</v>
      </c>
      <c r="S129" s="129">
        <f t="shared" ref="S129:S134" si="766">DC129</f>
        <v>752.59515570934252</v>
      </c>
      <c r="T129" s="129">
        <f t="shared" ref="T129:T134" si="767">DJ129</f>
        <v>795.24680073126137</v>
      </c>
      <c r="U129" s="129">
        <f t="shared" ref="U129:U134" si="768">DQ129</f>
        <v>755.75221238938047</v>
      </c>
      <c r="V129" s="129">
        <f t="shared" ref="V129:V134" si="769">DX129</f>
        <v>719.38775510204073</v>
      </c>
      <c r="W129" s="129">
        <f t="shared" ref="W129:W134" si="770">EE129</f>
        <v>693.33333333333337</v>
      </c>
      <c r="X129" s="129">
        <f t="shared" ref="X129:X134" si="771">EL129</f>
        <v>681.97088465845468</v>
      </c>
      <c r="Y129" s="129">
        <f t="shared" ref="Y129:Y134" si="772">ES129</f>
        <v>692.80343716433947</v>
      </c>
      <c r="Z129" s="129">
        <f t="shared" ref="Z129:Z134" si="773">EZ129</f>
        <v>693.67369589345174</v>
      </c>
      <c r="AA129" s="129">
        <f t="shared" ref="AA129:AA134" si="774">FG129</f>
        <v>708.75763747454175</v>
      </c>
      <c r="AB129" s="129">
        <f t="shared" ref="AB129:AB134" si="775">FN129</f>
        <v>739.62264150943395</v>
      </c>
      <c r="AC129" s="129">
        <f t="shared" ref="AC129:AC134" si="776">FU129</f>
        <v>773.3463035019455</v>
      </c>
      <c r="AD129" s="129">
        <f t="shared" ref="AD129:AD134" si="777">GB129</f>
        <v>828.28282828282829</v>
      </c>
      <c r="AE129" s="129">
        <f t="shared" ref="AE129:AE134" si="778">GI129</f>
        <v>875.27839643652555</v>
      </c>
      <c r="AF129" s="129">
        <f t="shared" ref="AF129:AF134" si="779">GP129</f>
        <v>824.31052093973449</v>
      </c>
      <c r="AG129" s="129">
        <f t="shared" ref="AG129:AG134" si="780">GW129</f>
        <v>869.03648269410655</v>
      </c>
      <c r="AH129" s="129">
        <f t="shared" ref="AH129:AH134" si="781">HD129</f>
        <v>740.64171122994651</v>
      </c>
      <c r="AI129" s="129" t="str">
        <f t="shared" ref="AI129:AI134" si="782">HK129</f>
        <v/>
      </c>
      <c r="AJ129" s="129">
        <f t="shared" ref="AJ129:AJ134" si="783">HR129</f>
        <v>0</v>
      </c>
      <c r="AK129" s="129">
        <f t="shared" ref="AK129:AK134" si="784">HY129</f>
        <v>0</v>
      </c>
      <c r="AL129" s="129">
        <f t="shared" ref="AL129:AL134" si="785">IF129</f>
        <v>0</v>
      </c>
      <c r="AM129" s="129">
        <f t="shared" ref="AM129:AM134" si="786">IM129</f>
        <v>0</v>
      </c>
      <c r="AN129" s="129">
        <f t="shared" ref="AN129:AN134" si="787">IT129</f>
        <v>0</v>
      </c>
      <c r="AO129" s="129">
        <f t="shared" ref="AO129:AO134" si="788">JA129</f>
        <v>0</v>
      </c>
      <c r="AP129" s="129">
        <f t="shared" ref="AP129:AP134" si="789">JH129</f>
        <v>0</v>
      </c>
      <c r="AQ129" s="129">
        <f t="shared" ref="AQ129:AQ134" si="790">JO129</f>
        <v>0</v>
      </c>
      <c r="AR129" s="129" t="str">
        <f t="shared" ref="AR129:AR134" si="791">JV129</f>
        <v/>
      </c>
      <c r="AS129" s="129" t="str">
        <f t="shared" ref="AS129:AS134" si="792">KC129</f>
        <v/>
      </c>
      <c r="AT129" s="129" t="str">
        <f t="shared" ref="AT129:AT134" si="793">KJ129</f>
        <v/>
      </c>
      <c r="AU129" s="129" t="str">
        <f t="shared" ref="AU129:AU134" si="794">KQ129</f>
        <v/>
      </c>
      <c r="AV129" s="129" t="str">
        <f t="shared" ref="AV129:AV134" si="795">KX129</f>
        <v/>
      </c>
      <c r="AW129" s="129">
        <f t="shared" ref="AW129:AW134" si="796">LE129</f>
        <v>0</v>
      </c>
      <c r="AX129" s="129">
        <f t="shared" ref="AX129:AX134" si="797">LL129</f>
        <v>0</v>
      </c>
      <c r="AY129" s="129">
        <f t="shared" ref="AY129:AY134" si="798">LS129</f>
        <v>0</v>
      </c>
      <c r="AZ129" s="129">
        <f t="shared" ref="AZ129:AZ134" si="799">LZ129</f>
        <v>0</v>
      </c>
      <c r="BA129" s="129">
        <f t="shared" ref="BA129:BA134" si="800">MG129</f>
        <v>0</v>
      </c>
      <c r="BB129" s="129"/>
      <c r="BC129" s="129"/>
      <c r="BD129" s="129"/>
      <c r="BE129" s="129"/>
      <c r="BF129" s="129"/>
      <c r="BG129" s="129"/>
      <c r="BH129" s="129"/>
      <c r="BI129" s="129"/>
      <c r="BJ129" s="129"/>
      <c r="BK129" s="129"/>
      <c r="BL129" s="129"/>
      <c r="BM129" s="129"/>
      <c r="BO129" s="128" t="s">
        <v>326</v>
      </c>
      <c r="BP129" s="61" t="str">
        <f t="shared" ref="BP129:BT130" si="801">IFERROR(BP23/BP83*1000,"")</f>
        <v/>
      </c>
      <c r="BQ129" s="61" t="str">
        <f t="shared" si="801"/>
        <v/>
      </c>
      <c r="BR129" s="61" t="str">
        <f t="shared" si="801"/>
        <v/>
      </c>
      <c r="BS129" s="61" t="str">
        <f t="shared" si="801"/>
        <v/>
      </c>
      <c r="BT129" s="61" t="str">
        <f t="shared" si="801"/>
        <v/>
      </c>
      <c r="BV129" s="128" t="s">
        <v>326</v>
      </c>
      <c r="BW129" s="61" t="str">
        <f t="shared" ref="BW129:CA130" si="802">IFERROR(BW23/BW83*1000,"")</f>
        <v/>
      </c>
      <c r="BX129" s="61" t="str">
        <f t="shared" si="802"/>
        <v/>
      </c>
      <c r="BY129" s="61" t="str">
        <f t="shared" si="802"/>
        <v/>
      </c>
      <c r="BZ129" s="61" t="str">
        <f t="shared" si="802"/>
        <v/>
      </c>
      <c r="CA129" s="61" t="str">
        <f t="shared" si="802"/>
        <v/>
      </c>
      <c r="CC129" s="128" t="s">
        <v>326</v>
      </c>
      <c r="CD129" s="61" t="str">
        <f t="shared" ref="CD129:CH130" si="803">IFERROR(CD23/CD83*1000,"")</f>
        <v/>
      </c>
      <c r="CE129" s="61" t="str">
        <f t="shared" si="803"/>
        <v/>
      </c>
      <c r="CF129" s="61" t="str">
        <f t="shared" si="803"/>
        <v/>
      </c>
      <c r="CG129" s="61" t="str">
        <f t="shared" si="803"/>
        <v/>
      </c>
      <c r="CH129" s="61" t="str">
        <f t="shared" si="803"/>
        <v/>
      </c>
      <c r="CJ129" s="128" t="s">
        <v>326</v>
      </c>
      <c r="CK129" s="61">
        <f t="shared" ref="CK129:CO130" si="804">IFERROR(CK23/CK83*1000,"")</f>
        <v>727.10453283996299</v>
      </c>
      <c r="CL129" s="61">
        <f t="shared" si="804"/>
        <v>731.6433566433567</v>
      </c>
      <c r="CM129" s="61">
        <f t="shared" si="804"/>
        <v>724.42941673710902</v>
      </c>
      <c r="CN129" s="61">
        <f t="shared" si="804"/>
        <v>744</v>
      </c>
      <c r="CO129" s="61">
        <f t="shared" si="804"/>
        <v>732.07385143838553</v>
      </c>
      <c r="CQ129" s="128" t="s">
        <v>326</v>
      </c>
      <c r="CR129" s="61">
        <f t="shared" ref="CR129:CV130" si="805">IFERROR(CR23/CR83*1000,"")</f>
        <v>733.33333333333326</v>
      </c>
      <c r="CS129" s="61">
        <f t="shared" si="805"/>
        <v>746.03174603174602</v>
      </c>
      <c r="CT129" s="61">
        <f t="shared" si="805"/>
        <v>748.09160305343516</v>
      </c>
      <c r="CU129" s="61">
        <f t="shared" si="805"/>
        <v>734.2657342657343</v>
      </c>
      <c r="CV129" s="61">
        <f t="shared" si="805"/>
        <v>740.38461538461547</v>
      </c>
      <c r="CX129" s="128" t="s">
        <v>326</v>
      </c>
      <c r="CY129" s="61">
        <f t="shared" ref="CY129:DC130" si="806">IFERROR(CY23/CY83*1000,"")</f>
        <v>742.64705882352939</v>
      </c>
      <c r="CZ129" s="61">
        <f t="shared" si="806"/>
        <v>736.48648648648657</v>
      </c>
      <c r="DA129" s="61">
        <f t="shared" si="806"/>
        <v>765.95744680851067</v>
      </c>
      <c r="DB129" s="61">
        <f t="shared" si="806"/>
        <v>764.7058823529411</v>
      </c>
      <c r="DC129" s="61">
        <f t="shared" si="806"/>
        <v>752.59515570934252</v>
      </c>
      <c r="DE129" s="128" t="s">
        <v>326</v>
      </c>
      <c r="DF129" s="61">
        <f t="shared" ref="DF129:DJ130" si="807">IFERROR(DF23/DF83*1000,"")</f>
        <v>798.50746268656712</v>
      </c>
      <c r="DG129" s="61">
        <f t="shared" si="807"/>
        <v>813.43283582089555</v>
      </c>
      <c r="DH129" s="61">
        <f t="shared" si="807"/>
        <v>800</v>
      </c>
      <c r="DI129" s="61">
        <f t="shared" si="807"/>
        <v>770.83333333333337</v>
      </c>
      <c r="DJ129" s="61">
        <f t="shared" si="807"/>
        <v>795.24680073126137</v>
      </c>
      <c r="DL129" s="128" t="s">
        <v>326</v>
      </c>
      <c r="DM129" s="61">
        <f t="shared" ref="DM129:DQ130" si="808">IFERROR(DM23/DM83*1000,"")</f>
        <v>755.55555555555554</v>
      </c>
      <c r="DN129" s="61">
        <f t="shared" si="808"/>
        <v>773.04964539007096</v>
      </c>
      <c r="DO129" s="61">
        <f t="shared" si="808"/>
        <v>751.77304964539007</v>
      </c>
      <c r="DP129" s="61">
        <f t="shared" si="808"/>
        <v>743.24324324324323</v>
      </c>
      <c r="DQ129" s="61">
        <f t="shared" si="808"/>
        <v>755.75221238938047</v>
      </c>
      <c r="DS129" s="128" t="s">
        <v>326</v>
      </c>
      <c r="DT129" s="61">
        <f t="shared" ref="DT129:DX130" si="809">IFERROR(DT23/DT83*1000,"")</f>
        <v>725.35211267605632</v>
      </c>
      <c r="DU129" s="61">
        <f t="shared" si="809"/>
        <v>716.21621621621625</v>
      </c>
      <c r="DV129" s="61">
        <f t="shared" si="809"/>
        <v>717.24137931034477</v>
      </c>
      <c r="DW129" s="61">
        <f t="shared" si="809"/>
        <v>718.95424836601308</v>
      </c>
      <c r="DX129" s="61">
        <f t="shared" si="809"/>
        <v>719.38775510204073</v>
      </c>
      <c r="DZ129" s="128" t="s">
        <v>326</v>
      </c>
      <c r="EA129" s="61">
        <f t="shared" ref="EA129:EE130" si="810">IFERROR(EA23/EA83*1000,"")</f>
        <v>704.22535211267598</v>
      </c>
      <c r="EB129" s="61">
        <f t="shared" si="810"/>
        <v>687.07482993197277</v>
      </c>
      <c r="EC129" s="61">
        <f t="shared" si="810"/>
        <v>698.63013698630141</v>
      </c>
      <c r="ED129" s="61">
        <f t="shared" si="810"/>
        <v>684.84848484848487</v>
      </c>
      <c r="EE129" s="61">
        <f t="shared" si="810"/>
        <v>693.33333333333337</v>
      </c>
      <c r="EG129" s="128" t="s">
        <v>326</v>
      </c>
      <c r="EH129" s="61">
        <f t="shared" ref="EH129:EL130" si="811">IFERROR(EH23/EH83*1000,"")</f>
        <v>680.98159509202446</v>
      </c>
      <c r="EI129" s="61">
        <f t="shared" si="811"/>
        <v>694.73684210526324</v>
      </c>
      <c r="EJ129" s="61">
        <f t="shared" si="811"/>
        <v>678.030303030303</v>
      </c>
      <c r="EK129" s="61">
        <f t="shared" si="811"/>
        <v>677.536231884058</v>
      </c>
      <c r="EL129" s="61">
        <f t="shared" si="811"/>
        <v>681.97088465845468</v>
      </c>
      <c r="EN129" s="128" t="s">
        <v>326</v>
      </c>
      <c r="EO129" s="61">
        <f t="shared" ref="EO129:ES130" si="812">IFERROR(EO23/EO83*1000,"")</f>
        <v>669.29133858267721</v>
      </c>
      <c r="EP129" s="61">
        <f t="shared" si="812"/>
        <v>693.27731092436977</v>
      </c>
      <c r="EQ129" s="61">
        <f t="shared" si="812"/>
        <v>691.24423963133643</v>
      </c>
      <c r="ER129" s="61">
        <f t="shared" si="812"/>
        <v>720.72072072072069</v>
      </c>
      <c r="ES129" s="61">
        <f t="shared" si="812"/>
        <v>692.80343716433947</v>
      </c>
      <c r="EU129" s="128" t="s">
        <v>326</v>
      </c>
      <c r="EV129" s="61">
        <f t="shared" ref="EV129:EZ130" si="813">IFERROR(EV23/EV83*1000,"")</f>
        <v>707.9207920792079</v>
      </c>
      <c r="EW129" s="61">
        <f t="shared" si="813"/>
        <v>682.81938325991189</v>
      </c>
      <c r="EX129" s="61">
        <f t="shared" si="813"/>
        <v>688.31168831168827</v>
      </c>
      <c r="EY129" s="61">
        <f t="shared" si="813"/>
        <v>697.09543568464721</v>
      </c>
      <c r="EZ129" s="61">
        <f t="shared" si="813"/>
        <v>693.67369589345174</v>
      </c>
      <c r="FB129" s="128" t="s">
        <v>326</v>
      </c>
      <c r="FC129" s="61">
        <f t="shared" ref="FC129:FG130" si="814">IFERROR(FC23/FC83*1000,"")</f>
        <v>690.90909090909088</v>
      </c>
      <c r="FD129" s="61">
        <f t="shared" si="814"/>
        <v>694.21487603305786</v>
      </c>
      <c r="FE129" s="61">
        <f t="shared" si="814"/>
        <v>706.34920634920638</v>
      </c>
      <c r="FF129" s="61">
        <f t="shared" si="814"/>
        <v>738.80597014925377</v>
      </c>
      <c r="FG129" s="61">
        <f t="shared" si="814"/>
        <v>708.75763747454175</v>
      </c>
      <c r="FI129" s="128" t="s">
        <v>326</v>
      </c>
      <c r="FJ129" s="61">
        <f t="shared" ref="FJ129:FN130" si="815">IFERROR(FJ23/FJ83*1000,"")</f>
        <v>740.89068825910931</v>
      </c>
      <c r="FK129" s="61">
        <f t="shared" si="815"/>
        <v>724.52830188679241</v>
      </c>
      <c r="FL129" s="61">
        <f t="shared" si="815"/>
        <v>741.44486692015209</v>
      </c>
      <c r="FM129" s="61">
        <f t="shared" si="815"/>
        <v>750.87719298245611</v>
      </c>
      <c r="FN129" s="61">
        <f t="shared" si="815"/>
        <v>739.62264150943395</v>
      </c>
      <c r="FP129" s="128" t="s">
        <v>326</v>
      </c>
      <c r="FQ129" s="61">
        <f t="shared" ref="FQ129:FU130" si="816">IFERROR(FQ23/FQ83*1000,"")</f>
        <v>755.90551181102364</v>
      </c>
      <c r="FR129" s="61">
        <f t="shared" si="816"/>
        <v>745.31835205992513</v>
      </c>
      <c r="FS129" s="61">
        <f t="shared" si="816"/>
        <v>769.87447698744768</v>
      </c>
      <c r="FT129" s="61">
        <f t="shared" si="816"/>
        <v>820.8955223880597</v>
      </c>
      <c r="FU129" s="61">
        <f t="shared" si="816"/>
        <v>773.3463035019455</v>
      </c>
      <c r="FW129" s="128" t="s">
        <v>326</v>
      </c>
      <c r="FX129" s="61">
        <f t="shared" ref="FX129:GB130" si="817">IFERROR(FX23/FX83*1000,"")</f>
        <v>787.7358490566038</v>
      </c>
      <c r="FY129" s="61">
        <f t="shared" si="817"/>
        <v>829.59641255605379</v>
      </c>
      <c r="FZ129" s="61">
        <f t="shared" si="817"/>
        <v>833.33333333333337</v>
      </c>
      <c r="GA129" s="61">
        <f t="shared" si="817"/>
        <v>858.33333333333326</v>
      </c>
      <c r="GB129" s="61">
        <f t="shared" si="817"/>
        <v>828.28282828282829</v>
      </c>
      <c r="GD129" s="128" t="s">
        <v>326</v>
      </c>
      <c r="GE129" s="61">
        <f t="shared" ref="GE129:GI130" si="818">IFERROR(GE23/GE83*1000,"")</f>
        <v>869.15887850467288</v>
      </c>
      <c r="GF129" s="61">
        <f t="shared" si="818"/>
        <v>895.92760180995481</v>
      </c>
      <c r="GG129" s="61">
        <f t="shared" si="818"/>
        <v>876.10619469026551</v>
      </c>
      <c r="GH129" s="61">
        <f t="shared" si="818"/>
        <v>860.75949367088606</v>
      </c>
      <c r="GI129" s="61">
        <f t="shared" si="818"/>
        <v>875.27839643652555</v>
      </c>
      <c r="GK129" s="128" t="s">
        <v>326</v>
      </c>
      <c r="GL129" s="61">
        <f t="shared" ref="GL129:GP130" si="819">IFERROR(GL23/GL83*1000,"")</f>
        <v>829.49308755760364</v>
      </c>
      <c r="GM129" s="61">
        <f t="shared" si="819"/>
        <v>828.45188284518838</v>
      </c>
      <c r="GN129" s="61">
        <f t="shared" si="819"/>
        <v>808</v>
      </c>
      <c r="GO129" s="61">
        <f t="shared" si="819"/>
        <v>831.50183150183159</v>
      </c>
      <c r="GP129" s="61">
        <f t="shared" si="819"/>
        <v>824.31052093973449</v>
      </c>
      <c r="GR129" s="128" t="s">
        <v>326</v>
      </c>
      <c r="GS129" s="61">
        <f t="shared" ref="GS129:GW130" si="820">IFERROR(GS23/GS83*1000,"")</f>
        <v>862.74509803921569</v>
      </c>
      <c r="GT129" s="61">
        <f t="shared" si="820"/>
        <v>902.98507462686575</v>
      </c>
      <c r="GU129" s="61">
        <f t="shared" si="820"/>
        <v>930.65693430656938</v>
      </c>
      <c r="GV129" s="61">
        <f t="shared" si="820"/>
        <v>779.41176470588232</v>
      </c>
      <c r="GW129" s="61">
        <f t="shared" si="820"/>
        <v>869.03648269410655</v>
      </c>
      <c r="GY129" s="128" t="s">
        <v>326</v>
      </c>
      <c r="GZ129" s="61">
        <f t="shared" ref="GZ129:HD130" si="821">IFERROR(GZ23/GZ83*1000,"")</f>
        <v>724.40944881889766</v>
      </c>
      <c r="HA129" s="61">
        <f t="shared" si="821"/>
        <v>744.52554744525548</v>
      </c>
      <c r="HB129" s="61">
        <f t="shared" si="821"/>
        <v>739.28571428571433</v>
      </c>
      <c r="HC129" s="61">
        <f t="shared" si="821"/>
        <v>751.59235668789813</v>
      </c>
      <c r="HD129" s="61">
        <f t="shared" si="821"/>
        <v>740.64171122994651</v>
      </c>
      <c r="HF129" s="128" t="s">
        <v>326</v>
      </c>
      <c r="HG129" s="61">
        <f t="shared" ref="HG129:HK130" si="822">IFERROR(HG23/HG83*1000,"")</f>
        <v>772.24199288256227</v>
      </c>
      <c r="HH129" s="61">
        <f t="shared" si="822"/>
        <v>0</v>
      </c>
      <c r="HI129" s="61">
        <f t="shared" si="822"/>
        <v>0</v>
      </c>
      <c r="HJ129" s="61" t="str">
        <f t="shared" si="822"/>
        <v/>
      </c>
      <c r="HK129" s="61" t="str">
        <f t="shared" si="822"/>
        <v/>
      </c>
      <c r="HM129" s="128" t="s">
        <v>326</v>
      </c>
      <c r="HN129" s="61">
        <f t="shared" ref="HN129:HR130" si="823">IFERROR(HN23/HN83*1000,"")</f>
        <v>0</v>
      </c>
      <c r="HO129" s="61">
        <f t="shared" si="823"/>
        <v>0</v>
      </c>
      <c r="HP129" s="61">
        <f t="shared" si="823"/>
        <v>0</v>
      </c>
      <c r="HQ129" s="61">
        <f t="shared" si="823"/>
        <v>0</v>
      </c>
      <c r="HR129" s="61">
        <f t="shared" si="823"/>
        <v>0</v>
      </c>
      <c r="HT129" s="128" t="s">
        <v>326</v>
      </c>
      <c r="HU129" s="61">
        <f t="shared" ref="HU129:HY130" si="824">IFERROR(HU23/HU83*1000,"")</f>
        <v>0</v>
      </c>
      <c r="HV129" s="61">
        <f t="shared" si="824"/>
        <v>0</v>
      </c>
      <c r="HW129" s="61">
        <f t="shared" si="824"/>
        <v>0</v>
      </c>
      <c r="HX129" s="61">
        <f t="shared" si="824"/>
        <v>0</v>
      </c>
      <c r="HY129" s="61">
        <f t="shared" si="824"/>
        <v>0</v>
      </c>
      <c r="IA129" s="128" t="s">
        <v>326</v>
      </c>
      <c r="IB129" s="61">
        <f t="shared" ref="IB129:IF130" si="825">IFERROR(IB23/IB83*1000,"")</f>
        <v>0</v>
      </c>
      <c r="IC129" s="61">
        <f t="shared" si="825"/>
        <v>0</v>
      </c>
      <c r="ID129" s="61">
        <f t="shared" si="825"/>
        <v>0</v>
      </c>
      <c r="IE129" s="61">
        <f t="shared" si="825"/>
        <v>0</v>
      </c>
      <c r="IF129" s="61">
        <f t="shared" si="825"/>
        <v>0</v>
      </c>
      <c r="IH129" s="128" t="s">
        <v>326</v>
      </c>
      <c r="II129" s="61">
        <f t="shared" ref="II129:IM130" si="826">IFERROR(II23/II83*1000,"")</f>
        <v>0</v>
      </c>
      <c r="IJ129" s="61">
        <f t="shared" si="826"/>
        <v>0</v>
      </c>
      <c r="IK129" s="61">
        <f t="shared" si="826"/>
        <v>0</v>
      </c>
      <c r="IL129" s="61">
        <f t="shared" si="826"/>
        <v>0</v>
      </c>
      <c r="IM129" s="61">
        <f t="shared" si="826"/>
        <v>0</v>
      </c>
      <c r="IO129" s="128" t="s">
        <v>326</v>
      </c>
      <c r="IP129" s="61">
        <f t="shared" ref="IP129:IT130" si="827">IFERROR(IP23/IP83*1000,"")</f>
        <v>0</v>
      </c>
      <c r="IQ129" s="61">
        <f t="shared" si="827"/>
        <v>0</v>
      </c>
      <c r="IR129" s="61">
        <f t="shared" si="827"/>
        <v>0</v>
      </c>
      <c r="IS129" s="61">
        <f t="shared" si="827"/>
        <v>0</v>
      </c>
      <c r="IT129" s="61">
        <f t="shared" si="827"/>
        <v>0</v>
      </c>
      <c r="IV129" s="128" t="s">
        <v>326</v>
      </c>
      <c r="IW129" s="61">
        <f t="shared" ref="IW129:JA130" si="828">IFERROR(IW23/IW83*1000,"")</f>
        <v>0</v>
      </c>
      <c r="IX129" s="61">
        <f t="shared" si="828"/>
        <v>0</v>
      </c>
      <c r="IY129" s="61">
        <f t="shared" si="828"/>
        <v>0</v>
      </c>
      <c r="IZ129" s="61">
        <f t="shared" si="828"/>
        <v>0</v>
      </c>
      <c r="JA129" s="61">
        <f t="shared" si="828"/>
        <v>0</v>
      </c>
      <c r="JC129" s="128" t="s">
        <v>326</v>
      </c>
      <c r="JD129" s="61">
        <f t="shared" ref="JD129:JH130" si="829">IFERROR(JD23/JD83*1000,"")</f>
        <v>0</v>
      </c>
      <c r="JE129" s="61">
        <f t="shared" si="829"/>
        <v>0</v>
      </c>
      <c r="JF129" s="61">
        <f t="shared" si="829"/>
        <v>0</v>
      </c>
      <c r="JG129" s="61">
        <f t="shared" si="829"/>
        <v>0</v>
      </c>
      <c r="JH129" s="61">
        <f t="shared" si="829"/>
        <v>0</v>
      </c>
      <c r="JJ129" s="128" t="s">
        <v>326</v>
      </c>
      <c r="JK129" s="61">
        <f t="shared" ref="JK129:JO130" si="830">IFERROR(JK23/JK83*1000,"")</f>
        <v>0</v>
      </c>
      <c r="JL129" s="61">
        <f t="shared" si="830"/>
        <v>0</v>
      </c>
      <c r="JM129" s="61">
        <f t="shared" si="830"/>
        <v>0</v>
      </c>
      <c r="JN129" s="61">
        <f t="shared" si="830"/>
        <v>0</v>
      </c>
      <c r="JO129" s="61">
        <f t="shared" si="830"/>
        <v>0</v>
      </c>
      <c r="JQ129" s="128" t="s">
        <v>326</v>
      </c>
      <c r="JR129" s="61" t="str">
        <f t="shared" ref="JR129:JV130" si="831">IFERROR(JR23/JR83*1000,"")</f>
        <v/>
      </c>
      <c r="JS129" s="61" t="str">
        <f t="shared" si="831"/>
        <v/>
      </c>
      <c r="JT129" s="61" t="str">
        <f t="shared" si="831"/>
        <v/>
      </c>
      <c r="JU129" s="61" t="str">
        <f t="shared" si="831"/>
        <v/>
      </c>
      <c r="JV129" s="61" t="str">
        <f t="shared" si="831"/>
        <v/>
      </c>
      <c r="JX129" s="128" t="s">
        <v>326</v>
      </c>
      <c r="JY129" s="61" t="str">
        <f t="shared" ref="JY129:KC130" si="832">IFERROR(JY23/JY83*1000,"")</f>
        <v/>
      </c>
      <c r="JZ129" s="61" t="str">
        <f t="shared" si="832"/>
        <v/>
      </c>
      <c r="KA129" s="61" t="str">
        <f t="shared" si="832"/>
        <v/>
      </c>
      <c r="KB129" s="61" t="str">
        <f t="shared" si="832"/>
        <v/>
      </c>
      <c r="KC129" s="61" t="str">
        <f t="shared" si="832"/>
        <v/>
      </c>
      <c r="KE129" s="128" t="s">
        <v>326</v>
      </c>
      <c r="KF129" s="61" t="str">
        <f t="shared" ref="KF129:KJ130" si="833">IFERROR(KF23/KF83*1000,"")</f>
        <v/>
      </c>
      <c r="KG129" s="61" t="str">
        <f t="shared" si="833"/>
        <v/>
      </c>
      <c r="KH129" s="61" t="str">
        <f t="shared" si="833"/>
        <v/>
      </c>
      <c r="KI129" s="61" t="str">
        <f t="shared" si="833"/>
        <v/>
      </c>
      <c r="KJ129" s="61" t="str">
        <f t="shared" si="833"/>
        <v/>
      </c>
      <c r="KL129" s="128" t="s">
        <v>326</v>
      </c>
      <c r="KM129" s="61" t="str">
        <f t="shared" ref="KM129:KQ130" si="834">IFERROR(KM23/KM83*1000,"")</f>
        <v/>
      </c>
      <c r="KN129" s="61" t="str">
        <f t="shared" si="834"/>
        <v/>
      </c>
      <c r="KO129" s="61" t="str">
        <f t="shared" si="834"/>
        <v/>
      </c>
      <c r="KP129" s="61" t="str">
        <f t="shared" si="834"/>
        <v/>
      </c>
      <c r="KQ129" s="61" t="str">
        <f t="shared" si="834"/>
        <v/>
      </c>
      <c r="KS129" s="128" t="s">
        <v>326</v>
      </c>
      <c r="KT129" s="61" t="str">
        <f t="shared" ref="KT129:KX130" si="835">IFERROR(KT23/KT83*1000,"")</f>
        <v/>
      </c>
      <c r="KU129" s="61" t="str">
        <f t="shared" si="835"/>
        <v/>
      </c>
      <c r="KV129" s="129" t="str">
        <f t="shared" si="835"/>
        <v/>
      </c>
      <c r="KW129" s="61" t="str">
        <f t="shared" si="835"/>
        <v/>
      </c>
      <c r="KX129" s="61" t="str">
        <f t="shared" si="835"/>
        <v/>
      </c>
      <c r="KZ129" s="128" t="s">
        <v>326</v>
      </c>
      <c r="LA129" s="61"/>
      <c r="LB129" s="129"/>
      <c r="LC129" s="129"/>
      <c r="LD129" s="129"/>
      <c r="LE129" s="129"/>
      <c r="LF129" s="558"/>
      <c r="LG129" s="128" t="s">
        <v>326</v>
      </c>
      <c r="LH129" s="129"/>
      <c r="LI129" s="129"/>
      <c r="LJ129" s="129"/>
      <c r="LK129" s="129"/>
      <c r="LL129" s="129"/>
      <c r="LM129" s="558"/>
      <c r="LN129" s="128" t="s">
        <v>326</v>
      </c>
      <c r="LO129" s="129"/>
      <c r="LP129" s="129"/>
      <c r="LQ129" s="129"/>
      <c r="LR129" s="129"/>
      <c r="LS129" s="129"/>
      <c r="LT129" s="558"/>
      <c r="LU129" s="128" t="s">
        <v>326</v>
      </c>
      <c r="LV129" s="129"/>
      <c r="LW129" s="129"/>
      <c r="LX129" s="129"/>
      <c r="LY129" s="129"/>
      <c r="LZ129" s="129"/>
      <c r="MA129" s="558"/>
      <c r="MB129" s="128" t="s">
        <v>326</v>
      </c>
      <c r="MC129" s="129"/>
      <c r="MD129" s="129"/>
      <c r="ME129" s="129"/>
      <c r="MF129" s="129"/>
      <c r="MG129" s="129"/>
      <c r="MH129" s="558"/>
    </row>
    <row r="130" spans="1:346" s="37" customFormat="1" ht="13.15" hidden="1" outlineLevel="1" x14ac:dyDescent="0.4">
      <c r="A130" s="100"/>
      <c r="B130" s="128" t="s">
        <v>327</v>
      </c>
      <c r="C130" s="129" t="str">
        <f t="shared" ref="C130:M130" si="836">IFERROR(C24/C84*1000,"")</f>
        <v/>
      </c>
      <c r="D130" s="129" t="str">
        <f t="shared" si="836"/>
        <v/>
      </c>
      <c r="E130" s="129" t="str">
        <f t="shared" si="836"/>
        <v/>
      </c>
      <c r="F130" s="129" t="str">
        <f t="shared" si="836"/>
        <v/>
      </c>
      <c r="G130" s="129" t="str">
        <f t="shared" si="836"/>
        <v/>
      </c>
      <c r="H130" s="129" t="str">
        <f t="shared" si="836"/>
        <v/>
      </c>
      <c r="I130" s="129" t="str">
        <f t="shared" si="836"/>
        <v/>
      </c>
      <c r="J130" s="129" t="str">
        <f t="shared" si="836"/>
        <v/>
      </c>
      <c r="K130" s="129" t="str">
        <f t="shared" si="836"/>
        <v/>
      </c>
      <c r="L130" s="129" t="str">
        <f t="shared" si="836"/>
        <v/>
      </c>
      <c r="M130" s="129" t="str">
        <f t="shared" si="836"/>
        <v/>
      </c>
      <c r="N130" s="129" t="str">
        <f t="shared" si="761"/>
        <v/>
      </c>
      <c r="O130" s="129" t="str">
        <f t="shared" si="762"/>
        <v/>
      </c>
      <c r="P130" s="129" t="str">
        <f t="shared" si="763"/>
        <v/>
      </c>
      <c r="Q130" s="129">
        <f t="shared" si="764"/>
        <v>544.58650267033499</v>
      </c>
      <c r="R130" s="129">
        <f t="shared" si="765"/>
        <v>657.00483091787441</v>
      </c>
      <c r="S130" s="129">
        <f t="shared" si="766"/>
        <v>662.41134751773041</v>
      </c>
      <c r="T130" s="129">
        <f t="shared" si="767"/>
        <v>640</v>
      </c>
      <c r="U130" s="129">
        <f t="shared" si="768"/>
        <v>472.28915662650599</v>
      </c>
      <c r="V130" s="129">
        <f t="shared" si="769"/>
        <v>486.42533936651586</v>
      </c>
      <c r="W130" s="129">
        <f t="shared" si="770"/>
        <v>476.19047619047615</v>
      </c>
      <c r="X130" s="129">
        <f t="shared" si="771"/>
        <v>452.12765957446811</v>
      </c>
      <c r="Y130" s="129">
        <f t="shared" si="772"/>
        <v>438.89384478144518</v>
      </c>
      <c r="Z130" s="129">
        <f t="shared" si="773"/>
        <v>426.11060743427015</v>
      </c>
      <c r="AA130" s="129">
        <f t="shared" si="774"/>
        <v>418.64555848724717</v>
      </c>
      <c r="AB130" s="129">
        <f t="shared" si="775"/>
        <v>400.85470085470087</v>
      </c>
      <c r="AC130" s="129">
        <f t="shared" si="776"/>
        <v>396.71361502347418</v>
      </c>
      <c r="AD130" s="129">
        <f t="shared" si="777"/>
        <v>392.46467817896394</v>
      </c>
      <c r="AE130" s="129">
        <f t="shared" si="778"/>
        <v>452.77127244340357</v>
      </c>
      <c r="AF130" s="129">
        <f t="shared" si="779"/>
        <v>463.78091872791521</v>
      </c>
      <c r="AG130" s="129">
        <f t="shared" si="780"/>
        <v>509</v>
      </c>
      <c r="AH130" s="129">
        <f t="shared" si="781"/>
        <v>452.56410256410254</v>
      </c>
      <c r="AI130" s="129" t="str">
        <f t="shared" si="782"/>
        <v/>
      </c>
      <c r="AJ130" s="129">
        <f t="shared" si="783"/>
        <v>0</v>
      </c>
      <c r="AK130" s="129">
        <f t="shared" si="784"/>
        <v>0</v>
      </c>
      <c r="AL130" s="129">
        <f t="shared" si="785"/>
        <v>0</v>
      </c>
      <c r="AM130" s="129">
        <f t="shared" si="786"/>
        <v>0</v>
      </c>
      <c r="AN130" s="129">
        <f t="shared" si="787"/>
        <v>0</v>
      </c>
      <c r="AO130" s="129">
        <f t="shared" si="788"/>
        <v>0</v>
      </c>
      <c r="AP130" s="129">
        <f t="shared" si="789"/>
        <v>0</v>
      </c>
      <c r="AQ130" s="129">
        <f t="shared" si="790"/>
        <v>0</v>
      </c>
      <c r="AR130" s="129" t="str">
        <f t="shared" si="791"/>
        <v/>
      </c>
      <c r="AS130" s="129" t="str">
        <f t="shared" si="792"/>
        <v/>
      </c>
      <c r="AT130" s="129" t="str">
        <f t="shared" si="793"/>
        <v/>
      </c>
      <c r="AU130" s="129" t="str">
        <f t="shared" si="794"/>
        <v/>
      </c>
      <c r="AV130" s="129" t="str">
        <f t="shared" si="795"/>
        <v/>
      </c>
      <c r="AW130" s="129">
        <f t="shared" si="796"/>
        <v>0</v>
      </c>
      <c r="AX130" s="129">
        <f t="shared" si="797"/>
        <v>0</v>
      </c>
      <c r="AY130" s="129">
        <f t="shared" si="798"/>
        <v>0</v>
      </c>
      <c r="AZ130" s="129">
        <f t="shared" si="799"/>
        <v>0</v>
      </c>
      <c r="BA130" s="129">
        <f t="shared" si="800"/>
        <v>0</v>
      </c>
      <c r="BB130" s="129"/>
      <c r="BC130" s="129"/>
      <c r="BD130" s="129"/>
      <c r="BE130" s="129"/>
      <c r="BF130" s="129"/>
      <c r="BG130" s="129"/>
      <c r="BH130" s="129"/>
      <c r="BI130" s="129"/>
      <c r="BJ130" s="129"/>
      <c r="BK130" s="129"/>
      <c r="BL130" s="129"/>
      <c r="BM130" s="129"/>
      <c r="BO130" s="128" t="s">
        <v>327</v>
      </c>
      <c r="BP130" s="61" t="str">
        <f t="shared" si="801"/>
        <v/>
      </c>
      <c r="BQ130" s="61" t="str">
        <f t="shared" si="801"/>
        <v/>
      </c>
      <c r="BR130" s="61" t="str">
        <f t="shared" si="801"/>
        <v/>
      </c>
      <c r="BS130" s="61" t="str">
        <f t="shared" si="801"/>
        <v/>
      </c>
      <c r="BT130" s="61" t="str">
        <f t="shared" si="801"/>
        <v/>
      </c>
      <c r="BV130" s="128" t="s">
        <v>327</v>
      </c>
      <c r="BW130" s="61" t="str">
        <f t="shared" si="802"/>
        <v/>
      </c>
      <c r="BX130" s="61" t="str">
        <f t="shared" si="802"/>
        <v/>
      </c>
      <c r="BY130" s="61" t="str">
        <f t="shared" si="802"/>
        <v/>
      </c>
      <c r="BZ130" s="61" t="str">
        <f t="shared" si="802"/>
        <v/>
      </c>
      <c r="CA130" s="61" t="str">
        <f t="shared" si="802"/>
        <v/>
      </c>
      <c r="CC130" s="128" t="s">
        <v>327</v>
      </c>
      <c r="CD130" s="61" t="str">
        <f t="shared" si="803"/>
        <v/>
      </c>
      <c r="CE130" s="61" t="str">
        <f t="shared" si="803"/>
        <v/>
      </c>
      <c r="CF130" s="61" t="str">
        <f t="shared" si="803"/>
        <v/>
      </c>
      <c r="CG130" s="61" t="str">
        <f t="shared" si="803"/>
        <v/>
      </c>
      <c r="CH130" s="61" t="str">
        <f t="shared" si="803"/>
        <v/>
      </c>
      <c r="CJ130" s="128" t="s">
        <v>327</v>
      </c>
      <c r="CK130" s="61">
        <f t="shared" si="804"/>
        <v>522.19321148825065</v>
      </c>
      <c r="CL130" s="61">
        <f t="shared" si="804"/>
        <v>518.79194630872485</v>
      </c>
      <c r="CM130" s="61">
        <f t="shared" si="804"/>
        <v>541.31424853610929</v>
      </c>
      <c r="CN130" s="61">
        <f t="shared" si="804"/>
        <v>592.59259259259261</v>
      </c>
      <c r="CO130" s="61">
        <f t="shared" si="804"/>
        <v>544.58650267033499</v>
      </c>
      <c r="CQ130" s="128" t="s">
        <v>327</v>
      </c>
      <c r="CR130" s="61">
        <f t="shared" si="805"/>
        <v>644.29530201342277</v>
      </c>
      <c r="CS130" s="61">
        <f t="shared" si="805"/>
        <v>635.1351351351351</v>
      </c>
      <c r="CT130" s="61">
        <f t="shared" si="805"/>
        <v>683.54430379746839</v>
      </c>
      <c r="CU130" s="61">
        <f t="shared" si="805"/>
        <v>662.65060240963862</v>
      </c>
      <c r="CV130" s="61">
        <f t="shared" si="805"/>
        <v>657.00483091787441</v>
      </c>
      <c r="CX130" s="128" t="s">
        <v>327</v>
      </c>
      <c r="CY130" s="61">
        <f t="shared" si="806"/>
        <v>656.62650602409633</v>
      </c>
      <c r="CZ130" s="61">
        <f t="shared" si="806"/>
        <v>658.95953757225436</v>
      </c>
      <c r="DA130" s="61">
        <f t="shared" si="806"/>
        <v>681.56424581005581</v>
      </c>
      <c r="DB130" s="61">
        <f t="shared" si="806"/>
        <v>652.40641711229955</v>
      </c>
      <c r="DC130" s="61">
        <f t="shared" si="806"/>
        <v>662.41134751773041</v>
      </c>
      <c r="DE130" s="128" t="s">
        <v>327</v>
      </c>
      <c r="DF130" s="61">
        <f t="shared" si="807"/>
        <v>657.14285714285711</v>
      </c>
      <c r="DG130" s="61">
        <f t="shared" si="807"/>
        <v>629.62962962962968</v>
      </c>
      <c r="DH130" s="61">
        <f t="shared" si="807"/>
        <v>613.20754716981128</v>
      </c>
      <c r="DI130" s="61">
        <f t="shared" si="807"/>
        <v>660.37735849056605</v>
      </c>
      <c r="DJ130" s="61">
        <f t="shared" si="807"/>
        <v>640</v>
      </c>
      <c r="DL130" s="128" t="s">
        <v>327</v>
      </c>
      <c r="DM130" s="61">
        <f t="shared" si="808"/>
        <v>495.04950495049502</v>
      </c>
      <c r="DN130" s="61">
        <f t="shared" si="808"/>
        <v>471.15384615384613</v>
      </c>
      <c r="DO130" s="61">
        <f t="shared" si="808"/>
        <v>447.61904761904765</v>
      </c>
      <c r="DP130" s="61">
        <f t="shared" si="808"/>
        <v>476.19047619047615</v>
      </c>
      <c r="DQ130" s="61">
        <f t="shared" si="808"/>
        <v>472.28915662650599</v>
      </c>
      <c r="DS130" s="128" t="s">
        <v>327</v>
      </c>
      <c r="DT130" s="61">
        <f t="shared" si="809"/>
        <v>452.83018867924528</v>
      </c>
      <c r="DU130" s="61">
        <f t="shared" si="809"/>
        <v>468.46846846846847</v>
      </c>
      <c r="DV130" s="61">
        <f t="shared" si="809"/>
        <v>535.08771929824559</v>
      </c>
      <c r="DW130" s="61">
        <f t="shared" si="809"/>
        <v>486.48648648648651</v>
      </c>
      <c r="DX130" s="61">
        <f t="shared" si="809"/>
        <v>486.42533936651586</v>
      </c>
      <c r="DZ130" s="128" t="s">
        <v>327</v>
      </c>
      <c r="EA130" s="61">
        <f t="shared" si="810"/>
        <v>481.81818181818181</v>
      </c>
      <c r="EB130" s="61">
        <f t="shared" si="810"/>
        <v>467.88990825688074</v>
      </c>
      <c r="EC130" s="61">
        <f t="shared" si="810"/>
        <v>477.87610619469029</v>
      </c>
      <c r="ED130" s="61">
        <f t="shared" si="810"/>
        <v>477.06422018348627</v>
      </c>
      <c r="EE130" s="61">
        <f t="shared" si="810"/>
        <v>476.19047619047615</v>
      </c>
      <c r="EG130" s="128" t="s">
        <v>327</v>
      </c>
      <c r="EH130" s="61">
        <f t="shared" si="811"/>
        <v>477.87610619469029</v>
      </c>
      <c r="EI130" s="61">
        <f t="shared" si="811"/>
        <v>467.94871794871796</v>
      </c>
      <c r="EJ130" s="61">
        <f t="shared" si="811"/>
        <v>445.83333333333337</v>
      </c>
      <c r="EK130" s="61">
        <f t="shared" si="811"/>
        <v>436.21399176954736</v>
      </c>
      <c r="EL130" s="61">
        <f t="shared" si="811"/>
        <v>452.12765957446811</v>
      </c>
      <c r="EN130" s="128" t="s">
        <v>327</v>
      </c>
      <c r="EO130" s="61">
        <f t="shared" si="812"/>
        <v>423.3576642335766</v>
      </c>
      <c r="EP130" s="61">
        <f t="shared" si="812"/>
        <v>427.04626334519577</v>
      </c>
      <c r="EQ130" s="61">
        <f t="shared" si="812"/>
        <v>443.29896907216494</v>
      </c>
      <c r="ER130" s="61">
        <f t="shared" si="812"/>
        <v>461.81818181818181</v>
      </c>
      <c r="ES130" s="61">
        <f t="shared" si="812"/>
        <v>438.89384478144518</v>
      </c>
      <c r="EU130" s="128" t="s">
        <v>327</v>
      </c>
      <c r="EV130" s="61">
        <f t="shared" si="813"/>
        <v>440.86021505376345</v>
      </c>
      <c r="EW130" s="61">
        <f t="shared" si="813"/>
        <v>422.22222222222223</v>
      </c>
      <c r="EX130" s="61">
        <f t="shared" si="813"/>
        <v>423.07692307692309</v>
      </c>
      <c r="EY130" s="61">
        <f t="shared" si="813"/>
        <v>417.91044776119401</v>
      </c>
      <c r="EZ130" s="61">
        <f t="shared" si="813"/>
        <v>426.11060743427015</v>
      </c>
      <c r="FB130" s="128" t="s">
        <v>327</v>
      </c>
      <c r="FC130" s="61">
        <f t="shared" si="814"/>
        <v>421.455938697318</v>
      </c>
      <c r="FD130" s="61">
        <f t="shared" si="814"/>
        <v>420.33898305084745</v>
      </c>
      <c r="FE130" s="61">
        <f t="shared" si="814"/>
        <v>423.56687898089172</v>
      </c>
      <c r="FF130" s="61">
        <f t="shared" si="814"/>
        <v>408.23970037453182</v>
      </c>
      <c r="FG130" s="61">
        <f t="shared" si="814"/>
        <v>418.64555848724717</v>
      </c>
      <c r="FI130" s="128" t="s">
        <v>327</v>
      </c>
      <c r="FJ130" s="61">
        <f t="shared" si="815"/>
        <v>405.01792114695337</v>
      </c>
      <c r="FK130" s="61">
        <f t="shared" si="815"/>
        <v>403.33333333333331</v>
      </c>
      <c r="FL130" s="61">
        <f t="shared" si="815"/>
        <v>398.67109634551497</v>
      </c>
      <c r="FM130" s="61">
        <f t="shared" si="815"/>
        <v>396.55172413793105</v>
      </c>
      <c r="FN130" s="61">
        <f t="shared" si="815"/>
        <v>400.85470085470087</v>
      </c>
      <c r="FP130" s="128" t="s">
        <v>327</v>
      </c>
      <c r="FQ130" s="61">
        <f t="shared" si="816"/>
        <v>396.61016949152543</v>
      </c>
      <c r="FR130" s="61">
        <f t="shared" si="816"/>
        <v>388.19875776397515</v>
      </c>
      <c r="FS130" s="61">
        <f t="shared" si="816"/>
        <v>400</v>
      </c>
      <c r="FT130" s="61">
        <f t="shared" si="816"/>
        <v>401.75953079178885</v>
      </c>
      <c r="FU130" s="61">
        <f t="shared" si="816"/>
        <v>396.71361502347418</v>
      </c>
      <c r="FW130" s="128" t="s">
        <v>327</v>
      </c>
      <c r="FX130" s="61">
        <f t="shared" si="817"/>
        <v>392.40506329113924</v>
      </c>
      <c r="FY130" s="61">
        <f t="shared" si="817"/>
        <v>387.5</v>
      </c>
      <c r="FZ130" s="61">
        <f t="shared" si="817"/>
        <v>396.34146341463418</v>
      </c>
      <c r="GA130" s="61">
        <f t="shared" si="817"/>
        <v>393.54838709677421</v>
      </c>
      <c r="GB130" s="61">
        <f t="shared" si="817"/>
        <v>392.46467817896394</v>
      </c>
      <c r="GD130" s="128" t="s">
        <v>327</v>
      </c>
      <c r="GE130" s="61">
        <f t="shared" si="818"/>
        <v>437.08609271523181</v>
      </c>
      <c r="GF130" s="61">
        <f t="shared" si="818"/>
        <v>453.98773006134968</v>
      </c>
      <c r="GG130" s="61">
        <f t="shared" si="818"/>
        <v>467.45562130177512</v>
      </c>
      <c r="GH130" s="61">
        <f t="shared" si="818"/>
        <v>450.79365079365078</v>
      </c>
      <c r="GI130" s="61">
        <f t="shared" si="818"/>
        <v>452.77127244340357</v>
      </c>
      <c r="GK130" s="128" t="s">
        <v>327</v>
      </c>
      <c r="GL130" s="61">
        <f t="shared" si="819"/>
        <v>455.47945205479454</v>
      </c>
      <c r="GM130" s="61">
        <f t="shared" si="819"/>
        <v>466.66666666666669</v>
      </c>
      <c r="GN130" s="61">
        <f t="shared" si="819"/>
        <v>460.71428571428567</v>
      </c>
      <c r="GO130" s="61">
        <f t="shared" si="819"/>
        <v>473.07692307692304</v>
      </c>
      <c r="GP130" s="61">
        <f t="shared" si="819"/>
        <v>463.78091872791521</v>
      </c>
      <c r="GR130" s="128" t="s">
        <v>327</v>
      </c>
      <c r="GS130" s="61">
        <f t="shared" si="820"/>
        <v>486.16600790513837</v>
      </c>
      <c r="GT130" s="61">
        <f t="shared" si="820"/>
        <v>522.9007633587787</v>
      </c>
      <c r="GU130" s="61">
        <f t="shared" si="820"/>
        <v>531.00775193798449</v>
      </c>
      <c r="GV130" s="61">
        <f t="shared" si="820"/>
        <v>493.3920704845815</v>
      </c>
      <c r="GW130" s="61">
        <f t="shared" si="820"/>
        <v>509</v>
      </c>
      <c r="GY130" s="128" t="s">
        <v>327</v>
      </c>
      <c r="GZ130" s="61">
        <f t="shared" si="821"/>
        <v>446.23655913978496</v>
      </c>
      <c r="HA130" s="61">
        <f t="shared" si="821"/>
        <v>442.6229508196721</v>
      </c>
      <c r="HB130" s="61">
        <f t="shared" si="821"/>
        <v>457.71144278606965</v>
      </c>
      <c r="HC130" s="61">
        <f t="shared" si="821"/>
        <v>461.90476190476193</v>
      </c>
      <c r="HD130" s="61">
        <f t="shared" si="821"/>
        <v>452.56410256410254</v>
      </c>
      <c r="HF130" s="128" t="s">
        <v>327</v>
      </c>
      <c r="HG130" s="61">
        <f t="shared" si="822"/>
        <v>465.7534246575342</v>
      </c>
      <c r="HH130" s="61">
        <f t="shared" si="822"/>
        <v>0</v>
      </c>
      <c r="HI130" s="61">
        <f t="shared" si="822"/>
        <v>0</v>
      </c>
      <c r="HJ130" s="61" t="str">
        <f t="shared" si="822"/>
        <v/>
      </c>
      <c r="HK130" s="61" t="str">
        <f t="shared" si="822"/>
        <v/>
      </c>
      <c r="HM130" s="128" t="s">
        <v>327</v>
      </c>
      <c r="HN130" s="61">
        <f t="shared" si="823"/>
        <v>0</v>
      </c>
      <c r="HO130" s="61">
        <f t="shared" si="823"/>
        <v>0</v>
      </c>
      <c r="HP130" s="61">
        <f t="shared" si="823"/>
        <v>0</v>
      </c>
      <c r="HQ130" s="61">
        <f t="shared" si="823"/>
        <v>0</v>
      </c>
      <c r="HR130" s="61">
        <f t="shared" si="823"/>
        <v>0</v>
      </c>
      <c r="HT130" s="128" t="s">
        <v>327</v>
      </c>
      <c r="HU130" s="61">
        <f t="shared" si="824"/>
        <v>0</v>
      </c>
      <c r="HV130" s="61">
        <f t="shared" si="824"/>
        <v>0</v>
      </c>
      <c r="HW130" s="61">
        <f t="shared" si="824"/>
        <v>0</v>
      </c>
      <c r="HX130" s="61">
        <f t="shared" si="824"/>
        <v>0</v>
      </c>
      <c r="HY130" s="61">
        <f t="shared" si="824"/>
        <v>0</v>
      </c>
      <c r="IA130" s="128" t="s">
        <v>327</v>
      </c>
      <c r="IB130" s="61">
        <f t="shared" si="825"/>
        <v>0</v>
      </c>
      <c r="IC130" s="61">
        <f t="shared" si="825"/>
        <v>0</v>
      </c>
      <c r="ID130" s="61">
        <f t="shared" si="825"/>
        <v>0</v>
      </c>
      <c r="IE130" s="61">
        <f t="shared" si="825"/>
        <v>0</v>
      </c>
      <c r="IF130" s="61">
        <f t="shared" si="825"/>
        <v>0</v>
      </c>
      <c r="IH130" s="128" t="s">
        <v>327</v>
      </c>
      <c r="II130" s="61">
        <f t="shared" si="826"/>
        <v>0</v>
      </c>
      <c r="IJ130" s="61">
        <f t="shared" si="826"/>
        <v>0</v>
      </c>
      <c r="IK130" s="61">
        <f t="shared" si="826"/>
        <v>0</v>
      </c>
      <c r="IL130" s="61">
        <f t="shared" si="826"/>
        <v>0</v>
      </c>
      <c r="IM130" s="61">
        <f t="shared" si="826"/>
        <v>0</v>
      </c>
      <c r="IO130" s="128" t="s">
        <v>327</v>
      </c>
      <c r="IP130" s="61">
        <f t="shared" si="827"/>
        <v>0</v>
      </c>
      <c r="IQ130" s="61">
        <f t="shared" si="827"/>
        <v>0</v>
      </c>
      <c r="IR130" s="61">
        <f t="shared" si="827"/>
        <v>0</v>
      </c>
      <c r="IS130" s="61">
        <f t="shared" si="827"/>
        <v>0</v>
      </c>
      <c r="IT130" s="61">
        <f t="shared" si="827"/>
        <v>0</v>
      </c>
      <c r="IV130" s="128" t="s">
        <v>327</v>
      </c>
      <c r="IW130" s="61">
        <f t="shared" si="828"/>
        <v>0</v>
      </c>
      <c r="IX130" s="61">
        <f t="shared" si="828"/>
        <v>0</v>
      </c>
      <c r="IY130" s="61">
        <f t="shared" si="828"/>
        <v>0</v>
      </c>
      <c r="IZ130" s="61">
        <f t="shared" si="828"/>
        <v>0</v>
      </c>
      <c r="JA130" s="61">
        <f t="shared" si="828"/>
        <v>0</v>
      </c>
      <c r="JC130" s="128" t="s">
        <v>327</v>
      </c>
      <c r="JD130" s="61">
        <f t="shared" si="829"/>
        <v>0</v>
      </c>
      <c r="JE130" s="61">
        <f t="shared" si="829"/>
        <v>0</v>
      </c>
      <c r="JF130" s="61">
        <f t="shared" si="829"/>
        <v>0</v>
      </c>
      <c r="JG130" s="61">
        <f t="shared" si="829"/>
        <v>0</v>
      </c>
      <c r="JH130" s="61">
        <f t="shared" si="829"/>
        <v>0</v>
      </c>
      <c r="JJ130" s="128" t="s">
        <v>327</v>
      </c>
      <c r="JK130" s="61">
        <f t="shared" si="830"/>
        <v>0</v>
      </c>
      <c r="JL130" s="61">
        <f t="shared" si="830"/>
        <v>0</v>
      </c>
      <c r="JM130" s="61">
        <f t="shared" si="830"/>
        <v>0</v>
      </c>
      <c r="JN130" s="61">
        <f t="shared" si="830"/>
        <v>0</v>
      </c>
      <c r="JO130" s="61">
        <f t="shared" si="830"/>
        <v>0</v>
      </c>
      <c r="JQ130" s="128" t="s">
        <v>327</v>
      </c>
      <c r="JR130" s="61" t="str">
        <f t="shared" si="831"/>
        <v/>
      </c>
      <c r="JS130" s="61" t="str">
        <f t="shared" si="831"/>
        <v/>
      </c>
      <c r="JT130" s="61" t="str">
        <f t="shared" si="831"/>
        <v/>
      </c>
      <c r="JU130" s="61" t="str">
        <f t="shared" si="831"/>
        <v/>
      </c>
      <c r="JV130" s="61" t="str">
        <f t="shared" si="831"/>
        <v/>
      </c>
      <c r="JX130" s="128" t="s">
        <v>327</v>
      </c>
      <c r="JY130" s="61" t="str">
        <f t="shared" si="832"/>
        <v/>
      </c>
      <c r="JZ130" s="61" t="str">
        <f t="shared" si="832"/>
        <v/>
      </c>
      <c r="KA130" s="61" t="str">
        <f t="shared" si="832"/>
        <v/>
      </c>
      <c r="KB130" s="61" t="str">
        <f t="shared" si="832"/>
        <v/>
      </c>
      <c r="KC130" s="61" t="str">
        <f t="shared" si="832"/>
        <v/>
      </c>
      <c r="KE130" s="128" t="s">
        <v>327</v>
      </c>
      <c r="KF130" s="61" t="str">
        <f t="shared" si="833"/>
        <v/>
      </c>
      <c r="KG130" s="61" t="str">
        <f t="shared" si="833"/>
        <v/>
      </c>
      <c r="KH130" s="61" t="str">
        <f t="shared" si="833"/>
        <v/>
      </c>
      <c r="KI130" s="61" t="str">
        <f t="shared" si="833"/>
        <v/>
      </c>
      <c r="KJ130" s="61" t="str">
        <f t="shared" si="833"/>
        <v/>
      </c>
      <c r="KL130" s="128" t="s">
        <v>327</v>
      </c>
      <c r="KM130" s="61" t="str">
        <f t="shared" si="834"/>
        <v/>
      </c>
      <c r="KN130" s="61" t="str">
        <f t="shared" si="834"/>
        <v/>
      </c>
      <c r="KO130" s="61" t="str">
        <f t="shared" si="834"/>
        <v/>
      </c>
      <c r="KP130" s="61" t="str">
        <f t="shared" si="834"/>
        <v/>
      </c>
      <c r="KQ130" s="61" t="str">
        <f t="shared" si="834"/>
        <v/>
      </c>
      <c r="KS130" s="128" t="s">
        <v>327</v>
      </c>
      <c r="KT130" s="61" t="str">
        <f t="shared" si="835"/>
        <v/>
      </c>
      <c r="KU130" s="61" t="str">
        <f t="shared" si="835"/>
        <v/>
      </c>
      <c r="KV130" s="129" t="str">
        <f t="shared" si="835"/>
        <v/>
      </c>
      <c r="KW130" s="61" t="str">
        <f t="shared" si="835"/>
        <v/>
      </c>
      <c r="KX130" s="61" t="str">
        <f t="shared" si="835"/>
        <v/>
      </c>
      <c r="KZ130" s="128" t="s">
        <v>327</v>
      </c>
      <c r="LA130" s="61"/>
      <c r="LB130" s="129"/>
      <c r="LC130" s="129"/>
      <c r="LD130" s="129"/>
      <c r="LE130" s="129"/>
      <c r="LF130" s="558"/>
      <c r="LG130" s="128" t="s">
        <v>327</v>
      </c>
      <c r="LH130" s="129"/>
      <c r="LI130" s="129"/>
      <c r="LJ130" s="129"/>
      <c r="LK130" s="129"/>
      <c r="LL130" s="129"/>
      <c r="LM130" s="558"/>
      <c r="LN130" s="128" t="s">
        <v>327</v>
      </c>
      <c r="LO130" s="129"/>
      <c r="LP130" s="129"/>
      <c r="LQ130" s="129"/>
      <c r="LR130" s="129"/>
      <c r="LS130" s="129"/>
      <c r="LT130" s="558"/>
      <c r="LU130" s="128" t="s">
        <v>327</v>
      </c>
      <c r="LV130" s="129"/>
      <c r="LW130" s="129"/>
      <c r="LX130" s="129"/>
      <c r="LY130" s="129"/>
      <c r="LZ130" s="129"/>
      <c r="MA130" s="558"/>
      <c r="MB130" s="128" t="s">
        <v>327</v>
      </c>
      <c r="MC130" s="129"/>
      <c r="MD130" s="129"/>
      <c r="ME130" s="129"/>
      <c r="MF130" s="129"/>
      <c r="MG130" s="129"/>
      <c r="MH130" s="558"/>
    </row>
    <row r="131" spans="1:346" s="37" customFormat="1" ht="13.15" collapsed="1" x14ac:dyDescent="0.4">
      <c r="A131" s="100"/>
      <c r="B131" s="143" t="s">
        <v>32</v>
      </c>
      <c r="C131" s="103" t="str">
        <f t="shared" ref="C131:M131" si="837">IFERROR(C26/C85*1000,"")</f>
        <v/>
      </c>
      <c r="D131" s="103" t="str">
        <f t="shared" si="837"/>
        <v/>
      </c>
      <c r="E131" s="103">
        <f t="shared" si="837"/>
        <v>401.62337662337666</v>
      </c>
      <c r="F131" s="103">
        <f t="shared" si="837"/>
        <v>421.30919220055711</v>
      </c>
      <c r="G131" s="103">
        <f t="shared" si="837"/>
        <v>369.74655117099775</v>
      </c>
      <c r="H131" s="103">
        <f t="shared" si="837"/>
        <v>395.80602883355175</v>
      </c>
      <c r="I131" s="103">
        <f t="shared" si="837"/>
        <v>444.97041420118342</v>
      </c>
      <c r="J131" s="103">
        <f t="shared" si="837"/>
        <v>451.28205128205127</v>
      </c>
      <c r="K131" s="103">
        <f t="shared" si="837"/>
        <v>433.25526932084307</v>
      </c>
      <c r="L131" s="103">
        <f t="shared" si="837"/>
        <v>353.86119257087</v>
      </c>
      <c r="M131" s="103">
        <f t="shared" si="837"/>
        <v>589.14728682170551</v>
      </c>
      <c r="N131" s="103">
        <f t="shared" si="761"/>
        <v>592.70516717325233</v>
      </c>
      <c r="O131" s="103">
        <f t="shared" si="762"/>
        <v>650</v>
      </c>
      <c r="P131" s="103">
        <f t="shared" si="763"/>
        <v>660.80156402737043</v>
      </c>
      <c r="Q131" s="103">
        <f t="shared" si="764"/>
        <v>681.55393559103084</v>
      </c>
      <c r="R131" s="103">
        <f t="shared" si="765"/>
        <v>695.0043821209465</v>
      </c>
      <c r="S131" s="103">
        <f t="shared" si="766"/>
        <v>703.03975058456751</v>
      </c>
      <c r="T131" s="103">
        <f t="shared" si="767"/>
        <v>727.36625514403295</v>
      </c>
      <c r="U131" s="103">
        <f t="shared" si="768"/>
        <v>673.46938775510205</v>
      </c>
      <c r="V131" s="103">
        <f t="shared" si="769"/>
        <v>649.51456310679612</v>
      </c>
      <c r="W131" s="103">
        <f t="shared" si="770"/>
        <v>622.47838616714705</v>
      </c>
      <c r="X131" s="103">
        <f t="shared" si="771"/>
        <v>582.97872340425522</v>
      </c>
      <c r="Y131" s="103">
        <f t="shared" si="772"/>
        <v>569.20077972709544</v>
      </c>
      <c r="Z131" s="103">
        <f t="shared" si="773"/>
        <v>554.89021956087822</v>
      </c>
      <c r="AA131" s="103">
        <f t="shared" si="774"/>
        <v>556.86644643699856</v>
      </c>
      <c r="AB131" s="103">
        <f t="shared" si="775"/>
        <v>563.67713004484312</v>
      </c>
      <c r="AC131" s="103">
        <f t="shared" si="776"/>
        <v>577.18993928881184</v>
      </c>
      <c r="AD131" s="103">
        <f t="shared" si="777"/>
        <v>629.09930715935332</v>
      </c>
      <c r="AE131" s="103">
        <f t="shared" si="778"/>
        <v>648.00367140890319</v>
      </c>
      <c r="AF131" s="103">
        <f t="shared" si="779"/>
        <v>642.34959734722884</v>
      </c>
      <c r="AG131" s="103">
        <f t="shared" si="780"/>
        <v>708.55485741904306</v>
      </c>
      <c r="AH131" s="103">
        <f t="shared" si="781"/>
        <v>633.01787592008407</v>
      </c>
      <c r="AI131" s="103">
        <f t="shared" si="782"/>
        <v>582.54610886189823</v>
      </c>
      <c r="AJ131" s="103">
        <f t="shared" si="783"/>
        <v>626.47444298820437</v>
      </c>
      <c r="AK131" s="103">
        <f t="shared" si="784"/>
        <v>650.34679722562214</v>
      </c>
      <c r="AL131" s="103">
        <f t="shared" si="785"/>
        <v>657.24244771494966</v>
      </c>
      <c r="AM131" s="103">
        <f t="shared" si="786"/>
        <v>656.15835777126097</v>
      </c>
      <c r="AN131" s="103">
        <f t="shared" si="787"/>
        <v>620.85976039464413</v>
      </c>
      <c r="AO131" s="103">
        <f t="shared" si="788"/>
        <v>614.01636428317329</v>
      </c>
      <c r="AP131" s="103">
        <f t="shared" si="789"/>
        <v>632.78227224762577</v>
      </c>
      <c r="AQ131" s="103">
        <f t="shared" si="790"/>
        <v>667.0120898100173</v>
      </c>
      <c r="AR131" s="103">
        <f t="shared" si="791"/>
        <v>659.17602996254675</v>
      </c>
      <c r="AS131" s="103">
        <f t="shared" si="792"/>
        <v>625.73529411764707</v>
      </c>
      <c r="AT131" s="103">
        <f t="shared" si="793"/>
        <v>656.92204301075276</v>
      </c>
      <c r="AU131" s="103">
        <f t="shared" si="794"/>
        <v>778.26527168410394</v>
      </c>
      <c r="AV131" s="103">
        <f t="shared" si="795"/>
        <v>744.75777295733917</v>
      </c>
      <c r="AW131" s="103">
        <f t="shared" si="796"/>
        <v>707.56999654338063</v>
      </c>
      <c r="AX131" s="103">
        <f t="shared" si="797"/>
        <v>692.15358931552589</v>
      </c>
      <c r="AY131" s="103">
        <f t="shared" si="798"/>
        <v>717.38384901167399</v>
      </c>
      <c r="AZ131" s="103">
        <f t="shared" si="799"/>
        <v>740.79827062846005</v>
      </c>
      <c r="BA131" s="103">
        <f t="shared" si="800"/>
        <v>764.87421442388518</v>
      </c>
      <c r="BB131" s="103"/>
      <c r="BC131" s="103"/>
      <c r="BD131" s="103"/>
      <c r="BE131" s="103"/>
      <c r="BF131" s="103"/>
      <c r="BG131" s="103"/>
      <c r="BH131" s="103"/>
      <c r="BI131" s="103"/>
      <c r="BJ131" s="103"/>
      <c r="BK131" s="103"/>
      <c r="BL131" s="103"/>
      <c r="BM131" s="103"/>
      <c r="BO131" s="143" t="s">
        <v>32</v>
      </c>
      <c r="BP131" s="103">
        <f t="shared" ref="BP131:BT134" si="838">IFERROR(BP26/BP85*1000,"")</f>
        <v>587.5</v>
      </c>
      <c r="BQ131" s="103">
        <f t="shared" si="838"/>
        <v>587.75510204081638</v>
      </c>
      <c r="BR131" s="103">
        <f t="shared" si="838"/>
        <v>604.93827160493834</v>
      </c>
      <c r="BS131" s="103">
        <f t="shared" si="838"/>
        <v>590.73359073359075</v>
      </c>
      <c r="BT131" s="103">
        <f t="shared" si="838"/>
        <v>592.70516717325233</v>
      </c>
      <c r="BV131" s="143" t="s">
        <v>32</v>
      </c>
      <c r="BW131" s="103">
        <f t="shared" ref="BW131:CA134" si="839">IFERROR(BW26/BW85*1000,"")</f>
        <v>618.02575107296138</v>
      </c>
      <c r="BX131" s="103">
        <f t="shared" si="839"/>
        <v>668.06722689075627</v>
      </c>
      <c r="BY131" s="103">
        <f t="shared" si="839"/>
        <v>647.77327935222672</v>
      </c>
      <c r="BZ131" s="103">
        <f t="shared" si="839"/>
        <v>664.12213740458014</v>
      </c>
      <c r="CA131" s="103">
        <f t="shared" si="839"/>
        <v>650</v>
      </c>
      <c r="CC131" s="143" t="s">
        <v>32</v>
      </c>
      <c r="CD131" s="103">
        <f t="shared" ref="CD131:CH134" si="840">IFERROR(CD26/CD85*1000,"")</f>
        <v>673.72881355932202</v>
      </c>
      <c r="CE131" s="103">
        <f t="shared" si="840"/>
        <v>658.53658536585374</v>
      </c>
      <c r="CF131" s="103">
        <f t="shared" si="840"/>
        <v>641.5094339622641</v>
      </c>
      <c r="CG131" s="103">
        <f t="shared" si="840"/>
        <v>670.28985507246375</v>
      </c>
      <c r="CH131" s="103">
        <f t="shared" si="840"/>
        <v>660.80156402737043</v>
      </c>
      <c r="CJ131" s="143" t="s">
        <v>32</v>
      </c>
      <c r="CK131" s="103">
        <f t="shared" ref="CK131:CO134" si="841">IFERROR(CK26/CK85*1000,"")</f>
        <v>688.8633754305398</v>
      </c>
      <c r="CL131" s="103">
        <f t="shared" si="841"/>
        <v>686.02885345482161</v>
      </c>
      <c r="CM131" s="103">
        <f t="shared" si="841"/>
        <v>694.48529411764707</v>
      </c>
      <c r="CN131" s="103">
        <f t="shared" si="841"/>
        <v>658.53658536585374</v>
      </c>
      <c r="CO131" s="103">
        <f t="shared" si="841"/>
        <v>681.55393559103084</v>
      </c>
      <c r="CQ131" s="143" t="s">
        <v>32</v>
      </c>
      <c r="CR131" s="103">
        <f t="shared" ref="CR131:CV134" si="842">IFERROR(CR26/CR85*1000,"")</f>
        <v>684.0148698884758</v>
      </c>
      <c r="CS131" s="103">
        <f t="shared" si="842"/>
        <v>686.1313868613139</v>
      </c>
      <c r="CT131" s="103">
        <f t="shared" si="842"/>
        <v>712.80276816609</v>
      </c>
      <c r="CU131" s="103">
        <f t="shared" si="842"/>
        <v>695.79288025889957</v>
      </c>
      <c r="CV131" s="103">
        <f t="shared" si="842"/>
        <v>695.0043821209465</v>
      </c>
      <c r="CX131" s="143" t="s">
        <v>32</v>
      </c>
      <c r="CY131" s="103">
        <f t="shared" ref="CY131:DC134" si="843">IFERROR(CY26/CY85*1000,"")</f>
        <v>695.36423841059604</v>
      </c>
      <c r="CZ131" s="103">
        <f t="shared" si="843"/>
        <v>694.70404984423669</v>
      </c>
      <c r="DA131" s="103">
        <f t="shared" si="843"/>
        <v>718.75</v>
      </c>
      <c r="DB131" s="103">
        <f t="shared" si="843"/>
        <v>702.94117647058818</v>
      </c>
      <c r="DC131" s="103">
        <f t="shared" si="843"/>
        <v>703.03975058456751</v>
      </c>
      <c r="DE131" s="143" t="s">
        <v>32</v>
      </c>
      <c r="DF131" s="103">
        <f t="shared" ref="DF131:DJ134" si="844">IFERROR(DF26/DF85*1000,"")</f>
        <v>736.40167364016736</v>
      </c>
      <c r="DG131" s="103">
        <f t="shared" si="844"/>
        <v>731.40495867768595</v>
      </c>
      <c r="DH131" s="103">
        <f t="shared" si="844"/>
        <v>717.84232365145226</v>
      </c>
      <c r="DI131" s="103">
        <f t="shared" si="844"/>
        <v>724</v>
      </c>
      <c r="DJ131" s="103">
        <f t="shared" si="844"/>
        <v>727.36625514403295</v>
      </c>
      <c r="DL131" s="143" t="s">
        <v>32</v>
      </c>
      <c r="DM131" s="103">
        <f t="shared" ref="DM131:DQ134" si="845">IFERROR(DM26/DM85*1000,"")</f>
        <v>682.2033898305084</v>
      </c>
      <c r="DN131" s="103">
        <f t="shared" si="845"/>
        <v>681.63265306122446</v>
      </c>
      <c r="DO131" s="103">
        <f t="shared" si="845"/>
        <v>654.47154471544707</v>
      </c>
      <c r="DP131" s="103">
        <f t="shared" si="845"/>
        <v>675.88932806324112</v>
      </c>
      <c r="DQ131" s="103">
        <f t="shared" si="845"/>
        <v>673.46938775510205</v>
      </c>
      <c r="DS131" s="143" t="s">
        <v>32</v>
      </c>
      <c r="DT131" s="103">
        <f t="shared" ref="DT131:DX134" si="846">IFERROR(DT26/DT85*1000,"")</f>
        <v>641.12903225806451</v>
      </c>
      <c r="DU131" s="103">
        <f t="shared" si="846"/>
        <v>633.20463320463318</v>
      </c>
      <c r="DV131" s="103">
        <f t="shared" si="846"/>
        <v>671.81467181467178</v>
      </c>
      <c r="DW131" s="103">
        <f t="shared" si="846"/>
        <v>651.5151515151515</v>
      </c>
      <c r="DX131" s="103">
        <f t="shared" si="846"/>
        <v>649.51456310679612</v>
      </c>
      <c r="DZ131" s="143" t="s">
        <v>32</v>
      </c>
      <c r="EA131" s="103">
        <f t="shared" ref="EA131:EE134" si="847">IFERROR(EA26/EA85*1000,"")</f>
        <v>630.95238095238096</v>
      </c>
      <c r="EB131" s="103">
        <f t="shared" si="847"/>
        <v>617.1875</v>
      </c>
      <c r="EC131" s="103">
        <f t="shared" si="847"/>
        <v>621.62162162162156</v>
      </c>
      <c r="ED131" s="103">
        <f t="shared" si="847"/>
        <v>620.43795620437959</v>
      </c>
      <c r="EE131" s="103">
        <f t="shared" si="847"/>
        <v>622.47838616714705</v>
      </c>
      <c r="EG131" s="143" t="s">
        <v>32</v>
      </c>
      <c r="EH131" s="103">
        <f t="shared" ref="EH131:EL134" si="848">IFERROR(EH26/EH85*1000,"")</f>
        <v>612.31884057971024</v>
      </c>
      <c r="EI131" s="103">
        <f t="shared" si="848"/>
        <v>598.26589595375719</v>
      </c>
      <c r="EJ131" s="103">
        <f t="shared" si="848"/>
        <v>571.42857142857144</v>
      </c>
      <c r="EK131" s="103">
        <f t="shared" si="848"/>
        <v>568.40077071290943</v>
      </c>
      <c r="EL131" s="103">
        <f t="shared" si="848"/>
        <v>582.97872340425522</v>
      </c>
      <c r="EN131" s="143" t="s">
        <v>32</v>
      </c>
      <c r="EO131" s="103">
        <f t="shared" ref="EO131:ES134" si="849">IFERROR(EO26/EO85*1000,"")</f>
        <v>545.45454545454538</v>
      </c>
      <c r="EP131" s="103">
        <f t="shared" si="849"/>
        <v>560.69364161849705</v>
      </c>
      <c r="EQ131" s="103">
        <f t="shared" si="849"/>
        <v>566.92913385826773</v>
      </c>
      <c r="ER131" s="103">
        <f t="shared" si="849"/>
        <v>605.63380281690138</v>
      </c>
      <c r="ES131" s="103">
        <f t="shared" si="849"/>
        <v>569.20077972709544</v>
      </c>
      <c r="EU131" s="143" t="s">
        <v>32</v>
      </c>
      <c r="EV131" s="103">
        <f t="shared" ref="EV131:EZ134" si="850">IFERROR(EV26/EV85*1000,"")</f>
        <v>561.33056133056141</v>
      </c>
      <c r="EW131" s="103">
        <f t="shared" si="850"/>
        <v>545.27162977867204</v>
      </c>
      <c r="EX131" s="103">
        <f t="shared" si="850"/>
        <v>553.19148936170211</v>
      </c>
      <c r="EY131" s="103">
        <f t="shared" si="850"/>
        <v>559.9214145383105</v>
      </c>
      <c r="EZ131" s="103">
        <f t="shared" si="850"/>
        <v>554.89021956087822</v>
      </c>
      <c r="FB131" s="143" t="s">
        <v>32</v>
      </c>
      <c r="FC131" s="103">
        <f t="shared" ref="FC131:FG134" si="851">IFERROR(FC26/FC85*1000,"")</f>
        <v>544.69854469854477</v>
      </c>
      <c r="FD131" s="103">
        <f t="shared" si="851"/>
        <v>551.21042830540034</v>
      </c>
      <c r="FE131" s="103">
        <f t="shared" si="851"/>
        <v>553.00353356890469</v>
      </c>
      <c r="FF131" s="103">
        <f t="shared" si="851"/>
        <v>577.57009345794393</v>
      </c>
      <c r="FG131" s="103">
        <f t="shared" si="851"/>
        <v>556.86644643699856</v>
      </c>
      <c r="FI131" s="143" t="s">
        <v>32</v>
      </c>
      <c r="FJ131" s="103">
        <f t="shared" ref="FJ131:FN134" si="852">IFERROR(FJ26/FJ85*1000,"")</f>
        <v>574.14448669201522</v>
      </c>
      <c r="FK131" s="103">
        <f t="shared" si="852"/>
        <v>555.75221238938059</v>
      </c>
      <c r="FL131" s="103">
        <f t="shared" si="852"/>
        <v>554.96453900709218</v>
      </c>
      <c r="FM131" s="103">
        <f t="shared" si="852"/>
        <v>570.43478260869563</v>
      </c>
      <c r="FN131" s="103">
        <f t="shared" si="852"/>
        <v>563.67713004484312</v>
      </c>
      <c r="FP131" s="143" t="s">
        <v>32</v>
      </c>
      <c r="FQ131" s="103">
        <f t="shared" ref="FQ131:FU134" si="853">IFERROR(FQ26/FQ85*1000,"")</f>
        <v>573.77049180327867</v>
      </c>
      <c r="FR131" s="103">
        <f t="shared" si="853"/>
        <v>548.38709677419354</v>
      </c>
      <c r="FS131" s="103">
        <f t="shared" si="853"/>
        <v>576.02862254025047</v>
      </c>
      <c r="FT131" s="103">
        <f t="shared" si="853"/>
        <v>609.19540229885058</v>
      </c>
      <c r="FU131" s="103">
        <f t="shared" si="853"/>
        <v>577.18993928881184</v>
      </c>
      <c r="FW131" s="143" t="s">
        <v>32</v>
      </c>
      <c r="FX131" s="103">
        <f t="shared" ref="FX131:GB134" si="854">IFERROR(FX26/FX85*1000,"")</f>
        <v>623.10606060606051</v>
      </c>
      <c r="FY131" s="103">
        <f t="shared" si="854"/>
        <v>607.73480662983422</v>
      </c>
      <c r="FZ131" s="103">
        <f t="shared" si="854"/>
        <v>619.48529411764707</v>
      </c>
      <c r="GA131" s="103">
        <f t="shared" si="854"/>
        <v>665.45454545454538</v>
      </c>
      <c r="GB131" s="103">
        <f t="shared" si="854"/>
        <v>629.09930715935332</v>
      </c>
      <c r="GD131" s="143" t="s">
        <v>32</v>
      </c>
      <c r="GE131" s="103">
        <f t="shared" ref="GE131:GI134" si="855">IFERROR(GE26/GE85*1000,"")</f>
        <v>647.28682170542641</v>
      </c>
      <c r="GF131" s="103">
        <f t="shared" si="855"/>
        <v>650.82266910420469</v>
      </c>
      <c r="GG131" s="103">
        <f t="shared" si="855"/>
        <v>645.39007092198585</v>
      </c>
      <c r="GH131" s="103">
        <f t="shared" si="855"/>
        <v>648.55072463768113</v>
      </c>
      <c r="GI131" s="103">
        <f t="shared" si="855"/>
        <v>648.00367140890319</v>
      </c>
      <c r="GK131" s="143" t="s">
        <v>32</v>
      </c>
      <c r="GL131" s="103">
        <f t="shared" ref="GL131:GP134" si="856">IFERROR(GL26/GL85*1000,"")</f>
        <v>624.75442043222006</v>
      </c>
      <c r="GM131" s="103">
        <f t="shared" si="856"/>
        <v>636.36363636363637</v>
      </c>
      <c r="GN131" s="103">
        <f t="shared" si="856"/>
        <v>635.84905660377353</v>
      </c>
      <c r="GO131" s="103">
        <f t="shared" si="856"/>
        <v>671.66979362101313</v>
      </c>
      <c r="GP131" s="103">
        <f t="shared" si="856"/>
        <v>642.34959734722884</v>
      </c>
      <c r="GR131" s="143" t="s">
        <v>32</v>
      </c>
      <c r="GS131" s="103">
        <f t="shared" ref="GS131:GW134" si="857">IFERROR(GS26/GS85*1000,"")</f>
        <v>685.03937007874015</v>
      </c>
      <c r="GT131" s="103">
        <f t="shared" si="857"/>
        <v>726.41509433962256</v>
      </c>
      <c r="GU131" s="103">
        <f t="shared" si="857"/>
        <v>750</v>
      </c>
      <c r="GV131" s="103">
        <f t="shared" si="857"/>
        <v>669.33867735470938</v>
      </c>
      <c r="GW131" s="103">
        <f t="shared" si="857"/>
        <v>708.55485741904306</v>
      </c>
      <c r="GY131" s="143" t="s">
        <v>32</v>
      </c>
      <c r="GZ131" s="103">
        <f t="shared" ref="GZ131:HD134" si="858">IFERROR(GZ26/GZ85*1000,"")</f>
        <v>613.63636363636363</v>
      </c>
      <c r="HA131" s="103">
        <f t="shared" si="858"/>
        <v>636.7614879649891</v>
      </c>
      <c r="HB131" s="103">
        <f t="shared" si="858"/>
        <v>629.93762993762994</v>
      </c>
      <c r="HC131" s="103">
        <f t="shared" si="858"/>
        <v>648.85496183206101</v>
      </c>
      <c r="HD131" s="103">
        <f t="shared" si="858"/>
        <v>633.01787592008407</v>
      </c>
      <c r="HF131" s="143" t="s">
        <v>32</v>
      </c>
      <c r="HG131" s="103">
        <f t="shared" ref="HG131:HK134" si="859">IFERROR(HG26/HG85*1000,"")</f>
        <v>646</v>
      </c>
      <c r="HH131" s="103">
        <f t="shared" si="859"/>
        <v>565.05576208178445</v>
      </c>
      <c r="HI131" s="103">
        <f t="shared" si="859"/>
        <v>554.00696864111501</v>
      </c>
      <c r="HJ131" s="103">
        <f t="shared" si="859"/>
        <v>572.83142389525369</v>
      </c>
      <c r="HK131" s="103">
        <f t="shared" si="859"/>
        <v>582.54610886189823</v>
      </c>
      <c r="HM131" s="143" t="s">
        <v>32</v>
      </c>
      <c r="HN131" s="103">
        <f t="shared" ref="HN131:HR134" si="860">IFERROR(HN26/HN85*1000,"")</f>
        <v>591.32007233273055</v>
      </c>
      <c r="HO131" s="103">
        <f t="shared" si="860"/>
        <v>635.11187607573152</v>
      </c>
      <c r="HP131" s="103">
        <f t="shared" si="860"/>
        <v>630.20833333333337</v>
      </c>
      <c r="HQ131" s="103">
        <f t="shared" si="860"/>
        <v>647.66839378238342</v>
      </c>
      <c r="HR131" s="103">
        <f t="shared" si="860"/>
        <v>626.47444298820437</v>
      </c>
      <c r="HT131" s="143" t="s">
        <v>32</v>
      </c>
      <c r="HU131" s="103">
        <f t="shared" ref="HU131:HY134" si="861">IFERROR(HU26/HU85*1000,"")</f>
        <v>648.33333333333337</v>
      </c>
      <c r="HV131" s="103">
        <f t="shared" si="861"/>
        <v>648.64864864864865</v>
      </c>
      <c r="HW131" s="103">
        <f t="shared" si="861"/>
        <v>641.47909967845658</v>
      </c>
      <c r="HX131" s="103">
        <f t="shared" si="861"/>
        <v>663.33333333333337</v>
      </c>
      <c r="HY131" s="103">
        <f t="shared" si="861"/>
        <v>650.34679722562214</v>
      </c>
      <c r="IA131" s="143" t="s">
        <v>32</v>
      </c>
      <c r="IB131" s="103">
        <f t="shared" ref="IB131:IF134" si="862">IFERROR(IB26/IB85*1000,"")</f>
        <v>656.91056910569102</v>
      </c>
      <c r="IC131" s="103">
        <f t="shared" si="862"/>
        <v>659.93788819875772</v>
      </c>
      <c r="ID131" s="103">
        <f t="shared" si="862"/>
        <v>656.01217656012182</v>
      </c>
      <c r="IE131" s="103">
        <f t="shared" si="862"/>
        <v>656.15615615615616</v>
      </c>
      <c r="IF131" s="103">
        <f t="shared" si="862"/>
        <v>657.24244771494966</v>
      </c>
      <c r="IH131" s="143" t="s">
        <v>32</v>
      </c>
      <c r="II131" s="103">
        <f t="shared" ref="II131:IM134" si="863">IFERROR(II26/II85*1000,"")</f>
        <v>650.6955177743431</v>
      </c>
      <c r="IJ131" s="103">
        <f t="shared" si="863"/>
        <v>649.78292329956594</v>
      </c>
      <c r="IK131" s="103">
        <f t="shared" si="863"/>
        <v>658.46599131693199</v>
      </c>
      <c r="IL131" s="103">
        <f t="shared" si="863"/>
        <v>665.23605150214598</v>
      </c>
      <c r="IM131" s="103">
        <f t="shared" si="863"/>
        <v>656.15835777126097</v>
      </c>
      <c r="IO131" s="143" t="s">
        <v>32</v>
      </c>
      <c r="IP131" s="103">
        <f t="shared" ref="IP131:IT134" si="864">IFERROR(IP26/IP85*1000,"")</f>
        <v>633.58778625954199</v>
      </c>
      <c r="IQ131" s="103">
        <f t="shared" si="864"/>
        <v>622.40663900414938</v>
      </c>
      <c r="IR131" s="103">
        <f t="shared" si="864"/>
        <v>616.96306429548565</v>
      </c>
      <c r="IS131" s="103">
        <f t="shared" si="864"/>
        <v>611.79698216735255</v>
      </c>
      <c r="IT131" s="103">
        <f t="shared" si="864"/>
        <v>620.85976039464413</v>
      </c>
      <c r="IV131" s="143" t="s">
        <v>32</v>
      </c>
      <c r="IW131" s="103">
        <f t="shared" ref="IW131:JA134" si="865">IFERROR(IW26/IW85*1000,"")</f>
        <v>597.34513274336291</v>
      </c>
      <c r="IX131" s="103">
        <f t="shared" si="865"/>
        <v>603.74639769452449</v>
      </c>
      <c r="IY131" s="103">
        <f t="shared" si="865"/>
        <v>624.08223201174735</v>
      </c>
      <c r="IZ131" s="103">
        <f t="shared" si="865"/>
        <v>629.28759894459108</v>
      </c>
      <c r="JA131" s="103">
        <f t="shared" si="865"/>
        <v>614.01636428317329</v>
      </c>
      <c r="JC131" s="143" t="s">
        <v>32</v>
      </c>
      <c r="JD131" s="103">
        <f t="shared" ref="JD131:JH134" si="866">IFERROR(JD26/JD85*1000,"")</f>
        <v>630.81395348837214</v>
      </c>
      <c r="JE131" s="103">
        <f t="shared" si="866"/>
        <v>623.95543175487467</v>
      </c>
      <c r="JF131" s="103">
        <f t="shared" si="866"/>
        <v>621.16991643454037</v>
      </c>
      <c r="JG131" s="103">
        <f t="shared" si="866"/>
        <v>655.076495132128</v>
      </c>
      <c r="JH131" s="103">
        <f t="shared" si="866"/>
        <v>632.78227224762577</v>
      </c>
      <c r="JJ131" s="143" t="s">
        <v>32</v>
      </c>
      <c r="JK131" s="103">
        <f t="shared" ref="JK131:JO134" si="867">IFERROR(JK26/JK85*1000,"")</f>
        <v>651.66908563134973</v>
      </c>
      <c r="JL131" s="103">
        <f t="shared" si="867"/>
        <v>666.66666666666663</v>
      </c>
      <c r="JM131" s="103">
        <f t="shared" si="867"/>
        <v>676.58998646820021</v>
      </c>
      <c r="JN131" s="103">
        <f t="shared" si="867"/>
        <v>672.13114754098353</v>
      </c>
      <c r="JO131" s="103">
        <f t="shared" si="867"/>
        <v>667.0120898100173</v>
      </c>
      <c r="JQ131" s="143" t="s">
        <v>32</v>
      </c>
      <c r="JR131" s="103">
        <f t="shared" ref="JR131:JV134" si="868">IFERROR(JR26/JR85*1000,"")</f>
        <v>651.44596651445966</v>
      </c>
      <c r="JS131" s="103">
        <f t="shared" si="868"/>
        <v>662.613981762918</v>
      </c>
      <c r="JT131" s="103">
        <f t="shared" si="868"/>
        <v>664.19019316493313</v>
      </c>
      <c r="JU131" s="103">
        <f t="shared" si="868"/>
        <v>658.35777126099708</v>
      </c>
      <c r="JV131" s="103">
        <f t="shared" si="868"/>
        <v>659.17602996254675</v>
      </c>
      <c r="JX131" s="143" t="s">
        <v>32</v>
      </c>
      <c r="JY131" s="103">
        <f t="shared" ref="JY131:KC134" si="869">IFERROR(JY26/JY85*1000,"")</f>
        <v>639.39393939393938</v>
      </c>
      <c r="JZ131" s="103">
        <f t="shared" si="869"/>
        <v>612.62798634812293</v>
      </c>
      <c r="KA131" s="103">
        <f t="shared" si="869"/>
        <v>620.64156206415623</v>
      </c>
      <c r="KB131" s="103">
        <f t="shared" si="869"/>
        <v>628.79788639365916</v>
      </c>
      <c r="KC131" s="103">
        <f t="shared" si="869"/>
        <v>625.73529411764707</v>
      </c>
      <c r="KE131" s="143" t="s">
        <v>32</v>
      </c>
      <c r="KF131" s="103">
        <f t="shared" ref="KF131:KJ134" si="870">IFERROR(KF26/KF85*1000,"")</f>
        <v>528.9256198347108</v>
      </c>
      <c r="KG131" s="103">
        <f t="shared" si="870"/>
        <v>679.52127659574467</v>
      </c>
      <c r="KH131" s="103">
        <f t="shared" si="870"/>
        <v>684.13978494623655</v>
      </c>
      <c r="KI131" s="103">
        <f t="shared" si="870"/>
        <v>730.76923076923072</v>
      </c>
      <c r="KJ131" s="103">
        <f t="shared" si="870"/>
        <v>656.92204301075276</v>
      </c>
      <c r="KL131" s="143" t="s">
        <v>32</v>
      </c>
      <c r="KM131" s="103">
        <f t="shared" ref="KM131:KQ134" si="871">IFERROR(KM26/KM85*1000,"")</f>
        <v>729.91689750692524</v>
      </c>
      <c r="KN131" s="103">
        <f t="shared" si="871"/>
        <v>793.14888010540187</v>
      </c>
      <c r="KO131" s="103">
        <f t="shared" si="871"/>
        <v>792.65091863517057</v>
      </c>
      <c r="KP131" s="103">
        <f t="shared" si="871"/>
        <v>795.83333333333326</v>
      </c>
      <c r="KQ131" s="103">
        <f t="shared" si="871"/>
        <v>778.26527168410394</v>
      </c>
      <c r="KS131" s="143" t="s">
        <v>32</v>
      </c>
      <c r="KT131" s="247">
        <f t="shared" ref="KT131:KX134" si="872">IFERROR(KT26/KT85*1000,"")</f>
        <v>762.99694189602451</v>
      </c>
      <c r="KU131" s="247">
        <f t="shared" si="872"/>
        <v>719.29824561403507</v>
      </c>
      <c r="KV131" s="247">
        <f t="shared" si="872"/>
        <v>730.22598870056504</v>
      </c>
      <c r="KW131" s="247">
        <f t="shared" si="872"/>
        <v>766.66666666666674</v>
      </c>
      <c r="KX131" s="247">
        <f t="shared" si="872"/>
        <v>744.75777295733917</v>
      </c>
      <c r="KY131" s="623"/>
      <c r="KZ131" s="143" t="s">
        <v>32</v>
      </c>
      <c r="LA131" s="247">
        <f>IFERROR(LA26/LA85*1000,"")</f>
        <v>721.8259629101284</v>
      </c>
      <c r="LB131" s="301">
        <v>707</v>
      </c>
      <c r="LC131" s="301">
        <v>697</v>
      </c>
      <c r="LD131" s="301">
        <v>705</v>
      </c>
      <c r="LE131" s="301">
        <f>LE26/LE85*1000</f>
        <v>707.56999654338063</v>
      </c>
      <c r="LF131" s="561"/>
      <c r="LG131" s="143" t="s">
        <v>32</v>
      </c>
      <c r="LH131" s="301">
        <v>689</v>
      </c>
      <c r="LI131" s="301">
        <v>674</v>
      </c>
      <c r="LJ131" s="301">
        <v>686</v>
      </c>
      <c r="LK131" s="301">
        <v>719</v>
      </c>
      <c r="LL131" s="301">
        <f>LL26/LL85*1000</f>
        <v>692.15358931552589</v>
      </c>
      <c r="LM131" s="561"/>
      <c r="LN131" s="143" t="s">
        <v>32</v>
      </c>
      <c r="LO131" s="301">
        <f t="shared" ref="LO131:LR131" si="873">LO253</f>
        <v>705.76117318435752</v>
      </c>
      <c r="LP131" s="301">
        <f t="shared" si="873"/>
        <v>700.46639231824406</v>
      </c>
      <c r="LQ131" s="301">
        <f t="shared" si="873"/>
        <v>713.64583333333337</v>
      </c>
      <c r="LR131" s="301">
        <f t="shared" si="873"/>
        <v>747.41687979539643</v>
      </c>
      <c r="LS131" s="301">
        <f>LS26/LS85*1000</f>
        <v>717.38384901167399</v>
      </c>
      <c r="LT131" s="561"/>
      <c r="LU131" s="246" t="s">
        <v>32</v>
      </c>
      <c r="LV131" s="301">
        <f t="shared" ref="LV131:LY131" si="874">LV253</f>
        <v>726.93400837988827</v>
      </c>
      <c r="LW131" s="301">
        <f t="shared" si="874"/>
        <v>721.48038408779144</v>
      </c>
      <c r="LX131" s="301">
        <f t="shared" si="874"/>
        <v>738.62343750000002</v>
      </c>
      <c r="LY131" s="301">
        <f t="shared" si="874"/>
        <v>773.57647058823522</v>
      </c>
      <c r="LZ131" s="301">
        <f>LZ26/LZ85*1000</f>
        <v>740.79827062846005</v>
      </c>
      <c r="MA131" s="561"/>
      <c r="MB131" s="246" t="s">
        <v>32</v>
      </c>
      <c r="MC131" s="301">
        <f t="shared" ref="MC131:MF131" si="875">MC253</f>
        <v>750.55936365223465</v>
      </c>
      <c r="MD131" s="301">
        <f t="shared" si="875"/>
        <v>744.9284965706446</v>
      </c>
      <c r="ME131" s="301">
        <f t="shared" si="875"/>
        <v>762.62869921875006</v>
      </c>
      <c r="MF131" s="301">
        <f t="shared" si="875"/>
        <v>798.7177058823529</v>
      </c>
      <c r="MG131" s="301">
        <f>MG26/MG85*1000</f>
        <v>764.87421442388518</v>
      </c>
      <c r="MH131" s="561"/>
    </row>
    <row r="132" spans="1:346" s="37" customFormat="1" ht="13.15" x14ac:dyDescent="0.4">
      <c r="A132" s="100"/>
      <c r="B132" s="143" t="s">
        <v>147</v>
      </c>
      <c r="C132" s="103" t="str">
        <f t="shared" ref="C132:M132" si="876">IFERROR(C27/C86*1000,"")</f>
        <v/>
      </c>
      <c r="D132" s="103" t="str">
        <f t="shared" si="876"/>
        <v/>
      </c>
      <c r="E132" s="103">
        <f t="shared" si="876"/>
        <v>562.28509880276727</v>
      </c>
      <c r="F132" s="103">
        <f t="shared" si="876"/>
        <v>647.0890275693182</v>
      </c>
      <c r="G132" s="103">
        <f t="shared" si="876"/>
        <v>726.29056850359393</v>
      </c>
      <c r="H132" s="103">
        <f t="shared" si="876"/>
        <v>800.99778270509978</v>
      </c>
      <c r="I132" s="103">
        <f t="shared" si="876"/>
        <v>739.2638036809816</v>
      </c>
      <c r="J132" s="103">
        <f t="shared" si="876"/>
        <v>825.44689800210301</v>
      </c>
      <c r="K132" s="103">
        <f t="shared" si="876"/>
        <v>771.13402061855675</v>
      </c>
      <c r="L132" s="103">
        <f t="shared" si="876"/>
        <v>765.70289132602193</v>
      </c>
      <c r="M132" s="103">
        <f t="shared" si="876"/>
        <v>808.90730191610555</v>
      </c>
      <c r="N132" s="103">
        <f t="shared" si="761"/>
        <v>822.23387519664391</v>
      </c>
      <c r="O132" s="103">
        <f t="shared" si="762"/>
        <v>845.48254620123214</v>
      </c>
      <c r="P132" s="103">
        <f t="shared" si="763"/>
        <v>876.8115942028985</v>
      </c>
      <c r="Q132" s="103">
        <f t="shared" si="764"/>
        <v>889.20454545454538</v>
      </c>
      <c r="R132" s="103">
        <f t="shared" si="765"/>
        <v>870.37037037037032</v>
      </c>
      <c r="S132" s="103">
        <f t="shared" si="766"/>
        <v>873.06317044100126</v>
      </c>
      <c r="T132" s="103">
        <f t="shared" si="767"/>
        <v>907.62812872467225</v>
      </c>
      <c r="U132" s="103">
        <f t="shared" si="768"/>
        <v>925.77440093512564</v>
      </c>
      <c r="V132" s="103">
        <f t="shared" si="769"/>
        <v>910.15169194865803</v>
      </c>
      <c r="W132" s="103">
        <f t="shared" si="770"/>
        <v>895.82071471835252</v>
      </c>
      <c r="X132" s="103">
        <f t="shared" si="771"/>
        <v>914.49814126394051</v>
      </c>
      <c r="Y132" s="103">
        <f t="shared" si="772"/>
        <v>931.32530120481931</v>
      </c>
      <c r="Z132" s="103">
        <f t="shared" si="773"/>
        <v>970.38327526132412</v>
      </c>
      <c r="AA132" s="103">
        <f t="shared" si="774"/>
        <v>971.41041931385007</v>
      </c>
      <c r="AB132" s="103">
        <f t="shared" si="775"/>
        <v>982.80254777070058</v>
      </c>
      <c r="AC132" s="103">
        <f t="shared" si="776"/>
        <v>1033.1525015069319</v>
      </c>
      <c r="AD132" s="103">
        <f t="shared" si="777"/>
        <v>1144.2641946697568</v>
      </c>
      <c r="AE132" s="103">
        <f t="shared" si="778"/>
        <v>1256.3959955506118</v>
      </c>
      <c r="AF132" s="103">
        <f t="shared" si="779"/>
        <v>1402.0327498588367</v>
      </c>
      <c r="AG132" s="103">
        <f t="shared" si="780"/>
        <v>1748.1731309724564</v>
      </c>
      <c r="AH132" s="103">
        <f t="shared" si="781"/>
        <v>1736.3877822045154</v>
      </c>
      <c r="AI132" s="103">
        <f t="shared" si="782"/>
        <v>2076.9230769230771</v>
      </c>
      <c r="AJ132" s="103">
        <f t="shared" si="783"/>
        <v>2419.4390084801043</v>
      </c>
      <c r="AK132" s="103">
        <f t="shared" si="784"/>
        <v>2472.8682170542634</v>
      </c>
      <c r="AL132" s="103">
        <f t="shared" si="785"/>
        <v>2422.5941422594142</v>
      </c>
      <c r="AM132" s="103">
        <f t="shared" si="786"/>
        <v>2257.5277337559428</v>
      </c>
      <c r="AN132" s="103">
        <f t="shared" si="787"/>
        <v>2163.6876763875821</v>
      </c>
      <c r="AO132" s="103">
        <f t="shared" si="788"/>
        <v>2187.350835322196</v>
      </c>
      <c r="AP132" s="103">
        <f t="shared" si="789"/>
        <v>2464.3274853801167</v>
      </c>
      <c r="AQ132" s="103">
        <f t="shared" si="790"/>
        <v>2532.130777903044</v>
      </c>
      <c r="AR132" s="103">
        <f t="shared" si="791"/>
        <v>2455.5160142348755</v>
      </c>
      <c r="AS132" s="103">
        <f t="shared" si="792"/>
        <v>2193.0926216640501</v>
      </c>
      <c r="AT132" s="103">
        <f t="shared" si="793"/>
        <v>2654.3909348441925</v>
      </c>
      <c r="AU132" s="103">
        <f t="shared" si="794"/>
        <v>3492.1090387374461</v>
      </c>
      <c r="AV132" s="103">
        <f t="shared" si="795"/>
        <v>3290.0662251655631</v>
      </c>
      <c r="AW132" s="103">
        <f t="shared" si="796"/>
        <v>3052.9891304347825</v>
      </c>
      <c r="AX132" s="103">
        <f t="shared" si="797"/>
        <v>2646.2395543175489</v>
      </c>
      <c r="AY132" s="103">
        <f t="shared" si="798"/>
        <v>2635.4134025451654</v>
      </c>
      <c r="AZ132" s="103">
        <f t="shared" si="799"/>
        <v>2658.1261677825673</v>
      </c>
      <c r="BA132" s="103">
        <f t="shared" si="800"/>
        <v>2678.2005302270586</v>
      </c>
      <c r="BB132" s="103"/>
      <c r="BC132" s="103"/>
      <c r="BD132" s="103"/>
      <c r="BE132" s="103"/>
      <c r="BF132" s="103"/>
      <c r="BG132" s="103"/>
      <c r="BH132" s="103"/>
      <c r="BI132" s="103"/>
      <c r="BJ132" s="103"/>
      <c r="BK132" s="103"/>
      <c r="BL132" s="103"/>
      <c r="BM132" s="103"/>
      <c r="BO132" s="143" t="s">
        <v>147</v>
      </c>
      <c r="BP132" s="103">
        <f t="shared" si="838"/>
        <v>810.69958847736621</v>
      </c>
      <c r="BQ132" s="103">
        <f t="shared" si="838"/>
        <v>822.08588957055213</v>
      </c>
      <c r="BR132" s="103">
        <f t="shared" si="838"/>
        <v>815.21739130434776</v>
      </c>
      <c r="BS132" s="103">
        <f t="shared" si="838"/>
        <v>841.10169491525426</v>
      </c>
      <c r="BT132" s="103">
        <f t="shared" si="838"/>
        <v>822.23387519664391</v>
      </c>
      <c r="BV132" s="143" t="s">
        <v>147</v>
      </c>
      <c r="BW132" s="103">
        <f t="shared" si="839"/>
        <v>829.65931863727462</v>
      </c>
      <c r="BX132" s="103">
        <f t="shared" si="839"/>
        <v>821.64328657314638</v>
      </c>
      <c r="BY132" s="103">
        <f t="shared" si="839"/>
        <v>862.21294363256789</v>
      </c>
      <c r="BZ132" s="103">
        <f t="shared" si="839"/>
        <v>870.48832271762205</v>
      </c>
      <c r="CA132" s="103">
        <f t="shared" si="839"/>
        <v>845.48254620123214</v>
      </c>
      <c r="CC132" s="143" t="s">
        <v>147</v>
      </c>
      <c r="CD132" s="103">
        <f t="shared" si="840"/>
        <v>854.87528344671205</v>
      </c>
      <c r="CE132" s="103">
        <f t="shared" si="840"/>
        <v>864.05529953917051</v>
      </c>
      <c r="CF132" s="103">
        <f t="shared" si="840"/>
        <v>902.80777537796973</v>
      </c>
      <c r="CG132" s="103">
        <f t="shared" si="840"/>
        <v>883.77192982456143</v>
      </c>
      <c r="CH132" s="103">
        <f t="shared" si="840"/>
        <v>876.8115942028985</v>
      </c>
      <c r="CJ132" s="143" t="s">
        <v>147</v>
      </c>
      <c r="CK132" s="103">
        <f t="shared" si="841"/>
        <v>877.82805429864254</v>
      </c>
      <c r="CL132" s="103">
        <f t="shared" si="841"/>
        <v>880.18433179723502</v>
      </c>
      <c r="CM132" s="103">
        <f t="shared" si="841"/>
        <v>898.41986455981942</v>
      </c>
      <c r="CN132" s="103">
        <f t="shared" si="841"/>
        <v>900.22675736961457</v>
      </c>
      <c r="CO132" s="103">
        <f t="shared" si="841"/>
        <v>889.20454545454538</v>
      </c>
      <c r="CQ132" s="143" t="s">
        <v>147</v>
      </c>
      <c r="CR132" s="103">
        <f t="shared" si="842"/>
        <v>862.94416243654825</v>
      </c>
      <c r="CS132" s="103">
        <f t="shared" si="842"/>
        <v>871.92118226600985</v>
      </c>
      <c r="CT132" s="103">
        <f t="shared" si="842"/>
        <v>869.56521739130437</v>
      </c>
      <c r="CU132" s="103">
        <f t="shared" si="842"/>
        <v>877.33333333333326</v>
      </c>
      <c r="CV132" s="103">
        <f t="shared" si="842"/>
        <v>870.37037037037032</v>
      </c>
      <c r="CX132" s="143" t="s">
        <v>147</v>
      </c>
      <c r="CY132" s="103">
        <f t="shared" si="843"/>
        <v>856.06060606060612</v>
      </c>
      <c r="CZ132" s="103">
        <f t="shared" si="843"/>
        <v>862.23277909738715</v>
      </c>
      <c r="DA132" s="103">
        <f t="shared" si="843"/>
        <v>893.02325581395348</v>
      </c>
      <c r="DB132" s="103">
        <f t="shared" si="843"/>
        <v>879.35034802784219</v>
      </c>
      <c r="DC132" s="103">
        <f t="shared" si="843"/>
        <v>873.06317044100126</v>
      </c>
      <c r="DE132" s="143" t="s">
        <v>147</v>
      </c>
      <c r="DF132" s="103">
        <f t="shared" si="844"/>
        <v>884.05797101449275</v>
      </c>
      <c r="DG132" s="103">
        <f t="shared" si="844"/>
        <v>902.38095238095241</v>
      </c>
      <c r="DH132" s="103">
        <f t="shared" si="844"/>
        <v>917.25768321512999</v>
      </c>
      <c r="DI132" s="103">
        <f t="shared" si="844"/>
        <v>926.36579572446556</v>
      </c>
      <c r="DJ132" s="103">
        <f t="shared" si="844"/>
        <v>907.62812872467225</v>
      </c>
      <c r="DL132" s="143" t="s">
        <v>147</v>
      </c>
      <c r="DM132" s="103">
        <f t="shared" si="845"/>
        <v>920.39800995024882</v>
      </c>
      <c r="DN132" s="103">
        <f t="shared" si="845"/>
        <v>930.87557603686628</v>
      </c>
      <c r="DO132" s="103">
        <f t="shared" si="845"/>
        <v>933.02540415704379</v>
      </c>
      <c r="DP132" s="103">
        <f t="shared" si="845"/>
        <v>918.55203619909503</v>
      </c>
      <c r="DQ132" s="103">
        <f t="shared" si="845"/>
        <v>925.77440093512564</v>
      </c>
      <c r="DS132" s="143" t="s">
        <v>147</v>
      </c>
      <c r="DT132" s="103">
        <f t="shared" si="846"/>
        <v>904.65116279069764</v>
      </c>
      <c r="DU132" s="103">
        <f t="shared" si="846"/>
        <v>907.36342042755348</v>
      </c>
      <c r="DV132" s="103">
        <f t="shared" si="846"/>
        <v>911.21495327102809</v>
      </c>
      <c r="DW132" s="103">
        <f t="shared" si="846"/>
        <v>917.24137931034477</v>
      </c>
      <c r="DX132" s="103">
        <f t="shared" si="846"/>
        <v>910.15169194865803</v>
      </c>
      <c r="DZ132" s="143" t="s">
        <v>147</v>
      </c>
      <c r="EA132" s="103">
        <f t="shared" si="847"/>
        <v>850.1228501228502</v>
      </c>
      <c r="EB132" s="103">
        <f t="shared" si="847"/>
        <v>905.33980582524271</v>
      </c>
      <c r="EC132" s="103">
        <f t="shared" si="847"/>
        <v>920.48192771084337</v>
      </c>
      <c r="ED132" s="103">
        <f t="shared" si="847"/>
        <v>906.47482014388493</v>
      </c>
      <c r="EE132" s="103">
        <f t="shared" si="847"/>
        <v>895.82071471835252</v>
      </c>
      <c r="EG132" s="143" t="s">
        <v>147</v>
      </c>
      <c r="EH132" s="103">
        <f t="shared" si="848"/>
        <v>891.41414141414145</v>
      </c>
      <c r="EI132" s="103">
        <f t="shared" si="848"/>
        <v>912.46684350132625</v>
      </c>
      <c r="EJ132" s="103">
        <f t="shared" si="848"/>
        <v>925.23364485981313</v>
      </c>
      <c r="EK132" s="103">
        <f t="shared" si="848"/>
        <v>927.36077481840198</v>
      </c>
      <c r="EL132" s="103">
        <f t="shared" si="848"/>
        <v>914.49814126394051</v>
      </c>
      <c r="EN132" s="143" t="s">
        <v>147</v>
      </c>
      <c r="EO132" s="103">
        <f t="shared" si="849"/>
        <v>936.86868686868684</v>
      </c>
      <c r="EP132" s="103">
        <f t="shared" si="849"/>
        <v>936.43031784841082</v>
      </c>
      <c r="EQ132" s="103">
        <f t="shared" si="849"/>
        <v>916.85912240184757</v>
      </c>
      <c r="ER132" s="103">
        <f t="shared" si="849"/>
        <v>936.01895734597156</v>
      </c>
      <c r="ES132" s="103">
        <f t="shared" si="849"/>
        <v>931.32530120481931</v>
      </c>
      <c r="EU132" s="143" t="s">
        <v>147</v>
      </c>
      <c r="EV132" s="103">
        <f t="shared" si="850"/>
        <v>947.60820045558091</v>
      </c>
      <c r="EW132" s="103">
        <f t="shared" si="850"/>
        <v>965.11627906976753</v>
      </c>
      <c r="EX132" s="103">
        <f t="shared" si="850"/>
        <v>988.15165876777257</v>
      </c>
      <c r="EY132" s="103">
        <f t="shared" si="850"/>
        <v>981.43851508120645</v>
      </c>
      <c r="EZ132" s="103">
        <f t="shared" si="850"/>
        <v>970.38327526132412</v>
      </c>
      <c r="FB132" s="143" t="s">
        <v>147</v>
      </c>
      <c r="FC132" s="103">
        <f t="shared" si="851"/>
        <v>969.46564885496173</v>
      </c>
      <c r="FD132" s="103">
        <f t="shared" si="851"/>
        <v>971.86700767263426</v>
      </c>
      <c r="FE132" s="103">
        <f t="shared" si="851"/>
        <v>967.08860759493678</v>
      </c>
      <c r="FF132" s="103">
        <f t="shared" si="851"/>
        <v>977.21518987341767</v>
      </c>
      <c r="FG132" s="103">
        <f t="shared" si="851"/>
        <v>971.41041931385007</v>
      </c>
      <c r="FI132" s="143" t="s">
        <v>147</v>
      </c>
      <c r="FJ132" s="103">
        <f t="shared" si="852"/>
        <v>991.95710455764072</v>
      </c>
      <c r="FK132" s="103">
        <f t="shared" si="852"/>
        <v>1002.5</v>
      </c>
      <c r="FL132" s="103">
        <f t="shared" si="852"/>
        <v>982.09718670076734</v>
      </c>
      <c r="FM132" s="103">
        <f t="shared" si="852"/>
        <v>955.66502463054189</v>
      </c>
      <c r="FN132" s="103">
        <f t="shared" si="852"/>
        <v>982.80254777070058</v>
      </c>
      <c r="FP132" s="143" t="s">
        <v>147</v>
      </c>
      <c r="FQ132" s="103">
        <f t="shared" si="853"/>
        <v>1004.9627791563275</v>
      </c>
      <c r="FR132" s="103">
        <f t="shared" si="853"/>
        <v>1039.0243902439024</v>
      </c>
      <c r="FS132" s="103">
        <f t="shared" si="853"/>
        <v>1041.8719211822661</v>
      </c>
      <c r="FT132" s="103">
        <f t="shared" si="853"/>
        <v>1045.4545454545455</v>
      </c>
      <c r="FU132" s="103">
        <f t="shared" si="853"/>
        <v>1033.1525015069319</v>
      </c>
      <c r="FW132" s="143" t="s">
        <v>147</v>
      </c>
      <c r="FX132" s="103">
        <f t="shared" si="854"/>
        <v>1102.9748283752861</v>
      </c>
      <c r="FY132" s="103">
        <f t="shared" si="854"/>
        <v>1146.1187214611873</v>
      </c>
      <c r="FZ132" s="103">
        <f t="shared" si="854"/>
        <v>1163.5071090047393</v>
      </c>
      <c r="GA132" s="103">
        <f t="shared" si="854"/>
        <v>1165.5011655011656</v>
      </c>
      <c r="GB132" s="103">
        <f t="shared" si="854"/>
        <v>1144.2641946697568</v>
      </c>
      <c r="GD132" s="143" t="s">
        <v>147</v>
      </c>
      <c r="GE132" s="103">
        <f t="shared" si="855"/>
        <v>1210.5263157894738</v>
      </c>
      <c r="GF132" s="103">
        <f t="shared" si="855"/>
        <v>1260.0896860986547</v>
      </c>
      <c r="GG132" s="103">
        <f t="shared" si="855"/>
        <v>1266.0753880266075</v>
      </c>
      <c r="GH132" s="103">
        <f t="shared" si="855"/>
        <v>1289.8876404494381</v>
      </c>
      <c r="GI132" s="103">
        <f t="shared" si="855"/>
        <v>1256.3959955506118</v>
      </c>
      <c r="GK132" s="143" t="s">
        <v>147</v>
      </c>
      <c r="GL132" s="103">
        <f t="shared" si="856"/>
        <v>1367.3469387755101</v>
      </c>
      <c r="GM132" s="103">
        <f t="shared" si="856"/>
        <v>1373.3031674208146</v>
      </c>
      <c r="GN132" s="103">
        <f t="shared" si="856"/>
        <v>1403.6281179138321</v>
      </c>
      <c r="GO132" s="103">
        <f t="shared" si="856"/>
        <v>1463.0872483221478</v>
      </c>
      <c r="GP132" s="103">
        <f t="shared" si="856"/>
        <v>1402.0327498588367</v>
      </c>
      <c r="GR132" s="143" t="s">
        <v>147</v>
      </c>
      <c r="GS132" s="103">
        <f t="shared" si="857"/>
        <v>1636.3636363636365</v>
      </c>
      <c r="GT132" s="103">
        <f t="shared" si="857"/>
        <v>1726.6666666666665</v>
      </c>
      <c r="GU132" s="103">
        <f t="shared" si="857"/>
        <v>1822.7272727272727</v>
      </c>
      <c r="GV132" s="103">
        <f t="shared" si="857"/>
        <v>1806.2360801781736</v>
      </c>
      <c r="GW132" s="103">
        <f t="shared" si="857"/>
        <v>1748.1731309724564</v>
      </c>
      <c r="GY132" s="143" t="s">
        <v>147</v>
      </c>
      <c r="GZ132" s="103">
        <f t="shared" si="858"/>
        <v>1718.0722891566265</v>
      </c>
      <c r="HA132" s="103">
        <f t="shared" si="858"/>
        <v>1770.0831024930749</v>
      </c>
      <c r="HB132" s="103">
        <f t="shared" si="858"/>
        <v>1789.041095890411</v>
      </c>
      <c r="HC132" s="103">
        <f t="shared" si="858"/>
        <v>1671.2328767123288</v>
      </c>
      <c r="HD132" s="103">
        <f t="shared" si="858"/>
        <v>1736.3877822045154</v>
      </c>
      <c r="HF132" s="143" t="s">
        <v>147</v>
      </c>
      <c r="HG132" s="103">
        <f t="shared" si="859"/>
        <v>1973.1903485254691</v>
      </c>
      <c r="HH132" s="103">
        <f t="shared" si="859"/>
        <v>2082.2942643391521</v>
      </c>
      <c r="HI132" s="103">
        <f t="shared" si="859"/>
        <v>2130.1020408163267</v>
      </c>
      <c r="HJ132" s="103">
        <f t="shared" si="859"/>
        <v>2115.4791154791151</v>
      </c>
      <c r="HK132" s="103">
        <f t="shared" si="859"/>
        <v>2076.9230769230771</v>
      </c>
      <c r="HM132" s="143" t="s">
        <v>147</v>
      </c>
      <c r="HN132" s="103">
        <f t="shared" si="860"/>
        <v>2283.1168831168834</v>
      </c>
      <c r="HO132" s="103">
        <f t="shared" si="860"/>
        <v>2469.0721649484535</v>
      </c>
      <c r="HP132" s="103">
        <f t="shared" si="860"/>
        <v>2479.2746113989638</v>
      </c>
      <c r="HQ132" s="103">
        <f t="shared" si="860"/>
        <v>2446.524064171123</v>
      </c>
      <c r="HR132" s="103">
        <f t="shared" si="860"/>
        <v>2419.4390084801043</v>
      </c>
      <c r="HT132" s="143" t="s">
        <v>147</v>
      </c>
      <c r="HU132" s="103">
        <f t="shared" si="861"/>
        <v>2513.595166163142</v>
      </c>
      <c r="HV132" s="103">
        <f t="shared" si="861"/>
        <v>2477.3413897280966</v>
      </c>
      <c r="HW132" s="103">
        <f t="shared" si="861"/>
        <v>2448.9164086687306</v>
      </c>
      <c r="HX132" s="103">
        <f t="shared" si="861"/>
        <v>2449.1803278688526</v>
      </c>
      <c r="HY132" s="103">
        <f t="shared" si="861"/>
        <v>2472.8682170542634</v>
      </c>
      <c r="IA132" s="143" t="s">
        <v>147</v>
      </c>
      <c r="IB132" s="103">
        <f t="shared" si="862"/>
        <v>2444.4444444444448</v>
      </c>
      <c r="IC132" s="103">
        <f t="shared" si="862"/>
        <v>2483.8709677419356</v>
      </c>
      <c r="ID132" s="103">
        <f t="shared" si="862"/>
        <v>2408.0267558528431</v>
      </c>
      <c r="IE132" s="103">
        <f t="shared" si="862"/>
        <v>2349.4809688581313</v>
      </c>
      <c r="IF132" s="103">
        <f t="shared" si="862"/>
        <v>2422.5941422594142</v>
      </c>
      <c r="IH132" s="143" t="s">
        <v>147</v>
      </c>
      <c r="II132" s="103">
        <f t="shared" si="863"/>
        <v>2259.3856655290101</v>
      </c>
      <c r="IJ132" s="103">
        <f t="shared" si="863"/>
        <v>2254.5454545454545</v>
      </c>
      <c r="IK132" s="103">
        <f t="shared" si="863"/>
        <v>2260.1880877742947</v>
      </c>
      <c r="IL132" s="103">
        <f t="shared" si="863"/>
        <v>2256.25</v>
      </c>
      <c r="IM132" s="103">
        <f t="shared" si="863"/>
        <v>2257.5277337559428</v>
      </c>
      <c r="IO132" s="143" t="s">
        <v>147</v>
      </c>
      <c r="IP132" s="103">
        <f t="shared" si="864"/>
        <v>2207.6124567474048</v>
      </c>
      <c r="IQ132" s="103">
        <f t="shared" si="864"/>
        <v>2135.593220338983</v>
      </c>
      <c r="IR132" s="103">
        <f t="shared" si="864"/>
        <v>2233.7164750957854</v>
      </c>
      <c r="IS132" s="103">
        <f t="shared" si="864"/>
        <v>2059.6330275229357</v>
      </c>
      <c r="IT132" s="103">
        <f t="shared" si="864"/>
        <v>2163.6876763875821</v>
      </c>
      <c r="IV132" s="143" t="s">
        <v>147</v>
      </c>
      <c r="IW132" s="103">
        <f t="shared" si="865"/>
        <v>1995</v>
      </c>
      <c r="IX132" s="103">
        <f t="shared" si="865"/>
        <v>2133.3333333333335</v>
      </c>
      <c r="IY132" s="103">
        <f t="shared" si="865"/>
        <v>2256.0386473429949</v>
      </c>
      <c r="IZ132" s="103">
        <f t="shared" si="865"/>
        <v>2334.7457627118647</v>
      </c>
      <c r="JA132" s="103">
        <f t="shared" si="865"/>
        <v>2187.350835322196</v>
      </c>
      <c r="JC132" s="143" t="s">
        <v>147</v>
      </c>
      <c r="JD132" s="103">
        <f t="shared" si="866"/>
        <v>2546.3414634146343</v>
      </c>
      <c r="JE132" s="103">
        <f t="shared" si="866"/>
        <v>2548.0769230769229</v>
      </c>
      <c r="JF132" s="103">
        <f t="shared" si="866"/>
        <v>2357.7981651376144</v>
      </c>
      <c r="JG132" s="103">
        <f t="shared" si="866"/>
        <v>2415.1785714285716</v>
      </c>
      <c r="JH132" s="103">
        <f t="shared" si="866"/>
        <v>2464.3274853801167</v>
      </c>
      <c r="JJ132" s="143" t="s">
        <v>147</v>
      </c>
      <c r="JK132" s="103">
        <f t="shared" si="867"/>
        <v>2502.4875621890546</v>
      </c>
      <c r="JL132" s="103">
        <f t="shared" si="867"/>
        <v>2563.0630630630631</v>
      </c>
      <c r="JM132" s="103">
        <f t="shared" si="867"/>
        <v>2512.8205128205127</v>
      </c>
      <c r="JN132" s="103">
        <f t="shared" si="867"/>
        <v>2547.8260869565215</v>
      </c>
      <c r="JO132" s="103">
        <f t="shared" si="867"/>
        <v>2532.130777903044</v>
      </c>
      <c r="JQ132" s="143" t="s">
        <v>147</v>
      </c>
      <c r="JR132" s="103">
        <f t="shared" si="868"/>
        <v>2537.7358490566039</v>
      </c>
      <c r="JS132" s="103">
        <f t="shared" si="868"/>
        <v>2464.6017699115046</v>
      </c>
      <c r="JT132" s="103">
        <f t="shared" si="868"/>
        <v>2422.5352112676055</v>
      </c>
      <c r="JU132" s="103">
        <f t="shared" si="868"/>
        <v>2390.625</v>
      </c>
      <c r="JV132" s="103">
        <f t="shared" si="868"/>
        <v>2455.5160142348755</v>
      </c>
      <c r="JX132" s="143" t="s">
        <v>147</v>
      </c>
      <c r="JY132" s="103">
        <f t="shared" si="869"/>
        <v>2237.5690607734805</v>
      </c>
      <c r="JZ132" s="103">
        <f t="shared" si="869"/>
        <v>2259.8425196850394</v>
      </c>
      <c r="KA132" s="103">
        <f t="shared" si="869"/>
        <v>2129.0322580645161</v>
      </c>
      <c r="KB132" s="103">
        <f t="shared" si="869"/>
        <v>2155.1724137931037</v>
      </c>
      <c r="KC132" s="103">
        <f t="shared" si="869"/>
        <v>2193.0926216640501</v>
      </c>
      <c r="KE132" s="143" t="s">
        <v>147</v>
      </c>
      <c r="KF132" s="103">
        <f t="shared" si="870"/>
        <v>2720.9302325581393</v>
      </c>
      <c r="KG132" s="103">
        <f t="shared" si="870"/>
        <v>2311.4754098360659</v>
      </c>
      <c r="KH132" s="103">
        <f t="shared" si="870"/>
        <v>2555.5555555555552</v>
      </c>
      <c r="KI132" s="103">
        <f t="shared" si="870"/>
        <v>3058.4795321637425</v>
      </c>
      <c r="KJ132" s="103">
        <f t="shared" si="870"/>
        <v>2654.3909348441925</v>
      </c>
      <c r="KL132" s="143" t="s">
        <v>147</v>
      </c>
      <c r="KM132" s="103">
        <f t="shared" si="871"/>
        <v>3438.7096774193546</v>
      </c>
      <c r="KN132" s="103">
        <f t="shared" si="871"/>
        <v>3657.303370786517</v>
      </c>
      <c r="KO132" s="103">
        <f t="shared" si="871"/>
        <v>3525.4237288135591</v>
      </c>
      <c r="KP132" s="103">
        <f t="shared" si="871"/>
        <v>3347.5935828877004</v>
      </c>
      <c r="KQ132" s="103">
        <f t="shared" si="871"/>
        <v>3492.1090387374461</v>
      </c>
      <c r="KS132" s="143" t="s">
        <v>147</v>
      </c>
      <c r="KT132" s="247">
        <f t="shared" si="872"/>
        <v>3421.6216216216217</v>
      </c>
      <c r="KU132" s="247">
        <f t="shared" si="872"/>
        <v>3443.2432432432433</v>
      </c>
      <c r="KV132" s="247">
        <f t="shared" si="872"/>
        <v>3077.7202072538857</v>
      </c>
      <c r="KW132" s="247">
        <f t="shared" si="872"/>
        <v>3229.1666666666665</v>
      </c>
      <c r="KX132" s="247">
        <f t="shared" si="872"/>
        <v>3290.0662251655631</v>
      </c>
      <c r="KY132" s="623"/>
      <c r="KZ132" s="143" t="s">
        <v>147</v>
      </c>
      <c r="LA132" s="247">
        <f>IFERROR(LA27/LA86*1000,"")</f>
        <v>3361.7021276595747</v>
      </c>
      <c r="LB132" s="301">
        <v>3145</v>
      </c>
      <c r="LC132" s="301">
        <v>2911</v>
      </c>
      <c r="LD132" s="301">
        <v>2788</v>
      </c>
      <c r="LE132" s="301">
        <f>LE27/LE86*1000</f>
        <v>3052.9891304347825</v>
      </c>
      <c r="LF132" s="574"/>
      <c r="LG132" s="143" t="s">
        <v>147</v>
      </c>
      <c r="LH132" s="301">
        <v>2680</v>
      </c>
      <c r="LI132" s="301">
        <v>2635</v>
      </c>
      <c r="LJ132" s="301">
        <v>2663</v>
      </c>
      <c r="LK132" s="301">
        <v>2608</v>
      </c>
      <c r="LL132" s="301">
        <f>LL27/LL86*1000</f>
        <v>2646.2395543175489</v>
      </c>
      <c r="LM132" s="561"/>
      <c r="LN132" s="143" t="s">
        <v>147</v>
      </c>
      <c r="LO132" s="301">
        <f t="shared" ref="LO132:LR132" si="877">LO263</f>
        <v>2599.8255813953488</v>
      </c>
      <c r="LP132" s="301">
        <f t="shared" si="877"/>
        <v>2622.1823204419888</v>
      </c>
      <c r="LQ132" s="301">
        <f t="shared" si="877"/>
        <v>2657.717391304348</v>
      </c>
      <c r="LR132" s="301">
        <f t="shared" si="877"/>
        <v>2659.8895027624308</v>
      </c>
      <c r="LS132" s="301">
        <f>LS27/LS86*1000</f>
        <v>2635.4134025451654</v>
      </c>
      <c r="LT132" s="561"/>
      <c r="LU132" s="246" t="s">
        <v>147</v>
      </c>
      <c r="LV132" s="301">
        <f t="shared" ref="LV132:LY132" si="878">LV263</f>
        <v>2638.8229651162787</v>
      </c>
      <c r="LW132" s="301">
        <f t="shared" si="878"/>
        <v>2648.4041436464086</v>
      </c>
      <c r="LX132" s="301">
        <f t="shared" si="878"/>
        <v>2671.0059782608696</v>
      </c>
      <c r="LY132" s="301">
        <f t="shared" si="878"/>
        <v>2673.1889502762428</v>
      </c>
      <c r="LZ132" s="301">
        <f>LZ27/LZ86*1000</f>
        <v>2658.1261677825673</v>
      </c>
      <c r="MA132" s="561"/>
      <c r="MB132" s="246" t="s">
        <v>147</v>
      </c>
      <c r="MC132" s="301">
        <f t="shared" ref="MC132:MF132" si="879">MC263</f>
        <v>2652.0170799418597</v>
      </c>
      <c r="MD132" s="301">
        <f t="shared" si="879"/>
        <v>2661.6461643646403</v>
      </c>
      <c r="ME132" s="301">
        <f t="shared" si="879"/>
        <v>2697.7160380434784</v>
      </c>
      <c r="MF132" s="301">
        <f t="shared" si="879"/>
        <v>2699.9208397790053</v>
      </c>
      <c r="MG132" s="301">
        <f>MG27/MG86*1000</f>
        <v>2678.2005302270586</v>
      </c>
      <c r="MH132" s="561"/>
    </row>
    <row r="133" spans="1:346" s="37" customFormat="1" ht="13.15" hidden="1" outlineLevel="1" x14ac:dyDescent="0.4">
      <c r="A133" s="100"/>
      <c r="B133" s="128" t="s">
        <v>328</v>
      </c>
      <c r="C133" s="129" t="str">
        <f t="shared" ref="C133:M133" si="880">IFERROR(C28/C87*1000,"")</f>
        <v/>
      </c>
      <c r="D133" s="129" t="str">
        <f t="shared" si="880"/>
        <v/>
      </c>
      <c r="E133" s="129" t="str">
        <f t="shared" si="880"/>
        <v/>
      </c>
      <c r="F133" s="129" t="str">
        <f t="shared" si="880"/>
        <v/>
      </c>
      <c r="G133" s="129" t="str">
        <f t="shared" si="880"/>
        <v/>
      </c>
      <c r="H133" s="129" t="str">
        <f t="shared" si="880"/>
        <v/>
      </c>
      <c r="I133" s="129" t="str">
        <f t="shared" si="880"/>
        <v/>
      </c>
      <c r="J133" s="129" t="str">
        <f t="shared" si="880"/>
        <v/>
      </c>
      <c r="K133" s="129" t="str">
        <f t="shared" si="880"/>
        <v/>
      </c>
      <c r="L133" s="129" t="str">
        <f t="shared" si="880"/>
        <v/>
      </c>
      <c r="M133" s="129" t="str">
        <f t="shared" si="880"/>
        <v/>
      </c>
      <c r="N133" s="129" t="str">
        <f t="shared" si="761"/>
        <v/>
      </c>
      <c r="O133" s="129" t="str">
        <f t="shared" si="762"/>
        <v/>
      </c>
      <c r="P133" s="129" t="str">
        <f t="shared" si="763"/>
        <v/>
      </c>
      <c r="Q133" s="129" t="str">
        <f t="shared" si="764"/>
        <v/>
      </c>
      <c r="R133" s="129" t="str">
        <f t="shared" si="765"/>
        <v/>
      </c>
      <c r="S133" s="129" t="str">
        <f t="shared" si="766"/>
        <v/>
      </c>
      <c r="T133" s="129" t="str">
        <f t="shared" si="767"/>
        <v/>
      </c>
      <c r="U133" s="129" t="str">
        <f t="shared" si="768"/>
        <v/>
      </c>
      <c r="V133" s="129" t="str">
        <f t="shared" si="769"/>
        <v/>
      </c>
      <c r="W133" s="129">
        <f t="shared" si="770"/>
        <v>962.96296296296293</v>
      </c>
      <c r="X133" s="129">
        <f t="shared" si="771"/>
        <v>906.9767441860464</v>
      </c>
      <c r="Y133" s="129">
        <f t="shared" si="772"/>
        <v>1021.7391304347827</v>
      </c>
      <c r="Z133" s="129">
        <f t="shared" si="773"/>
        <v>1179.4871794871794</v>
      </c>
      <c r="AA133" s="129">
        <f t="shared" si="774"/>
        <v>814.28571428571433</v>
      </c>
      <c r="AB133" s="129">
        <f t="shared" si="775"/>
        <v>876.92307692307691</v>
      </c>
      <c r="AC133" s="129">
        <f t="shared" si="776"/>
        <v>929.57746478873241</v>
      </c>
      <c r="AD133" s="129">
        <f t="shared" si="777"/>
        <v>1060.2409638554218</v>
      </c>
      <c r="AE133" s="129">
        <f t="shared" si="778"/>
        <v>1265.9574468085107</v>
      </c>
      <c r="AF133" s="129">
        <f t="shared" si="779"/>
        <v>1318.6813186813188</v>
      </c>
      <c r="AG133" s="129">
        <f t="shared" si="780"/>
        <v>1750</v>
      </c>
      <c r="AH133" s="129">
        <f t="shared" si="781"/>
        <v>2382.9787234042551</v>
      </c>
      <c r="AI133" s="129" t="str">
        <f t="shared" si="782"/>
        <v/>
      </c>
      <c r="AJ133" s="129" t="str">
        <f t="shared" si="783"/>
        <v/>
      </c>
      <c r="AK133" s="129" t="str">
        <f t="shared" si="784"/>
        <v/>
      </c>
      <c r="AL133" s="129" t="str">
        <f t="shared" si="785"/>
        <v/>
      </c>
      <c r="AM133" s="129" t="str">
        <f t="shared" si="786"/>
        <v/>
      </c>
      <c r="AN133" s="129" t="str">
        <f t="shared" si="787"/>
        <v/>
      </c>
      <c r="AO133" s="129" t="str">
        <f t="shared" si="788"/>
        <v/>
      </c>
      <c r="AP133" s="129" t="str">
        <f t="shared" si="789"/>
        <v/>
      </c>
      <c r="AQ133" s="129" t="str">
        <f t="shared" si="790"/>
        <v/>
      </c>
      <c r="AR133" s="129" t="str">
        <f t="shared" si="791"/>
        <v/>
      </c>
      <c r="AS133" s="129" t="str">
        <f t="shared" si="792"/>
        <v/>
      </c>
      <c r="AT133" s="129" t="str">
        <f t="shared" si="793"/>
        <v/>
      </c>
      <c r="AU133" s="129" t="str">
        <f t="shared" si="794"/>
        <v/>
      </c>
      <c r="AV133" s="129" t="str">
        <f t="shared" si="795"/>
        <v/>
      </c>
      <c r="AW133" s="129">
        <f t="shared" si="796"/>
        <v>0</v>
      </c>
      <c r="AX133" s="129">
        <f t="shared" si="797"/>
        <v>0</v>
      </c>
      <c r="AY133" s="129">
        <f t="shared" si="798"/>
        <v>0</v>
      </c>
      <c r="AZ133" s="129">
        <f t="shared" si="799"/>
        <v>0</v>
      </c>
      <c r="BA133" s="129">
        <f t="shared" si="800"/>
        <v>0</v>
      </c>
      <c r="BB133" s="129"/>
      <c r="BC133" s="129"/>
      <c r="BD133" s="129"/>
      <c r="BE133" s="129"/>
      <c r="BF133" s="129"/>
      <c r="BG133" s="129"/>
      <c r="BH133" s="129"/>
      <c r="BI133" s="129"/>
      <c r="BJ133" s="129"/>
      <c r="BK133" s="129"/>
      <c r="BL133" s="129"/>
      <c r="BM133" s="129"/>
      <c r="BO133" s="128" t="s">
        <v>328</v>
      </c>
      <c r="BP133" s="61" t="str">
        <f t="shared" si="838"/>
        <v/>
      </c>
      <c r="BQ133" s="61" t="str">
        <f t="shared" si="838"/>
        <v/>
      </c>
      <c r="BR133" s="61" t="str">
        <f t="shared" si="838"/>
        <v/>
      </c>
      <c r="BS133" s="61" t="str">
        <f t="shared" si="838"/>
        <v/>
      </c>
      <c r="BT133" s="61" t="str">
        <f t="shared" si="838"/>
        <v/>
      </c>
      <c r="BV133" s="128" t="s">
        <v>328</v>
      </c>
      <c r="BW133" s="61" t="str">
        <f t="shared" si="839"/>
        <v/>
      </c>
      <c r="BX133" s="61" t="str">
        <f t="shared" si="839"/>
        <v/>
      </c>
      <c r="BY133" s="61" t="str">
        <f t="shared" si="839"/>
        <v/>
      </c>
      <c r="BZ133" s="61" t="str">
        <f t="shared" si="839"/>
        <v/>
      </c>
      <c r="CA133" s="61" t="str">
        <f t="shared" si="839"/>
        <v/>
      </c>
      <c r="CC133" s="128" t="s">
        <v>328</v>
      </c>
      <c r="CD133" s="61" t="str">
        <f t="shared" si="840"/>
        <v/>
      </c>
      <c r="CE133" s="61" t="str">
        <f t="shared" si="840"/>
        <v/>
      </c>
      <c r="CF133" s="61" t="str">
        <f t="shared" si="840"/>
        <v/>
      </c>
      <c r="CG133" s="61" t="str">
        <f t="shared" si="840"/>
        <v/>
      </c>
      <c r="CH133" s="61" t="str">
        <f t="shared" si="840"/>
        <v/>
      </c>
      <c r="CJ133" s="128" t="s">
        <v>328</v>
      </c>
      <c r="CK133" s="61" t="str">
        <f t="shared" si="841"/>
        <v/>
      </c>
      <c r="CL133" s="61" t="str">
        <f t="shared" si="841"/>
        <v/>
      </c>
      <c r="CM133" s="61" t="str">
        <f t="shared" si="841"/>
        <v/>
      </c>
      <c r="CN133" s="61" t="str">
        <f t="shared" si="841"/>
        <v/>
      </c>
      <c r="CO133" s="61" t="str">
        <f t="shared" si="841"/>
        <v/>
      </c>
      <c r="CQ133" s="128" t="s">
        <v>328</v>
      </c>
      <c r="CR133" s="61" t="str">
        <f t="shared" si="842"/>
        <v/>
      </c>
      <c r="CS133" s="61" t="str">
        <f t="shared" si="842"/>
        <v/>
      </c>
      <c r="CT133" s="61" t="str">
        <f t="shared" si="842"/>
        <v/>
      </c>
      <c r="CU133" s="61" t="str">
        <f t="shared" si="842"/>
        <v/>
      </c>
      <c r="CV133" s="61" t="str">
        <f t="shared" si="842"/>
        <v/>
      </c>
      <c r="CX133" s="128" t="s">
        <v>328</v>
      </c>
      <c r="CY133" s="61" t="str">
        <f t="shared" si="843"/>
        <v/>
      </c>
      <c r="CZ133" s="61" t="str">
        <f t="shared" si="843"/>
        <v/>
      </c>
      <c r="DA133" s="61" t="str">
        <f t="shared" si="843"/>
        <v/>
      </c>
      <c r="DB133" s="61" t="str">
        <f t="shared" si="843"/>
        <v/>
      </c>
      <c r="DC133" s="61" t="str">
        <f t="shared" si="843"/>
        <v/>
      </c>
      <c r="DE133" s="128" t="s">
        <v>328</v>
      </c>
      <c r="DF133" s="61" t="str">
        <f t="shared" si="844"/>
        <v/>
      </c>
      <c r="DG133" s="61" t="str">
        <f t="shared" si="844"/>
        <v/>
      </c>
      <c r="DH133" s="61" t="str">
        <f t="shared" si="844"/>
        <v/>
      </c>
      <c r="DI133" s="61" t="str">
        <f t="shared" si="844"/>
        <v/>
      </c>
      <c r="DJ133" s="61" t="str">
        <f t="shared" si="844"/>
        <v/>
      </c>
      <c r="DL133" s="128" t="s">
        <v>328</v>
      </c>
      <c r="DM133" s="61" t="str">
        <f t="shared" si="845"/>
        <v/>
      </c>
      <c r="DN133" s="61" t="str">
        <f t="shared" si="845"/>
        <v/>
      </c>
      <c r="DO133" s="61" t="str">
        <f t="shared" si="845"/>
        <v/>
      </c>
      <c r="DP133" s="61" t="str">
        <f t="shared" si="845"/>
        <v/>
      </c>
      <c r="DQ133" s="61" t="str">
        <f t="shared" si="845"/>
        <v/>
      </c>
      <c r="DS133" s="128" t="s">
        <v>328</v>
      </c>
      <c r="DT133" s="61" t="str">
        <f t="shared" si="846"/>
        <v/>
      </c>
      <c r="DU133" s="61" t="str">
        <f t="shared" si="846"/>
        <v/>
      </c>
      <c r="DV133" s="61" t="str">
        <f t="shared" si="846"/>
        <v/>
      </c>
      <c r="DW133" s="61" t="str">
        <f t="shared" si="846"/>
        <v/>
      </c>
      <c r="DX133" s="61" t="str">
        <f t="shared" si="846"/>
        <v/>
      </c>
      <c r="DZ133" s="128" t="s">
        <v>328</v>
      </c>
      <c r="EA133" s="61" t="str">
        <f t="shared" si="847"/>
        <v/>
      </c>
      <c r="EB133" s="61" t="str">
        <f t="shared" si="847"/>
        <v/>
      </c>
      <c r="EC133" s="61">
        <f t="shared" si="847"/>
        <v>1000</v>
      </c>
      <c r="ED133" s="61">
        <f t="shared" si="847"/>
        <v>923.07692307692309</v>
      </c>
      <c r="EE133" s="61">
        <f t="shared" si="847"/>
        <v>962.96296296296293</v>
      </c>
      <c r="EG133" s="128" t="s">
        <v>328</v>
      </c>
      <c r="EH133" s="61" t="str">
        <f t="shared" si="848"/>
        <v/>
      </c>
      <c r="EI133" s="61">
        <f t="shared" si="848"/>
        <v>866.66666666666674</v>
      </c>
      <c r="EJ133" s="61">
        <f t="shared" si="848"/>
        <v>933.33333333333337</v>
      </c>
      <c r="EK133" s="61">
        <f t="shared" si="848"/>
        <v>923.07692307692309</v>
      </c>
      <c r="EL133" s="61">
        <f t="shared" si="848"/>
        <v>906.9767441860464</v>
      </c>
      <c r="EN133" s="128" t="s">
        <v>328</v>
      </c>
      <c r="EO133" s="61">
        <f t="shared" si="849"/>
        <v>1000</v>
      </c>
      <c r="EP133" s="61">
        <f t="shared" si="849"/>
        <v>1083.3333333333333</v>
      </c>
      <c r="EQ133" s="61">
        <f t="shared" si="849"/>
        <v>916.66666666666663</v>
      </c>
      <c r="ER133" s="61">
        <f t="shared" si="849"/>
        <v>1100</v>
      </c>
      <c r="ES133" s="61">
        <f t="shared" si="849"/>
        <v>1021.7391304347827</v>
      </c>
      <c r="EU133" s="128" t="s">
        <v>328</v>
      </c>
      <c r="EV133" s="61">
        <f t="shared" si="850"/>
        <v>1100</v>
      </c>
      <c r="EW133" s="61">
        <f t="shared" si="850"/>
        <v>1181.818181818182</v>
      </c>
      <c r="EX133" s="61">
        <f t="shared" si="850"/>
        <v>1200</v>
      </c>
      <c r="EY133" s="61">
        <f t="shared" si="850"/>
        <v>1250</v>
      </c>
      <c r="EZ133" s="61">
        <f t="shared" si="850"/>
        <v>1179.4871794871794</v>
      </c>
      <c r="FB133" s="128" t="s">
        <v>328</v>
      </c>
      <c r="FC133" s="61">
        <f t="shared" si="851"/>
        <v>1333.3333333333333</v>
      </c>
      <c r="FD133" s="61">
        <f t="shared" si="851"/>
        <v>1055.5555555555557</v>
      </c>
      <c r="FE133" s="61">
        <f t="shared" si="851"/>
        <v>545.45454545454538</v>
      </c>
      <c r="FF133" s="61">
        <f t="shared" si="851"/>
        <v>555.55555555555554</v>
      </c>
      <c r="FG133" s="61">
        <f t="shared" si="851"/>
        <v>814.28571428571433</v>
      </c>
      <c r="FI133" s="128" t="s">
        <v>328</v>
      </c>
      <c r="FJ133" s="61">
        <f t="shared" si="852"/>
        <v>1083.3333333333333</v>
      </c>
      <c r="FK133" s="61">
        <f t="shared" si="852"/>
        <v>833.33333333333337</v>
      </c>
      <c r="FL133" s="61">
        <f t="shared" si="852"/>
        <v>823.52941176470586</v>
      </c>
      <c r="FM133" s="61">
        <f t="shared" si="852"/>
        <v>833.33333333333337</v>
      </c>
      <c r="FN133" s="61">
        <f t="shared" si="852"/>
        <v>876.92307692307691</v>
      </c>
      <c r="FP133" s="128" t="s">
        <v>328</v>
      </c>
      <c r="FQ133" s="61">
        <f t="shared" si="853"/>
        <v>1000</v>
      </c>
      <c r="FR133" s="61">
        <f t="shared" si="853"/>
        <v>941.17647058823525</v>
      </c>
      <c r="FS133" s="61">
        <f t="shared" si="853"/>
        <v>882.35294117647061</v>
      </c>
      <c r="FT133" s="61">
        <f t="shared" si="853"/>
        <v>900</v>
      </c>
      <c r="FU133" s="61">
        <f t="shared" si="853"/>
        <v>929.57746478873241</v>
      </c>
      <c r="FW133" s="128" t="s">
        <v>328</v>
      </c>
      <c r="FX133" s="61">
        <f t="shared" si="854"/>
        <v>1142.8571428571429</v>
      </c>
      <c r="FY133" s="61">
        <f t="shared" si="854"/>
        <v>1047.6190476190477</v>
      </c>
      <c r="FZ133" s="61">
        <f t="shared" si="854"/>
        <v>1050</v>
      </c>
      <c r="GA133" s="61">
        <f t="shared" si="854"/>
        <v>1000</v>
      </c>
      <c r="GB133" s="61">
        <f t="shared" si="854"/>
        <v>1060.2409638554218</v>
      </c>
      <c r="GD133" s="128" t="s">
        <v>328</v>
      </c>
      <c r="GE133" s="61">
        <f t="shared" si="855"/>
        <v>1350</v>
      </c>
      <c r="GF133" s="61">
        <f t="shared" si="855"/>
        <v>1291.6666666666667</v>
      </c>
      <c r="GG133" s="61">
        <f t="shared" si="855"/>
        <v>1291.6666666666667</v>
      </c>
      <c r="GH133" s="61">
        <f t="shared" si="855"/>
        <v>1153.8461538461538</v>
      </c>
      <c r="GI133" s="61">
        <f t="shared" si="855"/>
        <v>1265.9574468085107</v>
      </c>
      <c r="GK133" s="128" t="s">
        <v>328</v>
      </c>
      <c r="GL133" s="61">
        <f t="shared" si="856"/>
        <v>1428.5714285714287</v>
      </c>
      <c r="GM133" s="61">
        <f t="shared" si="856"/>
        <v>1291.6666666666667</v>
      </c>
      <c r="GN133" s="61">
        <f t="shared" si="856"/>
        <v>1250</v>
      </c>
      <c r="GO133" s="61">
        <f t="shared" si="856"/>
        <v>1318.181818181818</v>
      </c>
      <c r="GP133" s="61">
        <f t="shared" si="856"/>
        <v>1318.6813186813188</v>
      </c>
      <c r="GR133" s="128" t="s">
        <v>328</v>
      </c>
      <c r="GS133" s="61">
        <f t="shared" si="857"/>
        <v>1826.086956521739</v>
      </c>
      <c r="GT133" s="61">
        <f t="shared" si="857"/>
        <v>1740.7407407407406</v>
      </c>
      <c r="GU133" s="61">
        <f t="shared" si="857"/>
        <v>1714.2857142857142</v>
      </c>
      <c r="GV133" s="61">
        <f t="shared" si="857"/>
        <v>1727.2727272727273</v>
      </c>
      <c r="GW133" s="61">
        <f t="shared" si="857"/>
        <v>1750</v>
      </c>
      <c r="GY133" s="128" t="s">
        <v>328</v>
      </c>
      <c r="GZ133" s="61">
        <f t="shared" si="858"/>
        <v>1937.5</v>
      </c>
      <c r="HA133" s="61">
        <f t="shared" si="858"/>
        <v>1642.8571428571429</v>
      </c>
      <c r="HB133" s="61">
        <f t="shared" si="858"/>
        <v>1588.2352941176471</v>
      </c>
      <c r="HC133" s="61" t="str">
        <f t="shared" si="858"/>
        <v/>
      </c>
      <c r="HD133" s="61">
        <f t="shared" si="858"/>
        <v>2382.9787234042551</v>
      </c>
      <c r="HF133" s="128" t="s">
        <v>328</v>
      </c>
      <c r="HG133" s="61" t="str">
        <f t="shared" si="859"/>
        <v/>
      </c>
      <c r="HH133" s="61" t="str">
        <f t="shared" si="859"/>
        <v/>
      </c>
      <c r="HI133" s="61" t="str">
        <f t="shared" si="859"/>
        <v/>
      </c>
      <c r="HJ133" s="61" t="str">
        <f t="shared" si="859"/>
        <v/>
      </c>
      <c r="HK133" s="61" t="str">
        <f t="shared" si="859"/>
        <v/>
      </c>
      <c r="HM133" s="128" t="s">
        <v>328</v>
      </c>
      <c r="HN133" s="61" t="str">
        <f t="shared" si="860"/>
        <v/>
      </c>
      <c r="HO133" s="61" t="str">
        <f t="shared" si="860"/>
        <v/>
      </c>
      <c r="HP133" s="61" t="str">
        <f t="shared" si="860"/>
        <v/>
      </c>
      <c r="HQ133" s="61" t="str">
        <f t="shared" si="860"/>
        <v/>
      </c>
      <c r="HR133" s="61" t="str">
        <f t="shared" si="860"/>
        <v/>
      </c>
      <c r="HT133" s="128" t="s">
        <v>328</v>
      </c>
      <c r="HU133" s="61" t="str">
        <f t="shared" si="861"/>
        <v/>
      </c>
      <c r="HV133" s="61" t="str">
        <f t="shared" si="861"/>
        <v/>
      </c>
      <c r="HW133" s="61" t="str">
        <f t="shared" si="861"/>
        <v/>
      </c>
      <c r="HX133" s="61" t="str">
        <f t="shared" si="861"/>
        <v/>
      </c>
      <c r="HY133" s="61" t="str">
        <f t="shared" si="861"/>
        <v/>
      </c>
      <c r="IA133" s="128" t="s">
        <v>328</v>
      </c>
      <c r="IB133" s="61" t="str">
        <f t="shared" si="862"/>
        <v/>
      </c>
      <c r="IC133" s="61" t="str">
        <f t="shared" si="862"/>
        <v/>
      </c>
      <c r="ID133" s="61" t="str">
        <f t="shared" si="862"/>
        <v/>
      </c>
      <c r="IE133" s="61" t="str">
        <f t="shared" si="862"/>
        <v/>
      </c>
      <c r="IF133" s="61" t="str">
        <f t="shared" si="862"/>
        <v/>
      </c>
      <c r="IH133" s="128" t="s">
        <v>328</v>
      </c>
      <c r="II133" s="61" t="str">
        <f t="shared" si="863"/>
        <v/>
      </c>
      <c r="IJ133" s="61" t="str">
        <f t="shared" si="863"/>
        <v/>
      </c>
      <c r="IK133" s="61" t="str">
        <f t="shared" si="863"/>
        <v/>
      </c>
      <c r="IL133" s="61" t="str">
        <f t="shared" si="863"/>
        <v/>
      </c>
      <c r="IM133" s="61" t="str">
        <f t="shared" si="863"/>
        <v/>
      </c>
      <c r="IO133" s="128" t="s">
        <v>328</v>
      </c>
      <c r="IP133" s="61" t="str">
        <f t="shared" si="864"/>
        <v/>
      </c>
      <c r="IQ133" s="61" t="str">
        <f t="shared" si="864"/>
        <v/>
      </c>
      <c r="IR133" s="61" t="str">
        <f t="shared" si="864"/>
        <v/>
      </c>
      <c r="IS133" s="61" t="str">
        <f t="shared" si="864"/>
        <v/>
      </c>
      <c r="IT133" s="61" t="str">
        <f t="shared" si="864"/>
        <v/>
      </c>
      <c r="IV133" s="128" t="s">
        <v>328</v>
      </c>
      <c r="IW133" s="61" t="str">
        <f t="shared" si="865"/>
        <v/>
      </c>
      <c r="IX133" s="61" t="str">
        <f t="shared" si="865"/>
        <v/>
      </c>
      <c r="IY133" s="61" t="str">
        <f t="shared" si="865"/>
        <v/>
      </c>
      <c r="IZ133" s="61" t="str">
        <f t="shared" si="865"/>
        <v/>
      </c>
      <c r="JA133" s="61" t="str">
        <f t="shared" si="865"/>
        <v/>
      </c>
      <c r="JC133" s="128" t="s">
        <v>328</v>
      </c>
      <c r="JD133" s="61" t="str">
        <f t="shared" si="866"/>
        <v/>
      </c>
      <c r="JE133" s="61" t="str">
        <f t="shared" si="866"/>
        <v/>
      </c>
      <c r="JF133" s="61" t="str">
        <f t="shared" si="866"/>
        <v/>
      </c>
      <c r="JG133" s="61" t="str">
        <f t="shared" si="866"/>
        <v/>
      </c>
      <c r="JH133" s="61" t="str">
        <f t="shared" si="866"/>
        <v/>
      </c>
      <c r="JJ133" s="128" t="s">
        <v>328</v>
      </c>
      <c r="JK133" s="61" t="str">
        <f t="shared" si="867"/>
        <v/>
      </c>
      <c r="JL133" s="61" t="str">
        <f t="shared" si="867"/>
        <v/>
      </c>
      <c r="JM133" s="61" t="str">
        <f t="shared" si="867"/>
        <v/>
      </c>
      <c r="JN133" s="61" t="str">
        <f t="shared" si="867"/>
        <v/>
      </c>
      <c r="JO133" s="61" t="str">
        <f t="shared" si="867"/>
        <v/>
      </c>
      <c r="JQ133" s="128" t="s">
        <v>328</v>
      </c>
      <c r="JR133" s="61" t="str">
        <f t="shared" si="868"/>
        <v/>
      </c>
      <c r="JS133" s="61" t="str">
        <f t="shared" si="868"/>
        <v/>
      </c>
      <c r="JT133" s="61" t="str">
        <f t="shared" si="868"/>
        <v/>
      </c>
      <c r="JU133" s="61" t="str">
        <f t="shared" si="868"/>
        <v/>
      </c>
      <c r="JV133" s="61" t="str">
        <f t="shared" si="868"/>
        <v/>
      </c>
      <c r="JX133" s="128" t="s">
        <v>328</v>
      </c>
      <c r="JY133" s="61" t="str">
        <f t="shared" si="869"/>
        <v/>
      </c>
      <c r="JZ133" s="61" t="str">
        <f t="shared" si="869"/>
        <v/>
      </c>
      <c r="KA133" s="61" t="str">
        <f t="shared" si="869"/>
        <v/>
      </c>
      <c r="KB133" s="61" t="str">
        <f t="shared" si="869"/>
        <v/>
      </c>
      <c r="KC133" s="61" t="str">
        <f t="shared" si="869"/>
        <v/>
      </c>
      <c r="KE133" s="128" t="s">
        <v>328</v>
      </c>
      <c r="KF133" s="61" t="str">
        <f t="shared" si="870"/>
        <v/>
      </c>
      <c r="KG133" s="61" t="str">
        <f t="shared" si="870"/>
        <v/>
      </c>
      <c r="KH133" s="61" t="str">
        <f t="shared" si="870"/>
        <v/>
      </c>
      <c r="KI133" s="61" t="str">
        <f t="shared" si="870"/>
        <v/>
      </c>
      <c r="KJ133" s="61" t="str">
        <f t="shared" si="870"/>
        <v/>
      </c>
      <c r="KL133" s="128" t="s">
        <v>328</v>
      </c>
      <c r="KM133" s="61" t="str">
        <f t="shared" si="871"/>
        <v/>
      </c>
      <c r="KN133" s="61" t="str">
        <f t="shared" si="871"/>
        <v/>
      </c>
      <c r="KO133" s="61" t="str">
        <f t="shared" si="871"/>
        <v/>
      </c>
      <c r="KP133" s="61" t="str">
        <f t="shared" si="871"/>
        <v/>
      </c>
      <c r="KQ133" s="61" t="str">
        <f t="shared" si="871"/>
        <v/>
      </c>
      <c r="KS133" s="128" t="s">
        <v>328</v>
      </c>
      <c r="KT133" s="61" t="str">
        <f t="shared" si="872"/>
        <v/>
      </c>
      <c r="KU133" s="61" t="str">
        <f t="shared" si="872"/>
        <v/>
      </c>
      <c r="KV133" s="129" t="str">
        <f t="shared" si="872"/>
        <v/>
      </c>
      <c r="KW133" s="61" t="str">
        <f t="shared" si="872"/>
        <v/>
      </c>
      <c r="KX133" s="61" t="str">
        <f t="shared" si="872"/>
        <v/>
      </c>
      <c r="KZ133" s="128" t="s">
        <v>328</v>
      </c>
      <c r="LA133" s="523"/>
      <c r="LB133" s="524"/>
      <c r="LC133" s="524"/>
      <c r="LD133" s="524"/>
      <c r="LE133" s="524"/>
      <c r="LF133" s="561"/>
      <c r="LG133" s="128" t="s">
        <v>328</v>
      </c>
      <c r="LH133" s="524"/>
      <c r="LI133" s="129"/>
      <c r="LJ133" s="129"/>
      <c r="LK133" s="129"/>
      <c r="LL133" s="129"/>
      <c r="LM133" s="561"/>
      <c r="LN133" s="128" t="s">
        <v>328</v>
      </c>
      <c r="LO133" s="129"/>
      <c r="LP133" s="129"/>
      <c r="LQ133" s="129"/>
      <c r="LR133" s="129"/>
      <c r="LS133" s="129"/>
      <c r="LT133" s="561"/>
      <c r="LU133" s="128" t="s">
        <v>328</v>
      </c>
      <c r="LV133" s="129"/>
      <c r="LW133" s="129"/>
      <c r="LX133" s="129"/>
      <c r="LY133" s="129"/>
      <c r="LZ133" s="129"/>
      <c r="MA133" s="561"/>
      <c r="MB133" s="128" t="s">
        <v>328</v>
      </c>
      <c r="MC133" s="129"/>
      <c r="MD133" s="129"/>
      <c r="ME133" s="129"/>
      <c r="MF133" s="129"/>
      <c r="MG133" s="129"/>
      <c r="MH133" s="561"/>
    </row>
    <row r="134" spans="1:346" s="37" customFormat="1" ht="13.15" hidden="1" outlineLevel="1" x14ac:dyDescent="0.4">
      <c r="A134" s="100"/>
      <c r="B134" s="128" t="s">
        <v>329</v>
      </c>
      <c r="C134" s="129" t="str">
        <f t="shared" ref="C134:M134" si="881">IFERROR(C29/C88*1000,"")</f>
        <v/>
      </c>
      <c r="D134" s="129" t="str">
        <f t="shared" si="881"/>
        <v/>
      </c>
      <c r="E134" s="129" t="str">
        <f t="shared" si="881"/>
        <v/>
      </c>
      <c r="F134" s="129" t="str">
        <f t="shared" si="881"/>
        <v/>
      </c>
      <c r="G134" s="129" t="str">
        <f t="shared" si="881"/>
        <v/>
      </c>
      <c r="H134" s="129" t="str">
        <f t="shared" si="881"/>
        <v/>
      </c>
      <c r="I134" s="129" t="str">
        <f t="shared" si="881"/>
        <v/>
      </c>
      <c r="J134" s="129" t="str">
        <f t="shared" si="881"/>
        <v/>
      </c>
      <c r="K134" s="129" t="str">
        <f t="shared" si="881"/>
        <v/>
      </c>
      <c r="L134" s="129" t="str">
        <f t="shared" si="881"/>
        <v/>
      </c>
      <c r="M134" s="129" t="str">
        <f t="shared" si="881"/>
        <v/>
      </c>
      <c r="N134" s="129" t="str">
        <f t="shared" si="761"/>
        <v/>
      </c>
      <c r="O134" s="129" t="str">
        <f t="shared" si="762"/>
        <v/>
      </c>
      <c r="P134" s="129" t="str">
        <f t="shared" si="763"/>
        <v/>
      </c>
      <c r="Q134" s="129" t="str">
        <f t="shared" si="764"/>
        <v/>
      </c>
      <c r="R134" s="129" t="str">
        <f t="shared" si="765"/>
        <v/>
      </c>
      <c r="S134" s="129" t="str">
        <f t="shared" si="766"/>
        <v/>
      </c>
      <c r="T134" s="129" t="str">
        <f t="shared" si="767"/>
        <v/>
      </c>
      <c r="U134" s="129" t="str">
        <f t="shared" si="768"/>
        <v/>
      </c>
      <c r="V134" s="129" t="str">
        <f t="shared" si="769"/>
        <v/>
      </c>
      <c r="W134" s="129">
        <f t="shared" si="770"/>
        <v>535.71428571428567</v>
      </c>
      <c r="X134" s="129">
        <f t="shared" si="771"/>
        <v>574.07407407407402</v>
      </c>
      <c r="Y134" s="129">
        <f t="shared" si="772"/>
        <v>612.24489795918373</v>
      </c>
      <c r="Z134" s="129">
        <f t="shared" si="773"/>
        <v>578.9473684210526</v>
      </c>
      <c r="AA134" s="129" t="str">
        <f t="shared" si="774"/>
        <v/>
      </c>
      <c r="AB134" s="129" t="str">
        <f t="shared" si="775"/>
        <v/>
      </c>
      <c r="AC134" s="129" t="str">
        <f t="shared" si="776"/>
        <v/>
      </c>
      <c r="AD134" s="129" t="str">
        <f t="shared" si="777"/>
        <v/>
      </c>
      <c r="AE134" s="129" t="str">
        <f t="shared" si="778"/>
        <v/>
      </c>
      <c r="AF134" s="129" t="str">
        <f t="shared" si="779"/>
        <v/>
      </c>
      <c r="AG134" s="129" t="str">
        <f t="shared" si="780"/>
        <v/>
      </c>
      <c r="AH134" s="129" t="str">
        <f t="shared" si="781"/>
        <v/>
      </c>
      <c r="AI134" s="129" t="str">
        <f t="shared" si="782"/>
        <v/>
      </c>
      <c r="AJ134" s="129" t="str">
        <f t="shared" si="783"/>
        <v/>
      </c>
      <c r="AK134" s="129" t="str">
        <f t="shared" si="784"/>
        <v/>
      </c>
      <c r="AL134" s="129" t="str">
        <f t="shared" si="785"/>
        <v/>
      </c>
      <c r="AM134" s="129" t="str">
        <f t="shared" si="786"/>
        <v/>
      </c>
      <c r="AN134" s="129" t="str">
        <f t="shared" si="787"/>
        <v/>
      </c>
      <c r="AO134" s="129" t="str">
        <f t="shared" si="788"/>
        <v/>
      </c>
      <c r="AP134" s="129" t="str">
        <f t="shared" si="789"/>
        <v/>
      </c>
      <c r="AQ134" s="129" t="str">
        <f t="shared" si="790"/>
        <v/>
      </c>
      <c r="AR134" s="129" t="str">
        <f t="shared" si="791"/>
        <v/>
      </c>
      <c r="AS134" s="129" t="str">
        <f t="shared" si="792"/>
        <v/>
      </c>
      <c r="AT134" s="129" t="str">
        <f t="shared" si="793"/>
        <v/>
      </c>
      <c r="AU134" s="129" t="str">
        <f t="shared" si="794"/>
        <v/>
      </c>
      <c r="AV134" s="129" t="str">
        <f t="shared" si="795"/>
        <v/>
      </c>
      <c r="AW134" s="129">
        <f t="shared" si="796"/>
        <v>0</v>
      </c>
      <c r="AX134" s="129">
        <f t="shared" si="797"/>
        <v>0</v>
      </c>
      <c r="AY134" s="129">
        <f t="shared" si="798"/>
        <v>0</v>
      </c>
      <c r="AZ134" s="129">
        <f t="shared" si="799"/>
        <v>0</v>
      </c>
      <c r="BA134" s="129">
        <f t="shared" si="800"/>
        <v>0</v>
      </c>
      <c r="BB134" s="129"/>
      <c r="BC134" s="129"/>
      <c r="BD134" s="129"/>
      <c r="BE134" s="129"/>
      <c r="BF134" s="129"/>
      <c r="BG134" s="129"/>
      <c r="BH134" s="129"/>
      <c r="BI134" s="129"/>
      <c r="BJ134" s="129"/>
      <c r="BK134" s="129"/>
      <c r="BL134" s="129"/>
      <c r="BM134" s="129"/>
      <c r="BO134" s="128" t="s">
        <v>329</v>
      </c>
      <c r="BP134" s="61" t="str">
        <f t="shared" si="838"/>
        <v/>
      </c>
      <c r="BQ134" s="61" t="str">
        <f t="shared" si="838"/>
        <v/>
      </c>
      <c r="BR134" s="61" t="str">
        <f t="shared" si="838"/>
        <v/>
      </c>
      <c r="BS134" s="61" t="str">
        <f t="shared" si="838"/>
        <v/>
      </c>
      <c r="BT134" s="61" t="str">
        <f t="shared" si="838"/>
        <v/>
      </c>
      <c r="BV134" s="128" t="s">
        <v>329</v>
      </c>
      <c r="BW134" s="61" t="str">
        <f t="shared" si="839"/>
        <v/>
      </c>
      <c r="BX134" s="61" t="str">
        <f t="shared" si="839"/>
        <v/>
      </c>
      <c r="BY134" s="61" t="str">
        <f t="shared" si="839"/>
        <v/>
      </c>
      <c r="BZ134" s="61" t="str">
        <f t="shared" si="839"/>
        <v/>
      </c>
      <c r="CA134" s="61" t="str">
        <f t="shared" si="839"/>
        <v/>
      </c>
      <c r="CC134" s="128" t="s">
        <v>329</v>
      </c>
      <c r="CD134" s="61" t="str">
        <f t="shared" si="840"/>
        <v/>
      </c>
      <c r="CE134" s="61" t="str">
        <f t="shared" si="840"/>
        <v/>
      </c>
      <c r="CF134" s="61" t="str">
        <f t="shared" si="840"/>
        <v/>
      </c>
      <c r="CG134" s="61" t="str">
        <f t="shared" si="840"/>
        <v/>
      </c>
      <c r="CH134" s="61" t="str">
        <f t="shared" si="840"/>
        <v/>
      </c>
      <c r="CJ134" s="128" t="s">
        <v>329</v>
      </c>
      <c r="CK134" s="61" t="str">
        <f t="shared" si="841"/>
        <v/>
      </c>
      <c r="CL134" s="61" t="str">
        <f t="shared" si="841"/>
        <v/>
      </c>
      <c r="CM134" s="61" t="str">
        <f t="shared" si="841"/>
        <v/>
      </c>
      <c r="CN134" s="61" t="str">
        <f t="shared" si="841"/>
        <v/>
      </c>
      <c r="CO134" s="61" t="str">
        <f t="shared" si="841"/>
        <v/>
      </c>
      <c r="CQ134" s="128" t="s">
        <v>329</v>
      </c>
      <c r="CR134" s="61" t="str">
        <f t="shared" si="842"/>
        <v/>
      </c>
      <c r="CS134" s="61" t="str">
        <f t="shared" si="842"/>
        <v/>
      </c>
      <c r="CT134" s="61" t="str">
        <f t="shared" si="842"/>
        <v/>
      </c>
      <c r="CU134" s="61" t="str">
        <f t="shared" si="842"/>
        <v/>
      </c>
      <c r="CV134" s="61" t="str">
        <f t="shared" si="842"/>
        <v/>
      </c>
      <c r="CX134" s="128" t="s">
        <v>329</v>
      </c>
      <c r="CY134" s="61" t="str">
        <f t="shared" si="843"/>
        <v/>
      </c>
      <c r="CZ134" s="61" t="str">
        <f t="shared" si="843"/>
        <v/>
      </c>
      <c r="DA134" s="61" t="str">
        <f t="shared" si="843"/>
        <v/>
      </c>
      <c r="DB134" s="61" t="str">
        <f t="shared" si="843"/>
        <v/>
      </c>
      <c r="DC134" s="61" t="str">
        <f t="shared" si="843"/>
        <v/>
      </c>
      <c r="DE134" s="128" t="s">
        <v>329</v>
      </c>
      <c r="DF134" s="61" t="str">
        <f t="shared" si="844"/>
        <v/>
      </c>
      <c r="DG134" s="61" t="str">
        <f t="shared" si="844"/>
        <v/>
      </c>
      <c r="DH134" s="61" t="str">
        <f t="shared" si="844"/>
        <v/>
      </c>
      <c r="DI134" s="61" t="str">
        <f t="shared" si="844"/>
        <v/>
      </c>
      <c r="DJ134" s="61" t="str">
        <f t="shared" si="844"/>
        <v/>
      </c>
      <c r="DL134" s="128" t="s">
        <v>329</v>
      </c>
      <c r="DM134" s="61" t="str">
        <f t="shared" si="845"/>
        <v/>
      </c>
      <c r="DN134" s="61" t="str">
        <f t="shared" si="845"/>
        <v/>
      </c>
      <c r="DO134" s="61" t="str">
        <f t="shared" si="845"/>
        <v/>
      </c>
      <c r="DP134" s="61" t="str">
        <f t="shared" si="845"/>
        <v/>
      </c>
      <c r="DQ134" s="61" t="str">
        <f t="shared" si="845"/>
        <v/>
      </c>
      <c r="DS134" s="128" t="s">
        <v>329</v>
      </c>
      <c r="DT134" s="61" t="str">
        <f t="shared" si="846"/>
        <v/>
      </c>
      <c r="DU134" s="61" t="str">
        <f t="shared" si="846"/>
        <v/>
      </c>
      <c r="DV134" s="61" t="str">
        <f t="shared" si="846"/>
        <v/>
      </c>
      <c r="DW134" s="61" t="str">
        <f t="shared" si="846"/>
        <v/>
      </c>
      <c r="DX134" s="61" t="str">
        <f t="shared" si="846"/>
        <v/>
      </c>
      <c r="DZ134" s="128" t="s">
        <v>329</v>
      </c>
      <c r="EA134" s="61" t="str">
        <f t="shared" si="847"/>
        <v/>
      </c>
      <c r="EB134" s="61" t="str">
        <f t="shared" si="847"/>
        <v/>
      </c>
      <c r="EC134" s="61">
        <f t="shared" si="847"/>
        <v>538.46153846153845</v>
      </c>
      <c r="ED134" s="61">
        <f t="shared" si="847"/>
        <v>533.33333333333337</v>
      </c>
      <c r="EE134" s="61">
        <f t="shared" si="847"/>
        <v>535.71428571428567</v>
      </c>
      <c r="EG134" s="128" t="s">
        <v>329</v>
      </c>
      <c r="EH134" s="61" t="str">
        <f t="shared" si="848"/>
        <v/>
      </c>
      <c r="EI134" s="61">
        <f t="shared" si="848"/>
        <v>590.90909090909099</v>
      </c>
      <c r="EJ134" s="61">
        <f t="shared" si="848"/>
        <v>578.9473684210526</v>
      </c>
      <c r="EK134" s="61">
        <f t="shared" si="848"/>
        <v>538.46153846153845</v>
      </c>
      <c r="EL134" s="61">
        <f t="shared" si="848"/>
        <v>574.07407407407402</v>
      </c>
      <c r="EN134" s="128" t="s">
        <v>329</v>
      </c>
      <c r="EO134" s="61">
        <f t="shared" si="849"/>
        <v>875</v>
      </c>
      <c r="EP134" s="61">
        <f t="shared" si="849"/>
        <v>538.46153846153845</v>
      </c>
      <c r="EQ134" s="61">
        <f t="shared" si="849"/>
        <v>571.42857142857144</v>
      </c>
      <c r="ER134" s="61">
        <f t="shared" si="849"/>
        <v>571.42857142857144</v>
      </c>
      <c r="ES134" s="61">
        <f t="shared" si="849"/>
        <v>612.24489795918373</v>
      </c>
      <c r="EU134" s="128" t="s">
        <v>329</v>
      </c>
      <c r="EV134" s="61">
        <f t="shared" si="850"/>
        <v>600</v>
      </c>
      <c r="EW134" s="61">
        <f t="shared" si="850"/>
        <v>615.38461538461547</v>
      </c>
      <c r="EX134" s="61">
        <f t="shared" si="850"/>
        <v>500</v>
      </c>
      <c r="EY134" s="61">
        <f t="shared" si="850"/>
        <v>625</v>
      </c>
      <c r="EZ134" s="61">
        <f t="shared" si="850"/>
        <v>578.9473684210526</v>
      </c>
      <c r="FB134" s="128" t="s">
        <v>329</v>
      </c>
      <c r="FC134" s="61" t="str">
        <f t="shared" si="851"/>
        <v/>
      </c>
      <c r="FD134" s="61" t="str">
        <f t="shared" si="851"/>
        <v/>
      </c>
      <c r="FE134" s="61" t="str">
        <f t="shared" si="851"/>
        <v/>
      </c>
      <c r="FF134" s="61" t="str">
        <f t="shared" si="851"/>
        <v/>
      </c>
      <c r="FG134" s="61" t="str">
        <f t="shared" si="851"/>
        <v/>
      </c>
      <c r="FI134" s="128" t="s">
        <v>329</v>
      </c>
      <c r="FJ134" s="61" t="str">
        <f t="shared" si="852"/>
        <v/>
      </c>
      <c r="FK134" s="61" t="str">
        <f t="shared" si="852"/>
        <v/>
      </c>
      <c r="FL134" s="61" t="str">
        <f t="shared" si="852"/>
        <v/>
      </c>
      <c r="FM134" s="61" t="str">
        <f t="shared" si="852"/>
        <v/>
      </c>
      <c r="FN134" s="61" t="str">
        <f t="shared" si="852"/>
        <v/>
      </c>
      <c r="FP134" s="128" t="s">
        <v>329</v>
      </c>
      <c r="FQ134" s="61" t="str">
        <f t="shared" si="853"/>
        <v/>
      </c>
      <c r="FR134" s="61" t="str">
        <f t="shared" si="853"/>
        <v/>
      </c>
      <c r="FS134" s="61" t="str">
        <f t="shared" si="853"/>
        <v/>
      </c>
      <c r="FT134" s="61" t="str">
        <f t="shared" si="853"/>
        <v/>
      </c>
      <c r="FU134" s="61" t="str">
        <f t="shared" si="853"/>
        <v/>
      </c>
      <c r="FW134" s="128" t="s">
        <v>329</v>
      </c>
      <c r="FX134" s="61" t="str">
        <f t="shared" si="854"/>
        <v/>
      </c>
      <c r="FY134" s="61" t="str">
        <f t="shared" si="854"/>
        <v/>
      </c>
      <c r="FZ134" s="61" t="str">
        <f t="shared" si="854"/>
        <v/>
      </c>
      <c r="GA134" s="61" t="str">
        <f t="shared" si="854"/>
        <v/>
      </c>
      <c r="GB134" s="61" t="str">
        <f t="shared" si="854"/>
        <v/>
      </c>
      <c r="GD134" s="128" t="s">
        <v>329</v>
      </c>
      <c r="GE134" s="61" t="str">
        <f t="shared" si="855"/>
        <v/>
      </c>
      <c r="GF134" s="61" t="str">
        <f t="shared" si="855"/>
        <v/>
      </c>
      <c r="GG134" s="61" t="str">
        <f t="shared" si="855"/>
        <v/>
      </c>
      <c r="GH134" s="61" t="str">
        <f t="shared" si="855"/>
        <v/>
      </c>
      <c r="GI134" s="61" t="str">
        <f t="shared" si="855"/>
        <v/>
      </c>
      <c r="GK134" s="128" t="s">
        <v>329</v>
      </c>
      <c r="GL134" s="61" t="str">
        <f t="shared" si="856"/>
        <v/>
      </c>
      <c r="GM134" s="61" t="str">
        <f t="shared" si="856"/>
        <v/>
      </c>
      <c r="GN134" s="61" t="str">
        <f t="shared" si="856"/>
        <v/>
      </c>
      <c r="GO134" s="61" t="str">
        <f t="shared" si="856"/>
        <v/>
      </c>
      <c r="GP134" s="61" t="str">
        <f t="shared" si="856"/>
        <v/>
      </c>
      <c r="GR134" s="128" t="s">
        <v>329</v>
      </c>
      <c r="GS134" s="61" t="str">
        <f t="shared" si="857"/>
        <v/>
      </c>
      <c r="GT134" s="61" t="str">
        <f t="shared" si="857"/>
        <v/>
      </c>
      <c r="GU134" s="61" t="str">
        <f t="shared" si="857"/>
        <v/>
      </c>
      <c r="GV134" s="61" t="str">
        <f t="shared" si="857"/>
        <v/>
      </c>
      <c r="GW134" s="61" t="str">
        <f t="shared" si="857"/>
        <v/>
      </c>
      <c r="GY134" s="128" t="s">
        <v>329</v>
      </c>
      <c r="GZ134" s="61" t="str">
        <f t="shared" si="858"/>
        <v/>
      </c>
      <c r="HA134" s="61" t="str">
        <f t="shared" si="858"/>
        <v/>
      </c>
      <c r="HB134" s="61" t="str">
        <f t="shared" si="858"/>
        <v/>
      </c>
      <c r="HC134" s="61" t="str">
        <f t="shared" si="858"/>
        <v/>
      </c>
      <c r="HD134" s="61" t="str">
        <f t="shared" si="858"/>
        <v/>
      </c>
      <c r="HF134" s="128" t="s">
        <v>329</v>
      </c>
      <c r="HG134" s="61" t="str">
        <f t="shared" si="859"/>
        <v/>
      </c>
      <c r="HH134" s="61" t="str">
        <f t="shared" si="859"/>
        <v/>
      </c>
      <c r="HI134" s="61" t="str">
        <f t="shared" si="859"/>
        <v/>
      </c>
      <c r="HJ134" s="61" t="str">
        <f t="shared" si="859"/>
        <v/>
      </c>
      <c r="HK134" s="61" t="str">
        <f t="shared" si="859"/>
        <v/>
      </c>
      <c r="HM134" s="128" t="s">
        <v>329</v>
      </c>
      <c r="HN134" s="61" t="str">
        <f t="shared" si="860"/>
        <v/>
      </c>
      <c r="HO134" s="61" t="str">
        <f t="shared" si="860"/>
        <v/>
      </c>
      <c r="HP134" s="61" t="str">
        <f t="shared" si="860"/>
        <v/>
      </c>
      <c r="HQ134" s="61" t="str">
        <f t="shared" si="860"/>
        <v/>
      </c>
      <c r="HR134" s="61" t="str">
        <f t="shared" si="860"/>
        <v/>
      </c>
      <c r="HT134" s="128" t="s">
        <v>329</v>
      </c>
      <c r="HU134" s="61" t="str">
        <f t="shared" si="861"/>
        <v/>
      </c>
      <c r="HV134" s="61" t="str">
        <f t="shared" si="861"/>
        <v/>
      </c>
      <c r="HW134" s="61" t="str">
        <f t="shared" si="861"/>
        <v/>
      </c>
      <c r="HX134" s="61" t="str">
        <f t="shared" si="861"/>
        <v/>
      </c>
      <c r="HY134" s="61" t="str">
        <f t="shared" si="861"/>
        <v/>
      </c>
      <c r="IA134" s="128" t="s">
        <v>329</v>
      </c>
      <c r="IB134" s="61" t="str">
        <f t="shared" si="862"/>
        <v/>
      </c>
      <c r="IC134" s="61" t="str">
        <f t="shared" si="862"/>
        <v/>
      </c>
      <c r="ID134" s="61" t="str">
        <f t="shared" si="862"/>
        <v/>
      </c>
      <c r="IE134" s="61" t="str">
        <f t="shared" si="862"/>
        <v/>
      </c>
      <c r="IF134" s="61" t="str">
        <f t="shared" si="862"/>
        <v/>
      </c>
      <c r="IH134" s="128" t="s">
        <v>329</v>
      </c>
      <c r="II134" s="61" t="str">
        <f t="shared" si="863"/>
        <v/>
      </c>
      <c r="IJ134" s="61" t="str">
        <f t="shared" si="863"/>
        <v/>
      </c>
      <c r="IK134" s="61" t="str">
        <f t="shared" si="863"/>
        <v/>
      </c>
      <c r="IL134" s="61" t="str">
        <f t="shared" si="863"/>
        <v/>
      </c>
      <c r="IM134" s="61" t="str">
        <f t="shared" si="863"/>
        <v/>
      </c>
      <c r="IO134" s="128" t="s">
        <v>329</v>
      </c>
      <c r="IP134" s="61" t="str">
        <f t="shared" si="864"/>
        <v/>
      </c>
      <c r="IQ134" s="61" t="str">
        <f t="shared" si="864"/>
        <v/>
      </c>
      <c r="IR134" s="61" t="str">
        <f t="shared" si="864"/>
        <v/>
      </c>
      <c r="IS134" s="61" t="str">
        <f t="shared" si="864"/>
        <v/>
      </c>
      <c r="IT134" s="61" t="str">
        <f t="shared" si="864"/>
        <v/>
      </c>
      <c r="IV134" s="128" t="s">
        <v>329</v>
      </c>
      <c r="IW134" s="61" t="str">
        <f t="shared" si="865"/>
        <v/>
      </c>
      <c r="IX134" s="61" t="str">
        <f t="shared" si="865"/>
        <v/>
      </c>
      <c r="IY134" s="61" t="str">
        <f t="shared" si="865"/>
        <v/>
      </c>
      <c r="IZ134" s="61" t="str">
        <f t="shared" si="865"/>
        <v/>
      </c>
      <c r="JA134" s="61" t="str">
        <f t="shared" si="865"/>
        <v/>
      </c>
      <c r="JC134" s="128" t="s">
        <v>329</v>
      </c>
      <c r="JD134" s="61" t="str">
        <f t="shared" si="866"/>
        <v/>
      </c>
      <c r="JE134" s="61" t="str">
        <f t="shared" si="866"/>
        <v/>
      </c>
      <c r="JF134" s="61" t="str">
        <f t="shared" si="866"/>
        <v/>
      </c>
      <c r="JG134" s="61" t="str">
        <f t="shared" si="866"/>
        <v/>
      </c>
      <c r="JH134" s="61" t="str">
        <f t="shared" si="866"/>
        <v/>
      </c>
      <c r="JJ134" s="128" t="s">
        <v>329</v>
      </c>
      <c r="JK134" s="61" t="str">
        <f t="shared" si="867"/>
        <v/>
      </c>
      <c r="JL134" s="61" t="str">
        <f t="shared" si="867"/>
        <v/>
      </c>
      <c r="JM134" s="61" t="str">
        <f t="shared" si="867"/>
        <v/>
      </c>
      <c r="JN134" s="61" t="str">
        <f t="shared" si="867"/>
        <v/>
      </c>
      <c r="JO134" s="61" t="str">
        <f t="shared" si="867"/>
        <v/>
      </c>
      <c r="JQ134" s="128" t="s">
        <v>329</v>
      </c>
      <c r="JR134" s="61" t="str">
        <f t="shared" si="868"/>
        <v/>
      </c>
      <c r="JS134" s="61" t="str">
        <f t="shared" si="868"/>
        <v/>
      </c>
      <c r="JT134" s="61" t="str">
        <f t="shared" si="868"/>
        <v/>
      </c>
      <c r="JU134" s="61" t="str">
        <f t="shared" si="868"/>
        <v/>
      </c>
      <c r="JV134" s="61" t="str">
        <f t="shared" si="868"/>
        <v/>
      </c>
      <c r="JX134" s="128" t="s">
        <v>329</v>
      </c>
      <c r="JY134" s="61" t="str">
        <f t="shared" si="869"/>
        <v/>
      </c>
      <c r="JZ134" s="61" t="str">
        <f t="shared" si="869"/>
        <v/>
      </c>
      <c r="KA134" s="61" t="str">
        <f t="shared" si="869"/>
        <v/>
      </c>
      <c r="KB134" s="61" t="str">
        <f t="shared" si="869"/>
        <v/>
      </c>
      <c r="KC134" s="61" t="str">
        <f t="shared" si="869"/>
        <v/>
      </c>
      <c r="KE134" s="128" t="s">
        <v>329</v>
      </c>
      <c r="KF134" s="61" t="str">
        <f t="shared" si="870"/>
        <v/>
      </c>
      <c r="KG134" s="61" t="str">
        <f t="shared" si="870"/>
        <v/>
      </c>
      <c r="KH134" s="61" t="str">
        <f t="shared" si="870"/>
        <v/>
      </c>
      <c r="KI134" s="61" t="str">
        <f t="shared" si="870"/>
        <v/>
      </c>
      <c r="KJ134" s="61" t="str">
        <f t="shared" si="870"/>
        <v/>
      </c>
      <c r="KL134" s="128" t="s">
        <v>329</v>
      </c>
      <c r="KM134" s="61" t="str">
        <f t="shared" si="871"/>
        <v/>
      </c>
      <c r="KN134" s="61" t="str">
        <f t="shared" si="871"/>
        <v/>
      </c>
      <c r="KO134" s="61" t="str">
        <f t="shared" si="871"/>
        <v/>
      </c>
      <c r="KP134" s="61" t="str">
        <f t="shared" si="871"/>
        <v/>
      </c>
      <c r="KQ134" s="61" t="str">
        <f t="shared" si="871"/>
        <v/>
      </c>
      <c r="KS134" s="128" t="s">
        <v>329</v>
      </c>
      <c r="KT134" s="61" t="str">
        <f t="shared" si="872"/>
        <v/>
      </c>
      <c r="KU134" s="61" t="str">
        <f t="shared" si="872"/>
        <v/>
      </c>
      <c r="KV134" s="129" t="str">
        <f t="shared" si="872"/>
        <v/>
      </c>
      <c r="KW134" s="61" t="str">
        <f t="shared" si="872"/>
        <v/>
      </c>
      <c r="KX134" s="61" t="str">
        <f t="shared" si="872"/>
        <v/>
      </c>
      <c r="KZ134" s="128" t="s">
        <v>329</v>
      </c>
      <c r="LA134" s="523"/>
      <c r="LB134" s="524"/>
      <c r="LC134" s="524"/>
      <c r="LD134" s="524"/>
      <c r="LE134" s="524"/>
      <c r="LF134" s="561"/>
      <c r="LG134" s="128" t="s">
        <v>329</v>
      </c>
      <c r="LH134" s="524"/>
      <c r="LI134" s="129"/>
      <c r="LJ134" s="129"/>
      <c r="LK134" s="129"/>
      <c r="LL134" s="129"/>
      <c r="LM134" s="561"/>
      <c r="LN134" s="128" t="s">
        <v>329</v>
      </c>
      <c r="LO134" s="129"/>
      <c r="LP134" s="129"/>
      <c r="LQ134" s="129"/>
      <c r="LR134" s="129"/>
      <c r="LS134" s="129"/>
      <c r="LT134" s="561"/>
      <c r="LU134" s="128" t="s">
        <v>329</v>
      </c>
      <c r="LV134" s="129"/>
      <c r="LW134" s="129"/>
      <c r="LX134" s="129"/>
      <c r="LY134" s="129"/>
      <c r="LZ134" s="129"/>
      <c r="MA134" s="561"/>
      <c r="MB134" s="128" t="s">
        <v>329</v>
      </c>
      <c r="MC134" s="129"/>
      <c r="MD134" s="129"/>
      <c r="ME134" s="129"/>
      <c r="MF134" s="129"/>
      <c r="MG134" s="129"/>
      <c r="MH134" s="561"/>
    </row>
    <row r="135" spans="1:346" s="37" customFormat="1" ht="13.15" collapsed="1" x14ac:dyDescent="0.4">
      <c r="A135" s="100"/>
      <c r="B135" s="65"/>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O135" s="65"/>
      <c r="BP135" s="66"/>
      <c r="BQ135" s="66"/>
      <c r="BR135" s="66"/>
      <c r="BS135" s="66"/>
      <c r="BT135" s="66"/>
      <c r="BV135" s="65"/>
      <c r="BW135" s="66"/>
      <c r="BX135" s="66"/>
      <c r="BY135" s="66"/>
      <c r="BZ135" s="66"/>
      <c r="CA135" s="66"/>
      <c r="CC135" s="65"/>
      <c r="CD135" s="66"/>
      <c r="CE135" s="66"/>
      <c r="CF135" s="66"/>
      <c r="CG135" s="66"/>
      <c r="CH135" s="66"/>
      <c r="CJ135" s="65"/>
      <c r="CK135" s="66"/>
      <c r="CL135" s="66"/>
      <c r="CM135" s="66"/>
      <c r="CN135" s="66"/>
      <c r="CO135" s="66"/>
      <c r="CQ135" s="65"/>
      <c r="CR135" s="66"/>
      <c r="CS135" s="66"/>
      <c r="CT135" s="66"/>
      <c r="CU135" s="66"/>
      <c r="CV135" s="66"/>
      <c r="CX135" s="65"/>
      <c r="CY135" s="66"/>
      <c r="CZ135" s="66"/>
      <c r="DA135" s="66"/>
      <c r="DB135" s="66"/>
      <c r="DC135" s="66"/>
      <c r="DE135" s="65"/>
      <c r="DF135" s="66"/>
      <c r="DG135" s="66"/>
      <c r="DH135" s="66"/>
      <c r="DI135" s="66"/>
      <c r="DJ135" s="66"/>
      <c r="DL135" s="65"/>
      <c r="DM135" s="66"/>
      <c r="DN135" s="66"/>
      <c r="DO135" s="66"/>
      <c r="DP135" s="66"/>
      <c r="DQ135" s="66"/>
      <c r="DS135" s="65"/>
      <c r="DT135" s="66"/>
      <c r="DU135" s="66"/>
      <c r="DV135" s="66"/>
      <c r="DW135" s="66"/>
      <c r="DX135" s="66"/>
      <c r="DZ135" s="65"/>
      <c r="EA135" s="66"/>
      <c r="EB135" s="66"/>
      <c r="EC135" s="66"/>
      <c r="ED135" s="66"/>
      <c r="EE135" s="66"/>
      <c r="EG135" s="65"/>
      <c r="EH135" s="66"/>
      <c r="EI135" s="66"/>
      <c r="EJ135" s="66"/>
      <c r="EK135" s="66"/>
      <c r="EL135" s="66"/>
      <c r="EN135" s="65"/>
      <c r="EO135" s="66"/>
      <c r="EP135" s="66"/>
      <c r="EQ135" s="66"/>
      <c r="ER135" s="66"/>
      <c r="ES135" s="66"/>
      <c r="EU135" s="65"/>
      <c r="EV135" s="66"/>
      <c r="EW135" s="66"/>
      <c r="EX135" s="66"/>
      <c r="EY135" s="66"/>
      <c r="EZ135" s="66"/>
      <c r="FB135" s="65"/>
      <c r="FC135" s="66"/>
      <c r="FD135" s="66"/>
      <c r="FE135" s="66"/>
      <c r="FF135" s="66"/>
      <c r="FG135" s="66"/>
      <c r="FI135" s="65"/>
      <c r="FJ135" s="66"/>
      <c r="FK135" s="66"/>
      <c r="FL135" s="66"/>
      <c r="FM135" s="66"/>
      <c r="FN135" s="66"/>
      <c r="FP135" s="65"/>
      <c r="FQ135" s="66"/>
      <c r="FR135" s="66"/>
      <c r="FS135" s="66"/>
      <c r="FT135" s="66"/>
      <c r="FU135" s="66"/>
      <c r="FW135" s="65"/>
      <c r="FX135" s="66"/>
      <c r="FY135" s="66"/>
      <c r="FZ135" s="66"/>
      <c r="GA135" s="66"/>
      <c r="GB135" s="66"/>
      <c r="GD135" s="65"/>
      <c r="GE135" s="66"/>
      <c r="GF135" s="66"/>
      <c r="GG135" s="66"/>
      <c r="GH135" s="66"/>
      <c r="GI135" s="66"/>
      <c r="GK135" s="65"/>
      <c r="GL135" s="66"/>
      <c r="GM135" s="66"/>
      <c r="GN135" s="66"/>
      <c r="GO135" s="66"/>
      <c r="GP135" s="66"/>
      <c r="GR135" s="65"/>
      <c r="GS135" s="66"/>
      <c r="GT135" s="66"/>
      <c r="GU135" s="66"/>
      <c r="GV135" s="66"/>
      <c r="GW135" s="66"/>
      <c r="GY135" s="65"/>
      <c r="GZ135" s="66"/>
      <c r="HA135" s="66"/>
      <c r="HB135" s="66"/>
      <c r="HC135" s="66"/>
      <c r="HD135" s="66"/>
      <c r="HF135" s="65"/>
      <c r="HG135" s="66"/>
      <c r="HH135" s="66"/>
      <c r="HI135" s="66"/>
      <c r="HJ135" s="66"/>
      <c r="HK135" s="66"/>
      <c r="HM135" s="65"/>
      <c r="HN135" s="66"/>
      <c r="HO135" s="66"/>
      <c r="HP135" s="66"/>
      <c r="HQ135" s="66"/>
      <c r="HR135" s="66"/>
      <c r="HT135" s="65"/>
      <c r="HU135" s="66"/>
      <c r="HV135" s="66"/>
      <c r="HW135" s="66"/>
      <c r="HX135" s="66"/>
      <c r="HY135" s="66"/>
      <c r="IA135" s="65"/>
      <c r="IB135" s="66"/>
      <c r="IC135" s="66"/>
      <c r="ID135" s="66"/>
      <c r="IE135" s="66"/>
      <c r="IF135" s="66"/>
      <c r="IH135" s="65"/>
      <c r="II135" s="66"/>
      <c r="IJ135" s="66"/>
      <c r="IK135" s="66"/>
      <c r="IL135" s="66"/>
      <c r="IM135" s="66"/>
      <c r="IO135" s="65"/>
      <c r="IP135" s="66"/>
      <c r="IQ135" s="66"/>
      <c r="IR135" s="66"/>
      <c r="IS135" s="66"/>
      <c r="IT135" s="66"/>
      <c r="IV135" s="65"/>
      <c r="IW135" s="66"/>
      <c r="IX135" s="66"/>
      <c r="IY135" s="66"/>
      <c r="IZ135" s="66"/>
      <c r="JA135" s="66"/>
      <c r="JC135" s="65"/>
      <c r="JD135" s="66"/>
      <c r="JE135" s="66"/>
      <c r="JF135" s="66"/>
      <c r="JG135" s="66"/>
      <c r="JH135" s="66"/>
      <c r="JJ135" s="65"/>
      <c r="JK135" s="66"/>
      <c r="JL135" s="66"/>
      <c r="JM135" s="66"/>
      <c r="JN135" s="66"/>
      <c r="JO135" s="66"/>
      <c r="JQ135" s="65"/>
      <c r="JR135" s="66"/>
      <c r="JS135" s="66"/>
      <c r="JT135" s="66"/>
      <c r="JU135" s="66"/>
      <c r="JV135" s="66"/>
      <c r="JX135" s="65"/>
      <c r="JY135" s="66"/>
      <c r="JZ135" s="66"/>
      <c r="KA135" s="66"/>
      <c r="KB135" s="66"/>
      <c r="KC135" s="66"/>
      <c r="KE135" s="65"/>
      <c r="KF135" s="66"/>
      <c r="KG135" s="66"/>
      <c r="KH135" s="66"/>
      <c r="KI135" s="66"/>
      <c r="KJ135" s="66"/>
      <c r="KL135" s="65"/>
      <c r="KM135" s="66"/>
      <c r="KN135" s="66"/>
      <c r="KO135" s="66"/>
      <c r="KP135" s="66"/>
      <c r="KQ135" s="66"/>
      <c r="KS135" s="65"/>
      <c r="KT135" s="66"/>
      <c r="KU135" s="66"/>
      <c r="KV135" s="66"/>
      <c r="KW135" s="66"/>
      <c r="KX135" s="66"/>
      <c r="KZ135" s="65"/>
      <c r="LA135" s="531"/>
      <c r="LB135" s="532"/>
      <c r="LC135" s="532"/>
      <c r="LD135" s="532"/>
      <c r="LE135" s="532"/>
      <c r="LF135" s="728"/>
      <c r="LG135" s="65"/>
      <c r="LH135" s="532"/>
      <c r="LI135" s="112"/>
      <c r="LJ135" s="112"/>
      <c r="LK135" s="112"/>
      <c r="LL135" s="112"/>
      <c r="LM135" s="572"/>
      <c r="LN135" s="65"/>
      <c r="LO135" s="112"/>
      <c r="LP135" s="112"/>
      <c r="LQ135" s="112"/>
      <c r="LR135" s="112"/>
      <c r="LS135" s="112"/>
      <c r="LT135" s="572"/>
      <c r="LU135" s="65"/>
      <c r="LV135" s="112"/>
      <c r="LW135" s="112"/>
      <c r="LX135" s="112"/>
      <c r="LY135" s="112"/>
      <c r="LZ135" s="112"/>
      <c r="MA135" s="572"/>
      <c r="MB135" s="65"/>
      <c r="MC135" s="112"/>
      <c r="MD135" s="112"/>
      <c r="ME135" s="112"/>
      <c r="MF135" s="112"/>
      <c r="MG135" s="112"/>
      <c r="MH135" s="572"/>
    </row>
    <row r="136" spans="1:346" s="37" customFormat="1" ht="13.5" thickBot="1" x14ac:dyDescent="0.45">
      <c r="A136" s="100"/>
      <c r="B136" s="182" t="s">
        <v>543</v>
      </c>
      <c r="C136" s="183" t="str">
        <f t="shared" ref="C136:M136" si="882">IFERROR(C31/C90*1000,"")</f>
        <v/>
      </c>
      <c r="D136" s="183" t="str">
        <f t="shared" si="882"/>
        <v/>
      </c>
      <c r="E136" s="183">
        <f t="shared" si="882"/>
        <v>569.16813176644769</v>
      </c>
      <c r="F136" s="183">
        <f t="shared" si="882"/>
        <v>666.73080887911476</v>
      </c>
      <c r="G136" s="183">
        <f t="shared" si="882"/>
        <v>701.12939657954189</v>
      </c>
      <c r="H136" s="183">
        <f t="shared" si="882"/>
        <v>746.70996410869941</v>
      </c>
      <c r="I136" s="183">
        <f t="shared" si="882"/>
        <v>745.79896119767795</v>
      </c>
      <c r="J136" s="183">
        <f t="shared" si="882"/>
        <v>809.84572716241985</v>
      </c>
      <c r="K136" s="183">
        <f t="shared" si="882"/>
        <v>775.2100840336135</v>
      </c>
      <c r="L136" s="183">
        <f t="shared" si="882"/>
        <v>753.50833746078911</v>
      </c>
      <c r="M136" s="183">
        <f t="shared" si="882"/>
        <v>826.99366032699356</v>
      </c>
      <c r="N136" s="183">
        <f>BT136</f>
        <v>867.47826086956525</v>
      </c>
      <c r="O136" s="183">
        <f>CA136</f>
        <v>902.57223396758275</v>
      </c>
      <c r="P136" s="183">
        <f>CH136</f>
        <v>957.70392749244718</v>
      </c>
      <c r="Q136" s="183">
        <f>CO136</f>
        <v>960.9675441692832</v>
      </c>
      <c r="R136" s="183">
        <f>CV136</f>
        <v>968.07634730538916</v>
      </c>
      <c r="S136" s="183">
        <f>DC136</f>
        <v>959.04910636821091</v>
      </c>
      <c r="T136" s="183">
        <f>DJ136</f>
        <v>994.7794779477947</v>
      </c>
      <c r="U136" s="183">
        <f>DQ136</f>
        <v>1004.1471330688785</v>
      </c>
      <c r="V136" s="183">
        <f>DX136</f>
        <v>988.8150996155191</v>
      </c>
      <c r="W136" s="183">
        <f>EE136</f>
        <v>972.78911564625844</v>
      </c>
      <c r="X136" s="183">
        <f>EL136</f>
        <v>975.61338289962828</v>
      </c>
      <c r="Y136" s="183">
        <f>ES136</f>
        <v>989.75129816889864</v>
      </c>
      <c r="Z136" s="183">
        <f>EZ136</f>
        <v>1010.6771565046362</v>
      </c>
      <c r="AA136" s="183">
        <f>FG136</f>
        <v>1012.9741926385558</v>
      </c>
      <c r="AB136" s="183">
        <f>FN136</f>
        <v>1021.4197446107373</v>
      </c>
      <c r="AC136" s="183">
        <f>FU136</f>
        <v>1065.7370517928287</v>
      </c>
      <c r="AD136" s="183">
        <f>GB136</f>
        <v>1170.204081632653</v>
      </c>
      <c r="AE136" s="183">
        <f>GI136</f>
        <v>1300.0815438977984</v>
      </c>
      <c r="AF136" s="183">
        <f>GP136</f>
        <v>1409.4997189432265</v>
      </c>
      <c r="AG136" s="183">
        <f>GW136</f>
        <v>1648.3596953719978</v>
      </c>
      <c r="AH136" s="183">
        <f>HD136</f>
        <v>1560.6766787502158</v>
      </c>
      <c r="AI136" s="183">
        <f>HK136</f>
        <v>1666.0401002506267</v>
      </c>
      <c r="AJ136" s="183">
        <f>HR136</f>
        <v>1813.3106856084003</v>
      </c>
      <c r="AK136" s="183">
        <f>HY136</f>
        <v>1834.2955219222968</v>
      </c>
      <c r="AL136" s="183">
        <f>IF136</f>
        <v>1844.0128460009175</v>
      </c>
      <c r="AM136" s="183">
        <f>IM136</f>
        <v>1830.251372435712</v>
      </c>
      <c r="AN136" s="183">
        <f>IT136</f>
        <v>1746.9309273776068</v>
      </c>
      <c r="AO136" s="183">
        <f>JA136</f>
        <v>1715.8580065106187</v>
      </c>
      <c r="AP136" s="183">
        <f>JH136</f>
        <v>1782.5</v>
      </c>
      <c r="AQ136" s="183">
        <f>JO136</f>
        <v>1889.8488120950324</v>
      </c>
      <c r="AR136" s="183">
        <f>JV136</f>
        <v>1919.1318327974277</v>
      </c>
      <c r="AS136" s="183">
        <f>KC136</f>
        <v>1796.1642905634758</v>
      </c>
      <c r="AT136" s="183">
        <f>KJ136</f>
        <v>2002.5587717895412</v>
      </c>
      <c r="AU136" s="183">
        <f>KQ136</f>
        <v>2388.7101962045672</v>
      </c>
      <c r="AV136" s="183">
        <f>KX136</f>
        <v>2386.3562357538258</v>
      </c>
      <c r="AW136" s="183">
        <f>LE136</f>
        <v>2316.3931814561092</v>
      </c>
      <c r="AX136" s="183">
        <f>LL136</f>
        <v>2234.3427937212618</v>
      </c>
      <c r="AY136" s="183">
        <f>LS136</f>
        <v>2245.0413661877587</v>
      </c>
      <c r="AZ136" s="183">
        <f>LZ136</f>
        <v>2293.2972232859242</v>
      </c>
      <c r="BA136" s="183">
        <f>MG136</f>
        <v>2337.8813253684298</v>
      </c>
      <c r="BB136" s="183"/>
      <c r="BC136" s="183"/>
      <c r="BD136" s="183"/>
      <c r="BE136" s="183"/>
      <c r="BF136" s="183"/>
      <c r="BG136" s="183"/>
      <c r="BH136" s="183"/>
      <c r="BI136" s="183"/>
      <c r="BJ136" s="183"/>
      <c r="BK136" s="183"/>
      <c r="BL136" s="183"/>
      <c r="BM136" s="183"/>
      <c r="BO136" s="182" t="s">
        <v>543</v>
      </c>
      <c r="BP136" s="533">
        <f>BP37/BP90*1000</f>
        <v>863.60520904729265</v>
      </c>
      <c r="BQ136" s="533">
        <f>BQ37/BQ90*1000</f>
        <v>858.10810810810813</v>
      </c>
      <c r="BR136" s="533">
        <f>BR37/BR90*1000</f>
        <v>853.88453314326443</v>
      </c>
      <c r="BS136" s="533">
        <f>BS37/BS90*1000</f>
        <v>894.88636363636363</v>
      </c>
      <c r="BT136" s="533">
        <f>BT37/BT90*1000</f>
        <v>867.47826086956525</v>
      </c>
      <c r="BV136" s="182" t="s">
        <v>543</v>
      </c>
      <c r="BW136" s="533">
        <f>BW37/BW90*1000</f>
        <v>890.353920888272</v>
      </c>
      <c r="BX136" s="533">
        <f>BX37/BX90*1000</f>
        <v>888.96504455106242</v>
      </c>
      <c r="BY136" s="533">
        <f>BY37/BY90*1000</f>
        <v>897.56446991404016</v>
      </c>
      <c r="BZ136" s="533">
        <f>BZ37/BZ90*1000</f>
        <v>934.78260869565224</v>
      </c>
      <c r="CA136" s="533">
        <f>CA37/CA90*1000</f>
        <v>902.57223396758275</v>
      </c>
      <c r="CC136" s="182" t="s">
        <v>543</v>
      </c>
      <c r="CD136" s="533">
        <f>CD37/CD90*1000</f>
        <v>949.65143299767624</v>
      </c>
      <c r="CE136" s="533">
        <f>CE37/CE90*1000</f>
        <v>956.82343870470322</v>
      </c>
      <c r="CF136" s="533">
        <f>CF37/CF90*1000</f>
        <v>958.42613214550852</v>
      </c>
      <c r="CG136" s="533">
        <f>CG37/CG90*1000</f>
        <v>965.46656869948561</v>
      </c>
      <c r="CH136" s="533">
        <f>CH37/CH90*1000</f>
        <v>957.70392749244718</v>
      </c>
      <c r="CJ136" s="182" t="s">
        <v>543</v>
      </c>
      <c r="CK136" s="533">
        <f>CK37/CK90*1000</f>
        <v>974.17752013852294</v>
      </c>
      <c r="CL136" s="533">
        <f>CL37/CL90*1000</f>
        <v>960.14546534065607</v>
      </c>
      <c r="CM136" s="533">
        <f>CM37/CM90*1000</f>
        <v>955.63063063063066</v>
      </c>
      <c r="CN136" s="533">
        <f>CN37/CN90*1000</f>
        <v>954.18181818181813</v>
      </c>
      <c r="CO136" s="533">
        <f>CO37/CO90*1000</f>
        <v>960.9675441692832</v>
      </c>
      <c r="CQ136" s="182" t="s">
        <v>543</v>
      </c>
      <c r="CR136" s="533">
        <f>CR37/CR90*1000</f>
        <v>973.18007662835248</v>
      </c>
      <c r="CS136" s="533">
        <f>CS37/CS90*1000</f>
        <v>969.62962962962956</v>
      </c>
      <c r="CT136" s="533">
        <f>CT37/CT90*1000</f>
        <v>954.40180586907456</v>
      </c>
      <c r="CU136" s="533">
        <f>CU37/CU90*1000</f>
        <v>975</v>
      </c>
      <c r="CV136" s="533">
        <f>CV37/CV90*1000</f>
        <v>968.07634730538916</v>
      </c>
      <c r="CX136" s="182" t="s">
        <v>543</v>
      </c>
      <c r="CY136" s="533">
        <f>CY37/CY90*1000</f>
        <v>966.56976744186056</v>
      </c>
      <c r="CZ136" s="533">
        <f>CZ37/CZ90*1000</f>
        <v>956.22435020519833</v>
      </c>
      <c r="DA136" s="533">
        <f>DA37/DA90*1000</f>
        <v>956.91452397498267</v>
      </c>
      <c r="DB136" s="533">
        <f>DB37/DB90*1000</f>
        <v>956.93135935397049</v>
      </c>
      <c r="DC136" s="533">
        <f>DC37/DC90*1000</f>
        <v>959.04910636821091</v>
      </c>
      <c r="DE136" s="182" t="s">
        <v>543</v>
      </c>
      <c r="DF136" s="533">
        <f>DF37/DF90*1000</f>
        <v>990.60014461315984</v>
      </c>
      <c r="DG136" s="533">
        <f>DG37/DG90*1000</f>
        <v>990.01426533523545</v>
      </c>
      <c r="DH136" s="533">
        <f>DH37/DH90*1000</f>
        <v>989.84034833091437</v>
      </c>
      <c r="DI136" s="533">
        <f>DI37/DI90*1000</f>
        <v>1008.6206896551723</v>
      </c>
      <c r="DJ136" s="533">
        <f>DJ37/DJ90*1000</f>
        <v>994.7794779477947</v>
      </c>
      <c r="DL136" s="182" t="s">
        <v>543</v>
      </c>
      <c r="DM136" s="533">
        <f>DM37/DM90*1000</f>
        <v>1011.9402985074626</v>
      </c>
      <c r="DN136" s="533">
        <f>DN37/DN90*1000</f>
        <v>1008.5106382978723</v>
      </c>
      <c r="DO136" s="533">
        <f>DO37/DO90*1000</f>
        <v>991.3294797687862</v>
      </c>
      <c r="DP136" s="533">
        <f>DP37/DP90*1000</f>
        <v>1004.957507082153</v>
      </c>
      <c r="DQ136" s="533">
        <f>DQ37/DQ90*1000</f>
        <v>1004.1471330688785</v>
      </c>
      <c r="DS136" s="182" t="s">
        <v>543</v>
      </c>
      <c r="DT136" s="533">
        <f>DT37/DT90*1000</f>
        <v>999.28926794598442</v>
      </c>
      <c r="DU136" s="533">
        <f>DU37/DU90*1000</f>
        <v>986.08211551844113</v>
      </c>
      <c r="DV136" s="533">
        <f>DV37/DV90*1000</f>
        <v>980.23994354269587</v>
      </c>
      <c r="DW136" s="533">
        <f>DW37/DW90*1000</f>
        <v>989.73305954825469</v>
      </c>
      <c r="DX136" s="533">
        <f>DX37/DX90*1000</f>
        <v>988.8150996155191</v>
      </c>
      <c r="DZ136" s="182" t="s">
        <v>543</v>
      </c>
      <c r="EA136" s="533">
        <f>EA37/EA90*1000</f>
        <v>991.46514935988614</v>
      </c>
      <c r="EB136" s="533">
        <f>EB37/EB90*1000</f>
        <v>973.77501725327807</v>
      </c>
      <c r="EC136" s="533">
        <f>EC37/EC90*1000</f>
        <v>962.62341325810996</v>
      </c>
      <c r="ED136" s="533">
        <f>ED37/ED90*1000</f>
        <v>966.50717703349289</v>
      </c>
      <c r="EE136" s="533">
        <f>EE37/EE90*1000</f>
        <v>972.78911564625844</v>
      </c>
      <c r="EG136" s="182" t="s">
        <v>543</v>
      </c>
      <c r="EH136" s="533">
        <f>EH37/EH90*1000</f>
        <v>984.553391537945</v>
      </c>
      <c r="EI136" s="533">
        <f>EI37/EI90*1000</f>
        <v>982.78061224489795</v>
      </c>
      <c r="EJ136" s="533">
        <f>EJ37/EJ90*1000</f>
        <v>966.21253405994548</v>
      </c>
      <c r="EK136" s="533">
        <f>EK37/EK90*1000</f>
        <v>977.22342733188714</v>
      </c>
      <c r="EL136" s="533">
        <f>EL37/EL90*1000</f>
        <v>975.61338289962828</v>
      </c>
      <c r="EN136" s="182" t="s">
        <v>543</v>
      </c>
      <c r="EO136" s="533">
        <f>EO37/EO90*1000</f>
        <v>976.17758527341641</v>
      </c>
      <c r="EP136" s="533">
        <f>EP37/EP90*1000</f>
        <v>989.24152770306614</v>
      </c>
      <c r="EQ136" s="533">
        <f>EQ37/EQ90*1000</f>
        <v>981.87808896210868</v>
      </c>
      <c r="ER136" s="533">
        <f>ER37/ER90*1000</f>
        <v>1012.2836404243441</v>
      </c>
      <c r="ES136" s="533">
        <f>ES37/ES90*1000</f>
        <v>989.75129816889864</v>
      </c>
      <c r="EU136" s="182" t="s">
        <v>543</v>
      </c>
      <c r="EV136" s="533">
        <f>EV37/EV90*1000</f>
        <v>1016.3564579808235</v>
      </c>
      <c r="EW136" s="533">
        <f>EW37/EW90*1000</f>
        <v>1016.69449081803</v>
      </c>
      <c r="EX136" s="533">
        <f>EX37/EX90*1000</f>
        <v>1003.9458850056371</v>
      </c>
      <c r="EY136" s="533">
        <f>EY37/EY90*1000</f>
        <v>1005.6369785794814</v>
      </c>
      <c r="EZ136" s="533">
        <f>EZ37/EZ90*1000</f>
        <v>1010.6771565046362</v>
      </c>
      <c r="FB136" s="182" t="s">
        <v>543</v>
      </c>
      <c r="FC136" s="533">
        <f>FC37/FC90*1000</f>
        <v>1029.4464075382803</v>
      </c>
      <c r="FD136" s="533">
        <f>FD37/FD90*1000</f>
        <v>1013.2596685082873</v>
      </c>
      <c r="FE136" s="533">
        <f>FE37/FE90*1000</f>
        <v>985.65121412803535</v>
      </c>
      <c r="FF136" s="533">
        <f>FF37/FF90*1000</f>
        <v>1024.8447204968945</v>
      </c>
      <c r="FG136" s="533">
        <f>FG37/FG90*1000</f>
        <v>1012.9741926385558</v>
      </c>
      <c r="FI136" s="182" t="s">
        <v>543</v>
      </c>
      <c r="FJ136" s="533">
        <f>FJ37/FJ90*1000</f>
        <v>1048.6270022883295</v>
      </c>
      <c r="FK136" s="533">
        <f>FK37/FK90*1000</f>
        <v>1021.6567406605305</v>
      </c>
      <c r="FL136" s="533">
        <f>FL37/FL90*1000</f>
        <v>1001.09829763866</v>
      </c>
      <c r="FM136" s="533">
        <f>FM37/FM90*1000</f>
        <v>1015.5329405463309</v>
      </c>
      <c r="FN136" s="533">
        <f>FN37/FN90*1000</f>
        <v>1021.4197446107373</v>
      </c>
      <c r="FP136" s="182" t="s">
        <v>543</v>
      </c>
      <c r="FQ136" s="533">
        <f>FQ37/FQ90*1000</f>
        <v>1052.6315789473683</v>
      </c>
      <c r="FR136" s="533">
        <f>FR37/FR90*1000</f>
        <v>1046.6946484784889</v>
      </c>
      <c r="FS136" s="533">
        <f>FS37/FS90*1000</f>
        <v>1066.5932856356633</v>
      </c>
      <c r="FT136" s="533">
        <f>FT37/FT90*1000</f>
        <v>1095.3101361573374</v>
      </c>
      <c r="FU136" s="533">
        <f>FU37/FU90*1000</f>
        <v>1065.7370517928287</v>
      </c>
      <c r="FW136" s="182" t="s">
        <v>543</v>
      </c>
      <c r="FX136" s="533">
        <f>FX37/FX90*1000</f>
        <v>1143.1670281995659</v>
      </c>
      <c r="FY136" s="533">
        <f>FY37/FY90*1000</f>
        <v>1149.8127340823969</v>
      </c>
      <c r="FZ136" s="533">
        <f>FZ37/FZ90*1000</f>
        <v>1168.2242990654206</v>
      </c>
      <c r="GA136" s="533">
        <f>GA37/GA90*1000</f>
        <v>1220.5720572057205</v>
      </c>
      <c r="GB136" s="533">
        <f>GB37/GB90*1000</f>
        <v>1170.204081632653</v>
      </c>
      <c r="GD136" s="182" t="s">
        <v>543</v>
      </c>
      <c r="GE136" s="533">
        <f>GE37/GE90*1000</f>
        <v>1276.5607886089813</v>
      </c>
      <c r="GF136" s="533">
        <f>GF37/GF90*1000</f>
        <v>1294.6524064171124</v>
      </c>
      <c r="GG136" s="533">
        <f>GG37/GG90*1000</f>
        <v>1305.6155507559395</v>
      </c>
      <c r="GH136" s="533">
        <f>GH37/GH90*1000</f>
        <v>1323.756906077348</v>
      </c>
      <c r="GI136" s="533">
        <f>GI37/GI90*1000</f>
        <v>1300.0815438977984</v>
      </c>
      <c r="GK136" s="182" t="s">
        <v>543</v>
      </c>
      <c r="GL136" s="533">
        <f>GL37/GL90*1000</f>
        <v>1380.0569800569799</v>
      </c>
      <c r="GM136" s="533">
        <f>GM37/GM90*1000</f>
        <v>1384.783798576902</v>
      </c>
      <c r="GN136" s="533">
        <f>GN37/GN90*1000</f>
        <v>1410.6034968979131</v>
      </c>
      <c r="GO136" s="533">
        <f>GO37/GO90*1000</f>
        <v>1463.373083475298</v>
      </c>
      <c r="GP136" s="533">
        <f>GP37/GP90*1000</f>
        <v>1409.4997189432265</v>
      </c>
      <c r="GR136" s="182" t="s">
        <v>543</v>
      </c>
      <c r="GS136" s="533">
        <f>GS37/GS90*1000</f>
        <v>1580.0815375655213</v>
      </c>
      <c r="GT136" s="533">
        <f>GT37/GT90*1000</f>
        <v>1636.8243243243244</v>
      </c>
      <c r="GU136" s="533">
        <f>GU37/GU90*1000</f>
        <v>1709.5842956120093</v>
      </c>
      <c r="GV136" s="533">
        <f>GV37/GV90*1000</f>
        <v>1668.1222707423581</v>
      </c>
      <c r="GW136" s="533">
        <f>GW37/GW90*1000</f>
        <v>1648.3596953719978</v>
      </c>
      <c r="GY136" s="182" t="s">
        <v>543</v>
      </c>
      <c r="GZ136" s="533">
        <f>GZ37/GZ90*1000</f>
        <v>1583.5095137420719</v>
      </c>
      <c r="HA136" s="533">
        <f>HA37/HA90*1000</f>
        <v>1548.5471296952514</v>
      </c>
      <c r="HB136" s="533">
        <f>HB37/HB90*1000</f>
        <v>1562.4573378839591</v>
      </c>
      <c r="HC136" s="533">
        <f>HC37/HC90*1000</f>
        <v>1548.731642189586</v>
      </c>
      <c r="HD136" s="533">
        <f>HD37/HD90*1000</f>
        <v>1560.6766787502158</v>
      </c>
      <c r="HF136" s="182" t="s">
        <v>543</v>
      </c>
      <c r="HG136" s="533">
        <f>HG37/HG90*1000</f>
        <v>1676.3122476446836</v>
      </c>
      <c r="HH136" s="533">
        <f>HH37/HH90*1000</f>
        <v>1666.4580725907385</v>
      </c>
      <c r="HI136" s="533">
        <f>HI37/HI90*1000</f>
        <v>1656.9297700435052</v>
      </c>
      <c r="HJ136" s="533">
        <f>HJ37/HJ90*1000</f>
        <v>1665.2868125369605</v>
      </c>
      <c r="HK136" s="533">
        <f>HK37/HK90*1000</f>
        <v>1666.0401002506267</v>
      </c>
      <c r="HM136" s="182" t="s">
        <v>543</v>
      </c>
      <c r="HN136" s="533">
        <f>HN37/HN90*1000</f>
        <v>1765.075376884422</v>
      </c>
      <c r="HO136" s="533">
        <f>HO37/HO90*1000</f>
        <v>1834.1433778857836</v>
      </c>
      <c r="HP136" s="533">
        <f>HP37/HP90*1000</f>
        <v>1830.1420630018531</v>
      </c>
      <c r="HQ136" s="533">
        <f>HQ37/HQ90*1000</f>
        <v>1822.7300802964792</v>
      </c>
      <c r="HR136" s="533">
        <f>HR37/HR90*1000</f>
        <v>1813.3106856084003</v>
      </c>
      <c r="HT136" s="182" t="s">
        <v>543</v>
      </c>
      <c r="HU136" s="533">
        <f>HU37/HU90*1000</f>
        <v>1851.4357053682897</v>
      </c>
      <c r="HV136" s="533">
        <f>HV37/HV90*1000</f>
        <v>1836.5853658536587</v>
      </c>
      <c r="HW136" s="533">
        <f>HW37/HW90*1000</f>
        <v>1808.75</v>
      </c>
      <c r="HX136" s="533">
        <f>HX37/HX90*1000</f>
        <v>1840.4594767070837</v>
      </c>
      <c r="HY136" s="533">
        <f>HY37/HY90*1000</f>
        <v>1834.2955219222968</v>
      </c>
      <c r="IA136" s="182" t="s">
        <v>543</v>
      </c>
      <c r="IB136" s="533">
        <f>IB37/IB90*1000</f>
        <v>1874.5247148288972</v>
      </c>
      <c r="IC136" s="533">
        <f>IC37/IC90*1000</f>
        <v>1853.2608695652173</v>
      </c>
      <c r="ID136" s="533">
        <f>ID37/ID90*1000</f>
        <v>1825.3195374315276</v>
      </c>
      <c r="IE136" s="533">
        <f>IE37/IE90*1000</f>
        <v>1824.3080625752107</v>
      </c>
      <c r="IF136" s="533">
        <f>IF37/IF90*1000</f>
        <v>1844.0128460009175</v>
      </c>
      <c r="IH136" s="182" t="s">
        <v>543</v>
      </c>
      <c r="II136" s="533">
        <f>II37/II90*1000</f>
        <v>1859.2592592592591</v>
      </c>
      <c r="IJ136" s="533">
        <f>IJ37/IJ90*1000</f>
        <v>1821.4486243683323</v>
      </c>
      <c r="IK136" s="533">
        <f>IK37/IK90*1000</f>
        <v>1832.1956769055746</v>
      </c>
      <c r="IL136" s="533">
        <f>IL37/IL90*1000</f>
        <v>1810.5501985252411</v>
      </c>
      <c r="IM136" s="533">
        <f>IM37/IM90*1000</f>
        <v>1830.251372435712</v>
      </c>
      <c r="IO136" s="182" t="s">
        <v>543</v>
      </c>
      <c r="IP136" s="533">
        <f>IP37/IP90*1000</f>
        <v>1851.3761467889908</v>
      </c>
      <c r="IQ136" s="533">
        <f>IQ37/IQ90*1000</f>
        <v>1741.8988061398522</v>
      </c>
      <c r="IR136" s="533">
        <f>IR37/IR90*1000</f>
        <v>1716.7056074766356</v>
      </c>
      <c r="IS136" s="533">
        <f>IS37/IS90*1000</f>
        <v>1680.3625377643505</v>
      </c>
      <c r="IT136" s="533">
        <f>IT37/IT90*1000</f>
        <v>1746.9309273776068</v>
      </c>
      <c r="IV136" s="182" t="s">
        <v>543</v>
      </c>
      <c r="IW136" s="533">
        <f>IW37/IW90*1000</f>
        <v>1687.9432624113474</v>
      </c>
      <c r="IX136" s="533">
        <f>IX37/IX90*1000</f>
        <v>1695.2978056426334</v>
      </c>
      <c r="IY136" s="533">
        <f>IY37/IY90*1000</f>
        <v>1721.7280813214738</v>
      </c>
      <c r="IZ136" s="533">
        <f>IZ37/IZ90*1000</f>
        <v>1754.477180820335</v>
      </c>
      <c r="JA136" s="533">
        <f>JA37/JA90*1000</f>
        <v>1715.8580065106187</v>
      </c>
      <c r="JC136" s="182" t="s">
        <v>543</v>
      </c>
      <c r="JD136" s="533">
        <f>JD37/JD90*1000</f>
        <v>1802.1356783919598</v>
      </c>
      <c r="JE136" s="533">
        <f>JE37/JE90*1000</f>
        <v>1810.4938271604938</v>
      </c>
      <c r="JF136" s="533">
        <f>JF37/JF90*1000</f>
        <v>1728.4183994959042</v>
      </c>
      <c r="JG136" s="533">
        <f>JG37/JG90*1000</f>
        <v>1788.2573391630233</v>
      </c>
      <c r="JH136" s="533">
        <f>JH37/JH90*1000</f>
        <v>1782.5</v>
      </c>
      <c r="JJ136" s="182" t="s">
        <v>543</v>
      </c>
      <c r="JK136" s="533">
        <f>JK37/JK90*1000</f>
        <v>1877.2845953002611</v>
      </c>
      <c r="JL136" s="533">
        <f>JL37/JL90*1000</f>
        <v>1884.5686512758202</v>
      </c>
      <c r="JM136" s="533">
        <f>JM37/JM90*1000</f>
        <v>1889.4927536231885</v>
      </c>
      <c r="JN136" s="533">
        <f>JN37/JN90*1000</f>
        <v>1907.1601941747574</v>
      </c>
      <c r="JO136" s="533">
        <f>JO37/JO90*1000</f>
        <v>1889.8488120950324</v>
      </c>
      <c r="JQ136" s="182" t="s">
        <v>543</v>
      </c>
      <c r="JR136" s="533">
        <f>JR37/JR90*1000</f>
        <v>1967.994774657087</v>
      </c>
      <c r="JS136" s="533">
        <f>JS37/JS90*1000</f>
        <v>1936.1163820366855</v>
      </c>
      <c r="JT136" s="533">
        <f>JT37/JT90*1000</f>
        <v>1898.0242192479286</v>
      </c>
      <c r="JU136" s="533">
        <f>JU37/JU90*1000</f>
        <v>1874.5938921377519</v>
      </c>
      <c r="JV136" s="533">
        <f>JV37/JV90*1000</f>
        <v>1919.1318327974277</v>
      </c>
      <c r="JX136" s="182" t="s">
        <v>543</v>
      </c>
      <c r="JY136" s="533">
        <f>JY37/JY90*1000</f>
        <v>1885.7331571994716</v>
      </c>
      <c r="JZ136" s="533">
        <f>JZ37/JZ90*1000</f>
        <v>1793.9538583929993</v>
      </c>
      <c r="KA136" s="533">
        <f>KA37/KA90*1000</f>
        <v>1739.8160315374507</v>
      </c>
      <c r="KB136" s="533">
        <f>KB37/KB90*1000</f>
        <v>1766.729205753596</v>
      </c>
      <c r="KC136" s="533">
        <f>KC37/KC90*1000</f>
        <v>1796.1642905634758</v>
      </c>
      <c r="KE136" s="182" t="s">
        <v>543</v>
      </c>
      <c r="KF136" s="533">
        <f>KF37/KF90*1000</f>
        <v>1839.7645519947678</v>
      </c>
      <c r="KG136" s="533">
        <f>KG37/KG90*1000</f>
        <v>1879.3211816467631</v>
      </c>
      <c r="KH136" s="533">
        <f>KH37/KH90*1000</f>
        <v>2106.2060140754957</v>
      </c>
      <c r="KI136" s="533">
        <f>KI37/KI90*1000</f>
        <v>2182.8025477707006</v>
      </c>
      <c r="KJ136" s="533">
        <f>KJ37/KJ90*1000</f>
        <v>2002.5587717895412</v>
      </c>
      <c r="KL136" s="182" t="s">
        <v>543</v>
      </c>
      <c r="KM136" s="533">
        <f>KM37/KM90*1000</f>
        <v>2278.3711615487318</v>
      </c>
      <c r="KN136" s="533">
        <f>KN37/KN90*1000</f>
        <v>2393.3500627352573</v>
      </c>
      <c r="KO136" s="533">
        <f>KO37/KO90*1000</f>
        <v>2454.3163201008192</v>
      </c>
      <c r="KP136" s="533">
        <f>KP37/KP90*1000</f>
        <v>2423.6517218973363</v>
      </c>
      <c r="KQ136" s="533">
        <f>KQ37/KQ90*1000</f>
        <v>2388.7101962045672</v>
      </c>
      <c r="KS136" s="182" t="s">
        <v>543</v>
      </c>
      <c r="KT136" s="533">
        <f>KT37/KT90*1000</f>
        <v>2493.943472409152</v>
      </c>
      <c r="KU136" s="533">
        <f>KU37/KU90*1000</f>
        <v>2392.6261319534283</v>
      </c>
      <c r="KV136" s="533">
        <f>KV37/KV90*1000</f>
        <v>2304.516129032258</v>
      </c>
      <c r="KW136" s="533">
        <f>KW37/KW90*1000</f>
        <v>2358.9743589743589</v>
      </c>
      <c r="KX136" s="533">
        <f>KX37/KX90*1000</f>
        <v>2386.3562357538258</v>
      </c>
      <c r="KZ136" s="182" t="s">
        <v>543</v>
      </c>
      <c r="LA136" s="533">
        <f>LA37/LA90*1000</f>
        <v>2399.6088657105606</v>
      </c>
      <c r="LB136" s="533">
        <f>LB37/LB90*1000</f>
        <v>2345.3738910012676</v>
      </c>
      <c r="LC136" s="533">
        <f>LC37/LC90*1000</f>
        <v>2276.1006289308175</v>
      </c>
      <c r="LD136" s="533">
        <f>LD37/LD90*1000</f>
        <v>2246.9841269841272</v>
      </c>
      <c r="LE136" s="533">
        <f>LE37/LE90*1000</f>
        <v>2316.3931814561092</v>
      </c>
      <c r="LF136" s="561"/>
      <c r="LG136" s="182" t="s">
        <v>543</v>
      </c>
      <c r="LH136" s="533">
        <f>LH37/LH90*1000</f>
        <v>2254.9407114624505</v>
      </c>
      <c r="LI136" s="533">
        <f>LI37/LI90*1000</f>
        <v>2262.0253164556962</v>
      </c>
      <c r="LJ136" s="533">
        <f>LJ37/LJ90*1000</f>
        <v>2225.1861042183623</v>
      </c>
      <c r="LK136" s="533">
        <f>LK37/LK90*1000</f>
        <v>2196.6186599874768</v>
      </c>
      <c r="LL136" s="533">
        <f>LL37/LL90*1000</f>
        <v>2234.3427937212618</v>
      </c>
      <c r="LM136" s="561"/>
      <c r="LN136" s="182" t="s">
        <v>543</v>
      </c>
      <c r="LO136" s="533">
        <f>LO37/LO90*1000</f>
        <v>2242.0138537982143</v>
      </c>
      <c r="LP136" s="533">
        <f>LP37/LP90*1000</f>
        <v>2264.1599438301951</v>
      </c>
      <c r="LQ136" s="533">
        <f>LQ37/LQ90*1000</f>
        <v>2244.0945456748605</v>
      </c>
      <c r="LR136" s="533">
        <f>LR37/LR90*1000</f>
        <v>2230.2708784872948</v>
      </c>
      <c r="LS136" s="533">
        <f>LS37/LS90*1000</f>
        <v>2245.0413661877587</v>
      </c>
      <c r="LT136" s="561"/>
      <c r="LU136" s="182" t="s">
        <v>543</v>
      </c>
      <c r="LV136" s="533">
        <f>LV37/LV90*1000</f>
        <v>2292.2180579482942</v>
      </c>
      <c r="LW136" s="533">
        <f>LW37/LW90*1000</f>
        <v>2311.6428661760879</v>
      </c>
      <c r="LX136" s="533">
        <f>LX37/LX90*1000</f>
        <v>2291.3508087791342</v>
      </c>
      <c r="LY136" s="533">
        <f>LY37/LY90*1000</f>
        <v>2278.4356620275075</v>
      </c>
      <c r="LZ136" s="533">
        <f>LZ37/LZ90*1000</f>
        <v>2293.2972232859242</v>
      </c>
      <c r="MA136" s="561"/>
      <c r="MB136" s="182" t="s">
        <v>543</v>
      </c>
      <c r="MC136" s="533">
        <f>MC37/MC90*1000</f>
        <v>2337.353315532323</v>
      </c>
      <c r="MD136" s="533">
        <f>MD37/MD90*1000</f>
        <v>2356.3002590500168</v>
      </c>
      <c r="ME136" s="533">
        <f>ME37/ME90*1000</f>
        <v>2336.0270933918059</v>
      </c>
      <c r="MF136" s="533">
        <f>MF37/MF90*1000</f>
        <v>2322.3264616443585</v>
      </c>
      <c r="MG136" s="533">
        <f>MG37/MG90*1000</f>
        <v>2337.8813253684298</v>
      </c>
      <c r="MH136" s="561"/>
    </row>
    <row r="137" spans="1:346" s="37" customFormat="1" ht="13.15" x14ac:dyDescent="0.4">
      <c r="A137" s="100"/>
      <c r="B137" s="65" t="s">
        <v>3</v>
      </c>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O137" s="65" t="s">
        <v>3</v>
      </c>
      <c r="BP137" s="66"/>
      <c r="BQ137" s="66"/>
      <c r="BR137" s="66"/>
      <c r="BS137" s="66"/>
      <c r="BT137" s="66"/>
      <c r="BV137" s="65" t="s">
        <v>3</v>
      </c>
      <c r="BW137" s="66"/>
      <c r="BX137" s="66"/>
      <c r="BY137" s="66"/>
      <c r="BZ137" s="66"/>
      <c r="CA137" s="66"/>
      <c r="CC137" s="65" t="s">
        <v>3</v>
      </c>
      <c r="CD137" s="66"/>
      <c r="CE137" s="66"/>
      <c r="CF137" s="66"/>
      <c r="CG137" s="66"/>
      <c r="CH137" s="66"/>
      <c r="CJ137" s="65" t="s">
        <v>3</v>
      </c>
      <c r="CK137" s="66"/>
      <c r="CL137" s="66"/>
      <c r="CM137" s="66"/>
      <c r="CN137" s="66"/>
      <c r="CO137" s="66"/>
      <c r="CQ137" s="65" t="s">
        <v>3</v>
      </c>
      <c r="CR137" s="66"/>
      <c r="CS137" s="66"/>
      <c r="CT137" s="66"/>
      <c r="CU137" s="66"/>
      <c r="CV137" s="66"/>
      <c r="CX137" s="65" t="s">
        <v>3</v>
      </c>
      <c r="CY137" s="66"/>
      <c r="CZ137" s="66"/>
      <c r="DA137" s="66"/>
      <c r="DB137" s="66"/>
      <c r="DC137" s="66"/>
      <c r="DE137" s="65" t="s">
        <v>3</v>
      </c>
      <c r="DF137" s="66"/>
      <c r="DG137" s="66"/>
      <c r="DH137" s="66"/>
      <c r="DI137" s="66"/>
      <c r="DJ137" s="66"/>
      <c r="DL137" s="65" t="s">
        <v>3</v>
      </c>
      <c r="DM137" s="66"/>
      <c r="DN137" s="66"/>
      <c r="DO137" s="66"/>
      <c r="DP137" s="66"/>
      <c r="DQ137" s="66"/>
      <c r="DS137" s="65" t="s">
        <v>3</v>
      </c>
      <c r="DT137" s="66"/>
      <c r="DU137" s="66"/>
      <c r="DV137" s="66"/>
      <c r="DW137" s="66"/>
      <c r="DX137" s="66"/>
      <c r="DZ137" s="65" t="s">
        <v>3</v>
      </c>
      <c r="EA137" s="66"/>
      <c r="EB137" s="66"/>
      <c r="EC137" s="66"/>
      <c r="ED137" s="66"/>
      <c r="EE137" s="66"/>
      <c r="EG137" s="65" t="s">
        <v>3</v>
      </c>
      <c r="EH137" s="66"/>
      <c r="EI137" s="66"/>
      <c r="EJ137" s="66"/>
      <c r="EK137" s="66"/>
      <c r="EL137" s="66"/>
      <c r="EN137" s="65" t="s">
        <v>3</v>
      </c>
      <c r="EO137" s="66"/>
      <c r="EP137" s="66"/>
      <c r="EQ137" s="66"/>
      <c r="ER137" s="66"/>
      <c r="ES137" s="66"/>
      <c r="EU137" s="65" t="s">
        <v>3</v>
      </c>
      <c r="EV137" s="66"/>
      <c r="EW137" s="66"/>
      <c r="EX137" s="66"/>
      <c r="EY137" s="66"/>
      <c r="EZ137" s="66"/>
      <c r="FB137" s="65" t="s">
        <v>3</v>
      </c>
      <c r="FC137" s="66"/>
      <c r="FD137" s="66"/>
      <c r="FE137" s="66"/>
      <c r="FF137" s="66"/>
      <c r="FG137" s="66"/>
      <c r="FI137" s="65" t="s">
        <v>3</v>
      </c>
      <c r="FJ137" s="66"/>
      <c r="FK137" s="66"/>
      <c r="FL137" s="66"/>
      <c r="FM137" s="66"/>
      <c r="FN137" s="66"/>
      <c r="FP137" s="65" t="s">
        <v>3</v>
      </c>
      <c r="FQ137" s="66"/>
      <c r="FR137" s="66"/>
      <c r="FS137" s="66"/>
      <c r="FT137" s="66"/>
      <c r="FU137" s="66"/>
      <c r="FW137" s="65" t="s">
        <v>3</v>
      </c>
      <c r="FX137" s="66" t="s">
        <v>80</v>
      </c>
      <c r="FY137" s="66" t="s">
        <v>80</v>
      </c>
      <c r="FZ137" s="66" t="s">
        <v>80</v>
      </c>
      <c r="GA137" s="66" t="s">
        <v>80</v>
      </c>
      <c r="GB137" s="66" t="s">
        <v>80</v>
      </c>
      <c r="GD137" s="65" t="s">
        <v>3</v>
      </c>
      <c r="GE137" s="66">
        <f>GE136/FX136-1</f>
        <v>0.1166879004719934</v>
      </c>
      <c r="GF137" s="66">
        <f>GF136/FY136-1</f>
        <v>0.12596805378947562</v>
      </c>
      <c r="GG137" s="66">
        <f>GG136/FZ136-1</f>
        <v>0.11760691144708413</v>
      </c>
      <c r="GH137" s="66">
        <f>GH136/GA136-1</f>
        <v>8.453810511429416E-2</v>
      </c>
      <c r="GI137" s="66">
        <f>GI136/GB136-1</f>
        <v>0.11098701867792338</v>
      </c>
      <c r="GK137" s="65" t="s">
        <v>3</v>
      </c>
      <c r="GL137" s="66">
        <f>GL136/GE136-1</f>
        <v>8.1074236629792074E-2</v>
      </c>
      <c r="GM137" s="66">
        <f>GM136/GF136-1</f>
        <v>6.9618216992485049E-2</v>
      </c>
      <c r="GN137" s="66">
        <f>GN136/GG136-1</f>
        <v>8.041260391022953E-2</v>
      </c>
      <c r="GO137" s="66">
        <f>GO136/GH136-1</f>
        <v>0.10546964987073859</v>
      </c>
      <c r="GP137" s="66">
        <f>GP136/GI136-1</f>
        <v>8.4162547771718721E-2</v>
      </c>
      <c r="GR137" s="65" t="s">
        <v>3</v>
      </c>
      <c r="GS137" s="66">
        <f>GS136/GL136-1</f>
        <v>0.14493934699731215</v>
      </c>
      <c r="GT137" s="66">
        <f>GT136/GM136-1</f>
        <v>0.18200713064843499</v>
      </c>
      <c r="GU137" s="66">
        <f>GU136/GN136-1</f>
        <v>0.2119524014874421</v>
      </c>
      <c r="GV137" s="66">
        <f>GV136/GO136-1</f>
        <v>0.13991591725932984</v>
      </c>
      <c r="GW137" s="66">
        <f>GW136/GP136-1</f>
        <v>0.1694643661283286</v>
      </c>
      <c r="GY137" s="65" t="s">
        <v>3</v>
      </c>
      <c r="GZ137" s="66">
        <f>GZ136/GS136-1</f>
        <v>2.1694932160476466E-3</v>
      </c>
      <c r="HA137" s="66">
        <f>HA136/GT136-1</f>
        <v>-5.3931990939536822E-2</v>
      </c>
      <c r="HB137" s="66">
        <f>HB136/GU136-1</f>
        <v>-8.6060077941568003E-2</v>
      </c>
      <c r="HC137" s="66">
        <f>HC136/GV136-1</f>
        <v>-7.1571868949174888E-2</v>
      </c>
      <c r="HD137" s="66">
        <f>HD136/GW136-1</f>
        <v>-5.3194103731099673E-2</v>
      </c>
      <c r="HF137" s="65" t="s">
        <v>3</v>
      </c>
      <c r="HG137" s="66">
        <f>HG136/GZ136-1</f>
        <v>5.8605731823678564E-2</v>
      </c>
      <c r="HH137" s="66">
        <f>HH136/HA136-1</f>
        <v>7.6142947563172747E-2</v>
      </c>
      <c r="HI137" s="66">
        <f>HI136/HB136-1</f>
        <v>6.0464007476511483E-2</v>
      </c>
      <c r="HJ137" s="66">
        <f>HJ136/HC136-1</f>
        <v>7.5258467750158209E-2</v>
      </c>
      <c r="HK137" s="66">
        <f>HK136/HD136-1</f>
        <v>6.7511370506789126E-2</v>
      </c>
      <c r="HM137" s="65" t="s">
        <v>3</v>
      </c>
      <c r="HN137" s="66">
        <f>HN136/HG136-1</f>
        <v>5.2951429165094765E-2</v>
      </c>
      <c r="HO137" s="66">
        <f>HO136/HH136-1</f>
        <v>0.10062377689128121</v>
      </c>
      <c r="HP137" s="66">
        <f>HP136/HI136-1</f>
        <v>0.10453810178919043</v>
      </c>
      <c r="HQ137" s="66">
        <f>HQ136/HJ136-1</f>
        <v>9.4544235007580246E-2</v>
      </c>
      <c r="HR137" s="66">
        <f>HR136/HK136-1</f>
        <v>8.8395582636707992E-2</v>
      </c>
      <c r="HT137" s="65" t="s">
        <v>3</v>
      </c>
      <c r="HU137" s="66">
        <f>HU136/HN136-1</f>
        <v>4.892727506986394E-2</v>
      </c>
      <c r="HV137" s="66">
        <f>HV136/HO136-1</f>
        <v>1.3314051656583281E-3</v>
      </c>
      <c r="HW137" s="66">
        <f>HW136/HP136-1</f>
        <v>-1.1688744515693572E-2</v>
      </c>
      <c r="HX137" s="66">
        <f>HX136/HQ136-1</f>
        <v>9.7268359162212548E-3</v>
      </c>
      <c r="HY137" s="66">
        <f>HY136/HR136-1</f>
        <v>1.1572664563467061E-2</v>
      </c>
      <c r="IA137" s="65" t="s">
        <v>3</v>
      </c>
      <c r="IB137" s="66">
        <f>IB136/HU136-1</f>
        <v>1.2470867550874232E-2</v>
      </c>
      <c r="IC137" s="66">
        <f>IC136/HV136-1</f>
        <v>9.0796235348460375E-3</v>
      </c>
      <c r="ID137" s="66">
        <f>ID136/HW136-1</f>
        <v>9.1607670664977103E-3</v>
      </c>
      <c r="IE137" s="66">
        <f>IE136/HX136-1</f>
        <v>-8.775751021028122E-3</v>
      </c>
      <c r="IF137" s="66">
        <f>IF136/HY136-1</f>
        <v>5.297578259601865E-3</v>
      </c>
      <c r="IH137" s="65" t="s">
        <v>3</v>
      </c>
      <c r="II137" s="66">
        <f>II136/IB136-1</f>
        <v>-8.1436405980016557E-3</v>
      </c>
      <c r="IJ137" s="66">
        <f>IJ136/IC136-1</f>
        <v>-1.7165551660489275E-2</v>
      </c>
      <c r="IK137" s="66">
        <f>IK136/ID136-1</f>
        <v>3.76708808131343E-3</v>
      </c>
      <c r="IL137" s="66">
        <f>IL136/IE136-1</f>
        <v>-7.5414149244885653E-3</v>
      </c>
      <c r="IM137" s="66">
        <f>IM136/IF136-1</f>
        <v>-7.4627861704161802E-3</v>
      </c>
      <c r="IO137" s="65" t="s">
        <v>3</v>
      </c>
      <c r="IP137" s="66">
        <f>IP136/II136-1</f>
        <v>-4.2399210497459094E-3</v>
      </c>
      <c r="IQ137" s="66">
        <f>IQ136/IJ136-1</f>
        <v>-4.3673929181542226E-2</v>
      </c>
      <c r="IR137" s="66">
        <f>IR136/IK136-1</f>
        <v>-6.3033698247772385E-2</v>
      </c>
      <c r="IS137" s="66">
        <f>IS136/IL136-1</f>
        <v>-7.1905026917747583E-2</v>
      </c>
      <c r="IT137" s="66">
        <f>IT136/IM136-1</f>
        <v>-4.552404457275272E-2</v>
      </c>
      <c r="IV137" s="65" t="s">
        <v>3</v>
      </c>
      <c r="IW137" s="66">
        <f>IW136/IP136-1</f>
        <v>-8.8276434079103683E-2</v>
      </c>
      <c r="IX137" s="66">
        <f>IX136/IQ136-1</f>
        <v>-2.6752989515211434E-2</v>
      </c>
      <c r="IY137" s="66">
        <f>IY136/IR136-1</f>
        <v>2.9256465540534737E-3</v>
      </c>
      <c r="IZ137" s="66">
        <f>IZ136/IS136-1</f>
        <v>4.4106340977221992E-2</v>
      </c>
      <c r="JA137" s="66">
        <f>JA136/IT136-1</f>
        <v>-1.7787149096749388E-2</v>
      </c>
      <c r="JC137" s="65" t="s">
        <v>3</v>
      </c>
      <c r="JD137" s="66">
        <f>JD136/IW136-1</f>
        <v>6.7651809467505597E-2</v>
      </c>
      <c r="JE137" s="66">
        <f>JE136/IX136-1</f>
        <v>6.7950315947110651E-2</v>
      </c>
      <c r="JF137" s="66">
        <f>JF136/IY136-1</f>
        <v>3.8858157957761819E-3</v>
      </c>
      <c r="JG137" s="66">
        <f>JG136/IZ136-1</f>
        <v>1.9253689196968571E-2</v>
      </c>
      <c r="JH137" s="66">
        <f>JH136/JA136-1</f>
        <v>3.8838874333724682E-2</v>
      </c>
      <c r="JJ137" s="65" t="s">
        <v>3</v>
      </c>
      <c r="JK137" s="66">
        <f>JK136/JD136-1</f>
        <v>4.1699921825728792E-2</v>
      </c>
      <c r="JL137" s="66">
        <f>JL136/JE136-1</f>
        <v>4.0914154472154518E-2</v>
      </c>
      <c r="JM137" s="66">
        <f>JM136/JF136-1</f>
        <v>9.3191760845789284E-2</v>
      </c>
      <c r="JN137" s="66">
        <f>JN136/JG136-1</f>
        <v>6.6490908443515906E-2</v>
      </c>
      <c r="JO137" s="66">
        <f>JO136/JH136-1</f>
        <v>6.0223737500719521E-2</v>
      </c>
      <c r="JQ137" s="65" t="s">
        <v>3</v>
      </c>
      <c r="JR137" s="66">
        <f>JR136/JK136-1</f>
        <v>4.8319886917474575E-2</v>
      </c>
      <c r="JS137" s="66">
        <f>JS136/JL136-1</f>
        <v>2.7352535406958145E-2</v>
      </c>
      <c r="JT137" s="66">
        <f>JT136/JM136-1</f>
        <v>4.5152147889324645E-3</v>
      </c>
      <c r="JU137" s="66">
        <f>JU136/JN136-1</f>
        <v>-1.7075808385932256E-2</v>
      </c>
      <c r="JV137" s="66">
        <f>JV136/JO136-1</f>
        <v>1.5494901240239001E-2</v>
      </c>
      <c r="JX137" s="65" t="s">
        <v>3</v>
      </c>
      <c r="JY137" s="66">
        <f>JY136/JR136-1</f>
        <v>-4.1799713351347134E-2</v>
      </c>
      <c r="JZ137" s="66">
        <f>JZ136/JS136-1</f>
        <v>-7.3426641581400776E-2</v>
      </c>
      <c r="KA137" s="66">
        <f>KA136/JT136-1</f>
        <v>-8.3354145909247723E-2</v>
      </c>
      <c r="KB137" s="66">
        <f>KB136/JU136-1</f>
        <v>-5.7540295440282829E-2</v>
      </c>
      <c r="KC137" s="66">
        <f>KC136/JV136-1</f>
        <v>-6.4074567537503624E-2</v>
      </c>
      <c r="KE137" s="65" t="s">
        <v>3</v>
      </c>
      <c r="KF137" s="66">
        <f>KF136/JY136-1</f>
        <v>-2.4377046682984793E-2</v>
      </c>
      <c r="KG137" s="66">
        <f>KG136/JZ136-1</f>
        <v>4.7586130966732254E-2</v>
      </c>
      <c r="KH137" s="66">
        <f>KH136/KA136-1</f>
        <v>0.21059122108115735</v>
      </c>
      <c r="KI137" s="66">
        <f>KI136/KB136-1</f>
        <v>0.23550487571162848</v>
      </c>
      <c r="KJ137" s="66">
        <f>KJ136/KC136-1</f>
        <v>0.1149084648383234</v>
      </c>
      <c r="KL137" s="65" t="s">
        <v>3</v>
      </c>
      <c r="KM137" s="66">
        <f>KM136/KF136-1</f>
        <v>0.23840366370707833</v>
      </c>
      <c r="KN137" s="66">
        <f>KN136/KG136-1</f>
        <v>0.27351837786347644</v>
      </c>
      <c r="KO137" s="66">
        <f>KO136/KH136-1</f>
        <v>0.16527837433705361</v>
      </c>
      <c r="KP137" s="66">
        <f>KP136/KI136-1</f>
        <v>0.11033942322113166</v>
      </c>
      <c r="KQ137" s="66">
        <f>KQ136/KJ136-1</f>
        <v>0.19282900949266546</v>
      </c>
      <c r="KS137" s="65" t="s">
        <v>3</v>
      </c>
      <c r="KT137" s="66">
        <f>KT136/KM136-1</f>
        <v>9.4616853697307102E-2</v>
      </c>
      <c r="KU137" s="66">
        <f>KU136/KN136-1</f>
        <v>-3.0247592823995362E-4</v>
      </c>
      <c r="KV137" s="66">
        <f>KV136/KO136-1</f>
        <v>-6.1035405192761627E-2</v>
      </c>
      <c r="KW137" s="66">
        <f>KW136/KP136-1</f>
        <v>-2.668591462157166E-2</v>
      </c>
      <c r="KX137" s="66">
        <f>KX136/KQ136-1</f>
        <v>-9.8545250674675344E-4</v>
      </c>
      <c r="KZ137" s="65" t="s">
        <v>3</v>
      </c>
      <c r="LA137" s="66">
        <f>LA136/KT136-1</f>
        <v>-3.7825479102565285E-2</v>
      </c>
      <c r="LB137" s="112">
        <f>LB136/KU136-1</f>
        <v>-1.9749111790224538E-2</v>
      </c>
      <c r="LC137" s="112">
        <f>LC136/KV136-1</f>
        <v>-1.2330354187355175E-2</v>
      </c>
      <c r="LD137" s="112">
        <f>LD136/KW136-1</f>
        <v>-4.7474120082815596E-2</v>
      </c>
      <c r="LE137" s="112">
        <f>LE136/KX136-1</f>
        <v>-2.9317942245792095E-2</v>
      </c>
      <c r="LF137" s="566"/>
      <c r="LG137" s="65" t="s">
        <v>3</v>
      </c>
      <c r="LH137" s="112">
        <f>LH136/LA136-1</f>
        <v>-6.0288222933061908E-2</v>
      </c>
      <c r="LI137" s="112">
        <f>LI136/LB136-1</f>
        <v>-3.553743599916559E-2</v>
      </c>
      <c r="LJ137" s="112">
        <f>LJ136/LC136-1</f>
        <v>-2.2369188807074836E-2</v>
      </c>
      <c r="LK137" s="112">
        <f>LK136/LD136-1</f>
        <v>-2.2414696388732502E-2</v>
      </c>
      <c r="LL137" s="112">
        <f>LL136/LE136-1</f>
        <v>-3.5421615117719241E-2</v>
      </c>
      <c r="LM137" s="566"/>
      <c r="LN137" s="65" t="s">
        <v>3</v>
      </c>
      <c r="LO137" s="112">
        <f>LO136/LH136-1</f>
        <v>-5.7326818388286904E-3</v>
      </c>
      <c r="LP137" s="112">
        <f>LP136/LI136-1</f>
        <v>9.4367970109354715E-4</v>
      </c>
      <c r="LQ137" s="112">
        <f>LQ136/LJ136-1</f>
        <v>8.4974651875870943E-3</v>
      </c>
      <c r="LR137" s="112">
        <f>LR136/LK136-1</f>
        <v>1.5320009391165623E-2</v>
      </c>
      <c r="LS137" s="112">
        <f>LS136/LL136-1</f>
        <v>4.7882413104027854E-3</v>
      </c>
      <c r="LT137" s="566"/>
      <c r="LU137" s="65" t="s">
        <v>3</v>
      </c>
      <c r="LV137" s="112">
        <f>LV136/LO136-1</f>
        <v>2.2392459379779739E-2</v>
      </c>
      <c r="LW137" s="112">
        <f>LW136/LP136-1</f>
        <v>2.0971540670208899E-2</v>
      </c>
      <c r="LX137" s="112">
        <f>LX136/LQ136-1</f>
        <v>2.1058053545628397E-2</v>
      </c>
      <c r="LY137" s="112">
        <f>LY136/LR136-1</f>
        <v>2.1595934379451176E-2</v>
      </c>
      <c r="LZ137" s="112">
        <f>LZ136/LS136-1</f>
        <v>2.1494417797792043E-2</v>
      </c>
      <c r="MA137" s="566"/>
      <c r="MB137" s="65" t="s">
        <v>3</v>
      </c>
      <c r="MC137" s="112">
        <f>MC136/LV136-1</f>
        <v>1.9690647417911045E-2</v>
      </c>
      <c r="MD137" s="112">
        <f>MD136/LW136-1</f>
        <v>1.9318465463396217E-2</v>
      </c>
      <c r="ME137" s="112">
        <f>ME136/LX136-1</f>
        <v>1.9497793372144523E-2</v>
      </c>
      <c r="MF137" s="112">
        <f>MF136/LY136-1</f>
        <v>1.9263567696176986E-2</v>
      </c>
      <c r="MG137" s="112">
        <f>MG136/LZ136-1</f>
        <v>1.9441048299279728E-2</v>
      </c>
      <c r="MH137" s="566"/>
    </row>
    <row r="138" spans="1:346" s="37" customFormat="1" ht="13.5" thickBot="1" x14ac:dyDescent="0.45">
      <c r="A138" s="100"/>
      <c r="B138" s="143"/>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4"/>
      <c r="AI138" s="144"/>
      <c r="AJ138" s="144"/>
      <c r="AK138" s="144"/>
      <c r="AL138" s="144"/>
      <c r="AM138" s="144"/>
      <c r="AN138" s="144"/>
      <c r="AO138" s="144"/>
      <c r="AP138" s="144"/>
      <c r="AQ138" s="144"/>
      <c r="AR138" s="144"/>
      <c r="AS138" s="144"/>
      <c r="AT138" s="144"/>
      <c r="AU138" s="144"/>
      <c r="AV138" s="144"/>
      <c r="AW138" s="144"/>
      <c r="AX138" s="144"/>
      <c r="AY138" s="144"/>
      <c r="AZ138" s="144"/>
      <c r="BA138" s="144"/>
      <c r="BB138" s="144"/>
      <c r="BC138" s="144"/>
      <c r="BD138" s="144"/>
      <c r="BE138" s="144"/>
      <c r="BF138" s="144"/>
      <c r="BG138" s="144"/>
      <c r="BH138" s="144"/>
      <c r="BI138" s="144"/>
      <c r="BJ138" s="144"/>
      <c r="BK138" s="144"/>
      <c r="BL138" s="144"/>
      <c r="BM138" s="144"/>
      <c r="BO138" s="143"/>
      <c r="BP138" s="144"/>
      <c r="BQ138" s="144"/>
      <c r="BR138" s="144"/>
      <c r="BS138" s="144"/>
      <c r="BT138" s="144"/>
      <c r="BV138" s="143"/>
      <c r="BW138" s="144"/>
      <c r="BX138" s="144"/>
      <c r="BY138" s="144"/>
      <c r="BZ138" s="144"/>
      <c r="CA138" s="144"/>
      <c r="CC138" s="143"/>
      <c r="CD138" s="144"/>
      <c r="CE138" s="144"/>
      <c r="CF138" s="144"/>
      <c r="CG138" s="144"/>
      <c r="CH138" s="144"/>
      <c r="CJ138" s="143"/>
      <c r="CK138" s="144"/>
      <c r="CL138" s="144"/>
      <c r="CM138" s="144"/>
      <c r="CN138" s="144"/>
      <c r="CO138" s="144"/>
      <c r="CQ138" s="143"/>
      <c r="CR138" s="144"/>
      <c r="CS138" s="144"/>
      <c r="CT138" s="144"/>
      <c r="CU138" s="144"/>
      <c r="CV138" s="144"/>
      <c r="CX138" s="143"/>
      <c r="CY138" s="144"/>
      <c r="CZ138" s="144"/>
      <c r="DA138" s="144"/>
      <c r="DB138" s="144"/>
      <c r="DC138" s="144"/>
      <c r="DE138" s="143"/>
      <c r="DF138" s="144"/>
      <c r="DG138" s="144"/>
      <c r="DH138" s="144"/>
      <c r="DI138" s="144"/>
      <c r="DJ138" s="144"/>
      <c r="DL138" s="143"/>
      <c r="DM138" s="144"/>
      <c r="DN138" s="144"/>
      <c r="DO138" s="144"/>
      <c r="DP138" s="144"/>
      <c r="DQ138" s="144"/>
      <c r="DS138" s="143"/>
      <c r="DT138" s="144"/>
      <c r="DU138" s="144"/>
      <c r="DV138" s="144"/>
      <c r="DW138" s="144"/>
      <c r="DX138" s="144"/>
      <c r="DZ138" s="143"/>
      <c r="EA138" s="144"/>
      <c r="EB138" s="144"/>
      <c r="EC138" s="144"/>
      <c r="ED138" s="144"/>
      <c r="EE138" s="144"/>
      <c r="EG138" s="143"/>
      <c r="EH138" s="144"/>
      <c r="EI138" s="144"/>
      <c r="EJ138" s="144"/>
      <c r="EK138" s="144"/>
      <c r="EL138" s="144"/>
      <c r="EN138" s="143"/>
      <c r="EO138" s="144"/>
      <c r="EP138" s="144"/>
      <c r="EQ138" s="144"/>
      <c r="ER138" s="144"/>
      <c r="ES138" s="144"/>
      <c r="EU138" s="143"/>
      <c r="EV138" s="144"/>
      <c r="EW138" s="144"/>
      <c r="EX138" s="144"/>
      <c r="EY138" s="144"/>
      <c r="EZ138" s="144"/>
      <c r="FB138" s="143"/>
      <c r="FC138" s="144"/>
      <c r="FD138" s="144"/>
      <c r="FE138" s="144"/>
      <c r="FF138" s="144"/>
      <c r="FG138" s="144"/>
      <c r="FI138" s="143"/>
      <c r="FJ138" s="144"/>
      <c r="FK138" s="144"/>
      <c r="FL138" s="144"/>
      <c r="FM138" s="144"/>
      <c r="FN138" s="144"/>
      <c r="FP138" s="143"/>
      <c r="FQ138" s="144"/>
      <c r="FR138" s="144"/>
      <c r="FS138" s="144"/>
      <c r="FT138" s="144"/>
      <c r="FU138" s="144"/>
      <c r="FW138" s="143"/>
      <c r="FX138" s="144"/>
      <c r="FY138" s="144"/>
      <c r="FZ138" s="144"/>
      <c r="GA138" s="144"/>
      <c r="GB138" s="144"/>
      <c r="GD138" s="143"/>
      <c r="GE138" s="144"/>
      <c r="GF138" s="144"/>
      <c r="GG138" s="144"/>
      <c r="GH138" s="144"/>
      <c r="GI138" s="144"/>
      <c r="GK138" s="143"/>
      <c r="GL138" s="144"/>
      <c r="GM138" s="144"/>
      <c r="GN138" s="144"/>
      <c r="GO138" s="144"/>
      <c r="GP138" s="144"/>
      <c r="GR138" s="143"/>
      <c r="GS138" s="144"/>
      <c r="GT138" s="144"/>
      <c r="GU138" s="144"/>
      <c r="GV138" s="144"/>
      <c r="GW138" s="144"/>
      <c r="GY138" s="143"/>
      <c r="GZ138" s="144"/>
      <c r="HA138" s="144"/>
      <c r="HB138" s="144"/>
      <c r="HC138" s="144"/>
      <c r="HD138" s="144"/>
      <c r="HF138" s="143"/>
      <c r="HG138" s="144"/>
      <c r="HH138" s="144"/>
      <c r="HI138" s="144"/>
      <c r="HJ138" s="144"/>
      <c r="HK138" s="144"/>
      <c r="HM138" s="143"/>
      <c r="HN138" s="144"/>
      <c r="HO138" s="144"/>
      <c r="HP138" s="144"/>
      <c r="HQ138" s="144"/>
      <c r="HR138" s="144"/>
      <c r="HT138" s="143"/>
      <c r="HU138" s="144"/>
      <c r="HV138" s="144"/>
      <c r="HW138" s="144"/>
      <c r="HX138" s="144"/>
      <c r="HY138" s="144"/>
      <c r="IA138" s="143"/>
      <c r="IB138" s="144"/>
      <c r="IC138" s="144"/>
      <c r="ID138" s="144"/>
      <c r="IE138" s="144"/>
      <c r="IF138" s="144"/>
      <c r="IH138" s="143"/>
      <c r="II138" s="144"/>
      <c r="IJ138" s="144"/>
      <c r="IK138" s="144"/>
      <c r="IL138" s="144"/>
      <c r="IM138" s="144"/>
      <c r="IO138" s="143"/>
      <c r="IP138" s="144"/>
      <c r="IQ138" s="144"/>
      <c r="IR138" s="144"/>
      <c r="IS138" s="144"/>
      <c r="IT138" s="144"/>
      <c r="IV138" s="143"/>
      <c r="IW138" s="144"/>
      <c r="IX138" s="144"/>
      <c r="IY138" s="144"/>
      <c r="IZ138" s="144"/>
      <c r="JA138" s="144"/>
      <c r="JC138" s="143"/>
      <c r="JD138" s="144"/>
      <c r="JE138" s="144"/>
      <c r="JF138" s="144"/>
      <c r="JG138" s="144"/>
      <c r="JH138" s="144"/>
      <c r="JJ138" s="143"/>
      <c r="JK138" s="144"/>
      <c r="JL138" s="144"/>
      <c r="JM138" s="144"/>
      <c r="JN138" s="144"/>
      <c r="JO138" s="144"/>
      <c r="JQ138" s="143"/>
      <c r="JR138" s="144"/>
      <c r="JS138" s="144"/>
      <c r="JT138" s="144"/>
      <c r="JU138" s="144"/>
      <c r="JV138" s="144"/>
      <c r="JX138" s="143"/>
      <c r="JY138" s="144"/>
      <c r="JZ138" s="144"/>
      <c r="KA138" s="144"/>
      <c r="KB138" s="144"/>
      <c r="KC138" s="144"/>
      <c r="KE138" s="143"/>
      <c r="KF138" s="144"/>
      <c r="KG138" s="144"/>
      <c r="KH138" s="144"/>
      <c r="KI138" s="144"/>
      <c r="KJ138" s="144"/>
      <c r="KL138" s="143"/>
      <c r="KM138" s="144"/>
      <c r="KN138" s="144"/>
      <c r="KO138" s="144"/>
      <c r="KP138" s="144"/>
      <c r="KQ138" s="144"/>
      <c r="KS138" s="143"/>
      <c r="KT138" s="144"/>
      <c r="KU138" s="144"/>
      <c r="KV138" s="144"/>
      <c r="KW138" s="144"/>
      <c r="KX138" s="144"/>
      <c r="KZ138" s="628"/>
      <c r="LA138" s="629"/>
      <c r="LB138" s="629"/>
      <c r="LC138" s="629"/>
      <c r="LD138" s="629"/>
      <c r="LE138" s="629"/>
      <c r="LF138" s="560"/>
      <c r="LG138" s="628"/>
      <c r="LH138" s="629"/>
      <c r="LI138" s="629"/>
      <c r="LJ138" s="629"/>
      <c r="LK138" s="629"/>
      <c r="LL138" s="629"/>
      <c r="LM138" s="560"/>
      <c r="LN138" s="628"/>
      <c r="LO138" s="629"/>
      <c r="LP138" s="629"/>
      <c r="LQ138" s="629"/>
      <c r="LR138" s="629"/>
      <c r="LS138" s="629"/>
      <c r="LT138" s="560"/>
      <c r="LU138" s="628"/>
      <c r="LV138" s="629"/>
      <c r="LW138" s="629"/>
      <c r="LX138" s="629"/>
      <c r="LY138" s="629"/>
      <c r="LZ138" s="629"/>
      <c r="MA138" s="560"/>
      <c r="MB138" s="628"/>
      <c r="MC138" s="629"/>
      <c r="MD138" s="629"/>
      <c r="ME138" s="629"/>
      <c r="MF138" s="629"/>
      <c r="MG138" s="629"/>
      <c r="MH138" s="560"/>
    </row>
    <row r="139" spans="1:346" s="37" customFormat="1" ht="13.5" thickBot="1" x14ac:dyDescent="0.45">
      <c r="A139" s="100"/>
      <c r="B139" s="114" t="s">
        <v>431</v>
      </c>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5"/>
      <c r="AZ139" s="115"/>
      <c r="BA139" s="115"/>
      <c r="BB139" s="115"/>
      <c r="BC139" s="115"/>
      <c r="BD139" s="115"/>
      <c r="BE139" s="115"/>
      <c r="BF139" s="115"/>
      <c r="BG139" s="115"/>
      <c r="BH139" s="115"/>
      <c r="BI139" s="115"/>
      <c r="BJ139" s="115"/>
      <c r="BK139" s="115"/>
      <c r="BL139" s="115"/>
      <c r="BM139" s="115"/>
      <c r="BO139" s="114" t="s">
        <v>431</v>
      </c>
      <c r="BP139" s="115"/>
      <c r="BQ139" s="115"/>
      <c r="BR139" s="115"/>
      <c r="BS139" s="115"/>
      <c r="BT139" s="115"/>
      <c r="BV139" s="114" t="s">
        <v>431</v>
      </c>
      <c r="BW139" s="115"/>
      <c r="BX139" s="115"/>
      <c r="BY139" s="115"/>
      <c r="BZ139" s="115"/>
      <c r="CA139" s="115"/>
      <c r="CC139" s="114" t="s">
        <v>431</v>
      </c>
      <c r="CD139" s="115"/>
      <c r="CE139" s="115"/>
      <c r="CF139" s="115"/>
      <c r="CG139" s="115"/>
      <c r="CH139" s="115"/>
      <c r="CJ139" s="114" t="s">
        <v>431</v>
      </c>
      <c r="CK139" s="115"/>
      <c r="CL139" s="115"/>
      <c r="CM139" s="115"/>
      <c r="CN139" s="115"/>
      <c r="CO139" s="115"/>
      <c r="CQ139" s="114" t="s">
        <v>431</v>
      </c>
      <c r="CR139" s="115"/>
      <c r="CS139" s="115"/>
      <c r="CT139" s="115"/>
      <c r="CU139" s="115"/>
      <c r="CV139" s="115"/>
      <c r="CX139" s="114" t="s">
        <v>431</v>
      </c>
      <c r="CY139" s="115"/>
      <c r="CZ139" s="115"/>
      <c r="DA139" s="115"/>
      <c r="DB139" s="115"/>
      <c r="DC139" s="115"/>
      <c r="DE139" s="114" t="s">
        <v>431</v>
      </c>
      <c r="DF139" s="115"/>
      <c r="DG139" s="115"/>
      <c r="DH139" s="115"/>
      <c r="DI139" s="115"/>
      <c r="DJ139" s="115"/>
      <c r="DL139" s="114" t="s">
        <v>431</v>
      </c>
      <c r="DM139" s="115"/>
      <c r="DN139" s="115"/>
      <c r="DO139" s="115"/>
      <c r="DP139" s="115"/>
      <c r="DQ139" s="115"/>
      <c r="DS139" s="114" t="s">
        <v>431</v>
      </c>
      <c r="DT139" s="115"/>
      <c r="DU139" s="115"/>
      <c r="DV139" s="115"/>
      <c r="DW139" s="115"/>
      <c r="DX139" s="115"/>
      <c r="DZ139" s="114" t="s">
        <v>431</v>
      </c>
      <c r="EA139" s="115"/>
      <c r="EB139" s="115"/>
      <c r="EC139" s="115"/>
      <c r="ED139" s="115"/>
      <c r="EE139" s="115"/>
      <c r="EG139" s="114" t="s">
        <v>431</v>
      </c>
      <c r="EH139" s="115"/>
      <c r="EI139" s="115"/>
      <c r="EJ139" s="115"/>
      <c r="EK139" s="115"/>
      <c r="EL139" s="115"/>
      <c r="EN139" s="114" t="s">
        <v>431</v>
      </c>
      <c r="EO139" s="115"/>
      <c r="EP139" s="115"/>
      <c r="EQ139" s="115"/>
      <c r="ER139" s="115"/>
      <c r="ES139" s="115"/>
      <c r="EU139" s="114" t="s">
        <v>431</v>
      </c>
      <c r="EV139" s="115"/>
      <c r="EW139" s="115"/>
      <c r="EX139" s="115"/>
      <c r="EY139" s="115"/>
      <c r="EZ139" s="115"/>
      <c r="FB139" s="114" t="s">
        <v>431</v>
      </c>
      <c r="FC139" s="115"/>
      <c r="FD139" s="115"/>
      <c r="FE139" s="115"/>
      <c r="FF139" s="115"/>
      <c r="FG139" s="115"/>
      <c r="FI139" s="114" t="s">
        <v>431</v>
      </c>
      <c r="FJ139" s="115"/>
      <c r="FK139" s="115"/>
      <c r="FL139" s="115"/>
      <c r="FM139" s="115"/>
      <c r="FN139" s="115"/>
      <c r="FP139" s="114" t="s">
        <v>431</v>
      </c>
      <c r="FQ139" s="115"/>
      <c r="FR139" s="115"/>
      <c r="FS139" s="115"/>
      <c r="FT139" s="115"/>
      <c r="FU139" s="115"/>
      <c r="FW139" s="114" t="s">
        <v>431</v>
      </c>
      <c r="FX139" s="115"/>
      <c r="FY139" s="115"/>
      <c r="FZ139" s="115"/>
      <c r="GA139" s="115"/>
      <c r="GB139" s="115"/>
      <c r="GD139" s="114" t="s">
        <v>431</v>
      </c>
      <c r="GE139" s="115"/>
      <c r="GF139" s="115"/>
      <c r="GG139" s="115"/>
      <c r="GH139" s="115"/>
      <c r="GI139" s="115"/>
      <c r="GK139" s="114" t="s">
        <v>431</v>
      </c>
      <c r="GL139" s="115"/>
      <c r="GM139" s="115"/>
      <c r="GN139" s="115"/>
      <c r="GO139" s="115"/>
      <c r="GP139" s="115"/>
      <c r="GR139" s="114" t="s">
        <v>431</v>
      </c>
      <c r="GS139" s="115"/>
      <c r="GT139" s="115"/>
      <c r="GU139" s="115"/>
      <c r="GV139" s="115"/>
      <c r="GW139" s="115"/>
      <c r="GY139" s="114" t="s">
        <v>431</v>
      </c>
      <c r="GZ139" s="115"/>
      <c r="HA139" s="115"/>
      <c r="HB139" s="115"/>
      <c r="HC139" s="115"/>
      <c r="HD139" s="115"/>
      <c r="HF139" s="114" t="s">
        <v>431</v>
      </c>
      <c r="HG139" s="115"/>
      <c r="HH139" s="115"/>
      <c r="HI139" s="115"/>
      <c r="HJ139" s="115"/>
      <c r="HK139" s="115"/>
      <c r="HM139" s="114" t="s">
        <v>431</v>
      </c>
      <c r="HN139" s="115"/>
      <c r="HO139" s="115"/>
      <c r="HP139" s="115"/>
      <c r="HQ139" s="115"/>
      <c r="HR139" s="115"/>
      <c r="HT139" s="114" t="s">
        <v>431</v>
      </c>
      <c r="HU139" s="115"/>
      <c r="HV139" s="115"/>
      <c r="HW139" s="115"/>
      <c r="HX139" s="115"/>
      <c r="HY139" s="115"/>
      <c r="IA139" s="114" t="s">
        <v>431</v>
      </c>
      <c r="IB139" s="115"/>
      <c r="IC139" s="115"/>
      <c r="ID139" s="115"/>
      <c r="IE139" s="115"/>
      <c r="IF139" s="115"/>
      <c r="IH139" s="114" t="s">
        <v>431</v>
      </c>
      <c r="II139" s="115"/>
      <c r="IJ139" s="115"/>
      <c r="IK139" s="115"/>
      <c r="IL139" s="115"/>
      <c r="IM139" s="115"/>
      <c r="IO139" s="114" t="s">
        <v>431</v>
      </c>
      <c r="IP139" s="115"/>
      <c r="IQ139" s="115"/>
      <c r="IR139" s="115"/>
      <c r="IS139" s="115"/>
      <c r="IT139" s="115"/>
      <c r="IV139" s="114" t="s">
        <v>431</v>
      </c>
      <c r="IW139" s="115"/>
      <c r="IX139" s="115"/>
      <c r="IY139" s="115"/>
      <c r="IZ139" s="115"/>
      <c r="JA139" s="115"/>
      <c r="JC139" s="114" t="s">
        <v>431</v>
      </c>
      <c r="JD139" s="115"/>
      <c r="JE139" s="115"/>
      <c r="JF139" s="115"/>
      <c r="JG139" s="115"/>
      <c r="JH139" s="115"/>
      <c r="JJ139" s="114" t="s">
        <v>431</v>
      </c>
      <c r="JK139" s="115"/>
      <c r="JL139" s="115"/>
      <c r="JM139" s="115"/>
      <c r="JN139" s="115"/>
      <c r="JO139" s="115"/>
      <c r="JQ139" s="114" t="s">
        <v>431</v>
      </c>
      <c r="JR139" s="115"/>
      <c r="JS139" s="115"/>
      <c r="JT139" s="115"/>
      <c r="JU139" s="115"/>
      <c r="JV139" s="115"/>
      <c r="JX139" s="114" t="s">
        <v>431</v>
      </c>
      <c r="JY139" s="115"/>
      <c r="JZ139" s="115"/>
      <c r="KA139" s="115"/>
      <c r="KB139" s="115"/>
      <c r="KC139" s="115"/>
      <c r="KE139" s="114" t="s">
        <v>431</v>
      </c>
      <c r="KF139" s="115"/>
      <c r="KG139" s="115"/>
      <c r="KH139" s="115"/>
      <c r="KI139" s="115"/>
      <c r="KJ139" s="115"/>
      <c r="KL139" s="114" t="s">
        <v>431</v>
      </c>
      <c r="KM139" s="115"/>
      <c r="KN139" s="115"/>
      <c r="KO139" s="115"/>
      <c r="KP139" s="115"/>
      <c r="KQ139" s="115"/>
      <c r="KS139" s="114" t="s">
        <v>431</v>
      </c>
      <c r="KT139" s="115"/>
      <c r="KU139" s="115"/>
      <c r="KV139" s="115"/>
      <c r="KW139" s="115"/>
      <c r="KX139" s="115"/>
      <c r="KZ139" s="114" t="s">
        <v>431</v>
      </c>
      <c r="LA139" s="115"/>
      <c r="LB139" s="213"/>
      <c r="LC139" s="213"/>
      <c r="LD139" s="213"/>
      <c r="LE139" s="213"/>
      <c r="LF139" s="565"/>
      <c r="LG139" s="114" t="s">
        <v>431</v>
      </c>
      <c r="LH139" s="213"/>
      <c r="LI139" s="213"/>
      <c r="LJ139" s="213"/>
      <c r="LK139" s="213"/>
      <c r="LL139" s="213"/>
      <c r="LM139" s="565"/>
      <c r="LN139" s="114" t="s">
        <v>431</v>
      </c>
      <c r="LO139" s="213"/>
      <c r="LP139" s="213"/>
      <c r="LQ139" s="213"/>
      <c r="LR139" s="213"/>
      <c r="LS139" s="213"/>
      <c r="LT139" s="565"/>
      <c r="LU139" s="114" t="s">
        <v>431</v>
      </c>
      <c r="LV139" s="213"/>
      <c r="LW139" s="213"/>
      <c r="LX139" s="213"/>
      <c r="LY139" s="213"/>
      <c r="LZ139" s="213"/>
      <c r="MA139" s="565"/>
      <c r="MB139" s="114" t="s">
        <v>431</v>
      </c>
      <c r="MC139" s="213"/>
      <c r="MD139" s="213"/>
      <c r="ME139" s="213"/>
      <c r="MF139" s="213"/>
      <c r="MG139" s="213"/>
      <c r="MH139" s="565"/>
    </row>
    <row r="140" spans="1:346" s="37" customFormat="1" ht="13.15" x14ac:dyDescent="0.4">
      <c r="A140" s="100"/>
      <c r="B140" s="69"/>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D140" s="53"/>
      <c r="BE140" s="53"/>
      <c r="BF140" s="53"/>
      <c r="BG140" s="53"/>
      <c r="BH140" s="53"/>
      <c r="BI140" s="53"/>
      <c r="BJ140" s="53"/>
      <c r="BK140" s="53"/>
      <c r="BL140" s="53"/>
      <c r="BM140" s="53"/>
      <c r="BO140" s="69"/>
      <c r="BP140" s="53"/>
      <c r="BQ140" s="53"/>
      <c r="BR140" s="53"/>
      <c r="BS140" s="53"/>
      <c r="BT140" s="53"/>
      <c r="BV140" s="69"/>
      <c r="BW140" s="53"/>
      <c r="BX140" s="53"/>
      <c r="BY140" s="53"/>
      <c r="BZ140" s="53"/>
      <c r="CA140" s="53"/>
      <c r="CC140" s="69"/>
      <c r="CD140" s="53"/>
      <c r="CE140" s="53"/>
      <c r="CF140" s="53"/>
      <c r="CG140" s="53"/>
      <c r="CH140" s="53"/>
      <c r="CJ140" s="69"/>
      <c r="CK140" s="53"/>
      <c r="CL140" s="53"/>
      <c r="CM140" s="53"/>
      <c r="CN140" s="53"/>
      <c r="CO140" s="53"/>
      <c r="CQ140" s="69"/>
      <c r="CR140" s="53"/>
      <c r="CS140" s="53"/>
      <c r="CT140" s="53"/>
      <c r="CU140" s="53"/>
      <c r="CV140" s="53"/>
      <c r="CX140" s="69"/>
      <c r="CY140" s="53"/>
      <c r="CZ140" s="53"/>
      <c r="DA140" s="53"/>
      <c r="DB140" s="53"/>
      <c r="DC140" s="53"/>
      <c r="DE140" s="69"/>
      <c r="DF140" s="53"/>
      <c r="DG140" s="53"/>
      <c r="DH140" s="53"/>
      <c r="DI140" s="53"/>
      <c r="DJ140" s="53"/>
      <c r="DL140" s="69"/>
      <c r="DM140" s="53"/>
      <c r="DN140" s="53"/>
      <c r="DO140" s="53"/>
      <c r="DP140" s="53"/>
      <c r="DQ140" s="53"/>
      <c r="DS140" s="69"/>
      <c r="DT140" s="53"/>
      <c r="DU140" s="53"/>
      <c r="DV140" s="53"/>
      <c r="DW140" s="53"/>
      <c r="DX140" s="53"/>
      <c r="DZ140" s="69"/>
      <c r="EA140" s="53"/>
      <c r="EB140" s="53"/>
      <c r="EC140" s="53"/>
      <c r="ED140" s="53"/>
      <c r="EE140" s="53"/>
      <c r="EG140" s="69"/>
      <c r="EH140" s="53"/>
      <c r="EI140" s="53"/>
      <c r="EJ140" s="53"/>
      <c r="EK140" s="53"/>
      <c r="EL140" s="53"/>
      <c r="EN140" s="69"/>
      <c r="EO140" s="53"/>
      <c r="EP140" s="53"/>
      <c r="EQ140" s="53"/>
      <c r="ER140" s="53"/>
      <c r="ES140" s="53"/>
      <c r="EU140" s="69"/>
      <c r="EV140" s="53"/>
      <c r="EW140" s="53"/>
      <c r="EX140" s="53"/>
      <c r="EY140" s="53"/>
      <c r="EZ140" s="53"/>
      <c r="FB140" s="69"/>
      <c r="FC140" s="53"/>
      <c r="FD140" s="53"/>
      <c r="FE140" s="53"/>
      <c r="FF140" s="53"/>
      <c r="FG140" s="53"/>
      <c r="FI140" s="69"/>
      <c r="FJ140" s="53"/>
      <c r="FK140" s="53"/>
      <c r="FL140" s="53"/>
      <c r="FM140" s="53"/>
      <c r="FN140" s="53"/>
      <c r="FP140" s="69"/>
      <c r="FQ140" s="53"/>
      <c r="FR140" s="53"/>
      <c r="FS140" s="53"/>
      <c r="FT140" s="53"/>
      <c r="FU140" s="53"/>
      <c r="FW140" s="69"/>
      <c r="FX140" s="53"/>
      <c r="FY140" s="53"/>
      <c r="FZ140" s="53"/>
      <c r="GA140" s="53"/>
      <c r="GB140" s="53"/>
      <c r="GD140" s="69"/>
      <c r="GE140" s="53"/>
      <c r="GF140" s="53"/>
      <c r="GG140" s="53"/>
      <c r="GH140" s="53"/>
      <c r="GI140" s="53"/>
      <c r="GK140" s="69"/>
      <c r="GL140" s="53"/>
      <c r="GM140" s="53"/>
      <c r="GN140" s="53"/>
      <c r="GO140" s="53"/>
      <c r="GP140" s="53"/>
      <c r="GR140" s="69"/>
      <c r="GS140" s="53"/>
      <c r="GT140" s="53"/>
      <c r="GU140" s="53"/>
      <c r="GV140" s="53"/>
      <c r="GW140" s="53"/>
      <c r="GY140" s="69"/>
      <c r="GZ140" s="53"/>
      <c r="HA140" s="53"/>
      <c r="HB140" s="53"/>
      <c r="HC140" s="53"/>
      <c r="HD140" s="53"/>
      <c r="HF140" s="69"/>
      <c r="HG140" s="53"/>
      <c r="HH140" s="53"/>
      <c r="HI140" s="53"/>
      <c r="HJ140" s="53"/>
      <c r="HK140" s="53"/>
      <c r="HM140" s="69"/>
      <c r="HN140" s="53"/>
      <c r="HO140" s="53"/>
      <c r="HP140" s="53"/>
      <c r="HQ140" s="53"/>
      <c r="HR140" s="53"/>
      <c r="HT140" s="69"/>
      <c r="HU140" s="53"/>
      <c r="HV140" s="53"/>
      <c r="HW140" s="53"/>
      <c r="HX140" s="53"/>
      <c r="HY140" s="53"/>
      <c r="IA140" s="69"/>
      <c r="IB140" s="53"/>
      <c r="IC140" s="53"/>
      <c r="ID140" s="53"/>
      <c r="IE140" s="53"/>
      <c r="IF140" s="53"/>
      <c r="IH140" s="69"/>
      <c r="II140" s="53"/>
      <c r="IJ140" s="53"/>
      <c r="IK140" s="53"/>
      <c r="IL140" s="53"/>
      <c r="IM140" s="53"/>
      <c r="IO140" s="69"/>
      <c r="IP140" s="53"/>
      <c r="IQ140" s="53"/>
      <c r="IR140" s="53"/>
      <c r="IS140" s="53"/>
      <c r="IT140" s="53"/>
      <c r="IV140" s="69"/>
      <c r="IW140" s="53"/>
      <c r="IX140" s="53"/>
      <c r="IY140" s="53"/>
      <c r="IZ140" s="53"/>
      <c r="JA140" s="53"/>
      <c r="JC140" s="69"/>
      <c r="JD140" s="53"/>
      <c r="JE140" s="53"/>
      <c r="JF140" s="53"/>
      <c r="JG140" s="53"/>
      <c r="JH140" s="53"/>
      <c r="JJ140" s="69"/>
      <c r="JK140" s="53"/>
      <c r="JL140" s="53"/>
      <c r="JM140" s="53"/>
      <c r="JN140" s="53"/>
      <c r="JO140" s="53"/>
      <c r="JQ140" s="69"/>
      <c r="JR140" s="53"/>
      <c r="JS140" s="53"/>
      <c r="JT140" s="53"/>
      <c r="JU140" s="53"/>
      <c r="JV140" s="53"/>
      <c r="JX140" s="69"/>
      <c r="JY140" s="53"/>
      <c r="JZ140" s="53"/>
      <c r="KA140" s="53"/>
      <c r="KB140" s="53"/>
      <c r="KC140" s="53"/>
      <c r="KE140" s="69"/>
      <c r="KF140" s="53"/>
      <c r="KG140" s="53"/>
      <c r="KH140" s="53"/>
      <c r="KI140" s="53"/>
      <c r="KJ140" s="53"/>
      <c r="KL140" s="69"/>
      <c r="KM140" s="53"/>
      <c r="KN140" s="53"/>
      <c r="KO140" s="53"/>
      <c r="KP140" s="53"/>
      <c r="KQ140" s="53"/>
      <c r="KS140" s="69"/>
      <c r="KT140" s="53"/>
      <c r="KU140" s="53"/>
      <c r="KV140" s="53"/>
      <c r="KX140" s="53"/>
      <c r="KZ140" s="69"/>
      <c r="LA140" s="53"/>
      <c r="LF140" s="565"/>
      <c r="LG140" s="69"/>
      <c r="LM140" s="565"/>
      <c r="LN140" s="69"/>
      <c r="LT140" s="565"/>
      <c r="LU140" s="69"/>
      <c r="MA140" s="565"/>
      <c r="MB140" s="69"/>
      <c r="MH140" s="565"/>
    </row>
    <row r="141" spans="1:346" s="37" customFormat="1" ht="13.15" x14ac:dyDescent="0.4">
      <c r="A141" s="100"/>
      <c r="B141" s="65" t="s">
        <v>31</v>
      </c>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O141" s="65" t="s">
        <v>31</v>
      </c>
      <c r="BP141" s="66"/>
      <c r="BQ141" s="66"/>
      <c r="BR141" s="66"/>
      <c r="BS141" s="66"/>
      <c r="BT141" s="66"/>
      <c r="BV141" s="65" t="s">
        <v>31</v>
      </c>
      <c r="BW141" s="66">
        <f t="shared" ref="BW141:CA143" si="883">BW115/BP115-1</f>
        <v>6.7397660818713456E-2</v>
      </c>
      <c r="BX141" s="66">
        <f t="shared" si="883"/>
        <v>3.9224594881114516E-2</v>
      </c>
      <c r="BY141" s="66">
        <f t="shared" si="883"/>
        <v>3.9185672738404786E-2</v>
      </c>
      <c r="BZ141" s="66">
        <f t="shared" si="883"/>
        <v>5.4707792207792094E-2</v>
      </c>
      <c r="CA141" s="66">
        <f t="shared" si="883"/>
        <v>5.0169815833532638E-2</v>
      </c>
      <c r="CC141" s="65" t="s">
        <v>31</v>
      </c>
      <c r="CD141" s="66">
        <f t="shared" ref="CD141:CH143" si="884">CD115/BW115-1</f>
        <v>7.2641136991709265E-2</v>
      </c>
      <c r="CE141" s="66">
        <f t="shared" si="884"/>
        <v>9.4117647058823639E-2</v>
      </c>
      <c r="CF141" s="66">
        <f t="shared" si="884"/>
        <v>9.958442358011399E-2</v>
      </c>
      <c r="CG141" s="66">
        <f t="shared" si="884"/>
        <v>4.1095890410958846E-2</v>
      </c>
      <c r="CH141" s="66">
        <f t="shared" si="884"/>
        <v>7.7181389274825873E-2</v>
      </c>
      <c r="CJ141" s="65" t="s">
        <v>31</v>
      </c>
      <c r="CK141" s="66">
        <f t="shared" ref="CK141:CO143" si="885">CK115/CD115-1</f>
        <v>4.0209790209790208E-2</v>
      </c>
      <c r="CL141" s="66">
        <f t="shared" si="885"/>
        <v>2.2070015220700068E-2</v>
      </c>
      <c r="CM141" s="66">
        <f t="shared" si="885"/>
        <v>1.9005847953215138E-3</v>
      </c>
      <c r="CN141" s="66">
        <f t="shared" si="885"/>
        <v>6.5789473684210176E-3</v>
      </c>
      <c r="CO141" s="66">
        <f t="shared" si="885"/>
        <v>1.745552039714271E-2</v>
      </c>
      <c r="CQ141" s="65" t="s">
        <v>31</v>
      </c>
      <c r="CR141" s="66">
        <f t="shared" ref="CR141:CV143" si="886">CR115/CK115-1</f>
        <v>9.52380952380949E-3</v>
      </c>
      <c r="CS141" s="66">
        <f t="shared" si="886"/>
        <v>4.4916292364232113E-3</v>
      </c>
      <c r="CT141" s="66">
        <f t="shared" si="886"/>
        <v>1.3401492124896386E-2</v>
      </c>
      <c r="CU141" s="66">
        <f t="shared" si="886"/>
        <v>1.571408705326105E-2</v>
      </c>
      <c r="CV141" s="66">
        <f t="shared" si="886"/>
        <v>1.0725063030973425E-2</v>
      </c>
      <c r="CX141" s="65" t="s">
        <v>31</v>
      </c>
      <c r="CY141" s="66">
        <f t="shared" ref="CY141:DC143" si="887">CY115/CR115-1</f>
        <v>1.1641910879164996E-2</v>
      </c>
      <c r="CZ141" s="66">
        <f t="shared" si="887"/>
        <v>1.7224038219763704E-2</v>
      </c>
      <c r="DA141" s="66">
        <f t="shared" si="887"/>
        <v>1.5209611451942884E-2</v>
      </c>
      <c r="DB141" s="66">
        <f t="shared" si="887"/>
        <v>-4.7462577583060606E-3</v>
      </c>
      <c r="DC141" s="66">
        <f t="shared" si="887"/>
        <v>9.7865475698528659E-3</v>
      </c>
      <c r="DE141" s="65" t="s">
        <v>31</v>
      </c>
      <c r="DF141" s="66">
        <f t="shared" ref="DF141:DJ143" si="888">DF115/CY115-1</f>
        <v>-2.3576097105508786E-2</v>
      </c>
      <c r="DG141" s="66">
        <f t="shared" si="888"/>
        <v>-3.0000000000000138E-2</v>
      </c>
      <c r="DH141" s="66">
        <f t="shared" si="888"/>
        <v>-4.4151115157032406E-2</v>
      </c>
      <c r="DI141" s="66">
        <f t="shared" si="888"/>
        <v>-1.5689655172413719E-2</v>
      </c>
      <c r="DJ141" s="66">
        <f t="shared" si="888"/>
        <v>-2.8441983387868186E-2</v>
      </c>
      <c r="DL141" s="65" t="s">
        <v>31</v>
      </c>
      <c r="DM141" s="66">
        <f t="shared" ref="DM141:DQ143" si="889">DM115/DF115-1</f>
        <v>0</v>
      </c>
      <c r="DN141" s="66">
        <f t="shared" si="889"/>
        <v>1.2859906680323219E-2</v>
      </c>
      <c r="DO141" s="66">
        <f t="shared" si="889"/>
        <v>4.5714285714285596E-2</v>
      </c>
      <c r="DP141" s="66">
        <f t="shared" si="889"/>
        <v>2.5728210359288184E-2</v>
      </c>
      <c r="DQ141" s="66">
        <f t="shared" si="889"/>
        <v>2.1026894865525669E-2</v>
      </c>
      <c r="DS141" s="65" t="s">
        <v>31</v>
      </c>
      <c r="DT141" s="66">
        <f t="shared" ref="DT141:DX143" si="890">DT115/DM115-1</f>
        <v>2.8089887640450062E-3</v>
      </c>
      <c r="DU141" s="66">
        <f t="shared" si="890"/>
        <v>-5.7210596845687078E-3</v>
      </c>
      <c r="DV141" s="66">
        <f t="shared" si="890"/>
        <v>-4.5871559633027581E-2</v>
      </c>
      <c r="DW141" s="66">
        <f t="shared" si="890"/>
        <v>-4.871002078159048E-2</v>
      </c>
      <c r="DX141" s="66">
        <f t="shared" si="890"/>
        <v>-2.4511494252873467E-2</v>
      </c>
      <c r="DZ141" s="65" t="s">
        <v>31</v>
      </c>
      <c r="EA141" s="66">
        <f t="shared" ref="EA141:EE143" si="891">EA115/DT115-1</f>
        <v>-4.0816326530612179E-2</v>
      </c>
      <c r="EB141" s="66">
        <f t="shared" si="891"/>
        <v>-4.7167165295437519E-2</v>
      </c>
      <c r="EC141" s="66">
        <f t="shared" si="891"/>
        <v>-1.9516003122543868E-4</v>
      </c>
      <c r="ED141" s="66">
        <f t="shared" si="891"/>
        <v>-2.3651368760064462E-2</v>
      </c>
      <c r="EE141" s="66">
        <f t="shared" si="891"/>
        <v>-2.813958536850103E-2</v>
      </c>
      <c r="EG141" s="65" t="s">
        <v>31</v>
      </c>
      <c r="EH141" s="66">
        <f t="shared" ref="EH141:EL143" si="892">EH115/EA115-1</f>
        <v>-1.0374538420960144E-2</v>
      </c>
      <c r="EI141" s="66">
        <f t="shared" si="892"/>
        <v>1.6788956597437954E-2</v>
      </c>
      <c r="EJ141" s="66">
        <f t="shared" si="892"/>
        <v>-7.0921985815602939E-3</v>
      </c>
      <c r="EK141" s="66">
        <f t="shared" si="892"/>
        <v>3.0367446097789852E-4</v>
      </c>
      <c r="EL141" s="66">
        <f t="shared" si="892"/>
        <v>-6.1657319020913537E-4</v>
      </c>
      <c r="EN141" s="65" t="s">
        <v>31</v>
      </c>
      <c r="EO141" s="66">
        <f t="shared" ref="EO141:ES143" si="893">EO115/EH115-1</f>
        <v>3.864480414827276E-2</v>
      </c>
      <c r="EP141" s="66">
        <f t="shared" si="893"/>
        <v>1.558809636277747E-2</v>
      </c>
      <c r="EQ141" s="66">
        <f t="shared" si="893"/>
        <v>4.142857142857137E-2</v>
      </c>
      <c r="ER141" s="66">
        <f t="shared" si="893"/>
        <v>4.9299988033983499E-2</v>
      </c>
      <c r="ES141" s="66">
        <f t="shared" si="893"/>
        <v>3.647332818388227E-2</v>
      </c>
      <c r="EU141" s="65" t="s">
        <v>31</v>
      </c>
      <c r="EV141" s="66">
        <f t="shared" ref="EV141:EZ143" si="894">EV115/EO115-1</f>
        <v>1.0145772594752245E-2</v>
      </c>
      <c r="EW141" s="66">
        <f t="shared" si="894"/>
        <v>4.4927536231884613E-3</v>
      </c>
      <c r="EX141" s="66">
        <f t="shared" si="894"/>
        <v>-3.6820446177171506E-3</v>
      </c>
      <c r="EY141" s="66">
        <f t="shared" si="894"/>
        <v>3.761488895430487E-3</v>
      </c>
      <c r="EZ141" s="66">
        <f t="shared" si="894"/>
        <v>3.7378917378916299E-3</v>
      </c>
      <c r="FB141" s="65" t="s">
        <v>31</v>
      </c>
      <c r="FC141" s="66">
        <f t="shared" ref="FC141:FG143" si="895">FC115/EV115-1</f>
        <v>1.1536126290224713E-2</v>
      </c>
      <c r="FD141" s="66">
        <f t="shared" si="895"/>
        <v>1.4584578601315012E-2</v>
      </c>
      <c r="FE141" s="66">
        <f t="shared" si="895"/>
        <v>3.1375730045424932E-2</v>
      </c>
      <c r="FF141" s="66">
        <f t="shared" si="895"/>
        <v>4.3535177228786415E-2</v>
      </c>
      <c r="FG141" s="66">
        <f t="shared" si="895"/>
        <v>2.5019001524060114E-2</v>
      </c>
      <c r="FI141" s="65" t="s">
        <v>31</v>
      </c>
      <c r="FJ141" s="66">
        <f t="shared" ref="FJ141:FN143" si="896">FJ115/FC115-1</f>
        <v>3.5085567073544821E-2</v>
      </c>
      <c r="FK141" s="66">
        <f t="shared" si="896"/>
        <v>3.9794608472400572E-2</v>
      </c>
      <c r="FL141" s="66">
        <f t="shared" si="896"/>
        <v>2.2397243416194978E-2</v>
      </c>
      <c r="FM141" s="66">
        <f t="shared" si="896"/>
        <v>1.3800522514215485E-2</v>
      </c>
      <c r="FN141" s="66">
        <f t="shared" si="896"/>
        <v>2.7829975226451698E-2</v>
      </c>
      <c r="FP141" s="65" t="s">
        <v>31</v>
      </c>
      <c r="FQ141" s="66">
        <f t="shared" ref="FQ141:FU143" si="897">FQ115/FJ115-1</f>
        <v>9.2661870503598642E-3</v>
      </c>
      <c r="FR141" s="66">
        <f t="shared" si="897"/>
        <v>3.2098765432098775E-2</v>
      </c>
      <c r="FS141" s="66">
        <f t="shared" si="897"/>
        <v>4.943142260385236E-2</v>
      </c>
      <c r="FT141" s="66">
        <f t="shared" si="897"/>
        <v>5.5153557224922656E-2</v>
      </c>
      <c r="FU141" s="66">
        <f t="shared" si="897"/>
        <v>3.6810948805656496E-2</v>
      </c>
      <c r="FW141" s="65" t="s">
        <v>31</v>
      </c>
      <c r="FX141" s="66">
        <f t="shared" ref="FX141:GB143" si="898">FX115/FQ115-1</f>
        <v>6.6545758928571397E-2</v>
      </c>
      <c r="FY141" s="66">
        <f t="shared" si="898"/>
        <v>6.0606060606060552E-2</v>
      </c>
      <c r="FZ141" s="66">
        <f t="shared" si="898"/>
        <v>7.3035642541468437E-2</v>
      </c>
      <c r="GA141" s="66">
        <f t="shared" si="898"/>
        <v>0.11304638156979507</v>
      </c>
      <c r="GB141" s="66">
        <f t="shared" si="898"/>
        <v>7.6968708810639885E-2</v>
      </c>
      <c r="GD141" s="65" t="s">
        <v>31</v>
      </c>
      <c r="GE141" s="66">
        <f t="shared" ref="GE141:GI143" si="899">GE115/FX115-1</f>
        <v>0.11245791245791259</v>
      </c>
      <c r="GF141" s="66">
        <f t="shared" si="899"/>
        <v>0.13805970149253732</v>
      </c>
      <c r="GG141" s="66">
        <f t="shared" si="899"/>
        <v>0.14607149844872391</v>
      </c>
      <c r="GH141" s="66">
        <f t="shared" si="899"/>
        <v>9.2544316996871823E-2</v>
      </c>
      <c r="GI141" s="66">
        <f t="shared" si="899"/>
        <v>0.12266390931372539</v>
      </c>
      <c r="GK141" s="65" t="s">
        <v>31</v>
      </c>
      <c r="GL141" s="66">
        <f t="shared" ref="GL141:GP143" si="900">GL115/GE115-1</f>
        <v>9.6256008095117584E-2</v>
      </c>
      <c r="GM141" s="66">
        <f t="shared" si="900"/>
        <v>6.9286403085824455E-2</v>
      </c>
      <c r="GN141" s="66">
        <f t="shared" si="900"/>
        <v>0.10608979830744047</v>
      </c>
      <c r="GO141" s="66">
        <f t="shared" si="900"/>
        <v>0.13804713804713797</v>
      </c>
      <c r="GP141" s="66">
        <f t="shared" si="900"/>
        <v>0.1020872865275142</v>
      </c>
      <c r="GR141" s="65" t="s">
        <v>31</v>
      </c>
      <c r="GS141" s="66">
        <f t="shared" ref="GS141:GW143" si="901">GS115/GL115-1</f>
        <v>0.1714361612209907</v>
      </c>
      <c r="GT141" s="66">
        <f t="shared" si="901"/>
        <v>0.19499089043149365</v>
      </c>
      <c r="GU141" s="66">
        <f t="shared" si="901"/>
        <v>0.18322580645161302</v>
      </c>
      <c r="GV141" s="66">
        <f t="shared" si="901"/>
        <v>0.12524654832347148</v>
      </c>
      <c r="GW141" s="66">
        <f t="shared" si="901"/>
        <v>0.16775045985647319</v>
      </c>
      <c r="GY141" s="65" t="s">
        <v>31</v>
      </c>
      <c r="GZ141" s="66">
        <f t="shared" ref="GZ141:HD143" si="902">GZ115/GS115-1</f>
        <v>4.5303867403314824E-2</v>
      </c>
      <c r="HA141" s="66">
        <f t="shared" si="902"/>
        <v>8.5739282589676336E-3</v>
      </c>
      <c r="HB141" s="66">
        <f t="shared" si="902"/>
        <v>-2.0070838252656542E-2</v>
      </c>
      <c r="HC141" s="66">
        <f t="shared" si="902"/>
        <v>1.6163284568192493E-2</v>
      </c>
      <c r="HD141" s="66">
        <f t="shared" si="902"/>
        <v>1.3195543847810853E-2</v>
      </c>
      <c r="HF141" s="65" t="s">
        <v>31</v>
      </c>
      <c r="HG141" s="66">
        <f t="shared" ref="HG141:HK143" si="903">HG115/GZ115-1</f>
        <v>6.8384740259740395E-2</v>
      </c>
      <c r="HH141" s="66">
        <f t="shared" si="903"/>
        <v>9.3260188087774365E-2</v>
      </c>
      <c r="HI141" s="66">
        <f t="shared" si="903"/>
        <v>8.2519734108849274E-2</v>
      </c>
      <c r="HJ141" s="66">
        <f t="shared" si="903"/>
        <v>6.7223963775687956E-2</v>
      </c>
      <c r="HK141" s="66">
        <f t="shared" si="903"/>
        <v>7.7990093941484817E-2</v>
      </c>
      <c r="HM141" s="65" t="s">
        <v>31</v>
      </c>
      <c r="HN141" s="66">
        <f t="shared" ref="HN141:HR143" si="904">HN115/HG115-1</f>
        <v>7.4536732656390825E-2</v>
      </c>
      <c r="HO141" s="66">
        <f t="shared" si="904"/>
        <v>8.2226438962681891E-2</v>
      </c>
      <c r="HP141" s="66">
        <f t="shared" si="904"/>
        <v>7.3878627968337884E-2</v>
      </c>
      <c r="HQ141" s="66">
        <f t="shared" si="904"/>
        <v>6.0859245193448874E-2</v>
      </c>
      <c r="HR141" s="66">
        <f t="shared" si="904"/>
        <v>7.2421181512090538E-2</v>
      </c>
      <c r="HT141" s="65" t="s">
        <v>31</v>
      </c>
      <c r="HU141" s="66">
        <f t="shared" ref="HU141:HY143" si="905">HU115/HN115-1</f>
        <v>5.3299492385786795E-2</v>
      </c>
      <c r="HV141" s="66">
        <f t="shared" si="905"/>
        <v>3.2485875706214751E-2</v>
      </c>
      <c r="HW141" s="66">
        <f t="shared" si="905"/>
        <v>2.4111939366176616E-2</v>
      </c>
      <c r="HX141" s="66">
        <f t="shared" si="905"/>
        <v>2.5230185954143503E-2</v>
      </c>
      <c r="HY141" s="66">
        <f t="shared" si="905"/>
        <v>3.3746787350541929E-2</v>
      </c>
      <c r="IA141" s="65" t="s">
        <v>31</v>
      </c>
      <c r="IB141" s="66">
        <f t="shared" ref="IB141:IF143" si="906">IB115/HU115-1</f>
        <v>-5.8996249900263198E-2</v>
      </c>
      <c r="IC141" s="66">
        <f t="shared" si="906"/>
        <v>-8.9534883720930325E-2</v>
      </c>
      <c r="ID141" s="66">
        <f t="shared" si="906"/>
        <v>-0.11248849516797066</v>
      </c>
      <c r="IE141" s="66">
        <f t="shared" si="906"/>
        <v>-9.9508401203316499E-2</v>
      </c>
      <c r="IF141" s="66">
        <f t="shared" si="906"/>
        <v>-9.0797785374554074E-2</v>
      </c>
      <c r="IH141" s="65" t="s">
        <v>31</v>
      </c>
      <c r="II141" s="66">
        <f t="shared" ref="II141:IM143" si="907">II115/IB115-1</f>
        <v>2.3088023088020382E-3</v>
      </c>
      <c r="IJ141" s="66">
        <f t="shared" si="907"/>
        <v>2.8838627281335683E-4</v>
      </c>
      <c r="IK141" s="66">
        <f t="shared" si="907"/>
        <v>2.036480621566672E-2</v>
      </c>
      <c r="IL141" s="66">
        <f t="shared" si="907"/>
        <v>-2.8858142621566163E-3</v>
      </c>
      <c r="IM141" s="66">
        <f t="shared" si="907"/>
        <v>4.7700134321886356E-3</v>
      </c>
      <c r="IO141" s="65" t="s">
        <v>31</v>
      </c>
      <c r="IP141" s="66">
        <f t="shared" ref="IP141:IT143" si="908">IP115/II115-1</f>
        <v>-2.683423913043459E-2</v>
      </c>
      <c r="IQ141" s="66">
        <f t="shared" si="908"/>
        <v>-4.7952144763851345E-2</v>
      </c>
      <c r="IR141" s="66">
        <f t="shared" si="908"/>
        <v>-4.3537237511412474E-2</v>
      </c>
      <c r="IS141" s="66">
        <f t="shared" si="908"/>
        <v>-2.601724398729377E-2</v>
      </c>
      <c r="IT141" s="66">
        <f t="shared" si="908"/>
        <v>-3.5666521676091079E-2</v>
      </c>
      <c r="IV141" s="65" t="s">
        <v>31</v>
      </c>
      <c r="IW141" s="66">
        <f t="shared" ref="IW141:JA143" si="909">IW115/IP115-1</f>
        <v>-4.1675392670157185E-2</v>
      </c>
      <c r="IX141" s="66">
        <f t="shared" si="909"/>
        <v>-7.4050354240873251E-4</v>
      </c>
      <c r="IY141" s="66">
        <f t="shared" si="909"/>
        <v>6.6344874163239975E-3</v>
      </c>
      <c r="IZ141" s="66">
        <f t="shared" si="909"/>
        <v>1.5247364152473519E-2</v>
      </c>
      <c r="JA141" s="66">
        <f t="shared" si="909"/>
        <v>-5.0875656742557229E-3</v>
      </c>
      <c r="JC141" s="65" t="s">
        <v>31</v>
      </c>
      <c r="JD141" s="66">
        <f t="shared" ref="JD141:JH143" si="910">JD115/IW115-1</f>
        <v>3.66300366300365E-2</v>
      </c>
      <c r="JE141" s="66">
        <f t="shared" si="910"/>
        <v>5.205770892892736E-2</v>
      </c>
      <c r="JF141" s="66">
        <f t="shared" si="910"/>
        <v>6.2663126631266275E-2</v>
      </c>
      <c r="JG141" s="66">
        <f t="shared" si="910"/>
        <v>5.3195593467358249E-2</v>
      </c>
      <c r="JH141" s="66">
        <f t="shared" si="910"/>
        <v>5.0699832648714471E-2</v>
      </c>
      <c r="JJ141" s="65" t="s">
        <v>31</v>
      </c>
      <c r="JK141" s="66">
        <f t="shared" ref="JK141:JO143" si="911">JK115/JD115-1</f>
        <v>6.3069842516250141E-2</v>
      </c>
      <c r="JL141" s="66">
        <f t="shared" si="911"/>
        <v>6.5217391304347894E-2</v>
      </c>
      <c r="JM141" s="66">
        <f t="shared" si="911"/>
        <v>4.0804157083226933E-2</v>
      </c>
      <c r="JN141" s="66">
        <f t="shared" si="911"/>
        <v>4.4296788482834915E-2</v>
      </c>
      <c r="JO141" s="66">
        <f t="shared" si="911"/>
        <v>5.3667169431875328E-2</v>
      </c>
      <c r="JQ141" s="65" t="s">
        <v>31</v>
      </c>
      <c r="JR141" s="66">
        <f t="shared" ref="JR141:JV143" si="912">JR115/JK115-1</f>
        <v>2.0565690880357756E-2</v>
      </c>
      <c r="JS141" s="66">
        <f t="shared" si="912"/>
        <v>-1.6475954543667237E-2</v>
      </c>
      <c r="JT141" s="66">
        <f t="shared" si="912"/>
        <v>2.3975095010916325E-2</v>
      </c>
      <c r="JU141" s="66">
        <f t="shared" si="912"/>
        <v>1.8158688470771844E-2</v>
      </c>
      <c r="JV141" s="66">
        <f t="shared" si="912"/>
        <v>1.1125447423969259E-2</v>
      </c>
      <c r="JX141" s="65" t="s">
        <v>31</v>
      </c>
      <c r="JY141" s="66">
        <f t="shared" ref="JY141:KC143" si="913">JY115/JR115-1</f>
        <v>2.2433562142885055E-3</v>
      </c>
      <c r="JZ141" s="66">
        <f t="shared" si="913"/>
        <v>2.0881490042674145E-2</v>
      </c>
      <c r="KA141" s="66">
        <f t="shared" si="913"/>
        <v>-3.3225291968925319E-2</v>
      </c>
      <c r="KB141" s="66">
        <f t="shared" si="913"/>
        <v>-2.0458810620122558E-2</v>
      </c>
      <c r="KC141" s="66">
        <f t="shared" si="913"/>
        <v>-7.5140579382377837E-3</v>
      </c>
      <c r="KE141" s="65" t="s">
        <v>31</v>
      </c>
      <c r="KF141" s="66">
        <f t="shared" ref="KF141:KJ147" si="914">KF115/JY115-1</f>
        <v>1.1779925125933621E-2</v>
      </c>
      <c r="KG141" s="66">
        <f t="shared" si="914"/>
        <v>3.8736087147738463E-2</v>
      </c>
      <c r="KH141" s="66">
        <f t="shared" si="914"/>
        <v>9.5832091617352955E-2</v>
      </c>
      <c r="KI141" s="66">
        <f t="shared" si="914"/>
        <v>8.1042316631420475E-2</v>
      </c>
      <c r="KJ141" s="66">
        <f t="shared" si="914"/>
        <v>5.646112625202826E-2</v>
      </c>
      <c r="KL141" s="65" t="s">
        <v>31</v>
      </c>
      <c r="KM141" s="66">
        <f t="shared" ref="KM141:KQ147" si="915">KM115/KF115-1</f>
        <v>7.8753480402655729E-2</v>
      </c>
      <c r="KN141" s="66">
        <f t="shared" si="915"/>
        <v>0.11233123312331217</v>
      </c>
      <c r="KO141" s="66">
        <f t="shared" si="915"/>
        <v>0.11336657169990505</v>
      </c>
      <c r="KP141" s="66">
        <f t="shared" si="915"/>
        <v>8.4539434977482397E-2</v>
      </c>
      <c r="KQ141" s="66">
        <f t="shared" si="915"/>
        <v>9.7299307090003673E-2</v>
      </c>
      <c r="KS141" s="65" t="s">
        <v>31</v>
      </c>
      <c r="KT141" s="66">
        <f t="shared" ref="KT141:KX147" si="916">KT115/KM115-1</f>
        <v>5.8353559870550242E-2</v>
      </c>
      <c r="KU141" s="66">
        <f t="shared" si="916"/>
        <v>-5.9121621621620601E-3</v>
      </c>
      <c r="KV141" s="66">
        <f t="shared" si="916"/>
        <v>-4.1279613037981666E-2</v>
      </c>
      <c r="KW141" s="66">
        <f t="shared" si="916"/>
        <v>9.8959477541891161E-3</v>
      </c>
      <c r="KX141" s="66">
        <f t="shared" si="916"/>
        <v>4.2382791778787787E-3</v>
      </c>
      <c r="KZ141" s="65" t="s">
        <v>31</v>
      </c>
      <c r="LA141" s="66">
        <f t="shared" ref="LA141:LB147" si="917">LA115/KT115-1</f>
        <v>2.1464762782128277E-2</v>
      </c>
      <c r="LB141" s="66">
        <f t="shared" si="917"/>
        <v>3.4018691588785011E-2</v>
      </c>
      <c r="LC141" s="112">
        <f t="shared" ref="LC141" si="918">LC115/KV115-1</f>
        <v>2.9552631578947386E-2</v>
      </c>
      <c r="LD141" s="112">
        <f t="shared" ref="LD141" si="919">LD115/KW115-1</f>
        <v>8.3812405446292981E-3</v>
      </c>
      <c r="LE141" s="112">
        <f t="shared" ref="LE141:LE147" si="920">LE115/KX115-1</f>
        <v>2.3258050949828357E-2</v>
      </c>
      <c r="LF141" s="566"/>
      <c r="LG141" s="65" t="s">
        <v>31</v>
      </c>
      <c r="LH141" s="112">
        <f t="shared" ref="LH141" si="921">LH115/LA115-1</f>
        <v>1.3326118326118186E-2</v>
      </c>
      <c r="LI141" s="112">
        <f t="shared" ref="LI141" si="922">LI115/LB115-1</f>
        <v>3.0127741624487836E-2</v>
      </c>
      <c r="LJ141" s="112">
        <f t="shared" ref="LJ141" si="923">LJ115/LC115-1</f>
        <v>2.8806584362139898E-2</v>
      </c>
      <c r="LK141" s="112">
        <f t="shared" ref="LK141" si="924">LK115/LD115-1</f>
        <v>2.0289855072463725E-2</v>
      </c>
      <c r="LL141" s="112">
        <f t="shared" ref="LL141:LL147" si="925">LL115/LE115-1</f>
        <v>2.310861122271346E-2</v>
      </c>
      <c r="LM141" s="566"/>
      <c r="LN141" s="65" t="s">
        <v>31</v>
      </c>
      <c r="LO141" s="112">
        <f t="shared" ref="LO141" si="926">LO115/LH115-1</f>
        <v>1.9956162342592565E-2</v>
      </c>
      <c r="LP141" s="112">
        <f t="shared" ref="LP141" si="927">LP115/LI115-1</f>
        <v>2.009313261125123E-2</v>
      </c>
      <c r="LQ141" s="112">
        <f t="shared" ref="LQ141" si="928">LQ115/LJ115-1</f>
        <v>3.0000000000000027E-2</v>
      </c>
      <c r="LR141" s="112">
        <f t="shared" ref="LR141" si="929">LR115/LK115-1</f>
        <v>2.990306794654618E-2</v>
      </c>
      <c r="LS141" s="112">
        <f t="shared" ref="LS141" si="930">LS115/LL115-1</f>
        <v>2.5071956697934938E-2</v>
      </c>
      <c r="LT141" s="566"/>
      <c r="LU141" s="65" t="s">
        <v>31</v>
      </c>
      <c r="LV141" s="112">
        <f t="shared" ref="LV141:LV147" si="931">LV115/LO115-1</f>
        <v>2.750000000000008E-2</v>
      </c>
      <c r="LW141" s="112">
        <f t="shared" ref="LW141:LW147" si="932">LW115/LP115-1</f>
        <v>2.750000000000008E-2</v>
      </c>
      <c r="LX141" s="112">
        <f t="shared" ref="LX141:LX147" si="933">LX115/LQ115-1</f>
        <v>2.750000000000008E-2</v>
      </c>
      <c r="LY141" s="112">
        <f t="shared" ref="LY141:LY147" si="934">LY115/LR115-1</f>
        <v>2.750000000000008E-2</v>
      </c>
      <c r="LZ141" s="112">
        <f t="shared" ref="LZ141:LZ147" si="935">LZ115/LS115-1</f>
        <v>2.7500000000000302E-2</v>
      </c>
      <c r="MA141" s="566"/>
      <c r="MB141" s="65" t="s">
        <v>31</v>
      </c>
      <c r="MC141" s="112">
        <f t="shared" ref="MC141:MC147" si="936">MC115/LV115-1</f>
        <v>2.4999999999999911E-2</v>
      </c>
      <c r="MD141" s="112">
        <f t="shared" ref="MD141:MD147" si="937">MD115/LW115-1</f>
        <v>2.4999999999999911E-2</v>
      </c>
      <c r="ME141" s="112">
        <f t="shared" ref="ME141:ME147" si="938">ME115/LX115-1</f>
        <v>2.4999999999999911E-2</v>
      </c>
      <c r="MF141" s="112">
        <f t="shared" ref="MF141:MF147" si="939">MF115/LY115-1</f>
        <v>2.4999999999999911E-2</v>
      </c>
      <c r="MG141" s="112">
        <f t="shared" ref="MG141:MG147" si="940">MG115/LZ115-1</f>
        <v>2.4979147098550758E-2</v>
      </c>
      <c r="MH141" s="566"/>
    </row>
    <row r="142" spans="1:346" s="37" customFormat="1" ht="13.15" x14ac:dyDescent="0.4">
      <c r="A142" s="100"/>
      <c r="B142" s="65" t="s">
        <v>141</v>
      </c>
      <c r="C142" s="66"/>
      <c r="D142" s="66"/>
      <c r="E142" s="66"/>
      <c r="F142" s="66"/>
      <c r="G142" s="66"/>
      <c r="H142" s="66"/>
      <c r="I142" s="66"/>
      <c r="J142" s="66"/>
      <c r="K142" s="66"/>
      <c r="L142" s="66"/>
      <c r="M142" s="66"/>
      <c r="N142" s="66">
        <f t="shared" ref="N142:N147" si="941">BT142</f>
        <v>0</v>
      </c>
      <c r="O142" s="66">
        <f t="shared" ref="O142:O147" si="942">CA142</f>
        <v>5.2896630064369399E-2</v>
      </c>
      <c r="P142" s="66">
        <f t="shared" ref="P142:P147" si="943">CH142</f>
        <v>4.6428526011928373E-2</v>
      </c>
      <c r="Q142" s="66">
        <f t="shared" ref="Q142:Q147" si="944">CO142</f>
        <v>-4.2229729729736931E-4</v>
      </c>
      <c r="R142" s="66">
        <f t="shared" ref="R142:R147" si="945">CV142</f>
        <v>2.3474178403755763E-2</v>
      </c>
      <c r="S142" s="66">
        <f t="shared" ref="S142:S147" si="946">DC142</f>
        <v>5.0127324100882609E-2</v>
      </c>
      <c r="T142" s="66">
        <f t="shared" ref="T142:T147" si="947">DJ142</f>
        <v>-7.547169811320642E-3</v>
      </c>
      <c r="U142" s="66">
        <f t="shared" ref="U142:U147" si="948">DQ142</f>
        <v>8.7516087516087415E-2</v>
      </c>
      <c r="V142" s="66">
        <f t="shared" ref="V142:V147" si="949">DX142</f>
        <v>-1.1537361694639259E-2</v>
      </c>
      <c r="W142" s="66">
        <f t="shared" ref="W142:W147" si="950">EE142</f>
        <v>3.548726058323548E-2</v>
      </c>
      <c r="X142" s="66">
        <f t="shared" ref="X142:X147" si="951">EL142</f>
        <v>5.853092356159717E-3</v>
      </c>
      <c r="Y142" s="66">
        <f t="shared" ref="Y142:Y147" si="952">ES142</f>
        <v>4.0037497354017404E-2</v>
      </c>
      <c r="Z142" s="66">
        <f t="shared" ref="Z142:Z147" si="953">EZ142</f>
        <v>1.4461572810213541E-2</v>
      </c>
      <c r="AA142" s="66">
        <f t="shared" ref="AA142:AA147" si="954">FG142</f>
        <v>1.1335989091783905E-2</v>
      </c>
      <c r="AB142" s="66">
        <f t="shared" ref="AB142:AB147" si="955">FN142</f>
        <v>-1.6615856954444119E-2</v>
      </c>
      <c r="AC142" s="66">
        <f t="shared" ref="AC142:AC147" si="956">FU142</f>
        <v>5.0402538212709791E-2</v>
      </c>
      <c r="AD142" s="66">
        <f t="shared" ref="AD142:AD147" si="957">GB142</f>
        <v>0.10206734156561725</v>
      </c>
      <c r="AE142" s="66">
        <f t="shared" ref="AE142:AE147" si="958">GI142</f>
        <v>0.10522287215444659</v>
      </c>
      <c r="AF142" s="66">
        <f t="shared" ref="AF142:AF147" si="959">GP142</f>
        <v>3.3207724917569514E-2</v>
      </c>
      <c r="AG142" s="66">
        <f t="shared" ref="AG142:AG147" si="960">GW142</f>
        <v>0.28046526306298181</v>
      </c>
      <c r="AH142" s="66">
        <f t="shared" ref="AH142:AH147" si="961">HD142</f>
        <v>-5.3157934887214431E-2</v>
      </c>
      <c r="AI142" s="66">
        <f t="shared" ref="AI142:AI147" si="962">HK142</f>
        <v>5.0727785561762273E-2</v>
      </c>
      <c r="AJ142" s="66">
        <f t="shared" ref="AJ142:AJ147" si="963">HR142</f>
        <v>5.1832656198528726E-2</v>
      </c>
      <c r="AK142" s="66">
        <f t="shared" ref="AK142:AK147" si="964">HY142</f>
        <v>3.7623101937205305E-2</v>
      </c>
      <c r="AL142" s="66">
        <f t="shared" ref="AL142:AL147" si="965">IF142</f>
        <v>1.8049125514403297E-2</v>
      </c>
      <c r="AM142" s="66">
        <f t="shared" ref="AM142:AM147" si="966">IM142</f>
        <v>3.0872813859923021E-2</v>
      </c>
      <c r="AN142" s="66">
        <f t="shared" ref="AN142:AN147" si="967">IT142</f>
        <v>-1.6674148656448562E-2</v>
      </c>
      <c r="AO142" s="66">
        <f t="shared" ref="AO142:AO147" si="968">JA142</f>
        <v>8.2501383336062162E-3</v>
      </c>
      <c r="AP142" s="66">
        <f t="shared" ref="AP142:AP147" si="969">JH142</f>
        <v>1.777162102314267E-2</v>
      </c>
      <c r="AQ142" s="66">
        <f t="shared" ref="AQ142:AQ147" si="970">JO142</f>
        <v>4.6746082997521476E-2</v>
      </c>
      <c r="AR142" s="66">
        <f t="shared" ref="AR142:AR147" si="971">JV142</f>
        <v>-1.7961631192442429E-4</v>
      </c>
      <c r="AS142" s="66">
        <f t="shared" ref="AS142:AS147" si="972">KC142</f>
        <v>4.2427792217300642E-2</v>
      </c>
      <c r="AT142" s="66">
        <f t="shared" ref="AT142:AT147" si="973">KJ142</f>
        <v>4.5083752792532295E-2</v>
      </c>
      <c r="AU142" s="66">
        <f t="shared" ref="AU142:AU147" si="974">KQ142</f>
        <v>0.10579573413248977</v>
      </c>
      <c r="AV142" s="66">
        <f t="shared" ref="AV142:AV147" si="975">KX142</f>
        <v>2.3454193376068355E-2</v>
      </c>
      <c r="AW142" s="66">
        <f t="shared" ref="AW142:AW147" si="976">LE142</f>
        <v>2.8689074819698845E-3</v>
      </c>
      <c r="AX142" s="66">
        <f t="shared" ref="AX142:AX147" si="977">LL142</f>
        <v>-2.8936201930500616E-3</v>
      </c>
      <c r="AY142" s="66">
        <f t="shared" ref="AY142:AY147" si="978">LS142</f>
        <v>1.8749631262196198E-2</v>
      </c>
      <c r="AZ142" s="66">
        <f t="shared" ref="AZ142:AZ147" si="979">LZ142</f>
        <v>2.750000000000008E-2</v>
      </c>
      <c r="BA142" s="66">
        <f t="shared" ref="BA142:BA147" si="980">MG142</f>
        <v>2.5000000000000133E-2</v>
      </c>
      <c r="BB142" s="66"/>
      <c r="BC142" s="66"/>
      <c r="BD142" s="66"/>
      <c r="BE142" s="66"/>
      <c r="BF142" s="66"/>
      <c r="BG142" s="66"/>
      <c r="BH142" s="66"/>
      <c r="BI142" s="66"/>
      <c r="BJ142" s="66"/>
      <c r="BK142" s="66"/>
      <c r="BL142" s="66"/>
      <c r="BM142" s="66"/>
      <c r="BO142" s="65" t="s">
        <v>141</v>
      </c>
      <c r="BP142" s="66"/>
      <c r="BQ142" s="66"/>
      <c r="BR142" s="66"/>
      <c r="BS142" s="66"/>
      <c r="BT142" s="66"/>
      <c r="BV142" s="65" t="s">
        <v>141</v>
      </c>
      <c r="BW142" s="66">
        <f t="shared" si="883"/>
        <v>5.0426012867326175E-3</v>
      </c>
      <c r="BX142" s="66">
        <f t="shared" si="883"/>
        <v>7.9365079365079527E-2</v>
      </c>
      <c r="BY142" s="66">
        <f t="shared" si="883"/>
        <v>8.3333333333333259E-2</v>
      </c>
      <c r="BZ142" s="66">
        <f t="shared" si="883"/>
        <v>5.4387721054387717E-2</v>
      </c>
      <c r="CA142" s="66">
        <f t="shared" si="883"/>
        <v>5.2896630064369399E-2</v>
      </c>
      <c r="CC142" s="65" t="s">
        <v>141</v>
      </c>
      <c r="CD142" s="66">
        <f t="shared" si="884"/>
        <v>3.2352941176470473E-2</v>
      </c>
      <c r="CE142" s="66">
        <f t="shared" si="884"/>
        <v>4.9999999999999822E-2</v>
      </c>
      <c r="CF142" s="66">
        <f t="shared" si="884"/>
        <v>3.8461538461538547E-2</v>
      </c>
      <c r="CG142" s="66">
        <f t="shared" si="884"/>
        <v>6.3059701492537368E-2</v>
      </c>
      <c r="CH142" s="66">
        <f t="shared" si="884"/>
        <v>4.6428526011928373E-2</v>
      </c>
      <c r="CJ142" s="65" t="s">
        <v>141</v>
      </c>
      <c r="CK142" s="66">
        <f t="shared" si="885"/>
        <v>6.7307692307692291E-2</v>
      </c>
      <c r="CL142" s="66">
        <f t="shared" si="885"/>
        <v>1.449275362318847E-2</v>
      </c>
      <c r="CM142" s="66">
        <f t="shared" si="885"/>
        <v>-2.508960573476704E-2</v>
      </c>
      <c r="CN142" s="66">
        <f t="shared" si="885"/>
        <v>-5.178155178155186E-2</v>
      </c>
      <c r="CO142" s="66">
        <f t="shared" si="885"/>
        <v>-4.2229729729736931E-4</v>
      </c>
      <c r="CQ142" s="65" t="s">
        <v>141</v>
      </c>
      <c r="CR142" s="66">
        <f t="shared" si="886"/>
        <v>-2.994886778670558E-2</v>
      </c>
      <c r="CS142" s="66">
        <f t="shared" si="886"/>
        <v>-1.6806722689075793E-2</v>
      </c>
      <c r="CT142" s="66">
        <f t="shared" si="886"/>
        <v>5.6228373702422729E-3</v>
      </c>
      <c r="CU142" s="66">
        <f t="shared" si="886"/>
        <v>0.12845786963434036</v>
      </c>
      <c r="CV142" s="66">
        <f t="shared" si="886"/>
        <v>2.3474178403755763E-2</v>
      </c>
      <c r="CX142" s="65" t="s">
        <v>141</v>
      </c>
      <c r="CY142" s="66">
        <f t="shared" si="887"/>
        <v>0.10770354143848127</v>
      </c>
      <c r="CZ142" s="66">
        <f t="shared" si="887"/>
        <v>0.10336538461538458</v>
      </c>
      <c r="DA142" s="66">
        <f t="shared" si="887"/>
        <v>6.2988505747126222E-2</v>
      </c>
      <c r="DB142" s="66">
        <f t="shared" si="887"/>
        <v>-5.6703296703296768E-2</v>
      </c>
      <c r="DC142" s="66">
        <f t="shared" si="887"/>
        <v>5.0127324100882609E-2</v>
      </c>
      <c r="DE142" s="65" t="s">
        <v>141</v>
      </c>
      <c r="DF142" s="66">
        <f t="shared" si="888"/>
        <v>-6.0975609756097504E-2</v>
      </c>
      <c r="DG142" s="66">
        <f t="shared" si="888"/>
        <v>-6.3139329805996458E-2</v>
      </c>
      <c r="DH142" s="66">
        <f t="shared" si="888"/>
        <v>3.6651583710407332E-2</v>
      </c>
      <c r="DI142" s="66">
        <f t="shared" si="888"/>
        <v>6.2824752007557771E-2</v>
      </c>
      <c r="DJ142" s="66">
        <f t="shared" si="888"/>
        <v>-7.547169811320642E-3</v>
      </c>
      <c r="DL142" s="65" t="s">
        <v>141</v>
      </c>
      <c r="DM142" s="66">
        <f t="shared" si="889"/>
        <v>3.0888030888030826E-2</v>
      </c>
      <c r="DN142" s="66">
        <f t="shared" si="889"/>
        <v>0.15477293790546809</v>
      </c>
      <c r="DO142" s="66">
        <f t="shared" si="889"/>
        <v>2.0862634786685375E-2</v>
      </c>
      <c r="DP142" s="66">
        <f t="shared" si="889"/>
        <v>0.14292929292929313</v>
      </c>
      <c r="DQ142" s="66">
        <f t="shared" si="889"/>
        <v>8.7516087516087415E-2</v>
      </c>
      <c r="DS142" s="65" t="s">
        <v>141</v>
      </c>
      <c r="DT142" s="66">
        <f t="shared" si="890"/>
        <v>0.10861423220973765</v>
      </c>
      <c r="DU142" s="66">
        <f t="shared" si="890"/>
        <v>-4.0751299681368591E-2</v>
      </c>
      <c r="DV142" s="66">
        <f t="shared" si="890"/>
        <v>-5.9701492537311829E-3</v>
      </c>
      <c r="DW142" s="66">
        <f t="shared" si="890"/>
        <v>-9.5890410958904271E-2</v>
      </c>
      <c r="DX142" s="66">
        <f t="shared" si="890"/>
        <v>-1.1537361694639259E-2</v>
      </c>
      <c r="DZ142" s="65" t="s">
        <v>141</v>
      </c>
      <c r="EA142" s="66">
        <f t="shared" si="891"/>
        <v>-1.0869565217391242E-2</v>
      </c>
      <c r="EB142" s="66">
        <f t="shared" si="891"/>
        <v>-1.1363636363636354E-2</v>
      </c>
      <c r="EC142" s="66">
        <f t="shared" si="891"/>
        <v>0.10219594594594583</v>
      </c>
      <c r="ED142" s="66">
        <f t="shared" si="891"/>
        <v>7.038123167155419E-2</v>
      </c>
      <c r="EE142" s="66">
        <f t="shared" si="891"/>
        <v>3.548726058323548E-2</v>
      </c>
      <c r="EG142" s="65" t="s">
        <v>141</v>
      </c>
      <c r="EH142" s="66">
        <f t="shared" si="892"/>
        <v>-2.3134759976864983E-3</v>
      </c>
      <c r="EI142" s="66">
        <f t="shared" si="892"/>
        <v>5.4951976066761166E-2</v>
      </c>
      <c r="EJ142" s="66">
        <f t="shared" si="892"/>
        <v>-1.9157088122605415E-2</v>
      </c>
      <c r="EK142" s="66">
        <f t="shared" si="892"/>
        <v>-6.4516129032258229E-3</v>
      </c>
      <c r="EL142" s="66">
        <f t="shared" si="892"/>
        <v>5.853092356159717E-3</v>
      </c>
      <c r="EN142" s="65" t="s">
        <v>141</v>
      </c>
      <c r="EO142" s="66">
        <f t="shared" si="893"/>
        <v>4.6666666666666634E-2</v>
      </c>
      <c r="EP142" s="66">
        <f t="shared" si="893"/>
        <v>2.4678899082568817E-2</v>
      </c>
      <c r="EQ142" s="66">
        <f t="shared" si="893"/>
        <v>5.0000000000000044E-2</v>
      </c>
      <c r="ER142" s="66">
        <f t="shared" si="893"/>
        <v>3.9484126984127066E-2</v>
      </c>
      <c r="ES142" s="66">
        <f t="shared" si="893"/>
        <v>4.0037497354017404E-2</v>
      </c>
      <c r="EU142" s="65" t="s">
        <v>141</v>
      </c>
      <c r="EV142" s="66">
        <f t="shared" si="894"/>
        <v>1.8902814875693341E-2</v>
      </c>
      <c r="EW142" s="66">
        <f t="shared" si="894"/>
        <v>1.9495154383592395E-2</v>
      </c>
      <c r="EX142" s="66">
        <f t="shared" si="894"/>
        <v>1.0296010296010127E-2</v>
      </c>
      <c r="EY142" s="66">
        <f t="shared" si="894"/>
        <v>9.9979596000814297E-3</v>
      </c>
      <c r="EZ142" s="66">
        <f t="shared" si="894"/>
        <v>1.4461572810213541E-2</v>
      </c>
      <c r="FB142" s="65" t="s">
        <v>141</v>
      </c>
      <c r="FC142" s="66">
        <f t="shared" si="895"/>
        <v>2.8685657171414247E-2</v>
      </c>
      <c r="FD142" s="66">
        <f t="shared" si="895"/>
        <v>1.0076670317634262E-2</v>
      </c>
      <c r="FE142" s="66">
        <f t="shared" si="895"/>
        <v>-1.1102670484426369E-3</v>
      </c>
      <c r="FF142" s="66">
        <f t="shared" si="895"/>
        <v>6.8823831535698154E-3</v>
      </c>
      <c r="FG142" s="66">
        <f t="shared" si="895"/>
        <v>1.1335989091783905E-2</v>
      </c>
      <c r="FI142" s="65" t="s">
        <v>141</v>
      </c>
      <c r="FJ142" s="66">
        <f t="shared" si="896"/>
        <v>1.2048192771084265E-2</v>
      </c>
      <c r="FK142" s="66">
        <f t="shared" si="896"/>
        <v>-1.9534341288683477E-2</v>
      </c>
      <c r="FL142" s="66">
        <f t="shared" si="896"/>
        <v>-2.6191928876492798E-2</v>
      </c>
      <c r="FM142" s="66">
        <f t="shared" si="896"/>
        <v>-2.4275527234107086E-2</v>
      </c>
      <c r="FN142" s="66">
        <f t="shared" si="896"/>
        <v>-1.6615856954444119E-2</v>
      </c>
      <c r="FP142" s="65" t="s">
        <v>141</v>
      </c>
      <c r="FQ142" s="66">
        <f t="shared" si="897"/>
        <v>-7.2138126773887423E-3</v>
      </c>
      <c r="FR142" s="66">
        <f t="shared" si="897"/>
        <v>3.0186915887850496E-2</v>
      </c>
      <c r="FS142" s="66">
        <f t="shared" si="897"/>
        <v>8.2511676180591742E-2</v>
      </c>
      <c r="FT142" s="66">
        <f t="shared" si="897"/>
        <v>8.9146615890600689E-2</v>
      </c>
      <c r="FU142" s="66">
        <f t="shared" si="897"/>
        <v>5.0402538212709791E-2</v>
      </c>
      <c r="FW142" s="65" t="s">
        <v>141</v>
      </c>
      <c r="FX142" s="66">
        <f t="shared" si="898"/>
        <v>7.65061128295772E-2</v>
      </c>
      <c r="FY142" s="66">
        <f t="shared" si="898"/>
        <v>0.10502283105022836</v>
      </c>
      <c r="FZ142" s="66">
        <f t="shared" si="898"/>
        <v>8.7714285714285634E-2</v>
      </c>
      <c r="GA142" s="66">
        <f t="shared" si="898"/>
        <v>0.14000328389250716</v>
      </c>
      <c r="GB142" s="66">
        <f t="shared" si="898"/>
        <v>0.10206734156561725</v>
      </c>
      <c r="GD142" s="65" t="s">
        <v>141</v>
      </c>
      <c r="GE142" s="66">
        <f t="shared" si="899"/>
        <v>0.10085227272727271</v>
      </c>
      <c r="GF142" s="66">
        <f t="shared" si="899"/>
        <v>0.10712615000779668</v>
      </c>
      <c r="GG142" s="66">
        <f t="shared" si="899"/>
        <v>0.13231841248201159</v>
      </c>
      <c r="GH142" s="66">
        <f t="shared" si="899"/>
        <v>8.0629770992366456E-2</v>
      </c>
      <c r="GI142" s="66">
        <f t="shared" si="899"/>
        <v>0.10522287215444659</v>
      </c>
      <c r="GK142" s="65" t="s">
        <v>141</v>
      </c>
      <c r="GL142" s="66">
        <f t="shared" si="900"/>
        <v>0.12207792207792223</v>
      </c>
      <c r="GM142" s="66">
        <f t="shared" si="900"/>
        <v>7.793777590918638E-2</v>
      </c>
      <c r="GN142" s="66">
        <f t="shared" si="900"/>
        <v>-0.20324157447903279</v>
      </c>
      <c r="GO142" s="66">
        <f t="shared" si="900"/>
        <v>0.13236714975845421</v>
      </c>
      <c r="GP142" s="66">
        <f t="shared" si="900"/>
        <v>3.3207724917569514E-2</v>
      </c>
      <c r="GR142" s="65" t="s">
        <v>141</v>
      </c>
      <c r="GS142" s="66">
        <f t="shared" si="901"/>
        <v>0.14379084967320255</v>
      </c>
      <c r="GT142" s="66">
        <f t="shared" si="901"/>
        <v>0.2067943456452348</v>
      </c>
      <c r="GU142" s="66">
        <f t="shared" si="901"/>
        <v>0.70280965571824305</v>
      </c>
      <c r="GV142" s="66">
        <f t="shared" si="901"/>
        <v>0.19132704276249757</v>
      </c>
      <c r="GW142" s="66">
        <f t="shared" si="901"/>
        <v>0.28046526306298181</v>
      </c>
      <c r="GY142" s="65" t="s">
        <v>141</v>
      </c>
      <c r="GZ142" s="66">
        <f t="shared" si="902"/>
        <v>4.5373134328358322E-2</v>
      </c>
      <c r="HA142" s="66">
        <f t="shared" si="902"/>
        <v>-4.0680258962218385E-2</v>
      </c>
      <c r="HB142" s="66">
        <f t="shared" si="902"/>
        <v>-0.11411375692842007</v>
      </c>
      <c r="HC142" s="66">
        <f t="shared" si="902"/>
        <v>-9.3023255813953543E-2</v>
      </c>
      <c r="HD142" s="66">
        <f t="shared" si="902"/>
        <v>-5.3157934887214431E-2</v>
      </c>
      <c r="HF142" s="65" t="s">
        <v>141</v>
      </c>
      <c r="HG142" s="66">
        <f t="shared" si="903"/>
        <v>1.7065958883378585E-2</v>
      </c>
      <c r="HH142" s="66">
        <f t="shared" si="903"/>
        <v>6.7195931921959273E-2</v>
      </c>
      <c r="HI142" s="66">
        <f t="shared" si="903"/>
        <v>7.4615384615384306E-2</v>
      </c>
      <c r="HJ142" s="66">
        <f t="shared" si="903"/>
        <v>4.6746903889760993E-2</v>
      </c>
      <c r="HK142" s="66">
        <f t="shared" si="903"/>
        <v>5.0727785561762273E-2</v>
      </c>
      <c r="HM142" s="65" t="s">
        <v>141</v>
      </c>
      <c r="HN142" s="66">
        <f t="shared" si="904"/>
        <v>2.7767603699295096E-2</v>
      </c>
      <c r="HO142" s="66">
        <f t="shared" si="904"/>
        <v>6.0228550018733396E-2</v>
      </c>
      <c r="HP142" s="66">
        <f t="shared" si="904"/>
        <v>4.8160173160173292E-2</v>
      </c>
      <c r="HQ142" s="66">
        <f t="shared" si="904"/>
        <v>7.0380862448851333E-2</v>
      </c>
      <c r="HR142" s="66">
        <f t="shared" si="904"/>
        <v>5.1832656198528726E-2</v>
      </c>
      <c r="HT142" s="65" t="s">
        <v>141</v>
      </c>
      <c r="HU142" s="66">
        <f t="shared" si="905"/>
        <v>6.678460858027413E-2</v>
      </c>
      <c r="HV142" s="66">
        <f t="shared" si="905"/>
        <v>3.530936183997424E-2</v>
      </c>
      <c r="HW142" s="66">
        <f t="shared" si="905"/>
        <v>2.27475203421037E-2</v>
      </c>
      <c r="HX142" s="66">
        <f t="shared" si="905"/>
        <v>2.6834223083101127E-2</v>
      </c>
      <c r="HY142" s="66">
        <f t="shared" si="905"/>
        <v>3.7623101937205305E-2</v>
      </c>
      <c r="IA142" s="65" t="s">
        <v>141</v>
      </c>
      <c r="IB142" s="66">
        <f t="shared" si="906"/>
        <v>9.8039215686274161E-3</v>
      </c>
      <c r="IC142" s="66">
        <f t="shared" si="906"/>
        <v>1.1702127659574346E-2</v>
      </c>
      <c r="ID142" s="66">
        <f t="shared" si="906"/>
        <v>2.7272727272727337E-2</v>
      </c>
      <c r="IE142" s="66">
        <f t="shared" si="906"/>
        <v>2.0492360701817924E-2</v>
      </c>
      <c r="IF142" s="66">
        <f t="shared" si="906"/>
        <v>1.8049125514403297E-2</v>
      </c>
      <c r="IH142" s="65" t="s">
        <v>141</v>
      </c>
      <c r="II142" s="66">
        <f t="shared" si="907"/>
        <v>4.1895587165399872E-2</v>
      </c>
      <c r="IJ142" s="66">
        <f t="shared" si="907"/>
        <v>3.3729677262800406E-2</v>
      </c>
      <c r="IK142" s="66">
        <f t="shared" si="907"/>
        <v>2.629078238834337E-2</v>
      </c>
      <c r="IL142" s="66">
        <f t="shared" si="907"/>
        <v>2.4492124620494327E-2</v>
      </c>
      <c r="IM142" s="66">
        <f t="shared" si="907"/>
        <v>3.0872813859923021E-2</v>
      </c>
      <c r="IO142" s="65" t="s">
        <v>141</v>
      </c>
      <c r="IP142" s="66">
        <f t="shared" si="908"/>
        <v>-5.9260224016670637E-3</v>
      </c>
      <c r="IQ142" s="66">
        <f t="shared" si="908"/>
        <v>-2.1521126760563392E-2</v>
      </c>
      <c r="IR142" s="66">
        <f t="shared" si="908"/>
        <v>-9.2592592592593004E-3</v>
      </c>
      <c r="IS142" s="66">
        <f t="shared" si="908"/>
        <v>-2.8773841961852953E-2</v>
      </c>
      <c r="IT142" s="66">
        <f t="shared" si="908"/>
        <v>-1.6674148656448562E-2</v>
      </c>
      <c r="IV142" s="65" t="s">
        <v>141</v>
      </c>
      <c r="IW142" s="66">
        <f t="shared" si="909"/>
        <v>-7.4263764404608468E-3</v>
      </c>
      <c r="IX142" s="66">
        <f t="shared" si="909"/>
        <v>-9.5240553376005899E-3</v>
      </c>
      <c r="IY142" s="66">
        <f t="shared" si="909"/>
        <v>2.0177770156334818E-2</v>
      </c>
      <c r="IZ142" s="66">
        <f t="shared" si="909"/>
        <v>2.8255668223766683E-2</v>
      </c>
      <c r="JA142" s="66">
        <f t="shared" si="909"/>
        <v>8.2501383336062162E-3</v>
      </c>
      <c r="JC142" s="65" t="s">
        <v>141</v>
      </c>
      <c r="JD142" s="66">
        <f t="shared" si="910"/>
        <v>2.7863777089783381E-2</v>
      </c>
      <c r="JE142" s="66">
        <f t="shared" si="910"/>
        <v>6.3946511229213021E-2</v>
      </c>
      <c r="JF142" s="66">
        <f t="shared" si="910"/>
        <v>-5.3397901533494885E-2</v>
      </c>
      <c r="JG142" s="66">
        <f t="shared" si="910"/>
        <v>3.0838624273772597E-2</v>
      </c>
      <c r="JH142" s="66">
        <f t="shared" si="910"/>
        <v>1.777162102314267E-2</v>
      </c>
      <c r="JJ142" s="65" t="s">
        <v>141</v>
      </c>
      <c r="JK142" s="66">
        <f t="shared" si="911"/>
        <v>4.5687422587546322E-2</v>
      </c>
      <c r="JL142" s="66">
        <f t="shared" si="911"/>
        <v>3.6882510013351189E-2</v>
      </c>
      <c r="JM142" s="66">
        <f t="shared" si="911"/>
        <v>5.4958304028936089E-2</v>
      </c>
      <c r="JN142" s="66">
        <f t="shared" si="911"/>
        <v>5.3040068750671354E-2</v>
      </c>
      <c r="JO142" s="66">
        <f t="shared" si="911"/>
        <v>4.6746082997521476E-2</v>
      </c>
      <c r="JQ142" s="65" t="s">
        <v>141</v>
      </c>
      <c r="JR142" s="66">
        <f t="shared" si="912"/>
        <v>5.1717240985199364E-2</v>
      </c>
      <c r="JS142" s="66">
        <f t="shared" si="912"/>
        <v>3.9133364432695661E-2</v>
      </c>
      <c r="JT142" s="66">
        <f t="shared" si="912"/>
        <v>-9.9999999999988987E-4</v>
      </c>
      <c r="JU142" s="66">
        <f t="shared" si="912"/>
        <v>-9.1328268273513036E-2</v>
      </c>
      <c r="JV142" s="66">
        <f t="shared" si="912"/>
        <v>-1.7961631192442429E-4</v>
      </c>
      <c r="JX142" s="65" t="s">
        <v>141</v>
      </c>
      <c r="JY142" s="66">
        <f t="shared" si="913"/>
        <v>-3.3634441668273229E-4</v>
      </c>
      <c r="JZ142" s="66">
        <f t="shared" si="913"/>
        <v>4.9841165516486541E-3</v>
      </c>
      <c r="KA142" s="66">
        <f t="shared" si="913"/>
        <v>7.8904991948470116E-2</v>
      </c>
      <c r="KB142" s="66">
        <f t="shared" si="913"/>
        <v>0.10367892976588622</v>
      </c>
      <c r="KC142" s="66">
        <f t="shared" si="913"/>
        <v>4.2427792217300642E-2</v>
      </c>
      <c r="KE142" s="65" t="s">
        <v>141</v>
      </c>
      <c r="KF142" s="66">
        <f t="shared" si="914"/>
        <v>-2.6216343882853321E-3</v>
      </c>
      <c r="KG142" s="66">
        <f t="shared" si="914"/>
        <v>3.7183609530876405E-2</v>
      </c>
      <c r="KH142" s="66">
        <f t="shared" si="914"/>
        <v>8.0240996850609259E-2</v>
      </c>
      <c r="KI142" s="66">
        <f t="shared" si="914"/>
        <v>6.4000000000000057E-2</v>
      </c>
      <c r="KJ142" s="66">
        <f t="shared" si="914"/>
        <v>4.5083752792532295E-2</v>
      </c>
      <c r="KL142" s="65" t="s">
        <v>141</v>
      </c>
      <c r="KM142" s="66">
        <f t="shared" si="915"/>
        <v>9.008790248166676E-2</v>
      </c>
      <c r="KN142" s="66">
        <f t="shared" si="915"/>
        <v>8.5675675675675578E-2</v>
      </c>
      <c r="KO142" s="66">
        <f t="shared" si="915"/>
        <v>0.13343051506316828</v>
      </c>
      <c r="KP142" s="66">
        <f t="shared" si="915"/>
        <v>0.11304684475416171</v>
      </c>
      <c r="KQ142" s="66">
        <f t="shared" si="915"/>
        <v>0.10579573413248977</v>
      </c>
      <c r="KS142" s="65" t="s">
        <v>141</v>
      </c>
      <c r="KT142" s="66">
        <f t="shared" si="916"/>
        <v>9.2176049476849986E-2</v>
      </c>
      <c r="KU142" s="66">
        <f t="shared" si="916"/>
        <v>2.4354122099720321E-2</v>
      </c>
      <c r="KV142" s="66">
        <f t="shared" si="916"/>
        <v>-2.3883696780893193E-2</v>
      </c>
      <c r="KW142" s="66">
        <f t="shared" si="916"/>
        <v>6.2356979405036039E-3</v>
      </c>
      <c r="KX142" s="66">
        <f t="shared" si="916"/>
        <v>2.3454193376068355E-2</v>
      </c>
      <c r="KZ142" s="65" t="s">
        <v>141</v>
      </c>
      <c r="LA142" s="66">
        <f t="shared" si="917"/>
        <v>-3.2919828174554633E-3</v>
      </c>
      <c r="LB142" s="66">
        <f t="shared" si="917"/>
        <v>3.7108433734940327E-3</v>
      </c>
      <c r="LC142" s="112">
        <f t="shared" ref="LC142" si="981">LC116/KV116-1</f>
        <v>1.2499999999999956E-2</v>
      </c>
      <c r="LD142" s="112">
        <f t="shared" ref="LD142" si="982">LD116/KW116-1</f>
        <v>8.3916083916091289E-4</v>
      </c>
      <c r="LE142" s="112">
        <f t="shared" ref="LE142" si="983">LE116/KX116-1</f>
        <v>2.8689074819698845E-3</v>
      </c>
      <c r="LF142" s="566"/>
      <c r="LG142" s="65" t="s">
        <v>141</v>
      </c>
      <c r="LH142" s="112">
        <f t="shared" ref="LH142" si="984">LH116/LA116-1</f>
        <v>-6.2113022113022831E-3</v>
      </c>
      <c r="LI142" s="112">
        <f t="shared" ref="LI142" si="985">LI116/LB116-1</f>
        <v>1.2181303116147291E-2</v>
      </c>
      <c r="LJ142" s="112">
        <f t="shared" ref="LJ142" si="986">LJ116/LC116-1</f>
        <v>-1.4751773049645367E-2</v>
      </c>
      <c r="LK142" s="112">
        <f t="shared" ref="LK142" si="987">LK116/LD116-1</f>
        <v>-3.6333147009502964E-3</v>
      </c>
      <c r="LL142" s="112">
        <f t="shared" ref="LL142" si="988">LL116/LE116-1</f>
        <v>-2.8936201930500616E-3</v>
      </c>
      <c r="LM142" s="566"/>
      <c r="LN142" s="65" t="s">
        <v>141</v>
      </c>
      <c r="LO142" s="112">
        <f t="shared" ref="LO142" si="989">LO116/LH116-1</f>
        <v>1.4950247536885231E-2</v>
      </c>
      <c r="LP142" s="112">
        <f t="shared" ref="LP142" si="990">LP116/LI116-1</f>
        <v>1.9899961965453183E-2</v>
      </c>
      <c r="LQ142" s="112">
        <f t="shared" ref="LQ142" si="991">LQ116/LJ116-1</f>
        <v>1.9919901578409949E-2</v>
      </c>
      <c r="LR142" s="112">
        <f t="shared" ref="LR142" si="992">LR116/LK116-1</f>
        <v>2.0062198914567952E-2</v>
      </c>
      <c r="LS142" s="112">
        <f t="shared" ref="LS142" si="993">LS116/LL116-1</f>
        <v>1.8749631262196198E-2</v>
      </c>
      <c r="LT142" s="566"/>
      <c r="LU142" s="65" t="s">
        <v>141</v>
      </c>
      <c r="LV142" s="112">
        <f t="shared" si="931"/>
        <v>2.750000000000008E-2</v>
      </c>
      <c r="LW142" s="112">
        <f t="shared" si="932"/>
        <v>2.750000000000008E-2</v>
      </c>
      <c r="LX142" s="112">
        <f t="shared" si="933"/>
        <v>2.750000000000008E-2</v>
      </c>
      <c r="LY142" s="112">
        <f t="shared" si="934"/>
        <v>2.750000000000008E-2</v>
      </c>
      <c r="LZ142" s="112">
        <f t="shared" si="935"/>
        <v>2.750000000000008E-2</v>
      </c>
      <c r="MA142" s="566"/>
      <c r="MB142" s="65" t="s">
        <v>141</v>
      </c>
      <c r="MC142" s="112">
        <f t="shared" si="936"/>
        <v>2.4999999999999911E-2</v>
      </c>
      <c r="MD142" s="112">
        <f t="shared" si="937"/>
        <v>2.4999999999999911E-2</v>
      </c>
      <c r="ME142" s="112">
        <f t="shared" si="938"/>
        <v>2.4999999999999911E-2</v>
      </c>
      <c r="MF142" s="112">
        <f t="shared" si="939"/>
        <v>2.4999999999999911E-2</v>
      </c>
      <c r="MG142" s="112">
        <f t="shared" si="940"/>
        <v>2.5000000000000133E-2</v>
      </c>
      <c r="MH142" s="566"/>
    </row>
    <row r="143" spans="1:346" s="37" customFormat="1" ht="13.15" x14ac:dyDescent="0.4">
      <c r="A143" s="100"/>
      <c r="B143" s="65" t="s">
        <v>33</v>
      </c>
      <c r="C143" s="66"/>
      <c r="D143" s="66"/>
      <c r="E143" s="66"/>
      <c r="F143" s="66"/>
      <c r="G143" s="66"/>
      <c r="H143" s="66"/>
      <c r="I143" s="66"/>
      <c r="J143" s="66"/>
      <c r="K143" s="66"/>
      <c r="L143" s="66"/>
      <c r="M143" s="66"/>
      <c r="N143" s="66">
        <f t="shared" si="941"/>
        <v>0</v>
      </c>
      <c r="O143" s="66">
        <f t="shared" si="942"/>
        <v>4.2592108701332565E-2</v>
      </c>
      <c r="P143" s="66">
        <f t="shared" si="943"/>
        <v>4.7600132406488083E-2</v>
      </c>
      <c r="Q143" s="66">
        <f t="shared" si="944"/>
        <v>3.2655872584540946E-2</v>
      </c>
      <c r="R143" s="66">
        <f t="shared" si="945"/>
        <v>-1.3889095203434287E-2</v>
      </c>
      <c r="S143" s="66">
        <f t="shared" si="946"/>
        <v>-1.5172126426216681E-2</v>
      </c>
      <c r="T143" s="66">
        <f t="shared" si="947"/>
        <v>1.1710160737723241E-2</v>
      </c>
      <c r="U143" s="66">
        <f t="shared" si="948"/>
        <v>5.6283552093432387E-3</v>
      </c>
      <c r="V143" s="66">
        <f t="shared" si="949"/>
        <v>-9.7346451997615269E-3</v>
      </c>
      <c r="W143" s="66">
        <f t="shared" si="950"/>
        <v>-6.7599098857480056E-2</v>
      </c>
      <c r="X143" s="66">
        <f t="shared" si="951"/>
        <v>4.7737589199743802E-2</v>
      </c>
      <c r="Y143" s="66">
        <f t="shared" si="952"/>
        <v>8.1877493313641914E-2</v>
      </c>
      <c r="Z143" s="66">
        <f t="shared" si="953"/>
        <v>3.7644624044388619E-2</v>
      </c>
      <c r="AA143" s="66">
        <f t="shared" si="954"/>
        <v>2.0712968078431926E-2</v>
      </c>
      <c r="AB143" s="66">
        <f t="shared" si="955"/>
        <v>2.6641760159282546E-2</v>
      </c>
      <c r="AC143" s="66">
        <f t="shared" si="956"/>
        <v>2.1374843631133622E-2</v>
      </c>
      <c r="AD143" s="66">
        <f t="shared" si="957"/>
        <v>5.0132521841562916E-2</v>
      </c>
      <c r="AE143" s="66">
        <f t="shared" si="958"/>
        <v>5.7742110488980591E-2</v>
      </c>
      <c r="AF143" s="66">
        <f t="shared" si="959"/>
        <v>4.4708242678836996E-2</v>
      </c>
      <c r="AG143" s="66">
        <f t="shared" si="960"/>
        <v>0.19598161076111031</v>
      </c>
      <c r="AH143" s="66">
        <f t="shared" si="961"/>
        <v>-4.4604700854700918E-2</v>
      </c>
      <c r="AI143" s="66">
        <f t="shared" si="962"/>
        <v>7.7472084724300672E-2</v>
      </c>
      <c r="AJ143" s="66">
        <f t="shared" si="963"/>
        <v>0.1019390581717452</v>
      </c>
      <c r="AK143" s="66">
        <f t="shared" si="964"/>
        <v>4.7244846656611328E-2</v>
      </c>
      <c r="AL143" s="66">
        <f t="shared" si="965"/>
        <v>3.7504412991847813E-2</v>
      </c>
      <c r="AM143" s="66">
        <f t="shared" si="966"/>
        <v>-1.0160655087411041E-2</v>
      </c>
      <c r="AN143" s="66">
        <f t="shared" si="967"/>
        <v>-6.361637812585863E-2</v>
      </c>
      <c r="AO143" s="66">
        <f t="shared" si="968"/>
        <v>1.9422618522113577E-3</v>
      </c>
      <c r="AP143" s="66">
        <f t="shared" si="969"/>
        <v>1.3176622144343897E-2</v>
      </c>
      <c r="AQ143" s="66">
        <f t="shared" si="970"/>
        <v>5.0488553087541632E-2</v>
      </c>
      <c r="AR143" s="66">
        <f t="shared" si="971"/>
        <v>2.3491448432048978E-2</v>
      </c>
      <c r="AS143" s="66">
        <f t="shared" si="972"/>
        <v>-6.1572700296735783E-2</v>
      </c>
      <c r="AT143" s="66">
        <f t="shared" si="973"/>
        <v>4.1782882143833744E-2</v>
      </c>
      <c r="AU143" s="66">
        <f t="shared" si="974"/>
        <v>0.11922475857186754</v>
      </c>
      <c r="AV143" s="66">
        <f t="shared" si="975"/>
        <v>7.5069934857880938E-3</v>
      </c>
      <c r="AW143" s="66">
        <f t="shared" si="976"/>
        <v>-7.053293171936259E-3</v>
      </c>
      <c r="AX143" s="66">
        <f t="shared" si="977"/>
        <v>-2.9063278097363199E-3</v>
      </c>
      <c r="AY143" s="66">
        <f t="shared" si="978"/>
        <v>2.2874411379612214E-2</v>
      </c>
      <c r="AZ143" s="66">
        <f t="shared" si="979"/>
        <v>2.5000000000000133E-2</v>
      </c>
      <c r="BA143" s="66">
        <f t="shared" si="980"/>
        <v>2.0000000000000018E-2</v>
      </c>
      <c r="BB143" s="66"/>
      <c r="BC143" s="66"/>
      <c r="BD143" s="66"/>
      <c r="BE143" s="66"/>
      <c r="BF143" s="66"/>
      <c r="BG143" s="66"/>
      <c r="BH143" s="66"/>
      <c r="BI143" s="66"/>
      <c r="BJ143" s="66"/>
      <c r="BK143" s="66"/>
      <c r="BL143" s="66"/>
      <c r="BM143" s="66"/>
      <c r="BO143" s="65" t="s">
        <v>33</v>
      </c>
      <c r="BP143" s="66"/>
      <c r="BQ143" s="66"/>
      <c r="BR143" s="66"/>
      <c r="BS143" s="66"/>
      <c r="BT143" s="66"/>
      <c r="BV143" s="65" t="s">
        <v>33</v>
      </c>
      <c r="BW143" s="66">
        <f t="shared" si="883"/>
        <v>2.6661926768574151E-2</v>
      </c>
      <c r="BX143" s="66">
        <f t="shared" si="883"/>
        <v>5.9878548227651374E-2</v>
      </c>
      <c r="BY143" s="66">
        <f t="shared" si="883"/>
        <v>0.10439068100358395</v>
      </c>
      <c r="BZ143" s="66">
        <f t="shared" si="883"/>
        <v>-1.5042735042735011E-2</v>
      </c>
      <c r="CA143" s="66">
        <f t="shared" si="883"/>
        <v>4.2592108701332565E-2</v>
      </c>
      <c r="CC143" s="65" t="s">
        <v>33</v>
      </c>
      <c r="CD143" s="66">
        <f t="shared" si="884"/>
        <v>6.5789473684210842E-2</v>
      </c>
      <c r="CE143" s="66">
        <f t="shared" si="884"/>
        <v>3.8991845811712222E-2</v>
      </c>
      <c r="CF143" s="66">
        <f t="shared" si="884"/>
        <v>4.4358727097397743E-3</v>
      </c>
      <c r="CG143" s="66">
        <f t="shared" si="884"/>
        <v>7.8294573643410859E-2</v>
      </c>
      <c r="CH143" s="66">
        <f t="shared" si="884"/>
        <v>4.7600132406488083E-2</v>
      </c>
      <c r="CJ143" s="65" t="s">
        <v>33</v>
      </c>
      <c r="CK143" s="66">
        <f t="shared" si="885"/>
        <v>4.8861067640410205E-2</v>
      </c>
      <c r="CL143" s="66">
        <f t="shared" si="885"/>
        <v>5.6547619047619291E-2</v>
      </c>
      <c r="CM143" s="66">
        <f t="shared" si="885"/>
        <v>4.2434715821812796E-2</v>
      </c>
      <c r="CN143" s="66">
        <f t="shared" si="885"/>
        <v>-1.1502516175413313E-2</v>
      </c>
      <c r="CO143" s="66">
        <f t="shared" si="885"/>
        <v>3.2655872584540946E-2</v>
      </c>
      <c r="CQ143" s="65" t="s">
        <v>33</v>
      </c>
      <c r="CR143" s="66">
        <f t="shared" si="886"/>
        <v>-1.8629807692307709E-2</v>
      </c>
      <c r="CS143" s="66">
        <f t="shared" si="886"/>
        <v>1.1627906976745539E-3</v>
      </c>
      <c r="CT143" s="66">
        <f t="shared" si="886"/>
        <v>-1.6523463317911435E-2</v>
      </c>
      <c r="CU143" s="66">
        <f t="shared" si="886"/>
        <v>-2.1146245059288749E-2</v>
      </c>
      <c r="CV143" s="66">
        <f t="shared" si="886"/>
        <v>-1.3889095203434287E-2</v>
      </c>
      <c r="CX143" s="65" t="s">
        <v>33</v>
      </c>
      <c r="CY143" s="66">
        <f t="shared" si="887"/>
        <v>-2.9144768275203181E-2</v>
      </c>
      <c r="CZ143" s="66">
        <f t="shared" si="887"/>
        <v>-4.8529041991450916E-2</v>
      </c>
      <c r="DA143" s="66">
        <f t="shared" si="887"/>
        <v>-2.7412280701755165E-3</v>
      </c>
      <c r="DB143" s="66">
        <f t="shared" si="887"/>
        <v>2.2222222222222365E-2</v>
      </c>
      <c r="DC143" s="66">
        <f t="shared" si="887"/>
        <v>-1.5172126426216681E-2</v>
      </c>
      <c r="DE143" s="65" t="s">
        <v>33</v>
      </c>
      <c r="DF143" s="66">
        <f t="shared" si="888"/>
        <v>-7.8740157480314821E-3</v>
      </c>
      <c r="DG143" s="66">
        <f t="shared" si="888"/>
        <v>3.3633033633033493E-2</v>
      </c>
      <c r="DH143" s="66">
        <f t="shared" si="888"/>
        <v>1.0783608914450182E-2</v>
      </c>
      <c r="DI143" s="66">
        <f t="shared" si="888"/>
        <v>8.1987174283626452E-3</v>
      </c>
      <c r="DJ143" s="66">
        <f t="shared" si="888"/>
        <v>1.1710160737723241E-2</v>
      </c>
      <c r="DL143" s="65" t="s">
        <v>33</v>
      </c>
      <c r="DM143" s="66">
        <f t="shared" si="889"/>
        <v>2.4547803617571251E-2</v>
      </c>
      <c r="DN143" s="66">
        <f t="shared" si="889"/>
        <v>9.5312499999999911E-3</v>
      </c>
      <c r="DO143" s="66">
        <f t="shared" si="889"/>
        <v>-6.5237651444548517E-3</v>
      </c>
      <c r="DP143" s="66">
        <f t="shared" si="889"/>
        <v>-5.4733271662040783E-3</v>
      </c>
      <c r="DQ143" s="66">
        <f t="shared" si="889"/>
        <v>5.6283552093432387E-3</v>
      </c>
      <c r="DS143" s="65" t="s">
        <v>33</v>
      </c>
      <c r="DT143" s="66">
        <f t="shared" si="890"/>
        <v>-2.1746403479424581E-2</v>
      </c>
      <c r="DU143" s="66">
        <f t="shared" si="890"/>
        <v>-3.3416183374758379E-2</v>
      </c>
      <c r="DV143" s="66">
        <f t="shared" si="890"/>
        <v>-1.4347202295552641E-3</v>
      </c>
      <c r="DW143" s="66">
        <f t="shared" si="890"/>
        <v>1.8575851393188847E-2</v>
      </c>
      <c r="DX143" s="66">
        <f t="shared" si="890"/>
        <v>-9.7346451997615269E-3</v>
      </c>
      <c r="DZ143" s="65" t="s">
        <v>33</v>
      </c>
      <c r="EA143" s="66">
        <f t="shared" si="891"/>
        <v>-4.4117647058823706E-2</v>
      </c>
      <c r="EB143" s="66">
        <f t="shared" si="891"/>
        <v>-4.8809523809523747E-2</v>
      </c>
      <c r="EC143" s="66">
        <f t="shared" si="891"/>
        <v>-9.6264367816091823E-2</v>
      </c>
      <c r="ED143" s="66">
        <f t="shared" si="891"/>
        <v>-8.4548104956268189E-2</v>
      </c>
      <c r="EE143" s="66">
        <f t="shared" si="891"/>
        <v>-6.7599098857480056E-2</v>
      </c>
      <c r="EG143" s="65" t="s">
        <v>33</v>
      </c>
      <c r="EH143" s="66">
        <f t="shared" si="892"/>
        <v>-3.7104072398189913E-2</v>
      </c>
      <c r="EI143" s="66">
        <f t="shared" si="892"/>
        <v>2.7079303675048072E-2</v>
      </c>
      <c r="EJ143" s="66">
        <f t="shared" si="892"/>
        <v>9.7297297297297192E-2</v>
      </c>
      <c r="EK143" s="66">
        <f t="shared" si="892"/>
        <v>9.1078745588056176E-2</v>
      </c>
      <c r="EL143" s="66">
        <f t="shared" si="892"/>
        <v>4.7737589199743802E-2</v>
      </c>
      <c r="EN143" s="65" t="s">
        <v>33</v>
      </c>
      <c r="EO143" s="66">
        <f t="shared" si="893"/>
        <v>0.1247918054630246</v>
      </c>
      <c r="EP143" s="66">
        <f t="shared" si="893"/>
        <v>0.12336408496030904</v>
      </c>
      <c r="EQ143" s="66">
        <f t="shared" si="893"/>
        <v>6.0606060606060552E-2</v>
      </c>
      <c r="ER143" s="66">
        <f t="shared" si="893"/>
        <v>4.7069385661151708E-2</v>
      </c>
      <c r="ES143" s="66">
        <f t="shared" si="893"/>
        <v>8.1877493313641914E-2</v>
      </c>
      <c r="EU143" s="65" t="s">
        <v>33</v>
      </c>
      <c r="EV143" s="66">
        <f t="shared" si="894"/>
        <v>6.3234937042561112E-2</v>
      </c>
      <c r="EW143" s="66">
        <f t="shared" si="894"/>
        <v>1.7290369385164039E-2</v>
      </c>
      <c r="EX143" s="66">
        <f t="shared" si="894"/>
        <v>4.1330818041502404E-2</v>
      </c>
      <c r="EY143" s="66">
        <f t="shared" si="894"/>
        <v>2.8112155020551866E-2</v>
      </c>
      <c r="EZ143" s="66">
        <f t="shared" si="894"/>
        <v>3.7644624044388619E-2</v>
      </c>
      <c r="FB143" s="65" t="s">
        <v>33</v>
      </c>
      <c r="FC143" s="66">
        <f t="shared" si="895"/>
        <v>1.4944457763925723E-2</v>
      </c>
      <c r="FD143" s="66">
        <f t="shared" si="895"/>
        <v>1.8557289684050238E-2</v>
      </c>
      <c r="FE143" s="66">
        <f t="shared" si="895"/>
        <v>1.7049438990182297E-2</v>
      </c>
      <c r="FF143" s="66">
        <f t="shared" si="895"/>
        <v>3.1570241990579229E-2</v>
      </c>
      <c r="FG143" s="66">
        <f t="shared" si="895"/>
        <v>2.0712968078431926E-2</v>
      </c>
      <c r="FI143" s="65" t="s">
        <v>33</v>
      </c>
      <c r="FJ143" s="66">
        <f t="shared" si="896"/>
        <v>2.4122137404580135E-2</v>
      </c>
      <c r="FK143" s="66">
        <f t="shared" si="896"/>
        <v>3.2483104425550469E-2</v>
      </c>
      <c r="FL143" s="66">
        <f t="shared" si="896"/>
        <v>2.2735042735042787E-2</v>
      </c>
      <c r="FM143" s="66">
        <f t="shared" si="896"/>
        <v>2.6116093426628684E-2</v>
      </c>
      <c r="FN143" s="66">
        <f t="shared" si="896"/>
        <v>2.6641760159282546E-2</v>
      </c>
      <c r="FP143" s="65" t="s">
        <v>33</v>
      </c>
      <c r="FQ143" s="66">
        <f t="shared" si="897"/>
        <v>1.7769230769230759E-2</v>
      </c>
      <c r="FR143" s="66">
        <f t="shared" si="897"/>
        <v>1.1243386243386277E-2</v>
      </c>
      <c r="FS143" s="66">
        <f t="shared" si="897"/>
        <v>2.7017024426350789E-2</v>
      </c>
      <c r="FT143" s="66">
        <f t="shared" si="897"/>
        <v>2.9629629629629672E-2</v>
      </c>
      <c r="FU143" s="66">
        <f t="shared" si="897"/>
        <v>2.1374843631133622E-2</v>
      </c>
      <c r="FW143" s="65" t="s">
        <v>33</v>
      </c>
      <c r="FX143" s="66">
        <f t="shared" si="898"/>
        <v>2.9702970297029729E-2</v>
      </c>
      <c r="FY143" s="66">
        <f t="shared" si="898"/>
        <v>4.417155425219943E-2</v>
      </c>
      <c r="FZ143" s="66">
        <f t="shared" si="898"/>
        <v>6.2114746325272696E-2</v>
      </c>
      <c r="GA143" s="66">
        <f t="shared" si="898"/>
        <v>6.578947368421062E-2</v>
      </c>
      <c r="GB143" s="66">
        <f t="shared" si="898"/>
        <v>5.0132521841562916E-2</v>
      </c>
      <c r="GD143" s="65" t="s">
        <v>33</v>
      </c>
      <c r="GE143" s="66">
        <f t="shared" si="899"/>
        <v>9.3087522713507065E-2</v>
      </c>
      <c r="GF143" s="66">
        <f t="shared" si="899"/>
        <v>5.6872037914691864E-2</v>
      </c>
      <c r="GG143" s="66">
        <f t="shared" si="899"/>
        <v>4.3100000000000138E-2</v>
      </c>
      <c r="GH143" s="66">
        <f t="shared" si="899"/>
        <v>4.1666666666666741E-2</v>
      </c>
      <c r="GI143" s="66">
        <f t="shared" si="899"/>
        <v>5.7742110488980591E-2</v>
      </c>
      <c r="GK143" s="65" t="s">
        <v>33</v>
      </c>
      <c r="GL143" s="66">
        <f t="shared" si="900"/>
        <v>2.3908812899638532E-2</v>
      </c>
      <c r="GM143" s="66">
        <f t="shared" si="900"/>
        <v>4.2016806722689148E-2</v>
      </c>
      <c r="GN143" s="66">
        <f t="shared" si="900"/>
        <v>6.0752169720347249E-2</v>
      </c>
      <c r="GO143" s="66">
        <f t="shared" si="900"/>
        <v>5.1987767584097844E-2</v>
      </c>
      <c r="GP143" s="66">
        <f t="shared" si="900"/>
        <v>4.4708242678836996E-2</v>
      </c>
      <c r="GR143" s="65" t="s">
        <v>33</v>
      </c>
      <c r="GS143" s="66">
        <f t="shared" si="901"/>
        <v>0.12982348111658459</v>
      </c>
      <c r="GT143" s="66">
        <f t="shared" si="901"/>
        <v>0.18907194384870341</v>
      </c>
      <c r="GU143" s="66">
        <f t="shared" si="901"/>
        <v>0.27157652474108152</v>
      </c>
      <c r="GV143" s="66">
        <f t="shared" si="901"/>
        <v>0.21407588739290095</v>
      </c>
      <c r="GW143" s="66">
        <f t="shared" si="901"/>
        <v>0.19598161076111031</v>
      </c>
      <c r="GY143" s="65" t="s">
        <v>33</v>
      </c>
      <c r="GZ143" s="66">
        <f t="shared" si="902"/>
        <v>3.3003300330034513E-3</v>
      </c>
      <c r="HA143" s="66">
        <f t="shared" si="902"/>
        <v>-6.0885275519421911E-2</v>
      </c>
      <c r="HB143" s="66">
        <f t="shared" si="902"/>
        <v>-9.7345928924876257E-2</v>
      </c>
      <c r="HC143" s="66">
        <f t="shared" si="902"/>
        <v>-5.7762750070442515E-2</v>
      </c>
      <c r="HD143" s="66">
        <f t="shared" si="902"/>
        <v>-4.4604700854700918E-2</v>
      </c>
      <c r="HF143" s="65" t="s">
        <v>33</v>
      </c>
      <c r="HG143" s="66">
        <f t="shared" si="903"/>
        <v>8.819345661450928E-2</v>
      </c>
      <c r="HH143" s="66">
        <f t="shared" si="903"/>
        <v>0.10780370072405487</v>
      </c>
      <c r="HI143" s="66">
        <f t="shared" si="903"/>
        <v>7.2786633378144838E-2</v>
      </c>
      <c r="HJ143" s="66">
        <f t="shared" si="903"/>
        <v>6.1789772727272929E-2</v>
      </c>
      <c r="HK143" s="66">
        <f t="shared" si="903"/>
        <v>7.7472084724300672E-2</v>
      </c>
      <c r="HM143" s="65" t="s">
        <v>33</v>
      </c>
      <c r="HN143" s="66">
        <f t="shared" si="904"/>
        <v>7.1116986120290715E-2</v>
      </c>
      <c r="HO143" s="66">
        <f t="shared" si="904"/>
        <v>0.12057696641875126</v>
      </c>
      <c r="HP143" s="66">
        <f t="shared" si="904"/>
        <v>0.10915994304698629</v>
      </c>
      <c r="HQ143" s="66">
        <f t="shared" si="904"/>
        <v>0.10882740447957828</v>
      </c>
      <c r="HR143" s="66">
        <f t="shared" si="904"/>
        <v>0.1019390581717452</v>
      </c>
      <c r="HT143" s="65" t="s">
        <v>33</v>
      </c>
      <c r="HU143" s="66">
        <f t="shared" si="905"/>
        <v>8.7584257447270941E-2</v>
      </c>
      <c r="HV143" s="66">
        <f t="shared" si="905"/>
        <v>4.7357091604879109E-2</v>
      </c>
      <c r="HW143" s="66">
        <f t="shared" si="905"/>
        <v>1.8421052631579116E-2</v>
      </c>
      <c r="HX143" s="66">
        <f t="shared" si="905"/>
        <v>3.9487912931245095E-2</v>
      </c>
      <c r="HY143" s="66">
        <f t="shared" si="905"/>
        <v>4.7244846656611328E-2</v>
      </c>
      <c r="IA143" s="65" t="s">
        <v>33</v>
      </c>
      <c r="IB143" s="66">
        <f t="shared" si="906"/>
        <v>4.2704626334519658E-2</v>
      </c>
      <c r="IC143" s="66">
        <f t="shared" si="906"/>
        <v>3.4343315946785413E-2</v>
      </c>
      <c r="ID143" s="66">
        <f t="shared" si="906"/>
        <v>4.8771543821048757E-2</v>
      </c>
      <c r="IE143" s="66">
        <f t="shared" si="906"/>
        <v>2.5490253726516254E-2</v>
      </c>
      <c r="IF143" s="66">
        <f t="shared" si="906"/>
        <v>3.7504412991847813E-2</v>
      </c>
      <c r="IH143" s="65" t="s">
        <v>33</v>
      </c>
      <c r="II143" s="66">
        <f t="shared" si="907"/>
        <v>5.6070209653826808E-3</v>
      </c>
      <c r="IJ143" s="66">
        <f t="shared" si="907"/>
        <v>5.7927838464078008E-4</v>
      </c>
      <c r="IK143" s="66">
        <f t="shared" si="907"/>
        <v>-1.1836787066144883E-2</v>
      </c>
      <c r="IL143" s="66">
        <f t="shared" si="907"/>
        <v>-3.3552631578947389E-2</v>
      </c>
      <c r="IM143" s="66">
        <f t="shared" si="907"/>
        <v>-1.0160655087411041E-2</v>
      </c>
      <c r="IO143" s="65" t="s">
        <v>33</v>
      </c>
      <c r="IP143" s="66">
        <f t="shared" si="908"/>
        <v>-5.7929792979297901E-2</v>
      </c>
      <c r="IQ143" s="66">
        <f t="shared" si="908"/>
        <v>-7.3676012461059148E-2</v>
      </c>
      <c r="IR143" s="66">
        <f t="shared" si="908"/>
        <v>-5.9016393442622883E-2</v>
      </c>
      <c r="IS143" s="66">
        <f t="shared" si="908"/>
        <v>-6.217948717948707E-2</v>
      </c>
      <c r="IT143" s="66">
        <f t="shared" si="908"/>
        <v>-6.361637812585863E-2</v>
      </c>
      <c r="IV143" s="65" t="s">
        <v>33</v>
      </c>
      <c r="IW143" s="66">
        <f t="shared" si="909"/>
        <v>-2.9200225381989409E-2</v>
      </c>
      <c r="IX143" s="66">
        <f t="shared" si="909"/>
        <v>-8.2644628099174389E-3</v>
      </c>
      <c r="IY143" s="66">
        <f t="shared" si="909"/>
        <v>3.9690955915769877E-3</v>
      </c>
      <c r="IZ143" s="66">
        <f t="shared" si="909"/>
        <v>3.7008104677277442E-2</v>
      </c>
      <c r="JA143" s="66">
        <f t="shared" si="909"/>
        <v>1.9422618522113577E-3</v>
      </c>
      <c r="JC143" s="65" t="s">
        <v>33</v>
      </c>
      <c r="JD143" s="66">
        <f t="shared" si="910"/>
        <v>3.4714575485366383E-2</v>
      </c>
      <c r="JE143" s="66">
        <f t="shared" si="910"/>
        <v>2.3107855018178025E-2</v>
      </c>
      <c r="JF143" s="66">
        <f t="shared" si="910"/>
        <v>2.7805362462760774E-2</v>
      </c>
      <c r="JG143" s="66">
        <f t="shared" si="910"/>
        <v>-2.7017238881645644E-2</v>
      </c>
      <c r="JH143" s="66">
        <f t="shared" si="910"/>
        <v>1.3176622144343897E-2</v>
      </c>
      <c r="JJ143" s="65" t="s">
        <v>33</v>
      </c>
      <c r="JK143" s="66">
        <f t="shared" si="911"/>
        <v>2.2151898734177333E-2</v>
      </c>
      <c r="JL143" s="66">
        <f t="shared" si="911"/>
        <v>5.6699608016341774E-2</v>
      </c>
      <c r="JM143" s="66">
        <f t="shared" si="911"/>
        <v>6.8018353174603252E-2</v>
      </c>
      <c r="JN143" s="66">
        <f t="shared" si="911"/>
        <v>5.396851160525884E-2</v>
      </c>
      <c r="JO143" s="66">
        <f t="shared" si="911"/>
        <v>5.0488553087541632E-2</v>
      </c>
      <c r="JQ143" s="65" t="s">
        <v>33</v>
      </c>
      <c r="JR143" s="66">
        <f t="shared" si="912"/>
        <v>-3.6613272311212253E-3</v>
      </c>
      <c r="JS143" s="66">
        <f t="shared" si="912"/>
        <v>-2.7748559979964948E-2</v>
      </c>
      <c r="JT143" s="66">
        <f t="shared" si="912"/>
        <v>2.5158371040723937E-2</v>
      </c>
      <c r="JU143" s="66">
        <f t="shared" si="912"/>
        <v>9.9099099099099197E-2</v>
      </c>
      <c r="JV143" s="66">
        <f t="shared" si="912"/>
        <v>2.3491448432048978E-2</v>
      </c>
      <c r="JX143" s="65" t="s">
        <v>33</v>
      </c>
      <c r="JY143" s="66">
        <f t="shared" si="913"/>
        <v>-8.9661142715791176E-4</v>
      </c>
      <c r="JZ143" s="66">
        <f t="shared" si="913"/>
        <v>-2.2752930959618056E-2</v>
      </c>
      <c r="KA143" s="66">
        <f t="shared" si="913"/>
        <v>-0.10687382297551806</v>
      </c>
      <c r="KB143" s="66">
        <f t="shared" si="913"/>
        <v>-0.11003236245954684</v>
      </c>
      <c r="KC143" s="66">
        <f t="shared" si="913"/>
        <v>-6.1572700296735783E-2</v>
      </c>
      <c r="KE143" s="65" t="s">
        <v>33</v>
      </c>
      <c r="KF143" s="66">
        <f t="shared" si="914"/>
        <v>3.9677670061766257E-3</v>
      </c>
      <c r="KG143" s="66">
        <f t="shared" si="914"/>
        <v>5.5718475073313956E-2</v>
      </c>
      <c r="KH143" s="66">
        <f t="shared" si="914"/>
        <v>4.8856088560885746E-2</v>
      </c>
      <c r="KI143" s="66">
        <f t="shared" si="914"/>
        <v>6.6743383199079354E-2</v>
      </c>
      <c r="KJ143" s="66">
        <f t="shared" si="914"/>
        <v>4.1782882143833744E-2</v>
      </c>
      <c r="KL143" s="65" t="s">
        <v>33</v>
      </c>
      <c r="KM143" s="66">
        <f t="shared" si="915"/>
        <v>7.2848761408083496E-2</v>
      </c>
      <c r="KN143" s="66">
        <f t="shared" si="915"/>
        <v>0.12396514161220051</v>
      </c>
      <c r="KO143" s="66">
        <f t="shared" si="915"/>
        <v>0.15676892766676054</v>
      </c>
      <c r="KP143" s="66">
        <f t="shared" si="915"/>
        <v>0.11185185185185165</v>
      </c>
      <c r="KQ143" s="66">
        <f t="shared" si="915"/>
        <v>0.11922475857186754</v>
      </c>
      <c r="KS143" s="65" t="s">
        <v>33</v>
      </c>
      <c r="KT143" s="66">
        <f t="shared" si="916"/>
        <v>9.476488064747457E-2</v>
      </c>
      <c r="KU143" s="66">
        <f t="shared" si="916"/>
        <v>-5.3977684393565761E-3</v>
      </c>
      <c r="KV143" s="66">
        <f t="shared" si="916"/>
        <v>-5.3985690539856912E-2</v>
      </c>
      <c r="KW143" s="66">
        <f t="shared" si="916"/>
        <v>1.1815252416756294E-2</v>
      </c>
      <c r="KX143" s="66">
        <f t="shared" si="916"/>
        <v>7.5069934857880938E-3</v>
      </c>
      <c r="KZ143" s="65" t="s">
        <v>33</v>
      </c>
      <c r="LA143" s="66">
        <f t="shared" si="917"/>
        <v>-2.1664854791116572E-2</v>
      </c>
      <c r="LB143" s="66">
        <f t="shared" si="917"/>
        <v>2.0433436532507621E-2</v>
      </c>
      <c r="LC143" s="112">
        <f t="shared" ref="LC143" si="994">LC117/KV117-1</f>
        <v>7.0487012987012765E-3</v>
      </c>
      <c r="LD143" s="112">
        <f t="shared" ref="LD143" si="995">LD117/KW117-1</f>
        <v>-3.7789808917197409E-2</v>
      </c>
      <c r="LE143" s="112">
        <f t="shared" ref="LE143" si="996">LE117/KX117-1</f>
        <v>-7.053293171936259E-3</v>
      </c>
      <c r="LF143" s="566"/>
      <c r="LG143" s="65" t="s">
        <v>33</v>
      </c>
      <c r="LH143" s="112">
        <f t="shared" ref="LH143" si="997">LH117/LA117-1</f>
        <v>-6.4846416382258187E-4</v>
      </c>
      <c r="LI143" s="112">
        <f t="shared" ref="LI143" si="998">LI117/LB117-1</f>
        <v>-2.9062499999999991E-2</v>
      </c>
      <c r="LJ143" s="112">
        <f t="shared" ref="LJ143" si="999">LJ117/LC117-1</f>
        <v>6.5125366330185397E-3</v>
      </c>
      <c r="LK143" s="112">
        <f t="shared" ref="LK143" si="1000">LK117/LD117-1</f>
        <v>1.5893610120012891E-2</v>
      </c>
      <c r="LL143" s="112">
        <f t="shared" ref="LL143" si="1001">LL117/LE117-1</f>
        <v>-2.9063278097363199E-3</v>
      </c>
      <c r="LM143" s="566"/>
      <c r="LN143" s="65" t="s">
        <v>33</v>
      </c>
      <c r="LO143" s="112">
        <f t="shared" ref="LO143" si="1002">LO117/LH117-1</f>
        <v>1.4981273408239515E-2</v>
      </c>
      <c r="LP143" s="112">
        <f t="shared" ref="LP143" si="1003">LP117/LI117-1</f>
        <v>1.9933066892485085E-2</v>
      </c>
      <c r="LQ143" s="112">
        <f t="shared" ref="LQ143" si="1004">LQ117/LJ117-1</f>
        <v>2.4969853827828459E-2</v>
      </c>
      <c r="LR143" s="112">
        <f t="shared" ref="LR143" si="1005">LR117/LK117-1</f>
        <v>2.9956633404909283E-2</v>
      </c>
      <c r="LS143" s="112">
        <f t="shared" ref="LS143" si="1006">LS117/LL117-1</f>
        <v>2.2874411379612214E-2</v>
      </c>
      <c r="LT143" s="566"/>
      <c r="LU143" s="65" t="s">
        <v>33</v>
      </c>
      <c r="LV143" s="112">
        <f t="shared" si="931"/>
        <v>2.4999999999999911E-2</v>
      </c>
      <c r="LW143" s="112">
        <f t="shared" si="932"/>
        <v>2.4999999999999911E-2</v>
      </c>
      <c r="LX143" s="112">
        <f t="shared" si="933"/>
        <v>2.4999999999999911E-2</v>
      </c>
      <c r="LY143" s="112">
        <f t="shared" si="934"/>
        <v>2.4999999999999911E-2</v>
      </c>
      <c r="LZ143" s="112">
        <f t="shared" si="935"/>
        <v>2.5000000000000133E-2</v>
      </c>
      <c r="MA143" s="566"/>
      <c r="MB143" s="65" t="s">
        <v>33</v>
      </c>
      <c r="MC143" s="112">
        <f t="shared" si="936"/>
        <v>2.0000000000000018E-2</v>
      </c>
      <c r="MD143" s="112">
        <f t="shared" si="937"/>
        <v>2.0000000000000018E-2</v>
      </c>
      <c r="ME143" s="112">
        <f t="shared" si="938"/>
        <v>2.0000000000000018E-2</v>
      </c>
      <c r="MF143" s="112">
        <f t="shared" si="939"/>
        <v>2.0000000000000018E-2</v>
      </c>
      <c r="MG143" s="112">
        <f t="shared" si="940"/>
        <v>2.0000000000000018E-2</v>
      </c>
      <c r="MH143" s="566"/>
    </row>
    <row r="144" spans="1:346" s="37" customFormat="1" ht="13.15" x14ac:dyDescent="0.4">
      <c r="A144" s="100"/>
      <c r="B144" s="65" t="s">
        <v>143</v>
      </c>
      <c r="C144" s="66"/>
      <c r="D144" s="66"/>
      <c r="E144" s="66"/>
      <c r="F144" s="66"/>
      <c r="G144" s="66"/>
      <c r="H144" s="66"/>
      <c r="I144" s="66"/>
      <c r="J144" s="66"/>
      <c r="K144" s="66"/>
      <c r="L144" s="66"/>
      <c r="M144" s="66"/>
      <c r="N144" s="66">
        <f t="shared" si="941"/>
        <v>0</v>
      </c>
      <c r="O144" s="66">
        <f t="shared" si="942"/>
        <v>8.9174300757830505E-3</v>
      </c>
      <c r="P144" s="66">
        <f t="shared" si="943"/>
        <v>0.13588332157139482</v>
      </c>
      <c r="Q144" s="66">
        <f t="shared" si="944"/>
        <v>-4.1549191274670161E-4</v>
      </c>
      <c r="R144" s="66">
        <f t="shared" si="945"/>
        <v>-8.8780437152795599E-3</v>
      </c>
      <c r="S144" s="66">
        <f t="shared" si="946"/>
        <v>-1.8676136527015053E-2</v>
      </c>
      <c r="T144" s="66">
        <f t="shared" si="947"/>
        <v>3.9805439745880467E-2</v>
      </c>
      <c r="U144" s="66">
        <f t="shared" si="948"/>
        <v>-1.952447552447556E-2</v>
      </c>
      <c r="V144" s="66">
        <f t="shared" si="949"/>
        <v>-3.0611342121561469E-3</v>
      </c>
      <c r="W144" s="66">
        <f t="shared" si="950"/>
        <v>-1.0093121768248614E-2</v>
      </c>
      <c r="X144" s="66">
        <f t="shared" si="951"/>
        <v>4.368688106677121E-2</v>
      </c>
      <c r="Y144" s="66" t="str">
        <f t="shared" si="952"/>
        <v>NM</v>
      </c>
      <c r="Z144" s="66" t="str">
        <f t="shared" si="953"/>
        <v>NM</v>
      </c>
      <c r="AA144" s="66" t="str">
        <f t="shared" si="954"/>
        <v>NM</v>
      </c>
      <c r="AB144" s="66" t="str">
        <f t="shared" si="955"/>
        <v>NM</v>
      </c>
      <c r="AC144" s="66" t="str">
        <f t="shared" si="956"/>
        <v>NM</v>
      </c>
      <c r="AD144" s="66" t="str">
        <f t="shared" si="957"/>
        <v>NM</v>
      </c>
      <c r="AE144" s="66" t="str">
        <f t="shared" si="958"/>
        <v>NM</v>
      </c>
      <c r="AF144" s="66" t="str">
        <f t="shared" si="959"/>
        <v>NM</v>
      </c>
      <c r="AG144" s="66" t="str">
        <f t="shared" si="960"/>
        <v>NM</v>
      </c>
      <c r="AH144" s="66" t="str">
        <f t="shared" si="961"/>
        <v>NM</v>
      </c>
      <c r="AI144" s="66" t="str">
        <f t="shared" si="962"/>
        <v>NM</v>
      </c>
      <c r="AJ144" s="66">
        <f t="shared" si="963"/>
        <v>5.355392707818174E-2</v>
      </c>
      <c r="AK144" s="66">
        <f t="shared" si="964"/>
        <v>5.6431135627353024E-2</v>
      </c>
      <c r="AL144" s="66">
        <f t="shared" si="965"/>
        <v>3.1784841075794601E-2</v>
      </c>
      <c r="AM144" s="66">
        <f t="shared" si="966"/>
        <v>-4.7393364928908222E-3</v>
      </c>
      <c r="AN144" s="66">
        <f t="shared" si="967"/>
        <v>-3.5714285714285809E-2</v>
      </c>
      <c r="AO144" s="66">
        <f t="shared" si="968"/>
        <v>-4.3010752688170673E-3</v>
      </c>
      <c r="AP144" s="66">
        <f t="shared" si="969"/>
        <v>0.37921550545619276</v>
      </c>
      <c r="AQ144" s="66">
        <f t="shared" si="970"/>
        <v>-0.11455825864276581</v>
      </c>
      <c r="AR144" s="66">
        <f t="shared" si="971"/>
        <v>6.2438676300069496E-4</v>
      </c>
      <c r="AS144" s="66">
        <f t="shared" si="972"/>
        <v>-8.1678524953102127E-2</v>
      </c>
      <c r="AT144" s="66">
        <f t="shared" si="973"/>
        <v>7.764941378324286E-2</v>
      </c>
      <c r="AU144" s="66">
        <f t="shared" si="974"/>
        <v>8.1038727321440129E-2</v>
      </c>
      <c r="AV144" s="66">
        <f t="shared" si="975"/>
        <v>4.8636463975819888E-2</v>
      </c>
      <c r="AW144" s="66">
        <f t="shared" si="976"/>
        <v>4.4453598273705319E-2</v>
      </c>
      <c r="AX144" s="66">
        <f t="shared" si="977"/>
        <v>3.7485319516407545E-2</v>
      </c>
      <c r="AY144" s="66">
        <f t="shared" si="978"/>
        <v>3.641210335652878E-2</v>
      </c>
      <c r="AZ144" s="66">
        <f t="shared" si="979"/>
        <v>2.7289365689725731E-2</v>
      </c>
      <c r="BA144" s="66">
        <f t="shared" si="980"/>
        <v>2.4999999999999689E-2</v>
      </c>
      <c r="BB144" s="66"/>
      <c r="BC144" s="66"/>
      <c r="BD144" s="66"/>
      <c r="BE144" s="66"/>
      <c r="BF144" s="66"/>
      <c r="BG144" s="66"/>
      <c r="BH144" s="66"/>
      <c r="BI144" s="66"/>
      <c r="BJ144" s="66"/>
      <c r="BK144" s="66"/>
      <c r="BL144" s="66"/>
      <c r="BM144" s="66"/>
      <c r="BO144" s="65" t="s">
        <v>143</v>
      </c>
      <c r="BP144" s="66"/>
      <c r="BQ144" s="66"/>
      <c r="BR144" s="66"/>
      <c r="BS144" s="66"/>
      <c r="BT144" s="66"/>
      <c r="BV144" s="65" t="s">
        <v>143</v>
      </c>
      <c r="BW144" s="66">
        <f>IFERROR(BW118/BP118-1,"NM")</f>
        <v>-2.2489861128179967E-2</v>
      </c>
      <c r="BX144" s="66">
        <f>IFERROR(BX118/BQ118-1,"NM")</f>
        <v>2.566788894709271E-2</v>
      </c>
      <c r="BY144" s="66">
        <f>IFERROR(BY118/BR118-1,"NM")</f>
        <v>4.5556385362210516E-2</v>
      </c>
      <c r="BZ144" s="66">
        <f>IFERROR(BZ118/BS118-1,"NM")</f>
        <v>-1.1823619418556031E-2</v>
      </c>
      <c r="CA144" s="66">
        <f>IFERROR(CA118/BT118-1,"NM")</f>
        <v>8.9174300757830505E-3</v>
      </c>
      <c r="CC144" s="65" t="s">
        <v>143</v>
      </c>
      <c r="CD144" s="66">
        <f>IFERROR(CD118/BW118-1,"NM")</f>
        <v>0.1569319640564828</v>
      </c>
      <c r="CE144" s="66">
        <f>IFERROR(CE118/BX118-1,"NM")</f>
        <v>0.14011896893588904</v>
      </c>
      <c r="CF144" s="66">
        <f>IFERROR(CF118/BY118-1,"NM")</f>
        <v>0.13422619047619055</v>
      </c>
      <c r="CG144" s="66">
        <f>IFERROR(CG118/BZ118-1,"NM")</f>
        <v>0.10975609756097571</v>
      </c>
      <c r="CH144" s="66">
        <f>IFERROR(CH118/CA118-1,"NM")</f>
        <v>0.13588332157139482</v>
      </c>
      <c r="CJ144" s="65" t="s">
        <v>143</v>
      </c>
      <c r="CK144" s="66">
        <f>IFERROR(CK118/CD118-1,"NM")</f>
        <v>1.6998191681735886E-2</v>
      </c>
      <c r="CL144" s="66">
        <f>IFERROR(CL118/CE118-1,"NM")</f>
        <v>5.9925093632957616E-3</v>
      </c>
      <c r="CM144" s="66">
        <f>IFERROR(CM118/CF118-1,"NM")</f>
        <v>-3.6036036036036778E-3</v>
      </c>
      <c r="CN144" s="66">
        <f>IFERROR(CN118/CG118-1,"NM")</f>
        <v>-1.9260639950295255E-2</v>
      </c>
      <c r="CO144" s="66">
        <f>IFERROR(CO118/CH118-1,"NM")</f>
        <v>-4.1549191274670161E-4</v>
      </c>
      <c r="CQ144" s="65" t="s">
        <v>143</v>
      </c>
      <c r="CR144" s="66">
        <f>IFERROR(CR118/CK118-1,"NM")</f>
        <v>1.6683350016684084E-3</v>
      </c>
      <c r="CS144" s="66">
        <f>IFERROR(CS118/CL118-1,"NM")</f>
        <v>-2.5052742616032964E-3</v>
      </c>
      <c r="CT144" s="66">
        <f>IFERROR(CT118/CM118-1,"NM")</f>
        <v>-2.0253164556961911E-2</v>
      </c>
      <c r="CU144" s="66">
        <f>IFERROR(CU118/CN118-1,"NM")</f>
        <v>-9.9076181550408204E-3</v>
      </c>
      <c r="CV144" s="66">
        <f>IFERROR(CV118/CO118-1,"NM")</f>
        <v>-8.8780437152795599E-3</v>
      </c>
      <c r="CX144" s="65" t="s">
        <v>143</v>
      </c>
      <c r="CY144" s="66">
        <f>IFERROR(CY118/CR118-1,"NM")</f>
        <v>-3.6254199328107473E-2</v>
      </c>
      <c r="CZ144" s="66">
        <f>IFERROR(CZ118/CS118-1,"NM")</f>
        <v>-1.5650296815973963E-2</v>
      </c>
      <c r="DA144" s="66">
        <f>IFERROR(DA118/CT118-1,"NM")</f>
        <v>5.6568196103079504E-3</v>
      </c>
      <c r="DB144" s="66">
        <f>IFERROR(DB118/CU118-1,"NM")</f>
        <v>-3.2717086834733955E-2</v>
      </c>
      <c r="DC144" s="66">
        <f>IFERROR(DC118/CV118-1,"NM")</f>
        <v>-1.8676136527015053E-2</v>
      </c>
      <c r="DE144" s="65" t="s">
        <v>143</v>
      </c>
      <c r="DF144" s="66">
        <f>IFERROR(DF118/CY118-1,"NM")</f>
        <v>3.8175270108043113E-2</v>
      </c>
      <c r="DG144" s="66">
        <f>IFERROR(DG118/CZ118-1,"NM")</f>
        <v>2.1052631578947212E-2</v>
      </c>
      <c r="DH144" s="66">
        <f>IFERROR(DH118/DA118-1,"NM")</f>
        <v>3.7383177570093462E-2</v>
      </c>
      <c r="DI144" s="66">
        <f>IFERROR(DI118/DB118-1,"NM")</f>
        <v>6.1797752808988804E-2</v>
      </c>
      <c r="DJ144" s="66">
        <f>IFERROR(DJ118/DC118-1,"NM")</f>
        <v>3.9805439745880467E-2</v>
      </c>
      <c r="DL144" s="65" t="s">
        <v>143</v>
      </c>
      <c r="DM144" s="66">
        <f>IFERROR(DM118/DF118-1,"NM")</f>
        <v>-1.4107308048103673E-2</v>
      </c>
      <c r="DN144" s="66">
        <f>IFERROR(DN118/DG118-1,"NM")</f>
        <v>3.3136966126656731E-3</v>
      </c>
      <c r="DO144" s="66">
        <f>IFERROR(DO118/DH118-1,"NM")</f>
        <v>-1.4787946428571397E-2</v>
      </c>
      <c r="DP144" s="66">
        <f>IFERROR(DP118/DI118-1,"NM")</f>
        <v>-4.9049049049048943E-2</v>
      </c>
      <c r="DQ144" s="66">
        <f>IFERROR(DQ118/DJ118-1,"NM")</f>
        <v>-1.952447552447556E-2</v>
      </c>
      <c r="DS144" s="65" t="s">
        <v>143</v>
      </c>
      <c r="DT144" s="66">
        <f>IFERROR(DT118/DM118-1,"NM")</f>
        <v>-3.3819628647214772E-2</v>
      </c>
      <c r="DU144" s="66">
        <f>IFERROR(DU118/DN118-1,"NM")</f>
        <v>-1.0810810810811811E-3</v>
      </c>
      <c r="DV144" s="66">
        <f>IFERROR(DV118/DO118-1,"NM")</f>
        <v>-1.1289364230540722E-2</v>
      </c>
      <c r="DW144" s="66">
        <f>IFERROR(DW118/DP118-1,"NM")</f>
        <v>3.1578947368420929E-2</v>
      </c>
      <c r="DX144" s="66">
        <f>IFERROR(DX118/DQ118-1,"NM")</f>
        <v>-3.0611342121561469E-3</v>
      </c>
      <c r="DZ144" s="65" t="s">
        <v>143</v>
      </c>
      <c r="EA144" s="66">
        <f>IFERROR(EA118/DT118-1,"NM")</f>
        <v>2.0565821066917289E-2</v>
      </c>
      <c r="EB144" s="66">
        <f>IFERROR(EB118/DU118-1,"NM")</f>
        <v>-4.9820236260914252E-2</v>
      </c>
      <c r="EC144" s="66">
        <f>IFERROR(EC118/DV118-1,"NM")</f>
        <v>-5.4816678648453854E-3</v>
      </c>
      <c r="ED144" s="66">
        <f>IFERROR(ED118/DW118-1,"NM")</f>
        <v>-1.9195797130733272E-3</v>
      </c>
      <c r="EE144" s="66">
        <f>IFERROR(EE118/DX118-1,"NM")</f>
        <v>-1.0093121768248614E-2</v>
      </c>
      <c r="EG144" s="65" t="s">
        <v>143</v>
      </c>
      <c r="EH144" s="66">
        <f>IFERROR(EH118/EA118-1,"NM")</f>
        <v>-1.2238749764640344E-3</v>
      </c>
      <c r="EI144" s="66">
        <f>IFERROR(EI118/EB118-1,"NM")</f>
        <v>7.1743119266055144E-2</v>
      </c>
      <c r="EJ144" s="66">
        <f>IFERROR(EJ118/EC118-1,"NM")</f>
        <v>6.4516129032258229E-2</v>
      </c>
      <c r="EK144" s="66">
        <f>IFERROR(EK118/ED118-1,"NM")</f>
        <v>3.7560192616372445E-2</v>
      </c>
      <c r="EL144" s="66">
        <f>IFERROR(EL118/EE118-1,"NM")</f>
        <v>4.368688106677121E-2</v>
      </c>
      <c r="EN144" s="65" t="s">
        <v>143</v>
      </c>
      <c r="EO144" s="66" t="str">
        <f>IFERROR(EO118/EH118-1,"NM")</f>
        <v>NM</v>
      </c>
      <c r="EP144" s="66" t="str">
        <f>IFERROR(EP118/EI118-1,"NM")</f>
        <v>NM</v>
      </c>
      <c r="EQ144" s="66" t="str">
        <f>IFERROR(EQ118/EJ118-1,"NM")</f>
        <v>NM</v>
      </c>
      <c r="ER144" s="66" t="str">
        <f>IFERROR(ER118/EK118-1,"NM")</f>
        <v>NM</v>
      </c>
      <c r="ES144" s="66" t="str">
        <f>IFERROR(ES118/EL118-1,"NM")</f>
        <v>NM</v>
      </c>
      <c r="EU144" s="65" t="s">
        <v>143</v>
      </c>
      <c r="EV144" s="66" t="str">
        <f>IFERROR(EV118/EO118-1,"NM")</f>
        <v>NM</v>
      </c>
      <c r="EW144" s="66" t="str">
        <f>IFERROR(EW118/EP118-1,"NM")</f>
        <v>NM</v>
      </c>
      <c r="EX144" s="66" t="str">
        <f>IFERROR(EX118/EQ118-1,"NM")</f>
        <v>NM</v>
      </c>
      <c r="EY144" s="66" t="str">
        <f>IFERROR(EY118/ER118-1,"NM")</f>
        <v>NM</v>
      </c>
      <c r="EZ144" s="66" t="str">
        <f>IFERROR(EZ118/ES118-1,"NM")</f>
        <v>NM</v>
      </c>
      <c r="FB144" s="65" t="s">
        <v>143</v>
      </c>
      <c r="FC144" s="66" t="str">
        <f>IFERROR(FC118/EV118-1,"NM")</f>
        <v>NM</v>
      </c>
      <c r="FD144" s="66" t="str">
        <f>IFERROR(FD118/EW118-1,"NM")</f>
        <v>NM</v>
      </c>
      <c r="FE144" s="66" t="str">
        <f>IFERROR(FE118/EX118-1,"NM")</f>
        <v>NM</v>
      </c>
      <c r="FF144" s="66" t="str">
        <f>IFERROR(FF118/EY118-1,"NM")</f>
        <v>NM</v>
      </c>
      <c r="FG144" s="66" t="str">
        <f>IFERROR(FG118/EZ118-1,"NM")</f>
        <v>NM</v>
      </c>
      <c r="FI144" s="65" t="s">
        <v>143</v>
      </c>
      <c r="FJ144" s="66" t="str">
        <f>IFERROR(FJ118/FC118-1,"NM")</f>
        <v>NM</v>
      </c>
      <c r="FK144" s="66" t="str">
        <f>IFERROR(FK118/FD118-1,"NM")</f>
        <v>NM</v>
      </c>
      <c r="FL144" s="66" t="str">
        <f>IFERROR(FL118/FE118-1,"NM")</f>
        <v>NM</v>
      </c>
      <c r="FM144" s="66" t="str">
        <f>IFERROR(FM118/FF118-1,"NM")</f>
        <v>NM</v>
      </c>
      <c r="FN144" s="66" t="str">
        <f>IFERROR(FN118/FG118-1,"NM")</f>
        <v>NM</v>
      </c>
      <c r="FP144" s="65" t="s">
        <v>143</v>
      </c>
      <c r="FQ144" s="66" t="str">
        <f>IFERROR(FQ118/FJ118-1,"NM")</f>
        <v>NM</v>
      </c>
      <c r="FR144" s="66" t="str">
        <f>IFERROR(FR118/FK118-1,"NM")</f>
        <v>NM</v>
      </c>
      <c r="FS144" s="66" t="str">
        <f>IFERROR(FS118/FL118-1,"NM")</f>
        <v>NM</v>
      </c>
      <c r="FT144" s="66" t="str">
        <f>IFERROR(FT118/FM118-1,"NM")</f>
        <v>NM</v>
      </c>
      <c r="FU144" s="66" t="str">
        <f>IFERROR(FU118/FN118-1,"NM")</f>
        <v>NM</v>
      </c>
      <c r="FW144" s="65" t="s">
        <v>143</v>
      </c>
      <c r="FX144" s="66" t="str">
        <f>IFERROR(FX118/FQ118-1,"NM")</f>
        <v>NM</v>
      </c>
      <c r="FY144" s="66" t="str">
        <f>IFERROR(FY118/FR118-1,"NM")</f>
        <v>NM</v>
      </c>
      <c r="FZ144" s="66" t="str">
        <f>IFERROR(FZ118/FS118-1,"NM")</f>
        <v>NM</v>
      </c>
      <c r="GA144" s="66" t="str">
        <f>IFERROR(GA118/FT118-1,"NM")</f>
        <v>NM</v>
      </c>
      <c r="GB144" s="66" t="str">
        <f>IFERROR(GB118/FU118-1,"NM")</f>
        <v>NM</v>
      </c>
      <c r="GD144" s="65" t="s">
        <v>143</v>
      </c>
      <c r="GE144" s="66" t="str">
        <f>IFERROR(GE118/FX118-1,"NM")</f>
        <v>NM</v>
      </c>
      <c r="GF144" s="66" t="str">
        <f>IFERROR(GF118/FY118-1,"NM")</f>
        <v>NM</v>
      </c>
      <c r="GG144" s="66" t="str">
        <f>IFERROR(GG118/FZ118-1,"NM")</f>
        <v>NM</v>
      </c>
      <c r="GH144" s="66" t="str">
        <f>IFERROR(GH118/GA118-1,"NM")</f>
        <v>NM</v>
      </c>
      <c r="GI144" s="66" t="str">
        <f>IFERROR(GI118/GB118-1,"NM")</f>
        <v>NM</v>
      </c>
      <c r="GK144" s="65" t="s">
        <v>143</v>
      </c>
      <c r="GL144" s="66" t="str">
        <f>IFERROR(GL118/GE118-1,"NM")</f>
        <v>NM</v>
      </c>
      <c r="GM144" s="66" t="str">
        <f>IFERROR(GM118/GF118-1,"NM")</f>
        <v>NM</v>
      </c>
      <c r="GN144" s="66" t="str">
        <f>IFERROR(GN118/GG118-1,"NM")</f>
        <v>NM</v>
      </c>
      <c r="GO144" s="66" t="str">
        <f>IFERROR(GO118/GH118-1,"NM")</f>
        <v>NM</v>
      </c>
      <c r="GP144" s="66" t="str">
        <f>IFERROR(GP118/GI118-1,"NM")</f>
        <v>NM</v>
      </c>
      <c r="GR144" s="65" t="s">
        <v>143</v>
      </c>
      <c r="GS144" s="66" t="str">
        <f>IFERROR(GS118/GL118-1,"NM")</f>
        <v>NM</v>
      </c>
      <c r="GT144" s="66" t="str">
        <f>IFERROR(GT118/GM118-1,"NM")</f>
        <v>NM</v>
      </c>
      <c r="GU144" s="66" t="str">
        <f>IFERROR(GU118/GN118-1,"NM")</f>
        <v>NM</v>
      </c>
      <c r="GV144" s="66" t="str">
        <f>IFERROR(GV118/GO118-1,"NM")</f>
        <v>NM</v>
      </c>
      <c r="GW144" s="66" t="str">
        <f>IFERROR(GW118/GP118-1,"NM")</f>
        <v>NM</v>
      </c>
      <c r="GY144" s="65" t="s">
        <v>143</v>
      </c>
      <c r="GZ144" s="66" t="str">
        <f>IFERROR(GZ118/GS118-1,"NM")</f>
        <v>NM</v>
      </c>
      <c r="HA144" s="66" t="str">
        <f>IFERROR(HA118/GT118-1,"NM")</f>
        <v>NM</v>
      </c>
      <c r="HB144" s="66" t="str">
        <f>IFERROR(HB118/GU118-1,"NM")</f>
        <v>NM</v>
      </c>
      <c r="HC144" s="66" t="str">
        <f>IFERROR(HC118/GV118-1,"NM")</f>
        <v>NM</v>
      </c>
      <c r="HD144" s="66" t="str">
        <f>IFERROR(HD118/GW118-1,"NM")</f>
        <v>NM</v>
      </c>
      <c r="HF144" s="65" t="s">
        <v>143</v>
      </c>
      <c r="HG144" s="66" t="str">
        <f>IFERROR(HG118/GZ118-1,"NM")</f>
        <v>NM</v>
      </c>
      <c r="HH144" s="66" t="str">
        <f>IFERROR(HH118/HA118-1,"NM")</f>
        <v>NM</v>
      </c>
      <c r="HI144" s="66" t="str">
        <f>IFERROR(HI118/HB118-1,"NM")</f>
        <v>NM</v>
      </c>
      <c r="HJ144" s="66" t="str">
        <f>IFERROR(HJ118/HC118-1,"NM")</f>
        <v>NM</v>
      </c>
      <c r="HK144" s="66" t="str">
        <f>IFERROR(HK118/HD118-1,"NM")</f>
        <v>NM</v>
      </c>
      <c r="HM144" s="65" t="s">
        <v>143</v>
      </c>
      <c r="HN144" s="66">
        <f>IFERROR(HN118/HG118-1,"NM")</f>
        <v>2.9325513196480912E-2</v>
      </c>
      <c r="HO144" s="66">
        <f>IFERROR(HO118/HH118-1,"NM")</f>
        <v>5.2450980392156898E-2</v>
      </c>
      <c r="HP144" s="66">
        <f>IFERROR(HP118/HI118-1,"NM")</f>
        <v>8.935219657483251E-2</v>
      </c>
      <c r="HQ144" s="66">
        <f>IFERROR(HQ118/HJ118-1,"NM")</f>
        <v>3.462837837837851E-2</v>
      </c>
      <c r="HR144" s="66">
        <f>IFERROR(HR118/HK118-1,"NM")</f>
        <v>5.355392707818174E-2</v>
      </c>
      <c r="HT144" s="65" t="s">
        <v>143</v>
      </c>
      <c r="HU144" s="66">
        <f>IFERROR(HU118/HN118-1,"NM")</f>
        <v>0.1235781762097552</v>
      </c>
      <c r="HV144" s="66">
        <f>IFERROR(HV118/HO118-1,"NM")</f>
        <v>8.2174462705436158E-2</v>
      </c>
      <c r="HW144" s="66">
        <f>IFERROR(HW118/HP118-1,"NM")</f>
        <v>-2.6078710289236584E-2</v>
      </c>
      <c r="HX144" s="66">
        <f>IFERROR(HX118/HQ118-1,"NM")</f>
        <v>6.2249827467218743E-2</v>
      </c>
      <c r="HY144" s="66">
        <f>IFERROR(HY118/HR118-1,"NM")</f>
        <v>5.6431135627353024E-2</v>
      </c>
      <c r="IA144" s="65" t="s">
        <v>143</v>
      </c>
      <c r="IB144" s="66">
        <f>IFERROR(IB118/HU118-1,"NM")</f>
        <v>1.7857142857142794E-2</v>
      </c>
      <c r="IC144" s="66">
        <f>IFERROR(IC118/HV118-1,"NM")</f>
        <v>3.7127128408653842E-3</v>
      </c>
      <c r="ID144" s="66">
        <f>IFERROR(ID118/HW118-1,"NM")</f>
        <v>5.3076923076923022E-2</v>
      </c>
      <c r="IE144" s="66">
        <f>IFERROR(IE118/HX118-1,"NM")</f>
        <v>5.5506993006992911E-2</v>
      </c>
      <c r="IF144" s="66">
        <f>IFERROR(IF118/HY118-1,"NM")</f>
        <v>3.1784841075794601E-2</v>
      </c>
      <c r="IH144" s="65" t="s">
        <v>143</v>
      </c>
      <c r="II144" s="66">
        <f>IFERROR(II118/IB118-1,"NM")</f>
        <v>4.536330790847054E-2</v>
      </c>
      <c r="IJ144" s="66">
        <f>IFERROR(IJ118/IC118-1,"NM")</f>
        <v>2.7472527472529595E-3</v>
      </c>
      <c r="IK144" s="66">
        <f>IFERROR(IK118/ID118-1,"NM")</f>
        <v>1.3025073266037523E-3</v>
      </c>
      <c r="IL144" s="66">
        <f>IFERROR(IL118/IE118-1,"NM")</f>
        <v>-4.8648648648648596E-2</v>
      </c>
      <c r="IM144" s="66">
        <f>IFERROR(IM118/IF118-1,"NM")</f>
        <v>-4.7393364928908222E-3</v>
      </c>
      <c r="IO144" s="65" t="s">
        <v>143</v>
      </c>
      <c r="IP144" s="66">
        <f>IFERROR(IP118/II118-1,"NM")</f>
        <v>-3.4080554036814315E-2</v>
      </c>
      <c r="IQ144" s="66">
        <f>IFERROR(IQ118/IJ118-1,"NM")</f>
        <v>-4.0853658536585513E-2</v>
      </c>
      <c r="IR144" s="66">
        <f>IFERROR(IR118/IK118-1,"NM")</f>
        <v>-3.0464442575460327E-2</v>
      </c>
      <c r="IS144" s="66">
        <f>IFERROR(IS118/IL118-1,"NM")</f>
        <v>-4.281135531135527E-2</v>
      </c>
      <c r="IT144" s="66">
        <f>IFERROR(IT118/IM118-1,"NM")</f>
        <v>-3.5714285714285809E-2</v>
      </c>
      <c r="IV144" s="65" t="s">
        <v>143</v>
      </c>
      <c r="IW144" s="66">
        <f>IFERROR(IW118/IP118-1,"NM")</f>
        <v>-4.3793103448275916E-2</v>
      </c>
      <c r="IX144" s="66">
        <f>IFERROR(IX118/IQ118-1,"NM")</f>
        <v>-7.1112819527194837E-3</v>
      </c>
      <c r="IY144" s="66">
        <f>IFERROR(IY118/IR118-1,"NM")</f>
        <v>1.1627906976744207E-2</v>
      </c>
      <c r="IZ144" s="66">
        <f>IFERROR(IZ118/IS118-1,"NM")</f>
        <v>1.8141592920353888E-2</v>
      </c>
      <c r="JA144" s="66">
        <f>IFERROR(JA118/IT118-1,"NM")</f>
        <v>-4.3010752688170673E-3</v>
      </c>
      <c r="JC144" s="65" t="s">
        <v>143</v>
      </c>
      <c r="JD144" s="66">
        <f>IFERROR(JD118/IW118-1,"NM")</f>
        <v>4.8632218844986141E-3</v>
      </c>
      <c r="JE144" s="66">
        <f>IFERROR(JE118/IX118-1,"NM")</f>
        <v>0.3039564084340205</v>
      </c>
      <c r="JF144" s="66">
        <f>IFERROR(JF118/IY118-1,"NM")</f>
        <v>0.29000000000000004</v>
      </c>
      <c r="JG144" s="66">
        <f>IFERROR(JG118/IZ118-1,"NM")</f>
        <v>0.93117616846430407</v>
      </c>
      <c r="JH144" s="66">
        <f>IFERROR(JH118/JA118-1,"NM")</f>
        <v>0.37921550545619276</v>
      </c>
      <c r="JJ144" s="65" t="s">
        <v>143</v>
      </c>
      <c r="JK144" s="66">
        <f>IFERROR(JK118/JD118-1,"NM")</f>
        <v>6.0606060606060552E-2</v>
      </c>
      <c r="JL144" s="66">
        <f>IFERROR(JL118/JE118-1,"NM")</f>
        <v>1.0013204225352013E-2</v>
      </c>
      <c r="JM144" s="66">
        <f>IFERROR(JM118/JF118-1,"NM")</f>
        <v>-1.2612612612612706E-2</v>
      </c>
      <c r="JN144" s="66">
        <f>IFERROR(JN118/JG118-1,"NM")</f>
        <v>-0.37481783736519958</v>
      </c>
      <c r="JO144" s="66">
        <f>IFERROR(JO118/JH118-1,"NM")</f>
        <v>-0.11455825864276581</v>
      </c>
      <c r="JQ144" s="65" t="s">
        <v>143</v>
      </c>
      <c r="JR144" s="66">
        <f>IFERROR(JR118/JK118-1,"NM")</f>
        <v>3.203661327231111E-2</v>
      </c>
      <c r="JS144" s="66">
        <f>IFERROR(JS118/JL118-1,"NM")</f>
        <v>-0.15352798053527983</v>
      </c>
      <c r="JT144" s="66">
        <f>IFERROR(JT118/JM118-1,"NM")</f>
        <v>7.2892710728927224E-2</v>
      </c>
      <c r="JU144" s="66">
        <f>IFERROR(JU118/JN118-1,"NM")</f>
        <v>9.1440953412784465E-2</v>
      </c>
      <c r="JV144" s="66">
        <f>IFERROR(JV118/JO118-1,"NM")</f>
        <v>6.2438676300069496E-4</v>
      </c>
      <c r="JX144" s="65" t="s">
        <v>143</v>
      </c>
      <c r="JY144" s="66">
        <f>IFERROR(JY118/JR118-1,"NM")</f>
        <v>-3.7244561634805384E-2</v>
      </c>
      <c r="JZ144" s="66">
        <f>IFERROR(JZ118/JS118-1,"NM")</f>
        <v>-1.1556429800835932E-2</v>
      </c>
      <c r="KA144" s="66">
        <f t="shared" ref="KA144:KC147" si="1007">KA118/JT118-1</f>
        <v>-0.1570168404170007</v>
      </c>
      <c r="KB144" s="66">
        <f t="shared" si="1007"/>
        <v>-0.1227238944630249</v>
      </c>
      <c r="KC144" s="66">
        <f t="shared" si="1007"/>
        <v>-8.1678524953102127E-2</v>
      </c>
      <c r="KE144" s="65" t="s">
        <v>143</v>
      </c>
      <c r="KF144" s="66">
        <f t="shared" si="914"/>
        <v>8.7084263720766275E-2</v>
      </c>
      <c r="KG144" s="66">
        <f t="shared" si="914"/>
        <v>8.2175330245325195E-2</v>
      </c>
      <c r="KH144" s="66">
        <f t="shared" si="914"/>
        <v>7.4999999999999956E-2</v>
      </c>
      <c r="KI144" s="66">
        <f t="shared" si="914"/>
        <v>7.1567808409913614E-2</v>
      </c>
      <c r="KJ144" s="66">
        <f t="shared" si="914"/>
        <v>7.764941378324286E-2</v>
      </c>
      <c r="KL144" s="65" t="s">
        <v>143</v>
      </c>
      <c r="KM144" s="66">
        <f t="shared" si="915"/>
        <v>7.2000000000000064E-2</v>
      </c>
      <c r="KN144" s="66">
        <f t="shared" si="915"/>
        <v>8.1140350877192846E-2</v>
      </c>
      <c r="KO144" s="66">
        <f t="shared" si="915"/>
        <v>9.8901098901098994E-2</v>
      </c>
      <c r="KP144" s="66">
        <f t="shared" si="915"/>
        <v>6.8532818532818673E-2</v>
      </c>
      <c r="KQ144" s="66">
        <f t="shared" si="915"/>
        <v>8.1038727321440129E-2</v>
      </c>
      <c r="KS144" s="65" t="s">
        <v>143</v>
      </c>
      <c r="KT144" s="66">
        <f t="shared" si="916"/>
        <v>4.2168674698795261E-2</v>
      </c>
      <c r="KU144" s="66">
        <f t="shared" si="916"/>
        <v>6.4396284829721484E-2</v>
      </c>
      <c r="KV144" s="66">
        <f t="shared" si="916"/>
        <v>1.1111111111111072E-2</v>
      </c>
      <c r="KW144" s="66">
        <f t="shared" si="916"/>
        <v>7.8622668579627186E-2</v>
      </c>
      <c r="KX144" s="66">
        <f t="shared" si="916"/>
        <v>4.8636463975819888E-2</v>
      </c>
      <c r="KZ144" s="65" t="s">
        <v>143</v>
      </c>
      <c r="LA144" s="66">
        <f t="shared" si="917"/>
        <v>4.3497109826589497E-2</v>
      </c>
      <c r="LB144" s="66">
        <f t="shared" si="917"/>
        <v>6.1413612565444975E-2</v>
      </c>
      <c r="LC144" s="112">
        <f t="shared" ref="LC144" si="1008">LC118/KV118-1</f>
        <v>5.2000000000000046E-2</v>
      </c>
      <c r="LD144" s="112">
        <f t="shared" ref="LD144" si="1009">LD118/KW118-1</f>
        <v>2.0000000000000018E-2</v>
      </c>
      <c r="LE144" s="112">
        <f t="shared" ref="LE144" si="1010">LE118/KX118-1</f>
        <v>4.4453598273705319E-2</v>
      </c>
      <c r="LF144" s="566"/>
      <c r="LG144" s="65" t="s">
        <v>143</v>
      </c>
      <c r="LH144" s="112">
        <f t="shared" ref="LH144" si="1011">LH118/LA118-1</f>
        <v>5.3333333333333233E-2</v>
      </c>
      <c r="LI144" s="112">
        <f t="shared" ref="LI144" si="1012">LI118/LB118-1</f>
        <v>3.1865042174320513E-2</v>
      </c>
      <c r="LJ144" s="112">
        <f t="shared" ref="LJ144" si="1013">LJ118/LC118-1</f>
        <v>3.2794676806083611E-2</v>
      </c>
      <c r="LK144" s="112">
        <f t="shared" ref="LK144" si="1014">LK118/LD118-1</f>
        <v>3.6312849162011274E-2</v>
      </c>
      <c r="LL144" s="112">
        <f t="shared" ref="LL144" si="1015">LL118/LE118-1</f>
        <v>3.7485319516407545E-2</v>
      </c>
      <c r="LM144" s="566"/>
      <c r="LN144" s="65" t="s">
        <v>143</v>
      </c>
      <c r="LO144" s="112">
        <f t="shared" ref="LO144" si="1016">LO118/LH118-1</f>
        <v>3.7563056318340005E-2</v>
      </c>
      <c r="LP144" s="112">
        <f t="shared" ref="LP144" si="1017">LP118/LI118-1</f>
        <v>3.7509518435949074E-2</v>
      </c>
      <c r="LQ144" s="112">
        <f t="shared" ref="LQ144" si="1018">LQ118/LJ118-1</f>
        <v>3.5036638465078207E-2</v>
      </c>
      <c r="LR144" s="112">
        <f t="shared" ref="LR144" si="1019">LR118/LK118-1</f>
        <v>3.4910007825406097E-2</v>
      </c>
      <c r="LS144" s="112">
        <f t="shared" ref="LS144" si="1020">LS118/LL118-1</f>
        <v>3.641210335652878E-2</v>
      </c>
      <c r="LT144" s="566"/>
      <c r="LU144" s="65" t="s">
        <v>143</v>
      </c>
      <c r="LV144" s="112">
        <f t="shared" si="931"/>
        <v>3.2499999999999973E-2</v>
      </c>
      <c r="LW144" s="112">
        <f t="shared" si="932"/>
        <v>2.2499999999999964E-2</v>
      </c>
      <c r="LX144" s="112">
        <f t="shared" si="933"/>
        <v>2.750000000000008E-2</v>
      </c>
      <c r="LY144" s="112">
        <f t="shared" si="934"/>
        <v>2.750000000000008E-2</v>
      </c>
      <c r="LZ144" s="112">
        <f t="shared" si="935"/>
        <v>2.7289365689725731E-2</v>
      </c>
      <c r="MA144" s="566"/>
      <c r="MB144" s="65" t="s">
        <v>143</v>
      </c>
      <c r="MC144" s="112">
        <f t="shared" si="936"/>
        <v>2.4999999999999911E-2</v>
      </c>
      <c r="MD144" s="112">
        <f t="shared" si="937"/>
        <v>2.4999999999999911E-2</v>
      </c>
      <c r="ME144" s="112">
        <f t="shared" si="938"/>
        <v>2.4999999999999911E-2</v>
      </c>
      <c r="MF144" s="112">
        <f t="shared" si="939"/>
        <v>2.4999999999999911E-2</v>
      </c>
      <c r="MG144" s="112">
        <f t="shared" si="940"/>
        <v>2.4999999999999689E-2</v>
      </c>
      <c r="MH144" s="566"/>
    </row>
    <row r="145" spans="1:346" s="37" customFormat="1" ht="13.15" x14ac:dyDescent="0.4">
      <c r="A145" s="100"/>
      <c r="B145" s="65" t="s">
        <v>144</v>
      </c>
      <c r="C145" s="66"/>
      <c r="D145" s="66"/>
      <c r="E145" s="66"/>
      <c r="F145" s="66"/>
      <c r="G145" s="66"/>
      <c r="H145" s="66"/>
      <c r="I145" s="66"/>
      <c r="J145" s="66"/>
      <c r="K145" s="66"/>
      <c r="L145" s="66"/>
      <c r="M145" s="66"/>
      <c r="N145" s="66">
        <f t="shared" si="941"/>
        <v>0</v>
      </c>
      <c r="O145" s="66">
        <f t="shared" si="942"/>
        <v>4.764675929293638E-3</v>
      </c>
      <c r="P145" s="66">
        <f t="shared" si="943"/>
        <v>7.0192591918870395E-2</v>
      </c>
      <c r="Q145" s="66">
        <f t="shared" si="944"/>
        <v>-4.1005870498554309E-2</v>
      </c>
      <c r="R145" s="66">
        <f t="shared" si="945"/>
        <v>-3.2452431289640593E-2</v>
      </c>
      <c r="S145" s="66">
        <f t="shared" si="946"/>
        <v>3.6276002029426602E-2</v>
      </c>
      <c r="T145" s="66">
        <f t="shared" si="947"/>
        <v>-9.4771813254065362E-3</v>
      </c>
      <c r="U145" s="66">
        <f t="shared" si="948"/>
        <v>8.2908432270150323E-2</v>
      </c>
      <c r="V145" s="66">
        <f t="shared" si="949"/>
        <v>-5.0872981230903669E-2</v>
      </c>
      <c r="W145" s="66">
        <f t="shared" si="950"/>
        <v>7.9244454206018222E-2</v>
      </c>
      <c r="X145" s="66">
        <f t="shared" si="951"/>
        <v>5.5471169589489389E-2</v>
      </c>
      <c r="Y145" s="66">
        <f t="shared" si="952"/>
        <v>4.8314331539817124E-2</v>
      </c>
      <c r="Z145" s="66">
        <f t="shared" si="953"/>
        <v>4.3532846040682749E-2</v>
      </c>
      <c r="AA145" s="66">
        <f t="shared" si="954"/>
        <v>1.51898734177216E-2</v>
      </c>
      <c r="AB145" s="66">
        <f t="shared" si="955"/>
        <v>-5.610972568578565E-3</v>
      </c>
      <c r="AC145" s="66">
        <f t="shared" si="956"/>
        <v>7.5789473684210407E-2</v>
      </c>
      <c r="AD145" s="66">
        <f t="shared" si="957"/>
        <v>0.17416829745596885</v>
      </c>
      <c r="AE145" s="66">
        <f t="shared" si="958"/>
        <v>0.17097069597069603</v>
      </c>
      <c r="AF145" s="66">
        <f t="shared" si="959"/>
        <v>0.16856622648222164</v>
      </c>
      <c r="AG145" s="66">
        <f t="shared" si="960"/>
        <v>3.2811176149706522E-2</v>
      </c>
      <c r="AH145" s="66">
        <f t="shared" si="961"/>
        <v>-0.10596409574468091</v>
      </c>
      <c r="AI145" s="66">
        <f t="shared" si="962"/>
        <v>7.2640448858772411E-2</v>
      </c>
      <c r="AJ145" s="66">
        <f t="shared" si="963"/>
        <v>8.0979680696661838E-2</v>
      </c>
      <c r="AK145" s="66">
        <f t="shared" si="964"/>
        <v>4.3766553569988709E-2</v>
      </c>
      <c r="AL145" s="66">
        <f t="shared" si="965"/>
        <v>-1.3490304003261788E-2</v>
      </c>
      <c r="AM145" s="66">
        <f t="shared" si="966"/>
        <v>4.5153027715749472E-2</v>
      </c>
      <c r="AN145" s="66">
        <f t="shared" si="967"/>
        <v>2.2635204430466294E-2</v>
      </c>
      <c r="AO145" s="66">
        <f t="shared" si="968"/>
        <v>8.0959660562193836E-2</v>
      </c>
      <c r="AP145" s="66">
        <f t="shared" si="969"/>
        <v>-2.1025443989072246E-3</v>
      </c>
      <c r="AQ145" s="66">
        <f t="shared" si="970"/>
        <v>4.8817001507716951E-2</v>
      </c>
      <c r="AR145" s="66">
        <f t="shared" si="971"/>
        <v>3.8812450186668679E-2</v>
      </c>
      <c r="AS145" s="66">
        <f t="shared" si="972"/>
        <v>-5.6039878649809749E-2</v>
      </c>
      <c r="AT145" s="66">
        <f t="shared" si="973"/>
        <v>1.7483620804920275E-2</v>
      </c>
      <c r="AU145" s="66">
        <f t="shared" si="974"/>
        <v>7.91598441646435E-2</v>
      </c>
      <c r="AV145" s="66">
        <f t="shared" si="975"/>
        <v>4.1194631557460504E-2</v>
      </c>
      <c r="AW145" s="66">
        <f t="shared" si="976"/>
        <v>4.1211608261853439E-2</v>
      </c>
      <c r="AX145" s="66">
        <f t="shared" si="977"/>
        <v>-2.45974074927231E-2</v>
      </c>
      <c r="AY145" s="66">
        <f t="shared" si="978"/>
        <v>3.387778031081945E-2</v>
      </c>
      <c r="AZ145" s="66">
        <f t="shared" si="979"/>
        <v>2.7500000000000302E-2</v>
      </c>
      <c r="BA145" s="66">
        <f t="shared" si="980"/>
        <v>2.4999999999999689E-2</v>
      </c>
      <c r="BB145" s="66"/>
      <c r="BC145" s="66"/>
      <c r="BD145" s="66"/>
      <c r="BE145" s="66"/>
      <c r="BF145" s="66"/>
      <c r="BG145" s="66"/>
      <c r="BH145" s="66"/>
      <c r="BI145" s="66"/>
      <c r="BJ145" s="66"/>
      <c r="BK145" s="66"/>
      <c r="BL145" s="66"/>
      <c r="BM145" s="66"/>
      <c r="BO145" s="65" t="s">
        <v>144</v>
      </c>
      <c r="BP145" s="66"/>
      <c r="BQ145" s="66"/>
      <c r="BR145" s="66"/>
      <c r="BS145" s="66"/>
      <c r="BT145" s="66"/>
      <c r="BV145" s="65" t="s">
        <v>144</v>
      </c>
      <c r="BW145" s="66">
        <f t="shared" ref="BW145:CA147" si="1021">BW119/BP119-1</f>
        <v>0</v>
      </c>
      <c r="BX145" s="66">
        <f t="shared" si="1021"/>
        <v>3.8938492063492092E-2</v>
      </c>
      <c r="BY145" s="66">
        <f t="shared" si="1021"/>
        <v>-9.4086021505376261E-3</v>
      </c>
      <c r="BZ145" s="66">
        <f t="shared" si="1021"/>
        <v>-1.7857142857142794E-2</v>
      </c>
      <c r="CA145" s="66">
        <f t="shared" si="1021"/>
        <v>4.764675929293638E-3</v>
      </c>
      <c r="CC145" s="65" t="s">
        <v>144</v>
      </c>
      <c r="CD145" s="66">
        <f t="shared" ref="CD145:CH147" si="1022">CD119/BW119-1</f>
        <v>9.0909090909090828E-2</v>
      </c>
      <c r="CE145" s="66">
        <f t="shared" si="1022"/>
        <v>6.2608094085091714E-2</v>
      </c>
      <c r="CF145" s="66">
        <f t="shared" si="1022"/>
        <v>0.10677685950413207</v>
      </c>
      <c r="CG145" s="66">
        <f t="shared" si="1022"/>
        <v>1.9607843137254832E-2</v>
      </c>
      <c r="CH145" s="66">
        <f t="shared" si="1022"/>
        <v>7.0192591918870395E-2</v>
      </c>
      <c r="CJ145" s="65" t="s">
        <v>144</v>
      </c>
      <c r="CK145" s="66">
        <f t="shared" ref="CK145:CO147" si="1023">CK119/CD119-1</f>
        <v>-4.5138888888888729E-2</v>
      </c>
      <c r="CL145" s="66">
        <f t="shared" si="1023"/>
        <v>-2.856182795698925E-2</v>
      </c>
      <c r="CM145" s="66">
        <f t="shared" si="1023"/>
        <v>-3.4163473818646151E-2</v>
      </c>
      <c r="CN145" s="66">
        <f t="shared" si="1023"/>
        <v>-5.3050397877983935E-2</v>
      </c>
      <c r="CO145" s="66">
        <f t="shared" si="1023"/>
        <v>-4.1005870498554309E-2</v>
      </c>
      <c r="CQ145" s="65" t="s">
        <v>144</v>
      </c>
      <c r="CR145" s="66">
        <f t="shared" ref="CR145:CV147" si="1024">CR119/CK119-1</f>
        <v>-4.0000000000000036E-2</v>
      </c>
      <c r="CS145" s="66">
        <f t="shared" si="1024"/>
        <v>-2.6420737786640114E-2</v>
      </c>
      <c r="CT145" s="66">
        <f t="shared" si="1024"/>
        <v>-8.3003952569170036E-2</v>
      </c>
      <c r="CU145" s="66">
        <f t="shared" si="1024"/>
        <v>1.978021978021971E-2</v>
      </c>
      <c r="CV145" s="66">
        <f t="shared" si="1024"/>
        <v>-3.2452431289640593E-2</v>
      </c>
      <c r="CX145" s="65" t="s">
        <v>144</v>
      </c>
      <c r="CY145" s="66">
        <f t="shared" ref="CY145:DC147" si="1025">CY119/CR119-1</f>
        <v>2.9411764705882248E-2</v>
      </c>
      <c r="CZ145" s="66">
        <f t="shared" si="1025"/>
        <v>5.0582010582010506E-2</v>
      </c>
      <c r="DA145" s="66">
        <f t="shared" si="1025"/>
        <v>7.5324675324675239E-2</v>
      </c>
      <c r="DB145" s="66">
        <f t="shared" si="1025"/>
        <v>-1.258680555555558E-2</v>
      </c>
      <c r="DC145" s="66">
        <f t="shared" si="1025"/>
        <v>3.6276002029426602E-2</v>
      </c>
      <c r="DE145" s="65" t="s">
        <v>144</v>
      </c>
      <c r="DF145" s="66">
        <f t="shared" ref="DF145:DJ147" si="1026">DF119/CY119-1</f>
        <v>-2.857142857142847E-2</v>
      </c>
      <c r="DG145" s="66">
        <f t="shared" si="1026"/>
        <v>-3.6022323693556624E-2</v>
      </c>
      <c r="DH145" s="66">
        <f t="shared" si="1026"/>
        <v>2.7229532163742576E-2</v>
      </c>
      <c r="DI145" s="66">
        <f t="shared" si="1026"/>
        <v>-8.1632653061214366E-4</v>
      </c>
      <c r="DJ145" s="66">
        <f t="shared" si="1026"/>
        <v>-9.4771813254065362E-3</v>
      </c>
      <c r="DL145" s="65" t="s">
        <v>144</v>
      </c>
      <c r="DM145" s="66">
        <f t="shared" ref="DM145:DQ147" si="1027">DM119/DF119-1</f>
        <v>7.6923076923076872E-2</v>
      </c>
      <c r="DN145" s="66">
        <f t="shared" si="1027"/>
        <v>9.5811712379540337E-2</v>
      </c>
      <c r="DO145" s="66">
        <f t="shared" si="1027"/>
        <v>7.0841487279843296E-2</v>
      </c>
      <c r="DP145" s="66">
        <f t="shared" si="1027"/>
        <v>8.7406793703396879E-2</v>
      </c>
      <c r="DQ145" s="66">
        <f t="shared" si="1027"/>
        <v>8.2908432270150323E-2</v>
      </c>
      <c r="DS145" s="65" t="s">
        <v>144</v>
      </c>
      <c r="DT145" s="66">
        <f t="shared" ref="DT145:DX147" si="1028">DT119/DM119-1</f>
        <v>-1.9114688128772706E-2</v>
      </c>
      <c r="DU145" s="66">
        <f t="shared" si="1028"/>
        <v>-3.9258269295021631E-2</v>
      </c>
      <c r="DV145" s="66">
        <f t="shared" si="1028"/>
        <v>-3.9930555555555469E-2</v>
      </c>
      <c r="DW145" s="66">
        <f t="shared" si="1028"/>
        <v>-9.8955823293172762E-2</v>
      </c>
      <c r="DX145" s="66">
        <f t="shared" si="1028"/>
        <v>-5.0872981230903669E-2</v>
      </c>
      <c r="DZ145" s="65" t="s">
        <v>144</v>
      </c>
      <c r="EA145" s="66">
        <f t="shared" ref="EA145:EE147" si="1029">EA119/DT119-1</f>
        <v>-1.5466666666666629E-2</v>
      </c>
      <c r="EB145" s="66">
        <f t="shared" si="1029"/>
        <v>7.0952178231875607E-4</v>
      </c>
      <c r="EC145" s="66">
        <f t="shared" si="1029"/>
        <v>0.16609129267357114</v>
      </c>
      <c r="ED145" s="66">
        <f t="shared" si="1029"/>
        <v>0.20314414046549634</v>
      </c>
      <c r="EE145" s="66">
        <f t="shared" si="1029"/>
        <v>7.9244454206018222E-2</v>
      </c>
      <c r="EG145" s="65" t="s">
        <v>144</v>
      </c>
      <c r="EH145" s="66">
        <f t="shared" ref="EH145:EL147" si="1030">EH119/EA119-1</f>
        <v>2.2395326192794496E-2</v>
      </c>
      <c r="EI145" s="66">
        <f t="shared" si="1030"/>
        <v>0.14132379248658311</v>
      </c>
      <c r="EJ145" s="66">
        <f t="shared" si="1030"/>
        <v>2.1671826625387025E-2</v>
      </c>
      <c r="EK145" s="66">
        <f t="shared" si="1030"/>
        <v>8.3836351441983759E-3</v>
      </c>
      <c r="EL145" s="66">
        <f t="shared" si="1030"/>
        <v>5.5471169589489389E-2</v>
      </c>
      <c r="EN145" s="65" t="s">
        <v>144</v>
      </c>
      <c r="EO145" s="66">
        <f t="shared" ref="EO145:ES147" si="1031">EO119/EH119-1</f>
        <v>8.5164835164835306E-2</v>
      </c>
      <c r="EP145" s="66">
        <f t="shared" si="1031"/>
        <v>5.5669050051072588E-2</v>
      </c>
      <c r="EQ145" s="66">
        <f t="shared" si="1031"/>
        <v>1.1904761904761862E-2</v>
      </c>
      <c r="ER145" s="66">
        <f t="shared" si="1031"/>
        <v>5.2329374918439475E-2</v>
      </c>
      <c r="ES145" s="66">
        <f t="shared" si="1031"/>
        <v>4.8314331539817124E-2</v>
      </c>
      <c r="EU145" s="65" t="s">
        <v>144</v>
      </c>
      <c r="EV145" s="66">
        <f t="shared" ref="EV145:EZ147" si="1032">EV119/EO119-1</f>
        <v>5.9259259259259345E-2</v>
      </c>
      <c r="EW145" s="66">
        <f t="shared" si="1032"/>
        <v>4.1941350306887948E-2</v>
      </c>
      <c r="EX145" s="66">
        <f t="shared" si="1032"/>
        <v>5.7777777777777928E-2</v>
      </c>
      <c r="EY145" s="66">
        <f t="shared" si="1032"/>
        <v>1.1965090090090058E-2</v>
      </c>
      <c r="EZ145" s="66">
        <f t="shared" si="1032"/>
        <v>4.3532846040682749E-2</v>
      </c>
      <c r="FB145" s="65" t="s">
        <v>144</v>
      </c>
      <c r="FC145" s="66">
        <f t="shared" ref="FC145:FG147" si="1033">FC119/EV119-1</f>
        <v>4.1322314049586639E-2</v>
      </c>
      <c r="FD145" s="66">
        <f t="shared" si="1033"/>
        <v>7.2815533980581382E-3</v>
      </c>
      <c r="FE145" s="66">
        <f t="shared" si="1033"/>
        <v>-4.9610205527994555E-3</v>
      </c>
      <c r="FF145" s="66">
        <f t="shared" si="1033"/>
        <v>1.9056892474613951E-2</v>
      </c>
      <c r="FG145" s="66">
        <f t="shared" si="1033"/>
        <v>1.51898734177216E-2</v>
      </c>
      <c r="FI145" s="65" t="s">
        <v>144</v>
      </c>
      <c r="FJ145" s="66">
        <f t="shared" ref="FJ145:FN147" si="1034">FJ119/FC119-1</f>
        <v>-1.7857142857142905E-2</v>
      </c>
      <c r="FK145" s="66">
        <f t="shared" si="1034"/>
        <v>-6.8965517241378338E-3</v>
      </c>
      <c r="FL145" s="66">
        <f t="shared" si="1034"/>
        <v>4.6380090497737392E-3</v>
      </c>
      <c r="FM145" s="66">
        <f t="shared" si="1034"/>
        <v>-2.525252525252486E-3</v>
      </c>
      <c r="FN145" s="66">
        <f t="shared" si="1034"/>
        <v>-5.610972568578565E-3</v>
      </c>
      <c r="FP145" s="65" t="s">
        <v>144</v>
      </c>
      <c r="FQ145" s="66">
        <f t="shared" ref="FQ145:FU147" si="1035">FQ119/FJ119-1</f>
        <v>1.276595744680864E-2</v>
      </c>
      <c r="FR145" s="66">
        <f t="shared" si="1035"/>
        <v>5.9941520467836185E-2</v>
      </c>
      <c r="FS145" s="66">
        <f t="shared" si="1035"/>
        <v>7.8701426463354762E-2</v>
      </c>
      <c r="FT145" s="66">
        <f t="shared" si="1035"/>
        <v>0.14999999999999991</v>
      </c>
      <c r="FU145" s="66">
        <f t="shared" si="1035"/>
        <v>7.5789473684210407E-2</v>
      </c>
      <c r="FW145" s="65" t="s">
        <v>144</v>
      </c>
      <c r="FX145" s="66">
        <f t="shared" ref="FX145:GB147" si="1036">FX119/FQ119-1</f>
        <v>0.17213336947682301</v>
      </c>
      <c r="FY145" s="66">
        <f t="shared" si="1036"/>
        <v>0.15652173913043477</v>
      </c>
      <c r="FZ145" s="66">
        <f t="shared" si="1036"/>
        <v>0.18833685694150804</v>
      </c>
      <c r="GA145" s="66">
        <f t="shared" si="1036"/>
        <v>0.18577075098814233</v>
      </c>
      <c r="GB145" s="66">
        <f t="shared" si="1036"/>
        <v>0.17416829745596885</v>
      </c>
      <c r="GD145" s="65" t="s">
        <v>144</v>
      </c>
      <c r="GE145" s="66">
        <f t="shared" ref="GE145:GI147" si="1037">GE119/FX119-1</f>
        <v>0.17576318223866783</v>
      </c>
      <c r="GF145" s="66">
        <f t="shared" si="1037"/>
        <v>0.19669172932330836</v>
      </c>
      <c r="GG145" s="66">
        <f t="shared" si="1037"/>
        <v>0.19857607181550851</v>
      </c>
      <c r="GH145" s="66">
        <f t="shared" si="1037"/>
        <v>0.11746031746031749</v>
      </c>
      <c r="GI145" s="66">
        <f t="shared" si="1037"/>
        <v>0.17097069597069603</v>
      </c>
      <c r="GK145" s="65" t="s">
        <v>144</v>
      </c>
      <c r="GL145" s="66">
        <f t="shared" ref="GL145:GP147" si="1038">GL119/GE119-1</f>
        <v>8.4710201940729091E-2</v>
      </c>
      <c r="GM145" s="66">
        <f t="shared" si="1038"/>
        <v>6.3214856721190538E-2</v>
      </c>
      <c r="GN145" s="66">
        <f t="shared" si="1038"/>
        <v>0.42913687436159353</v>
      </c>
      <c r="GO145" s="66">
        <f t="shared" si="1038"/>
        <v>8.3227848101265822E-2</v>
      </c>
      <c r="GP145" s="66">
        <f t="shared" si="1038"/>
        <v>0.16856622648222164</v>
      </c>
      <c r="GR145" s="65" t="s">
        <v>144</v>
      </c>
      <c r="GS145" s="66">
        <f t="shared" ref="GS145:GW147" si="1039">GS119/GL119-1</f>
        <v>0.13148468379446632</v>
      </c>
      <c r="GT145" s="66">
        <f t="shared" si="1039"/>
        <v>0.13518772893772879</v>
      </c>
      <c r="GU145" s="66">
        <f t="shared" si="1039"/>
        <v>-0.15451572993990814</v>
      </c>
      <c r="GV145" s="66">
        <f t="shared" si="1039"/>
        <v>9.6867936712948133E-2</v>
      </c>
      <c r="GW145" s="66">
        <f t="shared" si="1039"/>
        <v>3.2811176149706522E-2</v>
      </c>
      <c r="GY145" s="65" t="s">
        <v>144</v>
      </c>
      <c r="GZ145" s="66">
        <f t="shared" ref="GZ145:HD147" si="1040">GZ119/GS119-1</f>
        <v>-5.6260575296108284E-2</v>
      </c>
      <c r="HA145" s="66">
        <f t="shared" si="1040"/>
        <v>-0.1203791469194313</v>
      </c>
      <c r="HB145" s="66">
        <f t="shared" si="1040"/>
        <v>-0.13640591966173365</v>
      </c>
      <c r="HC145" s="66">
        <f t="shared" si="1040"/>
        <v>-0.11627906976744184</v>
      </c>
      <c r="HD145" s="66">
        <f t="shared" si="1040"/>
        <v>-0.10596409574468091</v>
      </c>
      <c r="HF145" s="65" t="s">
        <v>144</v>
      </c>
      <c r="HG145" s="66">
        <f t="shared" ref="HG145:HK147" si="1041">HG119/GZ119-1</f>
        <v>3.8364035828967413E-2</v>
      </c>
      <c r="HH145" s="66">
        <f t="shared" si="1041"/>
        <v>0.11405835543766574</v>
      </c>
      <c r="HI145" s="66">
        <f t="shared" si="1041"/>
        <v>8.6612928718192039E-2</v>
      </c>
      <c r="HJ145" s="66">
        <f t="shared" si="1041"/>
        <v>5.8333333333333348E-2</v>
      </c>
      <c r="HK145" s="66">
        <f t="shared" si="1041"/>
        <v>7.2640448858772411E-2</v>
      </c>
      <c r="HM145" s="65" t="s">
        <v>144</v>
      </c>
      <c r="HN145" s="66">
        <f t="shared" ref="HN145:HR147" si="1042">HN119/HG119-1</f>
        <v>5.2705223880596952E-2</v>
      </c>
      <c r="HO145" s="66">
        <f t="shared" si="1042"/>
        <v>7.8781512605041959E-2</v>
      </c>
      <c r="HP145" s="66">
        <f t="shared" si="1042"/>
        <v>7.0909090909090811E-2</v>
      </c>
      <c r="HQ145" s="66">
        <f t="shared" si="1042"/>
        <v>0.12204724409448819</v>
      </c>
      <c r="HR145" s="66">
        <f t="shared" si="1042"/>
        <v>8.0979680696661838E-2</v>
      </c>
      <c r="HT145" s="65" t="s">
        <v>144</v>
      </c>
      <c r="HU145" s="66">
        <f t="shared" ref="HU145:HY147" si="1043">HU119/HN119-1</f>
        <v>7.5168918918918859E-2</v>
      </c>
      <c r="HV145" s="66">
        <f t="shared" si="1043"/>
        <v>4.7043264689212272E-2</v>
      </c>
      <c r="HW145" s="66">
        <f t="shared" si="1043"/>
        <v>3.125E-2</v>
      </c>
      <c r="HX145" s="66">
        <f t="shared" si="1043"/>
        <v>2.4561403508771784E-2</v>
      </c>
      <c r="HY145" s="66">
        <f t="shared" si="1043"/>
        <v>4.3766553569988709E-2</v>
      </c>
      <c r="IA145" s="65" t="s">
        <v>144</v>
      </c>
      <c r="IB145" s="66">
        <f t="shared" ref="IB145:IF147" si="1044">IB119/HU119-1</f>
        <v>-6.7476383265857587E-3</v>
      </c>
      <c r="IC145" s="66">
        <f t="shared" si="1044"/>
        <v>-1.0251856635453582E-2</v>
      </c>
      <c r="ID145" s="66">
        <f t="shared" si="1044"/>
        <v>-2.4516129032258083E-2</v>
      </c>
      <c r="IE145" s="66">
        <f t="shared" si="1044"/>
        <v>-1.3698630136986134E-2</v>
      </c>
      <c r="IF145" s="66">
        <f t="shared" si="1044"/>
        <v>-1.3490304003261788E-2</v>
      </c>
      <c r="IH145" s="65" t="s">
        <v>144</v>
      </c>
      <c r="II145" s="66">
        <f t="shared" ref="II145:IM147" si="1045">II119/IB119-1</f>
        <v>3.2608695652173836E-2</v>
      </c>
      <c r="IJ145" s="66">
        <f t="shared" si="1045"/>
        <v>2.6317442371710298E-2</v>
      </c>
      <c r="IK145" s="66">
        <f t="shared" si="1045"/>
        <v>8.9825457641549589E-2</v>
      </c>
      <c r="IL145" s="66">
        <f t="shared" si="1045"/>
        <v>2.8481012658227778E-2</v>
      </c>
      <c r="IM145" s="66">
        <f t="shared" si="1045"/>
        <v>4.5153027715749472E-2</v>
      </c>
      <c r="IO145" s="65" t="s">
        <v>144</v>
      </c>
      <c r="IP145" s="66">
        <f t="shared" ref="IP145:IT147" si="1046">IP119/II119-1</f>
        <v>2.6315789473684292E-2</v>
      </c>
      <c r="IQ145" s="66">
        <f t="shared" si="1046"/>
        <v>-1.8604651162790198E-3</v>
      </c>
      <c r="IR145" s="66">
        <f t="shared" si="1046"/>
        <v>2.4925595238095122E-2</v>
      </c>
      <c r="IS145" s="66">
        <f t="shared" si="1046"/>
        <v>4.7100591715976359E-2</v>
      </c>
      <c r="IT145" s="66">
        <f t="shared" si="1046"/>
        <v>2.2635204430466294E-2</v>
      </c>
      <c r="IV145" s="65" t="s">
        <v>144</v>
      </c>
      <c r="IW145" s="66">
        <f t="shared" ref="IW145:JA147" si="1047">IW119/IP119-1</f>
        <v>6.4516129032258007E-2</v>
      </c>
      <c r="IX145" s="66">
        <f t="shared" si="1047"/>
        <v>6.2047963456413946E-2</v>
      </c>
      <c r="IY145" s="66">
        <f t="shared" si="1047"/>
        <v>8.2706766917293395E-2</v>
      </c>
      <c r="IZ145" s="66">
        <f t="shared" si="1047"/>
        <v>0.11096938775510212</v>
      </c>
      <c r="JA145" s="66">
        <f t="shared" si="1047"/>
        <v>8.0959660562193836E-2</v>
      </c>
      <c r="JC145" s="65" t="s">
        <v>144</v>
      </c>
      <c r="JD145" s="66">
        <f t="shared" ref="JD145:JH147" si="1048">JD119/IW119-1</f>
        <v>1.9913419913419883E-2</v>
      </c>
      <c r="JE145" s="66">
        <f t="shared" si="1048"/>
        <v>1.412293371850426E-2</v>
      </c>
      <c r="JF145" s="66">
        <f t="shared" si="1048"/>
        <v>-2.6562500000000044E-2</v>
      </c>
      <c r="JG145" s="66">
        <f t="shared" si="1048"/>
        <v>-5.8796924468567102E-3</v>
      </c>
      <c r="JH145" s="66">
        <f t="shared" si="1048"/>
        <v>-2.1025443989072246E-3</v>
      </c>
      <c r="JJ145" s="65" t="s">
        <v>144</v>
      </c>
      <c r="JK145" s="66">
        <f t="shared" ref="JK145:JO147" si="1049">JK119/JD119-1</f>
        <v>7.0723684210526327E-2</v>
      </c>
      <c r="JL145" s="66">
        <f t="shared" si="1049"/>
        <v>8.0117244748412197E-2</v>
      </c>
      <c r="JM145" s="66">
        <f t="shared" si="1049"/>
        <v>6.8229929978830706E-2</v>
      </c>
      <c r="JN145" s="66">
        <f t="shared" si="1049"/>
        <v>-2.9887310142087231E-2</v>
      </c>
      <c r="JO145" s="66">
        <f t="shared" si="1049"/>
        <v>4.8817001507716951E-2</v>
      </c>
      <c r="JQ145" s="65" t="s">
        <v>144</v>
      </c>
      <c r="JR145" s="66">
        <f t="shared" ref="JR145:JV147" si="1050">JR119/JK119-1</f>
        <v>1.6129032258064502E-2</v>
      </c>
      <c r="JS145" s="66">
        <f t="shared" si="1050"/>
        <v>3.9923039923040138E-2</v>
      </c>
      <c r="JT145" s="66">
        <f t="shared" si="1050"/>
        <v>9.7560975609756184E-3</v>
      </c>
      <c r="JU145" s="66">
        <f t="shared" si="1050"/>
        <v>9.6230158730158832E-2</v>
      </c>
      <c r="JV145" s="66">
        <f t="shared" si="1050"/>
        <v>3.8812450186668679E-2</v>
      </c>
      <c r="JX145" s="65" t="s">
        <v>144</v>
      </c>
      <c r="JY145" s="66">
        <f t="shared" ref="JY145:JZ147" si="1051">JY119/JR119-1</f>
        <v>5.7648266603491649E-3</v>
      </c>
      <c r="JZ145" s="66">
        <f t="shared" si="1051"/>
        <v>-8.6436170212765839E-3</v>
      </c>
      <c r="KA145" s="66">
        <f t="shared" si="1007"/>
        <v>-8.6206896551724199E-2</v>
      </c>
      <c r="KB145" s="66">
        <f t="shared" si="1007"/>
        <v>-0.12655971479500894</v>
      </c>
      <c r="KC145" s="66">
        <f t="shared" si="1007"/>
        <v>-5.6039878649809749E-2</v>
      </c>
      <c r="KE145" s="65" t="s">
        <v>144</v>
      </c>
      <c r="KF145" s="66">
        <f t="shared" si="914"/>
        <v>-7.9071829736919841E-2</v>
      </c>
      <c r="KG145" s="66">
        <f t="shared" si="914"/>
        <v>-2.8764134100376815E-2</v>
      </c>
      <c r="KH145" s="66">
        <f t="shared" si="914"/>
        <v>7.3495058400719016E-2</v>
      </c>
      <c r="KI145" s="66">
        <f t="shared" si="914"/>
        <v>0.10924369747899165</v>
      </c>
      <c r="KJ145" s="66">
        <f t="shared" si="914"/>
        <v>1.7483620804920275E-2</v>
      </c>
      <c r="KL145" s="65" t="s">
        <v>144</v>
      </c>
      <c r="KM145" s="66">
        <f t="shared" si="915"/>
        <v>9.1234929944607357E-2</v>
      </c>
      <c r="KN145" s="66">
        <f t="shared" si="915"/>
        <v>8.951406649616378E-2</v>
      </c>
      <c r="KO145" s="66">
        <f t="shared" si="915"/>
        <v>7.0134763077814632E-2</v>
      </c>
      <c r="KP145" s="66">
        <f t="shared" si="915"/>
        <v>6.7076923076923034E-2</v>
      </c>
      <c r="KQ145" s="66">
        <f t="shared" si="915"/>
        <v>7.91598441646435E-2</v>
      </c>
      <c r="KS145" s="65" t="s">
        <v>144</v>
      </c>
      <c r="KT145" s="66">
        <f t="shared" si="916"/>
        <v>9.6863917669146815E-2</v>
      </c>
      <c r="KU145" s="66">
        <f t="shared" si="916"/>
        <v>3.603603603603589E-2</v>
      </c>
      <c r="KV145" s="66">
        <f t="shared" si="916"/>
        <v>2.064996614759651E-2</v>
      </c>
      <c r="KW145" s="66">
        <f t="shared" si="916"/>
        <v>1.2949956101843574E-2</v>
      </c>
      <c r="KX145" s="66">
        <f t="shared" si="916"/>
        <v>4.1194631557460504E-2</v>
      </c>
      <c r="KZ145" s="65" t="s">
        <v>144</v>
      </c>
      <c r="LA145" s="66">
        <f t="shared" si="917"/>
        <v>9.6234309623430825E-2</v>
      </c>
      <c r="LB145" s="66">
        <f t="shared" si="917"/>
        <v>4.2783333333333395E-2</v>
      </c>
      <c r="LC145" s="112">
        <f t="shared" ref="LC145" si="1052">LC119/KV119-1</f>
        <v>1.1111111111111072E-2</v>
      </c>
      <c r="LD145" s="112">
        <f t="shared" ref="LD145" si="1053">LD119/KW119-1</f>
        <v>3.4272300469484485E-3</v>
      </c>
      <c r="LE145" s="112">
        <f t="shared" ref="LE145" si="1054">LE119/KX119-1</f>
        <v>4.1211608261853439E-2</v>
      </c>
      <c r="LF145" s="566"/>
      <c r="LG145" s="65" t="s">
        <v>144</v>
      </c>
      <c r="LH145" s="112">
        <f t="shared" ref="LH145:LH146" si="1055">LH119/LA119-1</f>
        <v>-0.10421755725190851</v>
      </c>
      <c r="LI145" s="112">
        <f t="shared" ref="LI145:LI146" si="1056">LI119/LB119-1</f>
        <v>-5.3814311058545283E-2</v>
      </c>
      <c r="LJ145" s="112">
        <f t="shared" ref="LJ145:LJ146" si="1057">LJ119/LC119-1</f>
        <v>2.8615384615384709E-2</v>
      </c>
      <c r="LK145" s="112">
        <f t="shared" ref="LK145:LK147" si="1058">LK119/LD119-1</f>
        <v>5.4858934169278895E-2</v>
      </c>
      <c r="LL145" s="112">
        <f t="shared" ref="LL145" si="1059">LL119/LE119-1</f>
        <v>-2.45974074927231E-2</v>
      </c>
      <c r="LM145" s="566"/>
      <c r="LN145" s="65" t="s">
        <v>144</v>
      </c>
      <c r="LO145" s="112">
        <f t="shared" ref="LO145" si="1060">LO119/LH119-1</f>
        <v>3.7624117717430572E-2</v>
      </c>
      <c r="LP145" s="112">
        <f t="shared" ref="LP145" si="1061">LP119/LI119-1</f>
        <v>3.7500000000000089E-2</v>
      </c>
      <c r="LQ145" s="112">
        <f t="shared" ref="LQ145" si="1062">LQ119/LJ119-1</f>
        <v>3.258758555413177E-2</v>
      </c>
      <c r="LR145" s="112">
        <f t="shared" ref="LR145" si="1063">LR119/LK119-1</f>
        <v>2.7524234062124231E-2</v>
      </c>
      <c r="LS145" s="112">
        <f t="shared" ref="LS145" si="1064">LS119/LL119-1</f>
        <v>3.387778031081945E-2</v>
      </c>
      <c r="LT145" s="566"/>
      <c r="LU145" s="65" t="s">
        <v>144</v>
      </c>
      <c r="LV145" s="112">
        <f t="shared" si="931"/>
        <v>2.750000000000008E-2</v>
      </c>
      <c r="LW145" s="112">
        <f t="shared" si="932"/>
        <v>2.750000000000008E-2</v>
      </c>
      <c r="LX145" s="112">
        <f t="shared" si="933"/>
        <v>2.750000000000008E-2</v>
      </c>
      <c r="LY145" s="112">
        <f t="shared" si="934"/>
        <v>2.750000000000008E-2</v>
      </c>
      <c r="LZ145" s="112">
        <f t="shared" si="935"/>
        <v>2.7500000000000302E-2</v>
      </c>
      <c r="MA145" s="566"/>
      <c r="MB145" s="65" t="s">
        <v>144</v>
      </c>
      <c r="MC145" s="112">
        <f t="shared" si="936"/>
        <v>2.4999999999999911E-2</v>
      </c>
      <c r="MD145" s="112">
        <f t="shared" si="937"/>
        <v>2.4999999999999911E-2</v>
      </c>
      <c r="ME145" s="112">
        <f t="shared" si="938"/>
        <v>2.4999999999999911E-2</v>
      </c>
      <c r="MF145" s="112">
        <f t="shared" si="939"/>
        <v>2.4999999999999911E-2</v>
      </c>
      <c r="MG145" s="112">
        <f t="shared" si="940"/>
        <v>2.4999999999999689E-2</v>
      </c>
      <c r="MH145" s="566"/>
    </row>
    <row r="146" spans="1:346" s="37" customFormat="1" ht="13.15" x14ac:dyDescent="0.4">
      <c r="A146" s="100"/>
      <c r="B146" s="65" t="s">
        <v>142</v>
      </c>
      <c r="C146" s="66"/>
      <c r="D146" s="66"/>
      <c r="E146" s="66"/>
      <c r="F146" s="66"/>
      <c r="G146" s="66"/>
      <c r="H146" s="66"/>
      <c r="I146" s="66"/>
      <c r="J146" s="66"/>
      <c r="K146" s="66"/>
      <c r="L146" s="66"/>
      <c r="M146" s="66"/>
      <c r="N146" s="66">
        <f t="shared" si="941"/>
        <v>0</v>
      </c>
      <c r="O146" s="66">
        <f t="shared" si="942"/>
        <v>4.1003460207612363E-2</v>
      </c>
      <c r="P146" s="66">
        <f t="shared" si="943"/>
        <v>8.6294115906872193E-2</v>
      </c>
      <c r="Q146" s="66">
        <f t="shared" si="944"/>
        <v>3.233392122280998E-2</v>
      </c>
      <c r="R146" s="66">
        <f t="shared" si="945"/>
        <v>2.1551724137935935E-4</v>
      </c>
      <c r="S146" s="66">
        <f t="shared" si="946"/>
        <v>-1.138387829897014E-2</v>
      </c>
      <c r="T146" s="66">
        <f t="shared" si="947"/>
        <v>1.2960328749802574E-2</v>
      </c>
      <c r="U146" s="66">
        <f t="shared" si="948"/>
        <v>5.5397301349325412E-2</v>
      </c>
      <c r="V146" s="66">
        <f t="shared" si="949"/>
        <v>-1.3469489500331E-2</v>
      </c>
      <c r="W146" s="66">
        <f t="shared" si="950"/>
        <v>3.2699973250658765E-2</v>
      </c>
      <c r="X146" s="66">
        <f t="shared" si="951"/>
        <v>8.0510891089108805E-2</v>
      </c>
      <c r="Y146" s="66">
        <f t="shared" si="952"/>
        <v>6.1286370122216161E-2</v>
      </c>
      <c r="Z146" s="66">
        <f t="shared" si="953"/>
        <v>3.6028852750839224E-2</v>
      </c>
      <c r="AA146" s="66">
        <f t="shared" si="954"/>
        <v>5.3446618906167753E-3</v>
      </c>
      <c r="AB146" s="66">
        <f t="shared" si="955"/>
        <v>3.2220213994627711E-2</v>
      </c>
      <c r="AC146" s="66">
        <f t="shared" si="956"/>
        <v>8.5723987387824385E-2</v>
      </c>
      <c r="AD146" s="66">
        <f t="shared" si="957"/>
        <v>0.11521981275024329</v>
      </c>
      <c r="AE146" s="66">
        <f t="shared" si="958"/>
        <v>0.17150323818992774</v>
      </c>
      <c r="AF146" s="66">
        <f t="shared" si="959"/>
        <v>9.007577157641844E-2</v>
      </c>
      <c r="AG146" s="66">
        <f t="shared" si="960"/>
        <v>0.10524848677922893</v>
      </c>
      <c r="AH146" s="66">
        <f t="shared" si="961"/>
        <v>-8.0285834384194787E-2</v>
      </c>
      <c r="AI146" s="66">
        <f t="shared" si="962"/>
        <v>6.791762960918879E-2</v>
      </c>
      <c r="AJ146" s="66">
        <f t="shared" si="963"/>
        <v>7.5088967971530307E-2</v>
      </c>
      <c r="AK146" s="66">
        <f t="shared" si="964"/>
        <v>3.7101787101787131E-2</v>
      </c>
      <c r="AL146" s="66">
        <f t="shared" si="965"/>
        <v>3.018275112011759E-2</v>
      </c>
      <c r="AM146" s="66">
        <f t="shared" si="966"/>
        <v>2.5793842597457095E-2</v>
      </c>
      <c r="AN146" s="66">
        <f t="shared" si="967"/>
        <v>2.8891415098311723E-2</v>
      </c>
      <c r="AO146" s="66">
        <f t="shared" si="968"/>
        <v>-0.1135696086064123</v>
      </c>
      <c r="AP146" s="66">
        <f t="shared" si="969"/>
        <v>-8.0980285165239363E-2</v>
      </c>
      <c r="AQ146" s="66">
        <f t="shared" si="970"/>
        <v>0.20294925572589939</v>
      </c>
      <c r="AR146" s="66">
        <f t="shared" si="971"/>
        <v>1.7399963120044104E-2</v>
      </c>
      <c r="AS146" s="66">
        <f t="shared" si="972"/>
        <v>0.11516694242925629</v>
      </c>
      <c r="AT146" s="66">
        <f t="shared" si="973"/>
        <v>1.6219496195224448E-2</v>
      </c>
      <c r="AU146" s="66">
        <f t="shared" si="974"/>
        <v>0.10360937043775142</v>
      </c>
      <c r="AV146" s="66">
        <f t="shared" si="975"/>
        <v>4.8491839699222439E-2</v>
      </c>
      <c r="AW146" s="66">
        <f t="shared" si="976"/>
        <v>-3.097090963797744E-2</v>
      </c>
      <c r="AX146" s="66">
        <f t="shared" si="977"/>
        <v>3.0783582089552119E-2</v>
      </c>
      <c r="AY146" s="66">
        <f t="shared" si="978"/>
        <v>2.5351055895322716E-2</v>
      </c>
      <c r="AZ146" s="66">
        <f t="shared" si="979"/>
        <v>3.253056937843013E-2</v>
      </c>
      <c r="BA146" s="66">
        <f t="shared" si="980"/>
        <v>3.0038871887745566E-2</v>
      </c>
      <c r="BB146" s="66"/>
      <c r="BC146" s="66"/>
      <c r="BD146" s="66"/>
      <c r="BE146" s="66"/>
      <c r="BF146" s="66"/>
      <c r="BG146" s="66"/>
      <c r="BH146" s="66"/>
      <c r="BI146" s="66"/>
      <c r="BJ146" s="66"/>
      <c r="BK146" s="66"/>
      <c r="BL146" s="66"/>
      <c r="BM146" s="66"/>
      <c r="BO146" s="65" t="s">
        <v>142</v>
      </c>
      <c r="BP146" s="66"/>
      <c r="BQ146" s="66"/>
      <c r="BR146" s="66"/>
      <c r="BS146" s="66"/>
      <c r="BT146" s="66"/>
      <c r="BV146" s="65" t="s">
        <v>142</v>
      </c>
      <c r="BW146" s="66">
        <f t="shared" si="1021"/>
        <v>3.0072992700729939E-2</v>
      </c>
      <c r="BX146" s="66">
        <f t="shared" si="1021"/>
        <v>6.2030562030561898E-2</v>
      </c>
      <c r="BY146" s="66">
        <f t="shared" si="1021"/>
        <v>4.1542221015476555E-2</v>
      </c>
      <c r="BZ146" s="66">
        <f t="shared" si="1021"/>
        <v>3.2411537317870831E-2</v>
      </c>
      <c r="CA146" s="66">
        <f t="shared" si="1021"/>
        <v>4.1003460207612363E-2</v>
      </c>
      <c r="CC146" s="65" t="s">
        <v>142</v>
      </c>
      <c r="CD146" s="66">
        <f t="shared" si="1022"/>
        <v>9.1150442477876181E-2</v>
      </c>
      <c r="CE146" s="66">
        <f t="shared" si="1022"/>
        <v>0.10818945034056715</v>
      </c>
      <c r="CF146" s="66">
        <f t="shared" si="1022"/>
        <v>0.1339285714285714</v>
      </c>
      <c r="CG146" s="66">
        <f t="shared" si="1022"/>
        <v>8.5190039318481237E-3</v>
      </c>
      <c r="CH146" s="66">
        <f t="shared" si="1022"/>
        <v>8.6294115906872193E-2</v>
      </c>
      <c r="CJ146" s="65" t="s">
        <v>142</v>
      </c>
      <c r="CK146" s="66">
        <f t="shared" si="1023"/>
        <v>6.4492753623188293E-2</v>
      </c>
      <c r="CL146" s="66">
        <f t="shared" si="1023"/>
        <v>2.7955686342392205E-2</v>
      </c>
      <c r="CM146" s="66">
        <f t="shared" si="1023"/>
        <v>9.1743119266054496E-3</v>
      </c>
      <c r="CN146" s="66">
        <f t="shared" si="1023"/>
        <v>2.7949245541838197E-2</v>
      </c>
      <c r="CO146" s="66">
        <f t="shared" si="1023"/>
        <v>3.233392122280998E-2</v>
      </c>
      <c r="CQ146" s="65" t="s">
        <v>142</v>
      </c>
      <c r="CR146" s="66">
        <f t="shared" si="1024"/>
        <v>9.7125097125096982E-3</v>
      </c>
      <c r="CS146" s="66">
        <f t="shared" si="1024"/>
        <v>0</v>
      </c>
      <c r="CT146" s="66">
        <f t="shared" si="1024"/>
        <v>-9.0909090909090384E-3</v>
      </c>
      <c r="CU146" s="66">
        <f t="shared" si="1024"/>
        <v>-1.6680567139293334E-4</v>
      </c>
      <c r="CV146" s="66">
        <f t="shared" si="1024"/>
        <v>2.1551724137935935E-4</v>
      </c>
      <c r="CX146" s="65" t="s">
        <v>142</v>
      </c>
      <c r="CY146" s="66">
        <f t="shared" si="1025"/>
        <v>-2.6548672566371612E-2</v>
      </c>
      <c r="CZ146" s="66">
        <f t="shared" si="1025"/>
        <v>-9.3279119827791579E-3</v>
      </c>
      <c r="DA146" s="66">
        <f t="shared" si="1025"/>
        <v>0</v>
      </c>
      <c r="DB146" s="66">
        <f t="shared" si="1025"/>
        <v>-8.9255922589254189E-3</v>
      </c>
      <c r="DC146" s="66">
        <f t="shared" si="1025"/>
        <v>-1.138387829897014E-2</v>
      </c>
      <c r="DE146" s="65" t="s">
        <v>142</v>
      </c>
      <c r="DF146" s="66">
        <f t="shared" si="1026"/>
        <v>8.9285714285713969E-3</v>
      </c>
      <c r="DG146" s="66">
        <f t="shared" si="1026"/>
        <v>1.6863278886872557E-2</v>
      </c>
      <c r="DH146" s="66">
        <f t="shared" si="1026"/>
        <v>8.6206896551723755E-3</v>
      </c>
      <c r="DI146" s="66">
        <f t="shared" si="1026"/>
        <v>1.7365661861074466E-2</v>
      </c>
      <c r="DJ146" s="66">
        <f t="shared" si="1026"/>
        <v>1.2960328749802574E-2</v>
      </c>
      <c r="DL146" s="65" t="s">
        <v>142</v>
      </c>
      <c r="DM146" s="66">
        <f t="shared" si="1027"/>
        <v>1.6564556387565155E-2</v>
      </c>
      <c r="DN146" s="66">
        <f t="shared" si="1027"/>
        <v>0.1077158135981664</v>
      </c>
      <c r="DO146" s="66">
        <f t="shared" si="1027"/>
        <v>4.1865855425177623E-2</v>
      </c>
      <c r="DP146" s="66">
        <f t="shared" si="1027"/>
        <v>5.8601134215500839E-2</v>
      </c>
      <c r="DQ146" s="66">
        <f t="shared" si="1027"/>
        <v>5.5397301349325412E-2</v>
      </c>
      <c r="DS146" s="65" t="s">
        <v>142</v>
      </c>
      <c r="DT146" s="66">
        <f t="shared" si="1028"/>
        <v>4.0000000000000036E-2</v>
      </c>
      <c r="DU146" s="66">
        <f t="shared" si="1028"/>
        <v>-6.0338983050847617E-2</v>
      </c>
      <c r="DV146" s="66">
        <f t="shared" si="1028"/>
        <v>4.1356492969391034E-4</v>
      </c>
      <c r="DW146" s="66">
        <f t="shared" si="1028"/>
        <v>-3.2413793103448163E-2</v>
      </c>
      <c r="DX146" s="66">
        <f t="shared" si="1028"/>
        <v>-1.3469489500331E-2</v>
      </c>
      <c r="DZ146" s="65" t="s">
        <v>142</v>
      </c>
      <c r="EA146" s="66">
        <f t="shared" si="1029"/>
        <v>1.0593220338981357E-3</v>
      </c>
      <c r="EB146" s="66">
        <f t="shared" si="1029"/>
        <v>1.0946907498632363E-3</v>
      </c>
      <c r="EC146" s="66">
        <f t="shared" si="1029"/>
        <v>5.8748674443266147E-2</v>
      </c>
      <c r="ED146" s="66">
        <f t="shared" si="1029"/>
        <v>7.4074074074074181E-2</v>
      </c>
      <c r="EE146" s="66">
        <f t="shared" si="1029"/>
        <v>3.2699973250658765E-2</v>
      </c>
      <c r="EG146" s="65" t="s">
        <v>142</v>
      </c>
      <c r="EH146" s="66">
        <f t="shared" si="1030"/>
        <v>3.7124491669946469E-2</v>
      </c>
      <c r="EI146" s="66">
        <f t="shared" si="1030"/>
        <v>9.7840575846441125E-2</v>
      </c>
      <c r="EJ146" s="66">
        <f t="shared" si="1030"/>
        <v>8.9015151515151603E-2</v>
      </c>
      <c r="EK146" s="66">
        <f t="shared" si="1030"/>
        <v>8.7973970717056593E-2</v>
      </c>
      <c r="EL146" s="66">
        <f t="shared" si="1030"/>
        <v>8.0510891089108805E-2</v>
      </c>
      <c r="EN146" s="65" t="s">
        <v>142</v>
      </c>
      <c r="EO146" s="66">
        <f t="shared" si="1031"/>
        <v>9.836781007244455E-2</v>
      </c>
      <c r="EP146" s="66">
        <f t="shared" si="1031"/>
        <v>6.6416462848949864E-2</v>
      </c>
      <c r="EQ146" s="66">
        <f t="shared" si="1031"/>
        <v>4.4303797468354444E-2</v>
      </c>
      <c r="ER146" s="66">
        <f t="shared" si="1031"/>
        <v>4.9199084668192228E-2</v>
      </c>
      <c r="ES146" s="66">
        <f t="shared" si="1031"/>
        <v>6.1286370122216161E-2</v>
      </c>
      <c r="EU146" s="65" t="s">
        <v>142</v>
      </c>
      <c r="EV146" s="66">
        <f t="shared" si="1032"/>
        <v>6.7116658176260779E-2</v>
      </c>
      <c r="EW146" s="66">
        <f t="shared" si="1032"/>
        <v>4.0858725761772963E-2</v>
      </c>
      <c r="EX146" s="66">
        <f t="shared" si="1032"/>
        <v>4.2799999999999949E-2</v>
      </c>
      <c r="EY146" s="66">
        <f t="shared" si="1032"/>
        <v>-9.0702947845805459E-3</v>
      </c>
      <c r="EZ146" s="66">
        <f t="shared" si="1032"/>
        <v>3.6028852750839224E-2</v>
      </c>
      <c r="FB146" s="65" t="s">
        <v>142</v>
      </c>
      <c r="FC146" s="66">
        <f t="shared" si="1033"/>
        <v>1.1160714285714413E-2</v>
      </c>
      <c r="FD146" s="66">
        <f t="shared" si="1033"/>
        <v>-5.050505050505083E-3</v>
      </c>
      <c r="FE146" s="66">
        <f t="shared" si="1033"/>
        <v>-2.1673690547862834E-2</v>
      </c>
      <c r="FF146" s="66">
        <f t="shared" si="1033"/>
        <v>3.9829735481909712E-2</v>
      </c>
      <c r="FG146" s="66">
        <f t="shared" si="1033"/>
        <v>5.3446618906167753E-3</v>
      </c>
      <c r="FI146" s="65" t="s">
        <v>142</v>
      </c>
      <c r="FJ146" s="66">
        <f t="shared" si="1034"/>
        <v>3.8610038610038533E-3</v>
      </c>
      <c r="FK146" s="66">
        <f t="shared" si="1034"/>
        <v>5.7587957290390346E-2</v>
      </c>
      <c r="FL146" s="66">
        <f t="shared" si="1034"/>
        <v>6.390189520624312E-2</v>
      </c>
      <c r="FM146" s="66">
        <f t="shared" si="1034"/>
        <v>1.0110803324099527E-2</v>
      </c>
      <c r="FN146" s="66">
        <f t="shared" si="1034"/>
        <v>3.2220213994627711E-2</v>
      </c>
      <c r="FP146" s="65" t="s">
        <v>142</v>
      </c>
      <c r="FQ146" s="66">
        <f t="shared" si="1035"/>
        <v>5.8569500674763963E-2</v>
      </c>
      <c r="FR146" s="66">
        <f t="shared" si="1035"/>
        <v>5.3103636860814873E-2</v>
      </c>
      <c r="FS146" s="66">
        <f t="shared" si="1035"/>
        <v>8.2278481012658222E-2</v>
      </c>
      <c r="FT146" s="66">
        <f t="shared" si="1035"/>
        <v>0.13919948144547067</v>
      </c>
      <c r="FU146" s="66">
        <f t="shared" si="1035"/>
        <v>8.5723987387824385E-2</v>
      </c>
      <c r="FW146" s="65" t="s">
        <v>142</v>
      </c>
      <c r="FX146" s="66">
        <f t="shared" si="1036"/>
        <v>0.1167139756219735</v>
      </c>
      <c r="FY146" s="66">
        <f t="shared" si="1036"/>
        <v>0.10965987845186054</v>
      </c>
      <c r="FZ146" s="66">
        <f t="shared" si="1036"/>
        <v>0.11247745532054432</v>
      </c>
      <c r="GA146" s="66">
        <f t="shared" si="1036"/>
        <v>0.12916879143294246</v>
      </c>
      <c r="GB146" s="66">
        <f t="shared" si="1036"/>
        <v>0.11521981275024329</v>
      </c>
      <c r="GD146" s="65" t="s">
        <v>142</v>
      </c>
      <c r="GE146" s="66">
        <f t="shared" si="1037"/>
        <v>0.15689322469982847</v>
      </c>
      <c r="GF146" s="66">
        <f t="shared" si="1037"/>
        <v>0.17588370970337408</v>
      </c>
      <c r="GG146" s="66">
        <f t="shared" si="1037"/>
        <v>0.20903954802259883</v>
      </c>
      <c r="GH146" s="66">
        <f t="shared" si="1037"/>
        <v>0.14627552487776807</v>
      </c>
      <c r="GI146" s="66">
        <f t="shared" si="1037"/>
        <v>0.17150323818992774</v>
      </c>
      <c r="GK146" s="65" t="s">
        <v>142</v>
      </c>
      <c r="GL146" s="66">
        <f t="shared" si="1038"/>
        <v>0.1153885638024843</v>
      </c>
      <c r="GM146" s="66">
        <f t="shared" si="1038"/>
        <v>0.11494845360824746</v>
      </c>
      <c r="GN146" s="66">
        <f t="shared" si="1038"/>
        <v>5.7291666666666741E-2</v>
      </c>
      <c r="GO146" s="66">
        <f t="shared" si="1038"/>
        <v>7.4529224749327661E-2</v>
      </c>
      <c r="GP146" s="66">
        <f t="shared" si="1038"/>
        <v>9.007577157641844E-2</v>
      </c>
      <c r="GR146" s="65" t="s">
        <v>142</v>
      </c>
      <c r="GS146" s="66">
        <f t="shared" si="1039"/>
        <v>9.8065601345668441E-2</v>
      </c>
      <c r="GT146" s="66">
        <f t="shared" si="1039"/>
        <v>8.4656084656084651E-2</v>
      </c>
      <c r="GU146" s="66">
        <f t="shared" si="1039"/>
        <v>0.13497536945812794</v>
      </c>
      <c r="GV146" s="66">
        <f t="shared" si="1039"/>
        <v>9.9333099333098973E-2</v>
      </c>
      <c r="GW146" s="66">
        <f t="shared" si="1039"/>
        <v>0.10524848677922893</v>
      </c>
      <c r="GY146" s="65" t="s">
        <v>142</v>
      </c>
      <c r="GZ146" s="66">
        <f t="shared" si="1040"/>
        <v>-2.4038461538461453E-2</v>
      </c>
      <c r="HA146" s="66">
        <f t="shared" si="1040"/>
        <v>-8.7652439024390238E-2</v>
      </c>
      <c r="HB146" s="66">
        <f t="shared" si="1040"/>
        <v>-0.12935323383084585</v>
      </c>
      <c r="HC146" s="66">
        <f t="shared" si="1040"/>
        <v>-7.5448028673835155E-2</v>
      </c>
      <c r="HD146" s="66">
        <f t="shared" si="1040"/>
        <v>-8.0285834384194787E-2</v>
      </c>
      <c r="HF146" s="65" t="s">
        <v>142</v>
      </c>
      <c r="HG146" s="66">
        <f t="shared" si="1041"/>
        <v>3.1746031746031633E-2</v>
      </c>
      <c r="HH146" s="66">
        <f t="shared" si="1041"/>
        <v>0.1104684788895316</v>
      </c>
      <c r="HI146" s="66">
        <f t="shared" si="1041"/>
        <v>7.1428571428571397E-2</v>
      </c>
      <c r="HJ146" s="66">
        <f t="shared" si="1041"/>
        <v>5.7569296375266754E-2</v>
      </c>
      <c r="HK146" s="66">
        <f t="shared" si="1041"/>
        <v>6.791762960918879E-2</v>
      </c>
      <c r="HM146" s="65" t="s">
        <v>142</v>
      </c>
      <c r="HN146" s="66">
        <f t="shared" si="1042"/>
        <v>5.0000000000000044E-2</v>
      </c>
      <c r="HO146" s="66">
        <f t="shared" si="1042"/>
        <v>7.714285714285718E-2</v>
      </c>
      <c r="HP146" s="66">
        <f t="shared" si="1042"/>
        <v>9.5251141552511687E-2</v>
      </c>
      <c r="HQ146" s="66">
        <f t="shared" si="1042"/>
        <v>7.7898550724637694E-2</v>
      </c>
      <c r="HR146" s="66">
        <f t="shared" si="1042"/>
        <v>7.5088967971530307E-2</v>
      </c>
      <c r="HT146" s="65" t="s">
        <v>142</v>
      </c>
      <c r="HU146" s="66">
        <f t="shared" si="1043"/>
        <v>6.262230919765166E-2</v>
      </c>
      <c r="HV146" s="66">
        <f t="shared" si="1043"/>
        <v>4.2577302897846891E-2</v>
      </c>
      <c r="HW146" s="66">
        <f t="shared" si="1043"/>
        <v>1.6759776536312776E-2</v>
      </c>
      <c r="HX146" s="66">
        <f t="shared" si="1043"/>
        <v>2.9411764705882248E-2</v>
      </c>
      <c r="HY146" s="66">
        <f t="shared" si="1043"/>
        <v>3.7101787101787131E-2</v>
      </c>
      <c r="IA146" s="65" t="s">
        <v>142</v>
      </c>
      <c r="IB146" s="66">
        <f t="shared" si="1044"/>
        <v>4.4198895027624419E-2</v>
      </c>
      <c r="IC146" s="66">
        <f t="shared" si="1044"/>
        <v>1.6818448883666237E-2</v>
      </c>
      <c r="ID146" s="66">
        <f t="shared" si="1044"/>
        <v>3.660625089196512E-2</v>
      </c>
      <c r="IE146" s="66">
        <f t="shared" si="1044"/>
        <v>2.3011583011582903E-2</v>
      </c>
      <c r="IF146" s="66">
        <f t="shared" si="1044"/>
        <v>3.018275112011759E-2</v>
      </c>
      <c r="IH146" s="65" t="s">
        <v>142</v>
      </c>
      <c r="II146" s="66">
        <f t="shared" si="1045"/>
        <v>1.2584012584012427E-2</v>
      </c>
      <c r="IJ146" s="66">
        <f t="shared" si="1045"/>
        <v>8.7633885102240683E-3</v>
      </c>
      <c r="IK146" s="66">
        <f t="shared" si="1045"/>
        <v>5.0251256281407031E-2</v>
      </c>
      <c r="IL146" s="66">
        <f t="shared" si="1045"/>
        <v>3.1114718614718484E-2</v>
      </c>
      <c r="IM146" s="66">
        <f t="shared" si="1045"/>
        <v>2.5793842597457095E-2</v>
      </c>
      <c r="IO146" s="65" t="s">
        <v>142</v>
      </c>
      <c r="IP146" s="66">
        <f t="shared" si="1046"/>
        <v>3.4599632820223158E-2</v>
      </c>
      <c r="IQ146" s="66">
        <f t="shared" si="1046"/>
        <v>2.6898326898326941E-2</v>
      </c>
      <c r="IR146" s="66">
        <f t="shared" si="1046"/>
        <v>2.4513338139870111E-2</v>
      </c>
      <c r="IS146" s="66">
        <f t="shared" si="1046"/>
        <v>3.0582524271844935E-2</v>
      </c>
      <c r="IT146" s="66">
        <f t="shared" si="1046"/>
        <v>2.8891415098311723E-2</v>
      </c>
      <c r="IV146" s="65" t="s">
        <v>142</v>
      </c>
      <c r="IW146" s="66">
        <f t="shared" si="1047"/>
        <v>2.4732620320855547E-2</v>
      </c>
      <c r="IX146" s="66">
        <f t="shared" si="1047"/>
        <v>3.4362259755387203E-2</v>
      </c>
      <c r="IY146" s="66">
        <f t="shared" si="1047"/>
        <v>1.0069545059403051E-2</v>
      </c>
      <c r="IZ146" s="66">
        <f t="shared" si="1047"/>
        <v>-0.46049222797927469</v>
      </c>
      <c r="JA146" s="66">
        <f t="shared" si="1047"/>
        <v>-0.1135696086064123</v>
      </c>
      <c r="JC146" s="65" t="s">
        <v>142</v>
      </c>
      <c r="JD146" s="66">
        <f t="shared" si="1048"/>
        <v>3.1035299692016016E-2</v>
      </c>
      <c r="JE146" s="66">
        <f t="shared" si="1048"/>
        <v>-0.17218875502008024</v>
      </c>
      <c r="JF146" s="66">
        <f t="shared" si="1048"/>
        <v>-0.19450261780104705</v>
      </c>
      <c r="JG146" s="66">
        <f t="shared" si="1048"/>
        <v>3.0812324929972101E-2</v>
      </c>
      <c r="JH146" s="66">
        <f t="shared" si="1048"/>
        <v>-8.0980285165239363E-2</v>
      </c>
      <c r="JJ146" s="65" t="s">
        <v>142</v>
      </c>
      <c r="JK146" s="66">
        <f t="shared" si="1049"/>
        <v>1.5625E-2</v>
      </c>
      <c r="JL146" s="66">
        <f t="shared" si="1049"/>
        <v>6.9587628865979356E-2</v>
      </c>
      <c r="JM146" s="66">
        <f t="shared" si="1049"/>
        <v>0.1595710107247319</v>
      </c>
      <c r="JN146" s="66">
        <f t="shared" si="1049"/>
        <v>0.8143812709030096</v>
      </c>
      <c r="JO146" s="66">
        <f t="shared" si="1049"/>
        <v>0.20294925572589939</v>
      </c>
      <c r="JQ146" s="65" t="s">
        <v>142</v>
      </c>
      <c r="JR146" s="66">
        <f t="shared" si="1050"/>
        <v>4.5287107258938031E-2</v>
      </c>
      <c r="JS146" s="66">
        <f t="shared" si="1050"/>
        <v>0.22816901408450696</v>
      </c>
      <c r="JT146" s="66">
        <f t="shared" si="1050"/>
        <v>-4.7085201793721998E-2</v>
      </c>
      <c r="JU146" s="66">
        <f t="shared" si="1050"/>
        <v>-0.11584300015890658</v>
      </c>
      <c r="JV146" s="66">
        <f t="shared" si="1050"/>
        <v>1.7399963120044104E-2</v>
      </c>
      <c r="JX146" s="65" t="s">
        <v>142</v>
      </c>
      <c r="JY146" s="66">
        <f t="shared" si="1051"/>
        <v>4.6296296296295392E-3</v>
      </c>
      <c r="JZ146" s="66">
        <f t="shared" si="1051"/>
        <v>-1.2758027522935755E-2</v>
      </c>
      <c r="KA146" s="66">
        <f t="shared" si="1007"/>
        <v>0.22985074626865676</v>
      </c>
      <c r="KB146" s="66">
        <f t="shared" si="1007"/>
        <v>0.23756184716877393</v>
      </c>
      <c r="KC146" s="66">
        <f t="shared" si="1007"/>
        <v>0.11516694242925629</v>
      </c>
      <c r="KE146" s="65" t="s">
        <v>142</v>
      </c>
      <c r="KF146" s="66">
        <f t="shared" si="914"/>
        <v>-1.3951139448267091E-2</v>
      </c>
      <c r="KG146" s="66">
        <f t="shared" si="914"/>
        <v>2.487972508591052E-2</v>
      </c>
      <c r="KH146" s="66">
        <f t="shared" si="914"/>
        <v>1.7475728155338377E-3</v>
      </c>
      <c r="KI146" s="66">
        <f t="shared" si="914"/>
        <v>5.3007742703990557E-2</v>
      </c>
      <c r="KJ146" s="66">
        <f t="shared" si="914"/>
        <v>1.6219496195224448E-2</v>
      </c>
      <c r="KL146" s="65" t="s">
        <v>142</v>
      </c>
      <c r="KM146" s="66">
        <f t="shared" si="915"/>
        <v>8.0779220779220839E-2</v>
      </c>
      <c r="KN146" s="66">
        <f t="shared" si="915"/>
        <v>9.1810694814986826E-2</v>
      </c>
      <c r="KO146" s="66">
        <f t="shared" si="915"/>
        <v>0.14285714285714279</v>
      </c>
      <c r="KP146" s="66">
        <f t="shared" si="915"/>
        <v>9.6213200379867025E-2</v>
      </c>
      <c r="KQ146" s="66">
        <f t="shared" si="915"/>
        <v>0.10360937043775142</v>
      </c>
      <c r="KS146" s="65" t="s">
        <v>142</v>
      </c>
      <c r="KT146" s="66">
        <f t="shared" si="916"/>
        <v>9.7692862292718008E-2</v>
      </c>
      <c r="KU146" s="66">
        <f t="shared" si="916"/>
        <v>5.2346170872067388E-2</v>
      </c>
      <c r="KV146" s="66">
        <f t="shared" si="916"/>
        <v>3.0359565807327016E-2</v>
      </c>
      <c r="KW146" s="66">
        <f t="shared" si="916"/>
        <v>2.0440429136081351E-2</v>
      </c>
      <c r="KX146" s="66">
        <f t="shared" si="916"/>
        <v>4.8491839699222439E-2</v>
      </c>
      <c r="KZ146" s="65" t="s">
        <v>142</v>
      </c>
      <c r="LA146" s="66">
        <f t="shared" si="917"/>
        <v>-0.12096332785987962</v>
      </c>
      <c r="LB146" s="66">
        <f t="shared" si="917"/>
        <v>1.8365758754863792E-2</v>
      </c>
      <c r="LC146" s="112">
        <f t="shared" ref="LC146:LC147" si="1065">LC120/KV120-1</f>
        <v>-2.1744855967078092E-2</v>
      </c>
      <c r="LD146" s="112">
        <f t="shared" ref="LD146:LD147" si="1066">LD120/KW120-1</f>
        <v>-4.6613545816732715E-3</v>
      </c>
      <c r="LE146" s="112">
        <f t="shared" si="920"/>
        <v>-3.097090963797744E-2</v>
      </c>
      <c r="LF146" s="566"/>
      <c r="LG146" s="65" t="s">
        <v>142</v>
      </c>
      <c r="LH146" s="112">
        <f t="shared" si="1055"/>
        <v>0.13177272727272737</v>
      </c>
      <c r="LI146" s="112">
        <f t="shared" si="1056"/>
        <v>-1.760660247592849E-2</v>
      </c>
      <c r="LJ146" s="112">
        <f t="shared" si="1057"/>
        <v>2.3675310033821839E-2</v>
      </c>
      <c r="LK146" s="112">
        <f t="shared" si="1058"/>
        <v>2.5217147660410166E-3</v>
      </c>
      <c r="LL146" s="112">
        <f t="shared" si="925"/>
        <v>3.0783582089552119E-2</v>
      </c>
      <c r="LM146" s="566"/>
      <c r="LN146" s="65" t="s">
        <v>142</v>
      </c>
      <c r="LO146" s="112">
        <f t="shared" ref="LO146:LO147" si="1067">LO120/LH120-1</f>
        <v>2.0040965500622399E-2</v>
      </c>
      <c r="LP146" s="112">
        <f t="shared" ref="LP146:LP147" si="1068">LP120/LI120-1</f>
        <v>2.0122414689762946E-2</v>
      </c>
      <c r="LQ146" s="112">
        <f t="shared" ref="LQ146:LQ147" si="1069">LQ120/LJ120-1</f>
        <v>3.0100090697071868E-2</v>
      </c>
      <c r="LR146" s="112">
        <f t="shared" ref="LR146:LR147" si="1070">LR120/LK120-1</f>
        <v>3.0035983789826748E-2</v>
      </c>
      <c r="LS146" s="112">
        <f t="shared" ref="LS146:LS147" si="1071">LS120/LL120-1</f>
        <v>2.5351055895322716E-2</v>
      </c>
      <c r="LT146" s="566"/>
      <c r="LU146" s="65" t="s">
        <v>142</v>
      </c>
      <c r="LV146" s="112">
        <f t="shared" si="931"/>
        <v>3.2499999999999973E-2</v>
      </c>
      <c r="LW146" s="112">
        <f t="shared" si="932"/>
        <v>3.2499999999999973E-2</v>
      </c>
      <c r="LX146" s="112">
        <f t="shared" si="933"/>
        <v>3.2499999999999973E-2</v>
      </c>
      <c r="LY146" s="112">
        <f t="shared" si="934"/>
        <v>3.2499999999999973E-2</v>
      </c>
      <c r="LZ146" s="112">
        <f t="shared" si="935"/>
        <v>3.253056937843013E-2</v>
      </c>
      <c r="MA146" s="566"/>
      <c r="MB146" s="65" t="s">
        <v>142</v>
      </c>
      <c r="MC146" s="112">
        <f t="shared" si="936"/>
        <v>3.0000000000000027E-2</v>
      </c>
      <c r="MD146" s="112">
        <f t="shared" si="937"/>
        <v>3.0000000000000027E-2</v>
      </c>
      <c r="ME146" s="112">
        <f t="shared" si="938"/>
        <v>3.0000000000000027E-2</v>
      </c>
      <c r="MF146" s="112">
        <f t="shared" si="939"/>
        <v>3.0000000000000027E-2</v>
      </c>
      <c r="MG146" s="112">
        <f t="shared" si="940"/>
        <v>3.0038871887745566E-2</v>
      </c>
      <c r="MH146" s="566"/>
    </row>
    <row r="147" spans="1:346" s="37" customFormat="1" ht="13.15" x14ac:dyDescent="0.4">
      <c r="A147" s="100"/>
      <c r="B147" s="65" t="s">
        <v>145</v>
      </c>
      <c r="C147" s="66"/>
      <c r="D147" s="66"/>
      <c r="E147" s="66"/>
      <c r="F147" s="66"/>
      <c r="G147" s="66"/>
      <c r="H147" s="66"/>
      <c r="I147" s="66"/>
      <c r="J147" s="66"/>
      <c r="K147" s="66"/>
      <c r="L147" s="66"/>
      <c r="M147" s="66"/>
      <c r="N147" s="66">
        <f t="shared" si="941"/>
        <v>0</v>
      </c>
      <c r="O147" s="66">
        <f t="shared" si="942"/>
        <v>6.1140876142452116E-2</v>
      </c>
      <c r="P147" s="66">
        <f t="shared" si="943"/>
        <v>4.700983227299016E-2</v>
      </c>
      <c r="Q147" s="66">
        <f t="shared" si="944"/>
        <v>2.7881175967120697E-2</v>
      </c>
      <c r="R147" s="66">
        <f t="shared" si="945"/>
        <v>3.200310504216497E-2</v>
      </c>
      <c r="S147" s="66">
        <f t="shared" si="946"/>
        <v>-0.10703124999999991</v>
      </c>
      <c r="T147" s="66">
        <f t="shared" si="947"/>
        <v>1.9162155511810885E-2</v>
      </c>
      <c r="U147" s="66">
        <f t="shared" si="948"/>
        <v>-8.7021692967480524E-3</v>
      </c>
      <c r="V147" s="66">
        <f t="shared" si="949"/>
        <v>5.6936829727853411E-2</v>
      </c>
      <c r="W147" s="66">
        <f t="shared" si="950"/>
        <v>-2.5859658932065988E-2</v>
      </c>
      <c r="X147" s="66">
        <f t="shared" si="951"/>
        <v>7.0027116563648795E-2</v>
      </c>
      <c r="Y147" s="66">
        <f t="shared" si="952"/>
        <v>8.2135523613963146E-2</v>
      </c>
      <c r="Z147" s="66">
        <f t="shared" si="953"/>
        <v>6.5988540526620731E-2</v>
      </c>
      <c r="AA147" s="66">
        <f t="shared" si="954"/>
        <v>8.5122601956548749E-3</v>
      </c>
      <c r="AB147" s="66">
        <f t="shared" si="955"/>
        <v>2.2054482018249999E-2</v>
      </c>
      <c r="AC147" s="66">
        <f t="shared" si="956"/>
        <v>1.22677611497235E-2</v>
      </c>
      <c r="AD147" s="66">
        <f t="shared" si="957"/>
        <v>9.191963224221289E-2</v>
      </c>
      <c r="AE147" s="66">
        <f t="shared" si="958"/>
        <v>0.23700240827312635</v>
      </c>
      <c r="AF147" s="66">
        <f t="shared" si="959"/>
        <v>0.18598932312337557</v>
      </c>
      <c r="AG147" s="66">
        <f t="shared" si="960"/>
        <v>0.18653525720565822</v>
      </c>
      <c r="AH147" s="66">
        <f t="shared" si="961"/>
        <v>-6.2103596063920019E-2</v>
      </c>
      <c r="AI147" s="66">
        <f t="shared" si="962"/>
        <v>0.15105910971400172</v>
      </c>
      <c r="AJ147" s="66">
        <f t="shared" si="963"/>
        <v>2.7501423642514844E-2</v>
      </c>
      <c r="AK147" s="66">
        <f t="shared" si="964"/>
        <v>4.4897959183673342E-2</v>
      </c>
      <c r="AL147" s="66">
        <f t="shared" si="965"/>
        <v>1.041069380733961E-2</v>
      </c>
      <c r="AM147" s="66">
        <f t="shared" si="966"/>
        <v>4.0710712437468377E-3</v>
      </c>
      <c r="AN147" s="66">
        <f t="shared" si="967"/>
        <v>3.9568479599836337E-3</v>
      </c>
      <c r="AO147" s="66">
        <f t="shared" si="968"/>
        <v>0.12668097436897963</v>
      </c>
      <c r="AP147" s="66">
        <f t="shared" si="969"/>
        <v>-0.12511775398373326</v>
      </c>
      <c r="AQ147" s="66">
        <f t="shared" si="970"/>
        <v>0.11295514329226064</v>
      </c>
      <c r="AR147" s="66">
        <f t="shared" si="971"/>
        <v>-4.8228218162857939E-3</v>
      </c>
      <c r="AS147" s="66">
        <f t="shared" si="972"/>
        <v>2.159557379975019E-2</v>
      </c>
      <c r="AT147" s="66">
        <f t="shared" si="973"/>
        <v>0.13269341682458591</v>
      </c>
      <c r="AU147" s="66">
        <f t="shared" si="974"/>
        <v>9.2076302274394672E-2</v>
      </c>
      <c r="AV147" s="66">
        <f t="shared" si="975"/>
        <v>0.15686122922303847</v>
      </c>
      <c r="AW147" s="66">
        <f t="shared" si="976"/>
        <v>4.7084687838626182E-2</v>
      </c>
      <c r="AX147" s="66">
        <f t="shared" si="977"/>
        <v>9.9635226680563349E-3</v>
      </c>
      <c r="AY147" s="66">
        <f t="shared" si="978"/>
        <v>2.6239847779418568E-2</v>
      </c>
      <c r="AZ147" s="66">
        <f t="shared" si="979"/>
        <v>2.7435682079581136E-2</v>
      </c>
      <c r="BA147" s="66">
        <f t="shared" si="980"/>
        <v>2.5101197555859045E-2</v>
      </c>
      <c r="BB147" s="66"/>
      <c r="BC147" s="66"/>
      <c r="BD147" s="66"/>
      <c r="BE147" s="66"/>
      <c r="BF147" s="66"/>
      <c r="BG147" s="66"/>
      <c r="BH147" s="66"/>
      <c r="BI147" s="66"/>
      <c r="BJ147" s="66"/>
      <c r="BK147" s="66"/>
      <c r="BL147" s="66"/>
      <c r="BM147" s="66"/>
      <c r="BO147" s="65" t="s">
        <v>145</v>
      </c>
      <c r="BP147" s="66"/>
      <c r="BQ147" s="66"/>
      <c r="BR147" s="66"/>
      <c r="BS147" s="66"/>
      <c r="BT147" s="66"/>
      <c r="BV147" s="65" t="s">
        <v>145</v>
      </c>
      <c r="BW147" s="66">
        <f t="shared" si="1021"/>
        <v>7.2609208972845396E-2</v>
      </c>
      <c r="BX147" s="66">
        <f t="shared" si="1021"/>
        <v>6.0728744939271273E-2</v>
      </c>
      <c r="BY147" s="66">
        <f t="shared" si="1021"/>
        <v>5.0110537951363332E-2</v>
      </c>
      <c r="BZ147" s="66">
        <f t="shared" si="1021"/>
        <v>5.6325492689129453E-2</v>
      </c>
      <c r="CA147" s="66">
        <f t="shared" si="1021"/>
        <v>6.1140876142452116E-2</v>
      </c>
      <c r="CC147" s="65" t="s">
        <v>145</v>
      </c>
      <c r="CD147" s="66">
        <f t="shared" si="1022"/>
        <v>1.0616578195181692E-2</v>
      </c>
      <c r="CE147" s="66">
        <f t="shared" si="1022"/>
        <v>0.11379310344827576</v>
      </c>
      <c r="CF147" s="66">
        <f t="shared" si="1022"/>
        <v>6.094978826376285E-2</v>
      </c>
      <c r="CG147" s="66">
        <f t="shared" si="1022"/>
        <v>1.6806722689075348E-2</v>
      </c>
      <c r="CH147" s="66">
        <f t="shared" si="1022"/>
        <v>4.700983227299016E-2</v>
      </c>
      <c r="CJ147" s="65" t="s">
        <v>145</v>
      </c>
      <c r="CK147" s="66">
        <f t="shared" si="1023"/>
        <v>6.0888888888888992E-2</v>
      </c>
      <c r="CL147" s="66">
        <f t="shared" si="1023"/>
        <v>-1.530368244858904E-2</v>
      </c>
      <c r="CM147" s="66">
        <f t="shared" si="1023"/>
        <v>3.2318501170960134E-2</v>
      </c>
      <c r="CN147" s="66">
        <f t="shared" si="1023"/>
        <v>2.6564425578529338E-2</v>
      </c>
      <c r="CO147" s="66">
        <f t="shared" si="1023"/>
        <v>2.7881175967120697E-2</v>
      </c>
      <c r="CQ147" s="65" t="s">
        <v>145</v>
      </c>
      <c r="CR147" s="66">
        <f t="shared" si="1024"/>
        <v>-1.7199017199017286E-2</v>
      </c>
      <c r="CS147" s="66">
        <f t="shared" si="1024"/>
        <v>6.4866261790929025E-2</v>
      </c>
      <c r="CT147" s="66">
        <f t="shared" si="1024"/>
        <v>4.7471620227038436E-2</v>
      </c>
      <c r="CU147" s="66">
        <f t="shared" si="1024"/>
        <v>4.4947351878044994E-2</v>
      </c>
      <c r="CV147" s="66">
        <f t="shared" si="1024"/>
        <v>3.200310504216497E-2</v>
      </c>
      <c r="CX147" s="65" t="s">
        <v>145</v>
      </c>
      <c r="CY147" s="66">
        <f t="shared" si="1025"/>
        <v>-5.9797724399494379E-2</v>
      </c>
      <c r="CZ147" s="66">
        <f t="shared" si="1025"/>
        <v>-0.12504703373886861</v>
      </c>
      <c r="DA147" s="66">
        <f t="shared" si="1025"/>
        <v>-9.7751124437781001E-2</v>
      </c>
      <c r="DB147" s="66">
        <f t="shared" si="1025"/>
        <v>-0.13847794215647058</v>
      </c>
      <c r="DC147" s="66">
        <f t="shared" si="1025"/>
        <v>-0.10703124999999991</v>
      </c>
      <c r="DE147" s="65" t="s">
        <v>145</v>
      </c>
      <c r="DF147" s="66">
        <f t="shared" si="1026"/>
        <v>-2.0302897278314247E-2</v>
      </c>
      <c r="DG147" s="66">
        <f t="shared" si="1026"/>
        <v>-1.1284722222222321E-2</v>
      </c>
      <c r="DH147" s="66">
        <f t="shared" si="1026"/>
        <v>3.0039961416563399E-2</v>
      </c>
      <c r="DI147" s="66">
        <f t="shared" si="1026"/>
        <v>7.4434055118110187E-2</v>
      </c>
      <c r="DJ147" s="66">
        <f t="shared" si="1026"/>
        <v>1.9162155511810885E-2</v>
      </c>
      <c r="DL147" s="65" t="s">
        <v>145</v>
      </c>
      <c r="DM147" s="66">
        <f t="shared" si="1027"/>
        <v>-6.8159688412853248E-3</v>
      </c>
      <c r="DN147" s="66">
        <f t="shared" si="1027"/>
        <v>1.3759328358209144E-2</v>
      </c>
      <c r="DO147" s="66">
        <f t="shared" si="1027"/>
        <v>-2.4278846153846234E-2</v>
      </c>
      <c r="DP147" s="66">
        <f t="shared" si="1027"/>
        <v>-1.2619718309859085E-2</v>
      </c>
      <c r="DQ147" s="66">
        <f t="shared" si="1027"/>
        <v>-8.7021692967480524E-3</v>
      </c>
      <c r="DS147" s="65" t="s">
        <v>145</v>
      </c>
      <c r="DT147" s="66">
        <f t="shared" si="1028"/>
        <v>4.0000000000000036E-2</v>
      </c>
      <c r="DU147" s="66">
        <f t="shared" si="1028"/>
        <v>6.4150095494888149E-2</v>
      </c>
      <c r="DV147" s="66">
        <f t="shared" si="1028"/>
        <v>8.990733784122229E-2</v>
      </c>
      <c r="DW147" s="66">
        <f t="shared" si="1028"/>
        <v>3.717225356787246E-2</v>
      </c>
      <c r="DX147" s="66">
        <f t="shared" si="1028"/>
        <v>5.6936829727853411E-2</v>
      </c>
      <c r="DZ147" s="65" t="s">
        <v>145</v>
      </c>
      <c r="EA147" s="66">
        <f t="shared" si="1029"/>
        <v>2.4691358024691246E-2</v>
      </c>
      <c r="EB147" s="66">
        <f t="shared" si="1029"/>
        <v>-1.4688601645123422E-2</v>
      </c>
      <c r="EC147" s="66">
        <f t="shared" si="1029"/>
        <v>-6.2752581948810171E-2</v>
      </c>
      <c r="ED147" s="66">
        <f t="shared" si="1029"/>
        <v>-5.5506172839505985E-2</v>
      </c>
      <c r="EE147" s="66">
        <f t="shared" si="1029"/>
        <v>-2.5859658932065988E-2</v>
      </c>
      <c r="EG147" s="65" t="s">
        <v>145</v>
      </c>
      <c r="EH147" s="66">
        <f t="shared" si="1030"/>
        <v>-2.1898404428524865E-2</v>
      </c>
      <c r="EI147" s="66">
        <f t="shared" si="1030"/>
        <v>7.8125000000000222E-2</v>
      </c>
      <c r="EJ147" s="66">
        <f t="shared" si="1030"/>
        <v>6.1394499600593511E-2</v>
      </c>
      <c r="EK147" s="66">
        <f t="shared" si="1030"/>
        <v>0.17819266460450733</v>
      </c>
      <c r="EL147" s="66">
        <f t="shared" si="1030"/>
        <v>7.0027116563648795E-2</v>
      </c>
      <c r="EN147" s="65" t="s">
        <v>145</v>
      </c>
      <c r="EO147" s="66">
        <f t="shared" si="1031"/>
        <v>0.18054721674243068</v>
      </c>
      <c r="EP147" s="66">
        <f t="shared" si="1031"/>
        <v>-1.2716281008963937E-2</v>
      </c>
      <c r="EQ147" s="66">
        <f t="shared" si="1031"/>
        <v>0.16656460502143289</v>
      </c>
      <c r="ER147" s="66">
        <f t="shared" si="1031"/>
        <v>-2.3600085818495931E-3</v>
      </c>
      <c r="ES147" s="66">
        <f t="shared" si="1031"/>
        <v>8.2135523613963146E-2</v>
      </c>
      <c r="EU147" s="65" t="s">
        <v>145</v>
      </c>
      <c r="EV147" s="66">
        <f t="shared" si="1032"/>
        <v>5.3492364687810712E-2</v>
      </c>
      <c r="EW147" s="66">
        <f t="shared" si="1032"/>
        <v>0.18725868725868744</v>
      </c>
      <c r="EX147" s="66">
        <f t="shared" si="1032"/>
        <v>-4.3564356435643492E-2</v>
      </c>
      <c r="EY147" s="66">
        <f t="shared" si="1032"/>
        <v>7.1494252873563369E-2</v>
      </c>
      <c r="EZ147" s="66">
        <f t="shared" si="1032"/>
        <v>6.5988540526620731E-2</v>
      </c>
      <c r="FB147" s="65" t="s">
        <v>145</v>
      </c>
      <c r="FC147" s="66">
        <f t="shared" si="1033"/>
        <v>0</v>
      </c>
      <c r="FD147" s="66">
        <f t="shared" si="1033"/>
        <v>-2.3529411764706021E-2</v>
      </c>
      <c r="FE147" s="66">
        <f t="shared" si="1033"/>
        <v>3.5679168422531271E-2</v>
      </c>
      <c r="FF147" s="66">
        <f t="shared" si="1033"/>
        <v>3.5714285714285809E-2</v>
      </c>
      <c r="FG147" s="66">
        <f t="shared" si="1033"/>
        <v>8.5122601956548749E-3</v>
      </c>
      <c r="FI147" s="65" t="s">
        <v>145</v>
      </c>
      <c r="FJ147" s="66">
        <f t="shared" si="1034"/>
        <v>-5.7620282339383433E-3</v>
      </c>
      <c r="FK147" s="66">
        <f t="shared" si="1034"/>
        <v>7.8473184774496163E-2</v>
      </c>
      <c r="FL147" s="66">
        <f t="shared" si="1034"/>
        <v>4.8065368901706318E-3</v>
      </c>
      <c r="FM147" s="66">
        <f t="shared" si="1034"/>
        <v>1.440419030990836E-2</v>
      </c>
      <c r="FN147" s="66">
        <f t="shared" si="1034"/>
        <v>2.2054482018249999E-2</v>
      </c>
      <c r="FP147" s="65" t="s">
        <v>145</v>
      </c>
      <c r="FQ147" s="66">
        <f t="shared" si="1035"/>
        <v>-2.586206896551646E-3</v>
      </c>
      <c r="FR147" s="66">
        <f t="shared" si="1035"/>
        <v>-3.3155080213903676E-2</v>
      </c>
      <c r="FS147" s="66">
        <f t="shared" si="1035"/>
        <v>7.9818135892902209E-2</v>
      </c>
      <c r="FT147" s="66">
        <f t="shared" si="1035"/>
        <v>1.1264570477030222E-2</v>
      </c>
      <c r="FU147" s="66">
        <f t="shared" si="1035"/>
        <v>1.22677611497235E-2</v>
      </c>
      <c r="FW147" s="65" t="s">
        <v>145</v>
      </c>
      <c r="FX147" s="66">
        <f t="shared" si="1036"/>
        <v>3.7165082108902237E-2</v>
      </c>
      <c r="FY147" s="66">
        <f t="shared" si="1036"/>
        <v>6.9444444444444642E-2</v>
      </c>
      <c r="FZ147" s="66">
        <f t="shared" si="1036"/>
        <v>6.6786786786786845E-2</v>
      </c>
      <c r="GA147" s="66">
        <f t="shared" si="1036"/>
        <v>0.21450459652706821</v>
      </c>
      <c r="GB147" s="66">
        <f t="shared" si="1036"/>
        <v>9.191963224221289E-2</v>
      </c>
      <c r="GD147" s="65" t="s">
        <v>145</v>
      </c>
      <c r="GE147" s="66">
        <f t="shared" si="1037"/>
        <v>0.32954545454545459</v>
      </c>
      <c r="GF147" s="66">
        <f t="shared" si="1037"/>
        <v>0.27203647416413368</v>
      </c>
      <c r="GG147" s="66">
        <f t="shared" si="1037"/>
        <v>0.17916828604741553</v>
      </c>
      <c r="GH147" s="66">
        <f t="shared" si="1037"/>
        <v>0.16409036860879911</v>
      </c>
      <c r="GI147" s="66">
        <f t="shared" si="1037"/>
        <v>0.23700240827312635</v>
      </c>
      <c r="GK147" s="65" t="s">
        <v>145</v>
      </c>
      <c r="GL147" s="66">
        <f t="shared" si="1038"/>
        <v>0.12657004830917873</v>
      </c>
      <c r="GM147" s="66">
        <f t="shared" si="1038"/>
        <v>0.18110426483025233</v>
      </c>
      <c r="GN147" s="66">
        <f t="shared" si="1038"/>
        <v>0.27276422764227637</v>
      </c>
      <c r="GO147" s="66">
        <f t="shared" si="1038"/>
        <v>0.16878358573522245</v>
      </c>
      <c r="GP147" s="66">
        <f t="shared" si="1038"/>
        <v>0.18598932312337557</v>
      </c>
      <c r="GR147" s="65" t="s">
        <v>145</v>
      </c>
      <c r="GS147" s="66">
        <f t="shared" si="1039"/>
        <v>0.23989218328840978</v>
      </c>
      <c r="GT147" s="66">
        <f t="shared" si="1039"/>
        <v>0.20371935756551141</v>
      </c>
      <c r="GU147" s="66">
        <f t="shared" si="1039"/>
        <v>0.19836121543188812</v>
      </c>
      <c r="GV147" s="66">
        <f t="shared" si="1039"/>
        <v>8.9807162534435214E-2</v>
      </c>
      <c r="GW147" s="66">
        <f t="shared" si="1039"/>
        <v>0.18653525720565822</v>
      </c>
      <c r="GY147" s="65" t="s">
        <v>145</v>
      </c>
      <c r="GZ147" s="66">
        <f t="shared" si="1040"/>
        <v>1.4999999999999902E-2</v>
      </c>
      <c r="HA147" s="66">
        <f t="shared" si="1040"/>
        <v>-9.6917229729729826E-2</v>
      </c>
      <c r="HB147" s="66">
        <f t="shared" si="1040"/>
        <v>-9.2241092241092115E-2</v>
      </c>
      <c r="HC147" s="66">
        <f t="shared" si="1040"/>
        <v>-3.5778175313059046E-2</v>
      </c>
      <c r="HD147" s="66">
        <f t="shared" si="1040"/>
        <v>-6.2103596063920019E-2</v>
      </c>
      <c r="HF147" s="65" t="s">
        <v>145</v>
      </c>
      <c r="HG147" s="66">
        <f t="shared" si="1041"/>
        <v>7.3766914011348828E-2</v>
      </c>
      <c r="HH147" s="66">
        <f t="shared" si="1041"/>
        <v>7.2606382978723571E-2</v>
      </c>
      <c r="HI147" s="66">
        <f t="shared" si="1041"/>
        <v>0.12370430987452252</v>
      </c>
      <c r="HJ147" s="66">
        <f t="shared" si="1041"/>
        <v>0.31954887218045114</v>
      </c>
      <c r="HK147" s="66">
        <f t="shared" si="1041"/>
        <v>0.15105910971400172</v>
      </c>
      <c r="HM147" s="65" t="s">
        <v>145</v>
      </c>
      <c r="HN147" s="66">
        <f t="shared" si="1042"/>
        <v>5.24047409148789E-2</v>
      </c>
      <c r="HO147" s="66">
        <f t="shared" si="1042"/>
        <v>9.174311926605494E-2</v>
      </c>
      <c r="HP147" s="66">
        <f t="shared" si="1042"/>
        <v>7.5233644859812987E-2</v>
      </c>
      <c r="HQ147" s="66">
        <f t="shared" si="1042"/>
        <v>-9.5238095238095233E-2</v>
      </c>
      <c r="HR147" s="66">
        <f t="shared" si="1042"/>
        <v>2.7501423642514844E-2</v>
      </c>
      <c r="HT147" s="65" t="s">
        <v>145</v>
      </c>
      <c r="HU147" s="66">
        <f t="shared" si="1043"/>
        <v>-6.4338235294114643E-4</v>
      </c>
      <c r="HV147" s="66">
        <f t="shared" si="1043"/>
        <v>6.3716625890862577E-2</v>
      </c>
      <c r="HW147" s="66">
        <f t="shared" si="1043"/>
        <v>4.2372881355932313E-2</v>
      </c>
      <c r="HX147" s="66">
        <f t="shared" si="1043"/>
        <v>8.1300813008130079E-2</v>
      </c>
      <c r="HY147" s="66">
        <f t="shared" si="1043"/>
        <v>4.4897959183673342E-2</v>
      </c>
      <c r="IA147" s="65" t="s">
        <v>145</v>
      </c>
      <c r="IB147" s="66">
        <f t="shared" si="1044"/>
        <v>4.6892039258451534E-2</v>
      </c>
      <c r="IC147" s="66">
        <f t="shared" si="1044"/>
        <v>-7.9069767441861671E-3</v>
      </c>
      <c r="ID147" s="66">
        <f t="shared" si="1044"/>
        <v>8.1300813008129413E-3</v>
      </c>
      <c r="IE147" s="66">
        <f t="shared" si="1044"/>
        <v>-7.1282101357289518E-3</v>
      </c>
      <c r="IF147" s="66">
        <f t="shared" si="1044"/>
        <v>1.041069380733961E-2</v>
      </c>
      <c r="IH147" s="65" t="s">
        <v>145</v>
      </c>
      <c r="II147" s="66">
        <f t="shared" si="1045"/>
        <v>-5.8232931726907577E-2</v>
      </c>
      <c r="IJ147" s="66">
        <f t="shared" si="1045"/>
        <v>5.9259259259259345E-2</v>
      </c>
      <c r="IK147" s="66">
        <f t="shared" si="1045"/>
        <v>-7.8678206136906237E-4</v>
      </c>
      <c r="IL147" s="66">
        <f t="shared" si="1045"/>
        <v>2.1845651286239276E-2</v>
      </c>
      <c r="IM147" s="66">
        <f t="shared" si="1045"/>
        <v>4.0710712437468377E-3</v>
      </c>
      <c r="IO147" s="65" t="s">
        <v>145</v>
      </c>
      <c r="IP147" s="66">
        <f t="shared" si="1046"/>
        <v>7.998469192499047E-2</v>
      </c>
      <c r="IQ147" s="66">
        <f t="shared" si="1046"/>
        <v>-5.9350905504751639E-2</v>
      </c>
      <c r="IR147" s="66">
        <f t="shared" si="1046"/>
        <v>9.4266385715868761E-3</v>
      </c>
      <c r="IS147" s="66">
        <f t="shared" si="1046"/>
        <v>-1.4553014553014609E-2</v>
      </c>
      <c r="IT147" s="66">
        <f t="shared" si="1046"/>
        <v>3.9568479599836337E-3</v>
      </c>
      <c r="IV147" s="65" t="s">
        <v>145</v>
      </c>
      <c r="IW147" s="66">
        <f t="shared" si="1047"/>
        <v>-4.160216718266263E-2</v>
      </c>
      <c r="IX147" s="66">
        <f t="shared" si="1047"/>
        <v>1.2295081967212962E-2</v>
      </c>
      <c r="IY147" s="66">
        <f t="shared" si="1047"/>
        <v>-7.6076076076076027E-2</v>
      </c>
      <c r="IZ147" s="66">
        <f t="shared" si="1047"/>
        <v>0.69338624338624344</v>
      </c>
      <c r="JA147" s="66">
        <f t="shared" si="1047"/>
        <v>0.12668097436897963</v>
      </c>
      <c r="JC147" s="65" t="s">
        <v>145</v>
      </c>
      <c r="JD147" s="66">
        <f t="shared" si="1048"/>
        <v>2.5564986194908101E-3</v>
      </c>
      <c r="JE147" s="66">
        <f t="shared" si="1048"/>
        <v>-4.4534412955465563E-2</v>
      </c>
      <c r="JF147" s="66">
        <f t="shared" si="1048"/>
        <v>7.9185520361990891E-2</v>
      </c>
      <c r="JG147" s="66">
        <f t="shared" si="1048"/>
        <v>-0.39484869092145525</v>
      </c>
      <c r="JH147" s="66">
        <f t="shared" si="1048"/>
        <v>-0.12511775398373326</v>
      </c>
      <c r="JJ147" s="65" t="s">
        <v>145</v>
      </c>
      <c r="JK147" s="66">
        <f t="shared" si="1049"/>
        <v>8.1879844961240345E-2</v>
      </c>
      <c r="JL147" s="66">
        <f t="shared" si="1049"/>
        <v>0.15677966101694918</v>
      </c>
      <c r="JM147" s="66">
        <f t="shared" si="1049"/>
        <v>0.11194968553459139</v>
      </c>
      <c r="JN147" s="66">
        <f t="shared" si="1049"/>
        <v>0.10324483775811211</v>
      </c>
      <c r="JO147" s="66">
        <f t="shared" si="1049"/>
        <v>0.11295514329226064</v>
      </c>
      <c r="JQ147" s="65" t="s">
        <v>145</v>
      </c>
      <c r="JR147" s="66">
        <f t="shared" si="1050"/>
        <v>-2.1134593993325845E-2</v>
      </c>
      <c r="JS147" s="66">
        <f t="shared" si="1050"/>
        <v>4.9180327868852514E-2</v>
      </c>
      <c r="JT147" s="66">
        <f t="shared" si="1050"/>
        <v>-2.8846153846153966E-2</v>
      </c>
      <c r="JU147" s="66">
        <f t="shared" si="1050"/>
        <v>-1.8181818181818188E-2</v>
      </c>
      <c r="JV147" s="66">
        <f t="shared" si="1050"/>
        <v>-4.8228218162857939E-3</v>
      </c>
      <c r="JX147" s="65" t="s">
        <v>145</v>
      </c>
      <c r="JY147" s="66">
        <f t="shared" si="1051"/>
        <v>8.8401253918495293E-2</v>
      </c>
      <c r="JZ147" s="66">
        <f t="shared" si="1051"/>
        <v>-6.5029761904762062E-2</v>
      </c>
      <c r="KA147" s="66">
        <f t="shared" si="1007"/>
        <v>5.2110474205302459E-4</v>
      </c>
      <c r="KB147" s="66">
        <f t="shared" si="1007"/>
        <v>6.4030131826741998E-2</v>
      </c>
      <c r="KC147" s="66">
        <f t="shared" si="1007"/>
        <v>2.159557379975019E-2</v>
      </c>
      <c r="KE147" s="65" t="s">
        <v>145</v>
      </c>
      <c r="KF147" s="66">
        <f t="shared" si="914"/>
        <v>0.10839598997493738</v>
      </c>
      <c r="KG147" s="66">
        <f t="shared" si="914"/>
        <v>0.14625743814594427</v>
      </c>
      <c r="KH147" s="66">
        <f t="shared" si="914"/>
        <v>0.1655092592592593</v>
      </c>
      <c r="KI147" s="66">
        <f t="shared" si="914"/>
        <v>0.11883691529709228</v>
      </c>
      <c r="KJ147" s="66">
        <f t="shared" si="914"/>
        <v>0.13269341682458591</v>
      </c>
      <c r="KL147" s="65" t="s">
        <v>145</v>
      </c>
      <c r="KM147" s="66">
        <f t="shared" si="915"/>
        <v>1.1709601873535203E-3</v>
      </c>
      <c r="KN147" s="66">
        <f t="shared" si="915"/>
        <v>0.11050394656952034</v>
      </c>
      <c r="KO147" s="66">
        <f t="shared" si="915"/>
        <v>0.14622641509433953</v>
      </c>
      <c r="KP147" s="66">
        <f t="shared" si="915"/>
        <v>0.13037037037037047</v>
      </c>
      <c r="KQ147" s="66">
        <f t="shared" si="915"/>
        <v>9.2076302274394672E-2</v>
      </c>
      <c r="KS147" s="65" t="s">
        <v>145</v>
      </c>
      <c r="KT147" s="66">
        <f t="shared" si="916"/>
        <v>0.20400000000000018</v>
      </c>
      <c r="KU147" s="66">
        <f t="shared" si="916"/>
        <v>6.5023112480739442E-2</v>
      </c>
      <c r="KV147" s="66">
        <f t="shared" si="916"/>
        <v>0.17257683215130015</v>
      </c>
      <c r="KW147" s="66">
        <f t="shared" si="916"/>
        <v>0.185828616045286</v>
      </c>
      <c r="KX147" s="66">
        <f t="shared" si="916"/>
        <v>0.15686122922303847</v>
      </c>
      <c r="KZ147" s="65" t="s">
        <v>145</v>
      </c>
      <c r="LA147" s="66">
        <f t="shared" si="917"/>
        <v>0.1215569849909286</v>
      </c>
      <c r="LB147" s="66">
        <f t="shared" si="917"/>
        <v>8.2812500000000178E-2</v>
      </c>
      <c r="LC147" s="112">
        <f t="shared" si="1065"/>
        <v>-6.1774193548386203E-3</v>
      </c>
      <c r="LD147" s="112">
        <f t="shared" si="1066"/>
        <v>-1.0911111111111205E-2</v>
      </c>
      <c r="LE147" s="112">
        <f t="shared" si="920"/>
        <v>4.7084687838626182E-2</v>
      </c>
      <c r="LF147" s="566"/>
      <c r="LG147" s="65" t="s">
        <v>145</v>
      </c>
      <c r="LH147" s="112">
        <f t="shared" ref="LH147" si="1072">LH121/LA121-1</f>
        <v>-2.0948529411764838E-2</v>
      </c>
      <c r="LI147" s="112">
        <f t="shared" ref="LI147" si="1073">LI121/LB121-1</f>
        <v>6.3888888888888884E-2</v>
      </c>
      <c r="LJ147" s="112">
        <f t="shared" ref="LJ147" si="1074">LJ121/LC121-1</f>
        <v>1.1441647597254523E-3</v>
      </c>
      <c r="LK147" s="112">
        <f t="shared" si="1058"/>
        <v>-3.871876099964755E-3</v>
      </c>
      <c r="LL147" s="112">
        <f t="shared" si="925"/>
        <v>9.9635226680563349E-3</v>
      </c>
      <c r="LM147" s="566"/>
      <c r="LN147" s="65" t="s">
        <v>145</v>
      </c>
      <c r="LO147" s="112">
        <f t="shared" si="1067"/>
        <v>2.0120014119308083E-2</v>
      </c>
      <c r="LP147" s="112">
        <f t="shared" si="1068"/>
        <v>2.4943058718959854E-2</v>
      </c>
      <c r="LQ147" s="112">
        <f t="shared" si="1069"/>
        <v>3.0000000000000027E-2</v>
      </c>
      <c r="LR147" s="112">
        <f t="shared" si="1070"/>
        <v>2.9922562213367643E-2</v>
      </c>
      <c r="LS147" s="112">
        <f t="shared" si="1071"/>
        <v>2.6239847779418568E-2</v>
      </c>
      <c r="LT147" s="566"/>
      <c r="LU147" s="65" t="s">
        <v>145</v>
      </c>
      <c r="LV147" s="112">
        <f t="shared" si="931"/>
        <v>2.750000000000008E-2</v>
      </c>
      <c r="LW147" s="112">
        <f t="shared" si="932"/>
        <v>2.750000000000008E-2</v>
      </c>
      <c r="LX147" s="112">
        <f t="shared" si="933"/>
        <v>2.750000000000008E-2</v>
      </c>
      <c r="LY147" s="112">
        <f t="shared" si="934"/>
        <v>2.750000000000008E-2</v>
      </c>
      <c r="LZ147" s="112">
        <f t="shared" si="935"/>
        <v>2.7435682079581136E-2</v>
      </c>
      <c r="MA147" s="566"/>
      <c r="MB147" s="65" t="s">
        <v>145</v>
      </c>
      <c r="MC147" s="112">
        <f t="shared" si="936"/>
        <v>2.4999999999999911E-2</v>
      </c>
      <c r="MD147" s="112">
        <f t="shared" si="937"/>
        <v>2.4999999999999911E-2</v>
      </c>
      <c r="ME147" s="112">
        <f t="shared" si="938"/>
        <v>2.4999999999999911E-2</v>
      </c>
      <c r="MF147" s="112">
        <f t="shared" si="939"/>
        <v>2.4999999999999911E-2</v>
      </c>
      <c r="MG147" s="112">
        <f t="shared" si="940"/>
        <v>2.5101197555859045E-2</v>
      </c>
      <c r="MH147" s="566"/>
    </row>
    <row r="148" spans="1:346" s="37" customFormat="1" ht="13.15" x14ac:dyDescent="0.4">
      <c r="A148" s="100"/>
      <c r="B148" s="69"/>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D148" s="53"/>
      <c r="BE148" s="53"/>
      <c r="BF148" s="53"/>
      <c r="BG148" s="53"/>
      <c r="BH148" s="53"/>
      <c r="BI148" s="53"/>
      <c r="BJ148" s="53"/>
      <c r="BK148" s="53"/>
      <c r="BL148" s="53"/>
      <c r="BM148" s="53"/>
      <c r="BO148" s="69"/>
      <c r="BP148" s="53"/>
      <c r="BQ148" s="53"/>
      <c r="BR148" s="53"/>
      <c r="BS148" s="53"/>
      <c r="BT148" s="53"/>
      <c r="BV148" s="69"/>
      <c r="BW148" s="53"/>
      <c r="BX148" s="53"/>
      <c r="BY148" s="53"/>
      <c r="BZ148" s="53"/>
      <c r="CA148" s="53"/>
      <c r="CC148" s="69"/>
      <c r="CD148" s="53"/>
      <c r="CE148" s="53"/>
      <c r="CF148" s="53"/>
      <c r="CG148" s="53"/>
      <c r="CH148" s="53"/>
      <c r="CJ148" s="69"/>
      <c r="CK148" s="53"/>
      <c r="CL148" s="53"/>
      <c r="CM148" s="53"/>
      <c r="CN148" s="53"/>
      <c r="CO148" s="53"/>
      <c r="CQ148" s="69"/>
      <c r="CR148" s="53"/>
      <c r="CS148" s="53"/>
      <c r="CT148" s="53"/>
      <c r="CU148" s="53"/>
      <c r="CV148" s="53"/>
      <c r="CX148" s="69"/>
      <c r="CY148" s="53"/>
      <c r="CZ148" s="53"/>
      <c r="DA148" s="53"/>
      <c r="DB148" s="53"/>
      <c r="DC148" s="53"/>
      <c r="DE148" s="69"/>
      <c r="DF148" s="53"/>
      <c r="DG148" s="53"/>
      <c r="DH148" s="53"/>
      <c r="DI148" s="53"/>
      <c r="DJ148" s="53"/>
      <c r="DL148" s="69"/>
      <c r="DM148" s="53"/>
      <c r="DN148" s="53"/>
      <c r="DO148" s="53"/>
      <c r="DP148" s="53"/>
      <c r="DQ148" s="53"/>
      <c r="DS148" s="69"/>
      <c r="DT148" s="53"/>
      <c r="DU148" s="53"/>
      <c r="DV148" s="53"/>
      <c r="DW148" s="53"/>
      <c r="DX148" s="53"/>
      <c r="DZ148" s="69"/>
      <c r="EA148" s="53"/>
      <c r="EB148" s="53"/>
      <c r="EC148" s="53"/>
      <c r="ED148" s="53"/>
      <c r="EE148" s="53"/>
      <c r="EG148" s="69"/>
      <c r="EH148" s="53"/>
      <c r="EI148" s="53"/>
      <c r="EJ148" s="53"/>
      <c r="EK148" s="53"/>
      <c r="EL148" s="53"/>
      <c r="EN148" s="69"/>
      <c r="EO148" s="53"/>
      <c r="EP148" s="53"/>
      <c r="EQ148" s="53"/>
      <c r="ER148" s="53"/>
      <c r="ES148" s="53"/>
      <c r="EU148" s="69"/>
      <c r="EV148" s="53"/>
      <c r="EW148" s="53"/>
      <c r="EX148" s="53"/>
      <c r="EY148" s="53"/>
      <c r="EZ148" s="53"/>
      <c r="FB148" s="69"/>
      <c r="FC148" s="53"/>
      <c r="FD148" s="53"/>
      <c r="FE148" s="53"/>
      <c r="FF148" s="53"/>
      <c r="FG148" s="53"/>
      <c r="FI148" s="69"/>
      <c r="FJ148" s="53"/>
      <c r="FK148" s="53"/>
      <c r="FL148" s="53"/>
      <c r="FM148" s="53"/>
      <c r="FN148" s="53"/>
      <c r="FP148" s="69"/>
      <c r="FQ148" s="53"/>
      <c r="FR148" s="53"/>
      <c r="FS148" s="53"/>
      <c r="FT148" s="53"/>
      <c r="FU148" s="53"/>
      <c r="FW148" s="69"/>
      <c r="FX148" s="53"/>
      <c r="FY148" s="53"/>
      <c r="FZ148" s="53"/>
      <c r="GA148" s="53"/>
      <c r="GB148" s="53"/>
      <c r="GD148" s="69"/>
      <c r="GE148" s="53"/>
      <c r="GF148" s="53"/>
      <c r="GG148" s="53"/>
      <c r="GH148" s="53"/>
      <c r="GI148" s="53"/>
      <c r="GK148" s="69"/>
      <c r="GL148" s="53"/>
      <c r="GM148" s="53"/>
      <c r="GN148" s="53"/>
      <c r="GO148" s="53"/>
      <c r="GP148" s="53"/>
      <c r="GR148" s="69"/>
      <c r="GS148" s="53"/>
      <c r="GT148" s="53"/>
      <c r="GU148" s="53"/>
      <c r="GV148" s="53"/>
      <c r="GW148" s="53"/>
      <c r="GY148" s="69"/>
      <c r="GZ148" s="53"/>
      <c r="HA148" s="53"/>
      <c r="HB148" s="53"/>
      <c r="HC148" s="53"/>
      <c r="HD148" s="53"/>
      <c r="HF148" s="69"/>
      <c r="HG148" s="53"/>
      <c r="HH148" s="53"/>
      <c r="HI148" s="53"/>
      <c r="HJ148" s="53"/>
      <c r="HK148" s="53"/>
      <c r="HM148" s="69"/>
      <c r="HN148" s="53"/>
      <c r="HO148" s="53"/>
      <c r="HP148" s="53"/>
      <c r="HQ148" s="53"/>
      <c r="HR148" s="53"/>
      <c r="HT148" s="69"/>
      <c r="HU148" s="53"/>
      <c r="HV148" s="53"/>
      <c r="HW148" s="53"/>
      <c r="HX148" s="53"/>
      <c r="HY148" s="53"/>
      <c r="IA148" s="69"/>
      <c r="IB148" s="53"/>
      <c r="IC148" s="53"/>
      <c r="ID148" s="53"/>
      <c r="IE148" s="53"/>
      <c r="IF148" s="53"/>
      <c r="IH148" s="69"/>
      <c r="II148" s="53"/>
      <c r="IJ148" s="53"/>
      <c r="IK148" s="53"/>
      <c r="IL148" s="53"/>
      <c r="IM148" s="53"/>
      <c r="IO148" s="69"/>
      <c r="IP148" s="53"/>
      <c r="IQ148" s="53"/>
      <c r="IR148" s="53"/>
      <c r="IS148" s="53"/>
      <c r="IT148" s="53"/>
      <c r="IV148" s="69"/>
      <c r="IW148" s="53"/>
      <c r="IX148" s="53"/>
      <c r="IY148" s="53"/>
      <c r="IZ148" s="53"/>
      <c r="JA148" s="53"/>
      <c r="JC148" s="69"/>
      <c r="JD148" s="53"/>
      <c r="JE148" s="53"/>
      <c r="JF148" s="53"/>
      <c r="JG148" s="53"/>
      <c r="JH148" s="53"/>
      <c r="JJ148" s="69"/>
      <c r="JK148" s="53"/>
      <c r="JL148" s="53"/>
      <c r="JM148" s="53"/>
      <c r="JN148" s="53"/>
      <c r="JO148" s="53"/>
      <c r="JQ148" s="69"/>
      <c r="JR148" s="53"/>
      <c r="JS148" s="53"/>
      <c r="JT148" s="53"/>
      <c r="JU148" s="53"/>
      <c r="JV148" s="53"/>
      <c r="JX148" s="69"/>
      <c r="JY148" s="53"/>
      <c r="JZ148" s="53"/>
      <c r="KA148" s="53"/>
      <c r="KB148" s="53"/>
      <c r="KC148" s="53"/>
      <c r="KE148" s="69"/>
      <c r="KF148" s="53"/>
      <c r="KG148" s="53"/>
      <c r="KH148" s="53"/>
      <c r="KI148" s="53"/>
      <c r="KJ148" s="53"/>
      <c r="KL148" s="69"/>
      <c r="KM148" s="53"/>
      <c r="KN148" s="53"/>
      <c r="KO148" s="53"/>
      <c r="KP148" s="53"/>
      <c r="KQ148" s="53"/>
      <c r="KS148" s="69"/>
      <c r="KT148" s="53"/>
      <c r="KU148" s="53"/>
      <c r="KV148" s="53"/>
      <c r="KX148" s="53"/>
      <c r="KZ148" s="69"/>
      <c r="LA148" s="53"/>
      <c r="LB148" s="53"/>
      <c r="LF148" s="565"/>
      <c r="LG148" s="69"/>
      <c r="LM148" s="565"/>
      <c r="LN148" s="69"/>
      <c r="LT148" s="565"/>
      <c r="LU148" s="69"/>
      <c r="MA148" s="565"/>
      <c r="MB148" s="69"/>
      <c r="MH148" s="565"/>
    </row>
    <row r="149" spans="1:346" s="37" customFormat="1" ht="13.5" thickBot="1" x14ac:dyDescent="0.45">
      <c r="A149" s="100"/>
      <c r="B149" s="141" t="s">
        <v>146</v>
      </c>
      <c r="C149" s="142"/>
      <c r="D149" s="142"/>
      <c r="E149" s="142"/>
      <c r="F149" s="142"/>
      <c r="G149" s="142"/>
      <c r="H149" s="142"/>
      <c r="I149" s="142"/>
      <c r="J149" s="142"/>
      <c r="K149" s="142"/>
      <c r="L149" s="142"/>
      <c r="M149" s="142"/>
      <c r="N149" s="142">
        <f>BT149</f>
        <v>0</v>
      </c>
      <c r="O149" s="142">
        <f>CA149</f>
        <v>3.9685951535172181E-2</v>
      </c>
      <c r="P149" s="142">
        <f>CH149</f>
        <v>9.1287122595618886E-2</v>
      </c>
      <c r="Q149" s="142">
        <f>CO149</f>
        <v>1.5995787030109287E-2</v>
      </c>
      <c r="R149" s="142">
        <f>CV149</f>
        <v>1.1517350458849274E-2</v>
      </c>
      <c r="S149" s="142">
        <f>DC149</f>
        <v>-1.3917525393760566E-2</v>
      </c>
      <c r="T149" s="142">
        <f>DJ149</f>
        <v>-6.4645533766116703E-4</v>
      </c>
      <c r="U149" s="142">
        <f>DQ149</f>
        <v>2.4923775161960426E-2</v>
      </c>
      <c r="V149" s="142">
        <f>DX149</f>
        <v>-5.7397758560154832E-3</v>
      </c>
      <c r="W149" s="142">
        <f>EE149</f>
        <v>-4.4930297130774122E-3</v>
      </c>
      <c r="X149" s="142">
        <f>EL149</f>
        <v>6.93395427504504E-2</v>
      </c>
      <c r="Y149" s="142">
        <f>ES149</f>
        <v>5.8337024703131846E-2</v>
      </c>
      <c r="Z149" s="142">
        <f>EZ149</f>
        <v>2.8187711555499595E-2</v>
      </c>
      <c r="AA149" s="142">
        <f>FG149</f>
        <v>1.8806748060648859E-2</v>
      </c>
      <c r="AB149" s="142">
        <f>FN149</f>
        <v>1.752978371429581E-2</v>
      </c>
      <c r="AC149" s="142">
        <f>FU149</f>
        <v>3.9133471952106591E-2</v>
      </c>
      <c r="AD149" s="142">
        <f>GB149</f>
        <v>8.6807374917821978E-2</v>
      </c>
      <c r="AE149" s="142">
        <f>GI149</f>
        <v>0.13298348623148826</v>
      </c>
      <c r="AF149" s="142">
        <f>GP149</f>
        <v>8.9555324867636399E-2</v>
      </c>
      <c r="AG149" s="142">
        <f>GW149</f>
        <v>0.16995285783725067</v>
      </c>
      <c r="AH149" s="142">
        <f>HD149</f>
        <v>-3.9025029291256619E-2</v>
      </c>
      <c r="AI149" s="142">
        <f>HK149</f>
        <v>7.2220346371814736E-2</v>
      </c>
      <c r="AJ149" s="142">
        <f>HR149</f>
        <v>6.2094898920581398E-2</v>
      </c>
      <c r="AK149" s="142">
        <f>HY149</f>
        <v>5.0630508293933119E-2</v>
      </c>
      <c r="AL149" s="142">
        <f>IF149</f>
        <v>2.1260156728680535E-2</v>
      </c>
      <c r="AM149" s="142">
        <f>IM149</f>
        <v>1.8456914833909321E-2</v>
      </c>
      <c r="AN149" s="142">
        <f>IT149</f>
        <v>-2.0235784194774675E-2</v>
      </c>
      <c r="AO149" s="142">
        <f>JA149</f>
        <v>2.5905420917196054E-3</v>
      </c>
      <c r="AP149" s="142">
        <f>JH149</f>
        <v>2.6264913447644922E-2</v>
      </c>
      <c r="AQ149" s="142">
        <f>JO149</f>
        <v>6.0632270640759378E-2</v>
      </c>
      <c r="AR149" s="142">
        <f>JV149</f>
        <v>1.0462647530194769E-2</v>
      </c>
      <c r="AS149" s="142">
        <f>KC149</f>
        <v>-4.3342603992128081E-3</v>
      </c>
      <c r="AT149" s="142">
        <f>KJ149</f>
        <v>5.0513907019174464E-2</v>
      </c>
      <c r="AU149" s="142">
        <f>KQ149</f>
        <v>9.8404481216828099E-2</v>
      </c>
      <c r="AV149" s="142">
        <f>KX149</f>
        <v>2.5004377288409652E-2</v>
      </c>
      <c r="AW149" s="142">
        <f>LE149</f>
        <v>1.8400748496147035E-2</v>
      </c>
      <c r="AX149" s="142">
        <f>LL149</f>
        <v>5.9114809826910086E-3</v>
      </c>
      <c r="AY149" s="142">
        <f>LS149</f>
        <v>2.2420975581413982E-2</v>
      </c>
      <c r="AZ149" s="142">
        <f>LZ149</f>
        <v>2.715793231527619E-2</v>
      </c>
      <c r="BA149" s="142">
        <f>MG149</f>
        <v>2.4626647072326202E-2</v>
      </c>
      <c r="BB149" s="142"/>
      <c r="BC149" s="142"/>
      <c r="BD149" s="142"/>
      <c r="BE149" s="142"/>
      <c r="BF149" s="142"/>
      <c r="BG149" s="142"/>
      <c r="BH149" s="142"/>
      <c r="BI149" s="142"/>
      <c r="BJ149" s="142"/>
      <c r="BK149" s="142"/>
      <c r="BL149" s="142"/>
      <c r="BM149" s="142"/>
      <c r="BO149" s="141" t="s">
        <v>146</v>
      </c>
      <c r="BP149" s="142"/>
      <c r="BQ149" s="142"/>
      <c r="BR149" s="142"/>
      <c r="BS149" s="142"/>
      <c r="BT149" s="142"/>
      <c r="BV149" s="141" t="s">
        <v>146</v>
      </c>
      <c r="BW149" s="142">
        <f>BW126/BP126-1</f>
        <v>2.6455282682696035E-2</v>
      </c>
      <c r="BX149" s="142">
        <f>BX126/BQ126-1</f>
        <v>4.2264936070352865E-2</v>
      </c>
      <c r="BY149" s="142">
        <f>BY126/BR126-1</f>
        <v>6.1177628341807511E-2</v>
      </c>
      <c r="BZ149" s="142">
        <f>BZ126/BS126-1</f>
        <v>3.0957426709430358E-2</v>
      </c>
      <c r="CA149" s="142">
        <f>CA126/BT126-1</f>
        <v>3.9685951535172181E-2</v>
      </c>
      <c r="CC149" s="141" t="s">
        <v>146</v>
      </c>
      <c r="CD149" s="142">
        <f>CD126/BW126-1</f>
        <v>9.1496212298998403E-2</v>
      </c>
      <c r="CE149" s="142">
        <f>CE126/BX126-1</f>
        <v>0.12120978247396397</v>
      </c>
      <c r="CF149" s="142">
        <f>CF126/BY126-1</f>
        <v>9.9120334188113057E-2</v>
      </c>
      <c r="CG149" s="142">
        <f>CG126/BZ126-1</f>
        <v>5.1680010266135668E-2</v>
      </c>
      <c r="CH149" s="142">
        <f>CH126/CA126-1</f>
        <v>9.1287122595618886E-2</v>
      </c>
      <c r="CJ149" s="141" t="s">
        <v>146</v>
      </c>
      <c r="CK149" s="142">
        <f>CK126/CD126-1</f>
        <v>4.9790243902438913E-2</v>
      </c>
      <c r="CL149" s="142">
        <f>CL126/CE126-1</f>
        <v>9.2724745134384889E-3</v>
      </c>
      <c r="CM149" s="142">
        <f>CM126/CF126-1</f>
        <v>7.8225024607208038E-3</v>
      </c>
      <c r="CN149" s="142">
        <f>CN126/CG126-1</f>
        <v>-2.2370454730333833E-3</v>
      </c>
      <c r="CO149" s="142">
        <f>CO126/CH126-1</f>
        <v>1.5995787030109287E-2</v>
      </c>
      <c r="CQ149" s="141" t="s">
        <v>146</v>
      </c>
      <c r="CR149" s="142">
        <f>CR126/CK126-1</f>
        <v>-9.3324623035129228E-5</v>
      </c>
      <c r="CS149" s="142">
        <f>CS126/CL126-1</f>
        <v>1.5496173523318335E-2</v>
      </c>
      <c r="CT149" s="142">
        <f>CT126/CM126-1</f>
        <v>-1.7719568567026167E-3</v>
      </c>
      <c r="CU149" s="142">
        <f>CU126/CN126-1</f>
        <v>3.2087105311957131E-2</v>
      </c>
      <c r="CV149" s="142">
        <f>CV126/CO126-1</f>
        <v>1.1517350458849274E-2</v>
      </c>
      <c r="CX149" s="141" t="s">
        <v>146</v>
      </c>
      <c r="CY149" s="142">
        <f>CY126/CR126-1</f>
        <v>-3.1219272369713558E-3</v>
      </c>
      <c r="CZ149" s="142">
        <f>CZ126/CS126-1</f>
        <v>-1.0261614794767948E-2</v>
      </c>
      <c r="DA149" s="142">
        <f>DA126/CT126-1</f>
        <v>-3.6860414218903292E-3</v>
      </c>
      <c r="DB149" s="142">
        <f>DB126/CU126-1</f>
        <v>-3.7060165725951721E-2</v>
      </c>
      <c r="DC149" s="142">
        <f>DC126/CV126-1</f>
        <v>-1.3917525393760566E-2</v>
      </c>
      <c r="DE149" s="141" t="s">
        <v>146</v>
      </c>
      <c r="DF149" s="142">
        <f>DF126/CY126-1</f>
        <v>-2.0996132576716175E-2</v>
      </c>
      <c r="DG149" s="142">
        <f>DG126/CZ126-1</f>
        <v>-1.3410356921807143E-2</v>
      </c>
      <c r="DH149" s="142">
        <f>DH126/DA126-1</f>
        <v>9.7465998677777055E-3</v>
      </c>
      <c r="DI149" s="142">
        <f>DI126/DB126-1</f>
        <v>2.2547585767713541E-2</v>
      </c>
      <c r="DJ149" s="142">
        <f>DJ126/DC126-1</f>
        <v>-6.4645533766116703E-4</v>
      </c>
      <c r="DL149" s="141" t="s">
        <v>146</v>
      </c>
      <c r="DM149" s="142">
        <f>DM126/DF126-1</f>
        <v>2.6871195832397499E-2</v>
      </c>
      <c r="DN149" s="142">
        <f>DN126/DG126-1</f>
        <v>3.263434871191051E-2</v>
      </c>
      <c r="DO149" s="142">
        <f>DO126/DH126-1</f>
        <v>1.9368082332381187E-2</v>
      </c>
      <c r="DP149" s="142">
        <f>DP126/DI126-1</f>
        <v>2.0757348490829219E-2</v>
      </c>
      <c r="DQ149" s="142">
        <f>DQ126/DJ126-1</f>
        <v>2.4923775161960426E-2</v>
      </c>
      <c r="DS149" s="141" t="s">
        <v>146</v>
      </c>
      <c r="DT149" s="142">
        <f>DT126/DM126-1</f>
        <v>8.1209219358775453E-3</v>
      </c>
      <c r="DU149" s="142">
        <f>DU126/DN126-1</f>
        <v>-1.0886502524206643E-3</v>
      </c>
      <c r="DV149" s="142">
        <f>DV126/DO126-1</f>
        <v>-6.7251046916034785E-3</v>
      </c>
      <c r="DW149" s="142">
        <f>DW126/DP126-1</f>
        <v>-2.2909775683243927E-2</v>
      </c>
      <c r="DX149" s="142">
        <f>DX126/DQ126-1</f>
        <v>-5.7397758560154832E-3</v>
      </c>
      <c r="DZ149" s="141" t="s">
        <v>146</v>
      </c>
      <c r="EA149" s="142">
        <f>EA126/DT126-1</f>
        <v>-1.8188978674990697E-2</v>
      </c>
      <c r="EB149" s="142">
        <f>EB126/DU126-1</f>
        <v>-2.9577312540250533E-2</v>
      </c>
      <c r="EC149" s="142">
        <f>EC126/DV126-1</f>
        <v>1.5566539843807625E-2</v>
      </c>
      <c r="ED149" s="142">
        <f>ED126/DW126-1</f>
        <v>2.052698437139111E-2</v>
      </c>
      <c r="EE149" s="142">
        <f>EE126/DX126-1</f>
        <v>-4.4930297130774122E-3</v>
      </c>
      <c r="EG149" s="141" t="s">
        <v>146</v>
      </c>
      <c r="EH149" s="142">
        <f>EH126/EA126-1</f>
        <v>-3.159397107494577E-3</v>
      </c>
      <c r="EI149" s="142">
        <f>EI126/EB126-1</f>
        <v>9.4007960772324095E-2</v>
      </c>
      <c r="EJ149" s="142">
        <f>EJ126/EC126-1</f>
        <v>9.0739094047494362E-2</v>
      </c>
      <c r="EK149" s="142">
        <f>EK126/ED126-1</f>
        <v>9.4162014571308905E-2</v>
      </c>
      <c r="EL149" s="142">
        <f>EL126/EE126-1</f>
        <v>6.93395427504504E-2</v>
      </c>
      <c r="EN149" s="141" t="s">
        <v>146</v>
      </c>
      <c r="EO149" s="142">
        <f>EO126/EH126-1</f>
        <v>0.11447492904446555</v>
      </c>
      <c r="EP149" s="142">
        <f>EP126/EI126-1</f>
        <v>5.7471583867836795E-2</v>
      </c>
      <c r="EQ149" s="142">
        <f>EQ126/EJ126-1</f>
        <v>3.6030232469708379E-2</v>
      </c>
      <c r="ER149" s="142">
        <f>ER126/EK126-1</f>
        <v>2.7525839345172054E-2</v>
      </c>
      <c r="ES149" s="142">
        <f>ES126/EL126-1</f>
        <v>5.8337024703131846E-2</v>
      </c>
      <c r="EU149" s="141" t="s">
        <v>146</v>
      </c>
      <c r="EV149" s="142">
        <f>EV126/EO126-1</f>
        <v>4.6667693176277281E-2</v>
      </c>
      <c r="EW149" s="142">
        <f>EW126/EP126-1</f>
        <v>3.6804117240946566E-2</v>
      </c>
      <c r="EX149" s="142">
        <f>EX126/EQ126-1</f>
        <v>2.0868670225163699E-2</v>
      </c>
      <c r="EY149" s="142">
        <f>EY126/ER126-1</f>
        <v>7.6091675616387633E-3</v>
      </c>
      <c r="EZ149" s="142">
        <f>EZ126/ES126-1</f>
        <v>2.8187711555499595E-2</v>
      </c>
      <c r="FB149" s="141" t="s">
        <v>146</v>
      </c>
      <c r="FC149" s="142">
        <f>FC126/EV126-1</f>
        <v>1.6786941268427613E-2</v>
      </c>
      <c r="FD149" s="142">
        <f>FD126/EW126-1</f>
        <v>5.1226386349787489E-3</v>
      </c>
      <c r="FE149" s="142">
        <f>FE126/EX126-1</f>
        <v>9.0982762876612444E-3</v>
      </c>
      <c r="FF149" s="142">
        <f>FF126/EY126-1</f>
        <v>4.5532292737638924E-2</v>
      </c>
      <c r="FG149" s="142">
        <f>FG126/EZ126-1</f>
        <v>1.8806748060648859E-2</v>
      </c>
      <c r="FI149" s="141" t="s">
        <v>146</v>
      </c>
      <c r="FJ149" s="142">
        <f>FJ126/FC126-1</f>
        <v>2.6449912519744379E-2</v>
      </c>
      <c r="FK149" s="142">
        <f>FK126/FD126-1</f>
        <v>2.4933214603739762E-2</v>
      </c>
      <c r="FL149" s="142">
        <f>FL126/FE126-1</f>
        <v>1.6746332181995172E-2</v>
      </c>
      <c r="FM149" s="142">
        <f>FM126/FF126-1</f>
        <v>1.8913385959442586E-3</v>
      </c>
      <c r="FN149" s="142">
        <f>FN126/FG126-1</f>
        <v>1.752978371429581E-2</v>
      </c>
      <c r="FP149" s="141" t="s">
        <v>146</v>
      </c>
      <c r="FQ149" s="142">
        <f>FQ126/FJ126-1</f>
        <v>4.9371215649742783E-3</v>
      </c>
      <c r="FR149" s="142">
        <f>FR126/FK126-1</f>
        <v>2.1392243188629312E-2</v>
      </c>
      <c r="FS149" s="142">
        <f>FS126/FL126-1</f>
        <v>5.8902735070399892E-2</v>
      </c>
      <c r="FT149" s="142">
        <f>FT126/FM126-1</f>
        <v>7.0434532417678053E-2</v>
      </c>
      <c r="FU149" s="142">
        <f>FU126/FN126-1</f>
        <v>3.9133471952106591E-2</v>
      </c>
      <c r="FW149" s="141" t="s">
        <v>146</v>
      </c>
      <c r="FX149" s="142">
        <f>FX126/FQ126-1</f>
        <v>7.0382204002893634E-2</v>
      </c>
      <c r="FY149" s="142">
        <f>FY126/FR126-1</f>
        <v>7.8236122738793101E-2</v>
      </c>
      <c r="FZ149" s="142">
        <f>FZ126/FS126-1</f>
        <v>8.3043944221287358E-2</v>
      </c>
      <c r="GA149" s="142">
        <f>GA126/FT126-1</f>
        <v>0.11907446986172587</v>
      </c>
      <c r="GB149" s="142">
        <f>GB126/FU126-1</f>
        <v>8.6807374917821978E-2</v>
      </c>
      <c r="GD149" s="141" t="s">
        <v>146</v>
      </c>
      <c r="GE149" s="142">
        <f>GE126/FX126-1</f>
        <v>0.13941591510098506</v>
      </c>
      <c r="GF149" s="142">
        <f>GF126/FY126-1</f>
        <v>0.14266517728770811</v>
      </c>
      <c r="GG149" s="142">
        <f>GG126/FZ126-1</f>
        <v>0.15093206176257112</v>
      </c>
      <c r="GH149" s="142">
        <f>GH126/GA126-1</f>
        <v>0.10071808653064407</v>
      </c>
      <c r="GI149" s="142">
        <f>GI126/GB126-1</f>
        <v>0.13298348623148826</v>
      </c>
      <c r="GK149" s="141" t="s">
        <v>146</v>
      </c>
      <c r="GL149" s="142">
        <f>GL126/GE126-1</f>
        <v>8.8442768411712613E-2</v>
      </c>
      <c r="GM149" s="142">
        <f>GM126/GF126-1</f>
        <v>8.1978969935174284E-2</v>
      </c>
      <c r="GN149" s="142">
        <f>GN126/GG126-1</f>
        <v>8.4462783568812316E-2</v>
      </c>
      <c r="GO149" s="142">
        <f>GO126/GH126-1</f>
        <v>0.10291552026907214</v>
      </c>
      <c r="GP149" s="142">
        <f>GP126/GI126-1</f>
        <v>8.9555324867636399E-2</v>
      </c>
      <c r="GR149" s="141" t="s">
        <v>146</v>
      </c>
      <c r="GS149" s="142">
        <f>GS126/GL126-1</f>
        <v>0.14918469799269385</v>
      </c>
      <c r="GT149" s="142">
        <f>GT126/GM126-1</f>
        <v>0.17359030646819806</v>
      </c>
      <c r="GU149" s="142">
        <f>GU126/GN126-1</f>
        <v>0.20591635140815479</v>
      </c>
      <c r="GV149" s="142">
        <f>GV126/GO126-1</f>
        <v>0.15500531966341047</v>
      </c>
      <c r="GW149" s="142">
        <f>GW126/GP126-1</f>
        <v>0.16995285783725067</v>
      </c>
      <c r="GY149" s="141" t="s">
        <v>146</v>
      </c>
      <c r="GZ149" s="142">
        <f>GZ126/GS126-1</f>
        <v>3.1565561060474145E-2</v>
      </c>
      <c r="HA149" s="142">
        <f>HA126/GT126-1</f>
        <v>-4.7495154686054253E-2</v>
      </c>
      <c r="HB149" s="142">
        <f>HB126/GU126-1</f>
        <v>-8.5095685889649664E-2</v>
      </c>
      <c r="HC149" s="142">
        <f>HC126/GV126-1</f>
        <v>-5.4548996688096762E-2</v>
      </c>
      <c r="HD149" s="142">
        <f>HD126/GW126-1</f>
        <v>-3.9025029291256619E-2</v>
      </c>
      <c r="HF149" s="141" t="s">
        <v>146</v>
      </c>
      <c r="HG149" s="142">
        <f>HG126/GZ126-1</f>
        <v>4.525034508721304E-2</v>
      </c>
      <c r="HH149" s="142">
        <f>HH126/HA126-1</f>
        <v>8.9648504651878236E-2</v>
      </c>
      <c r="HI149" s="142">
        <f>HI126/HB126-1</f>
        <v>7.5579700443791697E-2</v>
      </c>
      <c r="HJ149" s="142">
        <f>HJ126/HC126-1</f>
        <v>7.7734349764196686E-2</v>
      </c>
      <c r="HK149" s="142">
        <f>HK126/HD126-1</f>
        <v>7.2220346371814736E-2</v>
      </c>
      <c r="HM149" s="141" t="s">
        <v>146</v>
      </c>
      <c r="HN149" s="142">
        <f>HN126/HG126-1</f>
        <v>4.5565302144249697E-2</v>
      </c>
      <c r="HO149" s="142">
        <f>HO126/HH126-1</f>
        <v>7.7706267144967311E-2</v>
      </c>
      <c r="HP149" s="142">
        <f>HP126/HI126-1</f>
        <v>7.2585046195038361E-2</v>
      </c>
      <c r="HQ149" s="142">
        <f>HQ126/HJ126-1</f>
        <v>5.3328752481294872E-2</v>
      </c>
      <c r="HR149" s="142">
        <f>HR126/HK126-1</f>
        <v>6.2094898920581398E-2</v>
      </c>
      <c r="HT149" s="141" t="s">
        <v>146</v>
      </c>
      <c r="HU149" s="142">
        <f>HU126/HN126-1</f>
        <v>6.9831807536725465E-2</v>
      </c>
      <c r="HV149" s="142">
        <f>HV126/HO126-1</f>
        <v>5.6731681506349441E-2</v>
      </c>
      <c r="HW149" s="142">
        <f>HW126/HP126-1</f>
        <v>3.1254298465965835E-2</v>
      </c>
      <c r="HX149" s="142">
        <f>HX126/HQ126-1</f>
        <v>4.5050815369878094E-2</v>
      </c>
      <c r="HY149" s="142">
        <f>HY126/HR126-1</f>
        <v>5.0630508293933119E-2</v>
      </c>
      <c r="IA149" s="141" t="s">
        <v>146</v>
      </c>
      <c r="IB149" s="142">
        <f>IB126/HU126-1</f>
        <v>3.2770382322621083E-2</v>
      </c>
      <c r="IC149" s="142">
        <f>IC126/HV126-1</f>
        <v>8.8567189677650759E-3</v>
      </c>
      <c r="ID149" s="142">
        <f>ID126/HW126-1</f>
        <v>1.8601697330246525E-2</v>
      </c>
      <c r="IE149" s="142">
        <f>IE126/HX126-1</f>
        <v>2.5419665902257194E-2</v>
      </c>
      <c r="IF149" s="142">
        <f>IF126/HY126-1</f>
        <v>2.1260156728680535E-2</v>
      </c>
      <c r="IH149" s="141" t="s">
        <v>146</v>
      </c>
      <c r="II149" s="142">
        <f>II126/IB126-1</f>
        <v>1.9341190174380962E-2</v>
      </c>
      <c r="IJ149" s="142">
        <f>IJ126/IC126-1</f>
        <v>2.1650717703349365E-2</v>
      </c>
      <c r="IK149" s="142">
        <f>IK126/ID126-1</f>
        <v>2.958208509486604E-2</v>
      </c>
      <c r="IL149" s="142">
        <f>IL126/IE126-1</f>
        <v>4.5997446310450663E-3</v>
      </c>
      <c r="IM149" s="142">
        <f>IM126/IF126-1</f>
        <v>1.8456914833909321E-2</v>
      </c>
      <c r="IO149" s="141" t="s">
        <v>146</v>
      </c>
      <c r="IP149" s="142">
        <f>IP126/II126-1</f>
        <v>-3.8038025067682613E-3</v>
      </c>
      <c r="IQ149" s="142">
        <f>IQ126/IJ126-1</f>
        <v>-3.3160311699124478E-2</v>
      </c>
      <c r="IR149" s="142">
        <f>IR126/IK126-1</f>
        <v>-1.9336331661188755E-2</v>
      </c>
      <c r="IS149" s="142">
        <f>IS126/IL126-1</f>
        <v>-2.4564372405404544E-2</v>
      </c>
      <c r="IT149" s="142">
        <f>IT126/IM126-1</f>
        <v>-2.0235784194774675E-2</v>
      </c>
      <c r="IV149" s="141" t="s">
        <v>146</v>
      </c>
      <c r="IW149" s="142">
        <f>IW126/IP126-1</f>
        <v>-1.5822324730976001E-2</v>
      </c>
      <c r="IX149" s="142">
        <f>IX126/IQ126-1</f>
        <v>9.9409337769174044E-4</v>
      </c>
      <c r="IY149" s="142">
        <f>IY126/IR126-1</f>
        <v>4.5566958425558024E-3</v>
      </c>
      <c r="IZ149" s="142">
        <f>IZ126/IS126-1</f>
        <v>1.9851088332212052E-2</v>
      </c>
      <c r="JA149" s="142">
        <f>JA126/IT126-1</f>
        <v>2.5905420917196054E-3</v>
      </c>
      <c r="JC149" s="141" t="s">
        <v>146</v>
      </c>
      <c r="JD149" s="142">
        <f>JD126/IW126-1</f>
        <v>2.1105286345793006E-2</v>
      </c>
      <c r="JE149" s="142">
        <f>JE126/IX126-1</f>
        <v>3.2217458902817242E-2</v>
      </c>
      <c r="JF149" s="142">
        <f>JF126/IY126-1</f>
        <v>2.1684484877681376E-2</v>
      </c>
      <c r="JG149" s="142">
        <f>JG126/IZ126-1</f>
        <v>3.0219502610453031E-2</v>
      </c>
      <c r="JH149" s="142">
        <f>JH126/JA126-1</f>
        <v>2.6264913447644922E-2</v>
      </c>
      <c r="JJ149" s="141" t="s">
        <v>146</v>
      </c>
      <c r="JK149" s="142">
        <f>JK126/JD126-1</f>
        <v>5.3261880440914178E-2</v>
      </c>
      <c r="JL149" s="142">
        <f>JL126/JE126-1</f>
        <v>6.8319742465019262E-2</v>
      </c>
      <c r="JM149" s="142">
        <f>JM126/JF126-1</f>
        <v>6.7209412058592877E-2</v>
      </c>
      <c r="JN149" s="142">
        <f>JN126/JG126-1</f>
        <v>5.3836336600044499E-2</v>
      </c>
      <c r="JO149" s="142">
        <f>JO126/JH126-1</f>
        <v>6.0632270640759378E-2</v>
      </c>
      <c r="JQ149" s="141" t="s">
        <v>146</v>
      </c>
      <c r="JR149" s="142">
        <f>JR126/JK126-1</f>
        <v>2.4301646092631524E-2</v>
      </c>
      <c r="JS149" s="142">
        <f>JS126/JL126-1</f>
        <v>7.7017467173343679E-3</v>
      </c>
      <c r="JT149" s="142">
        <f>JT126/JM126-1</f>
        <v>8.4656084656085095E-3</v>
      </c>
      <c r="JU149" s="142">
        <f>JU126/JN126-1</f>
        <v>1.9513535797719417E-3</v>
      </c>
      <c r="JV149" s="142">
        <f>JV126/JO126-1</f>
        <v>1.0462647530194769E-2</v>
      </c>
      <c r="JX149" s="141" t="s">
        <v>146</v>
      </c>
      <c r="JY149" s="142">
        <f>JY126/JR126-1</f>
        <v>8.7832435924708463E-3</v>
      </c>
      <c r="JZ149" s="142">
        <f>JZ126/JS126-1</f>
        <v>-6.108539094650145E-3</v>
      </c>
      <c r="KA149" s="142">
        <f>KA126/JT126-1</f>
        <v>-2.0347889256598584E-2</v>
      </c>
      <c r="KB149" s="142">
        <f>KB126/JU126-1</f>
        <v>-2.3501384328118435E-3</v>
      </c>
      <c r="KC149" s="142">
        <f>KC126/JV126-1</f>
        <v>-4.3342603992128081E-3</v>
      </c>
      <c r="KE149" s="141" t="s">
        <v>146</v>
      </c>
      <c r="KF149" s="142">
        <f>KF126/JY126-1</f>
        <v>6.2314083706638268E-3</v>
      </c>
      <c r="KG149" s="142">
        <f>KG126/JZ126-1</f>
        <v>4.6483793750404345E-2</v>
      </c>
      <c r="KH149" s="142">
        <f>KH126/KA126-1</f>
        <v>7.6747485475599841E-2</v>
      </c>
      <c r="KI149" s="142">
        <f>KI126/KB126-1</f>
        <v>7.6218518148850389E-2</v>
      </c>
      <c r="KJ149" s="142">
        <f>KJ126/KC126-1</f>
        <v>5.0513907019174464E-2</v>
      </c>
      <c r="KL149" s="141" t="s">
        <v>146</v>
      </c>
      <c r="KM149" s="142">
        <f>KM126/KF126-1</f>
        <v>7.3671054706114791E-2</v>
      </c>
      <c r="KN149" s="142">
        <f>KN126/KG126-1</f>
        <v>0.10236580709302223</v>
      </c>
      <c r="KO149" s="142">
        <f>KO126/KH126-1</f>
        <v>0.1234641739027702</v>
      </c>
      <c r="KP149" s="142">
        <f>KP126/KI126-1</f>
        <v>9.2752396698535744E-2</v>
      </c>
      <c r="KQ149" s="142">
        <f>KQ126/KJ126-1</f>
        <v>9.8404481216828099E-2</v>
      </c>
      <c r="KS149" s="141" t="s">
        <v>146</v>
      </c>
      <c r="KT149" s="142">
        <f>KT126/KM126-1</f>
        <v>8.0728175610493835E-2</v>
      </c>
      <c r="KU149" s="142">
        <f>KU126/KN126-1</f>
        <v>1.4338673924001899E-2</v>
      </c>
      <c r="KV149" s="142">
        <f>KV126/KO126-1</f>
        <v>-1.5984245118121909E-2</v>
      </c>
      <c r="KW149" s="142">
        <f>KW126/KP126-1</f>
        <v>2.6096170101313154E-2</v>
      </c>
      <c r="KX149" s="142">
        <f>KX126/KQ126-1</f>
        <v>2.5004377288409652E-2</v>
      </c>
      <c r="KZ149" s="141" t="s">
        <v>146</v>
      </c>
      <c r="LA149" s="142">
        <f>LA126/KT126-1</f>
        <v>1.3303372075103681E-2</v>
      </c>
      <c r="LB149" s="142">
        <f>LB126/KU126-1</f>
        <v>3.6352532356180633E-2</v>
      </c>
      <c r="LC149" s="219">
        <f>LC126/KV126-1</f>
        <v>2.3235385572139222E-2</v>
      </c>
      <c r="LD149" s="219">
        <f>LD126/KW126-1</f>
        <v>1.0350419516322873E-3</v>
      </c>
      <c r="LE149" s="219">
        <f>LE126/KX126-1</f>
        <v>1.8400748496147035E-2</v>
      </c>
      <c r="LF149" s="560"/>
      <c r="LG149" s="141" t="s">
        <v>146</v>
      </c>
      <c r="LH149" s="219">
        <f>LH126/LA126-1</f>
        <v>8.3469543423777548E-3</v>
      </c>
      <c r="LI149" s="219">
        <f>LI126/LB126-1</f>
        <v>2.0873420354672323E-3</v>
      </c>
      <c r="LJ149" s="219">
        <f>LJ126/LC126-1</f>
        <v>4.6860356138704873E-3</v>
      </c>
      <c r="LK149" s="219">
        <f>LK126/LD126-1</f>
        <v>8.8590117011519975E-3</v>
      </c>
      <c r="LL149" s="219">
        <f>LL126/LE126-1</f>
        <v>5.9114809826910086E-3</v>
      </c>
      <c r="LM149" s="560"/>
      <c r="LN149" s="141" t="s">
        <v>146</v>
      </c>
      <c r="LO149" s="219">
        <f>LO126/LH126-1</f>
        <v>1.6842443707572263E-2</v>
      </c>
      <c r="LP149" s="219">
        <f>LP126/LI126-1</f>
        <v>2.1008631992163407E-2</v>
      </c>
      <c r="LQ149" s="219">
        <f>LQ126/LJ126-1</f>
        <v>2.748963036596952E-2</v>
      </c>
      <c r="LR149" s="219">
        <f>LR126/LK126-1</f>
        <v>2.4018922843871193E-2</v>
      </c>
      <c r="LS149" s="219">
        <f>LS126/LL126-1</f>
        <v>2.2420975581413982E-2</v>
      </c>
      <c r="LT149" s="560"/>
      <c r="LU149" s="141" t="s">
        <v>146</v>
      </c>
      <c r="LV149" s="219">
        <f>LV126/LO126-1</f>
        <v>2.7518939722471325E-2</v>
      </c>
      <c r="LW149" s="219">
        <f>LW126/LP126-1</f>
        <v>2.6351782937476198E-2</v>
      </c>
      <c r="LX149" s="219">
        <f>LX126/LQ126-1</f>
        <v>2.7336335893346941E-2</v>
      </c>
      <c r="LY149" s="219">
        <f>LY126/LR126-1</f>
        <v>2.7447329419604927E-2</v>
      </c>
      <c r="LZ149" s="219">
        <f>LZ126/LS126-1</f>
        <v>2.715793231527619E-2</v>
      </c>
      <c r="MA149" s="560"/>
      <c r="MB149" s="141" t="s">
        <v>146</v>
      </c>
      <c r="MC149" s="219">
        <f>MC126/LV126-1</f>
        <v>2.4873322860974323E-2</v>
      </c>
      <c r="MD149" s="219">
        <f>MD126/LW126-1</f>
        <v>2.4760846005346115E-2</v>
      </c>
      <c r="ME149" s="219">
        <f>ME126/LX126-1</f>
        <v>2.4707521406849731E-2</v>
      </c>
      <c r="MF149" s="219">
        <f>MF126/LY126-1</f>
        <v>2.4188165339474876E-2</v>
      </c>
      <c r="MG149" s="219">
        <f>MG126/LZ126-1</f>
        <v>2.4626647072326202E-2</v>
      </c>
      <c r="MH149" s="560"/>
    </row>
    <row r="150" spans="1:346" s="37" customFormat="1" ht="13.15" x14ac:dyDescent="0.4">
      <c r="A150" s="100"/>
      <c r="B150" s="36"/>
      <c r="BO150" s="36"/>
      <c r="BP150" s="53"/>
      <c r="BQ150" s="53"/>
      <c r="BR150" s="53"/>
      <c r="BS150" s="53"/>
      <c r="BT150" s="53"/>
      <c r="BV150" s="36"/>
      <c r="BW150" s="53"/>
      <c r="BX150" s="53"/>
      <c r="BY150" s="53"/>
      <c r="BZ150" s="53"/>
      <c r="CA150" s="53"/>
      <c r="CC150" s="36"/>
      <c r="CD150" s="53"/>
      <c r="CE150" s="53"/>
      <c r="CF150" s="53"/>
      <c r="CG150" s="53"/>
      <c r="CH150" s="53"/>
      <c r="CJ150" s="36"/>
      <c r="CK150" s="53"/>
      <c r="CL150" s="53"/>
      <c r="CM150" s="53"/>
      <c r="CN150" s="53"/>
      <c r="CO150" s="53"/>
      <c r="CQ150" s="36"/>
      <c r="CR150" s="53"/>
      <c r="CS150" s="53"/>
      <c r="CT150" s="53"/>
      <c r="CU150" s="53"/>
      <c r="CV150" s="53"/>
      <c r="CX150" s="36"/>
      <c r="CY150" s="53"/>
      <c r="CZ150" s="53"/>
      <c r="DA150" s="53"/>
      <c r="DB150" s="53"/>
      <c r="DC150" s="53"/>
      <c r="DE150" s="36"/>
      <c r="DF150" s="53"/>
      <c r="DG150" s="53"/>
      <c r="DH150" s="53"/>
      <c r="DI150" s="53"/>
      <c r="DJ150" s="53"/>
      <c r="DL150" s="36"/>
      <c r="DM150" s="53"/>
      <c r="DN150" s="53"/>
      <c r="DO150" s="53"/>
      <c r="DP150" s="53"/>
      <c r="DQ150" s="53"/>
      <c r="DS150" s="36"/>
      <c r="DT150" s="53"/>
      <c r="DU150" s="53"/>
      <c r="DV150" s="53"/>
      <c r="DW150" s="53"/>
      <c r="DX150" s="53"/>
      <c r="DZ150" s="36"/>
      <c r="EA150" s="53"/>
      <c r="EB150" s="53"/>
      <c r="EC150" s="53"/>
      <c r="ED150" s="53"/>
      <c r="EE150" s="53"/>
      <c r="EG150" s="36"/>
      <c r="EH150" s="53"/>
      <c r="EI150" s="53"/>
      <c r="EJ150" s="53"/>
      <c r="EK150" s="53"/>
      <c r="EL150" s="53"/>
      <c r="EN150" s="36"/>
      <c r="EO150" s="53"/>
      <c r="EP150" s="53"/>
      <c r="EQ150" s="53"/>
      <c r="ER150" s="53"/>
      <c r="ES150" s="53"/>
      <c r="EU150" s="36"/>
      <c r="EV150" s="53"/>
      <c r="EW150" s="53"/>
      <c r="EX150" s="53"/>
      <c r="EY150" s="53"/>
      <c r="EZ150" s="53"/>
      <c r="FB150" s="36"/>
      <c r="FC150" s="53"/>
      <c r="FD150" s="53"/>
      <c r="FE150" s="53"/>
      <c r="FF150" s="53"/>
      <c r="FG150" s="53"/>
      <c r="FI150" s="36"/>
      <c r="FJ150" s="53"/>
      <c r="FK150" s="53"/>
      <c r="FL150" s="53"/>
      <c r="FM150" s="53"/>
      <c r="FN150" s="53"/>
      <c r="FP150" s="36"/>
      <c r="FQ150" s="53"/>
      <c r="FR150" s="53"/>
      <c r="FS150" s="53"/>
      <c r="FT150" s="53"/>
      <c r="FU150" s="53"/>
      <c r="FW150" s="36"/>
      <c r="FX150" s="53"/>
      <c r="FY150" s="53"/>
      <c r="FZ150" s="53"/>
      <c r="GA150" s="53"/>
      <c r="GB150" s="53"/>
      <c r="GD150" s="36"/>
      <c r="GE150" s="53"/>
      <c r="GF150" s="53"/>
      <c r="GG150" s="53"/>
      <c r="GH150" s="53"/>
      <c r="GI150" s="53"/>
      <c r="GK150" s="36"/>
      <c r="GL150" s="53"/>
      <c r="GM150" s="53"/>
      <c r="GN150" s="53"/>
      <c r="GO150" s="53"/>
      <c r="GP150" s="53"/>
      <c r="GR150" s="36"/>
      <c r="GS150" s="53"/>
      <c r="GT150" s="53"/>
      <c r="GU150" s="53"/>
      <c r="GV150" s="53"/>
      <c r="GW150" s="53"/>
      <c r="GY150" s="36"/>
      <c r="GZ150" s="53"/>
      <c r="HA150" s="53"/>
      <c r="HB150" s="53"/>
      <c r="HC150" s="53"/>
      <c r="HD150" s="53"/>
      <c r="HF150" s="36"/>
      <c r="HG150" s="53"/>
      <c r="HH150" s="53"/>
      <c r="HI150" s="53"/>
      <c r="HJ150" s="53"/>
      <c r="HK150" s="53"/>
      <c r="HM150" s="36"/>
      <c r="HN150" s="53"/>
      <c r="HO150" s="53"/>
      <c r="HP150" s="53"/>
      <c r="HQ150" s="53"/>
      <c r="HR150" s="53"/>
      <c r="HT150" s="36"/>
      <c r="HU150" s="53"/>
      <c r="HV150" s="53"/>
      <c r="HW150" s="53"/>
      <c r="HX150" s="53"/>
      <c r="HY150" s="53"/>
      <c r="IA150" s="36"/>
      <c r="IB150" s="53"/>
      <c r="IC150" s="53"/>
      <c r="ID150" s="53"/>
      <c r="IE150" s="53"/>
      <c r="IF150" s="53"/>
      <c r="IH150" s="36"/>
      <c r="II150" s="53"/>
      <c r="IJ150" s="53"/>
      <c r="IK150" s="53"/>
      <c r="IL150" s="53"/>
      <c r="IM150" s="53"/>
      <c r="IO150" s="36"/>
      <c r="IP150" s="53"/>
      <c r="IQ150" s="53"/>
      <c r="IR150" s="53"/>
      <c r="IS150" s="53"/>
      <c r="IT150" s="53"/>
      <c r="IV150" s="36"/>
      <c r="IW150" s="53"/>
      <c r="IX150" s="53"/>
      <c r="IY150" s="53"/>
      <c r="IZ150" s="53"/>
      <c r="JA150" s="53"/>
      <c r="JC150" s="36"/>
      <c r="JD150" s="53"/>
      <c r="JE150" s="53"/>
      <c r="JF150" s="53"/>
      <c r="JG150" s="53"/>
      <c r="JH150" s="53"/>
      <c r="JJ150" s="36"/>
      <c r="JK150" s="53"/>
      <c r="JL150" s="53"/>
      <c r="JM150" s="53"/>
      <c r="JN150" s="53"/>
      <c r="JO150" s="53"/>
      <c r="JQ150" s="36"/>
      <c r="JR150" s="53"/>
      <c r="JS150" s="53"/>
      <c r="JT150" s="53"/>
      <c r="JU150" s="53"/>
      <c r="JV150" s="53"/>
      <c r="JX150" s="36"/>
      <c r="JY150" s="53"/>
      <c r="JZ150" s="53"/>
      <c r="KA150" s="53"/>
      <c r="KB150" s="53"/>
      <c r="KC150" s="53"/>
      <c r="KE150" s="36"/>
      <c r="KF150" s="53"/>
      <c r="KG150" s="53"/>
      <c r="KH150" s="53"/>
      <c r="KI150" s="53"/>
      <c r="KJ150" s="53"/>
      <c r="KL150" s="36"/>
      <c r="KM150" s="53"/>
      <c r="KN150" s="53"/>
      <c r="KO150" s="53"/>
      <c r="KP150" s="53"/>
      <c r="KQ150" s="53"/>
      <c r="KS150" s="36"/>
      <c r="KT150" s="53"/>
      <c r="KU150" s="53"/>
      <c r="KX150" s="53"/>
      <c r="KZ150" s="639"/>
      <c r="LA150" s="631"/>
      <c r="LB150" s="640"/>
      <c r="LC150" s="640"/>
      <c r="LD150" s="640"/>
      <c r="LE150" s="641"/>
      <c r="LF150" s="574"/>
      <c r="LG150" s="639"/>
      <c r="LH150" s="640"/>
      <c r="LI150" s="640"/>
      <c r="LJ150" s="640"/>
      <c r="LK150" s="640"/>
      <c r="LL150" s="641"/>
      <c r="LM150" s="574"/>
      <c r="LN150" s="639"/>
      <c r="LO150" s="640"/>
      <c r="LP150" s="640"/>
      <c r="LQ150" s="640"/>
      <c r="LR150" s="640"/>
      <c r="LS150" s="641"/>
      <c r="LT150" s="574"/>
      <c r="LU150" s="639"/>
      <c r="LV150" s="640"/>
      <c r="LW150" s="640"/>
      <c r="LX150" s="640"/>
      <c r="LY150" s="640"/>
      <c r="LZ150" s="641"/>
      <c r="MA150" s="574"/>
      <c r="MB150" s="639"/>
      <c r="MC150" s="640"/>
      <c r="MD150" s="640"/>
      <c r="ME150" s="640"/>
      <c r="MF150" s="640"/>
      <c r="MG150" s="641"/>
      <c r="MH150" s="574"/>
    </row>
    <row r="151" spans="1:346" s="37" customFormat="1" ht="13.15" x14ac:dyDescent="0.4">
      <c r="A151" s="100"/>
      <c r="B151" s="65" t="s">
        <v>32</v>
      </c>
      <c r="C151" s="66"/>
      <c r="D151" s="66"/>
      <c r="E151" s="66"/>
      <c r="F151" s="66"/>
      <c r="G151" s="66"/>
      <c r="H151" s="66"/>
      <c r="I151" s="66"/>
      <c r="J151" s="66"/>
      <c r="K151" s="66"/>
      <c r="L151" s="66"/>
      <c r="M151" s="66"/>
      <c r="N151" s="66">
        <f>BT151</f>
        <v>0</v>
      </c>
      <c r="O151" s="66">
        <f>CA151</f>
        <v>9.6666666666666456E-2</v>
      </c>
      <c r="P151" s="66">
        <f>CH151</f>
        <v>1.6617790811339184E-2</v>
      </c>
      <c r="Q151" s="66">
        <f>CO151</f>
        <v>3.1404846316012813E-2</v>
      </c>
      <c r="R151" s="66">
        <f>CV151</f>
        <v>1.9734970084578363E-2</v>
      </c>
      <c r="S151" s="66">
        <f>DC151</f>
        <v>1.1561608344251573E-2</v>
      </c>
      <c r="T151" s="66">
        <f>DJ151</f>
        <v>3.4601890631700938E-2</v>
      </c>
      <c r="U151" s="66">
        <f>DQ151</f>
        <v>-7.4098663510665963E-2</v>
      </c>
      <c r="V151" s="66">
        <f>DX151</f>
        <v>-3.5569285083848157E-2</v>
      </c>
      <c r="W151" s="66">
        <f>EE151</f>
        <v>-4.1625205153719813E-2</v>
      </c>
      <c r="X151" s="66">
        <f>EL151</f>
        <v>-6.3455476753349394E-2</v>
      </c>
      <c r="Y151" s="66">
        <f>ES151</f>
        <v>-2.363369900826684E-2</v>
      </c>
      <c r="Z151" s="66">
        <f>EZ151</f>
        <v>-2.514149782626518E-2</v>
      </c>
      <c r="AA151" s="66">
        <f>FG151</f>
        <v>3.5614736148787962E-3</v>
      </c>
      <c r="AB151" s="66">
        <f>FN151</f>
        <v>1.223037166527341E-2</v>
      </c>
      <c r="AC151" s="66">
        <f>FU151</f>
        <v>2.397260510266519E-2</v>
      </c>
      <c r="AD151" s="66">
        <f>GB151</f>
        <v>8.9934637347459434E-2</v>
      </c>
      <c r="AE151" s="66">
        <f>GI151</f>
        <v>3.0049888840143479E-2</v>
      </c>
      <c r="AF151" s="66">
        <f>GP151</f>
        <v>-8.7253734988586018E-3</v>
      </c>
      <c r="AG151" s="66">
        <f>GW151</f>
        <v>0.10306733334188767</v>
      </c>
      <c r="AH151" s="66">
        <f>HD151</f>
        <v>-0.10660710417554309</v>
      </c>
      <c r="AI151" s="66">
        <f>HK151</f>
        <v>-7.9731977528795239E-2</v>
      </c>
      <c r="AJ151" s="66">
        <f>HR151</f>
        <v>7.5407480125697646E-2</v>
      </c>
      <c r="AK151" s="66">
        <f>HY151</f>
        <v>3.8105870885250637E-2</v>
      </c>
      <c r="AL151" s="66">
        <f>IF151</f>
        <v>1.0603035978256958E-2</v>
      </c>
      <c r="AM151" s="66">
        <f>IM151</f>
        <v>-1.6494521123183725E-3</v>
      </c>
      <c r="AN151" s="66">
        <f>IT151</f>
        <v>-5.3795851197436129E-2</v>
      </c>
      <c r="AO151" s="66">
        <f>JA151</f>
        <v>-1.1022450717567689E-2</v>
      </c>
      <c r="AP151" s="66">
        <f>JH151</f>
        <v>3.0562553469337228E-2</v>
      </c>
      <c r="AQ151" s="66">
        <f>JO151</f>
        <v>5.4094147487425914E-2</v>
      </c>
      <c r="AR151" s="66">
        <f>JV151</f>
        <v>-1.1748002723162787E-2</v>
      </c>
      <c r="AS151" s="66">
        <f>KC151</f>
        <v>-5.0731116310160362E-2</v>
      </c>
      <c r="AT151" s="66">
        <f>KJ151</f>
        <v>4.984016274338865E-2</v>
      </c>
      <c r="AU151" s="66">
        <f>KQ151</f>
        <v>0.18471480743319346</v>
      </c>
      <c r="AV151" s="66">
        <f>KX151</f>
        <v>-4.3054084443800544E-2</v>
      </c>
      <c r="AW151" s="66">
        <f>LE151</f>
        <v>-4.9932713379130744E-2</v>
      </c>
      <c r="AX151" s="66">
        <f>LL151</f>
        <v>-2.1787819301506417E-2</v>
      </c>
      <c r="AY151" s="66">
        <f>LS151</f>
        <v>3.6451822378178234E-2</v>
      </c>
      <c r="AZ151" s="66">
        <f>LZ151</f>
        <v>3.2638623867882854E-2</v>
      </c>
      <c r="BA151" s="66">
        <f>MG151</f>
        <v>3.2500000000000195E-2</v>
      </c>
      <c r="BB151" s="66"/>
      <c r="BC151" s="66"/>
      <c r="BD151" s="66"/>
      <c r="BE151" s="66"/>
      <c r="BF151" s="66"/>
      <c r="BG151" s="66"/>
      <c r="BH151" s="66"/>
      <c r="BI151" s="66"/>
      <c r="BJ151" s="66"/>
      <c r="BK151" s="66"/>
      <c r="BL151" s="66"/>
      <c r="BM151" s="66"/>
      <c r="BO151" s="65" t="s">
        <v>32</v>
      </c>
      <c r="BP151" s="66"/>
      <c r="BQ151" s="66"/>
      <c r="BR151" s="66"/>
      <c r="BS151" s="66"/>
      <c r="BT151" s="66"/>
      <c r="BV151" s="65" t="s">
        <v>32</v>
      </c>
      <c r="BW151" s="66">
        <f t="shared" ref="BW151:CA152" si="1075">BW131/BP131-1</f>
        <v>5.1958725230572655E-2</v>
      </c>
      <c r="BX151" s="66">
        <f t="shared" si="1075"/>
        <v>0.13664215686274495</v>
      </c>
      <c r="BY151" s="66">
        <f t="shared" si="1075"/>
        <v>7.0808890357762388E-2</v>
      </c>
      <c r="BZ151" s="66">
        <f t="shared" si="1075"/>
        <v>0.12423289926657688</v>
      </c>
      <c r="CA151" s="66">
        <f t="shared" si="1075"/>
        <v>9.6666666666666456E-2</v>
      </c>
      <c r="CC151" s="65" t="s">
        <v>32</v>
      </c>
      <c r="CD151" s="66">
        <f t="shared" ref="CD151:CH152" si="1076">CD131/BW131-1</f>
        <v>9.0130649717514055E-2</v>
      </c>
      <c r="CE151" s="66">
        <f t="shared" si="1076"/>
        <v>-1.4265991716520765E-2</v>
      </c>
      <c r="CF151" s="66">
        <f t="shared" si="1076"/>
        <v>-9.6698113207548397E-3</v>
      </c>
      <c r="CG151" s="66">
        <f t="shared" si="1076"/>
        <v>9.2870231550890026E-3</v>
      </c>
      <c r="CH151" s="66">
        <f t="shared" si="1076"/>
        <v>1.6617790811339184E-2</v>
      </c>
      <c r="CJ151" s="65" t="s">
        <v>32</v>
      </c>
      <c r="CK151" s="66">
        <f t="shared" ref="CK151:CO152" si="1077">CK131/CD131-1</f>
        <v>2.2463877997530801E-2</v>
      </c>
      <c r="CL151" s="66">
        <f t="shared" si="1077"/>
        <v>4.1747518209173329E-2</v>
      </c>
      <c r="CM151" s="66">
        <f t="shared" si="1077"/>
        <v>8.2580017301038255E-2</v>
      </c>
      <c r="CN151" s="66">
        <f t="shared" si="1077"/>
        <v>-1.7534607778510125E-2</v>
      </c>
      <c r="CO151" s="66">
        <f t="shared" si="1077"/>
        <v>3.1404846316012813E-2</v>
      </c>
      <c r="CQ151" s="65" t="s">
        <v>32</v>
      </c>
      <c r="CR151" s="66">
        <f t="shared" ref="CR151:CV152" si="1078">CR131/CK131-1</f>
        <v>-7.0384138785628547E-3</v>
      </c>
      <c r="CS151" s="66">
        <f t="shared" si="1078"/>
        <v>1.4945932080845381E-4</v>
      </c>
      <c r="CT151" s="66">
        <f t="shared" si="1078"/>
        <v>2.6375611123221177E-2</v>
      </c>
      <c r="CU151" s="66">
        <f t="shared" si="1078"/>
        <v>5.6574373726477001E-2</v>
      </c>
      <c r="CV151" s="66">
        <f t="shared" si="1078"/>
        <v>1.9734970084578363E-2</v>
      </c>
      <c r="CX151" s="65" t="s">
        <v>32</v>
      </c>
      <c r="CY151" s="66">
        <f t="shared" ref="CY151:DC152" si="1079">CY131/CR131-1</f>
        <v>1.6592283328534574E-2</v>
      </c>
      <c r="CZ151" s="66">
        <f t="shared" si="1079"/>
        <v>1.2494200304898007E-2</v>
      </c>
      <c r="DA151" s="66">
        <f t="shared" si="1079"/>
        <v>8.3434466019416398E-3</v>
      </c>
      <c r="DB151" s="66">
        <f t="shared" si="1079"/>
        <v>1.0273597811217616E-2</v>
      </c>
      <c r="DC151" s="66">
        <f t="shared" si="1079"/>
        <v>1.1561608344251573E-2</v>
      </c>
      <c r="DE151" s="65" t="s">
        <v>32</v>
      </c>
      <c r="DF151" s="66">
        <f t="shared" ref="DF151:DJ152" si="1080">DF131/CY131-1</f>
        <v>5.9015740187288168E-2</v>
      </c>
      <c r="DG151" s="66">
        <f t="shared" si="1080"/>
        <v>5.2829559352184807E-2</v>
      </c>
      <c r="DH151" s="66">
        <f t="shared" si="1080"/>
        <v>-1.2628540501533614E-3</v>
      </c>
      <c r="DI151" s="66">
        <f t="shared" si="1080"/>
        <v>2.9958158995815998E-2</v>
      </c>
      <c r="DJ151" s="66">
        <f t="shared" si="1080"/>
        <v>3.4601890631700938E-2</v>
      </c>
      <c r="DL151" s="65" t="s">
        <v>32</v>
      </c>
      <c r="DM151" s="66">
        <f t="shared" ref="DM151:DQ152" si="1081">DM131/DF131-1</f>
        <v>-7.3598805855161875E-2</v>
      </c>
      <c r="DN151" s="66">
        <f t="shared" si="1081"/>
        <v>-6.8050270955840042E-2</v>
      </c>
      <c r="DO151" s="66">
        <f t="shared" si="1081"/>
        <v>-8.8279524413741317E-2</v>
      </c>
      <c r="DP151" s="66">
        <f t="shared" si="1081"/>
        <v>-6.6451204332539926E-2</v>
      </c>
      <c r="DQ151" s="66">
        <f t="shared" si="1081"/>
        <v>-7.4098663510665963E-2</v>
      </c>
      <c r="DS151" s="65" t="s">
        <v>32</v>
      </c>
      <c r="DT151" s="66">
        <f t="shared" ref="DT151:DX152" si="1082">DT131/DM131-1</f>
        <v>-6.0208375075135101E-2</v>
      </c>
      <c r="DU151" s="66">
        <f t="shared" si="1082"/>
        <v>-7.1047094999190818E-2</v>
      </c>
      <c r="DV151" s="66">
        <f t="shared" si="1082"/>
        <v>2.6499436437324775E-2</v>
      </c>
      <c r="DW151" s="66">
        <f t="shared" si="1082"/>
        <v>-3.6062378167641351E-2</v>
      </c>
      <c r="DX151" s="66">
        <f t="shared" si="1082"/>
        <v>-3.5569285083848157E-2</v>
      </c>
      <c r="DZ151" s="65" t="s">
        <v>32</v>
      </c>
      <c r="EA151" s="66">
        <f t="shared" ref="EA151:EE152" si="1083">EA131/DT131-1</f>
        <v>-1.5873015873015817E-2</v>
      </c>
      <c r="EB151" s="66">
        <f t="shared" si="1083"/>
        <v>-2.5295350609756073E-2</v>
      </c>
      <c r="EC151" s="66">
        <f t="shared" si="1083"/>
        <v>-7.4712643678160995E-2</v>
      </c>
      <c r="ED151" s="66">
        <f t="shared" si="1083"/>
        <v>-4.7699881174673164E-2</v>
      </c>
      <c r="EE151" s="66">
        <f t="shared" si="1083"/>
        <v>-4.1625205153719813E-2</v>
      </c>
      <c r="EG151" s="65" t="s">
        <v>32</v>
      </c>
      <c r="EH151" s="66">
        <f t="shared" ref="EH151:EL152" si="1084">EH131/EA131-1</f>
        <v>-2.9532403609515812E-2</v>
      </c>
      <c r="EI151" s="66">
        <f t="shared" si="1084"/>
        <v>-3.065778883441872E-2</v>
      </c>
      <c r="EJ151" s="66">
        <f t="shared" si="1084"/>
        <v>-8.0745341614906763E-2</v>
      </c>
      <c r="EK151" s="66">
        <f t="shared" si="1084"/>
        <v>-8.3871698968604802E-2</v>
      </c>
      <c r="EL151" s="66">
        <f t="shared" si="1084"/>
        <v>-6.3455476753349394E-2</v>
      </c>
      <c r="EN151" s="65" t="s">
        <v>32</v>
      </c>
      <c r="EO151" s="66">
        <f t="shared" ref="EO151:ES152" si="1085">EO131/EH131-1</f>
        <v>-0.10919849381387869</v>
      </c>
      <c r="EP151" s="66">
        <f t="shared" si="1085"/>
        <v>-6.2801932367149815E-2</v>
      </c>
      <c r="EQ151" s="66">
        <f t="shared" si="1085"/>
        <v>-7.8740157480314821E-3</v>
      </c>
      <c r="ER151" s="66">
        <f t="shared" si="1085"/>
        <v>6.5504893769396055E-2</v>
      </c>
      <c r="ES151" s="66">
        <f t="shared" si="1085"/>
        <v>-2.363369900826684E-2</v>
      </c>
      <c r="EU151" s="65" t="s">
        <v>32</v>
      </c>
      <c r="EV151" s="66">
        <f t="shared" ref="EV151:EZ152" si="1086">EV131/EO131-1</f>
        <v>2.9106029106029441E-2</v>
      </c>
      <c r="EW151" s="66">
        <f t="shared" si="1086"/>
        <v>-2.7505237611234357E-2</v>
      </c>
      <c r="EX151" s="66">
        <f t="shared" si="1086"/>
        <v>-2.4231678486997699E-2</v>
      </c>
      <c r="EY151" s="66">
        <f t="shared" si="1086"/>
        <v>-7.5478594599533766E-2</v>
      </c>
      <c r="EZ151" s="66">
        <f t="shared" si="1086"/>
        <v>-2.514149782626518E-2</v>
      </c>
      <c r="FB151" s="65" t="s">
        <v>32</v>
      </c>
      <c r="FC151" s="66">
        <f t="shared" ref="FC151:FG152" si="1087">FC131/EV131-1</f>
        <v>-2.9629629629629672E-2</v>
      </c>
      <c r="FD151" s="66">
        <f t="shared" si="1087"/>
        <v>1.0891449696619704E-2</v>
      </c>
      <c r="FE151" s="66">
        <f t="shared" si="1087"/>
        <v>-3.3976624082610041E-4</v>
      </c>
      <c r="FF151" s="66">
        <f t="shared" si="1087"/>
        <v>3.1519921298573284E-2</v>
      </c>
      <c r="FG151" s="66">
        <f t="shared" si="1087"/>
        <v>3.5614736148787962E-3</v>
      </c>
      <c r="FI151" s="65" t="s">
        <v>32</v>
      </c>
      <c r="FJ151" s="66">
        <f t="shared" ref="FJ151:FN152" si="1088">FJ131/FC131-1</f>
        <v>5.4059153049081266E-2</v>
      </c>
      <c r="FK151" s="66">
        <f t="shared" si="1088"/>
        <v>8.2396555847885633E-3</v>
      </c>
      <c r="FL151" s="66">
        <f t="shared" si="1088"/>
        <v>3.5460992907798694E-3</v>
      </c>
      <c r="FM151" s="66">
        <f t="shared" si="1088"/>
        <v>-1.2354017166174236E-2</v>
      </c>
      <c r="FN151" s="66">
        <f t="shared" si="1088"/>
        <v>1.223037166527341E-2</v>
      </c>
      <c r="FP151" s="65" t="s">
        <v>32</v>
      </c>
      <c r="FQ151" s="66">
        <f t="shared" ref="FQ151:FU152" si="1089">FQ131/FJ131-1</f>
        <v>-6.5139507111067196E-4</v>
      </c>
      <c r="FR151" s="66">
        <f t="shared" si="1089"/>
        <v>-1.3252516950893911E-2</v>
      </c>
      <c r="FS151" s="66">
        <f t="shared" si="1089"/>
        <v>3.7955728794572652E-2</v>
      </c>
      <c r="FT151" s="66">
        <f t="shared" si="1089"/>
        <v>6.7949257078777636E-2</v>
      </c>
      <c r="FU151" s="66">
        <f t="shared" si="1089"/>
        <v>2.397260510266519E-2</v>
      </c>
      <c r="FW151" s="65" t="s">
        <v>32</v>
      </c>
      <c r="FX151" s="66">
        <f t="shared" ref="FX151:GB152" si="1090">FX131/FQ131-1</f>
        <v>8.5984848484848442E-2</v>
      </c>
      <c r="FY151" s="66">
        <f t="shared" si="1090"/>
        <v>0.10822229444263898</v>
      </c>
      <c r="FZ151" s="66">
        <f t="shared" si="1090"/>
        <v>7.5441861527219656E-2</v>
      </c>
      <c r="GA151" s="66">
        <f t="shared" si="1090"/>
        <v>9.2349914236706576E-2</v>
      </c>
      <c r="GB151" s="66">
        <f t="shared" si="1090"/>
        <v>8.9934637347459434E-2</v>
      </c>
      <c r="GD151" s="65" t="s">
        <v>32</v>
      </c>
      <c r="GE151" s="66">
        <f t="shared" ref="GE151:GI152" si="1091">GE131/FX131-1</f>
        <v>3.8806814165547765E-2</v>
      </c>
      <c r="GF151" s="66">
        <f t="shared" si="1091"/>
        <v>7.0899119162373125E-2</v>
      </c>
      <c r="GG151" s="66">
        <f t="shared" si="1091"/>
        <v>4.1816613001662617E-2</v>
      </c>
      <c r="GH151" s="66">
        <f t="shared" si="1091"/>
        <v>-2.5401916528074664E-2</v>
      </c>
      <c r="GI151" s="66">
        <f t="shared" si="1091"/>
        <v>3.0049888840143479E-2</v>
      </c>
      <c r="GK151" s="65" t="s">
        <v>32</v>
      </c>
      <c r="GL151" s="66">
        <f t="shared" ref="GL151:GP152" si="1092">GL131/GE131-1</f>
        <v>-3.4810536098725975E-2</v>
      </c>
      <c r="GM151" s="66">
        <f t="shared" si="1092"/>
        <v>-2.2216547497446282E-2</v>
      </c>
      <c r="GN151" s="66">
        <f t="shared" si="1092"/>
        <v>-1.4783329877669615E-2</v>
      </c>
      <c r="GO151" s="66">
        <f t="shared" si="1092"/>
        <v>3.5647279549718691E-2</v>
      </c>
      <c r="GP151" s="66">
        <f t="shared" si="1092"/>
        <v>-8.7253734988586018E-3</v>
      </c>
      <c r="GR151" s="65" t="s">
        <v>32</v>
      </c>
      <c r="GS151" s="66">
        <f t="shared" ref="GS151:GW152" si="1093">GS131/GL131-1</f>
        <v>9.6493834497102915E-2</v>
      </c>
      <c r="GT151" s="66">
        <f t="shared" si="1093"/>
        <v>0.14150943396226401</v>
      </c>
      <c r="GU151" s="66">
        <f t="shared" si="1093"/>
        <v>0.17952522255192882</v>
      </c>
      <c r="GV151" s="66">
        <f t="shared" si="1093"/>
        <v>-3.4706284076533311E-3</v>
      </c>
      <c r="GW151" s="66">
        <f t="shared" si="1093"/>
        <v>0.10306733334188767</v>
      </c>
      <c r="GY151" s="65" t="s">
        <v>32</v>
      </c>
      <c r="GZ151" s="66">
        <f t="shared" ref="GZ151:HD152" si="1094">GZ131/GS131-1</f>
        <v>-0.10423197492163006</v>
      </c>
      <c r="HA151" s="66">
        <f t="shared" si="1094"/>
        <v>-0.12341925033391099</v>
      </c>
      <c r="HB151" s="66">
        <f t="shared" si="1094"/>
        <v>-0.16008316008316004</v>
      </c>
      <c r="HC151" s="66">
        <f t="shared" si="1094"/>
        <v>-3.0602916304795058E-2</v>
      </c>
      <c r="HD151" s="66">
        <f t="shared" si="1094"/>
        <v>-0.10660710417554309</v>
      </c>
      <c r="HF151" s="65" t="s">
        <v>32</v>
      </c>
      <c r="HG151" s="66">
        <f t="shared" ref="HG151:HK152" si="1095">HG131/GZ131-1</f>
        <v>5.2740740740740755E-2</v>
      </c>
      <c r="HH151" s="66">
        <f t="shared" si="1095"/>
        <v>-0.11261002312242108</v>
      </c>
      <c r="HI151" s="66">
        <f t="shared" si="1095"/>
        <v>-0.12053679235519366</v>
      </c>
      <c r="HJ151" s="66">
        <f t="shared" si="1095"/>
        <v>-0.11716568787907955</v>
      </c>
      <c r="HK151" s="66">
        <f t="shared" si="1095"/>
        <v>-7.9731977528795239E-2</v>
      </c>
      <c r="HM151" s="65" t="s">
        <v>32</v>
      </c>
      <c r="HN151" s="66">
        <f t="shared" ref="HN151:HR152" si="1096">HN131/HG131-1</f>
        <v>-8.4643850878126092E-2</v>
      </c>
      <c r="HO151" s="66">
        <f t="shared" si="1096"/>
        <v>0.12398088594981416</v>
      </c>
      <c r="HP151" s="66">
        <f t="shared" si="1096"/>
        <v>0.13754585953878418</v>
      </c>
      <c r="HQ151" s="66">
        <f t="shared" si="1096"/>
        <v>0.13064396743153228</v>
      </c>
      <c r="HR151" s="66">
        <f t="shared" si="1096"/>
        <v>7.5407480125697646E-2</v>
      </c>
      <c r="HT151" s="65" t="s">
        <v>32</v>
      </c>
      <c r="HU151" s="66">
        <f t="shared" ref="HU151:HY152" si="1097">HU131/HN131-1</f>
        <v>9.6416921508664766E-2</v>
      </c>
      <c r="HV151" s="66">
        <f t="shared" si="1097"/>
        <v>2.131399692375302E-2</v>
      </c>
      <c r="HW151" s="66">
        <f t="shared" si="1097"/>
        <v>1.7884191225319368E-2</v>
      </c>
      <c r="HX151" s="66">
        <f t="shared" si="1097"/>
        <v>2.4186666666666801E-2</v>
      </c>
      <c r="HY151" s="66">
        <f t="shared" si="1097"/>
        <v>3.8105870885250637E-2</v>
      </c>
      <c r="IA151" s="65" t="s">
        <v>32</v>
      </c>
      <c r="IB151" s="66">
        <f t="shared" ref="IB151:IF152" si="1098">IB131/HU131-1</f>
        <v>1.3229669571759972E-2</v>
      </c>
      <c r="IC151" s="66">
        <f t="shared" si="1098"/>
        <v>1.7404244306418182E-2</v>
      </c>
      <c r="ID151" s="66">
        <f t="shared" si="1098"/>
        <v>2.2655573484701153E-2</v>
      </c>
      <c r="IE151" s="66">
        <f t="shared" si="1098"/>
        <v>-1.0819865091221903E-2</v>
      </c>
      <c r="IF151" s="66">
        <f t="shared" si="1098"/>
        <v>1.0603035978256958E-2</v>
      </c>
      <c r="IH151" s="65" t="s">
        <v>32</v>
      </c>
      <c r="II151" s="66">
        <f t="shared" ref="II151:IM152" si="1099">II131/IB131-1</f>
        <v>-9.4610311108390688E-3</v>
      </c>
      <c r="IJ151" s="66">
        <f t="shared" si="1099"/>
        <v>-1.538775857665764E-2</v>
      </c>
      <c r="IK151" s="66">
        <f t="shared" si="1099"/>
        <v>3.7405018450680227E-3</v>
      </c>
      <c r="IL151" s="66">
        <f t="shared" si="1099"/>
        <v>1.3838009840799081E-2</v>
      </c>
      <c r="IM151" s="66">
        <f t="shared" si="1099"/>
        <v>-1.6494521123183725E-3</v>
      </c>
      <c r="IO151" s="65" t="s">
        <v>32</v>
      </c>
      <c r="IP151" s="66">
        <f t="shared" ref="IP151:IT152" si="1100">IP131/II131-1</f>
        <v>-2.6291454370727663E-2</v>
      </c>
      <c r="IQ151" s="66">
        <f t="shared" si="1100"/>
        <v>-4.2131430842166639E-2</v>
      </c>
      <c r="IR151" s="66">
        <f t="shared" si="1100"/>
        <v>-6.302971993806461E-2</v>
      </c>
      <c r="IS151" s="66">
        <f t="shared" si="1100"/>
        <v>-8.033098809681849E-2</v>
      </c>
      <c r="IT151" s="66">
        <f t="shared" si="1100"/>
        <v>-5.3795851197436129E-2</v>
      </c>
      <c r="IV151" s="65" t="s">
        <v>32</v>
      </c>
      <c r="IW151" s="66">
        <f t="shared" ref="IW151:JA152" si="1101">IW131/IP131-1</f>
        <v>-5.7202260368909186E-2</v>
      </c>
      <c r="IX151" s="66">
        <f t="shared" si="1101"/>
        <v>-2.9980787704130707E-2</v>
      </c>
      <c r="IY151" s="66">
        <f t="shared" si="1101"/>
        <v>1.1539050112167049E-2</v>
      </c>
      <c r="IZ151" s="66">
        <f t="shared" si="1101"/>
        <v>2.8588922938580508E-2</v>
      </c>
      <c r="JA151" s="66">
        <f t="shared" si="1101"/>
        <v>-1.1022450717567689E-2</v>
      </c>
      <c r="JC151" s="65" t="s">
        <v>32</v>
      </c>
      <c r="JD151" s="66">
        <f t="shared" ref="JD151:JH152" si="1102">JD131/IW131-1</f>
        <v>5.6029285099052473E-2</v>
      </c>
      <c r="JE151" s="66">
        <f t="shared" si="1102"/>
        <v>3.3472719899482195E-2</v>
      </c>
      <c r="JF151" s="66">
        <f t="shared" si="1102"/>
        <v>-4.6665574307717117E-3</v>
      </c>
      <c r="JG151" s="66">
        <f t="shared" si="1102"/>
        <v>4.0981097086274509E-2</v>
      </c>
      <c r="JH151" s="66">
        <f t="shared" si="1102"/>
        <v>3.0562553469337228E-2</v>
      </c>
      <c r="JJ151" s="65" t="s">
        <v>32</v>
      </c>
      <c r="JK151" s="66">
        <f t="shared" ref="JK151:JO152" si="1103">JK131/JD131-1</f>
        <v>3.3060670309605023E-2</v>
      </c>
      <c r="JL151" s="66">
        <f t="shared" si="1103"/>
        <v>6.8452380952380931E-2</v>
      </c>
      <c r="JM151" s="66">
        <f t="shared" si="1103"/>
        <v>8.9218857139389707E-2</v>
      </c>
      <c r="JN151" s="66">
        <f t="shared" si="1103"/>
        <v>2.6034596777000374E-2</v>
      </c>
      <c r="JO151" s="66">
        <f t="shared" si="1103"/>
        <v>5.4094147487425914E-2</v>
      </c>
      <c r="JQ151" s="65" t="s">
        <v>32</v>
      </c>
      <c r="JR151" s="66">
        <f t="shared" ref="JR151:JV152" si="1104">JR131/JK131-1</f>
        <v>-3.4238100565087137E-4</v>
      </c>
      <c r="JS151" s="66">
        <f t="shared" si="1104"/>
        <v>-6.0790273556229346E-3</v>
      </c>
      <c r="JT151" s="66">
        <f t="shared" si="1104"/>
        <v>-1.8326894502228686E-2</v>
      </c>
      <c r="JU151" s="66">
        <f t="shared" si="1104"/>
        <v>-2.0492096416565242E-2</v>
      </c>
      <c r="JV151" s="66">
        <f t="shared" si="1104"/>
        <v>-1.1748002723162787E-2</v>
      </c>
      <c r="JX151" s="65" t="s">
        <v>32</v>
      </c>
      <c r="JY151" s="66">
        <f t="shared" ref="JY151:KC152" si="1105">JY131/JR131-1</f>
        <v>-1.8500424808836069E-2</v>
      </c>
      <c r="JZ151" s="66">
        <f t="shared" si="1105"/>
        <v>-7.5437580236089818E-2</v>
      </c>
      <c r="KA151" s="66">
        <f t="shared" si="1105"/>
        <v>-6.5566507227791671E-2</v>
      </c>
      <c r="KB151" s="66">
        <f t="shared" si="1105"/>
        <v>-4.4899424230566698E-2</v>
      </c>
      <c r="KC151" s="66">
        <f t="shared" si="1105"/>
        <v>-5.0731116310160362E-2</v>
      </c>
      <c r="KE151" s="65" t="s">
        <v>32</v>
      </c>
      <c r="KF151" s="66">
        <f t="shared" ref="KF151:KJ152" si="1106">KF131/JY131-1</f>
        <v>-0.17277035760448067</v>
      </c>
      <c r="KG151" s="66">
        <f t="shared" si="1106"/>
        <v>0.10919071890001764</v>
      </c>
      <c r="KH151" s="66">
        <f t="shared" si="1106"/>
        <v>0.10231061978977873</v>
      </c>
      <c r="KI151" s="66">
        <f t="shared" si="1106"/>
        <v>0.16216871363930174</v>
      </c>
      <c r="KJ151" s="66">
        <f t="shared" si="1106"/>
        <v>4.984016274338865E-2</v>
      </c>
      <c r="KL151" s="65" t="s">
        <v>32</v>
      </c>
      <c r="KM151" s="66">
        <f t="shared" ref="KM151:KQ152" si="1107">KM131/KF131-1</f>
        <v>0.37999913434903032</v>
      </c>
      <c r="KN151" s="66">
        <f t="shared" si="1107"/>
        <v>0.16721713862869314</v>
      </c>
      <c r="KO151" s="66">
        <f t="shared" si="1107"/>
        <v>0.15860959423294085</v>
      </c>
      <c r="KP151" s="66">
        <f t="shared" si="1107"/>
        <v>8.9035087719298245E-2</v>
      </c>
      <c r="KQ151" s="66">
        <f t="shared" si="1107"/>
        <v>0.18471480743319346</v>
      </c>
      <c r="KS151" s="65" t="s">
        <v>32</v>
      </c>
      <c r="KT151" s="66">
        <f t="shared" ref="KT151:KX152" si="1108">KT131/KM131-1</f>
        <v>4.5320288517893159E-2</v>
      </c>
      <c r="KU151" s="66">
        <f t="shared" si="1108"/>
        <v>-9.3110683685959095E-2</v>
      </c>
      <c r="KV151" s="66">
        <f t="shared" si="1108"/>
        <v>-7.8754630149287075E-2</v>
      </c>
      <c r="KW151" s="66">
        <f t="shared" si="1108"/>
        <v>-3.6649214659685625E-2</v>
      </c>
      <c r="KX151" s="66">
        <f t="shared" si="1108"/>
        <v>-4.3054084443800544E-2</v>
      </c>
      <c r="KZ151" s="65" t="s">
        <v>32</v>
      </c>
      <c r="LA151" s="66">
        <f t="shared" ref="LA151:LB152" si="1109">LA131/KT131-1</f>
        <v>-5.3959559632817733E-2</v>
      </c>
      <c r="LB151" s="66">
        <f t="shared" si="1109"/>
        <v>-1.7097560975609771E-2</v>
      </c>
      <c r="LC151" s="112">
        <f t="shared" ref="LC151:LC152" si="1110">LC131/KV131-1</f>
        <v>-4.5500967117988456E-2</v>
      </c>
      <c r="LD151" s="112">
        <f t="shared" ref="LD151:LD152" si="1111">LD131/KW131-1</f>
        <v>-8.0434782608695743E-2</v>
      </c>
      <c r="LE151" s="112">
        <f>LE131/KX131-1</f>
        <v>-4.9932713379130744E-2</v>
      </c>
      <c r="LF151" s="566"/>
      <c r="LG151" s="65" t="s">
        <v>32</v>
      </c>
      <c r="LH151" s="112">
        <f t="shared" ref="LH151:LH152" si="1112">LH131/LA131-1</f>
        <v>-4.5476284584980209E-2</v>
      </c>
      <c r="LI151" s="112">
        <f t="shared" ref="LI151:LI152" si="1113">LI131/LB131-1</f>
        <v>-4.6676096181046622E-2</v>
      </c>
      <c r="LJ151" s="112">
        <f t="shared" ref="LJ151:LJ152" si="1114">LJ131/LC131-1</f>
        <v>-1.5781922525107572E-2</v>
      </c>
      <c r="LK151" s="112">
        <f t="shared" ref="LK151:LK152" si="1115">LK131/LD131-1</f>
        <v>1.9858156028368823E-2</v>
      </c>
      <c r="LL151" s="112">
        <f>LL131/LE131-1</f>
        <v>-2.1787819301506417E-2</v>
      </c>
      <c r="LM151" s="566"/>
      <c r="LN151" s="65" t="s">
        <v>32</v>
      </c>
      <c r="LO151" s="112">
        <f t="shared" ref="LO151:LO152" si="1116">LO131/LH131-1</f>
        <v>2.432681158832728E-2</v>
      </c>
      <c r="LP151" s="112">
        <f t="shared" ref="LP151:LP152" si="1117">LP131/LI131-1</f>
        <v>3.9267644389086254E-2</v>
      </c>
      <c r="LQ151" s="112">
        <f t="shared" ref="LQ151:LQ152" si="1118">LQ131/LJ131-1</f>
        <v>4.030004859086489E-2</v>
      </c>
      <c r="LR151" s="112">
        <f t="shared" ref="LR151:LR152" si="1119">LR131/LK131-1</f>
        <v>3.9522781356601477E-2</v>
      </c>
      <c r="LS151" s="112">
        <f>LS131/LL131-1</f>
        <v>3.6451822378178234E-2</v>
      </c>
      <c r="LT151" s="566"/>
      <c r="LU151" s="65" t="s">
        <v>32</v>
      </c>
      <c r="LV151" s="112">
        <f t="shared" ref="LV151:LV152" si="1120">LV131/LO131-1</f>
        <v>3.0000000000000027E-2</v>
      </c>
      <c r="LW151" s="112">
        <f t="shared" ref="LW151:LW152" si="1121">LW131/LP131-1</f>
        <v>3.0000000000000027E-2</v>
      </c>
      <c r="LX151" s="112">
        <f t="shared" ref="LX151:LX152" si="1122">LX131/LQ131-1</f>
        <v>3.499999999999992E-2</v>
      </c>
      <c r="LY151" s="112">
        <f t="shared" ref="LY151:LY152" si="1123">LY131/LR131-1</f>
        <v>3.499999999999992E-2</v>
      </c>
      <c r="LZ151" s="112">
        <f>LZ131/LS131-1</f>
        <v>3.2638623867882854E-2</v>
      </c>
      <c r="MA151" s="566"/>
      <c r="MB151" s="65" t="s">
        <v>32</v>
      </c>
      <c r="MC151" s="112">
        <f t="shared" ref="MC151:MC152" si="1124">MC131/LV131-1</f>
        <v>3.2499999999999973E-2</v>
      </c>
      <c r="MD151" s="112">
        <f t="shared" ref="MD151:MD152" si="1125">MD131/LW131-1</f>
        <v>3.2499999999999973E-2</v>
      </c>
      <c r="ME151" s="112">
        <f t="shared" ref="ME151:ME152" si="1126">ME131/LX131-1</f>
        <v>3.2499999999999973E-2</v>
      </c>
      <c r="MF151" s="112">
        <f t="shared" ref="MF151:MF152" si="1127">MF131/LY131-1</f>
        <v>3.2499999999999973E-2</v>
      </c>
      <c r="MG151" s="112">
        <f>MG131/LZ131-1</f>
        <v>3.2500000000000195E-2</v>
      </c>
      <c r="MH151" s="566"/>
    </row>
    <row r="152" spans="1:346" s="37" customFormat="1" ht="13.15" x14ac:dyDescent="0.4">
      <c r="A152" s="100"/>
      <c r="B152" s="65" t="s">
        <v>147</v>
      </c>
      <c r="C152" s="66"/>
      <c r="D152" s="66"/>
      <c r="E152" s="66"/>
      <c r="F152" s="66"/>
      <c r="G152" s="66"/>
      <c r="H152" s="66"/>
      <c r="I152" s="66"/>
      <c r="J152" s="66"/>
      <c r="K152" s="66"/>
      <c r="L152" s="66"/>
      <c r="M152" s="66"/>
      <c r="N152" s="66">
        <f>BT152</f>
        <v>0</v>
      </c>
      <c r="O152" s="66">
        <f>CA152</f>
        <v>2.8275009952646535E-2</v>
      </c>
      <c r="P152" s="66">
        <f>CH152</f>
        <v>3.7054636009256958E-2</v>
      </c>
      <c r="Q152" s="66">
        <f>CO152</f>
        <v>1.4134109691960939E-2</v>
      </c>
      <c r="R152" s="66">
        <f>CV152</f>
        <v>-2.1180925334279954E-2</v>
      </c>
      <c r="S152" s="66">
        <f>DC152</f>
        <v>3.0938554002992724E-3</v>
      </c>
      <c r="T152" s="66">
        <f>DJ152</f>
        <v>3.9590443686006838E-2</v>
      </c>
      <c r="U152" s="66">
        <f>DQ152</f>
        <v>1.9993069447892919E-2</v>
      </c>
      <c r="V152" s="66">
        <f>DX152</f>
        <v>-1.6875287295357366E-2</v>
      </c>
      <c r="W152" s="66">
        <f>EE152</f>
        <v>-1.574570190560487E-2</v>
      </c>
      <c r="X152" s="66">
        <f>EL152</f>
        <v>2.0849514014040338E-2</v>
      </c>
      <c r="Y152" s="66">
        <f>ES152</f>
        <v>1.8400430992261851E-2</v>
      </c>
      <c r="Z152" s="66">
        <f>EZ152</f>
        <v>4.1938057525095607E-2</v>
      </c>
      <c r="AA152" s="66">
        <f>FG152</f>
        <v>1.0584931528723196E-3</v>
      </c>
      <c r="AB152" s="66">
        <f>FN152</f>
        <v>1.17274101969147E-2</v>
      </c>
      <c r="AC152" s="66">
        <f>FU152</f>
        <v>5.1230996348595736E-2</v>
      </c>
      <c r="AD152" s="66">
        <f>GB152</f>
        <v>0.10754626543589629</v>
      </c>
      <c r="AE152" s="66">
        <f>GI152</f>
        <v>9.7994677630559801E-2</v>
      </c>
      <c r="AF152" s="66">
        <f>GP152</f>
        <v>0.11591628342018079</v>
      </c>
      <c r="AG152" s="66">
        <f>GW152</f>
        <v>0.24688466168031442</v>
      </c>
      <c r="AH152" s="66">
        <f>HD152</f>
        <v>-6.7415226553592111E-3</v>
      </c>
      <c r="AI152" s="66">
        <f>HK152</f>
        <v>0.19611707604059436</v>
      </c>
      <c r="AJ152" s="66">
        <f>HR152</f>
        <v>0.16491507815708717</v>
      </c>
      <c r="AK152" s="66">
        <f>HY152</f>
        <v>2.2083304595358788E-2</v>
      </c>
      <c r="AL152" s="66">
        <f>IF152</f>
        <v>-2.0330268490707071E-2</v>
      </c>
      <c r="AM152" s="66">
        <f>IM152</f>
        <v>-6.8136220435802475E-2</v>
      </c>
      <c r="AN152" s="66">
        <f>IT152</f>
        <v>-4.156762105962486E-2</v>
      </c>
      <c r="AO152" s="66">
        <f>JA152</f>
        <v>1.0936494759780313E-2</v>
      </c>
      <c r="AP152" s="66">
        <f>JH152</f>
        <v>0.12662653177770733</v>
      </c>
      <c r="AQ152" s="66">
        <f>JO152</f>
        <v>2.7513913197485973E-2</v>
      </c>
      <c r="AR152" s="66">
        <f>JV152</f>
        <v>-3.0257032668595474E-2</v>
      </c>
      <c r="AS152" s="66">
        <f>KC152</f>
        <v>-0.10687097581507532</v>
      </c>
      <c r="AT152" s="66">
        <f>KJ152</f>
        <v>0.21034146420597777</v>
      </c>
      <c r="AU152" s="66">
        <f>KQ152</f>
        <v>0.31559710851047873</v>
      </c>
      <c r="AV152" s="66">
        <f>KX152</f>
        <v>-5.7856960172392169E-2</v>
      </c>
      <c r="AW152" s="66">
        <f>LE152</f>
        <v>-7.205845673177913E-2</v>
      </c>
      <c r="AX152" s="66">
        <f>LL152</f>
        <v>-0.13322994571530211</v>
      </c>
      <c r="AY152" s="66">
        <f>LS152</f>
        <v>-4.0911457750375524E-3</v>
      </c>
      <c r="AZ152" s="66">
        <f>LZ152</f>
        <v>8.6182931358955717E-3</v>
      </c>
      <c r="BA152" s="66">
        <f>MG152</f>
        <v>7.5520728428166706E-3</v>
      </c>
      <c r="BB152" s="66"/>
      <c r="BC152" s="66"/>
      <c r="BD152" s="66"/>
      <c r="BE152" s="66"/>
      <c r="BF152" s="66"/>
      <c r="BG152" s="66"/>
      <c r="BH152" s="66"/>
      <c r="BI152" s="66"/>
      <c r="BJ152" s="66"/>
      <c r="BK152" s="66"/>
      <c r="BL152" s="66"/>
      <c r="BM152" s="66"/>
      <c r="BO152" s="65" t="s">
        <v>147</v>
      </c>
      <c r="BP152" s="66"/>
      <c r="BQ152" s="66"/>
      <c r="BR152" s="66"/>
      <c r="BS152" s="66"/>
      <c r="BT152" s="66"/>
      <c r="BV152" s="65" t="s">
        <v>147</v>
      </c>
      <c r="BW152" s="66">
        <f t="shared" si="1075"/>
        <v>2.3386875273389673E-2</v>
      </c>
      <c r="BX152" s="66">
        <f t="shared" si="1075"/>
        <v>-5.3839021326218539E-4</v>
      </c>
      <c r="BY152" s="66">
        <f t="shared" si="1075"/>
        <v>5.7647877522616797E-2</v>
      </c>
      <c r="BZ152" s="66">
        <f t="shared" si="1075"/>
        <v>3.4938257739842715E-2</v>
      </c>
      <c r="CA152" s="66">
        <f t="shared" si="1075"/>
        <v>2.8275009952646535E-2</v>
      </c>
      <c r="CC152" s="65" t="s">
        <v>147</v>
      </c>
      <c r="CD152" s="66">
        <f t="shared" si="1076"/>
        <v>3.0393155651954773E-2</v>
      </c>
      <c r="CE152" s="66">
        <f t="shared" si="1076"/>
        <v>5.1618523097673341E-2</v>
      </c>
      <c r="CF152" s="66">
        <f t="shared" si="1076"/>
        <v>4.7082141419001244E-2</v>
      </c>
      <c r="CG152" s="66">
        <f t="shared" si="1076"/>
        <v>1.5259948652118105E-2</v>
      </c>
      <c r="CH152" s="66">
        <f t="shared" si="1076"/>
        <v>3.7054636009256958E-2</v>
      </c>
      <c r="CJ152" s="65" t="s">
        <v>147</v>
      </c>
      <c r="CK152" s="66">
        <f t="shared" si="1077"/>
        <v>2.6849262455441281E-2</v>
      </c>
      <c r="CL152" s="66">
        <f t="shared" si="1077"/>
        <v>1.8666666666666609E-2</v>
      </c>
      <c r="CM152" s="66">
        <f t="shared" si="1077"/>
        <v>-4.8602935617311216E-3</v>
      </c>
      <c r="CN152" s="66">
        <f t="shared" si="1077"/>
        <v>1.8618861936834374E-2</v>
      </c>
      <c r="CO152" s="66">
        <f t="shared" si="1077"/>
        <v>1.4134109691960939E-2</v>
      </c>
      <c r="CQ152" s="65" t="s">
        <v>147</v>
      </c>
      <c r="CR152" s="66">
        <f t="shared" si="1078"/>
        <v>-1.6955361348055864E-2</v>
      </c>
      <c r="CS152" s="66">
        <f t="shared" si="1078"/>
        <v>-9.3879761689835695E-3</v>
      </c>
      <c r="CT152" s="66">
        <f t="shared" si="1078"/>
        <v>-3.2117107275507983E-2</v>
      </c>
      <c r="CU152" s="66">
        <f t="shared" si="1078"/>
        <v>-2.5430730478589569E-2</v>
      </c>
      <c r="CV152" s="66">
        <f t="shared" si="1078"/>
        <v>-2.1180925334279954E-2</v>
      </c>
      <c r="CX152" s="65" t="s">
        <v>147</v>
      </c>
      <c r="CY152" s="66">
        <f t="shared" si="1079"/>
        <v>-7.9768270944741149E-3</v>
      </c>
      <c r="CZ152" s="66">
        <f t="shared" si="1079"/>
        <v>-1.1111558436329938E-2</v>
      </c>
      <c r="DA152" s="66">
        <f t="shared" si="1079"/>
        <v>2.6976744186046453E-2</v>
      </c>
      <c r="DB152" s="66">
        <f t="shared" si="1079"/>
        <v>2.299028907114975E-3</v>
      </c>
      <c r="DC152" s="66">
        <f t="shared" si="1079"/>
        <v>3.0938554002992724E-3</v>
      </c>
      <c r="DE152" s="65" t="s">
        <v>147</v>
      </c>
      <c r="DF152" s="66">
        <f t="shared" si="1080"/>
        <v>3.2704886494805629E-2</v>
      </c>
      <c r="DG152" s="66">
        <f t="shared" si="1080"/>
        <v>4.6563032926669301E-2</v>
      </c>
      <c r="DH152" s="66">
        <f t="shared" si="1080"/>
        <v>2.7137509850275743E-2</v>
      </c>
      <c r="DI152" s="66">
        <f t="shared" si="1080"/>
        <v>5.3466115982175877E-2</v>
      </c>
      <c r="DJ152" s="66">
        <f t="shared" si="1080"/>
        <v>3.9590443686006838E-2</v>
      </c>
      <c r="DL152" s="65" t="s">
        <v>147</v>
      </c>
      <c r="DM152" s="66">
        <f t="shared" si="1081"/>
        <v>4.110594568142889E-2</v>
      </c>
      <c r="DN152" s="66">
        <f t="shared" si="1081"/>
        <v>3.1577155502595877E-2</v>
      </c>
      <c r="DO152" s="66">
        <f t="shared" si="1081"/>
        <v>1.7190066903168821E-2</v>
      </c>
      <c r="DP152" s="66">
        <f t="shared" si="1081"/>
        <v>-8.4348532312332747E-3</v>
      </c>
      <c r="DQ152" s="66">
        <f t="shared" si="1081"/>
        <v>1.9993069447892919E-2</v>
      </c>
      <c r="DS152" s="65" t="s">
        <v>147</v>
      </c>
      <c r="DT152" s="66">
        <f t="shared" si="1082"/>
        <v>-1.7108736643620448E-2</v>
      </c>
      <c r="DU152" s="66">
        <f t="shared" si="1082"/>
        <v>-2.5258107758519222E-2</v>
      </c>
      <c r="DV152" s="66">
        <f t="shared" si="1082"/>
        <v>-2.3376052558526705E-2</v>
      </c>
      <c r="DW152" s="66">
        <f t="shared" si="1082"/>
        <v>-1.4268727705113449E-3</v>
      </c>
      <c r="DX152" s="66">
        <f t="shared" si="1082"/>
        <v>-1.6875287295357366E-2</v>
      </c>
      <c r="DZ152" s="65" t="s">
        <v>147</v>
      </c>
      <c r="EA152" s="66">
        <f t="shared" si="1083"/>
        <v>-6.0275512717671953E-2</v>
      </c>
      <c r="EB152" s="66">
        <f t="shared" si="1083"/>
        <v>-2.2302139988817915E-3</v>
      </c>
      <c r="EC152" s="66">
        <f t="shared" si="1083"/>
        <v>1.0169910410874117E-2</v>
      </c>
      <c r="ED152" s="66">
        <f t="shared" si="1083"/>
        <v>-1.1737978038621644E-2</v>
      </c>
      <c r="EE152" s="66">
        <f t="shared" si="1083"/>
        <v>-1.574570190560487E-2</v>
      </c>
      <c r="EG152" s="65" t="s">
        <v>147</v>
      </c>
      <c r="EH152" s="66">
        <f t="shared" si="1084"/>
        <v>4.8570969813744425E-2</v>
      </c>
      <c r="EI152" s="66">
        <f t="shared" si="1084"/>
        <v>7.8722239210360367E-3</v>
      </c>
      <c r="EJ152" s="66">
        <f t="shared" si="1084"/>
        <v>5.1622058032001483E-3</v>
      </c>
      <c r="EK152" s="66">
        <f t="shared" si="1084"/>
        <v>2.3040854759983187E-2</v>
      </c>
      <c r="EL152" s="66">
        <f t="shared" si="1084"/>
        <v>2.0849514014040338E-2</v>
      </c>
      <c r="EN152" s="65" t="s">
        <v>147</v>
      </c>
      <c r="EO152" s="66">
        <f t="shared" si="1085"/>
        <v>5.0991501416430607E-2</v>
      </c>
      <c r="EP152" s="66">
        <f t="shared" si="1085"/>
        <v>2.6262296014101461E-2</v>
      </c>
      <c r="EQ152" s="66">
        <f t="shared" si="1085"/>
        <v>-9.051251545477923E-3</v>
      </c>
      <c r="ER152" s="66">
        <f t="shared" si="1085"/>
        <v>9.3363691485279787E-3</v>
      </c>
      <c r="ES152" s="66">
        <f t="shared" si="1085"/>
        <v>1.8400430992261851E-2</v>
      </c>
      <c r="EU152" s="65" t="s">
        <v>147</v>
      </c>
      <c r="EV152" s="66">
        <f t="shared" si="1086"/>
        <v>1.1463200486280467E-2</v>
      </c>
      <c r="EW152" s="66">
        <f t="shared" si="1086"/>
        <v>3.0633311069281799E-2</v>
      </c>
      <c r="EX152" s="66">
        <f t="shared" si="1086"/>
        <v>7.7757350746714193E-2</v>
      </c>
      <c r="EY152" s="66">
        <f t="shared" si="1086"/>
        <v>4.8524185732326863E-2</v>
      </c>
      <c r="EZ152" s="66">
        <f t="shared" si="1086"/>
        <v>4.1938057525095607E-2</v>
      </c>
      <c r="FB152" s="65" t="s">
        <v>147</v>
      </c>
      <c r="FC152" s="66">
        <f t="shared" si="1087"/>
        <v>2.3065913094538981E-2</v>
      </c>
      <c r="FD152" s="66">
        <f t="shared" si="1087"/>
        <v>6.9947308415245768E-3</v>
      </c>
      <c r="FE152" s="66">
        <f t="shared" si="1087"/>
        <v>-2.131560574325353E-2</v>
      </c>
      <c r="FF152" s="66">
        <f t="shared" si="1087"/>
        <v>-4.3031989705838436E-3</v>
      </c>
      <c r="FG152" s="66">
        <f t="shared" si="1087"/>
        <v>1.0584931528723196E-3</v>
      </c>
      <c r="FI152" s="65" t="s">
        <v>147</v>
      </c>
      <c r="FJ152" s="66">
        <f t="shared" si="1088"/>
        <v>2.3199848008275126E-2</v>
      </c>
      <c r="FK152" s="66">
        <f t="shared" si="1088"/>
        <v>3.1519736842105184E-2</v>
      </c>
      <c r="FL152" s="66">
        <f t="shared" si="1088"/>
        <v>1.5519342269117997E-2</v>
      </c>
      <c r="FM152" s="66">
        <f t="shared" si="1088"/>
        <v>-2.2052630235585347E-2</v>
      </c>
      <c r="FN152" s="66">
        <f t="shared" si="1088"/>
        <v>1.17274101969147E-2</v>
      </c>
      <c r="FP152" s="65" t="s">
        <v>147</v>
      </c>
      <c r="FQ152" s="66">
        <f t="shared" si="1089"/>
        <v>1.3111126014351937E-2</v>
      </c>
      <c r="FR152" s="66">
        <f t="shared" si="1089"/>
        <v>3.6433306976461299E-2</v>
      </c>
      <c r="FS152" s="66">
        <f t="shared" si="1089"/>
        <v>6.0864378078817616E-2</v>
      </c>
      <c r="FT152" s="66">
        <f t="shared" si="1089"/>
        <v>9.3955014058106912E-2</v>
      </c>
      <c r="FU152" s="66">
        <f t="shared" si="1089"/>
        <v>5.1230996348595736E-2</v>
      </c>
      <c r="FW152" s="65" t="s">
        <v>147</v>
      </c>
      <c r="FX152" s="66">
        <f t="shared" si="1090"/>
        <v>9.7528039099358699E-2</v>
      </c>
      <c r="FY152" s="66">
        <f t="shared" si="1090"/>
        <v>0.10307200891804413</v>
      </c>
      <c r="FZ152" s="66">
        <f t="shared" si="1090"/>
        <v>0.11674677601873307</v>
      </c>
      <c r="GA152" s="66">
        <f t="shared" si="1090"/>
        <v>0.11482720178372352</v>
      </c>
      <c r="GB152" s="66">
        <f t="shared" si="1090"/>
        <v>0.10754626543589629</v>
      </c>
      <c r="GD152" s="65" t="s">
        <v>147</v>
      </c>
      <c r="GE152" s="66">
        <f t="shared" si="1091"/>
        <v>9.75103734439835E-2</v>
      </c>
      <c r="GF152" s="66">
        <f t="shared" si="1091"/>
        <v>9.9440801815160906E-2</v>
      </c>
      <c r="GG152" s="66">
        <f t="shared" si="1091"/>
        <v>8.8154406817165798E-2</v>
      </c>
      <c r="GH152" s="66">
        <f t="shared" si="1091"/>
        <v>0.10672359550561783</v>
      </c>
      <c r="GI152" s="66">
        <f t="shared" si="1091"/>
        <v>9.7994677630559801E-2</v>
      </c>
      <c r="GK152" s="65" t="s">
        <v>147</v>
      </c>
      <c r="GL152" s="66">
        <f t="shared" si="1092"/>
        <v>0.12954747116237786</v>
      </c>
      <c r="GM152" s="66">
        <f t="shared" si="1092"/>
        <v>8.9845574145343887E-2</v>
      </c>
      <c r="GN152" s="66">
        <f t="shared" si="1092"/>
        <v>0.10864497579533849</v>
      </c>
      <c r="GO152" s="66">
        <f t="shared" si="1092"/>
        <v>0.13427495732291961</v>
      </c>
      <c r="GP152" s="66">
        <f t="shared" si="1092"/>
        <v>0.11591628342018079</v>
      </c>
      <c r="GR152" s="65" t="s">
        <v>147</v>
      </c>
      <c r="GS152" s="66">
        <f t="shared" si="1093"/>
        <v>0.19674355495251028</v>
      </c>
      <c r="GT152" s="66">
        <f t="shared" si="1093"/>
        <v>0.25730917078528259</v>
      </c>
      <c r="GU152" s="66">
        <f t="shared" si="1093"/>
        <v>0.2985827581142606</v>
      </c>
      <c r="GV152" s="66">
        <f t="shared" si="1093"/>
        <v>0.23453750434196241</v>
      </c>
      <c r="GW152" s="66">
        <f t="shared" si="1093"/>
        <v>0.24688466168031442</v>
      </c>
      <c r="GY152" s="65" t="s">
        <v>147</v>
      </c>
      <c r="GZ152" s="66">
        <f t="shared" si="1094"/>
        <v>4.9933065595716197E-2</v>
      </c>
      <c r="HA152" s="66">
        <f t="shared" si="1094"/>
        <v>2.5144653953518281E-2</v>
      </c>
      <c r="HB152" s="66">
        <f t="shared" si="1094"/>
        <v>-1.8481194274587498E-2</v>
      </c>
      <c r="HC152" s="66">
        <f t="shared" si="1094"/>
        <v>-7.4742833978007739E-2</v>
      </c>
      <c r="HD152" s="66">
        <f t="shared" si="1094"/>
        <v>-6.7415226553592111E-3</v>
      </c>
      <c r="HF152" s="65" t="s">
        <v>147</v>
      </c>
      <c r="HG152" s="66">
        <f t="shared" si="1095"/>
        <v>0.14849087607022393</v>
      </c>
      <c r="HH152" s="66">
        <f t="shared" si="1095"/>
        <v>0.17638220567517027</v>
      </c>
      <c r="HI152" s="66">
        <f t="shared" si="1095"/>
        <v>0.19063896615307696</v>
      </c>
      <c r="HJ152" s="66">
        <f t="shared" si="1095"/>
        <v>0.26581947073750323</v>
      </c>
      <c r="HK152" s="66">
        <f t="shared" si="1095"/>
        <v>0.19611707604059436</v>
      </c>
      <c r="HM152" s="65" t="s">
        <v>147</v>
      </c>
      <c r="HN152" s="66">
        <f t="shared" si="1096"/>
        <v>0.15706874647092062</v>
      </c>
      <c r="HO152" s="66">
        <f t="shared" si="1096"/>
        <v>0.18574603370578435</v>
      </c>
      <c r="HP152" s="66">
        <f t="shared" si="1096"/>
        <v>0.16392293133939373</v>
      </c>
      <c r="HQ152" s="66">
        <f t="shared" si="1096"/>
        <v>0.1564869850379178</v>
      </c>
      <c r="HR152" s="66">
        <f t="shared" si="1096"/>
        <v>0.16491507815708717</v>
      </c>
      <c r="HT152" s="65" t="s">
        <v>147</v>
      </c>
      <c r="HU152" s="66">
        <f t="shared" si="1097"/>
        <v>0.10094896356406102</v>
      </c>
      <c r="HV152" s="66">
        <f t="shared" si="1097"/>
        <v>3.349122353341949E-3</v>
      </c>
      <c r="HW152" s="66">
        <f t="shared" si="1097"/>
        <v>-1.2244792323793163E-2</v>
      </c>
      <c r="HX152" s="66">
        <f t="shared" si="1097"/>
        <v>1.0857296425692553E-3</v>
      </c>
      <c r="HY152" s="66">
        <f t="shared" si="1097"/>
        <v>2.2083304595358788E-2</v>
      </c>
      <c r="IA152" s="65" t="s">
        <v>147</v>
      </c>
      <c r="IB152" s="66">
        <f t="shared" si="1098"/>
        <v>-2.7510683760683663E-2</v>
      </c>
      <c r="IC152" s="66">
        <f t="shared" si="1098"/>
        <v>2.635719905586198E-3</v>
      </c>
      <c r="ID152" s="66">
        <f t="shared" si="1098"/>
        <v>-1.669703901331443E-2</v>
      </c>
      <c r="IE152" s="66">
        <f t="shared" si="1098"/>
        <v>-4.0707234937443104E-2</v>
      </c>
      <c r="IF152" s="66">
        <f t="shared" si="1098"/>
        <v>-2.0330268490707071E-2</v>
      </c>
      <c r="IH152" s="65" t="s">
        <v>147</v>
      </c>
      <c r="II152" s="66">
        <f t="shared" si="1099"/>
        <v>-7.5705864101768716E-2</v>
      </c>
      <c r="IJ152" s="66">
        <f t="shared" si="1099"/>
        <v>-9.232585596221965E-2</v>
      </c>
      <c r="IK152" s="66">
        <f t="shared" si="1099"/>
        <v>-6.1394113549286033E-2</v>
      </c>
      <c r="IL152" s="66">
        <f t="shared" si="1099"/>
        <v>-3.9681516936671546E-2</v>
      </c>
      <c r="IM152" s="66">
        <f t="shared" si="1099"/>
        <v>-6.8136220435802475E-2</v>
      </c>
      <c r="IO152" s="65" t="s">
        <v>147</v>
      </c>
      <c r="IP152" s="66">
        <f t="shared" si="1100"/>
        <v>-2.2914728358021663E-2</v>
      </c>
      <c r="IQ152" s="66">
        <f t="shared" si="1100"/>
        <v>-5.2761071623838141E-2</v>
      </c>
      <c r="IR152" s="66">
        <f t="shared" si="1100"/>
        <v>-1.1712128216982642E-2</v>
      </c>
      <c r="IS152" s="66">
        <f t="shared" si="1100"/>
        <v>-8.714325649952992E-2</v>
      </c>
      <c r="IT152" s="66">
        <f t="shared" si="1100"/>
        <v>-4.156762105962486E-2</v>
      </c>
      <c r="IV152" s="65" t="s">
        <v>147</v>
      </c>
      <c r="IW152" s="66">
        <f t="shared" si="1101"/>
        <v>-9.6308777429467085E-2</v>
      </c>
      <c r="IX152" s="66">
        <f t="shared" si="1101"/>
        <v>-1.0582010582009804E-3</v>
      </c>
      <c r="IY152" s="66">
        <f t="shared" si="1101"/>
        <v>9.9932880900885923E-3</v>
      </c>
      <c r="IZ152" s="66">
        <f t="shared" si="1101"/>
        <v>0.13357366652825498</v>
      </c>
      <c r="JA152" s="66">
        <f t="shared" si="1101"/>
        <v>1.0936494759780313E-2</v>
      </c>
      <c r="JC152" s="65" t="s">
        <v>147</v>
      </c>
      <c r="JD152" s="66">
        <f t="shared" si="1102"/>
        <v>0.27636163579680906</v>
      </c>
      <c r="JE152" s="66">
        <f t="shared" si="1102"/>
        <v>0.19441105769230749</v>
      </c>
      <c r="JF152" s="66">
        <f t="shared" si="1102"/>
        <v>4.510539653851442E-2</v>
      </c>
      <c r="JG152" s="66">
        <f t="shared" si="1102"/>
        <v>3.4450350012963371E-2</v>
      </c>
      <c r="JH152" s="66">
        <f t="shared" si="1102"/>
        <v>0.12662653177770733</v>
      </c>
      <c r="JJ152" s="65" t="s">
        <v>147</v>
      </c>
      <c r="JK152" s="66">
        <f t="shared" si="1103"/>
        <v>-1.722231753111847E-2</v>
      </c>
      <c r="JL152" s="66">
        <f t="shared" si="1103"/>
        <v>5.8813530511645506E-3</v>
      </c>
      <c r="JM152" s="66">
        <f t="shared" si="1103"/>
        <v>6.5748777811034609E-2</v>
      </c>
      <c r="JN152" s="66">
        <f t="shared" si="1103"/>
        <v>5.492244635538035E-2</v>
      </c>
      <c r="JO152" s="66">
        <f t="shared" si="1103"/>
        <v>2.7513913197485973E-2</v>
      </c>
      <c r="JQ152" s="65" t="s">
        <v>147</v>
      </c>
      <c r="JR152" s="66">
        <f t="shared" si="1104"/>
        <v>1.4085299523613148E-2</v>
      </c>
      <c r="JS152" s="66">
        <f t="shared" si="1104"/>
        <v>-3.841547817160984E-2</v>
      </c>
      <c r="JT152" s="66">
        <f t="shared" si="1104"/>
        <v>-3.5929864903707975E-2</v>
      </c>
      <c r="JU152" s="66">
        <f t="shared" si="1104"/>
        <v>-6.170008532423199E-2</v>
      </c>
      <c r="JV152" s="66">
        <f t="shared" si="1104"/>
        <v>-3.0257032668595474E-2</v>
      </c>
      <c r="JX152" s="65" t="s">
        <v>147</v>
      </c>
      <c r="JY152" s="66">
        <f t="shared" si="1105"/>
        <v>-0.11828133664688134</v>
      </c>
      <c r="JZ152" s="66">
        <f t="shared" si="1105"/>
        <v>-8.3080054849517304E-2</v>
      </c>
      <c r="KA152" s="66">
        <f t="shared" si="1105"/>
        <v>-0.1211552888222055</v>
      </c>
      <c r="KB152" s="66">
        <f t="shared" si="1105"/>
        <v>-9.8489970700923912E-2</v>
      </c>
      <c r="KC152" s="66">
        <f t="shared" si="1105"/>
        <v>-0.10687097581507532</v>
      </c>
      <c r="KE152" s="65" t="s">
        <v>147</v>
      </c>
      <c r="KF152" s="66">
        <f t="shared" si="1106"/>
        <v>0.21602067183462537</v>
      </c>
      <c r="KG152" s="66">
        <f t="shared" si="1106"/>
        <v>2.2848003655680627E-2</v>
      </c>
      <c r="KH152" s="66">
        <f t="shared" si="1106"/>
        <v>0.20033670033670026</v>
      </c>
      <c r="KI152" s="66">
        <f t="shared" si="1106"/>
        <v>0.41913450292397636</v>
      </c>
      <c r="KJ152" s="66">
        <f t="shared" si="1106"/>
        <v>0.21034146420597777</v>
      </c>
      <c r="KL152" s="65" t="s">
        <v>147</v>
      </c>
      <c r="KM152" s="66">
        <f t="shared" si="1107"/>
        <v>0.26379928315412182</v>
      </c>
      <c r="KN152" s="66">
        <f t="shared" si="1107"/>
        <v>0.58223762849629446</v>
      </c>
      <c r="KO152" s="66">
        <f t="shared" si="1107"/>
        <v>0.37951363301400165</v>
      </c>
      <c r="KP152" s="66">
        <f t="shared" si="1107"/>
        <v>9.4528685800758794E-2</v>
      </c>
      <c r="KQ152" s="66">
        <f t="shared" si="1107"/>
        <v>0.31559710851047873</v>
      </c>
      <c r="KS152" s="65" t="s">
        <v>147</v>
      </c>
      <c r="KT152" s="66">
        <f t="shared" si="1108"/>
        <v>-4.9693220424926743E-3</v>
      </c>
      <c r="KU152" s="66">
        <f t="shared" si="1108"/>
        <v>-5.8529497239174666E-2</v>
      </c>
      <c r="KV152" s="66">
        <f t="shared" si="1108"/>
        <v>-0.12699282582702276</v>
      </c>
      <c r="KW152" s="66">
        <f t="shared" si="1108"/>
        <v>-3.5376730564430248E-2</v>
      </c>
      <c r="KX152" s="66">
        <f t="shared" si="1108"/>
        <v>-5.7856960172392169E-2</v>
      </c>
      <c r="KZ152" s="65" t="s">
        <v>147</v>
      </c>
      <c r="LA152" s="66">
        <f t="shared" si="1109"/>
        <v>-1.7512016402809971E-2</v>
      </c>
      <c r="LB152" s="66">
        <f t="shared" si="1109"/>
        <v>-8.6616954474097341E-2</v>
      </c>
      <c r="LC152" s="112">
        <f t="shared" si="1110"/>
        <v>-5.417003367003359E-2</v>
      </c>
      <c r="LD152" s="112">
        <f t="shared" si="1111"/>
        <v>-0.13661935483870968</v>
      </c>
      <c r="LE152" s="112">
        <f>LE132/KX132-1</f>
        <v>-7.205845673177913E-2</v>
      </c>
      <c r="LF152" s="566"/>
      <c r="LG152" s="65" t="s">
        <v>147</v>
      </c>
      <c r="LH152" s="112">
        <f t="shared" si="1112"/>
        <v>-0.20278481012658234</v>
      </c>
      <c r="LI152" s="112">
        <f t="shared" si="1113"/>
        <v>-0.16216216216216217</v>
      </c>
      <c r="LJ152" s="112">
        <f t="shared" si="1114"/>
        <v>-8.5194091377533532E-2</v>
      </c>
      <c r="LK152" s="112">
        <f t="shared" si="1115"/>
        <v>-6.4562410329985664E-2</v>
      </c>
      <c r="LL152" s="112">
        <f>LL132/LE132-1</f>
        <v>-0.13322994571530211</v>
      </c>
      <c r="LM152" s="566"/>
      <c r="LN152" s="65" t="s">
        <v>147</v>
      </c>
      <c r="LO152" s="112">
        <f t="shared" si="1116"/>
        <v>-2.9915827837556419E-2</v>
      </c>
      <c r="LP152" s="112">
        <f t="shared" si="1117"/>
        <v>-4.8643945191693128E-3</v>
      </c>
      <c r="LQ152" s="112">
        <f t="shared" si="1118"/>
        <v>-1.9837058564220467E-3</v>
      </c>
      <c r="LR152" s="112">
        <f t="shared" si="1119"/>
        <v>1.9896281734060883E-2</v>
      </c>
      <c r="LS152" s="112">
        <f>LS132/LL132-1</f>
        <v>-4.0911457750375524E-3</v>
      </c>
      <c r="LT152" s="566"/>
      <c r="LU152" s="65" t="s">
        <v>147</v>
      </c>
      <c r="LV152" s="112">
        <f t="shared" si="1120"/>
        <v>1.4999999999999902E-2</v>
      </c>
      <c r="LW152" s="112">
        <f t="shared" si="1121"/>
        <v>1.0000000000000009E-2</v>
      </c>
      <c r="LX152" s="112">
        <f t="shared" si="1122"/>
        <v>4.9999999999998934E-3</v>
      </c>
      <c r="LY152" s="112">
        <f t="shared" si="1123"/>
        <v>4.9999999999998934E-3</v>
      </c>
      <c r="LZ152" s="112">
        <f>LZ132/LS132-1</f>
        <v>8.6182931358955717E-3</v>
      </c>
      <c r="MA152" s="566"/>
      <c r="MB152" s="65" t="s">
        <v>147</v>
      </c>
      <c r="MC152" s="112">
        <f t="shared" si="1124"/>
        <v>4.9999999999998934E-3</v>
      </c>
      <c r="MD152" s="112">
        <f t="shared" si="1125"/>
        <v>4.9999999999998934E-3</v>
      </c>
      <c r="ME152" s="112">
        <f t="shared" si="1126"/>
        <v>1.0000000000000009E-2</v>
      </c>
      <c r="MF152" s="112">
        <f t="shared" si="1127"/>
        <v>1.0000000000000009E-2</v>
      </c>
      <c r="MG152" s="112">
        <f>MG132/LZ132-1</f>
        <v>7.5520728428166706E-3</v>
      </c>
      <c r="MH152" s="566"/>
    </row>
    <row r="153" spans="1:346" s="37" customFormat="1" ht="13.15" x14ac:dyDescent="0.4">
      <c r="A153" s="100"/>
      <c r="B153" s="36"/>
      <c r="BO153" s="36"/>
      <c r="BP153" s="53"/>
      <c r="BQ153" s="53"/>
      <c r="BR153" s="53"/>
      <c r="BS153" s="53"/>
      <c r="BT153" s="53"/>
      <c r="BV153" s="36"/>
      <c r="BW153" s="53"/>
      <c r="BX153" s="53"/>
      <c r="BY153" s="53"/>
      <c r="BZ153" s="53"/>
      <c r="CA153" s="53"/>
      <c r="CC153" s="36"/>
      <c r="CD153" s="53"/>
      <c r="CE153" s="53"/>
      <c r="CF153" s="53"/>
      <c r="CG153" s="53"/>
      <c r="CH153" s="53"/>
      <c r="CJ153" s="36"/>
      <c r="CK153" s="53"/>
      <c r="CL153" s="53"/>
      <c r="CM153" s="53"/>
      <c r="CN153" s="53"/>
      <c r="CO153" s="53"/>
      <c r="CQ153" s="36"/>
      <c r="CR153" s="53"/>
      <c r="CS153" s="53"/>
      <c r="CT153" s="53"/>
      <c r="CU153" s="53"/>
      <c r="CV153" s="53"/>
      <c r="CX153" s="36"/>
      <c r="CY153" s="53"/>
      <c r="CZ153" s="53"/>
      <c r="DA153" s="53"/>
      <c r="DB153" s="53"/>
      <c r="DC153" s="53"/>
      <c r="DE153" s="36"/>
      <c r="DF153" s="53"/>
      <c r="DG153" s="53"/>
      <c r="DH153" s="53"/>
      <c r="DI153" s="53"/>
      <c r="DJ153" s="53"/>
      <c r="DL153" s="36"/>
      <c r="DM153" s="53"/>
      <c r="DN153" s="53"/>
      <c r="DO153" s="53"/>
      <c r="DP153" s="53"/>
      <c r="DQ153" s="53"/>
      <c r="DS153" s="36"/>
      <c r="DT153" s="53"/>
      <c r="DU153" s="53"/>
      <c r="DV153" s="53"/>
      <c r="DW153" s="53"/>
      <c r="DX153" s="53"/>
      <c r="DZ153" s="36"/>
      <c r="EA153" s="53"/>
      <c r="EB153" s="53"/>
      <c r="EC153" s="53"/>
      <c r="ED153" s="53"/>
      <c r="EE153" s="53"/>
      <c r="EG153" s="36"/>
      <c r="EH153" s="53"/>
      <c r="EI153" s="53"/>
      <c r="EJ153" s="53"/>
      <c r="EK153" s="53"/>
      <c r="EL153" s="53"/>
      <c r="EN153" s="36"/>
      <c r="EO153" s="53"/>
      <c r="EP153" s="53"/>
      <c r="EQ153" s="53"/>
      <c r="ER153" s="53"/>
      <c r="ES153" s="53"/>
      <c r="EU153" s="36"/>
      <c r="EV153" s="53"/>
      <c r="EW153" s="53"/>
      <c r="EX153" s="53"/>
      <c r="EY153" s="53"/>
      <c r="EZ153" s="53"/>
      <c r="FB153" s="36"/>
      <c r="FC153" s="53"/>
      <c r="FD153" s="53"/>
      <c r="FE153" s="53"/>
      <c r="FF153" s="53"/>
      <c r="FG153" s="53"/>
      <c r="FI153" s="36"/>
      <c r="FJ153" s="53"/>
      <c r="FK153" s="53"/>
      <c r="FL153" s="53"/>
      <c r="FM153" s="53"/>
      <c r="FN153" s="53"/>
      <c r="FP153" s="36"/>
      <c r="FQ153" s="53"/>
      <c r="FR153" s="53"/>
      <c r="FS153" s="53"/>
      <c r="FT153" s="53"/>
      <c r="FU153" s="53"/>
      <c r="FW153" s="36"/>
      <c r="FX153" s="53"/>
      <c r="FY153" s="53"/>
      <c r="FZ153" s="53"/>
      <c r="GA153" s="53"/>
      <c r="GB153" s="53"/>
      <c r="GD153" s="36"/>
      <c r="GE153" s="53"/>
      <c r="GF153" s="53"/>
      <c r="GG153" s="53"/>
      <c r="GH153" s="53"/>
      <c r="GI153" s="53"/>
      <c r="GK153" s="36"/>
      <c r="GL153" s="53"/>
      <c r="GM153" s="53"/>
      <c r="GN153" s="53"/>
      <c r="GO153" s="53"/>
      <c r="GP153" s="53"/>
      <c r="GR153" s="36"/>
      <c r="GS153" s="53"/>
      <c r="GT153" s="53"/>
      <c r="GU153" s="53"/>
      <c r="GV153" s="53"/>
      <c r="GW153" s="53"/>
      <c r="GY153" s="36"/>
      <c r="GZ153" s="53"/>
      <c r="HA153" s="53"/>
      <c r="HB153" s="53"/>
      <c r="HC153" s="53"/>
      <c r="HD153" s="53"/>
      <c r="HF153" s="36"/>
      <c r="HG153" s="53"/>
      <c r="HH153" s="53"/>
      <c r="HI153" s="53"/>
      <c r="HJ153" s="53"/>
      <c r="HK153" s="53"/>
      <c r="HM153" s="36"/>
      <c r="HN153" s="53"/>
      <c r="HO153" s="53"/>
      <c r="HP153" s="53"/>
      <c r="HQ153" s="53"/>
      <c r="HR153" s="53"/>
      <c r="HT153" s="36"/>
      <c r="HU153" s="53"/>
      <c r="HV153" s="53"/>
      <c r="HW153" s="53"/>
      <c r="HX153" s="53"/>
      <c r="HY153" s="53"/>
      <c r="IA153" s="36"/>
      <c r="IB153" s="53"/>
      <c r="IC153" s="53"/>
      <c r="ID153" s="53"/>
      <c r="IE153" s="53"/>
      <c r="IF153" s="53"/>
      <c r="IH153" s="36"/>
      <c r="II153" s="53"/>
      <c r="IJ153" s="53"/>
      <c r="IK153" s="53"/>
      <c r="IL153" s="53"/>
      <c r="IM153" s="53"/>
      <c r="IO153" s="36"/>
      <c r="IP153" s="53"/>
      <c r="IQ153" s="53"/>
      <c r="IR153" s="53"/>
      <c r="IS153" s="53"/>
      <c r="IT153" s="53"/>
      <c r="IV153" s="36"/>
      <c r="IW153" s="53"/>
      <c r="IX153" s="53"/>
      <c r="IY153" s="53"/>
      <c r="IZ153" s="53"/>
      <c r="JA153" s="53"/>
      <c r="JC153" s="36"/>
      <c r="JD153" s="53"/>
      <c r="JE153" s="53"/>
      <c r="JF153" s="53"/>
      <c r="JG153" s="53"/>
      <c r="JH153" s="53"/>
      <c r="JJ153" s="36"/>
      <c r="JK153" s="53"/>
      <c r="JL153" s="53"/>
      <c r="JM153" s="53"/>
      <c r="JN153" s="53"/>
      <c r="JO153" s="53"/>
      <c r="JQ153" s="36"/>
      <c r="JR153" s="53"/>
      <c r="JS153" s="53"/>
      <c r="JT153" s="53"/>
      <c r="JU153" s="53"/>
      <c r="JV153" s="53"/>
      <c r="JX153" s="36"/>
      <c r="JY153" s="53"/>
      <c r="JZ153" s="53"/>
      <c r="KA153" s="53"/>
      <c r="KB153" s="53"/>
      <c r="KC153" s="53"/>
      <c r="KE153" s="36"/>
      <c r="KF153" s="53"/>
      <c r="KG153" s="53"/>
      <c r="KH153" s="53"/>
      <c r="KI153" s="53"/>
      <c r="KJ153" s="53"/>
      <c r="KL153" s="36"/>
      <c r="KM153" s="53"/>
      <c r="KN153" s="53"/>
      <c r="KO153" s="53"/>
      <c r="KP153" s="53"/>
      <c r="KQ153" s="53"/>
      <c r="KS153" s="36"/>
      <c r="KT153" s="53"/>
      <c r="KU153" s="53"/>
      <c r="KX153" s="53"/>
      <c r="KZ153" s="639"/>
      <c r="LA153" s="631"/>
      <c r="LB153" s="640"/>
      <c r="LC153" s="640"/>
      <c r="LD153" s="640"/>
      <c r="LE153" s="641"/>
      <c r="LF153" s="574"/>
      <c r="LG153" s="639"/>
      <c r="LH153" s="640"/>
      <c r="LI153" s="640"/>
      <c r="LJ153" s="640"/>
      <c r="LK153" s="640"/>
      <c r="LL153" s="641"/>
      <c r="LM153" s="574"/>
      <c r="LN153" s="639"/>
      <c r="LO153" s="640"/>
      <c r="LP153" s="640"/>
      <c r="LQ153" s="640"/>
      <c r="LR153" s="640"/>
      <c r="LS153" s="641"/>
      <c r="LT153" s="574"/>
      <c r="LU153" s="639"/>
      <c r="LV153" s="640"/>
      <c r="LW153" s="640"/>
      <c r="LX153" s="640"/>
      <c r="LY153" s="640"/>
      <c r="LZ153" s="641"/>
      <c r="MA153" s="574"/>
      <c r="MB153" s="639"/>
      <c r="MC153" s="640"/>
      <c r="MD153" s="640"/>
      <c r="ME153" s="640"/>
      <c r="MF153" s="640"/>
      <c r="MG153" s="641"/>
      <c r="MH153" s="574"/>
    </row>
    <row r="154" spans="1:346" s="37" customFormat="1" ht="13.5" thickBot="1" x14ac:dyDescent="0.45">
      <c r="A154" s="100"/>
      <c r="B154" s="141" t="s">
        <v>441</v>
      </c>
      <c r="C154" s="142"/>
      <c r="D154" s="142"/>
      <c r="E154" s="142"/>
      <c r="F154" s="142"/>
      <c r="G154" s="142"/>
      <c r="H154" s="142"/>
      <c r="I154" s="142"/>
      <c r="J154" s="142"/>
      <c r="K154" s="142"/>
      <c r="L154" s="142"/>
      <c r="M154" s="142"/>
      <c r="N154" s="142">
        <f>BT154</f>
        <v>0</v>
      </c>
      <c r="O154" s="142">
        <f>CA154</f>
        <v>4.0455161450200672E-2</v>
      </c>
      <c r="P154" s="142">
        <f>CH154</f>
        <v>6.1082860130222683E-2</v>
      </c>
      <c r="Q154" s="142">
        <f>CO154</f>
        <v>3.4077511672956362E-3</v>
      </c>
      <c r="R154" s="142">
        <f>CV154</f>
        <v>7.3975475854923811E-3</v>
      </c>
      <c r="S154" s="142">
        <f>DC154</f>
        <v>-9.3249266571849843E-3</v>
      </c>
      <c r="T154" s="142">
        <f>DJ154</f>
        <v>3.72560396984154E-2</v>
      </c>
      <c r="U154" s="142">
        <f>DQ154</f>
        <v>9.4168158157112991E-3</v>
      </c>
      <c r="V154" s="142">
        <f>DX154</f>
        <v>-1.526871207260394E-2</v>
      </c>
      <c r="W154" s="142">
        <f>EE154</f>
        <v>-1.6207260564176318E-2</v>
      </c>
      <c r="X154" s="142">
        <f>EL154</f>
        <v>2.9032677359814851E-3</v>
      </c>
      <c r="Y154" s="142">
        <f>ES154</f>
        <v>1.4491309279963893E-2</v>
      </c>
      <c r="Z154" s="142">
        <f>EZ154</f>
        <v>2.1142541944073834E-2</v>
      </c>
      <c r="AA154" s="142">
        <f>FG154</f>
        <v>2.2727694191326808E-3</v>
      </c>
      <c r="AB154" s="142">
        <f>FN154</f>
        <v>8.3373811826172872E-3</v>
      </c>
      <c r="AC154" s="142">
        <f>FU154</f>
        <v>4.338794840800797E-2</v>
      </c>
      <c r="AD154" s="142">
        <f>GB154</f>
        <v>9.8023269120732337E-2</v>
      </c>
      <c r="AE154" s="142">
        <f>GI154</f>
        <v>0.11098701867792338</v>
      </c>
      <c r="AF154" s="142">
        <f>GP154</f>
        <v>8.4162547771718721E-2</v>
      </c>
      <c r="AG154" s="142">
        <f>GW154</f>
        <v>0.1694643661283286</v>
      </c>
      <c r="AH154" s="142">
        <f>HD154</f>
        <v>-5.3194103731099673E-2</v>
      </c>
      <c r="AI154" s="142">
        <f>HK154</f>
        <v>6.7511370506789126E-2</v>
      </c>
      <c r="AJ154" s="142">
        <f>HR154</f>
        <v>8.8395582636707992E-2</v>
      </c>
      <c r="AK154" s="142">
        <f>HY154</f>
        <v>1.1572664563467061E-2</v>
      </c>
      <c r="AL154" s="142">
        <f>IF154</f>
        <v>5.297578259601865E-3</v>
      </c>
      <c r="AM154" s="142">
        <f>IM154</f>
        <v>-7.4627861704161802E-3</v>
      </c>
      <c r="AN154" s="142">
        <f>IT154</f>
        <v>-4.552404457275272E-2</v>
      </c>
      <c r="AO154" s="142">
        <f>JA154</f>
        <v>-1.7787149096749388E-2</v>
      </c>
      <c r="AP154" s="142">
        <f>JH154</f>
        <v>3.8838874333724682E-2</v>
      </c>
      <c r="AQ154" s="142">
        <f>JO154</f>
        <v>6.0223737500719521E-2</v>
      </c>
      <c r="AR154" s="142">
        <f>JV154</f>
        <v>1.5494901240239001E-2</v>
      </c>
      <c r="AS154" s="142">
        <f>KC154</f>
        <v>-6.4074567537503624E-2</v>
      </c>
      <c r="AT154" s="142">
        <f>KJ154</f>
        <v>0.1149084648383234</v>
      </c>
      <c r="AU154" s="142">
        <f>KQ154</f>
        <v>0.19282900949266546</v>
      </c>
      <c r="AV154" s="142">
        <f>KX154</f>
        <v>-9.8545250674675344E-4</v>
      </c>
      <c r="AW154" s="142">
        <f>LE154</f>
        <v>-2.9317942245792095E-2</v>
      </c>
      <c r="AX154" s="142">
        <f>LL154</f>
        <v>-3.5421615117719241E-2</v>
      </c>
      <c r="AY154" s="142">
        <f>LS154</f>
        <v>4.7882413104027854E-3</v>
      </c>
      <c r="AZ154" s="142">
        <f>LZ154</f>
        <v>2.1494417797792043E-2</v>
      </c>
      <c r="BA154" s="142">
        <f>MG154</f>
        <v>1.9441048299279728E-2</v>
      </c>
      <c r="BB154" s="142"/>
      <c r="BC154" s="142"/>
      <c r="BD154" s="142"/>
      <c r="BE154" s="142"/>
      <c r="BF154" s="142"/>
      <c r="BG154" s="142"/>
      <c r="BH154" s="142"/>
      <c r="BI154" s="142"/>
      <c r="BJ154" s="142"/>
      <c r="BK154" s="142"/>
      <c r="BL154" s="142"/>
      <c r="BM154" s="142"/>
      <c r="BO154" s="141" t="s">
        <v>441</v>
      </c>
      <c r="BP154" s="142"/>
      <c r="BQ154" s="142"/>
      <c r="BR154" s="142"/>
      <c r="BS154" s="142"/>
      <c r="BT154" s="142"/>
      <c r="BV154" s="141" t="s">
        <v>441</v>
      </c>
      <c r="BW154" s="142">
        <f>IFERROR(BW136/BP136-1,"NM")</f>
        <v>3.0973309980943498E-2</v>
      </c>
      <c r="BX154" s="142">
        <f>IFERROR(BX136/BQ136-1,"NM")</f>
        <v>3.5959264516198797E-2</v>
      </c>
      <c r="BY154" s="142">
        <f>IFERROR(BY136/BR136-1,"NM")</f>
        <v>5.1154383380132229E-2</v>
      </c>
      <c r="BZ154" s="142">
        <f>IFERROR(BZ136/BS136-1,"NM")</f>
        <v>4.4582470669427332E-2</v>
      </c>
      <c r="CA154" s="142">
        <f>IFERROR(CA136/BT136-1,"NM")</f>
        <v>4.0455161450200672E-2</v>
      </c>
      <c r="CC154" s="141" t="s">
        <v>441</v>
      </c>
      <c r="CD154" s="142">
        <f>IFERROR(CD136/BW136-1,"NM")</f>
        <v>6.6599933709782899E-2</v>
      </c>
      <c r="CE154" s="142">
        <f>IFERROR(CE136/BX136-1,"NM")</f>
        <v>7.6334153485090095E-2</v>
      </c>
      <c r="CF154" s="142">
        <f>IFERROR(CF136/BY136-1,"NM")</f>
        <v>6.780756622117301E-2</v>
      </c>
      <c r="CG154" s="142">
        <f>IFERROR(CG136/BZ136-1,"NM")</f>
        <v>3.2824701399449596E-2</v>
      </c>
      <c r="CH154" s="142">
        <f>IFERROR(CH136/CA136-1,"NM")</f>
        <v>6.1082860130222683E-2</v>
      </c>
      <c r="CJ154" s="141" t="s">
        <v>441</v>
      </c>
      <c r="CK154" s="142">
        <f>IFERROR(CK136/CD136-1,"NM")</f>
        <v>2.5826409868542566E-2</v>
      </c>
      <c r="CL154" s="142">
        <f>IFERROR(CL136/CE136-1,"NM")</f>
        <v>3.471932753288387E-3</v>
      </c>
      <c r="CM154" s="142">
        <f>IFERROR(CM136/CF136-1,"NM")</f>
        <v>-2.916762618544122E-3</v>
      </c>
      <c r="CN154" s="142">
        <f>IFERROR(CN136/CG136-1,"NM")</f>
        <v>-1.1688390756883882E-2</v>
      </c>
      <c r="CO154" s="142">
        <f>IFERROR(CO136/CH136-1,"NM")</f>
        <v>3.4077511672956362E-3</v>
      </c>
      <c r="CQ154" s="141" t="s">
        <v>441</v>
      </c>
      <c r="CR154" s="142">
        <f>IFERROR(CR136/CK136-1,"NM")</f>
        <v>-1.0238827005868423E-3</v>
      </c>
      <c r="CS154" s="142">
        <f>IFERROR(CS136/CL136-1,"NM")</f>
        <v>9.8778410473547851E-3</v>
      </c>
      <c r="CT154" s="142">
        <f>IFERROR(CT136/CM136-1,"NM")</f>
        <v>-1.2858783741006574E-3</v>
      </c>
      <c r="CU154" s="142">
        <f>IFERROR(CU136/CN136-1,"NM")</f>
        <v>2.1817835365853799E-2</v>
      </c>
      <c r="CV154" s="142">
        <f>IFERROR(CV136/CO136-1,"NM")</f>
        <v>7.3975475854923811E-3</v>
      </c>
      <c r="CX154" s="141" t="s">
        <v>441</v>
      </c>
      <c r="CY154" s="142">
        <f>IFERROR(CY136/CR136-1,"NM")</f>
        <v>-6.7924830617102083E-3</v>
      </c>
      <c r="CZ154" s="142">
        <f>IFERROR(CZ136/CS136-1,"NM")</f>
        <v>-1.3825154486617364E-2</v>
      </c>
      <c r="DA154" s="142">
        <f>IFERROR(DA136/CT136-1,"NM")</f>
        <v>2.6327675518384996E-3</v>
      </c>
      <c r="DB154" s="142">
        <f>IFERROR(DB136/CU136-1,"NM")</f>
        <v>-1.8531939124132868E-2</v>
      </c>
      <c r="DC154" s="142">
        <f>IFERROR(DC136/CV136-1,"NM")</f>
        <v>-9.3249266571849843E-3</v>
      </c>
      <c r="DE154" s="141" t="s">
        <v>441</v>
      </c>
      <c r="DF154" s="142">
        <f>IFERROR(DF136/CY136-1,"NM")</f>
        <v>2.4861502998276608E-2</v>
      </c>
      <c r="DG154" s="142">
        <f>IFERROR(DG136/CZ136-1,"NM")</f>
        <v>3.5336806809809884E-2</v>
      </c>
      <c r="DH154" s="142">
        <f>IFERROR(DH136/DA136-1,"NM")</f>
        <v>3.4408323346539982E-2</v>
      </c>
      <c r="DI154" s="142">
        <f>IFERROR(DI136/DB136-1,"NM")</f>
        <v>5.4015713662155962E-2</v>
      </c>
      <c r="DJ154" s="142">
        <f>IFERROR(DJ136/DC136-1,"NM")</f>
        <v>3.72560396984154E-2</v>
      </c>
      <c r="DL154" s="141" t="s">
        <v>441</v>
      </c>
      <c r="DM154" s="142">
        <f>IFERROR(DM136/DF136-1,"NM")</f>
        <v>2.1542651704978599E-2</v>
      </c>
      <c r="DN154" s="142">
        <f>IFERROR(DN136/DG136-1,"NM")</f>
        <v>1.8682935802317724E-2</v>
      </c>
      <c r="DO154" s="142">
        <f>IFERROR(DO136/DH136-1,"NM")</f>
        <v>1.5044157781431977E-3</v>
      </c>
      <c r="DP154" s="142">
        <f>IFERROR(DP136/DI136-1,"NM")</f>
        <v>-3.6318733202584941E-3</v>
      </c>
      <c r="DQ154" s="142">
        <f>IFERROR(DQ136/DJ136-1,"NM")</f>
        <v>9.4168158157112991E-3</v>
      </c>
      <c r="DS154" s="141" t="s">
        <v>441</v>
      </c>
      <c r="DT154" s="142">
        <f>IFERROR(DT136/DM136-1,"NM")</f>
        <v>-1.2501755864587571E-2</v>
      </c>
      <c r="DU154" s="142">
        <f>IFERROR(DU136/DN136-1,"NM")</f>
        <v>-2.2239252545005583E-2</v>
      </c>
      <c r="DV154" s="142">
        <f>IFERROR(DV136/DO136-1,"NM")</f>
        <v>-1.1186529254306854E-2</v>
      </c>
      <c r="DW154" s="142">
        <f>IFERROR(DW136/DP136-1,"NM")</f>
        <v>-1.5149344550996813E-2</v>
      </c>
      <c r="DX154" s="142">
        <f>IFERROR(DX136/DQ136-1,"NM")</f>
        <v>-1.526871207260394E-2</v>
      </c>
      <c r="DZ154" s="141" t="s">
        <v>441</v>
      </c>
      <c r="EA154" s="142">
        <f>IFERROR(EA136/DT136-1,"NM")</f>
        <v>-7.8296833930585619E-3</v>
      </c>
      <c r="EB154" s="142">
        <f>IFERROR(EB136/DU136-1,"NM")</f>
        <v>-1.2480804662695411E-2</v>
      </c>
      <c r="EC154" s="142">
        <f>IFERROR(EC136/DV136-1,"NM")</f>
        <v>-1.7971651125455845E-2</v>
      </c>
      <c r="ED154" s="142">
        <f>IFERROR(ED136/DW136-1,"NM")</f>
        <v>-2.3466814905993783E-2</v>
      </c>
      <c r="EE154" s="142">
        <f>IFERROR(EE136/DX136-1,"NM")</f>
        <v>-1.6207260564176318E-2</v>
      </c>
      <c r="EG154" s="141" t="s">
        <v>441</v>
      </c>
      <c r="EH154" s="142">
        <f>IFERROR(EH136/EA136-1,"NM")</f>
        <v>-6.9712564545546529E-3</v>
      </c>
      <c r="EI154" s="142">
        <f>IFERROR(EI136/EB136-1,"NM")</f>
        <v>9.2481269616280226E-3</v>
      </c>
      <c r="EJ154" s="142">
        <f>IFERROR(EJ136/EC136-1,"NM")</f>
        <v>3.7284786058628949E-3</v>
      </c>
      <c r="EK154" s="142">
        <f>IFERROR(EK136/ED136-1,"NM")</f>
        <v>1.1087605506754361E-2</v>
      </c>
      <c r="EL154" s="142">
        <f>IFERROR(EL136/EE136-1,"NM")</f>
        <v>2.9032677359814851E-3</v>
      </c>
      <c r="EN154" s="141" t="s">
        <v>441</v>
      </c>
      <c r="EO154" s="142">
        <f>IFERROR(EO136/EH136-1,"NM")</f>
        <v>-8.5072138662231067E-3</v>
      </c>
      <c r="EP154" s="142">
        <f>IFERROR(EP136/EI136-1,"NM")</f>
        <v>6.5741177406928308E-3</v>
      </c>
      <c r="EQ154" s="142">
        <f>IFERROR(EQ136/EJ136-1,"NM")</f>
        <v>1.6213363364619093E-2</v>
      </c>
      <c r="ER154" s="142">
        <f>IFERROR(ER136/EK136-1,"NM")</f>
        <v>3.5877376771637381E-2</v>
      </c>
      <c r="ES154" s="142">
        <f>IFERROR(ES136/EL136-1,"NM")</f>
        <v>1.4491309279963893E-2</v>
      </c>
      <c r="EU154" s="141" t="s">
        <v>441</v>
      </c>
      <c r="EV154" s="142">
        <f>IFERROR(EV136/EO136-1,"NM")</f>
        <v>4.1159388735763081E-2</v>
      </c>
      <c r="EW154" s="142">
        <f>IFERROR(EW136/EP136-1,"NM")</f>
        <v>2.7751527151015587E-2</v>
      </c>
      <c r="EX154" s="142">
        <f>IFERROR(EX136/EQ136-1,"NM")</f>
        <v>2.2475087581244502E-2</v>
      </c>
      <c r="EY154" s="142">
        <f>IFERROR(EY136/ER136-1,"NM")</f>
        <v>-6.5660073712902056E-3</v>
      </c>
      <c r="EZ154" s="142">
        <f>IFERROR(EZ136/ES136-1,"NM")</f>
        <v>2.1142541944073834E-2</v>
      </c>
      <c r="FB154" s="141" t="s">
        <v>441</v>
      </c>
      <c r="FC154" s="142">
        <f>IFERROR(FC136/EV136-1,"NM")</f>
        <v>1.2879289991881704E-2</v>
      </c>
      <c r="FD154" s="142">
        <f>IFERROR(FD136/EW136-1,"NM")</f>
        <v>-3.3784212865941576E-3</v>
      </c>
      <c r="FE154" s="142">
        <f>IFERROR(FE136/EX136-1,"NM")</f>
        <v>-1.8222765938722962E-2</v>
      </c>
      <c r="FF154" s="142">
        <f>IFERROR(FF136/EY136-1,"NM")</f>
        <v>1.9100075202629352E-2</v>
      </c>
      <c r="FG154" s="142">
        <f>IFERROR(FG136/EZ136-1,"NM")</f>
        <v>2.2727694191326808E-3</v>
      </c>
      <c r="FI154" s="141" t="s">
        <v>441</v>
      </c>
      <c r="FJ154" s="142">
        <f>IFERROR(FJ136/FC136-1,"NM")</f>
        <v>1.8631950735459757E-2</v>
      </c>
      <c r="FK154" s="142">
        <f>IFERROR(FK136/FD136-1,"NM")</f>
        <v>8.2871868023774997E-3</v>
      </c>
      <c r="FL154" s="142">
        <f>IFERROR(FL136/FE136-1,"NM")</f>
        <v>1.5671957066770492E-2</v>
      </c>
      <c r="FM154" s="142">
        <f>IFERROR(FM136/FF136-1,"NM")</f>
        <v>-9.0860398305500079E-3</v>
      </c>
      <c r="FN154" s="142">
        <f>IFERROR(FN136/FG136-1,"NM")</f>
        <v>8.3373811826172872E-3</v>
      </c>
      <c r="FP154" s="141" t="s">
        <v>441</v>
      </c>
      <c r="FQ154" s="142">
        <f>IFERROR(FQ136/FJ136-1,"NM")</f>
        <v>3.818876159301654E-3</v>
      </c>
      <c r="FR154" s="142">
        <f>IFERROR(FR136/FK136-1,"NM")</f>
        <v>2.4507162554196604E-2</v>
      </c>
      <c r="FS154" s="142">
        <f>IFERROR(FS136/FL136-1,"NM")</f>
        <v>6.5423133923501409E-2</v>
      </c>
      <c r="FT154" s="142">
        <f>IFERROR(FT136/FM136-1,"NM")</f>
        <v>7.8556974792061807E-2</v>
      </c>
      <c r="FU154" s="142">
        <f>IFERROR(FU136/FN136-1,"NM")</f>
        <v>4.338794840800797E-2</v>
      </c>
      <c r="FW154" s="141" t="s">
        <v>441</v>
      </c>
      <c r="FX154" s="142">
        <f>IFERROR(FX136/FQ136-1,"NM")</f>
        <v>8.600867678958779E-2</v>
      </c>
      <c r="FY154" s="142">
        <f>IFERROR(FY136/FR136-1,"NM")</f>
        <v>9.8517830155913977E-2</v>
      </c>
      <c r="FZ154" s="142">
        <f>IFERROR(FZ136/FS136-1,"NM")</f>
        <v>9.5285630238322483E-2</v>
      </c>
      <c r="GA154" s="142">
        <f>IFERROR(GA136/FT136-1,"NM")</f>
        <v>0.11436205775273645</v>
      </c>
      <c r="GB154" s="142">
        <f>IFERROR(GB136/FU136-1,"NM")</f>
        <v>9.8023269120732337E-2</v>
      </c>
      <c r="GD154" s="141" t="s">
        <v>441</v>
      </c>
      <c r="GE154" s="142">
        <f>IFERROR(GE136/FX136-1,"NM")</f>
        <v>0.1166879004719934</v>
      </c>
      <c r="GF154" s="142">
        <f>IFERROR(GF136/FY136-1,"NM")</f>
        <v>0.12596805378947562</v>
      </c>
      <c r="GG154" s="142">
        <f>IFERROR(GG136/FZ136-1,"NM")</f>
        <v>0.11760691144708413</v>
      </c>
      <c r="GH154" s="142">
        <f>IFERROR(GH136/GA136-1,"NM")</f>
        <v>8.453810511429416E-2</v>
      </c>
      <c r="GI154" s="142">
        <f>IFERROR(GI136/GB136-1,"NM")</f>
        <v>0.11098701867792338</v>
      </c>
      <c r="GK154" s="141" t="s">
        <v>441</v>
      </c>
      <c r="GL154" s="142">
        <f>IFERROR(GL136/GE136-1,"NM")</f>
        <v>8.1074236629792074E-2</v>
      </c>
      <c r="GM154" s="142">
        <f>IFERROR(GM136/GF136-1,"NM")</f>
        <v>6.9618216992485049E-2</v>
      </c>
      <c r="GN154" s="142">
        <f>IFERROR(GN136/GG136-1,"NM")</f>
        <v>8.041260391022953E-2</v>
      </c>
      <c r="GO154" s="142">
        <f>IFERROR(GO136/GH136-1,"NM")</f>
        <v>0.10546964987073859</v>
      </c>
      <c r="GP154" s="142">
        <f>IFERROR(GP136/GI136-1,"NM")</f>
        <v>8.4162547771718721E-2</v>
      </c>
      <c r="GR154" s="141" t="s">
        <v>441</v>
      </c>
      <c r="GS154" s="142">
        <f>IFERROR(GS136/GL136-1,"NM")</f>
        <v>0.14493934699731215</v>
      </c>
      <c r="GT154" s="142">
        <f>IFERROR(GT136/GM136-1,"NM")</f>
        <v>0.18200713064843499</v>
      </c>
      <c r="GU154" s="142">
        <f>IFERROR(GU136/GN136-1,"NM")</f>
        <v>0.2119524014874421</v>
      </c>
      <c r="GV154" s="142">
        <f>IFERROR(GV136/GO136-1,"NM")</f>
        <v>0.13991591725932984</v>
      </c>
      <c r="GW154" s="142">
        <f>IFERROR(GW136/GP136-1,"NM")</f>
        <v>0.1694643661283286</v>
      </c>
      <c r="GY154" s="141" t="s">
        <v>441</v>
      </c>
      <c r="GZ154" s="142">
        <f>IFERROR(GZ136/GS136-1,"NM")</f>
        <v>2.1694932160476466E-3</v>
      </c>
      <c r="HA154" s="142">
        <f>IFERROR(HA136/GT136-1,"NM")</f>
        <v>-5.3931990939536822E-2</v>
      </c>
      <c r="HB154" s="142">
        <f>IFERROR(HB136/GU136-1,"NM")</f>
        <v>-8.6060077941568003E-2</v>
      </c>
      <c r="HC154" s="142">
        <f>IFERROR(HC136/GV136-1,"NM")</f>
        <v>-7.1571868949174888E-2</v>
      </c>
      <c r="HD154" s="142">
        <f>IFERROR(HD136/GW136-1,"NM")</f>
        <v>-5.3194103731099673E-2</v>
      </c>
      <c r="HF154" s="141" t="s">
        <v>441</v>
      </c>
      <c r="HG154" s="142">
        <f>IFERROR(HG136/GZ136-1,"NM")</f>
        <v>5.8605731823678564E-2</v>
      </c>
      <c r="HH154" s="142">
        <f>IFERROR(HH136/HA136-1,"NM")</f>
        <v>7.6142947563172747E-2</v>
      </c>
      <c r="HI154" s="142">
        <f>IFERROR(HI136/HB136-1,"NM")</f>
        <v>6.0464007476511483E-2</v>
      </c>
      <c r="HJ154" s="142">
        <f>IFERROR(HJ136/HC136-1,"NM")</f>
        <v>7.5258467750158209E-2</v>
      </c>
      <c r="HK154" s="142">
        <f>IFERROR(HK136/HD136-1,"NM")</f>
        <v>6.7511370506789126E-2</v>
      </c>
      <c r="HM154" s="141" t="s">
        <v>441</v>
      </c>
      <c r="HN154" s="142">
        <f>IFERROR(HN136/HG136-1,"NM")</f>
        <v>5.2951429165094765E-2</v>
      </c>
      <c r="HO154" s="142">
        <f>IFERROR(HO136/HH136-1,"NM")</f>
        <v>0.10062377689128121</v>
      </c>
      <c r="HP154" s="142">
        <f>IFERROR(HP136/HI136-1,"NM")</f>
        <v>0.10453810178919043</v>
      </c>
      <c r="HQ154" s="142">
        <f>IFERROR(HQ136/HJ136-1,"NM")</f>
        <v>9.4544235007580246E-2</v>
      </c>
      <c r="HR154" s="142">
        <f>IFERROR(HR136/HK136-1,"NM")</f>
        <v>8.8395582636707992E-2</v>
      </c>
      <c r="HT154" s="141" t="s">
        <v>441</v>
      </c>
      <c r="HU154" s="142">
        <f>IFERROR(HU136/HN136-1,"NM")</f>
        <v>4.892727506986394E-2</v>
      </c>
      <c r="HV154" s="142">
        <f>IFERROR(HV136/HO136-1,"NM")</f>
        <v>1.3314051656583281E-3</v>
      </c>
      <c r="HW154" s="142">
        <f>IFERROR(HW136/HP136-1,"NM")</f>
        <v>-1.1688744515693572E-2</v>
      </c>
      <c r="HX154" s="142">
        <f>IFERROR(HX136/HQ136-1,"NM")</f>
        <v>9.7268359162212548E-3</v>
      </c>
      <c r="HY154" s="142">
        <f>IFERROR(HY136/HR136-1,"NM")</f>
        <v>1.1572664563467061E-2</v>
      </c>
      <c r="IA154" s="141" t="s">
        <v>441</v>
      </c>
      <c r="IB154" s="142">
        <f>IFERROR(IB136/HU136-1,"NM")</f>
        <v>1.2470867550874232E-2</v>
      </c>
      <c r="IC154" s="142">
        <f>IFERROR(IC136/HV136-1,"NM")</f>
        <v>9.0796235348460375E-3</v>
      </c>
      <c r="ID154" s="142">
        <f>IFERROR(ID136/HW136-1,"NM")</f>
        <v>9.1607670664977103E-3</v>
      </c>
      <c r="IE154" s="142">
        <f>IFERROR(IE136/HX136-1,"NM")</f>
        <v>-8.775751021028122E-3</v>
      </c>
      <c r="IF154" s="142">
        <f>IFERROR(IF136/HY136-1,"NM")</f>
        <v>5.297578259601865E-3</v>
      </c>
      <c r="IH154" s="141" t="s">
        <v>441</v>
      </c>
      <c r="II154" s="142">
        <f>IFERROR(II136/IB136-1,"NM")</f>
        <v>-8.1436405980016557E-3</v>
      </c>
      <c r="IJ154" s="142">
        <f>IFERROR(IJ136/IC136-1,"NM")</f>
        <v>-1.7165551660489275E-2</v>
      </c>
      <c r="IK154" s="142">
        <f>IFERROR(IK136/ID136-1,"NM")</f>
        <v>3.76708808131343E-3</v>
      </c>
      <c r="IL154" s="142">
        <f>IFERROR(IL136/IE136-1,"NM")</f>
        <v>-7.5414149244885653E-3</v>
      </c>
      <c r="IM154" s="142">
        <f>IFERROR(IM136/IF136-1,"NM")</f>
        <v>-7.4627861704161802E-3</v>
      </c>
      <c r="IO154" s="141" t="s">
        <v>441</v>
      </c>
      <c r="IP154" s="142">
        <f>IFERROR(IP136/II136-1,"NM")</f>
        <v>-4.2399210497459094E-3</v>
      </c>
      <c r="IQ154" s="142">
        <f>IFERROR(IQ136/IJ136-1,"NM")</f>
        <v>-4.3673929181542226E-2</v>
      </c>
      <c r="IR154" s="142">
        <f>IFERROR(IR136/IK136-1,"NM")</f>
        <v>-6.3033698247772385E-2</v>
      </c>
      <c r="IS154" s="142">
        <f>IFERROR(IS136/IL136-1,"NM")</f>
        <v>-7.1905026917747583E-2</v>
      </c>
      <c r="IT154" s="142">
        <f>IFERROR(IT136/IM136-1,"NM")</f>
        <v>-4.552404457275272E-2</v>
      </c>
      <c r="IV154" s="141" t="s">
        <v>441</v>
      </c>
      <c r="IW154" s="142">
        <f>IFERROR(IW136/IP136-1,"NM")</f>
        <v>-8.8276434079103683E-2</v>
      </c>
      <c r="IX154" s="142">
        <f>IFERROR(IX136/IQ136-1,"NM")</f>
        <v>-2.6752989515211434E-2</v>
      </c>
      <c r="IY154" s="142">
        <f>IFERROR(IY136/IR136-1,"NM")</f>
        <v>2.9256465540534737E-3</v>
      </c>
      <c r="IZ154" s="142">
        <f>IFERROR(IZ136/IS136-1,"NM")</f>
        <v>4.4106340977221992E-2</v>
      </c>
      <c r="JA154" s="142">
        <f>IFERROR(JA136/IT136-1,"NM")</f>
        <v>-1.7787149096749388E-2</v>
      </c>
      <c r="JC154" s="141" t="s">
        <v>441</v>
      </c>
      <c r="JD154" s="142">
        <f>IFERROR(JD136/IW136-1,"NM")</f>
        <v>6.7651809467505597E-2</v>
      </c>
      <c r="JE154" s="142">
        <f>IFERROR(JE136/IX136-1,"NM")</f>
        <v>6.7950315947110651E-2</v>
      </c>
      <c r="JF154" s="142">
        <f>IFERROR(JF136/IY136-1,"NM")</f>
        <v>3.8858157957761819E-3</v>
      </c>
      <c r="JG154" s="142">
        <f>IFERROR(JG136/IZ136-1,"NM")</f>
        <v>1.9253689196968571E-2</v>
      </c>
      <c r="JH154" s="142">
        <f>IFERROR(JH136/JA136-1,"NM")</f>
        <v>3.8838874333724682E-2</v>
      </c>
      <c r="JJ154" s="141" t="s">
        <v>441</v>
      </c>
      <c r="JK154" s="142">
        <f>IFERROR(JK136/JD136-1,"NM")</f>
        <v>4.1699921825728792E-2</v>
      </c>
      <c r="JL154" s="142">
        <f>IFERROR(JL136/JE136-1,"NM")</f>
        <v>4.0914154472154518E-2</v>
      </c>
      <c r="JM154" s="142">
        <f>IFERROR(JM136/JF136-1,"NM")</f>
        <v>9.3191760845789284E-2</v>
      </c>
      <c r="JN154" s="142">
        <f>IFERROR(JN136/JG136-1,"NM")</f>
        <v>6.6490908443515906E-2</v>
      </c>
      <c r="JO154" s="142">
        <f>IFERROR(JO136/JH136-1,"NM")</f>
        <v>6.0223737500719521E-2</v>
      </c>
      <c r="JQ154" s="141" t="s">
        <v>441</v>
      </c>
      <c r="JR154" s="142">
        <f>JR136/JK136-1</f>
        <v>4.8319886917474575E-2</v>
      </c>
      <c r="JS154" s="142">
        <f>IFERROR(JS136/JL136-1,"NM")</f>
        <v>2.7352535406958145E-2</v>
      </c>
      <c r="JT154" s="142">
        <f>IFERROR(JT136/JM136-1,"NM")</f>
        <v>4.5152147889324645E-3</v>
      </c>
      <c r="JU154" s="142">
        <f>IFERROR(JU136/JN136-1,"NM")</f>
        <v>-1.7075808385932256E-2</v>
      </c>
      <c r="JV154" s="142">
        <f>IFERROR(JV136/JO136-1,"NM")</f>
        <v>1.5494901240239001E-2</v>
      </c>
      <c r="JX154" s="141" t="s">
        <v>441</v>
      </c>
      <c r="JY154" s="142">
        <f>JY136/JR136-1</f>
        <v>-4.1799713351347134E-2</v>
      </c>
      <c r="JZ154" s="142">
        <f>IFERROR(JZ136/JS136-1,"NM")</f>
        <v>-7.3426641581400776E-2</v>
      </c>
      <c r="KA154" s="142">
        <f>KA136/JT136-1</f>
        <v>-8.3354145909247723E-2</v>
      </c>
      <c r="KB154" s="142">
        <f>KB136/JU136-1</f>
        <v>-5.7540295440282829E-2</v>
      </c>
      <c r="KC154" s="142">
        <f>KC136/JV136-1</f>
        <v>-6.4074567537503624E-2</v>
      </c>
      <c r="KE154" s="141" t="s">
        <v>441</v>
      </c>
      <c r="KF154" s="142">
        <f>KF136/JY136-1</f>
        <v>-2.4377046682984793E-2</v>
      </c>
      <c r="KG154" s="142">
        <f>KG136/JZ136-1</f>
        <v>4.7586130966732254E-2</v>
      </c>
      <c r="KH154" s="142">
        <f>KH136/KA136-1</f>
        <v>0.21059122108115735</v>
      </c>
      <c r="KI154" s="142">
        <f>KI136/KB136-1</f>
        <v>0.23550487571162848</v>
      </c>
      <c r="KJ154" s="142">
        <f>KJ136/KC136-1</f>
        <v>0.1149084648383234</v>
      </c>
      <c r="KL154" s="141" t="s">
        <v>441</v>
      </c>
      <c r="KM154" s="142">
        <f>KM136/KF136-1</f>
        <v>0.23840366370707833</v>
      </c>
      <c r="KN154" s="142">
        <f>KN136/KG136-1</f>
        <v>0.27351837786347644</v>
      </c>
      <c r="KO154" s="142">
        <f>KO136/KH136-1</f>
        <v>0.16527837433705361</v>
      </c>
      <c r="KP154" s="142">
        <f>KP136/KI136-1</f>
        <v>0.11033942322113166</v>
      </c>
      <c r="KQ154" s="142">
        <f>KQ136/KJ136-1</f>
        <v>0.19282900949266546</v>
      </c>
      <c r="KS154" s="141" t="s">
        <v>441</v>
      </c>
      <c r="KT154" s="142">
        <f>KT136/KM136-1</f>
        <v>9.4616853697307102E-2</v>
      </c>
      <c r="KU154" s="142">
        <f>KU136/KN136-1</f>
        <v>-3.0247592823995362E-4</v>
      </c>
      <c r="KV154" s="142">
        <f>KV136/KO136-1</f>
        <v>-6.1035405192761627E-2</v>
      </c>
      <c r="KW154" s="142">
        <f>KW136/KP136-1</f>
        <v>-2.668591462157166E-2</v>
      </c>
      <c r="KX154" s="142">
        <f>KX136/KQ136-1</f>
        <v>-9.8545250674675344E-4</v>
      </c>
      <c r="KZ154" s="141" t="s">
        <v>441</v>
      </c>
      <c r="LA154" s="142">
        <f>LA136/KT136-1</f>
        <v>-3.7825479102565285E-2</v>
      </c>
      <c r="LB154" s="142">
        <f>LB136/KU136-1</f>
        <v>-1.9749111790224538E-2</v>
      </c>
      <c r="LC154" s="219">
        <f>LC136/KV136-1</f>
        <v>-1.2330354187355175E-2</v>
      </c>
      <c r="LD154" s="219">
        <f>LD136/KW136-1</f>
        <v>-4.7474120082815596E-2</v>
      </c>
      <c r="LE154" s="219">
        <f>LE136/KX136-1</f>
        <v>-2.9317942245792095E-2</v>
      </c>
      <c r="LF154" s="560"/>
      <c r="LG154" s="141" t="s">
        <v>441</v>
      </c>
      <c r="LH154" s="219">
        <f>LH136/LA136-1</f>
        <v>-6.0288222933061908E-2</v>
      </c>
      <c r="LI154" s="219">
        <f>LI136/LB136-1</f>
        <v>-3.553743599916559E-2</v>
      </c>
      <c r="LJ154" s="219">
        <f>LJ136/LC136-1</f>
        <v>-2.2369188807074836E-2</v>
      </c>
      <c r="LK154" s="219">
        <f>LK136/LD136-1</f>
        <v>-2.2414696388732502E-2</v>
      </c>
      <c r="LL154" s="219">
        <f>LL136/LE136-1</f>
        <v>-3.5421615117719241E-2</v>
      </c>
      <c r="LM154" s="560"/>
      <c r="LN154" s="141" t="s">
        <v>441</v>
      </c>
      <c r="LO154" s="219">
        <f>LO136/LH136-1</f>
        <v>-5.7326818388286904E-3</v>
      </c>
      <c r="LP154" s="219">
        <f>LP136/LI136-1</f>
        <v>9.4367970109354715E-4</v>
      </c>
      <c r="LQ154" s="219">
        <f>LQ136/LJ136-1</f>
        <v>8.4974651875870943E-3</v>
      </c>
      <c r="LR154" s="219">
        <f>LR136/LK136-1</f>
        <v>1.5320009391165623E-2</v>
      </c>
      <c r="LS154" s="219">
        <f>LS136/LL136-1</f>
        <v>4.7882413104027854E-3</v>
      </c>
      <c r="LT154" s="560"/>
      <c r="LU154" s="141" t="s">
        <v>441</v>
      </c>
      <c r="LV154" s="219">
        <f>LV136/LO136-1</f>
        <v>2.2392459379779739E-2</v>
      </c>
      <c r="LW154" s="219">
        <f>LW136/LP136-1</f>
        <v>2.0971540670208899E-2</v>
      </c>
      <c r="LX154" s="219">
        <f>LX136/LQ136-1</f>
        <v>2.1058053545628397E-2</v>
      </c>
      <c r="LY154" s="219">
        <f>LY136/LR136-1</f>
        <v>2.1595934379451176E-2</v>
      </c>
      <c r="LZ154" s="219">
        <f>LZ136/LS136-1</f>
        <v>2.1494417797792043E-2</v>
      </c>
      <c r="MA154" s="560"/>
      <c r="MB154" s="141" t="s">
        <v>441</v>
      </c>
      <c r="MC154" s="219">
        <f>MC136/LV136-1</f>
        <v>1.9690647417911045E-2</v>
      </c>
      <c r="MD154" s="219">
        <f>MD136/LW136-1</f>
        <v>1.9318465463396217E-2</v>
      </c>
      <c r="ME154" s="219">
        <f>ME136/LX136-1</f>
        <v>1.9497793372144523E-2</v>
      </c>
      <c r="MF154" s="219">
        <f>MF136/LY136-1</f>
        <v>1.9263567696176986E-2</v>
      </c>
      <c r="MG154" s="219">
        <f>MG136/LZ136-1</f>
        <v>1.9441048299279728E-2</v>
      </c>
      <c r="MH154" s="560"/>
    </row>
    <row r="155" spans="1:346" s="37" customFormat="1" ht="13.15" x14ac:dyDescent="0.4">
      <c r="A155" s="100"/>
      <c r="B155" s="36"/>
      <c r="BO155" s="36"/>
      <c r="BP155" s="53"/>
      <c r="BQ155" s="53"/>
      <c r="BR155" s="53"/>
      <c r="BS155" s="53"/>
      <c r="BT155" s="53"/>
      <c r="BV155" s="36"/>
      <c r="BW155" s="53"/>
      <c r="BX155" s="53"/>
      <c r="BY155" s="53"/>
      <c r="BZ155" s="53"/>
      <c r="CA155" s="53"/>
      <c r="CC155" s="36"/>
      <c r="CD155" s="53"/>
      <c r="CE155" s="53"/>
      <c r="CF155" s="53"/>
      <c r="CG155" s="53"/>
      <c r="CH155" s="53"/>
      <c r="CJ155" s="36"/>
      <c r="CK155" s="53"/>
      <c r="CL155" s="53"/>
      <c r="CM155" s="53"/>
      <c r="CN155" s="53"/>
      <c r="CO155" s="53"/>
      <c r="CQ155" s="36"/>
      <c r="CR155" s="53"/>
      <c r="CS155" s="53"/>
      <c r="CT155" s="53"/>
      <c r="CU155" s="53"/>
      <c r="CV155" s="53"/>
      <c r="CX155" s="36"/>
      <c r="CY155" s="53"/>
      <c r="CZ155" s="53"/>
      <c r="DA155" s="53"/>
      <c r="DB155" s="53"/>
      <c r="DC155" s="53"/>
      <c r="DE155" s="36"/>
      <c r="DF155" s="53"/>
      <c r="DG155" s="53"/>
      <c r="DH155" s="53"/>
      <c r="DI155" s="53"/>
      <c r="DJ155" s="53"/>
      <c r="DL155" s="36"/>
      <c r="DM155" s="53"/>
      <c r="DN155" s="53"/>
      <c r="DO155" s="53"/>
      <c r="DP155" s="53"/>
      <c r="DQ155" s="53"/>
      <c r="DS155" s="36"/>
      <c r="DT155" s="53"/>
      <c r="DU155" s="53"/>
      <c r="DV155" s="53"/>
      <c r="DW155" s="53"/>
      <c r="DX155" s="53"/>
      <c r="DZ155" s="36"/>
      <c r="EA155" s="53"/>
      <c r="EB155" s="53"/>
      <c r="EC155" s="53"/>
      <c r="ED155" s="53"/>
      <c r="EE155" s="53"/>
      <c r="EG155" s="36"/>
      <c r="EH155" s="53"/>
      <c r="EI155" s="53"/>
      <c r="EJ155" s="53"/>
      <c r="EK155" s="53"/>
      <c r="EL155" s="53"/>
      <c r="EN155" s="36"/>
      <c r="EO155" s="53"/>
      <c r="EP155" s="53"/>
      <c r="EQ155" s="53"/>
      <c r="ER155" s="53"/>
      <c r="ES155" s="53"/>
      <c r="EU155" s="36"/>
      <c r="EV155" s="53"/>
      <c r="EW155" s="53"/>
      <c r="EX155" s="53"/>
      <c r="EY155" s="53"/>
      <c r="EZ155" s="53"/>
      <c r="FB155" s="36"/>
      <c r="FC155" s="53"/>
      <c r="FD155" s="53"/>
      <c r="FE155" s="53"/>
      <c r="FF155" s="53"/>
      <c r="FG155" s="53"/>
      <c r="FI155" s="36"/>
      <c r="FJ155" s="53"/>
      <c r="FK155" s="53"/>
      <c r="FL155" s="53"/>
      <c r="FM155" s="53"/>
      <c r="FN155" s="53"/>
      <c r="FP155" s="36"/>
      <c r="FQ155" s="53"/>
      <c r="FR155" s="53"/>
      <c r="FS155" s="53"/>
      <c r="FT155" s="53"/>
      <c r="FU155" s="53"/>
      <c r="FW155" s="36"/>
      <c r="FX155" s="53"/>
      <c r="FY155" s="53"/>
      <c r="FZ155" s="53"/>
      <c r="GA155" s="53"/>
      <c r="GB155" s="53"/>
      <c r="GD155" s="36"/>
      <c r="GE155" s="53"/>
      <c r="GF155" s="53"/>
      <c r="GG155" s="53"/>
      <c r="GH155" s="53"/>
      <c r="GI155" s="53"/>
      <c r="GK155" s="36"/>
      <c r="GL155" s="53"/>
      <c r="GM155" s="53"/>
      <c r="GN155" s="53"/>
      <c r="GO155" s="53"/>
      <c r="GP155" s="53"/>
      <c r="GR155" s="36"/>
      <c r="GS155" s="53"/>
      <c r="GT155" s="53"/>
      <c r="GU155" s="53"/>
      <c r="GV155" s="53"/>
      <c r="GW155" s="53"/>
      <c r="GY155" s="36"/>
      <c r="GZ155" s="53"/>
      <c r="HA155" s="53"/>
      <c r="HB155" s="53"/>
      <c r="HC155" s="53"/>
      <c r="HD155" s="53"/>
      <c r="HF155" s="36"/>
      <c r="HG155" s="53"/>
      <c r="HH155" s="53"/>
      <c r="HI155" s="53"/>
      <c r="HJ155" s="53"/>
      <c r="HK155" s="53"/>
      <c r="HM155" s="36"/>
      <c r="HN155" s="53"/>
      <c r="HO155" s="53"/>
      <c r="HP155" s="53"/>
      <c r="HQ155" s="53"/>
      <c r="HR155" s="53"/>
      <c r="HT155" s="36"/>
      <c r="HU155" s="53"/>
      <c r="HV155" s="53"/>
      <c r="HW155" s="53"/>
      <c r="HX155" s="53"/>
      <c r="HY155" s="53"/>
      <c r="IA155" s="36"/>
      <c r="IB155" s="53"/>
      <c r="IC155" s="53"/>
      <c r="ID155" s="53"/>
      <c r="IE155" s="53"/>
      <c r="IF155" s="53"/>
      <c r="IH155" s="36"/>
      <c r="II155" s="53"/>
      <c r="IJ155" s="53"/>
      <c r="IK155" s="53"/>
      <c r="IL155" s="53"/>
      <c r="IM155" s="53"/>
      <c r="IO155" s="36"/>
      <c r="IP155" s="53"/>
      <c r="IQ155" s="53"/>
      <c r="IR155" s="53"/>
      <c r="IS155" s="53"/>
      <c r="IT155" s="53"/>
      <c r="IV155" s="36"/>
      <c r="IW155" s="53"/>
      <c r="IX155" s="53"/>
      <c r="IY155" s="53"/>
      <c r="IZ155" s="53"/>
      <c r="JA155" s="53"/>
      <c r="JC155" s="36"/>
      <c r="JD155" s="53"/>
      <c r="JE155" s="53"/>
      <c r="JF155" s="53"/>
      <c r="JG155" s="53"/>
      <c r="JH155" s="53"/>
      <c r="JJ155" s="36"/>
      <c r="JK155" s="53"/>
      <c r="JL155" s="53"/>
      <c r="JM155" s="53"/>
      <c r="JN155" s="53"/>
      <c r="JO155" s="53"/>
      <c r="JQ155" s="36"/>
      <c r="JR155" s="53"/>
      <c r="JS155" s="53"/>
      <c r="JT155" s="53"/>
      <c r="JU155" s="53"/>
      <c r="JV155" s="53"/>
      <c r="JX155" s="36"/>
      <c r="JY155" s="53"/>
      <c r="JZ155" s="53"/>
      <c r="KA155" s="53"/>
      <c r="KB155" s="53"/>
      <c r="KC155" s="53"/>
      <c r="KE155" s="36"/>
      <c r="KF155" s="53"/>
      <c r="KG155" s="53"/>
      <c r="KH155" s="53"/>
      <c r="KI155" s="53"/>
      <c r="KJ155" s="53"/>
      <c r="KL155" s="36"/>
      <c r="KM155" s="53"/>
      <c r="KN155" s="53"/>
      <c r="KO155" s="53"/>
      <c r="KP155" s="53"/>
      <c r="KQ155" s="53"/>
      <c r="KS155" s="36"/>
      <c r="KT155" s="53"/>
      <c r="KU155" s="53"/>
      <c r="KX155" s="53"/>
      <c r="KZ155" s="639"/>
      <c r="LA155" s="631"/>
      <c r="LB155" s="640"/>
      <c r="LC155" s="640"/>
      <c r="LD155" s="640"/>
      <c r="LE155" s="641"/>
      <c r="LF155" s="574"/>
      <c r="LG155" s="639"/>
      <c r="LH155" s="640"/>
      <c r="LI155" s="640"/>
      <c r="LJ155" s="640"/>
      <c r="LK155" s="640"/>
      <c r="LL155" s="641"/>
      <c r="LM155" s="574"/>
      <c r="LN155" s="639"/>
      <c r="LO155" s="640"/>
      <c r="LP155" s="640"/>
      <c r="LQ155" s="640"/>
      <c r="LR155" s="640"/>
      <c r="LS155" s="641"/>
      <c r="LT155" s="574"/>
      <c r="LU155" s="639"/>
      <c r="LV155" s="640"/>
      <c r="LW155" s="640"/>
      <c r="LX155" s="640"/>
      <c r="LY155" s="640"/>
      <c r="LZ155" s="641"/>
      <c r="MA155" s="574"/>
      <c r="MB155" s="639"/>
      <c r="MC155" s="640"/>
      <c r="MD155" s="640"/>
      <c r="ME155" s="640"/>
      <c r="MF155" s="640"/>
      <c r="MG155" s="641"/>
      <c r="MH155" s="574"/>
    </row>
    <row r="156" spans="1:346" s="37" customFormat="1" ht="13.5" thickBot="1" x14ac:dyDescent="0.45">
      <c r="A156" s="100"/>
      <c r="B156" s="36"/>
      <c r="BO156" s="36"/>
      <c r="BP156" s="53"/>
      <c r="BQ156" s="53"/>
      <c r="BR156" s="53"/>
      <c r="BS156" s="53"/>
      <c r="BT156" s="53"/>
      <c r="BV156" s="36"/>
      <c r="BW156" s="53"/>
      <c r="BX156" s="53"/>
      <c r="BY156" s="53"/>
      <c r="BZ156" s="53"/>
      <c r="CA156" s="53"/>
      <c r="CC156" s="36"/>
      <c r="CD156" s="53"/>
      <c r="CE156" s="53"/>
      <c r="CF156" s="53"/>
      <c r="CG156" s="53"/>
      <c r="CH156" s="53"/>
      <c r="CJ156" s="36"/>
      <c r="CK156" s="53"/>
      <c r="CL156" s="53"/>
      <c r="CM156" s="53"/>
      <c r="CN156" s="53"/>
      <c r="CO156" s="53"/>
      <c r="CQ156" s="36"/>
      <c r="CR156" s="53"/>
      <c r="CS156" s="53"/>
      <c r="CT156" s="53"/>
      <c r="CU156" s="53"/>
      <c r="CV156" s="53"/>
      <c r="CX156" s="36"/>
      <c r="CY156" s="53"/>
      <c r="CZ156" s="53"/>
      <c r="DA156" s="53"/>
      <c r="DB156" s="53"/>
      <c r="DC156" s="53"/>
      <c r="DE156" s="36"/>
      <c r="DF156" s="53"/>
      <c r="DG156" s="53"/>
      <c r="DH156" s="53"/>
      <c r="DI156" s="53"/>
      <c r="DJ156" s="53"/>
      <c r="DL156" s="36"/>
      <c r="DM156" s="53"/>
      <c r="DN156" s="53"/>
      <c r="DO156" s="53"/>
      <c r="DP156" s="53"/>
      <c r="DQ156" s="53"/>
      <c r="DS156" s="36"/>
      <c r="DT156" s="53"/>
      <c r="DU156" s="53"/>
      <c r="DV156" s="53"/>
      <c r="DW156" s="53"/>
      <c r="DX156" s="53"/>
      <c r="DZ156" s="36"/>
      <c r="EA156" s="53"/>
      <c r="EB156" s="53"/>
      <c r="EC156" s="53"/>
      <c r="ED156" s="53"/>
      <c r="EE156" s="53"/>
      <c r="EG156" s="36"/>
      <c r="EH156" s="53"/>
      <c r="EI156" s="53"/>
      <c r="EJ156" s="53"/>
      <c r="EK156" s="53"/>
      <c r="EL156" s="53"/>
      <c r="EN156" s="36"/>
      <c r="EO156" s="53"/>
      <c r="EP156" s="53"/>
      <c r="EQ156" s="53"/>
      <c r="ER156" s="53"/>
      <c r="ES156" s="53"/>
      <c r="EU156" s="36"/>
      <c r="EV156" s="53"/>
      <c r="EW156" s="53"/>
      <c r="EX156" s="53"/>
      <c r="EY156" s="53"/>
      <c r="EZ156" s="53"/>
      <c r="FB156" s="36"/>
      <c r="FC156" s="53"/>
      <c r="FD156" s="53"/>
      <c r="FE156" s="53"/>
      <c r="FF156" s="53"/>
      <c r="FG156" s="53"/>
      <c r="FI156" s="36"/>
      <c r="FJ156" s="53"/>
      <c r="FK156" s="53"/>
      <c r="FL156" s="53"/>
      <c r="FM156" s="53"/>
      <c r="FN156" s="53"/>
      <c r="FP156" s="36"/>
      <c r="FQ156" s="53"/>
      <c r="FR156" s="53"/>
      <c r="FS156" s="53"/>
      <c r="FT156" s="53"/>
      <c r="FU156" s="53"/>
      <c r="FW156" s="36"/>
      <c r="FX156" s="53"/>
      <c r="FY156" s="53"/>
      <c r="FZ156" s="53"/>
      <c r="GA156" s="53"/>
      <c r="GB156" s="53"/>
      <c r="GD156" s="36"/>
      <c r="GE156" s="53"/>
      <c r="GF156" s="53"/>
      <c r="GG156" s="53"/>
      <c r="GH156" s="53"/>
      <c r="GI156" s="53"/>
      <c r="GK156" s="36"/>
      <c r="GL156" s="53"/>
      <c r="GM156" s="53"/>
      <c r="GN156" s="53"/>
      <c r="GO156" s="53"/>
      <c r="GP156" s="53"/>
      <c r="GR156" s="36"/>
      <c r="GS156" s="53"/>
      <c r="GT156" s="53"/>
      <c r="GU156" s="53"/>
      <c r="GV156" s="53"/>
      <c r="GW156" s="53"/>
      <c r="GY156" s="36"/>
      <c r="GZ156" s="53"/>
      <c r="HA156" s="53"/>
      <c r="HB156" s="53"/>
      <c r="HC156" s="53"/>
      <c r="HD156" s="53"/>
      <c r="HF156" s="36"/>
      <c r="HG156" s="53"/>
      <c r="HH156" s="53"/>
      <c r="HI156" s="53"/>
      <c r="HJ156" s="53"/>
      <c r="HK156" s="53"/>
      <c r="HM156" s="36"/>
      <c r="HN156" s="53"/>
      <c r="HO156" s="53"/>
      <c r="HP156" s="53"/>
      <c r="HQ156" s="53"/>
      <c r="HR156" s="53"/>
      <c r="HT156" s="36"/>
      <c r="HU156" s="53"/>
      <c r="HV156" s="53"/>
      <c r="HW156" s="53"/>
      <c r="HX156" s="53"/>
      <c r="HY156" s="53"/>
      <c r="IA156" s="36"/>
      <c r="IB156" s="53"/>
      <c r="IC156" s="53"/>
      <c r="ID156" s="53"/>
      <c r="IE156" s="53"/>
      <c r="IF156" s="53"/>
      <c r="IH156" s="36"/>
      <c r="II156" s="53"/>
      <c r="IJ156" s="53"/>
      <c r="IK156" s="53"/>
      <c r="IL156" s="53"/>
      <c r="IM156" s="53"/>
      <c r="IO156" s="36"/>
      <c r="IP156" s="53"/>
      <c r="IQ156" s="53"/>
      <c r="IR156" s="53"/>
      <c r="IS156" s="53"/>
      <c r="IT156" s="53"/>
      <c r="IV156" s="36"/>
      <c r="IW156" s="53"/>
      <c r="IX156" s="53"/>
      <c r="IY156" s="53"/>
      <c r="IZ156" s="53"/>
      <c r="JA156" s="53"/>
      <c r="JC156" s="36"/>
      <c r="JD156" s="53"/>
      <c r="JE156" s="53"/>
      <c r="JF156" s="53"/>
      <c r="JG156" s="53"/>
      <c r="JH156" s="53"/>
      <c r="JJ156" s="36"/>
      <c r="JK156" s="53"/>
      <c r="JL156" s="53"/>
      <c r="JM156" s="53"/>
      <c r="JN156" s="53"/>
      <c r="JO156" s="53"/>
      <c r="JQ156" s="36"/>
      <c r="JR156" s="53"/>
      <c r="JS156" s="53"/>
      <c r="JT156" s="53"/>
      <c r="JU156" s="53"/>
      <c r="JV156" s="53"/>
      <c r="JX156" s="36"/>
      <c r="JY156" s="53"/>
      <c r="JZ156" s="53"/>
      <c r="KA156" s="53"/>
      <c r="KB156" s="53"/>
      <c r="KC156" s="53"/>
      <c r="KE156" s="36"/>
      <c r="KF156" s="53"/>
      <c r="KG156" s="53"/>
      <c r="KH156" s="53"/>
      <c r="KI156" s="53"/>
      <c r="KJ156" s="53"/>
      <c r="KL156" s="36"/>
      <c r="KM156" s="53"/>
      <c r="KN156" s="53"/>
      <c r="KO156" s="53"/>
      <c r="KP156" s="53"/>
      <c r="KQ156" s="53"/>
      <c r="KS156" s="36"/>
      <c r="KT156" s="53"/>
      <c r="KU156" s="53"/>
      <c r="KX156" s="53"/>
      <c r="KZ156" s="36"/>
      <c r="LA156" s="53"/>
      <c r="LE156" s="45"/>
      <c r="LF156" s="565"/>
      <c r="LG156" s="36"/>
      <c r="LL156" s="45"/>
      <c r="LM156" s="565"/>
      <c r="LN156" s="36"/>
      <c r="LS156" s="45"/>
      <c r="LT156" s="565"/>
      <c r="LU156" s="36"/>
      <c r="LZ156" s="45"/>
      <c r="MA156" s="565"/>
      <c r="MB156" s="36"/>
      <c r="MG156" s="45"/>
      <c r="MH156" s="565"/>
    </row>
    <row r="157" spans="1:346" s="37" customFormat="1" ht="13.5" thickBot="1" x14ac:dyDescent="0.45">
      <c r="A157" s="100"/>
      <c r="B157" s="114" t="s">
        <v>432</v>
      </c>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c r="AA157" s="115"/>
      <c r="AB157" s="115"/>
      <c r="AC157" s="115"/>
      <c r="AD157" s="115"/>
      <c r="AE157" s="115"/>
      <c r="AF157" s="115"/>
      <c r="AG157" s="115"/>
      <c r="AH157" s="115"/>
      <c r="AI157" s="115"/>
      <c r="AJ157" s="115"/>
      <c r="AK157" s="115"/>
      <c r="AL157" s="115"/>
      <c r="AM157" s="115"/>
      <c r="AN157" s="115"/>
      <c r="AO157" s="115"/>
      <c r="AP157" s="115"/>
      <c r="AQ157" s="115"/>
      <c r="AR157" s="115"/>
      <c r="AS157" s="115"/>
      <c r="AT157" s="115"/>
      <c r="AU157" s="115"/>
      <c r="AV157" s="115"/>
      <c r="AW157" s="115"/>
      <c r="AX157" s="115"/>
      <c r="AY157" s="115"/>
      <c r="AZ157" s="115"/>
      <c r="BA157" s="115"/>
      <c r="BB157" s="115"/>
      <c r="BC157" s="115"/>
      <c r="BD157" s="115"/>
      <c r="BE157" s="115"/>
      <c r="BF157" s="115"/>
      <c r="BG157" s="115"/>
      <c r="BH157" s="115"/>
      <c r="BI157" s="115"/>
      <c r="BJ157" s="115"/>
      <c r="BK157" s="115"/>
      <c r="BL157" s="115"/>
      <c r="BM157" s="115"/>
      <c r="BO157" s="114" t="s">
        <v>432</v>
      </c>
      <c r="BP157" s="115"/>
      <c r="BQ157" s="115"/>
      <c r="BR157" s="115"/>
      <c r="BS157" s="115"/>
      <c r="BT157" s="115"/>
      <c r="BV157" s="114" t="s">
        <v>432</v>
      </c>
      <c r="BW157" s="115"/>
      <c r="BX157" s="115"/>
      <c r="BY157" s="115"/>
      <c r="BZ157" s="115"/>
      <c r="CA157" s="115"/>
      <c r="CC157" s="114" t="s">
        <v>432</v>
      </c>
      <c r="CD157" s="115"/>
      <c r="CE157" s="115"/>
      <c r="CF157" s="115"/>
      <c r="CG157" s="115"/>
      <c r="CH157" s="115"/>
      <c r="CJ157" s="114" t="s">
        <v>432</v>
      </c>
      <c r="CK157" s="115"/>
      <c r="CL157" s="115"/>
      <c r="CM157" s="115"/>
      <c r="CN157" s="115"/>
      <c r="CO157" s="115"/>
      <c r="CQ157" s="114" t="s">
        <v>432</v>
      </c>
      <c r="CR157" s="115"/>
      <c r="CS157" s="115"/>
      <c r="CT157" s="115"/>
      <c r="CU157" s="115"/>
      <c r="CV157" s="115"/>
      <c r="CX157" s="114" t="s">
        <v>432</v>
      </c>
      <c r="CY157" s="115"/>
      <c r="CZ157" s="115"/>
      <c r="DA157" s="115"/>
      <c r="DB157" s="115"/>
      <c r="DC157" s="115"/>
      <c r="DE157" s="114" t="s">
        <v>432</v>
      </c>
      <c r="DF157" s="115"/>
      <c r="DG157" s="115"/>
      <c r="DH157" s="115"/>
      <c r="DI157" s="115"/>
      <c r="DJ157" s="115"/>
      <c r="DL157" s="114" t="s">
        <v>432</v>
      </c>
      <c r="DM157" s="115"/>
      <c r="DN157" s="115"/>
      <c r="DO157" s="115"/>
      <c r="DP157" s="115"/>
      <c r="DQ157" s="115"/>
      <c r="DS157" s="114" t="s">
        <v>432</v>
      </c>
      <c r="DT157" s="115"/>
      <c r="DU157" s="115"/>
      <c r="DV157" s="115"/>
      <c r="DW157" s="115"/>
      <c r="DX157" s="115"/>
      <c r="DZ157" s="114" t="s">
        <v>432</v>
      </c>
      <c r="EA157" s="115"/>
      <c r="EB157" s="115"/>
      <c r="EC157" s="115"/>
      <c r="ED157" s="115"/>
      <c r="EE157" s="115"/>
      <c r="EG157" s="114" t="s">
        <v>432</v>
      </c>
      <c r="EH157" s="115"/>
      <c r="EI157" s="115"/>
      <c r="EJ157" s="115"/>
      <c r="EK157" s="115"/>
      <c r="EL157" s="115"/>
      <c r="EN157" s="114" t="s">
        <v>432</v>
      </c>
      <c r="EO157" s="115"/>
      <c r="EP157" s="115"/>
      <c r="EQ157" s="115"/>
      <c r="ER157" s="115"/>
      <c r="ES157" s="115"/>
      <c r="EU157" s="114" t="s">
        <v>432</v>
      </c>
      <c r="EV157" s="115"/>
      <c r="EW157" s="115"/>
      <c r="EX157" s="115"/>
      <c r="EY157" s="115"/>
      <c r="EZ157" s="115"/>
      <c r="FB157" s="114" t="s">
        <v>432</v>
      </c>
      <c r="FC157" s="115"/>
      <c r="FD157" s="115"/>
      <c r="FE157" s="115"/>
      <c r="FF157" s="115"/>
      <c r="FG157" s="115"/>
      <c r="FI157" s="114" t="s">
        <v>432</v>
      </c>
      <c r="FJ157" s="115"/>
      <c r="FK157" s="115"/>
      <c r="FL157" s="115"/>
      <c r="FM157" s="115"/>
      <c r="FN157" s="115"/>
      <c r="FP157" s="114" t="s">
        <v>432</v>
      </c>
      <c r="FQ157" s="115"/>
      <c r="FR157" s="115"/>
      <c r="FS157" s="115"/>
      <c r="FT157" s="115"/>
      <c r="FU157" s="115"/>
      <c r="FW157" s="114" t="s">
        <v>432</v>
      </c>
      <c r="FX157" s="115"/>
      <c r="FY157" s="115"/>
      <c r="FZ157" s="115"/>
      <c r="GA157" s="115"/>
      <c r="GB157" s="115"/>
      <c r="GD157" s="114" t="s">
        <v>432</v>
      </c>
      <c r="GE157" s="115"/>
      <c r="GF157" s="115"/>
      <c r="GG157" s="115"/>
      <c r="GH157" s="115"/>
      <c r="GI157" s="115"/>
      <c r="GK157" s="114" t="s">
        <v>432</v>
      </c>
      <c r="GL157" s="115"/>
      <c r="GM157" s="115"/>
      <c r="GN157" s="115"/>
      <c r="GO157" s="115"/>
      <c r="GP157" s="115"/>
      <c r="GR157" s="114" t="s">
        <v>432</v>
      </c>
      <c r="GS157" s="115"/>
      <c r="GT157" s="115"/>
      <c r="GU157" s="115"/>
      <c r="GV157" s="115"/>
      <c r="GW157" s="115"/>
      <c r="GY157" s="114" t="s">
        <v>432</v>
      </c>
      <c r="GZ157" s="115"/>
      <c r="HA157" s="115"/>
      <c r="HB157" s="115"/>
      <c r="HC157" s="115"/>
      <c r="HD157" s="115"/>
      <c r="HF157" s="114" t="s">
        <v>432</v>
      </c>
      <c r="HG157" s="115"/>
      <c r="HH157" s="115"/>
      <c r="HI157" s="115"/>
      <c r="HJ157" s="115"/>
      <c r="HK157" s="115"/>
      <c r="HM157" s="114" t="s">
        <v>432</v>
      </c>
      <c r="HN157" s="115"/>
      <c r="HO157" s="115"/>
      <c r="HP157" s="115"/>
      <c r="HQ157" s="115"/>
      <c r="HR157" s="115"/>
      <c r="HT157" s="114" t="s">
        <v>432</v>
      </c>
      <c r="HU157" s="115"/>
      <c r="HV157" s="115"/>
      <c r="HW157" s="115"/>
      <c r="HX157" s="115"/>
      <c r="HY157" s="115"/>
      <c r="IA157" s="114" t="s">
        <v>432</v>
      </c>
      <c r="IB157" s="115"/>
      <c r="IC157" s="115"/>
      <c r="ID157" s="115"/>
      <c r="IE157" s="115"/>
      <c r="IF157" s="115"/>
      <c r="IH157" s="114" t="s">
        <v>432</v>
      </c>
      <c r="II157" s="115"/>
      <c r="IJ157" s="115"/>
      <c r="IK157" s="115"/>
      <c r="IL157" s="115"/>
      <c r="IM157" s="115"/>
      <c r="IO157" s="114" t="s">
        <v>432</v>
      </c>
      <c r="IP157" s="115"/>
      <c r="IQ157" s="115"/>
      <c r="IR157" s="115"/>
      <c r="IS157" s="115"/>
      <c r="IT157" s="115"/>
      <c r="IV157" s="114" t="s">
        <v>432</v>
      </c>
      <c r="IW157" s="115"/>
      <c r="IX157" s="115"/>
      <c r="IY157" s="115"/>
      <c r="IZ157" s="115"/>
      <c r="JA157" s="115"/>
      <c r="JC157" s="114" t="s">
        <v>432</v>
      </c>
      <c r="JD157" s="115"/>
      <c r="JE157" s="115"/>
      <c r="JF157" s="115"/>
      <c r="JG157" s="115"/>
      <c r="JH157" s="115"/>
      <c r="JJ157" s="114" t="s">
        <v>432</v>
      </c>
      <c r="JK157" s="115"/>
      <c r="JL157" s="115"/>
      <c r="JM157" s="115"/>
      <c r="JN157" s="115"/>
      <c r="JO157" s="115"/>
      <c r="JQ157" s="114" t="s">
        <v>432</v>
      </c>
      <c r="JR157" s="115"/>
      <c r="JS157" s="115"/>
      <c r="JT157" s="115"/>
      <c r="JU157" s="115"/>
      <c r="JV157" s="115"/>
      <c r="JX157" s="114" t="s">
        <v>432</v>
      </c>
      <c r="JY157" s="115"/>
      <c r="JZ157" s="115"/>
      <c r="KA157" s="115"/>
      <c r="KB157" s="115"/>
      <c r="KC157" s="115"/>
      <c r="KE157" s="114" t="s">
        <v>432</v>
      </c>
      <c r="KF157" s="115"/>
      <c r="KG157" s="115"/>
      <c r="KH157" s="115"/>
      <c r="KI157" s="115"/>
      <c r="KJ157" s="115"/>
      <c r="KL157" s="114" t="s">
        <v>432</v>
      </c>
      <c r="KM157" s="115"/>
      <c r="KN157" s="115"/>
      <c r="KO157" s="115"/>
      <c r="KP157" s="115"/>
      <c r="KQ157" s="115"/>
      <c r="KS157" s="114" t="s">
        <v>432</v>
      </c>
      <c r="KT157" s="115"/>
      <c r="KU157" s="115"/>
      <c r="KV157" s="115"/>
      <c r="KW157" s="115"/>
      <c r="KX157" s="115"/>
      <c r="KZ157" s="114" t="s">
        <v>432</v>
      </c>
      <c r="LA157" s="115"/>
      <c r="LB157" s="115"/>
      <c r="LC157" s="115"/>
      <c r="LD157" s="115"/>
      <c r="LE157" s="115"/>
      <c r="LF157" s="565"/>
      <c r="LG157" s="114" t="s">
        <v>432</v>
      </c>
      <c r="LH157" s="115"/>
      <c r="LI157" s="115"/>
      <c r="LJ157" s="115"/>
      <c r="LK157" s="115"/>
      <c r="LL157" s="115"/>
      <c r="LM157" s="565"/>
      <c r="LN157" s="114" t="s">
        <v>432</v>
      </c>
      <c r="LO157" s="115"/>
      <c r="LP157" s="115"/>
      <c r="LQ157" s="115"/>
      <c r="LR157" s="115"/>
      <c r="LS157" s="115"/>
      <c r="LT157" s="565"/>
      <c r="LU157" s="114" t="s">
        <v>432</v>
      </c>
      <c r="LV157" s="115"/>
      <c r="LW157" s="115"/>
      <c r="LX157" s="115"/>
      <c r="LY157" s="115"/>
      <c r="LZ157" s="115"/>
      <c r="MA157" s="565"/>
      <c r="MB157" s="114" t="s">
        <v>432</v>
      </c>
      <c r="MC157" s="115"/>
      <c r="MD157" s="115"/>
      <c r="ME157" s="115"/>
      <c r="MF157" s="115"/>
      <c r="MG157" s="115"/>
      <c r="MH157" s="565"/>
    </row>
    <row r="158" spans="1:346" s="37" customFormat="1" ht="13.15" x14ac:dyDescent="0.4">
      <c r="A158" s="100"/>
      <c r="B158" s="36"/>
      <c r="BO158" s="36"/>
      <c r="BP158" s="53"/>
      <c r="BQ158" s="53"/>
      <c r="BR158" s="53"/>
      <c r="BS158" s="53"/>
      <c r="BT158" s="53"/>
      <c r="BV158" s="36"/>
      <c r="BW158" s="53"/>
      <c r="BX158" s="53"/>
      <c r="BY158" s="53"/>
      <c r="BZ158" s="53"/>
      <c r="CA158" s="53"/>
      <c r="CC158" s="36"/>
      <c r="CD158" s="53"/>
      <c r="CE158" s="53"/>
      <c r="CF158" s="53"/>
      <c r="CG158" s="53"/>
      <c r="CH158" s="53"/>
      <c r="CJ158" s="36"/>
      <c r="CK158" s="53"/>
      <c r="CL158" s="53"/>
      <c r="CM158" s="53"/>
      <c r="CN158" s="53"/>
      <c r="CO158" s="53"/>
      <c r="CQ158" s="36"/>
      <c r="CR158" s="53"/>
      <c r="CS158" s="53"/>
      <c r="CT158" s="53"/>
      <c r="CU158" s="53"/>
      <c r="CV158" s="53"/>
      <c r="CX158" s="36"/>
      <c r="CY158" s="53"/>
      <c r="CZ158" s="53"/>
      <c r="DA158" s="53"/>
      <c r="DB158" s="53"/>
      <c r="DC158" s="53"/>
      <c r="DE158" s="36"/>
      <c r="DF158" s="53"/>
      <c r="DG158" s="53"/>
      <c r="DH158" s="53"/>
      <c r="DI158" s="53"/>
      <c r="DJ158" s="53"/>
      <c r="DL158" s="36"/>
      <c r="DM158" s="53"/>
      <c r="DN158" s="53"/>
      <c r="DO158" s="53"/>
      <c r="DP158" s="53"/>
      <c r="DQ158" s="53"/>
      <c r="DS158" s="36"/>
      <c r="DT158" s="53"/>
      <c r="DU158" s="53"/>
      <c r="DV158" s="53"/>
      <c r="DW158" s="53"/>
      <c r="DX158" s="53"/>
      <c r="DZ158" s="36"/>
      <c r="EA158" s="53"/>
      <c r="EB158" s="53"/>
      <c r="EC158" s="53"/>
      <c r="ED158" s="53"/>
      <c r="EE158" s="53"/>
      <c r="EG158" s="36"/>
      <c r="EH158" s="53"/>
      <c r="EI158" s="53"/>
      <c r="EJ158" s="53"/>
      <c r="EK158" s="53"/>
      <c r="EL158" s="53"/>
      <c r="EN158" s="36"/>
      <c r="EO158" s="53"/>
      <c r="EP158" s="53"/>
      <c r="EQ158" s="53"/>
      <c r="ER158" s="53"/>
      <c r="ES158" s="53"/>
      <c r="EU158" s="36"/>
      <c r="EV158" s="53"/>
      <c r="EW158" s="53"/>
      <c r="EX158" s="53"/>
      <c r="EY158" s="53"/>
      <c r="EZ158" s="53"/>
      <c r="FB158" s="36"/>
      <c r="FC158" s="53"/>
      <c r="FD158" s="53"/>
      <c r="FE158" s="53"/>
      <c r="FF158" s="53"/>
      <c r="FG158" s="53"/>
      <c r="FI158" s="36"/>
      <c r="FJ158" s="53"/>
      <c r="FK158" s="53"/>
      <c r="FL158" s="53"/>
      <c r="FM158" s="53"/>
      <c r="FN158" s="53"/>
      <c r="FP158" s="36"/>
      <c r="FQ158" s="53"/>
      <c r="FR158" s="53"/>
      <c r="FS158" s="53"/>
      <c r="FT158" s="53"/>
      <c r="FU158" s="53"/>
      <c r="FW158" s="36"/>
      <c r="FX158" s="53"/>
      <c r="FY158" s="53"/>
      <c r="FZ158" s="53"/>
      <c r="GA158" s="53"/>
      <c r="GB158" s="53"/>
      <c r="GD158" s="36"/>
      <c r="GE158" s="53"/>
      <c r="GF158" s="53"/>
      <c r="GG158" s="53"/>
      <c r="GH158" s="53"/>
      <c r="GI158" s="53"/>
      <c r="GK158" s="36"/>
      <c r="GL158" s="53"/>
      <c r="GM158" s="53"/>
      <c r="GN158" s="53"/>
      <c r="GO158" s="53"/>
      <c r="GP158" s="53"/>
      <c r="GR158" s="36"/>
      <c r="GS158" s="53"/>
      <c r="GT158" s="53"/>
      <c r="GU158" s="53"/>
      <c r="GV158" s="53"/>
      <c r="GW158" s="53"/>
      <c r="GY158" s="36"/>
      <c r="GZ158" s="53"/>
      <c r="HA158" s="53"/>
      <c r="HB158" s="53"/>
      <c r="HC158" s="53"/>
      <c r="HD158" s="53"/>
      <c r="HF158" s="36"/>
      <c r="HG158" s="53"/>
      <c r="HH158" s="53"/>
      <c r="HI158" s="53"/>
      <c r="HJ158" s="53"/>
      <c r="HK158" s="53"/>
      <c r="HM158" s="36"/>
      <c r="HN158" s="53"/>
      <c r="HO158" s="53"/>
      <c r="HP158" s="53"/>
      <c r="HQ158" s="53"/>
      <c r="HR158" s="53"/>
      <c r="HT158" s="36"/>
      <c r="HU158" s="53"/>
      <c r="HV158" s="53"/>
      <c r="HW158" s="53"/>
      <c r="HX158" s="53"/>
      <c r="HY158" s="53"/>
      <c r="IA158" s="36"/>
      <c r="IB158" s="53"/>
      <c r="IC158" s="53"/>
      <c r="ID158" s="53"/>
      <c r="IE158" s="53"/>
      <c r="IF158" s="53"/>
      <c r="IH158" s="36"/>
      <c r="II158" s="53"/>
      <c r="IJ158" s="53"/>
      <c r="IK158" s="53"/>
      <c r="IL158" s="53"/>
      <c r="IM158" s="53"/>
      <c r="IO158" s="36"/>
      <c r="IP158" s="53"/>
      <c r="IQ158" s="53"/>
      <c r="IR158" s="53"/>
      <c r="IS158" s="53"/>
      <c r="IT158" s="53"/>
      <c r="IV158" s="36"/>
      <c r="IW158" s="53"/>
      <c r="IX158" s="53"/>
      <c r="IY158" s="53"/>
      <c r="IZ158" s="53"/>
      <c r="JA158" s="53"/>
      <c r="JC158" s="36"/>
      <c r="JD158" s="53"/>
      <c r="JE158" s="53"/>
      <c r="JF158" s="53"/>
      <c r="JG158" s="53"/>
      <c r="JH158" s="53"/>
      <c r="JJ158" s="36"/>
      <c r="JK158" s="53"/>
      <c r="JL158" s="53"/>
      <c r="JM158" s="53"/>
      <c r="JN158" s="53"/>
      <c r="JO158" s="53"/>
      <c r="JQ158" s="36"/>
      <c r="JR158" s="53"/>
      <c r="JS158" s="53"/>
      <c r="JT158" s="53"/>
      <c r="JU158" s="53"/>
      <c r="JV158" s="53"/>
      <c r="JX158" s="36"/>
      <c r="JY158" s="53"/>
      <c r="JZ158" s="53"/>
      <c r="KA158" s="53"/>
      <c r="KB158" s="53"/>
      <c r="KC158" s="53"/>
      <c r="KE158" s="36"/>
      <c r="KF158" s="53"/>
      <c r="KG158" s="53"/>
      <c r="KH158" s="53"/>
      <c r="KI158" s="53"/>
      <c r="KJ158" s="53"/>
      <c r="KL158" s="36"/>
      <c r="KM158" s="53"/>
      <c r="KN158" s="53"/>
      <c r="KO158" s="53"/>
      <c r="KP158" s="53"/>
      <c r="KQ158" s="53"/>
      <c r="KS158" s="36"/>
      <c r="KT158" s="53"/>
      <c r="KU158" s="53"/>
      <c r="KX158" s="53"/>
      <c r="KZ158" s="36"/>
      <c r="LA158" s="53"/>
      <c r="LE158" s="53"/>
      <c r="LF158" s="565"/>
      <c r="LG158" s="36"/>
      <c r="LL158" s="53"/>
      <c r="LM158" s="565"/>
      <c r="LN158" s="36"/>
      <c r="LS158" s="53"/>
      <c r="LT158" s="565"/>
      <c r="LU158" s="36"/>
      <c r="LZ158" s="53"/>
      <c r="MA158" s="565"/>
      <c r="MB158" s="36"/>
      <c r="MG158" s="53"/>
      <c r="MH158" s="565"/>
    </row>
    <row r="159" spans="1:346" s="37" customFormat="1" ht="13.15" x14ac:dyDescent="0.4">
      <c r="A159" s="100"/>
      <c r="B159" s="143" t="s">
        <v>309</v>
      </c>
      <c r="C159" s="103"/>
      <c r="D159" s="103"/>
      <c r="E159" s="103"/>
      <c r="F159" s="103"/>
      <c r="G159" s="103"/>
      <c r="H159" s="103"/>
      <c r="I159" s="103"/>
      <c r="J159" s="103"/>
      <c r="K159" s="103"/>
      <c r="L159" s="103"/>
      <c r="M159" s="103"/>
      <c r="N159" s="103">
        <f>BT159</f>
        <v>0</v>
      </c>
      <c r="O159" s="103">
        <f>CA159</f>
        <v>0</v>
      </c>
      <c r="P159" s="103">
        <f>CH159</f>
        <v>0</v>
      </c>
      <c r="Q159" s="103">
        <f>CO159</f>
        <v>0</v>
      </c>
      <c r="R159" s="103">
        <f>CV159</f>
        <v>0</v>
      </c>
      <c r="S159" s="103">
        <f>DC159</f>
        <v>0</v>
      </c>
      <c r="T159" s="103">
        <f>DJ159</f>
        <v>0</v>
      </c>
      <c r="U159" s="103">
        <f>DQ159</f>
        <v>0</v>
      </c>
      <c r="V159" s="103">
        <f>DX159</f>
        <v>0</v>
      </c>
      <c r="W159" s="103">
        <f>EE159</f>
        <v>0</v>
      </c>
      <c r="X159" s="103">
        <f>EL159</f>
        <v>0</v>
      </c>
      <c r="Y159" s="103">
        <f>ES159</f>
        <v>0</v>
      </c>
      <c r="Z159" s="103">
        <f>EZ159</f>
        <v>0</v>
      </c>
      <c r="AA159" s="103">
        <f>FG159</f>
        <v>0</v>
      </c>
      <c r="AB159" s="103">
        <f>FN159</f>
        <v>0</v>
      </c>
      <c r="AC159" s="103">
        <f>FU159</f>
        <v>0</v>
      </c>
      <c r="AD159" s="103" t="str">
        <f>GB159</f>
        <v>-</v>
      </c>
      <c r="AE159" s="103" t="str">
        <f>GI159</f>
        <v>-</v>
      </c>
      <c r="AF159" s="103">
        <f>GP159</f>
        <v>1244.7943750700642</v>
      </c>
      <c r="AG159" s="103">
        <f>GW159</f>
        <v>1436.2822202694786</v>
      </c>
      <c r="AH159" s="103">
        <f>HD159</f>
        <v>1468.5447954427759</v>
      </c>
      <c r="AI159" s="103">
        <f>HK159</f>
        <v>1534.4238721804513</v>
      </c>
      <c r="AJ159" s="103">
        <f>HR159</f>
        <v>1604.6337245213094</v>
      </c>
      <c r="AK159" s="103">
        <f>HY159</f>
        <v>1608.4167576845064</v>
      </c>
      <c r="AL159" s="103">
        <f>IF159</f>
        <v>1602.5520721822909</v>
      </c>
      <c r="AM159" s="103">
        <f>IM159</f>
        <v>1598.2548396417219</v>
      </c>
      <c r="AN159" s="103">
        <f>IT159</f>
        <v>1596.6225410442241</v>
      </c>
      <c r="AO159" s="103">
        <f>JA159</f>
        <v>1623.3283211905132</v>
      </c>
      <c r="AP159" s="103">
        <f>JH159</f>
        <v>1657.3256249999999</v>
      </c>
      <c r="AQ159" s="103">
        <f>JO159</f>
        <v>1697.5404196235731</v>
      </c>
      <c r="AR159" s="103">
        <f>JV159</f>
        <v>1737.8588424437298</v>
      </c>
      <c r="AS159" s="103">
        <f>KC159</f>
        <v>1665.0117107942972</v>
      </c>
      <c r="AT159" s="103">
        <f>KJ159</f>
        <v>1712.7833040140731</v>
      </c>
      <c r="AU159" s="103">
        <f>KQ159</f>
        <v>1843.6962045673847</v>
      </c>
      <c r="AV159" s="103">
        <f>KX159</f>
        <v>1944.1549983718658</v>
      </c>
      <c r="AW159" s="103">
        <f>LE159</f>
        <v>1940.2580850724869</v>
      </c>
      <c r="AX159" s="103">
        <f>LL159</f>
        <v>1875.6936736958933</v>
      </c>
      <c r="AY159" s="103">
        <f>LS159</f>
        <v>1885.0674026410961</v>
      </c>
      <c r="AZ159" s="103">
        <f>LZ159</f>
        <v>1933.1757031489058</v>
      </c>
      <c r="BA159" s="103">
        <f>MG159</f>
        <v>1977.351485236391</v>
      </c>
      <c r="BB159" s="103"/>
      <c r="BC159" s="103"/>
      <c r="BD159" s="103"/>
      <c r="BE159" s="103"/>
      <c r="BF159" s="103"/>
      <c r="BG159" s="103"/>
      <c r="BH159" s="103"/>
      <c r="BI159" s="103"/>
      <c r="BJ159" s="103"/>
      <c r="BK159" s="103"/>
      <c r="BL159" s="103"/>
      <c r="BM159" s="103"/>
      <c r="BO159" s="143" t="s">
        <v>309</v>
      </c>
      <c r="BP159" s="103"/>
      <c r="BQ159" s="103"/>
      <c r="BR159" s="103"/>
      <c r="BS159" s="103"/>
      <c r="BT159" s="103"/>
      <c r="BV159" s="143" t="s">
        <v>309</v>
      </c>
      <c r="BW159" s="103"/>
      <c r="BX159" s="103"/>
      <c r="BY159" s="103"/>
      <c r="BZ159" s="103"/>
      <c r="CA159" s="103"/>
      <c r="CC159" s="143" t="s">
        <v>309</v>
      </c>
      <c r="CD159" s="103"/>
      <c r="CE159" s="103"/>
      <c r="CF159" s="103"/>
      <c r="CG159" s="103"/>
      <c r="CH159" s="103"/>
      <c r="CJ159" s="143" t="s">
        <v>309</v>
      </c>
      <c r="CK159" s="103"/>
      <c r="CL159" s="103"/>
      <c r="CM159" s="103"/>
      <c r="CN159" s="103"/>
      <c r="CO159" s="103"/>
      <c r="CQ159" s="143" t="s">
        <v>309</v>
      </c>
      <c r="CR159" s="103"/>
      <c r="CS159" s="103"/>
      <c r="CT159" s="103"/>
      <c r="CU159" s="103"/>
      <c r="CV159" s="103"/>
      <c r="CX159" s="143" t="s">
        <v>309</v>
      </c>
      <c r="CY159" s="103"/>
      <c r="CZ159" s="103"/>
      <c r="DA159" s="103"/>
      <c r="DB159" s="103"/>
      <c r="DC159" s="103"/>
      <c r="DE159" s="143" t="s">
        <v>309</v>
      </c>
      <c r="DF159" s="103"/>
      <c r="DG159" s="103"/>
      <c r="DH159" s="103"/>
      <c r="DI159" s="103"/>
      <c r="DJ159" s="103"/>
      <c r="DL159" s="143" t="s">
        <v>309</v>
      </c>
      <c r="DM159" s="103"/>
      <c r="DN159" s="103"/>
      <c r="DO159" s="103"/>
      <c r="DP159" s="103"/>
      <c r="DQ159" s="103"/>
      <c r="DS159" s="143" t="s">
        <v>309</v>
      </c>
      <c r="DT159" s="103"/>
      <c r="DU159" s="103"/>
      <c r="DV159" s="103"/>
      <c r="DW159" s="103"/>
      <c r="DX159" s="103"/>
      <c r="DZ159" s="143" t="s">
        <v>309</v>
      </c>
      <c r="EA159" s="103"/>
      <c r="EB159" s="103"/>
      <c r="EC159" s="103"/>
      <c r="ED159" s="103"/>
      <c r="EE159" s="103"/>
      <c r="EG159" s="143" t="s">
        <v>309</v>
      </c>
      <c r="EH159" s="103"/>
      <c r="EI159" s="103"/>
      <c r="EJ159" s="103"/>
      <c r="EK159" s="103"/>
      <c r="EL159" s="103"/>
      <c r="EN159" s="143" t="s">
        <v>309</v>
      </c>
      <c r="EO159" s="103"/>
      <c r="EP159" s="103"/>
      <c r="EQ159" s="103"/>
      <c r="ER159" s="103"/>
      <c r="ES159" s="103"/>
      <c r="EU159" s="143" t="s">
        <v>309</v>
      </c>
      <c r="EV159" s="103"/>
      <c r="EW159" s="103"/>
      <c r="EX159" s="103"/>
      <c r="EY159" s="103"/>
      <c r="EZ159" s="103"/>
      <c r="FB159" s="143" t="s">
        <v>309</v>
      </c>
      <c r="FC159" s="103"/>
      <c r="FD159" s="103"/>
      <c r="FE159" s="103"/>
      <c r="FF159" s="103"/>
      <c r="FG159" s="103"/>
      <c r="FI159" s="143" t="s">
        <v>309</v>
      </c>
      <c r="FJ159" s="103"/>
      <c r="FK159" s="103"/>
      <c r="FL159" s="103"/>
      <c r="FM159" s="103"/>
      <c r="FN159" s="103"/>
      <c r="FP159" s="143" t="s">
        <v>309</v>
      </c>
      <c r="FQ159" s="103"/>
      <c r="FR159" s="103"/>
      <c r="FS159" s="103"/>
      <c r="FT159" s="103"/>
      <c r="FU159" s="103"/>
      <c r="FW159" s="143" t="s">
        <v>309</v>
      </c>
      <c r="FX159" s="103" t="s">
        <v>80</v>
      </c>
      <c r="FY159" s="103" t="s">
        <v>80</v>
      </c>
      <c r="FZ159" s="103" t="s">
        <v>80</v>
      </c>
      <c r="GA159" s="103" t="s">
        <v>80</v>
      </c>
      <c r="GB159" s="103" t="s">
        <v>80</v>
      </c>
      <c r="GD159" s="143" t="s">
        <v>309</v>
      </c>
      <c r="GE159" s="103" t="s">
        <v>80</v>
      </c>
      <c r="GF159" s="103" t="s">
        <v>80</v>
      </c>
      <c r="GG159" s="103" t="s">
        <v>80</v>
      </c>
      <c r="GH159" s="103" t="s">
        <v>80</v>
      </c>
      <c r="GI159" s="103" t="s">
        <v>80</v>
      </c>
      <c r="GK159" s="143" t="s">
        <v>309</v>
      </c>
      <c r="GL159" s="103">
        <f>(GL37-GL35-GL34-Expense!GL108)/GL90*1000</f>
        <v>1229.6808841875911</v>
      </c>
      <c r="GM159" s="103">
        <f>(GM37-GM35-GM34-Expense!GM108)/GM90*1000</f>
        <v>1224.5163502073431</v>
      </c>
      <c r="GN159" s="103">
        <f>(GN37-GN35-GN34-Expense!GN108)/GN90*1000</f>
        <v>1246.5883128006792</v>
      </c>
      <c r="GO159" s="103">
        <f>(GO37-GO35-GO34-Expense!GO108)/GO90*1000</f>
        <v>1279.0882287478339</v>
      </c>
      <c r="GP159" s="103">
        <f>(GP37-GP35-GP34-Expense!GP108)/GP90*1000</f>
        <v>1244.7943750700642</v>
      </c>
      <c r="GR159" s="143" t="s">
        <v>309</v>
      </c>
      <c r="GS159" s="103">
        <f>(GS37-GS35-GS34-Expense!GS108)/GS90*1000</f>
        <v>1377.4024461269655</v>
      </c>
      <c r="GT159" s="103">
        <f>(GT37-GT35-GT34-Expense!GT108)/GT90*1000</f>
        <v>1396.9594594594594</v>
      </c>
      <c r="GU159" s="103">
        <f>(GU37-GU35-GU34-Expense!GU108)/GU90*1000</f>
        <v>1402.4249422632795</v>
      </c>
      <c r="GV159" s="103">
        <f>(GV37-GV35-GV34-Expense!GV108)/GV90*1000</f>
        <v>1414.223331253899</v>
      </c>
      <c r="GW159" s="103">
        <f>(GW37-GW35-GW34-Expense!GW108)/GW90*1000</f>
        <v>1436.2822202694786</v>
      </c>
      <c r="GY159" s="143" t="s">
        <v>309</v>
      </c>
      <c r="GZ159" s="103">
        <f>(GZ37-GZ35-GZ34-Expense!GZ108)/GZ90*1000</f>
        <v>1465.1162790697674</v>
      </c>
      <c r="HA159" s="103">
        <f>(HA37-HA35-HA34-Expense!HA108)/HA90*1000</f>
        <v>1459.9574769666904</v>
      </c>
      <c r="HB159" s="103">
        <f>(HB37-HB35-HB34-Expense!HB108)/HB90*1000</f>
        <v>1446.4163822525597</v>
      </c>
      <c r="HC159" s="103">
        <f>(HC37-HC35-HC34-Expense!HC108)/HC90*1000</f>
        <v>1427.9038718291056</v>
      </c>
      <c r="HD159" s="103">
        <f>(HD37-HD35-HD34-Expense!HD108)/HD90*1000</f>
        <v>1468.5447954427759</v>
      </c>
      <c r="HF159" s="143" t="s">
        <v>309</v>
      </c>
      <c r="HG159" s="103">
        <f>(HG37-HG35-HG34-Expense!HG108)/HG90*1000</f>
        <v>1534.3203230148049</v>
      </c>
      <c r="HH159" s="103">
        <f>(HH37-HH35-HH34-Expense!HH108)/HH90*1000</f>
        <v>1526.2828535669589</v>
      </c>
      <c r="HI159" s="103">
        <f>(HI37-HI35-HI34-Expense!HI108)/HI90*1000</f>
        <v>1506.877563704164</v>
      </c>
      <c r="HJ159" s="103">
        <f>(HJ37-HJ35-HJ34-Expense!HJ108)/HJ90*1000</f>
        <v>1523.5085748078061</v>
      </c>
      <c r="HK159" s="103">
        <f>(HK37-HK35-HK34-Expense!HK108)/HK90*1000</f>
        <v>1534.4238721804513</v>
      </c>
      <c r="HM159" s="143" t="s">
        <v>309</v>
      </c>
      <c r="HN159" s="103">
        <f>(HN37-HN35-HN34-Expense!HN108)/HN90*1000</f>
        <v>1590.5829145728642</v>
      </c>
      <c r="HO159" s="103">
        <f>(HO37-HO35-HO34-Expense!HO108)/HO90*1000</f>
        <v>1608.3602673147022</v>
      </c>
      <c r="HP159" s="103">
        <f>(HP37-HP35-HP34-Expense!HP108)/HP90*1000</f>
        <v>1601.969734403953</v>
      </c>
      <c r="HQ159" s="103">
        <f>(HQ37-HQ35-HQ34-Expense!HQ108)/HQ90*1000</f>
        <v>1617.3255095738109</v>
      </c>
      <c r="HR159" s="103">
        <f>(HR37-HR35-HR34-Expense!HR108)/HR90*1000</f>
        <v>1604.6337245213094</v>
      </c>
      <c r="HT159" s="143" t="s">
        <v>309</v>
      </c>
      <c r="HU159" s="103">
        <f>(HU37-HU35-HU34-Expense!HU108)/HU90*1000</f>
        <v>1632.1679151061176</v>
      </c>
      <c r="HV159" s="103">
        <f>(HV37-HV35-HV34-Expense!HV108)/HV90*1000</f>
        <v>1608.1884146341463</v>
      </c>
      <c r="HW159" s="103">
        <f>(HW37-HW35-HW34-Expense!HW108)/HW90*1000</f>
        <v>1586.1456250000001</v>
      </c>
      <c r="HX159" s="103">
        <f>(HX37-HX35-HX34-Expense!HX108)/HX90*1000</f>
        <v>1607.1142310146777</v>
      </c>
      <c r="HY159" s="103">
        <f>(HY37-HY35-HY34-Expense!HY108)/HY90*1000</f>
        <v>1608.4167576845064</v>
      </c>
      <c r="IA159" s="143" t="s">
        <v>309</v>
      </c>
      <c r="IB159" s="103">
        <f>(IB37-IB35-IB34-Expense!IB108)/IB90*1000</f>
        <v>1624.0158428390368</v>
      </c>
      <c r="IC159" s="103">
        <f>(IC37-IC35-IC34-Expense!IC108)/IC90*1000</f>
        <v>1615.873188405797</v>
      </c>
      <c r="ID159" s="103">
        <f>(ID37-ID35-ID34-Expense!ID108)/ID90*1000</f>
        <v>1580.7723676202068</v>
      </c>
      <c r="IE159" s="103">
        <f>(IE37-IE35-IE34-Expense!IE108)/IE90*1000</f>
        <v>1590.430806257521</v>
      </c>
      <c r="IF159" s="103">
        <f>(IF37-IF35-IF34-Expense!IF108)/IF90*1000</f>
        <v>1602.5520721822909</v>
      </c>
      <c r="IH159" s="143" t="s">
        <v>309</v>
      </c>
      <c r="II159" s="103">
        <f>(II37-II35-II34-Expense!II108)/II90*1000</f>
        <v>1598.9185185185186</v>
      </c>
      <c r="IJ159" s="103">
        <f>(IJ37-IJ35-IJ34-Expense!IJ108)/IJ90*1000</f>
        <v>1598.1864121280178</v>
      </c>
      <c r="IK159" s="103">
        <f>(IK37-IK35-IK34-Expense!IK108)/IK90*1000</f>
        <v>1592.8213879408418</v>
      </c>
      <c r="IL159" s="103">
        <f>(IL37-IL35-IL34-Expense!IL108)/IL90*1000</f>
        <v>1603.1321610890527</v>
      </c>
      <c r="IM159" s="103">
        <f>(IM37-IM35-IM34-Expense!IM108)/IM90*1000</f>
        <v>1598.2548396417219</v>
      </c>
      <c r="IO159" s="143" t="s">
        <v>309</v>
      </c>
      <c r="IP159" s="103">
        <f>(IP37-IP35-IP34-Expense!IP108)/IP90*1000</f>
        <v>1633.7425076452598</v>
      </c>
      <c r="IQ159" s="103">
        <f>(IQ37-IQ35-IQ34-Expense!IQ108)/IQ90*1000</f>
        <v>1594.1728254690165</v>
      </c>
      <c r="IR159" s="103">
        <f>(IR37-IR35-IR34-Expense!IR108)/IR90*1000</f>
        <v>1591.9970794392523</v>
      </c>
      <c r="IS159" s="103">
        <f>(IS37-IS35-IS34-Expense!IS108)/IS90*1000</f>
        <v>1567.3395770392751</v>
      </c>
      <c r="IT159" s="103">
        <f>(IT37-IT35-IT34-Expense!IT108)/IT90*1000</f>
        <v>1596.6225410442241</v>
      </c>
      <c r="IV159" s="143" t="s">
        <v>309</v>
      </c>
      <c r="IW159" s="103">
        <f>(IW37-IW35-IW34-Expense!IW108)/IW90*1000</f>
        <v>1602.8162475822051</v>
      </c>
      <c r="IX159" s="103">
        <f>(IX37-IX35-IX34-Expense!IX108)/IX90*1000</f>
        <v>1611.9504702194358</v>
      </c>
      <c r="IY159" s="103">
        <f>(IY37-IY35-IY34-Expense!IY108)/IY90*1000</f>
        <v>1631.7484116899618</v>
      </c>
      <c r="IZ159" s="103">
        <f>(IZ37-IZ35-IZ34-Expense!IZ108)/IZ90*1000</f>
        <v>1644.5349508954362</v>
      </c>
      <c r="JA159" s="103">
        <f>(JA37-JA35-JA34-Expense!JA108)/JA90*1000</f>
        <v>1623.3283211905132</v>
      </c>
      <c r="JC159" s="143" t="s">
        <v>309</v>
      </c>
      <c r="JD159" s="103">
        <f>(JD37-JD35-JD34-Expense!JD108)/JD90*1000</f>
        <v>1702.1790201005026</v>
      </c>
      <c r="JE159" s="103">
        <f>(JE37-JE35-JE34-Expense!JE108)/JE90*1000</f>
        <v>1659.4604938271605</v>
      </c>
      <c r="JF159" s="103">
        <f>(JF37-JF35-JF34-Expense!JF108)/JF90*1000</f>
        <v>1616.1209829867676</v>
      </c>
      <c r="JG159" s="103">
        <f>(JG37-JG35-JG34-Expense!JG108)/JG90*1000</f>
        <v>1651.4084946908183</v>
      </c>
      <c r="JH159" s="103">
        <f>(JH37-JH35-JH34-Expense!JH108)/JH90*1000</f>
        <v>1657.3256249999999</v>
      </c>
      <c r="JJ159" s="143" t="s">
        <v>309</v>
      </c>
      <c r="JK159" s="103">
        <f>(JK37-JK35-JK34-Expense!JK108)/JK90*1000</f>
        <v>1695.4660574412535</v>
      </c>
      <c r="JL159" s="103">
        <f>(JL37-JL35-JL34-Expense!JL108)/JL90*1000</f>
        <v>1704.4823815309842</v>
      </c>
      <c r="JM159" s="103">
        <f>(JM37-JM35-JM34-Expense!JM108)/JM90*1000</f>
        <v>1688.4039855072463</v>
      </c>
      <c r="JN159" s="103">
        <f>(JN37-JN35-JN34-Expense!JN108)/JN90*1000</f>
        <v>1701.7160194174755</v>
      </c>
      <c r="JO159" s="103">
        <f>(JO37-JO35-JO34-Expense!JO108)/JO90*1000</f>
        <v>1697.5404196235731</v>
      </c>
      <c r="JQ159" s="143" t="s">
        <v>309</v>
      </c>
      <c r="JR159" s="103">
        <f>(JR37-JR35-JR34-Expense!JR108)/JR90*1000</f>
        <v>1756.9098628347485</v>
      </c>
      <c r="JS159" s="103">
        <f>(JS37-JS35-JS34-Expense!JS108)/JS90*1000</f>
        <v>1759.8064516129029</v>
      </c>
      <c r="JT159" s="103">
        <f>(JT37-JT35-JT34-Expense!JT108)/JT90*1000</f>
        <v>1730.6896112173361</v>
      </c>
      <c r="JU159" s="103">
        <f>(JU37-JU35-JU34-Expense!JU108)/JU90*1000</f>
        <v>1703.6692657569852</v>
      </c>
      <c r="JV159" s="103">
        <f>(JV37-JV35-JV34-Expense!JV108)/JV90*1000</f>
        <v>1737.8588424437298</v>
      </c>
      <c r="JX159" s="143" t="s">
        <v>309</v>
      </c>
      <c r="JY159" s="103">
        <f>(JY37-JY35-JY34-Expense!JY108)/JY90*1000</f>
        <v>1723.0515191545574</v>
      </c>
      <c r="JZ159" s="103">
        <f>(JZ37-JZ35-JZ34-Expense!JZ108)/JZ90*1000</f>
        <v>1652.0254574383453</v>
      </c>
      <c r="KA159" s="103">
        <f>(KA37-KA35-KA34-Expense!KA108)/KA90*1000</f>
        <v>1630.9835742444152</v>
      </c>
      <c r="KB159" s="103">
        <f>(KB37-KB35-KB34-Expense!KB108)/KB90*1000</f>
        <v>1652.6554096310192</v>
      </c>
      <c r="KC159" s="103">
        <f>(KC37-KC35-KC34-Expense!KC108)/KC90*1000</f>
        <v>1665.0117107942972</v>
      </c>
      <c r="KE159" s="143" t="s">
        <v>309</v>
      </c>
      <c r="KF159" s="103">
        <f>(KF37-KF35-KF34-Expense!KF108)/KF90*1000</f>
        <v>1681.3937213865274</v>
      </c>
      <c r="KG159" s="103">
        <f>(KG37-KG35-KG34-Expense!KG108)/KG90*1000</f>
        <v>1682.2011313639221</v>
      </c>
      <c r="KH159" s="103">
        <f>(KH37-KH35-KH34-Expense!KH108)/KH90*1000</f>
        <v>1705.8419705694178</v>
      </c>
      <c r="KI159" s="103">
        <f>(KI37-KI35-KI34-Expense!KI108)/KI90*1000</f>
        <v>1781.2547770700637</v>
      </c>
      <c r="KJ159" s="103">
        <f>(KJ37-KJ35-KJ34-Expense!KJ108)/KJ90*1000</f>
        <v>1712.7833040140731</v>
      </c>
      <c r="KL159" s="143" t="s">
        <v>309</v>
      </c>
      <c r="KM159" s="103">
        <f>(KM37-KM35-KM34-Expense!KM108)/KM90*1000</f>
        <v>1829.817757009346</v>
      </c>
      <c r="KN159" s="103">
        <f>(KN37-KN35-KN34-Expense!KN108)/KN90*1000</f>
        <v>1856.4818067754079</v>
      </c>
      <c r="KO159" s="103">
        <f>(KO37-KO35-KO34-Expense!KO108)/KO90*1000</f>
        <v>1825.3005671077506</v>
      </c>
      <c r="KP159" s="103">
        <f>(KP37-KP35-KP34-Expense!KP108)/KP90*1000</f>
        <v>1862.9317738791424</v>
      </c>
      <c r="KQ159" s="103">
        <f>(KQ37-KQ35-KQ34-Expense!KQ108)/KQ90*1000</f>
        <v>1843.6962045673847</v>
      </c>
      <c r="KS159" s="143" t="s">
        <v>309</v>
      </c>
      <c r="KT159" s="103">
        <f>(KT37-KT35-KT34-Expense!KT108)/KT90*1000</f>
        <v>1974.4279946164197</v>
      </c>
      <c r="KU159" s="103">
        <f>(KU37-KU35-KU34-Expense!KU108)/KU90*1000</f>
        <v>1959.8965071151358</v>
      </c>
      <c r="KV159" s="103">
        <f>(KV37-KV35-KV34-Expense!KV108)/KV90*1000</f>
        <v>1907.741935483871</v>
      </c>
      <c r="KW159" s="103">
        <f>(KW37-KW35-KW34-Expense!KW108)/KW90*1000</f>
        <v>1935.8974358974358</v>
      </c>
      <c r="KX159" s="103">
        <f>(KX37-KX35-KX34-Expense!KX108)/KX90*1000</f>
        <v>1944.1549983718658</v>
      </c>
      <c r="KZ159" s="143" t="s">
        <v>309</v>
      </c>
      <c r="LA159" s="103">
        <f>(LA37-LA35-LA34-Expense!LA108)/LA90*1000</f>
        <v>1985.6584093872229</v>
      </c>
      <c r="LB159" s="103">
        <f>(LB37-LB35-LB34-Expense!LB108)/LB90*1000</f>
        <v>1958.1749049429657</v>
      </c>
      <c r="LC159" s="103">
        <f>(LC37-LC35-LC34-Expense!LC108)/LC90*1000</f>
        <v>1916.9811320754718</v>
      </c>
      <c r="LD159" s="103">
        <f>(LD37-LD35-LD34-Expense!LD108)/LD90*1000</f>
        <v>1901.5873015873015</v>
      </c>
      <c r="LE159" s="103">
        <f>(LE37-LE35-LE34-Expense!LE108)/LE90*1000</f>
        <v>1940.2580850724869</v>
      </c>
      <c r="LF159" s="555"/>
      <c r="LG159" s="143" t="s">
        <v>309</v>
      </c>
      <c r="LH159" s="103">
        <f>(LH37-LH35-LH34-Expense!LH108)/LH90*1000</f>
        <v>1903.1620553359683</v>
      </c>
      <c r="LI159" s="103">
        <f>(LI37-LI35-LI34-Expense!LI108)/LI90*1000</f>
        <v>1900.632911392405</v>
      </c>
      <c r="LJ159" s="103">
        <f>(LJ37-LJ35-LJ34-Expense!LJ108)/LJ90*1000</f>
        <v>1855.4590570719602</v>
      </c>
      <c r="LK159" s="103">
        <f>(LK37-LK35-LK34-Expense!LK108)/LK90*1000</f>
        <v>1845.3350031308703</v>
      </c>
      <c r="LL159" s="103">
        <f>(LL37-LL35-LL34-Expense!LL108)/LL90*1000</f>
        <v>1875.6936736958933</v>
      </c>
      <c r="LM159" s="555"/>
      <c r="LN159" s="143" t="s">
        <v>309</v>
      </c>
      <c r="LO159" s="103">
        <f>(LO37-LO35-LO34-Expense!LO108)/LO90*1000</f>
        <v>1885.8739150889307</v>
      </c>
      <c r="LP159" s="103">
        <f>(LP37-LP35-LP34-Expense!LP108)/LP90*1000</f>
        <v>1894.1592848775551</v>
      </c>
      <c r="LQ159" s="103">
        <f>(LQ37-LQ35-LQ34-Expense!LQ108)/LQ90*1000</f>
        <v>1871.8217294446958</v>
      </c>
      <c r="LR159" s="103">
        <f>(LR37-LR35-LR34-Expense!LR108)/LR90*1000</f>
        <v>1888.7001733250356</v>
      </c>
      <c r="LS159" s="103">
        <f>(LS37-LS35-LS34-Expense!LS108)/LS90*1000</f>
        <v>1885.0674026410961</v>
      </c>
      <c r="LT159" s="555"/>
      <c r="LU159" s="143" t="s">
        <v>309</v>
      </c>
      <c r="LV159" s="103">
        <f>(LV37-LV35-LV34-Expense!LV108)/LV90*1000</f>
        <v>1935.8999381106612</v>
      </c>
      <c r="LW159" s="103">
        <f>(LW37-LW35-LW34-Expense!LW108)/LW90*1000</f>
        <v>1941.6648743481524</v>
      </c>
      <c r="LX159" s="103">
        <f>(LX37-LX35-LX34-Expense!LX108)/LX90*1000</f>
        <v>1918.9075686391511</v>
      </c>
      <c r="LY159" s="103">
        <f>(LY37-LY35-LY34-Expense!LY108)/LY90*1000</f>
        <v>1936.6135657888103</v>
      </c>
      <c r="LZ159" s="103">
        <f>(LZ37-LZ35-LZ34-Expense!LZ108)/LZ90*1000</f>
        <v>1933.1757031489058</v>
      </c>
      <c r="MA159" s="555"/>
      <c r="MB159" s="143" t="s">
        <v>309</v>
      </c>
      <c r="MC159" s="103">
        <f>(MC37-MC35-MC34-Expense!MC108)/MC90*1000</f>
        <v>1980.7007162025589</v>
      </c>
      <c r="MD159" s="103">
        <f>(MD37-MD35-MD34-Expense!MD108)/MD90*1000</f>
        <v>1985.9706761533942</v>
      </c>
      <c r="ME159" s="103">
        <f>(ME37-ME35-ME34-Expense!ME108)/ME90*1000</f>
        <v>1963.1961724992916</v>
      </c>
      <c r="MF159" s="103">
        <f>(MF37-MF35-MF34-Expense!MF108)/MF90*1000</f>
        <v>1979.9631875339815</v>
      </c>
      <c r="MG159" s="103">
        <f>(MG37-MG35-MG34-Expense!MG108)/MG90*1000</f>
        <v>1977.351485236391</v>
      </c>
      <c r="MH159" s="555"/>
    </row>
    <row r="160" spans="1:346" s="37" customFormat="1" ht="13.15" x14ac:dyDescent="0.4">
      <c r="A160" s="100"/>
      <c r="B160" s="65" t="s">
        <v>3</v>
      </c>
      <c r="C160" s="66"/>
      <c r="D160" s="66"/>
      <c r="E160" s="66"/>
      <c r="F160" s="66"/>
      <c r="G160" s="66"/>
      <c r="H160" s="66"/>
      <c r="I160" s="66"/>
      <c r="J160" s="66"/>
      <c r="K160" s="66"/>
      <c r="L160" s="66"/>
      <c r="M160" s="66"/>
      <c r="N160" s="66">
        <f>BT160</f>
        <v>0</v>
      </c>
      <c r="O160" s="66">
        <f>CA160</f>
        <v>0</v>
      </c>
      <c r="P160" s="66">
        <f>CH160</f>
        <v>0</v>
      </c>
      <c r="Q160" s="66">
        <f>CO160</f>
        <v>0</v>
      </c>
      <c r="R160" s="66">
        <f>CV160</f>
        <v>0</v>
      </c>
      <c r="S160" s="66">
        <f>DC160</f>
        <v>0</v>
      </c>
      <c r="T160" s="66">
        <f>DJ160</f>
        <v>0</v>
      </c>
      <c r="U160" s="66">
        <f>DQ160</f>
        <v>0</v>
      </c>
      <c r="V160" s="66">
        <f>DX160</f>
        <v>0</v>
      </c>
      <c r="W160" s="66">
        <f>EE160</f>
        <v>0</v>
      </c>
      <c r="X160" s="66">
        <f>EL160</f>
        <v>0</v>
      </c>
      <c r="Y160" s="66">
        <f>ES160</f>
        <v>0</v>
      </c>
      <c r="Z160" s="66">
        <f>EZ160</f>
        <v>0</v>
      </c>
      <c r="AA160" s="66">
        <f>FG160</f>
        <v>0</v>
      </c>
      <c r="AB160" s="66">
        <f>FN160</f>
        <v>0</v>
      </c>
      <c r="AC160" s="66">
        <f>FU160</f>
        <v>0</v>
      </c>
      <c r="AD160" s="66" t="str">
        <f>GB160</f>
        <v>-</v>
      </c>
      <c r="AE160" s="66" t="str">
        <f>GI160</f>
        <v>-</v>
      </c>
      <c r="AF160" s="66">
        <f>GP160</f>
        <v>0</v>
      </c>
      <c r="AG160" s="66">
        <f>GW160</f>
        <v>0.15383090495459251</v>
      </c>
      <c r="AH160" s="66">
        <f>HD160</f>
        <v>2.2462559737907339E-2</v>
      </c>
      <c r="AI160" s="66">
        <f>HK160</f>
        <v>4.4860107054352616E-2</v>
      </c>
      <c r="AJ160" s="66">
        <f>HR160</f>
        <v>4.5756491158527313E-2</v>
      </c>
      <c r="AK160" s="66">
        <f>HY160</f>
        <v>2.3575680265135457E-3</v>
      </c>
      <c r="AL160" s="66">
        <f>IF160</f>
        <v>-3.6462474506037124E-3</v>
      </c>
      <c r="AM160" s="66">
        <f>IM160</f>
        <v>-2.6814932351728604E-3</v>
      </c>
      <c r="AN160" s="66">
        <f>IT160</f>
        <v>-1.0213005817417686E-3</v>
      </c>
      <c r="AO160" s="66">
        <f>JA160</f>
        <v>1.6726420590819746E-2</v>
      </c>
      <c r="AP160" s="66">
        <f>JH160</f>
        <v>2.0942962286614852E-2</v>
      </c>
      <c r="AQ160" s="66">
        <f>JO160</f>
        <v>2.4264872283968453E-2</v>
      </c>
      <c r="AR160" s="66">
        <f>JV160</f>
        <v>2.3751082657046396E-2</v>
      </c>
      <c r="AS160" s="66">
        <f>KC160</f>
        <v>-4.1917749514682634E-2</v>
      </c>
      <c r="AT160" s="66">
        <f>KJ160</f>
        <v>2.8691445777871749E-2</v>
      </c>
      <c r="AU160" s="66">
        <f>KQ160</f>
        <v>7.6432844859302795E-2</v>
      </c>
      <c r="AV160" s="66">
        <f>KX160</f>
        <v>5.4487715251360092E-2</v>
      </c>
      <c r="AW160" s="66">
        <f>LE160</f>
        <v>-2.0044252143693875E-3</v>
      </c>
      <c r="AX160" s="66">
        <f>LL160</f>
        <v>-3.327619757048017E-2</v>
      </c>
      <c r="AY160" s="66">
        <f>LS160</f>
        <v>4.9974732423831991E-3</v>
      </c>
      <c r="AZ160" s="66">
        <f>LZ160</f>
        <v>2.5520732277480862E-2</v>
      </c>
      <c r="BA160" s="66">
        <f>MG160</f>
        <v>2.2851405599360941E-2</v>
      </c>
      <c r="BB160" s="66"/>
      <c r="BC160" s="66"/>
      <c r="BD160" s="66"/>
      <c r="BE160" s="66"/>
      <c r="BF160" s="66"/>
      <c r="BG160" s="66"/>
      <c r="BH160" s="66"/>
      <c r="BI160" s="66"/>
      <c r="BJ160" s="66"/>
      <c r="BK160" s="66"/>
      <c r="BL160" s="66"/>
      <c r="BM160" s="66"/>
      <c r="BO160" s="65" t="s">
        <v>3</v>
      </c>
      <c r="BP160" s="66"/>
      <c r="BQ160" s="66"/>
      <c r="BR160" s="66"/>
      <c r="BS160" s="66"/>
      <c r="BT160" s="66"/>
      <c r="BV160" s="65" t="s">
        <v>3</v>
      </c>
      <c r="BW160" s="66"/>
      <c r="BX160" s="66"/>
      <c r="BY160" s="66"/>
      <c r="BZ160" s="66"/>
      <c r="CA160" s="66"/>
      <c r="CC160" s="65" t="s">
        <v>3</v>
      </c>
      <c r="CD160" s="66"/>
      <c r="CE160" s="66"/>
      <c r="CF160" s="66"/>
      <c r="CG160" s="66"/>
      <c r="CH160" s="66"/>
      <c r="CJ160" s="65" t="s">
        <v>3</v>
      </c>
      <c r="CK160" s="66"/>
      <c r="CL160" s="66"/>
      <c r="CM160" s="66"/>
      <c r="CN160" s="66"/>
      <c r="CO160" s="66"/>
      <c r="CQ160" s="65" t="s">
        <v>3</v>
      </c>
      <c r="CR160" s="66"/>
      <c r="CS160" s="66"/>
      <c r="CT160" s="66"/>
      <c r="CU160" s="66"/>
      <c r="CV160" s="66"/>
      <c r="CX160" s="65" t="s">
        <v>3</v>
      </c>
      <c r="CY160" s="66"/>
      <c r="CZ160" s="66"/>
      <c r="DA160" s="66"/>
      <c r="DB160" s="66"/>
      <c r="DC160" s="66"/>
      <c r="DE160" s="65" t="s">
        <v>3</v>
      </c>
      <c r="DF160" s="66"/>
      <c r="DG160" s="66"/>
      <c r="DH160" s="66"/>
      <c r="DI160" s="66"/>
      <c r="DJ160" s="66"/>
      <c r="DL160" s="65" t="s">
        <v>3</v>
      </c>
      <c r="DM160" s="66"/>
      <c r="DN160" s="66"/>
      <c r="DO160" s="66"/>
      <c r="DP160" s="66"/>
      <c r="DQ160" s="66"/>
      <c r="DS160" s="65" t="s">
        <v>3</v>
      </c>
      <c r="DT160" s="66"/>
      <c r="DU160" s="66"/>
      <c r="DV160" s="66"/>
      <c r="DW160" s="66"/>
      <c r="DX160" s="66"/>
      <c r="DZ160" s="65" t="s">
        <v>3</v>
      </c>
      <c r="EA160" s="66"/>
      <c r="EB160" s="66"/>
      <c r="EC160" s="66"/>
      <c r="ED160" s="66"/>
      <c r="EE160" s="66"/>
      <c r="EG160" s="65" t="s">
        <v>3</v>
      </c>
      <c r="EH160" s="66"/>
      <c r="EI160" s="66"/>
      <c r="EJ160" s="66"/>
      <c r="EK160" s="66"/>
      <c r="EL160" s="66"/>
      <c r="EN160" s="65" t="s">
        <v>3</v>
      </c>
      <c r="EO160" s="66"/>
      <c r="EP160" s="66"/>
      <c r="EQ160" s="66"/>
      <c r="ER160" s="66"/>
      <c r="ES160" s="66"/>
      <c r="EU160" s="65" t="s">
        <v>3</v>
      </c>
      <c r="EV160" s="66"/>
      <c r="EW160" s="66"/>
      <c r="EX160" s="66"/>
      <c r="EY160" s="66"/>
      <c r="EZ160" s="66"/>
      <c r="FB160" s="65" t="s">
        <v>3</v>
      </c>
      <c r="FC160" s="66"/>
      <c r="FD160" s="66"/>
      <c r="FE160" s="66"/>
      <c r="FF160" s="66"/>
      <c r="FG160" s="66"/>
      <c r="FI160" s="65" t="s">
        <v>3</v>
      </c>
      <c r="FJ160" s="66"/>
      <c r="FK160" s="66"/>
      <c r="FL160" s="66"/>
      <c r="FM160" s="66"/>
      <c r="FN160" s="66"/>
      <c r="FP160" s="65" t="s">
        <v>3</v>
      </c>
      <c r="FQ160" s="66"/>
      <c r="FR160" s="66"/>
      <c r="FS160" s="66"/>
      <c r="FT160" s="66"/>
      <c r="FU160" s="66"/>
      <c r="FW160" s="65" t="s">
        <v>3</v>
      </c>
      <c r="FX160" s="66" t="s">
        <v>80</v>
      </c>
      <c r="FY160" s="66" t="s">
        <v>80</v>
      </c>
      <c r="FZ160" s="66" t="s">
        <v>80</v>
      </c>
      <c r="GA160" s="66" t="s">
        <v>80</v>
      </c>
      <c r="GB160" s="66" t="s">
        <v>80</v>
      </c>
      <c r="GD160" s="65" t="s">
        <v>3</v>
      </c>
      <c r="GE160" s="66" t="s">
        <v>80</v>
      </c>
      <c r="GF160" s="66" t="s">
        <v>80</v>
      </c>
      <c r="GG160" s="66" t="s">
        <v>80</v>
      </c>
      <c r="GH160" s="66" t="s">
        <v>80</v>
      </c>
      <c r="GI160" s="66" t="s">
        <v>80</v>
      </c>
      <c r="GK160" s="65" t="s">
        <v>3</v>
      </c>
      <c r="GL160" s="66"/>
      <c r="GM160" s="66"/>
      <c r="GN160" s="66"/>
      <c r="GO160" s="66"/>
      <c r="GP160" s="66"/>
      <c r="GR160" s="65" t="s">
        <v>3</v>
      </c>
      <c r="GS160" s="66">
        <f>GS159/GL159-1</f>
        <v>0.12012999782213329</v>
      </c>
      <c r="GT160" s="66">
        <f>GT159/GM159-1</f>
        <v>0.1408254852807127</v>
      </c>
      <c r="GU160" s="66">
        <f>GU159/GN159-1</f>
        <v>0.12501050095077981</v>
      </c>
      <c r="GV160" s="66">
        <f>GV159/GO159-1</f>
        <v>0.10564955526043418</v>
      </c>
      <c r="GW160" s="66">
        <f>GW159/GP159-1</f>
        <v>0.15383090495459251</v>
      </c>
      <c r="GY160" s="65" t="s">
        <v>3</v>
      </c>
      <c r="GZ160" s="66">
        <f>GZ159/GS159-1</f>
        <v>6.3680613599488733E-2</v>
      </c>
      <c r="HA160" s="66">
        <f>HA159/GT159-1</f>
        <v>4.5096525228876416E-2</v>
      </c>
      <c r="HB160" s="66">
        <f>HB159/GU159-1</f>
        <v>3.1368124356291993E-2</v>
      </c>
      <c r="HC160" s="66">
        <f>HC159/GV159-1</f>
        <v>9.6735361897026806E-3</v>
      </c>
      <c r="HD160" s="66">
        <f>HD159/GW159-1</f>
        <v>2.2462559737907339E-2</v>
      </c>
      <c r="HF160" s="65" t="s">
        <v>3</v>
      </c>
      <c r="HG160" s="66">
        <f>HG159/GZ159-1</f>
        <v>4.7234506184708147E-2</v>
      </c>
      <c r="HH160" s="66">
        <f>HH159/HA159-1</f>
        <v>4.5429663292708256E-2</v>
      </c>
      <c r="HI160" s="66">
        <f>HI159/HB159-1</f>
        <v>4.180067523671549E-2</v>
      </c>
      <c r="HJ160" s="66">
        <f>HJ159/HC159-1</f>
        <v>6.6954579271665926E-2</v>
      </c>
      <c r="HK160" s="66">
        <f>HK159/HD159-1</f>
        <v>4.4860107054352616E-2</v>
      </c>
      <c r="HM160" s="65" t="s">
        <v>3</v>
      </c>
      <c r="HN160" s="66">
        <f>HN159/HG159-1</f>
        <v>3.6669390813717673E-2</v>
      </c>
      <c r="HO160" s="66">
        <f>HO159/HH159-1</f>
        <v>5.3776017699423528E-2</v>
      </c>
      <c r="HP160" s="66">
        <f>HP159/HI159-1</f>
        <v>6.3105439347066916E-2</v>
      </c>
      <c r="HQ160" s="66">
        <f>HQ159/HJ159-1</f>
        <v>6.1579525259869428E-2</v>
      </c>
      <c r="HR160" s="66">
        <f>HR159/HK159-1</f>
        <v>4.5756491158527313E-2</v>
      </c>
      <c r="HT160" s="65" t="s">
        <v>3</v>
      </c>
      <c r="HU160" s="66">
        <f>HU159/HN159-1</f>
        <v>2.6144503472439684E-2</v>
      </c>
      <c r="HV160" s="66">
        <f>HV159/HO159-1</f>
        <v>-1.0684961824058981E-4</v>
      </c>
      <c r="HW160" s="66">
        <f>HW159/HP159-1</f>
        <v>-9.8779078431470158E-3</v>
      </c>
      <c r="HX160" s="66">
        <f>HX159/HQ159-1</f>
        <v>-6.3136817534177325E-3</v>
      </c>
      <c r="HY160" s="66">
        <f>HY159/HR159-1</f>
        <v>2.3575680265135457E-3</v>
      </c>
      <c r="IA160" s="65" t="s">
        <v>3</v>
      </c>
      <c r="IB160" s="66">
        <f>IB159/HU159-1</f>
        <v>-4.9946284274009489E-3</v>
      </c>
      <c r="IC160" s="66">
        <f>IC159/HV159-1</f>
        <v>4.7785282506209725E-3</v>
      </c>
      <c r="ID160" s="66">
        <f>ID159/HW159-1</f>
        <v>-3.3876192041278896E-3</v>
      </c>
      <c r="IE160" s="66">
        <f>IE159/HX159-1</f>
        <v>-1.0380982530795779E-2</v>
      </c>
      <c r="IF160" s="66">
        <f>IF159/HY159-1</f>
        <v>-3.6462474506037124E-3</v>
      </c>
      <c r="IH160" s="65" t="s">
        <v>3</v>
      </c>
      <c r="II160" s="66">
        <f>II159/IB159-1</f>
        <v>-1.545386667943105E-2</v>
      </c>
      <c r="IJ160" s="66">
        <f>IJ159/IC159-1</f>
        <v>-1.0945646233061712E-2</v>
      </c>
      <c r="IK160" s="66">
        <f>IK159/ID159-1</f>
        <v>7.622236172292407E-3</v>
      </c>
      <c r="IL160" s="66">
        <f>IL159/IE159-1</f>
        <v>7.9861096638460527E-3</v>
      </c>
      <c r="IM160" s="66">
        <f>IM159/IF159-1</f>
        <v>-2.6814932351728604E-3</v>
      </c>
      <c r="IO160" s="65" t="s">
        <v>3</v>
      </c>
      <c r="IP160" s="66">
        <f>IP159/II159-1</f>
        <v>2.1779714678023421E-2</v>
      </c>
      <c r="IQ160" s="66">
        <f>IQ159/IJ159-1</f>
        <v>-2.5113382447402577E-3</v>
      </c>
      <c r="IR160" s="66">
        <f>IR159/IK159-1</f>
        <v>-5.1751471183791864E-4</v>
      </c>
      <c r="IS160" s="66">
        <f>IS159/IL159-1</f>
        <v>-2.2326658349529183E-2</v>
      </c>
      <c r="IT160" s="66">
        <f>IT159/IM159-1</f>
        <v>-1.0213005817417686E-3</v>
      </c>
      <c r="IV160" s="65" t="s">
        <v>3</v>
      </c>
      <c r="IW160" s="66">
        <f>IW159/IP159-1</f>
        <v>-1.8929702764255874E-2</v>
      </c>
      <c r="IX160" s="66">
        <f>IX159/IQ159-1</f>
        <v>1.115164207192465E-2</v>
      </c>
      <c r="IY160" s="66">
        <f>IY159/IR159-1</f>
        <v>2.4969475612801384E-2</v>
      </c>
      <c r="IZ160" s="66">
        <f>IZ159/IS159-1</f>
        <v>4.9252488093221025E-2</v>
      </c>
      <c r="JA160" s="66">
        <f>JA159/IT159-1</f>
        <v>1.6726420590819746E-2</v>
      </c>
      <c r="JC160" s="65" t="s">
        <v>3</v>
      </c>
      <c r="JD160" s="66">
        <f>JD159/IW159-1</f>
        <v>6.1992616226709041E-2</v>
      </c>
      <c r="JE160" s="66">
        <f>JE159/IX159-1</f>
        <v>2.9473624956514399E-2</v>
      </c>
      <c r="JF160" s="66">
        <f>JF159/IY159-1</f>
        <v>-9.5771067348607852E-3</v>
      </c>
      <c r="JG160" s="66">
        <f>JG159/IZ159-1</f>
        <v>4.1796276762859907E-3</v>
      </c>
      <c r="JH160" s="66">
        <f>JH159/JA159-1</f>
        <v>2.0942962286614852E-2</v>
      </c>
      <c r="JJ160" s="65" t="s">
        <v>3</v>
      </c>
      <c r="JK160" s="66">
        <f>JK159/JD159-1</f>
        <v>-3.9437465624813095E-3</v>
      </c>
      <c r="JL160" s="66">
        <f>JL159/JE159-1</f>
        <v>2.7130436591467966E-2</v>
      </c>
      <c r="JM160" s="66">
        <f>JM159/JF159-1</f>
        <v>4.4726232306502078E-2</v>
      </c>
      <c r="JN160" s="66">
        <f>JN159/JG159-1</f>
        <v>3.0463404353552104E-2</v>
      </c>
      <c r="JO160" s="66">
        <f>JO159/JH159-1</f>
        <v>2.4264872283968453E-2</v>
      </c>
      <c r="JQ160" s="65" t="s">
        <v>3</v>
      </c>
      <c r="JR160" s="66">
        <f>JR159/JK159-1</f>
        <v>3.6240068106243362E-2</v>
      </c>
      <c r="JS160" s="66">
        <f>JS159/JL159-1</f>
        <v>3.2457988819002193E-2</v>
      </c>
      <c r="JT160" s="66">
        <f>JT159/JM159-1</f>
        <v>2.504473222822079E-2</v>
      </c>
      <c r="JU160" s="66">
        <f>JU159/JN159-1</f>
        <v>1.147809809170397E-3</v>
      </c>
      <c r="JV160" s="66">
        <f>JV159/JO159-1</f>
        <v>2.3751082657046396E-2</v>
      </c>
      <c r="JX160" s="65" t="s">
        <v>3</v>
      </c>
      <c r="JY160" s="66">
        <f>JY159/JR159-1</f>
        <v>-1.9271531452137891E-2</v>
      </c>
      <c r="JZ160" s="66">
        <f>JZ159/JS159-1</f>
        <v>-6.1245936492489772E-2</v>
      </c>
      <c r="KA160" s="66">
        <f>KA159/JT159-1</f>
        <v>-5.7610582698759849E-2</v>
      </c>
      <c r="KB160" s="66">
        <f>KB159/JU159-1</f>
        <v>-2.994352081787377E-2</v>
      </c>
      <c r="KC160" s="66">
        <f>KC159/JV159-1</f>
        <v>-4.1917749514682634E-2</v>
      </c>
      <c r="KE160" s="65" t="s">
        <v>3</v>
      </c>
      <c r="KF160" s="66">
        <f>KF159/JY159-1</f>
        <v>-2.417675693671073E-2</v>
      </c>
      <c r="KG160" s="66">
        <f>KG159/JZ159-1</f>
        <v>1.8265864965766099E-2</v>
      </c>
      <c r="KH160" s="66">
        <f>KH159/KA159-1</f>
        <v>4.5897700937719277E-2</v>
      </c>
      <c r="KI160" s="66">
        <f>KI159/KB159-1</f>
        <v>7.7813781802073434E-2</v>
      </c>
      <c r="KJ160" s="66">
        <f>KJ159/KC159-1</f>
        <v>2.8691445777871749E-2</v>
      </c>
      <c r="KL160" s="65" t="s">
        <v>3</v>
      </c>
      <c r="KM160" s="66">
        <f>KM159/KF159-1</f>
        <v>8.8274408150176509E-2</v>
      </c>
      <c r="KN160" s="66">
        <f>KN159/KG159-1</f>
        <v>0.10360275722212831</v>
      </c>
      <c r="KO160" s="66">
        <f>KO159/KH159-1</f>
        <v>7.0029110902023906E-2</v>
      </c>
      <c r="KP160" s="66">
        <f>KP159/KI159-1</f>
        <v>4.5853629621376735E-2</v>
      </c>
      <c r="KQ160" s="66">
        <f>KQ159/KJ159-1</f>
        <v>7.6432844859302795E-2</v>
      </c>
      <c r="KS160" s="65" t="s">
        <v>3</v>
      </c>
      <c r="KT160" s="66">
        <f>KT159/KM159-1</f>
        <v>7.9029858057244384E-2</v>
      </c>
      <c r="KU160" s="66">
        <f>KU159/KN159-1</f>
        <v>5.5704666731613672E-2</v>
      </c>
      <c r="KV160" s="66">
        <f>KV159/KO159-1</f>
        <v>4.516591396602232E-2</v>
      </c>
      <c r="KW160" s="66">
        <f>KW159/KP159-1</f>
        <v>3.9167114459784269E-2</v>
      </c>
      <c r="KX160" s="66">
        <f>KX159/KQ159-1</f>
        <v>5.4487715251360092E-2</v>
      </c>
      <c r="KZ160" s="65" t="s">
        <v>3</v>
      </c>
      <c r="LA160" s="66">
        <f>LA159/KT159-1</f>
        <v>5.6879333160919643E-3</v>
      </c>
      <c r="LB160" s="66">
        <f>LB159/KU159-1</f>
        <v>-8.7841483768158479E-4</v>
      </c>
      <c r="LC160" s="66">
        <f>LC159/KV159-1</f>
        <v>4.8430012570108705E-3</v>
      </c>
      <c r="LD160" s="66">
        <f>LD159/KW159-1</f>
        <v>-1.7723115736360762E-2</v>
      </c>
      <c r="LE160" s="66">
        <f>LE159/KX159-1</f>
        <v>-2.0044252143693875E-3</v>
      </c>
      <c r="LF160" s="566"/>
      <c r="LG160" s="65" t="s">
        <v>3</v>
      </c>
      <c r="LH160" s="66">
        <f>LH159/LA159-1</f>
        <v>-4.1546095572759234E-2</v>
      </c>
      <c r="LI160" s="66">
        <f>LI159/LB159-1</f>
        <v>-2.9385522919995077E-2</v>
      </c>
      <c r="LJ160" s="66">
        <f>LJ159/LC159-1</f>
        <v>-3.2093208417186214E-2</v>
      </c>
      <c r="LK160" s="66">
        <f>LK159/LD159-1</f>
        <v>-2.9581759622330228E-2</v>
      </c>
      <c r="LL160" s="66">
        <f>LL159/LE159-1</f>
        <v>-3.327619757048017E-2</v>
      </c>
      <c r="LM160" s="566"/>
      <c r="LN160" s="65" t="s">
        <v>3</v>
      </c>
      <c r="LO160" s="66">
        <f>LO159/LH159-1</f>
        <v>-9.0839033904475119E-3</v>
      </c>
      <c r="LP160" s="66">
        <f>LP159/LI159-1</f>
        <v>-3.406037260560435E-3</v>
      </c>
      <c r="LQ160" s="66">
        <f>LQ159/LJ159-1</f>
        <v>8.8186652841357738E-3</v>
      </c>
      <c r="LR160" s="66">
        <f>LR159/LK159-1</f>
        <v>2.3499890329176099E-2</v>
      </c>
      <c r="LS160" s="66">
        <f>LS159/LL159-1</f>
        <v>4.9974732423831991E-3</v>
      </c>
      <c r="LT160" s="566"/>
      <c r="LU160" s="65" t="s">
        <v>3</v>
      </c>
      <c r="LV160" s="66">
        <f>LV159/LO159-1</f>
        <v>2.6526706065273409E-2</v>
      </c>
      <c r="LW160" s="66">
        <f>LW159/LP159-1</f>
        <v>2.5080039387325392E-2</v>
      </c>
      <c r="LX160" s="66">
        <f>LX159/LQ159-1</f>
        <v>2.5155087396289577E-2</v>
      </c>
      <c r="LY160" s="66">
        <f>LY159/LR159-1</f>
        <v>2.5368448174293068E-2</v>
      </c>
      <c r="LZ160" s="66">
        <f>LZ159/LS159-1</f>
        <v>2.5520732277480862E-2</v>
      </c>
      <c r="MA160" s="566"/>
      <c r="MB160" s="65" t="s">
        <v>3</v>
      </c>
      <c r="MC160" s="66">
        <f>MC159/LV159-1</f>
        <v>2.3142093870626823E-2</v>
      </c>
      <c r="MD160" s="66">
        <f>MD159/LW159-1</f>
        <v>2.2818459761299481E-2</v>
      </c>
      <c r="ME160" s="66">
        <f>ME159/LX159-1</f>
        <v>2.3080113176868089E-2</v>
      </c>
      <c r="MF160" s="66">
        <f>MF159/LY159-1</f>
        <v>2.2384239432668762E-2</v>
      </c>
      <c r="MG160" s="66">
        <f>MG159/LZ159-1</f>
        <v>2.2851405599360941E-2</v>
      </c>
      <c r="MH160" s="566"/>
    </row>
    <row r="161" spans="1:346" s="37" customFormat="1" ht="13.15" x14ac:dyDescent="0.4">
      <c r="A161" s="100"/>
      <c r="B161" s="65" t="s">
        <v>419</v>
      </c>
      <c r="C161" s="66"/>
      <c r="D161" s="66"/>
      <c r="E161" s="66"/>
      <c r="F161" s="66"/>
      <c r="G161" s="66"/>
      <c r="H161" s="66"/>
      <c r="I161" s="66"/>
      <c r="J161" s="66"/>
      <c r="K161" s="66"/>
      <c r="L161" s="66"/>
      <c r="M161" s="66"/>
      <c r="N161" s="66">
        <f>BT161</f>
        <v>0</v>
      </c>
      <c r="O161" s="66">
        <f>CA161</f>
        <v>0</v>
      </c>
      <c r="P161" s="66">
        <f>CH161</f>
        <v>0</v>
      </c>
      <c r="Q161" s="66">
        <f>CO161</f>
        <v>0</v>
      </c>
      <c r="R161" s="66">
        <f>CV161</f>
        <v>0</v>
      </c>
      <c r="S161" s="66">
        <f>DC161</f>
        <v>0</v>
      </c>
      <c r="T161" s="66">
        <f>DJ161</f>
        <v>0</v>
      </c>
      <c r="U161" s="66">
        <f>DQ161</f>
        <v>0</v>
      </c>
      <c r="V161" s="66">
        <f>DX161</f>
        <v>0</v>
      </c>
      <c r="W161" s="66">
        <f>EE161</f>
        <v>0</v>
      </c>
      <c r="X161" s="66">
        <f>EL161</f>
        <v>0</v>
      </c>
      <c r="Y161" s="66">
        <f>ES161</f>
        <v>0</v>
      </c>
      <c r="Z161" s="66">
        <f>EZ161</f>
        <v>0</v>
      </c>
      <c r="AA161" s="66">
        <f>FG161</f>
        <v>0</v>
      </c>
      <c r="AB161" s="66">
        <f>FN161</f>
        <v>0</v>
      </c>
      <c r="AC161" s="66">
        <f>FU161</f>
        <v>0</v>
      </c>
      <c r="AD161" s="66" t="str">
        <f>GB161</f>
        <v>-</v>
      </c>
      <c r="AE161" s="66" t="str">
        <f>GI161</f>
        <v>-</v>
      </c>
      <c r="AF161" s="66" t="str">
        <f>GP161</f>
        <v>-</v>
      </c>
      <c r="AG161" s="66" t="str">
        <f>GW161</f>
        <v>-</v>
      </c>
      <c r="AH161" s="66" t="str">
        <f>HD161</f>
        <v>-</v>
      </c>
      <c r="AI161" s="66" t="str">
        <f>HK161</f>
        <v>-</v>
      </c>
      <c r="AJ161" s="66">
        <f>HR161</f>
        <v>-4.204765224213064E-2</v>
      </c>
      <c r="AK161" s="66">
        <f>HY161</f>
        <v>-3.1454933787242449E-2</v>
      </c>
      <c r="AL161" s="66">
        <f>IF161</f>
        <v>-2.2586087629584764E-3</v>
      </c>
      <c r="AM161" s="66">
        <f>IM161</f>
        <v>7.098908808851119E-3</v>
      </c>
      <c r="AN161" s="66">
        <f>IT161</f>
        <v>3.7601154434747375E-2</v>
      </c>
      <c r="AO161" s="66">
        <f>JA161</f>
        <v>1.6216461337069853E-2</v>
      </c>
      <c r="AP161" s="66">
        <f>JH161</f>
        <v>-2.3262472743824772E-2</v>
      </c>
      <c r="AQ161" s="66">
        <f>JO161</f>
        <v>-2.7285978270208899E-2</v>
      </c>
      <c r="AR161" s="66">
        <f>JV161</f>
        <v>2.7642936930204948E-2</v>
      </c>
      <c r="AS161" s="66">
        <f>KC161</f>
        <v>-5.2484314025805362E-3</v>
      </c>
      <c r="AT161" s="66">
        <f>KJ161</f>
        <v>-4.0657848176840664E-2</v>
      </c>
      <c r="AU161" s="66">
        <f>KQ161</f>
        <v>-8.7305218356271336E-2</v>
      </c>
      <c r="AV161" s="66">
        <f>KX161</f>
        <v>6.6236028247256662E-2</v>
      </c>
      <c r="AW161" s="66">
        <f>LE161</f>
        <v>2.2853444136555944E-2</v>
      </c>
      <c r="AX161" s="66">
        <f>LL161</f>
        <v>-1.2600855409662843E-2</v>
      </c>
      <c r="AY161" s="66">
        <f>LS161</f>
        <v>-2.1400772682858893E-2</v>
      </c>
      <c r="AZ161" s="66">
        <f>LZ161</f>
        <v>-1.2976244406298493E-3</v>
      </c>
      <c r="BA161" s="66">
        <f>MG161</f>
        <v>-2.8336846214135937E-3</v>
      </c>
      <c r="BB161" s="66"/>
      <c r="BC161" s="66"/>
      <c r="BD161" s="66"/>
      <c r="BE161" s="66"/>
      <c r="BF161" s="66"/>
      <c r="BG161" s="66"/>
      <c r="BH161" s="66"/>
      <c r="BI161" s="66"/>
      <c r="BJ161" s="66"/>
      <c r="BK161" s="66"/>
      <c r="BL161" s="66"/>
      <c r="BM161" s="66"/>
      <c r="BO161" s="65" t="s">
        <v>419</v>
      </c>
      <c r="BP161" s="66"/>
      <c r="BQ161" s="66"/>
      <c r="BR161" s="66"/>
      <c r="BS161" s="66"/>
      <c r="BT161" s="66"/>
      <c r="BV161" s="65" t="s">
        <v>419</v>
      </c>
      <c r="BW161" s="66"/>
      <c r="BX161" s="66"/>
      <c r="BY161" s="66"/>
      <c r="BZ161" s="66"/>
      <c r="CA161" s="66"/>
      <c r="CC161" s="65" t="s">
        <v>419</v>
      </c>
      <c r="CD161" s="66"/>
      <c r="CE161" s="66"/>
      <c r="CF161" s="66"/>
      <c r="CG161" s="66"/>
      <c r="CH161" s="66"/>
      <c r="CJ161" s="65" t="s">
        <v>419</v>
      </c>
      <c r="CK161" s="66"/>
      <c r="CL161" s="66"/>
      <c r="CM161" s="66"/>
      <c r="CN161" s="66"/>
      <c r="CO161" s="66"/>
      <c r="CQ161" s="65" t="s">
        <v>419</v>
      </c>
      <c r="CR161" s="66"/>
      <c r="CS161" s="66"/>
      <c r="CT161" s="66"/>
      <c r="CU161" s="66"/>
      <c r="CV161" s="66"/>
      <c r="CX161" s="65" t="s">
        <v>419</v>
      </c>
      <c r="CY161" s="66"/>
      <c r="CZ161" s="66"/>
      <c r="DA161" s="66"/>
      <c r="DB161" s="66"/>
      <c r="DC161" s="66"/>
      <c r="DE161" s="65" t="s">
        <v>419</v>
      </c>
      <c r="DF161" s="66"/>
      <c r="DG161" s="66"/>
      <c r="DH161" s="66"/>
      <c r="DI161" s="66"/>
      <c r="DJ161" s="66"/>
      <c r="DL161" s="65" t="s">
        <v>419</v>
      </c>
      <c r="DM161" s="66"/>
      <c r="DN161" s="66"/>
      <c r="DO161" s="66"/>
      <c r="DP161" s="66"/>
      <c r="DQ161" s="66"/>
      <c r="DS161" s="65" t="s">
        <v>419</v>
      </c>
      <c r="DT161" s="66"/>
      <c r="DU161" s="66"/>
      <c r="DV161" s="66"/>
      <c r="DW161" s="66"/>
      <c r="DX161" s="66"/>
      <c r="DZ161" s="65" t="s">
        <v>419</v>
      </c>
      <c r="EA161" s="66"/>
      <c r="EB161" s="66"/>
      <c r="EC161" s="66"/>
      <c r="ED161" s="66"/>
      <c r="EE161" s="66"/>
      <c r="EG161" s="65" t="s">
        <v>419</v>
      </c>
      <c r="EH161" s="66"/>
      <c r="EI161" s="66"/>
      <c r="EJ161" s="66"/>
      <c r="EK161" s="66"/>
      <c r="EL161" s="66"/>
      <c r="EN161" s="65" t="s">
        <v>419</v>
      </c>
      <c r="EO161" s="66"/>
      <c r="EP161" s="66"/>
      <c r="EQ161" s="66"/>
      <c r="ER161" s="66"/>
      <c r="ES161" s="66"/>
      <c r="EU161" s="65" t="s">
        <v>419</v>
      </c>
      <c r="EV161" s="66"/>
      <c r="EW161" s="66"/>
      <c r="EX161" s="66"/>
      <c r="EY161" s="66"/>
      <c r="EZ161" s="66"/>
      <c r="FB161" s="65" t="s">
        <v>419</v>
      </c>
      <c r="FC161" s="66"/>
      <c r="FD161" s="66"/>
      <c r="FE161" s="66"/>
      <c r="FF161" s="66"/>
      <c r="FG161" s="66"/>
      <c r="FI161" s="65" t="s">
        <v>419</v>
      </c>
      <c r="FJ161" s="66"/>
      <c r="FK161" s="66"/>
      <c r="FL161" s="66"/>
      <c r="FM161" s="66"/>
      <c r="FN161" s="66"/>
      <c r="FP161" s="65" t="s">
        <v>419</v>
      </c>
      <c r="FQ161" s="66"/>
      <c r="FR161" s="66"/>
      <c r="FS161" s="66"/>
      <c r="FT161" s="66"/>
      <c r="FU161" s="66"/>
      <c r="FW161" s="65" t="s">
        <v>419</v>
      </c>
      <c r="FX161" s="66" t="s">
        <v>80</v>
      </c>
      <c r="FY161" s="66" t="s">
        <v>80</v>
      </c>
      <c r="FZ161" s="66" t="s">
        <v>80</v>
      </c>
      <c r="GA161" s="66" t="s">
        <v>80</v>
      </c>
      <c r="GB161" s="66" t="s">
        <v>80</v>
      </c>
      <c r="GD161" s="65" t="s">
        <v>419</v>
      </c>
      <c r="GE161" s="66" t="s">
        <v>80</v>
      </c>
      <c r="GF161" s="66" t="s">
        <v>80</v>
      </c>
      <c r="GG161" s="66" t="s">
        <v>80</v>
      </c>
      <c r="GH161" s="66" t="s">
        <v>80</v>
      </c>
      <c r="GI161" s="66" t="s">
        <v>80</v>
      </c>
      <c r="GK161" s="65" t="s">
        <v>419</v>
      </c>
      <c r="GL161" s="66" t="s">
        <v>80</v>
      </c>
      <c r="GM161" s="66" t="s">
        <v>80</v>
      </c>
      <c r="GN161" s="66" t="s">
        <v>80</v>
      </c>
      <c r="GO161" s="66" t="s">
        <v>80</v>
      </c>
      <c r="GP161" s="66" t="s">
        <v>80</v>
      </c>
      <c r="GR161" s="65" t="s">
        <v>419</v>
      </c>
      <c r="GS161" s="66" t="s">
        <v>80</v>
      </c>
      <c r="GT161" s="66" t="s">
        <v>80</v>
      </c>
      <c r="GU161" s="66" t="s">
        <v>80</v>
      </c>
      <c r="GV161" s="66" t="s">
        <v>80</v>
      </c>
      <c r="GW161" s="66" t="s">
        <v>80</v>
      </c>
      <c r="GY161" s="65" t="s">
        <v>419</v>
      </c>
      <c r="GZ161" s="66" t="s">
        <v>80</v>
      </c>
      <c r="HA161" s="66" t="s">
        <v>80</v>
      </c>
      <c r="HB161" s="66" t="s">
        <v>80</v>
      </c>
      <c r="HC161" s="66" t="s">
        <v>80</v>
      </c>
      <c r="HD161" s="66" t="s">
        <v>80</v>
      </c>
      <c r="HF161" s="65" t="s">
        <v>419</v>
      </c>
      <c r="HG161" s="66" t="s">
        <v>80</v>
      </c>
      <c r="HH161" s="66" t="s">
        <v>80</v>
      </c>
      <c r="HI161" s="66" t="s">
        <v>80</v>
      </c>
      <c r="HJ161" s="66" t="s">
        <v>80</v>
      </c>
      <c r="HK161" s="66" t="s">
        <v>80</v>
      </c>
      <c r="HM161" s="65" t="s">
        <v>419</v>
      </c>
      <c r="HN161" s="66">
        <f>HN160-(HN69*HN141+HN71*HN143+HN70*HN142+HN74*HN146+HN72*HN144+HN75*HN147+HN86*HN152+HN85*HN151)/HN90</f>
        <v>1.0254653658550199E-2</v>
      </c>
      <c r="HO161" s="66">
        <f>HO160-(HO69*HO141+HO71*HO143+HO70*HO142+HO74*HO146+HO72*HO144+HO75*HO147+HO86*HO152+HO85*HO151)/HO90</f>
        <v>-6.135406061459929E-2</v>
      </c>
      <c r="HP161" s="66">
        <f>HP160-(HP69*HP141+HP71*HP143+HP70*HP142+HP74*HP146+HP72*HP144+HP75*HP147+HP86*HP152+HP85*HP151)/HP90</f>
        <v>-5.1946081201706795E-2</v>
      </c>
      <c r="HQ161" s="66">
        <f>HQ160-(HQ69*HQ141+HQ71*HQ143+HQ70*HQ142+HQ74*HQ146+HQ72*HQ144+HQ75*HQ147+HQ86*HQ152+HQ85*HQ151)/HQ90</f>
        <v>-3.826467768257627E-2</v>
      </c>
      <c r="HR161" s="66">
        <f>HR160-(HR69*HR141+HR71*HR143+HR70*HR142+HR74*HR146+HR72*HR144+HR75*HR147+HR86*HR152+HR85*HR151)/HR90</f>
        <v>-4.204765224213064E-2</v>
      </c>
      <c r="HT161" s="65" t="s">
        <v>419</v>
      </c>
      <c r="HU161" s="66">
        <f>HU160-(HU69*HU141+HU71*HU143+HU70*HU142+HU74*HU146+HU72*HU144+HU75*HU147+HU86*HU152+HU85*HU151)/HU90</f>
        <v>-5.3220611667591122E-2</v>
      </c>
      <c r="HV161" s="66">
        <f>HV160-(HV69*HV141+HV71*HV143+HV70*HV142+HV74*HV146+HV72*HV144+HV75*HV147+HV86*HV152+HV85*HV151)/HV90</f>
        <v>-2.5672581172647146E-2</v>
      </c>
      <c r="HW161" s="66">
        <f>HW160-(HW69*HW141+HW71*HW143+HW70*HW142+HW74*HW146+HW72*HW144+HW75*HW147+HW86*HW152+HW85*HW151)/HW90</f>
        <v>-2.0571753194903165E-2</v>
      </c>
      <c r="HX161" s="66">
        <f>HX160-(HX69*HX141+HX71*HX143+HX70*HX142+HX74*HX146+HX72*HX144+HX75*HX147+HX86*HX152+HX85*HX151)/HX90</f>
        <v>-3.0780256969703015E-2</v>
      </c>
      <c r="HY161" s="66">
        <f>HY160-(HY69*HY141+HY71*HY143+HY70*HY142+HY74*HY146+HY72*HY144+HY75*HY147+HY86*HY152+HY85*HY151)/HY90</f>
        <v>-3.1454933787242449E-2</v>
      </c>
      <c r="IA161" s="65" t="s">
        <v>419</v>
      </c>
      <c r="IB161" s="66">
        <f>IB160-(IB69*IB141+IB71*IB143+IB70*IB142+IB74*IB146+IB72*IB144+IB75*IB147+IB86*IB152+IB85*IB151)/IB90</f>
        <v>-8.082868631005085E-3</v>
      </c>
      <c r="IC161" s="66">
        <f>IC160-(IC69*IC141+IC71*IC143+IC70*IC142+IC74*IC146+IC72*IC144+IC75*IC147+IC86*IC152+IC85*IC151)/IC90</f>
        <v>2.4714821246388983E-3</v>
      </c>
      <c r="ID161" s="66">
        <f>ID160-(ID69*ID141+ID71*ID143+ID70*ID142+ID74*ID146+ID72*ID144+ID75*ID147+ID86*ID152+ID85*ID151)/ID90</f>
        <v>-7.5385424459793581E-3</v>
      </c>
      <c r="IE161" s="66">
        <f>IE160-(IE69*IE141+IE71*IE143+IE70*IE142+IE74*IE146+IE72*IE144+IE75*IE147+IE86*IE152+IE85*IE151)/IE90</f>
        <v>4.5913451816645932E-3</v>
      </c>
      <c r="IF161" s="66">
        <f>IF160-(IF69*IF141+IF71*IF143+IF70*IF142+IF74*IF146+IF72*IF144+IF75*IF147+IF86*IF152+IF85*IF151)/IF90</f>
        <v>-2.2586087629584764E-3</v>
      </c>
      <c r="IH161" s="65" t="s">
        <v>419</v>
      </c>
      <c r="II161" s="66">
        <f>II160-(II69*II141+II71*II143+II70*II142+II74*II146+II72*II144+II75*II147+II86*II152+II85*II151)/II90</f>
        <v>-9.686844488124343E-4</v>
      </c>
      <c r="IJ161" s="66">
        <f>IJ160-(IJ69*IJ141+IJ71*IJ143+IJ70*IJ142+IJ74*IJ146+IJ72*IJ144+IJ75*IJ147+IJ86*IJ152+IJ85*IJ151)/IJ90</f>
        <v>6.2318093056001576E-3</v>
      </c>
      <c r="IK161" s="66">
        <f>IK160-(IK69*IK141+IK71*IK143+IK70*IK142+IK74*IK146+IK72*IK144+IK75*IK147+IK86*IK152+IK85*IK151)/IK90</f>
        <v>1.180151574054911E-2</v>
      </c>
      <c r="IL161" s="66">
        <f>IL160-(IL69*IL141+IL71*IL143+IL70*IL142+IL74*IL146+IL72*IL144+IL75*IL147+IL86*IL152+IL85*IL151)/IL90</f>
        <v>1.0035886897442087E-2</v>
      </c>
      <c r="IM161" s="66">
        <f>IM160-(IM69*IM141+IM71*IM143+IM70*IM142+IM74*IM146+IM72*IM144+IM75*IM147+IM86*IM152+IM85*IM151)/IM90</f>
        <v>7.098908808851119E-3</v>
      </c>
      <c r="IO161" s="65" t="s">
        <v>419</v>
      </c>
      <c r="IP161" s="66">
        <f>IP160-(IP69*IP141+IP71*IP143+IP70*IP142+IP74*IP146+IP72*IP144+IP75*IP147+IP86*IP152+IP85*IP151)/IP90</f>
        <v>3.9177514534492537E-2</v>
      </c>
      <c r="IQ161" s="66">
        <f>IQ160-(IQ69*IQ141+IQ71*IQ143+IQ70*IQ142+IQ74*IQ146+IQ72*IQ144+IQ75*IQ147+IQ86*IQ152+IQ85*IQ151)/IQ90</f>
        <v>3.8712509667738933E-2</v>
      </c>
      <c r="IR161" s="66">
        <f>IR160-(IR69*IR141+IR71*IR143+IR70*IR142+IR74*IR146+IR72*IR144+IR75*IR147+IR86*IR152+IR85*IR151)/IR90</f>
        <v>3.7460203098255519E-2</v>
      </c>
      <c r="IS161" s="66">
        <f>IS160-(IS69*IS141+IS71*IS143+IS70*IS142+IS74*IS146+IS72*IS144+IS75*IS147+IS86*IS152+IS85*IS151)/IS90</f>
        <v>3.535990115511832E-2</v>
      </c>
      <c r="IT161" s="66">
        <f>IT160-(IT69*IT141+IT71*IT143+IT70*IT142+IT74*IT146+IT72*IT144+IT75*IT147+IT86*IT152+IT85*IT151)/IT90</f>
        <v>3.7601154434747375E-2</v>
      </c>
      <c r="IV161" s="65" t="s">
        <v>419</v>
      </c>
      <c r="IW161" s="66">
        <f t="shared" ref="IW161:JA161" si="1128">IW160-(IW69*IW141+IW71*IW143+IW70*IW142+IW74*IW146+IW72*IW144+IW75*IW147+IW86*IW152+IW85*IW151+IW145*IW73)/IW90</f>
        <v>2.5916361242717754E-2</v>
      </c>
      <c r="IX161" s="66">
        <f t="shared" si="1128"/>
        <v>2.13268509615765E-2</v>
      </c>
      <c r="IY161" s="66">
        <f t="shared" si="1128"/>
        <v>1.5345542368531107E-2</v>
      </c>
      <c r="IZ161" s="66">
        <f t="shared" si="1128"/>
        <v>2.6753508509185439E-3</v>
      </c>
      <c r="JA161" s="66">
        <f t="shared" si="1128"/>
        <v>1.6216461337069853E-2</v>
      </c>
      <c r="JC161" s="65" t="s">
        <v>419</v>
      </c>
      <c r="JD161" s="66">
        <f t="shared" ref="JD161:JH161" si="1129">JD160-(JD69*JD141+JD71*JD143+JD70*JD142+JD74*JD146+JD72*JD144+JD75*JD147+JD86*JD152+JD85*JD151+JD145*JD73)/JD90</f>
        <v>-9.0662228475955481E-3</v>
      </c>
      <c r="JE161" s="66">
        <f t="shared" si="1129"/>
        <v>-2.4097389985511537E-2</v>
      </c>
      <c r="JF161" s="66">
        <f t="shared" si="1129"/>
        <v>-2.2673600558551409E-2</v>
      </c>
      <c r="JG161" s="66">
        <f t="shared" si="1129"/>
        <v>-4.7554019763764978E-2</v>
      </c>
      <c r="JH161" s="66">
        <f t="shared" si="1129"/>
        <v>-2.3262472743824772E-2</v>
      </c>
      <c r="JJ161" s="65" t="s">
        <v>419</v>
      </c>
      <c r="JK161" s="66">
        <f t="shared" ref="JK161:JO161" si="1130">JK160-(JK69*JK141+JK71*JK143+JK70*JK142+JK74*JK146+JK72*JK144+JK75*JK147+JK86*JK152+JK85*JK151+JK145*JK73)/JK90</f>
        <v>-3.7701904688645767E-2</v>
      </c>
      <c r="JL161" s="66">
        <f t="shared" si="1130"/>
        <v>-3.10219061487607E-2</v>
      </c>
      <c r="JM161" s="66">
        <f t="shared" si="1130"/>
        <v>-3.1426992713882745E-2</v>
      </c>
      <c r="JN161" s="66">
        <f t="shared" si="1130"/>
        <v>-2.5639383038131784E-2</v>
      </c>
      <c r="JO161" s="66">
        <f t="shared" si="1130"/>
        <v>-2.7285978270208899E-2</v>
      </c>
      <c r="JQ161" s="65" t="s">
        <v>419</v>
      </c>
      <c r="JR161" s="66">
        <f t="shared" ref="JR161:JV161" si="1131">JR160-(JR69*JR141+JR71*JR143+JR70*JR142+JR74*JR146+JR72*JR144+JR75*JR147+JR86*JR152+JR85*JR151+JR145*JR73)/JR90</f>
        <v>2.5254995236125212E-2</v>
      </c>
      <c r="JS161" s="66">
        <f t="shared" si="1131"/>
        <v>3.648989501152558E-2</v>
      </c>
      <c r="JT161" s="66">
        <f t="shared" si="1131"/>
        <v>3.3417244953753325E-2</v>
      </c>
      <c r="JU161" s="66">
        <f t="shared" si="1131"/>
        <v>1.446985611036879E-2</v>
      </c>
      <c r="JV161" s="66">
        <f t="shared" si="1131"/>
        <v>2.7642936930204948E-2</v>
      </c>
      <c r="JX161" s="65" t="s">
        <v>419</v>
      </c>
      <c r="JY161" s="66">
        <f t="shared" ref="JY161:KC161" si="1132">JY160-(JY69*JY141+JY71*JY143+JY70*JY142+JY74*JY146+JY72*JY144+JY75*JY147+JY86*JY152+JY85*JY151+JY145*JY73)/JY90</f>
        <v>7.2034959632498105E-4</v>
      </c>
      <c r="JZ161" s="66">
        <f t="shared" si="1132"/>
        <v>-1.5133007328358025E-2</v>
      </c>
      <c r="KA161" s="66">
        <f t="shared" si="1132"/>
        <v>-7.562468507146855E-3</v>
      </c>
      <c r="KB161" s="66">
        <f t="shared" si="1132"/>
        <v>1.9204858808317612E-3</v>
      </c>
      <c r="KC161" s="66">
        <f t="shared" si="1132"/>
        <v>-5.2484314025805362E-3</v>
      </c>
      <c r="KE161" s="65" t="s">
        <v>419</v>
      </c>
      <c r="KF161" s="66">
        <f t="shared" ref="KF161:KJ161" si="1133">KF160-(KF69*KF141+KF71*KF143+KF70*KF142+KF74*KF146+KF72*KF144+KF75*KF147+KF86*KF152+KF85*KF151+KF145*KF73)/KF90</f>
        <v>2.8600620848276338E-2</v>
      </c>
      <c r="KG161" s="66">
        <f t="shared" si="1133"/>
        <v>-5.5551405611192567E-2</v>
      </c>
      <c r="KH161" s="66">
        <f t="shared" si="1133"/>
        <v>-5.7404622632773517E-2</v>
      </c>
      <c r="KI161" s="66">
        <f t="shared" si="1133"/>
        <v>-7.7714773198872544E-2</v>
      </c>
      <c r="KJ161" s="66">
        <f t="shared" si="1133"/>
        <v>-4.0657848176840664E-2</v>
      </c>
      <c r="KL161" s="65" t="s">
        <v>419</v>
      </c>
      <c r="KM161" s="66">
        <f t="shared" ref="KM161:KQ161" si="1134">KM160-(KM69*KM141+KM71*KM143+KM70*KM142+KM74*KM146+KM72*KM144+KM75*KM147+KM86*KM152+KM85*KM151+KM145*KM73)/KM90</f>
        <v>-0.15282423985901231</v>
      </c>
      <c r="KN161" s="66">
        <f t="shared" si="1134"/>
        <v>-8.2187195333222329E-2</v>
      </c>
      <c r="KO161" s="66">
        <f t="shared" si="1134"/>
        <v>-9.831935279592588E-2</v>
      </c>
      <c r="KP161" s="66">
        <f t="shared" si="1134"/>
        <v>-4.6153429102725824E-2</v>
      </c>
      <c r="KQ161" s="66">
        <f t="shared" si="1134"/>
        <v>-8.7305218356271336E-2</v>
      </c>
      <c r="KS161" s="65" t="s">
        <v>419</v>
      </c>
      <c r="KT161" s="66">
        <f t="shared" ref="KT161:KX161" si="1135">KT160-(KT69*KT141+KT71*KT143+KT70*KT142+KT74*KT146+KT72*KT144+KT75*KT147+KT86*KT152+KT85*KT151+KT145*KT73)/KT90</f>
        <v>2.1590681475007721E-2</v>
      </c>
      <c r="KU161" s="66">
        <f t="shared" si="1135"/>
        <v>9.2583247005324068E-2</v>
      </c>
      <c r="KV161" s="66">
        <f t="shared" si="1135"/>
        <v>9.8262462366150299E-2</v>
      </c>
      <c r="KW161" s="66">
        <f t="shared" si="1135"/>
        <v>4.6836981038932538E-2</v>
      </c>
      <c r="KX161" s="66">
        <f t="shared" si="1135"/>
        <v>6.6236028247256662E-2</v>
      </c>
      <c r="KZ161" s="65" t="s">
        <v>419</v>
      </c>
      <c r="LA161" s="66">
        <f t="shared" ref="LA161:LE161" si="1136">LA160-(LA69*LA141+LA71*LA143+LA70*LA142+LA74*LA146+LA72*LA144+LA75*LA147+LA86*LA152+LA85*LA151+LA145*LA73)/LA90</f>
        <v>2.6675194502697754E-2</v>
      </c>
      <c r="LB161" s="66">
        <f t="shared" si="1136"/>
        <v>2.2196207236058365E-3</v>
      </c>
      <c r="LC161" s="66">
        <f t="shared" si="1136"/>
        <v>2.5159494183881203E-2</v>
      </c>
      <c r="LD161" s="66">
        <f t="shared" si="1136"/>
        <v>3.6496751015134068E-2</v>
      </c>
      <c r="LE161" s="66">
        <f t="shared" si="1136"/>
        <v>2.2853444136555944E-2</v>
      </c>
      <c r="LF161" s="566"/>
      <c r="LG161" s="65" t="s">
        <v>419</v>
      </c>
      <c r="LH161" s="66">
        <f t="shared" ref="LH161:LK161" si="1137">LH160-(LH69*LH141+LH71*LH143+LH70*LH142+LH74*LH146+LH72*LH144+LH75*LH147+LH86*LH152+LH85*LH151+LH145*LH73)/LH90</f>
        <v>-1.7958755531615883E-3</v>
      </c>
      <c r="LI161" s="66">
        <f>LI160-(LI69*LI141+LI71*LI143+LI70*LI142+LI74*LI146+LI72*LI144+LI75*LI147+LI86*LI152+LI85*LI151+LI145*LI73)/LI90</f>
        <v>7.8597605424775493E-3</v>
      </c>
      <c r="LJ161" s="66">
        <f>LJ160-(LJ69*LJ141+LJ71*LJ143+LJ70*LJ142+LJ74*LJ146+LJ72*LJ144+LJ75*LJ147+LJ86*LJ152+LJ85*LJ151+LJ145*LJ73)/LJ90</f>
        <v>-2.1511827996392282E-2</v>
      </c>
      <c r="LK161" s="66">
        <f t="shared" si="1137"/>
        <v>-3.8943722762277297E-2</v>
      </c>
      <c r="LL161" s="66">
        <f>LL160-(LL69*LL141+LL71*LL143+LL70*LL142+LL74*LL146+LL72*LL144+LL75*LL147+LL86*LL152+LL85*LL151+LL145*LL73)/LL90</f>
        <v>-1.2600855409662843E-2</v>
      </c>
      <c r="LM161" s="566"/>
      <c r="LN161" s="65" t="s">
        <v>419</v>
      </c>
      <c r="LO161" s="66">
        <f>LO160-(LO69*LO141+LO71*LO143+LO70*LO142+LO74*LO146+LO72*LO144+LO75*LO147+LO86*LO152+LO85*LO151)/LO90</f>
        <v>-2.4862781817478263E-2</v>
      </c>
      <c r="LP161" s="66">
        <f>LP160-(LP69*LP141+LP71*LP143+LP70*LP142+LP74*LP146+LP72*LP144+LP75*LP147+LP86*LP152+LP85*LP151)/LP90</f>
        <v>-3.012518968093961E-2</v>
      </c>
      <c r="LQ161" s="66">
        <f>LQ160-(LQ69*LQ141+LQ71*LQ143+LQ70*LQ142+LQ74*LQ146+LQ72*LQ144+LQ75*LQ147+LQ86*LQ152+LQ85*LQ151)/LQ90</f>
        <v>-2.0688864794631272E-2</v>
      </c>
      <c r="LR161" s="66">
        <f>LR160-(LR69*LR141+LR71*LR143+LR70*LR142+LR74*LR146+LR72*LR144+LR75*LR147+LR86*LR152+LR85*LR151)/LR90</f>
        <v>-8.5182828649159603E-3</v>
      </c>
      <c r="LS161" s="66">
        <f>LS160-(LS69*LS141+LS71*LS143+LS70*LS142+LS74*LS146+LS72*LS144+LS75*LS147+LS86*LS152+LS85*LS151)/LS90</f>
        <v>-2.1400772682858893E-2</v>
      </c>
      <c r="LT161" s="566"/>
      <c r="LU161" s="65" t="s">
        <v>419</v>
      </c>
      <c r="LV161" s="66">
        <f>LV160-(LV69*LV141+LV71*LV143+LV70*LV142+LV74*LV146+LV72*LV144+LV75*LV147+LV86*LV152+LV85*LV151)/LV90</f>
        <v>6.7157044201324873E-5</v>
      </c>
      <c r="LW161" s="66">
        <f>LW160-(LW69*LW141+LW71*LW143+LW70*LW142+LW74*LW146+LW72*LW144+LW75*LW147+LW86*LW152+LW85*LW151)/LW90</f>
        <v>-2.0320852345757923E-4</v>
      </c>
      <c r="LX161" s="66">
        <f>LX160-(LX69*LX141+LX71*LX143+LX70*LX142+LX74*LX146+LX72*LX144+LX75*LX147+LX86*LX152+LX85*LX151)/LX90</f>
        <v>-2.4499935409617417E-3</v>
      </c>
      <c r="LY161" s="66">
        <f>LY160-(LY69*LY141+LY71*LY143+LY70*LY142+LY74*LY146+LY72*LY144+LY75*LY147+LY86*LY152+LY85*LY151)/LY90</f>
        <v>-2.4107777515465882E-3</v>
      </c>
      <c r="LZ161" s="66">
        <f>LZ160-(LZ69*LZ141+LZ71*LZ143+LZ70*LZ142+LZ74*LZ146+LZ72*LZ144+LZ75*LZ147+LZ86*LZ152+LZ85*LZ151)/LZ90</f>
        <v>-1.2976244406298493E-3</v>
      </c>
      <c r="MA161" s="566"/>
      <c r="MB161" s="65" t="s">
        <v>419</v>
      </c>
      <c r="MC161" s="66">
        <f>MC160-(MC69*MC141+MC71*MC143+MC70*MC142+MC74*MC146+MC72*MC144+MC75*MC147+MC86*MC152+MC85*MC151)/MC90</f>
        <v>-2.2037246968190059E-3</v>
      </c>
      <c r="MD161" s="66">
        <f>MD160-(MD69*MD141+MD71*MD143+MD70*MD142+MD74*MD146+MD72*MD144+MD75*MD147+MD86*MD152+MD85*MD151)/MD90</f>
        <v>-2.4410491308179648E-3</v>
      </c>
      <c r="ME161" s="66">
        <f>ME160-(ME69*ME141+ME71*ME143+ME70*ME142+ME74*ME146+ME72*ME144+ME75*ME147+ME86*ME152+ME85*ME151)/ME90</f>
        <v>-2.8892067939014464E-3</v>
      </c>
      <c r="MF161" s="66">
        <f>MF160-(MF69*MF141+MF71*MF143+MF70*MF142+MF74*MF146+MF72*MF144+MF75*MF147+MF86*MF152+MF85*MF151)/MF90</f>
        <v>-3.7324780309220089E-3</v>
      </c>
      <c r="MG161" s="66">
        <f>MG160-(MG69*MG141+MG71*MG143+MG70*MG142+MG74*MG146+MG72*MG144+MG75*MG147+MG86*MG152+MG85*MG151)/MG90</f>
        <v>-2.8336846214135937E-3</v>
      </c>
      <c r="MH161" s="566"/>
    </row>
    <row r="162" spans="1:346" s="37" customFormat="1" ht="13.15" x14ac:dyDescent="0.4">
      <c r="A162" s="35"/>
      <c r="B162" s="72"/>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O162" s="72"/>
      <c r="BP162" s="73"/>
      <c r="BQ162" s="73"/>
      <c r="BR162" s="73"/>
      <c r="BS162" s="73"/>
      <c r="BT162" s="73"/>
      <c r="BV162" s="72"/>
      <c r="BW162" s="73"/>
      <c r="BX162" s="73"/>
      <c r="BY162" s="73"/>
      <c r="BZ162" s="73"/>
      <c r="CA162" s="73"/>
      <c r="CC162" s="72"/>
      <c r="CD162" s="73"/>
      <c r="CE162" s="73"/>
      <c r="CF162" s="73"/>
      <c r="CG162" s="73"/>
      <c r="CH162" s="73"/>
      <c r="CJ162" s="72"/>
      <c r="CK162" s="73"/>
      <c r="CL162" s="73"/>
      <c r="CM162" s="73"/>
      <c r="CN162" s="73"/>
      <c r="CO162" s="73"/>
      <c r="CQ162" s="72"/>
      <c r="CR162" s="73"/>
      <c r="CS162" s="73"/>
      <c r="CT162" s="73"/>
      <c r="CU162" s="73"/>
      <c r="CV162" s="73"/>
      <c r="CX162" s="72"/>
      <c r="CY162" s="73"/>
      <c r="CZ162" s="73"/>
      <c r="DA162" s="73"/>
      <c r="DB162" s="73"/>
      <c r="DC162" s="73"/>
      <c r="DE162" s="72"/>
      <c r="DF162" s="73"/>
      <c r="DG162" s="73"/>
      <c r="DH162" s="73"/>
      <c r="DI162" s="73"/>
      <c r="DJ162" s="73"/>
      <c r="DL162" s="72"/>
      <c r="DM162" s="73"/>
      <c r="DN162" s="73"/>
      <c r="DO162" s="73"/>
      <c r="DP162" s="73"/>
      <c r="DQ162" s="73"/>
      <c r="DS162" s="72"/>
      <c r="DT162" s="73"/>
      <c r="DU162" s="73"/>
      <c r="DV162" s="73"/>
      <c r="DW162" s="73"/>
      <c r="DX162" s="73"/>
      <c r="DZ162" s="72"/>
      <c r="EA162" s="73"/>
      <c r="EB162" s="73"/>
      <c r="EC162" s="73"/>
      <c r="ED162" s="73"/>
      <c r="EE162" s="73"/>
      <c r="EG162" s="72"/>
      <c r="EH162" s="73"/>
      <c r="EI162" s="73"/>
      <c r="EJ162" s="73"/>
      <c r="EK162" s="73"/>
      <c r="EL162" s="73"/>
      <c r="EN162" s="72"/>
      <c r="EO162" s="73"/>
      <c r="EP162" s="73"/>
      <c r="EQ162" s="73"/>
      <c r="ER162" s="73"/>
      <c r="ES162" s="73"/>
      <c r="EU162" s="72"/>
      <c r="EV162" s="73"/>
      <c r="EW162" s="73"/>
      <c r="EX162" s="73"/>
      <c r="EY162" s="73"/>
      <c r="EZ162" s="73"/>
      <c r="FB162" s="72"/>
      <c r="FC162" s="73"/>
      <c r="FD162" s="73"/>
      <c r="FE162" s="73"/>
      <c r="FF162" s="73"/>
      <c r="FG162" s="73"/>
      <c r="FI162" s="72"/>
      <c r="FJ162" s="73"/>
      <c r="FK162" s="73"/>
      <c r="FL162" s="73"/>
      <c r="FM162" s="73"/>
      <c r="FN162" s="73"/>
      <c r="FP162" s="72"/>
      <c r="FQ162" s="73"/>
      <c r="FR162" s="73"/>
      <c r="FS162" s="73"/>
      <c r="FT162" s="73"/>
      <c r="FU162" s="73"/>
      <c r="FW162" s="72"/>
      <c r="FX162" s="73"/>
      <c r="FY162" s="73"/>
      <c r="FZ162" s="73"/>
      <c r="GA162" s="73"/>
      <c r="GB162" s="73"/>
      <c r="GD162" s="72"/>
      <c r="GE162" s="73"/>
      <c r="GF162" s="73"/>
      <c r="GG162" s="73"/>
      <c r="GH162" s="73"/>
      <c r="GI162" s="73"/>
      <c r="GK162" s="72"/>
      <c r="GL162" s="73"/>
      <c r="GM162" s="73"/>
      <c r="GN162" s="73"/>
      <c r="GO162" s="73"/>
      <c r="GP162" s="73"/>
      <c r="GR162" s="72"/>
      <c r="GS162" s="73"/>
      <c r="GT162" s="73"/>
      <c r="GU162" s="73"/>
      <c r="GV162" s="73"/>
      <c r="GW162" s="73"/>
      <c r="GY162" s="72"/>
      <c r="GZ162" s="73"/>
      <c r="HA162" s="73"/>
      <c r="HB162" s="73"/>
      <c r="HC162" s="73"/>
      <c r="HD162" s="73"/>
      <c r="HF162" s="72"/>
      <c r="HG162" s="73"/>
      <c r="HH162" s="73"/>
      <c r="HI162" s="73"/>
      <c r="HJ162" s="73"/>
      <c r="HK162" s="73"/>
      <c r="HM162" s="72"/>
      <c r="HN162" s="73"/>
      <c r="HO162" s="73"/>
      <c r="HP162" s="73"/>
      <c r="HQ162" s="73"/>
      <c r="HR162" s="73"/>
      <c r="HT162" s="72"/>
      <c r="HU162" s="73"/>
      <c r="HV162" s="73"/>
      <c r="HW162" s="73"/>
      <c r="HX162" s="73"/>
      <c r="HY162" s="73"/>
      <c r="IA162" s="72"/>
      <c r="IB162" s="73"/>
      <c r="IC162" s="73"/>
      <c r="ID162" s="73"/>
      <c r="IE162" s="73"/>
      <c r="IF162" s="73"/>
      <c r="IH162" s="72"/>
      <c r="II162" s="73"/>
      <c r="IJ162" s="73"/>
      <c r="IK162" s="73"/>
      <c r="IL162" s="73"/>
      <c r="IM162" s="73"/>
      <c r="IO162" s="72"/>
      <c r="IP162" s="73"/>
      <c r="IQ162" s="73"/>
      <c r="IR162" s="73"/>
      <c r="IS162" s="73"/>
      <c r="IT162" s="73"/>
      <c r="IV162" s="72"/>
      <c r="IW162" s="73"/>
      <c r="IX162" s="73"/>
      <c r="IY162" s="73"/>
      <c r="IZ162" s="73"/>
      <c r="JA162" s="73"/>
      <c r="JC162" s="72"/>
      <c r="JD162" s="73"/>
      <c r="JE162" s="73"/>
      <c r="JF162" s="73"/>
      <c r="JG162" s="73"/>
      <c r="JH162" s="73"/>
      <c r="JJ162" s="72"/>
      <c r="JK162" s="73"/>
      <c r="JL162" s="73"/>
      <c r="JM162" s="73"/>
      <c r="JN162" s="73"/>
      <c r="JO162" s="73"/>
      <c r="JQ162" s="72"/>
      <c r="JR162" s="73"/>
      <c r="JS162" s="73"/>
      <c r="JT162" s="73"/>
      <c r="JU162" s="73"/>
      <c r="JV162" s="73"/>
      <c r="JX162" s="72"/>
      <c r="JY162" s="73"/>
      <c r="JZ162" s="73"/>
      <c r="KA162" s="73"/>
      <c r="KB162" s="73"/>
      <c r="KC162" s="73"/>
      <c r="KE162" s="72"/>
      <c r="KF162" s="73"/>
      <c r="KG162" s="73"/>
      <c r="KH162" s="73"/>
      <c r="KI162" s="73"/>
      <c r="KJ162" s="73"/>
      <c r="KL162" s="72"/>
      <c r="KM162" s="73"/>
      <c r="KN162" s="73"/>
      <c r="KO162" s="73"/>
      <c r="KP162" s="73"/>
      <c r="KQ162" s="73"/>
      <c r="KS162" s="72"/>
      <c r="KT162" s="73"/>
      <c r="KU162" s="73"/>
      <c r="KV162" s="73"/>
      <c r="KW162" s="73"/>
      <c r="KX162" s="73"/>
      <c r="KZ162" s="72"/>
      <c r="LA162" s="73"/>
      <c r="LB162" s="73"/>
      <c r="LC162" s="73"/>
      <c r="LD162" s="73"/>
      <c r="LE162" s="73"/>
      <c r="LF162" s="565"/>
      <c r="LG162" s="72"/>
      <c r="LH162" s="73"/>
      <c r="LI162" s="73"/>
      <c r="LJ162" s="73"/>
      <c r="LK162" s="73"/>
      <c r="LL162" s="73"/>
      <c r="LM162" s="565"/>
      <c r="LN162" s="72"/>
      <c r="LO162" s="73"/>
      <c r="LP162" s="73"/>
      <c r="LQ162" s="73"/>
      <c r="LR162" s="73"/>
      <c r="LS162" s="73"/>
      <c r="LT162" s="565"/>
      <c r="LU162" s="72"/>
      <c r="LV162" s="73"/>
      <c r="LW162" s="73"/>
      <c r="LX162" s="73"/>
      <c r="LY162" s="73"/>
      <c r="LZ162" s="73"/>
      <c r="MA162" s="565"/>
      <c r="MB162" s="72"/>
      <c r="MC162" s="73"/>
      <c r="MD162" s="73"/>
      <c r="ME162" s="73"/>
      <c r="MF162" s="73"/>
      <c r="MG162" s="73"/>
      <c r="MH162" s="565"/>
    </row>
    <row r="163" spans="1:346" s="37" customFormat="1" ht="13.15" x14ac:dyDescent="0.4">
      <c r="A163" s="35"/>
      <c r="B163" s="36" t="s">
        <v>30</v>
      </c>
      <c r="BO163" s="36" t="s">
        <v>30</v>
      </c>
      <c r="BV163" s="36" t="s">
        <v>30</v>
      </c>
      <c r="CC163" s="36" t="s">
        <v>30</v>
      </c>
      <c r="CJ163" s="36" t="s">
        <v>30</v>
      </c>
      <c r="CQ163" s="36" t="s">
        <v>30</v>
      </c>
      <c r="CX163" s="36" t="s">
        <v>30</v>
      </c>
      <c r="DE163" s="36" t="s">
        <v>30</v>
      </c>
      <c r="DL163" s="36" t="s">
        <v>30</v>
      </c>
      <c r="DS163" s="36" t="s">
        <v>30</v>
      </c>
      <c r="DZ163" s="36" t="s">
        <v>30</v>
      </c>
      <c r="EG163" s="36" t="s">
        <v>30</v>
      </c>
      <c r="EN163" s="36" t="s">
        <v>30</v>
      </c>
      <c r="EU163" s="36" t="s">
        <v>30</v>
      </c>
      <c r="FB163" s="36" t="s">
        <v>30</v>
      </c>
      <c r="FI163" s="36" t="s">
        <v>30</v>
      </c>
      <c r="FP163" s="36" t="s">
        <v>30</v>
      </c>
      <c r="FW163" s="36" t="s">
        <v>30</v>
      </c>
      <c r="GD163" s="36" t="s">
        <v>30</v>
      </c>
      <c r="GK163" s="36" t="s">
        <v>30</v>
      </c>
      <c r="GR163" s="36" t="s">
        <v>30</v>
      </c>
      <c r="GY163" s="36" t="s">
        <v>30</v>
      </c>
      <c r="HF163" s="36" t="s">
        <v>30</v>
      </c>
      <c r="HM163" s="36" t="s">
        <v>30</v>
      </c>
      <c r="HT163" s="36" t="s">
        <v>30</v>
      </c>
      <c r="IA163" s="36" t="s">
        <v>30</v>
      </c>
      <c r="IH163" s="36" t="s">
        <v>30</v>
      </c>
      <c r="IO163" s="36" t="s">
        <v>30</v>
      </c>
      <c r="IV163" s="36" t="s">
        <v>30</v>
      </c>
      <c r="JC163" s="36" t="s">
        <v>30</v>
      </c>
      <c r="JJ163" s="36" t="s">
        <v>30</v>
      </c>
      <c r="JQ163" s="36" t="s">
        <v>30</v>
      </c>
      <c r="JX163" s="36" t="s">
        <v>30</v>
      </c>
      <c r="KE163" s="36" t="s">
        <v>30</v>
      </c>
      <c r="KL163" s="36" t="s">
        <v>30</v>
      </c>
      <c r="KS163" s="36" t="s">
        <v>30</v>
      </c>
      <c r="KZ163" s="36" t="s">
        <v>30</v>
      </c>
      <c r="LF163" s="565"/>
      <c r="LG163" s="36" t="s">
        <v>30</v>
      </c>
      <c r="LM163" s="565"/>
      <c r="LN163" s="36" t="s">
        <v>30</v>
      </c>
      <c r="LT163" s="565"/>
      <c r="LU163" s="36" t="s">
        <v>30</v>
      </c>
      <c r="MA163" s="565"/>
      <c r="MB163" s="36" t="s">
        <v>30</v>
      </c>
      <c r="MH163" s="565"/>
    </row>
    <row r="164" spans="1:346" s="37" customFormat="1" ht="13.5" customHeight="1" x14ac:dyDescent="0.4">
      <c r="A164" s="35"/>
      <c r="B164" s="36"/>
      <c r="BO164" s="36"/>
      <c r="BV164" s="36"/>
      <c r="CC164" s="36"/>
      <c r="CJ164" s="36"/>
      <c r="CQ164" s="36"/>
      <c r="CX164" s="36"/>
      <c r="DE164" s="36"/>
      <c r="DL164" s="36"/>
      <c r="DS164" s="36"/>
      <c r="DZ164" s="36"/>
      <c r="EG164" s="36"/>
      <c r="EN164" s="36"/>
      <c r="EU164" s="36"/>
      <c r="FB164" s="36"/>
      <c r="FI164" s="36"/>
      <c r="FP164" s="36"/>
      <c r="FW164" s="36"/>
      <c r="GD164" s="36"/>
      <c r="GK164" s="36"/>
      <c r="GR164" s="36"/>
      <c r="GY164" s="36"/>
      <c r="HF164" s="36"/>
      <c r="HM164" s="36"/>
      <c r="HT164" s="36"/>
      <c r="IA164" s="36"/>
      <c r="IH164" s="36"/>
      <c r="IO164" s="36"/>
      <c r="IV164" s="36"/>
      <c r="JC164" s="36"/>
      <c r="JJ164" s="36"/>
      <c r="JQ164" s="36"/>
      <c r="JX164" s="36"/>
      <c r="KE164" s="36"/>
      <c r="KL164" s="36"/>
      <c r="KS164" s="36"/>
      <c r="KZ164" s="36"/>
      <c r="LF164" s="565"/>
      <c r="LG164" s="36"/>
      <c r="LM164" s="565"/>
      <c r="LN164" s="36"/>
      <c r="LT164" s="565"/>
      <c r="LU164" s="36"/>
      <c r="MA164" s="565"/>
      <c r="MB164" s="36"/>
      <c r="MH164" s="565"/>
    </row>
    <row r="165" spans="1:346" s="37" customFormat="1" ht="13.15" x14ac:dyDescent="0.4">
      <c r="A165" s="46"/>
      <c r="B165" s="39" t="s">
        <v>557</v>
      </c>
      <c r="C165" s="40"/>
      <c r="D165" s="40"/>
      <c r="E165" s="40"/>
      <c r="F165" s="40"/>
      <c r="G165" s="40"/>
      <c r="H165" s="40"/>
      <c r="I165" s="40"/>
      <c r="J165" s="40"/>
      <c r="K165" s="40"/>
      <c r="L165" s="40"/>
      <c r="M165" s="40"/>
      <c r="N165" s="40">
        <f>BT165</f>
        <v>1989</v>
      </c>
      <c r="O165" s="40">
        <f>CA165</f>
        <v>1990</v>
      </c>
      <c r="P165" s="40">
        <f>CH165</f>
        <v>1991</v>
      </c>
      <c r="Q165" s="40">
        <f>CO165</f>
        <v>1992</v>
      </c>
      <c r="R165" s="40">
        <f>CV165</f>
        <v>1993</v>
      </c>
      <c r="S165" s="40">
        <f>DC165</f>
        <v>1994</v>
      </c>
      <c r="T165" s="40">
        <f>DJ165</f>
        <v>1995</v>
      </c>
      <c r="U165" s="40">
        <f>DQ165</f>
        <v>1996</v>
      </c>
      <c r="V165" s="40">
        <f>DX165</f>
        <v>1997</v>
      </c>
      <c r="W165" s="40">
        <f>EE165</f>
        <v>1998</v>
      </c>
      <c r="X165" s="40">
        <f>EL165</f>
        <v>1999</v>
      </c>
      <c r="Y165" s="40">
        <f>ES165</f>
        <v>2000</v>
      </c>
      <c r="Z165" s="40">
        <f>EZ165</f>
        <v>2001</v>
      </c>
      <c r="AA165" s="40">
        <f>FG165</f>
        <v>2002</v>
      </c>
      <c r="AB165" s="40">
        <f>FN165</f>
        <v>2003</v>
      </c>
      <c r="AC165" s="40">
        <f>FU165</f>
        <v>2004</v>
      </c>
      <c r="AD165" s="40">
        <f>GB165</f>
        <v>2005</v>
      </c>
      <c r="AE165" s="40">
        <f>GI165</f>
        <v>2006</v>
      </c>
      <c r="AF165" s="40">
        <f>GP165</f>
        <v>2007</v>
      </c>
      <c r="AG165" s="40">
        <f>GW165</f>
        <v>2008</v>
      </c>
      <c r="AH165" s="40">
        <f>HD165</f>
        <v>2009</v>
      </c>
      <c r="AI165" s="40">
        <f>HK165</f>
        <v>2010</v>
      </c>
      <c r="AJ165" s="40">
        <f>HR165</f>
        <v>2011</v>
      </c>
      <c r="AK165" s="40">
        <f>HY165</f>
        <v>2012</v>
      </c>
      <c r="AL165" s="40">
        <f>IF165</f>
        <v>2013</v>
      </c>
      <c r="AM165" s="40">
        <f>IM165</f>
        <v>2014</v>
      </c>
      <c r="AN165" s="40">
        <f>IT165</f>
        <v>2015</v>
      </c>
      <c r="AO165" s="40">
        <f>JA165</f>
        <v>2016</v>
      </c>
      <c r="AP165" s="40">
        <f>JH165</f>
        <v>2017</v>
      </c>
      <c r="AQ165" s="40">
        <f>JO165</f>
        <v>2018</v>
      </c>
      <c r="AR165" s="40">
        <f>JV165</f>
        <v>2019</v>
      </c>
      <c r="AS165" s="40">
        <f>KC165</f>
        <v>2020</v>
      </c>
      <c r="AT165" s="40">
        <f>KJ165</f>
        <v>2021</v>
      </c>
      <c r="AU165" s="40">
        <f>KQ165</f>
        <v>2022</v>
      </c>
      <c r="AV165" s="40">
        <f>KX165</f>
        <v>2023</v>
      </c>
      <c r="AW165" s="40">
        <f>LE165</f>
        <v>2024</v>
      </c>
      <c r="AX165" s="40">
        <f>LL165</f>
        <v>2025</v>
      </c>
      <c r="AY165" s="40" t="str">
        <f>LS165</f>
        <v>2026E</v>
      </c>
      <c r="AZ165" s="40" t="str">
        <f>LZ165</f>
        <v>2027E</v>
      </c>
      <c r="BA165" s="40" t="str">
        <f>MG165</f>
        <v>2028E</v>
      </c>
      <c r="BB165" s="40"/>
      <c r="BC165" s="40"/>
      <c r="BD165" s="40"/>
      <c r="BE165" s="40"/>
      <c r="BF165" s="40"/>
      <c r="BG165" s="40"/>
      <c r="BH165" s="40"/>
      <c r="BI165" s="40"/>
      <c r="BJ165" s="40"/>
      <c r="BK165" s="40"/>
      <c r="BL165" s="40"/>
      <c r="BM165" s="40"/>
      <c r="BO165" s="39" t="str">
        <f>$B165</f>
        <v>CSX - Revenue Drivers</v>
      </c>
      <c r="BP165" s="40" t="str">
        <f>BP4</f>
        <v>1Q89</v>
      </c>
      <c r="BQ165" s="40" t="str">
        <f t="shared" ref="BQ165:BT165" si="1138">BQ4</f>
        <v>2Q89</v>
      </c>
      <c r="BR165" s="40" t="str">
        <f t="shared" si="1138"/>
        <v>3Q89</v>
      </c>
      <c r="BS165" s="40" t="str">
        <f t="shared" si="1138"/>
        <v>4Q89</v>
      </c>
      <c r="BT165" s="40">
        <f t="shared" si="1138"/>
        <v>1989</v>
      </c>
      <c r="BV165" s="39" t="str">
        <f>$B165</f>
        <v>CSX - Revenue Drivers</v>
      </c>
      <c r="BW165" s="40" t="str">
        <f>BW4</f>
        <v>1Q90</v>
      </c>
      <c r="BX165" s="40" t="str">
        <f t="shared" ref="BX165:CA165" si="1139">BX4</f>
        <v>2Q90</v>
      </c>
      <c r="BY165" s="40" t="str">
        <f t="shared" si="1139"/>
        <v>3Q90</v>
      </c>
      <c r="BZ165" s="40" t="str">
        <f t="shared" si="1139"/>
        <v>4Q90</v>
      </c>
      <c r="CA165" s="40">
        <f t="shared" si="1139"/>
        <v>1990</v>
      </c>
      <c r="CC165" s="39" t="str">
        <f>$B165</f>
        <v>CSX - Revenue Drivers</v>
      </c>
      <c r="CD165" s="40" t="str">
        <f>CD4</f>
        <v>1Q91</v>
      </c>
      <c r="CE165" s="40" t="str">
        <f t="shared" ref="CE165:CH165" si="1140">CE4</f>
        <v>2Q91</v>
      </c>
      <c r="CF165" s="40" t="str">
        <f t="shared" si="1140"/>
        <v>3Q91</v>
      </c>
      <c r="CG165" s="40" t="str">
        <f t="shared" si="1140"/>
        <v>4Q91</v>
      </c>
      <c r="CH165" s="40">
        <f t="shared" si="1140"/>
        <v>1991</v>
      </c>
      <c r="CJ165" s="39" t="str">
        <f>$B165</f>
        <v>CSX - Revenue Drivers</v>
      </c>
      <c r="CK165" s="40" t="str">
        <f>CK4</f>
        <v>1Q92</v>
      </c>
      <c r="CL165" s="40" t="str">
        <f t="shared" ref="CL165:CO165" si="1141">CL4</f>
        <v>2Q92</v>
      </c>
      <c r="CM165" s="40" t="str">
        <f t="shared" si="1141"/>
        <v>3Q92</v>
      </c>
      <c r="CN165" s="40" t="str">
        <f t="shared" si="1141"/>
        <v>4Q92</v>
      </c>
      <c r="CO165" s="40">
        <f t="shared" si="1141"/>
        <v>1992</v>
      </c>
      <c r="CQ165" s="39" t="str">
        <f>$B165</f>
        <v>CSX - Revenue Drivers</v>
      </c>
      <c r="CR165" s="40" t="str">
        <f>CR4</f>
        <v>1Q93</v>
      </c>
      <c r="CS165" s="40" t="str">
        <f t="shared" ref="CS165:CV165" si="1142">CS4</f>
        <v>2Q93</v>
      </c>
      <c r="CT165" s="40" t="str">
        <f t="shared" si="1142"/>
        <v>3Q93</v>
      </c>
      <c r="CU165" s="40" t="str">
        <f t="shared" si="1142"/>
        <v>4Q93</v>
      </c>
      <c r="CV165" s="40">
        <f t="shared" si="1142"/>
        <v>1993</v>
      </c>
      <c r="CX165" s="39" t="str">
        <f>$B165</f>
        <v>CSX - Revenue Drivers</v>
      </c>
      <c r="CY165" s="40" t="str">
        <f>CY4</f>
        <v>1Q94</v>
      </c>
      <c r="CZ165" s="40" t="str">
        <f t="shared" ref="CZ165:DC165" si="1143">CZ4</f>
        <v>2Q94</v>
      </c>
      <c r="DA165" s="40" t="str">
        <f t="shared" si="1143"/>
        <v>3Q94</v>
      </c>
      <c r="DB165" s="40" t="str">
        <f t="shared" si="1143"/>
        <v>4Q94</v>
      </c>
      <c r="DC165" s="40">
        <f t="shared" si="1143"/>
        <v>1994</v>
      </c>
      <c r="DE165" s="39" t="str">
        <f>$B165</f>
        <v>CSX - Revenue Drivers</v>
      </c>
      <c r="DF165" s="40" t="str">
        <f>DF4</f>
        <v>1Q95</v>
      </c>
      <c r="DG165" s="40" t="str">
        <f t="shared" ref="DG165:DJ165" si="1144">DG4</f>
        <v>2Q95</v>
      </c>
      <c r="DH165" s="40" t="str">
        <f t="shared" si="1144"/>
        <v>3Q95</v>
      </c>
      <c r="DI165" s="40" t="str">
        <f t="shared" si="1144"/>
        <v>4Q95</v>
      </c>
      <c r="DJ165" s="40">
        <f t="shared" si="1144"/>
        <v>1995</v>
      </c>
      <c r="DL165" s="39" t="str">
        <f>$B165</f>
        <v>CSX - Revenue Drivers</v>
      </c>
      <c r="DM165" s="40" t="str">
        <f>DM4</f>
        <v>1Q96</v>
      </c>
      <c r="DN165" s="40" t="str">
        <f t="shared" ref="DN165:DQ165" si="1145">DN4</f>
        <v>2Q96</v>
      </c>
      <c r="DO165" s="40" t="str">
        <f t="shared" si="1145"/>
        <v>3Q96</v>
      </c>
      <c r="DP165" s="40" t="str">
        <f t="shared" si="1145"/>
        <v>4Q96</v>
      </c>
      <c r="DQ165" s="40">
        <f t="shared" si="1145"/>
        <v>1996</v>
      </c>
      <c r="DS165" s="39" t="str">
        <f>$B165</f>
        <v>CSX - Revenue Drivers</v>
      </c>
      <c r="DT165" s="40" t="str">
        <f>DT4</f>
        <v>1Q97</v>
      </c>
      <c r="DU165" s="40" t="str">
        <f t="shared" ref="DU165:DX165" si="1146">DU4</f>
        <v>2Q97</v>
      </c>
      <c r="DV165" s="40" t="str">
        <f t="shared" si="1146"/>
        <v>3Q97</v>
      </c>
      <c r="DW165" s="40" t="str">
        <f t="shared" si="1146"/>
        <v>4Q97</v>
      </c>
      <c r="DX165" s="40">
        <f t="shared" si="1146"/>
        <v>1997</v>
      </c>
      <c r="DZ165" s="39" t="str">
        <f>$B165</f>
        <v>CSX - Revenue Drivers</v>
      </c>
      <c r="EA165" s="40" t="str">
        <f>EA4</f>
        <v>1Q98</v>
      </c>
      <c r="EB165" s="40" t="str">
        <f t="shared" ref="EB165:EE165" si="1147">EB4</f>
        <v>2Q98</v>
      </c>
      <c r="EC165" s="40" t="str">
        <f t="shared" si="1147"/>
        <v>3Q98</v>
      </c>
      <c r="ED165" s="40" t="str">
        <f t="shared" si="1147"/>
        <v>4Q98</v>
      </c>
      <c r="EE165" s="40">
        <f t="shared" si="1147"/>
        <v>1998</v>
      </c>
      <c r="EG165" s="39" t="str">
        <f>$B165</f>
        <v>CSX - Revenue Drivers</v>
      </c>
      <c r="EH165" s="40" t="str">
        <f>EH4</f>
        <v>1Q99</v>
      </c>
      <c r="EI165" s="40" t="str">
        <f t="shared" ref="EI165:EL165" si="1148">EI4</f>
        <v>2Q99</v>
      </c>
      <c r="EJ165" s="40" t="str">
        <f t="shared" si="1148"/>
        <v>3Q99</v>
      </c>
      <c r="EK165" s="40" t="str">
        <f t="shared" si="1148"/>
        <v>4Q99</v>
      </c>
      <c r="EL165" s="40">
        <f t="shared" si="1148"/>
        <v>1999</v>
      </c>
      <c r="EN165" s="39" t="str">
        <f>$B165</f>
        <v>CSX - Revenue Drivers</v>
      </c>
      <c r="EO165" s="40" t="str">
        <f>EO4</f>
        <v>1Q00</v>
      </c>
      <c r="EP165" s="40" t="str">
        <f t="shared" ref="EP165:ES165" si="1149">EP4</f>
        <v>2Q00</v>
      </c>
      <c r="EQ165" s="40" t="str">
        <f t="shared" si="1149"/>
        <v>3Q00</v>
      </c>
      <c r="ER165" s="40" t="str">
        <f t="shared" si="1149"/>
        <v>4Q00</v>
      </c>
      <c r="ES165" s="40">
        <f t="shared" si="1149"/>
        <v>2000</v>
      </c>
      <c r="EU165" s="39" t="str">
        <f>$B165</f>
        <v>CSX - Revenue Drivers</v>
      </c>
      <c r="EV165" s="40" t="str">
        <f>EV4</f>
        <v>1Q01</v>
      </c>
      <c r="EW165" s="40" t="str">
        <f t="shared" ref="EW165:EZ165" si="1150">EW4</f>
        <v>2Q01</v>
      </c>
      <c r="EX165" s="40" t="str">
        <f t="shared" si="1150"/>
        <v>3Q01</v>
      </c>
      <c r="EY165" s="40" t="str">
        <f t="shared" si="1150"/>
        <v>4Q01</v>
      </c>
      <c r="EZ165" s="40">
        <f t="shared" si="1150"/>
        <v>2001</v>
      </c>
      <c r="FB165" s="39" t="str">
        <f>$B165</f>
        <v>CSX - Revenue Drivers</v>
      </c>
      <c r="FC165" s="40" t="str">
        <f>FC4</f>
        <v>1Q02</v>
      </c>
      <c r="FD165" s="40" t="str">
        <f t="shared" ref="FD165:FG165" si="1151">FD4</f>
        <v>2Q02</v>
      </c>
      <c r="FE165" s="40" t="str">
        <f t="shared" si="1151"/>
        <v>3Q02</v>
      </c>
      <c r="FF165" s="40" t="str">
        <f t="shared" si="1151"/>
        <v>4Q02</v>
      </c>
      <c r="FG165" s="40">
        <f t="shared" si="1151"/>
        <v>2002</v>
      </c>
      <c r="FI165" s="39" t="str">
        <f>$B165</f>
        <v>CSX - Revenue Drivers</v>
      </c>
      <c r="FJ165" s="40" t="str">
        <f>FJ4</f>
        <v>1Q03</v>
      </c>
      <c r="FK165" s="40" t="str">
        <f t="shared" ref="FK165:FN165" si="1152">FK4</f>
        <v>2Q03</v>
      </c>
      <c r="FL165" s="40" t="str">
        <f t="shared" si="1152"/>
        <v>3Q03</v>
      </c>
      <c r="FM165" s="40" t="str">
        <f t="shared" si="1152"/>
        <v>4Q03</v>
      </c>
      <c r="FN165" s="40">
        <f t="shared" si="1152"/>
        <v>2003</v>
      </c>
      <c r="FP165" s="39" t="str">
        <f>$B165</f>
        <v>CSX - Revenue Drivers</v>
      </c>
      <c r="FQ165" s="40" t="str">
        <f>FQ4</f>
        <v>1Q04</v>
      </c>
      <c r="FR165" s="40" t="str">
        <f t="shared" ref="FR165:FU165" si="1153">FR4</f>
        <v>2Q04</v>
      </c>
      <c r="FS165" s="40" t="str">
        <f t="shared" si="1153"/>
        <v>3Q04</v>
      </c>
      <c r="FT165" s="40" t="str">
        <f t="shared" si="1153"/>
        <v>4Q04</v>
      </c>
      <c r="FU165" s="40">
        <f t="shared" si="1153"/>
        <v>2004</v>
      </c>
      <c r="FW165" s="39" t="str">
        <f>$B165</f>
        <v>CSX - Revenue Drivers</v>
      </c>
      <c r="FX165" s="40" t="str">
        <f>FX4</f>
        <v>1Q05</v>
      </c>
      <c r="FY165" s="40" t="str">
        <f t="shared" ref="FY165:GB165" si="1154">FY4</f>
        <v>2Q05</v>
      </c>
      <c r="FZ165" s="40" t="str">
        <f t="shared" si="1154"/>
        <v>3Q05</v>
      </c>
      <c r="GA165" s="40" t="str">
        <f t="shared" si="1154"/>
        <v>4Q05</v>
      </c>
      <c r="GB165" s="40">
        <f t="shared" si="1154"/>
        <v>2005</v>
      </c>
      <c r="GD165" s="39" t="str">
        <f>$B165</f>
        <v>CSX - Revenue Drivers</v>
      </c>
      <c r="GE165" s="40" t="str">
        <f>GE4</f>
        <v>1Q06</v>
      </c>
      <c r="GF165" s="40" t="str">
        <f t="shared" ref="GF165:GI165" si="1155">GF4</f>
        <v>2Q06</v>
      </c>
      <c r="GG165" s="40" t="str">
        <f t="shared" si="1155"/>
        <v>3Q06</v>
      </c>
      <c r="GH165" s="40" t="str">
        <f t="shared" si="1155"/>
        <v>4Q06</v>
      </c>
      <c r="GI165" s="40">
        <f t="shared" si="1155"/>
        <v>2006</v>
      </c>
      <c r="GK165" s="39" t="str">
        <f>$B165</f>
        <v>CSX - Revenue Drivers</v>
      </c>
      <c r="GL165" s="40" t="str">
        <f>GL4</f>
        <v>1Q07</v>
      </c>
      <c r="GM165" s="40" t="str">
        <f t="shared" ref="GM165:GP165" si="1156">GM4</f>
        <v>2Q07</v>
      </c>
      <c r="GN165" s="40" t="str">
        <f t="shared" si="1156"/>
        <v>3Q07</v>
      </c>
      <c r="GO165" s="40" t="str">
        <f t="shared" si="1156"/>
        <v>4Q07</v>
      </c>
      <c r="GP165" s="40">
        <f t="shared" si="1156"/>
        <v>2007</v>
      </c>
      <c r="GR165" s="39" t="str">
        <f>$B165</f>
        <v>CSX - Revenue Drivers</v>
      </c>
      <c r="GS165" s="40" t="str">
        <f>GS4</f>
        <v>1Q08</v>
      </c>
      <c r="GT165" s="40" t="str">
        <f t="shared" ref="GT165:GW165" si="1157">GT4</f>
        <v>2Q08</v>
      </c>
      <c r="GU165" s="40" t="str">
        <f t="shared" si="1157"/>
        <v>3Q08</v>
      </c>
      <c r="GV165" s="40" t="str">
        <f t="shared" si="1157"/>
        <v>4Q08</v>
      </c>
      <c r="GW165" s="40">
        <f t="shared" si="1157"/>
        <v>2008</v>
      </c>
      <c r="GY165" s="39" t="str">
        <f>$B165</f>
        <v>CSX - Revenue Drivers</v>
      </c>
      <c r="GZ165" s="40" t="str">
        <f>GZ4</f>
        <v>1Q09</v>
      </c>
      <c r="HA165" s="40" t="str">
        <f t="shared" ref="HA165:HD165" si="1158">HA4</f>
        <v>2Q09</v>
      </c>
      <c r="HB165" s="40" t="str">
        <f t="shared" si="1158"/>
        <v>3Q09</v>
      </c>
      <c r="HC165" s="40" t="str">
        <f t="shared" si="1158"/>
        <v>4Q09</v>
      </c>
      <c r="HD165" s="40">
        <f t="shared" si="1158"/>
        <v>2009</v>
      </c>
      <c r="HF165" s="39" t="str">
        <f>$B165</f>
        <v>CSX - Revenue Drivers</v>
      </c>
      <c r="HG165" s="40" t="str">
        <f>HG4</f>
        <v>1Q10</v>
      </c>
      <c r="HH165" s="40" t="str">
        <f t="shared" ref="HH165:HK165" si="1159">HH4</f>
        <v>2Q10</v>
      </c>
      <c r="HI165" s="40" t="str">
        <f t="shared" si="1159"/>
        <v>3Q10</v>
      </c>
      <c r="HJ165" s="40" t="str">
        <f t="shared" si="1159"/>
        <v>4Q10</v>
      </c>
      <c r="HK165" s="40">
        <f t="shared" si="1159"/>
        <v>2010</v>
      </c>
      <c r="HM165" s="39" t="str">
        <f>$B165</f>
        <v>CSX - Revenue Drivers</v>
      </c>
      <c r="HN165" s="40" t="str">
        <f>HN4</f>
        <v>1Q11</v>
      </c>
      <c r="HO165" s="40" t="str">
        <f t="shared" ref="HO165:HR165" si="1160">HO4</f>
        <v>2Q11</v>
      </c>
      <c r="HP165" s="40" t="str">
        <f t="shared" si="1160"/>
        <v>3Q11</v>
      </c>
      <c r="HQ165" s="40" t="str">
        <f t="shared" si="1160"/>
        <v>4Q11</v>
      </c>
      <c r="HR165" s="40">
        <f t="shared" si="1160"/>
        <v>2011</v>
      </c>
      <c r="HT165" s="39" t="str">
        <f>$B165</f>
        <v>CSX - Revenue Drivers</v>
      </c>
      <c r="HU165" s="40" t="str">
        <f>HU4</f>
        <v>1Q12</v>
      </c>
      <c r="HV165" s="40" t="str">
        <f t="shared" ref="HV165:HY165" si="1161">HV4</f>
        <v>2Q12</v>
      </c>
      <c r="HW165" s="40" t="str">
        <f t="shared" si="1161"/>
        <v>3Q12</v>
      </c>
      <c r="HX165" s="40" t="str">
        <f t="shared" si="1161"/>
        <v>4Q12</v>
      </c>
      <c r="HY165" s="40">
        <f t="shared" si="1161"/>
        <v>2012</v>
      </c>
      <c r="IA165" s="39" t="str">
        <f>$B165</f>
        <v>CSX - Revenue Drivers</v>
      </c>
      <c r="IB165" s="40" t="str">
        <f>IB4</f>
        <v>1Q13</v>
      </c>
      <c r="IC165" s="40" t="str">
        <f t="shared" ref="IC165:IF165" si="1162">IC4</f>
        <v>2Q13</v>
      </c>
      <c r="ID165" s="40" t="str">
        <f t="shared" si="1162"/>
        <v>3Q13</v>
      </c>
      <c r="IE165" s="40" t="str">
        <f t="shared" si="1162"/>
        <v>4Q13</v>
      </c>
      <c r="IF165" s="40">
        <f t="shared" si="1162"/>
        <v>2013</v>
      </c>
      <c r="IH165" s="39" t="str">
        <f>$B165</f>
        <v>CSX - Revenue Drivers</v>
      </c>
      <c r="II165" s="40" t="str">
        <f>II4</f>
        <v>1Q14</v>
      </c>
      <c r="IJ165" s="40" t="str">
        <f t="shared" ref="IJ165:IM165" si="1163">IJ4</f>
        <v>2Q14</v>
      </c>
      <c r="IK165" s="40" t="str">
        <f t="shared" si="1163"/>
        <v>3Q14</v>
      </c>
      <c r="IL165" s="40" t="str">
        <f t="shared" si="1163"/>
        <v>4Q14</v>
      </c>
      <c r="IM165" s="40">
        <f t="shared" si="1163"/>
        <v>2014</v>
      </c>
      <c r="IO165" s="39" t="str">
        <f>$B165</f>
        <v>CSX - Revenue Drivers</v>
      </c>
      <c r="IP165" s="40" t="str">
        <f>IP4</f>
        <v>1Q15</v>
      </c>
      <c r="IQ165" s="40" t="str">
        <f t="shared" ref="IQ165:IT165" si="1164">IQ4</f>
        <v>2Q15</v>
      </c>
      <c r="IR165" s="40" t="str">
        <f t="shared" si="1164"/>
        <v>3Q15</v>
      </c>
      <c r="IS165" s="40" t="str">
        <f t="shared" si="1164"/>
        <v>4Q15</v>
      </c>
      <c r="IT165" s="40">
        <f t="shared" si="1164"/>
        <v>2015</v>
      </c>
      <c r="IV165" s="39" t="str">
        <f>$B165</f>
        <v>CSX - Revenue Drivers</v>
      </c>
      <c r="IW165" s="40" t="str">
        <f>IW4</f>
        <v>1Q16</v>
      </c>
      <c r="IX165" s="40" t="str">
        <f t="shared" ref="IX165:JA165" si="1165">IX4</f>
        <v>2Q16</v>
      </c>
      <c r="IY165" s="40" t="str">
        <f t="shared" si="1165"/>
        <v>3Q16</v>
      </c>
      <c r="IZ165" s="40" t="str">
        <f t="shared" si="1165"/>
        <v>4Q16</v>
      </c>
      <c r="JA165" s="40">
        <f t="shared" si="1165"/>
        <v>2016</v>
      </c>
      <c r="JC165" s="39" t="str">
        <f>$B165</f>
        <v>CSX - Revenue Drivers</v>
      </c>
      <c r="JD165" s="40" t="str">
        <f>JD4</f>
        <v>1Q17</v>
      </c>
      <c r="JE165" s="40" t="str">
        <f t="shared" ref="JE165:JH165" si="1166">JE4</f>
        <v>2Q17</v>
      </c>
      <c r="JF165" s="40" t="str">
        <f t="shared" si="1166"/>
        <v>3Q17</v>
      </c>
      <c r="JG165" s="40" t="str">
        <f t="shared" si="1166"/>
        <v>4Q17</v>
      </c>
      <c r="JH165" s="40">
        <f t="shared" si="1166"/>
        <v>2017</v>
      </c>
      <c r="JJ165" s="39" t="str">
        <f>$B165</f>
        <v>CSX - Revenue Drivers</v>
      </c>
      <c r="JK165" s="40" t="str">
        <f>JK4</f>
        <v>1Q18</v>
      </c>
      <c r="JL165" s="40" t="str">
        <f t="shared" ref="JL165:JO165" si="1167">JL4</f>
        <v>2Q18</v>
      </c>
      <c r="JM165" s="40" t="str">
        <f t="shared" si="1167"/>
        <v>3Q18</v>
      </c>
      <c r="JN165" s="40" t="str">
        <f t="shared" si="1167"/>
        <v>4Q18</v>
      </c>
      <c r="JO165" s="40">
        <f t="shared" si="1167"/>
        <v>2018</v>
      </c>
      <c r="JQ165" s="39" t="str">
        <f>$B165</f>
        <v>CSX - Revenue Drivers</v>
      </c>
      <c r="JR165" s="40" t="str">
        <f>JR4</f>
        <v>1Q19</v>
      </c>
      <c r="JS165" s="40" t="str">
        <f t="shared" ref="JS165:JV165" si="1168">JS4</f>
        <v>2Q19</v>
      </c>
      <c r="JT165" s="40" t="str">
        <f t="shared" si="1168"/>
        <v>3Q19</v>
      </c>
      <c r="JU165" s="40" t="str">
        <f t="shared" si="1168"/>
        <v>4Q19</v>
      </c>
      <c r="JV165" s="40">
        <f t="shared" si="1168"/>
        <v>2019</v>
      </c>
      <c r="JX165" s="39" t="str">
        <f>$B165</f>
        <v>CSX - Revenue Drivers</v>
      </c>
      <c r="JY165" s="40" t="str">
        <f>JY4</f>
        <v>1Q20</v>
      </c>
      <c r="JZ165" s="40" t="str">
        <f t="shared" ref="JZ165:KC165" si="1169">JZ4</f>
        <v>2Q20</v>
      </c>
      <c r="KA165" s="40" t="str">
        <f t="shared" si="1169"/>
        <v>3Q20</v>
      </c>
      <c r="KB165" s="40" t="str">
        <f t="shared" si="1169"/>
        <v>4Q20</v>
      </c>
      <c r="KC165" s="40">
        <f t="shared" si="1169"/>
        <v>2020</v>
      </c>
      <c r="KE165" s="39" t="str">
        <f>$B165</f>
        <v>CSX - Revenue Drivers</v>
      </c>
      <c r="KF165" s="40" t="str">
        <f>KF4</f>
        <v>1Q21</v>
      </c>
      <c r="KG165" s="40" t="str">
        <f t="shared" ref="KG165:KJ165" si="1170">KG4</f>
        <v>2Q21</v>
      </c>
      <c r="KH165" s="40" t="str">
        <f t="shared" si="1170"/>
        <v>3Q21</v>
      </c>
      <c r="KI165" s="40" t="str">
        <f t="shared" si="1170"/>
        <v>4Q21</v>
      </c>
      <c r="KJ165" s="40">
        <f t="shared" si="1170"/>
        <v>2021</v>
      </c>
      <c r="KL165" s="39" t="str">
        <f>$B165</f>
        <v>CSX - Revenue Drivers</v>
      </c>
      <c r="KM165" s="40" t="str">
        <f>KM4</f>
        <v>1Q22</v>
      </c>
      <c r="KN165" s="40" t="str">
        <f t="shared" ref="KN165:KQ165" si="1171">KN4</f>
        <v>2Q22</v>
      </c>
      <c r="KO165" s="40" t="str">
        <f t="shared" si="1171"/>
        <v>3Q22</v>
      </c>
      <c r="KP165" s="40" t="str">
        <f t="shared" si="1171"/>
        <v>4Q22</v>
      </c>
      <c r="KQ165" s="40">
        <f t="shared" si="1171"/>
        <v>2022</v>
      </c>
      <c r="KS165" s="39" t="str">
        <f>$B165</f>
        <v>CSX - Revenue Drivers</v>
      </c>
      <c r="KT165" s="40" t="str">
        <f>KT4</f>
        <v>1Q23</v>
      </c>
      <c r="KU165" s="40" t="str">
        <f t="shared" ref="KU165:KX165" si="1172">KU4</f>
        <v>2Q23</v>
      </c>
      <c r="KV165" s="40" t="str">
        <f t="shared" si="1172"/>
        <v>3Q23</v>
      </c>
      <c r="KW165" s="40" t="str">
        <f t="shared" si="1172"/>
        <v>4Q23</v>
      </c>
      <c r="KX165" s="40">
        <f t="shared" si="1172"/>
        <v>2023</v>
      </c>
      <c r="KZ165" s="39" t="str">
        <f>$B165</f>
        <v>CSX - Revenue Drivers</v>
      </c>
      <c r="LA165" s="40" t="str">
        <f>LA4</f>
        <v>1Q24</v>
      </c>
      <c r="LB165" s="40" t="str">
        <f t="shared" ref="LB165:LE165" si="1173">LB4</f>
        <v>2Q24</v>
      </c>
      <c r="LC165" s="40" t="str">
        <f t="shared" si="1173"/>
        <v>3Q24</v>
      </c>
      <c r="LD165" s="40" t="str">
        <f t="shared" si="1173"/>
        <v>4Q24</v>
      </c>
      <c r="LE165" s="40">
        <f t="shared" si="1173"/>
        <v>2024</v>
      </c>
      <c r="LF165" s="546"/>
      <c r="LG165" s="39" t="str">
        <f>$B165</f>
        <v>CSX - Revenue Drivers</v>
      </c>
      <c r="LH165" s="40" t="str">
        <f>LH4</f>
        <v>1Q25</v>
      </c>
      <c r="LI165" s="40" t="str">
        <f t="shared" ref="LI165:LL165" si="1174">LI4</f>
        <v>2Q25</v>
      </c>
      <c r="LJ165" s="40" t="str">
        <f t="shared" si="1174"/>
        <v>3Q25</v>
      </c>
      <c r="LK165" s="40" t="str">
        <f t="shared" si="1174"/>
        <v>4Q25</v>
      </c>
      <c r="LL165" s="40">
        <f t="shared" si="1174"/>
        <v>2025</v>
      </c>
      <c r="LM165" s="546"/>
      <c r="LN165" s="39" t="str">
        <f>$B165</f>
        <v>CSX - Revenue Drivers</v>
      </c>
      <c r="LO165" s="40" t="str">
        <f>LO4</f>
        <v>1Q26E</v>
      </c>
      <c r="LP165" s="40" t="str">
        <f t="shared" ref="LP165:LS165" si="1175">LP4</f>
        <v>2Q26E</v>
      </c>
      <c r="LQ165" s="40" t="str">
        <f t="shared" si="1175"/>
        <v>3Q26E</v>
      </c>
      <c r="LR165" s="40" t="str">
        <f t="shared" si="1175"/>
        <v>4Q26E</v>
      </c>
      <c r="LS165" s="40" t="str">
        <f t="shared" si="1175"/>
        <v>2026E</v>
      </c>
      <c r="LT165" s="546"/>
      <c r="LU165" s="39" t="str">
        <f>$B165</f>
        <v>CSX - Revenue Drivers</v>
      </c>
      <c r="LV165" s="40" t="str">
        <f>LV4</f>
        <v>1Q27E</v>
      </c>
      <c r="LW165" s="40" t="str">
        <f t="shared" ref="LW165:LZ165" si="1176">LW4</f>
        <v>2Q27E</v>
      </c>
      <c r="LX165" s="40" t="str">
        <f t="shared" si="1176"/>
        <v>3Q27E</v>
      </c>
      <c r="LY165" s="40" t="str">
        <f t="shared" si="1176"/>
        <v>4Q27E</v>
      </c>
      <c r="LZ165" s="40" t="str">
        <f t="shared" si="1176"/>
        <v>2027E</v>
      </c>
      <c r="MA165" s="546"/>
      <c r="MB165" s="39" t="str">
        <f>$B165</f>
        <v>CSX - Revenue Drivers</v>
      </c>
      <c r="MC165" s="40" t="str">
        <f>MC4</f>
        <v>1Q28E</v>
      </c>
      <c r="MD165" s="40" t="str">
        <f t="shared" ref="MD165:MG165" si="1177">MD4</f>
        <v>2Q28E</v>
      </c>
      <c r="ME165" s="40" t="str">
        <f t="shared" si="1177"/>
        <v>3Q28E</v>
      </c>
      <c r="MF165" s="40" t="str">
        <f t="shared" si="1177"/>
        <v>4Q28E</v>
      </c>
      <c r="MG165" s="40" t="str">
        <f t="shared" si="1177"/>
        <v>2028E</v>
      </c>
      <c r="MH165" s="546"/>
    </row>
    <row r="166" spans="1:346" s="37" customFormat="1" ht="13.15" x14ac:dyDescent="0.4">
      <c r="A166" s="46"/>
      <c r="B166" s="42" t="s">
        <v>430</v>
      </c>
      <c r="C166" s="43"/>
      <c r="D166" s="43"/>
      <c r="E166" s="43"/>
      <c r="F166" s="43"/>
      <c r="G166" s="43"/>
      <c r="H166" s="43"/>
      <c r="I166" s="43"/>
      <c r="J166" s="43"/>
      <c r="K166" s="43"/>
      <c r="L166" s="43"/>
      <c r="M166" s="43"/>
      <c r="N166" s="43" t="str">
        <f>BT166</f>
        <v>FY</v>
      </c>
      <c r="O166" s="43" t="str">
        <f>CA166</f>
        <v>FY</v>
      </c>
      <c r="P166" s="43" t="str">
        <f>CH166</f>
        <v>FY</v>
      </c>
      <c r="Q166" s="43" t="str">
        <f>CO166</f>
        <v>FY</v>
      </c>
      <c r="R166" s="43" t="str">
        <f>CV166</f>
        <v>FY</v>
      </c>
      <c r="S166" s="43" t="str">
        <f>DC166</f>
        <v>FY</v>
      </c>
      <c r="T166" s="43" t="str">
        <f>DJ166</f>
        <v>FY</v>
      </c>
      <c r="U166" s="43" t="str">
        <f>DQ166</f>
        <v>FY</v>
      </c>
      <c r="V166" s="43" t="str">
        <f>DX166</f>
        <v>FY</v>
      </c>
      <c r="W166" s="43" t="str">
        <f>EE166</f>
        <v>FY</v>
      </c>
      <c r="X166" s="43" t="str">
        <f>EL166</f>
        <v>FY</v>
      </c>
      <c r="Y166" s="43" t="str">
        <f>ES166</f>
        <v>FY</v>
      </c>
      <c r="Z166" s="43" t="str">
        <f>EZ166</f>
        <v>FY</v>
      </c>
      <c r="AA166" s="43" t="str">
        <f>FG166</f>
        <v>FY</v>
      </c>
      <c r="AB166" s="43" t="str">
        <f>FN166</f>
        <v>FY</v>
      </c>
      <c r="AC166" s="43" t="str">
        <f>FU166</f>
        <v>FY</v>
      </c>
      <c r="AD166" s="43" t="str">
        <f>GB166</f>
        <v>FY</v>
      </c>
      <c r="AE166" s="43" t="str">
        <f>GI166</f>
        <v>FY</v>
      </c>
      <c r="AF166" s="43" t="str">
        <f>GP166</f>
        <v>FY</v>
      </c>
      <c r="AG166" s="43" t="str">
        <f>GW166</f>
        <v>FY</v>
      </c>
      <c r="AH166" s="43" t="str">
        <f>HD166</f>
        <v>FY</v>
      </c>
      <c r="AI166" s="43" t="str">
        <f>HK166</f>
        <v>FY</v>
      </c>
      <c r="AJ166" s="43" t="str">
        <f>HR166</f>
        <v>FY</v>
      </c>
      <c r="AK166" s="43" t="str">
        <f>HY166</f>
        <v>FY</v>
      </c>
      <c r="AL166" s="43" t="str">
        <f>IF166</f>
        <v>FY</v>
      </c>
      <c r="AM166" s="43" t="str">
        <f>IM166</f>
        <v>FY</v>
      </c>
      <c r="AN166" s="43" t="str">
        <f>IT166</f>
        <v>FY</v>
      </c>
      <c r="AO166" s="43" t="str">
        <f>JA166</f>
        <v>FY</v>
      </c>
      <c r="AP166" s="43" t="str">
        <f>JH166</f>
        <v>FY</v>
      </c>
      <c r="AQ166" s="43" t="str">
        <f>JO166</f>
        <v>FY</v>
      </c>
      <c r="AR166" s="43" t="str">
        <f>JV166</f>
        <v>FY</v>
      </c>
      <c r="AS166" s="43" t="str">
        <f>KC166</f>
        <v>FY</v>
      </c>
      <c r="AT166" s="43" t="str">
        <f>KJ166</f>
        <v>FY</v>
      </c>
      <c r="AU166" s="43" t="str">
        <f>KQ166</f>
        <v>FY</v>
      </c>
      <c r="AV166" s="43" t="str">
        <f>KX166</f>
        <v>FY</v>
      </c>
      <c r="AW166" s="43" t="str">
        <f>LE166</f>
        <v>FY</v>
      </c>
      <c r="AX166" s="43" t="str">
        <f>LL166</f>
        <v>FY</v>
      </c>
      <c r="AY166" s="43" t="str">
        <f>LS166</f>
        <v>FY</v>
      </c>
      <c r="AZ166" s="43" t="str">
        <f>LZ166</f>
        <v>FY</v>
      </c>
      <c r="BA166" s="43" t="str">
        <f>MG166</f>
        <v>FY</v>
      </c>
      <c r="BB166" s="43"/>
      <c r="BC166" s="43"/>
      <c r="BD166" s="43"/>
      <c r="BE166" s="43"/>
      <c r="BF166" s="43"/>
      <c r="BG166" s="43"/>
      <c r="BH166" s="43"/>
      <c r="BI166" s="43"/>
      <c r="BJ166" s="43"/>
      <c r="BK166" s="43"/>
      <c r="BL166" s="43"/>
      <c r="BM166" s="43"/>
      <c r="BO166" s="42" t="s">
        <v>430</v>
      </c>
      <c r="BP166" s="44">
        <f t="shared" ref="BP166:BT166" si="1178">BP5</f>
        <v>32598</v>
      </c>
      <c r="BQ166" s="44">
        <f t="shared" si="1178"/>
        <v>32689</v>
      </c>
      <c r="BR166" s="44">
        <f t="shared" si="1178"/>
        <v>32781</v>
      </c>
      <c r="BS166" s="44">
        <f t="shared" si="1178"/>
        <v>32873</v>
      </c>
      <c r="BT166" s="44" t="str">
        <f t="shared" si="1178"/>
        <v>FY</v>
      </c>
      <c r="BV166" s="42" t="s">
        <v>430</v>
      </c>
      <c r="BW166" s="44">
        <f t="shared" ref="BW166:CA166" si="1179">BW5</f>
        <v>32963</v>
      </c>
      <c r="BX166" s="44">
        <f t="shared" si="1179"/>
        <v>33054</v>
      </c>
      <c r="BY166" s="44">
        <f t="shared" si="1179"/>
        <v>33146</v>
      </c>
      <c r="BZ166" s="44">
        <f t="shared" si="1179"/>
        <v>33238</v>
      </c>
      <c r="CA166" s="44" t="str">
        <f t="shared" si="1179"/>
        <v>FY</v>
      </c>
      <c r="CC166" s="42" t="s">
        <v>430</v>
      </c>
      <c r="CD166" s="44">
        <f t="shared" ref="CD166:CH166" si="1180">CD5</f>
        <v>33328</v>
      </c>
      <c r="CE166" s="44">
        <f t="shared" si="1180"/>
        <v>33419</v>
      </c>
      <c r="CF166" s="44">
        <f t="shared" si="1180"/>
        <v>33511</v>
      </c>
      <c r="CG166" s="44">
        <f t="shared" si="1180"/>
        <v>33603</v>
      </c>
      <c r="CH166" s="44" t="str">
        <f t="shared" si="1180"/>
        <v>FY</v>
      </c>
      <c r="CJ166" s="42" t="s">
        <v>430</v>
      </c>
      <c r="CK166" s="44">
        <f t="shared" ref="CK166:CO166" si="1181">CK5</f>
        <v>33694</v>
      </c>
      <c r="CL166" s="44">
        <f t="shared" si="1181"/>
        <v>33785</v>
      </c>
      <c r="CM166" s="44">
        <f t="shared" si="1181"/>
        <v>33877</v>
      </c>
      <c r="CN166" s="44">
        <f t="shared" si="1181"/>
        <v>33969</v>
      </c>
      <c r="CO166" s="44" t="str">
        <f t="shared" si="1181"/>
        <v>FY</v>
      </c>
      <c r="CQ166" s="42" t="s">
        <v>430</v>
      </c>
      <c r="CR166" s="44">
        <f t="shared" ref="CR166:CV166" si="1182">CR5</f>
        <v>34059</v>
      </c>
      <c r="CS166" s="44">
        <f t="shared" si="1182"/>
        <v>34150</v>
      </c>
      <c r="CT166" s="44">
        <f t="shared" si="1182"/>
        <v>34242</v>
      </c>
      <c r="CU166" s="44">
        <f t="shared" si="1182"/>
        <v>34334</v>
      </c>
      <c r="CV166" s="44" t="str">
        <f t="shared" si="1182"/>
        <v>FY</v>
      </c>
      <c r="CX166" s="42" t="s">
        <v>430</v>
      </c>
      <c r="CY166" s="44">
        <f t="shared" ref="CY166:DC166" si="1183">CY5</f>
        <v>34424</v>
      </c>
      <c r="CZ166" s="44">
        <f t="shared" si="1183"/>
        <v>34515</v>
      </c>
      <c r="DA166" s="44">
        <f t="shared" si="1183"/>
        <v>34607</v>
      </c>
      <c r="DB166" s="44">
        <f t="shared" si="1183"/>
        <v>34699</v>
      </c>
      <c r="DC166" s="44" t="str">
        <f t="shared" si="1183"/>
        <v>FY</v>
      </c>
      <c r="DE166" s="42" t="s">
        <v>430</v>
      </c>
      <c r="DF166" s="44">
        <f t="shared" ref="DF166:DJ166" si="1184">DF5</f>
        <v>34789</v>
      </c>
      <c r="DG166" s="44">
        <f t="shared" si="1184"/>
        <v>34880</v>
      </c>
      <c r="DH166" s="44">
        <f t="shared" si="1184"/>
        <v>34972</v>
      </c>
      <c r="DI166" s="44">
        <f t="shared" si="1184"/>
        <v>35064</v>
      </c>
      <c r="DJ166" s="44" t="str">
        <f t="shared" si="1184"/>
        <v>FY</v>
      </c>
      <c r="DL166" s="42" t="s">
        <v>430</v>
      </c>
      <c r="DM166" s="44">
        <f t="shared" ref="DM166:DQ166" si="1185">DM5</f>
        <v>35155</v>
      </c>
      <c r="DN166" s="44">
        <f t="shared" si="1185"/>
        <v>35246</v>
      </c>
      <c r="DO166" s="44">
        <f t="shared" si="1185"/>
        <v>35338</v>
      </c>
      <c r="DP166" s="44">
        <f t="shared" si="1185"/>
        <v>35430</v>
      </c>
      <c r="DQ166" s="44" t="str">
        <f t="shared" si="1185"/>
        <v>FY</v>
      </c>
      <c r="DS166" s="42" t="s">
        <v>430</v>
      </c>
      <c r="DT166" s="44">
        <f t="shared" ref="DT166:DX166" si="1186">DT5</f>
        <v>35520</v>
      </c>
      <c r="DU166" s="44">
        <f t="shared" si="1186"/>
        <v>35611</v>
      </c>
      <c r="DV166" s="44">
        <f t="shared" si="1186"/>
        <v>35703</v>
      </c>
      <c r="DW166" s="44">
        <f t="shared" si="1186"/>
        <v>35795</v>
      </c>
      <c r="DX166" s="44" t="str">
        <f t="shared" si="1186"/>
        <v>FY</v>
      </c>
      <c r="DZ166" s="42" t="s">
        <v>430</v>
      </c>
      <c r="EA166" s="44">
        <f t="shared" ref="EA166:EE166" si="1187">EA5</f>
        <v>35885</v>
      </c>
      <c r="EB166" s="44">
        <f t="shared" si="1187"/>
        <v>35976</v>
      </c>
      <c r="EC166" s="44">
        <f t="shared" si="1187"/>
        <v>36068</v>
      </c>
      <c r="ED166" s="44">
        <f t="shared" si="1187"/>
        <v>36160</v>
      </c>
      <c r="EE166" s="44" t="str">
        <f t="shared" si="1187"/>
        <v>FY</v>
      </c>
      <c r="EG166" s="42" t="s">
        <v>430</v>
      </c>
      <c r="EH166" s="44">
        <f t="shared" ref="EH166:EL166" si="1188">EH5</f>
        <v>36250</v>
      </c>
      <c r="EI166" s="44">
        <f t="shared" si="1188"/>
        <v>36341</v>
      </c>
      <c r="EJ166" s="44">
        <f t="shared" si="1188"/>
        <v>36433</v>
      </c>
      <c r="EK166" s="44">
        <f t="shared" si="1188"/>
        <v>36525</v>
      </c>
      <c r="EL166" s="44" t="str">
        <f t="shared" si="1188"/>
        <v>FY</v>
      </c>
      <c r="EN166" s="42" t="s">
        <v>430</v>
      </c>
      <c r="EO166" s="44">
        <f t="shared" ref="EO166:ES166" si="1189">EO5</f>
        <v>36616</v>
      </c>
      <c r="EP166" s="44">
        <f t="shared" si="1189"/>
        <v>36707</v>
      </c>
      <c r="EQ166" s="44">
        <f t="shared" si="1189"/>
        <v>36799</v>
      </c>
      <c r="ER166" s="44">
        <f t="shared" si="1189"/>
        <v>36891</v>
      </c>
      <c r="ES166" s="44" t="str">
        <f t="shared" si="1189"/>
        <v>FY</v>
      </c>
      <c r="EU166" s="42" t="s">
        <v>430</v>
      </c>
      <c r="EV166" s="44">
        <f t="shared" ref="EV166:EZ166" si="1190">EV5</f>
        <v>36981</v>
      </c>
      <c r="EW166" s="44">
        <f t="shared" si="1190"/>
        <v>37072</v>
      </c>
      <c r="EX166" s="44">
        <f t="shared" si="1190"/>
        <v>37164</v>
      </c>
      <c r="EY166" s="44">
        <f t="shared" si="1190"/>
        <v>37256</v>
      </c>
      <c r="EZ166" s="44" t="str">
        <f t="shared" si="1190"/>
        <v>FY</v>
      </c>
      <c r="FB166" s="42" t="s">
        <v>430</v>
      </c>
      <c r="FC166" s="44">
        <f t="shared" ref="FC166:FG166" si="1191">FC5</f>
        <v>37346</v>
      </c>
      <c r="FD166" s="44">
        <f t="shared" si="1191"/>
        <v>37437</v>
      </c>
      <c r="FE166" s="44">
        <f t="shared" si="1191"/>
        <v>37529</v>
      </c>
      <c r="FF166" s="44">
        <f t="shared" si="1191"/>
        <v>37621</v>
      </c>
      <c r="FG166" s="44" t="str">
        <f t="shared" si="1191"/>
        <v>FY</v>
      </c>
      <c r="FI166" s="42" t="s">
        <v>430</v>
      </c>
      <c r="FJ166" s="44">
        <f t="shared" ref="FJ166:FN166" si="1192">FJ5</f>
        <v>37711</v>
      </c>
      <c r="FK166" s="44">
        <f t="shared" si="1192"/>
        <v>37802</v>
      </c>
      <c r="FL166" s="44">
        <f t="shared" si="1192"/>
        <v>37894</v>
      </c>
      <c r="FM166" s="44">
        <f t="shared" si="1192"/>
        <v>37986</v>
      </c>
      <c r="FN166" s="44" t="str">
        <f t="shared" si="1192"/>
        <v>FY</v>
      </c>
      <c r="FP166" s="42" t="s">
        <v>430</v>
      </c>
      <c r="FQ166" s="44">
        <f t="shared" ref="FQ166:FU166" si="1193">FQ5</f>
        <v>38077</v>
      </c>
      <c r="FR166" s="44">
        <f t="shared" si="1193"/>
        <v>38168</v>
      </c>
      <c r="FS166" s="44">
        <f t="shared" si="1193"/>
        <v>38260</v>
      </c>
      <c r="FT166" s="44">
        <f t="shared" si="1193"/>
        <v>38352</v>
      </c>
      <c r="FU166" s="44" t="str">
        <f t="shared" si="1193"/>
        <v>FY</v>
      </c>
      <c r="FW166" s="42" t="s">
        <v>430</v>
      </c>
      <c r="FX166" s="44">
        <f t="shared" ref="FX166:GB166" si="1194">FX5</f>
        <v>38442</v>
      </c>
      <c r="FY166" s="44">
        <f t="shared" si="1194"/>
        <v>38533</v>
      </c>
      <c r="FZ166" s="44">
        <f t="shared" si="1194"/>
        <v>38625</v>
      </c>
      <c r="GA166" s="44">
        <f t="shared" si="1194"/>
        <v>38717</v>
      </c>
      <c r="GB166" s="44" t="str">
        <f t="shared" si="1194"/>
        <v>FY</v>
      </c>
      <c r="GD166" s="42" t="s">
        <v>430</v>
      </c>
      <c r="GE166" s="44">
        <f t="shared" ref="GE166:GI166" si="1195">GE5</f>
        <v>38807</v>
      </c>
      <c r="GF166" s="44">
        <f t="shared" si="1195"/>
        <v>38898</v>
      </c>
      <c r="GG166" s="44">
        <f t="shared" si="1195"/>
        <v>38990</v>
      </c>
      <c r="GH166" s="44">
        <f t="shared" si="1195"/>
        <v>39082</v>
      </c>
      <c r="GI166" s="44" t="str">
        <f t="shared" si="1195"/>
        <v>FY</v>
      </c>
      <c r="GK166" s="42" t="s">
        <v>430</v>
      </c>
      <c r="GL166" s="44">
        <f t="shared" ref="GL166:GP166" si="1196">GL5</f>
        <v>39172</v>
      </c>
      <c r="GM166" s="44">
        <f t="shared" si="1196"/>
        <v>39263</v>
      </c>
      <c r="GN166" s="44">
        <f t="shared" si="1196"/>
        <v>39355</v>
      </c>
      <c r="GO166" s="44">
        <f t="shared" si="1196"/>
        <v>39447</v>
      </c>
      <c r="GP166" s="44" t="str">
        <f t="shared" si="1196"/>
        <v>FY</v>
      </c>
      <c r="GR166" s="42" t="s">
        <v>430</v>
      </c>
      <c r="GS166" s="44">
        <f t="shared" ref="GS166:GW166" si="1197">GS5</f>
        <v>39538</v>
      </c>
      <c r="GT166" s="44">
        <f t="shared" si="1197"/>
        <v>39629</v>
      </c>
      <c r="GU166" s="44">
        <f t="shared" si="1197"/>
        <v>39721</v>
      </c>
      <c r="GV166" s="44">
        <f t="shared" si="1197"/>
        <v>39813</v>
      </c>
      <c r="GW166" s="44" t="str">
        <f t="shared" si="1197"/>
        <v>FY</v>
      </c>
      <c r="GY166" s="42" t="s">
        <v>430</v>
      </c>
      <c r="GZ166" s="44">
        <f t="shared" ref="GZ166:HD166" si="1198">GZ5</f>
        <v>39903</v>
      </c>
      <c r="HA166" s="44">
        <f t="shared" si="1198"/>
        <v>39994</v>
      </c>
      <c r="HB166" s="44">
        <f t="shared" si="1198"/>
        <v>40086</v>
      </c>
      <c r="HC166" s="44">
        <f t="shared" si="1198"/>
        <v>40178</v>
      </c>
      <c r="HD166" s="44" t="str">
        <f t="shared" si="1198"/>
        <v>FY</v>
      </c>
      <c r="HF166" s="42" t="s">
        <v>430</v>
      </c>
      <c r="HG166" s="44">
        <f t="shared" ref="HG166:HK166" si="1199">HG5</f>
        <v>40268</v>
      </c>
      <c r="HH166" s="44">
        <f t="shared" si="1199"/>
        <v>40359</v>
      </c>
      <c r="HI166" s="44">
        <f t="shared" si="1199"/>
        <v>40451</v>
      </c>
      <c r="HJ166" s="44">
        <f t="shared" si="1199"/>
        <v>40543</v>
      </c>
      <c r="HK166" s="44" t="str">
        <f t="shared" si="1199"/>
        <v>FY</v>
      </c>
      <c r="HM166" s="42" t="s">
        <v>430</v>
      </c>
      <c r="HN166" s="44">
        <f t="shared" ref="HN166:HR166" si="1200">HN5</f>
        <v>40633</v>
      </c>
      <c r="HO166" s="44">
        <f t="shared" si="1200"/>
        <v>40724</v>
      </c>
      <c r="HP166" s="44">
        <f t="shared" si="1200"/>
        <v>40816</v>
      </c>
      <c r="HQ166" s="44">
        <f t="shared" si="1200"/>
        <v>40908</v>
      </c>
      <c r="HR166" s="44" t="str">
        <f t="shared" si="1200"/>
        <v>FY</v>
      </c>
      <c r="HT166" s="42" t="s">
        <v>430</v>
      </c>
      <c r="HU166" s="44">
        <f t="shared" ref="HU166:HY166" si="1201">HU5</f>
        <v>40999</v>
      </c>
      <c r="HV166" s="44">
        <f t="shared" si="1201"/>
        <v>41090</v>
      </c>
      <c r="HW166" s="44">
        <f t="shared" si="1201"/>
        <v>41182</v>
      </c>
      <c r="HX166" s="44">
        <f t="shared" si="1201"/>
        <v>41274</v>
      </c>
      <c r="HY166" s="44" t="str">
        <f t="shared" si="1201"/>
        <v>FY</v>
      </c>
      <c r="IA166" s="42" t="s">
        <v>430</v>
      </c>
      <c r="IB166" s="44">
        <f t="shared" ref="IB166:IF166" si="1202">IB5</f>
        <v>41364</v>
      </c>
      <c r="IC166" s="44">
        <f t="shared" si="1202"/>
        <v>41455</v>
      </c>
      <c r="ID166" s="44">
        <f t="shared" si="1202"/>
        <v>41547</v>
      </c>
      <c r="IE166" s="44">
        <f t="shared" si="1202"/>
        <v>41639</v>
      </c>
      <c r="IF166" s="44" t="str">
        <f t="shared" si="1202"/>
        <v>FY</v>
      </c>
      <c r="IH166" s="42" t="s">
        <v>430</v>
      </c>
      <c r="II166" s="44">
        <f t="shared" ref="II166:IM166" si="1203">II5</f>
        <v>41729</v>
      </c>
      <c r="IJ166" s="44">
        <f t="shared" si="1203"/>
        <v>41820</v>
      </c>
      <c r="IK166" s="44">
        <f t="shared" si="1203"/>
        <v>41912</v>
      </c>
      <c r="IL166" s="44">
        <f t="shared" si="1203"/>
        <v>42004</v>
      </c>
      <c r="IM166" s="44" t="str">
        <f t="shared" si="1203"/>
        <v>FY</v>
      </c>
      <c r="IO166" s="42" t="s">
        <v>430</v>
      </c>
      <c r="IP166" s="44">
        <f t="shared" ref="IP166:IT166" si="1204">IP5</f>
        <v>42094</v>
      </c>
      <c r="IQ166" s="44">
        <f t="shared" si="1204"/>
        <v>42185</v>
      </c>
      <c r="IR166" s="44">
        <f t="shared" si="1204"/>
        <v>42277</v>
      </c>
      <c r="IS166" s="44">
        <f t="shared" si="1204"/>
        <v>42369</v>
      </c>
      <c r="IT166" s="44" t="str">
        <f t="shared" si="1204"/>
        <v>FY</v>
      </c>
      <c r="IV166" s="42" t="s">
        <v>430</v>
      </c>
      <c r="IW166" s="44">
        <f t="shared" ref="IW166:JA166" si="1205">IW5</f>
        <v>42460</v>
      </c>
      <c r="IX166" s="44">
        <f t="shared" si="1205"/>
        <v>42551</v>
      </c>
      <c r="IY166" s="44">
        <f t="shared" si="1205"/>
        <v>42643</v>
      </c>
      <c r="IZ166" s="44">
        <f t="shared" si="1205"/>
        <v>42735</v>
      </c>
      <c r="JA166" s="44" t="str">
        <f t="shared" si="1205"/>
        <v>FY</v>
      </c>
      <c r="JC166" s="42" t="s">
        <v>430</v>
      </c>
      <c r="JD166" s="44">
        <f t="shared" ref="JD166:JH166" si="1206">JD5</f>
        <v>42825</v>
      </c>
      <c r="JE166" s="44">
        <f t="shared" si="1206"/>
        <v>42916</v>
      </c>
      <c r="JF166" s="44">
        <f t="shared" si="1206"/>
        <v>43008</v>
      </c>
      <c r="JG166" s="44">
        <f t="shared" si="1206"/>
        <v>43100</v>
      </c>
      <c r="JH166" s="44" t="str">
        <f t="shared" si="1206"/>
        <v>FY</v>
      </c>
      <c r="JJ166" s="42" t="s">
        <v>430</v>
      </c>
      <c r="JK166" s="44">
        <f t="shared" ref="JK166:JO166" si="1207">JK5</f>
        <v>43190</v>
      </c>
      <c r="JL166" s="44">
        <f t="shared" si="1207"/>
        <v>43281</v>
      </c>
      <c r="JM166" s="44">
        <f t="shared" si="1207"/>
        <v>43373</v>
      </c>
      <c r="JN166" s="44">
        <f t="shared" si="1207"/>
        <v>43465</v>
      </c>
      <c r="JO166" s="44" t="str">
        <f t="shared" si="1207"/>
        <v>FY</v>
      </c>
      <c r="JQ166" s="42" t="s">
        <v>430</v>
      </c>
      <c r="JR166" s="44">
        <f t="shared" ref="JR166:JV166" si="1208">JR5</f>
        <v>43555</v>
      </c>
      <c r="JS166" s="44">
        <f t="shared" si="1208"/>
        <v>43646</v>
      </c>
      <c r="JT166" s="44">
        <f t="shared" si="1208"/>
        <v>43738</v>
      </c>
      <c r="JU166" s="44">
        <f t="shared" si="1208"/>
        <v>43830</v>
      </c>
      <c r="JV166" s="44" t="str">
        <f t="shared" si="1208"/>
        <v>FY</v>
      </c>
      <c r="JX166" s="42" t="s">
        <v>430</v>
      </c>
      <c r="JY166" s="44">
        <f t="shared" ref="JY166:KC166" si="1209">JY5</f>
        <v>43921</v>
      </c>
      <c r="JZ166" s="44">
        <f t="shared" si="1209"/>
        <v>44012</v>
      </c>
      <c r="KA166" s="44">
        <f t="shared" si="1209"/>
        <v>44104</v>
      </c>
      <c r="KB166" s="44">
        <f t="shared" si="1209"/>
        <v>44196</v>
      </c>
      <c r="KC166" s="44" t="str">
        <f t="shared" si="1209"/>
        <v>FY</v>
      </c>
      <c r="KE166" s="42" t="s">
        <v>430</v>
      </c>
      <c r="KF166" s="44">
        <f t="shared" ref="KF166:KJ166" si="1210">KF5</f>
        <v>44286</v>
      </c>
      <c r="KG166" s="44">
        <f t="shared" si="1210"/>
        <v>44377</v>
      </c>
      <c r="KH166" s="44">
        <f t="shared" si="1210"/>
        <v>44469</v>
      </c>
      <c r="KI166" s="44">
        <f t="shared" si="1210"/>
        <v>44561</v>
      </c>
      <c r="KJ166" s="44" t="str">
        <f t="shared" si="1210"/>
        <v>FY</v>
      </c>
      <c r="KL166" s="42" t="s">
        <v>430</v>
      </c>
      <c r="KM166" s="44">
        <f t="shared" ref="KM166:KQ166" si="1211">KM5</f>
        <v>44651</v>
      </c>
      <c r="KN166" s="44">
        <f t="shared" si="1211"/>
        <v>44742</v>
      </c>
      <c r="KO166" s="44">
        <f t="shared" si="1211"/>
        <v>44834</v>
      </c>
      <c r="KP166" s="44">
        <f t="shared" si="1211"/>
        <v>44926</v>
      </c>
      <c r="KQ166" s="44" t="str">
        <f t="shared" si="1211"/>
        <v>FY</v>
      </c>
      <c r="KS166" s="42" t="s">
        <v>430</v>
      </c>
      <c r="KT166" s="44">
        <f t="shared" ref="KT166:KX166" si="1212">KT5</f>
        <v>45016</v>
      </c>
      <c r="KU166" s="44">
        <f t="shared" si="1212"/>
        <v>45107</v>
      </c>
      <c r="KV166" s="44">
        <f t="shared" si="1212"/>
        <v>45199</v>
      </c>
      <c r="KW166" s="44">
        <f t="shared" si="1212"/>
        <v>45291</v>
      </c>
      <c r="KX166" s="44" t="str">
        <f t="shared" si="1212"/>
        <v>FY</v>
      </c>
      <c r="KZ166" s="42" t="s">
        <v>430</v>
      </c>
      <c r="LA166" s="44">
        <f t="shared" ref="LA166:LE166" si="1213">LA5</f>
        <v>45382</v>
      </c>
      <c r="LB166" s="44">
        <f t="shared" si="1213"/>
        <v>45473</v>
      </c>
      <c r="LC166" s="44">
        <f t="shared" si="1213"/>
        <v>45565</v>
      </c>
      <c r="LD166" s="44">
        <f t="shared" si="1213"/>
        <v>45657</v>
      </c>
      <c r="LE166" s="44" t="str">
        <f t="shared" si="1213"/>
        <v>FY</v>
      </c>
      <c r="LF166" s="547"/>
      <c r="LG166" s="42" t="s">
        <v>430</v>
      </c>
      <c r="LH166" s="44">
        <f t="shared" ref="LH166:LL166" si="1214">LH5</f>
        <v>45747</v>
      </c>
      <c r="LI166" s="44">
        <f t="shared" si="1214"/>
        <v>45838</v>
      </c>
      <c r="LJ166" s="44">
        <f t="shared" si="1214"/>
        <v>45930</v>
      </c>
      <c r="LK166" s="44">
        <f t="shared" si="1214"/>
        <v>46022</v>
      </c>
      <c r="LL166" s="44" t="str">
        <f t="shared" si="1214"/>
        <v>FY</v>
      </c>
      <c r="LM166" s="547"/>
      <c r="LN166" s="42" t="s">
        <v>430</v>
      </c>
      <c r="LO166" s="44">
        <f t="shared" ref="LO166:LS166" si="1215">LO5</f>
        <v>46112</v>
      </c>
      <c r="LP166" s="44">
        <f t="shared" si="1215"/>
        <v>46203</v>
      </c>
      <c r="LQ166" s="44">
        <f t="shared" si="1215"/>
        <v>46295</v>
      </c>
      <c r="LR166" s="44">
        <f t="shared" si="1215"/>
        <v>46387</v>
      </c>
      <c r="LS166" s="44" t="str">
        <f t="shared" si="1215"/>
        <v>FY</v>
      </c>
      <c r="LT166" s="547"/>
      <c r="LU166" s="42" t="s">
        <v>430</v>
      </c>
      <c r="LV166" s="44">
        <f t="shared" ref="LV166:LZ166" si="1216">LV5</f>
        <v>46477</v>
      </c>
      <c r="LW166" s="44">
        <f t="shared" si="1216"/>
        <v>46568</v>
      </c>
      <c r="LX166" s="44">
        <f t="shared" si="1216"/>
        <v>46660</v>
      </c>
      <c r="LY166" s="44">
        <f t="shared" si="1216"/>
        <v>46752</v>
      </c>
      <c r="LZ166" s="44" t="str">
        <f t="shared" si="1216"/>
        <v>FY</v>
      </c>
      <c r="MA166" s="547"/>
      <c r="MB166" s="42" t="s">
        <v>430</v>
      </c>
      <c r="MC166" s="44">
        <f t="shared" ref="MC166:MG166" si="1217">MC5</f>
        <v>46843</v>
      </c>
      <c r="MD166" s="44">
        <f t="shared" si="1217"/>
        <v>46934</v>
      </c>
      <c r="ME166" s="44">
        <f t="shared" si="1217"/>
        <v>47026</v>
      </c>
      <c r="MF166" s="44">
        <f t="shared" si="1217"/>
        <v>47118</v>
      </c>
      <c r="MG166" s="44" t="str">
        <f t="shared" si="1217"/>
        <v>FY</v>
      </c>
      <c r="MH166" s="547"/>
    </row>
    <row r="167" spans="1:346" s="37" customFormat="1" ht="13.5" thickBot="1" x14ac:dyDescent="0.45">
      <c r="A167" s="100"/>
      <c r="B167" s="185"/>
      <c r="C167" s="186"/>
      <c r="D167" s="186"/>
      <c r="E167" s="186"/>
      <c r="F167" s="186"/>
      <c r="G167" s="186"/>
      <c r="H167" s="186"/>
      <c r="I167" s="186"/>
      <c r="J167" s="186"/>
      <c r="K167" s="186"/>
      <c r="L167" s="186"/>
      <c r="M167" s="186"/>
      <c r="N167" s="186"/>
      <c r="O167" s="186"/>
      <c r="P167" s="186"/>
      <c r="Q167" s="186"/>
      <c r="R167" s="186"/>
      <c r="S167" s="186"/>
      <c r="T167" s="186"/>
      <c r="U167" s="186"/>
      <c r="V167" s="186"/>
      <c r="W167" s="186"/>
      <c r="X167" s="186"/>
      <c r="Y167" s="186"/>
      <c r="Z167" s="186"/>
      <c r="AA167" s="186"/>
      <c r="AB167" s="186"/>
      <c r="AC167" s="186"/>
      <c r="AD167" s="186"/>
      <c r="AE167" s="186"/>
      <c r="AF167" s="186"/>
      <c r="AG167" s="186"/>
      <c r="AH167" s="186"/>
      <c r="AI167" s="186"/>
      <c r="AJ167" s="186"/>
      <c r="AK167" s="186"/>
      <c r="AL167" s="186"/>
      <c r="AM167" s="186"/>
      <c r="AN167" s="186"/>
      <c r="AO167" s="186"/>
      <c r="AP167" s="186"/>
      <c r="AQ167" s="186"/>
      <c r="AR167" s="186"/>
      <c r="AS167" s="186"/>
      <c r="AT167" s="186"/>
      <c r="AU167" s="186"/>
      <c r="AV167" s="186"/>
      <c r="AW167" s="186"/>
      <c r="AX167" s="186"/>
      <c r="AY167" s="186"/>
      <c r="AZ167" s="186"/>
      <c r="BA167" s="186"/>
      <c r="BB167" s="186"/>
      <c r="BC167" s="186"/>
      <c r="BD167" s="186"/>
      <c r="BE167" s="186"/>
      <c r="BF167" s="186"/>
      <c r="BG167" s="186"/>
      <c r="BH167" s="186"/>
      <c r="BI167" s="186"/>
      <c r="BJ167" s="186"/>
      <c r="BK167" s="186"/>
      <c r="BL167" s="186"/>
      <c r="BM167" s="186"/>
      <c r="BO167" s="185"/>
      <c r="BP167" s="186"/>
      <c r="BQ167" s="186"/>
      <c r="BR167" s="186"/>
      <c r="BS167" s="186"/>
      <c r="BT167" s="186"/>
      <c r="BV167" s="185"/>
      <c r="BW167" s="186"/>
      <c r="BX167" s="186"/>
      <c r="BY167" s="186"/>
      <c r="BZ167" s="186"/>
      <c r="CA167" s="186"/>
      <c r="CC167" s="185"/>
      <c r="CD167" s="186"/>
      <c r="CE167" s="186"/>
      <c r="CF167" s="186"/>
      <c r="CG167" s="186"/>
      <c r="CH167" s="186"/>
      <c r="CJ167" s="185"/>
      <c r="CK167" s="186"/>
      <c r="CL167" s="186"/>
      <c r="CM167" s="186"/>
      <c r="CN167" s="186"/>
      <c r="CO167" s="186"/>
      <c r="CQ167" s="185"/>
      <c r="CR167" s="186"/>
      <c r="CS167" s="186"/>
      <c r="CT167" s="186"/>
      <c r="CU167" s="186"/>
      <c r="CV167" s="186"/>
      <c r="CX167" s="185"/>
      <c r="CY167" s="186"/>
      <c r="CZ167" s="186"/>
      <c r="DA167" s="186"/>
      <c r="DB167" s="186"/>
      <c r="DC167" s="186"/>
      <c r="DE167" s="185"/>
      <c r="DF167" s="186"/>
      <c r="DG167" s="186"/>
      <c r="DH167" s="186"/>
      <c r="DI167" s="186"/>
      <c r="DJ167" s="186"/>
      <c r="DL167" s="185"/>
      <c r="DM167" s="186"/>
      <c r="DN167" s="186"/>
      <c r="DO167" s="186"/>
      <c r="DP167" s="186"/>
      <c r="DQ167" s="186"/>
      <c r="DS167" s="185"/>
      <c r="DT167" s="186"/>
      <c r="DU167" s="186"/>
      <c r="DV167" s="186"/>
      <c r="DW167" s="186"/>
      <c r="DX167" s="186"/>
      <c r="DZ167" s="185"/>
      <c r="EA167" s="186"/>
      <c r="EB167" s="186"/>
      <c r="EC167" s="186"/>
      <c r="ED167" s="186"/>
      <c r="EE167" s="186"/>
      <c r="EG167" s="185"/>
      <c r="EH167" s="186"/>
      <c r="EI167" s="186"/>
      <c r="EJ167" s="186"/>
      <c r="EK167" s="186"/>
      <c r="EL167" s="186"/>
      <c r="EN167" s="185"/>
      <c r="EO167" s="186"/>
      <c r="EP167" s="186"/>
      <c r="EQ167" s="186"/>
      <c r="ER167" s="186"/>
      <c r="ES167" s="186"/>
      <c r="EU167" s="185"/>
      <c r="EV167" s="186"/>
      <c r="EW167" s="186"/>
      <c r="EX167" s="186"/>
      <c r="EY167" s="186"/>
      <c r="EZ167" s="186"/>
      <c r="FB167" s="185"/>
      <c r="FC167" s="186"/>
      <c r="FD167" s="186"/>
      <c r="FE167" s="186"/>
      <c r="FF167" s="186"/>
      <c r="FG167" s="186"/>
      <c r="FI167" s="185"/>
      <c r="FJ167" s="186"/>
      <c r="FK167" s="186"/>
      <c r="FL167" s="186"/>
      <c r="FM167" s="186"/>
      <c r="FN167" s="186"/>
      <c r="FP167" s="185"/>
      <c r="FQ167" s="186"/>
      <c r="FR167" s="186"/>
      <c r="FS167" s="186"/>
      <c r="FT167" s="186"/>
      <c r="FU167" s="186"/>
      <c r="FW167" s="185"/>
      <c r="FX167" s="186"/>
      <c r="FY167" s="186"/>
      <c r="FZ167" s="186"/>
      <c r="GA167" s="186"/>
      <c r="GB167" s="186"/>
      <c r="GD167" s="185"/>
      <c r="GE167" s="186"/>
      <c r="GF167" s="186"/>
      <c r="GG167" s="186"/>
      <c r="GH167" s="186"/>
      <c r="GI167" s="186"/>
      <c r="GK167" s="185"/>
      <c r="GL167" s="186"/>
      <c r="GM167" s="186"/>
      <c r="GN167" s="186"/>
      <c r="GO167" s="186"/>
      <c r="GP167" s="186"/>
      <c r="GR167" s="185"/>
      <c r="GS167" s="186"/>
      <c r="GT167" s="186"/>
      <c r="GU167" s="186"/>
      <c r="GV167" s="186"/>
      <c r="GW167" s="186"/>
      <c r="GY167" s="185"/>
      <c r="GZ167" s="186"/>
      <c r="HA167" s="186"/>
      <c r="HB167" s="186"/>
      <c r="HC167" s="186"/>
      <c r="HD167" s="186"/>
      <c r="HF167" s="185"/>
      <c r="HG167" s="186"/>
      <c r="HH167" s="186"/>
      <c r="HI167" s="186"/>
      <c r="HJ167" s="186"/>
      <c r="HK167" s="186"/>
      <c r="HM167" s="185"/>
      <c r="HN167" s="186"/>
      <c r="HO167" s="186"/>
      <c r="HP167" s="186"/>
      <c r="HQ167" s="186"/>
      <c r="HR167" s="186"/>
      <c r="HT167" s="185"/>
      <c r="HU167" s="186"/>
      <c r="HV167" s="186"/>
      <c r="HW167" s="186"/>
      <c r="HX167" s="186"/>
      <c r="HY167" s="186"/>
      <c r="IA167" s="185"/>
      <c r="IB167" s="186"/>
      <c r="IC167" s="186"/>
      <c r="ID167" s="186"/>
      <c r="IE167" s="186"/>
      <c r="IF167" s="186"/>
      <c r="IH167" s="185"/>
      <c r="II167" s="186"/>
      <c r="IJ167" s="186"/>
      <c r="IK167" s="186"/>
      <c r="IL167" s="186"/>
      <c r="IM167" s="186"/>
      <c r="IO167" s="185"/>
      <c r="IP167" s="186"/>
      <c r="IQ167" s="186"/>
      <c r="IR167" s="186"/>
      <c r="IS167" s="186"/>
      <c r="IT167" s="186"/>
      <c r="IV167" s="185"/>
      <c r="IW167" s="186"/>
      <c r="IX167" s="186"/>
      <c r="IY167" s="186"/>
      <c r="IZ167" s="186"/>
      <c r="JA167" s="186"/>
      <c r="JC167" s="185"/>
      <c r="JD167" s="186"/>
      <c r="JE167" s="186"/>
      <c r="JF167" s="186"/>
      <c r="JG167" s="186"/>
      <c r="JH167" s="186"/>
      <c r="JJ167" s="185"/>
      <c r="JK167" s="186"/>
      <c r="JL167" s="186"/>
      <c r="JM167" s="186"/>
      <c r="JN167" s="186"/>
      <c r="JO167" s="186"/>
      <c r="JQ167" s="185"/>
      <c r="JR167" s="186"/>
      <c r="JS167" s="186"/>
      <c r="JT167" s="186"/>
      <c r="JU167" s="186"/>
      <c r="JV167" s="186"/>
      <c r="JX167" s="185"/>
      <c r="JY167" s="186"/>
      <c r="JZ167" s="186"/>
      <c r="KA167" s="186"/>
      <c r="KB167" s="186"/>
      <c r="KC167" s="186"/>
      <c r="KE167" s="185"/>
      <c r="KF167" s="186"/>
      <c r="KG167" s="186"/>
      <c r="KH167" s="186"/>
      <c r="KI167" s="186"/>
      <c r="KJ167" s="186"/>
      <c r="KL167" s="185"/>
      <c r="KM167" s="186"/>
      <c r="KN167" s="186"/>
      <c r="KO167" s="186"/>
      <c r="KP167" s="186"/>
      <c r="KQ167" s="186"/>
      <c r="KS167" s="185"/>
      <c r="KT167" s="186"/>
      <c r="KU167" s="186"/>
      <c r="KV167" s="186"/>
      <c r="KW167" s="186"/>
      <c r="KX167" s="186"/>
      <c r="KZ167" s="185"/>
      <c r="LA167" s="186"/>
      <c r="LB167" s="144"/>
      <c r="LC167" s="144"/>
      <c r="LD167" s="144"/>
      <c r="LE167" s="186"/>
      <c r="LF167" s="555"/>
      <c r="LG167" s="185"/>
      <c r="LH167" s="144"/>
      <c r="LI167" s="144"/>
      <c r="LJ167" s="144"/>
      <c r="LK167" s="144"/>
      <c r="LL167" s="186"/>
      <c r="LM167" s="555"/>
      <c r="LN167" s="185"/>
      <c r="LO167" s="144"/>
      <c r="LP167" s="144"/>
      <c r="LQ167" s="144"/>
      <c r="LR167" s="144"/>
      <c r="LS167" s="186"/>
      <c r="LT167" s="555"/>
      <c r="LU167" s="185"/>
      <c r="LV167" s="144"/>
      <c r="LW167" s="144"/>
      <c r="LX167" s="144"/>
      <c r="LY167" s="144"/>
      <c r="LZ167" s="186"/>
      <c r="MA167" s="555"/>
      <c r="MB167" s="185"/>
      <c r="MC167" s="144"/>
      <c r="MD167" s="144"/>
      <c r="ME167" s="144"/>
      <c r="MF167" s="144"/>
      <c r="MG167" s="186"/>
      <c r="MH167" s="555"/>
    </row>
    <row r="168" spans="1:346" s="37" customFormat="1" ht="13.5" thickBot="1" x14ac:dyDescent="0.45">
      <c r="A168" s="100"/>
      <c r="B168" s="98" t="s">
        <v>514</v>
      </c>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c r="AA168" s="99"/>
      <c r="AB168" s="99"/>
      <c r="AC168" s="99"/>
      <c r="AD168" s="99"/>
      <c r="AE168" s="99"/>
      <c r="AF168" s="99"/>
      <c r="AG168" s="99"/>
      <c r="AH168" s="99"/>
      <c r="AI168" s="99"/>
      <c r="AJ168" s="99"/>
      <c r="AK168" s="99"/>
      <c r="AL168" s="99"/>
      <c r="AM168" s="99"/>
      <c r="AN168" s="99"/>
      <c r="AO168" s="99"/>
      <c r="AP168" s="99"/>
      <c r="AQ168" s="99"/>
      <c r="AR168" s="99"/>
      <c r="AS168" s="99"/>
      <c r="AT168" s="99"/>
      <c r="AU168" s="99"/>
      <c r="AV168" s="99"/>
      <c r="AW168" s="99"/>
      <c r="AX168" s="99"/>
      <c r="AY168" s="99"/>
      <c r="AZ168" s="99"/>
      <c r="BA168" s="99"/>
      <c r="BB168" s="99"/>
      <c r="BC168" s="99"/>
      <c r="BD168" s="99"/>
      <c r="BE168" s="99"/>
      <c r="BF168" s="99"/>
      <c r="BG168" s="99"/>
      <c r="BH168" s="99"/>
      <c r="BI168" s="99"/>
      <c r="BJ168" s="99"/>
      <c r="BK168" s="99"/>
      <c r="BL168" s="99"/>
      <c r="BM168" s="99"/>
      <c r="BO168" s="98" t="str">
        <f>$B$168</f>
        <v>Revenue Drivers</v>
      </c>
      <c r="BP168" s="99"/>
      <c r="BQ168" s="99"/>
      <c r="BR168" s="99"/>
      <c r="BS168" s="99"/>
      <c r="BT168" s="99"/>
      <c r="BV168" s="98" t="str">
        <f>$B$168</f>
        <v>Revenue Drivers</v>
      </c>
      <c r="BW168" s="99"/>
      <c r="BX168" s="99"/>
      <c r="BY168" s="99"/>
      <c r="BZ168" s="99"/>
      <c r="CA168" s="99"/>
      <c r="CC168" s="98" t="str">
        <f>$B$168</f>
        <v>Revenue Drivers</v>
      </c>
      <c r="CD168" s="99"/>
      <c r="CE168" s="99"/>
      <c r="CF168" s="99"/>
      <c r="CG168" s="99"/>
      <c r="CH168" s="99"/>
      <c r="CJ168" s="98" t="str">
        <f>$B$168</f>
        <v>Revenue Drivers</v>
      </c>
      <c r="CK168" s="99"/>
      <c r="CL168" s="99"/>
      <c r="CM168" s="99"/>
      <c r="CN168" s="99"/>
      <c r="CO168" s="99"/>
      <c r="CQ168" s="98" t="str">
        <f>$B$168</f>
        <v>Revenue Drivers</v>
      </c>
      <c r="CR168" s="99"/>
      <c r="CS168" s="99"/>
      <c r="CT168" s="99"/>
      <c r="CU168" s="99"/>
      <c r="CV168" s="99"/>
      <c r="CX168" s="98" t="str">
        <f>$B$168</f>
        <v>Revenue Drivers</v>
      </c>
      <c r="CY168" s="99"/>
      <c r="CZ168" s="99"/>
      <c r="DA168" s="99"/>
      <c r="DB168" s="99"/>
      <c r="DC168" s="99"/>
      <c r="DE168" s="98" t="str">
        <f>$B$168</f>
        <v>Revenue Drivers</v>
      </c>
      <c r="DF168" s="99"/>
      <c r="DG168" s="99"/>
      <c r="DH168" s="99"/>
      <c r="DI168" s="99"/>
      <c r="DJ168" s="99"/>
      <c r="DL168" s="98" t="str">
        <f>$B$168</f>
        <v>Revenue Drivers</v>
      </c>
      <c r="DM168" s="99"/>
      <c r="DN168" s="99"/>
      <c r="DO168" s="99"/>
      <c r="DP168" s="99"/>
      <c r="DQ168" s="99"/>
      <c r="DS168" s="98" t="str">
        <f>$B$168</f>
        <v>Revenue Drivers</v>
      </c>
      <c r="DT168" s="99"/>
      <c r="DU168" s="99"/>
      <c r="DV168" s="99"/>
      <c r="DW168" s="99"/>
      <c r="DX168" s="99"/>
      <c r="DZ168" s="98" t="str">
        <f>$B$168</f>
        <v>Revenue Drivers</v>
      </c>
      <c r="EA168" s="99"/>
      <c r="EB168" s="99"/>
      <c r="EC168" s="99"/>
      <c r="ED168" s="99"/>
      <c r="EE168" s="99"/>
      <c r="EG168" s="98" t="str">
        <f>$B$168</f>
        <v>Revenue Drivers</v>
      </c>
      <c r="EH168" s="99"/>
      <c r="EI168" s="99"/>
      <c r="EJ168" s="99"/>
      <c r="EK168" s="99"/>
      <c r="EL168" s="99"/>
      <c r="EN168" s="98" t="str">
        <f>$B$168</f>
        <v>Revenue Drivers</v>
      </c>
      <c r="EO168" s="99"/>
      <c r="EP168" s="99"/>
      <c r="EQ168" s="99"/>
      <c r="ER168" s="99"/>
      <c r="ES168" s="99"/>
      <c r="EU168" s="98" t="str">
        <f>$B$168</f>
        <v>Revenue Drivers</v>
      </c>
      <c r="EV168" s="99"/>
      <c r="EW168" s="99"/>
      <c r="EX168" s="99"/>
      <c r="EY168" s="99"/>
      <c r="EZ168" s="99"/>
      <c r="FB168" s="98" t="str">
        <f>$B$168</f>
        <v>Revenue Drivers</v>
      </c>
      <c r="FC168" s="99"/>
      <c r="FD168" s="99"/>
      <c r="FE168" s="99"/>
      <c r="FF168" s="99"/>
      <c r="FG168" s="99"/>
      <c r="FI168" s="98" t="str">
        <f>$B$168</f>
        <v>Revenue Drivers</v>
      </c>
      <c r="FJ168" s="99"/>
      <c r="FK168" s="99"/>
      <c r="FL168" s="99"/>
      <c r="FM168" s="99"/>
      <c r="FN168" s="99"/>
      <c r="FP168" s="98" t="str">
        <f>$B$168</f>
        <v>Revenue Drivers</v>
      </c>
      <c r="FQ168" s="99"/>
      <c r="FR168" s="99"/>
      <c r="FS168" s="99"/>
      <c r="FT168" s="99"/>
      <c r="FU168" s="99"/>
      <c r="FW168" s="98" t="str">
        <f>$B$168</f>
        <v>Revenue Drivers</v>
      </c>
      <c r="FX168" s="99"/>
      <c r="FY168" s="99"/>
      <c r="FZ168" s="99"/>
      <c r="GA168" s="99"/>
      <c r="GB168" s="99"/>
      <c r="GD168" s="98" t="str">
        <f>$B$168</f>
        <v>Revenue Drivers</v>
      </c>
      <c r="GE168" s="99"/>
      <c r="GF168" s="99"/>
      <c r="GG168" s="99"/>
      <c r="GH168" s="99"/>
      <c r="GI168" s="99"/>
      <c r="GK168" s="98" t="str">
        <f>$B$168</f>
        <v>Revenue Drivers</v>
      </c>
      <c r="GL168" s="99"/>
      <c r="GM168" s="99"/>
      <c r="GN168" s="99"/>
      <c r="GO168" s="99"/>
      <c r="GP168" s="99"/>
      <c r="GR168" s="98" t="str">
        <f>$B$168</f>
        <v>Revenue Drivers</v>
      </c>
      <c r="GS168" s="99"/>
      <c r="GT168" s="99"/>
      <c r="GU168" s="99"/>
      <c r="GV168" s="99"/>
      <c r="GW168" s="99"/>
      <c r="GY168" s="98" t="str">
        <f>$B$168</f>
        <v>Revenue Drivers</v>
      </c>
      <c r="GZ168" s="99"/>
      <c r="HA168" s="99"/>
      <c r="HB168" s="99"/>
      <c r="HC168" s="99"/>
      <c r="HD168" s="99"/>
      <c r="HF168" s="98" t="str">
        <f>$B$168</f>
        <v>Revenue Drivers</v>
      </c>
      <c r="HG168" s="99"/>
      <c r="HH168" s="99"/>
      <c r="HI168" s="99"/>
      <c r="HJ168" s="99"/>
      <c r="HK168" s="99"/>
      <c r="HM168" s="98" t="str">
        <f>$B$168</f>
        <v>Revenue Drivers</v>
      </c>
      <c r="HN168" s="99"/>
      <c r="HO168" s="99"/>
      <c r="HP168" s="99"/>
      <c r="HQ168" s="99"/>
      <c r="HR168" s="99"/>
      <c r="HT168" s="98" t="str">
        <f>$B$168</f>
        <v>Revenue Drivers</v>
      </c>
      <c r="HU168" s="99"/>
      <c r="HV168" s="99"/>
      <c r="HW168" s="99"/>
      <c r="HX168" s="99"/>
      <c r="HY168" s="99"/>
      <c r="IA168" s="98" t="str">
        <f>$B$168</f>
        <v>Revenue Drivers</v>
      </c>
      <c r="IB168" s="99"/>
      <c r="IC168" s="99"/>
      <c r="ID168" s="99"/>
      <c r="IE168" s="99"/>
      <c r="IF168" s="99"/>
      <c r="IH168" s="98" t="str">
        <f>$B$168</f>
        <v>Revenue Drivers</v>
      </c>
      <c r="II168" s="99"/>
      <c r="IJ168" s="99"/>
      <c r="IK168" s="99"/>
      <c r="IL168" s="99"/>
      <c r="IM168" s="99"/>
      <c r="IO168" s="98" t="str">
        <f>$B$168</f>
        <v>Revenue Drivers</v>
      </c>
      <c r="IP168" s="99"/>
      <c r="IQ168" s="99"/>
      <c r="IR168" s="99"/>
      <c r="IS168" s="99"/>
      <c r="IT168" s="99"/>
      <c r="IV168" s="98" t="str">
        <f>$B$168</f>
        <v>Revenue Drivers</v>
      </c>
      <c r="IW168" s="99"/>
      <c r="IX168" s="99"/>
      <c r="IY168" s="99"/>
      <c r="IZ168" s="99"/>
      <c r="JA168" s="99"/>
      <c r="JC168" s="98" t="str">
        <f>$B$168</f>
        <v>Revenue Drivers</v>
      </c>
      <c r="JD168" s="99"/>
      <c r="JE168" s="99"/>
      <c r="JF168" s="99"/>
      <c r="JG168" s="99"/>
      <c r="JH168" s="99"/>
      <c r="JJ168" s="98" t="str">
        <f>$B$168</f>
        <v>Revenue Drivers</v>
      </c>
      <c r="JK168" s="99"/>
      <c r="JL168" s="99"/>
      <c r="JM168" s="99"/>
      <c r="JN168" s="99"/>
      <c r="JO168" s="99"/>
      <c r="JQ168" s="98" t="str">
        <f>$B$168</f>
        <v>Revenue Drivers</v>
      </c>
      <c r="JR168" s="99"/>
      <c r="JS168" s="99"/>
      <c r="JT168" s="99"/>
      <c r="JU168" s="99"/>
      <c r="JV168" s="99"/>
      <c r="JX168" s="98" t="str">
        <f>$B$168</f>
        <v>Revenue Drivers</v>
      </c>
      <c r="JY168" s="99"/>
      <c r="JZ168" s="99"/>
      <c r="KA168" s="99"/>
      <c r="KB168" s="99"/>
      <c r="KC168" s="99"/>
      <c r="KE168" s="98" t="str">
        <f>$B$168</f>
        <v>Revenue Drivers</v>
      </c>
      <c r="KF168" s="99"/>
      <c r="KG168" s="99"/>
      <c r="KH168" s="99"/>
      <c r="KI168" s="99"/>
      <c r="KJ168" s="99"/>
      <c r="KL168" s="98" t="str">
        <f>$B$168</f>
        <v>Revenue Drivers</v>
      </c>
      <c r="KM168" s="99"/>
      <c r="KN168" s="99"/>
      <c r="KO168" s="99"/>
      <c r="KP168" s="99"/>
      <c r="KQ168" s="99"/>
      <c r="KS168" s="98" t="str">
        <f>$B$168</f>
        <v>Revenue Drivers</v>
      </c>
      <c r="KT168" s="99"/>
      <c r="KU168" s="99"/>
      <c r="KV168" s="99"/>
      <c r="KW168" s="99"/>
      <c r="KX168" s="99"/>
      <c r="KZ168" s="98" t="str">
        <f>$B$168</f>
        <v>Revenue Drivers</v>
      </c>
      <c r="LA168" s="99"/>
      <c r="LB168" s="99"/>
      <c r="LC168" s="99"/>
      <c r="LD168" s="99"/>
      <c r="LE168" s="99"/>
      <c r="LF168" s="565"/>
      <c r="LG168" s="98" t="str">
        <f>$B$168</f>
        <v>Revenue Drivers</v>
      </c>
      <c r="LH168" s="99"/>
      <c r="LI168" s="99"/>
      <c r="LJ168" s="99"/>
      <c r="LK168" s="99"/>
      <c r="LL168" s="99"/>
      <c r="LM168" s="565"/>
      <c r="LN168" s="98" t="str">
        <f>$B$168</f>
        <v>Revenue Drivers</v>
      </c>
      <c r="LO168" s="99"/>
      <c r="LP168" s="99"/>
      <c r="LQ168" s="99"/>
      <c r="LR168" s="99"/>
      <c r="LS168" s="99"/>
      <c r="LT168" s="565"/>
      <c r="LU168" s="98" t="str">
        <f>$B$168</f>
        <v>Revenue Drivers</v>
      </c>
      <c r="LV168" s="99"/>
      <c r="LW168" s="99"/>
      <c r="LX168" s="99"/>
      <c r="LY168" s="99"/>
      <c r="LZ168" s="99"/>
      <c r="MA168" s="565"/>
      <c r="MB168" s="98" t="str">
        <f>$B$168</f>
        <v>Revenue Drivers</v>
      </c>
      <c r="MC168" s="99"/>
      <c r="MD168" s="99"/>
      <c r="ME168" s="99"/>
      <c r="MF168" s="99"/>
      <c r="MG168" s="99"/>
      <c r="MH168" s="565"/>
    </row>
    <row r="169" spans="1:346" s="37" customFormat="1" ht="13.15" x14ac:dyDescent="0.4">
      <c r="A169" s="100"/>
      <c r="B169" s="68" t="s">
        <v>31</v>
      </c>
      <c r="C169" s="186"/>
      <c r="D169" s="186"/>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c r="BE169" s="191"/>
      <c r="BF169" s="191"/>
      <c r="BG169" s="191"/>
      <c r="BH169" s="191"/>
      <c r="BI169" s="191"/>
      <c r="BJ169" s="191"/>
      <c r="BK169" s="191"/>
      <c r="BL169" s="191"/>
      <c r="BM169" s="191"/>
      <c r="BO169" s="68" t="str">
        <f>$B169</f>
        <v>Chemicals</v>
      </c>
      <c r="BP169" s="186"/>
      <c r="BQ169" s="186"/>
      <c r="BR169" s="186"/>
      <c r="BS169" s="186"/>
      <c r="BT169" s="186"/>
      <c r="BV169" s="68" t="str">
        <f>$B169</f>
        <v>Chemicals</v>
      </c>
      <c r="BW169" s="186"/>
      <c r="BX169" s="186"/>
      <c r="BY169" s="186"/>
      <c r="BZ169" s="186"/>
      <c r="CA169" s="186"/>
      <c r="CC169" s="68" t="str">
        <f>$B169</f>
        <v>Chemicals</v>
      </c>
      <c r="CD169" s="186"/>
      <c r="CE169" s="186"/>
      <c r="CF169" s="186"/>
      <c r="CG169" s="186"/>
      <c r="CH169" s="186"/>
      <c r="CJ169" s="68" t="str">
        <f>$B169</f>
        <v>Chemicals</v>
      </c>
      <c r="CK169" s="186"/>
      <c r="CL169" s="186"/>
      <c r="CM169" s="186"/>
      <c r="CN169" s="186"/>
      <c r="CO169" s="186"/>
      <c r="CQ169" s="68" t="str">
        <f>$B169</f>
        <v>Chemicals</v>
      </c>
      <c r="CR169" s="186"/>
      <c r="CS169" s="186"/>
      <c r="CT169" s="186"/>
      <c r="CU169" s="186"/>
      <c r="CV169" s="186"/>
      <c r="CX169" s="68" t="str">
        <f>$B169</f>
        <v>Chemicals</v>
      </c>
      <c r="CY169" s="186"/>
      <c r="CZ169" s="186"/>
      <c r="DA169" s="186"/>
      <c r="DB169" s="186"/>
      <c r="DC169" s="186"/>
      <c r="DE169" s="68" t="str">
        <f>$B169</f>
        <v>Chemicals</v>
      </c>
      <c r="DF169" s="186"/>
      <c r="DG169" s="186"/>
      <c r="DH169" s="186"/>
      <c r="DI169" s="186"/>
      <c r="DJ169" s="186"/>
      <c r="DL169" s="68" t="str">
        <f>$B169</f>
        <v>Chemicals</v>
      </c>
      <c r="DM169" s="186"/>
      <c r="DN169" s="186"/>
      <c r="DO169" s="186"/>
      <c r="DP169" s="186"/>
      <c r="DQ169" s="186"/>
      <c r="DS169" s="68" t="str">
        <f>$B169</f>
        <v>Chemicals</v>
      </c>
      <c r="DT169" s="186"/>
      <c r="DU169" s="186"/>
      <c r="DV169" s="186"/>
      <c r="DW169" s="186"/>
      <c r="DX169" s="186"/>
      <c r="DZ169" s="68" t="str">
        <f>$B169</f>
        <v>Chemicals</v>
      </c>
      <c r="EA169" s="186"/>
      <c r="EB169" s="186"/>
      <c r="EC169" s="186"/>
      <c r="ED169" s="186"/>
      <c r="EE169" s="186"/>
      <c r="EG169" s="68" t="str">
        <f>$B169</f>
        <v>Chemicals</v>
      </c>
      <c r="EH169" s="186"/>
      <c r="EI169" s="186"/>
      <c r="EJ169" s="186"/>
      <c r="EK169" s="186"/>
      <c r="EL169" s="186"/>
      <c r="EN169" s="68" t="str">
        <f>$B169</f>
        <v>Chemicals</v>
      </c>
      <c r="EO169" s="186"/>
      <c r="EP169" s="186"/>
      <c r="EQ169" s="186"/>
      <c r="ER169" s="186"/>
      <c r="ES169" s="186"/>
      <c r="EU169" s="68" t="str">
        <f>$B169</f>
        <v>Chemicals</v>
      </c>
      <c r="EV169" s="186"/>
      <c r="EW169" s="186"/>
      <c r="EX169" s="186"/>
      <c r="EY169" s="186"/>
      <c r="EZ169" s="186"/>
      <c r="FB169" s="68" t="str">
        <f>$B169</f>
        <v>Chemicals</v>
      </c>
      <c r="FC169" s="186"/>
      <c r="FD169" s="186"/>
      <c r="FE169" s="186"/>
      <c r="FF169" s="186"/>
      <c r="FG169" s="186"/>
      <c r="FI169" s="68" t="str">
        <f>$B169</f>
        <v>Chemicals</v>
      </c>
      <c r="FJ169" s="186"/>
      <c r="FK169" s="186"/>
      <c r="FL169" s="186"/>
      <c r="FM169" s="186"/>
      <c r="FN169" s="186"/>
      <c r="FP169" s="68" t="str">
        <f>$B169</f>
        <v>Chemicals</v>
      </c>
      <c r="FQ169" s="186"/>
      <c r="FR169" s="186"/>
      <c r="FS169" s="186"/>
      <c r="FT169" s="186"/>
      <c r="FU169" s="186"/>
      <c r="FW169" s="68" t="str">
        <f>$B169</f>
        <v>Chemicals</v>
      </c>
      <c r="FX169" s="186"/>
      <c r="FY169" s="186"/>
      <c r="FZ169" s="186"/>
      <c r="GA169" s="186"/>
      <c r="GB169" s="186"/>
      <c r="GD169" s="68" t="str">
        <f>$B169</f>
        <v>Chemicals</v>
      </c>
      <c r="GE169" s="186"/>
      <c r="GF169" s="186"/>
      <c r="GG169" s="186"/>
      <c r="GH169" s="186"/>
      <c r="GI169" s="186"/>
      <c r="GK169" s="68" t="str">
        <f>$B169</f>
        <v>Chemicals</v>
      </c>
      <c r="GL169" s="186"/>
      <c r="GM169" s="186"/>
      <c r="GN169" s="186"/>
      <c r="GO169" s="186"/>
      <c r="GP169" s="186"/>
      <c r="GR169" s="68" t="str">
        <f>$B169</f>
        <v>Chemicals</v>
      </c>
      <c r="GS169" s="186"/>
      <c r="GT169" s="186"/>
      <c r="GU169" s="186"/>
      <c r="GV169" s="186"/>
      <c r="GW169" s="186"/>
      <c r="GY169" s="68" t="str">
        <f>$B169</f>
        <v>Chemicals</v>
      </c>
      <c r="GZ169" s="186"/>
      <c r="HA169" s="186"/>
      <c r="HB169" s="186"/>
      <c r="HC169" s="186"/>
      <c r="HD169" s="186"/>
      <c r="HF169" s="68" t="str">
        <f>$B169</f>
        <v>Chemicals</v>
      </c>
      <c r="HG169" s="186"/>
      <c r="HH169" s="186"/>
      <c r="HI169" s="186"/>
      <c r="HJ169" s="186"/>
      <c r="HK169" s="186"/>
      <c r="HM169" s="68" t="str">
        <f>$B169</f>
        <v>Chemicals</v>
      </c>
      <c r="HN169" s="186"/>
      <c r="HO169" s="186"/>
      <c r="HP169" s="186"/>
      <c r="HQ169" s="186"/>
      <c r="HR169" s="186"/>
      <c r="HT169" s="68" t="str">
        <f>$B169</f>
        <v>Chemicals</v>
      </c>
      <c r="HU169" s="186"/>
      <c r="HV169" s="186"/>
      <c r="HW169" s="186"/>
      <c r="HX169" s="186"/>
      <c r="HY169" s="186"/>
      <c r="IA169" s="68" t="str">
        <f>$B169</f>
        <v>Chemicals</v>
      </c>
      <c r="IB169" s="186"/>
      <c r="IC169" s="186"/>
      <c r="ID169" s="186"/>
      <c r="IE169" s="186"/>
      <c r="IF169" s="186"/>
      <c r="IH169" s="68" t="str">
        <f>$B169</f>
        <v>Chemicals</v>
      </c>
      <c r="II169" s="186"/>
      <c r="IJ169" s="186"/>
      <c r="IK169" s="186"/>
      <c r="IL169" s="186"/>
      <c r="IM169" s="186"/>
      <c r="IO169" s="68" t="str">
        <f>$B169</f>
        <v>Chemicals</v>
      </c>
      <c r="IP169" s="186"/>
      <c r="IQ169" s="186"/>
      <c r="IR169" s="186"/>
      <c r="IS169" s="186"/>
      <c r="IT169" s="186"/>
      <c r="IV169" s="68" t="str">
        <f>$B169</f>
        <v>Chemicals</v>
      </c>
      <c r="IW169" s="186"/>
      <c r="IX169" s="186"/>
      <c r="IY169" s="186"/>
      <c r="IZ169" s="186"/>
      <c r="JA169" s="186"/>
      <c r="JC169" s="68" t="str">
        <f>$B169</f>
        <v>Chemicals</v>
      </c>
      <c r="JD169" s="186"/>
      <c r="JE169" s="186"/>
      <c r="JF169" s="186"/>
      <c r="JG169" s="186"/>
      <c r="JH169" s="186"/>
      <c r="JJ169" s="68" t="str">
        <f>$B169</f>
        <v>Chemicals</v>
      </c>
      <c r="JK169" s="186"/>
      <c r="JL169" s="186"/>
      <c r="JM169" s="186"/>
      <c r="JN169" s="186"/>
      <c r="JO169" s="186"/>
      <c r="JQ169" s="68" t="str">
        <f>$B169</f>
        <v>Chemicals</v>
      </c>
      <c r="JR169" s="186"/>
      <c r="JS169" s="186"/>
      <c r="JT169" s="186"/>
      <c r="JU169" s="186"/>
      <c r="JV169" s="186"/>
      <c r="JX169" s="68" t="str">
        <f>$B169</f>
        <v>Chemicals</v>
      </c>
      <c r="JY169" s="186"/>
      <c r="JZ169" s="186"/>
      <c r="KA169" s="186"/>
      <c r="KB169" s="186"/>
      <c r="KC169" s="186"/>
      <c r="KE169" s="68" t="str">
        <f>$B169</f>
        <v>Chemicals</v>
      </c>
      <c r="KF169" s="186"/>
      <c r="KG169" s="186"/>
      <c r="KH169" s="186"/>
      <c r="KI169" s="186"/>
      <c r="KJ169" s="186"/>
      <c r="KL169" s="68" t="str">
        <f>$B169</f>
        <v>Chemicals</v>
      </c>
      <c r="KM169" s="186"/>
      <c r="KN169" s="186"/>
      <c r="KO169" s="186"/>
      <c r="KP169" s="186"/>
      <c r="KQ169" s="186"/>
      <c r="KS169" s="68" t="str">
        <f>$B169</f>
        <v>Chemicals</v>
      </c>
      <c r="KT169" s="186"/>
      <c r="KU169" s="186"/>
      <c r="KV169" s="186"/>
      <c r="KW169" s="186"/>
      <c r="KX169" s="186"/>
      <c r="KZ169" s="68" t="str">
        <f>$B169</f>
        <v>Chemicals</v>
      </c>
      <c r="LA169" s="186"/>
      <c r="LB169" s="192"/>
      <c r="LC169" s="192"/>
      <c r="LD169" s="192"/>
      <c r="LE169" s="193"/>
      <c r="LF169" s="555"/>
      <c r="LG169" s="68" t="str">
        <f>$B169</f>
        <v>Chemicals</v>
      </c>
      <c r="LH169" s="198"/>
      <c r="LI169" s="198"/>
      <c r="LJ169" s="198"/>
      <c r="LK169" s="198"/>
      <c r="LL169" s="193"/>
      <c r="LM169" s="555"/>
      <c r="LN169" s="68" t="str">
        <f>$B169</f>
        <v>Chemicals</v>
      </c>
      <c r="LO169" s="198">
        <f>LO170/LK170-1</f>
        <v>-1.5341614906832279E-2</v>
      </c>
      <c r="LP169" s="198">
        <f>LP170/LO170-1</f>
        <v>1.3814419983599224E-2</v>
      </c>
      <c r="LQ169" s="198">
        <f>LQ170/LP170-1</f>
        <v>1.0204081632652962E-2</v>
      </c>
      <c r="LR169" s="198">
        <f>LR170/LQ170-1</f>
        <v>-8.3764474008375389E-3</v>
      </c>
      <c r="LS169" s="193"/>
      <c r="LT169" s="555"/>
      <c r="LU169" s="68" t="str">
        <f>$B169</f>
        <v>Chemicals</v>
      </c>
      <c r="LV169" s="198">
        <f>LV170/LR170-1</f>
        <v>1.41981366459627E-2</v>
      </c>
      <c r="LW169" s="198">
        <f>LW170/LV170-1</f>
        <v>1.3814419983599446E-2</v>
      </c>
      <c r="LX169" s="198">
        <f>LX170/LW170-1</f>
        <v>1.0204081632652962E-2</v>
      </c>
      <c r="LY169" s="198">
        <f>LY170/LX170-1</f>
        <v>-8.3764474008375389E-3</v>
      </c>
      <c r="LZ169" s="193"/>
      <c r="MA169" s="555"/>
      <c r="MB169" s="68" t="str">
        <f>$B169</f>
        <v>Chemicals</v>
      </c>
      <c r="MC169" s="198">
        <f>MC170/LY170-1</f>
        <v>1.6659782608695606E-2</v>
      </c>
      <c r="MD169" s="198">
        <f>MD170/MC170-1</f>
        <v>1.1359663518748064E-2</v>
      </c>
      <c r="ME169" s="198">
        <f>ME170/MD170-1</f>
        <v>5.3001783237565103E-3</v>
      </c>
      <c r="MF169" s="198">
        <f>MF170/ME170-1</f>
        <v>-1.3213635462296813E-2</v>
      </c>
      <c r="MG169" s="193"/>
      <c r="MH169" s="555"/>
    </row>
    <row r="170" spans="1:346" s="37" customFormat="1" ht="13.15" x14ac:dyDescent="0.4">
      <c r="A170" s="100"/>
      <c r="B170" s="37" t="s">
        <v>342</v>
      </c>
      <c r="C170" s="186"/>
      <c r="D170" s="186"/>
      <c r="E170" s="191"/>
      <c r="F170" s="63"/>
      <c r="G170" s="63"/>
      <c r="H170" s="63"/>
      <c r="I170" s="63"/>
      <c r="J170" s="63"/>
      <c r="K170" s="63"/>
      <c r="L170" s="63"/>
      <c r="M170" s="63"/>
      <c r="N170" s="194">
        <f t="shared" ref="N170:AY170" si="1218">N69</f>
        <v>374</v>
      </c>
      <c r="O170" s="194">
        <f t="shared" si="1218"/>
        <v>370</v>
      </c>
      <c r="P170" s="194">
        <f t="shared" si="1218"/>
        <v>347</v>
      </c>
      <c r="Q170" s="194">
        <f t="shared" si="1218"/>
        <v>356</v>
      </c>
      <c r="R170" s="194">
        <f t="shared" si="1218"/>
        <v>371</v>
      </c>
      <c r="S170" s="194">
        <f t="shared" si="1218"/>
        <v>386</v>
      </c>
      <c r="T170" s="194">
        <f t="shared" si="1218"/>
        <v>406</v>
      </c>
      <c r="U170" s="194">
        <f t="shared" si="1218"/>
        <v>409</v>
      </c>
      <c r="V170" s="194">
        <f t="shared" si="1218"/>
        <v>435</v>
      </c>
      <c r="W170" s="194">
        <f t="shared" si="1218"/>
        <v>444</v>
      </c>
      <c r="X170" s="194">
        <f t="shared" si="1218"/>
        <v>545</v>
      </c>
      <c r="Y170" s="194">
        <f t="shared" si="1218"/>
        <v>564</v>
      </c>
      <c r="Z170" s="194">
        <f t="shared" si="1218"/>
        <v>540</v>
      </c>
      <c r="AA170" s="194">
        <f t="shared" si="1218"/>
        <v>542</v>
      </c>
      <c r="AB170" s="194">
        <f t="shared" si="1218"/>
        <v>541</v>
      </c>
      <c r="AC170" s="194">
        <f t="shared" si="1218"/>
        <v>564</v>
      </c>
      <c r="AD170" s="194">
        <f t="shared" si="1218"/>
        <v>533</v>
      </c>
      <c r="AE170" s="194">
        <f t="shared" si="1218"/>
        <v>528</v>
      </c>
      <c r="AF170" s="194">
        <f t="shared" si="1218"/>
        <v>527</v>
      </c>
      <c r="AG170" s="194">
        <f t="shared" si="1218"/>
        <v>493</v>
      </c>
      <c r="AH170" s="194">
        <f t="shared" si="1218"/>
        <v>424</v>
      </c>
      <c r="AI170" s="194">
        <f t="shared" si="1218"/>
        <v>461</v>
      </c>
      <c r="AJ170" s="194">
        <f t="shared" si="1218"/>
        <v>462</v>
      </c>
      <c r="AK170" s="194">
        <f t="shared" si="1218"/>
        <v>471</v>
      </c>
      <c r="AL170" s="194">
        <f t="shared" si="1218"/>
        <v>640</v>
      </c>
      <c r="AM170" s="194">
        <f t="shared" si="1218"/>
        <v>728</v>
      </c>
      <c r="AN170" s="194">
        <f t="shared" si="1218"/>
        <v>726</v>
      </c>
      <c r="AO170" s="194">
        <f t="shared" si="1218"/>
        <v>700</v>
      </c>
      <c r="AP170" s="194">
        <f t="shared" si="1218"/>
        <v>672</v>
      </c>
      <c r="AQ170" s="194">
        <f t="shared" si="1218"/>
        <v>675</v>
      </c>
      <c r="AR170" s="194">
        <f t="shared" si="1218"/>
        <v>669</v>
      </c>
      <c r="AS170" s="194">
        <f t="shared" si="1218"/>
        <v>664</v>
      </c>
      <c r="AT170" s="194">
        <f t="shared" si="1218"/>
        <v>659</v>
      </c>
      <c r="AU170" s="194">
        <f t="shared" si="1218"/>
        <v>641</v>
      </c>
      <c r="AV170" s="194">
        <f t="shared" si="1218"/>
        <v>642</v>
      </c>
      <c r="AW170" s="194">
        <f t="shared" si="1218"/>
        <v>688</v>
      </c>
      <c r="AX170" s="194">
        <f t="shared" si="1218"/>
        <v>655</v>
      </c>
      <c r="AY170" s="194">
        <f t="shared" si="1218"/>
        <v>642.61</v>
      </c>
      <c r="AZ170" s="194">
        <f t="shared" ref="AZ170:BA170" si="1219">AZ69</f>
        <v>661.88829999999996</v>
      </c>
      <c r="BA170" s="194">
        <f t="shared" si="1219"/>
        <v>679.65870975000007</v>
      </c>
      <c r="BB170" s="194"/>
      <c r="BC170" s="194"/>
      <c r="BD170" s="194"/>
      <c r="BE170" s="194"/>
      <c r="BF170" s="194"/>
      <c r="BG170" s="194"/>
      <c r="BH170" s="194"/>
      <c r="BI170" s="194"/>
      <c r="BJ170" s="194"/>
      <c r="BK170" s="194"/>
      <c r="BL170" s="194"/>
      <c r="BM170" s="194"/>
      <c r="BO170" s="37" t="str">
        <f t="shared" ref="BO170:BO223" si="1220">$B170</f>
        <v>Carloads (000s)</v>
      </c>
      <c r="BP170" s="195">
        <f>BP69</f>
        <v>98</v>
      </c>
      <c r="BQ170" s="195">
        <f>BQ69</f>
        <v>94</v>
      </c>
      <c r="BR170" s="195">
        <f>BR69</f>
        <v>93</v>
      </c>
      <c r="BS170" s="195">
        <f>BS69</f>
        <v>89</v>
      </c>
      <c r="BT170" s="195">
        <f>BT69</f>
        <v>374</v>
      </c>
      <c r="BV170" s="37" t="str">
        <f t="shared" ref="BV170:BV223" si="1221">$B170</f>
        <v>Carloads (000s)</v>
      </c>
      <c r="BW170" s="195">
        <f>BW69</f>
        <v>95</v>
      </c>
      <c r="BX170" s="195">
        <f>BX69</f>
        <v>93</v>
      </c>
      <c r="BY170" s="195">
        <f>BY69</f>
        <v>94</v>
      </c>
      <c r="BZ170" s="195">
        <f>BZ69</f>
        <v>88</v>
      </c>
      <c r="CA170" s="195">
        <f>CA69</f>
        <v>370</v>
      </c>
      <c r="CC170" s="37" t="str">
        <f t="shared" ref="CC170:CC223" si="1222">$B170</f>
        <v>Carloads (000s)</v>
      </c>
      <c r="CD170" s="195">
        <f>CD69</f>
        <v>85</v>
      </c>
      <c r="CE170" s="195">
        <f>CE69</f>
        <v>85</v>
      </c>
      <c r="CF170" s="195">
        <f>CF69</f>
        <v>89</v>
      </c>
      <c r="CG170" s="195">
        <f>CG69</f>
        <v>88</v>
      </c>
      <c r="CH170" s="195">
        <f>CH69</f>
        <v>347</v>
      </c>
      <c r="CJ170" s="37" t="str">
        <f t="shared" ref="CJ170:CJ223" si="1223">$B170</f>
        <v>Carloads (000s)</v>
      </c>
      <c r="CK170" s="195">
        <f>CK69</f>
        <v>88</v>
      </c>
      <c r="CL170" s="195">
        <f>CL69</f>
        <v>90</v>
      </c>
      <c r="CM170" s="195">
        <f>CM69</f>
        <v>90</v>
      </c>
      <c r="CN170" s="195">
        <f>CN69</f>
        <v>88</v>
      </c>
      <c r="CO170" s="195">
        <f>CO69</f>
        <v>356</v>
      </c>
      <c r="CQ170" s="37" t="str">
        <f t="shared" ref="CQ170:CQ223" si="1224">$B170</f>
        <v>Carloads (000s)</v>
      </c>
      <c r="CR170" s="195">
        <f>CR69</f>
        <v>90</v>
      </c>
      <c r="CS170" s="195">
        <f>CS69</f>
        <v>93</v>
      </c>
      <c r="CT170" s="195">
        <f>CT69</f>
        <v>94</v>
      </c>
      <c r="CU170" s="195">
        <f>CU69</f>
        <v>94</v>
      </c>
      <c r="CV170" s="195">
        <f>CV69</f>
        <v>371</v>
      </c>
      <c r="CX170" s="37" t="str">
        <f t="shared" ref="CX170:CX223" si="1225">$B170</f>
        <v>Carloads (000s)</v>
      </c>
      <c r="CY170" s="195">
        <f>CY69</f>
        <v>94</v>
      </c>
      <c r="CZ170" s="195">
        <f>CZ69</f>
        <v>97</v>
      </c>
      <c r="DA170" s="195">
        <f>DA69</f>
        <v>96</v>
      </c>
      <c r="DB170" s="195">
        <f>DB69</f>
        <v>99</v>
      </c>
      <c r="DC170" s="195">
        <f>DC69</f>
        <v>386</v>
      </c>
      <c r="DE170" s="37" t="str">
        <f t="shared" ref="DE170:DE223" si="1226">$B170</f>
        <v>Carloads (000s)</v>
      </c>
      <c r="DF170" s="195">
        <f>DF69</f>
        <v>102</v>
      </c>
      <c r="DG170" s="195">
        <f>DG69</f>
        <v>100</v>
      </c>
      <c r="DH170" s="195">
        <f>DH69</f>
        <v>104</v>
      </c>
      <c r="DI170" s="195">
        <f>DI69</f>
        <v>100</v>
      </c>
      <c r="DJ170" s="195">
        <f>DJ69</f>
        <v>406</v>
      </c>
      <c r="DL170" s="37" t="str">
        <f t="shared" ref="DL170:DL223" si="1227">$B170</f>
        <v>Carloads (000s)</v>
      </c>
      <c r="DM170" s="195">
        <f>DM69</f>
        <v>102</v>
      </c>
      <c r="DN170" s="195">
        <f>DN69</f>
        <v>101</v>
      </c>
      <c r="DO170" s="195">
        <f>DO69</f>
        <v>104</v>
      </c>
      <c r="DP170" s="195">
        <f>DP69</f>
        <v>102</v>
      </c>
      <c r="DQ170" s="195">
        <f>DQ69</f>
        <v>409</v>
      </c>
      <c r="DS170" s="37" t="str">
        <f t="shared" ref="DS170:DS223" si="1228">$B170</f>
        <v>Carloads (000s)</v>
      </c>
      <c r="DT170" s="195">
        <f>DT69</f>
        <v>108</v>
      </c>
      <c r="DU170" s="195">
        <f>DU69</f>
        <v>109</v>
      </c>
      <c r="DV170" s="195">
        <f>DV69</f>
        <v>109</v>
      </c>
      <c r="DW170" s="195">
        <f>DW69</f>
        <v>109</v>
      </c>
      <c r="DX170" s="195">
        <f>DX69</f>
        <v>435</v>
      </c>
      <c r="DZ170" s="37" t="str">
        <f t="shared" ref="DZ170:DZ223" si="1229">$B170</f>
        <v>Carloads (000s)</v>
      </c>
      <c r="EA170" s="195">
        <f>EA69</f>
        <v>112</v>
      </c>
      <c r="EB170" s="195">
        <f>EB69</f>
        <v>112</v>
      </c>
      <c r="EC170" s="195">
        <f>EC69</f>
        <v>112</v>
      </c>
      <c r="ED170" s="195">
        <f>ED69</f>
        <v>108</v>
      </c>
      <c r="EE170" s="195">
        <f>EE69</f>
        <v>444</v>
      </c>
      <c r="EG170" s="37" t="str">
        <f t="shared" ref="EG170:EG223" si="1230">$B170</f>
        <v>Carloads (000s)</v>
      </c>
      <c r="EH170" s="195">
        <f>EH69</f>
        <v>121</v>
      </c>
      <c r="EI170" s="195">
        <f>EI69</f>
        <v>129</v>
      </c>
      <c r="EJ170" s="195">
        <f>EJ69</f>
        <v>147</v>
      </c>
      <c r="EK170" s="195">
        <f>EK69</f>
        <v>148</v>
      </c>
      <c r="EL170" s="195">
        <f>EL69</f>
        <v>545</v>
      </c>
      <c r="EN170" s="37" t="str">
        <f t="shared" ref="EN170:EN223" si="1231">$B170</f>
        <v>Carloads (000s)</v>
      </c>
      <c r="EO170" s="195">
        <f>EO69</f>
        <v>142</v>
      </c>
      <c r="EP170" s="195">
        <f>EP69</f>
        <v>145</v>
      </c>
      <c r="EQ170" s="195">
        <f>EQ69</f>
        <v>140</v>
      </c>
      <c r="ER170" s="195">
        <f>ER69</f>
        <v>137</v>
      </c>
      <c r="ES170" s="195">
        <f>ES69</f>
        <v>564</v>
      </c>
      <c r="EU170" s="37" t="str">
        <f t="shared" ref="EU170:EU223" si="1232">$B170</f>
        <v>Carloads (000s)</v>
      </c>
      <c r="EV170" s="195">
        <f>EV69</f>
        <v>140</v>
      </c>
      <c r="EW170" s="195">
        <f>EW69</f>
        <v>138</v>
      </c>
      <c r="EX170" s="195">
        <f>EX69</f>
        <v>133</v>
      </c>
      <c r="EY170" s="195">
        <f>EY69</f>
        <v>129</v>
      </c>
      <c r="EZ170" s="195">
        <f>EZ69</f>
        <v>540</v>
      </c>
      <c r="FB170" s="37" t="str">
        <f t="shared" ref="FB170:FB223" si="1233">$B170</f>
        <v>Carloads (000s)</v>
      </c>
      <c r="FC170" s="195">
        <f>FC69</f>
        <v>135</v>
      </c>
      <c r="FD170" s="195">
        <f>FD69</f>
        <v>140</v>
      </c>
      <c r="FE170" s="195">
        <f>FE69</f>
        <v>134</v>
      </c>
      <c r="FF170" s="195">
        <f>FF69</f>
        <v>133</v>
      </c>
      <c r="FG170" s="195">
        <f>FG69</f>
        <v>542</v>
      </c>
      <c r="FI170" s="37" t="str">
        <f t="shared" ref="FI170:FI223" si="1234">$B170</f>
        <v>Carloads (000s)</v>
      </c>
      <c r="FJ170" s="195">
        <f>FJ69</f>
        <v>137</v>
      </c>
      <c r="FK170" s="195">
        <f>FK69</f>
        <v>133</v>
      </c>
      <c r="FL170" s="195">
        <f>FL69</f>
        <v>136</v>
      </c>
      <c r="FM170" s="195">
        <f>FM69</f>
        <v>135</v>
      </c>
      <c r="FN170" s="195">
        <f>FN69</f>
        <v>541</v>
      </c>
      <c r="FP170" s="37" t="str">
        <f t="shared" ref="FP170:FP223" si="1235">$B170</f>
        <v>Carloads (000s)</v>
      </c>
      <c r="FQ170" s="195">
        <f>FQ69</f>
        <v>139</v>
      </c>
      <c r="FR170" s="195">
        <f>FR69</f>
        <v>140</v>
      </c>
      <c r="FS170" s="195">
        <f>FS69</f>
        <v>139</v>
      </c>
      <c r="FT170" s="195">
        <f>FT69</f>
        <v>146</v>
      </c>
      <c r="FU170" s="195">
        <f>FU69</f>
        <v>564</v>
      </c>
      <c r="FW170" s="37" t="str">
        <f t="shared" ref="FW170:FW223" si="1236">$B170</f>
        <v>Carloads (000s)</v>
      </c>
      <c r="FX170" s="195">
        <f>FX69</f>
        <v>140</v>
      </c>
      <c r="FY170" s="195">
        <f>FY69</f>
        <v>135</v>
      </c>
      <c r="FZ170" s="195">
        <f>FZ69</f>
        <v>131</v>
      </c>
      <c r="GA170" s="195">
        <f>GA69</f>
        <v>127</v>
      </c>
      <c r="GB170" s="195">
        <f>GB69</f>
        <v>533</v>
      </c>
      <c r="GD170" s="37" t="str">
        <f t="shared" ref="GD170:GD223" si="1237">$B170</f>
        <v>Carloads (000s)</v>
      </c>
      <c r="GE170" s="195">
        <f>GE69</f>
        <v>135</v>
      </c>
      <c r="GF170" s="195">
        <f>GF69</f>
        <v>134</v>
      </c>
      <c r="GG170" s="195">
        <f>GG69</f>
        <v>133</v>
      </c>
      <c r="GH170" s="195">
        <f>GH69</f>
        <v>126</v>
      </c>
      <c r="GI170" s="195">
        <f>GI69</f>
        <v>528</v>
      </c>
      <c r="GK170" s="37" t="str">
        <f t="shared" ref="GK170:GK223" si="1238">$B170</f>
        <v>Carloads (000s)</v>
      </c>
      <c r="GL170" s="195">
        <f>GL69</f>
        <v>134</v>
      </c>
      <c r="GM170" s="195">
        <f>GM69</f>
        <v>136</v>
      </c>
      <c r="GN170" s="195">
        <f>GN69</f>
        <v>131</v>
      </c>
      <c r="GO170" s="195">
        <f>GO69</f>
        <v>126</v>
      </c>
      <c r="GP170" s="195">
        <f>GP69</f>
        <v>527</v>
      </c>
      <c r="GR170" s="37" t="str">
        <f t="shared" ref="GR170:GR223" si="1239">$B170</f>
        <v>Carloads (000s)</v>
      </c>
      <c r="GS170" s="195">
        <f>GS69</f>
        <v>129</v>
      </c>
      <c r="GT170" s="195">
        <f>GT69</f>
        <v>131</v>
      </c>
      <c r="GU170" s="195">
        <f>GU69</f>
        <v>125</v>
      </c>
      <c r="GV170" s="195">
        <f>GV69</f>
        <v>108</v>
      </c>
      <c r="GW170" s="195">
        <f>GW69</f>
        <v>493</v>
      </c>
      <c r="GY170" s="37" t="str">
        <f t="shared" ref="GY170:GY223" si="1240">$B170</f>
        <v>Carloads (000s)</v>
      </c>
      <c r="GZ170" s="195">
        <f>GZ69</f>
        <v>105</v>
      </c>
      <c r="HA170" s="195">
        <f>HA69</f>
        <v>105</v>
      </c>
      <c r="HB170" s="195">
        <f>HB69</f>
        <v>110</v>
      </c>
      <c r="HC170" s="195">
        <f>HC69</f>
        <v>104</v>
      </c>
      <c r="HD170" s="195">
        <f>HD69</f>
        <v>424</v>
      </c>
      <c r="HF170" s="37" t="str">
        <f t="shared" ref="HF170:HF223" si="1241">$B170</f>
        <v>Carloads (000s)</v>
      </c>
      <c r="HG170" s="195">
        <f>HG69</f>
        <v>112</v>
      </c>
      <c r="HH170" s="195">
        <f>HH69</f>
        <v>116</v>
      </c>
      <c r="HI170" s="195">
        <f>HI69</f>
        <v>116</v>
      </c>
      <c r="HJ170" s="195">
        <f>HJ69</f>
        <v>117</v>
      </c>
      <c r="HK170" s="195">
        <f>HK69</f>
        <v>461</v>
      </c>
      <c r="HM170" s="37" t="str">
        <f t="shared" ref="HM170:HM223" si="1242">$B170</f>
        <v>Carloads (000s)</v>
      </c>
      <c r="HN170" s="195">
        <f>HN69</f>
        <v>117</v>
      </c>
      <c r="HO170" s="195">
        <f>HO69</f>
        <v>119</v>
      </c>
      <c r="HP170" s="195">
        <f>HP69</f>
        <v>116</v>
      </c>
      <c r="HQ170" s="195">
        <f>HQ69</f>
        <v>110</v>
      </c>
      <c r="HR170" s="195">
        <f>HR69</f>
        <v>462</v>
      </c>
      <c r="HT170" s="37" t="str">
        <f t="shared" ref="HT170:HT223" si="1243">$B170</f>
        <v>Carloads (000s)</v>
      </c>
      <c r="HU170" s="195">
        <f>HU69</f>
        <v>117</v>
      </c>
      <c r="HV170" s="195">
        <f>HV69</f>
        <v>120</v>
      </c>
      <c r="HW170" s="195">
        <f>HW69</f>
        <v>118</v>
      </c>
      <c r="HX170" s="195">
        <f>HX69</f>
        <v>116</v>
      </c>
      <c r="HY170" s="195">
        <f>HY69</f>
        <v>471</v>
      </c>
      <c r="IA170" s="37" t="str">
        <f t="shared" ref="IA170:IA223" si="1244">$B170</f>
        <v>Carloads (000s)</v>
      </c>
      <c r="IB170" s="195">
        <f>IB69</f>
        <v>151</v>
      </c>
      <c r="IC170" s="195">
        <f>IC69</f>
        <v>160</v>
      </c>
      <c r="ID170" s="195">
        <f>ID69</f>
        <v>164</v>
      </c>
      <c r="IE170" s="195">
        <f>IE69</f>
        <v>165</v>
      </c>
      <c r="IF170" s="195">
        <f>IF69</f>
        <v>640</v>
      </c>
      <c r="IH170" s="37" t="str">
        <f t="shared" ref="IH170:IH223" si="1245">$B170</f>
        <v>Carloads (000s)</v>
      </c>
      <c r="II170" s="195">
        <f>II69</f>
        <v>165</v>
      </c>
      <c r="IJ170" s="195">
        <f>IJ69</f>
        <v>186</v>
      </c>
      <c r="IK170" s="195">
        <f>IK69</f>
        <v>189</v>
      </c>
      <c r="IL170" s="195">
        <f>IL69</f>
        <v>188</v>
      </c>
      <c r="IM170" s="195">
        <f>IM69</f>
        <v>728</v>
      </c>
      <c r="IO170" s="37" t="str">
        <f t="shared" ref="IO170:IO223" si="1246">$B170</f>
        <v>Carloads (000s)</v>
      </c>
      <c r="IP170" s="195">
        <f>IP69</f>
        <v>176</v>
      </c>
      <c r="IQ170" s="195">
        <f>IQ69</f>
        <v>187</v>
      </c>
      <c r="IR170" s="195">
        <f>IR69</f>
        <v>187</v>
      </c>
      <c r="IS170" s="195">
        <f>IS69</f>
        <v>176</v>
      </c>
      <c r="IT170" s="195">
        <f>IT69</f>
        <v>726</v>
      </c>
      <c r="IV170" s="37" t="str">
        <f t="shared" ref="IV170:IV223" si="1247">$B170</f>
        <v>Carloads (000s)</v>
      </c>
      <c r="IW170" s="195">
        <f>IW69</f>
        <v>175</v>
      </c>
      <c r="IX170" s="195">
        <f>IX69</f>
        <v>172</v>
      </c>
      <c r="IY170" s="195">
        <f>IY69</f>
        <v>173</v>
      </c>
      <c r="IZ170" s="195">
        <f>IZ69</f>
        <v>180</v>
      </c>
      <c r="JA170" s="195">
        <f>JA69</f>
        <v>700</v>
      </c>
      <c r="JC170" s="37" t="str">
        <f t="shared" ref="JC170:JC223" si="1248">$B170</f>
        <v>Carloads (000s)</v>
      </c>
      <c r="JD170" s="195">
        <f>JD69</f>
        <v>175</v>
      </c>
      <c r="JE170" s="195">
        <f>JE69</f>
        <v>169</v>
      </c>
      <c r="JF170" s="195">
        <f>JF69</f>
        <v>164</v>
      </c>
      <c r="JG170" s="195">
        <f>JG69</f>
        <v>164</v>
      </c>
      <c r="JH170" s="195">
        <f>JH69</f>
        <v>672</v>
      </c>
      <c r="JJ170" s="37" t="str">
        <f t="shared" ref="JJ170:JJ223" si="1249">$B170</f>
        <v>Carloads (000s)</v>
      </c>
      <c r="JK170" s="195">
        <f>JK69</f>
        <v>162</v>
      </c>
      <c r="JL170" s="195">
        <f>JL69</f>
        <v>169</v>
      </c>
      <c r="JM170" s="195">
        <f>JM69</f>
        <v>172</v>
      </c>
      <c r="JN170" s="195">
        <f>JN69</f>
        <v>172</v>
      </c>
      <c r="JO170" s="195">
        <f>JO69</f>
        <v>675</v>
      </c>
      <c r="JQ170" s="37" t="str">
        <f t="shared" ref="JQ170:JQ223" si="1250">$B170</f>
        <v>Carloads (000s)</v>
      </c>
      <c r="JR170" s="195">
        <f>JR69</f>
        <v>167</v>
      </c>
      <c r="JS170" s="195">
        <f>JS69</f>
        <v>173</v>
      </c>
      <c r="JT170" s="195">
        <f>JT69</f>
        <v>166</v>
      </c>
      <c r="JU170" s="195">
        <f>JU69</f>
        <v>163</v>
      </c>
      <c r="JV170" s="195">
        <f>JV69</f>
        <v>669</v>
      </c>
      <c r="JX170" s="37" t="str">
        <f t="shared" ref="JX170:JX223" si="1251">$B170</f>
        <v>Carloads (000s)</v>
      </c>
      <c r="JY170" s="195">
        <f>JY69</f>
        <v>178</v>
      </c>
      <c r="JZ170" s="195">
        <f>JZ69</f>
        <v>152</v>
      </c>
      <c r="KA170" s="195">
        <f>KA69</f>
        <v>165</v>
      </c>
      <c r="KB170" s="195">
        <f>KB69</f>
        <v>169</v>
      </c>
      <c r="KC170" s="195">
        <f>KC69</f>
        <v>664</v>
      </c>
      <c r="KE170" s="37" t="str">
        <f t="shared" ref="KE170:KE223" si="1252">$B170</f>
        <v>Carloads (000s)</v>
      </c>
      <c r="KF170" s="195">
        <f>KF69</f>
        <v>163</v>
      </c>
      <c r="KG170" s="195">
        <f>KG69</f>
        <v>167</v>
      </c>
      <c r="KH170" s="195">
        <f>KH69</f>
        <v>166</v>
      </c>
      <c r="KI170" s="195">
        <f>KI69</f>
        <v>163</v>
      </c>
      <c r="KJ170" s="195">
        <f>KJ69</f>
        <v>659</v>
      </c>
      <c r="KL170" s="37" t="str">
        <f t="shared" ref="KL170:KL223" si="1253">$B170</f>
        <v>Carloads (000s)</v>
      </c>
      <c r="KM170" s="195">
        <f>KM69</f>
        <v>161</v>
      </c>
      <c r="KN170" s="195">
        <f>KN69</f>
        <v>165</v>
      </c>
      <c r="KO170" s="195">
        <f>KO69</f>
        <v>162</v>
      </c>
      <c r="KP170" s="195">
        <f>KP69</f>
        <v>153</v>
      </c>
      <c r="KQ170" s="195">
        <f>KQ69</f>
        <v>641</v>
      </c>
      <c r="KS170" s="37" t="str">
        <f t="shared" ref="KS170:KS223" si="1254">$B170</f>
        <v>Carloads (000s)</v>
      </c>
      <c r="KT170" s="195">
        <f>KT69</f>
        <v>160</v>
      </c>
      <c r="KU170" s="195">
        <f>KU69</f>
        <v>160</v>
      </c>
      <c r="KV170" s="195">
        <f>KV69</f>
        <v>161</v>
      </c>
      <c r="KW170" s="195">
        <f>KW69</f>
        <v>161</v>
      </c>
      <c r="KX170" s="195">
        <f>KX69</f>
        <v>642</v>
      </c>
      <c r="KZ170" s="37" t="str">
        <f t="shared" ref="KZ170:KZ223" si="1255">$B170</f>
        <v>Carloads (000s)</v>
      </c>
      <c r="LA170" s="195">
        <f>LA69</f>
        <v>167</v>
      </c>
      <c r="LB170" s="195">
        <f>LB69</f>
        <v>174</v>
      </c>
      <c r="LC170" s="195">
        <f>LC69</f>
        <v>176</v>
      </c>
      <c r="LD170" s="195">
        <f>LD69</f>
        <v>171</v>
      </c>
      <c r="LE170" s="196">
        <f>SUM(LA170:LD170)</f>
        <v>688</v>
      </c>
      <c r="LF170" s="573"/>
      <c r="LG170" s="37" t="str">
        <f t="shared" ref="LG170:LG223" si="1256">$B170</f>
        <v>Carloads (000s)</v>
      </c>
      <c r="LH170" s="195">
        <f>LH69</f>
        <v>166</v>
      </c>
      <c r="LI170" s="195">
        <f>LI69</f>
        <v>164</v>
      </c>
      <c r="LJ170" s="195">
        <f>LJ69</f>
        <v>164</v>
      </c>
      <c r="LK170" s="195">
        <f>LK69</f>
        <v>161</v>
      </c>
      <c r="LL170" s="196">
        <f>SUM(LH170:LK170)</f>
        <v>655</v>
      </c>
      <c r="LM170" s="573"/>
      <c r="LN170" s="37" t="str">
        <f t="shared" ref="LN170:LN223" si="1257">$B170</f>
        <v>Carloads (000s)</v>
      </c>
      <c r="LO170" s="196">
        <f>(LH170)*(1+LO171)</f>
        <v>158.53</v>
      </c>
      <c r="LP170" s="196">
        <f t="shared" ref="LP170" si="1258">(LI170)*(1+LP171)</f>
        <v>160.72</v>
      </c>
      <c r="LQ170" s="196">
        <f t="shared" ref="LQ170" si="1259">(LJ170)*(1+LQ171)</f>
        <v>162.35999999999999</v>
      </c>
      <c r="LR170" s="196">
        <f t="shared" ref="LR170" si="1260">(LK170)*(1+LR171)</f>
        <v>161</v>
      </c>
      <c r="LS170" s="196">
        <f>SUM(LO170:LR170)</f>
        <v>642.61</v>
      </c>
      <c r="LT170" s="573"/>
      <c r="LU170" s="37" t="str">
        <f t="shared" ref="LU170:LU233" si="1261">$B170</f>
        <v>Carloads (000s)</v>
      </c>
      <c r="LV170" s="196">
        <f>(LO170)*(1+LV171)</f>
        <v>163.2859</v>
      </c>
      <c r="LW170" s="196">
        <f t="shared" ref="LW170" si="1262">(LP170)*(1+LW171)</f>
        <v>165.54160000000002</v>
      </c>
      <c r="LX170" s="196">
        <f t="shared" ref="LX170" si="1263">(LQ170)*(1+LX171)</f>
        <v>167.23079999999999</v>
      </c>
      <c r="LY170" s="196">
        <f t="shared" ref="LY170" si="1264">(LR170)*(1+LY171)</f>
        <v>165.83</v>
      </c>
      <c r="LZ170" s="196">
        <f>SUM(LV170:LY170)</f>
        <v>661.88829999999996</v>
      </c>
      <c r="MA170" s="573"/>
      <c r="MB170" s="37" t="str">
        <f t="shared" ref="MB170:MB233" si="1265">$B170</f>
        <v>Carloads (000s)</v>
      </c>
      <c r="MC170" s="196">
        <f>(LV170)*(1+MC171)</f>
        <v>168.59269175</v>
      </c>
      <c r="MD170" s="196">
        <f t="shared" ref="MD170" si="1266">(LW170)*(1+MD171)</f>
        <v>170.50784800000002</v>
      </c>
      <c r="ME170" s="196">
        <f t="shared" ref="ME170" si="1267">(LX170)*(1+ME171)</f>
        <v>171.41156999999998</v>
      </c>
      <c r="MF170" s="196">
        <f t="shared" ref="MF170" si="1268">(LY170)*(1+MF171)</f>
        <v>169.14660000000001</v>
      </c>
      <c r="MG170" s="196">
        <f>SUM(MC170:MF170)</f>
        <v>679.65870975000007</v>
      </c>
      <c r="MH170" s="573"/>
    </row>
    <row r="171" spans="1:346" s="37" customFormat="1" ht="13.15" x14ac:dyDescent="0.4">
      <c r="A171" s="100"/>
      <c r="B171" s="197" t="s">
        <v>516</v>
      </c>
      <c r="C171" s="186"/>
      <c r="D171" s="186"/>
      <c r="E171" s="191"/>
      <c r="F171" s="63"/>
      <c r="G171" s="63"/>
      <c r="H171" s="63"/>
      <c r="I171" s="63"/>
      <c r="J171" s="63"/>
      <c r="K171" s="63"/>
      <c r="L171" s="63"/>
      <c r="M171" s="63"/>
      <c r="N171" s="193"/>
      <c r="O171" s="198">
        <f>O170/N170-1</f>
        <v>-1.0695187165775444E-2</v>
      </c>
      <c r="P171" s="198">
        <f t="shared" ref="P171:BA171" si="1269">P170/O170-1</f>
        <v>-6.2162162162162193E-2</v>
      </c>
      <c r="Q171" s="198">
        <f t="shared" si="1269"/>
        <v>2.5936599423631135E-2</v>
      </c>
      <c r="R171" s="198">
        <f t="shared" si="1269"/>
        <v>4.2134831460674205E-2</v>
      </c>
      <c r="S171" s="198">
        <f t="shared" si="1269"/>
        <v>4.0431266846361114E-2</v>
      </c>
      <c r="T171" s="198">
        <f t="shared" si="1269"/>
        <v>5.1813471502590636E-2</v>
      </c>
      <c r="U171" s="198">
        <f t="shared" si="1269"/>
        <v>7.3891625615762901E-3</v>
      </c>
      <c r="V171" s="198">
        <f t="shared" si="1269"/>
        <v>6.3569682151589202E-2</v>
      </c>
      <c r="W171" s="198">
        <f t="shared" si="1269"/>
        <v>2.0689655172413834E-2</v>
      </c>
      <c r="X171" s="198">
        <f t="shared" si="1269"/>
        <v>0.22747747747747749</v>
      </c>
      <c r="Y171" s="198">
        <f t="shared" si="1269"/>
        <v>3.4862385321100975E-2</v>
      </c>
      <c r="Z171" s="198">
        <f t="shared" si="1269"/>
        <v>-4.2553191489361653E-2</v>
      </c>
      <c r="AA171" s="198">
        <f t="shared" si="1269"/>
        <v>3.7037037037037646E-3</v>
      </c>
      <c r="AB171" s="198">
        <f t="shared" si="1269"/>
        <v>-1.8450184501844769E-3</v>
      </c>
      <c r="AC171" s="198">
        <f t="shared" si="1269"/>
        <v>4.2513863216266268E-2</v>
      </c>
      <c r="AD171" s="198">
        <f t="shared" si="1269"/>
        <v>-5.4964539007092195E-2</v>
      </c>
      <c r="AE171" s="198">
        <f t="shared" si="1269"/>
        <v>-9.3808630393996673E-3</v>
      </c>
      <c r="AF171" s="198">
        <f t="shared" si="1269"/>
        <v>-1.8939393939394478E-3</v>
      </c>
      <c r="AG171" s="198">
        <f t="shared" si="1269"/>
        <v>-6.4516129032258118E-2</v>
      </c>
      <c r="AH171" s="198">
        <f t="shared" si="1269"/>
        <v>-0.13995943204868155</v>
      </c>
      <c r="AI171" s="198">
        <f t="shared" si="1269"/>
        <v>8.7264150943396235E-2</v>
      </c>
      <c r="AJ171" s="198">
        <f t="shared" si="1269"/>
        <v>2.1691973969630851E-3</v>
      </c>
      <c r="AK171" s="198">
        <f t="shared" si="1269"/>
        <v>1.9480519480519431E-2</v>
      </c>
      <c r="AL171" s="198">
        <f t="shared" si="1269"/>
        <v>0.35881104033970268</v>
      </c>
      <c r="AM171" s="198">
        <f t="shared" si="1269"/>
        <v>0.13749999999999996</v>
      </c>
      <c r="AN171" s="198">
        <f t="shared" si="1269"/>
        <v>-2.7472527472527375E-3</v>
      </c>
      <c r="AO171" s="198">
        <f t="shared" si="1269"/>
        <v>-3.5812672176308569E-2</v>
      </c>
      <c r="AP171" s="198">
        <f t="shared" si="1269"/>
        <v>-4.0000000000000036E-2</v>
      </c>
      <c r="AQ171" s="198">
        <f t="shared" si="1269"/>
        <v>4.4642857142858094E-3</v>
      </c>
      <c r="AR171" s="198">
        <f t="shared" si="1269"/>
        <v>-8.8888888888888351E-3</v>
      </c>
      <c r="AS171" s="198">
        <f t="shared" si="1269"/>
        <v>-7.4738415545589909E-3</v>
      </c>
      <c r="AT171" s="198">
        <f t="shared" si="1269"/>
        <v>-7.5301204819276935E-3</v>
      </c>
      <c r="AU171" s="198">
        <f t="shared" si="1269"/>
        <v>-2.7314112291350501E-2</v>
      </c>
      <c r="AV171" s="198">
        <f t="shared" si="1269"/>
        <v>1.5600624024960652E-3</v>
      </c>
      <c r="AW171" s="198">
        <f t="shared" si="1269"/>
        <v>7.1651090342679025E-2</v>
      </c>
      <c r="AX171" s="198">
        <f t="shared" si="1269"/>
        <v>-4.7965116279069742E-2</v>
      </c>
      <c r="AY171" s="198">
        <f t="shared" si="1269"/>
        <v>-1.8916030534351091E-2</v>
      </c>
      <c r="AZ171" s="198">
        <f t="shared" si="1269"/>
        <v>2.9999999999999805E-2</v>
      </c>
      <c r="BA171" s="198">
        <f t="shared" si="1269"/>
        <v>2.6848049361199111E-2</v>
      </c>
      <c r="BB171" s="198"/>
      <c r="BC171" s="198"/>
      <c r="BD171" s="198"/>
      <c r="BE171" s="198"/>
      <c r="BF171" s="198"/>
      <c r="BG171" s="198"/>
      <c r="BH171" s="198"/>
      <c r="BI171" s="198"/>
      <c r="BJ171" s="198"/>
      <c r="BK171" s="198"/>
      <c r="BL171" s="198"/>
      <c r="BM171" s="198"/>
      <c r="BO171" s="197" t="str">
        <f t="shared" si="1220"/>
        <v>YoY Change (%)</v>
      </c>
      <c r="BP171" s="193"/>
      <c r="BQ171" s="193"/>
      <c r="BR171" s="193"/>
      <c r="BS171" s="193"/>
      <c r="BT171" s="193"/>
      <c r="BV171" s="197" t="str">
        <f t="shared" si="1221"/>
        <v>YoY Change (%)</v>
      </c>
      <c r="BW171" s="198">
        <f>BW170/BP170-1</f>
        <v>-3.0612244897959218E-2</v>
      </c>
      <c r="BX171" s="198">
        <f t="shared" ref="BX171:CA171" si="1270">BX170/BQ170-1</f>
        <v>-1.0638297872340385E-2</v>
      </c>
      <c r="BY171" s="198">
        <f t="shared" si="1270"/>
        <v>1.0752688172043001E-2</v>
      </c>
      <c r="BZ171" s="198">
        <f t="shared" si="1270"/>
        <v>-1.1235955056179803E-2</v>
      </c>
      <c r="CA171" s="198">
        <f t="shared" si="1270"/>
        <v>-1.0695187165775444E-2</v>
      </c>
      <c r="CC171" s="197" t="str">
        <f t="shared" si="1222"/>
        <v>YoY Change (%)</v>
      </c>
      <c r="CD171" s="198">
        <f>CD170/BW170-1</f>
        <v>-0.10526315789473684</v>
      </c>
      <c r="CE171" s="198">
        <f t="shared" ref="CE171" si="1271">CE170/BX170-1</f>
        <v>-8.6021505376344121E-2</v>
      </c>
      <c r="CF171" s="198">
        <f t="shared" ref="CF171" si="1272">CF170/BY170-1</f>
        <v>-5.3191489361702149E-2</v>
      </c>
      <c r="CG171" s="198">
        <f t="shared" ref="CG171" si="1273">CG170/BZ170-1</f>
        <v>0</v>
      </c>
      <c r="CH171" s="198">
        <f t="shared" ref="CH171" si="1274">CH170/CA170-1</f>
        <v>-6.2162162162162193E-2</v>
      </c>
      <c r="CJ171" s="197" t="str">
        <f t="shared" si="1223"/>
        <v>YoY Change (%)</v>
      </c>
      <c r="CK171" s="198">
        <f>CK170/CD170-1</f>
        <v>3.529411764705892E-2</v>
      </c>
      <c r="CL171" s="198">
        <f t="shared" ref="CL171" si="1275">CL170/CE170-1</f>
        <v>5.8823529411764719E-2</v>
      </c>
      <c r="CM171" s="198">
        <f t="shared" ref="CM171" si="1276">CM170/CF170-1</f>
        <v>1.1235955056179803E-2</v>
      </c>
      <c r="CN171" s="198">
        <f t="shared" ref="CN171" si="1277">CN170/CG170-1</f>
        <v>0</v>
      </c>
      <c r="CO171" s="198">
        <f t="shared" ref="CO171" si="1278">CO170/CH170-1</f>
        <v>2.5936599423631135E-2</v>
      </c>
      <c r="CQ171" s="197" t="str">
        <f t="shared" si="1224"/>
        <v>YoY Change (%)</v>
      </c>
      <c r="CR171" s="198">
        <f>CR170/CK170-1</f>
        <v>2.2727272727272707E-2</v>
      </c>
      <c r="CS171" s="198">
        <f t="shared" ref="CS171" si="1279">CS170/CL170-1</f>
        <v>3.3333333333333437E-2</v>
      </c>
      <c r="CT171" s="198">
        <f t="shared" ref="CT171" si="1280">CT170/CM170-1</f>
        <v>4.4444444444444509E-2</v>
      </c>
      <c r="CU171" s="198">
        <f t="shared" ref="CU171" si="1281">CU170/CN170-1</f>
        <v>6.8181818181818121E-2</v>
      </c>
      <c r="CV171" s="198">
        <f t="shared" ref="CV171" si="1282">CV170/CO170-1</f>
        <v>4.2134831460674205E-2</v>
      </c>
      <c r="CX171" s="197" t="str">
        <f t="shared" si="1225"/>
        <v>YoY Change (%)</v>
      </c>
      <c r="CY171" s="198">
        <f>CY170/CR170-1</f>
        <v>4.4444444444444509E-2</v>
      </c>
      <c r="CZ171" s="198">
        <f t="shared" ref="CZ171" si="1283">CZ170/CS170-1</f>
        <v>4.3010752688172005E-2</v>
      </c>
      <c r="DA171" s="198">
        <f t="shared" ref="DA171" si="1284">DA170/CT170-1</f>
        <v>2.1276595744680771E-2</v>
      </c>
      <c r="DB171" s="198">
        <f t="shared" ref="DB171" si="1285">DB170/CU170-1</f>
        <v>5.3191489361702038E-2</v>
      </c>
      <c r="DC171" s="198">
        <f t="shared" ref="DC171" si="1286">DC170/CV170-1</f>
        <v>4.0431266846361114E-2</v>
      </c>
      <c r="DE171" s="197" t="str">
        <f t="shared" si="1226"/>
        <v>YoY Change (%)</v>
      </c>
      <c r="DF171" s="198">
        <f>DF170/CY170-1</f>
        <v>8.5106382978723305E-2</v>
      </c>
      <c r="DG171" s="198">
        <f t="shared" ref="DG171" si="1287">DG170/CZ170-1</f>
        <v>3.0927835051546282E-2</v>
      </c>
      <c r="DH171" s="198">
        <f t="shared" ref="DH171" si="1288">DH170/DA170-1</f>
        <v>8.3333333333333259E-2</v>
      </c>
      <c r="DI171" s="198">
        <f t="shared" ref="DI171" si="1289">DI170/DB170-1</f>
        <v>1.0101010101010166E-2</v>
      </c>
      <c r="DJ171" s="198">
        <f t="shared" ref="DJ171" si="1290">DJ170/DC170-1</f>
        <v>5.1813471502590636E-2</v>
      </c>
      <c r="DL171" s="197" t="str">
        <f t="shared" si="1227"/>
        <v>YoY Change (%)</v>
      </c>
      <c r="DM171" s="198">
        <f>DM170/DF170-1</f>
        <v>0</v>
      </c>
      <c r="DN171" s="198">
        <f t="shared" ref="DN171" si="1291">DN170/DG170-1</f>
        <v>1.0000000000000009E-2</v>
      </c>
      <c r="DO171" s="198">
        <f t="shared" ref="DO171" si="1292">DO170/DH170-1</f>
        <v>0</v>
      </c>
      <c r="DP171" s="198">
        <f t="shared" ref="DP171" si="1293">DP170/DI170-1</f>
        <v>2.0000000000000018E-2</v>
      </c>
      <c r="DQ171" s="198">
        <f t="shared" ref="DQ171" si="1294">DQ170/DJ170-1</f>
        <v>7.3891625615762901E-3</v>
      </c>
      <c r="DS171" s="197" t="str">
        <f t="shared" si="1228"/>
        <v>YoY Change (%)</v>
      </c>
      <c r="DT171" s="198">
        <f>DT170/DM170-1</f>
        <v>5.8823529411764719E-2</v>
      </c>
      <c r="DU171" s="198">
        <f t="shared" ref="DU171" si="1295">DU170/DN170-1</f>
        <v>7.9207920792079278E-2</v>
      </c>
      <c r="DV171" s="198">
        <f t="shared" ref="DV171" si="1296">DV170/DO170-1</f>
        <v>4.8076923076923128E-2</v>
      </c>
      <c r="DW171" s="198">
        <f t="shared" ref="DW171" si="1297">DW170/DP170-1</f>
        <v>6.8627450980392135E-2</v>
      </c>
      <c r="DX171" s="198">
        <f t="shared" ref="DX171" si="1298">DX170/DQ170-1</f>
        <v>6.3569682151589202E-2</v>
      </c>
      <c r="DZ171" s="197" t="str">
        <f t="shared" si="1229"/>
        <v>YoY Change (%)</v>
      </c>
      <c r="EA171" s="198">
        <f>EA170/DT170-1</f>
        <v>3.7037037037036979E-2</v>
      </c>
      <c r="EB171" s="198">
        <f t="shared" ref="EB171" si="1299">EB170/DU170-1</f>
        <v>2.7522935779816571E-2</v>
      </c>
      <c r="EC171" s="198">
        <f t="shared" ref="EC171" si="1300">EC170/DV170-1</f>
        <v>2.7522935779816571E-2</v>
      </c>
      <c r="ED171" s="198">
        <f t="shared" ref="ED171" si="1301">ED170/DW170-1</f>
        <v>-9.1743119266054496E-3</v>
      </c>
      <c r="EE171" s="198">
        <f t="shared" ref="EE171" si="1302">EE170/DX170-1</f>
        <v>2.0689655172413834E-2</v>
      </c>
      <c r="EG171" s="197" t="str">
        <f t="shared" si="1230"/>
        <v>YoY Change (%)</v>
      </c>
      <c r="EH171" s="198">
        <f>EH170/EA170-1</f>
        <v>8.0357142857142794E-2</v>
      </c>
      <c r="EI171" s="198">
        <f t="shared" ref="EI171" si="1303">EI170/EB170-1</f>
        <v>0.15178571428571419</v>
      </c>
      <c r="EJ171" s="198">
        <f t="shared" ref="EJ171" si="1304">EJ170/EC170-1</f>
        <v>0.3125</v>
      </c>
      <c r="EK171" s="198">
        <f t="shared" ref="EK171" si="1305">EK170/ED170-1</f>
        <v>0.37037037037037046</v>
      </c>
      <c r="EL171" s="198">
        <f t="shared" ref="EL171" si="1306">EL170/EE170-1</f>
        <v>0.22747747747747749</v>
      </c>
      <c r="EN171" s="197" t="str">
        <f t="shared" si="1231"/>
        <v>YoY Change (%)</v>
      </c>
      <c r="EO171" s="198">
        <f>EO170/EH170-1</f>
        <v>0.17355371900826455</v>
      </c>
      <c r="EP171" s="198">
        <f t="shared" ref="EP171" si="1307">EP170/EI170-1</f>
        <v>0.12403100775193798</v>
      </c>
      <c r="EQ171" s="198">
        <f t="shared" ref="EQ171" si="1308">EQ170/EJ170-1</f>
        <v>-4.7619047619047672E-2</v>
      </c>
      <c r="ER171" s="198">
        <f t="shared" ref="ER171" si="1309">ER170/EK170-1</f>
        <v>-7.4324324324324342E-2</v>
      </c>
      <c r="ES171" s="198">
        <f t="shared" ref="ES171" si="1310">ES170/EL170-1</f>
        <v>3.4862385321100975E-2</v>
      </c>
      <c r="EU171" s="197" t="str">
        <f t="shared" si="1232"/>
        <v>YoY Change (%)</v>
      </c>
      <c r="EV171" s="198">
        <f>EV170/EO170-1</f>
        <v>-1.4084507042253502E-2</v>
      </c>
      <c r="EW171" s="198">
        <f t="shared" ref="EW171" si="1311">EW170/EP170-1</f>
        <v>-4.8275862068965503E-2</v>
      </c>
      <c r="EX171" s="198">
        <f t="shared" ref="EX171" si="1312">EX170/EQ170-1</f>
        <v>-5.0000000000000044E-2</v>
      </c>
      <c r="EY171" s="198">
        <f t="shared" ref="EY171" si="1313">EY170/ER170-1</f>
        <v>-5.8394160583941646E-2</v>
      </c>
      <c r="EZ171" s="198">
        <f t="shared" ref="EZ171" si="1314">EZ170/ES170-1</f>
        <v>-4.2553191489361653E-2</v>
      </c>
      <c r="FB171" s="197" t="str">
        <f t="shared" si="1233"/>
        <v>YoY Change (%)</v>
      </c>
      <c r="FC171" s="198">
        <f>FC170/EV170-1</f>
        <v>-3.5714285714285698E-2</v>
      </c>
      <c r="FD171" s="198">
        <f t="shared" ref="FD171" si="1315">FD170/EW170-1</f>
        <v>1.449275362318847E-2</v>
      </c>
      <c r="FE171" s="198">
        <f t="shared" ref="FE171" si="1316">FE170/EX170-1</f>
        <v>7.5187969924812581E-3</v>
      </c>
      <c r="FF171" s="198">
        <f t="shared" ref="FF171" si="1317">FF170/EY170-1</f>
        <v>3.1007751937984551E-2</v>
      </c>
      <c r="FG171" s="198">
        <f t="shared" ref="FG171" si="1318">FG170/EZ170-1</f>
        <v>3.7037037037037646E-3</v>
      </c>
      <c r="FI171" s="197" t="str">
        <f t="shared" si="1234"/>
        <v>YoY Change (%)</v>
      </c>
      <c r="FJ171" s="198">
        <f>FJ170/FC170-1</f>
        <v>1.4814814814814836E-2</v>
      </c>
      <c r="FK171" s="198">
        <f t="shared" ref="FK171" si="1319">FK170/FD170-1</f>
        <v>-5.0000000000000044E-2</v>
      </c>
      <c r="FL171" s="198">
        <f t="shared" ref="FL171" si="1320">FL170/FE170-1</f>
        <v>1.4925373134328401E-2</v>
      </c>
      <c r="FM171" s="198">
        <f t="shared" ref="FM171" si="1321">FM170/FF170-1</f>
        <v>1.5037593984962516E-2</v>
      </c>
      <c r="FN171" s="198">
        <f t="shared" ref="FN171" si="1322">FN170/FG170-1</f>
        <v>-1.8450184501844769E-3</v>
      </c>
      <c r="FP171" s="197" t="str">
        <f t="shared" si="1235"/>
        <v>YoY Change (%)</v>
      </c>
      <c r="FQ171" s="198">
        <f>FQ170/FJ170-1</f>
        <v>1.4598540145985384E-2</v>
      </c>
      <c r="FR171" s="198">
        <f t="shared" ref="FR171" si="1323">FR170/FK170-1</f>
        <v>5.2631578947368363E-2</v>
      </c>
      <c r="FS171" s="198">
        <f t="shared" ref="FS171" si="1324">FS170/FL170-1</f>
        <v>2.2058823529411686E-2</v>
      </c>
      <c r="FT171" s="198">
        <f t="shared" ref="FT171" si="1325">FT170/FM170-1</f>
        <v>8.1481481481481488E-2</v>
      </c>
      <c r="FU171" s="198">
        <f t="shared" ref="FU171" si="1326">FU170/FN170-1</f>
        <v>4.2513863216266268E-2</v>
      </c>
      <c r="FW171" s="197" t="str">
        <f t="shared" si="1236"/>
        <v>YoY Change (%)</v>
      </c>
      <c r="FX171" s="198">
        <f>FX170/FQ170-1</f>
        <v>7.194244604316502E-3</v>
      </c>
      <c r="FY171" s="198">
        <f t="shared" ref="FY171" si="1327">FY170/FR170-1</f>
        <v>-3.5714285714285698E-2</v>
      </c>
      <c r="FZ171" s="198">
        <f t="shared" ref="FZ171" si="1328">FZ170/FS170-1</f>
        <v>-5.7553956834532349E-2</v>
      </c>
      <c r="GA171" s="198">
        <f t="shared" ref="GA171" si="1329">GA170/FT170-1</f>
        <v>-0.13013698630136983</v>
      </c>
      <c r="GB171" s="198">
        <f t="shared" ref="GB171" si="1330">GB170/FU170-1</f>
        <v>-5.4964539007092195E-2</v>
      </c>
      <c r="GD171" s="197" t="str">
        <f t="shared" si="1237"/>
        <v>YoY Change (%)</v>
      </c>
      <c r="GE171" s="198">
        <f>GE170/FX170-1</f>
        <v>-3.5714285714285698E-2</v>
      </c>
      <c r="GF171" s="198">
        <f t="shared" ref="GF171" si="1331">GF170/FY170-1</f>
        <v>-7.4074074074074181E-3</v>
      </c>
      <c r="GG171" s="198">
        <f t="shared" ref="GG171" si="1332">GG170/FZ170-1</f>
        <v>1.5267175572519109E-2</v>
      </c>
      <c r="GH171" s="198">
        <f t="shared" ref="GH171" si="1333">GH170/GA170-1</f>
        <v>-7.8740157480314821E-3</v>
      </c>
      <c r="GI171" s="198">
        <f t="shared" ref="GI171" si="1334">GI170/GB170-1</f>
        <v>-9.3808630393996673E-3</v>
      </c>
      <c r="GK171" s="197" t="str">
        <f t="shared" si="1238"/>
        <v>YoY Change (%)</v>
      </c>
      <c r="GL171" s="198">
        <f>GL170/GE170-1</f>
        <v>-7.4074074074074181E-3</v>
      </c>
      <c r="GM171" s="198">
        <f t="shared" ref="GM171" si="1335">GM170/GF170-1</f>
        <v>1.4925373134328401E-2</v>
      </c>
      <c r="GN171" s="198">
        <f t="shared" ref="GN171" si="1336">GN170/GG170-1</f>
        <v>-1.5037593984962405E-2</v>
      </c>
      <c r="GO171" s="198">
        <f t="shared" ref="GO171" si="1337">GO170/GH170-1</f>
        <v>0</v>
      </c>
      <c r="GP171" s="198">
        <f t="shared" ref="GP171" si="1338">GP170/GI170-1</f>
        <v>-1.8939393939394478E-3</v>
      </c>
      <c r="GR171" s="197" t="str">
        <f t="shared" si="1239"/>
        <v>YoY Change (%)</v>
      </c>
      <c r="GS171" s="198">
        <f>GS170/GL170-1</f>
        <v>-3.7313432835820892E-2</v>
      </c>
      <c r="GT171" s="198">
        <f t="shared" ref="GT171" si="1339">GT170/GM170-1</f>
        <v>-3.6764705882352922E-2</v>
      </c>
      <c r="GU171" s="198">
        <f t="shared" ref="GU171" si="1340">GU170/GN170-1</f>
        <v>-4.5801526717557217E-2</v>
      </c>
      <c r="GV171" s="198">
        <f t="shared" ref="GV171" si="1341">GV170/GO170-1</f>
        <v>-0.1428571428571429</v>
      </c>
      <c r="GW171" s="198">
        <f t="shared" ref="GW171" si="1342">GW170/GP170-1</f>
        <v>-6.4516129032258118E-2</v>
      </c>
      <c r="GY171" s="197" t="str">
        <f t="shared" si="1240"/>
        <v>YoY Change (%)</v>
      </c>
      <c r="GZ171" s="198">
        <f>GZ170/GS170-1</f>
        <v>-0.18604651162790697</v>
      </c>
      <c r="HA171" s="198">
        <f t="shared" ref="HA171" si="1343">HA170/GT170-1</f>
        <v>-0.19847328244274809</v>
      </c>
      <c r="HB171" s="198">
        <f t="shared" ref="HB171" si="1344">HB170/GU170-1</f>
        <v>-0.12</v>
      </c>
      <c r="HC171" s="198">
        <f t="shared" ref="HC171" si="1345">HC170/GV170-1</f>
        <v>-3.703703703703709E-2</v>
      </c>
      <c r="HD171" s="198">
        <f t="shared" ref="HD171" si="1346">HD170/GW170-1</f>
        <v>-0.13995943204868155</v>
      </c>
      <c r="HF171" s="197" t="str">
        <f t="shared" si="1241"/>
        <v>YoY Change (%)</v>
      </c>
      <c r="HG171" s="198">
        <f>HG170/GZ170-1</f>
        <v>6.6666666666666652E-2</v>
      </c>
      <c r="HH171" s="198">
        <f t="shared" ref="HH171" si="1347">HH170/HA170-1</f>
        <v>0.10476190476190483</v>
      </c>
      <c r="HI171" s="198">
        <f t="shared" ref="HI171" si="1348">HI170/HB170-1</f>
        <v>5.4545454545454453E-2</v>
      </c>
      <c r="HJ171" s="198">
        <f t="shared" ref="HJ171" si="1349">HJ170/HC170-1</f>
        <v>0.125</v>
      </c>
      <c r="HK171" s="198">
        <f t="shared" ref="HK171" si="1350">HK170/HD170-1</f>
        <v>8.7264150943396235E-2</v>
      </c>
      <c r="HM171" s="197" t="str">
        <f t="shared" si="1242"/>
        <v>YoY Change (%)</v>
      </c>
      <c r="HN171" s="198">
        <f>HN170/HG170-1</f>
        <v>4.4642857142857206E-2</v>
      </c>
      <c r="HO171" s="198">
        <f t="shared" ref="HO171" si="1351">HO170/HH170-1</f>
        <v>2.5862068965517349E-2</v>
      </c>
      <c r="HP171" s="198">
        <f t="shared" ref="HP171" si="1352">HP170/HI170-1</f>
        <v>0</v>
      </c>
      <c r="HQ171" s="198">
        <f t="shared" ref="HQ171" si="1353">HQ170/HJ170-1</f>
        <v>-5.9829059829059839E-2</v>
      </c>
      <c r="HR171" s="198">
        <f t="shared" ref="HR171" si="1354">HR170/HK170-1</f>
        <v>2.1691973969630851E-3</v>
      </c>
      <c r="HT171" s="197" t="str">
        <f t="shared" si="1243"/>
        <v>YoY Change (%)</v>
      </c>
      <c r="HU171" s="198">
        <f>HU170/HN170-1</f>
        <v>0</v>
      </c>
      <c r="HV171" s="198">
        <f t="shared" ref="HV171" si="1355">HV170/HO170-1</f>
        <v>8.4033613445377853E-3</v>
      </c>
      <c r="HW171" s="198">
        <f t="shared" ref="HW171" si="1356">HW170/HP170-1</f>
        <v>1.7241379310344751E-2</v>
      </c>
      <c r="HX171" s="198">
        <f t="shared" ref="HX171" si="1357">HX170/HQ170-1</f>
        <v>5.4545454545454453E-2</v>
      </c>
      <c r="HY171" s="198">
        <f t="shared" ref="HY171" si="1358">HY170/HR170-1</f>
        <v>1.9480519480519431E-2</v>
      </c>
      <c r="IA171" s="197" t="str">
        <f t="shared" si="1244"/>
        <v>YoY Change (%)</v>
      </c>
      <c r="IB171" s="198">
        <f>IB170/HU170-1</f>
        <v>0.29059829059829068</v>
      </c>
      <c r="IC171" s="198">
        <f t="shared" ref="IC171" si="1359">IC170/HV170-1</f>
        <v>0.33333333333333326</v>
      </c>
      <c r="ID171" s="198">
        <f t="shared" ref="ID171" si="1360">ID170/HW170-1</f>
        <v>0.38983050847457634</v>
      </c>
      <c r="IE171" s="198">
        <f t="shared" ref="IE171" si="1361">IE170/HX170-1</f>
        <v>0.42241379310344818</v>
      </c>
      <c r="IF171" s="198">
        <f t="shared" ref="IF171" si="1362">IF170/HY170-1</f>
        <v>0.35881104033970268</v>
      </c>
      <c r="IH171" s="197" t="str">
        <f t="shared" si="1245"/>
        <v>YoY Change (%)</v>
      </c>
      <c r="II171" s="198">
        <f>II170/IB170-1</f>
        <v>9.27152317880795E-2</v>
      </c>
      <c r="IJ171" s="198">
        <f t="shared" ref="IJ171" si="1363">IJ170/IC170-1</f>
        <v>0.16250000000000009</v>
      </c>
      <c r="IK171" s="198">
        <f t="shared" ref="IK171" si="1364">IK170/ID170-1</f>
        <v>0.15243902439024382</v>
      </c>
      <c r="IL171" s="198">
        <f t="shared" ref="IL171" si="1365">IL170/IE170-1</f>
        <v>0.1393939393939394</v>
      </c>
      <c r="IM171" s="198">
        <f t="shared" ref="IM171" si="1366">IM170/IF170-1</f>
        <v>0.13749999999999996</v>
      </c>
      <c r="IO171" s="197" t="str">
        <f t="shared" si="1246"/>
        <v>YoY Change (%)</v>
      </c>
      <c r="IP171" s="198">
        <f>IP170/II170-1</f>
        <v>6.6666666666666652E-2</v>
      </c>
      <c r="IQ171" s="198">
        <f t="shared" ref="IQ171" si="1367">IQ170/IJ170-1</f>
        <v>5.3763440860215006E-3</v>
      </c>
      <c r="IR171" s="198">
        <f t="shared" ref="IR171" si="1368">IR170/IK170-1</f>
        <v>-1.0582010582010581E-2</v>
      </c>
      <c r="IS171" s="198">
        <f t="shared" ref="IS171" si="1369">IS170/IL170-1</f>
        <v>-6.3829787234042534E-2</v>
      </c>
      <c r="IT171" s="198">
        <f t="shared" ref="IT171" si="1370">IT170/IM170-1</f>
        <v>-2.7472527472527375E-3</v>
      </c>
      <c r="IV171" s="197" t="str">
        <f t="shared" si="1247"/>
        <v>YoY Change (%)</v>
      </c>
      <c r="IW171" s="198">
        <f>IW170/IP170-1</f>
        <v>-5.6818181818182323E-3</v>
      </c>
      <c r="IX171" s="198">
        <f t="shared" ref="IX171" si="1371">IX170/IQ170-1</f>
        <v>-8.0213903743315496E-2</v>
      </c>
      <c r="IY171" s="198">
        <f t="shared" ref="IY171" si="1372">IY170/IR170-1</f>
        <v>-7.4866310160427774E-2</v>
      </c>
      <c r="IZ171" s="198">
        <f t="shared" ref="IZ171" si="1373">IZ170/IS170-1</f>
        <v>2.2727272727272707E-2</v>
      </c>
      <c r="JA171" s="198">
        <f t="shared" ref="JA171" si="1374">JA170/IT170-1</f>
        <v>-3.5812672176308569E-2</v>
      </c>
      <c r="JC171" s="197" t="str">
        <f t="shared" si="1248"/>
        <v>YoY Change (%)</v>
      </c>
      <c r="JD171" s="198">
        <f>JD170/IW170-1</f>
        <v>0</v>
      </c>
      <c r="JE171" s="198">
        <f t="shared" ref="JE171" si="1375">JE170/IX170-1</f>
        <v>-1.744186046511631E-2</v>
      </c>
      <c r="JF171" s="198">
        <f t="shared" ref="JF171" si="1376">JF170/IY170-1</f>
        <v>-5.2023121387283267E-2</v>
      </c>
      <c r="JG171" s="198">
        <f t="shared" ref="JG171" si="1377">JG170/IZ170-1</f>
        <v>-8.8888888888888906E-2</v>
      </c>
      <c r="JH171" s="198">
        <f t="shared" ref="JH171" si="1378">JH170/JA170-1</f>
        <v>-4.0000000000000036E-2</v>
      </c>
      <c r="JJ171" s="197" t="str">
        <f t="shared" si="1249"/>
        <v>YoY Change (%)</v>
      </c>
      <c r="JK171" s="198">
        <f>JK170/JD170-1</f>
        <v>-7.4285714285714288E-2</v>
      </c>
      <c r="JL171" s="198">
        <f t="shared" ref="JL171" si="1379">JL170/JE170-1</f>
        <v>0</v>
      </c>
      <c r="JM171" s="198">
        <f t="shared" ref="JM171" si="1380">JM170/JF170-1</f>
        <v>4.8780487804878092E-2</v>
      </c>
      <c r="JN171" s="198">
        <f t="shared" ref="JN171" si="1381">JN170/JG170-1</f>
        <v>4.8780487804878092E-2</v>
      </c>
      <c r="JO171" s="198">
        <f t="shared" ref="JO171" si="1382">JO170/JH170-1</f>
        <v>4.4642857142858094E-3</v>
      </c>
      <c r="JQ171" s="197" t="str">
        <f t="shared" si="1250"/>
        <v>YoY Change (%)</v>
      </c>
      <c r="JR171" s="198">
        <f>JR170/JK170-1</f>
        <v>3.0864197530864113E-2</v>
      </c>
      <c r="JS171" s="198">
        <f t="shared" ref="JS171" si="1383">JS170/JL170-1</f>
        <v>2.3668639053254337E-2</v>
      </c>
      <c r="JT171" s="198">
        <f t="shared" ref="JT171" si="1384">JT170/JM170-1</f>
        <v>-3.4883720930232509E-2</v>
      </c>
      <c r="JU171" s="198">
        <f t="shared" ref="JU171" si="1385">JU170/JN170-1</f>
        <v>-5.2325581395348819E-2</v>
      </c>
      <c r="JV171" s="198">
        <f t="shared" ref="JV171" si="1386">JV170/JO170-1</f>
        <v>-8.8888888888888351E-3</v>
      </c>
      <c r="JX171" s="197" t="str">
        <f t="shared" si="1251"/>
        <v>YoY Change (%)</v>
      </c>
      <c r="JY171" s="198">
        <f>JY170/JR170-1</f>
        <v>6.5868263473053856E-2</v>
      </c>
      <c r="JZ171" s="198">
        <f t="shared" ref="JZ171" si="1387">JZ170/JS170-1</f>
        <v>-0.12138728323699421</v>
      </c>
      <c r="KA171" s="198">
        <f t="shared" ref="KA171" si="1388">KA170/JT170-1</f>
        <v>-6.0240963855421326E-3</v>
      </c>
      <c r="KB171" s="198">
        <f t="shared" ref="KB171" si="1389">KB170/JU170-1</f>
        <v>3.6809815950920255E-2</v>
      </c>
      <c r="KC171" s="198">
        <f t="shared" ref="KC171" si="1390">KC170/JV170-1</f>
        <v>-7.4738415545589909E-3</v>
      </c>
      <c r="KE171" s="197" t="str">
        <f t="shared" si="1252"/>
        <v>YoY Change (%)</v>
      </c>
      <c r="KF171" s="198">
        <f>KF170/JY170-1</f>
        <v>-8.4269662921348298E-2</v>
      </c>
      <c r="KG171" s="198">
        <f t="shared" ref="KG171" si="1391">KG170/JZ170-1</f>
        <v>9.8684210526315708E-2</v>
      </c>
      <c r="KH171" s="198">
        <f t="shared" ref="KH171" si="1392">KH170/KA170-1</f>
        <v>6.0606060606060996E-3</v>
      </c>
      <c r="KI171" s="198">
        <f t="shared" ref="KI171" si="1393">KI170/KB170-1</f>
        <v>-3.5502958579881616E-2</v>
      </c>
      <c r="KJ171" s="198">
        <f t="shared" ref="KJ171" si="1394">KJ170/KC170-1</f>
        <v>-7.5301204819276935E-3</v>
      </c>
      <c r="KL171" s="197" t="str">
        <f t="shared" si="1253"/>
        <v>YoY Change (%)</v>
      </c>
      <c r="KM171" s="198">
        <f>KM170/KF170-1</f>
        <v>-1.2269938650306789E-2</v>
      </c>
      <c r="KN171" s="198">
        <f t="shared" ref="KN171" si="1395">KN170/KG170-1</f>
        <v>-1.19760479041916E-2</v>
      </c>
      <c r="KO171" s="198">
        <f t="shared" ref="KO171" si="1396">KO170/KH170-1</f>
        <v>-2.4096385542168641E-2</v>
      </c>
      <c r="KP171" s="198">
        <f t="shared" ref="KP171" si="1397">KP170/KI170-1</f>
        <v>-6.1349693251533721E-2</v>
      </c>
      <c r="KQ171" s="198">
        <f t="shared" ref="KQ171" si="1398">KQ170/KJ170-1</f>
        <v>-2.7314112291350501E-2</v>
      </c>
      <c r="KS171" s="197" t="str">
        <f t="shared" si="1254"/>
        <v>YoY Change (%)</v>
      </c>
      <c r="KT171" s="198">
        <f>KT170/KM170-1</f>
        <v>-6.2111801242236142E-3</v>
      </c>
      <c r="KU171" s="198">
        <f t="shared" ref="KU171" si="1399">KU170/KN170-1</f>
        <v>-3.0303030303030276E-2</v>
      </c>
      <c r="KV171" s="198">
        <f t="shared" ref="KV171" si="1400">KV170/KO170-1</f>
        <v>-6.1728395061728669E-3</v>
      </c>
      <c r="KW171" s="198">
        <f t="shared" ref="KW171" si="1401">KW170/KP170-1</f>
        <v>5.2287581699346442E-2</v>
      </c>
      <c r="KX171" s="198">
        <f t="shared" ref="KX171" si="1402">KX170/KQ170-1</f>
        <v>1.5600624024960652E-3</v>
      </c>
      <c r="KZ171" s="197" t="str">
        <f t="shared" si="1255"/>
        <v>YoY Change (%)</v>
      </c>
      <c r="LA171" s="198">
        <f>LA170/KT170-1</f>
        <v>4.3749999999999956E-2</v>
      </c>
      <c r="LB171" s="198">
        <f>LB170/KU170-1</f>
        <v>8.7499999999999911E-2</v>
      </c>
      <c r="LC171" s="198">
        <f>LC170/KV170-1</f>
        <v>9.3167701863354102E-2</v>
      </c>
      <c r="LD171" s="198">
        <f t="shared" ref="LD171" si="1403">LD170/KW170-1</f>
        <v>6.211180124223592E-2</v>
      </c>
      <c r="LE171" s="199">
        <f t="shared" ref="LE171" si="1404">LE170/KX170-1</f>
        <v>7.1651090342679025E-2</v>
      </c>
      <c r="LF171" s="567"/>
      <c r="LG171" s="197" t="str">
        <f t="shared" si="1256"/>
        <v>YoY Change (%)</v>
      </c>
      <c r="LH171" s="198">
        <f>LH170/LA170-1</f>
        <v>-5.9880239520958556E-3</v>
      </c>
      <c r="LI171" s="198">
        <f>LI170/LB170-1</f>
        <v>-5.7471264367816133E-2</v>
      </c>
      <c r="LJ171" s="198">
        <f>LJ170/LC170-1</f>
        <v>-6.8181818181818232E-2</v>
      </c>
      <c r="LK171" s="198">
        <f>LK170/LD170-1</f>
        <v>-5.8479532163742687E-2</v>
      </c>
      <c r="LL171" s="199">
        <f t="shared" ref="LL171" si="1405">LL170/LE170-1</f>
        <v>-4.7965116279069742E-2</v>
      </c>
      <c r="LM171" s="567"/>
      <c r="LN171" s="197" t="str">
        <f t="shared" si="1257"/>
        <v>YoY Change (%)</v>
      </c>
      <c r="LO171" s="222">
        <v>-4.4999999999999998E-2</v>
      </c>
      <c r="LP171" s="222">
        <v>-0.02</v>
      </c>
      <c r="LQ171" s="222">
        <v>-0.01</v>
      </c>
      <c r="LR171" s="222">
        <v>0</v>
      </c>
      <c r="LS171" s="199">
        <f t="shared" ref="LS171" si="1406">LS170/LL170-1</f>
        <v>-1.8916030534351091E-2</v>
      </c>
      <c r="LT171" s="567"/>
      <c r="LU171" s="197" t="str">
        <f t="shared" si="1261"/>
        <v>YoY Change (%)</v>
      </c>
      <c r="LV171" s="222">
        <v>0.03</v>
      </c>
      <c r="LW171" s="222">
        <v>0.03</v>
      </c>
      <c r="LX171" s="222">
        <v>0.03</v>
      </c>
      <c r="LY171" s="222">
        <v>0.03</v>
      </c>
      <c r="LZ171" s="199">
        <f t="shared" ref="LZ171" si="1407">LZ170/LS170-1</f>
        <v>2.9999999999999805E-2</v>
      </c>
      <c r="MA171" s="567"/>
      <c r="MB171" s="197" t="str">
        <f t="shared" si="1265"/>
        <v>YoY Change (%)</v>
      </c>
      <c r="MC171" s="222">
        <v>3.2500000000000001E-2</v>
      </c>
      <c r="MD171" s="222">
        <v>0.03</v>
      </c>
      <c r="ME171" s="222">
        <v>2.5000000000000001E-2</v>
      </c>
      <c r="MF171" s="222">
        <v>0.02</v>
      </c>
      <c r="MG171" s="199">
        <f t="shared" ref="MG171" si="1408">MG170/LZ170-1</f>
        <v>2.6848049361199111E-2</v>
      </c>
      <c r="MH171" s="567"/>
    </row>
    <row r="172" spans="1:346" s="37" customFormat="1" ht="13.15" x14ac:dyDescent="0.4">
      <c r="A172" s="100"/>
      <c r="C172" s="186"/>
      <c r="D172" s="186"/>
      <c r="E172" s="191"/>
      <c r="F172" s="191"/>
      <c r="G172" s="191"/>
      <c r="H172" s="191"/>
      <c r="I172" s="191"/>
      <c r="J172" s="191"/>
      <c r="K172" s="191"/>
      <c r="L172" s="191"/>
      <c r="M172" s="191"/>
      <c r="N172" s="193"/>
      <c r="O172" s="193"/>
      <c r="P172" s="193"/>
      <c r="Q172" s="193"/>
      <c r="R172" s="193"/>
      <c r="S172" s="193"/>
      <c r="T172" s="193"/>
      <c r="U172" s="193"/>
      <c r="V172" s="193"/>
      <c r="W172" s="193"/>
      <c r="X172" s="193"/>
      <c r="Y172" s="193"/>
      <c r="Z172" s="193"/>
      <c r="AA172" s="193"/>
      <c r="AB172" s="193"/>
      <c r="AC172" s="193"/>
      <c r="AD172" s="193"/>
      <c r="AE172" s="193"/>
      <c r="AF172" s="193"/>
      <c r="AG172" s="193"/>
      <c r="AH172" s="193"/>
      <c r="AI172" s="193"/>
      <c r="AJ172" s="193"/>
      <c r="AK172" s="193"/>
      <c r="AL172" s="193"/>
      <c r="AM172" s="193"/>
      <c r="AN172" s="193"/>
      <c r="AO172" s="193"/>
      <c r="AP172" s="193"/>
      <c r="AQ172" s="193"/>
      <c r="AR172" s="193"/>
      <c r="AS172" s="193"/>
      <c r="AT172" s="193"/>
      <c r="AU172" s="193"/>
      <c r="AV172" s="193"/>
      <c r="AW172" s="193"/>
      <c r="AX172" s="193"/>
      <c r="AY172" s="193"/>
      <c r="AZ172" s="193"/>
      <c r="BA172" s="193"/>
      <c r="BB172" s="193"/>
      <c r="BC172" s="193"/>
      <c r="BD172" s="193"/>
      <c r="BE172" s="193"/>
      <c r="BF172" s="193"/>
      <c r="BG172" s="193"/>
      <c r="BH172" s="193"/>
      <c r="BI172" s="193"/>
      <c r="BJ172" s="193"/>
      <c r="BK172" s="193"/>
      <c r="BL172" s="193"/>
      <c r="BM172" s="193"/>
      <c r="BP172" s="193"/>
      <c r="BQ172" s="193"/>
      <c r="BR172" s="193"/>
      <c r="BS172" s="193"/>
      <c r="BT172" s="193"/>
      <c r="BW172" s="193"/>
      <c r="BX172" s="193"/>
      <c r="BY172" s="193"/>
      <c r="BZ172" s="193"/>
      <c r="CA172" s="193"/>
      <c r="CD172" s="193"/>
      <c r="CE172" s="193"/>
      <c r="CF172" s="193"/>
      <c r="CG172" s="193"/>
      <c r="CH172" s="193"/>
      <c r="CK172" s="193"/>
      <c r="CL172" s="193"/>
      <c r="CM172" s="193"/>
      <c r="CN172" s="193"/>
      <c r="CO172" s="193"/>
      <c r="CR172" s="193"/>
      <c r="CS172" s="193"/>
      <c r="CT172" s="193"/>
      <c r="CU172" s="193"/>
      <c r="CV172" s="193"/>
      <c r="CY172" s="193"/>
      <c r="CZ172" s="193"/>
      <c r="DA172" s="193"/>
      <c r="DB172" s="193"/>
      <c r="DC172" s="193"/>
      <c r="DF172" s="193"/>
      <c r="DG172" s="193"/>
      <c r="DH172" s="193"/>
      <c r="DI172" s="193"/>
      <c r="DJ172" s="193"/>
      <c r="DM172" s="193"/>
      <c r="DN172" s="193"/>
      <c r="DO172" s="193"/>
      <c r="DP172" s="193"/>
      <c r="DQ172" s="193"/>
      <c r="DT172" s="193"/>
      <c r="DU172" s="193"/>
      <c r="DV172" s="193"/>
      <c r="DW172" s="193"/>
      <c r="DX172" s="193"/>
      <c r="EA172" s="193"/>
      <c r="EB172" s="193"/>
      <c r="EC172" s="193"/>
      <c r="ED172" s="193"/>
      <c r="EE172" s="193"/>
      <c r="EH172" s="193"/>
      <c r="EI172" s="193"/>
      <c r="EJ172" s="193"/>
      <c r="EK172" s="193"/>
      <c r="EL172" s="193"/>
      <c r="EO172" s="193"/>
      <c r="EP172" s="193"/>
      <c r="EQ172" s="193"/>
      <c r="ER172" s="193"/>
      <c r="ES172" s="193"/>
      <c r="EV172" s="193"/>
      <c r="EW172" s="193"/>
      <c r="EX172" s="193"/>
      <c r="EY172" s="193"/>
      <c r="EZ172" s="193"/>
      <c r="FC172" s="193"/>
      <c r="FD172" s="193"/>
      <c r="FE172" s="193"/>
      <c r="FF172" s="193"/>
      <c r="FG172" s="193"/>
      <c r="FJ172" s="193"/>
      <c r="FK172" s="193"/>
      <c r="FL172" s="193"/>
      <c r="FM172" s="193"/>
      <c r="FN172" s="193"/>
      <c r="FQ172" s="193"/>
      <c r="FR172" s="193"/>
      <c r="FS172" s="193"/>
      <c r="FT172" s="193"/>
      <c r="FU172" s="193"/>
      <c r="FX172" s="193"/>
      <c r="FY172" s="193"/>
      <c r="FZ172" s="193"/>
      <c r="GA172" s="193"/>
      <c r="GB172" s="193"/>
      <c r="GE172" s="193"/>
      <c r="GF172" s="193"/>
      <c r="GG172" s="193"/>
      <c r="GH172" s="193"/>
      <c r="GI172" s="193"/>
      <c r="GL172" s="193"/>
      <c r="GM172" s="193"/>
      <c r="GN172" s="193"/>
      <c r="GO172" s="193"/>
      <c r="GP172" s="193"/>
      <c r="GS172" s="193"/>
      <c r="GT172" s="193"/>
      <c r="GU172" s="193"/>
      <c r="GV172" s="193"/>
      <c r="GW172" s="193"/>
      <c r="GZ172" s="193"/>
      <c r="HA172" s="193"/>
      <c r="HB172" s="193"/>
      <c r="HC172" s="193"/>
      <c r="HD172" s="193"/>
      <c r="HG172" s="193"/>
      <c r="HH172" s="193"/>
      <c r="HI172" s="193"/>
      <c r="HJ172" s="193"/>
      <c r="HK172" s="193"/>
      <c r="HN172" s="193"/>
      <c r="HO172" s="193"/>
      <c r="HP172" s="193"/>
      <c r="HQ172" s="193"/>
      <c r="HR172" s="193"/>
      <c r="HU172" s="193"/>
      <c r="HV172" s="193"/>
      <c r="HW172" s="193"/>
      <c r="HX172" s="193"/>
      <c r="HY172" s="193"/>
      <c r="IB172" s="193"/>
      <c r="IC172" s="193"/>
      <c r="ID172" s="193"/>
      <c r="IE172" s="193"/>
      <c r="IF172" s="193"/>
      <c r="II172" s="193"/>
      <c r="IJ172" s="193"/>
      <c r="IK172" s="193"/>
      <c r="IL172" s="193"/>
      <c r="IM172" s="193"/>
      <c r="IP172" s="193"/>
      <c r="IQ172" s="193"/>
      <c r="IR172" s="193"/>
      <c r="IS172" s="193"/>
      <c r="IT172" s="193"/>
      <c r="IW172" s="193"/>
      <c r="IX172" s="193"/>
      <c r="IY172" s="193"/>
      <c r="IZ172" s="193"/>
      <c r="JA172" s="193"/>
      <c r="JD172" s="193"/>
      <c r="JE172" s="193"/>
      <c r="JF172" s="193"/>
      <c r="JG172" s="193"/>
      <c r="JH172" s="193"/>
      <c r="JK172" s="193"/>
      <c r="JL172" s="193"/>
      <c r="JM172" s="193"/>
      <c r="JN172" s="193"/>
      <c r="JO172" s="193"/>
      <c r="JR172" s="193"/>
      <c r="JS172" s="193"/>
      <c r="JT172" s="193"/>
      <c r="JU172" s="193"/>
      <c r="JV172" s="193"/>
      <c r="JY172" s="193"/>
      <c r="JZ172" s="193"/>
      <c r="KA172" s="193"/>
      <c r="KB172" s="193"/>
      <c r="KC172" s="193"/>
      <c r="KF172" s="193"/>
      <c r="KG172" s="193"/>
      <c r="KH172" s="193"/>
      <c r="KI172" s="193"/>
      <c r="KJ172" s="193"/>
      <c r="KM172" s="193"/>
      <c r="KN172" s="193"/>
      <c r="KO172" s="193"/>
      <c r="KP172" s="193"/>
      <c r="KQ172" s="193"/>
      <c r="KT172" s="193"/>
      <c r="KU172" s="193"/>
      <c r="KV172" s="193"/>
      <c r="KW172" s="193"/>
      <c r="KX172" s="193"/>
      <c r="LA172" s="193"/>
      <c r="LB172" s="193"/>
      <c r="LC172" s="193"/>
      <c r="LD172" s="193"/>
      <c r="LE172" s="200"/>
      <c r="LF172" s="565"/>
      <c r="LH172" s="198"/>
      <c r="LI172" s="198"/>
      <c r="LJ172" s="198"/>
      <c r="LK172" s="198"/>
      <c r="LL172" s="193"/>
      <c r="LM172" s="555"/>
      <c r="LN172" s="68"/>
      <c r="LO172" s="198"/>
      <c r="LP172" s="198"/>
      <c r="LQ172" s="198"/>
      <c r="LR172" s="198"/>
      <c r="LS172" s="193"/>
      <c r="LT172" s="555"/>
      <c r="LU172" s="68"/>
      <c r="LV172" s="198"/>
      <c r="LW172" s="198"/>
      <c r="LX172" s="198"/>
      <c r="LY172" s="198"/>
      <c r="LZ172" s="200"/>
      <c r="MA172" s="565"/>
      <c r="MB172" s="68"/>
      <c r="MC172" s="198"/>
      <c r="MD172" s="198"/>
      <c r="ME172" s="198"/>
      <c r="MF172" s="198"/>
      <c r="MG172" s="200"/>
      <c r="MH172" s="565"/>
    </row>
    <row r="173" spans="1:346" s="37" customFormat="1" ht="13.15" x14ac:dyDescent="0.4">
      <c r="A173" s="100"/>
      <c r="B173" s="37" t="s">
        <v>517</v>
      </c>
      <c r="C173" s="186"/>
      <c r="D173" s="186"/>
      <c r="E173" s="191"/>
      <c r="F173" s="63"/>
      <c r="G173" s="63"/>
      <c r="H173" s="63"/>
      <c r="I173" s="63"/>
      <c r="J173" s="63"/>
      <c r="K173" s="63"/>
      <c r="L173" s="63"/>
      <c r="M173" s="63"/>
      <c r="N173" s="194">
        <f t="shared" ref="N173:AY173" si="1409">IFERROR(N9/N69*1000,"")</f>
        <v>1510.6951871657755</v>
      </c>
      <c r="O173" s="194">
        <f t="shared" si="1409"/>
        <v>1586.4864864864865</v>
      </c>
      <c r="P173" s="194">
        <f t="shared" si="1409"/>
        <v>1708.9337175792507</v>
      </c>
      <c r="Q173" s="194">
        <f t="shared" si="1409"/>
        <v>1738.7640449438202</v>
      </c>
      <c r="R173" s="194">
        <f t="shared" si="1409"/>
        <v>1757.4123989218328</v>
      </c>
      <c r="S173" s="194">
        <f t="shared" si="1409"/>
        <v>1774.6113989637306</v>
      </c>
      <c r="T173" s="194">
        <f t="shared" si="1409"/>
        <v>1724.1379310344826</v>
      </c>
      <c r="U173" s="194">
        <f t="shared" si="1409"/>
        <v>1760.3911980440096</v>
      </c>
      <c r="V173" s="194">
        <f t="shared" si="1409"/>
        <v>1717.2413793103449</v>
      </c>
      <c r="W173" s="194">
        <f t="shared" si="1409"/>
        <v>1668.918918918919</v>
      </c>
      <c r="X173" s="194">
        <f t="shared" si="1409"/>
        <v>1667.8899082568807</v>
      </c>
      <c r="Y173" s="194">
        <f t="shared" si="1409"/>
        <v>1728.7234042553193</v>
      </c>
      <c r="Z173" s="194">
        <f t="shared" si="1409"/>
        <v>1735.1851851851852</v>
      </c>
      <c r="AA173" s="194">
        <f t="shared" si="1409"/>
        <v>1778.5977859778598</v>
      </c>
      <c r="AB173" s="194">
        <f t="shared" si="1409"/>
        <v>1828.0961182994456</v>
      </c>
      <c r="AC173" s="194">
        <f t="shared" si="1409"/>
        <v>1895.3900709219859</v>
      </c>
      <c r="AD173" s="194">
        <f t="shared" si="1409"/>
        <v>2041.2757973733583</v>
      </c>
      <c r="AE173" s="194">
        <f t="shared" si="1409"/>
        <v>2291.6666666666665</v>
      </c>
      <c r="AF173" s="194">
        <f t="shared" si="1409"/>
        <v>2525.61669829222</v>
      </c>
      <c r="AG173" s="194">
        <f t="shared" si="1409"/>
        <v>2949.2900608519271</v>
      </c>
      <c r="AH173" s="194">
        <f t="shared" si="1409"/>
        <v>2988.2075471698113</v>
      </c>
      <c r="AI173" s="194">
        <f t="shared" si="1409"/>
        <v>3221.2581344902387</v>
      </c>
      <c r="AJ173" s="194">
        <f t="shared" si="1409"/>
        <v>3454.5454545454545</v>
      </c>
      <c r="AK173" s="194">
        <f t="shared" si="1409"/>
        <v>3571.1252653927813</v>
      </c>
      <c r="AL173" s="194">
        <f t="shared" si="1409"/>
        <v>3246.875</v>
      </c>
      <c r="AM173" s="194">
        <f t="shared" si="1409"/>
        <v>3262.3626373626375</v>
      </c>
      <c r="AN173" s="194">
        <f t="shared" si="1409"/>
        <v>3146.0055096418732</v>
      </c>
      <c r="AO173" s="194">
        <f t="shared" si="1409"/>
        <v>3130</v>
      </c>
      <c r="AP173" s="194">
        <f t="shared" si="1409"/>
        <v>3288.6904761904761</v>
      </c>
      <c r="AQ173" s="194">
        <f t="shared" si="1409"/>
        <v>3465.1851851851852</v>
      </c>
      <c r="AR173" s="194">
        <f t="shared" si="1409"/>
        <v>3503.7369207772799</v>
      </c>
      <c r="AS173" s="194">
        <f t="shared" si="1409"/>
        <v>3477.4096385542166</v>
      </c>
      <c r="AT173" s="194">
        <f t="shared" si="1409"/>
        <v>3673.7481031866464</v>
      </c>
      <c r="AU173" s="194">
        <f t="shared" si="1409"/>
        <v>4031.201248049922</v>
      </c>
      <c r="AV173" s="194">
        <f t="shared" si="1409"/>
        <v>4048.2866043613708</v>
      </c>
      <c r="AW173" s="194">
        <f t="shared" si="1409"/>
        <v>4142.4418604651155</v>
      </c>
      <c r="AX173" s="194">
        <f t="shared" si="1409"/>
        <v>4238.1679389312976</v>
      </c>
      <c r="AY173" s="194">
        <f t="shared" si="1409"/>
        <v>4344.4271019747594</v>
      </c>
      <c r="AZ173" s="194">
        <f t="shared" ref="AZ173:BA173" si="1410">IFERROR(AZ9/AZ69*1000,"")</f>
        <v>4463.8988472790661</v>
      </c>
      <c r="BA173" s="194">
        <f t="shared" si="1410"/>
        <v>4575.4032332183015</v>
      </c>
      <c r="BB173" s="194"/>
      <c r="BC173" s="194"/>
      <c r="BD173" s="194"/>
      <c r="BE173" s="194"/>
      <c r="BF173" s="194"/>
      <c r="BG173" s="194"/>
      <c r="BH173" s="194"/>
      <c r="BI173" s="194"/>
      <c r="BJ173" s="194"/>
      <c r="BK173" s="194"/>
      <c r="BL173" s="194"/>
      <c r="BM173" s="194"/>
      <c r="BO173" s="37" t="str">
        <f t="shared" si="1220"/>
        <v>Revenue per carload ($)</v>
      </c>
      <c r="BP173" s="193">
        <f>IFERROR(BP9/BP69*1000,"")</f>
        <v>1469.387755102041</v>
      </c>
      <c r="BQ173" s="193">
        <f>IFERROR(BQ9/BQ69*1000,"")</f>
        <v>1510.6382978723404</v>
      </c>
      <c r="BR173" s="193">
        <f>IFERROR(BR9/BR69*1000,"")</f>
        <v>1494.6236559139786</v>
      </c>
      <c r="BS173" s="193">
        <f>IFERROR(BS9/BS69*1000,"")</f>
        <v>1573.0337078651687</v>
      </c>
      <c r="BT173" s="193">
        <f>IFERROR(BT9/BT69*1000,"")</f>
        <v>1510.6951871657755</v>
      </c>
      <c r="BV173" s="37" t="str">
        <f t="shared" si="1221"/>
        <v>Revenue per carload ($)</v>
      </c>
      <c r="BW173" s="193">
        <f>IFERROR(BW9/BW69*1000,"")</f>
        <v>1568.421052631579</v>
      </c>
      <c r="BX173" s="193">
        <f>IFERROR(BX9/BX69*1000,"")</f>
        <v>1569.8924731182794</v>
      </c>
      <c r="BY173" s="193">
        <f>IFERROR(BY9/BY69*1000,"")</f>
        <v>1553.191489361702</v>
      </c>
      <c r="BZ173" s="193">
        <f>IFERROR(BZ9/BZ69*1000,"")</f>
        <v>1659.0909090909092</v>
      </c>
      <c r="CA173" s="193">
        <f>IFERROR(CA9/CA69*1000,"")</f>
        <v>1586.4864864864865</v>
      </c>
      <c r="CC173" s="37" t="str">
        <f t="shared" si="1222"/>
        <v>Revenue per carload ($)</v>
      </c>
      <c r="CD173" s="193">
        <f>IFERROR(CD9/CD69*1000,"")</f>
        <v>1682.3529411764705</v>
      </c>
      <c r="CE173" s="193">
        <f>IFERROR(CE9/CE69*1000,"")</f>
        <v>1717.6470588235293</v>
      </c>
      <c r="CF173" s="193">
        <f>IFERROR(CF9/CF69*1000,"")</f>
        <v>1707.8651685393259</v>
      </c>
      <c r="CG173" s="193">
        <f>IFERROR(CG9/CG69*1000,"")</f>
        <v>1727.2727272727273</v>
      </c>
      <c r="CH173" s="193">
        <f>IFERROR(CH9/CH69*1000,"")</f>
        <v>1708.9337175792507</v>
      </c>
      <c r="CJ173" s="37" t="str">
        <f t="shared" si="1223"/>
        <v>Revenue per carload ($)</v>
      </c>
      <c r="CK173" s="193">
        <f>IFERROR(CK9/CK69*1000,"")</f>
        <v>1750</v>
      </c>
      <c r="CL173" s="193">
        <f>IFERROR(CL9/CL69*1000,"")</f>
        <v>1755.5555555555554</v>
      </c>
      <c r="CM173" s="193">
        <f>IFERROR(CM9/CM69*1000,"")</f>
        <v>1711.1111111111111</v>
      </c>
      <c r="CN173" s="193">
        <f>IFERROR(CN9/CN69*1000,"")</f>
        <v>1738.6363636363635</v>
      </c>
      <c r="CO173" s="193">
        <f>IFERROR(CO9/CO69*1000,"")</f>
        <v>1738.7640449438202</v>
      </c>
      <c r="CQ173" s="37" t="str">
        <f t="shared" si="1224"/>
        <v>Revenue per carload ($)</v>
      </c>
      <c r="CR173" s="193">
        <f>IFERROR(CR9/CR69*1000,"")</f>
        <v>1766.6666666666665</v>
      </c>
      <c r="CS173" s="193">
        <f>IFERROR(CS9/CS69*1000,"")</f>
        <v>1763.4408602150538</v>
      </c>
      <c r="CT173" s="193">
        <f>IFERROR(CT9/CT69*1000,"")</f>
        <v>1734.0425531914893</v>
      </c>
      <c r="CU173" s="193">
        <f>IFERROR(CU9/CU69*1000,"")</f>
        <v>1765.9574468085107</v>
      </c>
      <c r="CV173" s="193">
        <f>IFERROR(CV9/CV69*1000,"")</f>
        <v>1757.4123989218328</v>
      </c>
      <c r="CX173" s="37" t="str">
        <f t="shared" si="1225"/>
        <v>Revenue per carload ($)</v>
      </c>
      <c r="CY173" s="193">
        <f>IFERROR(CY9/CY69*1000,"")</f>
        <v>1787.2340425531913</v>
      </c>
      <c r="CZ173" s="193">
        <f>IFERROR(CZ9/CZ69*1000,"")</f>
        <v>1793.8144329896909</v>
      </c>
      <c r="DA173" s="193">
        <f>IFERROR(DA9/DA69*1000,"")</f>
        <v>1760.4166666666667</v>
      </c>
      <c r="DB173" s="193">
        <f>IFERROR(DB9/DB69*1000,"")</f>
        <v>1757.5757575757575</v>
      </c>
      <c r="DC173" s="193">
        <f>IFERROR(DC9/DC69*1000,"")</f>
        <v>1774.6113989637306</v>
      </c>
      <c r="DE173" s="37" t="str">
        <f t="shared" si="1226"/>
        <v>Revenue per carload ($)</v>
      </c>
      <c r="DF173" s="193">
        <f>IFERROR(DF9/DF69*1000,"")</f>
        <v>1745.0980392156862</v>
      </c>
      <c r="DG173" s="193">
        <f>IFERROR(DG9/DG69*1000,"")</f>
        <v>1740</v>
      </c>
      <c r="DH173" s="193">
        <f>IFERROR(DH9/DH69*1000,"")</f>
        <v>1682.6923076923076</v>
      </c>
      <c r="DI173" s="193">
        <f>IFERROR(DI9/DI69*1000,"")</f>
        <v>1730</v>
      </c>
      <c r="DJ173" s="193">
        <f>IFERROR(DJ9/DJ69*1000,"")</f>
        <v>1724.1379310344826</v>
      </c>
      <c r="DL173" s="37" t="str">
        <f t="shared" si="1227"/>
        <v>Revenue per carload ($)</v>
      </c>
      <c r="DM173" s="193">
        <f>IFERROR(DM9/DM69*1000,"")</f>
        <v>1745.0980392156862</v>
      </c>
      <c r="DN173" s="193">
        <f>IFERROR(DN9/DN69*1000,"")</f>
        <v>1762.3762376237623</v>
      </c>
      <c r="DO173" s="193">
        <f>IFERROR(DO9/DO69*1000,"")</f>
        <v>1759.6153846153845</v>
      </c>
      <c r="DP173" s="193">
        <f>IFERROR(DP9/DP69*1000,"")</f>
        <v>1774.5098039215686</v>
      </c>
      <c r="DQ173" s="193">
        <f>IFERROR(DQ9/DQ69*1000,"")</f>
        <v>1760.3911980440096</v>
      </c>
      <c r="DS173" s="37" t="str">
        <f t="shared" si="1228"/>
        <v>Revenue per carload ($)</v>
      </c>
      <c r="DT173" s="193">
        <f>IFERROR(DT9/DT69*1000,"")</f>
        <v>1750</v>
      </c>
      <c r="DU173" s="193">
        <f>IFERROR(DU9/DU69*1000,"")</f>
        <v>1752.2935779816512</v>
      </c>
      <c r="DV173" s="193">
        <f>IFERROR(DV9/DV69*1000,"")</f>
        <v>1678.8990825688072</v>
      </c>
      <c r="DW173" s="193">
        <f>IFERROR(DW9/DW69*1000,"")</f>
        <v>1688.0733944954129</v>
      </c>
      <c r="DX173" s="193">
        <f>IFERROR(DX9/DX69*1000,"")</f>
        <v>1717.2413793103449</v>
      </c>
      <c r="DZ173" s="37" t="str">
        <f t="shared" si="1229"/>
        <v>Revenue per carload ($)</v>
      </c>
      <c r="EA173" s="193">
        <f>IFERROR(EA9/EA69*1000,"")</f>
        <v>1678.5714285714287</v>
      </c>
      <c r="EB173" s="193">
        <f>IFERROR(EB9/EB69*1000,"")</f>
        <v>1669.6428571428571</v>
      </c>
      <c r="EC173" s="193">
        <f>IFERROR(EC9/EC69*1000,"")</f>
        <v>1678.5714285714287</v>
      </c>
      <c r="ED173" s="193">
        <f>IFERROR(ED9/ED69*1000,"")</f>
        <v>1648.148148148148</v>
      </c>
      <c r="EE173" s="193">
        <f>IFERROR(EE9/EE69*1000,"")</f>
        <v>1668.918918918919</v>
      </c>
      <c r="EG173" s="37" t="str">
        <f t="shared" si="1230"/>
        <v>Revenue per carload ($)</v>
      </c>
      <c r="EH173" s="193">
        <f>IFERROR(EH9/EH69*1000,"")</f>
        <v>1661.1570247933885</v>
      </c>
      <c r="EI173" s="193">
        <f>IFERROR(EI9/EI69*1000,"")</f>
        <v>1697.674418604651</v>
      </c>
      <c r="EJ173" s="193">
        <f>IFERROR(EJ9/EJ69*1000,"")</f>
        <v>1666.6666666666667</v>
      </c>
      <c r="EK173" s="193">
        <f>IFERROR(EK9/EK69*1000,"")</f>
        <v>1648.6486486486488</v>
      </c>
      <c r="EL173" s="193">
        <f>IFERROR(EL9/EL69*1000,"")</f>
        <v>1667.8899082568807</v>
      </c>
      <c r="EN173" s="37" t="str">
        <f t="shared" si="1231"/>
        <v>Revenue per carload ($)</v>
      </c>
      <c r="EO173" s="193">
        <f>IFERROR(EO9/EO69*1000,"")</f>
        <v>1725.3521126760563</v>
      </c>
      <c r="EP173" s="193">
        <f>IFERROR(EP9/EP69*1000,"")</f>
        <v>1724.1379310344826</v>
      </c>
      <c r="EQ173" s="193">
        <f>IFERROR(EQ9/EQ69*1000,"")</f>
        <v>1735.7142857142858</v>
      </c>
      <c r="ER173" s="193">
        <f>IFERROR(ER9/ER69*1000,"")</f>
        <v>1729.9270072992701</v>
      </c>
      <c r="ES173" s="193">
        <f>IFERROR(ES9/ES69*1000,"")</f>
        <v>1728.7234042553193</v>
      </c>
      <c r="EU173" s="37" t="str">
        <f t="shared" si="1232"/>
        <v>Revenue per carload ($)</v>
      </c>
      <c r="EV173" s="193">
        <f>IFERROR(EV9/EV69*1000,"")</f>
        <v>1742.8571428571429</v>
      </c>
      <c r="EW173" s="193">
        <f>IFERROR(EW9/EW69*1000,"")</f>
        <v>1731.8840579710145</v>
      </c>
      <c r="EX173" s="193">
        <f>IFERROR(EX9/EX69*1000,"")</f>
        <v>1729.3233082706768</v>
      </c>
      <c r="EY173" s="193">
        <f>IFERROR(EY9/EY69*1000,"")</f>
        <v>1736.4341085271317</v>
      </c>
      <c r="EZ173" s="193">
        <f>IFERROR(EZ9/EZ69*1000,"")</f>
        <v>1735.1851851851852</v>
      </c>
      <c r="FB173" s="37" t="str">
        <f t="shared" si="1233"/>
        <v>Revenue per carload ($)</v>
      </c>
      <c r="FC173" s="193">
        <f>IFERROR(FC9/FC69*1000,"")</f>
        <v>1762.962962962963</v>
      </c>
      <c r="FD173" s="193">
        <f>IFERROR(FD9/FD69*1000,"")</f>
        <v>1757.1428571428571</v>
      </c>
      <c r="FE173" s="193">
        <f>IFERROR(FE9/FE69*1000,"")</f>
        <v>1783.5820895522388</v>
      </c>
      <c r="FF173" s="193">
        <f>IFERROR(FF9/FF69*1000,"")</f>
        <v>1812.0300751879699</v>
      </c>
      <c r="FG173" s="193">
        <f>IFERROR(FG9/FG69*1000,"")</f>
        <v>1778.5977859778598</v>
      </c>
      <c r="FI173" s="37" t="str">
        <f t="shared" si="1234"/>
        <v>Revenue per carload ($)</v>
      </c>
      <c r="FJ173" s="193">
        <f>IFERROR(FJ9/FJ69*1000,"")</f>
        <v>1824.8175182481752</v>
      </c>
      <c r="FK173" s="193">
        <f>IFERROR(FK9/FK69*1000,"")</f>
        <v>1827.0676691729325</v>
      </c>
      <c r="FL173" s="193">
        <f>IFERROR(FL9/FL69*1000,"")</f>
        <v>1823.5294117647059</v>
      </c>
      <c r="FM173" s="193">
        <f>IFERROR(FM9/FM69*1000,"")</f>
        <v>1837.037037037037</v>
      </c>
      <c r="FN173" s="193">
        <f>IFERROR(FN9/FN69*1000,"")</f>
        <v>1828.0961182994456</v>
      </c>
      <c r="FP173" s="37" t="str">
        <f t="shared" si="1235"/>
        <v>Revenue per carload ($)</v>
      </c>
      <c r="FQ173" s="193">
        <f>IFERROR(FQ9/FQ69*1000,"")</f>
        <v>1841.7266187050361</v>
      </c>
      <c r="FR173" s="193">
        <f>IFERROR(FR9/FR69*1000,"")</f>
        <v>1885.7142857142858</v>
      </c>
      <c r="FS173" s="193">
        <f>IFERROR(FS9/FS69*1000,"")</f>
        <v>1913.6690647482014</v>
      </c>
      <c r="FT173" s="193">
        <f>IFERROR(FT9/FT69*1000,"")</f>
        <v>1938.3561643835617</v>
      </c>
      <c r="FU173" s="193">
        <f>IFERROR(FU9/FU69*1000,"")</f>
        <v>1895.3900709219859</v>
      </c>
      <c r="FW173" s="37" t="str">
        <f t="shared" si="1236"/>
        <v>Revenue per carload ($)</v>
      </c>
      <c r="FX173" s="193">
        <f>IFERROR(FX9/FX69*1000,"")</f>
        <v>1964.2857142857142</v>
      </c>
      <c r="FY173" s="193">
        <f>IFERROR(FY9/FY69*1000,"")</f>
        <v>2000</v>
      </c>
      <c r="FZ173" s="193">
        <f>IFERROR(FZ9/FZ69*1000,"")</f>
        <v>2053.4351145038172</v>
      </c>
      <c r="GA173" s="193">
        <f>IFERROR(GA9/GA69*1000,"")</f>
        <v>2157.48031496063</v>
      </c>
      <c r="GB173" s="193">
        <f>IFERROR(GB9/GB69*1000,"")</f>
        <v>2041.2757973733583</v>
      </c>
      <c r="GD173" s="37" t="str">
        <f t="shared" si="1237"/>
        <v>Revenue per carload ($)</v>
      </c>
      <c r="GE173" s="193">
        <f>IFERROR(GE9/GE69*1000,"")</f>
        <v>2185.1851851851852</v>
      </c>
      <c r="GF173" s="193">
        <f>IFERROR(GF9/GF69*1000,"")</f>
        <v>2276.1194029850744</v>
      </c>
      <c r="GG173" s="193">
        <f>IFERROR(GG9/GG69*1000,"")</f>
        <v>2353.3834586466169</v>
      </c>
      <c r="GH173" s="193">
        <f>IFERROR(GH9/GH69*1000,"")</f>
        <v>2357.1428571428573</v>
      </c>
      <c r="GI173" s="193">
        <f>IFERROR(GI9/GI69*1000,"")</f>
        <v>2291.6666666666665</v>
      </c>
      <c r="GK173" s="37" t="str">
        <f t="shared" si="1238"/>
        <v>Revenue per carload ($)</v>
      </c>
      <c r="GL173" s="193">
        <f>IFERROR(GL9/GL69*1000,"")</f>
        <v>2395.5223880597014</v>
      </c>
      <c r="GM173" s="193">
        <f>IFERROR(GM9/GM69*1000,"")</f>
        <v>2433.8235294117644</v>
      </c>
      <c r="GN173" s="193">
        <f>IFERROR(GN9/GN69*1000,"")</f>
        <v>2603.0534351145034</v>
      </c>
      <c r="GO173" s="193">
        <f>IFERROR(GO9/GO69*1000,"")</f>
        <v>2682.5396825396824</v>
      </c>
      <c r="GP173" s="193">
        <f>IFERROR(GP9/GP69*1000,"")</f>
        <v>2525.61669829222</v>
      </c>
      <c r="GR173" s="37" t="str">
        <f t="shared" si="1239"/>
        <v>Revenue per carload ($)</v>
      </c>
      <c r="GS173" s="193">
        <f>IFERROR(GS9/GS69*1000,"")</f>
        <v>2806.2015503875969</v>
      </c>
      <c r="GT173" s="193">
        <f>IFERROR(GT9/GT69*1000,"")</f>
        <v>2908.3969465648852</v>
      </c>
      <c r="GU173" s="193">
        <f>IFERROR(GU9/GU69*1000,"")</f>
        <v>3080</v>
      </c>
      <c r="GV173" s="193">
        <f>IFERROR(GV9/GV69*1000,"")</f>
        <v>3018.5185185185187</v>
      </c>
      <c r="GW173" s="193">
        <f>IFERROR(GW9/GW69*1000,"")</f>
        <v>2949.2900608519271</v>
      </c>
      <c r="GY173" s="37" t="str">
        <f t="shared" si="1240"/>
        <v>Revenue per carload ($)</v>
      </c>
      <c r="GZ173" s="193">
        <f>IFERROR(GZ9/GZ69*1000,"")</f>
        <v>2933.333333333333</v>
      </c>
      <c r="HA173" s="193">
        <f>IFERROR(HA9/HA69*1000,"")</f>
        <v>2933.333333333333</v>
      </c>
      <c r="HB173" s="193">
        <f>IFERROR(HB9/HB69*1000,"")</f>
        <v>3018.181818181818</v>
      </c>
      <c r="HC173" s="193">
        <f>IFERROR(HC9/HC69*1000,"")</f>
        <v>3067.3076923076924</v>
      </c>
      <c r="HD173" s="193">
        <f>IFERROR(HD9/HD69*1000,"")</f>
        <v>2988.2075471698113</v>
      </c>
      <c r="HF173" s="37" t="str">
        <f t="shared" si="1241"/>
        <v>Revenue per carload ($)</v>
      </c>
      <c r="HG173" s="193">
        <f>IFERROR(HG9/HG69*1000,"")</f>
        <v>3133.9285714285716</v>
      </c>
      <c r="HH173" s="193">
        <f>IFERROR(HH9/HH69*1000,"")</f>
        <v>3206.8965517241377</v>
      </c>
      <c r="HI173" s="193">
        <f>IFERROR(HI9/HI69*1000,"")</f>
        <v>3267.2413793103447</v>
      </c>
      <c r="HJ173" s="193">
        <f>IFERROR(HJ9/HJ69*1000,"")</f>
        <v>3273.5042735042734</v>
      </c>
      <c r="HK173" s="193">
        <f>IFERROR(HK9/HK69*1000,"")</f>
        <v>3221.2581344902387</v>
      </c>
      <c r="HM173" s="37" t="str">
        <f t="shared" si="1242"/>
        <v>Revenue per carload ($)</v>
      </c>
      <c r="HN173" s="193">
        <f>IFERROR(HN9/HN69*1000,"")</f>
        <v>3367.5213675213677</v>
      </c>
      <c r="HO173" s="193">
        <f>IFERROR(HO9/HO69*1000,"")</f>
        <v>3470.5882352941176</v>
      </c>
      <c r="HP173" s="193">
        <f>IFERROR(HP9/HP69*1000,"")</f>
        <v>3508.6206896551726</v>
      </c>
      <c r="HQ173" s="193">
        <f>IFERROR(HQ9/HQ69*1000,"")</f>
        <v>3472.7272727272725</v>
      </c>
      <c r="HR173" s="193">
        <f>IFERROR(HR9/HR69*1000,"")</f>
        <v>3454.5454545454545</v>
      </c>
      <c r="HT173" s="37" t="str">
        <f t="shared" si="1243"/>
        <v>Revenue per carload ($)</v>
      </c>
      <c r="HU173" s="193">
        <f>IFERROR(HU9/HU69*1000,"")</f>
        <v>3547.0085470085469</v>
      </c>
      <c r="HV173" s="193">
        <f>IFERROR(HV9/HV69*1000,"")</f>
        <v>3583.3333333333335</v>
      </c>
      <c r="HW173" s="193">
        <f>IFERROR(HW9/HW69*1000,"")</f>
        <v>3593.2203389830511</v>
      </c>
      <c r="HX173" s="193">
        <f>IFERROR(HX9/HX69*1000,"")</f>
        <v>3560.344827586207</v>
      </c>
      <c r="HY173" s="193">
        <f>IFERROR(HY9/HY69*1000,"")</f>
        <v>3571.1252653927813</v>
      </c>
      <c r="IA173" s="37" t="str">
        <f t="shared" si="1244"/>
        <v>Revenue per carload ($)</v>
      </c>
      <c r="IB173" s="193">
        <f>IFERROR(IB9/IB69*1000,"")</f>
        <v>3337.7483443708611</v>
      </c>
      <c r="IC173" s="193">
        <f>IFERROR(IC9/IC69*1000,"")</f>
        <v>3262.5</v>
      </c>
      <c r="ID173" s="193">
        <f>IFERROR(ID9/ID69*1000,"")</f>
        <v>3189.0243902439024</v>
      </c>
      <c r="IE173" s="193">
        <f>IFERROR(IE9/IE69*1000,"")</f>
        <v>3206.060606060606</v>
      </c>
      <c r="IF173" s="193">
        <f>IFERROR(IF9/IF69*1000,"")</f>
        <v>3246.875</v>
      </c>
      <c r="IH173" s="37" t="str">
        <f t="shared" si="1245"/>
        <v>Revenue per carload ($)</v>
      </c>
      <c r="II173" s="193">
        <f>IFERROR(II9/II69*1000,"")</f>
        <v>3345.454545454545</v>
      </c>
      <c r="IJ173" s="193">
        <f>IFERROR(IJ9/IJ69*1000,"")</f>
        <v>3263.4408602150538</v>
      </c>
      <c r="IK173" s="193">
        <f>IFERROR(IK9/IK69*1000,"")</f>
        <v>3253.968253968254</v>
      </c>
      <c r="IL173" s="193">
        <f>IFERROR(IL9/IL69*1000,"")</f>
        <v>3196.8085106382978</v>
      </c>
      <c r="IM173" s="193">
        <f>IFERROR(IM9/IM69*1000,"")</f>
        <v>3262.3626373626375</v>
      </c>
      <c r="IO173" s="37" t="str">
        <f t="shared" si="1246"/>
        <v>Revenue per carload ($)</v>
      </c>
      <c r="IP173" s="193">
        <f>IFERROR(IP9/IP69*1000,"")</f>
        <v>3255.6818181818185</v>
      </c>
      <c r="IQ173" s="193">
        <f>IFERROR(IQ9/IQ69*1000,"")</f>
        <v>3106.9518716577541</v>
      </c>
      <c r="IR173" s="193">
        <f>IFERROR(IR9/IR69*1000,"")</f>
        <v>3112.2994652406419</v>
      </c>
      <c r="IS173" s="193">
        <f>IFERROR(IS9/IS69*1000,"")</f>
        <v>3113.636363636364</v>
      </c>
      <c r="IT173" s="193">
        <f>IFERROR(IT9/IT69*1000,"")</f>
        <v>3146.0055096418732</v>
      </c>
      <c r="IV173" s="37" t="str">
        <f t="shared" si="1247"/>
        <v>Revenue per carload ($)</v>
      </c>
      <c r="IW173" s="193">
        <f>IFERROR(IW9/IW69*1000,"")</f>
        <v>3120</v>
      </c>
      <c r="IX173" s="193">
        <f>IFERROR(IX9/IX69*1000,"")</f>
        <v>3104.651162790698</v>
      </c>
      <c r="IY173" s="193">
        <f>IFERROR(IY9/IY69*1000,"")</f>
        <v>3132.9479768786127</v>
      </c>
      <c r="IZ173" s="193">
        <f>IFERROR(IZ9/IZ69*1000,"")</f>
        <v>3161.1111111111109</v>
      </c>
      <c r="JA173" s="193">
        <f>IFERROR(JA9/JA69*1000,"")</f>
        <v>3130</v>
      </c>
      <c r="JC173" s="37" t="str">
        <f t="shared" si="1248"/>
        <v>Revenue per carload ($)</v>
      </c>
      <c r="JD173" s="193">
        <f>IFERROR(JD9/JD69*1000,"")</f>
        <v>3234.2857142857142</v>
      </c>
      <c r="JE173" s="193">
        <f>IFERROR(JE9/JE69*1000,"")</f>
        <v>3266.2721893491121</v>
      </c>
      <c r="JF173" s="193">
        <f>IFERROR(JF9/JF69*1000,"")</f>
        <v>3329.2682926829266</v>
      </c>
      <c r="JG173" s="193">
        <f>IFERROR(JG9/JG69*1000,"")</f>
        <v>3329.2682926829266</v>
      </c>
      <c r="JH173" s="193">
        <f>IFERROR(JH9/JH69*1000,"")</f>
        <v>3288.6904761904761</v>
      </c>
      <c r="JJ173" s="37" t="str">
        <f t="shared" si="1249"/>
        <v>Revenue per carload ($)</v>
      </c>
      <c r="JK173" s="193">
        <f>IFERROR(JK9/JK69*1000,"")</f>
        <v>3438.2716049382716</v>
      </c>
      <c r="JL173" s="193">
        <f>IFERROR(JL9/JL69*1000,"")</f>
        <v>3479.2899408284025</v>
      </c>
      <c r="JM173" s="193">
        <f>IFERROR(JM9/JM69*1000,"")</f>
        <v>3465.1162790697672</v>
      </c>
      <c r="JN173" s="193">
        <f>IFERROR(JN9/JN69*1000,"")</f>
        <v>3476.7441860465115</v>
      </c>
      <c r="JO173" s="193">
        <f>IFERROR(JO9/JO69*1000,"")</f>
        <v>3465.1851851851852</v>
      </c>
      <c r="JQ173" s="37" t="str">
        <f t="shared" si="1250"/>
        <v>Revenue per carload ($)</v>
      </c>
      <c r="JR173" s="193">
        <f>IFERROR(JR9/JR69*1000,"")</f>
        <v>3508.9820359281434</v>
      </c>
      <c r="JS173" s="193">
        <f>IFERROR(JS9/JS69*1000,"")</f>
        <v>3421.965317919075</v>
      </c>
      <c r="JT173" s="193">
        <f>IFERROR(JT9/JT69*1000,"")</f>
        <v>3548.1927710843374</v>
      </c>
      <c r="JU173" s="193">
        <f>IFERROR(JU9/JU69*1000,"")</f>
        <v>3539.877300613497</v>
      </c>
      <c r="JV173" s="193">
        <f>IFERROR(JV9/JV69*1000,"")</f>
        <v>3503.7369207772799</v>
      </c>
      <c r="JX173" s="37" t="str">
        <f t="shared" si="1251"/>
        <v>Revenue per carload ($)</v>
      </c>
      <c r="JY173" s="193">
        <f>IFERROR(JY9/JY69*1000,"")</f>
        <v>3516.8539325842694</v>
      </c>
      <c r="JZ173" s="193">
        <f>IFERROR(JZ9/JZ69*1000,"")</f>
        <v>3493.4210526315787</v>
      </c>
      <c r="KA173" s="193">
        <f>IFERROR(KA9/KA69*1000,"")</f>
        <v>3430.30303030303</v>
      </c>
      <c r="KB173" s="193">
        <f>IFERROR(KB9/KB69*1000,"")</f>
        <v>3467.455621301775</v>
      </c>
      <c r="KC173" s="193">
        <f>IFERROR(KC9/KC69*1000,"")</f>
        <v>3477.4096385542166</v>
      </c>
      <c r="KE173" s="37" t="str">
        <f t="shared" si="1252"/>
        <v>Revenue per carload ($)</v>
      </c>
      <c r="KF173" s="193">
        <f>IFERROR(KF9/KF69*1000,"")</f>
        <v>3558.282208588957</v>
      </c>
      <c r="KG173" s="193">
        <f>IFERROR(KG9/KG69*1000,"")</f>
        <v>3628.7425149700598</v>
      </c>
      <c r="KH173" s="193">
        <f>IFERROR(KH9/KH69*1000,"")</f>
        <v>3759.0361445783133</v>
      </c>
      <c r="KI173" s="193">
        <f>IFERROR(KI9/KI69*1000,"")</f>
        <v>3748.4662576687119</v>
      </c>
      <c r="KJ173" s="193">
        <f>IFERROR(KJ9/KJ69*1000,"")</f>
        <v>3673.7481031866464</v>
      </c>
      <c r="KL173" s="37" t="str">
        <f t="shared" si="1253"/>
        <v>Revenue per carload ($)</v>
      </c>
      <c r="KM173" s="193">
        <f>IFERROR(KM9/KM69*1000,"")</f>
        <v>3838.5093167701862</v>
      </c>
      <c r="KN173" s="193">
        <f>IFERROR(KN9/KN69*1000,"")</f>
        <v>4036.363636363636</v>
      </c>
      <c r="KO173" s="193">
        <f>IFERROR(KO9/KO69*1000,"")</f>
        <v>4185.1851851851852</v>
      </c>
      <c r="KP173" s="193">
        <f>IFERROR(KP9/KP69*1000,"")</f>
        <v>4065.3594771241828</v>
      </c>
      <c r="KQ173" s="193">
        <f>IFERROR(KQ9/KQ69*1000,"")</f>
        <v>4031.201248049922</v>
      </c>
      <c r="KS173" s="37" t="str">
        <f t="shared" si="1254"/>
        <v>Revenue per carload ($)</v>
      </c>
      <c r="KT173" s="193">
        <f>IFERROR(KT9/KT69*1000,"")</f>
        <v>4062.5</v>
      </c>
      <c r="KU173" s="193">
        <f>IFERROR(KU9/KU69*1000,"")</f>
        <v>4012.5</v>
      </c>
      <c r="KV173" s="193">
        <f>IFERROR(KV9/KV69*1000,"")</f>
        <v>4012.4223602484471</v>
      </c>
      <c r="KW173" s="193">
        <f>IFERROR(KW9/KW69*1000,"")</f>
        <v>4105.5900621118017</v>
      </c>
      <c r="KX173" s="193">
        <f>IFERROR(KX9/KX69*1000,"")</f>
        <v>4048.2866043613708</v>
      </c>
      <c r="KZ173" s="37" t="str">
        <f t="shared" si="1255"/>
        <v>Revenue per carload ($)</v>
      </c>
      <c r="LA173" s="193">
        <f>IFERROR(LA9/LA69*1000,"")</f>
        <v>4149.7005988023957</v>
      </c>
      <c r="LB173" s="193">
        <f>IFERROR(LB9/LB69*1000,"")</f>
        <v>4149.4252873563219</v>
      </c>
      <c r="LC173" s="193">
        <f>IFERROR(LC9/LC69*1000,"")</f>
        <v>4130.681818181818</v>
      </c>
      <c r="LD173" s="193">
        <f>IFERROR(LD9/LD69*1000,"")</f>
        <v>4140.3508771929828</v>
      </c>
      <c r="LE173" s="201">
        <f>LE176/LE170*1000</f>
        <v>4142.4418604651155</v>
      </c>
      <c r="LF173" s="573"/>
      <c r="LG173" s="37" t="str">
        <f t="shared" si="1256"/>
        <v>Revenue per carload ($)</v>
      </c>
      <c r="LH173" s="193">
        <f>IFERROR(LH9/LH69*1000,"")</f>
        <v>4204.8192771084332</v>
      </c>
      <c r="LI173" s="193">
        <f>IFERROR(LI9/LI69*1000,"")</f>
        <v>4274.3902439024387</v>
      </c>
      <c r="LJ173" s="193">
        <f>IFERROR(LJ9/LJ69*1000,"")</f>
        <v>4250</v>
      </c>
      <c r="LK173" s="193">
        <f>IFERROR(LK9/LK69*1000,"")</f>
        <v>4223.6024844720496</v>
      </c>
      <c r="LL173" s="201">
        <f>LL176/LL170*1000</f>
        <v>4238.1679389312976</v>
      </c>
      <c r="LM173" s="573"/>
      <c r="LN173" s="37" t="str">
        <f t="shared" si="1257"/>
        <v>Revenue per carload ($)</v>
      </c>
      <c r="LO173" s="193">
        <f>(LH173)*(1+LO174)</f>
        <v>4288.9156626506019</v>
      </c>
      <c r="LP173" s="193">
        <f t="shared" ref="LP173" si="1411">(LI173)*(1+LP174)</f>
        <v>4359.8780487804879</v>
      </c>
      <c r="LQ173" s="193">
        <f t="shared" ref="LQ173" si="1412">(LJ173)*(1+LQ174)</f>
        <v>4377.5</v>
      </c>
      <c r="LR173" s="193">
        <f t="shared" ref="LR173" si="1413">(LK173)*(1+LR174)</f>
        <v>4350.3105590062114</v>
      </c>
      <c r="LS173" s="201">
        <f>LS176/LS170*1000</f>
        <v>4344.4271019747594</v>
      </c>
      <c r="LT173" s="573"/>
      <c r="LU173" s="37" t="str">
        <f t="shared" si="1261"/>
        <v>Revenue per carload ($)</v>
      </c>
      <c r="LV173" s="193">
        <f>(LO173)*(1+LV174)</f>
        <v>4406.8608433734935</v>
      </c>
      <c r="LW173" s="193">
        <f t="shared" ref="LW173" si="1414">(LP173)*(1+LW174)</f>
        <v>4479.7746951219515</v>
      </c>
      <c r="LX173" s="193">
        <f t="shared" ref="LX173" si="1415">(LQ173)*(1+LX174)</f>
        <v>4497.8812500000004</v>
      </c>
      <c r="LY173" s="193">
        <f t="shared" ref="LY173" si="1416">(LR173)*(1+LY174)</f>
        <v>4469.9440993788821</v>
      </c>
      <c r="LZ173" s="201">
        <f>LZ176/LZ170*1000</f>
        <v>4463.8988472790661</v>
      </c>
      <c r="MA173" s="573"/>
      <c r="MB173" s="37" t="str">
        <f t="shared" si="1265"/>
        <v>Revenue per carload ($)</v>
      </c>
      <c r="MC173" s="193">
        <f>(LV173)*(1+MC174)</f>
        <v>4517.0323644578302</v>
      </c>
      <c r="MD173" s="193">
        <f t="shared" ref="MD173" si="1417">(LW173)*(1+MD174)</f>
        <v>4591.7690624999996</v>
      </c>
      <c r="ME173" s="193">
        <f t="shared" ref="ME173" si="1418">(LX173)*(1+ME174)</f>
        <v>4610.3282812500001</v>
      </c>
      <c r="MF173" s="193">
        <f t="shared" ref="MF173" si="1419">(LY173)*(1+MF174)</f>
        <v>4581.6927018633542</v>
      </c>
      <c r="MG173" s="201">
        <f>MG176/MG170*1000</f>
        <v>4575.4032332183015</v>
      </c>
      <c r="MH173" s="573"/>
    </row>
    <row r="174" spans="1:346" s="37" customFormat="1" ht="13.15" x14ac:dyDescent="0.4">
      <c r="A174" s="100"/>
      <c r="B174" s="197" t="s">
        <v>516</v>
      </c>
      <c r="C174" s="186"/>
      <c r="D174" s="186"/>
      <c r="E174" s="191"/>
      <c r="F174" s="191"/>
      <c r="G174" s="191"/>
      <c r="H174" s="191"/>
      <c r="I174" s="191"/>
      <c r="J174" s="191"/>
      <c r="K174" s="191"/>
      <c r="L174" s="191"/>
      <c r="M174" s="191"/>
      <c r="N174" s="193"/>
      <c r="O174" s="198">
        <f>O173/N173-1</f>
        <v>5.0169815833532638E-2</v>
      </c>
      <c r="P174" s="198">
        <f t="shared" ref="P174:BA174" si="1420">P173/O173-1</f>
        <v>7.7181389274825873E-2</v>
      </c>
      <c r="Q174" s="198">
        <f t="shared" si="1420"/>
        <v>1.745552039714271E-2</v>
      </c>
      <c r="R174" s="198">
        <f t="shared" si="1420"/>
        <v>1.0725063030973425E-2</v>
      </c>
      <c r="S174" s="198">
        <f t="shared" si="1420"/>
        <v>9.7865475698528659E-3</v>
      </c>
      <c r="T174" s="198">
        <f t="shared" si="1420"/>
        <v>-2.8441983387868186E-2</v>
      </c>
      <c r="U174" s="198">
        <f t="shared" si="1420"/>
        <v>2.1026894865525669E-2</v>
      </c>
      <c r="V174" s="198">
        <f t="shared" si="1420"/>
        <v>-2.4511494252873467E-2</v>
      </c>
      <c r="W174" s="198">
        <f t="shared" si="1420"/>
        <v>-2.813958536850103E-2</v>
      </c>
      <c r="X174" s="198">
        <f t="shared" si="1420"/>
        <v>-6.1657319020913537E-4</v>
      </c>
      <c r="Y174" s="198">
        <f t="shared" si="1420"/>
        <v>3.647332818388227E-2</v>
      </c>
      <c r="Z174" s="198">
        <f t="shared" si="1420"/>
        <v>3.7378917378916299E-3</v>
      </c>
      <c r="AA174" s="198">
        <f t="shared" si="1420"/>
        <v>2.5019001524060114E-2</v>
      </c>
      <c r="AB174" s="198">
        <f t="shared" si="1420"/>
        <v>2.7829975226451698E-2</v>
      </c>
      <c r="AC174" s="198">
        <f t="shared" si="1420"/>
        <v>3.6810948805656496E-2</v>
      </c>
      <c r="AD174" s="198">
        <f t="shared" si="1420"/>
        <v>7.6968708810639885E-2</v>
      </c>
      <c r="AE174" s="198">
        <f t="shared" si="1420"/>
        <v>0.12266390931372539</v>
      </c>
      <c r="AF174" s="198">
        <f t="shared" si="1420"/>
        <v>0.1020872865275142</v>
      </c>
      <c r="AG174" s="198">
        <f t="shared" si="1420"/>
        <v>0.16775045985647319</v>
      </c>
      <c r="AH174" s="198">
        <f t="shared" si="1420"/>
        <v>1.3195543847810853E-2</v>
      </c>
      <c r="AI174" s="198">
        <f t="shared" si="1420"/>
        <v>7.7990093941484817E-2</v>
      </c>
      <c r="AJ174" s="198">
        <f t="shared" si="1420"/>
        <v>7.2421181512090538E-2</v>
      </c>
      <c r="AK174" s="198">
        <f t="shared" si="1420"/>
        <v>3.3746787350541929E-2</v>
      </c>
      <c r="AL174" s="198">
        <f t="shared" si="1420"/>
        <v>-9.0797785374554074E-2</v>
      </c>
      <c r="AM174" s="198">
        <f t="shared" si="1420"/>
        <v>4.7700134321886356E-3</v>
      </c>
      <c r="AN174" s="198">
        <f t="shared" si="1420"/>
        <v>-3.5666521676091079E-2</v>
      </c>
      <c r="AO174" s="198">
        <f t="shared" si="1420"/>
        <v>-5.0875656742557229E-3</v>
      </c>
      <c r="AP174" s="198">
        <f t="shared" si="1420"/>
        <v>5.0699832648714471E-2</v>
      </c>
      <c r="AQ174" s="198">
        <f t="shared" si="1420"/>
        <v>5.3667169431875328E-2</v>
      </c>
      <c r="AR174" s="198">
        <f t="shared" si="1420"/>
        <v>1.1125447423969259E-2</v>
      </c>
      <c r="AS174" s="198">
        <f t="shared" si="1420"/>
        <v>-7.5140579382377837E-3</v>
      </c>
      <c r="AT174" s="198">
        <f t="shared" si="1420"/>
        <v>5.646112625202826E-2</v>
      </c>
      <c r="AU174" s="198">
        <f t="shared" si="1420"/>
        <v>9.7299307090003673E-2</v>
      </c>
      <c r="AV174" s="198">
        <f t="shared" si="1420"/>
        <v>4.2382791778787787E-3</v>
      </c>
      <c r="AW174" s="198">
        <f t="shared" si="1420"/>
        <v>2.3258050949828357E-2</v>
      </c>
      <c r="AX174" s="198">
        <f t="shared" si="1420"/>
        <v>2.310861122271346E-2</v>
      </c>
      <c r="AY174" s="198">
        <f t="shared" si="1420"/>
        <v>2.5071956697934938E-2</v>
      </c>
      <c r="AZ174" s="198">
        <f t="shared" si="1420"/>
        <v>2.7500000000000302E-2</v>
      </c>
      <c r="BA174" s="198">
        <f t="shared" si="1420"/>
        <v>2.4979147098550758E-2</v>
      </c>
      <c r="BB174" s="198"/>
      <c r="BC174" s="198"/>
      <c r="BD174" s="198"/>
      <c r="BE174" s="198"/>
      <c r="BF174" s="198"/>
      <c r="BG174" s="198"/>
      <c r="BH174" s="198"/>
      <c r="BI174" s="198"/>
      <c r="BJ174" s="198"/>
      <c r="BK174" s="198"/>
      <c r="BL174" s="198"/>
      <c r="BM174" s="198"/>
      <c r="BO174" s="197" t="str">
        <f t="shared" si="1220"/>
        <v>YoY Change (%)</v>
      </c>
      <c r="BP174" s="193"/>
      <c r="BQ174" s="193"/>
      <c r="BR174" s="193"/>
      <c r="BS174" s="193"/>
      <c r="BT174" s="193"/>
      <c r="BV174" s="197" t="str">
        <f t="shared" si="1221"/>
        <v>YoY Change (%)</v>
      </c>
      <c r="BW174" s="198">
        <f>BW173/BP173-1</f>
        <v>6.7397660818713456E-2</v>
      </c>
      <c r="BX174" s="198">
        <f t="shared" ref="BX174" si="1421">BX173/BQ173-1</f>
        <v>3.9224594881114516E-2</v>
      </c>
      <c r="BY174" s="198">
        <f t="shared" ref="BY174" si="1422">BY173/BR173-1</f>
        <v>3.9185672738404786E-2</v>
      </c>
      <c r="BZ174" s="198">
        <f t="shared" ref="BZ174" si="1423">BZ173/BS173-1</f>
        <v>5.4707792207792094E-2</v>
      </c>
      <c r="CA174" s="198">
        <f t="shared" ref="CA174" si="1424">CA173/BT173-1</f>
        <v>5.0169815833532638E-2</v>
      </c>
      <c r="CC174" s="197" t="str">
        <f t="shared" si="1222"/>
        <v>YoY Change (%)</v>
      </c>
      <c r="CD174" s="198">
        <f>CD173/BW173-1</f>
        <v>7.2641136991709265E-2</v>
      </c>
      <c r="CE174" s="198">
        <f t="shared" ref="CE174" si="1425">CE173/BX173-1</f>
        <v>9.4117647058823639E-2</v>
      </c>
      <c r="CF174" s="198">
        <f t="shared" ref="CF174" si="1426">CF173/BY173-1</f>
        <v>9.958442358011399E-2</v>
      </c>
      <c r="CG174" s="198">
        <f t="shared" ref="CG174" si="1427">CG173/BZ173-1</f>
        <v>4.1095890410958846E-2</v>
      </c>
      <c r="CH174" s="198">
        <f t="shared" ref="CH174" si="1428">CH173/CA173-1</f>
        <v>7.7181389274825873E-2</v>
      </c>
      <c r="CJ174" s="197" t="str">
        <f t="shared" si="1223"/>
        <v>YoY Change (%)</v>
      </c>
      <c r="CK174" s="198">
        <f>CK173/CD173-1</f>
        <v>4.0209790209790208E-2</v>
      </c>
      <c r="CL174" s="198">
        <f t="shared" ref="CL174" si="1429">CL173/CE173-1</f>
        <v>2.2070015220700068E-2</v>
      </c>
      <c r="CM174" s="198">
        <f t="shared" ref="CM174" si="1430">CM173/CF173-1</f>
        <v>1.9005847953215138E-3</v>
      </c>
      <c r="CN174" s="198">
        <f t="shared" ref="CN174" si="1431">CN173/CG173-1</f>
        <v>6.5789473684210176E-3</v>
      </c>
      <c r="CO174" s="198">
        <f t="shared" ref="CO174" si="1432">CO173/CH173-1</f>
        <v>1.745552039714271E-2</v>
      </c>
      <c r="CQ174" s="197" t="str">
        <f t="shared" si="1224"/>
        <v>YoY Change (%)</v>
      </c>
      <c r="CR174" s="198">
        <f>CR173/CK173-1</f>
        <v>9.52380952380949E-3</v>
      </c>
      <c r="CS174" s="198">
        <f t="shared" ref="CS174" si="1433">CS173/CL173-1</f>
        <v>4.4916292364232113E-3</v>
      </c>
      <c r="CT174" s="198">
        <f t="shared" ref="CT174" si="1434">CT173/CM173-1</f>
        <v>1.3401492124896386E-2</v>
      </c>
      <c r="CU174" s="198">
        <f t="shared" ref="CU174" si="1435">CU173/CN173-1</f>
        <v>1.571408705326105E-2</v>
      </c>
      <c r="CV174" s="198">
        <f t="shared" ref="CV174" si="1436">CV173/CO173-1</f>
        <v>1.0725063030973425E-2</v>
      </c>
      <c r="CX174" s="197" t="str">
        <f t="shared" si="1225"/>
        <v>YoY Change (%)</v>
      </c>
      <c r="CY174" s="198">
        <f>CY173/CR173-1</f>
        <v>1.1641910879164996E-2</v>
      </c>
      <c r="CZ174" s="198">
        <f t="shared" ref="CZ174" si="1437">CZ173/CS173-1</f>
        <v>1.7224038219763704E-2</v>
      </c>
      <c r="DA174" s="198">
        <f t="shared" ref="DA174" si="1438">DA173/CT173-1</f>
        <v>1.5209611451942884E-2</v>
      </c>
      <c r="DB174" s="198">
        <f t="shared" ref="DB174" si="1439">DB173/CU173-1</f>
        <v>-4.7462577583060606E-3</v>
      </c>
      <c r="DC174" s="198">
        <f t="shared" ref="DC174" si="1440">DC173/CV173-1</f>
        <v>9.7865475698528659E-3</v>
      </c>
      <c r="DE174" s="197" t="str">
        <f t="shared" si="1226"/>
        <v>YoY Change (%)</v>
      </c>
      <c r="DF174" s="198">
        <f>DF173/CY173-1</f>
        <v>-2.3576097105508786E-2</v>
      </c>
      <c r="DG174" s="198">
        <f t="shared" ref="DG174" si="1441">DG173/CZ173-1</f>
        <v>-3.0000000000000138E-2</v>
      </c>
      <c r="DH174" s="198">
        <f t="shared" ref="DH174" si="1442">DH173/DA173-1</f>
        <v>-4.4151115157032406E-2</v>
      </c>
      <c r="DI174" s="198">
        <f t="shared" ref="DI174" si="1443">DI173/DB173-1</f>
        <v>-1.5689655172413719E-2</v>
      </c>
      <c r="DJ174" s="198">
        <f t="shared" ref="DJ174" si="1444">DJ173/DC173-1</f>
        <v>-2.8441983387868186E-2</v>
      </c>
      <c r="DL174" s="197" t="str">
        <f t="shared" si="1227"/>
        <v>YoY Change (%)</v>
      </c>
      <c r="DM174" s="198">
        <f>DM173/DF173-1</f>
        <v>0</v>
      </c>
      <c r="DN174" s="198">
        <f t="shared" ref="DN174" si="1445">DN173/DG173-1</f>
        <v>1.2859906680323219E-2</v>
      </c>
      <c r="DO174" s="198">
        <f t="shared" ref="DO174" si="1446">DO173/DH173-1</f>
        <v>4.5714285714285596E-2</v>
      </c>
      <c r="DP174" s="198">
        <f t="shared" ref="DP174" si="1447">DP173/DI173-1</f>
        <v>2.5728210359288184E-2</v>
      </c>
      <c r="DQ174" s="198">
        <f t="shared" ref="DQ174" si="1448">DQ173/DJ173-1</f>
        <v>2.1026894865525669E-2</v>
      </c>
      <c r="DS174" s="197" t="str">
        <f t="shared" si="1228"/>
        <v>YoY Change (%)</v>
      </c>
      <c r="DT174" s="198">
        <f>DT173/DM173-1</f>
        <v>2.8089887640450062E-3</v>
      </c>
      <c r="DU174" s="198">
        <f t="shared" ref="DU174" si="1449">DU173/DN173-1</f>
        <v>-5.7210596845687078E-3</v>
      </c>
      <c r="DV174" s="198">
        <f t="shared" ref="DV174" si="1450">DV173/DO173-1</f>
        <v>-4.5871559633027581E-2</v>
      </c>
      <c r="DW174" s="198">
        <f t="shared" ref="DW174" si="1451">DW173/DP173-1</f>
        <v>-4.871002078159048E-2</v>
      </c>
      <c r="DX174" s="198">
        <f t="shared" ref="DX174" si="1452">DX173/DQ173-1</f>
        <v>-2.4511494252873467E-2</v>
      </c>
      <c r="DZ174" s="197" t="str">
        <f t="shared" si="1229"/>
        <v>YoY Change (%)</v>
      </c>
      <c r="EA174" s="198">
        <f>EA173/DT173-1</f>
        <v>-4.0816326530612179E-2</v>
      </c>
      <c r="EB174" s="198">
        <f t="shared" ref="EB174" si="1453">EB173/DU173-1</f>
        <v>-4.7167165295437519E-2</v>
      </c>
      <c r="EC174" s="198">
        <f t="shared" ref="EC174" si="1454">EC173/DV173-1</f>
        <v>-1.9516003122543868E-4</v>
      </c>
      <c r="ED174" s="198">
        <f t="shared" ref="ED174" si="1455">ED173/DW173-1</f>
        <v>-2.3651368760064462E-2</v>
      </c>
      <c r="EE174" s="198">
        <f t="shared" ref="EE174" si="1456">EE173/DX173-1</f>
        <v>-2.813958536850103E-2</v>
      </c>
      <c r="EG174" s="197" t="str">
        <f t="shared" si="1230"/>
        <v>YoY Change (%)</v>
      </c>
      <c r="EH174" s="198">
        <f>EH173/EA173-1</f>
        <v>-1.0374538420960144E-2</v>
      </c>
      <c r="EI174" s="198">
        <f t="shared" ref="EI174" si="1457">EI173/EB173-1</f>
        <v>1.6788956597437954E-2</v>
      </c>
      <c r="EJ174" s="198">
        <f t="shared" ref="EJ174" si="1458">EJ173/EC173-1</f>
        <v>-7.0921985815602939E-3</v>
      </c>
      <c r="EK174" s="198">
        <f t="shared" ref="EK174" si="1459">EK173/ED173-1</f>
        <v>3.0367446097789852E-4</v>
      </c>
      <c r="EL174" s="198">
        <f t="shared" ref="EL174" si="1460">EL173/EE173-1</f>
        <v>-6.1657319020913537E-4</v>
      </c>
      <c r="EN174" s="197" t="str">
        <f t="shared" si="1231"/>
        <v>YoY Change (%)</v>
      </c>
      <c r="EO174" s="198">
        <f>EO173/EH173-1</f>
        <v>3.864480414827276E-2</v>
      </c>
      <c r="EP174" s="198">
        <f t="shared" ref="EP174" si="1461">EP173/EI173-1</f>
        <v>1.558809636277747E-2</v>
      </c>
      <c r="EQ174" s="198">
        <f t="shared" ref="EQ174" si="1462">EQ173/EJ173-1</f>
        <v>4.142857142857137E-2</v>
      </c>
      <c r="ER174" s="198">
        <f t="shared" ref="ER174" si="1463">ER173/EK173-1</f>
        <v>4.9299988033983499E-2</v>
      </c>
      <c r="ES174" s="198">
        <f t="shared" ref="ES174" si="1464">ES173/EL173-1</f>
        <v>3.647332818388227E-2</v>
      </c>
      <c r="EU174" s="197" t="str">
        <f t="shared" si="1232"/>
        <v>YoY Change (%)</v>
      </c>
      <c r="EV174" s="198">
        <f>EV173/EO173-1</f>
        <v>1.0145772594752245E-2</v>
      </c>
      <c r="EW174" s="198">
        <f t="shared" ref="EW174" si="1465">EW173/EP173-1</f>
        <v>4.4927536231884613E-3</v>
      </c>
      <c r="EX174" s="198">
        <f t="shared" ref="EX174" si="1466">EX173/EQ173-1</f>
        <v>-3.6820446177171506E-3</v>
      </c>
      <c r="EY174" s="198">
        <f t="shared" ref="EY174" si="1467">EY173/ER173-1</f>
        <v>3.761488895430487E-3</v>
      </c>
      <c r="EZ174" s="198">
        <f t="shared" ref="EZ174" si="1468">EZ173/ES173-1</f>
        <v>3.7378917378916299E-3</v>
      </c>
      <c r="FB174" s="197" t="str">
        <f t="shared" si="1233"/>
        <v>YoY Change (%)</v>
      </c>
      <c r="FC174" s="198">
        <f>FC173/EV173-1</f>
        <v>1.1536126290224713E-2</v>
      </c>
      <c r="FD174" s="198">
        <f t="shared" ref="FD174" si="1469">FD173/EW173-1</f>
        <v>1.4584578601315012E-2</v>
      </c>
      <c r="FE174" s="198">
        <f t="shared" ref="FE174" si="1470">FE173/EX173-1</f>
        <v>3.1375730045424932E-2</v>
      </c>
      <c r="FF174" s="198">
        <f t="shared" ref="FF174" si="1471">FF173/EY173-1</f>
        <v>4.3535177228786415E-2</v>
      </c>
      <c r="FG174" s="198">
        <f t="shared" ref="FG174" si="1472">FG173/EZ173-1</f>
        <v>2.5019001524060114E-2</v>
      </c>
      <c r="FI174" s="197" t="str">
        <f t="shared" si="1234"/>
        <v>YoY Change (%)</v>
      </c>
      <c r="FJ174" s="198">
        <f>FJ173/FC173-1</f>
        <v>3.5085567073544821E-2</v>
      </c>
      <c r="FK174" s="198">
        <f t="shared" ref="FK174" si="1473">FK173/FD173-1</f>
        <v>3.9794608472400572E-2</v>
      </c>
      <c r="FL174" s="198">
        <f t="shared" ref="FL174" si="1474">FL173/FE173-1</f>
        <v>2.2397243416194978E-2</v>
      </c>
      <c r="FM174" s="198">
        <f t="shared" ref="FM174" si="1475">FM173/FF173-1</f>
        <v>1.3800522514215485E-2</v>
      </c>
      <c r="FN174" s="198">
        <f t="shared" ref="FN174" si="1476">FN173/FG173-1</f>
        <v>2.7829975226451698E-2</v>
      </c>
      <c r="FP174" s="197" t="str">
        <f t="shared" si="1235"/>
        <v>YoY Change (%)</v>
      </c>
      <c r="FQ174" s="198">
        <f>FQ173/FJ173-1</f>
        <v>9.2661870503598642E-3</v>
      </c>
      <c r="FR174" s="198">
        <f t="shared" ref="FR174" si="1477">FR173/FK173-1</f>
        <v>3.2098765432098775E-2</v>
      </c>
      <c r="FS174" s="198">
        <f t="shared" ref="FS174" si="1478">FS173/FL173-1</f>
        <v>4.943142260385236E-2</v>
      </c>
      <c r="FT174" s="198">
        <f t="shared" ref="FT174" si="1479">FT173/FM173-1</f>
        <v>5.5153557224922656E-2</v>
      </c>
      <c r="FU174" s="198">
        <f t="shared" ref="FU174" si="1480">FU173/FN173-1</f>
        <v>3.6810948805656496E-2</v>
      </c>
      <c r="FW174" s="197" t="str">
        <f t="shared" si="1236"/>
        <v>YoY Change (%)</v>
      </c>
      <c r="FX174" s="198">
        <f>FX173/FQ173-1</f>
        <v>6.6545758928571397E-2</v>
      </c>
      <c r="FY174" s="198">
        <f t="shared" ref="FY174" si="1481">FY173/FR173-1</f>
        <v>6.0606060606060552E-2</v>
      </c>
      <c r="FZ174" s="198">
        <f t="shared" ref="FZ174" si="1482">FZ173/FS173-1</f>
        <v>7.3035642541468437E-2</v>
      </c>
      <c r="GA174" s="198">
        <f t="shared" ref="GA174" si="1483">GA173/FT173-1</f>
        <v>0.11304638156979507</v>
      </c>
      <c r="GB174" s="198">
        <f t="shared" ref="GB174" si="1484">GB173/FU173-1</f>
        <v>7.6968708810639885E-2</v>
      </c>
      <c r="GD174" s="197" t="str">
        <f t="shared" si="1237"/>
        <v>YoY Change (%)</v>
      </c>
      <c r="GE174" s="198">
        <f>GE173/FX173-1</f>
        <v>0.11245791245791259</v>
      </c>
      <c r="GF174" s="198">
        <f t="shared" ref="GF174" si="1485">GF173/FY173-1</f>
        <v>0.13805970149253732</v>
      </c>
      <c r="GG174" s="198">
        <f t="shared" ref="GG174" si="1486">GG173/FZ173-1</f>
        <v>0.14607149844872391</v>
      </c>
      <c r="GH174" s="198">
        <f t="shared" ref="GH174" si="1487">GH173/GA173-1</f>
        <v>9.2544316996871823E-2</v>
      </c>
      <c r="GI174" s="198">
        <f t="shared" ref="GI174" si="1488">GI173/GB173-1</f>
        <v>0.12266390931372539</v>
      </c>
      <c r="GK174" s="197" t="str">
        <f t="shared" si="1238"/>
        <v>YoY Change (%)</v>
      </c>
      <c r="GL174" s="198">
        <f>GL173/GE173-1</f>
        <v>9.6256008095117584E-2</v>
      </c>
      <c r="GM174" s="198">
        <f t="shared" ref="GM174" si="1489">GM173/GF173-1</f>
        <v>6.9286403085824455E-2</v>
      </c>
      <c r="GN174" s="198">
        <f t="shared" ref="GN174" si="1490">GN173/GG173-1</f>
        <v>0.10608979830744047</v>
      </c>
      <c r="GO174" s="198">
        <f t="shared" ref="GO174" si="1491">GO173/GH173-1</f>
        <v>0.13804713804713797</v>
      </c>
      <c r="GP174" s="198">
        <f t="shared" ref="GP174" si="1492">GP173/GI173-1</f>
        <v>0.1020872865275142</v>
      </c>
      <c r="GR174" s="197" t="str">
        <f t="shared" si="1239"/>
        <v>YoY Change (%)</v>
      </c>
      <c r="GS174" s="198">
        <f>GS173/GL173-1</f>
        <v>0.1714361612209907</v>
      </c>
      <c r="GT174" s="198">
        <f t="shared" ref="GT174" si="1493">GT173/GM173-1</f>
        <v>0.19499089043149365</v>
      </c>
      <c r="GU174" s="198">
        <f t="shared" ref="GU174" si="1494">GU173/GN173-1</f>
        <v>0.18322580645161302</v>
      </c>
      <c r="GV174" s="198">
        <f t="shared" ref="GV174" si="1495">GV173/GO173-1</f>
        <v>0.12524654832347148</v>
      </c>
      <c r="GW174" s="198">
        <f t="shared" ref="GW174" si="1496">GW173/GP173-1</f>
        <v>0.16775045985647319</v>
      </c>
      <c r="GY174" s="197" t="str">
        <f t="shared" si="1240"/>
        <v>YoY Change (%)</v>
      </c>
      <c r="GZ174" s="198">
        <f>GZ173/GS173-1</f>
        <v>4.5303867403314824E-2</v>
      </c>
      <c r="HA174" s="198">
        <f t="shared" ref="HA174" si="1497">HA173/GT173-1</f>
        <v>8.5739282589676336E-3</v>
      </c>
      <c r="HB174" s="198">
        <f t="shared" ref="HB174" si="1498">HB173/GU173-1</f>
        <v>-2.0070838252656542E-2</v>
      </c>
      <c r="HC174" s="198">
        <f t="shared" ref="HC174" si="1499">HC173/GV173-1</f>
        <v>1.6163284568192493E-2</v>
      </c>
      <c r="HD174" s="198">
        <f t="shared" ref="HD174" si="1500">HD173/GW173-1</f>
        <v>1.3195543847810853E-2</v>
      </c>
      <c r="HF174" s="197" t="str">
        <f t="shared" si="1241"/>
        <v>YoY Change (%)</v>
      </c>
      <c r="HG174" s="198">
        <f>HG173/GZ173-1</f>
        <v>6.8384740259740395E-2</v>
      </c>
      <c r="HH174" s="198">
        <f t="shared" ref="HH174" si="1501">HH173/HA173-1</f>
        <v>9.3260188087774365E-2</v>
      </c>
      <c r="HI174" s="198">
        <f t="shared" ref="HI174" si="1502">HI173/HB173-1</f>
        <v>8.2519734108849274E-2</v>
      </c>
      <c r="HJ174" s="198">
        <f t="shared" ref="HJ174" si="1503">HJ173/HC173-1</f>
        <v>6.7223963775687956E-2</v>
      </c>
      <c r="HK174" s="198">
        <f t="shared" ref="HK174" si="1504">HK173/HD173-1</f>
        <v>7.7990093941484817E-2</v>
      </c>
      <c r="HM174" s="197" t="str">
        <f t="shared" si="1242"/>
        <v>YoY Change (%)</v>
      </c>
      <c r="HN174" s="198">
        <f>HN173/HG173-1</f>
        <v>7.4536732656390825E-2</v>
      </c>
      <c r="HO174" s="198">
        <f t="shared" ref="HO174" si="1505">HO173/HH173-1</f>
        <v>8.2226438962681891E-2</v>
      </c>
      <c r="HP174" s="198">
        <f t="shared" ref="HP174" si="1506">HP173/HI173-1</f>
        <v>7.3878627968337884E-2</v>
      </c>
      <c r="HQ174" s="198">
        <f t="shared" ref="HQ174" si="1507">HQ173/HJ173-1</f>
        <v>6.0859245193448874E-2</v>
      </c>
      <c r="HR174" s="198">
        <f t="shared" ref="HR174" si="1508">HR173/HK173-1</f>
        <v>7.2421181512090538E-2</v>
      </c>
      <c r="HT174" s="197" t="str">
        <f t="shared" si="1243"/>
        <v>YoY Change (%)</v>
      </c>
      <c r="HU174" s="198">
        <f>HU173/HN173-1</f>
        <v>5.3299492385786795E-2</v>
      </c>
      <c r="HV174" s="198">
        <f t="shared" ref="HV174" si="1509">HV173/HO173-1</f>
        <v>3.2485875706214751E-2</v>
      </c>
      <c r="HW174" s="198">
        <f t="shared" ref="HW174" si="1510">HW173/HP173-1</f>
        <v>2.4111939366176616E-2</v>
      </c>
      <c r="HX174" s="198">
        <f t="shared" ref="HX174" si="1511">HX173/HQ173-1</f>
        <v>2.5230185954143503E-2</v>
      </c>
      <c r="HY174" s="198">
        <f t="shared" ref="HY174" si="1512">HY173/HR173-1</f>
        <v>3.3746787350541929E-2</v>
      </c>
      <c r="IA174" s="197" t="str">
        <f t="shared" si="1244"/>
        <v>YoY Change (%)</v>
      </c>
      <c r="IB174" s="198">
        <f>IB173/HU173-1</f>
        <v>-5.8996249900263198E-2</v>
      </c>
      <c r="IC174" s="198">
        <f t="shared" ref="IC174" si="1513">IC173/HV173-1</f>
        <v>-8.9534883720930325E-2</v>
      </c>
      <c r="ID174" s="198">
        <f t="shared" ref="ID174" si="1514">ID173/HW173-1</f>
        <v>-0.11248849516797066</v>
      </c>
      <c r="IE174" s="198">
        <f t="shared" ref="IE174" si="1515">IE173/HX173-1</f>
        <v>-9.9508401203316499E-2</v>
      </c>
      <c r="IF174" s="198">
        <f t="shared" ref="IF174" si="1516">IF173/HY173-1</f>
        <v>-9.0797785374554074E-2</v>
      </c>
      <c r="IH174" s="197" t="str">
        <f t="shared" si="1245"/>
        <v>YoY Change (%)</v>
      </c>
      <c r="II174" s="198">
        <f>II173/IB173-1</f>
        <v>2.3088023088020382E-3</v>
      </c>
      <c r="IJ174" s="198">
        <f t="shared" ref="IJ174" si="1517">IJ173/IC173-1</f>
        <v>2.8838627281335683E-4</v>
      </c>
      <c r="IK174" s="198">
        <f t="shared" ref="IK174" si="1518">IK173/ID173-1</f>
        <v>2.036480621566672E-2</v>
      </c>
      <c r="IL174" s="198">
        <f t="shared" ref="IL174" si="1519">IL173/IE173-1</f>
        <v>-2.8858142621566163E-3</v>
      </c>
      <c r="IM174" s="198">
        <f t="shared" ref="IM174" si="1520">IM173/IF173-1</f>
        <v>4.7700134321886356E-3</v>
      </c>
      <c r="IO174" s="197" t="str">
        <f t="shared" si="1246"/>
        <v>YoY Change (%)</v>
      </c>
      <c r="IP174" s="198">
        <f>IP173/II173-1</f>
        <v>-2.683423913043459E-2</v>
      </c>
      <c r="IQ174" s="198">
        <f t="shared" ref="IQ174" si="1521">IQ173/IJ173-1</f>
        <v>-4.7952144763851345E-2</v>
      </c>
      <c r="IR174" s="198">
        <f t="shared" ref="IR174" si="1522">IR173/IK173-1</f>
        <v>-4.3537237511412474E-2</v>
      </c>
      <c r="IS174" s="198">
        <f t="shared" ref="IS174" si="1523">IS173/IL173-1</f>
        <v>-2.601724398729377E-2</v>
      </c>
      <c r="IT174" s="198">
        <f t="shared" ref="IT174" si="1524">IT173/IM173-1</f>
        <v>-3.5666521676091079E-2</v>
      </c>
      <c r="IV174" s="197" t="str">
        <f t="shared" si="1247"/>
        <v>YoY Change (%)</v>
      </c>
      <c r="IW174" s="198">
        <f>IW173/IP173-1</f>
        <v>-4.1675392670157185E-2</v>
      </c>
      <c r="IX174" s="198">
        <f t="shared" ref="IX174" si="1525">IX173/IQ173-1</f>
        <v>-7.4050354240873251E-4</v>
      </c>
      <c r="IY174" s="198">
        <f t="shared" ref="IY174" si="1526">IY173/IR173-1</f>
        <v>6.6344874163239975E-3</v>
      </c>
      <c r="IZ174" s="198">
        <f t="shared" ref="IZ174" si="1527">IZ173/IS173-1</f>
        <v>1.5247364152473519E-2</v>
      </c>
      <c r="JA174" s="198">
        <f t="shared" ref="JA174" si="1528">JA173/IT173-1</f>
        <v>-5.0875656742557229E-3</v>
      </c>
      <c r="JC174" s="197" t="str">
        <f t="shared" si="1248"/>
        <v>YoY Change (%)</v>
      </c>
      <c r="JD174" s="198">
        <f>JD173/IW173-1</f>
        <v>3.66300366300365E-2</v>
      </c>
      <c r="JE174" s="198">
        <f t="shared" ref="JE174" si="1529">JE173/IX173-1</f>
        <v>5.205770892892736E-2</v>
      </c>
      <c r="JF174" s="198">
        <f t="shared" ref="JF174" si="1530">JF173/IY173-1</f>
        <v>6.2663126631266275E-2</v>
      </c>
      <c r="JG174" s="198">
        <f t="shared" ref="JG174" si="1531">JG173/IZ173-1</f>
        <v>5.3195593467358249E-2</v>
      </c>
      <c r="JH174" s="198">
        <f t="shared" ref="JH174" si="1532">JH173/JA173-1</f>
        <v>5.0699832648714471E-2</v>
      </c>
      <c r="JJ174" s="197" t="str">
        <f t="shared" si="1249"/>
        <v>YoY Change (%)</v>
      </c>
      <c r="JK174" s="198">
        <f>JK173/JD173-1</f>
        <v>6.3069842516250141E-2</v>
      </c>
      <c r="JL174" s="198">
        <f t="shared" ref="JL174" si="1533">JL173/JE173-1</f>
        <v>6.5217391304347894E-2</v>
      </c>
      <c r="JM174" s="198">
        <f t="shared" ref="JM174" si="1534">JM173/JF173-1</f>
        <v>4.0804157083226933E-2</v>
      </c>
      <c r="JN174" s="198">
        <f t="shared" ref="JN174" si="1535">JN173/JG173-1</f>
        <v>4.4296788482834915E-2</v>
      </c>
      <c r="JO174" s="198">
        <f t="shared" ref="JO174" si="1536">JO173/JH173-1</f>
        <v>5.3667169431875328E-2</v>
      </c>
      <c r="JQ174" s="197" t="str">
        <f t="shared" si="1250"/>
        <v>YoY Change (%)</v>
      </c>
      <c r="JR174" s="198">
        <f>JR173/JK173-1</f>
        <v>2.0565690880357756E-2</v>
      </c>
      <c r="JS174" s="198">
        <f t="shared" ref="JS174" si="1537">JS173/JL173-1</f>
        <v>-1.6475954543667237E-2</v>
      </c>
      <c r="JT174" s="198">
        <f t="shared" ref="JT174" si="1538">JT173/JM173-1</f>
        <v>2.3975095010916325E-2</v>
      </c>
      <c r="JU174" s="198">
        <f t="shared" ref="JU174" si="1539">JU173/JN173-1</f>
        <v>1.8158688470771844E-2</v>
      </c>
      <c r="JV174" s="198">
        <f t="shared" ref="JV174" si="1540">JV173/JO173-1</f>
        <v>1.1125447423969259E-2</v>
      </c>
      <c r="JX174" s="197" t="str">
        <f t="shared" si="1251"/>
        <v>YoY Change (%)</v>
      </c>
      <c r="JY174" s="198">
        <f>JY173/JR173-1</f>
        <v>2.2433562142885055E-3</v>
      </c>
      <c r="JZ174" s="198">
        <f t="shared" ref="JZ174" si="1541">JZ173/JS173-1</f>
        <v>2.0881490042674145E-2</v>
      </c>
      <c r="KA174" s="198">
        <f t="shared" ref="KA174" si="1542">KA173/JT173-1</f>
        <v>-3.3225291968925319E-2</v>
      </c>
      <c r="KB174" s="198">
        <f t="shared" ref="KB174" si="1543">KB173/JU173-1</f>
        <v>-2.0458810620122558E-2</v>
      </c>
      <c r="KC174" s="198">
        <f t="shared" ref="KC174" si="1544">KC173/JV173-1</f>
        <v>-7.5140579382377837E-3</v>
      </c>
      <c r="KE174" s="197" t="str">
        <f t="shared" si="1252"/>
        <v>YoY Change (%)</v>
      </c>
      <c r="KF174" s="198">
        <f>KF173/JY173-1</f>
        <v>1.1779925125933621E-2</v>
      </c>
      <c r="KG174" s="198">
        <f t="shared" ref="KG174" si="1545">KG173/JZ173-1</f>
        <v>3.8736087147738463E-2</v>
      </c>
      <c r="KH174" s="198">
        <f t="shared" ref="KH174" si="1546">KH173/KA173-1</f>
        <v>9.5832091617352955E-2</v>
      </c>
      <c r="KI174" s="198">
        <f t="shared" ref="KI174" si="1547">KI173/KB173-1</f>
        <v>8.1042316631420475E-2</v>
      </c>
      <c r="KJ174" s="198">
        <f t="shared" ref="KJ174" si="1548">KJ173/KC173-1</f>
        <v>5.646112625202826E-2</v>
      </c>
      <c r="KL174" s="197" t="str">
        <f t="shared" si="1253"/>
        <v>YoY Change (%)</v>
      </c>
      <c r="KM174" s="198">
        <f>KM173/KF173-1</f>
        <v>7.8753480402655729E-2</v>
      </c>
      <c r="KN174" s="198">
        <f t="shared" ref="KN174" si="1549">KN173/KG173-1</f>
        <v>0.11233123312331217</v>
      </c>
      <c r="KO174" s="198">
        <f t="shared" ref="KO174" si="1550">KO173/KH173-1</f>
        <v>0.11336657169990505</v>
      </c>
      <c r="KP174" s="198">
        <f t="shared" ref="KP174" si="1551">KP173/KI173-1</f>
        <v>8.4539434977482397E-2</v>
      </c>
      <c r="KQ174" s="198">
        <f t="shared" ref="KQ174" si="1552">KQ173/KJ173-1</f>
        <v>9.7299307090003673E-2</v>
      </c>
      <c r="KS174" s="197" t="str">
        <f t="shared" si="1254"/>
        <v>YoY Change (%)</v>
      </c>
      <c r="KT174" s="198">
        <f>KT173/KM173-1</f>
        <v>5.8353559870550242E-2</v>
      </c>
      <c r="KU174" s="198">
        <f t="shared" ref="KU174" si="1553">KU173/KN173-1</f>
        <v>-5.9121621621620601E-3</v>
      </c>
      <c r="KV174" s="198">
        <f t="shared" ref="KV174" si="1554">KV173/KO173-1</f>
        <v>-4.1279613037981666E-2</v>
      </c>
      <c r="KW174" s="198">
        <f t="shared" ref="KW174" si="1555">KW173/KP173-1</f>
        <v>9.8959477541891161E-3</v>
      </c>
      <c r="KX174" s="198">
        <f t="shared" ref="KX174" si="1556">KX173/KQ173-1</f>
        <v>4.2382791778787787E-3</v>
      </c>
      <c r="KZ174" s="197" t="str">
        <f t="shared" si="1255"/>
        <v>YoY Change (%)</v>
      </c>
      <c r="LA174" s="198">
        <f>LA173/KT173-1</f>
        <v>2.1464762782128277E-2</v>
      </c>
      <c r="LB174" s="198">
        <f>LB173/KU173-1</f>
        <v>3.412468220718301E-2</v>
      </c>
      <c r="LC174" s="198">
        <f>LC173/KV173-1</f>
        <v>2.9473332395159035E-2</v>
      </c>
      <c r="LD174" s="198">
        <f t="shared" ref="LD174" si="1557">LD173/KW173-1</f>
        <v>8.4667038246144521E-3</v>
      </c>
      <c r="LE174" s="199">
        <f t="shared" ref="LE174" si="1558">LE173/KX173-1</f>
        <v>2.3258050949828357E-2</v>
      </c>
      <c r="LF174" s="567"/>
      <c r="LG174" s="197" t="str">
        <f t="shared" si="1256"/>
        <v>YoY Change (%)</v>
      </c>
      <c r="LH174" s="198">
        <f>LH173/LA173-1</f>
        <v>1.3282567499434794E-2</v>
      </c>
      <c r="LI174" s="198">
        <f>LI173/LB173-1</f>
        <v>3.0116208364299624E-2</v>
      </c>
      <c r="LJ174" s="198">
        <f>LJ173/LC173-1</f>
        <v>2.8885832187070193E-2</v>
      </c>
      <c r="LK174" s="198">
        <f>LK173/LD173-1</f>
        <v>2.0107379724181307E-2</v>
      </c>
      <c r="LL174" s="199">
        <f t="shared" ref="LL174" si="1559">LL173/LE173-1</f>
        <v>2.310861122271346E-2</v>
      </c>
      <c r="LM174" s="567"/>
      <c r="LN174" s="197" t="str">
        <f t="shared" si="1257"/>
        <v>YoY Change (%)</v>
      </c>
      <c r="LO174" s="222">
        <v>0.02</v>
      </c>
      <c r="LP174" s="222">
        <v>0.02</v>
      </c>
      <c r="LQ174" s="222">
        <v>0.03</v>
      </c>
      <c r="LR174" s="222">
        <v>0.03</v>
      </c>
      <c r="LS174" s="199">
        <f t="shared" ref="LS174" si="1560">LS173/LL173-1</f>
        <v>2.5071956697934938E-2</v>
      </c>
      <c r="LT174" s="567"/>
      <c r="LU174" s="197" t="str">
        <f t="shared" si="1261"/>
        <v>YoY Change (%)</v>
      </c>
      <c r="LV174" s="222">
        <v>2.75E-2</v>
      </c>
      <c r="LW174" s="222">
        <v>2.75E-2</v>
      </c>
      <c r="LX174" s="222">
        <v>2.75E-2</v>
      </c>
      <c r="LY174" s="222">
        <v>2.75E-2</v>
      </c>
      <c r="LZ174" s="199">
        <f t="shared" ref="LZ174" si="1561">LZ173/LS173-1</f>
        <v>2.7500000000000302E-2</v>
      </c>
      <c r="MA174" s="567"/>
      <c r="MB174" s="197" t="str">
        <f t="shared" si="1265"/>
        <v>YoY Change (%)</v>
      </c>
      <c r="MC174" s="222">
        <v>2.5000000000000001E-2</v>
      </c>
      <c r="MD174" s="222">
        <v>2.5000000000000001E-2</v>
      </c>
      <c r="ME174" s="222">
        <v>2.5000000000000001E-2</v>
      </c>
      <c r="MF174" s="222">
        <v>2.5000000000000001E-2</v>
      </c>
      <c r="MG174" s="199">
        <f t="shared" ref="MG174" si="1562">MG173/LZ173-1</f>
        <v>2.4979147098550758E-2</v>
      </c>
      <c r="MH174" s="567"/>
    </row>
    <row r="175" spans="1:346" s="37" customFormat="1" ht="13.15" x14ac:dyDescent="0.4">
      <c r="A175" s="100"/>
      <c r="C175" s="186"/>
      <c r="D175" s="186"/>
      <c r="E175" s="191"/>
      <c r="F175" s="191"/>
      <c r="G175" s="191"/>
      <c r="H175" s="191"/>
      <c r="I175" s="191"/>
      <c r="J175" s="191"/>
      <c r="K175" s="191"/>
      <c r="L175" s="191"/>
      <c r="M175" s="191"/>
      <c r="N175" s="193"/>
      <c r="O175" s="193"/>
      <c r="P175" s="193"/>
      <c r="Q175" s="193"/>
      <c r="R175" s="193"/>
      <c r="S175" s="193"/>
      <c r="T175" s="193"/>
      <c r="U175" s="193"/>
      <c r="V175" s="193"/>
      <c r="W175" s="193"/>
      <c r="X175" s="193"/>
      <c r="Y175" s="193"/>
      <c r="Z175" s="193"/>
      <c r="AA175" s="193"/>
      <c r="AB175" s="193"/>
      <c r="AC175" s="193"/>
      <c r="AD175" s="193"/>
      <c r="AE175" s="193"/>
      <c r="AF175" s="193"/>
      <c r="AG175" s="193"/>
      <c r="AH175" s="193"/>
      <c r="AI175" s="193"/>
      <c r="AJ175" s="193"/>
      <c r="AK175" s="193"/>
      <c r="AL175" s="193"/>
      <c r="AM175" s="193"/>
      <c r="AN175" s="193"/>
      <c r="AO175" s="193"/>
      <c r="AP175" s="193"/>
      <c r="AQ175" s="193"/>
      <c r="AR175" s="193"/>
      <c r="AS175" s="193"/>
      <c r="AT175" s="193"/>
      <c r="AU175" s="193"/>
      <c r="AV175" s="193"/>
      <c r="AW175" s="193"/>
      <c r="AX175" s="193"/>
      <c r="AY175" s="193"/>
      <c r="AZ175" s="193"/>
      <c r="BA175" s="193"/>
      <c r="BB175" s="193"/>
      <c r="BC175" s="193"/>
      <c r="BD175" s="193"/>
      <c r="BE175" s="193"/>
      <c r="BF175" s="193"/>
      <c r="BG175" s="193"/>
      <c r="BH175" s="193"/>
      <c r="BI175" s="193"/>
      <c r="BJ175" s="193"/>
      <c r="BK175" s="193"/>
      <c r="BL175" s="193"/>
      <c r="BM175" s="193"/>
      <c r="BP175" s="193"/>
      <c r="BQ175" s="193"/>
      <c r="BR175" s="193"/>
      <c r="BS175" s="193"/>
      <c r="BT175" s="193"/>
      <c r="BW175" s="193"/>
      <c r="BX175" s="193"/>
      <c r="BY175" s="193"/>
      <c r="BZ175" s="193"/>
      <c r="CA175" s="193"/>
      <c r="CD175" s="193"/>
      <c r="CE175" s="193"/>
      <c r="CF175" s="193"/>
      <c r="CG175" s="193"/>
      <c r="CH175" s="193"/>
      <c r="CK175" s="193"/>
      <c r="CL175" s="193"/>
      <c r="CM175" s="193"/>
      <c r="CN175" s="193"/>
      <c r="CO175" s="193"/>
      <c r="CR175" s="193"/>
      <c r="CS175" s="193"/>
      <c r="CT175" s="193"/>
      <c r="CU175" s="193"/>
      <c r="CV175" s="193"/>
      <c r="CY175" s="193"/>
      <c r="CZ175" s="193"/>
      <c r="DA175" s="193"/>
      <c r="DB175" s="193"/>
      <c r="DC175" s="193"/>
      <c r="DF175" s="193"/>
      <c r="DG175" s="193"/>
      <c r="DH175" s="193"/>
      <c r="DI175" s="193"/>
      <c r="DJ175" s="193"/>
      <c r="DM175" s="193"/>
      <c r="DN175" s="193"/>
      <c r="DO175" s="193"/>
      <c r="DP175" s="193"/>
      <c r="DQ175" s="193"/>
      <c r="DT175" s="193"/>
      <c r="DU175" s="193"/>
      <c r="DV175" s="193"/>
      <c r="DW175" s="193"/>
      <c r="DX175" s="193"/>
      <c r="EA175" s="193"/>
      <c r="EB175" s="193"/>
      <c r="EC175" s="193"/>
      <c r="ED175" s="193"/>
      <c r="EE175" s="193"/>
      <c r="EH175" s="193"/>
      <c r="EI175" s="193"/>
      <c r="EJ175" s="193"/>
      <c r="EK175" s="193"/>
      <c r="EL175" s="193"/>
      <c r="EO175" s="193"/>
      <c r="EP175" s="193"/>
      <c r="EQ175" s="193"/>
      <c r="ER175" s="193"/>
      <c r="ES175" s="193"/>
      <c r="EV175" s="193"/>
      <c r="EW175" s="193"/>
      <c r="EX175" s="193"/>
      <c r="EY175" s="193"/>
      <c r="EZ175" s="193"/>
      <c r="FC175" s="193"/>
      <c r="FD175" s="193"/>
      <c r="FE175" s="193"/>
      <c r="FF175" s="193"/>
      <c r="FG175" s="193"/>
      <c r="FJ175" s="193"/>
      <c r="FK175" s="193"/>
      <c r="FL175" s="193"/>
      <c r="FM175" s="193"/>
      <c r="FN175" s="193"/>
      <c r="FQ175" s="193"/>
      <c r="FR175" s="193"/>
      <c r="FS175" s="193"/>
      <c r="FT175" s="193"/>
      <c r="FU175" s="193"/>
      <c r="FX175" s="193"/>
      <c r="FY175" s="193"/>
      <c r="FZ175" s="193"/>
      <c r="GA175" s="193"/>
      <c r="GB175" s="193"/>
      <c r="GE175" s="193"/>
      <c r="GF175" s="193"/>
      <c r="GG175" s="193"/>
      <c r="GH175" s="193"/>
      <c r="GI175" s="193"/>
      <c r="GL175" s="193"/>
      <c r="GM175" s="193"/>
      <c r="GN175" s="193"/>
      <c r="GO175" s="193"/>
      <c r="GP175" s="193"/>
      <c r="GS175" s="193"/>
      <c r="GT175" s="193"/>
      <c r="GU175" s="193"/>
      <c r="GV175" s="193"/>
      <c r="GW175" s="193"/>
      <c r="GZ175" s="193"/>
      <c r="HA175" s="193"/>
      <c r="HB175" s="193"/>
      <c r="HC175" s="193"/>
      <c r="HD175" s="193"/>
      <c r="HG175" s="193"/>
      <c r="HH175" s="193"/>
      <c r="HI175" s="193"/>
      <c r="HJ175" s="193"/>
      <c r="HK175" s="193"/>
      <c r="HN175" s="193"/>
      <c r="HO175" s="193"/>
      <c r="HP175" s="193"/>
      <c r="HQ175" s="193"/>
      <c r="HR175" s="193"/>
      <c r="HU175" s="193"/>
      <c r="HV175" s="193"/>
      <c r="HW175" s="193"/>
      <c r="HX175" s="193"/>
      <c r="HY175" s="193"/>
      <c r="IB175" s="193"/>
      <c r="IC175" s="193"/>
      <c r="ID175" s="193"/>
      <c r="IE175" s="193"/>
      <c r="IF175" s="193"/>
      <c r="II175" s="193"/>
      <c r="IJ175" s="193"/>
      <c r="IK175" s="193"/>
      <c r="IL175" s="193"/>
      <c r="IM175" s="193"/>
      <c r="IP175" s="193"/>
      <c r="IQ175" s="193"/>
      <c r="IR175" s="193"/>
      <c r="IS175" s="193"/>
      <c r="IT175" s="193"/>
      <c r="IW175" s="193"/>
      <c r="IX175" s="193"/>
      <c r="IY175" s="193"/>
      <c r="IZ175" s="193"/>
      <c r="JA175" s="193"/>
      <c r="JD175" s="193"/>
      <c r="JE175" s="193"/>
      <c r="JF175" s="193"/>
      <c r="JG175" s="193"/>
      <c r="JH175" s="193"/>
      <c r="JK175" s="193"/>
      <c r="JL175" s="193"/>
      <c r="JM175" s="193"/>
      <c r="JN175" s="193"/>
      <c r="JO175" s="193"/>
      <c r="JR175" s="193"/>
      <c r="JS175" s="193"/>
      <c r="JT175" s="193"/>
      <c r="JU175" s="193"/>
      <c r="JV175" s="193"/>
      <c r="JY175" s="193"/>
      <c r="JZ175" s="193"/>
      <c r="KA175" s="193"/>
      <c r="KB175" s="193"/>
      <c r="KC175" s="193"/>
      <c r="KF175" s="193"/>
      <c r="KG175" s="193"/>
      <c r="KH175" s="193"/>
      <c r="KI175" s="193"/>
      <c r="KJ175" s="193"/>
      <c r="KM175" s="193"/>
      <c r="KN175" s="193"/>
      <c r="KO175" s="193"/>
      <c r="KP175" s="193"/>
      <c r="KQ175" s="193"/>
      <c r="KT175" s="193"/>
      <c r="KU175" s="193"/>
      <c r="KV175" s="193"/>
      <c r="KW175" s="193"/>
      <c r="KX175" s="193"/>
      <c r="LA175" s="193"/>
      <c r="LB175" s="193"/>
      <c r="LC175" s="193"/>
      <c r="LD175" s="193"/>
      <c r="LE175" s="200"/>
      <c r="LF175" s="565"/>
      <c r="LH175" s="193"/>
      <c r="LI175" s="193"/>
      <c r="LJ175" s="193"/>
      <c r="LK175" s="193"/>
      <c r="LL175" s="200"/>
      <c r="LM175" s="565"/>
      <c r="LO175" s="200"/>
      <c r="LP175" s="200"/>
      <c r="LQ175" s="200"/>
      <c r="LR175" s="200"/>
      <c r="LS175" s="200"/>
      <c r="LT175" s="565"/>
      <c r="LV175" s="200"/>
      <c r="LW175" s="200"/>
      <c r="LX175" s="200"/>
      <c r="LY175" s="200"/>
      <c r="LZ175" s="200"/>
      <c r="MA175" s="565"/>
      <c r="MC175" s="200"/>
      <c r="MD175" s="200"/>
      <c r="ME175" s="200"/>
      <c r="MF175" s="200"/>
      <c r="MG175" s="200"/>
      <c r="MH175" s="565"/>
    </row>
    <row r="176" spans="1:346" s="68" customFormat="1" ht="12.75" x14ac:dyDescent="0.35">
      <c r="A176" s="140"/>
      <c r="B176" s="68" t="s">
        <v>515</v>
      </c>
      <c r="C176" s="190"/>
      <c r="D176" s="190"/>
      <c r="E176" s="190"/>
      <c r="F176" s="202"/>
      <c r="G176" s="202"/>
      <c r="H176" s="202"/>
      <c r="I176" s="202"/>
      <c r="J176" s="202"/>
      <c r="K176" s="202"/>
      <c r="L176" s="202"/>
      <c r="M176" s="202"/>
      <c r="N176" s="203">
        <f>(N173*N170)/1000</f>
        <v>565</v>
      </c>
      <c r="O176" s="203">
        <f>(O173*O170)/1000</f>
        <v>587</v>
      </c>
      <c r="P176" s="203">
        <f t="shared" ref="P176:AY176" si="1563">(P173*P170)/1000</f>
        <v>593</v>
      </c>
      <c r="Q176" s="203">
        <f t="shared" si="1563"/>
        <v>619</v>
      </c>
      <c r="R176" s="203">
        <f t="shared" si="1563"/>
        <v>652</v>
      </c>
      <c r="S176" s="203">
        <f t="shared" si="1563"/>
        <v>685</v>
      </c>
      <c r="T176" s="203">
        <f t="shared" si="1563"/>
        <v>699.99999999999989</v>
      </c>
      <c r="U176" s="203">
        <f t="shared" si="1563"/>
        <v>719.99999999999989</v>
      </c>
      <c r="V176" s="203">
        <f t="shared" si="1563"/>
        <v>747</v>
      </c>
      <c r="W176" s="203">
        <f t="shared" si="1563"/>
        <v>741</v>
      </c>
      <c r="X176" s="203">
        <f t="shared" si="1563"/>
        <v>909</v>
      </c>
      <c r="Y176" s="203">
        <f t="shared" si="1563"/>
        <v>975.00000000000011</v>
      </c>
      <c r="Z176" s="203">
        <f t="shared" si="1563"/>
        <v>937</v>
      </c>
      <c r="AA176" s="203">
        <f t="shared" si="1563"/>
        <v>964</v>
      </c>
      <c r="AB176" s="203">
        <f t="shared" si="1563"/>
        <v>989.00000000000011</v>
      </c>
      <c r="AC176" s="203">
        <f t="shared" si="1563"/>
        <v>1069</v>
      </c>
      <c r="AD176" s="203">
        <f t="shared" si="1563"/>
        <v>1088</v>
      </c>
      <c r="AE176" s="203">
        <f t="shared" si="1563"/>
        <v>1210</v>
      </c>
      <c r="AF176" s="203">
        <f t="shared" si="1563"/>
        <v>1331</v>
      </c>
      <c r="AG176" s="203">
        <f t="shared" si="1563"/>
        <v>1454</v>
      </c>
      <c r="AH176" s="203">
        <f t="shared" si="1563"/>
        <v>1267</v>
      </c>
      <c r="AI176" s="203">
        <f t="shared" si="1563"/>
        <v>1485</v>
      </c>
      <c r="AJ176" s="203">
        <f t="shared" si="1563"/>
        <v>1596</v>
      </c>
      <c r="AK176" s="203">
        <f t="shared" si="1563"/>
        <v>1682</v>
      </c>
      <c r="AL176" s="203">
        <f t="shared" si="1563"/>
        <v>2078</v>
      </c>
      <c r="AM176" s="203">
        <f t="shared" si="1563"/>
        <v>2375</v>
      </c>
      <c r="AN176" s="203">
        <f t="shared" si="1563"/>
        <v>2284</v>
      </c>
      <c r="AO176" s="203">
        <f t="shared" si="1563"/>
        <v>2191</v>
      </c>
      <c r="AP176" s="203">
        <f t="shared" si="1563"/>
        <v>2210</v>
      </c>
      <c r="AQ176" s="203">
        <f t="shared" si="1563"/>
        <v>2339</v>
      </c>
      <c r="AR176" s="203">
        <f t="shared" si="1563"/>
        <v>2344.0000000000005</v>
      </c>
      <c r="AS176" s="203">
        <f t="shared" si="1563"/>
        <v>2309</v>
      </c>
      <c r="AT176" s="203">
        <f t="shared" si="1563"/>
        <v>2421</v>
      </c>
      <c r="AU176" s="203">
        <f t="shared" si="1563"/>
        <v>2584</v>
      </c>
      <c r="AV176" s="203">
        <f t="shared" si="1563"/>
        <v>2599</v>
      </c>
      <c r="AW176" s="203">
        <f t="shared" si="1563"/>
        <v>2849.9999999999995</v>
      </c>
      <c r="AX176" s="203">
        <f t="shared" si="1563"/>
        <v>2776</v>
      </c>
      <c r="AY176" s="203">
        <f t="shared" si="1563"/>
        <v>2791.7723000000001</v>
      </c>
      <c r="AZ176" s="203">
        <f t="shared" ref="AZ176:BA176" si="1564">(AZ173*AZ170)/1000</f>
        <v>2954.6024193975004</v>
      </c>
      <c r="BA176" s="203">
        <f t="shared" si="1564"/>
        <v>3109.7126580751296</v>
      </c>
      <c r="BB176" s="203"/>
      <c r="BC176" s="203"/>
      <c r="BD176" s="203"/>
      <c r="BE176" s="203"/>
      <c r="BF176" s="203"/>
      <c r="BG176" s="203"/>
      <c r="BH176" s="203"/>
      <c r="BI176" s="203"/>
      <c r="BJ176" s="203"/>
      <c r="BK176" s="203"/>
      <c r="BL176" s="203"/>
      <c r="BM176" s="203"/>
      <c r="BO176" s="68" t="str">
        <f t="shared" si="1220"/>
        <v>Chemicals Revenue</v>
      </c>
      <c r="BP176" s="204">
        <f>(BP173*BP170)/1000</f>
        <v>144</v>
      </c>
      <c r="BQ176" s="204">
        <f t="shared" ref="BQ176:BT176" si="1565">(BQ173*BQ170)/1000</f>
        <v>142</v>
      </c>
      <c r="BR176" s="204">
        <f t="shared" si="1565"/>
        <v>139</v>
      </c>
      <c r="BS176" s="204">
        <f t="shared" si="1565"/>
        <v>140.00000000000003</v>
      </c>
      <c r="BT176" s="204">
        <f t="shared" si="1565"/>
        <v>565</v>
      </c>
      <c r="BV176" s="68" t="str">
        <f t="shared" si="1221"/>
        <v>Chemicals Revenue</v>
      </c>
      <c r="BW176" s="204">
        <f>(BW173*BW170)/1000</f>
        <v>149</v>
      </c>
      <c r="BX176" s="204">
        <f t="shared" ref="BX176:CA176" si="1566">(BX173*BX170)/1000</f>
        <v>146</v>
      </c>
      <c r="BY176" s="204">
        <f t="shared" si="1566"/>
        <v>146</v>
      </c>
      <c r="BZ176" s="204">
        <f t="shared" si="1566"/>
        <v>146</v>
      </c>
      <c r="CA176" s="204">
        <f t="shared" si="1566"/>
        <v>587</v>
      </c>
      <c r="CC176" s="68" t="str">
        <f t="shared" si="1222"/>
        <v>Chemicals Revenue</v>
      </c>
      <c r="CD176" s="204">
        <f>(CD173*CD170)/1000</f>
        <v>143</v>
      </c>
      <c r="CE176" s="204">
        <f t="shared" ref="CE176:CH176" si="1567">(CE173*CE170)/1000</f>
        <v>146</v>
      </c>
      <c r="CF176" s="204">
        <f t="shared" si="1567"/>
        <v>152</v>
      </c>
      <c r="CG176" s="204">
        <f t="shared" si="1567"/>
        <v>152</v>
      </c>
      <c r="CH176" s="204">
        <f t="shared" si="1567"/>
        <v>593</v>
      </c>
      <c r="CJ176" s="68" t="str">
        <f t="shared" si="1223"/>
        <v>Chemicals Revenue</v>
      </c>
      <c r="CK176" s="204">
        <f>(CK173*CK170)/1000</f>
        <v>154</v>
      </c>
      <c r="CL176" s="204">
        <f t="shared" ref="CL176:CO176" si="1568">(CL173*CL170)/1000</f>
        <v>158</v>
      </c>
      <c r="CM176" s="204">
        <f t="shared" si="1568"/>
        <v>154</v>
      </c>
      <c r="CN176" s="204">
        <f t="shared" si="1568"/>
        <v>153</v>
      </c>
      <c r="CO176" s="204">
        <f t="shared" si="1568"/>
        <v>619</v>
      </c>
      <c r="CQ176" s="68" t="str">
        <f t="shared" si="1224"/>
        <v>Chemicals Revenue</v>
      </c>
      <c r="CR176" s="204">
        <f>(CR173*CR170)/1000</f>
        <v>159</v>
      </c>
      <c r="CS176" s="204">
        <f t="shared" ref="CS176:CV176" si="1569">(CS173*CS170)/1000</f>
        <v>164</v>
      </c>
      <c r="CT176" s="204">
        <f t="shared" si="1569"/>
        <v>163</v>
      </c>
      <c r="CU176" s="204">
        <f t="shared" si="1569"/>
        <v>166</v>
      </c>
      <c r="CV176" s="204">
        <f t="shared" si="1569"/>
        <v>652</v>
      </c>
      <c r="CX176" s="68" t="str">
        <f t="shared" si="1225"/>
        <v>Chemicals Revenue</v>
      </c>
      <c r="CY176" s="204">
        <f>(CY173*CY170)/1000</f>
        <v>167.99999999999997</v>
      </c>
      <c r="CZ176" s="204">
        <f t="shared" ref="CZ176:DC176" si="1570">(CZ173*CZ170)/1000</f>
        <v>174.00000000000003</v>
      </c>
      <c r="DA176" s="204">
        <f t="shared" si="1570"/>
        <v>169</v>
      </c>
      <c r="DB176" s="204">
        <f t="shared" si="1570"/>
        <v>174</v>
      </c>
      <c r="DC176" s="204">
        <f t="shared" si="1570"/>
        <v>685</v>
      </c>
      <c r="DE176" s="68" t="str">
        <f t="shared" si="1226"/>
        <v>Chemicals Revenue</v>
      </c>
      <c r="DF176" s="204">
        <f>(DF173*DF170)/1000</f>
        <v>178</v>
      </c>
      <c r="DG176" s="204">
        <f t="shared" ref="DG176:DJ176" si="1571">(DG173*DG170)/1000</f>
        <v>174</v>
      </c>
      <c r="DH176" s="204">
        <f t="shared" si="1571"/>
        <v>175</v>
      </c>
      <c r="DI176" s="204">
        <f t="shared" si="1571"/>
        <v>173</v>
      </c>
      <c r="DJ176" s="204">
        <f t="shared" si="1571"/>
        <v>699.99999999999989</v>
      </c>
      <c r="DL176" s="68" t="str">
        <f t="shared" si="1227"/>
        <v>Chemicals Revenue</v>
      </c>
      <c r="DM176" s="204">
        <f>(DM173*DM170)/1000</f>
        <v>178</v>
      </c>
      <c r="DN176" s="204">
        <f t="shared" ref="DN176:DQ176" si="1572">(DN173*DN170)/1000</f>
        <v>178</v>
      </c>
      <c r="DO176" s="204">
        <f t="shared" si="1572"/>
        <v>183</v>
      </c>
      <c r="DP176" s="204">
        <f t="shared" si="1572"/>
        <v>181</v>
      </c>
      <c r="DQ176" s="204">
        <f t="shared" si="1572"/>
        <v>719.99999999999989</v>
      </c>
      <c r="DS176" s="68" t="str">
        <f t="shared" si="1228"/>
        <v>Chemicals Revenue</v>
      </c>
      <c r="DT176" s="204">
        <f>(DT173*DT170)/1000</f>
        <v>189</v>
      </c>
      <c r="DU176" s="204">
        <f t="shared" ref="DU176:DX176" si="1573">(DU173*DU170)/1000</f>
        <v>190.99999999999997</v>
      </c>
      <c r="DV176" s="204">
        <f t="shared" si="1573"/>
        <v>183</v>
      </c>
      <c r="DW176" s="204">
        <f t="shared" si="1573"/>
        <v>184</v>
      </c>
      <c r="DX176" s="204">
        <f t="shared" si="1573"/>
        <v>747</v>
      </c>
      <c r="DZ176" s="68" t="str">
        <f t="shared" si="1229"/>
        <v>Chemicals Revenue</v>
      </c>
      <c r="EA176" s="204">
        <f>(EA173*EA170)/1000</f>
        <v>188</v>
      </c>
      <c r="EB176" s="204">
        <f t="shared" ref="EB176:EE176" si="1574">(EB173*EB170)/1000</f>
        <v>187</v>
      </c>
      <c r="EC176" s="204">
        <f t="shared" si="1574"/>
        <v>188</v>
      </c>
      <c r="ED176" s="204">
        <f t="shared" si="1574"/>
        <v>178</v>
      </c>
      <c r="EE176" s="204">
        <f t="shared" si="1574"/>
        <v>741</v>
      </c>
      <c r="EG176" s="68" t="str">
        <f t="shared" si="1230"/>
        <v>Chemicals Revenue</v>
      </c>
      <c r="EH176" s="204">
        <f>(EH173*EH170)/1000</f>
        <v>201</v>
      </c>
      <c r="EI176" s="204">
        <f t="shared" ref="EI176:EL176" si="1575">(EI173*EI170)/1000</f>
        <v>218.99999999999997</v>
      </c>
      <c r="EJ176" s="204">
        <f t="shared" si="1575"/>
        <v>245</v>
      </c>
      <c r="EK176" s="204">
        <f t="shared" si="1575"/>
        <v>244.00000000000003</v>
      </c>
      <c r="EL176" s="204">
        <f t="shared" si="1575"/>
        <v>909</v>
      </c>
      <c r="EN176" s="68" t="str">
        <f t="shared" si="1231"/>
        <v>Chemicals Revenue</v>
      </c>
      <c r="EO176" s="204">
        <f>(EO173*EO170)/1000</f>
        <v>245</v>
      </c>
      <c r="EP176" s="204">
        <f t="shared" ref="EP176:ES176" si="1576">(EP173*EP170)/1000</f>
        <v>249.99999999999997</v>
      </c>
      <c r="EQ176" s="204">
        <f t="shared" si="1576"/>
        <v>243</v>
      </c>
      <c r="ER176" s="204">
        <f t="shared" si="1576"/>
        <v>237</v>
      </c>
      <c r="ES176" s="204">
        <f t="shared" si="1576"/>
        <v>975.00000000000011</v>
      </c>
      <c r="EU176" s="68" t="str">
        <f t="shared" si="1232"/>
        <v>Chemicals Revenue</v>
      </c>
      <c r="EV176" s="204">
        <f>(EV173*EV170)/1000</f>
        <v>244</v>
      </c>
      <c r="EW176" s="204">
        <f t="shared" ref="EW176:EZ176" si="1577">(EW173*EW170)/1000</f>
        <v>239</v>
      </c>
      <c r="EX176" s="204">
        <f t="shared" si="1577"/>
        <v>230</v>
      </c>
      <c r="EY176" s="204">
        <f t="shared" si="1577"/>
        <v>224</v>
      </c>
      <c r="EZ176" s="204">
        <f t="shared" si="1577"/>
        <v>937</v>
      </c>
      <c r="FB176" s="68" t="str">
        <f t="shared" si="1233"/>
        <v>Chemicals Revenue</v>
      </c>
      <c r="FC176" s="204">
        <f>(FC173*FC170)/1000</f>
        <v>238</v>
      </c>
      <c r="FD176" s="204">
        <f t="shared" ref="FD176:FG176" si="1578">(FD173*FD170)/1000</f>
        <v>246</v>
      </c>
      <c r="FE176" s="204">
        <f t="shared" si="1578"/>
        <v>239</v>
      </c>
      <c r="FF176" s="204">
        <f t="shared" si="1578"/>
        <v>241</v>
      </c>
      <c r="FG176" s="204">
        <f t="shared" si="1578"/>
        <v>964</v>
      </c>
      <c r="FI176" s="68" t="str">
        <f t="shared" si="1234"/>
        <v>Chemicals Revenue</v>
      </c>
      <c r="FJ176" s="204">
        <f>(FJ173*FJ170)/1000</f>
        <v>250</v>
      </c>
      <c r="FK176" s="204">
        <f t="shared" ref="FK176:FN176" si="1579">(FK173*FK170)/1000</f>
        <v>243.00000000000003</v>
      </c>
      <c r="FL176" s="204">
        <f t="shared" si="1579"/>
        <v>248</v>
      </c>
      <c r="FM176" s="204">
        <f t="shared" si="1579"/>
        <v>248</v>
      </c>
      <c r="FN176" s="204">
        <f t="shared" si="1579"/>
        <v>989.00000000000011</v>
      </c>
      <c r="FP176" s="68" t="str">
        <f t="shared" si="1235"/>
        <v>Chemicals Revenue</v>
      </c>
      <c r="FQ176" s="204">
        <f>(FQ173*FQ170)/1000</f>
        <v>256.00000000000006</v>
      </c>
      <c r="FR176" s="204">
        <f t="shared" ref="FR176:FU176" si="1580">(FR173*FR170)/1000</f>
        <v>264</v>
      </c>
      <c r="FS176" s="204">
        <f t="shared" si="1580"/>
        <v>266</v>
      </c>
      <c r="FT176" s="204">
        <f t="shared" si="1580"/>
        <v>283</v>
      </c>
      <c r="FU176" s="204">
        <f t="shared" si="1580"/>
        <v>1069</v>
      </c>
      <c r="FW176" s="68" t="str">
        <f t="shared" si="1236"/>
        <v>Chemicals Revenue</v>
      </c>
      <c r="FX176" s="204">
        <f>(FX173*FX170)/1000</f>
        <v>275</v>
      </c>
      <c r="FY176" s="204">
        <f t="shared" ref="FY176:GB176" si="1581">(FY173*FY170)/1000</f>
        <v>270</v>
      </c>
      <c r="FZ176" s="204">
        <f t="shared" si="1581"/>
        <v>269.00000000000006</v>
      </c>
      <c r="GA176" s="204">
        <f t="shared" si="1581"/>
        <v>274</v>
      </c>
      <c r="GB176" s="204">
        <f t="shared" si="1581"/>
        <v>1088</v>
      </c>
      <c r="GD176" s="68" t="str">
        <f t="shared" si="1237"/>
        <v>Chemicals Revenue</v>
      </c>
      <c r="GE176" s="204">
        <f>(GE173*GE170)/1000</f>
        <v>295</v>
      </c>
      <c r="GF176" s="204">
        <f t="shared" ref="GF176:GI176" si="1582">(GF173*GF170)/1000</f>
        <v>305</v>
      </c>
      <c r="GG176" s="204">
        <f t="shared" si="1582"/>
        <v>313.00000000000006</v>
      </c>
      <c r="GH176" s="204">
        <f t="shared" si="1582"/>
        <v>297</v>
      </c>
      <c r="GI176" s="204">
        <f t="shared" si="1582"/>
        <v>1210</v>
      </c>
      <c r="GK176" s="68" t="str">
        <f t="shared" si="1238"/>
        <v>Chemicals Revenue</v>
      </c>
      <c r="GL176" s="204">
        <f>(GL173*GL170)/1000</f>
        <v>321</v>
      </c>
      <c r="GM176" s="204">
        <f t="shared" ref="GM176:GP176" si="1583">(GM173*GM170)/1000</f>
        <v>330.99999999999994</v>
      </c>
      <c r="GN176" s="204">
        <f t="shared" si="1583"/>
        <v>340.99999999999994</v>
      </c>
      <c r="GO176" s="204">
        <f t="shared" si="1583"/>
        <v>338</v>
      </c>
      <c r="GP176" s="204">
        <f t="shared" si="1583"/>
        <v>1331</v>
      </c>
      <c r="GR176" s="68" t="str">
        <f t="shared" si="1239"/>
        <v>Chemicals Revenue</v>
      </c>
      <c r="GS176" s="204">
        <f>(GS173*GS170)/1000</f>
        <v>362</v>
      </c>
      <c r="GT176" s="204">
        <f t="shared" ref="GT176:GW176" si="1584">(GT173*GT170)/1000</f>
        <v>380.99999999999994</v>
      </c>
      <c r="GU176" s="204">
        <f t="shared" si="1584"/>
        <v>385</v>
      </c>
      <c r="GV176" s="204">
        <f t="shared" si="1584"/>
        <v>326</v>
      </c>
      <c r="GW176" s="204">
        <f t="shared" si="1584"/>
        <v>1454</v>
      </c>
      <c r="GY176" s="68" t="str">
        <f t="shared" si="1240"/>
        <v>Chemicals Revenue</v>
      </c>
      <c r="GZ176" s="204">
        <f>(GZ173*GZ170)/1000</f>
        <v>307.99999999999994</v>
      </c>
      <c r="HA176" s="204">
        <f t="shared" ref="HA176:HD176" si="1585">(HA173*HA170)/1000</f>
        <v>307.99999999999994</v>
      </c>
      <c r="HB176" s="204">
        <f t="shared" si="1585"/>
        <v>332</v>
      </c>
      <c r="HC176" s="204">
        <f t="shared" si="1585"/>
        <v>319</v>
      </c>
      <c r="HD176" s="204">
        <f t="shared" si="1585"/>
        <v>1267</v>
      </c>
      <c r="HF176" s="68" t="str">
        <f t="shared" si="1241"/>
        <v>Chemicals Revenue</v>
      </c>
      <c r="HG176" s="204">
        <f>(HG173*HG170)/1000</f>
        <v>351</v>
      </c>
      <c r="HH176" s="204">
        <f t="shared" ref="HH176:HK176" si="1586">(HH173*HH170)/1000</f>
        <v>372</v>
      </c>
      <c r="HI176" s="204">
        <f t="shared" si="1586"/>
        <v>379</v>
      </c>
      <c r="HJ176" s="204">
        <f t="shared" si="1586"/>
        <v>383</v>
      </c>
      <c r="HK176" s="204">
        <f t="shared" si="1586"/>
        <v>1485</v>
      </c>
      <c r="HM176" s="68" t="str">
        <f t="shared" si="1242"/>
        <v>Chemicals Revenue</v>
      </c>
      <c r="HN176" s="204">
        <f>(HN173*HN170)/1000</f>
        <v>394</v>
      </c>
      <c r="HO176" s="204">
        <f t="shared" ref="HO176:HR176" si="1587">(HO173*HO170)/1000</f>
        <v>413</v>
      </c>
      <c r="HP176" s="204">
        <f t="shared" si="1587"/>
        <v>407</v>
      </c>
      <c r="HQ176" s="204">
        <f t="shared" si="1587"/>
        <v>382</v>
      </c>
      <c r="HR176" s="204">
        <f t="shared" si="1587"/>
        <v>1596</v>
      </c>
      <c r="HT176" s="68" t="str">
        <f t="shared" si="1243"/>
        <v>Chemicals Revenue</v>
      </c>
      <c r="HU176" s="204">
        <f>(HU173*HU170)/1000</f>
        <v>415</v>
      </c>
      <c r="HV176" s="204">
        <f t="shared" ref="HV176:HY176" si="1588">(HV173*HV170)/1000</f>
        <v>430</v>
      </c>
      <c r="HW176" s="204">
        <f t="shared" si="1588"/>
        <v>424</v>
      </c>
      <c r="HX176" s="204">
        <f t="shared" si="1588"/>
        <v>413</v>
      </c>
      <c r="HY176" s="204">
        <f t="shared" si="1588"/>
        <v>1682</v>
      </c>
      <c r="IA176" s="68" t="str">
        <f t="shared" si="1244"/>
        <v>Chemicals Revenue</v>
      </c>
      <c r="IB176" s="204">
        <f>(IB173*IB170)/1000</f>
        <v>504</v>
      </c>
      <c r="IC176" s="204">
        <f t="shared" ref="IC176:IF176" si="1589">(IC173*IC170)/1000</f>
        <v>522</v>
      </c>
      <c r="ID176" s="204">
        <f t="shared" si="1589"/>
        <v>523</v>
      </c>
      <c r="IE176" s="204">
        <f t="shared" si="1589"/>
        <v>529</v>
      </c>
      <c r="IF176" s="204">
        <f t="shared" si="1589"/>
        <v>2078</v>
      </c>
      <c r="IH176" s="68" t="str">
        <f t="shared" si="1245"/>
        <v>Chemicals Revenue</v>
      </c>
      <c r="II176" s="204">
        <f>(II173*II170)/1000</f>
        <v>551.99999999999989</v>
      </c>
      <c r="IJ176" s="204">
        <f t="shared" ref="IJ176:IM176" si="1590">(IJ173*IJ170)/1000</f>
        <v>607</v>
      </c>
      <c r="IK176" s="204">
        <f t="shared" si="1590"/>
        <v>615</v>
      </c>
      <c r="IL176" s="204">
        <f t="shared" si="1590"/>
        <v>601</v>
      </c>
      <c r="IM176" s="204">
        <f t="shared" si="1590"/>
        <v>2375</v>
      </c>
      <c r="IO176" s="68" t="str">
        <f t="shared" si="1246"/>
        <v>Chemicals Revenue</v>
      </c>
      <c r="IP176" s="204">
        <f>(IP173*IP170)/1000</f>
        <v>573</v>
      </c>
      <c r="IQ176" s="204">
        <f t="shared" ref="IQ176:IT176" si="1591">(IQ173*IQ170)/1000</f>
        <v>581</v>
      </c>
      <c r="IR176" s="204">
        <f t="shared" si="1591"/>
        <v>582</v>
      </c>
      <c r="IS176" s="204">
        <f t="shared" si="1591"/>
        <v>548</v>
      </c>
      <c r="IT176" s="204">
        <f t="shared" si="1591"/>
        <v>2284</v>
      </c>
      <c r="IV176" s="68" t="str">
        <f t="shared" si="1247"/>
        <v>Chemicals Revenue</v>
      </c>
      <c r="IW176" s="204">
        <f>(IW173*IW170)/1000</f>
        <v>546</v>
      </c>
      <c r="IX176" s="204">
        <f t="shared" ref="IX176:JA176" si="1592">(IX173*IX170)/1000</f>
        <v>534</v>
      </c>
      <c r="IY176" s="204">
        <f t="shared" si="1592"/>
        <v>542</v>
      </c>
      <c r="IZ176" s="204">
        <f t="shared" si="1592"/>
        <v>569</v>
      </c>
      <c r="JA176" s="204">
        <f t="shared" si="1592"/>
        <v>2191</v>
      </c>
      <c r="JC176" s="68" t="str">
        <f t="shared" si="1248"/>
        <v>Chemicals Revenue</v>
      </c>
      <c r="JD176" s="204">
        <f>(JD173*JD170)/1000</f>
        <v>566</v>
      </c>
      <c r="JE176" s="204">
        <f t="shared" ref="JE176:JH176" si="1593">(JE173*JE170)/1000</f>
        <v>551.99999999999989</v>
      </c>
      <c r="JF176" s="204">
        <f t="shared" si="1593"/>
        <v>546</v>
      </c>
      <c r="JG176" s="204">
        <f t="shared" si="1593"/>
        <v>546</v>
      </c>
      <c r="JH176" s="204">
        <f t="shared" si="1593"/>
        <v>2210</v>
      </c>
      <c r="JJ176" s="68" t="str">
        <f t="shared" si="1249"/>
        <v>Chemicals Revenue</v>
      </c>
      <c r="JK176" s="204">
        <f>(JK173*JK170)/1000</f>
        <v>557</v>
      </c>
      <c r="JL176" s="204">
        <f t="shared" ref="JL176:JO176" si="1594">(JL173*JL170)/1000</f>
        <v>588</v>
      </c>
      <c r="JM176" s="204">
        <f t="shared" si="1594"/>
        <v>596</v>
      </c>
      <c r="JN176" s="204">
        <f t="shared" si="1594"/>
        <v>598</v>
      </c>
      <c r="JO176" s="204">
        <f t="shared" si="1594"/>
        <v>2339</v>
      </c>
      <c r="JQ176" s="68" t="str">
        <f t="shared" si="1250"/>
        <v>Chemicals Revenue</v>
      </c>
      <c r="JR176" s="204">
        <f>(JR173*JR170)/1000</f>
        <v>586</v>
      </c>
      <c r="JS176" s="204">
        <f t="shared" ref="JS176:JV176" si="1595">(JS173*JS170)/1000</f>
        <v>592</v>
      </c>
      <c r="JT176" s="204">
        <f t="shared" si="1595"/>
        <v>589</v>
      </c>
      <c r="JU176" s="204">
        <f t="shared" si="1595"/>
        <v>577</v>
      </c>
      <c r="JV176" s="204">
        <f t="shared" si="1595"/>
        <v>2344.0000000000005</v>
      </c>
      <c r="JX176" s="68" t="str">
        <f t="shared" si="1251"/>
        <v>Chemicals Revenue</v>
      </c>
      <c r="JY176" s="204">
        <f>(JY173*JY170)/1000</f>
        <v>626</v>
      </c>
      <c r="JZ176" s="204">
        <f t="shared" ref="JZ176:KC176" si="1596">(JZ173*JZ170)/1000</f>
        <v>531</v>
      </c>
      <c r="KA176" s="204">
        <f t="shared" si="1596"/>
        <v>566</v>
      </c>
      <c r="KB176" s="204">
        <f t="shared" si="1596"/>
        <v>586</v>
      </c>
      <c r="KC176" s="204">
        <f t="shared" si="1596"/>
        <v>2309</v>
      </c>
      <c r="KE176" s="68" t="str">
        <f t="shared" si="1252"/>
        <v>Chemicals Revenue</v>
      </c>
      <c r="KF176" s="204">
        <f>(KF173*KF170)/1000</f>
        <v>580</v>
      </c>
      <c r="KG176" s="204">
        <f t="shared" ref="KG176:KJ176" si="1597">(KG173*KG170)/1000</f>
        <v>606</v>
      </c>
      <c r="KH176" s="204">
        <f t="shared" si="1597"/>
        <v>624</v>
      </c>
      <c r="KI176" s="204">
        <f t="shared" si="1597"/>
        <v>611</v>
      </c>
      <c r="KJ176" s="204">
        <f t="shared" si="1597"/>
        <v>2421</v>
      </c>
      <c r="KL176" s="68" t="str">
        <f t="shared" si="1253"/>
        <v>Chemicals Revenue</v>
      </c>
      <c r="KM176" s="204">
        <f>(KM173*KM170)/1000</f>
        <v>618</v>
      </c>
      <c r="KN176" s="204">
        <f t="shared" ref="KN176:KQ176" si="1598">(KN173*KN170)/1000</f>
        <v>666</v>
      </c>
      <c r="KO176" s="204">
        <f t="shared" si="1598"/>
        <v>678</v>
      </c>
      <c r="KP176" s="204">
        <f t="shared" si="1598"/>
        <v>622</v>
      </c>
      <c r="KQ176" s="204">
        <f t="shared" si="1598"/>
        <v>2584</v>
      </c>
      <c r="KS176" s="68" t="str">
        <f t="shared" si="1254"/>
        <v>Chemicals Revenue</v>
      </c>
      <c r="KT176" s="204">
        <f>(KT173*KT170)/1000</f>
        <v>650</v>
      </c>
      <c r="KU176" s="204">
        <f t="shared" ref="KU176:KX176" si="1599">(KU173*KU170)/1000</f>
        <v>642</v>
      </c>
      <c r="KV176" s="204">
        <f t="shared" si="1599"/>
        <v>646</v>
      </c>
      <c r="KW176" s="204">
        <f t="shared" si="1599"/>
        <v>661.00000000000011</v>
      </c>
      <c r="KX176" s="204">
        <f t="shared" si="1599"/>
        <v>2599</v>
      </c>
      <c r="KZ176" s="68" t="str">
        <f t="shared" si="1255"/>
        <v>Chemicals Revenue</v>
      </c>
      <c r="LA176" s="204">
        <f>(LA173*LA170)/1000</f>
        <v>693.00000000000011</v>
      </c>
      <c r="LB176" s="204">
        <f>(LB173*LB170)/1000</f>
        <v>722</v>
      </c>
      <c r="LC176" s="204">
        <f>(LC173*LC170)/1000</f>
        <v>727</v>
      </c>
      <c r="LD176" s="204">
        <f t="shared" ref="LD176" si="1600">(LD173*LD170)/1000</f>
        <v>708.00000000000011</v>
      </c>
      <c r="LE176" s="205">
        <f>SUM(LA176:LD176)</f>
        <v>2850</v>
      </c>
      <c r="LF176" s="563"/>
      <c r="LG176" s="68" t="str">
        <f t="shared" si="1256"/>
        <v>Chemicals Revenue</v>
      </c>
      <c r="LH176" s="204">
        <f>(LH173*LH170)/1000</f>
        <v>697.99999999999989</v>
      </c>
      <c r="LI176" s="204">
        <f>(LI173*LI170)/1000</f>
        <v>701</v>
      </c>
      <c r="LJ176" s="204">
        <f>(LJ173*LJ170)/1000</f>
        <v>697</v>
      </c>
      <c r="LK176" s="204">
        <f>(LK173*LK170)/1000</f>
        <v>680</v>
      </c>
      <c r="LL176" s="205">
        <f>SUM(LH176:LK176)</f>
        <v>2776</v>
      </c>
      <c r="LM176" s="563"/>
      <c r="LN176" s="68" t="str">
        <f t="shared" si="1257"/>
        <v>Chemicals Revenue</v>
      </c>
      <c r="LO176" s="205">
        <f>(LO170*LO173)/1000</f>
        <v>679.92179999999996</v>
      </c>
      <c r="LP176" s="205">
        <f t="shared" ref="LP176:LR176" si="1601">(LP170*LP173)/1000</f>
        <v>700.71960000000001</v>
      </c>
      <c r="LQ176" s="205">
        <f t="shared" si="1601"/>
        <v>710.73089999999991</v>
      </c>
      <c r="LR176" s="205">
        <f t="shared" si="1601"/>
        <v>700.4</v>
      </c>
      <c r="LS176" s="205">
        <f>SUM(LO176:LR176)</f>
        <v>2791.7723000000001</v>
      </c>
      <c r="LT176" s="563"/>
      <c r="LU176" s="68" t="str">
        <f t="shared" si="1261"/>
        <v>Chemicals Revenue</v>
      </c>
      <c r="LV176" s="205">
        <f>(LV170*LV173)/1000</f>
        <v>719.57823898499998</v>
      </c>
      <c r="LW176" s="205">
        <f t="shared" ref="LW176:LY176" si="1602">(LW170*LW173)/1000</f>
        <v>741.58907067000018</v>
      </c>
      <c r="LX176" s="205">
        <f t="shared" si="1602"/>
        <v>752.18427974250005</v>
      </c>
      <c r="LY176" s="205">
        <f t="shared" si="1602"/>
        <v>741.25083000000006</v>
      </c>
      <c r="LZ176" s="205">
        <f>SUM(LV176:LY176)</f>
        <v>2954.6024193975004</v>
      </c>
      <c r="MA176" s="563"/>
      <c r="MB176" s="68" t="str">
        <f t="shared" si="1265"/>
        <v>Chemicals Revenue</v>
      </c>
      <c r="MC176" s="205">
        <f>(MC170*MC173)/1000</f>
        <v>761.53864504581259</v>
      </c>
      <c r="MD176" s="205">
        <f t="shared" ref="MD176:MF176" si="1603">(MD170*MD173)/1000</f>
        <v>782.93266135985255</v>
      </c>
      <c r="ME176" s="205">
        <f t="shared" si="1603"/>
        <v>790.26360890446404</v>
      </c>
      <c r="MF176" s="205">
        <f t="shared" si="1603"/>
        <v>774.97774276500013</v>
      </c>
      <c r="MG176" s="205">
        <f>SUM(MC176:MF176)</f>
        <v>3109.7126580751292</v>
      </c>
      <c r="MH176" s="563"/>
    </row>
    <row r="177" spans="1:346" s="37" customFormat="1" ht="13.15" x14ac:dyDescent="0.4">
      <c r="A177" s="100"/>
      <c r="B177" s="197" t="s">
        <v>516</v>
      </c>
      <c r="C177" s="186"/>
      <c r="D177" s="186"/>
      <c r="E177" s="186"/>
      <c r="F177" s="186"/>
      <c r="G177" s="186"/>
      <c r="H177" s="186"/>
      <c r="I177" s="186"/>
      <c r="J177" s="186"/>
      <c r="K177" s="186"/>
      <c r="L177" s="186"/>
      <c r="M177" s="186"/>
      <c r="N177" s="193"/>
      <c r="O177" s="198">
        <f>O176/N176-1</f>
        <v>3.8938053097345104E-2</v>
      </c>
      <c r="P177" s="198">
        <f t="shared" ref="P177:BA177" si="1604">P176/O176-1</f>
        <v>1.0221465076660996E-2</v>
      </c>
      <c r="Q177" s="198">
        <f t="shared" si="1604"/>
        <v>4.3844856661045428E-2</v>
      </c>
      <c r="R177" s="198">
        <f t="shared" si="1604"/>
        <v>5.331179321486279E-2</v>
      </c>
      <c r="S177" s="198">
        <f t="shared" si="1604"/>
        <v>5.0613496932515378E-2</v>
      </c>
      <c r="T177" s="198">
        <f t="shared" si="1604"/>
        <v>2.1897810218977964E-2</v>
      </c>
      <c r="U177" s="198">
        <f t="shared" si="1604"/>
        <v>2.857142857142847E-2</v>
      </c>
      <c r="V177" s="198">
        <f t="shared" si="1604"/>
        <v>3.7500000000000089E-2</v>
      </c>
      <c r="W177" s="198">
        <f t="shared" si="1604"/>
        <v>-8.0321285140562138E-3</v>
      </c>
      <c r="X177" s="198">
        <f t="shared" si="1604"/>
        <v>0.22672064777327927</v>
      </c>
      <c r="Y177" s="198">
        <f t="shared" si="1604"/>
        <v>7.260726072607282E-2</v>
      </c>
      <c r="Z177" s="198">
        <f t="shared" si="1604"/>
        <v>-3.897435897435908E-2</v>
      </c>
      <c r="AA177" s="198">
        <f t="shared" si="1604"/>
        <v>2.8815368196371427E-2</v>
      </c>
      <c r="AB177" s="198">
        <f t="shared" si="1604"/>
        <v>2.5933609958506354E-2</v>
      </c>
      <c r="AC177" s="198">
        <f t="shared" si="1604"/>
        <v>8.0889787664307322E-2</v>
      </c>
      <c r="AD177" s="198">
        <f t="shared" si="1604"/>
        <v>1.7773620205799867E-2</v>
      </c>
      <c r="AE177" s="198">
        <f t="shared" si="1604"/>
        <v>0.11213235294117641</v>
      </c>
      <c r="AF177" s="198">
        <f t="shared" si="1604"/>
        <v>0.10000000000000009</v>
      </c>
      <c r="AG177" s="198">
        <f t="shared" si="1604"/>
        <v>9.241172051089408E-2</v>
      </c>
      <c r="AH177" s="198">
        <f t="shared" si="1604"/>
        <v>-0.12861072902338377</v>
      </c>
      <c r="AI177" s="198">
        <f t="shared" si="1604"/>
        <v>0.17205998421468038</v>
      </c>
      <c r="AJ177" s="198">
        <f t="shared" si="1604"/>
        <v>7.4747474747474785E-2</v>
      </c>
      <c r="AK177" s="198">
        <f t="shared" si="1604"/>
        <v>5.3884711779448535E-2</v>
      </c>
      <c r="AL177" s="198">
        <f t="shared" si="1604"/>
        <v>0.23543400713436391</v>
      </c>
      <c r="AM177" s="198">
        <f t="shared" si="1604"/>
        <v>0.14292589027911462</v>
      </c>
      <c r="AN177" s="198">
        <f t="shared" si="1604"/>
        <v>-3.8315789473684192E-2</v>
      </c>
      <c r="AO177" s="198">
        <f t="shared" si="1604"/>
        <v>-4.0718038528896661E-2</v>
      </c>
      <c r="AP177" s="198">
        <f t="shared" si="1604"/>
        <v>8.6718393427658302E-3</v>
      </c>
      <c r="AQ177" s="198">
        <f t="shared" si="1604"/>
        <v>5.8371040723981915E-2</v>
      </c>
      <c r="AR177" s="198">
        <f t="shared" si="1604"/>
        <v>2.1376656690894613E-3</v>
      </c>
      <c r="AS177" s="198">
        <f t="shared" si="1604"/>
        <v>-1.4931740614334665E-2</v>
      </c>
      <c r="AT177" s="198">
        <f t="shared" si="1604"/>
        <v>4.8505846686877518E-2</v>
      </c>
      <c r="AU177" s="198">
        <f t="shared" si="1604"/>
        <v>6.7327550598926145E-2</v>
      </c>
      <c r="AV177" s="198">
        <f t="shared" si="1604"/>
        <v>5.804953560371473E-3</v>
      </c>
      <c r="AW177" s="198">
        <f t="shared" si="1604"/>
        <v>9.6575606002308412E-2</v>
      </c>
      <c r="AX177" s="198">
        <f t="shared" si="1604"/>
        <v>-2.5964912280701635E-2</v>
      </c>
      <c r="AY177" s="198">
        <f t="shared" si="1604"/>
        <v>5.6816642651296156E-3</v>
      </c>
      <c r="AZ177" s="198">
        <f t="shared" si="1604"/>
        <v>5.8325000000000182E-2</v>
      </c>
      <c r="BA177" s="198">
        <f t="shared" si="1604"/>
        <v>5.2497837834052596E-2</v>
      </c>
      <c r="BB177" s="198"/>
      <c r="BC177" s="198"/>
      <c r="BD177" s="198"/>
      <c r="BE177" s="198"/>
      <c r="BF177" s="198"/>
      <c r="BG177" s="198"/>
      <c r="BH177" s="198"/>
      <c r="BI177" s="198"/>
      <c r="BJ177" s="198"/>
      <c r="BK177" s="198"/>
      <c r="BL177" s="198"/>
      <c r="BM177" s="198"/>
      <c r="BO177" s="197" t="str">
        <f t="shared" si="1220"/>
        <v>YoY Change (%)</v>
      </c>
      <c r="BP177" s="193"/>
      <c r="BQ177" s="193"/>
      <c r="BR177" s="193"/>
      <c r="BS177" s="193"/>
      <c r="BT177" s="193"/>
      <c r="BV177" s="197" t="str">
        <f t="shared" si="1221"/>
        <v>YoY Change (%)</v>
      </c>
      <c r="BW177" s="198">
        <f>BW176/BP176-1</f>
        <v>3.4722222222222321E-2</v>
      </c>
      <c r="BX177" s="198">
        <f t="shared" ref="BX177" si="1605">BX176/BQ176-1</f>
        <v>2.8169014084507005E-2</v>
      </c>
      <c r="BY177" s="198">
        <f t="shared" ref="BY177" si="1606">BY176/BR176-1</f>
        <v>5.0359712230215736E-2</v>
      </c>
      <c r="BZ177" s="198">
        <f t="shared" ref="BZ177" si="1607">BZ176/BS176-1</f>
        <v>4.2857142857142705E-2</v>
      </c>
      <c r="CA177" s="198">
        <f t="shared" ref="CA177" si="1608">CA176/BT176-1</f>
        <v>3.8938053097345104E-2</v>
      </c>
      <c r="CC177" s="197" t="str">
        <f t="shared" si="1222"/>
        <v>YoY Change (%)</v>
      </c>
      <c r="CD177" s="198">
        <f>CD176/BW176-1</f>
        <v>-4.0268456375838979E-2</v>
      </c>
      <c r="CE177" s="198">
        <f t="shared" ref="CE177" si="1609">CE176/BX176-1</f>
        <v>0</v>
      </c>
      <c r="CF177" s="198">
        <f t="shared" ref="CF177" si="1610">CF176/BY176-1</f>
        <v>4.1095890410958846E-2</v>
      </c>
      <c r="CG177" s="198">
        <f t="shared" ref="CG177" si="1611">CG176/BZ176-1</f>
        <v>4.1095890410958846E-2</v>
      </c>
      <c r="CH177" s="198">
        <f t="shared" ref="CH177" si="1612">CH176/CA176-1</f>
        <v>1.0221465076660996E-2</v>
      </c>
      <c r="CJ177" s="197" t="str">
        <f t="shared" si="1223"/>
        <v>YoY Change (%)</v>
      </c>
      <c r="CK177" s="198">
        <f>CK176/CD176-1</f>
        <v>7.6923076923076872E-2</v>
      </c>
      <c r="CL177" s="198">
        <f t="shared" ref="CL177" si="1613">CL176/CE176-1</f>
        <v>8.2191780821917915E-2</v>
      </c>
      <c r="CM177" s="198">
        <f t="shared" ref="CM177" si="1614">CM176/CF176-1</f>
        <v>1.3157894736842035E-2</v>
      </c>
      <c r="CN177" s="198">
        <f t="shared" ref="CN177" si="1615">CN176/CG176-1</f>
        <v>6.5789473684210176E-3</v>
      </c>
      <c r="CO177" s="198">
        <f t="shared" ref="CO177" si="1616">CO176/CH176-1</f>
        <v>4.3844856661045428E-2</v>
      </c>
      <c r="CQ177" s="197" t="str">
        <f t="shared" si="1224"/>
        <v>YoY Change (%)</v>
      </c>
      <c r="CR177" s="198">
        <f>CR176/CK176-1</f>
        <v>3.2467532467532534E-2</v>
      </c>
      <c r="CS177" s="198">
        <f t="shared" ref="CS177" si="1617">CS176/CL176-1</f>
        <v>3.7974683544303778E-2</v>
      </c>
      <c r="CT177" s="198">
        <f t="shared" ref="CT177" si="1618">CT176/CM176-1</f>
        <v>5.8441558441558517E-2</v>
      </c>
      <c r="CU177" s="198">
        <f t="shared" ref="CU177" si="1619">CU176/CN176-1</f>
        <v>8.4967320261437829E-2</v>
      </c>
      <c r="CV177" s="198">
        <f t="shared" ref="CV177" si="1620">CV176/CO176-1</f>
        <v>5.331179321486279E-2</v>
      </c>
      <c r="CX177" s="197" t="str">
        <f t="shared" si="1225"/>
        <v>YoY Change (%)</v>
      </c>
      <c r="CY177" s="198">
        <f>CY176/CR176-1</f>
        <v>5.6603773584905426E-2</v>
      </c>
      <c r="CZ177" s="198">
        <f t="shared" ref="CZ177" si="1621">CZ176/CS176-1</f>
        <v>6.0975609756097837E-2</v>
      </c>
      <c r="DA177" s="198">
        <f t="shared" ref="DA177" si="1622">DA176/CT176-1</f>
        <v>3.6809815950920255E-2</v>
      </c>
      <c r="DB177" s="198">
        <f t="shared" ref="DB177" si="1623">DB176/CU176-1</f>
        <v>4.8192771084337283E-2</v>
      </c>
      <c r="DC177" s="198">
        <f t="shared" ref="DC177" si="1624">DC176/CV176-1</f>
        <v>5.0613496932515378E-2</v>
      </c>
      <c r="DE177" s="197" t="str">
        <f t="shared" si="1226"/>
        <v>YoY Change (%)</v>
      </c>
      <c r="DF177" s="198">
        <f>DF176/CY176-1</f>
        <v>5.9523809523809756E-2</v>
      </c>
      <c r="DG177" s="198">
        <f t="shared" ref="DG177" si="1625">DG176/CZ176-1</f>
        <v>0</v>
      </c>
      <c r="DH177" s="198">
        <f t="shared" ref="DH177" si="1626">DH176/DA176-1</f>
        <v>3.5502958579881616E-2</v>
      </c>
      <c r="DI177" s="198">
        <f t="shared" ref="DI177" si="1627">DI176/DB176-1</f>
        <v>-5.7471264367816577E-3</v>
      </c>
      <c r="DJ177" s="198">
        <f t="shared" ref="DJ177" si="1628">DJ176/DC176-1</f>
        <v>2.1897810218977964E-2</v>
      </c>
      <c r="DL177" s="197" t="str">
        <f t="shared" si="1227"/>
        <v>YoY Change (%)</v>
      </c>
      <c r="DM177" s="198">
        <f>DM176/DF176-1</f>
        <v>0</v>
      </c>
      <c r="DN177" s="198">
        <f t="shared" ref="DN177" si="1629">DN176/DG176-1</f>
        <v>2.2988505747126409E-2</v>
      </c>
      <c r="DO177" s="198">
        <f t="shared" ref="DO177" si="1630">DO176/DH176-1</f>
        <v>4.5714285714285818E-2</v>
      </c>
      <c r="DP177" s="198">
        <f t="shared" ref="DP177" si="1631">DP176/DI176-1</f>
        <v>4.6242774566473965E-2</v>
      </c>
      <c r="DQ177" s="198">
        <f t="shared" ref="DQ177" si="1632">DQ176/DJ176-1</f>
        <v>2.857142857142847E-2</v>
      </c>
      <c r="DS177" s="197" t="str">
        <f t="shared" si="1228"/>
        <v>YoY Change (%)</v>
      </c>
      <c r="DT177" s="198">
        <f>DT176/DM176-1</f>
        <v>6.1797752808988804E-2</v>
      </c>
      <c r="DU177" s="198">
        <f t="shared" ref="DU177" si="1633">DU176/DN176-1</f>
        <v>7.3033707865168385E-2</v>
      </c>
      <c r="DV177" s="198">
        <f t="shared" ref="DV177" si="1634">DV176/DO176-1</f>
        <v>0</v>
      </c>
      <c r="DW177" s="198">
        <f t="shared" ref="DW177" si="1635">DW176/DP176-1</f>
        <v>1.6574585635359185E-2</v>
      </c>
      <c r="DX177" s="198">
        <f t="shared" ref="DX177" si="1636">DX176/DQ176-1</f>
        <v>3.7500000000000089E-2</v>
      </c>
      <c r="DZ177" s="197" t="str">
        <f t="shared" si="1229"/>
        <v>YoY Change (%)</v>
      </c>
      <c r="EA177" s="198">
        <f>EA176/DT176-1</f>
        <v>-5.2910052910053462E-3</v>
      </c>
      <c r="EB177" s="198">
        <f t="shared" ref="EB177" si="1637">EB176/DU176-1</f>
        <v>-2.0942408376963151E-2</v>
      </c>
      <c r="EC177" s="198">
        <f t="shared" ref="EC177" si="1638">EC176/DV176-1</f>
        <v>2.732240437158473E-2</v>
      </c>
      <c r="ED177" s="198">
        <f t="shared" ref="ED177" si="1639">ED176/DW176-1</f>
        <v>-3.2608695652173947E-2</v>
      </c>
      <c r="EE177" s="198">
        <f t="shared" ref="EE177" si="1640">EE176/DX176-1</f>
        <v>-8.0321285140562138E-3</v>
      </c>
      <c r="EG177" s="197" t="str">
        <f t="shared" si="1230"/>
        <v>YoY Change (%)</v>
      </c>
      <c r="EH177" s="198">
        <f>EH176/EA176-1</f>
        <v>6.9148936170212671E-2</v>
      </c>
      <c r="EI177" s="198">
        <f t="shared" ref="EI177" si="1641">EI176/EB176-1</f>
        <v>0.17112299465240621</v>
      </c>
      <c r="EJ177" s="198">
        <f t="shared" ref="EJ177" si="1642">EJ176/EC176-1</f>
        <v>0.30319148936170204</v>
      </c>
      <c r="EK177" s="198">
        <f t="shared" ref="EK177" si="1643">EK176/ED176-1</f>
        <v>0.37078651685393282</v>
      </c>
      <c r="EL177" s="198">
        <f t="shared" ref="EL177" si="1644">EL176/EE176-1</f>
        <v>0.22672064777327927</v>
      </c>
      <c r="EN177" s="197" t="str">
        <f t="shared" si="1231"/>
        <v>YoY Change (%)</v>
      </c>
      <c r="EO177" s="198">
        <f>EO176/EH176-1</f>
        <v>0.21890547263681581</v>
      </c>
      <c r="EP177" s="198">
        <f t="shared" ref="EP177" si="1645">EP176/EI176-1</f>
        <v>0.14155251141552516</v>
      </c>
      <c r="EQ177" s="198">
        <f t="shared" ref="EQ177" si="1646">EQ176/EJ176-1</f>
        <v>-8.1632653061224358E-3</v>
      </c>
      <c r="ER177" s="198">
        <f t="shared" ref="ER177" si="1647">ER176/EK176-1</f>
        <v>-2.8688524590164022E-2</v>
      </c>
      <c r="ES177" s="198">
        <f t="shared" ref="ES177" si="1648">ES176/EL176-1</f>
        <v>7.260726072607282E-2</v>
      </c>
      <c r="EU177" s="197" t="str">
        <f t="shared" si="1232"/>
        <v>YoY Change (%)</v>
      </c>
      <c r="EV177" s="198">
        <f>EV176/EO176-1</f>
        <v>-4.0816326530612734E-3</v>
      </c>
      <c r="EW177" s="198">
        <f t="shared" ref="EW177" si="1649">EW176/EP176-1</f>
        <v>-4.3999999999999928E-2</v>
      </c>
      <c r="EX177" s="198">
        <f t="shared" ref="EX177" si="1650">EX176/EQ176-1</f>
        <v>-5.3497942386831254E-2</v>
      </c>
      <c r="EY177" s="198">
        <f t="shared" ref="EY177" si="1651">EY176/ER176-1</f>
        <v>-5.4852320675105481E-2</v>
      </c>
      <c r="EZ177" s="198">
        <f t="shared" ref="EZ177" si="1652">EZ176/ES176-1</f>
        <v>-3.897435897435908E-2</v>
      </c>
      <c r="FB177" s="197" t="str">
        <f t="shared" si="1233"/>
        <v>YoY Change (%)</v>
      </c>
      <c r="FC177" s="198">
        <f>FC176/EV176-1</f>
        <v>-2.4590163934426257E-2</v>
      </c>
      <c r="FD177" s="198">
        <f t="shared" ref="FD177" si="1653">FD176/EW176-1</f>
        <v>2.9288702928870203E-2</v>
      </c>
      <c r="FE177" s="198">
        <f t="shared" ref="FE177" si="1654">FE176/EX176-1</f>
        <v>3.9130434782608692E-2</v>
      </c>
      <c r="FF177" s="198">
        <f t="shared" ref="FF177" si="1655">FF176/EY176-1</f>
        <v>7.5892857142857206E-2</v>
      </c>
      <c r="FG177" s="198">
        <f t="shared" ref="FG177" si="1656">FG176/EZ176-1</f>
        <v>2.8815368196371427E-2</v>
      </c>
      <c r="FI177" s="197" t="str">
        <f t="shared" si="1234"/>
        <v>YoY Change (%)</v>
      </c>
      <c r="FJ177" s="198">
        <f>FJ176/FC176-1</f>
        <v>5.0420168067226934E-2</v>
      </c>
      <c r="FK177" s="198">
        <f t="shared" ref="FK177" si="1657">FK176/FD176-1</f>
        <v>-1.2195121951219412E-2</v>
      </c>
      <c r="FL177" s="198">
        <f t="shared" ref="FL177" si="1658">FL176/FE176-1</f>
        <v>3.7656903765690419E-2</v>
      </c>
      <c r="FM177" s="198">
        <f t="shared" ref="FM177" si="1659">FM176/FF176-1</f>
        <v>2.9045643153526868E-2</v>
      </c>
      <c r="FN177" s="198">
        <f t="shared" ref="FN177" si="1660">FN176/FG176-1</f>
        <v>2.5933609958506354E-2</v>
      </c>
      <c r="FP177" s="197" t="str">
        <f t="shared" si="1235"/>
        <v>YoY Change (%)</v>
      </c>
      <c r="FQ177" s="198">
        <f>FQ176/FJ176-1</f>
        <v>2.4000000000000243E-2</v>
      </c>
      <c r="FR177" s="198">
        <f t="shared" ref="FR177" si="1661">FR176/FK176-1</f>
        <v>8.6419753086419693E-2</v>
      </c>
      <c r="FS177" s="198">
        <f t="shared" ref="FS177" si="1662">FS176/FL176-1</f>
        <v>7.2580645161290258E-2</v>
      </c>
      <c r="FT177" s="198">
        <f t="shared" ref="FT177" si="1663">FT176/FM176-1</f>
        <v>0.1411290322580645</v>
      </c>
      <c r="FU177" s="198">
        <f t="shared" ref="FU177" si="1664">FU176/FN176-1</f>
        <v>8.0889787664307322E-2</v>
      </c>
      <c r="FW177" s="197" t="str">
        <f t="shared" si="1236"/>
        <v>YoY Change (%)</v>
      </c>
      <c r="FX177" s="198">
        <f>FX176/FQ176-1</f>
        <v>7.4218749999999778E-2</v>
      </c>
      <c r="FY177" s="198">
        <f t="shared" ref="FY177" si="1665">FY176/FR176-1</f>
        <v>2.2727272727272707E-2</v>
      </c>
      <c r="FZ177" s="198">
        <f t="shared" ref="FZ177" si="1666">FZ176/FS176-1</f>
        <v>1.1278195488721998E-2</v>
      </c>
      <c r="GA177" s="198">
        <f t="shared" ref="GA177" si="1667">GA176/FT176-1</f>
        <v>-3.180212014134276E-2</v>
      </c>
      <c r="GB177" s="198">
        <f t="shared" ref="GB177" si="1668">GB176/FU176-1</f>
        <v>1.7773620205799867E-2</v>
      </c>
      <c r="GD177" s="197" t="str">
        <f t="shared" si="1237"/>
        <v>YoY Change (%)</v>
      </c>
      <c r="GE177" s="198">
        <f>GE176/FX176-1</f>
        <v>7.2727272727272751E-2</v>
      </c>
      <c r="GF177" s="198">
        <f t="shared" ref="GF177" si="1669">GF176/FY176-1</f>
        <v>0.12962962962962954</v>
      </c>
      <c r="GG177" s="198">
        <f t="shared" ref="GG177" si="1670">GG176/FZ176-1</f>
        <v>0.1635687732342006</v>
      </c>
      <c r="GH177" s="198">
        <f t="shared" ref="GH177" si="1671">GH176/GA176-1</f>
        <v>8.3941605839416011E-2</v>
      </c>
      <c r="GI177" s="198">
        <f t="shared" ref="GI177" si="1672">GI176/GB176-1</f>
        <v>0.11213235294117641</v>
      </c>
      <c r="GK177" s="197" t="str">
        <f t="shared" si="1238"/>
        <v>YoY Change (%)</v>
      </c>
      <c r="GL177" s="198">
        <f>GL176/GE176-1</f>
        <v>8.8135593220338926E-2</v>
      </c>
      <c r="GM177" s="198">
        <f t="shared" ref="GM177" si="1673">GM176/GF176-1</f>
        <v>8.524590163934409E-2</v>
      </c>
      <c r="GN177" s="198">
        <f t="shared" ref="GN177" si="1674">GN176/GG176-1</f>
        <v>8.9456869009584272E-2</v>
      </c>
      <c r="GO177" s="198">
        <f t="shared" ref="GO177" si="1675">GO176/GH176-1</f>
        <v>0.13804713804713797</v>
      </c>
      <c r="GP177" s="198">
        <f t="shared" ref="GP177" si="1676">GP176/GI176-1</f>
        <v>0.10000000000000009</v>
      </c>
      <c r="GR177" s="197" t="str">
        <f t="shared" si="1239"/>
        <v>YoY Change (%)</v>
      </c>
      <c r="GS177" s="198">
        <f>GS176/GL176-1</f>
        <v>0.12772585669781922</v>
      </c>
      <c r="GT177" s="198">
        <f t="shared" ref="GT177" si="1677">GT176/GM176-1</f>
        <v>0.1510574018126889</v>
      </c>
      <c r="GU177" s="198">
        <f t="shared" ref="GU177" si="1678">GU176/GN176-1</f>
        <v>0.12903225806451624</v>
      </c>
      <c r="GV177" s="198">
        <f t="shared" ref="GV177" si="1679">GV176/GO176-1</f>
        <v>-3.5502958579881616E-2</v>
      </c>
      <c r="GW177" s="198">
        <f t="shared" ref="GW177" si="1680">GW176/GP176-1</f>
        <v>9.241172051089408E-2</v>
      </c>
      <c r="GY177" s="197" t="str">
        <f t="shared" si="1240"/>
        <v>YoY Change (%)</v>
      </c>
      <c r="GZ177" s="198">
        <f>GZ176/GS176-1</f>
        <v>-0.14917127071823222</v>
      </c>
      <c r="HA177" s="198">
        <f t="shared" ref="HA177" si="1681">HA176/GT176-1</f>
        <v>-0.19160104986876647</v>
      </c>
      <c r="HB177" s="198">
        <f t="shared" ref="HB177" si="1682">HB176/GU176-1</f>
        <v>-0.13766233766233771</v>
      </c>
      <c r="HC177" s="198">
        <f t="shared" ref="HC177" si="1683">HC176/GV176-1</f>
        <v>-2.1472392638036797E-2</v>
      </c>
      <c r="HD177" s="198">
        <f t="shared" ref="HD177" si="1684">HD176/GW176-1</f>
        <v>-0.12861072902338377</v>
      </c>
      <c r="HF177" s="197" t="str">
        <f t="shared" si="1241"/>
        <v>YoY Change (%)</v>
      </c>
      <c r="HG177" s="198">
        <f>HG176/GZ176-1</f>
        <v>0.13961038961038974</v>
      </c>
      <c r="HH177" s="198">
        <f t="shared" ref="HH177" si="1685">HH176/HA176-1</f>
        <v>0.20779220779220808</v>
      </c>
      <c r="HI177" s="198">
        <f t="shared" ref="HI177" si="1686">HI176/HB176-1</f>
        <v>0.14156626506024095</v>
      </c>
      <c r="HJ177" s="198">
        <f t="shared" ref="HJ177" si="1687">HJ176/HC176-1</f>
        <v>0.20062695924764884</v>
      </c>
      <c r="HK177" s="198">
        <f t="shared" ref="HK177" si="1688">HK176/HD176-1</f>
        <v>0.17205998421468038</v>
      </c>
      <c r="HM177" s="197" t="str">
        <f t="shared" si="1242"/>
        <v>YoY Change (%)</v>
      </c>
      <c r="HN177" s="198">
        <f>HN176/HG176-1</f>
        <v>0.12250712250712259</v>
      </c>
      <c r="HO177" s="198">
        <f t="shared" ref="HO177" si="1689">HO176/HH176-1</f>
        <v>0.11021505376344076</v>
      </c>
      <c r="HP177" s="198">
        <f t="shared" ref="HP177" si="1690">HP176/HI176-1</f>
        <v>7.3878627968337662E-2</v>
      </c>
      <c r="HQ177" s="198">
        <f t="shared" ref="HQ177" si="1691">HQ176/HJ176-1</f>
        <v>-2.6109660574412663E-3</v>
      </c>
      <c r="HR177" s="198">
        <f t="shared" ref="HR177" si="1692">HR176/HK176-1</f>
        <v>7.4747474747474785E-2</v>
      </c>
      <c r="HT177" s="197" t="str">
        <f t="shared" si="1243"/>
        <v>YoY Change (%)</v>
      </c>
      <c r="HU177" s="198">
        <f>HU176/HN176-1</f>
        <v>5.3299492385786795E-2</v>
      </c>
      <c r="HV177" s="198">
        <f t="shared" ref="HV177" si="1693">HV176/HO176-1</f>
        <v>4.1162227602905554E-2</v>
      </c>
      <c r="HW177" s="198">
        <f t="shared" ref="HW177" si="1694">HW176/HP176-1</f>
        <v>4.1769041769041726E-2</v>
      </c>
      <c r="HX177" s="198">
        <f t="shared" ref="HX177" si="1695">HX176/HQ176-1</f>
        <v>8.1151832460732987E-2</v>
      </c>
      <c r="HY177" s="198">
        <f t="shared" ref="HY177" si="1696">HY176/HR176-1</f>
        <v>5.3884711779448535E-2</v>
      </c>
      <c r="IA177" s="197" t="str">
        <f t="shared" si="1244"/>
        <v>YoY Change (%)</v>
      </c>
      <c r="IB177" s="198">
        <f>IB176/HU176-1</f>
        <v>0.21445783132530116</v>
      </c>
      <c r="IC177" s="198">
        <f t="shared" ref="IC177" si="1697">IC176/HV176-1</f>
        <v>0.21395348837209305</v>
      </c>
      <c r="ID177" s="198">
        <f t="shared" ref="ID177" si="1698">ID176/HW176-1</f>
        <v>0.23349056603773577</v>
      </c>
      <c r="IE177" s="198">
        <f t="shared" ref="IE177" si="1699">IE176/HX176-1</f>
        <v>0.28087167070217922</v>
      </c>
      <c r="IF177" s="198">
        <f t="shared" ref="IF177" si="1700">IF176/HY176-1</f>
        <v>0.23543400713436391</v>
      </c>
      <c r="IH177" s="197" t="str">
        <f t="shared" si="1245"/>
        <v>YoY Change (%)</v>
      </c>
      <c r="II177" s="198">
        <f>II176/IB176-1</f>
        <v>9.5238095238095122E-2</v>
      </c>
      <c r="IJ177" s="198">
        <f t="shared" ref="IJ177" si="1701">IJ176/IC176-1</f>
        <v>0.16283524904214564</v>
      </c>
      <c r="IK177" s="198">
        <f t="shared" ref="IK177" si="1702">IK176/ID176-1</f>
        <v>0.17590822179732313</v>
      </c>
      <c r="IL177" s="198">
        <f t="shared" ref="IL177" si="1703">IL176/IE176-1</f>
        <v>0.13610586011342152</v>
      </c>
      <c r="IM177" s="198">
        <f t="shared" ref="IM177" si="1704">IM176/IF176-1</f>
        <v>0.14292589027911462</v>
      </c>
      <c r="IO177" s="197" t="str">
        <f t="shared" si="1246"/>
        <v>YoY Change (%)</v>
      </c>
      <c r="IP177" s="198">
        <f>IP176/II176-1</f>
        <v>3.8043478260869845E-2</v>
      </c>
      <c r="IQ177" s="198">
        <f t="shared" ref="IQ177" si="1705">IQ176/IJ176-1</f>
        <v>-4.2833607907743043E-2</v>
      </c>
      <c r="IR177" s="198">
        <f t="shared" ref="IR177" si="1706">IR176/IK176-1</f>
        <v>-5.3658536585365901E-2</v>
      </c>
      <c r="IS177" s="198">
        <f t="shared" ref="IS177" si="1707">IS176/IL176-1</f>
        <v>-8.8186356073211347E-2</v>
      </c>
      <c r="IT177" s="198">
        <f t="shared" ref="IT177" si="1708">IT176/IM176-1</f>
        <v>-3.8315789473684192E-2</v>
      </c>
      <c r="IV177" s="197" t="str">
        <f t="shared" si="1247"/>
        <v>YoY Change (%)</v>
      </c>
      <c r="IW177" s="198">
        <f>IW176/IP176-1</f>
        <v>-4.7120418848167533E-2</v>
      </c>
      <c r="IX177" s="198">
        <f t="shared" ref="IX177" si="1709">IX176/IQ176-1</f>
        <v>-8.089500860585197E-2</v>
      </c>
      <c r="IY177" s="198">
        <f t="shared" ref="IY177" si="1710">IY176/IR176-1</f>
        <v>-6.8728522336769737E-2</v>
      </c>
      <c r="IZ177" s="198">
        <f t="shared" ref="IZ177" si="1711">IZ176/IS176-1</f>
        <v>3.8321167883211604E-2</v>
      </c>
      <c r="JA177" s="198">
        <f t="shared" ref="JA177" si="1712">JA176/IT176-1</f>
        <v>-4.0718038528896661E-2</v>
      </c>
      <c r="JC177" s="197" t="str">
        <f t="shared" si="1248"/>
        <v>YoY Change (%)</v>
      </c>
      <c r="JD177" s="198">
        <f>JD176/IW176-1</f>
        <v>3.6630036630036722E-2</v>
      </c>
      <c r="JE177" s="198">
        <f t="shared" ref="JE177" si="1713">JE176/IX176-1</f>
        <v>3.3707865168539186E-2</v>
      </c>
      <c r="JF177" s="198">
        <f t="shared" ref="JF177" si="1714">JF176/IY176-1</f>
        <v>7.3800738007379074E-3</v>
      </c>
      <c r="JG177" s="198">
        <f t="shared" ref="JG177" si="1715">JG176/IZ176-1</f>
        <v>-4.0421792618629215E-2</v>
      </c>
      <c r="JH177" s="198">
        <f t="shared" ref="JH177" si="1716">JH176/JA176-1</f>
        <v>8.6718393427658302E-3</v>
      </c>
      <c r="JJ177" s="197" t="str">
        <f t="shared" si="1249"/>
        <v>YoY Change (%)</v>
      </c>
      <c r="JK177" s="198">
        <f>JK176/JD176-1</f>
        <v>-1.590106007067138E-2</v>
      </c>
      <c r="JL177" s="198">
        <f t="shared" ref="JL177" si="1717">JL176/JE176-1</f>
        <v>6.5217391304348116E-2</v>
      </c>
      <c r="JM177" s="198">
        <f t="shared" ref="JM177" si="1718">JM176/JF176-1</f>
        <v>9.1575091575091472E-2</v>
      </c>
      <c r="JN177" s="198">
        <f t="shared" ref="JN177" si="1719">JN176/JG176-1</f>
        <v>9.5238095238095344E-2</v>
      </c>
      <c r="JO177" s="198">
        <f t="shared" ref="JO177" si="1720">JO176/JH176-1</f>
        <v>5.8371040723981915E-2</v>
      </c>
      <c r="JQ177" s="197" t="str">
        <f t="shared" si="1250"/>
        <v>YoY Change (%)</v>
      </c>
      <c r="JR177" s="198">
        <f>JR176/JK176-1</f>
        <v>5.2064631956912022E-2</v>
      </c>
      <c r="JS177" s="198">
        <f t="shared" ref="JS177" si="1721">JS176/JL176-1</f>
        <v>6.8027210884353817E-3</v>
      </c>
      <c r="JT177" s="198">
        <f t="shared" ref="JT177" si="1722">JT176/JM176-1</f>
        <v>-1.1744966442952975E-2</v>
      </c>
      <c r="JU177" s="198">
        <f t="shared" ref="JU177" si="1723">JU176/JN176-1</f>
        <v>-3.5117056856187268E-2</v>
      </c>
      <c r="JV177" s="198">
        <f t="shared" ref="JV177" si="1724">JV176/JO176-1</f>
        <v>2.1376656690894613E-3</v>
      </c>
      <c r="JX177" s="197" t="str">
        <f t="shared" si="1251"/>
        <v>YoY Change (%)</v>
      </c>
      <c r="JY177" s="198">
        <f>JY176/JR176-1</f>
        <v>6.8259385665528916E-2</v>
      </c>
      <c r="JZ177" s="198">
        <f t="shared" ref="JZ177" si="1725">JZ176/JS176-1</f>
        <v>-0.10304054054054057</v>
      </c>
      <c r="KA177" s="198">
        <f t="shared" ref="KA177" si="1726">KA176/JT176-1</f>
        <v>-3.9049235993208864E-2</v>
      </c>
      <c r="KB177" s="198">
        <f t="shared" ref="KB177" si="1727">KB176/JU176-1</f>
        <v>1.5597920277296451E-2</v>
      </c>
      <c r="KC177" s="198">
        <f t="shared" ref="KC177" si="1728">KC176/JV176-1</f>
        <v>-1.4931740614334665E-2</v>
      </c>
      <c r="KE177" s="197" t="str">
        <f t="shared" si="1252"/>
        <v>YoY Change (%)</v>
      </c>
      <c r="KF177" s="198">
        <f>KF176/JY176-1</f>
        <v>-7.348242811501593E-2</v>
      </c>
      <c r="KG177" s="198">
        <f t="shared" ref="KG177" si="1729">KG176/JZ176-1</f>
        <v>0.14124293785310726</v>
      </c>
      <c r="KH177" s="198">
        <f t="shared" ref="KH177" si="1730">KH176/KA176-1</f>
        <v>0.10247349823321561</v>
      </c>
      <c r="KI177" s="198">
        <f t="shared" ref="KI177" si="1731">KI176/KB176-1</f>
        <v>4.2662116040955711E-2</v>
      </c>
      <c r="KJ177" s="198">
        <f t="shared" ref="KJ177" si="1732">KJ176/KC176-1</f>
        <v>4.8505846686877518E-2</v>
      </c>
      <c r="KL177" s="197" t="str">
        <f t="shared" si="1253"/>
        <v>YoY Change (%)</v>
      </c>
      <c r="KM177" s="198">
        <f>KM176/KF176-1</f>
        <v>6.5517241379310365E-2</v>
      </c>
      <c r="KN177" s="198">
        <f t="shared" ref="KN177" si="1733">KN176/KG176-1</f>
        <v>9.9009900990099098E-2</v>
      </c>
      <c r="KO177" s="198">
        <f t="shared" ref="KO177" si="1734">KO176/KH176-1</f>
        <v>8.6538461538461453E-2</v>
      </c>
      <c r="KP177" s="198">
        <f t="shared" ref="KP177" si="1735">KP176/KI176-1</f>
        <v>1.8003273322422242E-2</v>
      </c>
      <c r="KQ177" s="198">
        <f t="shared" ref="KQ177" si="1736">KQ176/KJ176-1</f>
        <v>6.7327550598926145E-2</v>
      </c>
      <c r="KS177" s="197" t="str">
        <f t="shared" si="1254"/>
        <v>YoY Change (%)</v>
      </c>
      <c r="KT177" s="198">
        <f>KT176/KM176-1</f>
        <v>5.1779935275080957E-2</v>
      </c>
      <c r="KU177" s="198">
        <f t="shared" ref="KU177" si="1737">KU176/KN176-1</f>
        <v>-3.6036036036036001E-2</v>
      </c>
      <c r="KV177" s="198">
        <f t="shared" ref="KV177" si="1738">KV176/KO176-1</f>
        <v>-4.71976401179941E-2</v>
      </c>
      <c r="KW177" s="198">
        <f t="shared" ref="KW177" si="1739">KW176/KP176-1</f>
        <v>6.2700964630225231E-2</v>
      </c>
      <c r="KX177" s="198">
        <f t="shared" ref="KX177" si="1740">KX176/KQ176-1</f>
        <v>5.804953560371473E-3</v>
      </c>
      <c r="KZ177" s="197" t="str">
        <f t="shared" si="1255"/>
        <v>YoY Change (%)</v>
      </c>
      <c r="LA177" s="198">
        <f>LA176/KT176-1</f>
        <v>6.615384615384623E-2</v>
      </c>
      <c r="LB177" s="198">
        <f>LB176/KU176-1</f>
        <v>0.12461059190031154</v>
      </c>
      <c r="LC177" s="198">
        <f>LC176/KV176-1</f>
        <v>0.12538699690402466</v>
      </c>
      <c r="LD177" s="198">
        <f t="shared" ref="LD177" si="1741">LD176/KW176-1</f>
        <v>7.1104387291981874E-2</v>
      </c>
      <c r="LE177" s="199">
        <f t="shared" ref="LE177" si="1742">LE176/KX176-1</f>
        <v>9.6575606002308634E-2</v>
      </c>
      <c r="LF177" s="574"/>
      <c r="LG177" s="197" t="str">
        <f t="shared" si="1256"/>
        <v>YoY Change (%)</v>
      </c>
      <c r="LH177" s="198">
        <f>LH176/LA176-1</f>
        <v>7.2150072150067857E-3</v>
      </c>
      <c r="LI177" s="198">
        <f>LI176/LB176-1</f>
        <v>-2.9085872576177341E-2</v>
      </c>
      <c r="LJ177" s="198">
        <f>LJ176/LC176-1</f>
        <v>-4.1265474552957371E-2</v>
      </c>
      <c r="LK177" s="198">
        <f>LK176/LD176-1</f>
        <v>-3.9548022598870247E-2</v>
      </c>
      <c r="LL177" s="199">
        <f t="shared" ref="LL177" si="1743">LL176/LE176-1</f>
        <v>-2.5964912280701746E-2</v>
      </c>
      <c r="LM177" s="574"/>
      <c r="LN177" s="197" t="str">
        <f t="shared" si="1257"/>
        <v>YoY Change (%)</v>
      </c>
      <c r="LO177" s="199">
        <f>LO176/LH176-1</f>
        <v>-2.5899999999999923E-2</v>
      </c>
      <c r="LP177" s="199">
        <f t="shared" ref="LP177" si="1744">LP176/LI176-1</f>
        <v>-3.9999999999995595E-4</v>
      </c>
      <c r="LQ177" s="199">
        <f t="shared" ref="LQ177" si="1745">LQ176/LJ176-1</f>
        <v>1.9699999999999829E-2</v>
      </c>
      <c r="LR177" s="199">
        <f t="shared" ref="LR177" si="1746">LR176/LK176-1</f>
        <v>3.0000000000000027E-2</v>
      </c>
      <c r="LS177" s="199">
        <f t="shared" ref="LS177" si="1747">LS176/LL176-1</f>
        <v>5.6816642651296156E-3</v>
      </c>
      <c r="LT177" s="574"/>
      <c r="LU177" s="197" t="str">
        <f t="shared" si="1261"/>
        <v>YoY Change (%)</v>
      </c>
      <c r="LV177" s="199">
        <f>LV176/LO176-1</f>
        <v>5.832499999999996E-2</v>
      </c>
      <c r="LW177" s="199">
        <f t="shared" ref="LW177" si="1748">LW176/LP176-1</f>
        <v>5.8325000000000182E-2</v>
      </c>
      <c r="LX177" s="199">
        <f t="shared" ref="LX177" si="1749">LX176/LQ176-1</f>
        <v>5.8325000000000182E-2</v>
      </c>
      <c r="LY177" s="199">
        <f t="shared" ref="LY177" si="1750">LY176/LR176-1</f>
        <v>5.8325000000000182E-2</v>
      </c>
      <c r="LZ177" s="199">
        <f t="shared" ref="LZ177" si="1751">LZ176/LS176-1</f>
        <v>5.8325000000000182E-2</v>
      </c>
      <c r="MA177" s="574"/>
      <c r="MB177" s="197" t="str">
        <f t="shared" si="1265"/>
        <v>YoY Change (%)</v>
      </c>
      <c r="MC177" s="199">
        <f>MC176/LV176-1</f>
        <v>5.8312499999999767E-2</v>
      </c>
      <c r="MD177" s="199">
        <f t="shared" ref="MD177" si="1752">MD176/LW176-1</f>
        <v>5.5749999999999744E-2</v>
      </c>
      <c r="ME177" s="199">
        <f t="shared" ref="ME177" si="1753">ME176/LX176-1</f>
        <v>5.062499999999992E-2</v>
      </c>
      <c r="MF177" s="199">
        <f t="shared" ref="MF177" si="1754">MF176/LY176-1</f>
        <v>4.5500000000000096E-2</v>
      </c>
      <c r="MG177" s="199">
        <f t="shared" ref="MG177" si="1755">MG176/LZ176-1</f>
        <v>5.2497837834052374E-2</v>
      </c>
      <c r="MH177" s="574"/>
    </row>
    <row r="178" spans="1:346" s="37" customFormat="1" ht="13.15" x14ac:dyDescent="0.4">
      <c r="A178" s="100"/>
      <c r="C178" s="186"/>
      <c r="D178" s="186"/>
      <c r="E178" s="186"/>
      <c r="F178" s="186"/>
      <c r="G178" s="186"/>
      <c r="H178" s="186"/>
      <c r="I178" s="186"/>
      <c r="J178" s="186"/>
      <c r="K178" s="186"/>
      <c r="L178" s="186"/>
      <c r="M178" s="186"/>
      <c r="N178" s="193"/>
      <c r="O178" s="193"/>
      <c r="P178" s="193"/>
      <c r="Q178" s="193"/>
      <c r="R178" s="193"/>
      <c r="S178" s="193"/>
      <c r="T178" s="193"/>
      <c r="U178" s="193"/>
      <c r="V178" s="193"/>
      <c r="W178" s="193"/>
      <c r="X178" s="193"/>
      <c r="Y178" s="193"/>
      <c r="Z178" s="193"/>
      <c r="AA178" s="193"/>
      <c r="AB178" s="193"/>
      <c r="AC178" s="193"/>
      <c r="AD178" s="193"/>
      <c r="AE178" s="193"/>
      <c r="AF178" s="193"/>
      <c r="AG178" s="193"/>
      <c r="AH178" s="193"/>
      <c r="AI178" s="193"/>
      <c r="AJ178" s="193"/>
      <c r="AK178" s="193"/>
      <c r="AL178" s="193"/>
      <c r="AM178" s="193"/>
      <c r="AN178" s="193"/>
      <c r="AO178" s="193"/>
      <c r="AP178" s="193"/>
      <c r="AQ178" s="193"/>
      <c r="AR178" s="193"/>
      <c r="AS178" s="193"/>
      <c r="AT178" s="193"/>
      <c r="AU178" s="193"/>
      <c r="AV178" s="193"/>
      <c r="AW178" s="193"/>
      <c r="AX178" s="193"/>
      <c r="AY178" s="193"/>
      <c r="AZ178" s="193"/>
      <c r="BA178" s="193"/>
      <c r="BB178" s="193"/>
      <c r="BC178" s="193"/>
      <c r="BD178" s="193"/>
      <c r="BE178" s="193"/>
      <c r="BF178" s="193"/>
      <c r="BG178" s="193"/>
      <c r="BH178" s="193"/>
      <c r="BI178" s="193"/>
      <c r="BJ178" s="193"/>
      <c r="BK178" s="193"/>
      <c r="BL178" s="193"/>
      <c r="BM178" s="193"/>
      <c r="BP178" s="193"/>
      <c r="BQ178" s="193"/>
      <c r="BR178" s="193"/>
      <c r="BS178" s="193"/>
      <c r="BT178" s="193"/>
      <c r="BW178" s="193"/>
      <c r="BX178" s="193"/>
      <c r="BY178" s="193"/>
      <c r="BZ178" s="193"/>
      <c r="CA178" s="193"/>
      <c r="CD178" s="193"/>
      <c r="CE178" s="193"/>
      <c r="CF178" s="193"/>
      <c r="CG178" s="193"/>
      <c r="CH178" s="193"/>
      <c r="CK178" s="193"/>
      <c r="CL178" s="193"/>
      <c r="CM178" s="193"/>
      <c r="CN178" s="193"/>
      <c r="CO178" s="193"/>
      <c r="CR178" s="193"/>
      <c r="CS178" s="193"/>
      <c r="CT178" s="193"/>
      <c r="CU178" s="193"/>
      <c r="CV178" s="193"/>
      <c r="CY178" s="193"/>
      <c r="CZ178" s="193"/>
      <c r="DA178" s="193"/>
      <c r="DB178" s="193"/>
      <c r="DC178" s="193"/>
      <c r="DF178" s="193"/>
      <c r="DG178" s="193"/>
      <c r="DH178" s="193"/>
      <c r="DI178" s="193"/>
      <c r="DJ178" s="193"/>
      <c r="DM178" s="193"/>
      <c r="DN178" s="193"/>
      <c r="DO178" s="193"/>
      <c r="DP178" s="193"/>
      <c r="DQ178" s="193"/>
      <c r="DT178" s="193"/>
      <c r="DU178" s="193"/>
      <c r="DV178" s="193"/>
      <c r="DW178" s="193"/>
      <c r="DX178" s="193"/>
      <c r="EA178" s="193"/>
      <c r="EB178" s="193"/>
      <c r="EC178" s="193"/>
      <c r="ED178" s="193"/>
      <c r="EE178" s="193"/>
      <c r="EH178" s="193"/>
      <c r="EI178" s="193"/>
      <c r="EJ178" s="193"/>
      <c r="EK178" s="193"/>
      <c r="EL178" s="193"/>
      <c r="EO178" s="193"/>
      <c r="EP178" s="193"/>
      <c r="EQ178" s="193"/>
      <c r="ER178" s="193"/>
      <c r="ES178" s="193"/>
      <c r="EV178" s="193"/>
      <c r="EW178" s="193"/>
      <c r="EX178" s="193"/>
      <c r="EY178" s="193"/>
      <c r="EZ178" s="193"/>
      <c r="FC178" s="193"/>
      <c r="FD178" s="193"/>
      <c r="FE178" s="193"/>
      <c r="FF178" s="193"/>
      <c r="FG178" s="193"/>
      <c r="FJ178" s="193"/>
      <c r="FK178" s="193"/>
      <c r="FL178" s="193"/>
      <c r="FM178" s="193"/>
      <c r="FN178" s="193"/>
      <c r="FQ178" s="193"/>
      <c r="FR178" s="193"/>
      <c r="FS178" s="193"/>
      <c r="FT178" s="193"/>
      <c r="FU178" s="193"/>
      <c r="FX178" s="193"/>
      <c r="FY178" s="193"/>
      <c r="FZ178" s="193"/>
      <c r="GA178" s="193"/>
      <c r="GB178" s="193"/>
      <c r="GE178" s="193"/>
      <c r="GF178" s="193"/>
      <c r="GG178" s="193"/>
      <c r="GH178" s="193"/>
      <c r="GI178" s="193"/>
      <c r="GL178" s="193"/>
      <c r="GM178" s="193"/>
      <c r="GN178" s="193"/>
      <c r="GO178" s="193"/>
      <c r="GP178" s="193"/>
      <c r="GS178" s="193"/>
      <c r="GT178" s="193"/>
      <c r="GU178" s="193"/>
      <c r="GV178" s="193"/>
      <c r="GW178" s="193"/>
      <c r="GZ178" s="193"/>
      <c r="HA178" s="193"/>
      <c r="HB178" s="193"/>
      <c r="HC178" s="193"/>
      <c r="HD178" s="193"/>
      <c r="HG178" s="193"/>
      <c r="HH178" s="193"/>
      <c r="HI178" s="193"/>
      <c r="HJ178" s="193"/>
      <c r="HK178" s="193"/>
      <c r="HN178" s="193"/>
      <c r="HO178" s="193"/>
      <c r="HP178" s="193"/>
      <c r="HQ178" s="193"/>
      <c r="HR178" s="193"/>
      <c r="HU178" s="193"/>
      <c r="HV178" s="193"/>
      <c r="HW178" s="193"/>
      <c r="HX178" s="193"/>
      <c r="HY178" s="193"/>
      <c r="IB178" s="193"/>
      <c r="IC178" s="193"/>
      <c r="ID178" s="193"/>
      <c r="IE178" s="193"/>
      <c r="IF178" s="193"/>
      <c r="II178" s="193"/>
      <c r="IJ178" s="193"/>
      <c r="IK178" s="193"/>
      <c r="IL178" s="193"/>
      <c r="IM178" s="193"/>
      <c r="IP178" s="193"/>
      <c r="IQ178" s="193"/>
      <c r="IR178" s="193"/>
      <c r="IS178" s="193"/>
      <c r="IT178" s="193"/>
      <c r="IW178" s="193"/>
      <c r="IX178" s="193"/>
      <c r="IY178" s="193"/>
      <c r="IZ178" s="193"/>
      <c r="JA178" s="193"/>
      <c r="JD178" s="193"/>
      <c r="JE178" s="193"/>
      <c r="JF178" s="193"/>
      <c r="JG178" s="193"/>
      <c r="JH178" s="193"/>
      <c r="JK178" s="193"/>
      <c r="JL178" s="193"/>
      <c r="JM178" s="193"/>
      <c r="JN178" s="193"/>
      <c r="JO178" s="193"/>
      <c r="JR178" s="193"/>
      <c r="JS178" s="193"/>
      <c r="JT178" s="193"/>
      <c r="JU178" s="193"/>
      <c r="JV178" s="193"/>
      <c r="JY178" s="193"/>
      <c r="JZ178" s="193"/>
      <c r="KA178" s="193"/>
      <c r="KB178" s="193"/>
      <c r="KC178" s="193"/>
      <c r="KF178" s="193"/>
      <c r="KG178" s="193"/>
      <c r="KH178" s="193"/>
      <c r="KI178" s="193"/>
      <c r="KJ178" s="193"/>
      <c r="KM178" s="193"/>
      <c r="KN178" s="193"/>
      <c r="KO178" s="193"/>
      <c r="KP178" s="193"/>
      <c r="KQ178" s="193"/>
      <c r="KT178" s="193"/>
      <c r="KU178" s="193"/>
      <c r="KV178" s="193"/>
      <c r="KW178" s="193"/>
      <c r="KX178" s="193"/>
      <c r="LA178" s="193"/>
      <c r="LB178" s="193"/>
      <c r="LC178" s="193"/>
      <c r="LD178" s="193"/>
      <c r="LE178" s="193"/>
      <c r="LF178" s="555"/>
      <c r="LH178" s="193"/>
      <c r="LI178" s="193"/>
      <c r="LJ178" s="193"/>
      <c r="LK178" s="193"/>
      <c r="LL178" s="193"/>
      <c r="LM178" s="555"/>
      <c r="LO178" s="192"/>
      <c r="LP178" s="192"/>
      <c r="LQ178" s="192"/>
      <c r="LR178" s="192"/>
      <c r="LS178" s="193"/>
      <c r="LT178" s="555"/>
      <c r="LV178" s="192"/>
      <c r="LW178" s="192"/>
      <c r="LX178" s="192"/>
      <c r="LY178" s="192"/>
      <c r="LZ178" s="193"/>
      <c r="MA178" s="555"/>
      <c r="MC178" s="192"/>
      <c r="MD178" s="192"/>
      <c r="ME178" s="192"/>
      <c r="MF178" s="192"/>
      <c r="MG178" s="193"/>
      <c r="MH178" s="555"/>
    </row>
    <row r="179" spans="1:346" s="37" customFormat="1" ht="13.15" x14ac:dyDescent="0.4">
      <c r="A179" s="100"/>
      <c r="B179" s="68" t="s">
        <v>141</v>
      </c>
      <c r="C179" s="186"/>
      <c r="D179" s="186"/>
      <c r="E179" s="186"/>
      <c r="F179" s="186"/>
      <c r="G179" s="186"/>
      <c r="H179" s="186"/>
      <c r="I179" s="186"/>
      <c r="J179" s="186"/>
      <c r="K179" s="186"/>
      <c r="L179" s="186"/>
      <c r="M179" s="186"/>
      <c r="N179" s="200"/>
      <c r="O179" s="193"/>
      <c r="P179" s="193"/>
      <c r="Q179" s="193"/>
      <c r="R179" s="193"/>
      <c r="S179" s="193"/>
      <c r="T179" s="193"/>
      <c r="U179" s="193"/>
      <c r="V179" s="193"/>
      <c r="W179" s="193"/>
      <c r="X179" s="193"/>
      <c r="Y179" s="193"/>
      <c r="Z179" s="193"/>
      <c r="AA179" s="193"/>
      <c r="AB179" s="193"/>
      <c r="AC179" s="193"/>
      <c r="AD179" s="193"/>
      <c r="AE179" s="193"/>
      <c r="AF179" s="193"/>
      <c r="AG179" s="193"/>
      <c r="AH179" s="193"/>
      <c r="AI179" s="193"/>
      <c r="AJ179" s="193"/>
      <c r="AK179" s="193"/>
      <c r="AL179" s="193"/>
      <c r="AM179" s="193"/>
      <c r="AN179" s="193"/>
      <c r="AO179" s="193"/>
      <c r="AP179" s="193"/>
      <c r="AQ179" s="193"/>
      <c r="AR179" s="193"/>
      <c r="AS179" s="193"/>
      <c r="AT179" s="193"/>
      <c r="AU179" s="193"/>
      <c r="AV179" s="193"/>
      <c r="AW179" s="193"/>
      <c r="AX179" s="193"/>
      <c r="AY179" s="193"/>
      <c r="AZ179" s="193"/>
      <c r="BA179" s="193"/>
      <c r="BB179" s="193"/>
      <c r="BC179" s="193"/>
      <c r="BD179" s="193"/>
      <c r="BE179" s="193"/>
      <c r="BF179" s="193"/>
      <c r="BG179" s="193"/>
      <c r="BH179" s="193"/>
      <c r="BI179" s="193"/>
      <c r="BJ179" s="193"/>
      <c r="BK179" s="193"/>
      <c r="BL179" s="193"/>
      <c r="BM179" s="193"/>
      <c r="BO179" s="68" t="str">
        <f t="shared" si="1220"/>
        <v>Agricultural and Food Product</v>
      </c>
      <c r="BP179" s="200"/>
      <c r="BQ179" s="193"/>
      <c r="BR179" s="193"/>
      <c r="BS179" s="193"/>
      <c r="BT179" s="193"/>
      <c r="BV179" s="68" t="str">
        <f t="shared" si="1221"/>
        <v>Agricultural and Food Product</v>
      </c>
      <c r="BW179" s="193"/>
      <c r="BX179" s="193"/>
      <c r="BY179" s="193"/>
      <c r="BZ179" s="193"/>
      <c r="CA179" s="193"/>
      <c r="CC179" s="68" t="str">
        <f t="shared" si="1222"/>
        <v>Agricultural and Food Product</v>
      </c>
      <c r="CD179" s="193"/>
      <c r="CE179" s="193"/>
      <c r="CF179" s="193"/>
      <c r="CG179" s="193"/>
      <c r="CH179" s="193"/>
      <c r="CJ179" s="68" t="str">
        <f t="shared" si="1223"/>
        <v>Agricultural and Food Product</v>
      </c>
      <c r="CK179" s="193"/>
      <c r="CL179" s="193"/>
      <c r="CM179" s="193"/>
      <c r="CN179" s="193"/>
      <c r="CO179" s="193"/>
      <c r="CQ179" s="68" t="str">
        <f t="shared" si="1224"/>
        <v>Agricultural and Food Product</v>
      </c>
      <c r="CR179" s="193"/>
      <c r="CS179" s="193"/>
      <c r="CT179" s="193"/>
      <c r="CU179" s="193"/>
      <c r="CV179" s="193"/>
      <c r="CX179" s="68" t="str">
        <f t="shared" si="1225"/>
        <v>Agricultural and Food Product</v>
      </c>
      <c r="CY179" s="193"/>
      <c r="CZ179" s="193"/>
      <c r="DA179" s="193"/>
      <c r="DB179" s="193"/>
      <c r="DC179" s="193"/>
      <c r="DE179" s="68" t="str">
        <f t="shared" si="1226"/>
        <v>Agricultural and Food Product</v>
      </c>
      <c r="DF179" s="193"/>
      <c r="DG179" s="193"/>
      <c r="DH179" s="193"/>
      <c r="DI179" s="193"/>
      <c r="DJ179" s="193"/>
      <c r="DL179" s="68" t="str">
        <f t="shared" si="1227"/>
        <v>Agricultural and Food Product</v>
      </c>
      <c r="DM179" s="193"/>
      <c r="DN179" s="193"/>
      <c r="DO179" s="193"/>
      <c r="DP179" s="193"/>
      <c r="DQ179" s="193"/>
      <c r="DS179" s="68" t="str">
        <f t="shared" si="1228"/>
        <v>Agricultural and Food Product</v>
      </c>
      <c r="DT179" s="193"/>
      <c r="DU179" s="193"/>
      <c r="DV179" s="193"/>
      <c r="DW179" s="193"/>
      <c r="DX179" s="193"/>
      <c r="DZ179" s="68" t="str">
        <f t="shared" si="1229"/>
        <v>Agricultural and Food Product</v>
      </c>
      <c r="EA179" s="193"/>
      <c r="EB179" s="193"/>
      <c r="EC179" s="193"/>
      <c r="ED179" s="193"/>
      <c r="EE179" s="193"/>
      <c r="EG179" s="68" t="str">
        <f t="shared" si="1230"/>
        <v>Agricultural and Food Product</v>
      </c>
      <c r="EH179" s="193"/>
      <c r="EI179" s="193"/>
      <c r="EJ179" s="193"/>
      <c r="EK179" s="193"/>
      <c r="EL179" s="193"/>
      <c r="EN179" s="68" t="str">
        <f t="shared" si="1231"/>
        <v>Agricultural and Food Product</v>
      </c>
      <c r="EO179" s="193"/>
      <c r="EP179" s="193"/>
      <c r="EQ179" s="193"/>
      <c r="ER179" s="193"/>
      <c r="ES179" s="193"/>
      <c r="EU179" s="68" t="str">
        <f t="shared" si="1232"/>
        <v>Agricultural and Food Product</v>
      </c>
      <c r="EV179" s="193"/>
      <c r="EW179" s="193"/>
      <c r="EX179" s="193"/>
      <c r="EY179" s="193"/>
      <c r="EZ179" s="193"/>
      <c r="FB179" s="68" t="str">
        <f t="shared" si="1233"/>
        <v>Agricultural and Food Product</v>
      </c>
      <c r="FC179" s="193"/>
      <c r="FD179" s="193"/>
      <c r="FE179" s="193"/>
      <c r="FF179" s="193"/>
      <c r="FG179" s="193"/>
      <c r="FI179" s="68" t="str">
        <f t="shared" si="1234"/>
        <v>Agricultural and Food Product</v>
      </c>
      <c r="FJ179" s="193"/>
      <c r="FK179" s="193"/>
      <c r="FL179" s="193"/>
      <c r="FM179" s="193"/>
      <c r="FN179" s="193"/>
      <c r="FP179" s="68" t="str">
        <f t="shared" si="1235"/>
        <v>Agricultural and Food Product</v>
      </c>
      <c r="FQ179" s="193"/>
      <c r="FR179" s="193"/>
      <c r="FS179" s="193"/>
      <c r="FT179" s="193"/>
      <c r="FU179" s="193"/>
      <c r="FW179" s="68" t="str">
        <f t="shared" si="1236"/>
        <v>Agricultural and Food Product</v>
      </c>
      <c r="FX179" s="193"/>
      <c r="FY179" s="193"/>
      <c r="FZ179" s="193"/>
      <c r="GA179" s="193"/>
      <c r="GB179" s="193"/>
      <c r="GD179" s="68" t="str">
        <f t="shared" si="1237"/>
        <v>Agricultural and Food Product</v>
      </c>
      <c r="GE179" s="193"/>
      <c r="GF179" s="193"/>
      <c r="GG179" s="193"/>
      <c r="GH179" s="193"/>
      <c r="GI179" s="193"/>
      <c r="GK179" s="68" t="str">
        <f t="shared" si="1238"/>
        <v>Agricultural and Food Product</v>
      </c>
      <c r="GL179" s="193"/>
      <c r="GM179" s="193"/>
      <c r="GN179" s="193"/>
      <c r="GO179" s="193"/>
      <c r="GP179" s="193"/>
      <c r="GR179" s="68" t="str">
        <f t="shared" si="1239"/>
        <v>Agricultural and Food Product</v>
      </c>
      <c r="GS179" s="193"/>
      <c r="GT179" s="193"/>
      <c r="GU179" s="193"/>
      <c r="GV179" s="193"/>
      <c r="GW179" s="193"/>
      <c r="GY179" s="68" t="str">
        <f t="shared" si="1240"/>
        <v>Agricultural and Food Product</v>
      </c>
      <c r="GZ179" s="193"/>
      <c r="HA179" s="193"/>
      <c r="HB179" s="193"/>
      <c r="HC179" s="193"/>
      <c r="HD179" s="193"/>
      <c r="HF179" s="68" t="str">
        <f t="shared" si="1241"/>
        <v>Agricultural and Food Product</v>
      </c>
      <c r="HG179" s="193"/>
      <c r="HH179" s="193"/>
      <c r="HI179" s="193"/>
      <c r="HJ179" s="193"/>
      <c r="HK179" s="193"/>
      <c r="HM179" s="68" t="str">
        <f t="shared" si="1242"/>
        <v>Agricultural and Food Product</v>
      </c>
      <c r="HN179" s="193"/>
      <c r="HO179" s="193"/>
      <c r="HP179" s="193"/>
      <c r="HQ179" s="193"/>
      <c r="HR179" s="193"/>
      <c r="HT179" s="68" t="str">
        <f t="shared" si="1243"/>
        <v>Agricultural and Food Product</v>
      </c>
      <c r="HU179" s="193"/>
      <c r="HV179" s="193"/>
      <c r="HW179" s="193"/>
      <c r="HX179" s="193"/>
      <c r="HY179" s="193"/>
      <c r="IA179" s="68" t="str">
        <f t="shared" si="1244"/>
        <v>Agricultural and Food Product</v>
      </c>
      <c r="IB179" s="193"/>
      <c r="IC179" s="193"/>
      <c r="ID179" s="193"/>
      <c r="IE179" s="193"/>
      <c r="IF179" s="193"/>
      <c r="IH179" s="68" t="str">
        <f t="shared" si="1245"/>
        <v>Agricultural and Food Product</v>
      </c>
      <c r="II179" s="193"/>
      <c r="IJ179" s="193"/>
      <c r="IK179" s="193"/>
      <c r="IL179" s="193"/>
      <c r="IM179" s="193"/>
      <c r="IO179" s="68" t="str">
        <f t="shared" si="1246"/>
        <v>Agricultural and Food Product</v>
      </c>
      <c r="IP179" s="193"/>
      <c r="IQ179" s="193"/>
      <c r="IR179" s="193"/>
      <c r="IS179" s="193"/>
      <c r="IT179" s="193"/>
      <c r="IV179" s="68" t="str">
        <f t="shared" si="1247"/>
        <v>Agricultural and Food Product</v>
      </c>
      <c r="IW179" s="193"/>
      <c r="IX179" s="193"/>
      <c r="IY179" s="193"/>
      <c r="IZ179" s="193"/>
      <c r="JA179" s="193"/>
      <c r="JC179" s="68" t="str">
        <f t="shared" si="1248"/>
        <v>Agricultural and Food Product</v>
      </c>
      <c r="JD179" s="193"/>
      <c r="JE179" s="193"/>
      <c r="JF179" s="193"/>
      <c r="JG179" s="193"/>
      <c r="JH179" s="193"/>
      <c r="JJ179" s="68" t="str">
        <f t="shared" si="1249"/>
        <v>Agricultural and Food Product</v>
      </c>
      <c r="JK179" s="193"/>
      <c r="JL179" s="193"/>
      <c r="JM179" s="193"/>
      <c r="JN179" s="193"/>
      <c r="JO179" s="193"/>
      <c r="JQ179" s="68" t="str">
        <f t="shared" si="1250"/>
        <v>Agricultural and Food Product</v>
      </c>
      <c r="JR179" s="193"/>
      <c r="JS179" s="193"/>
      <c r="JT179" s="193"/>
      <c r="JU179" s="193"/>
      <c r="JV179" s="193"/>
      <c r="JX179" s="68" t="str">
        <f t="shared" si="1251"/>
        <v>Agricultural and Food Product</v>
      </c>
      <c r="JY179" s="193"/>
      <c r="JZ179" s="193"/>
      <c r="KA179" s="193"/>
      <c r="KB179" s="193"/>
      <c r="KC179" s="193"/>
      <c r="KE179" s="68" t="str">
        <f t="shared" si="1252"/>
        <v>Agricultural and Food Product</v>
      </c>
      <c r="KF179" s="193"/>
      <c r="KG179" s="193"/>
      <c r="KH179" s="193"/>
      <c r="KI179" s="193"/>
      <c r="KJ179" s="193"/>
      <c r="KL179" s="68" t="str">
        <f t="shared" si="1253"/>
        <v>Agricultural and Food Product</v>
      </c>
      <c r="KM179" s="193"/>
      <c r="KN179" s="193"/>
      <c r="KO179" s="193"/>
      <c r="KP179" s="193"/>
      <c r="KQ179" s="193"/>
      <c r="KS179" s="68" t="str">
        <f t="shared" si="1254"/>
        <v>Agricultural and Food Product</v>
      </c>
      <c r="KT179" s="193"/>
      <c r="KU179" s="193"/>
      <c r="KV179" s="193"/>
      <c r="KW179" s="193"/>
      <c r="KX179" s="193"/>
      <c r="KZ179" s="68" t="str">
        <f t="shared" si="1255"/>
        <v>Agricultural and Food Product</v>
      </c>
      <c r="LA179" s="193"/>
      <c r="LB179" s="193"/>
      <c r="LC179" s="193"/>
      <c r="LD179" s="193"/>
      <c r="LE179" s="193"/>
      <c r="LF179" s="555"/>
      <c r="LG179" s="68" t="str">
        <f t="shared" si="1256"/>
        <v>Agricultural and Food Product</v>
      </c>
      <c r="LH179" s="198"/>
      <c r="LI179" s="198"/>
      <c r="LJ179" s="198"/>
      <c r="LK179" s="198"/>
      <c r="LL179" s="193"/>
      <c r="LM179" s="555"/>
      <c r="LN179" s="68" t="str">
        <f>$B179</f>
        <v>Agricultural and Food Product</v>
      </c>
      <c r="LO179" s="198">
        <f>LO180/LK180-1</f>
        <v>-1.5000000000000124E-2</v>
      </c>
      <c r="LP179" s="198">
        <f>LP180/LO180-1</f>
        <v>-3.2663871110129028E-3</v>
      </c>
      <c r="LQ179" s="198">
        <f>LQ180/LP180-1</f>
        <v>-4.5215003764226602E-2</v>
      </c>
      <c r="LR179" s="198">
        <f>LR180/LQ180-1</f>
        <v>7.2124304267161321E-2</v>
      </c>
      <c r="LS179" s="193"/>
      <c r="LT179" s="555"/>
      <c r="LU179" s="68" t="str">
        <f>$B179</f>
        <v>Agricultural and Food Product</v>
      </c>
      <c r="LV179" s="198">
        <f>LV180/LR180-1</f>
        <v>4.6019900497511479E-3</v>
      </c>
      <c r="LW179" s="198">
        <f>LW180/LV180-1</f>
        <v>-3.2663871110130138E-3</v>
      </c>
      <c r="LX179" s="198">
        <f>LX180/LW180-1</f>
        <v>-4.5215003764226602E-2</v>
      </c>
      <c r="LY179" s="198">
        <f>LY180/LX180-1</f>
        <v>7.2124304267161321E-2</v>
      </c>
      <c r="LZ179" s="193"/>
      <c r="MA179" s="555"/>
      <c r="MB179" s="68" t="str">
        <f>$B179</f>
        <v>Agricultural and Food Product</v>
      </c>
      <c r="MC179" s="198">
        <f>MC180/LY180-1</f>
        <v>-2.9850746268644812E-4</v>
      </c>
      <c r="MD179" s="198">
        <f>MD180/MC180-1</f>
        <v>-3.2663871110129028E-3</v>
      </c>
      <c r="ME179" s="198">
        <f>ME180/MD180-1</f>
        <v>-4.5215003764226602E-2</v>
      </c>
      <c r="MF179" s="198">
        <f>MF180/ME180-1</f>
        <v>7.2124304267161321E-2</v>
      </c>
      <c r="MG179" s="193"/>
      <c r="MH179" s="555"/>
    </row>
    <row r="180" spans="1:346" s="37" customFormat="1" ht="13.15" x14ac:dyDescent="0.4">
      <c r="A180" s="100"/>
      <c r="B180" s="37" t="s">
        <v>342</v>
      </c>
      <c r="C180" s="186"/>
      <c r="D180" s="186"/>
      <c r="E180" s="186"/>
      <c r="F180" s="186"/>
      <c r="G180" s="186"/>
      <c r="H180" s="186"/>
      <c r="I180" s="186"/>
      <c r="J180" s="186"/>
      <c r="K180" s="186"/>
      <c r="L180" s="186"/>
      <c r="M180" s="186"/>
      <c r="N180" s="194">
        <f t="shared" ref="N180:AY180" si="1756">N70</f>
        <v>279</v>
      </c>
      <c r="O180" s="194">
        <f t="shared" si="1756"/>
        <v>278</v>
      </c>
      <c r="P180" s="194">
        <f t="shared" si="1756"/>
        <v>263</v>
      </c>
      <c r="Q180" s="194">
        <f t="shared" si="1756"/>
        <v>264</v>
      </c>
      <c r="R180" s="194">
        <f t="shared" si="1756"/>
        <v>284</v>
      </c>
      <c r="S180" s="194">
        <f t="shared" si="1756"/>
        <v>263</v>
      </c>
      <c r="T180" s="194">
        <f t="shared" si="1756"/>
        <v>280</v>
      </c>
      <c r="U180" s="194">
        <f t="shared" si="1756"/>
        <v>259</v>
      </c>
      <c r="V180" s="194">
        <f t="shared" si="1756"/>
        <v>269</v>
      </c>
      <c r="W180" s="194">
        <f t="shared" si="1756"/>
        <v>277</v>
      </c>
      <c r="X180" s="194">
        <f t="shared" si="1756"/>
        <v>326</v>
      </c>
      <c r="Y180" s="194">
        <f t="shared" si="1756"/>
        <v>453</v>
      </c>
      <c r="Z180" s="194">
        <f t="shared" si="1756"/>
        <v>467</v>
      </c>
      <c r="AA180" s="194">
        <f t="shared" si="1756"/>
        <v>452</v>
      </c>
      <c r="AB180" s="194">
        <f t="shared" si="1756"/>
        <v>571</v>
      </c>
      <c r="AC180" s="194">
        <f t="shared" si="1756"/>
        <v>601</v>
      </c>
      <c r="AD180" s="194">
        <f t="shared" si="1756"/>
        <v>606</v>
      </c>
      <c r="AE180" s="194">
        <f t="shared" si="1756"/>
        <v>642</v>
      </c>
      <c r="AF180" s="194">
        <f t="shared" si="1756"/>
        <v>528</v>
      </c>
      <c r="AG180" s="194">
        <f t="shared" si="1756"/>
        <v>541</v>
      </c>
      <c r="AH180" s="194">
        <f t="shared" si="1756"/>
        <v>528</v>
      </c>
      <c r="AI180" s="194">
        <f t="shared" si="1756"/>
        <v>548</v>
      </c>
      <c r="AJ180" s="194">
        <f t="shared" si="1756"/>
        <v>525</v>
      </c>
      <c r="AK180" s="194">
        <f t="shared" si="1756"/>
        <v>494</v>
      </c>
      <c r="AL180" s="194">
        <f t="shared" si="1756"/>
        <v>486</v>
      </c>
      <c r="AM180" s="194">
        <f t="shared" si="1756"/>
        <v>513</v>
      </c>
      <c r="AN180" s="194">
        <f t="shared" si="1756"/>
        <v>503</v>
      </c>
      <c r="AO180" s="194">
        <f t="shared" si="1756"/>
        <v>477</v>
      </c>
      <c r="AP180" s="194">
        <f t="shared" si="1756"/>
        <v>453</v>
      </c>
      <c r="AQ180" s="194">
        <f t="shared" si="1756"/>
        <v>446</v>
      </c>
      <c r="AR180" s="194">
        <f t="shared" si="1756"/>
        <v>452</v>
      </c>
      <c r="AS180" s="194">
        <f t="shared" si="1756"/>
        <v>463</v>
      </c>
      <c r="AT180" s="194">
        <f t="shared" si="1756"/>
        <v>467</v>
      </c>
      <c r="AU180" s="194">
        <f t="shared" si="1756"/>
        <v>481</v>
      </c>
      <c r="AV180" s="194">
        <f t="shared" si="1756"/>
        <v>468</v>
      </c>
      <c r="AW180" s="194">
        <f t="shared" si="1756"/>
        <v>463</v>
      </c>
      <c r="AX180" s="194">
        <f t="shared" si="1756"/>
        <v>457</v>
      </c>
      <c r="AY180" s="194">
        <f t="shared" si="1756"/>
        <v>449.55500000000001</v>
      </c>
      <c r="AZ180" s="194">
        <f t="shared" ref="AZ180:BA180" si="1757">AZ70</f>
        <v>460.79387499999996</v>
      </c>
      <c r="BA180" s="194">
        <f t="shared" si="1757"/>
        <v>470.00975249999999</v>
      </c>
      <c r="BB180" s="194"/>
      <c r="BC180" s="194"/>
      <c r="BD180" s="194"/>
      <c r="BE180" s="194"/>
      <c r="BF180" s="194"/>
      <c r="BG180" s="194"/>
      <c r="BH180" s="194"/>
      <c r="BI180" s="194"/>
      <c r="BJ180" s="194"/>
      <c r="BK180" s="194"/>
      <c r="BL180" s="194"/>
      <c r="BM180" s="194"/>
      <c r="BO180" s="37" t="str">
        <f t="shared" si="1220"/>
        <v>Carloads (000s)</v>
      </c>
      <c r="BP180" s="195">
        <f>BP70</f>
        <v>68</v>
      </c>
      <c r="BQ180" s="195">
        <f>BQ70</f>
        <v>68</v>
      </c>
      <c r="BR180" s="195">
        <f>BR70</f>
        <v>64</v>
      </c>
      <c r="BS180" s="195">
        <f>BS70</f>
        <v>79</v>
      </c>
      <c r="BT180" s="195">
        <f>BT70</f>
        <v>279</v>
      </c>
      <c r="BV180" s="37" t="str">
        <f t="shared" si="1221"/>
        <v>Carloads (000s)</v>
      </c>
      <c r="BW180" s="195">
        <f>BW70</f>
        <v>81</v>
      </c>
      <c r="BX180" s="195">
        <f>BX70</f>
        <v>63</v>
      </c>
      <c r="BY180" s="195">
        <f>BY70</f>
        <v>60</v>
      </c>
      <c r="BZ180" s="195">
        <f>BZ70</f>
        <v>74</v>
      </c>
      <c r="CA180" s="195">
        <f>CA70</f>
        <v>278</v>
      </c>
      <c r="CC180" s="37" t="str">
        <f t="shared" si="1222"/>
        <v>Carloads (000s)</v>
      </c>
      <c r="CD180" s="195">
        <f>CD70</f>
        <v>72</v>
      </c>
      <c r="CE180" s="195">
        <f>CE70</f>
        <v>60</v>
      </c>
      <c r="CF180" s="195">
        <f>CF70</f>
        <v>64</v>
      </c>
      <c r="CG180" s="195">
        <f>CG70</f>
        <v>67</v>
      </c>
      <c r="CH180" s="195">
        <f>CH70</f>
        <v>263</v>
      </c>
      <c r="CJ180" s="37" t="str">
        <f t="shared" si="1223"/>
        <v>Carloads (000s)</v>
      </c>
      <c r="CK180" s="195">
        <f>CK70</f>
        <v>64</v>
      </c>
      <c r="CL180" s="195">
        <f>CL70</f>
        <v>60</v>
      </c>
      <c r="CM180" s="195">
        <f>CM70</f>
        <v>62</v>
      </c>
      <c r="CN180" s="195">
        <f>CN70</f>
        <v>78</v>
      </c>
      <c r="CO180" s="195">
        <f>CO70</f>
        <v>264</v>
      </c>
      <c r="CQ180" s="37" t="str">
        <f t="shared" si="1224"/>
        <v>Carloads (000s)</v>
      </c>
      <c r="CR180" s="195">
        <f>CR70</f>
        <v>74</v>
      </c>
      <c r="CS180" s="195">
        <f>CS70</f>
        <v>68</v>
      </c>
      <c r="CT180" s="195">
        <f>CT70</f>
        <v>68</v>
      </c>
      <c r="CU180" s="195">
        <f>CU70</f>
        <v>74</v>
      </c>
      <c r="CV180" s="195">
        <f>CV70</f>
        <v>284</v>
      </c>
      <c r="CX180" s="37" t="str">
        <f t="shared" si="1225"/>
        <v>Carloads (000s)</v>
      </c>
      <c r="CY180" s="195">
        <f>CY70</f>
        <v>66</v>
      </c>
      <c r="CZ180" s="195">
        <f>CZ70</f>
        <v>64</v>
      </c>
      <c r="DA180" s="195">
        <f>DA70</f>
        <v>58</v>
      </c>
      <c r="DB180" s="195">
        <f>DB70</f>
        <v>75</v>
      </c>
      <c r="DC180" s="195">
        <f>DC70</f>
        <v>263</v>
      </c>
      <c r="DE180" s="37" t="str">
        <f t="shared" si="1226"/>
        <v>Carloads (000s)</v>
      </c>
      <c r="DF180" s="195">
        <f>DF70</f>
        <v>72</v>
      </c>
      <c r="DG180" s="195">
        <f>DG70</f>
        <v>70</v>
      </c>
      <c r="DH180" s="195">
        <f>DH70</f>
        <v>65</v>
      </c>
      <c r="DI180" s="195">
        <f>DI70</f>
        <v>73</v>
      </c>
      <c r="DJ180" s="195">
        <f>DJ70</f>
        <v>280</v>
      </c>
      <c r="DL180" s="37" t="str">
        <f t="shared" si="1227"/>
        <v>Carloads (000s)</v>
      </c>
      <c r="DM180" s="195">
        <f>DM70</f>
        <v>74</v>
      </c>
      <c r="DN180" s="195">
        <f>DN70</f>
        <v>65</v>
      </c>
      <c r="DO180" s="195">
        <f>DO70</f>
        <v>54</v>
      </c>
      <c r="DP180" s="195">
        <f>DP70</f>
        <v>66</v>
      </c>
      <c r="DQ180" s="195">
        <f>DQ70</f>
        <v>259</v>
      </c>
      <c r="DS180" s="37" t="str">
        <f t="shared" si="1228"/>
        <v>Carloads (000s)</v>
      </c>
      <c r="DT180" s="195">
        <f>DT70</f>
        <v>69</v>
      </c>
      <c r="DU180" s="195">
        <f>DU70</f>
        <v>67</v>
      </c>
      <c r="DV180" s="195">
        <f>DV70</f>
        <v>60</v>
      </c>
      <c r="DW180" s="195">
        <f>DW70</f>
        <v>73</v>
      </c>
      <c r="DX180" s="195">
        <f>DX70</f>
        <v>269</v>
      </c>
      <c r="DZ180" s="37" t="str">
        <f t="shared" si="1229"/>
        <v>Carloads (000s)</v>
      </c>
      <c r="EA180" s="195">
        <f>EA70</f>
        <v>69</v>
      </c>
      <c r="EB180" s="195">
        <f>EB70</f>
        <v>67</v>
      </c>
      <c r="EC180" s="195">
        <f>EC70</f>
        <v>64</v>
      </c>
      <c r="ED180" s="195">
        <f>ED70</f>
        <v>77</v>
      </c>
      <c r="EE180" s="195">
        <f>EE70</f>
        <v>277</v>
      </c>
      <c r="EG180" s="37" t="str">
        <f t="shared" si="1230"/>
        <v>Carloads (000s)</v>
      </c>
      <c r="EH180" s="195">
        <f>EH70</f>
        <v>76</v>
      </c>
      <c r="EI180" s="195">
        <f>EI70</f>
        <v>73</v>
      </c>
      <c r="EJ180" s="195">
        <f>EJ70</f>
        <v>84</v>
      </c>
      <c r="EK180" s="195">
        <f>EK70</f>
        <v>93</v>
      </c>
      <c r="EL180" s="195">
        <f>EL70</f>
        <v>326</v>
      </c>
      <c r="EN180" s="37" t="str">
        <f t="shared" si="1231"/>
        <v>Carloads (000s)</v>
      </c>
      <c r="EO180" s="195">
        <f>EO70</f>
        <v>114</v>
      </c>
      <c r="EP180" s="195">
        <f>EP70</f>
        <v>109</v>
      </c>
      <c r="EQ180" s="195">
        <f>EQ70</f>
        <v>110</v>
      </c>
      <c r="ER180" s="195">
        <f>ER70</f>
        <v>120</v>
      </c>
      <c r="ES180" s="195">
        <f>ES70</f>
        <v>453</v>
      </c>
      <c r="EU180" s="37" t="str">
        <f t="shared" si="1232"/>
        <v>Carloads (000s)</v>
      </c>
      <c r="EV180" s="195">
        <f>EV70</f>
        <v>124</v>
      </c>
      <c r="EW180" s="195">
        <f>EW70</f>
        <v>116</v>
      </c>
      <c r="EX180" s="195">
        <f>EX70</f>
        <v>111</v>
      </c>
      <c r="EY180" s="195">
        <f>EY70</f>
        <v>116</v>
      </c>
      <c r="EZ180" s="195">
        <f>EZ70</f>
        <v>467</v>
      </c>
      <c r="FB180" s="37" t="str">
        <f t="shared" si="1233"/>
        <v>Carloads (000s)</v>
      </c>
      <c r="FC180" s="195">
        <f>FC70</f>
        <v>115</v>
      </c>
      <c r="FD180" s="195">
        <f>FD70</f>
        <v>110</v>
      </c>
      <c r="FE180" s="195">
        <f>FE70</f>
        <v>109</v>
      </c>
      <c r="FF180" s="195">
        <f>FF70</f>
        <v>118</v>
      </c>
      <c r="FG180" s="195">
        <f>FG70</f>
        <v>452</v>
      </c>
      <c r="FI180" s="37" t="str">
        <f t="shared" si="1234"/>
        <v>Carloads (000s)</v>
      </c>
      <c r="FJ180" s="195">
        <f>FJ70</f>
        <v>115</v>
      </c>
      <c r="FK180" s="195">
        <f>FK70</f>
        <v>151</v>
      </c>
      <c r="FL180" s="195">
        <f>FL70</f>
        <v>149</v>
      </c>
      <c r="FM180" s="195">
        <f>FM70</f>
        <v>156</v>
      </c>
      <c r="FN180" s="195">
        <f>FN70</f>
        <v>571</v>
      </c>
      <c r="FP180" s="37" t="str">
        <f t="shared" si="1235"/>
        <v>Carloads (000s)</v>
      </c>
      <c r="FQ180" s="195">
        <f>FQ70</f>
        <v>151</v>
      </c>
      <c r="FR180" s="195">
        <f>FR70</f>
        <v>150</v>
      </c>
      <c r="FS180" s="195">
        <f>FS70</f>
        <v>141</v>
      </c>
      <c r="FT180" s="195">
        <f>FT70</f>
        <v>159</v>
      </c>
      <c r="FU180" s="195">
        <f>FU70</f>
        <v>601</v>
      </c>
      <c r="FW180" s="37" t="str">
        <f t="shared" si="1236"/>
        <v>Carloads (000s)</v>
      </c>
      <c r="FX180" s="195">
        <f>FX70</f>
        <v>155</v>
      </c>
      <c r="FY180" s="195">
        <f>FY70</f>
        <v>150</v>
      </c>
      <c r="FZ180" s="195">
        <f>FZ70</f>
        <v>150</v>
      </c>
      <c r="GA180" s="195">
        <f>GA70</f>
        <v>151</v>
      </c>
      <c r="GB180" s="195">
        <f>GB70</f>
        <v>606</v>
      </c>
      <c r="GD180" s="37" t="str">
        <f t="shared" si="1237"/>
        <v>Carloads (000s)</v>
      </c>
      <c r="GE180" s="195">
        <f>GE70</f>
        <v>160</v>
      </c>
      <c r="GF180" s="195">
        <f>GF70</f>
        <v>159</v>
      </c>
      <c r="GG180" s="195">
        <f>GG70</f>
        <v>163</v>
      </c>
      <c r="GH180" s="195">
        <f>GH70</f>
        <v>160</v>
      </c>
      <c r="GI180" s="195">
        <f>GI70</f>
        <v>642</v>
      </c>
      <c r="GK180" s="37" t="str">
        <f t="shared" si="1238"/>
        <v>Carloads (000s)</v>
      </c>
      <c r="GL180" s="195">
        <f>GL70</f>
        <v>126</v>
      </c>
      <c r="GM180" s="195">
        <f>GM70</f>
        <v>134</v>
      </c>
      <c r="GN180" s="195">
        <f>GN70</f>
        <v>130</v>
      </c>
      <c r="GO180" s="195">
        <f>GO70</f>
        <v>138</v>
      </c>
      <c r="GP180" s="195">
        <f>GP70</f>
        <v>528</v>
      </c>
      <c r="GR180" s="37" t="str">
        <f t="shared" si="1239"/>
        <v>Carloads (000s)</v>
      </c>
      <c r="GS180" s="195">
        <f>GS70</f>
        <v>136</v>
      </c>
      <c r="GT180" s="195">
        <f>GT70</f>
        <v>136</v>
      </c>
      <c r="GU180" s="195">
        <f>GU70</f>
        <v>133</v>
      </c>
      <c r="GV180" s="195">
        <f>GV70</f>
        <v>136</v>
      </c>
      <c r="GW180" s="195">
        <f>GW70</f>
        <v>541</v>
      </c>
      <c r="GY180" s="37" t="str">
        <f t="shared" si="1240"/>
        <v>Carloads (000s)</v>
      </c>
      <c r="GZ180" s="195">
        <f>GZ70</f>
        <v>134</v>
      </c>
      <c r="HA180" s="195">
        <f>HA70</f>
        <v>131</v>
      </c>
      <c r="HB180" s="195">
        <f>HB70</f>
        <v>127</v>
      </c>
      <c r="HC180" s="195">
        <f>HC70</f>
        <v>136</v>
      </c>
      <c r="HD180" s="195">
        <f>HD70</f>
        <v>528</v>
      </c>
      <c r="HF180" s="37" t="str">
        <f t="shared" si="1241"/>
        <v>Carloads (000s)</v>
      </c>
      <c r="HG180" s="195">
        <f>HG70</f>
        <v>139</v>
      </c>
      <c r="HH180" s="195">
        <f>HH70</f>
        <v>132</v>
      </c>
      <c r="HI180" s="195">
        <f>HI70</f>
        <v>130</v>
      </c>
      <c r="HJ180" s="195">
        <f>HJ70</f>
        <v>147</v>
      </c>
      <c r="HK180" s="195">
        <f>HK70</f>
        <v>548</v>
      </c>
      <c r="HM180" s="37" t="str">
        <f t="shared" si="1242"/>
        <v>Carloads (000s)</v>
      </c>
      <c r="HN180" s="195">
        <f>HN70</f>
        <v>134</v>
      </c>
      <c r="HO180" s="195">
        <f>HO70</f>
        <v>136</v>
      </c>
      <c r="HP180" s="195">
        <f>HP70</f>
        <v>120</v>
      </c>
      <c r="HQ180" s="195">
        <f>HQ70</f>
        <v>135</v>
      </c>
      <c r="HR180" s="195">
        <f>HR70</f>
        <v>525</v>
      </c>
      <c r="HT180" s="37" t="str">
        <f t="shared" si="1243"/>
        <v>Carloads (000s)</v>
      </c>
      <c r="HU180" s="195">
        <f>HU70</f>
        <v>133</v>
      </c>
      <c r="HV180" s="195">
        <f>HV70</f>
        <v>126</v>
      </c>
      <c r="HW180" s="195">
        <f>HW70</f>
        <v>113</v>
      </c>
      <c r="HX180" s="195">
        <f>HX70</f>
        <v>122</v>
      </c>
      <c r="HY180" s="195">
        <f>HY70</f>
        <v>494</v>
      </c>
      <c r="IA180" s="37" t="str">
        <f t="shared" si="1244"/>
        <v>Carloads (000s)</v>
      </c>
      <c r="IB180" s="195">
        <f>IB70</f>
        <v>119</v>
      </c>
      <c r="IC180" s="195">
        <f>IC70</f>
        <v>120</v>
      </c>
      <c r="ID180" s="195">
        <f>ID70</f>
        <v>110</v>
      </c>
      <c r="IE180" s="195">
        <f>IE70</f>
        <v>137</v>
      </c>
      <c r="IF180" s="195">
        <f>IF70</f>
        <v>486</v>
      </c>
      <c r="IH180" s="37" t="str">
        <f t="shared" si="1245"/>
        <v>Carloads (000s)</v>
      </c>
      <c r="II180" s="195">
        <f>II70</f>
        <v>129</v>
      </c>
      <c r="IJ180" s="195">
        <f>IJ70</f>
        <v>130</v>
      </c>
      <c r="IK180" s="195">
        <f>IK70</f>
        <v>121</v>
      </c>
      <c r="IL180" s="195">
        <f>IL70</f>
        <v>133</v>
      </c>
      <c r="IM180" s="195">
        <f>IM70</f>
        <v>513</v>
      </c>
      <c r="IO180" s="37" t="str">
        <f t="shared" si="1246"/>
        <v>Carloads (000s)</v>
      </c>
      <c r="IP180" s="195">
        <f>IP70</f>
        <v>132</v>
      </c>
      <c r="IQ180" s="195">
        <f>IQ70</f>
        <v>125</v>
      </c>
      <c r="IR180" s="195">
        <f>IR70</f>
        <v>121</v>
      </c>
      <c r="IS180" s="195">
        <f>IS70</f>
        <v>125</v>
      </c>
      <c r="IT180" s="195">
        <f>IT70</f>
        <v>503</v>
      </c>
      <c r="IV180" s="37" t="str">
        <f t="shared" si="1247"/>
        <v>Carloads (000s)</v>
      </c>
      <c r="IW180" s="195">
        <f>IW70</f>
        <v>121</v>
      </c>
      <c r="IX180" s="195">
        <f>IX70</f>
        <v>116</v>
      </c>
      <c r="IY180" s="195">
        <f>IY70</f>
        <v>109</v>
      </c>
      <c r="IZ180" s="195">
        <f>IZ70</f>
        <v>131</v>
      </c>
      <c r="JA180" s="195">
        <f>JA70</f>
        <v>477</v>
      </c>
      <c r="JC180" s="37" t="str">
        <f t="shared" si="1248"/>
        <v>Carloads (000s)</v>
      </c>
      <c r="JD180" s="195">
        <f>JD70</f>
        <v>121</v>
      </c>
      <c r="JE180" s="195">
        <f>JE70</f>
        <v>114</v>
      </c>
      <c r="JF180" s="195">
        <f>JF70</f>
        <v>105</v>
      </c>
      <c r="JG180" s="195">
        <f>JG70</f>
        <v>113</v>
      </c>
      <c r="JH180" s="195">
        <f>JH70</f>
        <v>453</v>
      </c>
      <c r="JJ180" s="37" t="str">
        <f t="shared" si="1249"/>
        <v>Carloads (000s)</v>
      </c>
      <c r="JK180" s="195">
        <f>JK70</f>
        <v>107</v>
      </c>
      <c r="JL180" s="195">
        <f>JL70</f>
        <v>112</v>
      </c>
      <c r="JM180" s="195">
        <f>JM70</f>
        <v>111</v>
      </c>
      <c r="JN180" s="195">
        <f>JN70</f>
        <v>116</v>
      </c>
      <c r="JO180" s="195">
        <f>JO70</f>
        <v>446</v>
      </c>
      <c r="JQ180" s="37" t="str">
        <f t="shared" si="1250"/>
        <v>Carloads (000s)</v>
      </c>
      <c r="JR180" s="195">
        <f>JR70</f>
        <v>114</v>
      </c>
      <c r="JS180" s="195">
        <f>JS70</f>
        <v>118</v>
      </c>
      <c r="JT180" s="195">
        <f>JT70</f>
        <v>110</v>
      </c>
      <c r="JU180" s="195">
        <f>JU70</f>
        <v>110</v>
      </c>
      <c r="JV180" s="195">
        <f>JV70</f>
        <v>452</v>
      </c>
      <c r="JX180" s="37" t="str">
        <f t="shared" si="1251"/>
        <v>Carloads (000s)</v>
      </c>
      <c r="JY180" s="195">
        <f>JY70</f>
        <v>121</v>
      </c>
      <c r="JZ180" s="195">
        <f>JZ70</f>
        <v>102</v>
      </c>
      <c r="KA180" s="195">
        <f>KA70</f>
        <v>115</v>
      </c>
      <c r="KB180" s="195">
        <f>KB70</f>
        <v>125</v>
      </c>
      <c r="KC180" s="195">
        <f>KC70</f>
        <v>463</v>
      </c>
      <c r="KE180" s="37" t="str">
        <f t="shared" si="1252"/>
        <v>Carloads (000s)</v>
      </c>
      <c r="KF180" s="195">
        <f>KF70</f>
        <v>116</v>
      </c>
      <c r="KG180" s="195">
        <f>KG70</f>
        <v>117</v>
      </c>
      <c r="KH180" s="195">
        <f>KH70</f>
        <v>109</v>
      </c>
      <c r="KI180" s="195">
        <f>KI70</f>
        <v>125</v>
      </c>
      <c r="KJ180" s="195">
        <f>KJ70</f>
        <v>467</v>
      </c>
      <c r="KL180" s="37" t="str">
        <f t="shared" si="1253"/>
        <v>Carloads (000s)</v>
      </c>
      <c r="KM180" s="195">
        <f>KM70</f>
        <v>118</v>
      </c>
      <c r="KN180" s="195">
        <f>KN70</f>
        <v>120</v>
      </c>
      <c r="KO180" s="195">
        <f>KO70</f>
        <v>120</v>
      </c>
      <c r="KP180" s="195">
        <f>KP70</f>
        <v>123</v>
      </c>
      <c r="KQ180" s="195">
        <f>KQ70</f>
        <v>481</v>
      </c>
      <c r="KS180" s="37" t="str">
        <f t="shared" si="1254"/>
        <v>Carloads (000s)</v>
      </c>
      <c r="KT180" s="195">
        <f>KT70</f>
        <v>122</v>
      </c>
      <c r="KU180" s="195">
        <f>KU70</f>
        <v>118</v>
      </c>
      <c r="KV180" s="195">
        <f>KV70</f>
        <v>108</v>
      </c>
      <c r="KW180" s="195">
        <f>KW70</f>
        <v>120</v>
      </c>
      <c r="KX180" s="195">
        <f>KX70</f>
        <v>468</v>
      </c>
      <c r="KZ180" s="37" t="str">
        <f t="shared" si="1255"/>
        <v>Carloads (000s)</v>
      </c>
      <c r="LA180" s="195">
        <f>LA70</f>
        <v>114</v>
      </c>
      <c r="LB180" s="195">
        <f>LB70</f>
        <v>115</v>
      </c>
      <c r="LC180" s="195">
        <f>LC70</f>
        <v>118</v>
      </c>
      <c r="LD180" s="195">
        <f>LD70</f>
        <v>116</v>
      </c>
      <c r="LE180" s="196">
        <f>SUM(LA180:LD180)</f>
        <v>463</v>
      </c>
      <c r="LF180" s="573"/>
      <c r="LG180" s="37" t="str">
        <f t="shared" si="1256"/>
        <v>Carloads (000s)</v>
      </c>
      <c r="LH180" s="195">
        <f>LH70</f>
        <v>115</v>
      </c>
      <c r="LI180" s="195">
        <f>LI70</f>
        <v>117</v>
      </c>
      <c r="LJ180" s="195">
        <f>LJ70</f>
        <v>110</v>
      </c>
      <c r="LK180" s="195">
        <f>LK70</f>
        <v>115</v>
      </c>
      <c r="LL180" s="196">
        <f>SUM(LH180:LK180)</f>
        <v>457</v>
      </c>
      <c r="LM180" s="573"/>
      <c r="LN180" s="37" t="str">
        <f t="shared" si="1257"/>
        <v>Carloads (000s)</v>
      </c>
      <c r="LO180" s="196">
        <f>(LH180)*(1+LO181)</f>
        <v>113.27499999999999</v>
      </c>
      <c r="LP180" s="196">
        <f t="shared" ref="LP180" si="1758">(LI180)*(1+LP181)</f>
        <v>112.905</v>
      </c>
      <c r="LQ180" s="196">
        <f t="shared" ref="LQ180" si="1759">(LJ180)*(1+LQ181)</f>
        <v>107.8</v>
      </c>
      <c r="LR180" s="196">
        <f t="shared" ref="LR180" si="1760">(LK180)*(1+LR181)</f>
        <v>115.57499999999999</v>
      </c>
      <c r="LS180" s="196">
        <f>SUM(LO180:LR180)</f>
        <v>449.55500000000001</v>
      </c>
      <c r="LT180" s="573"/>
      <c r="LU180" s="37" t="str">
        <f t="shared" si="1261"/>
        <v>Carloads (000s)</v>
      </c>
      <c r="LV180" s="196">
        <f>(LO180)*(1+LV181)</f>
        <v>116.10687499999999</v>
      </c>
      <c r="LW180" s="196">
        <f t="shared" ref="LW180" si="1761">(LP180)*(1+LW181)</f>
        <v>115.72762499999999</v>
      </c>
      <c r="LX180" s="196">
        <f t="shared" ref="LX180" si="1762">(LQ180)*(1+LX181)</f>
        <v>110.49499999999999</v>
      </c>
      <c r="LY180" s="196">
        <f t="shared" ref="LY180" si="1763">(LR180)*(1+LY181)</f>
        <v>118.46437499999998</v>
      </c>
      <c r="LZ180" s="196">
        <f>SUM(LV180:LY180)</f>
        <v>460.79387499999996</v>
      </c>
      <c r="MA180" s="573"/>
      <c r="MB180" s="37" t="str">
        <f t="shared" si="1265"/>
        <v>Carloads (000s)</v>
      </c>
      <c r="MC180" s="196">
        <f>(LV180)*(1+MC181)</f>
        <v>118.42901249999998</v>
      </c>
      <c r="MD180" s="196">
        <f t="shared" ref="MD180" si="1764">(LW180)*(1+MD181)</f>
        <v>118.04217749999999</v>
      </c>
      <c r="ME180" s="196">
        <f t="shared" ref="ME180" si="1765">(LX180)*(1+ME181)</f>
        <v>112.70489999999999</v>
      </c>
      <c r="MF180" s="196">
        <f t="shared" ref="MF180" si="1766">(LY180)*(1+MF181)</f>
        <v>120.83366249999997</v>
      </c>
      <c r="MG180" s="196">
        <f>SUM(MC180:MF180)</f>
        <v>470.00975249999999</v>
      </c>
      <c r="MH180" s="573"/>
    </row>
    <row r="181" spans="1:346" s="37" customFormat="1" ht="13.15" x14ac:dyDescent="0.4">
      <c r="A181" s="100"/>
      <c r="B181" s="197" t="s">
        <v>516</v>
      </c>
      <c r="C181" s="186"/>
      <c r="D181" s="186"/>
      <c r="E181" s="186"/>
      <c r="F181" s="186"/>
      <c r="G181" s="186"/>
      <c r="H181" s="186"/>
      <c r="I181" s="186"/>
      <c r="J181" s="186"/>
      <c r="K181" s="186"/>
      <c r="L181" s="186"/>
      <c r="M181" s="186"/>
      <c r="N181" s="193"/>
      <c r="O181" s="198">
        <f>O180/N180-1</f>
        <v>-3.5842293906810374E-3</v>
      </c>
      <c r="P181" s="198">
        <f t="shared" ref="P181:BA181" si="1767">P180/O180-1</f>
        <v>-5.3956834532374098E-2</v>
      </c>
      <c r="Q181" s="198">
        <f t="shared" si="1767"/>
        <v>3.8022813688212143E-3</v>
      </c>
      <c r="R181" s="198">
        <f t="shared" si="1767"/>
        <v>7.575757575757569E-2</v>
      </c>
      <c r="S181" s="198">
        <f t="shared" si="1767"/>
        <v>-7.3943661971830998E-2</v>
      </c>
      <c r="T181" s="198">
        <f t="shared" si="1767"/>
        <v>6.4638783269961975E-2</v>
      </c>
      <c r="U181" s="198">
        <f t="shared" si="1767"/>
        <v>-7.4999999999999956E-2</v>
      </c>
      <c r="V181" s="198">
        <f t="shared" si="1767"/>
        <v>3.8610038610038533E-2</v>
      </c>
      <c r="W181" s="198">
        <f t="shared" si="1767"/>
        <v>2.9739776951672958E-2</v>
      </c>
      <c r="X181" s="198">
        <f t="shared" si="1767"/>
        <v>0.17689530685920585</v>
      </c>
      <c r="Y181" s="198">
        <f t="shared" si="1767"/>
        <v>0.38957055214723924</v>
      </c>
      <c r="Z181" s="198">
        <f t="shared" si="1767"/>
        <v>3.0905077262693093E-2</v>
      </c>
      <c r="AA181" s="198">
        <f t="shared" si="1767"/>
        <v>-3.2119914346895095E-2</v>
      </c>
      <c r="AB181" s="198">
        <f t="shared" si="1767"/>
        <v>0.26327433628318575</v>
      </c>
      <c r="AC181" s="198">
        <f t="shared" si="1767"/>
        <v>5.2539404553415103E-2</v>
      </c>
      <c r="AD181" s="198">
        <f t="shared" si="1767"/>
        <v>8.3194675540765317E-3</v>
      </c>
      <c r="AE181" s="198">
        <f t="shared" si="1767"/>
        <v>5.9405940594059459E-2</v>
      </c>
      <c r="AF181" s="198">
        <f t="shared" si="1767"/>
        <v>-0.17757009345794394</v>
      </c>
      <c r="AG181" s="198">
        <f t="shared" si="1767"/>
        <v>2.4621212121212155E-2</v>
      </c>
      <c r="AH181" s="198">
        <f t="shared" si="1767"/>
        <v>-2.4029574861367808E-2</v>
      </c>
      <c r="AI181" s="198">
        <f t="shared" si="1767"/>
        <v>3.7878787878787845E-2</v>
      </c>
      <c r="AJ181" s="198">
        <f t="shared" si="1767"/>
        <v>-4.1970802919708006E-2</v>
      </c>
      <c r="AK181" s="198">
        <f t="shared" si="1767"/>
        <v>-5.9047619047619015E-2</v>
      </c>
      <c r="AL181" s="198">
        <f t="shared" si="1767"/>
        <v>-1.619433198380571E-2</v>
      </c>
      <c r="AM181" s="198">
        <f t="shared" si="1767"/>
        <v>5.555555555555558E-2</v>
      </c>
      <c r="AN181" s="198">
        <f t="shared" si="1767"/>
        <v>-1.9493177387914229E-2</v>
      </c>
      <c r="AO181" s="198">
        <f t="shared" si="1767"/>
        <v>-5.1689860834990053E-2</v>
      </c>
      <c r="AP181" s="198">
        <f t="shared" si="1767"/>
        <v>-5.031446540880502E-2</v>
      </c>
      <c r="AQ181" s="198">
        <f t="shared" si="1767"/>
        <v>-1.5452538631346546E-2</v>
      </c>
      <c r="AR181" s="198">
        <f t="shared" si="1767"/>
        <v>1.3452914798206317E-2</v>
      </c>
      <c r="AS181" s="198">
        <f t="shared" si="1767"/>
        <v>2.433628318584069E-2</v>
      </c>
      <c r="AT181" s="198">
        <f t="shared" si="1767"/>
        <v>8.6393088552916275E-3</v>
      </c>
      <c r="AU181" s="198">
        <f t="shared" si="1767"/>
        <v>2.9978586723768741E-2</v>
      </c>
      <c r="AV181" s="198">
        <f t="shared" si="1767"/>
        <v>-2.7027027027026973E-2</v>
      </c>
      <c r="AW181" s="198">
        <f t="shared" si="1767"/>
        <v>-1.0683760683760646E-2</v>
      </c>
      <c r="AX181" s="198">
        <f t="shared" si="1767"/>
        <v>-1.295896328293733E-2</v>
      </c>
      <c r="AY181" s="198">
        <f t="shared" si="1767"/>
        <v>-1.6291028446389522E-2</v>
      </c>
      <c r="AZ181" s="198">
        <f t="shared" si="1767"/>
        <v>2.4999999999999911E-2</v>
      </c>
      <c r="BA181" s="198">
        <f t="shared" si="1767"/>
        <v>2.0000000000000018E-2</v>
      </c>
      <c r="BB181" s="198"/>
      <c r="BC181" s="198"/>
      <c r="BD181" s="198"/>
      <c r="BE181" s="198"/>
      <c r="BF181" s="198"/>
      <c r="BG181" s="198"/>
      <c r="BH181" s="198"/>
      <c r="BI181" s="198"/>
      <c r="BJ181" s="198"/>
      <c r="BK181" s="198"/>
      <c r="BL181" s="198"/>
      <c r="BM181" s="198"/>
      <c r="BO181" s="197" t="str">
        <f t="shared" si="1220"/>
        <v>YoY Change (%)</v>
      </c>
      <c r="BP181" s="193"/>
      <c r="BQ181" s="193"/>
      <c r="BR181" s="193"/>
      <c r="BS181" s="193"/>
      <c r="BT181" s="193"/>
      <c r="BV181" s="197" t="str">
        <f t="shared" si="1221"/>
        <v>YoY Change (%)</v>
      </c>
      <c r="BW181" s="198">
        <f>BW180/BP180-1</f>
        <v>0.19117647058823528</v>
      </c>
      <c r="BX181" s="198">
        <f t="shared" ref="BX181" si="1768">BX180/BQ180-1</f>
        <v>-7.3529411764705843E-2</v>
      </c>
      <c r="BY181" s="198">
        <f t="shared" ref="BY181" si="1769">BY180/BR180-1</f>
        <v>-6.25E-2</v>
      </c>
      <c r="BZ181" s="198">
        <f t="shared" ref="BZ181" si="1770">BZ180/BS180-1</f>
        <v>-6.3291139240506333E-2</v>
      </c>
      <c r="CA181" s="198">
        <f t="shared" ref="CA181" si="1771">CA180/BT180-1</f>
        <v>-3.5842293906810374E-3</v>
      </c>
      <c r="CC181" s="197" t="str">
        <f t="shared" si="1222"/>
        <v>YoY Change (%)</v>
      </c>
      <c r="CD181" s="198">
        <f>CD180/BW180-1</f>
        <v>-0.11111111111111116</v>
      </c>
      <c r="CE181" s="198">
        <f t="shared" ref="CE181" si="1772">CE180/BX180-1</f>
        <v>-4.7619047619047672E-2</v>
      </c>
      <c r="CF181" s="198">
        <f t="shared" ref="CF181" si="1773">CF180/BY180-1</f>
        <v>6.6666666666666652E-2</v>
      </c>
      <c r="CG181" s="198">
        <f t="shared" ref="CG181" si="1774">CG180/BZ180-1</f>
        <v>-9.4594594594594628E-2</v>
      </c>
      <c r="CH181" s="198">
        <f t="shared" ref="CH181" si="1775">CH180/CA180-1</f>
        <v>-5.3956834532374098E-2</v>
      </c>
      <c r="CJ181" s="197" t="str">
        <f t="shared" si="1223"/>
        <v>YoY Change (%)</v>
      </c>
      <c r="CK181" s="198">
        <f>CK180/CD180-1</f>
        <v>-0.11111111111111116</v>
      </c>
      <c r="CL181" s="198">
        <f t="shared" ref="CL181" si="1776">CL180/CE180-1</f>
        <v>0</v>
      </c>
      <c r="CM181" s="198">
        <f t="shared" ref="CM181" si="1777">CM180/CF180-1</f>
        <v>-3.125E-2</v>
      </c>
      <c r="CN181" s="198">
        <f t="shared" ref="CN181" si="1778">CN180/CG180-1</f>
        <v>0.16417910447761197</v>
      </c>
      <c r="CO181" s="198">
        <f t="shared" ref="CO181" si="1779">CO180/CH180-1</f>
        <v>3.8022813688212143E-3</v>
      </c>
      <c r="CQ181" s="197" t="str">
        <f t="shared" si="1224"/>
        <v>YoY Change (%)</v>
      </c>
      <c r="CR181" s="198">
        <f>CR180/CK180-1</f>
        <v>0.15625</v>
      </c>
      <c r="CS181" s="198">
        <f t="shared" ref="CS181" si="1780">CS180/CL180-1</f>
        <v>0.1333333333333333</v>
      </c>
      <c r="CT181" s="198">
        <f t="shared" ref="CT181" si="1781">CT180/CM180-1</f>
        <v>9.6774193548387011E-2</v>
      </c>
      <c r="CU181" s="198">
        <f t="shared" ref="CU181" si="1782">CU180/CN180-1</f>
        <v>-5.1282051282051322E-2</v>
      </c>
      <c r="CV181" s="198">
        <f t="shared" ref="CV181" si="1783">CV180/CO180-1</f>
        <v>7.575757575757569E-2</v>
      </c>
      <c r="CX181" s="197" t="str">
        <f t="shared" si="1225"/>
        <v>YoY Change (%)</v>
      </c>
      <c r="CY181" s="198">
        <f>CY180/CR180-1</f>
        <v>-0.10810810810810811</v>
      </c>
      <c r="CZ181" s="198">
        <f t="shared" ref="CZ181" si="1784">CZ180/CS180-1</f>
        <v>-5.8823529411764719E-2</v>
      </c>
      <c r="DA181" s="198">
        <f t="shared" ref="DA181" si="1785">DA180/CT180-1</f>
        <v>-0.1470588235294118</v>
      </c>
      <c r="DB181" s="198">
        <f t="shared" ref="DB181" si="1786">DB180/CU180-1</f>
        <v>1.3513513513513598E-2</v>
      </c>
      <c r="DC181" s="198">
        <f t="shared" ref="DC181" si="1787">DC180/CV180-1</f>
        <v>-7.3943661971830998E-2</v>
      </c>
      <c r="DE181" s="197" t="str">
        <f t="shared" si="1226"/>
        <v>YoY Change (%)</v>
      </c>
      <c r="DF181" s="198">
        <f>DF180/CY180-1</f>
        <v>9.0909090909090828E-2</v>
      </c>
      <c r="DG181" s="198">
        <f t="shared" ref="DG181" si="1788">DG180/CZ180-1</f>
        <v>9.375E-2</v>
      </c>
      <c r="DH181" s="198">
        <f t="shared" ref="DH181" si="1789">DH180/DA180-1</f>
        <v>0.1206896551724137</v>
      </c>
      <c r="DI181" s="198">
        <f t="shared" ref="DI181" si="1790">DI180/DB180-1</f>
        <v>-2.6666666666666616E-2</v>
      </c>
      <c r="DJ181" s="198">
        <f t="shared" ref="DJ181" si="1791">DJ180/DC180-1</f>
        <v>6.4638783269961975E-2</v>
      </c>
      <c r="DL181" s="197" t="str">
        <f t="shared" si="1227"/>
        <v>YoY Change (%)</v>
      </c>
      <c r="DM181" s="198">
        <f>DM180/DF180-1</f>
        <v>2.7777777777777679E-2</v>
      </c>
      <c r="DN181" s="198">
        <f t="shared" ref="DN181" si="1792">DN180/DG180-1</f>
        <v>-7.1428571428571397E-2</v>
      </c>
      <c r="DO181" s="198">
        <f t="shared" ref="DO181" si="1793">DO180/DH180-1</f>
        <v>-0.16923076923076918</v>
      </c>
      <c r="DP181" s="198">
        <f t="shared" ref="DP181" si="1794">DP180/DI180-1</f>
        <v>-9.589041095890416E-2</v>
      </c>
      <c r="DQ181" s="198">
        <f t="shared" ref="DQ181" si="1795">DQ180/DJ180-1</f>
        <v>-7.4999999999999956E-2</v>
      </c>
      <c r="DS181" s="197" t="str">
        <f t="shared" si="1228"/>
        <v>YoY Change (%)</v>
      </c>
      <c r="DT181" s="198">
        <f>DT180/DM180-1</f>
        <v>-6.7567567567567544E-2</v>
      </c>
      <c r="DU181" s="198">
        <f t="shared" ref="DU181" si="1796">DU180/DN180-1</f>
        <v>3.076923076923066E-2</v>
      </c>
      <c r="DV181" s="198">
        <f t="shared" ref="DV181" si="1797">DV180/DO180-1</f>
        <v>0.11111111111111116</v>
      </c>
      <c r="DW181" s="198">
        <f t="shared" ref="DW181" si="1798">DW180/DP180-1</f>
        <v>0.10606060606060597</v>
      </c>
      <c r="DX181" s="198">
        <f t="shared" ref="DX181" si="1799">DX180/DQ180-1</f>
        <v>3.8610038610038533E-2</v>
      </c>
      <c r="DZ181" s="197" t="str">
        <f t="shared" si="1229"/>
        <v>YoY Change (%)</v>
      </c>
      <c r="EA181" s="198">
        <f>EA180/DT180-1</f>
        <v>0</v>
      </c>
      <c r="EB181" s="198">
        <f t="shared" ref="EB181" si="1800">EB180/DU180-1</f>
        <v>0</v>
      </c>
      <c r="EC181" s="198">
        <f t="shared" ref="EC181" si="1801">EC180/DV180-1</f>
        <v>6.6666666666666652E-2</v>
      </c>
      <c r="ED181" s="198">
        <f t="shared" ref="ED181" si="1802">ED180/DW180-1</f>
        <v>5.4794520547945202E-2</v>
      </c>
      <c r="EE181" s="198">
        <f t="shared" ref="EE181" si="1803">EE180/DX180-1</f>
        <v>2.9739776951672958E-2</v>
      </c>
      <c r="EG181" s="197" t="str">
        <f t="shared" si="1230"/>
        <v>YoY Change (%)</v>
      </c>
      <c r="EH181" s="198">
        <f>EH180/EA180-1</f>
        <v>0.10144927536231885</v>
      </c>
      <c r="EI181" s="198">
        <f t="shared" ref="EI181" si="1804">EI180/EB180-1</f>
        <v>8.9552238805970186E-2</v>
      </c>
      <c r="EJ181" s="198">
        <f t="shared" ref="EJ181" si="1805">EJ180/EC180-1</f>
        <v>0.3125</v>
      </c>
      <c r="EK181" s="198">
        <f t="shared" ref="EK181" si="1806">EK180/ED180-1</f>
        <v>0.20779220779220786</v>
      </c>
      <c r="EL181" s="198">
        <f t="shared" ref="EL181" si="1807">EL180/EE180-1</f>
        <v>0.17689530685920585</v>
      </c>
      <c r="EN181" s="197" t="str">
        <f t="shared" si="1231"/>
        <v>YoY Change (%)</v>
      </c>
      <c r="EO181" s="198">
        <f>EO180/EH180-1</f>
        <v>0.5</v>
      </c>
      <c r="EP181" s="198">
        <f t="shared" ref="EP181" si="1808">EP180/EI180-1</f>
        <v>0.49315068493150682</v>
      </c>
      <c r="EQ181" s="198">
        <f t="shared" ref="EQ181" si="1809">EQ180/EJ180-1</f>
        <v>0.30952380952380953</v>
      </c>
      <c r="ER181" s="198">
        <f t="shared" ref="ER181" si="1810">ER180/EK180-1</f>
        <v>0.29032258064516125</v>
      </c>
      <c r="ES181" s="198">
        <f t="shared" ref="ES181" si="1811">ES180/EL180-1</f>
        <v>0.38957055214723924</v>
      </c>
      <c r="EU181" s="197" t="str">
        <f t="shared" si="1232"/>
        <v>YoY Change (%)</v>
      </c>
      <c r="EV181" s="198">
        <f>EV180/EO180-1</f>
        <v>8.7719298245614086E-2</v>
      </c>
      <c r="EW181" s="198">
        <f t="shared" ref="EW181" si="1812">EW180/EP180-1</f>
        <v>6.4220183486238591E-2</v>
      </c>
      <c r="EX181" s="198">
        <f t="shared" ref="EX181" si="1813">EX180/EQ180-1</f>
        <v>9.0909090909090384E-3</v>
      </c>
      <c r="EY181" s="198">
        <f t="shared" ref="EY181" si="1814">EY180/ER180-1</f>
        <v>-3.3333333333333326E-2</v>
      </c>
      <c r="EZ181" s="198">
        <f t="shared" ref="EZ181" si="1815">EZ180/ES180-1</f>
        <v>3.0905077262693093E-2</v>
      </c>
      <c r="FB181" s="197" t="str">
        <f t="shared" si="1233"/>
        <v>YoY Change (%)</v>
      </c>
      <c r="FC181" s="198">
        <f>FC180/EV180-1</f>
        <v>-7.2580645161290369E-2</v>
      </c>
      <c r="FD181" s="198">
        <f t="shared" ref="FD181" si="1816">FD180/EW180-1</f>
        <v>-5.1724137931034475E-2</v>
      </c>
      <c r="FE181" s="198">
        <f t="shared" ref="FE181" si="1817">FE180/EX180-1</f>
        <v>-1.8018018018018056E-2</v>
      </c>
      <c r="FF181" s="198">
        <f t="shared" ref="FF181" si="1818">FF180/EY180-1</f>
        <v>1.7241379310344751E-2</v>
      </c>
      <c r="FG181" s="198">
        <f t="shared" ref="FG181" si="1819">FG180/EZ180-1</f>
        <v>-3.2119914346895095E-2</v>
      </c>
      <c r="FI181" s="197" t="str">
        <f t="shared" si="1234"/>
        <v>YoY Change (%)</v>
      </c>
      <c r="FJ181" s="198">
        <f>FJ180/FC180-1</f>
        <v>0</v>
      </c>
      <c r="FK181" s="198">
        <f t="shared" ref="FK181" si="1820">FK180/FD180-1</f>
        <v>0.3727272727272728</v>
      </c>
      <c r="FL181" s="198">
        <f t="shared" ref="FL181" si="1821">FL180/FE180-1</f>
        <v>0.3669724770642202</v>
      </c>
      <c r="FM181" s="198">
        <f t="shared" ref="FM181" si="1822">FM180/FF180-1</f>
        <v>0.32203389830508478</v>
      </c>
      <c r="FN181" s="198">
        <f t="shared" ref="FN181" si="1823">FN180/FG180-1</f>
        <v>0.26327433628318575</v>
      </c>
      <c r="FP181" s="197" t="str">
        <f t="shared" si="1235"/>
        <v>YoY Change (%)</v>
      </c>
      <c r="FQ181" s="198">
        <f>FQ180/FJ180-1</f>
        <v>0.31304347826086953</v>
      </c>
      <c r="FR181" s="198">
        <f t="shared" ref="FR181" si="1824">FR180/FK180-1</f>
        <v>-6.6225165562914245E-3</v>
      </c>
      <c r="FS181" s="198">
        <f t="shared" ref="FS181" si="1825">FS180/FL180-1</f>
        <v>-5.3691275167785268E-2</v>
      </c>
      <c r="FT181" s="198">
        <f t="shared" ref="FT181" si="1826">FT180/FM180-1</f>
        <v>1.9230769230769162E-2</v>
      </c>
      <c r="FU181" s="198">
        <f t="shared" ref="FU181" si="1827">FU180/FN180-1</f>
        <v>5.2539404553415103E-2</v>
      </c>
      <c r="FW181" s="197" t="str">
        <f t="shared" si="1236"/>
        <v>YoY Change (%)</v>
      </c>
      <c r="FX181" s="198">
        <f>FX180/FQ180-1</f>
        <v>2.6490066225165476E-2</v>
      </c>
      <c r="FY181" s="198">
        <f t="shared" ref="FY181" si="1828">FY180/FR180-1</f>
        <v>0</v>
      </c>
      <c r="FZ181" s="198">
        <f t="shared" ref="FZ181" si="1829">FZ180/FS180-1</f>
        <v>6.3829787234042534E-2</v>
      </c>
      <c r="GA181" s="198">
        <f t="shared" ref="GA181" si="1830">GA180/FT180-1</f>
        <v>-5.031446540880502E-2</v>
      </c>
      <c r="GB181" s="198">
        <f t="shared" ref="GB181" si="1831">GB180/FU180-1</f>
        <v>8.3194675540765317E-3</v>
      </c>
      <c r="GD181" s="197" t="str">
        <f t="shared" si="1237"/>
        <v>YoY Change (%)</v>
      </c>
      <c r="GE181" s="198">
        <f>GE180/FX180-1</f>
        <v>3.2258064516129004E-2</v>
      </c>
      <c r="GF181" s="198">
        <f t="shared" ref="GF181" si="1832">GF180/FY180-1</f>
        <v>6.0000000000000053E-2</v>
      </c>
      <c r="GG181" s="198">
        <f t="shared" ref="GG181" si="1833">GG180/FZ180-1</f>
        <v>8.666666666666667E-2</v>
      </c>
      <c r="GH181" s="198">
        <f t="shared" ref="GH181" si="1834">GH180/GA180-1</f>
        <v>5.9602649006622599E-2</v>
      </c>
      <c r="GI181" s="198">
        <f t="shared" ref="GI181" si="1835">GI180/GB180-1</f>
        <v>5.9405940594059459E-2</v>
      </c>
      <c r="GK181" s="197" t="str">
        <f t="shared" si="1238"/>
        <v>YoY Change (%)</v>
      </c>
      <c r="GL181" s="198">
        <f>GL180/GE180-1</f>
        <v>-0.21250000000000002</v>
      </c>
      <c r="GM181" s="198">
        <f t="shared" ref="GM181" si="1836">GM180/GF180-1</f>
        <v>-0.15723270440251569</v>
      </c>
      <c r="GN181" s="198">
        <f t="shared" ref="GN181" si="1837">GN180/GG180-1</f>
        <v>-0.2024539877300614</v>
      </c>
      <c r="GO181" s="198">
        <f t="shared" ref="GO181" si="1838">GO180/GH180-1</f>
        <v>-0.13749999999999996</v>
      </c>
      <c r="GP181" s="198">
        <f t="shared" ref="GP181" si="1839">GP180/GI180-1</f>
        <v>-0.17757009345794394</v>
      </c>
      <c r="GR181" s="197" t="str">
        <f t="shared" si="1239"/>
        <v>YoY Change (%)</v>
      </c>
      <c r="GS181" s="198">
        <f>GS180/GL180-1</f>
        <v>7.9365079365079305E-2</v>
      </c>
      <c r="GT181" s="198">
        <f t="shared" ref="GT181" si="1840">GT180/GM180-1</f>
        <v>1.4925373134328401E-2</v>
      </c>
      <c r="GU181" s="198">
        <f t="shared" ref="GU181" si="1841">GU180/GN180-1</f>
        <v>2.3076923076922995E-2</v>
      </c>
      <c r="GV181" s="198">
        <f t="shared" ref="GV181" si="1842">GV180/GO180-1</f>
        <v>-1.4492753623188359E-2</v>
      </c>
      <c r="GW181" s="198">
        <f t="shared" ref="GW181" si="1843">GW180/GP180-1</f>
        <v>2.4621212121212155E-2</v>
      </c>
      <c r="GY181" s="197" t="str">
        <f t="shared" si="1240"/>
        <v>YoY Change (%)</v>
      </c>
      <c r="GZ181" s="198">
        <f>GZ180/GS180-1</f>
        <v>-1.4705882352941124E-2</v>
      </c>
      <c r="HA181" s="198">
        <f t="shared" ref="HA181" si="1844">HA180/GT180-1</f>
        <v>-3.6764705882352922E-2</v>
      </c>
      <c r="HB181" s="198">
        <f t="shared" ref="HB181" si="1845">HB180/GU180-1</f>
        <v>-4.5112781954887216E-2</v>
      </c>
      <c r="HC181" s="198">
        <f t="shared" ref="HC181" si="1846">HC180/GV180-1</f>
        <v>0</v>
      </c>
      <c r="HD181" s="198">
        <f t="shared" ref="HD181" si="1847">HD180/GW180-1</f>
        <v>-2.4029574861367808E-2</v>
      </c>
      <c r="HF181" s="197" t="str">
        <f t="shared" si="1241"/>
        <v>YoY Change (%)</v>
      </c>
      <c r="HG181" s="198">
        <f>HG180/GZ180-1</f>
        <v>3.7313432835820892E-2</v>
      </c>
      <c r="HH181" s="198">
        <f t="shared" ref="HH181" si="1848">HH180/HA180-1</f>
        <v>7.6335877862594437E-3</v>
      </c>
      <c r="HI181" s="198">
        <f t="shared" ref="HI181" si="1849">HI180/HB180-1</f>
        <v>2.3622047244094446E-2</v>
      </c>
      <c r="HJ181" s="198">
        <f t="shared" ref="HJ181" si="1850">HJ180/HC180-1</f>
        <v>8.0882352941176405E-2</v>
      </c>
      <c r="HK181" s="198">
        <f t="shared" ref="HK181" si="1851">HK180/HD180-1</f>
        <v>3.7878787878787845E-2</v>
      </c>
      <c r="HM181" s="197" t="str">
        <f t="shared" si="1242"/>
        <v>YoY Change (%)</v>
      </c>
      <c r="HN181" s="198">
        <f>HN180/HG180-1</f>
        <v>-3.5971223021582732E-2</v>
      </c>
      <c r="HO181" s="198">
        <f t="shared" ref="HO181" si="1852">HO180/HH180-1</f>
        <v>3.0303030303030276E-2</v>
      </c>
      <c r="HP181" s="198">
        <f t="shared" ref="HP181" si="1853">HP180/HI180-1</f>
        <v>-7.6923076923076872E-2</v>
      </c>
      <c r="HQ181" s="198">
        <f t="shared" ref="HQ181" si="1854">HQ180/HJ180-1</f>
        <v>-8.1632653061224469E-2</v>
      </c>
      <c r="HR181" s="198">
        <f t="shared" ref="HR181" si="1855">HR180/HK180-1</f>
        <v>-4.1970802919708006E-2</v>
      </c>
      <c r="HT181" s="197" t="str">
        <f t="shared" si="1243"/>
        <v>YoY Change (%)</v>
      </c>
      <c r="HU181" s="198">
        <f>HU180/HN180-1</f>
        <v>-7.4626865671642006E-3</v>
      </c>
      <c r="HV181" s="198">
        <f t="shared" ref="HV181" si="1856">HV180/HO180-1</f>
        <v>-7.3529411764705843E-2</v>
      </c>
      <c r="HW181" s="198">
        <f t="shared" ref="HW181" si="1857">HW180/HP180-1</f>
        <v>-5.8333333333333348E-2</v>
      </c>
      <c r="HX181" s="198">
        <f t="shared" ref="HX181" si="1858">HX180/HQ180-1</f>
        <v>-9.6296296296296324E-2</v>
      </c>
      <c r="HY181" s="198">
        <f t="shared" ref="HY181" si="1859">HY180/HR180-1</f>
        <v>-5.9047619047619015E-2</v>
      </c>
      <c r="IA181" s="197" t="str">
        <f t="shared" si="1244"/>
        <v>YoY Change (%)</v>
      </c>
      <c r="IB181" s="198">
        <f>IB180/HU180-1</f>
        <v>-0.10526315789473684</v>
      </c>
      <c r="IC181" s="198">
        <f t="shared" ref="IC181" si="1860">IC180/HV180-1</f>
        <v>-4.7619047619047672E-2</v>
      </c>
      <c r="ID181" s="198">
        <f t="shared" ref="ID181" si="1861">ID180/HW180-1</f>
        <v>-2.6548672566371723E-2</v>
      </c>
      <c r="IE181" s="198">
        <f t="shared" ref="IE181" si="1862">IE180/HX180-1</f>
        <v>0.12295081967213117</v>
      </c>
      <c r="IF181" s="198">
        <f t="shared" ref="IF181" si="1863">IF180/HY180-1</f>
        <v>-1.619433198380571E-2</v>
      </c>
      <c r="IH181" s="197" t="str">
        <f t="shared" si="1245"/>
        <v>YoY Change (%)</v>
      </c>
      <c r="II181" s="198">
        <f>II180/IB180-1</f>
        <v>8.4033613445378075E-2</v>
      </c>
      <c r="IJ181" s="198">
        <f t="shared" ref="IJ181" si="1864">IJ180/IC180-1</f>
        <v>8.3333333333333259E-2</v>
      </c>
      <c r="IK181" s="198">
        <f t="shared" ref="IK181" si="1865">IK180/ID180-1</f>
        <v>0.10000000000000009</v>
      </c>
      <c r="IL181" s="198">
        <f t="shared" ref="IL181" si="1866">IL180/IE180-1</f>
        <v>-2.9197080291970767E-2</v>
      </c>
      <c r="IM181" s="198">
        <f t="shared" ref="IM181" si="1867">IM180/IF180-1</f>
        <v>5.555555555555558E-2</v>
      </c>
      <c r="IO181" s="197" t="str">
        <f t="shared" si="1246"/>
        <v>YoY Change (%)</v>
      </c>
      <c r="IP181" s="198">
        <f>IP180/II180-1</f>
        <v>2.3255813953488413E-2</v>
      </c>
      <c r="IQ181" s="198">
        <f t="shared" ref="IQ181" si="1868">IQ180/IJ180-1</f>
        <v>-3.8461538461538436E-2</v>
      </c>
      <c r="IR181" s="198">
        <f t="shared" ref="IR181" si="1869">IR180/IK180-1</f>
        <v>0</v>
      </c>
      <c r="IS181" s="198">
        <f t="shared" ref="IS181" si="1870">IS180/IL180-1</f>
        <v>-6.0150375939849621E-2</v>
      </c>
      <c r="IT181" s="198">
        <f t="shared" ref="IT181" si="1871">IT180/IM180-1</f>
        <v>-1.9493177387914229E-2</v>
      </c>
      <c r="IV181" s="197" t="str">
        <f t="shared" si="1247"/>
        <v>YoY Change (%)</v>
      </c>
      <c r="IW181" s="198">
        <f>IW180/IP180-1</f>
        <v>-8.333333333333337E-2</v>
      </c>
      <c r="IX181" s="198">
        <f t="shared" ref="IX181" si="1872">IX180/IQ180-1</f>
        <v>-7.1999999999999953E-2</v>
      </c>
      <c r="IY181" s="198">
        <f t="shared" ref="IY181" si="1873">IY180/IR180-1</f>
        <v>-9.9173553719008267E-2</v>
      </c>
      <c r="IZ181" s="198">
        <f t="shared" ref="IZ181" si="1874">IZ180/IS180-1</f>
        <v>4.8000000000000043E-2</v>
      </c>
      <c r="JA181" s="198">
        <f t="shared" ref="JA181" si="1875">JA180/IT180-1</f>
        <v>-5.1689860834990053E-2</v>
      </c>
      <c r="JC181" s="197" t="str">
        <f t="shared" si="1248"/>
        <v>YoY Change (%)</v>
      </c>
      <c r="JD181" s="198">
        <f>JD180/IW180-1</f>
        <v>0</v>
      </c>
      <c r="JE181" s="198">
        <f t="shared" ref="JE181" si="1876">JE180/IX180-1</f>
        <v>-1.7241379310344862E-2</v>
      </c>
      <c r="JF181" s="198">
        <f t="shared" ref="JF181" si="1877">JF180/IY180-1</f>
        <v>-3.669724770642202E-2</v>
      </c>
      <c r="JG181" s="198">
        <f t="shared" ref="JG181" si="1878">JG180/IZ180-1</f>
        <v>-0.13740458015267176</v>
      </c>
      <c r="JH181" s="198">
        <f t="shared" ref="JH181" si="1879">JH180/JA180-1</f>
        <v>-5.031446540880502E-2</v>
      </c>
      <c r="JJ181" s="197" t="str">
        <f t="shared" si="1249"/>
        <v>YoY Change (%)</v>
      </c>
      <c r="JK181" s="198">
        <f>JK180/JD180-1</f>
        <v>-0.11570247933884292</v>
      </c>
      <c r="JL181" s="198">
        <f t="shared" ref="JL181" si="1880">JL180/JE180-1</f>
        <v>-1.7543859649122862E-2</v>
      </c>
      <c r="JM181" s="198">
        <f t="shared" ref="JM181" si="1881">JM180/JF180-1</f>
        <v>5.7142857142857162E-2</v>
      </c>
      <c r="JN181" s="198">
        <f t="shared" ref="JN181" si="1882">JN180/JG180-1</f>
        <v>2.6548672566371723E-2</v>
      </c>
      <c r="JO181" s="198">
        <f t="shared" ref="JO181" si="1883">JO180/JH180-1</f>
        <v>-1.5452538631346546E-2</v>
      </c>
      <c r="JQ181" s="197" t="str">
        <f t="shared" si="1250"/>
        <v>YoY Change (%)</v>
      </c>
      <c r="JR181" s="198">
        <f>JR180/JK180-1</f>
        <v>6.5420560747663448E-2</v>
      </c>
      <c r="JS181" s="198">
        <f t="shared" ref="JS181" si="1884">JS180/JL180-1</f>
        <v>5.3571428571428603E-2</v>
      </c>
      <c r="JT181" s="198">
        <f t="shared" ref="JT181" si="1885">JT180/JM180-1</f>
        <v>-9.009009009009028E-3</v>
      </c>
      <c r="JU181" s="198">
        <f t="shared" ref="JU181" si="1886">JU180/JN180-1</f>
        <v>-5.1724137931034475E-2</v>
      </c>
      <c r="JV181" s="198">
        <f t="shared" ref="JV181" si="1887">JV180/JO180-1</f>
        <v>1.3452914798206317E-2</v>
      </c>
      <c r="JX181" s="197" t="str">
        <f t="shared" si="1251"/>
        <v>YoY Change (%)</v>
      </c>
      <c r="JY181" s="198">
        <f>JY180/JR180-1</f>
        <v>6.1403508771929793E-2</v>
      </c>
      <c r="JZ181" s="198">
        <f t="shared" ref="JZ181" si="1888">JZ180/JS180-1</f>
        <v>-0.13559322033898302</v>
      </c>
      <c r="KA181" s="198">
        <f t="shared" ref="KA181" si="1889">KA180/JT180-1</f>
        <v>4.5454545454545414E-2</v>
      </c>
      <c r="KB181" s="198">
        <f t="shared" ref="KB181" si="1890">KB180/JU180-1</f>
        <v>0.13636363636363646</v>
      </c>
      <c r="KC181" s="198">
        <f t="shared" ref="KC181" si="1891">KC180/JV180-1</f>
        <v>2.433628318584069E-2</v>
      </c>
      <c r="KE181" s="197" t="str">
        <f t="shared" si="1252"/>
        <v>YoY Change (%)</v>
      </c>
      <c r="KF181" s="198">
        <f>KF180/JY180-1</f>
        <v>-4.132231404958675E-2</v>
      </c>
      <c r="KG181" s="198">
        <f t="shared" ref="KG181" si="1892">KG180/JZ180-1</f>
        <v>0.14705882352941169</v>
      </c>
      <c r="KH181" s="198">
        <f t="shared" ref="KH181" si="1893">KH180/KA180-1</f>
        <v>-5.2173913043478293E-2</v>
      </c>
      <c r="KI181" s="198">
        <f t="shared" ref="KI181" si="1894">KI180/KB180-1</f>
        <v>0</v>
      </c>
      <c r="KJ181" s="198">
        <f t="shared" ref="KJ181" si="1895">KJ180/KC180-1</f>
        <v>8.6393088552916275E-3</v>
      </c>
      <c r="KL181" s="197" t="str">
        <f t="shared" si="1253"/>
        <v>YoY Change (%)</v>
      </c>
      <c r="KM181" s="198">
        <f>KM180/KF180-1</f>
        <v>1.7241379310344751E-2</v>
      </c>
      <c r="KN181" s="198">
        <f t="shared" ref="KN181" si="1896">KN180/KG180-1</f>
        <v>2.564102564102555E-2</v>
      </c>
      <c r="KO181" s="198">
        <f t="shared" ref="KO181" si="1897">KO180/KH180-1</f>
        <v>0.10091743119266061</v>
      </c>
      <c r="KP181" s="198">
        <f t="shared" ref="KP181" si="1898">KP180/KI180-1</f>
        <v>-1.6000000000000014E-2</v>
      </c>
      <c r="KQ181" s="198">
        <f t="shared" ref="KQ181" si="1899">KQ180/KJ180-1</f>
        <v>2.9978586723768741E-2</v>
      </c>
      <c r="KS181" s="197" t="str">
        <f t="shared" si="1254"/>
        <v>YoY Change (%)</v>
      </c>
      <c r="KT181" s="198">
        <f>KT180/KM180-1</f>
        <v>3.3898305084745672E-2</v>
      </c>
      <c r="KU181" s="198">
        <f t="shared" ref="KU181" si="1900">KU180/KN180-1</f>
        <v>-1.6666666666666718E-2</v>
      </c>
      <c r="KV181" s="198">
        <f t="shared" ref="KV181" si="1901">KV180/KO180-1</f>
        <v>-9.9999999999999978E-2</v>
      </c>
      <c r="KW181" s="198">
        <f t="shared" ref="KW181" si="1902">KW180/KP180-1</f>
        <v>-2.4390243902439046E-2</v>
      </c>
      <c r="KX181" s="198">
        <f t="shared" ref="KX181" si="1903">KX180/KQ180-1</f>
        <v>-2.7027027027026973E-2</v>
      </c>
      <c r="KZ181" s="197" t="str">
        <f t="shared" si="1255"/>
        <v>YoY Change (%)</v>
      </c>
      <c r="LA181" s="198">
        <f>LA180/KT180-1</f>
        <v>-6.557377049180324E-2</v>
      </c>
      <c r="LB181" s="198">
        <f>LB180/KU180-1</f>
        <v>-2.5423728813559365E-2</v>
      </c>
      <c r="LC181" s="198">
        <f>LC180/KV180-1</f>
        <v>9.259259259259256E-2</v>
      </c>
      <c r="LD181" s="198">
        <f t="shared" ref="LD181" si="1904">LD180/KW180-1</f>
        <v>-3.3333333333333326E-2</v>
      </c>
      <c r="LE181" s="199">
        <f t="shared" ref="LE181" si="1905">LE180/KX180-1</f>
        <v>-1.0683760683760646E-2</v>
      </c>
      <c r="LF181" s="567"/>
      <c r="LG181" s="197" t="str">
        <f t="shared" si="1256"/>
        <v>YoY Change (%)</v>
      </c>
      <c r="LH181" s="198">
        <f>LH180/LA180-1</f>
        <v>8.7719298245614308E-3</v>
      </c>
      <c r="LI181" s="198">
        <f>LI180/LB180-1</f>
        <v>1.7391304347825987E-2</v>
      </c>
      <c r="LJ181" s="198">
        <f>LJ180/LC180-1</f>
        <v>-6.7796610169491567E-2</v>
      </c>
      <c r="LK181" s="198">
        <f>LK180/LD180-1</f>
        <v>-8.6206896551723755E-3</v>
      </c>
      <c r="LL181" s="199">
        <f t="shared" ref="LL181" si="1906">LL180/LE180-1</f>
        <v>-1.295896328293733E-2</v>
      </c>
      <c r="LM181" s="567"/>
      <c r="LN181" s="197" t="str">
        <f t="shared" si="1257"/>
        <v>YoY Change (%)</v>
      </c>
      <c r="LO181" s="222">
        <v>-1.4999999999999999E-2</v>
      </c>
      <c r="LP181" s="222">
        <v>-3.5000000000000003E-2</v>
      </c>
      <c r="LQ181" s="222">
        <v>-0.02</v>
      </c>
      <c r="LR181" s="222">
        <v>5.0000000000000001E-3</v>
      </c>
      <c r="LS181" s="199">
        <f t="shared" ref="LS181" si="1907">LS180/LL180-1</f>
        <v>-1.6291028446389522E-2</v>
      </c>
      <c r="LT181" s="567"/>
      <c r="LU181" s="197" t="str">
        <f t="shared" si="1261"/>
        <v>YoY Change (%)</v>
      </c>
      <c r="LV181" s="222">
        <v>2.5000000000000001E-2</v>
      </c>
      <c r="LW181" s="222">
        <v>2.5000000000000001E-2</v>
      </c>
      <c r="LX181" s="222">
        <v>2.5000000000000001E-2</v>
      </c>
      <c r="LY181" s="222">
        <v>2.5000000000000001E-2</v>
      </c>
      <c r="LZ181" s="199">
        <f t="shared" ref="LZ181" si="1908">LZ180/LS180-1</f>
        <v>2.4999999999999911E-2</v>
      </c>
      <c r="MA181" s="567"/>
      <c r="MB181" s="197" t="str">
        <f t="shared" si="1265"/>
        <v>YoY Change (%)</v>
      </c>
      <c r="MC181" s="222">
        <v>0.02</v>
      </c>
      <c r="MD181" s="222">
        <v>0.02</v>
      </c>
      <c r="ME181" s="222">
        <v>0.02</v>
      </c>
      <c r="MF181" s="222">
        <v>0.02</v>
      </c>
      <c r="MG181" s="199">
        <f t="shared" ref="MG181" si="1909">MG180/LZ180-1</f>
        <v>2.0000000000000018E-2</v>
      </c>
      <c r="MH181" s="567"/>
    </row>
    <row r="182" spans="1:346" s="37" customFormat="1" ht="13.15" x14ac:dyDescent="0.4">
      <c r="A182" s="100"/>
      <c r="C182" s="186"/>
      <c r="D182" s="186"/>
      <c r="E182" s="186"/>
      <c r="F182" s="186"/>
      <c r="G182" s="186"/>
      <c r="H182" s="186"/>
      <c r="I182" s="186"/>
      <c r="J182" s="186"/>
      <c r="K182" s="186"/>
      <c r="L182" s="186"/>
      <c r="M182" s="186"/>
      <c r="N182" s="193"/>
      <c r="O182" s="193"/>
      <c r="P182" s="193"/>
      <c r="Q182" s="193"/>
      <c r="R182" s="193"/>
      <c r="S182" s="193"/>
      <c r="T182" s="193"/>
      <c r="U182" s="193"/>
      <c r="V182" s="193"/>
      <c r="W182" s="193"/>
      <c r="X182" s="193"/>
      <c r="Y182" s="193"/>
      <c r="Z182" s="193"/>
      <c r="AA182" s="193"/>
      <c r="AB182" s="193"/>
      <c r="AC182" s="193"/>
      <c r="AD182" s="193"/>
      <c r="AE182" s="193"/>
      <c r="AF182" s="193"/>
      <c r="AG182" s="193"/>
      <c r="AH182" s="193"/>
      <c r="AI182" s="193"/>
      <c r="AJ182" s="193"/>
      <c r="AK182" s="193"/>
      <c r="AL182" s="193"/>
      <c r="AM182" s="193"/>
      <c r="AN182" s="193"/>
      <c r="AO182" s="193"/>
      <c r="AP182" s="193"/>
      <c r="AQ182" s="193"/>
      <c r="AR182" s="193"/>
      <c r="AS182" s="193"/>
      <c r="AT182" s="193"/>
      <c r="AU182" s="193"/>
      <c r="AV182" s="193"/>
      <c r="AW182" s="193"/>
      <c r="AX182" s="193"/>
      <c r="AY182" s="193"/>
      <c r="AZ182" s="193"/>
      <c r="BA182" s="193"/>
      <c r="BB182" s="193"/>
      <c r="BC182" s="193"/>
      <c r="BD182" s="193"/>
      <c r="BE182" s="193"/>
      <c r="BF182" s="193"/>
      <c r="BG182" s="193"/>
      <c r="BH182" s="193"/>
      <c r="BI182" s="193"/>
      <c r="BJ182" s="193"/>
      <c r="BK182" s="193"/>
      <c r="BL182" s="193"/>
      <c r="BM182" s="193"/>
      <c r="BP182" s="193"/>
      <c r="BQ182" s="193"/>
      <c r="BR182" s="193"/>
      <c r="BS182" s="193"/>
      <c r="BT182" s="193"/>
      <c r="BW182" s="193"/>
      <c r="BX182" s="193"/>
      <c r="BY182" s="193"/>
      <c r="BZ182" s="193"/>
      <c r="CA182" s="193"/>
      <c r="CD182" s="193"/>
      <c r="CE182" s="193"/>
      <c r="CF182" s="193"/>
      <c r="CG182" s="193"/>
      <c r="CH182" s="193"/>
      <c r="CK182" s="193"/>
      <c r="CL182" s="193"/>
      <c r="CM182" s="193"/>
      <c r="CN182" s="193"/>
      <c r="CO182" s="193"/>
      <c r="CR182" s="193"/>
      <c r="CS182" s="193"/>
      <c r="CT182" s="193"/>
      <c r="CU182" s="193"/>
      <c r="CV182" s="193"/>
      <c r="CY182" s="193"/>
      <c r="CZ182" s="193"/>
      <c r="DA182" s="193"/>
      <c r="DB182" s="193"/>
      <c r="DC182" s="193"/>
      <c r="DF182" s="193"/>
      <c r="DG182" s="193"/>
      <c r="DH182" s="193"/>
      <c r="DI182" s="193"/>
      <c r="DJ182" s="193"/>
      <c r="DM182" s="193"/>
      <c r="DN182" s="193"/>
      <c r="DO182" s="193"/>
      <c r="DP182" s="193"/>
      <c r="DQ182" s="193"/>
      <c r="DT182" s="193"/>
      <c r="DU182" s="193"/>
      <c r="DV182" s="193"/>
      <c r="DW182" s="193"/>
      <c r="DX182" s="193"/>
      <c r="EA182" s="193"/>
      <c r="EB182" s="193"/>
      <c r="EC182" s="193"/>
      <c r="ED182" s="193"/>
      <c r="EE182" s="193"/>
      <c r="EH182" s="193"/>
      <c r="EI182" s="193"/>
      <c r="EJ182" s="193"/>
      <c r="EK182" s="193"/>
      <c r="EL182" s="193"/>
      <c r="EO182" s="193"/>
      <c r="EP182" s="193"/>
      <c r="EQ182" s="193"/>
      <c r="ER182" s="193"/>
      <c r="ES182" s="193"/>
      <c r="EV182" s="193"/>
      <c r="EW182" s="193"/>
      <c r="EX182" s="193"/>
      <c r="EY182" s="193"/>
      <c r="EZ182" s="193"/>
      <c r="FC182" s="193"/>
      <c r="FD182" s="193"/>
      <c r="FE182" s="193"/>
      <c r="FF182" s="193"/>
      <c r="FG182" s="193"/>
      <c r="FJ182" s="193"/>
      <c r="FK182" s="193"/>
      <c r="FL182" s="193"/>
      <c r="FM182" s="193"/>
      <c r="FN182" s="193"/>
      <c r="FQ182" s="193"/>
      <c r="FR182" s="193"/>
      <c r="FS182" s="193"/>
      <c r="FT182" s="193"/>
      <c r="FU182" s="193"/>
      <c r="FX182" s="193"/>
      <c r="FY182" s="193"/>
      <c r="FZ182" s="193"/>
      <c r="GA182" s="193"/>
      <c r="GB182" s="193"/>
      <c r="GE182" s="193"/>
      <c r="GF182" s="193"/>
      <c r="GG182" s="193"/>
      <c r="GH182" s="193"/>
      <c r="GI182" s="193"/>
      <c r="GL182" s="193"/>
      <c r="GM182" s="193"/>
      <c r="GN182" s="193"/>
      <c r="GO182" s="193"/>
      <c r="GP182" s="193"/>
      <c r="GS182" s="193"/>
      <c r="GT182" s="193"/>
      <c r="GU182" s="193"/>
      <c r="GV182" s="193"/>
      <c r="GW182" s="193"/>
      <c r="GZ182" s="193"/>
      <c r="HA182" s="193"/>
      <c r="HB182" s="193"/>
      <c r="HC182" s="193"/>
      <c r="HD182" s="193"/>
      <c r="HG182" s="193"/>
      <c r="HH182" s="193"/>
      <c r="HI182" s="193"/>
      <c r="HJ182" s="193"/>
      <c r="HK182" s="193"/>
      <c r="HN182" s="193"/>
      <c r="HO182" s="193"/>
      <c r="HP182" s="193"/>
      <c r="HQ182" s="193"/>
      <c r="HR182" s="193"/>
      <c r="HU182" s="193"/>
      <c r="HV182" s="193"/>
      <c r="HW182" s="193"/>
      <c r="HX182" s="193"/>
      <c r="HY182" s="193"/>
      <c r="IB182" s="193"/>
      <c r="IC182" s="193"/>
      <c r="ID182" s="193"/>
      <c r="IE182" s="193"/>
      <c r="IF182" s="193"/>
      <c r="II182" s="193"/>
      <c r="IJ182" s="193"/>
      <c r="IK182" s="193"/>
      <c r="IL182" s="193"/>
      <c r="IM182" s="193"/>
      <c r="IP182" s="193"/>
      <c r="IQ182" s="193"/>
      <c r="IR182" s="193"/>
      <c r="IS182" s="193"/>
      <c r="IT182" s="193"/>
      <c r="IW182" s="193"/>
      <c r="IX182" s="193"/>
      <c r="IY182" s="193"/>
      <c r="IZ182" s="193"/>
      <c r="JA182" s="193"/>
      <c r="JD182" s="193"/>
      <c r="JE182" s="193"/>
      <c r="JF182" s="193"/>
      <c r="JG182" s="193"/>
      <c r="JH182" s="193"/>
      <c r="JK182" s="193"/>
      <c r="JL182" s="193"/>
      <c r="JM182" s="193"/>
      <c r="JN182" s="193"/>
      <c r="JO182" s="193"/>
      <c r="JR182" s="193"/>
      <c r="JS182" s="193"/>
      <c r="JT182" s="193"/>
      <c r="JU182" s="193"/>
      <c r="JV182" s="193"/>
      <c r="JY182" s="193"/>
      <c r="JZ182" s="193"/>
      <c r="KA182" s="193"/>
      <c r="KB182" s="193"/>
      <c r="KC182" s="193"/>
      <c r="KF182" s="193"/>
      <c r="KG182" s="193"/>
      <c r="KH182" s="193"/>
      <c r="KI182" s="193"/>
      <c r="KJ182" s="193"/>
      <c r="KM182" s="193"/>
      <c r="KN182" s="193"/>
      <c r="KO182" s="193"/>
      <c r="KP182" s="193"/>
      <c r="KQ182" s="193"/>
      <c r="KT182" s="193"/>
      <c r="KU182" s="193"/>
      <c r="KV182" s="193"/>
      <c r="KW182" s="193"/>
      <c r="KX182" s="193"/>
      <c r="LA182" s="193"/>
      <c r="LB182" s="193"/>
      <c r="LC182" s="193"/>
      <c r="LD182" s="193"/>
      <c r="LE182" s="200"/>
      <c r="LF182" s="565"/>
      <c r="LH182" s="198"/>
      <c r="LI182" s="198"/>
      <c r="LJ182" s="198"/>
      <c r="LK182" s="198"/>
      <c r="LL182" s="193"/>
      <c r="LM182" s="555"/>
      <c r="LN182" s="68"/>
      <c r="LO182" s="198"/>
      <c r="LP182" s="198"/>
      <c r="LQ182" s="198"/>
      <c r="LR182" s="198"/>
      <c r="LS182" s="193"/>
      <c r="LT182" s="555"/>
      <c r="LU182" s="68"/>
      <c r="LV182" s="198"/>
      <c r="LW182" s="198"/>
      <c r="LX182" s="198"/>
      <c r="LY182" s="198"/>
      <c r="LZ182" s="200"/>
      <c r="MA182" s="565"/>
      <c r="MB182" s="68"/>
      <c r="MC182" s="198"/>
      <c r="MD182" s="198"/>
      <c r="ME182" s="198"/>
      <c r="MF182" s="198"/>
      <c r="MG182" s="200"/>
      <c r="MH182" s="565"/>
    </row>
    <row r="183" spans="1:346" s="37" customFormat="1" ht="13.15" x14ac:dyDescent="0.4">
      <c r="A183" s="100"/>
      <c r="B183" s="37" t="s">
        <v>517</v>
      </c>
      <c r="C183" s="186"/>
      <c r="D183" s="186"/>
      <c r="E183" s="186"/>
      <c r="F183" s="186"/>
      <c r="G183" s="186"/>
      <c r="H183" s="186"/>
      <c r="I183" s="186"/>
      <c r="J183" s="186"/>
      <c r="K183" s="186"/>
      <c r="L183" s="186"/>
      <c r="M183" s="186"/>
      <c r="N183" s="194">
        <f t="shared" ref="N183:AY183" si="1910">IFERROR(N10/N70*1000,"")</f>
        <v>1021.505376344086</v>
      </c>
      <c r="O183" s="194">
        <f t="shared" si="1910"/>
        <v>1075.5395683453237</v>
      </c>
      <c r="P183" s="194">
        <f t="shared" si="1910"/>
        <v>1125.4752851711028</v>
      </c>
      <c r="Q183" s="194">
        <f t="shared" si="1910"/>
        <v>1125</v>
      </c>
      <c r="R183" s="194">
        <f t="shared" si="1910"/>
        <v>1151.4084507042253</v>
      </c>
      <c r="S183" s="194">
        <f t="shared" si="1910"/>
        <v>1209.125475285171</v>
      </c>
      <c r="T183" s="194">
        <f t="shared" si="1910"/>
        <v>1200</v>
      </c>
      <c r="U183" s="194">
        <f t="shared" si="1910"/>
        <v>1305.019305019305</v>
      </c>
      <c r="V183" s="194">
        <f t="shared" si="1910"/>
        <v>1289.9628252788104</v>
      </c>
      <c r="W183" s="194">
        <f t="shared" si="1910"/>
        <v>1335.7400722021662</v>
      </c>
      <c r="X183" s="194">
        <f t="shared" si="1910"/>
        <v>1343.5582822085889</v>
      </c>
      <c r="Y183" s="194">
        <f t="shared" si="1910"/>
        <v>1397.3509933774835</v>
      </c>
      <c r="Z183" s="194">
        <f t="shared" si="1910"/>
        <v>1417.5588865096361</v>
      </c>
      <c r="AA183" s="194">
        <f t="shared" si="1910"/>
        <v>1433.6283185840707</v>
      </c>
      <c r="AB183" s="194">
        <f t="shared" si="1910"/>
        <v>1409.8073555166375</v>
      </c>
      <c r="AC183" s="194">
        <f t="shared" si="1910"/>
        <v>1480.865224625624</v>
      </c>
      <c r="AD183" s="194">
        <f t="shared" si="1910"/>
        <v>1632.0132013201321</v>
      </c>
      <c r="AE183" s="194">
        <f t="shared" si="1910"/>
        <v>1803.7383177570093</v>
      </c>
      <c r="AF183" s="194">
        <f t="shared" si="1910"/>
        <v>1863.6363636363635</v>
      </c>
      <c r="AG183" s="194">
        <f t="shared" si="1910"/>
        <v>2386.3216266173749</v>
      </c>
      <c r="AH183" s="194">
        <f t="shared" si="1910"/>
        <v>2259.469696969697</v>
      </c>
      <c r="AI183" s="194">
        <f t="shared" si="1910"/>
        <v>2374.087591240876</v>
      </c>
      <c r="AJ183" s="194">
        <f t="shared" si="1910"/>
        <v>2497.1428571428573</v>
      </c>
      <c r="AK183" s="194">
        <f t="shared" si="1910"/>
        <v>2591.0931174089069</v>
      </c>
      <c r="AL183" s="194">
        <f t="shared" si="1910"/>
        <v>2637.8600823045267</v>
      </c>
      <c r="AM183" s="194">
        <f t="shared" si="1910"/>
        <v>2719.2982456140353</v>
      </c>
      <c r="AN183" s="194">
        <f t="shared" si="1910"/>
        <v>2673.9562624254472</v>
      </c>
      <c r="AO183" s="194">
        <f t="shared" si="1910"/>
        <v>2696.0167714884697</v>
      </c>
      <c r="AP183" s="194">
        <f t="shared" si="1910"/>
        <v>2743.9293598233994</v>
      </c>
      <c r="AQ183" s="194">
        <f t="shared" si="1910"/>
        <v>2872.1973094170403</v>
      </c>
      <c r="AR183" s="194">
        <f t="shared" si="1910"/>
        <v>2871.6814159292035</v>
      </c>
      <c r="AS183" s="194">
        <f t="shared" si="1910"/>
        <v>2993.5205183585313</v>
      </c>
      <c r="AT183" s="194">
        <f t="shared" si="1910"/>
        <v>3128.4796573875806</v>
      </c>
      <c r="AU183" s="194">
        <f t="shared" si="1910"/>
        <v>3459.4594594594596</v>
      </c>
      <c r="AV183" s="194">
        <f t="shared" si="1910"/>
        <v>3540.5982905982905</v>
      </c>
      <c r="AW183" s="194">
        <f t="shared" si="1910"/>
        <v>3550.7559395248381</v>
      </c>
      <c r="AX183" s="194">
        <f t="shared" si="1910"/>
        <v>3540.4814004376367</v>
      </c>
      <c r="AY183" s="194">
        <f t="shared" si="1910"/>
        <v>3606.8641211865061</v>
      </c>
      <c r="AZ183" s="194">
        <f t="shared" ref="AZ183:BA183" si="1911">IFERROR(AZ10/AZ70*1000,"")</f>
        <v>3706.0528845191352</v>
      </c>
      <c r="BA183" s="194">
        <f t="shared" si="1911"/>
        <v>3798.7042066321142</v>
      </c>
      <c r="BB183" s="194"/>
      <c r="BC183" s="194"/>
      <c r="BD183" s="194"/>
      <c r="BE183" s="194"/>
      <c r="BF183" s="194"/>
      <c r="BG183" s="194"/>
      <c r="BH183" s="194"/>
      <c r="BI183" s="194"/>
      <c r="BJ183" s="194"/>
      <c r="BK183" s="194"/>
      <c r="BL183" s="194"/>
      <c r="BM183" s="194"/>
      <c r="BO183" s="37" t="str">
        <f t="shared" si="1220"/>
        <v>Revenue per carload ($)</v>
      </c>
      <c r="BP183" s="193">
        <f>IFERROR(BP10/BP70*1000,"")</f>
        <v>1044.1176470588236</v>
      </c>
      <c r="BQ183" s="193">
        <f>IFERROR(BQ10/BQ70*1000,"")</f>
        <v>1014.7058823529411</v>
      </c>
      <c r="BR183" s="193">
        <f>IFERROR(BR10/BR70*1000,"")</f>
        <v>1000</v>
      </c>
      <c r="BS183" s="193">
        <f>IFERROR(BS10/BS70*1000,"")</f>
        <v>1025.3164556962024</v>
      </c>
      <c r="BT183" s="193">
        <f>IFERROR(BT10/BT70*1000,"")</f>
        <v>1021.505376344086</v>
      </c>
      <c r="BV183" s="37" t="str">
        <f t="shared" si="1221"/>
        <v>Revenue per carload ($)</v>
      </c>
      <c r="BW183" s="193">
        <f>IFERROR(BW10/BW70*1000,"")</f>
        <v>1049.3827160493827</v>
      </c>
      <c r="BX183" s="193">
        <f>IFERROR(BX10/BX70*1000,"")</f>
        <v>1095.2380952380954</v>
      </c>
      <c r="BY183" s="193">
        <f>IFERROR(BY10/BY70*1000,"")</f>
        <v>1083.3333333333333</v>
      </c>
      <c r="BZ183" s="193">
        <f>IFERROR(BZ10/BZ70*1000,"")</f>
        <v>1081.081081081081</v>
      </c>
      <c r="CA183" s="193">
        <f>IFERROR(CA10/CA70*1000,"")</f>
        <v>1075.5395683453237</v>
      </c>
      <c r="CC183" s="37" t="str">
        <f t="shared" si="1222"/>
        <v>Revenue per carload ($)</v>
      </c>
      <c r="CD183" s="193">
        <f>IFERROR(CD10/CD70*1000,"")</f>
        <v>1083.3333333333333</v>
      </c>
      <c r="CE183" s="193">
        <f>IFERROR(CE10/CE70*1000,"")</f>
        <v>1150</v>
      </c>
      <c r="CF183" s="193">
        <f>IFERROR(CF10/CF70*1000,"")</f>
        <v>1125</v>
      </c>
      <c r="CG183" s="193">
        <f>IFERROR(CG10/CG70*1000,"")</f>
        <v>1149.2537313432836</v>
      </c>
      <c r="CH183" s="193">
        <f>IFERROR(CH10/CH70*1000,"")</f>
        <v>1125.4752851711028</v>
      </c>
      <c r="CJ183" s="37" t="str">
        <f t="shared" si="1223"/>
        <v>Revenue per carload ($)</v>
      </c>
      <c r="CK183" s="193">
        <f>IFERROR(CK10/CK70*1000,"")</f>
        <v>1156.25</v>
      </c>
      <c r="CL183" s="193">
        <f>IFERROR(CL10/CL70*1000,"")</f>
        <v>1166.6666666666667</v>
      </c>
      <c r="CM183" s="193">
        <f>IFERROR(CM10/CM70*1000,"")</f>
        <v>1096.7741935483871</v>
      </c>
      <c r="CN183" s="193">
        <f>IFERROR(CN10/CN70*1000,"")</f>
        <v>1089.7435897435896</v>
      </c>
      <c r="CO183" s="193">
        <f>IFERROR(CO10/CO70*1000,"")</f>
        <v>1125</v>
      </c>
      <c r="CQ183" s="37" t="str">
        <f t="shared" si="1224"/>
        <v>Revenue per carload ($)</v>
      </c>
      <c r="CR183" s="193">
        <f>IFERROR(CR10/CR70*1000,"")</f>
        <v>1121.6216216216217</v>
      </c>
      <c r="CS183" s="193">
        <f>IFERROR(CS10/CS70*1000,"")</f>
        <v>1147.0588235294117</v>
      </c>
      <c r="CT183" s="193">
        <f>IFERROR(CT10/CT70*1000,"")</f>
        <v>1102.9411764705883</v>
      </c>
      <c r="CU183" s="193">
        <f>IFERROR(CU10/CU70*1000,"")</f>
        <v>1229.7297297297298</v>
      </c>
      <c r="CV183" s="193">
        <f>IFERROR(CV10/CV70*1000,"")</f>
        <v>1151.4084507042253</v>
      </c>
      <c r="CX183" s="37" t="str">
        <f t="shared" si="1225"/>
        <v>Revenue per carload ($)</v>
      </c>
      <c r="CY183" s="193">
        <f>IFERROR(CY10/CY70*1000,"")</f>
        <v>1242.4242424242425</v>
      </c>
      <c r="CZ183" s="193">
        <f>IFERROR(CZ10/CZ70*1000,"")</f>
        <v>1265.625</v>
      </c>
      <c r="DA183" s="193">
        <f>IFERROR(DA10/DA70*1000,"")</f>
        <v>1172.4137931034481</v>
      </c>
      <c r="DB183" s="193">
        <f>IFERROR(DB10/DB70*1000,"")</f>
        <v>1160</v>
      </c>
      <c r="DC183" s="193">
        <f>IFERROR(DC10/DC70*1000,"")</f>
        <v>1209.125475285171</v>
      </c>
      <c r="DE183" s="37" t="str">
        <f t="shared" si="1226"/>
        <v>Revenue per carload ($)</v>
      </c>
      <c r="DF183" s="193">
        <f>IFERROR(DF10/DF70*1000,"")</f>
        <v>1166.6666666666667</v>
      </c>
      <c r="DG183" s="193">
        <f>IFERROR(DG10/DG70*1000,"")</f>
        <v>1185.7142857142858</v>
      </c>
      <c r="DH183" s="193">
        <f>IFERROR(DH10/DH70*1000,"")</f>
        <v>1215.3846153846152</v>
      </c>
      <c r="DI183" s="193">
        <f>IFERROR(DI10/DI70*1000,"")</f>
        <v>1232.8767123287671</v>
      </c>
      <c r="DJ183" s="193">
        <f>IFERROR(DJ10/DJ70*1000,"")</f>
        <v>1200</v>
      </c>
      <c r="DL183" s="37" t="str">
        <f t="shared" si="1227"/>
        <v>Revenue per carload ($)</v>
      </c>
      <c r="DM183" s="193">
        <f>IFERROR(DM10/DM70*1000,"")</f>
        <v>1202.7027027027027</v>
      </c>
      <c r="DN183" s="193">
        <f>IFERROR(DN10/DN70*1000,"")</f>
        <v>1369.2307692307693</v>
      </c>
      <c r="DO183" s="193">
        <f>IFERROR(DO10/DO70*1000,"")</f>
        <v>1240.7407407407406</v>
      </c>
      <c r="DP183" s="193">
        <f>IFERROR(DP10/DP70*1000,"")</f>
        <v>1409.0909090909092</v>
      </c>
      <c r="DQ183" s="193">
        <f>IFERROR(DQ10/DQ70*1000,"")</f>
        <v>1305.019305019305</v>
      </c>
      <c r="DS183" s="37" t="str">
        <f t="shared" si="1228"/>
        <v>Revenue per carload ($)</v>
      </c>
      <c r="DT183" s="193">
        <f>IFERROR(DT10/DT70*1000,"")</f>
        <v>1333.3333333333333</v>
      </c>
      <c r="DU183" s="193">
        <f>IFERROR(DU10/DU70*1000,"")</f>
        <v>1313.4328358208954</v>
      </c>
      <c r="DV183" s="193">
        <f>IFERROR(DV10/DV70*1000,"")</f>
        <v>1233.3333333333335</v>
      </c>
      <c r="DW183" s="193">
        <f>IFERROR(DW10/DW70*1000,"")</f>
        <v>1273.972602739726</v>
      </c>
      <c r="DX183" s="193">
        <f>IFERROR(DX10/DX70*1000,"")</f>
        <v>1289.9628252788104</v>
      </c>
      <c r="DZ183" s="37" t="str">
        <f t="shared" si="1229"/>
        <v>Revenue per carload ($)</v>
      </c>
      <c r="EA183" s="193">
        <f>IFERROR(EA10/EA70*1000,"")</f>
        <v>1318.840579710145</v>
      </c>
      <c r="EB183" s="193">
        <f>IFERROR(EB10/EB70*1000,"")</f>
        <v>1298.5074626865671</v>
      </c>
      <c r="EC183" s="193">
        <f>IFERROR(EC10/EC70*1000,"")</f>
        <v>1359.375</v>
      </c>
      <c r="ED183" s="193">
        <f>IFERROR(ED10/ED70*1000,"")</f>
        <v>1363.6363636363635</v>
      </c>
      <c r="EE183" s="193">
        <f>IFERROR(EE10/EE70*1000,"")</f>
        <v>1335.7400722021662</v>
      </c>
      <c r="EG183" s="37" t="str">
        <f t="shared" si="1230"/>
        <v>Revenue per carload ($)</v>
      </c>
      <c r="EH183" s="193">
        <f>IFERROR(EH10/EH70*1000,"")</f>
        <v>1315.7894736842106</v>
      </c>
      <c r="EI183" s="193">
        <f>IFERROR(EI10/EI70*1000,"")</f>
        <v>1369.8630136986301</v>
      </c>
      <c r="EJ183" s="193">
        <f>IFERROR(EJ10/EJ70*1000,"")</f>
        <v>1333.3333333333333</v>
      </c>
      <c r="EK183" s="193">
        <f>IFERROR(EK10/EK70*1000,"")</f>
        <v>1354.8387096774193</v>
      </c>
      <c r="EL183" s="193">
        <f>IFERROR(EL10/EL70*1000,"")</f>
        <v>1343.5582822085889</v>
      </c>
      <c r="EN183" s="37" t="str">
        <f t="shared" si="1231"/>
        <v>Revenue per carload ($)</v>
      </c>
      <c r="EO183" s="193">
        <f>IFERROR(EO10/EO70*1000,"")</f>
        <v>1377.1929824561405</v>
      </c>
      <c r="EP183" s="193">
        <f>IFERROR(EP10/EP70*1000,"")</f>
        <v>1403.6697247706422</v>
      </c>
      <c r="EQ183" s="193">
        <f>IFERROR(EQ10/EQ70*1000,"")</f>
        <v>1400</v>
      </c>
      <c r="ER183" s="193">
        <f>IFERROR(ER10/ER70*1000,"")</f>
        <v>1408.3333333333335</v>
      </c>
      <c r="ES183" s="193">
        <f>IFERROR(ES10/ES70*1000,"")</f>
        <v>1397.3509933774835</v>
      </c>
      <c r="EU183" s="37" t="str">
        <f t="shared" si="1232"/>
        <v>Revenue per carload ($)</v>
      </c>
      <c r="EV183" s="193">
        <f>IFERROR(EV10/EV70*1000,"")</f>
        <v>1403.2258064516129</v>
      </c>
      <c r="EW183" s="193">
        <f>IFERROR(EW10/EW70*1000,"")</f>
        <v>1431.0344827586207</v>
      </c>
      <c r="EX183" s="193">
        <f>IFERROR(EX10/EX70*1000,"")</f>
        <v>1414.4144144144143</v>
      </c>
      <c r="EY183" s="193">
        <f>IFERROR(EY10/EY70*1000,"")</f>
        <v>1422.4137931034481</v>
      </c>
      <c r="EZ183" s="193">
        <f>IFERROR(EZ10/EZ70*1000,"")</f>
        <v>1417.5588865096361</v>
      </c>
      <c r="FB183" s="37" t="str">
        <f t="shared" si="1233"/>
        <v>Revenue per carload ($)</v>
      </c>
      <c r="FC183" s="193">
        <f>IFERROR(FC10/FC70*1000,"")</f>
        <v>1443.4782608695652</v>
      </c>
      <c r="FD183" s="193">
        <f>IFERROR(FD10/FD70*1000,"")</f>
        <v>1445.4545454545455</v>
      </c>
      <c r="FE183" s="193">
        <f>IFERROR(FE10/FE70*1000,"")</f>
        <v>1412.8440366972477</v>
      </c>
      <c r="FF183" s="193">
        <f>IFERROR(FF10/FF70*1000,"")</f>
        <v>1432.2033898305085</v>
      </c>
      <c r="FG183" s="193">
        <f>IFERROR(FG10/FG70*1000,"")</f>
        <v>1433.6283185840707</v>
      </c>
      <c r="FI183" s="37" t="str">
        <f t="shared" si="1234"/>
        <v>Revenue per carload ($)</v>
      </c>
      <c r="FJ183" s="193">
        <f>IFERROR(FJ10/FJ70*1000,"")</f>
        <v>1460.8695652173913</v>
      </c>
      <c r="FK183" s="193">
        <f>IFERROR(FK10/FK70*1000,"")</f>
        <v>1417.2185430463576</v>
      </c>
      <c r="FL183" s="193">
        <f>IFERROR(FL10/FL70*1000,"")</f>
        <v>1375.8389261744965</v>
      </c>
      <c r="FM183" s="193">
        <f>IFERROR(FM10/FM70*1000,"")</f>
        <v>1397.4358974358975</v>
      </c>
      <c r="FN183" s="193">
        <f>IFERROR(FN10/FN70*1000,"")</f>
        <v>1409.8073555166375</v>
      </c>
      <c r="FP183" s="37" t="str">
        <f t="shared" si="1235"/>
        <v>Revenue per carload ($)</v>
      </c>
      <c r="FQ183" s="193">
        <f>IFERROR(FQ10/FQ70*1000,"")</f>
        <v>1450.3311258278147</v>
      </c>
      <c r="FR183" s="193">
        <f>IFERROR(FR10/FR70*1000,"")</f>
        <v>1460</v>
      </c>
      <c r="FS183" s="193">
        <f>IFERROR(FS10/FS70*1000,"")</f>
        <v>1489.3617021276596</v>
      </c>
      <c r="FT183" s="193">
        <f>IFERROR(FT10/FT70*1000,"")</f>
        <v>1522.0125786163524</v>
      </c>
      <c r="FU183" s="193">
        <f>IFERROR(FU10/FU70*1000,"")</f>
        <v>1480.865224625624</v>
      </c>
      <c r="FW183" s="37" t="str">
        <f t="shared" si="1236"/>
        <v>Revenue per carload ($)</v>
      </c>
      <c r="FX183" s="193">
        <f>IFERROR(FX10/FX70*1000,"")</f>
        <v>1561.2903225806451</v>
      </c>
      <c r="FY183" s="193">
        <f>IFERROR(FY10/FY70*1000,"")</f>
        <v>1613.3333333333333</v>
      </c>
      <c r="FZ183" s="193">
        <f>IFERROR(FZ10/FZ70*1000,"")</f>
        <v>1620</v>
      </c>
      <c r="GA183" s="193">
        <f>IFERROR(GA10/GA70*1000,"")</f>
        <v>1735.0993377483444</v>
      </c>
      <c r="GB183" s="193">
        <f>IFERROR(GB10/GB70*1000,"")</f>
        <v>1632.0132013201321</v>
      </c>
      <c r="GD183" s="37" t="str">
        <f t="shared" si="1237"/>
        <v>Revenue per carload ($)</v>
      </c>
      <c r="GE183" s="193">
        <f>IFERROR(GE10/GE70*1000,"")</f>
        <v>1718.75</v>
      </c>
      <c r="GF183" s="193">
        <f>IFERROR(GF10/GF70*1000,"")</f>
        <v>1786.1635220125786</v>
      </c>
      <c r="GG183" s="193">
        <f>IFERROR(GG10/GG70*1000,"")</f>
        <v>1834.3558282208589</v>
      </c>
      <c r="GH183" s="193">
        <f>IFERROR(GH10/GH70*1000,"")</f>
        <v>1875</v>
      </c>
      <c r="GI183" s="193">
        <f>IFERROR(GI10/GI70*1000,"")</f>
        <v>1803.7383177570093</v>
      </c>
      <c r="GK183" s="37" t="str">
        <f t="shared" si="1238"/>
        <v>Revenue per carload ($)</v>
      </c>
      <c r="GL183" s="193">
        <f>IFERROR(GL10/GL70*1000,"")</f>
        <v>1928.5714285714287</v>
      </c>
      <c r="GM183" s="193">
        <f>IFERROR(GM10/GM70*1000,"")</f>
        <v>1925.3731343283582</v>
      </c>
      <c r="GN183" s="193">
        <f>IFERROR(GN10/GN70*1000,"")</f>
        <v>1461.5384615384614</v>
      </c>
      <c r="GO183" s="193">
        <f>IFERROR(GO10/GO70*1000,"")</f>
        <v>2123.1884057971015</v>
      </c>
      <c r="GP183" s="193">
        <f>IFERROR(GP10/GP70*1000,"")</f>
        <v>1863.6363636363635</v>
      </c>
      <c r="GR183" s="37" t="str">
        <f t="shared" si="1239"/>
        <v>Revenue per carload ($)</v>
      </c>
      <c r="GS183" s="193">
        <f>IFERROR(GS10/GS70*1000,"")</f>
        <v>2205.8823529411766</v>
      </c>
      <c r="GT183" s="193">
        <f>IFERROR(GT10/GT70*1000,"")</f>
        <v>2323.5294117647059</v>
      </c>
      <c r="GU183" s="193">
        <f>IFERROR(GU10/GU70*1000,"")</f>
        <v>2488.7218045112782</v>
      </c>
      <c r="GV183" s="193">
        <f>IFERROR(GV10/GV70*1000,"")</f>
        <v>2529.4117647058824</v>
      </c>
      <c r="GW183" s="193">
        <f>IFERROR(GW10/GW70*1000,"")</f>
        <v>2386.3216266173749</v>
      </c>
      <c r="GY183" s="37" t="str">
        <f t="shared" si="1240"/>
        <v>Revenue per carload ($)</v>
      </c>
      <c r="GZ183" s="193">
        <f>IFERROR(GZ10/GZ70*1000,"")</f>
        <v>2305.9701492537315</v>
      </c>
      <c r="HA183" s="193">
        <f>IFERROR(HA10/HA70*1000,"")</f>
        <v>2229.0076335877866</v>
      </c>
      <c r="HB183" s="193">
        <f>IFERROR(HB10/HB70*1000,"")</f>
        <v>2204.7244094488192</v>
      </c>
      <c r="HC183" s="193">
        <f>IFERROR(HC10/HC70*1000,"")</f>
        <v>2294.1176470588234</v>
      </c>
      <c r="HD183" s="193">
        <f>IFERROR(HD10/HD70*1000,"")</f>
        <v>2259.469696969697</v>
      </c>
      <c r="HF183" s="37" t="str">
        <f t="shared" si="1241"/>
        <v>Revenue per carload ($)</v>
      </c>
      <c r="HG183" s="193">
        <f>IFERROR(HG10/HG70*1000,"")</f>
        <v>2345.3237410071943</v>
      </c>
      <c r="HH183" s="193">
        <f>IFERROR(HH10/HH70*1000,"")</f>
        <v>2378.787878787879</v>
      </c>
      <c r="HI183" s="193">
        <f>IFERROR(HI10/HI70*1000,"")</f>
        <v>2369.2307692307691</v>
      </c>
      <c r="HJ183" s="193">
        <f>IFERROR(HJ10/HJ70*1000,"")</f>
        <v>2401.3605442176868</v>
      </c>
      <c r="HK183" s="193">
        <f>IFERROR(HK10/HK70*1000,"")</f>
        <v>2374.087591240876</v>
      </c>
      <c r="HM183" s="37" t="str">
        <f t="shared" si="1242"/>
        <v>Revenue per carload ($)</v>
      </c>
      <c r="HN183" s="193">
        <f>IFERROR(HN10/HN70*1000,"")</f>
        <v>2410.4477611940301</v>
      </c>
      <c r="HO183" s="193">
        <f>IFERROR(HO10/HO70*1000,"")</f>
        <v>2522.0588235294117</v>
      </c>
      <c r="HP183" s="193">
        <f>IFERROR(HP10/HP70*1000,"")</f>
        <v>2483.3333333333335</v>
      </c>
      <c r="HQ183" s="193">
        <f>IFERROR(HQ10/HQ70*1000,"")</f>
        <v>2570.3703703703704</v>
      </c>
      <c r="HR183" s="193">
        <f>IFERROR(HR10/HR70*1000,"")</f>
        <v>2497.1428571428573</v>
      </c>
      <c r="HT183" s="37" t="str">
        <f t="shared" si="1243"/>
        <v>Revenue per carload ($)</v>
      </c>
      <c r="HU183" s="193">
        <f>IFERROR(HU10/HU70*1000,"")</f>
        <v>2571.4285714285716</v>
      </c>
      <c r="HV183" s="193">
        <f>IFERROR(HV10/HV70*1000,"")</f>
        <v>2611.1111111111113</v>
      </c>
      <c r="HW183" s="193">
        <f>IFERROR(HW10/HW70*1000,"")</f>
        <v>2539.8230088495575</v>
      </c>
      <c r="HX183" s="193">
        <f>IFERROR(HX10/HX70*1000,"")</f>
        <v>2639.344262295082</v>
      </c>
      <c r="HY183" s="193">
        <f>IFERROR(HY10/HY70*1000,"")</f>
        <v>2591.0931174089069</v>
      </c>
      <c r="IA183" s="37" t="str">
        <f t="shared" si="1244"/>
        <v>Revenue per carload ($)</v>
      </c>
      <c r="IB183" s="193">
        <f>IFERROR(IB10/IB70*1000,"")</f>
        <v>2596.6386554621849</v>
      </c>
      <c r="IC183" s="193">
        <f>IFERROR(IC10/IC70*1000,"")</f>
        <v>2641.6666666666665</v>
      </c>
      <c r="ID183" s="193">
        <f>IFERROR(ID10/ID70*1000,"")</f>
        <v>2609.090909090909</v>
      </c>
      <c r="IE183" s="193">
        <f>IFERROR(IE10/IE70*1000,"")</f>
        <v>2693.4306569343066</v>
      </c>
      <c r="IF183" s="193">
        <f>IFERROR(IF10/IF70*1000,"")</f>
        <v>2637.8600823045267</v>
      </c>
      <c r="IH183" s="37" t="str">
        <f t="shared" si="1245"/>
        <v>Revenue per carload ($)</v>
      </c>
      <c r="II183" s="193">
        <f>IFERROR(II10/II70*1000,"")</f>
        <v>2705.4263565891474</v>
      </c>
      <c r="IJ183" s="193">
        <f>IFERROR(IJ10/IJ70*1000,"")</f>
        <v>2730.7692307692309</v>
      </c>
      <c r="IK183" s="193">
        <f>IFERROR(IK10/IK70*1000,"")</f>
        <v>2677.6859504132231</v>
      </c>
      <c r="IL183" s="193">
        <f>IFERROR(IL10/IL70*1000,"")</f>
        <v>2759.3984962406016</v>
      </c>
      <c r="IM183" s="193">
        <f>IFERROR(IM10/IM70*1000,"")</f>
        <v>2719.2982456140353</v>
      </c>
      <c r="IO183" s="37" t="str">
        <f t="shared" si="1246"/>
        <v>Revenue per carload ($)</v>
      </c>
      <c r="IP183" s="193">
        <f>IFERROR(IP10/IP70*1000,"")</f>
        <v>2689.3939393939395</v>
      </c>
      <c r="IQ183" s="193">
        <f>IFERROR(IQ10/IQ70*1000,"")</f>
        <v>2672</v>
      </c>
      <c r="IR183" s="193">
        <f>IFERROR(IR10/IR70*1000,"")</f>
        <v>2652.8925619834708</v>
      </c>
      <c r="IS183" s="193">
        <f>IFERROR(IS10/IS70*1000,"")</f>
        <v>2680</v>
      </c>
      <c r="IT183" s="193">
        <f>IFERROR(IT10/IT70*1000,"")</f>
        <v>2673.9562624254472</v>
      </c>
      <c r="IV183" s="37" t="str">
        <f t="shared" si="1247"/>
        <v>Revenue per carload ($)</v>
      </c>
      <c r="IW183" s="193">
        <f>IFERROR(IW10/IW70*1000,"")</f>
        <v>2669.4214876033061</v>
      </c>
      <c r="IX183" s="193">
        <f>IFERROR(IX10/IX70*1000,"")</f>
        <v>2646.5517241379312</v>
      </c>
      <c r="IY183" s="193">
        <f>IFERROR(IY10/IY70*1000,"")</f>
        <v>2706.4220183486236</v>
      </c>
      <c r="IZ183" s="193">
        <f>IFERROR(IZ10/IZ70*1000,"")</f>
        <v>2755.7251908396947</v>
      </c>
      <c r="JA183" s="193">
        <f>IFERROR(JA10/JA70*1000,"")</f>
        <v>2696.0167714884697</v>
      </c>
      <c r="JC183" s="37" t="str">
        <f t="shared" si="1248"/>
        <v>Revenue per carload ($)</v>
      </c>
      <c r="JD183" s="193">
        <f>IFERROR(JD10/JD70*1000,"")</f>
        <v>2743.8016528925623</v>
      </c>
      <c r="JE183" s="193">
        <f>IFERROR(JE10/JE70*1000,"")</f>
        <v>2815.7894736842104</v>
      </c>
      <c r="JF183" s="193">
        <f>IFERROR(JF10/JF70*1000,"")</f>
        <v>2561.9047619047615</v>
      </c>
      <c r="JG183" s="193">
        <f>IFERROR(JG10/JG70*1000,"")</f>
        <v>2840.7079646017701</v>
      </c>
      <c r="JH183" s="193">
        <f>IFERROR(JH10/JH70*1000,"")</f>
        <v>2743.9293598233994</v>
      </c>
      <c r="JJ183" s="37" t="str">
        <f t="shared" si="1249"/>
        <v>Revenue per carload ($)</v>
      </c>
      <c r="JK183" s="193">
        <f>IFERROR(JK10/JK70*1000,"")</f>
        <v>2869.1588785046729</v>
      </c>
      <c r="JL183" s="193">
        <f>IFERROR(JL10/JL70*1000,"")</f>
        <v>2919.6428571428573</v>
      </c>
      <c r="JM183" s="193">
        <f>IFERROR(JM10/JM70*1000,"")</f>
        <v>2702.7027027027025</v>
      </c>
      <c r="JN183" s="193">
        <f>IFERROR(JN10/JN70*1000,"")</f>
        <v>2991.3793103448274</v>
      </c>
      <c r="JO183" s="193">
        <f>IFERROR(JO10/JO70*1000,"")</f>
        <v>2872.1973094170403</v>
      </c>
      <c r="JQ183" s="37" t="str">
        <f t="shared" si="1250"/>
        <v>Revenue per carload ($)</v>
      </c>
      <c r="JR183" s="193">
        <f>IFERROR(JR10/JR70*1000,"")</f>
        <v>3017.5438596491231</v>
      </c>
      <c r="JS183" s="193">
        <f>IFERROR(JS10/JS70*1000,"")</f>
        <v>3033.8983050847455</v>
      </c>
      <c r="JT183" s="193">
        <f>IFERROR(JT10/JT70*1000,"")</f>
        <v>2700</v>
      </c>
      <c r="JU183" s="193">
        <f>IFERROR(JU10/JU70*1000,"")</f>
        <v>2718.1818181818185</v>
      </c>
      <c r="JV183" s="193">
        <f>IFERROR(JV10/JV70*1000,"")</f>
        <v>2871.6814159292035</v>
      </c>
      <c r="JX183" s="37" t="str">
        <f t="shared" si="1251"/>
        <v>Revenue per carload ($)</v>
      </c>
      <c r="JY183" s="193">
        <f>IFERROR(JY10/JY70*1000,"")</f>
        <v>3016.5289256198348</v>
      </c>
      <c r="JZ183" s="193">
        <f>IFERROR(JZ10/JZ70*1000,"")</f>
        <v>3049.0196078431372</v>
      </c>
      <c r="KA183" s="193">
        <f>IFERROR(KA10/KA70*1000,"")</f>
        <v>2913.0434782608695</v>
      </c>
      <c r="KB183" s="193">
        <f>IFERROR(KB10/KB70*1000,"")</f>
        <v>3000</v>
      </c>
      <c r="KC183" s="193">
        <f>IFERROR(KC10/KC70*1000,"")</f>
        <v>2993.5205183585313</v>
      </c>
      <c r="KE183" s="37" t="str">
        <f t="shared" si="1252"/>
        <v>Revenue per carload ($)</v>
      </c>
      <c r="KF183" s="193">
        <f>IFERROR(KF10/KF70*1000,"")</f>
        <v>3008.6206896551726</v>
      </c>
      <c r="KG183" s="193">
        <f>IFERROR(KG10/KG70*1000,"")</f>
        <v>3162.3931623931621</v>
      </c>
      <c r="KH183" s="193">
        <f>IFERROR(KH10/KH70*1000,"")</f>
        <v>3146.788990825688</v>
      </c>
      <c r="KI183" s="193">
        <f>IFERROR(KI10/KI70*1000,"")</f>
        <v>3192</v>
      </c>
      <c r="KJ183" s="193">
        <f>IFERROR(KJ10/KJ70*1000,"")</f>
        <v>3128.4796573875806</v>
      </c>
      <c r="KL183" s="37" t="str">
        <f t="shared" si="1253"/>
        <v>Revenue per carload ($)</v>
      </c>
      <c r="KM183" s="193">
        <f>IFERROR(KM10/KM70*1000,"")</f>
        <v>3279.6610169491528</v>
      </c>
      <c r="KN183" s="193">
        <f>IFERROR(KN10/KN70*1000,"")</f>
        <v>3433.333333333333</v>
      </c>
      <c r="KO183" s="193">
        <f>IFERROR(KO10/KO70*1000,"")</f>
        <v>3566.666666666667</v>
      </c>
      <c r="KP183" s="193">
        <f>IFERROR(KP10/KP70*1000,"")</f>
        <v>3552.8455284552842</v>
      </c>
      <c r="KQ183" s="193">
        <f>IFERROR(KQ10/KQ70*1000,"")</f>
        <v>3459.4594594594596</v>
      </c>
      <c r="KS183" s="37" t="str">
        <f t="shared" si="1254"/>
        <v>Revenue per carload ($)</v>
      </c>
      <c r="KT183" s="193">
        <f>IFERROR(KT10/KT70*1000,"")</f>
        <v>3581.967213114754</v>
      </c>
      <c r="KU183" s="193">
        <f>IFERROR(KU10/KU70*1000,"")</f>
        <v>3516.9491525423728</v>
      </c>
      <c r="KV183" s="193">
        <f>IFERROR(KV10/KV70*1000,"")</f>
        <v>3481.4814814814813</v>
      </c>
      <c r="KW183" s="193">
        <f>IFERROR(KW10/KW70*1000,"")</f>
        <v>3575</v>
      </c>
      <c r="KX183" s="193">
        <f>IFERROR(KX10/KX70*1000,"")</f>
        <v>3540.5982905982905</v>
      </c>
      <c r="KZ183" s="37" t="str">
        <f t="shared" si="1255"/>
        <v>Revenue per carload ($)</v>
      </c>
      <c r="LA183" s="193">
        <f>IFERROR(LA10/LA70*1000,"")</f>
        <v>3570.1754385964914</v>
      </c>
      <c r="LB183" s="193">
        <f>IFERROR(LB10/LB70*1000,"")</f>
        <v>3530.4347826086955</v>
      </c>
      <c r="LC183" s="193">
        <f>IFERROR(LC10/LC70*1000,"")</f>
        <v>3525.4237288135591</v>
      </c>
      <c r="LD183" s="193">
        <f>IFERROR(LD10/LD70*1000,"")</f>
        <v>3577.5862068965516</v>
      </c>
      <c r="LE183" s="201">
        <f>LE186/LE180*1000</f>
        <v>3550.7559395248381</v>
      </c>
      <c r="LF183" s="573"/>
      <c r="LG183" s="37" t="str">
        <f t="shared" si="1256"/>
        <v>Revenue per carload ($)</v>
      </c>
      <c r="LH183" s="193">
        <f>IFERROR(LH10/LH70*1000,"")</f>
        <v>3547.8260869565215</v>
      </c>
      <c r="LI183" s="193">
        <f>IFERROR(LI10/LI70*1000,"")</f>
        <v>3572.6495726495727</v>
      </c>
      <c r="LJ183" s="193">
        <f>IFERROR(LJ10/LJ70*1000,"")</f>
        <v>3472.7272727272725</v>
      </c>
      <c r="LK183" s="193">
        <f>IFERROR(LK10/LK70*1000,"")</f>
        <v>3565.2173913043475</v>
      </c>
      <c r="LL183" s="201">
        <f>LL186/LL180*1000</f>
        <v>3540.4814004376367</v>
      </c>
      <c r="LM183" s="573"/>
      <c r="LN183" s="37" t="str">
        <f t="shared" si="1257"/>
        <v>Revenue per carload ($)</v>
      </c>
      <c r="LO183" s="193">
        <f>(LH183)*(1+LO184)</f>
        <v>3601.0434782608691</v>
      </c>
      <c r="LP183" s="193">
        <f t="shared" ref="LP183" si="1912">(LI183)*(1+LP184)</f>
        <v>3644.1025641025644</v>
      </c>
      <c r="LQ183" s="193">
        <f t="shared" ref="LQ183" si="1913">(LJ183)*(1+LQ184)</f>
        <v>3542.181818181818</v>
      </c>
      <c r="LR183" s="193">
        <f t="shared" ref="LR183" si="1914">(LK183)*(1+LR184)</f>
        <v>3636.5217391304345</v>
      </c>
      <c r="LS183" s="201">
        <f>LS186/LS180*1000</f>
        <v>3606.8641211865061</v>
      </c>
      <c r="LT183" s="573"/>
      <c r="LU183" s="37" t="str">
        <f t="shared" si="1261"/>
        <v>Revenue per carload ($)</v>
      </c>
      <c r="LV183" s="193">
        <f>(LO183)*(1+LV184)</f>
        <v>3700.0721739130431</v>
      </c>
      <c r="LW183" s="193">
        <f t="shared" ref="LW183" si="1915">(LP183)*(1+LW184)</f>
        <v>3744.315384615385</v>
      </c>
      <c r="LX183" s="193">
        <f t="shared" ref="LX183" si="1916">(LQ183)*(1+LX184)</f>
        <v>3639.5918181818183</v>
      </c>
      <c r="LY183" s="193">
        <f t="shared" ref="LY183" si="1917">(LR183)*(1+LY184)</f>
        <v>3736.5260869565218</v>
      </c>
      <c r="LZ183" s="201">
        <f>LZ186/LZ180*1000</f>
        <v>3706.0528845191352</v>
      </c>
      <c r="MA183" s="573"/>
      <c r="MB183" s="37" t="str">
        <f t="shared" si="1265"/>
        <v>Revenue per carload ($)</v>
      </c>
      <c r="MC183" s="193">
        <f>(LV183)*(1+MC184)</f>
        <v>3792.5739782608689</v>
      </c>
      <c r="MD183" s="193">
        <f t="shared" ref="MD183" si="1918">(LW183)*(1+MD184)</f>
        <v>3837.9232692307692</v>
      </c>
      <c r="ME183" s="193">
        <f t="shared" ref="ME183" si="1919">(LX183)*(1+ME184)</f>
        <v>3730.5816136363633</v>
      </c>
      <c r="MF183" s="193">
        <f t="shared" ref="MF183" si="1920">(LY183)*(1+MF184)</f>
        <v>3829.9392391304345</v>
      </c>
      <c r="MG183" s="201">
        <f>MG186/MG180*1000</f>
        <v>3798.7042066321142</v>
      </c>
      <c r="MH183" s="573"/>
    </row>
    <row r="184" spans="1:346" s="37" customFormat="1" ht="13.15" x14ac:dyDescent="0.4">
      <c r="A184" s="100"/>
      <c r="B184" s="197" t="s">
        <v>516</v>
      </c>
      <c r="C184" s="186"/>
      <c r="D184" s="186"/>
      <c r="E184" s="186"/>
      <c r="F184" s="186"/>
      <c r="G184" s="186"/>
      <c r="H184" s="186"/>
      <c r="I184" s="186"/>
      <c r="J184" s="186"/>
      <c r="K184" s="186"/>
      <c r="L184" s="186"/>
      <c r="M184" s="186"/>
      <c r="N184" s="193"/>
      <c r="O184" s="198">
        <f>O183/N183-1</f>
        <v>5.2896630064369399E-2</v>
      </c>
      <c r="P184" s="198">
        <f t="shared" ref="P184:BA184" si="1921">P183/O183-1</f>
        <v>4.6428526011928373E-2</v>
      </c>
      <c r="Q184" s="198">
        <f t="shared" si="1921"/>
        <v>-4.2229729729736931E-4</v>
      </c>
      <c r="R184" s="198">
        <f t="shared" si="1921"/>
        <v>2.3474178403755763E-2</v>
      </c>
      <c r="S184" s="198">
        <f t="shared" si="1921"/>
        <v>5.0127324100882609E-2</v>
      </c>
      <c r="T184" s="198">
        <f t="shared" si="1921"/>
        <v>-7.547169811320642E-3</v>
      </c>
      <c r="U184" s="198">
        <f t="shared" si="1921"/>
        <v>8.7516087516087415E-2</v>
      </c>
      <c r="V184" s="198">
        <f t="shared" si="1921"/>
        <v>-1.1537361694639259E-2</v>
      </c>
      <c r="W184" s="198">
        <f t="shared" si="1921"/>
        <v>3.548726058323548E-2</v>
      </c>
      <c r="X184" s="198">
        <f t="shared" si="1921"/>
        <v>5.853092356159717E-3</v>
      </c>
      <c r="Y184" s="198">
        <f t="shared" si="1921"/>
        <v>4.0037497354017404E-2</v>
      </c>
      <c r="Z184" s="198">
        <f t="shared" si="1921"/>
        <v>1.4461572810213541E-2</v>
      </c>
      <c r="AA184" s="198">
        <f t="shared" si="1921"/>
        <v>1.1335989091783905E-2</v>
      </c>
      <c r="AB184" s="198">
        <f t="shared" si="1921"/>
        <v>-1.6615856954444119E-2</v>
      </c>
      <c r="AC184" s="198">
        <f t="shared" si="1921"/>
        <v>5.0402538212709791E-2</v>
      </c>
      <c r="AD184" s="198">
        <f t="shared" si="1921"/>
        <v>0.10206734156561725</v>
      </c>
      <c r="AE184" s="198">
        <f t="shared" si="1921"/>
        <v>0.10522287215444659</v>
      </c>
      <c r="AF184" s="198">
        <f t="shared" si="1921"/>
        <v>3.3207724917569514E-2</v>
      </c>
      <c r="AG184" s="198">
        <f t="shared" si="1921"/>
        <v>0.28046526306298181</v>
      </c>
      <c r="AH184" s="198">
        <f t="shared" si="1921"/>
        <v>-5.3157934887214431E-2</v>
      </c>
      <c r="AI184" s="198">
        <f t="shared" si="1921"/>
        <v>5.0727785561762273E-2</v>
      </c>
      <c r="AJ184" s="198">
        <f t="shared" si="1921"/>
        <v>5.1832656198528726E-2</v>
      </c>
      <c r="AK184" s="198">
        <f t="shared" si="1921"/>
        <v>3.7623101937205305E-2</v>
      </c>
      <c r="AL184" s="198">
        <f t="shared" si="1921"/>
        <v>1.8049125514403297E-2</v>
      </c>
      <c r="AM184" s="198">
        <f t="shared" si="1921"/>
        <v>3.0872813859923021E-2</v>
      </c>
      <c r="AN184" s="198">
        <f t="shared" si="1921"/>
        <v>-1.6674148656448562E-2</v>
      </c>
      <c r="AO184" s="198">
        <f t="shared" si="1921"/>
        <v>8.2501383336062162E-3</v>
      </c>
      <c r="AP184" s="198">
        <f t="shared" si="1921"/>
        <v>1.777162102314267E-2</v>
      </c>
      <c r="AQ184" s="198">
        <f t="shared" si="1921"/>
        <v>4.6746082997521476E-2</v>
      </c>
      <c r="AR184" s="198">
        <f t="shared" si="1921"/>
        <v>-1.7961631192442429E-4</v>
      </c>
      <c r="AS184" s="198">
        <f t="shared" si="1921"/>
        <v>4.2427792217300642E-2</v>
      </c>
      <c r="AT184" s="198">
        <f t="shared" si="1921"/>
        <v>4.5083752792532295E-2</v>
      </c>
      <c r="AU184" s="198">
        <f t="shared" si="1921"/>
        <v>0.10579573413248977</v>
      </c>
      <c r="AV184" s="198">
        <f t="shared" si="1921"/>
        <v>2.3454193376068355E-2</v>
      </c>
      <c r="AW184" s="198">
        <f t="shared" si="1921"/>
        <v>2.8689074819698845E-3</v>
      </c>
      <c r="AX184" s="198">
        <f t="shared" si="1921"/>
        <v>-2.8936201930500616E-3</v>
      </c>
      <c r="AY184" s="198">
        <f t="shared" si="1921"/>
        <v>1.8749631262196198E-2</v>
      </c>
      <c r="AZ184" s="198">
        <f t="shared" si="1921"/>
        <v>2.750000000000008E-2</v>
      </c>
      <c r="BA184" s="198">
        <f t="shared" si="1921"/>
        <v>2.5000000000000133E-2</v>
      </c>
      <c r="BB184" s="198"/>
      <c r="BC184" s="198"/>
      <c r="BD184" s="198"/>
      <c r="BE184" s="198"/>
      <c r="BF184" s="198"/>
      <c r="BG184" s="198"/>
      <c r="BH184" s="198"/>
      <c r="BI184" s="198"/>
      <c r="BJ184" s="198"/>
      <c r="BK184" s="198"/>
      <c r="BL184" s="198"/>
      <c r="BM184" s="198"/>
      <c r="BO184" s="197" t="str">
        <f t="shared" si="1220"/>
        <v>YoY Change (%)</v>
      </c>
      <c r="BP184" s="193"/>
      <c r="BQ184" s="193"/>
      <c r="BR184" s="193"/>
      <c r="BS184" s="193"/>
      <c r="BT184" s="193"/>
      <c r="BV184" s="197" t="str">
        <f t="shared" si="1221"/>
        <v>YoY Change (%)</v>
      </c>
      <c r="BW184" s="198">
        <f>BW183/BP183-1</f>
        <v>5.0426012867326175E-3</v>
      </c>
      <c r="BX184" s="198">
        <f t="shared" ref="BX184" si="1922">BX183/BQ183-1</f>
        <v>7.9365079365079527E-2</v>
      </c>
      <c r="BY184" s="198">
        <f t="shared" ref="BY184" si="1923">BY183/BR183-1</f>
        <v>8.3333333333333259E-2</v>
      </c>
      <c r="BZ184" s="198">
        <f t="shared" ref="BZ184" si="1924">BZ183/BS183-1</f>
        <v>5.4387721054387717E-2</v>
      </c>
      <c r="CA184" s="198">
        <f t="shared" ref="CA184" si="1925">CA183/BT183-1</f>
        <v>5.2896630064369399E-2</v>
      </c>
      <c r="CC184" s="197" t="str">
        <f t="shared" si="1222"/>
        <v>YoY Change (%)</v>
      </c>
      <c r="CD184" s="198">
        <f>CD183/BW183-1</f>
        <v>3.2352941176470473E-2</v>
      </c>
      <c r="CE184" s="198">
        <f t="shared" ref="CE184" si="1926">CE183/BX183-1</f>
        <v>4.9999999999999822E-2</v>
      </c>
      <c r="CF184" s="198">
        <f t="shared" ref="CF184" si="1927">CF183/BY183-1</f>
        <v>3.8461538461538547E-2</v>
      </c>
      <c r="CG184" s="198">
        <f t="shared" ref="CG184" si="1928">CG183/BZ183-1</f>
        <v>6.3059701492537368E-2</v>
      </c>
      <c r="CH184" s="198">
        <f t="shared" ref="CH184" si="1929">CH183/CA183-1</f>
        <v>4.6428526011928373E-2</v>
      </c>
      <c r="CJ184" s="197" t="str">
        <f t="shared" si="1223"/>
        <v>YoY Change (%)</v>
      </c>
      <c r="CK184" s="198">
        <f>CK183/CD183-1</f>
        <v>6.7307692307692291E-2</v>
      </c>
      <c r="CL184" s="198">
        <f t="shared" ref="CL184" si="1930">CL183/CE183-1</f>
        <v>1.449275362318847E-2</v>
      </c>
      <c r="CM184" s="198">
        <f t="shared" ref="CM184" si="1931">CM183/CF183-1</f>
        <v>-2.508960573476704E-2</v>
      </c>
      <c r="CN184" s="198">
        <f t="shared" ref="CN184" si="1932">CN183/CG183-1</f>
        <v>-5.178155178155186E-2</v>
      </c>
      <c r="CO184" s="198">
        <f t="shared" ref="CO184" si="1933">CO183/CH183-1</f>
        <v>-4.2229729729736931E-4</v>
      </c>
      <c r="CQ184" s="197" t="str">
        <f t="shared" si="1224"/>
        <v>YoY Change (%)</v>
      </c>
      <c r="CR184" s="198">
        <f>CR183/CK183-1</f>
        <v>-2.994886778670558E-2</v>
      </c>
      <c r="CS184" s="198">
        <f t="shared" ref="CS184" si="1934">CS183/CL183-1</f>
        <v>-1.6806722689075793E-2</v>
      </c>
      <c r="CT184" s="198">
        <f t="shared" ref="CT184" si="1935">CT183/CM183-1</f>
        <v>5.6228373702422729E-3</v>
      </c>
      <c r="CU184" s="198">
        <f t="shared" ref="CU184" si="1936">CU183/CN183-1</f>
        <v>0.12845786963434036</v>
      </c>
      <c r="CV184" s="198">
        <f t="shared" ref="CV184" si="1937">CV183/CO183-1</f>
        <v>2.3474178403755763E-2</v>
      </c>
      <c r="CX184" s="197" t="str">
        <f t="shared" si="1225"/>
        <v>YoY Change (%)</v>
      </c>
      <c r="CY184" s="198">
        <f>CY183/CR183-1</f>
        <v>0.10770354143848127</v>
      </c>
      <c r="CZ184" s="198">
        <f t="shared" ref="CZ184" si="1938">CZ183/CS183-1</f>
        <v>0.10336538461538458</v>
      </c>
      <c r="DA184" s="198">
        <f t="shared" ref="DA184" si="1939">DA183/CT183-1</f>
        <v>6.2988505747126222E-2</v>
      </c>
      <c r="DB184" s="198">
        <f t="shared" ref="DB184" si="1940">DB183/CU183-1</f>
        <v>-5.6703296703296768E-2</v>
      </c>
      <c r="DC184" s="198">
        <f t="shared" ref="DC184" si="1941">DC183/CV183-1</f>
        <v>5.0127324100882609E-2</v>
      </c>
      <c r="DE184" s="197" t="str">
        <f t="shared" si="1226"/>
        <v>YoY Change (%)</v>
      </c>
      <c r="DF184" s="198">
        <f>DF183/CY183-1</f>
        <v>-6.0975609756097504E-2</v>
      </c>
      <c r="DG184" s="198">
        <f t="shared" ref="DG184" si="1942">DG183/CZ183-1</f>
        <v>-6.3139329805996458E-2</v>
      </c>
      <c r="DH184" s="198">
        <f t="shared" ref="DH184" si="1943">DH183/DA183-1</f>
        <v>3.6651583710407332E-2</v>
      </c>
      <c r="DI184" s="198">
        <f t="shared" ref="DI184" si="1944">DI183/DB183-1</f>
        <v>6.2824752007557771E-2</v>
      </c>
      <c r="DJ184" s="198">
        <f t="shared" ref="DJ184" si="1945">DJ183/DC183-1</f>
        <v>-7.547169811320642E-3</v>
      </c>
      <c r="DL184" s="197" t="str">
        <f t="shared" si="1227"/>
        <v>YoY Change (%)</v>
      </c>
      <c r="DM184" s="198">
        <f>DM183/DF183-1</f>
        <v>3.0888030888030826E-2</v>
      </c>
      <c r="DN184" s="198">
        <f t="shared" ref="DN184" si="1946">DN183/DG183-1</f>
        <v>0.15477293790546809</v>
      </c>
      <c r="DO184" s="198">
        <f t="shared" ref="DO184" si="1947">DO183/DH183-1</f>
        <v>2.0862634786685375E-2</v>
      </c>
      <c r="DP184" s="198">
        <f t="shared" ref="DP184" si="1948">DP183/DI183-1</f>
        <v>0.14292929292929313</v>
      </c>
      <c r="DQ184" s="198">
        <f t="shared" ref="DQ184" si="1949">DQ183/DJ183-1</f>
        <v>8.7516087516087415E-2</v>
      </c>
      <c r="DS184" s="197" t="str">
        <f t="shared" si="1228"/>
        <v>YoY Change (%)</v>
      </c>
      <c r="DT184" s="198">
        <f>DT183/DM183-1</f>
        <v>0.10861423220973765</v>
      </c>
      <c r="DU184" s="198">
        <f t="shared" ref="DU184" si="1950">DU183/DN183-1</f>
        <v>-4.0751299681368591E-2</v>
      </c>
      <c r="DV184" s="198">
        <f t="shared" ref="DV184" si="1951">DV183/DO183-1</f>
        <v>-5.9701492537311829E-3</v>
      </c>
      <c r="DW184" s="198">
        <f t="shared" ref="DW184" si="1952">DW183/DP183-1</f>
        <v>-9.5890410958904271E-2</v>
      </c>
      <c r="DX184" s="198">
        <f t="shared" ref="DX184" si="1953">DX183/DQ183-1</f>
        <v>-1.1537361694639259E-2</v>
      </c>
      <c r="DZ184" s="197" t="str">
        <f t="shared" si="1229"/>
        <v>YoY Change (%)</v>
      </c>
      <c r="EA184" s="198">
        <f>EA183/DT183-1</f>
        <v>-1.0869565217391242E-2</v>
      </c>
      <c r="EB184" s="198">
        <f t="shared" ref="EB184" si="1954">EB183/DU183-1</f>
        <v>-1.1363636363636354E-2</v>
      </c>
      <c r="EC184" s="198">
        <f t="shared" ref="EC184" si="1955">EC183/DV183-1</f>
        <v>0.10219594594594583</v>
      </c>
      <c r="ED184" s="198">
        <f t="shared" ref="ED184" si="1956">ED183/DW183-1</f>
        <v>7.038123167155419E-2</v>
      </c>
      <c r="EE184" s="198">
        <f t="shared" ref="EE184" si="1957">EE183/DX183-1</f>
        <v>3.548726058323548E-2</v>
      </c>
      <c r="EG184" s="197" t="str">
        <f t="shared" si="1230"/>
        <v>YoY Change (%)</v>
      </c>
      <c r="EH184" s="198">
        <f>EH183/EA183-1</f>
        <v>-2.3134759976864983E-3</v>
      </c>
      <c r="EI184" s="198">
        <f t="shared" ref="EI184" si="1958">EI183/EB183-1</f>
        <v>5.4951976066761166E-2</v>
      </c>
      <c r="EJ184" s="198">
        <f t="shared" ref="EJ184" si="1959">EJ183/EC183-1</f>
        <v>-1.9157088122605415E-2</v>
      </c>
      <c r="EK184" s="198">
        <f t="shared" ref="EK184" si="1960">EK183/ED183-1</f>
        <v>-6.4516129032258229E-3</v>
      </c>
      <c r="EL184" s="198">
        <f t="shared" ref="EL184" si="1961">EL183/EE183-1</f>
        <v>5.853092356159717E-3</v>
      </c>
      <c r="EN184" s="197" t="str">
        <f t="shared" si="1231"/>
        <v>YoY Change (%)</v>
      </c>
      <c r="EO184" s="198">
        <f>EO183/EH183-1</f>
        <v>4.6666666666666634E-2</v>
      </c>
      <c r="EP184" s="198">
        <f t="shared" ref="EP184" si="1962">EP183/EI183-1</f>
        <v>2.4678899082568817E-2</v>
      </c>
      <c r="EQ184" s="198">
        <f t="shared" ref="EQ184" si="1963">EQ183/EJ183-1</f>
        <v>5.0000000000000044E-2</v>
      </c>
      <c r="ER184" s="198">
        <f t="shared" ref="ER184" si="1964">ER183/EK183-1</f>
        <v>3.9484126984127066E-2</v>
      </c>
      <c r="ES184" s="198">
        <f t="shared" ref="ES184" si="1965">ES183/EL183-1</f>
        <v>4.0037497354017404E-2</v>
      </c>
      <c r="EU184" s="197" t="str">
        <f t="shared" si="1232"/>
        <v>YoY Change (%)</v>
      </c>
      <c r="EV184" s="198">
        <f>EV183/EO183-1</f>
        <v>1.8902814875693341E-2</v>
      </c>
      <c r="EW184" s="198">
        <f t="shared" ref="EW184" si="1966">EW183/EP183-1</f>
        <v>1.9495154383592395E-2</v>
      </c>
      <c r="EX184" s="198">
        <f t="shared" ref="EX184" si="1967">EX183/EQ183-1</f>
        <v>1.0296010296010127E-2</v>
      </c>
      <c r="EY184" s="198">
        <f t="shared" ref="EY184" si="1968">EY183/ER183-1</f>
        <v>9.9979596000814297E-3</v>
      </c>
      <c r="EZ184" s="198">
        <f t="shared" ref="EZ184" si="1969">EZ183/ES183-1</f>
        <v>1.4461572810213541E-2</v>
      </c>
      <c r="FB184" s="197" t="str">
        <f t="shared" si="1233"/>
        <v>YoY Change (%)</v>
      </c>
      <c r="FC184" s="198">
        <f>FC183/EV183-1</f>
        <v>2.8685657171414247E-2</v>
      </c>
      <c r="FD184" s="198">
        <f t="shared" ref="FD184" si="1970">FD183/EW183-1</f>
        <v>1.0076670317634262E-2</v>
      </c>
      <c r="FE184" s="198">
        <f t="shared" ref="FE184" si="1971">FE183/EX183-1</f>
        <v>-1.1102670484426369E-3</v>
      </c>
      <c r="FF184" s="198">
        <f t="shared" ref="FF184" si="1972">FF183/EY183-1</f>
        <v>6.8823831535698154E-3</v>
      </c>
      <c r="FG184" s="198">
        <f t="shared" ref="FG184" si="1973">FG183/EZ183-1</f>
        <v>1.1335989091783905E-2</v>
      </c>
      <c r="FI184" s="197" t="str">
        <f t="shared" si="1234"/>
        <v>YoY Change (%)</v>
      </c>
      <c r="FJ184" s="198">
        <f>FJ183/FC183-1</f>
        <v>1.2048192771084265E-2</v>
      </c>
      <c r="FK184" s="198">
        <f t="shared" ref="FK184" si="1974">FK183/FD183-1</f>
        <v>-1.9534341288683477E-2</v>
      </c>
      <c r="FL184" s="198">
        <f t="shared" ref="FL184" si="1975">FL183/FE183-1</f>
        <v>-2.6191928876492798E-2</v>
      </c>
      <c r="FM184" s="198">
        <f t="shared" ref="FM184" si="1976">FM183/FF183-1</f>
        <v>-2.4275527234107086E-2</v>
      </c>
      <c r="FN184" s="198">
        <f t="shared" ref="FN184" si="1977">FN183/FG183-1</f>
        <v>-1.6615856954444119E-2</v>
      </c>
      <c r="FP184" s="197" t="str">
        <f t="shared" si="1235"/>
        <v>YoY Change (%)</v>
      </c>
      <c r="FQ184" s="198">
        <f>FQ183/FJ183-1</f>
        <v>-7.2138126773887423E-3</v>
      </c>
      <c r="FR184" s="198">
        <f t="shared" ref="FR184" si="1978">FR183/FK183-1</f>
        <v>3.0186915887850496E-2</v>
      </c>
      <c r="FS184" s="198">
        <f t="shared" ref="FS184" si="1979">FS183/FL183-1</f>
        <v>8.2511676180591742E-2</v>
      </c>
      <c r="FT184" s="198">
        <f t="shared" ref="FT184" si="1980">FT183/FM183-1</f>
        <v>8.9146615890600689E-2</v>
      </c>
      <c r="FU184" s="198">
        <f t="shared" ref="FU184" si="1981">FU183/FN183-1</f>
        <v>5.0402538212709791E-2</v>
      </c>
      <c r="FW184" s="197" t="str">
        <f t="shared" si="1236"/>
        <v>YoY Change (%)</v>
      </c>
      <c r="FX184" s="198">
        <f>FX183/FQ183-1</f>
        <v>7.65061128295772E-2</v>
      </c>
      <c r="FY184" s="198">
        <f t="shared" ref="FY184" si="1982">FY183/FR183-1</f>
        <v>0.10502283105022836</v>
      </c>
      <c r="FZ184" s="198">
        <f t="shared" ref="FZ184" si="1983">FZ183/FS183-1</f>
        <v>8.7714285714285634E-2</v>
      </c>
      <c r="GA184" s="198">
        <f t="shared" ref="GA184" si="1984">GA183/FT183-1</f>
        <v>0.14000328389250716</v>
      </c>
      <c r="GB184" s="198">
        <f t="shared" ref="GB184" si="1985">GB183/FU183-1</f>
        <v>0.10206734156561725</v>
      </c>
      <c r="GD184" s="197" t="str">
        <f t="shared" si="1237"/>
        <v>YoY Change (%)</v>
      </c>
      <c r="GE184" s="198">
        <f>GE183/FX183-1</f>
        <v>0.10085227272727271</v>
      </c>
      <c r="GF184" s="198">
        <f t="shared" ref="GF184" si="1986">GF183/FY183-1</f>
        <v>0.10712615000779668</v>
      </c>
      <c r="GG184" s="198">
        <f t="shared" ref="GG184" si="1987">GG183/FZ183-1</f>
        <v>0.13231841248201159</v>
      </c>
      <c r="GH184" s="198">
        <f t="shared" ref="GH184" si="1988">GH183/GA183-1</f>
        <v>8.0629770992366456E-2</v>
      </c>
      <c r="GI184" s="198">
        <f t="shared" ref="GI184" si="1989">GI183/GB183-1</f>
        <v>0.10522287215444659</v>
      </c>
      <c r="GK184" s="197" t="str">
        <f t="shared" si="1238"/>
        <v>YoY Change (%)</v>
      </c>
      <c r="GL184" s="198">
        <f>GL183/GE183-1</f>
        <v>0.12207792207792223</v>
      </c>
      <c r="GM184" s="198">
        <f t="shared" ref="GM184" si="1990">GM183/GF183-1</f>
        <v>7.793777590918638E-2</v>
      </c>
      <c r="GN184" s="198">
        <f t="shared" ref="GN184" si="1991">GN183/GG183-1</f>
        <v>-0.20324157447903279</v>
      </c>
      <c r="GO184" s="198">
        <f t="shared" ref="GO184" si="1992">GO183/GH183-1</f>
        <v>0.13236714975845421</v>
      </c>
      <c r="GP184" s="198">
        <f t="shared" ref="GP184" si="1993">GP183/GI183-1</f>
        <v>3.3207724917569514E-2</v>
      </c>
      <c r="GR184" s="197" t="str">
        <f t="shared" si="1239"/>
        <v>YoY Change (%)</v>
      </c>
      <c r="GS184" s="198">
        <f>GS183/GL183-1</f>
        <v>0.14379084967320255</v>
      </c>
      <c r="GT184" s="198">
        <f t="shared" ref="GT184" si="1994">GT183/GM183-1</f>
        <v>0.2067943456452348</v>
      </c>
      <c r="GU184" s="198">
        <f t="shared" ref="GU184" si="1995">GU183/GN183-1</f>
        <v>0.70280965571824305</v>
      </c>
      <c r="GV184" s="198">
        <f t="shared" ref="GV184" si="1996">GV183/GO183-1</f>
        <v>0.19132704276249757</v>
      </c>
      <c r="GW184" s="198">
        <f t="shared" ref="GW184" si="1997">GW183/GP183-1</f>
        <v>0.28046526306298181</v>
      </c>
      <c r="GY184" s="197" t="str">
        <f t="shared" si="1240"/>
        <v>YoY Change (%)</v>
      </c>
      <c r="GZ184" s="198">
        <f>GZ183/GS183-1</f>
        <v>4.5373134328358322E-2</v>
      </c>
      <c r="HA184" s="198">
        <f t="shared" ref="HA184" si="1998">HA183/GT183-1</f>
        <v>-4.0680258962218385E-2</v>
      </c>
      <c r="HB184" s="198">
        <f t="shared" ref="HB184" si="1999">HB183/GU183-1</f>
        <v>-0.11411375692842007</v>
      </c>
      <c r="HC184" s="198">
        <f t="shared" ref="HC184" si="2000">HC183/GV183-1</f>
        <v>-9.3023255813953543E-2</v>
      </c>
      <c r="HD184" s="198">
        <f t="shared" ref="HD184" si="2001">HD183/GW183-1</f>
        <v>-5.3157934887214431E-2</v>
      </c>
      <c r="HF184" s="197" t="str">
        <f t="shared" si="1241"/>
        <v>YoY Change (%)</v>
      </c>
      <c r="HG184" s="198">
        <f>HG183/GZ183-1</f>
        <v>1.7065958883378585E-2</v>
      </c>
      <c r="HH184" s="198">
        <f t="shared" ref="HH184" si="2002">HH183/HA183-1</f>
        <v>6.7195931921959273E-2</v>
      </c>
      <c r="HI184" s="198">
        <f t="shared" ref="HI184" si="2003">HI183/HB183-1</f>
        <v>7.4615384615384306E-2</v>
      </c>
      <c r="HJ184" s="198">
        <f t="shared" ref="HJ184" si="2004">HJ183/HC183-1</f>
        <v>4.6746903889760993E-2</v>
      </c>
      <c r="HK184" s="198">
        <f t="shared" ref="HK184" si="2005">HK183/HD183-1</f>
        <v>5.0727785561762273E-2</v>
      </c>
      <c r="HM184" s="197" t="str">
        <f t="shared" si="1242"/>
        <v>YoY Change (%)</v>
      </c>
      <c r="HN184" s="198">
        <f>HN183/HG183-1</f>
        <v>2.7767603699295096E-2</v>
      </c>
      <c r="HO184" s="198">
        <f t="shared" ref="HO184" si="2006">HO183/HH183-1</f>
        <v>6.0228550018733396E-2</v>
      </c>
      <c r="HP184" s="198">
        <f t="shared" ref="HP184" si="2007">HP183/HI183-1</f>
        <v>4.8160173160173292E-2</v>
      </c>
      <c r="HQ184" s="198">
        <f t="shared" ref="HQ184" si="2008">HQ183/HJ183-1</f>
        <v>7.0380862448851333E-2</v>
      </c>
      <c r="HR184" s="198">
        <f t="shared" ref="HR184" si="2009">HR183/HK183-1</f>
        <v>5.1832656198528726E-2</v>
      </c>
      <c r="HT184" s="197" t="str">
        <f t="shared" si="1243"/>
        <v>YoY Change (%)</v>
      </c>
      <c r="HU184" s="198">
        <f>HU183/HN183-1</f>
        <v>6.678460858027413E-2</v>
      </c>
      <c r="HV184" s="198">
        <f t="shared" ref="HV184" si="2010">HV183/HO183-1</f>
        <v>3.530936183997424E-2</v>
      </c>
      <c r="HW184" s="198">
        <f t="shared" ref="HW184" si="2011">HW183/HP183-1</f>
        <v>2.27475203421037E-2</v>
      </c>
      <c r="HX184" s="198">
        <f t="shared" ref="HX184" si="2012">HX183/HQ183-1</f>
        <v>2.6834223083101127E-2</v>
      </c>
      <c r="HY184" s="198">
        <f t="shared" ref="HY184" si="2013">HY183/HR183-1</f>
        <v>3.7623101937205305E-2</v>
      </c>
      <c r="IA184" s="197" t="str">
        <f t="shared" si="1244"/>
        <v>YoY Change (%)</v>
      </c>
      <c r="IB184" s="198">
        <f>IB183/HU183-1</f>
        <v>9.8039215686274161E-3</v>
      </c>
      <c r="IC184" s="198">
        <f t="shared" ref="IC184" si="2014">IC183/HV183-1</f>
        <v>1.1702127659574346E-2</v>
      </c>
      <c r="ID184" s="198">
        <f t="shared" ref="ID184" si="2015">ID183/HW183-1</f>
        <v>2.7272727272727337E-2</v>
      </c>
      <c r="IE184" s="198">
        <f t="shared" ref="IE184" si="2016">IE183/HX183-1</f>
        <v>2.0492360701817924E-2</v>
      </c>
      <c r="IF184" s="198">
        <f t="shared" ref="IF184" si="2017">IF183/HY183-1</f>
        <v>1.8049125514403297E-2</v>
      </c>
      <c r="IH184" s="197" t="str">
        <f t="shared" si="1245"/>
        <v>YoY Change (%)</v>
      </c>
      <c r="II184" s="198">
        <f>II183/IB183-1</f>
        <v>4.1895587165399872E-2</v>
      </c>
      <c r="IJ184" s="198">
        <f t="shared" ref="IJ184" si="2018">IJ183/IC183-1</f>
        <v>3.3729677262800406E-2</v>
      </c>
      <c r="IK184" s="198">
        <f t="shared" ref="IK184" si="2019">IK183/ID183-1</f>
        <v>2.629078238834337E-2</v>
      </c>
      <c r="IL184" s="198">
        <f t="shared" ref="IL184" si="2020">IL183/IE183-1</f>
        <v>2.4492124620494327E-2</v>
      </c>
      <c r="IM184" s="198">
        <f t="shared" ref="IM184" si="2021">IM183/IF183-1</f>
        <v>3.0872813859923021E-2</v>
      </c>
      <c r="IO184" s="197" t="str">
        <f t="shared" si="1246"/>
        <v>YoY Change (%)</v>
      </c>
      <c r="IP184" s="198">
        <f>IP183/II183-1</f>
        <v>-5.9260224016670637E-3</v>
      </c>
      <c r="IQ184" s="198">
        <f t="shared" ref="IQ184" si="2022">IQ183/IJ183-1</f>
        <v>-2.1521126760563392E-2</v>
      </c>
      <c r="IR184" s="198">
        <f t="shared" ref="IR184" si="2023">IR183/IK183-1</f>
        <v>-9.2592592592593004E-3</v>
      </c>
      <c r="IS184" s="198">
        <f t="shared" ref="IS184" si="2024">IS183/IL183-1</f>
        <v>-2.8773841961852953E-2</v>
      </c>
      <c r="IT184" s="198">
        <f t="shared" ref="IT184" si="2025">IT183/IM183-1</f>
        <v>-1.6674148656448562E-2</v>
      </c>
      <c r="IV184" s="197" t="str">
        <f t="shared" si="1247"/>
        <v>YoY Change (%)</v>
      </c>
      <c r="IW184" s="198">
        <f>IW183/IP183-1</f>
        <v>-7.4263764404608468E-3</v>
      </c>
      <c r="IX184" s="198">
        <f t="shared" ref="IX184" si="2026">IX183/IQ183-1</f>
        <v>-9.5240553376005899E-3</v>
      </c>
      <c r="IY184" s="198">
        <f t="shared" ref="IY184" si="2027">IY183/IR183-1</f>
        <v>2.0177770156334818E-2</v>
      </c>
      <c r="IZ184" s="198">
        <f t="shared" ref="IZ184" si="2028">IZ183/IS183-1</f>
        <v>2.8255668223766683E-2</v>
      </c>
      <c r="JA184" s="198">
        <f t="shared" ref="JA184" si="2029">JA183/IT183-1</f>
        <v>8.2501383336062162E-3</v>
      </c>
      <c r="JC184" s="197" t="str">
        <f t="shared" si="1248"/>
        <v>YoY Change (%)</v>
      </c>
      <c r="JD184" s="198">
        <f>JD183/IW183-1</f>
        <v>2.7863777089783381E-2</v>
      </c>
      <c r="JE184" s="198">
        <f t="shared" ref="JE184" si="2030">JE183/IX183-1</f>
        <v>6.3946511229213021E-2</v>
      </c>
      <c r="JF184" s="198">
        <f t="shared" ref="JF184" si="2031">JF183/IY183-1</f>
        <v>-5.3397901533494885E-2</v>
      </c>
      <c r="JG184" s="198">
        <f t="shared" ref="JG184" si="2032">JG183/IZ183-1</f>
        <v>3.0838624273772597E-2</v>
      </c>
      <c r="JH184" s="198">
        <f t="shared" ref="JH184" si="2033">JH183/JA183-1</f>
        <v>1.777162102314267E-2</v>
      </c>
      <c r="JJ184" s="197" t="str">
        <f t="shared" si="1249"/>
        <v>YoY Change (%)</v>
      </c>
      <c r="JK184" s="198">
        <f>JK183/JD183-1</f>
        <v>4.5687422587546322E-2</v>
      </c>
      <c r="JL184" s="198">
        <f t="shared" ref="JL184" si="2034">JL183/JE183-1</f>
        <v>3.6882510013351189E-2</v>
      </c>
      <c r="JM184" s="198">
        <f t="shared" ref="JM184" si="2035">JM183/JF183-1</f>
        <v>5.4958304028936089E-2</v>
      </c>
      <c r="JN184" s="198">
        <f t="shared" ref="JN184" si="2036">JN183/JG183-1</f>
        <v>5.3040068750671354E-2</v>
      </c>
      <c r="JO184" s="198">
        <f t="shared" ref="JO184" si="2037">JO183/JH183-1</f>
        <v>4.6746082997521476E-2</v>
      </c>
      <c r="JQ184" s="197" t="str">
        <f t="shared" si="1250"/>
        <v>YoY Change (%)</v>
      </c>
      <c r="JR184" s="198">
        <f>JR183/JK183-1</f>
        <v>5.1717240985199364E-2</v>
      </c>
      <c r="JS184" s="198">
        <f t="shared" ref="JS184" si="2038">JS183/JL183-1</f>
        <v>3.9133364432695661E-2</v>
      </c>
      <c r="JT184" s="198">
        <f t="shared" ref="JT184" si="2039">JT183/JM183-1</f>
        <v>-9.9999999999988987E-4</v>
      </c>
      <c r="JU184" s="198">
        <f t="shared" ref="JU184" si="2040">JU183/JN183-1</f>
        <v>-9.1328268273513036E-2</v>
      </c>
      <c r="JV184" s="198">
        <f t="shared" ref="JV184" si="2041">JV183/JO183-1</f>
        <v>-1.7961631192442429E-4</v>
      </c>
      <c r="JX184" s="197" t="str">
        <f t="shared" si="1251"/>
        <v>YoY Change (%)</v>
      </c>
      <c r="JY184" s="198">
        <f>JY183/JR183-1</f>
        <v>-3.3634441668273229E-4</v>
      </c>
      <c r="JZ184" s="198">
        <f t="shared" ref="JZ184" si="2042">JZ183/JS183-1</f>
        <v>4.9841165516486541E-3</v>
      </c>
      <c r="KA184" s="198">
        <f t="shared" ref="KA184" si="2043">KA183/JT183-1</f>
        <v>7.8904991948470116E-2</v>
      </c>
      <c r="KB184" s="198">
        <f t="shared" ref="KB184" si="2044">KB183/JU183-1</f>
        <v>0.10367892976588622</v>
      </c>
      <c r="KC184" s="198">
        <f t="shared" ref="KC184" si="2045">KC183/JV183-1</f>
        <v>4.2427792217300642E-2</v>
      </c>
      <c r="KE184" s="197" t="str">
        <f t="shared" si="1252"/>
        <v>YoY Change (%)</v>
      </c>
      <c r="KF184" s="198">
        <f>KF183/JY183-1</f>
        <v>-2.6216343882853321E-3</v>
      </c>
      <c r="KG184" s="198">
        <f t="shared" ref="KG184" si="2046">KG183/JZ183-1</f>
        <v>3.7183609530876405E-2</v>
      </c>
      <c r="KH184" s="198">
        <f t="shared" ref="KH184" si="2047">KH183/KA183-1</f>
        <v>8.0240996850609259E-2</v>
      </c>
      <c r="KI184" s="198">
        <f t="shared" ref="KI184" si="2048">KI183/KB183-1</f>
        <v>6.4000000000000057E-2</v>
      </c>
      <c r="KJ184" s="198">
        <f t="shared" ref="KJ184" si="2049">KJ183/KC183-1</f>
        <v>4.5083752792532295E-2</v>
      </c>
      <c r="KL184" s="197" t="str">
        <f t="shared" si="1253"/>
        <v>YoY Change (%)</v>
      </c>
      <c r="KM184" s="198">
        <f>KM183/KF183-1</f>
        <v>9.008790248166676E-2</v>
      </c>
      <c r="KN184" s="198">
        <f t="shared" ref="KN184" si="2050">KN183/KG183-1</f>
        <v>8.5675675675675578E-2</v>
      </c>
      <c r="KO184" s="198">
        <f t="shared" ref="KO184" si="2051">KO183/KH183-1</f>
        <v>0.13343051506316828</v>
      </c>
      <c r="KP184" s="198">
        <f t="shared" ref="KP184" si="2052">KP183/KI183-1</f>
        <v>0.11304684475416171</v>
      </c>
      <c r="KQ184" s="198">
        <f t="shared" ref="KQ184" si="2053">KQ183/KJ183-1</f>
        <v>0.10579573413248977</v>
      </c>
      <c r="KS184" s="197" t="str">
        <f t="shared" si="1254"/>
        <v>YoY Change (%)</v>
      </c>
      <c r="KT184" s="198">
        <f>KT183/KM183-1</f>
        <v>9.2176049476849986E-2</v>
      </c>
      <c r="KU184" s="198">
        <f t="shared" ref="KU184" si="2054">KU183/KN183-1</f>
        <v>2.4354122099720321E-2</v>
      </c>
      <c r="KV184" s="198">
        <f t="shared" ref="KV184" si="2055">KV183/KO183-1</f>
        <v>-2.3883696780893193E-2</v>
      </c>
      <c r="KW184" s="198">
        <f t="shared" ref="KW184" si="2056">KW183/KP183-1</f>
        <v>6.2356979405036039E-3</v>
      </c>
      <c r="KX184" s="198">
        <f t="shared" ref="KX184" si="2057">KX183/KQ183-1</f>
        <v>2.3454193376068355E-2</v>
      </c>
      <c r="KZ184" s="197" t="str">
        <f t="shared" si="1255"/>
        <v>YoY Change (%)</v>
      </c>
      <c r="LA184" s="198">
        <f>LA183/KT183-1</f>
        <v>-3.2919828174554633E-3</v>
      </c>
      <c r="LB184" s="198">
        <f>LB183/KU183-1</f>
        <v>3.8344683080147046E-3</v>
      </c>
      <c r="LC184" s="198">
        <f>LC183/KV183-1</f>
        <v>1.2621709340064902E-2</v>
      </c>
      <c r="LD184" s="198">
        <f t="shared" ref="LD184" si="2058">LD183/KW183-1</f>
        <v>7.2341451651802835E-4</v>
      </c>
      <c r="LE184" s="199">
        <f t="shared" ref="LE184" si="2059">LE183/KX183-1</f>
        <v>2.8689074819698845E-3</v>
      </c>
      <c r="LF184" s="567"/>
      <c r="LG184" s="197" t="str">
        <f t="shared" si="1256"/>
        <v>YoY Change (%)</v>
      </c>
      <c r="LH184" s="198">
        <f>LH183/LA183-1</f>
        <v>-6.2600149556671925E-3</v>
      </c>
      <c r="LI184" s="198">
        <f>LI183/LB183-1</f>
        <v>1.1957391267736206E-2</v>
      </c>
      <c r="LJ184" s="198">
        <f>LJ183/LC183-1</f>
        <v>-1.4947552447552415E-2</v>
      </c>
      <c r="LK184" s="198">
        <f>LK183/LD183-1</f>
        <v>-3.4573074908329504E-3</v>
      </c>
      <c r="LL184" s="199">
        <f t="shared" ref="LL184" si="2060">LL183/LE183-1</f>
        <v>-2.8936201930500616E-3</v>
      </c>
      <c r="LM184" s="567"/>
      <c r="LN184" s="197" t="str">
        <f t="shared" si="1257"/>
        <v>YoY Change (%)</v>
      </c>
      <c r="LO184" s="222">
        <v>1.4999999999999999E-2</v>
      </c>
      <c r="LP184" s="222">
        <v>0.02</v>
      </c>
      <c r="LQ184" s="222">
        <v>0.02</v>
      </c>
      <c r="LR184" s="222">
        <v>0.02</v>
      </c>
      <c r="LS184" s="199">
        <f t="shared" ref="LS184" si="2061">LS183/LL183-1</f>
        <v>1.8749631262196198E-2</v>
      </c>
      <c r="LT184" s="567"/>
      <c r="LU184" s="197" t="str">
        <f t="shared" si="1261"/>
        <v>YoY Change (%)</v>
      </c>
      <c r="LV184" s="222">
        <v>2.75E-2</v>
      </c>
      <c r="LW184" s="222">
        <v>2.75E-2</v>
      </c>
      <c r="LX184" s="222">
        <v>2.75E-2</v>
      </c>
      <c r="LY184" s="222">
        <v>2.75E-2</v>
      </c>
      <c r="LZ184" s="199">
        <f t="shared" ref="LZ184" si="2062">LZ183/LS183-1</f>
        <v>2.750000000000008E-2</v>
      </c>
      <c r="MA184" s="567"/>
      <c r="MB184" s="197" t="str">
        <f t="shared" si="1265"/>
        <v>YoY Change (%)</v>
      </c>
      <c r="MC184" s="222">
        <v>2.5000000000000001E-2</v>
      </c>
      <c r="MD184" s="222">
        <v>2.5000000000000001E-2</v>
      </c>
      <c r="ME184" s="222">
        <v>2.5000000000000001E-2</v>
      </c>
      <c r="MF184" s="222">
        <v>2.5000000000000001E-2</v>
      </c>
      <c r="MG184" s="199">
        <f t="shared" ref="MG184" si="2063">MG183/LZ183-1</f>
        <v>2.5000000000000133E-2</v>
      </c>
      <c r="MH184" s="567"/>
    </row>
    <row r="185" spans="1:346" s="37" customFormat="1" ht="13.15" x14ac:dyDescent="0.4">
      <c r="A185" s="100"/>
      <c r="C185" s="186"/>
      <c r="D185" s="186"/>
      <c r="E185" s="186"/>
      <c r="F185" s="186"/>
      <c r="G185" s="186"/>
      <c r="H185" s="186"/>
      <c r="I185" s="186"/>
      <c r="J185" s="186"/>
      <c r="K185" s="186"/>
      <c r="L185" s="186"/>
      <c r="M185" s="186"/>
      <c r="N185" s="193"/>
      <c r="O185" s="193"/>
      <c r="P185" s="193"/>
      <c r="Q185" s="193"/>
      <c r="R185" s="193"/>
      <c r="S185" s="193"/>
      <c r="T185" s="193"/>
      <c r="U185" s="193"/>
      <c r="V185" s="193"/>
      <c r="W185" s="193"/>
      <c r="X185" s="193"/>
      <c r="Y185" s="193"/>
      <c r="Z185" s="193"/>
      <c r="AA185" s="193"/>
      <c r="AB185" s="193"/>
      <c r="AC185" s="193"/>
      <c r="AD185" s="193"/>
      <c r="AE185" s="193"/>
      <c r="AF185" s="193"/>
      <c r="AG185" s="193"/>
      <c r="AH185" s="193"/>
      <c r="AI185" s="193"/>
      <c r="AJ185" s="193"/>
      <c r="AK185" s="193"/>
      <c r="AL185" s="193"/>
      <c r="AM185" s="193"/>
      <c r="AN185" s="193"/>
      <c r="AO185" s="193"/>
      <c r="AP185" s="193"/>
      <c r="AQ185" s="193"/>
      <c r="AR185" s="193"/>
      <c r="AS185" s="193"/>
      <c r="AT185" s="193"/>
      <c r="AU185" s="193"/>
      <c r="AV185" s="193"/>
      <c r="AW185" s="193"/>
      <c r="AX185" s="193"/>
      <c r="AY185" s="193"/>
      <c r="AZ185" s="193"/>
      <c r="BA185" s="193"/>
      <c r="BB185" s="193"/>
      <c r="BC185" s="193"/>
      <c r="BD185" s="193"/>
      <c r="BE185" s="193"/>
      <c r="BF185" s="193"/>
      <c r="BG185" s="193"/>
      <c r="BH185" s="193"/>
      <c r="BI185" s="193"/>
      <c r="BJ185" s="193"/>
      <c r="BK185" s="193"/>
      <c r="BL185" s="193"/>
      <c r="BM185" s="193"/>
      <c r="BP185" s="193"/>
      <c r="BQ185" s="193"/>
      <c r="BR185" s="193"/>
      <c r="BS185" s="193"/>
      <c r="BT185" s="193"/>
      <c r="BW185" s="193"/>
      <c r="BX185" s="193"/>
      <c r="BY185" s="193"/>
      <c r="BZ185" s="193"/>
      <c r="CA185" s="193"/>
      <c r="CD185" s="193"/>
      <c r="CE185" s="193"/>
      <c r="CF185" s="193"/>
      <c r="CG185" s="193"/>
      <c r="CH185" s="193"/>
      <c r="CK185" s="193"/>
      <c r="CL185" s="193"/>
      <c r="CM185" s="193"/>
      <c r="CN185" s="193"/>
      <c r="CO185" s="193"/>
      <c r="CR185" s="193"/>
      <c r="CS185" s="193"/>
      <c r="CT185" s="193"/>
      <c r="CU185" s="193"/>
      <c r="CV185" s="193"/>
      <c r="CY185" s="193"/>
      <c r="CZ185" s="193"/>
      <c r="DA185" s="193"/>
      <c r="DB185" s="193"/>
      <c r="DC185" s="193"/>
      <c r="DF185" s="193"/>
      <c r="DG185" s="193"/>
      <c r="DH185" s="193"/>
      <c r="DI185" s="193"/>
      <c r="DJ185" s="193"/>
      <c r="DM185" s="193"/>
      <c r="DN185" s="193"/>
      <c r="DO185" s="193"/>
      <c r="DP185" s="193"/>
      <c r="DQ185" s="193"/>
      <c r="DT185" s="193"/>
      <c r="DU185" s="193"/>
      <c r="DV185" s="193"/>
      <c r="DW185" s="193"/>
      <c r="DX185" s="193"/>
      <c r="EA185" s="193"/>
      <c r="EB185" s="193"/>
      <c r="EC185" s="193"/>
      <c r="ED185" s="193"/>
      <c r="EE185" s="193"/>
      <c r="EH185" s="193"/>
      <c r="EI185" s="193"/>
      <c r="EJ185" s="193"/>
      <c r="EK185" s="193"/>
      <c r="EL185" s="193"/>
      <c r="EO185" s="193"/>
      <c r="EP185" s="193"/>
      <c r="EQ185" s="193"/>
      <c r="ER185" s="193"/>
      <c r="ES185" s="193"/>
      <c r="EV185" s="193"/>
      <c r="EW185" s="193"/>
      <c r="EX185" s="193"/>
      <c r="EY185" s="193"/>
      <c r="EZ185" s="193"/>
      <c r="FC185" s="193"/>
      <c r="FD185" s="193"/>
      <c r="FE185" s="193"/>
      <c r="FF185" s="193"/>
      <c r="FG185" s="193"/>
      <c r="FJ185" s="193"/>
      <c r="FK185" s="193"/>
      <c r="FL185" s="193"/>
      <c r="FM185" s="193"/>
      <c r="FN185" s="193"/>
      <c r="FQ185" s="193"/>
      <c r="FR185" s="193"/>
      <c r="FS185" s="193"/>
      <c r="FT185" s="193"/>
      <c r="FU185" s="193"/>
      <c r="FX185" s="193"/>
      <c r="FY185" s="193"/>
      <c r="FZ185" s="193"/>
      <c r="GA185" s="193"/>
      <c r="GB185" s="193"/>
      <c r="GE185" s="193"/>
      <c r="GF185" s="193"/>
      <c r="GG185" s="193"/>
      <c r="GH185" s="193"/>
      <c r="GI185" s="193"/>
      <c r="GL185" s="193"/>
      <c r="GM185" s="193"/>
      <c r="GN185" s="193"/>
      <c r="GO185" s="193"/>
      <c r="GP185" s="193"/>
      <c r="GS185" s="193"/>
      <c r="GT185" s="193"/>
      <c r="GU185" s="193"/>
      <c r="GV185" s="193"/>
      <c r="GW185" s="193"/>
      <c r="GZ185" s="193"/>
      <c r="HA185" s="193"/>
      <c r="HB185" s="193"/>
      <c r="HC185" s="193"/>
      <c r="HD185" s="193"/>
      <c r="HG185" s="193"/>
      <c r="HH185" s="193"/>
      <c r="HI185" s="193"/>
      <c r="HJ185" s="193"/>
      <c r="HK185" s="193"/>
      <c r="HN185" s="193"/>
      <c r="HO185" s="193"/>
      <c r="HP185" s="193"/>
      <c r="HQ185" s="193"/>
      <c r="HR185" s="193"/>
      <c r="HU185" s="193"/>
      <c r="HV185" s="193"/>
      <c r="HW185" s="193"/>
      <c r="HX185" s="193"/>
      <c r="HY185" s="193"/>
      <c r="IB185" s="193"/>
      <c r="IC185" s="193"/>
      <c r="ID185" s="193"/>
      <c r="IE185" s="193"/>
      <c r="IF185" s="193"/>
      <c r="II185" s="193"/>
      <c r="IJ185" s="193"/>
      <c r="IK185" s="193"/>
      <c r="IL185" s="193"/>
      <c r="IM185" s="193"/>
      <c r="IP185" s="193"/>
      <c r="IQ185" s="193"/>
      <c r="IR185" s="193"/>
      <c r="IS185" s="193"/>
      <c r="IT185" s="193"/>
      <c r="IW185" s="193"/>
      <c r="IX185" s="193"/>
      <c r="IY185" s="193"/>
      <c r="IZ185" s="193"/>
      <c r="JA185" s="193"/>
      <c r="JD185" s="193"/>
      <c r="JE185" s="193"/>
      <c r="JF185" s="193"/>
      <c r="JG185" s="193"/>
      <c r="JH185" s="193"/>
      <c r="JK185" s="193"/>
      <c r="JL185" s="193"/>
      <c r="JM185" s="193"/>
      <c r="JN185" s="193"/>
      <c r="JO185" s="193"/>
      <c r="JR185" s="193"/>
      <c r="JS185" s="193"/>
      <c r="JT185" s="193"/>
      <c r="JU185" s="193"/>
      <c r="JV185" s="193"/>
      <c r="JY185" s="193"/>
      <c r="JZ185" s="193"/>
      <c r="KA185" s="193"/>
      <c r="KB185" s="193"/>
      <c r="KC185" s="193"/>
      <c r="KF185" s="193"/>
      <c r="KG185" s="193"/>
      <c r="KH185" s="193"/>
      <c r="KI185" s="193"/>
      <c r="KJ185" s="193"/>
      <c r="KM185" s="193"/>
      <c r="KN185" s="193"/>
      <c r="KO185" s="193"/>
      <c r="KP185" s="193"/>
      <c r="KQ185" s="193"/>
      <c r="KT185" s="193"/>
      <c r="KU185" s="193"/>
      <c r="KV185" s="193"/>
      <c r="KW185" s="193"/>
      <c r="KX185" s="193"/>
      <c r="LA185" s="193"/>
      <c r="LB185" s="193"/>
      <c r="LC185" s="193"/>
      <c r="LD185" s="193"/>
      <c r="LE185" s="200"/>
      <c r="LF185" s="565"/>
      <c r="LH185" s="193"/>
      <c r="LI185" s="193"/>
      <c r="LJ185" s="193"/>
      <c r="LK185" s="193"/>
      <c r="LL185" s="200"/>
      <c r="LM185" s="565"/>
      <c r="LO185" s="200"/>
      <c r="LP185" s="200"/>
      <c r="LQ185" s="200"/>
      <c r="LR185" s="200"/>
      <c r="LS185" s="200"/>
      <c r="LT185" s="565"/>
      <c r="LV185" s="200"/>
      <c r="LW185" s="200"/>
      <c r="LX185" s="200"/>
      <c r="LY185" s="200"/>
      <c r="LZ185" s="200"/>
      <c r="MA185" s="565"/>
      <c r="MC185" s="200"/>
      <c r="MD185" s="200"/>
      <c r="ME185" s="200"/>
      <c r="MF185" s="200"/>
      <c r="MG185" s="200"/>
      <c r="MH185" s="565"/>
    </row>
    <row r="186" spans="1:346" s="68" customFormat="1" ht="12.75" x14ac:dyDescent="0.35">
      <c r="A186" s="140"/>
      <c r="B186" s="68" t="s">
        <v>521</v>
      </c>
      <c r="C186" s="190"/>
      <c r="D186" s="190"/>
      <c r="E186" s="190"/>
      <c r="F186" s="190"/>
      <c r="G186" s="190"/>
      <c r="H186" s="190"/>
      <c r="I186" s="190"/>
      <c r="J186" s="190"/>
      <c r="K186" s="190"/>
      <c r="L186" s="190"/>
      <c r="M186" s="190"/>
      <c r="N186" s="203">
        <f>(N183*N180)/1000</f>
        <v>285</v>
      </c>
      <c r="O186" s="203">
        <f>(O183*O180)/1000</f>
        <v>299</v>
      </c>
      <c r="P186" s="203">
        <f t="shared" ref="P186:AY186" si="2064">(P183*P180)/1000</f>
        <v>296</v>
      </c>
      <c r="Q186" s="203">
        <f t="shared" si="2064"/>
        <v>297</v>
      </c>
      <c r="R186" s="203">
        <f t="shared" si="2064"/>
        <v>327</v>
      </c>
      <c r="S186" s="203">
        <f t="shared" si="2064"/>
        <v>317.99999999999994</v>
      </c>
      <c r="T186" s="203">
        <f t="shared" si="2064"/>
        <v>336</v>
      </c>
      <c r="U186" s="203">
        <f t="shared" si="2064"/>
        <v>338</v>
      </c>
      <c r="V186" s="203">
        <f t="shared" si="2064"/>
        <v>347</v>
      </c>
      <c r="W186" s="203">
        <f t="shared" si="2064"/>
        <v>370.00000000000006</v>
      </c>
      <c r="X186" s="203">
        <f t="shared" si="2064"/>
        <v>438</v>
      </c>
      <c r="Y186" s="203">
        <f t="shared" si="2064"/>
        <v>633</v>
      </c>
      <c r="Z186" s="203">
        <f t="shared" si="2064"/>
        <v>662</v>
      </c>
      <c r="AA186" s="203">
        <f t="shared" si="2064"/>
        <v>648</v>
      </c>
      <c r="AB186" s="203">
        <f t="shared" si="2064"/>
        <v>805</v>
      </c>
      <c r="AC186" s="203">
        <f t="shared" si="2064"/>
        <v>890</v>
      </c>
      <c r="AD186" s="203">
        <f t="shared" si="2064"/>
        <v>989.00000000000011</v>
      </c>
      <c r="AE186" s="203">
        <f t="shared" si="2064"/>
        <v>1158</v>
      </c>
      <c r="AF186" s="203">
        <f t="shared" si="2064"/>
        <v>983.99999999999989</v>
      </c>
      <c r="AG186" s="203">
        <f t="shared" si="2064"/>
        <v>1290.9999999999998</v>
      </c>
      <c r="AH186" s="203">
        <f t="shared" si="2064"/>
        <v>1193</v>
      </c>
      <c r="AI186" s="203">
        <f t="shared" si="2064"/>
        <v>1301</v>
      </c>
      <c r="AJ186" s="203">
        <f t="shared" si="2064"/>
        <v>1311</v>
      </c>
      <c r="AK186" s="203">
        <f t="shared" si="2064"/>
        <v>1280</v>
      </c>
      <c r="AL186" s="203">
        <f t="shared" si="2064"/>
        <v>1282</v>
      </c>
      <c r="AM186" s="203">
        <f t="shared" si="2064"/>
        <v>1395</v>
      </c>
      <c r="AN186" s="203">
        <f t="shared" si="2064"/>
        <v>1345</v>
      </c>
      <c r="AO186" s="203">
        <f t="shared" si="2064"/>
        <v>1286</v>
      </c>
      <c r="AP186" s="203">
        <f t="shared" si="2064"/>
        <v>1243</v>
      </c>
      <c r="AQ186" s="203">
        <f t="shared" si="2064"/>
        <v>1281</v>
      </c>
      <c r="AR186" s="203">
        <f t="shared" si="2064"/>
        <v>1298</v>
      </c>
      <c r="AS186" s="203">
        <f t="shared" si="2064"/>
        <v>1386</v>
      </c>
      <c r="AT186" s="203">
        <f t="shared" si="2064"/>
        <v>1461.0000000000002</v>
      </c>
      <c r="AU186" s="203">
        <f t="shared" si="2064"/>
        <v>1664</v>
      </c>
      <c r="AV186" s="203">
        <f t="shared" si="2064"/>
        <v>1657</v>
      </c>
      <c r="AW186" s="203">
        <f t="shared" si="2064"/>
        <v>1644</v>
      </c>
      <c r="AX186" s="203">
        <f t="shared" si="2064"/>
        <v>1618</v>
      </c>
      <c r="AY186" s="203">
        <f t="shared" si="2064"/>
        <v>1621.4837999999997</v>
      </c>
      <c r="AZ186" s="203">
        <f t="shared" ref="AZ186:BA186" si="2065">(AZ183*AZ180)/1000</f>
        <v>1707.7264696124996</v>
      </c>
      <c r="BA186" s="203">
        <f t="shared" si="2065"/>
        <v>1785.4280239798688</v>
      </c>
      <c r="BB186" s="203"/>
      <c r="BC186" s="203"/>
      <c r="BD186" s="203"/>
      <c r="BE186" s="203"/>
      <c r="BF186" s="203"/>
      <c r="BG186" s="203"/>
      <c r="BH186" s="203"/>
      <c r="BI186" s="203"/>
      <c r="BJ186" s="203"/>
      <c r="BK186" s="203"/>
      <c r="BL186" s="203"/>
      <c r="BM186" s="203"/>
      <c r="BO186" s="68" t="str">
        <f t="shared" si="1220"/>
        <v>Agricultural and Food Product Revenue</v>
      </c>
      <c r="BP186" s="204">
        <f>(BP183*BP180)/1000</f>
        <v>71.000000000000014</v>
      </c>
      <c r="BQ186" s="204">
        <f t="shared" ref="BQ186:BS186" si="2066">(BQ183*BQ180)/1000</f>
        <v>69</v>
      </c>
      <c r="BR186" s="204">
        <f t="shared" si="2066"/>
        <v>64</v>
      </c>
      <c r="BS186" s="204">
        <f t="shared" si="2066"/>
        <v>80.999999999999986</v>
      </c>
      <c r="BT186" s="204">
        <f t="shared" ref="BT186" si="2067">(BT183*BT180)/1000</f>
        <v>285</v>
      </c>
      <c r="BV186" s="68" t="str">
        <f t="shared" si="1221"/>
        <v>Agricultural and Food Product Revenue</v>
      </c>
      <c r="BW186" s="204">
        <f>(BW183*BW180)/1000</f>
        <v>85</v>
      </c>
      <c r="BX186" s="204">
        <f t="shared" ref="BX186:CA186" si="2068">(BX183*BX180)/1000</f>
        <v>69.000000000000014</v>
      </c>
      <c r="BY186" s="204">
        <f t="shared" si="2068"/>
        <v>64.999999999999986</v>
      </c>
      <c r="BZ186" s="204">
        <f t="shared" si="2068"/>
        <v>80</v>
      </c>
      <c r="CA186" s="204">
        <f t="shared" si="2068"/>
        <v>299</v>
      </c>
      <c r="CC186" s="68" t="str">
        <f t="shared" si="1222"/>
        <v>Agricultural and Food Product Revenue</v>
      </c>
      <c r="CD186" s="204">
        <f>(CD183*CD180)/1000</f>
        <v>78</v>
      </c>
      <c r="CE186" s="204">
        <f t="shared" ref="CE186:CH186" si="2069">(CE183*CE180)/1000</f>
        <v>69</v>
      </c>
      <c r="CF186" s="204">
        <f t="shared" si="2069"/>
        <v>72</v>
      </c>
      <c r="CG186" s="204">
        <f t="shared" si="2069"/>
        <v>77</v>
      </c>
      <c r="CH186" s="204">
        <f t="shared" si="2069"/>
        <v>296</v>
      </c>
      <c r="CJ186" s="68" t="str">
        <f t="shared" si="1223"/>
        <v>Agricultural and Food Product Revenue</v>
      </c>
      <c r="CK186" s="204">
        <f>(CK183*CK180)/1000</f>
        <v>74</v>
      </c>
      <c r="CL186" s="204">
        <f t="shared" ref="CL186:CO186" si="2070">(CL183*CL180)/1000</f>
        <v>70</v>
      </c>
      <c r="CM186" s="204">
        <f t="shared" si="2070"/>
        <v>68</v>
      </c>
      <c r="CN186" s="204">
        <f t="shared" si="2070"/>
        <v>84.999999999999986</v>
      </c>
      <c r="CO186" s="204">
        <f t="shared" si="2070"/>
        <v>297</v>
      </c>
      <c r="CQ186" s="68" t="str">
        <f t="shared" si="1224"/>
        <v>Agricultural and Food Product Revenue</v>
      </c>
      <c r="CR186" s="204">
        <f>(CR183*CR180)/1000</f>
        <v>83</v>
      </c>
      <c r="CS186" s="204">
        <f t="shared" ref="CS186:CV186" si="2071">(CS183*CS180)/1000</f>
        <v>78</v>
      </c>
      <c r="CT186" s="204">
        <f t="shared" si="2071"/>
        <v>75</v>
      </c>
      <c r="CU186" s="204">
        <f t="shared" si="2071"/>
        <v>91</v>
      </c>
      <c r="CV186" s="204">
        <f t="shared" si="2071"/>
        <v>327</v>
      </c>
      <c r="CX186" s="68" t="str">
        <f t="shared" si="1225"/>
        <v>Agricultural and Food Product Revenue</v>
      </c>
      <c r="CY186" s="204">
        <f>(CY183*CY180)/1000</f>
        <v>82</v>
      </c>
      <c r="CZ186" s="204">
        <f t="shared" ref="CZ186:DC186" si="2072">(CZ183*CZ180)/1000</f>
        <v>81</v>
      </c>
      <c r="DA186" s="204">
        <f t="shared" si="2072"/>
        <v>67.999999999999986</v>
      </c>
      <c r="DB186" s="204">
        <f t="shared" si="2072"/>
        <v>87</v>
      </c>
      <c r="DC186" s="204">
        <f t="shared" si="2072"/>
        <v>317.99999999999994</v>
      </c>
      <c r="DE186" s="68" t="str">
        <f t="shared" si="1226"/>
        <v>Agricultural and Food Product Revenue</v>
      </c>
      <c r="DF186" s="204">
        <f>(DF183*DF180)/1000</f>
        <v>84</v>
      </c>
      <c r="DG186" s="204">
        <f t="shared" ref="DG186:DJ186" si="2073">(DG183*DG180)/1000</f>
        <v>83</v>
      </c>
      <c r="DH186" s="204">
        <f t="shared" si="2073"/>
        <v>78.999999999999986</v>
      </c>
      <c r="DI186" s="204">
        <f t="shared" si="2073"/>
        <v>90</v>
      </c>
      <c r="DJ186" s="204">
        <f t="shared" si="2073"/>
        <v>336</v>
      </c>
      <c r="DL186" s="68" t="str">
        <f t="shared" si="1227"/>
        <v>Agricultural and Food Product Revenue</v>
      </c>
      <c r="DM186" s="204">
        <f>(DM183*DM180)/1000</f>
        <v>89</v>
      </c>
      <c r="DN186" s="204">
        <f t="shared" ref="DN186:DQ186" si="2074">(DN183*DN180)/1000</f>
        <v>89</v>
      </c>
      <c r="DO186" s="204">
        <f t="shared" si="2074"/>
        <v>67</v>
      </c>
      <c r="DP186" s="204">
        <f t="shared" si="2074"/>
        <v>93.000000000000014</v>
      </c>
      <c r="DQ186" s="204">
        <f t="shared" si="2074"/>
        <v>338</v>
      </c>
      <c r="DS186" s="68" t="str">
        <f t="shared" si="1228"/>
        <v>Agricultural and Food Product Revenue</v>
      </c>
      <c r="DT186" s="204">
        <f>(DT183*DT180)/1000</f>
        <v>92</v>
      </c>
      <c r="DU186" s="204">
        <f t="shared" ref="DU186:DX186" si="2075">(DU183*DU180)/1000</f>
        <v>88</v>
      </c>
      <c r="DV186" s="204">
        <f t="shared" si="2075"/>
        <v>74.000000000000014</v>
      </c>
      <c r="DW186" s="204">
        <f t="shared" si="2075"/>
        <v>93</v>
      </c>
      <c r="DX186" s="204">
        <f t="shared" si="2075"/>
        <v>347</v>
      </c>
      <c r="DZ186" s="68" t="str">
        <f t="shared" si="1229"/>
        <v>Agricultural and Food Product Revenue</v>
      </c>
      <c r="EA186" s="204">
        <f>(EA183*EA180)/1000</f>
        <v>91</v>
      </c>
      <c r="EB186" s="204">
        <f t="shared" ref="EB186:EE186" si="2076">(EB183*EB180)/1000</f>
        <v>87</v>
      </c>
      <c r="EC186" s="204">
        <f t="shared" si="2076"/>
        <v>87</v>
      </c>
      <c r="ED186" s="204">
        <f t="shared" si="2076"/>
        <v>104.99999999999999</v>
      </c>
      <c r="EE186" s="204">
        <f t="shared" si="2076"/>
        <v>370.00000000000006</v>
      </c>
      <c r="EG186" s="68" t="str">
        <f t="shared" si="1230"/>
        <v>Agricultural and Food Product Revenue</v>
      </c>
      <c r="EH186" s="204">
        <f>(EH183*EH180)/1000</f>
        <v>100.00000000000001</v>
      </c>
      <c r="EI186" s="204">
        <f t="shared" ref="EI186:EL186" si="2077">(EI183*EI180)/1000</f>
        <v>100</v>
      </c>
      <c r="EJ186" s="204">
        <f t="shared" si="2077"/>
        <v>112</v>
      </c>
      <c r="EK186" s="204">
        <f t="shared" si="2077"/>
        <v>125.99999999999999</v>
      </c>
      <c r="EL186" s="204">
        <f t="shared" si="2077"/>
        <v>438</v>
      </c>
      <c r="EN186" s="68" t="str">
        <f t="shared" si="1231"/>
        <v>Agricultural and Food Product Revenue</v>
      </c>
      <c r="EO186" s="204">
        <f>(EO183*EO180)/1000</f>
        <v>157.00000000000003</v>
      </c>
      <c r="EP186" s="204">
        <f t="shared" ref="EP186:ES186" si="2078">(EP183*EP180)/1000</f>
        <v>153</v>
      </c>
      <c r="EQ186" s="204">
        <f t="shared" si="2078"/>
        <v>154</v>
      </c>
      <c r="ER186" s="204">
        <f t="shared" si="2078"/>
        <v>169.00000000000003</v>
      </c>
      <c r="ES186" s="204">
        <f t="shared" si="2078"/>
        <v>633</v>
      </c>
      <c r="EU186" s="68" t="str">
        <f t="shared" si="1232"/>
        <v>Agricultural and Food Product Revenue</v>
      </c>
      <c r="EV186" s="204">
        <f>(EV183*EV180)/1000</f>
        <v>174</v>
      </c>
      <c r="EW186" s="204">
        <f t="shared" ref="EW186:EZ186" si="2079">(EW183*EW180)/1000</f>
        <v>166</v>
      </c>
      <c r="EX186" s="204">
        <f t="shared" si="2079"/>
        <v>157</v>
      </c>
      <c r="EY186" s="204">
        <f t="shared" si="2079"/>
        <v>164.99999999999997</v>
      </c>
      <c r="EZ186" s="204">
        <f t="shared" si="2079"/>
        <v>662</v>
      </c>
      <c r="FB186" s="68" t="str">
        <f t="shared" si="1233"/>
        <v>Agricultural and Food Product Revenue</v>
      </c>
      <c r="FC186" s="204">
        <f>(FC183*FC180)/1000</f>
        <v>166</v>
      </c>
      <c r="FD186" s="204">
        <f t="shared" ref="FD186:FG186" si="2080">(FD183*FD180)/1000</f>
        <v>159</v>
      </c>
      <c r="FE186" s="204">
        <f t="shared" si="2080"/>
        <v>154</v>
      </c>
      <c r="FF186" s="204">
        <f t="shared" si="2080"/>
        <v>169</v>
      </c>
      <c r="FG186" s="204">
        <f t="shared" si="2080"/>
        <v>648</v>
      </c>
      <c r="FI186" s="68" t="str">
        <f t="shared" si="1234"/>
        <v>Agricultural and Food Product Revenue</v>
      </c>
      <c r="FJ186" s="204">
        <f>(FJ183*FJ180)/1000</f>
        <v>168</v>
      </c>
      <c r="FK186" s="204">
        <f t="shared" ref="FK186:FN186" si="2081">(FK183*FK180)/1000</f>
        <v>214</v>
      </c>
      <c r="FL186" s="204">
        <f t="shared" si="2081"/>
        <v>204.99999999999997</v>
      </c>
      <c r="FM186" s="204">
        <f t="shared" si="2081"/>
        <v>218</v>
      </c>
      <c r="FN186" s="204">
        <f t="shared" si="2081"/>
        <v>805</v>
      </c>
      <c r="FP186" s="68" t="str">
        <f t="shared" si="1235"/>
        <v>Agricultural and Food Product Revenue</v>
      </c>
      <c r="FQ186" s="204">
        <f>(FQ183*FQ180)/1000</f>
        <v>219.00000000000003</v>
      </c>
      <c r="FR186" s="204">
        <f t="shared" ref="FR186:FU186" si="2082">(FR183*FR180)/1000</f>
        <v>219</v>
      </c>
      <c r="FS186" s="204">
        <f t="shared" si="2082"/>
        <v>210</v>
      </c>
      <c r="FT186" s="204">
        <f t="shared" si="2082"/>
        <v>242.00000000000003</v>
      </c>
      <c r="FU186" s="204">
        <f t="shared" si="2082"/>
        <v>890</v>
      </c>
      <c r="FW186" s="68" t="str">
        <f t="shared" si="1236"/>
        <v>Agricultural and Food Product Revenue</v>
      </c>
      <c r="FX186" s="204">
        <f>(FX183*FX180)/1000</f>
        <v>242</v>
      </c>
      <c r="FY186" s="204">
        <f t="shared" ref="FY186:GB186" si="2083">(FY183*FY180)/1000</f>
        <v>242</v>
      </c>
      <c r="FZ186" s="204">
        <f t="shared" si="2083"/>
        <v>243</v>
      </c>
      <c r="GA186" s="204">
        <f t="shared" si="2083"/>
        <v>262</v>
      </c>
      <c r="GB186" s="204">
        <f t="shared" si="2083"/>
        <v>989.00000000000011</v>
      </c>
      <c r="GD186" s="68" t="str">
        <f t="shared" si="1237"/>
        <v>Agricultural and Food Product Revenue</v>
      </c>
      <c r="GE186" s="204">
        <f>(GE183*GE180)/1000</f>
        <v>275</v>
      </c>
      <c r="GF186" s="204">
        <f t="shared" ref="GF186:GI186" si="2084">(GF183*GF180)/1000</f>
        <v>284</v>
      </c>
      <c r="GG186" s="204">
        <f t="shared" si="2084"/>
        <v>299</v>
      </c>
      <c r="GH186" s="204">
        <f t="shared" si="2084"/>
        <v>300</v>
      </c>
      <c r="GI186" s="204">
        <f t="shared" si="2084"/>
        <v>1158</v>
      </c>
      <c r="GK186" s="68" t="str">
        <f t="shared" si="1238"/>
        <v>Agricultural and Food Product Revenue</v>
      </c>
      <c r="GL186" s="204">
        <f>(GL183*GL180)/1000</f>
        <v>243</v>
      </c>
      <c r="GM186" s="204">
        <f t="shared" ref="GM186:GP186" si="2085">(GM183*GM180)/1000</f>
        <v>258</v>
      </c>
      <c r="GN186" s="204">
        <f t="shared" si="2085"/>
        <v>190</v>
      </c>
      <c r="GO186" s="204">
        <f t="shared" si="2085"/>
        <v>293</v>
      </c>
      <c r="GP186" s="204">
        <f t="shared" si="2085"/>
        <v>983.99999999999989</v>
      </c>
      <c r="GR186" s="68" t="str">
        <f t="shared" si="1239"/>
        <v>Agricultural and Food Product Revenue</v>
      </c>
      <c r="GS186" s="204">
        <f>(GS183*GS180)/1000</f>
        <v>300</v>
      </c>
      <c r="GT186" s="204">
        <f t="shared" ref="GT186:GW186" si="2086">(GT183*GT180)/1000</f>
        <v>316</v>
      </c>
      <c r="GU186" s="204">
        <f t="shared" si="2086"/>
        <v>331</v>
      </c>
      <c r="GV186" s="204">
        <f t="shared" si="2086"/>
        <v>344</v>
      </c>
      <c r="GW186" s="204">
        <f t="shared" si="2086"/>
        <v>1290.9999999999998</v>
      </c>
      <c r="GY186" s="68" t="str">
        <f t="shared" si="1240"/>
        <v>Agricultural and Food Product Revenue</v>
      </c>
      <c r="GZ186" s="204">
        <f>(GZ183*GZ180)/1000</f>
        <v>309</v>
      </c>
      <c r="HA186" s="204">
        <f t="shared" ref="HA186:HD186" si="2087">(HA183*HA180)/1000</f>
        <v>292.00000000000006</v>
      </c>
      <c r="HB186" s="204">
        <f t="shared" si="2087"/>
        <v>280.00000000000006</v>
      </c>
      <c r="HC186" s="204">
        <f t="shared" si="2087"/>
        <v>312</v>
      </c>
      <c r="HD186" s="204">
        <f t="shared" si="2087"/>
        <v>1193</v>
      </c>
      <c r="HF186" s="68" t="str">
        <f t="shared" si="1241"/>
        <v>Agricultural and Food Product Revenue</v>
      </c>
      <c r="HG186" s="204">
        <f>(HG183*HG180)/1000</f>
        <v>326</v>
      </c>
      <c r="HH186" s="204">
        <f t="shared" ref="HH186:HK186" si="2088">(HH183*HH180)/1000</f>
        <v>314</v>
      </c>
      <c r="HI186" s="204">
        <f t="shared" si="2088"/>
        <v>308</v>
      </c>
      <c r="HJ186" s="204">
        <f t="shared" si="2088"/>
        <v>352.99999999999994</v>
      </c>
      <c r="HK186" s="204">
        <f t="shared" si="2088"/>
        <v>1301</v>
      </c>
      <c r="HM186" s="68" t="str">
        <f t="shared" si="1242"/>
        <v>Agricultural and Food Product Revenue</v>
      </c>
      <c r="HN186" s="204">
        <f>(HN183*HN180)/1000</f>
        <v>323.00000000000006</v>
      </c>
      <c r="HO186" s="204">
        <f t="shared" ref="HO186:HR186" si="2089">(HO183*HO180)/1000</f>
        <v>343</v>
      </c>
      <c r="HP186" s="204">
        <f t="shared" si="2089"/>
        <v>298</v>
      </c>
      <c r="HQ186" s="204">
        <f t="shared" si="2089"/>
        <v>347</v>
      </c>
      <c r="HR186" s="204">
        <f t="shared" si="2089"/>
        <v>1311</v>
      </c>
      <c r="HT186" s="68" t="str">
        <f t="shared" si="1243"/>
        <v>Agricultural and Food Product Revenue</v>
      </c>
      <c r="HU186" s="204">
        <f>(HU183*HU180)/1000</f>
        <v>342</v>
      </c>
      <c r="HV186" s="204">
        <f t="shared" ref="HV186:HY186" si="2090">(HV183*HV180)/1000</f>
        <v>329</v>
      </c>
      <c r="HW186" s="204">
        <f t="shared" si="2090"/>
        <v>287</v>
      </c>
      <c r="HX186" s="204">
        <f t="shared" si="2090"/>
        <v>322</v>
      </c>
      <c r="HY186" s="204">
        <f t="shared" si="2090"/>
        <v>1280</v>
      </c>
      <c r="IA186" s="68" t="str">
        <f t="shared" si="1244"/>
        <v>Agricultural and Food Product Revenue</v>
      </c>
      <c r="IB186" s="204">
        <f>(IB183*IB180)/1000</f>
        <v>309</v>
      </c>
      <c r="IC186" s="204">
        <f t="shared" ref="IC186:IF186" si="2091">(IC183*IC180)/1000</f>
        <v>317</v>
      </c>
      <c r="ID186" s="204">
        <f t="shared" si="2091"/>
        <v>287</v>
      </c>
      <c r="IE186" s="204">
        <f t="shared" si="2091"/>
        <v>369</v>
      </c>
      <c r="IF186" s="204">
        <f t="shared" si="2091"/>
        <v>1282</v>
      </c>
      <c r="IH186" s="68" t="str">
        <f t="shared" si="1245"/>
        <v>Agricultural and Food Product Revenue</v>
      </c>
      <c r="II186" s="204">
        <f>(II183*II180)/1000</f>
        <v>349</v>
      </c>
      <c r="IJ186" s="204">
        <f t="shared" ref="IJ186:IM186" si="2092">(IJ183*IJ180)/1000</f>
        <v>355</v>
      </c>
      <c r="IK186" s="204">
        <f t="shared" si="2092"/>
        <v>324</v>
      </c>
      <c r="IL186" s="204">
        <f t="shared" si="2092"/>
        <v>367</v>
      </c>
      <c r="IM186" s="204">
        <f t="shared" si="2092"/>
        <v>1395</v>
      </c>
      <c r="IO186" s="68" t="str">
        <f t="shared" si="1246"/>
        <v>Agricultural and Food Product Revenue</v>
      </c>
      <c r="IP186" s="204">
        <f>(IP183*IP180)/1000</f>
        <v>355</v>
      </c>
      <c r="IQ186" s="204">
        <f t="shared" ref="IQ186:IT186" si="2093">(IQ183*IQ180)/1000</f>
        <v>334</v>
      </c>
      <c r="IR186" s="204">
        <f t="shared" si="2093"/>
        <v>321</v>
      </c>
      <c r="IS186" s="204">
        <f t="shared" si="2093"/>
        <v>335</v>
      </c>
      <c r="IT186" s="204">
        <f t="shared" si="2093"/>
        <v>1345</v>
      </c>
      <c r="IV186" s="68" t="str">
        <f t="shared" si="1247"/>
        <v>Agricultural and Food Product Revenue</v>
      </c>
      <c r="IW186" s="204">
        <f>(IW183*IW180)/1000</f>
        <v>323.00000000000006</v>
      </c>
      <c r="IX186" s="204">
        <f t="shared" ref="IX186:JA186" si="2094">(IX183*IX180)/1000</f>
        <v>307</v>
      </c>
      <c r="IY186" s="204">
        <f t="shared" si="2094"/>
        <v>295</v>
      </c>
      <c r="IZ186" s="204">
        <f t="shared" si="2094"/>
        <v>361</v>
      </c>
      <c r="JA186" s="204">
        <f t="shared" si="2094"/>
        <v>1286</v>
      </c>
      <c r="JC186" s="68" t="str">
        <f t="shared" si="1248"/>
        <v>Agricultural and Food Product Revenue</v>
      </c>
      <c r="JD186" s="204">
        <f>(JD183*JD180)/1000</f>
        <v>332.00000000000006</v>
      </c>
      <c r="JE186" s="204">
        <f t="shared" ref="JE186:JH186" si="2095">(JE183*JE180)/1000</f>
        <v>321</v>
      </c>
      <c r="JF186" s="204">
        <f t="shared" si="2095"/>
        <v>268.99999999999994</v>
      </c>
      <c r="JG186" s="204">
        <f t="shared" si="2095"/>
        <v>321</v>
      </c>
      <c r="JH186" s="204">
        <f t="shared" si="2095"/>
        <v>1243</v>
      </c>
      <c r="JJ186" s="68" t="str">
        <f t="shared" si="1249"/>
        <v>Agricultural and Food Product Revenue</v>
      </c>
      <c r="JK186" s="204">
        <f>(JK183*JK180)/1000</f>
        <v>307</v>
      </c>
      <c r="JL186" s="204">
        <f t="shared" ref="JL186:JO186" si="2096">(JL183*JL180)/1000</f>
        <v>327</v>
      </c>
      <c r="JM186" s="204">
        <f t="shared" si="2096"/>
        <v>300</v>
      </c>
      <c r="JN186" s="204">
        <f t="shared" si="2096"/>
        <v>347</v>
      </c>
      <c r="JO186" s="204">
        <f t="shared" si="2096"/>
        <v>1281</v>
      </c>
      <c r="JQ186" s="68" t="str">
        <f t="shared" si="1250"/>
        <v>Agricultural and Food Product Revenue</v>
      </c>
      <c r="JR186" s="204">
        <f>(JR183*JR180)/1000</f>
        <v>344.00000000000006</v>
      </c>
      <c r="JS186" s="204">
        <f t="shared" ref="JS186:JV186" si="2097">(JS183*JS180)/1000</f>
        <v>358</v>
      </c>
      <c r="JT186" s="204">
        <f t="shared" si="2097"/>
        <v>297</v>
      </c>
      <c r="JU186" s="204">
        <f t="shared" si="2097"/>
        <v>299.00000000000006</v>
      </c>
      <c r="JV186" s="204">
        <f t="shared" si="2097"/>
        <v>1298</v>
      </c>
      <c r="JX186" s="68" t="str">
        <f t="shared" si="1251"/>
        <v>Agricultural and Food Product Revenue</v>
      </c>
      <c r="JY186" s="204">
        <f>(JY183*JY180)/1000</f>
        <v>365</v>
      </c>
      <c r="JZ186" s="204">
        <f t="shared" ref="JZ186:KC186" si="2098">(JZ183*JZ180)/1000</f>
        <v>311</v>
      </c>
      <c r="KA186" s="204">
        <f t="shared" si="2098"/>
        <v>335</v>
      </c>
      <c r="KB186" s="204">
        <f t="shared" si="2098"/>
        <v>375</v>
      </c>
      <c r="KC186" s="204">
        <f t="shared" si="2098"/>
        <v>1386</v>
      </c>
      <c r="KE186" s="68" t="str">
        <f t="shared" si="1252"/>
        <v>Agricultural and Food Product Revenue</v>
      </c>
      <c r="KF186" s="204">
        <f>(KF183*KF180)/1000</f>
        <v>349</v>
      </c>
      <c r="KG186" s="204">
        <f t="shared" ref="KG186:KJ186" si="2099">(KG183*KG180)/1000</f>
        <v>369.99999999999994</v>
      </c>
      <c r="KH186" s="204">
        <f t="shared" si="2099"/>
        <v>343</v>
      </c>
      <c r="KI186" s="204">
        <f t="shared" si="2099"/>
        <v>399</v>
      </c>
      <c r="KJ186" s="204">
        <f t="shared" si="2099"/>
        <v>1461.0000000000002</v>
      </c>
      <c r="KL186" s="68" t="str">
        <f t="shared" si="1253"/>
        <v>Agricultural and Food Product Revenue</v>
      </c>
      <c r="KM186" s="204">
        <f>(KM183*KM180)/1000</f>
        <v>387</v>
      </c>
      <c r="KN186" s="204">
        <f t="shared" ref="KN186:KQ186" si="2100">(KN183*KN180)/1000</f>
        <v>411.99999999999994</v>
      </c>
      <c r="KO186" s="204">
        <f t="shared" si="2100"/>
        <v>428.00000000000006</v>
      </c>
      <c r="KP186" s="204">
        <f t="shared" si="2100"/>
        <v>436.99999999999994</v>
      </c>
      <c r="KQ186" s="204">
        <f t="shared" si="2100"/>
        <v>1664</v>
      </c>
      <c r="KS186" s="68" t="str">
        <f t="shared" si="1254"/>
        <v>Agricultural and Food Product Revenue</v>
      </c>
      <c r="KT186" s="204">
        <f>(KT183*KT180)/1000</f>
        <v>437</v>
      </c>
      <c r="KU186" s="204">
        <f t="shared" ref="KU186:KX186" si="2101">(KU183*KU180)/1000</f>
        <v>415</v>
      </c>
      <c r="KV186" s="204">
        <f t="shared" si="2101"/>
        <v>376</v>
      </c>
      <c r="KW186" s="204">
        <f t="shared" si="2101"/>
        <v>429</v>
      </c>
      <c r="KX186" s="204">
        <f t="shared" si="2101"/>
        <v>1657</v>
      </c>
      <c r="KZ186" s="68" t="str">
        <f t="shared" si="1255"/>
        <v>Agricultural and Food Product Revenue</v>
      </c>
      <c r="LA186" s="204">
        <f>(LA183*LA180)/1000</f>
        <v>407</v>
      </c>
      <c r="LB186" s="204">
        <f>(LB183*LB180)/1000</f>
        <v>406</v>
      </c>
      <c r="LC186" s="204">
        <f>(LC183*LC180)/1000</f>
        <v>416</v>
      </c>
      <c r="LD186" s="204">
        <f t="shared" ref="LD186" si="2102">(LD183*LD180)/1000</f>
        <v>415</v>
      </c>
      <c r="LE186" s="205">
        <f>SUM(LA186:LD186)</f>
        <v>1644</v>
      </c>
      <c r="LF186" s="563"/>
      <c r="LG186" s="68" t="str">
        <f t="shared" si="1256"/>
        <v>Agricultural and Food Product Revenue</v>
      </c>
      <c r="LH186" s="204">
        <f>(LH183*LH180)/1000</f>
        <v>408</v>
      </c>
      <c r="LI186" s="204">
        <f>(LI183*LI180)/1000</f>
        <v>418</v>
      </c>
      <c r="LJ186" s="204">
        <f>(LJ183*LJ180)/1000</f>
        <v>382</v>
      </c>
      <c r="LK186" s="204">
        <f>(LK183*LK180)/1000</f>
        <v>409.99999999999994</v>
      </c>
      <c r="LL186" s="205">
        <f>SUM(LH186:LK186)</f>
        <v>1618</v>
      </c>
      <c r="LM186" s="563"/>
      <c r="LN186" s="68" t="str">
        <f t="shared" si="1257"/>
        <v>Agricultural and Food Product Revenue</v>
      </c>
      <c r="LO186" s="205">
        <f>(LO180*LO183)/1000</f>
        <v>407.90819999999991</v>
      </c>
      <c r="LP186" s="205">
        <f t="shared" ref="LP186:LR186" si="2103">(LP180*LP183)/1000</f>
        <v>411.43740000000003</v>
      </c>
      <c r="LQ186" s="205">
        <f t="shared" si="2103"/>
        <v>381.84719999999993</v>
      </c>
      <c r="LR186" s="205">
        <f t="shared" si="2103"/>
        <v>420.29099999999994</v>
      </c>
      <c r="LS186" s="205">
        <f>SUM(LO186:LR186)</f>
        <v>1621.4837999999997</v>
      </c>
      <c r="LT186" s="563"/>
      <c r="LU186" s="68" t="str">
        <f t="shared" si="1261"/>
        <v>Agricultural and Food Product Revenue</v>
      </c>
      <c r="LV186" s="205">
        <f>(LV180*LV183)/1000</f>
        <v>429.60381738749993</v>
      </c>
      <c r="LW186" s="205">
        <f t="shared" ref="LW186:LY186" si="2104">(LW180*LW183)/1000</f>
        <v>433.3207267125</v>
      </c>
      <c r="LX186" s="205">
        <f t="shared" si="2104"/>
        <v>402.15669795000002</v>
      </c>
      <c r="LY186" s="205">
        <f t="shared" si="2104"/>
        <v>442.64522756249994</v>
      </c>
      <c r="LZ186" s="205">
        <f>SUM(LV186:LY186)</f>
        <v>1707.7264696124998</v>
      </c>
      <c r="MA186" s="563"/>
      <c r="MB186" s="68" t="str">
        <f t="shared" si="1265"/>
        <v>Agricultural and Food Product Revenue</v>
      </c>
      <c r="MC186" s="205">
        <f>(MC180*MC183)/1000</f>
        <v>449.15079107863113</v>
      </c>
      <c r="MD186" s="205">
        <f t="shared" ref="MD186:MF186" si="2105">(MD180*MD183)/1000</f>
        <v>453.03681977791877</v>
      </c>
      <c r="ME186" s="205">
        <f t="shared" si="2105"/>
        <v>420.45482770672493</v>
      </c>
      <c r="MF186" s="205">
        <f t="shared" si="2105"/>
        <v>462.78558541659362</v>
      </c>
      <c r="MG186" s="205">
        <f>SUM(MC186:MF186)</f>
        <v>1785.4280239798686</v>
      </c>
      <c r="MH186" s="563"/>
    </row>
    <row r="187" spans="1:346" s="37" customFormat="1" ht="13.15" x14ac:dyDescent="0.4">
      <c r="A187" s="100"/>
      <c r="B187" s="197" t="s">
        <v>516</v>
      </c>
      <c r="C187" s="186"/>
      <c r="D187" s="186"/>
      <c r="E187" s="186"/>
      <c r="F187" s="186"/>
      <c r="G187" s="186"/>
      <c r="H187" s="186"/>
      <c r="I187" s="186"/>
      <c r="J187" s="186"/>
      <c r="K187" s="186"/>
      <c r="L187" s="186"/>
      <c r="M187" s="186"/>
      <c r="N187" s="193"/>
      <c r="O187" s="198">
        <f>O186/N186-1</f>
        <v>4.912280701754379E-2</v>
      </c>
      <c r="P187" s="198">
        <f t="shared" ref="P187:BA187" si="2106">P186/O186-1</f>
        <v>-1.0033444816053505E-2</v>
      </c>
      <c r="Q187" s="198">
        <f t="shared" si="2106"/>
        <v>3.3783783783782884E-3</v>
      </c>
      <c r="R187" s="198">
        <f t="shared" si="2106"/>
        <v>0.10101010101010099</v>
      </c>
      <c r="S187" s="198">
        <f t="shared" si="2106"/>
        <v>-2.7522935779816682E-2</v>
      </c>
      <c r="T187" s="198">
        <f t="shared" si="2106"/>
        <v>5.660377358490587E-2</v>
      </c>
      <c r="U187" s="198">
        <f t="shared" si="2106"/>
        <v>5.9523809523809312E-3</v>
      </c>
      <c r="V187" s="198">
        <f t="shared" si="2106"/>
        <v>2.6627218934911268E-2</v>
      </c>
      <c r="W187" s="198">
        <f t="shared" si="2106"/>
        <v>6.6282420749279813E-2</v>
      </c>
      <c r="X187" s="198">
        <f t="shared" si="2106"/>
        <v>0.18378378378378368</v>
      </c>
      <c r="Y187" s="198">
        <f t="shared" si="2106"/>
        <v>0.4452054794520548</v>
      </c>
      <c r="Z187" s="198">
        <f t="shared" si="2106"/>
        <v>4.5813586097946279E-2</v>
      </c>
      <c r="AA187" s="198">
        <f t="shared" si="2106"/>
        <v>-2.1148036253776481E-2</v>
      </c>
      <c r="AB187" s="198">
        <f t="shared" si="2106"/>
        <v>0.24228395061728403</v>
      </c>
      <c r="AC187" s="198">
        <f t="shared" si="2106"/>
        <v>0.10559006211180133</v>
      </c>
      <c r="AD187" s="198">
        <f t="shared" si="2106"/>
        <v>0.11123595505617989</v>
      </c>
      <c r="AE187" s="198">
        <f t="shared" si="2106"/>
        <v>0.17087967644084912</v>
      </c>
      <c r="AF187" s="198">
        <f t="shared" si="2106"/>
        <v>-0.15025906735751304</v>
      </c>
      <c r="AG187" s="198">
        <f t="shared" si="2106"/>
        <v>0.31199186991869921</v>
      </c>
      <c r="AH187" s="198">
        <f t="shared" si="2106"/>
        <v>-7.5910147172734144E-2</v>
      </c>
      <c r="AI187" s="198">
        <f t="shared" si="2106"/>
        <v>9.0528080469404859E-2</v>
      </c>
      <c r="AJ187" s="198">
        <f t="shared" si="2106"/>
        <v>7.6863950807071202E-3</v>
      </c>
      <c r="AK187" s="198">
        <f t="shared" si="2106"/>
        <v>-2.3646071700991644E-2</v>
      </c>
      <c r="AL187" s="198">
        <f t="shared" si="2106"/>
        <v>1.5624999999999112E-3</v>
      </c>
      <c r="AM187" s="198">
        <f t="shared" si="2106"/>
        <v>8.8143525741029682E-2</v>
      </c>
      <c r="AN187" s="198">
        <f t="shared" si="2106"/>
        <v>-3.5842293906810041E-2</v>
      </c>
      <c r="AO187" s="198">
        <f t="shared" si="2106"/>
        <v>-4.386617100371748E-2</v>
      </c>
      <c r="AP187" s="198">
        <f t="shared" si="2106"/>
        <v>-3.3437013996889586E-2</v>
      </c>
      <c r="AQ187" s="198">
        <f t="shared" si="2106"/>
        <v>3.0571198712791681E-2</v>
      </c>
      <c r="AR187" s="198">
        <f t="shared" si="2106"/>
        <v>1.3270882123341154E-2</v>
      </c>
      <c r="AS187" s="198">
        <f t="shared" si="2106"/>
        <v>6.7796610169491567E-2</v>
      </c>
      <c r="AT187" s="198">
        <f t="shared" si="2106"/>
        <v>5.4112554112554223E-2</v>
      </c>
      <c r="AU187" s="198">
        <f t="shared" si="2106"/>
        <v>0.138945927446954</v>
      </c>
      <c r="AV187" s="198">
        <f t="shared" si="2106"/>
        <v>-4.2067307692307265E-3</v>
      </c>
      <c r="AW187" s="198">
        <f t="shared" si="2106"/>
        <v>-7.8455039227519618E-3</v>
      </c>
      <c r="AX187" s="198">
        <f t="shared" si="2106"/>
        <v>-1.5815085158150888E-2</v>
      </c>
      <c r="AY187" s="198">
        <f t="shared" si="2106"/>
        <v>2.1531520395547954E-3</v>
      </c>
      <c r="AZ187" s="198">
        <f t="shared" si="2106"/>
        <v>5.3187499999999943E-2</v>
      </c>
      <c r="BA187" s="198">
        <f t="shared" si="2106"/>
        <v>4.5500000000000318E-2</v>
      </c>
      <c r="BB187" s="198"/>
      <c r="BC187" s="198"/>
      <c r="BD187" s="198"/>
      <c r="BE187" s="198"/>
      <c r="BF187" s="198"/>
      <c r="BG187" s="198"/>
      <c r="BH187" s="198"/>
      <c r="BI187" s="198"/>
      <c r="BJ187" s="198"/>
      <c r="BK187" s="198"/>
      <c r="BL187" s="198"/>
      <c r="BM187" s="198"/>
      <c r="BO187" s="197" t="str">
        <f t="shared" si="1220"/>
        <v>YoY Change (%)</v>
      </c>
      <c r="BP187" s="193"/>
      <c r="BQ187" s="193"/>
      <c r="BR187" s="193"/>
      <c r="BS187" s="193"/>
      <c r="BT187" s="193"/>
      <c r="BV187" s="197" t="str">
        <f t="shared" si="1221"/>
        <v>YoY Change (%)</v>
      </c>
      <c r="BW187" s="198">
        <f>BW186/BP186-1</f>
        <v>0.19718309859154903</v>
      </c>
      <c r="BX187" s="198">
        <f t="shared" ref="BX187" si="2107">BX186/BQ186-1</f>
        <v>0</v>
      </c>
      <c r="BY187" s="198">
        <f t="shared" ref="BY187" si="2108">BY186/BR186-1</f>
        <v>1.5624999999999778E-2</v>
      </c>
      <c r="BZ187" s="198">
        <f t="shared" ref="BZ187" si="2109">BZ186/BS186-1</f>
        <v>-1.2345679012345512E-2</v>
      </c>
      <c r="CA187" s="198">
        <f t="shared" ref="CA187" si="2110">CA186/BT186-1</f>
        <v>4.912280701754379E-2</v>
      </c>
      <c r="CC187" s="197" t="str">
        <f t="shared" si="1222"/>
        <v>YoY Change (%)</v>
      </c>
      <c r="CD187" s="198">
        <f>CD186/BW186-1</f>
        <v>-8.2352941176470629E-2</v>
      </c>
      <c r="CE187" s="198">
        <f t="shared" ref="CE187" si="2111">CE186/BX186-1</f>
        <v>0</v>
      </c>
      <c r="CF187" s="198">
        <f t="shared" ref="CF187" si="2112">CF186/BY186-1</f>
        <v>0.10769230769230798</v>
      </c>
      <c r="CG187" s="198">
        <f t="shared" ref="CG187" si="2113">CG186/BZ186-1</f>
        <v>-3.7499999999999978E-2</v>
      </c>
      <c r="CH187" s="198">
        <f t="shared" ref="CH187" si="2114">CH186/CA186-1</f>
        <v>-1.0033444816053505E-2</v>
      </c>
      <c r="CJ187" s="197" t="str">
        <f t="shared" si="1223"/>
        <v>YoY Change (%)</v>
      </c>
      <c r="CK187" s="198">
        <f>CK186/CD186-1</f>
        <v>-5.1282051282051322E-2</v>
      </c>
      <c r="CL187" s="198">
        <f t="shared" ref="CL187" si="2115">CL186/CE186-1</f>
        <v>1.449275362318847E-2</v>
      </c>
      <c r="CM187" s="198">
        <f t="shared" ref="CM187" si="2116">CM186/CF186-1</f>
        <v>-5.555555555555558E-2</v>
      </c>
      <c r="CN187" s="198">
        <f t="shared" ref="CN187" si="2117">CN186/CG186-1</f>
        <v>0.10389610389610371</v>
      </c>
      <c r="CO187" s="198">
        <f t="shared" ref="CO187" si="2118">CO186/CH186-1</f>
        <v>3.3783783783782884E-3</v>
      </c>
      <c r="CQ187" s="197" t="str">
        <f t="shared" si="1224"/>
        <v>YoY Change (%)</v>
      </c>
      <c r="CR187" s="198">
        <f>CR186/CK186-1</f>
        <v>0.12162162162162171</v>
      </c>
      <c r="CS187" s="198">
        <f t="shared" ref="CS187" si="2119">CS186/CL186-1</f>
        <v>0.11428571428571432</v>
      </c>
      <c r="CT187" s="198">
        <f t="shared" ref="CT187" si="2120">CT186/CM186-1</f>
        <v>0.10294117647058831</v>
      </c>
      <c r="CU187" s="198">
        <f t="shared" ref="CU187" si="2121">CU186/CN186-1</f>
        <v>7.058823529411784E-2</v>
      </c>
      <c r="CV187" s="198">
        <f t="shared" ref="CV187" si="2122">CV186/CO186-1</f>
        <v>0.10101010101010099</v>
      </c>
      <c r="CX187" s="197" t="str">
        <f t="shared" si="1225"/>
        <v>YoY Change (%)</v>
      </c>
      <c r="CY187" s="198">
        <f>CY186/CR186-1</f>
        <v>-1.2048192771084376E-2</v>
      </c>
      <c r="CZ187" s="198">
        <f t="shared" ref="CZ187" si="2123">CZ186/CS186-1</f>
        <v>3.8461538461538547E-2</v>
      </c>
      <c r="DA187" s="198">
        <f t="shared" ref="DA187" si="2124">DA186/CT186-1</f>
        <v>-9.333333333333349E-2</v>
      </c>
      <c r="DB187" s="198">
        <f t="shared" ref="DB187" si="2125">DB186/CU186-1</f>
        <v>-4.3956043956043911E-2</v>
      </c>
      <c r="DC187" s="198">
        <f t="shared" ref="DC187" si="2126">DC186/CV186-1</f>
        <v>-2.7522935779816682E-2</v>
      </c>
      <c r="DE187" s="197" t="str">
        <f t="shared" si="1226"/>
        <v>YoY Change (%)</v>
      </c>
      <c r="DF187" s="198">
        <f>DF186/CY186-1</f>
        <v>2.4390243902439046E-2</v>
      </c>
      <c r="DG187" s="198">
        <f t="shared" ref="DG187" si="2127">DG186/CZ186-1</f>
        <v>2.4691358024691468E-2</v>
      </c>
      <c r="DH187" s="198">
        <f t="shared" ref="DH187" si="2128">DH186/DA186-1</f>
        <v>0.16176470588235303</v>
      </c>
      <c r="DI187" s="198">
        <f t="shared" ref="DI187" si="2129">DI186/DB186-1</f>
        <v>3.4482758620689724E-2</v>
      </c>
      <c r="DJ187" s="198">
        <f t="shared" ref="DJ187" si="2130">DJ186/DC186-1</f>
        <v>5.660377358490587E-2</v>
      </c>
      <c r="DL187" s="197" t="str">
        <f t="shared" si="1227"/>
        <v>YoY Change (%)</v>
      </c>
      <c r="DM187" s="198">
        <f>DM186/DF186-1</f>
        <v>5.9523809523809534E-2</v>
      </c>
      <c r="DN187" s="198">
        <f t="shared" ref="DN187" si="2131">DN186/DG186-1</f>
        <v>7.2289156626506035E-2</v>
      </c>
      <c r="DO187" s="198">
        <f t="shared" ref="DO187" si="2132">DO186/DH186-1</f>
        <v>-0.151898734177215</v>
      </c>
      <c r="DP187" s="198">
        <f t="shared" ref="DP187" si="2133">DP186/DI186-1</f>
        <v>3.3333333333333437E-2</v>
      </c>
      <c r="DQ187" s="198">
        <f t="shared" ref="DQ187" si="2134">DQ186/DJ186-1</f>
        <v>5.9523809523809312E-3</v>
      </c>
      <c r="DS187" s="197" t="str">
        <f t="shared" si="1228"/>
        <v>YoY Change (%)</v>
      </c>
      <c r="DT187" s="198">
        <f>DT186/DM186-1</f>
        <v>3.3707865168539408E-2</v>
      </c>
      <c r="DU187" s="198">
        <f t="shared" ref="DU187" si="2135">DU186/DN186-1</f>
        <v>-1.1235955056179803E-2</v>
      </c>
      <c r="DV187" s="198">
        <f t="shared" ref="DV187" si="2136">DV186/DO186-1</f>
        <v>0.10447761194029881</v>
      </c>
      <c r="DW187" s="198">
        <f t="shared" ref="DW187" si="2137">DW186/DP186-1</f>
        <v>0</v>
      </c>
      <c r="DX187" s="198">
        <f t="shared" ref="DX187" si="2138">DX186/DQ186-1</f>
        <v>2.6627218934911268E-2</v>
      </c>
      <c r="DZ187" s="197" t="str">
        <f t="shared" si="1229"/>
        <v>YoY Change (%)</v>
      </c>
      <c r="EA187" s="198">
        <f>EA186/DT186-1</f>
        <v>-1.0869565217391353E-2</v>
      </c>
      <c r="EB187" s="198">
        <f t="shared" ref="EB187" si="2139">EB186/DU186-1</f>
        <v>-1.1363636363636354E-2</v>
      </c>
      <c r="EC187" s="198">
        <f t="shared" ref="EC187" si="2140">EC186/DV186-1</f>
        <v>0.17567567567567544</v>
      </c>
      <c r="ED187" s="198">
        <f t="shared" ref="ED187" si="2141">ED186/DW186-1</f>
        <v>0.12903225806451601</v>
      </c>
      <c r="EE187" s="198">
        <f t="shared" ref="EE187" si="2142">EE186/DX186-1</f>
        <v>6.6282420749279813E-2</v>
      </c>
      <c r="EG187" s="197" t="str">
        <f t="shared" si="1230"/>
        <v>YoY Change (%)</v>
      </c>
      <c r="EH187" s="198">
        <f>EH186/EA186-1</f>
        <v>9.8901098901098994E-2</v>
      </c>
      <c r="EI187" s="198">
        <f t="shared" ref="EI187" si="2143">EI186/EB186-1</f>
        <v>0.14942528735632177</v>
      </c>
      <c r="EJ187" s="198">
        <f t="shared" ref="EJ187" si="2144">EJ186/EC186-1</f>
        <v>0.28735632183908044</v>
      </c>
      <c r="EK187" s="198">
        <f t="shared" ref="EK187" si="2145">EK186/ED186-1</f>
        <v>0.19999999999999996</v>
      </c>
      <c r="EL187" s="198">
        <f t="shared" ref="EL187" si="2146">EL186/EE186-1</f>
        <v>0.18378378378378368</v>
      </c>
      <c r="EN187" s="197" t="str">
        <f t="shared" si="1231"/>
        <v>YoY Change (%)</v>
      </c>
      <c r="EO187" s="198">
        <f>EO186/EH186-1</f>
        <v>0.57000000000000006</v>
      </c>
      <c r="EP187" s="198">
        <f t="shared" ref="EP187" si="2147">EP186/EI186-1</f>
        <v>0.53</v>
      </c>
      <c r="EQ187" s="198">
        <f t="shared" ref="EQ187" si="2148">EQ186/EJ186-1</f>
        <v>0.375</v>
      </c>
      <c r="ER187" s="198">
        <f t="shared" ref="ER187" si="2149">ER186/EK186-1</f>
        <v>0.34126984126984161</v>
      </c>
      <c r="ES187" s="198">
        <f t="shared" ref="ES187" si="2150">ES186/EL186-1</f>
        <v>0.4452054794520548</v>
      </c>
      <c r="EU187" s="197" t="str">
        <f t="shared" si="1232"/>
        <v>YoY Change (%)</v>
      </c>
      <c r="EV187" s="198">
        <f>EV186/EO186-1</f>
        <v>0.10828025477706982</v>
      </c>
      <c r="EW187" s="198">
        <f t="shared" ref="EW187" si="2151">EW186/EP186-1</f>
        <v>8.4967320261437829E-2</v>
      </c>
      <c r="EX187" s="198">
        <f t="shared" ref="EX187" si="2152">EX186/EQ186-1</f>
        <v>1.9480519480519431E-2</v>
      </c>
      <c r="EY187" s="198">
        <f t="shared" ref="EY187" si="2153">EY186/ER186-1</f>
        <v>-2.3668639053254781E-2</v>
      </c>
      <c r="EZ187" s="198">
        <f t="shared" ref="EZ187" si="2154">EZ186/ES186-1</f>
        <v>4.5813586097946279E-2</v>
      </c>
      <c r="FB187" s="197" t="str">
        <f t="shared" si="1233"/>
        <v>YoY Change (%)</v>
      </c>
      <c r="FC187" s="198">
        <f>FC186/EV186-1</f>
        <v>-4.5977011494252928E-2</v>
      </c>
      <c r="FD187" s="198">
        <f t="shared" ref="FD187" si="2155">FD186/EW186-1</f>
        <v>-4.216867469879515E-2</v>
      </c>
      <c r="FE187" s="198">
        <f t="shared" ref="FE187" si="2156">FE186/EX186-1</f>
        <v>-1.9108280254777066E-2</v>
      </c>
      <c r="FF187" s="198">
        <f t="shared" ref="FF187" si="2157">FF186/EY186-1</f>
        <v>2.4242424242424399E-2</v>
      </c>
      <c r="FG187" s="198">
        <f t="shared" ref="FG187" si="2158">FG186/EZ186-1</f>
        <v>-2.1148036253776481E-2</v>
      </c>
      <c r="FI187" s="197" t="str">
        <f t="shared" si="1234"/>
        <v>YoY Change (%)</v>
      </c>
      <c r="FJ187" s="198">
        <f>FJ186/FC186-1</f>
        <v>1.2048192771084265E-2</v>
      </c>
      <c r="FK187" s="198">
        <f t="shared" ref="FK187" si="2159">FK186/FD186-1</f>
        <v>0.34591194968553451</v>
      </c>
      <c r="FL187" s="198">
        <f t="shared" ref="FL187" si="2160">FL186/FE186-1</f>
        <v>0.331168831168831</v>
      </c>
      <c r="FM187" s="198">
        <f t="shared" ref="FM187" si="2161">FM186/FF186-1</f>
        <v>0.28994082840236679</v>
      </c>
      <c r="FN187" s="198">
        <f t="shared" ref="FN187" si="2162">FN186/FG186-1</f>
        <v>0.24228395061728403</v>
      </c>
      <c r="FP187" s="197" t="str">
        <f t="shared" si="1235"/>
        <v>YoY Change (%)</v>
      </c>
      <c r="FQ187" s="198">
        <f>FQ186/FJ186-1</f>
        <v>0.30357142857142883</v>
      </c>
      <c r="FR187" s="198">
        <f t="shared" ref="FR187" si="2163">FR186/FK186-1</f>
        <v>2.3364485981308469E-2</v>
      </c>
      <c r="FS187" s="198">
        <f t="shared" ref="FS187" si="2164">FS186/FL186-1</f>
        <v>2.4390243902439268E-2</v>
      </c>
      <c r="FT187" s="198">
        <f t="shared" ref="FT187" si="2165">FT186/FM186-1</f>
        <v>0.11009174311926628</v>
      </c>
      <c r="FU187" s="198">
        <f t="shared" ref="FU187" si="2166">FU186/FN186-1</f>
        <v>0.10559006211180133</v>
      </c>
      <c r="FW187" s="197" t="str">
        <f t="shared" si="1236"/>
        <v>YoY Change (%)</v>
      </c>
      <c r="FX187" s="198">
        <f>FX186/FQ186-1</f>
        <v>0.10502283105022814</v>
      </c>
      <c r="FY187" s="198">
        <f t="shared" ref="FY187" si="2167">FY186/FR186-1</f>
        <v>0.10502283105022836</v>
      </c>
      <c r="FZ187" s="198">
        <f t="shared" ref="FZ187" si="2168">FZ186/FS186-1</f>
        <v>0.15714285714285725</v>
      </c>
      <c r="GA187" s="198">
        <f t="shared" ref="GA187" si="2169">GA186/FT186-1</f>
        <v>8.2644628099173501E-2</v>
      </c>
      <c r="GB187" s="198">
        <f t="shared" ref="GB187" si="2170">GB186/FU186-1</f>
        <v>0.11123595505617989</v>
      </c>
      <c r="GD187" s="197" t="str">
        <f t="shared" si="1237"/>
        <v>YoY Change (%)</v>
      </c>
      <c r="GE187" s="198">
        <f>GE186/FX186-1</f>
        <v>0.13636363636363646</v>
      </c>
      <c r="GF187" s="198">
        <f t="shared" ref="GF187" si="2171">GF186/FY186-1</f>
        <v>0.17355371900826455</v>
      </c>
      <c r="GG187" s="198">
        <f t="shared" ref="GG187" si="2172">GG186/FZ186-1</f>
        <v>0.2304526748971194</v>
      </c>
      <c r="GH187" s="198">
        <f t="shared" ref="GH187" si="2173">GH186/GA186-1</f>
        <v>0.14503816793893121</v>
      </c>
      <c r="GI187" s="198">
        <f t="shared" ref="GI187" si="2174">GI186/GB186-1</f>
        <v>0.17087967644084912</v>
      </c>
      <c r="GK187" s="197" t="str">
        <f t="shared" si="1238"/>
        <v>YoY Change (%)</v>
      </c>
      <c r="GL187" s="198">
        <f>GL186/GE186-1</f>
        <v>-0.11636363636363634</v>
      </c>
      <c r="GM187" s="198">
        <f t="shared" ref="GM187" si="2175">GM186/GF186-1</f>
        <v>-9.1549295774647876E-2</v>
      </c>
      <c r="GN187" s="198">
        <f t="shared" ref="GN187" si="2176">GN186/GG186-1</f>
        <v>-0.36454849498327757</v>
      </c>
      <c r="GO187" s="198">
        <f t="shared" ref="GO187" si="2177">GO186/GH186-1</f>
        <v>-2.3333333333333317E-2</v>
      </c>
      <c r="GP187" s="198">
        <f t="shared" ref="GP187" si="2178">GP186/GI186-1</f>
        <v>-0.15025906735751304</v>
      </c>
      <c r="GR187" s="197" t="str">
        <f t="shared" si="1239"/>
        <v>YoY Change (%)</v>
      </c>
      <c r="GS187" s="198">
        <f>GS186/GL186-1</f>
        <v>0.23456790123456783</v>
      </c>
      <c r="GT187" s="198">
        <f t="shared" ref="GT187" si="2179">GT186/GM186-1</f>
        <v>0.22480620155038755</v>
      </c>
      <c r="GU187" s="198">
        <f t="shared" ref="GU187" si="2180">GU186/GN186-1</f>
        <v>0.74210526315789482</v>
      </c>
      <c r="GV187" s="198">
        <f t="shared" ref="GV187" si="2181">GV186/GO186-1</f>
        <v>0.1740614334470989</v>
      </c>
      <c r="GW187" s="198">
        <f t="shared" ref="GW187" si="2182">GW186/GP186-1</f>
        <v>0.31199186991869921</v>
      </c>
      <c r="GY187" s="197" t="str">
        <f t="shared" si="1240"/>
        <v>YoY Change (%)</v>
      </c>
      <c r="GZ187" s="198">
        <f>GZ186/GS186-1</f>
        <v>3.0000000000000027E-2</v>
      </c>
      <c r="HA187" s="198">
        <f t="shared" ref="HA187" si="2183">HA186/GT186-1</f>
        <v>-7.5949367088607445E-2</v>
      </c>
      <c r="HB187" s="198">
        <f t="shared" ref="HB187" si="2184">HB186/GU186-1</f>
        <v>-0.15407854984894243</v>
      </c>
      <c r="HC187" s="198">
        <f t="shared" ref="HC187" si="2185">HC186/GV186-1</f>
        <v>-9.3023255813953543E-2</v>
      </c>
      <c r="HD187" s="198">
        <f t="shared" ref="HD187" si="2186">HD186/GW186-1</f>
        <v>-7.5910147172734144E-2</v>
      </c>
      <c r="HF187" s="197" t="str">
        <f t="shared" si="1241"/>
        <v>YoY Change (%)</v>
      </c>
      <c r="HG187" s="198">
        <f>HG186/GZ186-1</f>
        <v>5.5016181229773364E-2</v>
      </c>
      <c r="HH187" s="198">
        <f t="shared" ref="HH187" si="2187">HH186/HA186-1</f>
        <v>7.5342465753424515E-2</v>
      </c>
      <c r="HI187" s="198">
        <f t="shared" ref="HI187" si="2188">HI186/HB186-1</f>
        <v>9.9999999999999867E-2</v>
      </c>
      <c r="HJ187" s="198">
        <f t="shared" ref="HJ187" si="2189">HJ186/HC186-1</f>
        <v>0.13141025641025617</v>
      </c>
      <c r="HK187" s="198">
        <f t="shared" ref="HK187" si="2190">HK186/HD186-1</f>
        <v>9.0528080469404859E-2</v>
      </c>
      <c r="HM187" s="197" t="str">
        <f t="shared" si="1242"/>
        <v>YoY Change (%)</v>
      </c>
      <c r="HN187" s="198">
        <f>HN186/HG186-1</f>
        <v>-9.2024539877298972E-3</v>
      </c>
      <c r="HO187" s="198">
        <f t="shared" ref="HO187" si="2191">HO186/HH186-1</f>
        <v>9.2356687898089262E-2</v>
      </c>
      <c r="HP187" s="198">
        <f t="shared" ref="HP187" si="2192">HP186/HI186-1</f>
        <v>-3.2467532467532423E-2</v>
      </c>
      <c r="HQ187" s="198">
        <f t="shared" ref="HQ187" si="2193">HQ186/HJ186-1</f>
        <v>-1.6997167138810054E-2</v>
      </c>
      <c r="HR187" s="198">
        <f t="shared" ref="HR187" si="2194">HR186/HK186-1</f>
        <v>7.6863950807071202E-3</v>
      </c>
      <c r="HT187" s="197" t="str">
        <f t="shared" si="1243"/>
        <v>YoY Change (%)</v>
      </c>
      <c r="HU187" s="198">
        <f>HU186/HN186-1</f>
        <v>5.8823529411764497E-2</v>
      </c>
      <c r="HV187" s="198">
        <f t="shared" ref="HV187" si="2195">HV186/HO186-1</f>
        <v>-4.081632653061229E-2</v>
      </c>
      <c r="HW187" s="198">
        <f t="shared" ref="HW187" si="2196">HW186/HP186-1</f>
        <v>-3.6912751677852351E-2</v>
      </c>
      <c r="HX187" s="198">
        <f t="shared" ref="HX187" si="2197">HX186/HQ186-1</f>
        <v>-7.2046109510086498E-2</v>
      </c>
      <c r="HY187" s="198">
        <f t="shared" ref="HY187" si="2198">HY186/HR186-1</f>
        <v>-2.3646071700991644E-2</v>
      </c>
      <c r="IA187" s="197" t="str">
        <f t="shared" si="1244"/>
        <v>YoY Change (%)</v>
      </c>
      <c r="IB187" s="198">
        <f>IB186/HU186-1</f>
        <v>-9.6491228070175405E-2</v>
      </c>
      <c r="IC187" s="198">
        <f t="shared" ref="IC187" si="2199">IC186/HV186-1</f>
        <v>-3.6474164133738607E-2</v>
      </c>
      <c r="ID187" s="198">
        <f t="shared" ref="ID187" si="2200">ID186/HW186-1</f>
        <v>0</v>
      </c>
      <c r="IE187" s="198">
        <f t="shared" ref="IE187" si="2201">IE186/HX186-1</f>
        <v>0.14596273291925477</v>
      </c>
      <c r="IF187" s="198">
        <f t="shared" ref="IF187" si="2202">IF186/HY186-1</f>
        <v>1.5624999999999112E-3</v>
      </c>
      <c r="IH187" s="197" t="str">
        <f t="shared" si="1245"/>
        <v>YoY Change (%)</v>
      </c>
      <c r="II187" s="198">
        <f>II186/IB186-1</f>
        <v>0.12944983818770228</v>
      </c>
      <c r="IJ187" s="198">
        <f t="shared" ref="IJ187" si="2203">IJ186/IC186-1</f>
        <v>0.11987381703470024</v>
      </c>
      <c r="IK187" s="198">
        <f t="shared" ref="IK187" si="2204">IK186/ID186-1</f>
        <v>0.12891986062717775</v>
      </c>
      <c r="IL187" s="198">
        <f t="shared" ref="IL187" si="2205">IL186/IE186-1</f>
        <v>-5.4200542005420349E-3</v>
      </c>
      <c r="IM187" s="198">
        <f t="shared" ref="IM187" si="2206">IM186/IF186-1</f>
        <v>8.8143525741029682E-2</v>
      </c>
      <c r="IO187" s="197" t="str">
        <f t="shared" si="1246"/>
        <v>YoY Change (%)</v>
      </c>
      <c r="IP187" s="198">
        <f>IP186/II186-1</f>
        <v>1.7191977077363862E-2</v>
      </c>
      <c r="IQ187" s="198">
        <f t="shared" ref="IQ187" si="2207">IQ186/IJ186-1</f>
        <v>-5.9154929577464821E-2</v>
      </c>
      <c r="IR187" s="198">
        <f t="shared" ref="IR187" si="2208">IR186/IK186-1</f>
        <v>-9.2592592592593004E-3</v>
      </c>
      <c r="IS187" s="198">
        <f t="shared" ref="IS187" si="2209">IS186/IL186-1</f>
        <v>-8.719346049046317E-2</v>
      </c>
      <c r="IT187" s="198">
        <f t="shared" ref="IT187" si="2210">IT186/IM186-1</f>
        <v>-3.5842293906810041E-2</v>
      </c>
      <c r="IV187" s="197" t="str">
        <f t="shared" si="1247"/>
        <v>YoY Change (%)</v>
      </c>
      <c r="IW187" s="198">
        <f>IW186/IP186-1</f>
        <v>-9.0140845070422415E-2</v>
      </c>
      <c r="IX187" s="198">
        <f t="shared" ref="IX187" si="2211">IX186/IQ186-1</f>
        <v>-8.083832335329344E-2</v>
      </c>
      <c r="IY187" s="198">
        <f t="shared" ref="IY187" si="2212">IY186/IR186-1</f>
        <v>-8.0996884735202501E-2</v>
      </c>
      <c r="IZ187" s="198">
        <f t="shared" ref="IZ187" si="2213">IZ186/IS186-1</f>
        <v>7.7611940298507376E-2</v>
      </c>
      <c r="JA187" s="198">
        <f t="shared" ref="JA187" si="2214">JA186/IT186-1</f>
        <v>-4.386617100371748E-2</v>
      </c>
      <c r="JC187" s="197" t="str">
        <f t="shared" si="1248"/>
        <v>YoY Change (%)</v>
      </c>
      <c r="JD187" s="198">
        <f>JD186/IW186-1</f>
        <v>2.7863777089783381E-2</v>
      </c>
      <c r="JE187" s="198">
        <f t="shared" ref="JE187" si="2215">JE186/IX186-1</f>
        <v>4.5602605863192203E-2</v>
      </c>
      <c r="JF187" s="198">
        <f t="shared" ref="JF187" si="2216">JF186/IY186-1</f>
        <v>-8.8135593220339148E-2</v>
      </c>
      <c r="JG187" s="198">
        <f t="shared" ref="JG187" si="2217">JG186/IZ186-1</f>
        <v>-0.11080332409972304</v>
      </c>
      <c r="JH187" s="198">
        <f t="shared" ref="JH187" si="2218">JH186/JA186-1</f>
        <v>-3.3437013996889586E-2</v>
      </c>
      <c r="JJ187" s="197" t="str">
        <f t="shared" si="1249"/>
        <v>YoY Change (%)</v>
      </c>
      <c r="JK187" s="198">
        <f>JK186/JD186-1</f>
        <v>-7.5301204819277268E-2</v>
      </c>
      <c r="JL187" s="198">
        <f t="shared" ref="JL187" si="2219">JL186/JE186-1</f>
        <v>1.8691588785046731E-2</v>
      </c>
      <c r="JM187" s="198">
        <f t="shared" ref="JM187" si="2220">JM186/JF186-1</f>
        <v>0.1152416356877326</v>
      </c>
      <c r="JN187" s="198">
        <f t="shared" ref="JN187" si="2221">JN186/JG186-1</f>
        <v>8.0996884735202501E-2</v>
      </c>
      <c r="JO187" s="198">
        <f t="shared" ref="JO187" si="2222">JO186/JH186-1</f>
        <v>3.0571198712791681E-2</v>
      </c>
      <c r="JQ187" s="197" t="str">
        <f t="shared" si="1250"/>
        <v>YoY Change (%)</v>
      </c>
      <c r="JR187" s="198">
        <f>JR186/JK186-1</f>
        <v>0.12052117263843676</v>
      </c>
      <c r="JS187" s="198">
        <f t="shared" ref="JS187" si="2223">JS186/JL186-1</f>
        <v>9.4801223241590238E-2</v>
      </c>
      <c r="JT187" s="198">
        <f t="shared" ref="JT187" si="2224">JT186/JM186-1</f>
        <v>-1.0000000000000009E-2</v>
      </c>
      <c r="JU187" s="198">
        <f t="shared" ref="JU187" si="2225">JU186/JN186-1</f>
        <v>-0.13832853025936587</v>
      </c>
      <c r="JV187" s="198">
        <f t="shared" ref="JV187" si="2226">JV186/JO186-1</f>
        <v>1.3270882123341154E-2</v>
      </c>
      <c r="JX187" s="197" t="str">
        <f t="shared" si="1251"/>
        <v>YoY Change (%)</v>
      </c>
      <c r="JY187" s="198">
        <f>JY186/JR186-1</f>
        <v>6.1046511627906863E-2</v>
      </c>
      <c r="JZ187" s="198">
        <f t="shared" ref="JZ187" si="2227">JZ186/JS186-1</f>
        <v>-0.13128491620111726</v>
      </c>
      <c r="KA187" s="198">
        <f t="shared" ref="KA187" si="2228">KA186/JT186-1</f>
        <v>0.12794612794612803</v>
      </c>
      <c r="KB187" s="198">
        <f t="shared" ref="KB187" si="2229">KB186/JU186-1</f>
        <v>0.25418060200668879</v>
      </c>
      <c r="KC187" s="198">
        <f t="shared" ref="KC187" si="2230">KC186/JV186-1</f>
        <v>6.7796610169491567E-2</v>
      </c>
      <c r="KE187" s="197" t="str">
        <f t="shared" si="1252"/>
        <v>YoY Change (%)</v>
      </c>
      <c r="KF187" s="198">
        <f>KF186/JY186-1</f>
        <v>-4.3835616438356206E-2</v>
      </c>
      <c r="KG187" s="198">
        <f t="shared" ref="KG187" si="2231">KG186/JZ186-1</f>
        <v>0.18971061093247577</v>
      </c>
      <c r="KH187" s="198">
        <f t="shared" ref="KH187" si="2232">KH186/KA186-1</f>
        <v>2.3880597014925398E-2</v>
      </c>
      <c r="KI187" s="198">
        <f t="shared" ref="KI187" si="2233">KI186/KB186-1</f>
        <v>6.4000000000000057E-2</v>
      </c>
      <c r="KJ187" s="198">
        <f t="shared" ref="KJ187" si="2234">KJ186/KC186-1</f>
        <v>5.4112554112554223E-2</v>
      </c>
      <c r="KL187" s="197" t="str">
        <f t="shared" si="1253"/>
        <v>YoY Change (%)</v>
      </c>
      <c r="KM187" s="198">
        <f>KM186/KF186-1</f>
        <v>0.10888252148997135</v>
      </c>
      <c r="KN187" s="198">
        <f t="shared" ref="KN187" si="2235">KN186/KG186-1</f>
        <v>0.11351351351351346</v>
      </c>
      <c r="KO187" s="198">
        <f t="shared" ref="KO187" si="2236">KO186/KH186-1</f>
        <v>0.24781341107871735</v>
      </c>
      <c r="KP187" s="198">
        <f t="shared" ref="KP187" si="2237">KP186/KI186-1</f>
        <v>9.5238095238095122E-2</v>
      </c>
      <c r="KQ187" s="198">
        <f t="shared" ref="KQ187" si="2238">KQ186/KJ186-1</f>
        <v>0.138945927446954</v>
      </c>
      <c r="KS187" s="197" t="str">
        <f t="shared" si="1254"/>
        <v>YoY Change (%)</v>
      </c>
      <c r="KT187" s="198">
        <f>KT186/KM186-1</f>
        <v>0.12919896640826867</v>
      </c>
      <c r="KU187" s="198">
        <f t="shared" ref="KU187" si="2239">KU186/KN186-1</f>
        <v>7.2815533980583602E-3</v>
      </c>
      <c r="KV187" s="198">
        <f t="shared" ref="KV187" si="2240">KV186/KO186-1</f>
        <v>-0.12149532710280386</v>
      </c>
      <c r="KW187" s="198">
        <f t="shared" ref="KW187" si="2241">KW186/KP186-1</f>
        <v>-1.8306636155606237E-2</v>
      </c>
      <c r="KX187" s="198">
        <f t="shared" ref="KX187" si="2242">KX186/KQ186-1</f>
        <v>-4.2067307692307265E-3</v>
      </c>
      <c r="KZ187" s="197" t="str">
        <f t="shared" si="1255"/>
        <v>YoY Change (%)</v>
      </c>
      <c r="LA187" s="198">
        <f>LA186/KT186-1</f>
        <v>-6.8649885583524028E-2</v>
      </c>
      <c r="LB187" s="198">
        <f>LB186/KU186-1</f>
        <v>-2.168674698795181E-2</v>
      </c>
      <c r="LC187" s="198">
        <f>LC186/KV186-1</f>
        <v>0.1063829787234043</v>
      </c>
      <c r="LD187" s="198">
        <f t="shared" ref="LD187" si="2243">LD186/KW186-1</f>
        <v>-3.2634032634032639E-2</v>
      </c>
      <c r="LE187" s="199">
        <f t="shared" ref="LE187" si="2244">LE186/KX186-1</f>
        <v>-7.8455039227519618E-3</v>
      </c>
      <c r="LF187" s="574"/>
      <c r="LG187" s="197" t="str">
        <f t="shared" si="1256"/>
        <v>YoY Change (%)</v>
      </c>
      <c r="LH187" s="198">
        <f>LH186/LA186-1</f>
        <v>2.4570024570025328E-3</v>
      </c>
      <c r="LI187" s="198">
        <f>LI186/LB186-1</f>
        <v>2.9556650246305383E-2</v>
      </c>
      <c r="LJ187" s="198">
        <f>LJ186/LC186-1</f>
        <v>-8.1730769230769273E-2</v>
      </c>
      <c r="LK187" s="198">
        <f>LK186/LD186-1</f>
        <v>-1.2048192771084487E-2</v>
      </c>
      <c r="LL187" s="199">
        <f t="shared" ref="LL187" si="2245">LL186/LE186-1</f>
        <v>-1.5815085158150888E-2</v>
      </c>
      <c r="LM187" s="574"/>
      <c r="LN187" s="197" t="str">
        <f t="shared" si="1257"/>
        <v>YoY Change (%)</v>
      </c>
      <c r="LO187" s="199">
        <f>LO186/LH186-1</f>
        <v>-2.2500000000025278E-4</v>
      </c>
      <c r="LP187" s="199">
        <f t="shared" ref="LP187" si="2246">LP186/LI186-1</f>
        <v>-1.5699999999999936E-2</v>
      </c>
      <c r="LQ187" s="199">
        <f t="shared" ref="LQ187" si="2247">LQ186/LJ186-1</f>
        <v>-4.0000000000017799E-4</v>
      </c>
      <c r="LR187" s="199">
        <f t="shared" ref="LR187" si="2248">LR186/LK186-1</f>
        <v>2.50999999999999E-2</v>
      </c>
      <c r="LS187" s="199">
        <f t="shared" ref="LS187" si="2249">LS186/LL186-1</f>
        <v>2.1531520395547954E-3</v>
      </c>
      <c r="LT187" s="574"/>
      <c r="LU187" s="197" t="str">
        <f t="shared" si="1261"/>
        <v>YoY Change (%)</v>
      </c>
      <c r="LV187" s="199">
        <f>LV186/LO186-1</f>
        <v>5.3187500000000165E-2</v>
      </c>
      <c r="LW187" s="199">
        <f t="shared" ref="LW187" si="2250">LW186/LP186-1</f>
        <v>5.3187499999999943E-2</v>
      </c>
      <c r="LX187" s="199">
        <f t="shared" ref="LX187" si="2251">LX186/LQ186-1</f>
        <v>5.3187500000000165E-2</v>
      </c>
      <c r="LY187" s="199">
        <f t="shared" ref="LY187" si="2252">LY186/LR186-1</f>
        <v>5.3187499999999943E-2</v>
      </c>
      <c r="LZ187" s="199">
        <f t="shared" ref="LZ187" si="2253">LZ186/LS186-1</f>
        <v>5.3187500000000165E-2</v>
      </c>
      <c r="MA187" s="574"/>
      <c r="MB187" s="197" t="str">
        <f t="shared" si="1265"/>
        <v>YoY Change (%)</v>
      </c>
      <c r="MC187" s="199">
        <f>MC186/LV186-1</f>
        <v>4.5499999999999874E-2</v>
      </c>
      <c r="MD187" s="199">
        <f t="shared" ref="MD187" si="2254">MD186/LW186-1</f>
        <v>4.5500000000000096E-2</v>
      </c>
      <c r="ME187" s="199">
        <f t="shared" ref="ME187" si="2255">ME186/LX186-1</f>
        <v>4.5499999999999652E-2</v>
      </c>
      <c r="MF187" s="199">
        <f t="shared" ref="MF187" si="2256">MF186/LY186-1</f>
        <v>4.5499999999999874E-2</v>
      </c>
      <c r="MG187" s="199">
        <f t="shared" ref="MG187" si="2257">MG186/LZ186-1</f>
        <v>4.5500000000000096E-2</v>
      </c>
      <c r="MH187" s="574"/>
    </row>
    <row r="188" spans="1:346" s="37" customFormat="1" ht="13.15" x14ac:dyDescent="0.4">
      <c r="A188" s="100"/>
      <c r="C188" s="186"/>
      <c r="D188" s="186"/>
      <c r="E188" s="186"/>
      <c r="F188" s="186"/>
      <c r="G188" s="186"/>
      <c r="H188" s="186"/>
      <c r="I188" s="186"/>
      <c r="J188" s="186"/>
      <c r="K188" s="186"/>
      <c r="L188" s="186"/>
      <c r="M188" s="186"/>
      <c r="N188" s="193"/>
      <c r="O188" s="193"/>
      <c r="P188" s="193"/>
      <c r="Q188" s="193"/>
      <c r="R188" s="193"/>
      <c r="S188" s="193"/>
      <c r="T188" s="193"/>
      <c r="U188" s="193"/>
      <c r="V188" s="193"/>
      <c r="W188" s="193"/>
      <c r="X188" s="193"/>
      <c r="Y188" s="193"/>
      <c r="Z188" s="193"/>
      <c r="AA188" s="193"/>
      <c r="AB188" s="193"/>
      <c r="AC188" s="193"/>
      <c r="AD188" s="193"/>
      <c r="AE188" s="193"/>
      <c r="AF188" s="193"/>
      <c r="AG188" s="193"/>
      <c r="AH188" s="193"/>
      <c r="AI188" s="193"/>
      <c r="AJ188" s="193"/>
      <c r="AK188" s="193"/>
      <c r="AL188" s="193"/>
      <c r="AM188" s="193"/>
      <c r="AN188" s="193"/>
      <c r="AO188" s="193"/>
      <c r="AP188" s="193"/>
      <c r="AQ188" s="193"/>
      <c r="AR188" s="193"/>
      <c r="AS188" s="193"/>
      <c r="AT188" s="193"/>
      <c r="AU188" s="193"/>
      <c r="AV188" s="193"/>
      <c r="AW188" s="193"/>
      <c r="AX188" s="193"/>
      <c r="AY188" s="193"/>
      <c r="AZ188" s="193"/>
      <c r="BA188" s="193"/>
      <c r="BB188" s="193"/>
      <c r="BC188" s="193"/>
      <c r="BD188" s="193"/>
      <c r="BE188" s="193"/>
      <c r="BF188" s="193"/>
      <c r="BG188" s="193"/>
      <c r="BH188" s="193"/>
      <c r="BI188" s="193"/>
      <c r="BJ188" s="193"/>
      <c r="BK188" s="193"/>
      <c r="BL188" s="193"/>
      <c r="BM188" s="193"/>
      <c r="BP188" s="193"/>
      <c r="BQ188" s="193"/>
      <c r="BR188" s="193"/>
      <c r="BS188" s="193"/>
      <c r="BT188" s="193"/>
      <c r="BW188" s="193"/>
      <c r="BX188" s="193"/>
      <c r="BY188" s="193"/>
      <c r="BZ188" s="193"/>
      <c r="CA188" s="193"/>
      <c r="CD188" s="193"/>
      <c r="CE188" s="193"/>
      <c r="CF188" s="193"/>
      <c r="CG188" s="193"/>
      <c r="CH188" s="193"/>
      <c r="CK188" s="193"/>
      <c r="CL188" s="193"/>
      <c r="CM188" s="193"/>
      <c r="CN188" s="193"/>
      <c r="CO188" s="193"/>
      <c r="CR188" s="193"/>
      <c r="CS188" s="193"/>
      <c r="CT188" s="193"/>
      <c r="CU188" s="193"/>
      <c r="CV188" s="193"/>
      <c r="CY188" s="193"/>
      <c r="CZ188" s="193"/>
      <c r="DA188" s="193"/>
      <c r="DB188" s="193"/>
      <c r="DC188" s="193"/>
      <c r="DF188" s="193"/>
      <c r="DG188" s="193"/>
      <c r="DH188" s="193"/>
      <c r="DI188" s="193"/>
      <c r="DJ188" s="193"/>
      <c r="DM188" s="193"/>
      <c r="DN188" s="193"/>
      <c r="DO188" s="193"/>
      <c r="DP188" s="193"/>
      <c r="DQ188" s="193"/>
      <c r="DT188" s="193"/>
      <c r="DU188" s="193"/>
      <c r="DV188" s="193"/>
      <c r="DW188" s="193"/>
      <c r="DX188" s="193"/>
      <c r="EA188" s="193"/>
      <c r="EB188" s="193"/>
      <c r="EC188" s="193"/>
      <c r="ED188" s="193"/>
      <c r="EE188" s="193"/>
      <c r="EH188" s="193"/>
      <c r="EI188" s="193"/>
      <c r="EJ188" s="193"/>
      <c r="EK188" s="193"/>
      <c r="EL188" s="193"/>
      <c r="EO188" s="193"/>
      <c r="EP188" s="193"/>
      <c r="EQ188" s="193"/>
      <c r="ER188" s="193"/>
      <c r="ES188" s="193"/>
      <c r="EV188" s="193"/>
      <c r="EW188" s="193"/>
      <c r="EX188" s="193"/>
      <c r="EY188" s="193"/>
      <c r="EZ188" s="193"/>
      <c r="FC188" s="193"/>
      <c r="FD188" s="193"/>
      <c r="FE188" s="193"/>
      <c r="FF188" s="193"/>
      <c r="FG188" s="193"/>
      <c r="FJ188" s="193"/>
      <c r="FK188" s="193"/>
      <c r="FL188" s="193"/>
      <c r="FM188" s="193"/>
      <c r="FN188" s="193"/>
      <c r="FQ188" s="193"/>
      <c r="FR188" s="193"/>
      <c r="FS188" s="193"/>
      <c r="FT188" s="193"/>
      <c r="FU188" s="193"/>
      <c r="FX188" s="193"/>
      <c r="FY188" s="193"/>
      <c r="FZ188" s="193"/>
      <c r="GA188" s="193"/>
      <c r="GB188" s="193"/>
      <c r="GE188" s="193"/>
      <c r="GF188" s="193"/>
      <c r="GG188" s="193"/>
      <c r="GH188" s="193"/>
      <c r="GI188" s="193"/>
      <c r="GL188" s="193"/>
      <c r="GM188" s="193"/>
      <c r="GN188" s="193"/>
      <c r="GO188" s="193"/>
      <c r="GP188" s="193"/>
      <c r="GS188" s="193"/>
      <c r="GT188" s="193"/>
      <c r="GU188" s="193"/>
      <c r="GV188" s="193"/>
      <c r="GW188" s="193"/>
      <c r="GZ188" s="193"/>
      <c r="HA188" s="193"/>
      <c r="HB188" s="193"/>
      <c r="HC188" s="193"/>
      <c r="HD188" s="193"/>
      <c r="HG188" s="193"/>
      <c r="HH188" s="193"/>
      <c r="HI188" s="193"/>
      <c r="HJ188" s="193"/>
      <c r="HK188" s="193"/>
      <c r="HN188" s="193"/>
      <c r="HO188" s="193"/>
      <c r="HP188" s="193"/>
      <c r="HQ188" s="193"/>
      <c r="HR188" s="193"/>
      <c r="HU188" s="193"/>
      <c r="HV188" s="193"/>
      <c r="HW188" s="193"/>
      <c r="HX188" s="193"/>
      <c r="HY188" s="193"/>
      <c r="IB188" s="193"/>
      <c r="IC188" s="193"/>
      <c r="ID188" s="193"/>
      <c r="IE188" s="193"/>
      <c r="IF188" s="193"/>
      <c r="II188" s="193"/>
      <c r="IJ188" s="193"/>
      <c r="IK188" s="193"/>
      <c r="IL188" s="193"/>
      <c r="IM188" s="193"/>
      <c r="IP188" s="193"/>
      <c r="IQ188" s="193"/>
      <c r="IR188" s="193"/>
      <c r="IS188" s="193"/>
      <c r="IT188" s="193"/>
      <c r="IW188" s="193"/>
      <c r="IX188" s="193"/>
      <c r="IY188" s="193"/>
      <c r="IZ188" s="193"/>
      <c r="JA188" s="193"/>
      <c r="JD188" s="193"/>
      <c r="JE188" s="193"/>
      <c r="JF188" s="193"/>
      <c r="JG188" s="193"/>
      <c r="JH188" s="193"/>
      <c r="JK188" s="193"/>
      <c r="JL188" s="193"/>
      <c r="JM188" s="193"/>
      <c r="JN188" s="193"/>
      <c r="JO188" s="193"/>
      <c r="JR188" s="193"/>
      <c r="JS188" s="193"/>
      <c r="JT188" s="193"/>
      <c r="JU188" s="193"/>
      <c r="JV188" s="193"/>
      <c r="JY188" s="193"/>
      <c r="JZ188" s="193"/>
      <c r="KA188" s="193"/>
      <c r="KB188" s="193"/>
      <c r="KC188" s="193"/>
      <c r="KF188" s="193"/>
      <c r="KG188" s="193"/>
      <c r="KH188" s="193"/>
      <c r="KI188" s="193"/>
      <c r="KJ188" s="193"/>
      <c r="KM188" s="193"/>
      <c r="KN188" s="193"/>
      <c r="KO188" s="193"/>
      <c r="KP188" s="193"/>
      <c r="KQ188" s="193"/>
      <c r="KT188" s="193"/>
      <c r="KU188" s="193"/>
      <c r="KV188" s="193"/>
      <c r="KW188" s="193"/>
      <c r="KX188" s="193"/>
      <c r="LA188" s="193"/>
      <c r="LB188" s="193"/>
      <c r="LC188" s="193"/>
      <c r="LD188" s="193"/>
      <c r="LE188" s="193"/>
      <c r="LF188" s="555"/>
      <c r="LH188" s="193"/>
      <c r="LI188" s="193"/>
      <c r="LJ188" s="193"/>
      <c r="LK188" s="192"/>
      <c r="LL188" s="193"/>
      <c r="LM188" s="555"/>
      <c r="LO188" s="192"/>
      <c r="LP188" s="192"/>
      <c r="LQ188" s="192"/>
      <c r="LR188" s="192"/>
      <c r="LS188" s="193"/>
      <c r="LT188" s="555"/>
      <c r="LV188" s="192"/>
      <c r="LW188" s="192"/>
      <c r="LX188" s="192"/>
      <c r="LY188" s="192"/>
      <c r="LZ188" s="193"/>
      <c r="MA188" s="555"/>
      <c r="MC188" s="192"/>
      <c r="MD188" s="192"/>
      <c r="ME188" s="192"/>
      <c r="MF188" s="192"/>
      <c r="MG188" s="193"/>
      <c r="MH188" s="555"/>
    </row>
    <row r="189" spans="1:346" s="37" customFormat="1" ht="13.15" x14ac:dyDescent="0.4">
      <c r="A189" s="100"/>
      <c r="B189" s="68" t="s">
        <v>33</v>
      </c>
      <c r="C189" s="186"/>
      <c r="D189" s="186"/>
      <c r="E189" s="186"/>
      <c r="F189" s="186"/>
      <c r="G189" s="186"/>
      <c r="H189" s="186"/>
      <c r="I189" s="186"/>
      <c r="J189" s="186"/>
      <c r="K189" s="186"/>
      <c r="L189" s="186"/>
      <c r="M189" s="186"/>
      <c r="N189" s="200"/>
      <c r="O189" s="200"/>
      <c r="P189" s="200"/>
      <c r="Q189" s="200"/>
      <c r="R189" s="200"/>
      <c r="S189" s="200"/>
      <c r="T189" s="200"/>
      <c r="U189" s="200"/>
      <c r="V189" s="200"/>
      <c r="W189" s="200"/>
      <c r="X189" s="200"/>
      <c r="Y189" s="200"/>
      <c r="Z189" s="200"/>
      <c r="AA189" s="200"/>
      <c r="AB189" s="200"/>
      <c r="AC189" s="200"/>
      <c r="AD189" s="200"/>
      <c r="AE189" s="200"/>
      <c r="AF189" s="200"/>
      <c r="AG189" s="200"/>
      <c r="AH189" s="200"/>
      <c r="AI189" s="200"/>
      <c r="AJ189" s="200"/>
      <c r="AK189" s="200"/>
      <c r="AL189" s="200"/>
      <c r="AM189" s="200"/>
      <c r="AN189" s="200"/>
      <c r="AO189" s="200"/>
      <c r="AP189" s="200"/>
      <c r="AQ189" s="200"/>
      <c r="AR189" s="200"/>
      <c r="AS189" s="200"/>
      <c r="AT189" s="200"/>
      <c r="AU189" s="200"/>
      <c r="AV189" s="200"/>
      <c r="AW189" s="200"/>
      <c r="AX189" s="200"/>
      <c r="AY189" s="200"/>
      <c r="AZ189" s="200"/>
      <c r="BA189" s="200"/>
      <c r="BB189" s="200"/>
      <c r="BC189" s="200"/>
      <c r="BD189" s="200"/>
      <c r="BE189" s="200"/>
      <c r="BF189" s="200"/>
      <c r="BG189" s="200"/>
      <c r="BH189" s="200"/>
      <c r="BI189" s="200"/>
      <c r="BJ189" s="200"/>
      <c r="BK189" s="200"/>
      <c r="BL189" s="200"/>
      <c r="BM189" s="200"/>
      <c r="BO189" s="68" t="str">
        <f t="shared" si="1220"/>
        <v>Automotive</v>
      </c>
      <c r="BP189" s="200"/>
      <c r="BQ189" s="200"/>
      <c r="BR189" s="200"/>
      <c r="BS189" s="200"/>
      <c r="BT189" s="200"/>
      <c r="BV189" s="68" t="str">
        <f t="shared" si="1221"/>
        <v>Automotive</v>
      </c>
      <c r="BW189" s="200"/>
      <c r="BX189" s="200"/>
      <c r="BY189" s="200"/>
      <c r="BZ189" s="200"/>
      <c r="CA189" s="200"/>
      <c r="CC189" s="68" t="str">
        <f t="shared" si="1222"/>
        <v>Automotive</v>
      </c>
      <c r="CD189" s="200"/>
      <c r="CE189" s="200"/>
      <c r="CF189" s="200"/>
      <c r="CG189" s="200"/>
      <c r="CH189" s="200"/>
      <c r="CJ189" s="68" t="str">
        <f t="shared" si="1223"/>
        <v>Automotive</v>
      </c>
      <c r="CK189" s="200"/>
      <c r="CL189" s="200"/>
      <c r="CM189" s="200"/>
      <c r="CN189" s="200"/>
      <c r="CO189" s="200"/>
      <c r="CQ189" s="68" t="str">
        <f t="shared" si="1224"/>
        <v>Automotive</v>
      </c>
      <c r="CR189" s="200"/>
      <c r="CS189" s="200"/>
      <c r="CT189" s="200"/>
      <c r="CU189" s="200"/>
      <c r="CV189" s="200"/>
      <c r="CX189" s="68" t="str">
        <f t="shared" si="1225"/>
        <v>Automotive</v>
      </c>
      <c r="CY189" s="200"/>
      <c r="CZ189" s="200"/>
      <c r="DA189" s="200"/>
      <c r="DB189" s="200"/>
      <c r="DC189" s="200"/>
      <c r="DE189" s="68" t="str">
        <f t="shared" si="1226"/>
        <v>Automotive</v>
      </c>
      <c r="DF189" s="200"/>
      <c r="DG189" s="200"/>
      <c r="DH189" s="200"/>
      <c r="DI189" s="200"/>
      <c r="DJ189" s="200"/>
      <c r="DL189" s="68" t="str">
        <f t="shared" si="1227"/>
        <v>Automotive</v>
      </c>
      <c r="DM189" s="200"/>
      <c r="DN189" s="200"/>
      <c r="DO189" s="200"/>
      <c r="DP189" s="200"/>
      <c r="DQ189" s="200"/>
      <c r="DS189" s="68" t="str">
        <f t="shared" si="1228"/>
        <v>Automotive</v>
      </c>
      <c r="DT189" s="200"/>
      <c r="DU189" s="200"/>
      <c r="DV189" s="200"/>
      <c r="DW189" s="200"/>
      <c r="DX189" s="200"/>
      <c r="DZ189" s="68" t="str">
        <f t="shared" si="1229"/>
        <v>Automotive</v>
      </c>
      <c r="EA189" s="200"/>
      <c r="EB189" s="200"/>
      <c r="EC189" s="200"/>
      <c r="ED189" s="200"/>
      <c r="EE189" s="200"/>
      <c r="EG189" s="68" t="str">
        <f t="shared" si="1230"/>
        <v>Automotive</v>
      </c>
      <c r="EH189" s="200"/>
      <c r="EI189" s="200"/>
      <c r="EJ189" s="200"/>
      <c r="EK189" s="200"/>
      <c r="EL189" s="200"/>
      <c r="EN189" s="68" t="str">
        <f t="shared" si="1231"/>
        <v>Automotive</v>
      </c>
      <c r="EO189" s="200"/>
      <c r="EP189" s="200"/>
      <c r="EQ189" s="200"/>
      <c r="ER189" s="200"/>
      <c r="ES189" s="200"/>
      <c r="EU189" s="68" t="str">
        <f t="shared" si="1232"/>
        <v>Automotive</v>
      </c>
      <c r="EV189" s="200"/>
      <c r="EW189" s="200"/>
      <c r="EX189" s="200"/>
      <c r="EY189" s="200"/>
      <c r="EZ189" s="200"/>
      <c r="FB189" s="68" t="str">
        <f t="shared" si="1233"/>
        <v>Automotive</v>
      </c>
      <c r="FC189" s="200"/>
      <c r="FD189" s="200"/>
      <c r="FE189" s="200"/>
      <c r="FF189" s="200"/>
      <c r="FG189" s="200"/>
      <c r="FI189" s="68" t="str">
        <f t="shared" si="1234"/>
        <v>Automotive</v>
      </c>
      <c r="FJ189" s="200"/>
      <c r="FK189" s="200"/>
      <c r="FL189" s="200"/>
      <c r="FM189" s="200"/>
      <c r="FN189" s="200"/>
      <c r="FP189" s="68" t="str">
        <f t="shared" si="1235"/>
        <v>Automotive</v>
      </c>
      <c r="FQ189" s="200"/>
      <c r="FR189" s="200"/>
      <c r="FS189" s="200"/>
      <c r="FT189" s="200"/>
      <c r="FU189" s="200"/>
      <c r="FW189" s="68" t="str">
        <f t="shared" si="1236"/>
        <v>Automotive</v>
      </c>
      <c r="FX189" s="200"/>
      <c r="FY189" s="200"/>
      <c r="FZ189" s="200"/>
      <c r="GA189" s="200"/>
      <c r="GB189" s="200"/>
      <c r="GD189" s="68" t="str">
        <f t="shared" si="1237"/>
        <v>Automotive</v>
      </c>
      <c r="GE189" s="200"/>
      <c r="GF189" s="200"/>
      <c r="GG189" s="200"/>
      <c r="GH189" s="200"/>
      <c r="GI189" s="200"/>
      <c r="GK189" s="68" t="str">
        <f t="shared" si="1238"/>
        <v>Automotive</v>
      </c>
      <c r="GL189" s="200"/>
      <c r="GM189" s="200"/>
      <c r="GN189" s="200"/>
      <c r="GO189" s="200"/>
      <c r="GP189" s="200"/>
      <c r="GR189" s="68" t="str">
        <f t="shared" si="1239"/>
        <v>Automotive</v>
      </c>
      <c r="GS189" s="200"/>
      <c r="GT189" s="200"/>
      <c r="GU189" s="200"/>
      <c r="GV189" s="200"/>
      <c r="GW189" s="200"/>
      <c r="GY189" s="68" t="str">
        <f t="shared" si="1240"/>
        <v>Automotive</v>
      </c>
      <c r="GZ189" s="200"/>
      <c r="HA189" s="200"/>
      <c r="HB189" s="200"/>
      <c r="HC189" s="200"/>
      <c r="HD189" s="200"/>
      <c r="HF189" s="68" t="str">
        <f t="shared" si="1241"/>
        <v>Automotive</v>
      </c>
      <c r="HG189" s="200"/>
      <c r="HH189" s="200"/>
      <c r="HI189" s="200"/>
      <c r="HJ189" s="200"/>
      <c r="HK189" s="200"/>
      <c r="HM189" s="68" t="str">
        <f t="shared" si="1242"/>
        <v>Automotive</v>
      </c>
      <c r="HN189" s="200"/>
      <c r="HO189" s="200"/>
      <c r="HP189" s="200"/>
      <c r="HQ189" s="200"/>
      <c r="HR189" s="200"/>
      <c r="HT189" s="68" t="str">
        <f t="shared" si="1243"/>
        <v>Automotive</v>
      </c>
      <c r="HU189" s="200"/>
      <c r="HV189" s="200"/>
      <c r="HW189" s="200"/>
      <c r="HX189" s="200"/>
      <c r="HY189" s="200"/>
      <c r="IA189" s="68" t="str">
        <f t="shared" si="1244"/>
        <v>Automotive</v>
      </c>
      <c r="IB189" s="200"/>
      <c r="IC189" s="200"/>
      <c r="ID189" s="200"/>
      <c r="IE189" s="200"/>
      <c r="IF189" s="200"/>
      <c r="IH189" s="68" t="str">
        <f t="shared" si="1245"/>
        <v>Automotive</v>
      </c>
      <c r="II189" s="200"/>
      <c r="IJ189" s="200"/>
      <c r="IK189" s="200"/>
      <c r="IL189" s="200"/>
      <c r="IM189" s="200"/>
      <c r="IO189" s="68" t="str">
        <f t="shared" si="1246"/>
        <v>Automotive</v>
      </c>
      <c r="IP189" s="200"/>
      <c r="IQ189" s="200"/>
      <c r="IR189" s="200"/>
      <c r="IS189" s="200"/>
      <c r="IT189" s="200"/>
      <c r="IV189" s="68" t="str">
        <f t="shared" si="1247"/>
        <v>Automotive</v>
      </c>
      <c r="IW189" s="200"/>
      <c r="IX189" s="200"/>
      <c r="IY189" s="200"/>
      <c r="IZ189" s="200"/>
      <c r="JA189" s="200"/>
      <c r="JC189" s="68" t="str">
        <f t="shared" si="1248"/>
        <v>Automotive</v>
      </c>
      <c r="JD189" s="200"/>
      <c r="JE189" s="200"/>
      <c r="JF189" s="200"/>
      <c r="JG189" s="200"/>
      <c r="JH189" s="200"/>
      <c r="JJ189" s="68" t="str">
        <f t="shared" si="1249"/>
        <v>Automotive</v>
      </c>
      <c r="JK189" s="200"/>
      <c r="JL189" s="200"/>
      <c r="JM189" s="200"/>
      <c r="JN189" s="200"/>
      <c r="JO189" s="200"/>
      <c r="JQ189" s="68" t="str">
        <f t="shared" si="1250"/>
        <v>Automotive</v>
      </c>
      <c r="JR189" s="200"/>
      <c r="JS189" s="200"/>
      <c r="JT189" s="200"/>
      <c r="JU189" s="200"/>
      <c r="JV189" s="200"/>
      <c r="JX189" s="68" t="str">
        <f t="shared" si="1251"/>
        <v>Automotive</v>
      </c>
      <c r="JY189" s="200"/>
      <c r="JZ189" s="200"/>
      <c r="KA189" s="200"/>
      <c r="KB189" s="200"/>
      <c r="KC189" s="200"/>
      <c r="KE189" s="68" t="str">
        <f t="shared" si="1252"/>
        <v>Automotive</v>
      </c>
      <c r="KF189" s="200"/>
      <c r="KG189" s="200"/>
      <c r="KH189" s="200"/>
      <c r="KI189" s="200"/>
      <c r="KJ189" s="200"/>
      <c r="KL189" s="68" t="str">
        <f t="shared" si="1253"/>
        <v>Automotive</v>
      </c>
      <c r="KM189" s="200"/>
      <c r="KN189" s="200"/>
      <c r="KO189" s="200"/>
      <c r="KP189" s="200"/>
      <c r="KQ189" s="200"/>
      <c r="KS189" s="68" t="str">
        <f t="shared" si="1254"/>
        <v>Automotive</v>
      </c>
      <c r="KT189" s="200"/>
      <c r="KU189" s="200"/>
      <c r="KV189" s="200"/>
      <c r="KW189" s="200"/>
      <c r="KX189" s="200"/>
      <c r="KZ189" s="68" t="str">
        <f t="shared" si="1255"/>
        <v>Automotive</v>
      </c>
      <c r="LA189" s="200"/>
      <c r="LB189" s="200"/>
      <c r="LC189" s="200"/>
      <c r="LD189" s="200"/>
      <c r="LE189" s="193"/>
      <c r="LF189" s="555"/>
      <c r="LG189" s="68" t="str">
        <f t="shared" si="1256"/>
        <v>Automotive</v>
      </c>
      <c r="LH189" s="198"/>
      <c r="LI189" s="198"/>
      <c r="LJ189" s="198"/>
      <c r="LK189" s="198"/>
      <c r="LL189" s="193"/>
      <c r="LM189" s="555"/>
      <c r="LN189" s="68" t="str">
        <f>$B189</f>
        <v>Automotive</v>
      </c>
      <c r="LO189" s="198">
        <f>LO190/LK190-1</f>
        <v>-5.8296703296703334E-2</v>
      </c>
      <c r="LP189" s="198">
        <f>LP190/LO190-1</f>
        <v>0.12982087636384865</v>
      </c>
      <c r="LQ189" s="198">
        <f>LQ190/LP190-1</f>
        <v>-2.8609791365420301E-2</v>
      </c>
      <c r="LR189" s="198">
        <f>LR190/LQ190-1</f>
        <v>1.5948963317384379E-2</v>
      </c>
      <c r="LS189" s="193"/>
      <c r="LT189" s="555"/>
      <c r="LU189" s="68" t="str">
        <f>$B189</f>
        <v>Automotive</v>
      </c>
      <c r="LV189" s="198">
        <f>LV190/LR190-1</f>
        <v>-7.6233908948194595E-2</v>
      </c>
      <c r="LW189" s="198">
        <f>LW190/LV190-1</f>
        <v>0.12982087636384843</v>
      </c>
      <c r="LX189" s="198">
        <f>LX190/LW190-1</f>
        <v>-2.8609791365420301E-2</v>
      </c>
      <c r="LY189" s="198">
        <f>LY190/LX190-1</f>
        <v>1.5948963317384379E-2</v>
      </c>
      <c r="LZ189" s="193"/>
      <c r="MA189" s="555"/>
      <c r="MB189" s="68" t="str">
        <f>$B189</f>
        <v>Automotive</v>
      </c>
      <c r="MC189" s="198">
        <f>MC190/LY190-1</f>
        <v>-7.6233908948194595E-2</v>
      </c>
      <c r="MD189" s="198">
        <f>MD190/MC190-1</f>
        <v>0.12982087636384843</v>
      </c>
      <c r="ME189" s="198">
        <f>ME190/MD190-1</f>
        <v>-2.860979136542019E-2</v>
      </c>
      <c r="MF189" s="198">
        <f>MF190/ME190-1</f>
        <v>1.5948963317384379E-2</v>
      </c>
      <c r="MG189" s="193"/>
      <c r="MH189" s="555"/>
    </row>
    <row r="190" spans="1:346" s="37" customFormat="1" ht="13.15" x14ac:dyDescent="0.4">
      <c r="A190" s="100"/>
      <c r="B190" s="37" t="s">
        <v>342</v>
      </c>
      <c r="C190" s="186"/>
      <c r="D190" s="186"/>
      <c r="E190" s="186"/>
      <c r="F190" s="186"/>
      <c r="G190" s="186"/>
      <c r="H190" s="186"/>
      <c r="I190" s="186"/>
      <c r="J190" s="186"/>
      <c r="K190" s="186"/>
      <c r="L190" s="186"/>
      <c r="M190" s="186"/>
      <c r="N190" s="194">
        <f t="shared" ref="N190:AY190" si="2258">N71</f>
        <v>280</v>
      </c>
      <c r="O190" s="194">
        <f t="shared" si="2258"/>
        <v>258</v>
      </c>
      <c r="P190" s="194">
        <f t="shared" si="2258"/>
        <v>265</v>
      </c>
      <c r="Q190" s="194">
        <f t="shared" si="2258"/>
        <v>288</v>
      </c>
      <c r="R190" s="194">
        <f t="shared" si="2258"/>
        <v>326</v>
      </c>
      <c r="S190" s="194">
        <f t="shared" si="2258"/>
        <v>354</v>
      </c>
      <c r="T190" s="194">
        <f t="shared" si="2258"/>
        <v>357</v>
      </c>
      <c r="U190" s="194">
        <f t="shared" si="2258"/>
        <v>367</v>
      </c>
      <c r="V190" s="194">
        <f t="shared" si="2258"/>
        <v>387</v>
      </c>
      <c r="W190" s="194">
        <f t="shared" si="2258"/>
        <v>412</v>
      </c>
      <c r="X190" s="194">
        <f t="shared" si="2258"/>
        <v>553</v>
      </c>
      <c r="Y190" s="194">
        <f t="shared" si="2258"/>
        <v>586</v>
      </c>
      <c r="Z190" s="194">
        <f t="shared" si="2258"/>
        <v>516</v>
      </c>
      <c r="AA190" s="194">
        <f t="shared" si="2258"/>
        <v>538</v>
      </c>
      <c r="AB190" s="194">
        <f t="shared" si="2258"/>
        <v>529</v>
      </c>
      <c r="AC190" s="194">
        <f t="shared" si="2258"/>
        <v>507</v>
      </c>
      <c r="AD190" s="194">
        <f t="shared" si="2258"/>
        <v>488</v>
      </c>
      <c r="AE190" s="194">
        <f t="shared" si="2258"/>
        <v>463</v>
      </c>
      <c r="AF190" s="194">
        <f t="shared" si="2258"/>
        <v>439</v>
      </c>
      <c r="AG190" s="194">
        <f t="shared" si="2258"/>
        <v>343</v>
      </c>
      <c r="AH190" s="194">
        <f t="shared" si="2258"/>
        <v>234</v>
      </c>
      <c r="AI190" s="194">
        <f t="shared" si="2258"/>
        <v>340</v>
      </c>
      <c r="AJ190" s="194">
        <f t="shared" si="2258"/>
        <v>361</v>
      </c>
      <c r="AK190" s="194">
        <f t="shared" si="2258"/>
        <v>425</v>
      </c>
      <c r="AL190" s="194">
        <f t="shared" si="2258"/>
        <v>432</v>
      </c>
      <c r="AM190" s="194">
        <f t="shared" si="2258"/>
        <v>435</v>
      </c>
      <c r="AN190" s="194">
        <f t="shared" si="2258"/>
        <v>450</v>
      </c>
      <c r="AO190" s="194">
        <f t="shared" si="2258"/>
        <v>482</v>
      </c>
      <c r="AP190" s="194">
        <f t="shared" si="2258"/>
        <v>458</v>
      </c>
      <c r="AQ190" s="194">
        <f t="shared" si="2258"/>
        <v>464</v>
      </c>
      <c r="AR190" s="194">
        <f t="shared" si="2258"/>
        <v>473</v>
      </c>
      <c r="AS190" s="194">
        <f t="shared" si="2258"/>
        <v>344</v>
      </c>
      <c r="AT190" s="194">
        <f t="shared" si="2258"/>
        <v>318</v>
      </c>
      <c r="AU190" s="194">
        <f t="shared" si="2258"/>
        <v>338</v>
      </c>
      <c r="AV190" s="194">
        <f t="shared" si="2258"/>
        <v>388</v>
      </c>
      <c r="AW190" s="194">
        <f t="shared" si="2258"/>
        <v>393</v>
      </c>
      <c r="AX190" s="194">
        <f t="shared" si="2258"/>
        <v>380</v>
      </c>
      <c r="AY190" s="194">
        <f t="shared" si="2258"/>
        <v>372.11500000000001</v>
      </c>
      <c r="AZ190" s="194">
        <f t="shared" ref="AZ190:BA190" si="2259">AZ71</f>
        <v>383.27844999999996</v>
      </c>
      <c r="BA190" s="194">
        <f t="shared" si="2259"/>
        <v>394.77680349999997</v>
      </c>
      <c r="BB190" s="194"/>
      <c r="BC190" s="194"/>
      <c r="BD190" s="194"/>
      <c r="BE190" s="194"/>
      <c r="BF190" s="194"/>
      <c r="BG190" s="194"/>
      <c r="BH190" s="194"/>
      <c r="BI190" s="194"/>
      <c r="BJ190" s="194"/>
      <c r="BK190" s="194"/>
      <c r="BL190" s="194"/>
      <c r="BM190" s="194"/>
      <c r="BO190" s="37" t="str">
        <f t="shared" si="1220"/>
        <v>Carloads (000s)</v>
      </c>
      <c r="BP190" s="195">
        <f>BP71</f>
        <v>76</v>
      </c>
      <c r="BQ190" s="195">
        <f>BQ71</f>
        <v>79</v>
      </c>
      <c r="BR190" s="195">
        <f>BR71</f>
        <v>58</v>
      </c>
      <c r="BS190" s="195">
        <f>BS71</f>
        <v>67</v>
      </c>
      <c r="BT190" s="195">
        <f>BT71</f>
        <v>280</v>
      </c>
      <c r="BV190" s="37" t="str">
        <f t="shared" si="1221"/>
        <v>Carloads (000s)</v>
      </c>
      <c r="BW190" s="195">
        <f>BW71</f>
        <v>58</v>
      </c>
      <c r="BX190" s="195">
        <f>BX71</f>
        <v>73</v>
      </c>
      <c r="BY190" s="195">
        <f>BY71</f>
        <v>62</v>
      </c>
      <c r="BZ190" s="195">
        <f>BZ71</f>
        <v>65</v>
      </c>
      <c r="CA190" s="195">
        <f>CA71</f>
        <v>258</v>
      </c>
      <c r="CC190" s="37" t="str">
        <f t="shared" si="1222"/>
        <v>Carloads (000s)</v>
      </c>
      <c r="CD190" s="195">
        <f>CD71</f>
        <v>58</v>
      </c>
      <c r="CE190" s="195">
        <f>CE71</f>
        <v>71</v>
      </c>
      <c r="CF190" s="195">
        <f>CF71</f>
        <v>61</v>
      </c>
      <c r="CG190" s="195">
        <f>CG71</f>
        <v>75</v>
      </c>
      <c r="CH190" s="195">
        <f>CH71</f>
        <v>265</v>
      </c>
      <c r="CJ190" s="37" t="str">
        <f t="shared" si="1223"/>
        <v>Carloads (000s)</v>
      </c>
      <c r="CK190" s="195">
        <f>CK71</f>
        <v>71</v>
      </c>
      <c r="CL190" s="195">
        <f>CL71</f>
        <v>77</v>
      </c>
      <c r="CM190" s="195">
        <f>CM71</f>
        <v>62</v>
      </c>
      <c r="CN190" s="195">
        <f>CN71</f>
        <v>78</v>
      </c>
      <c r="CO190" s="195">
        <f>CO71</f>
        <v>288</v>
      </c>
      <c r="CQ190" s="37" t="str">
        <f t="shared" si="1224"/>
        <v>Carloads (000s)</v>
      </c>
      <c r="CR190" s="195">
        <f>CR71</f>
        <v>80</v>
      </c>
      <c r="CS190" s="195">
        <f>CS71</f>
        <v>86</v>
      </c>
      <c r="CT190" s="195">
        <f>CT71</f>
        <v>68</v>
      </c>
      <c r="CU190" s="195">
        <f>CU71</f>
        <v>92</v>
      </c>
      <c r="CV190" s="195">
        <f>CV71</f>
        <v>326</v>
      </c>
      <c r="CX190" s="37" t="str">
        <f t="shared" si="1225"/>
        <v>Carloads (000s)</v>
      </c>
      <c r="CY190" s="195">
        <f>CY71</f>
        <v>91</v>
      </c>
      <c r="CZ190" s="195">
        <f>CZ71</f>
        <v>97</v>
      </c>
      <c r="DA190" s="195">
        <f>DA71</f>
        <v>76</v>
      </c>
      <c r="DB190" s="195">
        <f>DB71</f>
        <v>90</v>
      </c>
      <c r="DC190" s="195">
        <f>DC71</f>
        <v>354</v>
      </c>
      <c r="DE190" s="37" t="str">
        <f t="shared" si="1226"/>
        <v>Carloads (000s)</v>
      </c>
      <c r="DF190" s="195">
        <f>DF71</f>
        <v>91</v>
      </c>
      <c r="DG190" s="195">
        <f>DG71</f>
        <v>91</v>
      </c>
      <c r="DH190" s="195">
        <f>DH71</f>
        <v>78</v>
      </c>
      <c r="DI190" s="195">
        <f>DI71</f>
        <v>97</v>
      </c>
      <c r="DJ190" s="195">
        <f>DJ71</f>
        <v>357</v>
      </c>
      <c r="DL190" s="37" t="str">
        <f t="shared" si="1227"/>
        <v>Carloads (000s)</v>
      </c>
      <c r="DM190" s="195">
        <f>DM71</f>
        <v>86</v>
      </c>
      <c r="DN190" s="195">
        <f>DN71</f>
        <v>100</v>
      </c>
      <c r="DO190" s="195">
        <f>DO71</f>
        <v>87</v>
      </c>
      <c r="DP190" s="195">
        <f>DP71</f>
        <v>94</v>
      </c>
      <c r="DQ190" s="195">
        <f>DQ71</f>
        <v>367</v>
      </c>
      <c r="DS190" s="37" t="str">
        <f t="shared" si="1228"/>
        <v>Carloads (000s)</v>
      </c>
      <c r="DT190" s="195">
        <f>DT71</f>
        <v>98</v>
      </c>
      <c r="DU190" s="195">
        <f>DU71</f>
        <v>102</v>
      </c>
      <c r="DV190" s="195">
        <f>DV71</f>
        <v>85</v>
      </c>
      <c r="DW190" s="195">
        <f>DW71</f>
        <v>102</v>
      </c>
      <c r="DX190" s="195">
        <f>DX71</f>
        <v>387</v>
      </c>
      <c r="DZ190" s="37" t="str">
        <f t="shared" si="1229"/>
        <v>Carloads (000s)</v>
      </c>
      <c r="EA190" s="195">
        <f>EA71</f>
        <v>98</v>
      </c>
      <c r="EB190" s="195">
        <f>EB71</f>
        <v>108</v>
      </c>
      <c r="EC190" s="195">
        <f>EC71</f>
        <v>87</v>
      </c>
      <c r="ED190" s="195">
        <f>ED71</f>
        <v>119</v>
      </c>
      <c r="EE190" s="195">
        <f>EE71</f>
        <v>412</v>
      </c>
      <c r="EG190" s="37" t="str">
        <f t="shared" si="1230"/>
        <v>Carloads (000s)</v>
      </c>
      <c r="EH190" s="195">
        <f>EH71</f>
        <v>119</v>
      </c>
      <c r="EI190" s="195">
        <f>EI71</f>
        <v>132</v>
      </c>
      <c r="EJ190" s="195">
        <f>EJ71</f>
        <v>145</v>
      </c>
      <c r="EK190" s="195">
        <f>EK71</f>
        <v>157</v>
      </c>
      <c r="EL190" s="195">
        <f>EL71</f>
        <v>553</v>
      </c>
      <c r="EN190" s="37" t="str">
        <f t="shared" si="1231"/>
        <v>Carloads (000s)</v>
      </c>
      <c r="EO190" s="195">
        <f>EO71</f>
        <v>158</v>
      </c>
      <c r="EP190" s="195">
        <f>EP71</f>
        <v>158</v>
      </c>
      <c r="EQ190" s="195">
        <f>EQ71</f>
        <v>132</v>
      </c>
      <c r="ER190" s="195">
        <f>ER71</f>
        <v>138</v>
      </c>
      <c r="ES190" s="195">
        <f>ES71</f>
        <v>586</v>
      </c>
      <c r="EU190" s="37" t="str">
        <f t="shared" si="1232"/>
        <v>Carloads (000s)</v>
      </c>
      <c r="EV190" s="195">
        <f>EV71</f>
        <v>127</v>
      </c>
      <c r="EW190" s="195">
        <f>EW71</f>
        <v>139</v>
      </c>
      <c r="EX190" s="195">
        <f>EX71</f>
        <v>119</v>
      </c>
      <c r="EY190" s="195">
        <f>EY71</f>
        <v>131</v>
      </c>
      <c r="EZ190" s="195">
        <f>EZ71</f>
        <v>516</v>
      </c>
      <c r="FB190" s="37" t="str">
        <f t="shared" si="1233"/>
        <v>Carloads (000s)</v>
      </c>
      <c r="FC190" s="195">
        <f>FC71</f>
        <v>129</v>
      </c>
      <c r="FD190" s="195">
        <f>FD71</f>
        <v>148</v>
      </c>
      <c r="FE190" s="195">
        <f>FE71</f>
        <v>124</v>
      </c>
      <c r="FF190" s="195">
        <f>FF71</f>
        <v>137</v>
      </c>
      <c r="FG190" s="195">
        <f>FG71</f>
        <v>538</v>
      </c>
      <c r="FI190" s="37" t="str">
        <f t="shared" si="1234"/>
        <v>Carloads (000s)</v>
      </c>
      <c r="FJ190" s="195">
        <f>FJ71</f>
        <v>131</v>
      </c>
      <c r="FK190" s="195">
        <f>FK71</f>
        <v>139</v>
      </c>
      <c r="FL190" s="195">
        <f>FL71</f>
        <v>120</v>
      </c>
      <c r="FM190" s="195">
        <f>FM71</f>
        <v>139</v>
      </c>
      <c r="FN190" s="195">
        <f>FN71</f>
        <v>529</v>
      </c>
      <c r="FP190" s="37" t="str">
        <f t="shared" si="1235"/>
        <v>Carloads (000s)</v>
      </c>
      <c r="FQ190" s="195">
        <f>FQ71</f>
        <v>125</v>
      </c>
      <c r="FR190" s="195">
        <f>FR71</f>
        <v>135</v>
      </c>
      <c r="FS190" s="195">
        <f>FS71</f>
        <v>112</v>
      </c>
      <c r="FT190" s="195">
        <f>FT71</f>
        <v>135</v>
      </c>
      <c r="FU190" s="195">
        <f>FU71</f>
        <v>507</v>
      </c>
      <c r="FW190" s="37" t="str">
        <f t="shared" si="1236"/>
        <v>Carloads (000s)</v>
      </c>
      <c r="FX190" s="195">
        <f>FX71</f>
        <v>125</v>
      </c>
      <c r="FY190" s="195">
        <f>FY71</f>
        <v>124</v>
      </c>
      <c r="FZ190" s="195">
        <f>FZ71</f>
        <v>114</v>
      </c>
      <c r="GA190" s="195">
        <f>GA71</f>
        <v>125</v>
      </c>
      <c r="GB190" s="195">
        <f>GB71</f>
        <v>488</v>
      </c>
      <c r="GD190" s="37" t="str">
        <f t="shared" si="1237"/>
        <v>Carloads (000s)</v>
      </c>
      <c r="GE190" s="195">
        <f>GE71</f>
        <v>127</v>
      </c>
      <c r="GF190" s="195">
        <f>GF71</f>
        <v>124</v>
      </c>
      <c r="GG190" s="195">
        <f>GG71</f>
        <v>100</v>
      </c>
      <c r="GH190" s="195">
        <f>GH71</f>
        <v>112</v>
      </c>
      <c r="GI190" s="195">
        <f>GI71</f>
        <v>463</v>
      </c>
      <c r="GK190" s="37" t="str">
        <f t="shared" si="1238"/>
        <v>Carloads (000s)</v>
      </c>
      <c r="GL190" s="195">
        <f>GL71</f>
        <v>109</v>
      </c>
      <c r="GM190" s="195">
        <f>GM71</f>
        <v>119</v>
      </c>
      <c r="GN190" s="195">
        <f>GN71</f>
        <v>102</v>
      </c>
      <c r="GO190" s="195">
        <f>GO71</f>
        <v>109</v>
      </c>
      <c r="GP190" s="195">
        <f>GP71</f>
        <v>439</v>
      </c>
      <c r="GR190" s="37" t="str">
        <f t="shared" si="1239"/>
        <v>Carloads (000s)</v>
      </c>
      <c r="GS190" s="195">
        <f>GS71</f>
        <v>96</v>
      </c>
      <c r="GT190" s="195">
        <f>GT71</f>
        <v>92</v>
      </c>
      <c r="GU190" s="195">
        <f>GU71</f>
        <v>79</v>
      </c>
      <c r="GV190" s="195">
        <f>GV71</f>
        <v>76</v>
      </c>
      <c r="GW190" s="195">
        <f>GW71</f>
        <v>343</v>
      </c>
      <c r="GY190" s="37" t="str">
        <f t="shared" si="1240"/>
        <v>Carloads (000s)</v>
      </c>
      <c r="GZ190" s="195">
        <f>GZ71</f>
        <v>45</v>
      </c>
      <c r="HA190" s="195">
        <f>HA71</f>
        <v>54</v>
      </c>
      <c r="HB190" s="195">
        <f>HB71</f>
        <v>57</v>
      </c>
      <c r="HC190" s="195">
        <f>HC71</f>
        <v>78</v>
      </c>
      <c r="HD190" s="195">
        <f>HD71</f>
        <v>234</v>
      </c>
      <c r="HF190" s="37" t="str">
        <f t="shared" si="1241"/>
        <v>Carloads (000s)</v>
      </c>
      <c r="HG190" s="195">
        <f>HG71</f>
        <v>74</v>
      </c>
      <c r="HH190" s="195">
        <f>HH71</f>
        <v>88</v>
      </c>
      <c r="HI190" s="195">
        <f>HI71</f>
        <v>82</v>
      </c>
      <c r="HJ190" s="195">
        <f>HJ71</f>
        <v>96</v>
      </c>
      <c r="HK190" s="195">
        <f>HK71</f>
        <v>340</v>
      </c>
      <c r="HM190" s="37" t="str">
        <f t="shared" si="1242"/>
        <v>Carloads (000s)</v>
      </c>
      <c r="HN190" s="195">
        <f>HN71</f>
        <v>89</v>
      </c>
      <c r="HO190" s="195">
        <f>HO71</f>
        <v>87</v>
      </c>
      <c r="HP190" s="195">
        <f>HP71</f>
        <v>86</v>
      </c>
      <c r="HQ190" s="195">
        <f>HQ71</f>
        <v>99</v>
      </c>
      <c r="HR190" s="195">
        <f>HR71</f>
        <v>361</v>
      </c>
      <c r="HT190" s="37" t="str">
        <f t="shared" si="1243"/>
        <v>Carloads (000s)</v>
      </c>
      <c r="HU190" s="195">
        <f>HU71</f>
        <v>105</v>
      </c>
      <c r="HV190" s="195">
        <f>HV71</f>
        <v>111</v>
      </c>
      <c r="HW190" s="195">
        <f>HW71</f>
        <v>100</v>
      </c>
      <c r="HX190" s="195">
        <f>HX71</f>
        <v>109</v>
      </c>
      <c r="HY190" s="195">
        <f>HY71</f>
        <v>425</v>
      </c>
      <c r="IA190" s="37" t="str">
        <f t="shared" si="1244"/>
        <v>Carloads (000s)</v>
      </c>
      <c r="IB190" s="195">
        <f>IB71</f>
        <v>105</v>
      </c>
      <c r="IC190" s="195">
        <f>IC71</f>
        <v>113</v>
      </c>
      <c r="ID190" s="195">
        <f>ID71</f>
        <v>101</v>
      </c>
      <c r="IE190" s="195">
        <f>IE71</f>
        <v>113</v>
      </c>
      <c r="IF190" s="195">
        <f>IF71</f>
        <v>432</v>
      </c>
      <c r="IH190" s="37" t="str">
        <f t="shared" si="1245"/>
        <v>Carloads (000s)</v>
      </c>
      <c r="II190" s="195">
        <f>II71</f>
        <v>98</v>
      </c>
      <c r="IJ190" s="195">
        <f>IJ71</f>
        <v>114</v>
      </c>
      <c r="IK190" s="195">
        <f>IK71</f>
        <v>109</v>
      </c>
      <c r="IL190" s="195">
        <f>IL71</f>
        <v>114</v>
      </c>
      <c r="IM190" s="195">
        <f>IM71</f>
        <v>435</v>
      </c>
      <c r="IO190" s="37" t="str">
        <f t="shared" si="1246"/>
        <v>Carloads (000s)</v>
      </c>
      <c r="IP190" s="195">
        <f>IP71</f>
        <v>101</v>
      </c>
      <c r="IQ190" s="195">
        <f>IQ71</f>
        <v>120</v>
      </c>
      <c r="IR190" s="195">
        <f>IR71</f>
        <v>109</v>
      </c>
      <c r="IS190" s="195">
        <f>IS71</f>
        <v>120</v>
      </c>
      <c r="IT190" s="195">
        <f>IT71</f>
        <v>450</v>
      </c>
      <c r="IV190" s="37" t="str">
        <f t="shared" si="1247"/>
        <v>Carloads (000s)</v>
      </c>
      <c r="IW190" s="195">
        <f>IW71</f>
        <v>113</v>
      </c>
      <c r="IX190" s="195">
        <f>IX71</f>
        <v>121</v>
      </c>
      <c r="IY190" s="195">
        <f>IY71</f>
        <v>115</v>
      </c>
      <c r="IZ190" s="195">
        <f>IZ71</f>
        <v>133</v>
      </c>
      <c r="JA190" s="195">
        <f>JA71</f>
        <v>482</v>
      </c>
      <c r="JC190" s="37" t="str">
        <f t="shared" si="1248"/>
        <v>Carloads (000s)</v>
      </c>
      <c r="JD190" s="195">
        <f>JD71</f>
        <v>119</v>
      </c>
      <c r="JE190" s="195">
        <f>JE71</f>
        <v>116</v>
      </c>
      <c r="JF190" s="195">
        <f>JF71</f>
        <v>106</v>
      </c>
      <c r="JG190" s="195">
        <f>JG71</f>
        <v>117</v>
      </c>
      <c r="JH190" s="195">
        <f>JH71</f>
        <v>458</v>
      </c>
      <c r="JJ190" s="37" t="str">
        <f t="shared" si="1249"/>
        <v>Carloads (000s)</v>
      </c>
      <c r="JK190" s="195">
        <f>JK71</f>
        <v>112</v>
      </c>
      <c r="JL190" s="195">
        <f>JL71</f>
        <v>118</v>
      </c>
      <c r="JM190" s="195">
        <f>JM71</f>
        <v>112</v>
      </c>
      <c r="JN190" s="195">
        <f>JN71</f>
        <v>122</v>
      </c>
      <c r="JO190" s="195">
        <f>JO71</f>
        <v>464</v>
      </c>
      <c r="JQ190" s="37" t="str">
        <f t="shared" si="1250"/>
        <v>Carloads (000s)</v>
      </c>
      <c r="JR190" s="195">
        <f>JR71</f>
        <v>115</v>
      </c>
      <c r="JS190" s="195">
        <f>JS71</f>
        <v>121</v>
      </c>
      <c r="JT190" s="195">
        <f>JT71</f>
        <v>119</v>
      </c>
      <c r="JU190" s="195">
        <f>JU71</f>
        <v>118</v>
      </c>
      <c r="JV190" s="195">
        <f>JV71</f>
        <v>473</v>
      </c>
      <c r="JX190" s="37" t="str">
        <f t="shared" si="1251"/>
        <v>Carloads (000s)</v>
      </c>
      <c r="JY190" s="195">
        <f>JY71</f>
        <v>104</v>
      </c>
      <c r="JZ190" s="195">
        <f>JZ71</f>
        <v>35</v>
      </c>
      <c r="KA190" s="195">
        <f>KA71</f>
        <v>102</v>
      </c>
      <c r="KB190" s="195">
        <f>KB71</f>
        <v>103</v>
      </c>
      <c r="KC190" s="195">
        <f>KC71</f>
        <v>344</v>
      </c>
      <c r="KE190" s="37" t="str">
        <f t="shared" si="1252"/>
        <v>Carloads (000s)</v>
      </c>
      <c r="KF190" s="195">
        <f>KF71</f>
        <v>87</v>
      </c>
      <c r="KG190" s="195">
        <f>KG71</f>
        <v>77</v>
      </c>
      <c r="KH190" s="195">
        <f>KH71</f>
        <v>75</v>
      </c>
      <c r="KI190" s="195">
        <f>KI71</f>
        <v>79</v>
      </c>
      <c r="KJ190" s="195">
        <f>KJ71</f>
        <v>318</v>
      </c>
      <c r="KL190" s="37" t="str">
        <f t="shared" si="1253"/>
        <v>Carloads (000s)</v>
      </c>
      <c r="KM190" s="195">
        <f>KM71</f>
        <v>78</v>
      </c>
      <c r="KN190" s="195">
        <f>KN71</f>
        <v>85</v>
      </c>
      <c r="KO190" s="195">
        <f>KO71</f>
        <v>85</v>
      </c>
      <c r="KP190" s="195">
        <f>KP71</f>
        <v>90</v>
      </c>
      <c r="KQ190" s="195">
        <f>KQ71</f>
        <v>338</v>
      </c>
      <c r="KS190" s="37" t="str">
        <f t="shared" si="1254"/>
        <v>Carloads (000s)</v>
      </c>
      <c r="KT190" s="195">
        <f>KT71</f>
        <v>86</v>
      </c>
      <c r="KU190" s="195">
        <f>KU71</f>
        <v>103</v>
      </c>
      <c r="KV190" s="195">
        <f>KV71</f>
        <v>101</v>
      </c>
      <c r="KW190" s="195">
        <f>KW71</f>
        <v>98</v>
      </c>
      <c r="KX190" s="195">
        <f>KX71</f>
        <v>388</v>
      </c>
      <c r="KZ190" s="37" t="str">
        <f t="shared" si="1255"/>
        <v>Carloads (000s)</v>
      </c>
      <c r="LA190" s="195">
        <f>LA71</f>
        <v>94</v>
      </c>
      <c r="LB190" s="195">
        <f>LB71</f>
        <v>105</v>
      </c>
      <c r="LC190" s="195">
        <f>LC71</f>
        <v>98</v>
      </c>
      <c r="LD190" s="195">
        <f>LD71</f>
        <v>96</v>
      </c>
      <c r="LE190" s="196">
        <f>SUM(LA190:LD190)</f>
        <v>393</v>
      </c>
      <c r="LF190" s="573"/>
      <c r="LG190" s="37" t="str">
        <f t="shared" si="1256"/>
        <v>Carloads (000s)</v>
      </c>
      <c r="LH190" s="195">
        <f>LH71</f>
        <v>87</v>
      </c>
      <c r="LI190" s="195">
        <f>LI71</f>
        <v>103</v>
      </c>
      <c r="LJ190" s="195">
        <f>LJ71</f>
        <v>99</v>
      </c>
      <c r="LK190" s="195">
        <f>LK71</f>
        <v>91</v>
      </c>
      <c r="LL190" s="196">
        <f>SUM(LH190:LK190)</f>
        <v>380</v>
      </c>
      <c r="LM190" s="573"/>
      <c r="LN190" s="37" t="str">
        <f t="shared" si="1257"/>
        <v>Carloads (000s)</v>
      </c>
      <c r="LO190" s="196">
        <f>(LH190)*(1+LO191)</f>
        <v>85.694999999999993</v>
      </c>
      <c r="LP190" s="196">
        <f t="shared" ref="LP190" si="2260">(LI190)*(1+LP191)</f>
        <v>96.82</v>
      </c>
      <c r="LQ190" s="196">
        <f t="shared" ref="LQ190" si="2261">(LJ190)*(1+LQ191)</f>
        <v>94.05</v>
      </c>
      <c r="LR190" s="196">
        <f t="shared" ref="LR190" si="2262">(LK190)*(1+LR191)</f>
        <v>95.55</v>
      </c>
      <c r="LS190" s="196">
        <f>SUM(LO190:LR190)</f>
        <v>372.11500000000001</v>
      </c>
      <c r="LT190" s="573"/>
      <c r="LU190" s="37" t="str">
        <f t="shared" si="1261"/>
        <v>Carloads (000s)</v>
      </c>
      <c r="LV190" s="196">
        <f>(LO190)*(1+LV191)</f>
        <v>88.26585</v>
      </c>
      <c r="LW190" s="196">
        <f t="shared" ref="LW190" si="2263">(LP190)*(1+LW191)</f>
        <v>99.724599999999995</v>
      </c>
      <c r="LX190" s="196">
        <f t="shared" ref="LX190" si="2264">(LQ190)*(1+LX191)</f>
        <v>96.871499999999997</v>
      </c>
      <c r="LY190" s="196">
        <f t="shared" ref="LY190" si="2265">(LR190)*(1+LY191)</f>
        <v>98.416499999999999</v>
      </c>
      <c r="LZ190" s="196">
        <f>SUM(LV190:LY190)</f>
        <v>383.27844999999996</v>
      </c>
      <c r="MA190" s="573"/>
      <c r="MB190" s="37" t="str">
        <f t="shared" si="1265"/>
        <v>Carloads (000s)</v>
      </c>
      <c r="MC190" s="196">
        <f>(LV190)*(1+MC191)</f>
        <v>90.913825500000002</v>
      </c>
      <c r="MD190" s="196">
        <f t="shared" ref="MD190" si="2266">(LW190)*(1+MD191)</f>
        <v>102.71633799999999</v>
      </c>
      <c r="ME190" s="196">
        <f t="shared" ref="ME190" si="2267">(LX190)*(1+ME191)</f>
        <v>99.777645000000007</v>
      </c>
      <c r="MF190" s="196">
        <f t="shared" ref="MF190" si="2268">(LY190)*(1+MF191)</f>
        <v>101.368995</v>
      </c>
      <c r="MG190" s="196">
        <f>SUM(MC190:MF190)</f>
        <v>394.77680349999997</v>
      </c>
      <c r="MH190" s="573"/>
    </row>
    <row r="191" spans="1:346" s="37" customFormat="1" ht="13.15" x14ac:dyDescent="0.4">
      <c r="A191" s="100"/>
      <c r="B191" s="197" t="s">
        <v>516</v>
      </c>
      <c r="C191" s="186"/>
      <c r="D191" s="186"/>
      <c r="E191" s="186"/>
      <c r="F191" s="186"/>
      <c r="G191" s="186"/>
      <c r="H191" s="186"/>
      <c r="I191" s="186"/>
      <c r="J191" s="186"/>
      <c r="K191" s="186"/>
      <c r="L191" s="186"/>
      <c r="M191" s="186"/>
      <c r="N191" s="193"/>
      <c r="O191" s="198">
        <f>O190/N190-1</f>
        <v>-7.8571428571428625E-2</v>
      </c>
      <c r="P191" s="198">
        <f t="shared" ref="P191:BA191" si="2269">P190/O190-1</f>
        <v>2.7131782945736482E-2</v>
      </c>
      <c r="Q191" s="198">
        <f t="shared" si="2269"/>
        <v>8.679245283018866E-2</v>
      </c>
      <c r="R191" s="198">
        <f t="shared" si="2269"/>
        <v>0.13194444444444442</v>
      </c>
      <c r="S191" s="198">
        <f t="shared" si="2269"/>
        <v>8.5889570552147187E-2</v>
      </c>
      <c r="T191" s="198">
        <f t="shared" si="2269"/>
        <v>8.4745762711864181E-3</v>
      </c>
      <c r="U191" s="198">
        <f t="shared" si="2269"/>
        <v>2.8011204481792618E-2</v>
      </c>
      <c r="V191" s="198">
        <f t="shared" si="2269"/>
        <v>5.4495912806539426E-2</v>
      </c>
      <c r="W191" s="198">
        <f t="shared" si="2269"/>
        <v>6.4599483204134334E-2</v>
      </c>
      <c r="X191" s="198">
        <f t="shared" si="2269"/>
        <v>0.34223300970873782</v>
      </c>
      <c r="Y191" s="198">
        <f t="shared" si="2269"/>
        <v>5.9674502712477429E-2</v>
      </c>
      <c r="Z191" s="198">
        <f t="shared" si="2269"/>
        <v>-0.11945392491467577</v>
      </c>
      <c r="AA191" s="198">
        <f t="shared" si="2269"/>
        <v>4.2635658914728758E-2</v>
      </c>
      <c r="AB191" s="198">
        <f t="shared" si="2269"/>
        <v>-1.6728624535315983E-2</v>
      </c>
      <c r="AC191" s="198">
        <f t="shared" si="2269"/>
        <v>-4.1587901701323204E-2</v>
      </c>
      <c r="AD191" s="198">
        <f t="shared" si="2269"/>
        <v>-3.7475345167652829E-2</v>
      </c>
      <c r="AE191" s="198">
        <f t="shared" si="2269"/>
        <v>-5.1229508196721341E-2</v>
      </c>
      <c r="AF191" s="198">
        <f t="shared" si="2269"/>
        <v>-5.1835853131749432E-2</v>
      </c>
      <c r="AG191" s="198">
        <f t="shared" si="2269"/>
        <v>-0.21867881548974943</v>
      </c>
      <c r="AH191" s="198">
        <f t="shared" si="2269"/>
        <v>-0.31778425655976672</v>
      </c>
      <c r="AI191" s="198">
        <f t="shared" si="2269"/>
        <v>0.45299145299145294</v>
      </c>
      <c r="AJ191" s="198">
        <f t="shared" si="2269"/>
        <v>6.1764705882352944E-2</v>
      </c>
      <c r="AK191" s="198">
        <f t="shared" si="2269"/>
        <v>0.17728531855955687</v>
      </c>
      <c r="AL191" s="198">
        <f t="shared" si="2269"/>
        <v>1.6470588235294015E-2</v>
      </c>
      <c r="AM191" s="198">
        <f t="shared" si="2269"/>
        <v>6.9444444444444198E-3</v>
      </c>
      <c r="AN191" s="198">
        <f t="shared" si="2269"/>
        <v>3.4482758620689724E-2</v>
      </c>
      <c r="AO191" s="198">
        <f t="shared" si="2269"/>
        <v>7.1111111111111125E-2</v>
      </c>
      <c r="AP191" s="198">
        <f t="shared" si="2269"/>
        <v>-4.9792531120331995E-2</v>
      </c>
      <c r="AQ191" s="198">
        <f t="shared" si="2269"/>
        <v>1.3100436681222627E-2</v>
      </c>
      <c r="AR191" s="198">
        <f t="shared" si="2269"/>
        <v>1.93965517241379E-2</v>
      </c>
      <c r="AS191" s="198">
        <f t="shared" si="2269"/>
        <v>-0.27272727272727271</v>
      </c>
      <c r="AT191" s="198">
        <f t="shared" si="2269"/>
        <v>-7.5581395348837233E-2</v>
      </c>
      <c r="AU191" s="198">
        <f t="shared" si="2269"/>
        <v>6.2893081761006275E-2</v>
      </c>
      <c r="AV191" s="198">
        <f t="shared" si="2269"/>
        <v>0.14792899408284033</v>
      </c>
      <c r="AW191" s="198">
        <f t="shared" si="2269"/>
        <v>1.2886597938144284E-2</v>
      </c>
      <c r="AX191" s="198">
        <f t="shared" si="2269"/>
        <v>-3.30788804071247E-2</v>
      </c>
      <c r="AY191" s="198">
        <f t="shared" si="2269"/>
        <v>-2.0749999999999935E-2</v>
      </c>
      <c r="AZ191" s="198">
        <f t="shared" si="2269"/>
        <v>2.9999999999999805E-2</v>
      </c>
      <c r="BA191" s="198">
        <f t="shared" si="2269"/>
        <v>3.0000000000000027E-2</v>
      </c>
      <c r="BB191" s="198"/>
      <c r="BC191" s="198"/>
      <c r="BD191" s="198"/>
      <c r="BE191" s="198"/>
      <c r="BF191" s="198"/>
      <c r="BG191" s="198"/>
      <c r="BH191" s="198"/>
      <c r="BI191" s="198"/>
      <c r="BJ191" s="198"/>
      <c r="BK191" s="198"/>
      <c r="BL191" s="198"/>
      <c r="BM191" s="198"/>
      <c r="BO191" s="197" t="str">
        <f t="shared" si="1220"/>
        <v>YoY Change (%)</v>
      </c>
      <c r="BP191" s="193"/>
      <c r="BQ191" s="193"/>
      <c r="BR191" s="193"/>
      <c r="BS191" s="193"/>
      <c r="BT191" s="193"/>
      <c r="BV191" s="197" t="str">
        <f t="shared" si="1221"/>
        <v>YoY Change (%)</v>
      </c>
      <c r="BW191" s="198">
        <f>BW190/BP190-1</f>
        <v>-0.23684210526315785</v>
      </c>
      <c r="BX191" s="198">
        <f t="shared" ref="BX191" si="2270">BX190/BQ190-1</f>
        <v>-7.5949367088607556E-2</v>
      </c>
      <c r="BY191" s="198">
        <f t="shared" ref="BY191" si="2271">BY190/BR190-1</f>
        <v>6.8965517241379226E-2</v>
      </c>
      <c r="BZ191" s="198">
        <f t="shared" ref="BZ191" si="2272">BZ190/BS190-1</f>
        <v>-2.9850746268656692E-2</v>
      </c>
      <c r="CA191" s="198">
        <f t="shared" ref="CA191" si="2273">CA190/BT190-1</f>
        <v>-7.8571428571428625E-2</v>
      </c>
      <c r="CC191" s="197" t="str">
        <f t="shared" si="1222"/>
        <v>YoY Change (%)</v>
      </c>
      <c r="CD191" s="198">
        <f>CD190/BW190-1</f>
        <v>0</v>
      </c>
      <c r="CE191" s="198">
        <f t="shared" ref="CE191" si="2274">CE190/BX190-1</f>
        <v>-2.7397260273972601E-2</v>
      </c>
      <c r="CF191" s="198">
        <f t="shared" ref="CF191" si="2275">CF190/BY190-1</f>
        <v>-1.6129032258064502E-2</v>
      </c>
      <c r="CG191" s="198">
        <f t="shared" ref="CG191" si="2276">CG190/BZ190-1</f>
        <v>0.15384615384615374</v>
      </c>
      <c r="CH191" s="198">
        <f t="shared" ref="CH191" si="2277">CH190/CA190-1</f>
        <v>2.7131782945736482E-2</v>
      </c>
      <c r="CJ191" s="197" t="str">
        <f t="shared" si="1223"/>
        <v>YoY Change (%)</v>
      </c>
      <c r="CK191" s="198">
        <f>CK190/CD190-1</f>
        <v>0.22413793103448265</v>
      </c>
      <c r="CL191" s="198">
        <f t="shared" ref="CL191" si="2278">CL190/CE190-1</f>
        <v>8.4507042253521236E-2</v>
      </c>
      <c r="CM191" s="198">
        <f t="shared" ref="CM191" si="2279">CM190/CF190-1</f>
        <v>1.6393442622950838E-2</v>
      </c>
      <c r="CN191" s="198">
        <f t="shared" ref="CN191" si="2280">CN190/CG190-1</f>
        <v>4.0000000000000036E-2</v>
      </c>
      <c r="CO191" s="198">
        <f t="shared" ref="CO191" si="2281">CO190/CH190-1</f>
        <v>8.679245283018866E-2</v>
      </c>
      <c r="CQ191" s="197" t="str">
        <f t="shared" si="1224"/>
        <v>YoY Change (%)</v>
      </c>
      <c r="CR191" s="198">
        <f>CR190/CK190-1</f>
        <v>0.12676056338028174</v>
      </c>
      <c r="CS191" s="198">
        <f t="shared" ref="CS191" si="2282">CS190/CL190-1</f>
        <v>0.11688311688311681</v>
      </c>
      <c r="CT191" s="198">
        <f t="shared" ref="CT191" si="2283">CT190/CM190-1</f>
        <v>9.6774193548387011E-2</v>
      </c>
      <c r="CU191" s="198">
        <f t="shared" ref="CU191" si="2284">CU190/CN190-1</f>
        <v>0.17948717948717952</v>
      </c>
      <c r="CV191" s="198">
        <f t="shared" ref="CV191" si="2285">CV190/CO190-1</f>
        <v>0.13194444444444442</v>
      </c>
      <c r="CX191" s="197" t="str">
        <f t="shared" si="1225"/>
        <v>YoY Change (%)</v>
      </c>
      <c r="CY191" s="198">
        <f>CY190/CR190-1</f>
        <v>0.13749999999999996</v>
      </c>
      <c r="CZ191" s="198">
        <f t="shared" ref="CZ191" si="2286">CZ190/CS190-1</f>
        <v>0.12790697674418605</v>
      </c>
      <c r="DA191" s="198">
        <f t="shared" ref="DA191" si="2287">DA190/CT190-1</f>
        <v>0.11764705882352944</v>
      </c>
      <c r="DB191" s="198">
        <f t="shared" ref="DB191" si="2288">DB190/CU190-1</f>
        <v>-2.1739130434782594E-2</v>
      </c>
      <c r="DC191" s="198">
        <f t="shared" ref="DC191" si="2289">DC190/CV190-1</f>
        <v>8.5889570552147187E-2</v>
      </c>
      <c r="DE191" s="197" t="str">
        <f t="shared" si="1226"/>
        <v>YoY Change (%)</v>
      </c>
      <c r="DF191" s="198">
        <f>DF190/CY190-1</f>
        <v>0</v>
      </c>
      <c r="DG191" s="198">
        <f t="shared" ref="DG191" si="2290">DG190/CZ190-1</f>
        <v>-6.1855670103092786E-2</v>
      </c>
      <c r="DH191" s="198">
        <f t="shared" ref="DH191" si="2291">DH190/DA190-1</f>
        <v>2.6315789473684292E-2</v>
      </c>
      <c r="DI191" s="198">
        <f t="shared" ref="DI191" si="2292">DI190/DB190-1</f>
        <v>7.7777777777777724E-2</v>
      </c>
      <c r="DJ191" s="198">
        <f t="shared" ref="DJ191" si="2293">DJ190/DC190-1</f>
        <v>8.4745762711864181E-3</v>
      </c>
      <c r="DL191" s="197" t="str">
        <f t="shared" si="1227"/>
        <v>YoY Change (%)</v>
      </c>
      <c r="DM191" s="198">
        <f>DM190/DF190-1</f>
        <v>-5.4945054945054972E-2</v>
      </c>
      <c r="DN191" s="198">
        <f t="shared" ref="DN191" si="2294">DN190/DG190-1</f>
        <v>9.8901098901098994E-2</v>
      </c>
      <c r="DO191" s="198">
        <f t="shared" ref="DO191" si="2295">DO190/DH190-1</f>
        <v>0.11538461538461542</v>
      </c>
      <c r="DP191" s="198">
        <f t="shared" ref="DP191" si="2296">DP190/DI190-1</f>
        <v>-3.0927835051546393E-2</v>
      </c>
      <c r="DQ191" s="198">
        <f t="shared" ref="DQ191" si="2297">DQ190/DJ190-1</f>
        <v>2.8011204481792618E-2</v>
      </c>
      <c r="DS191" s="197" t="str">
        <f t="shared" si="1228"/>
        <v>YoY Change (%)</v>
      </c>
      <c r="DT191" s="198">
        <f>DT190/DM190-1</f>
        <v>0.13953488372093026</v>
      </c>
      <c r="DU191" s="198">
        <f t="shared" ref="DU191" si="2298">DU190/DN190-1</f>
        <v>2.0000000000000018E-2</v>
      </c>
      <c r="DV191" s="198">
        <f t="shared" ref="DV191" si="2299">DV190/DO190-1</f>
        <v>-2.2988505747126409E-2</v>
      </c>
      <c r="DW191" s="198">
        <f t="shared" ref="DW191" si="2300">DW190/DP190-1</f>
        <v>8.5106382978723305E-2</v>
      </c>
      <c r="DX191" s="198">
        <f t="shared" ref="DX191" si="2301">DX190/DQ190-1</f>
        <v>5.4495912806539426E-2</v>
      </c>
      <c r="DZ191" s="197" t="str">
        <f t="shared" si="1229"/>
        <v>YoY Change (%)</v>
      </c>
      <c r="EA191" s="198">
        <f>EA190/DT190-1</f>
        <v>0</v>
      </c>
      <c r="EB191" s="198">
        <f t="shared" ref="EB191" si="2302">EB190/DU190-1</f>
        <v>5.8823529411764719E-2</v>
      </c>
      <c r="EC191" s="198">
        <f t="shared" ref="EC191" si="2303">EC190/DV190-1</f>
        <v>2.3529411764705799E-2</v>
      </c>
      <c r="ED191" s="198">
        <f t="shared" ref="ED191" si="2304">ED190/DW190-1</f>
        <v>0.16666666666666674</v>
      </c>
      <c r="EE191" s="198">
        <f t="shared" ref="EE191" si="2305">EE190/DX190-1</f>
        <v>6.4599483204134334E-2</v>
      </c>
      <c r="EG191" s="197" t="str">
        <f t="shared" si="1230"/>
        <v>YoY Change (%)</v>
      </c>
      <c r="EH191" s="198">
        <f>EH190/EA190-1</f>
        <v>0.21428571428571419</v>
      </c>
      <c r="EI191" s="198">
        <f t="shared" ref="EI191" si="2306">EI190/EB190-1</f>
        <v>0.22222222222222232</v>
      </c>
      <c r="EJ191" s="198">
        <f t="shared" ref="EJ191" si="2307">EJ190/EC190-1</f>
        <v>0.66666666666666674</v>
      </c>
      <c r="EK191" s="198">
        <f t="shared" ref="EK191" si="2308">EK190/ED190-1</f>
        <v>0.31932773109243695</v>
      </c>
      <c r="EL191" s="198">
        <f t="shared" ref="EL191" si="2309">EL190/EE190-1</f>
        <v>0.34223300970873782</v>
      </c>
      <c r="EN191" s="197" t="str">
        <f t="shared" si="1231"/>
        <v>YoY Change (%)</v>
      </c>
      <c r="EO191" s="198">
        <f>EO190/EH190-1</f>
        <v>0.32773109243697474</v>
      </c>
      <c r="EP191" s="198">
        <f t="shared" ref="EP191" si="2310">EP190/EI190-1</f>
        <v>0.19696969696969702</v>
      </c>
      <c r="EQ191" s="198">
        <f t="shared" ref="EQ191" si="2311">EQ190/EJ190-1</f>
        <v>-8.9655172413793061E-2</v>
      </c>
      <c r="ER191" s="198">
        <f t="shared" ref="ER191" si="2312">ER190/EK190-1</f>
        <v>-0.12101910828025475</v>
      </c>
      <c r="ES191" s="198">
        <f t="shared" ref="ES191" si="2313">ES190/EL190-1</f>
        <v>5.9674502712477429E-2</v>
      </c>
      <c r="EU191" s="197" t="str">
        <f t="shared" si="1232"/>
        <v>YoY Change (%)</v>
      </c>
      <c r="EV191" s="198">
        <f>EV190/EO190-1</f>
        <v>-0.19620253164556967</v>
      </c>
      <c r="EW191" s="198">
        <f t="shared" ref="EW191" si="2314">EW190/EP190-1</f>
        <v>-0.120253164556962</v>
      </c>
      <c r="EX191" s="198">
        <f t="shared" ref="EX191" si="2315">EX190/EQ190-1</f>
        <v>-9.8484848484848508E-2</v>
      </c>
      <c r="EY191" s="198">
        <f t="shared" ref="EY191" si="2316">EY190/ER190-1</f>
        <v>-5.0724637681159424E-2</v>
      </c>
      <c r="EZ191" s="198">
        <f t="shared" ref="EZ191" si="2317">EZ190/ES190-1</f>
        <v>-0.11945392491467577</v>
      </c>
      <c r="FB191" s="197" t="str">
        <f t="shared" si="1233"/>
        <v>YoY Change (%)</v>
      </c>
      <c r="FC191" s="198">
        <f>FC190/EV190-1</f>
        <v>1.5748031496062964E-2</v>
      </c>
      <c r="FD191" s="198">
        <f t="shared" ref="FD191" si="2318">FD190/EW190-1</f>
        <v>6.4748201438848962E-2</v>
      </c>
      <c r="FE191" s="198">
        <f t="shared" ref="FE191" si="2319">FE190/EX190-1</f>
        <v>4.2016806722689148E-2</v>
      </c>
      <c r="FF191" s="198">
        <f t="shared" ref="FF191" si="2320">FF190/EY190-1</f>
        <v>4.5801526717557328E-2</v>
      </c>
      <c r="FG191" s="198">
        <f t="shared" ref="FG191" si="2321">FG190/EZ190-1</f>
        <v>4.2635658914728758E-2</v>
      </c>
      <c r="FI191" s="197" t="str">
        <f t="shared" si="1234"/>
        <v>YoY Change (%)</v>
      </c>
      <c r="FJ191" s="198">
        <f>FJ190/FC190-1</f>
        <v>1.5503875968992276E-2</v>
      </c>
      <c r="FK191" s="198">
        <f t="shared" ref="FK191" si="2322">FK190/FD190-1</f>
        <v>-6.0810810810810856E-2</v>
      </c>
      <c r="FL191" s="198">
        <f t="shared" ref="FL191" si="2323">FL190/FE190-1</f>
        <v>-3.2258064516129004E-2</v>
      </c>
      <c r="FM191" s="198">
        <f t="shared" ref="FM191" si="2324">FM190/FF190-1</f>
        <v>1.4598540145985384E-2</v>
      </c>
      <c r="FN191" s="198">
        <f t="shared" ref="FN191" si="2325">FN190/FG190-1</f>
        <v>-1.6728624535315983E-2</v>
      </c>
      <c r="FP191" s="197" t="str">
        <f t="shared" si="1235"/>
        <v>YoY Change (%)</v>
      </c>
      <c r="FQ191" s="198">
        <f>FQ190/FJ190-1</f>
        <v>-4.5801526717557217E-2</v>
      </c>
      <c r="FR191" s="198">
        <f t="shared" ref="FR191" si="2326">FR190/FK190-1</f>
        <v>-2.877697841726623E-2</v>
      </c>
      <c r="FS191" s="198">
        <f t="shared" ref="FS191" si="2327">FS190/FL190-1</f>
        <v>-6.6666666666666652E-2</v>
      </c>
      <c r="FT191" s="198">
        <f t="shared" ref="FT191" si="2328">FT190/FM190-1</f>
        <v>-2.877697841726623E-2</v>
      </c>
      <c r="FU191" s="198">
        <f t="shared" ref="FU191" si="2329">FU190/FN190-1</f>
        <v>-4.1587901701323204E-2</v>
      </c>
      <c r="FW191" s="197" t="str">
        <f t="shared" si="1236"/>
        <v>YoY Change (%)</v>
      </c>
      <c r="FX191" s="198">
        <f>FX190/FQ190-1</f>
        <v>0</v>
      </c>
      <c r="FY191" s="198">
        <f t="shared" ref="FY191" si="2330">FY190/FR190-1</f>
        <v>-8.1481481481481488E-2</v>
      </c>
      <c r="FZ191" s="198">
        <f t="shared" ref="FZ191" si="2331">FZ190/FS190-1</f>
        <v>1.7857142857142794E-2</v>
      </c>
      <c r="GA191" s="198">
        <f t="shared" ref="GA191" si="2332">GA190/FT190-1</f>
        <v>-7.407407407407407E-2</v>
      </c>
      <c r="GB191" s="198">
        <f t="shared" ref="GB191" si="2333">GB190/FU190-1</f>
        <v>-3.7475345167652829E-2</v>
      </c>
      <c r="GD191" s="197" t="str">
        <f t="shared" si="1237"/>
        <v>YoY Change (%)</v>
      </c>
      <c r="GE191" s="198">
        <f>GE190/FX190-1</f>
        <v>1.6000000000000014E-2</v>
      </c>
      <c r="GF191" s="198">
        <f t="shared" ref="GF191" si="2334">GF190/FY190-1</f>
        <v>0</v>
      </c>
      <c r="GG191" s="198">
        <f t="shared" ref="GG191" si="2335">GG190/FZ190-1</f>
        <v>-0.1228070175438597</v>
      </c>
      <c r="GH191" s="198">
        <f t="shared" ref="GH191" si="2336">GH190/GA190-1</f>
        <v>-0.10399999999999998</v>
      </c>
      <c r="GI191" s="198">
        <f t="shared" ref="GI191" si="2337">GI190/GB190-1</f>
        <v>-5.1229508196721341E-2</v>
      </c>
      <c r="GK191" s="197" t="str">
        <f t="shared" si="1238"/>
        <v>YoY Change (%)</v>
      </c>
      <c r="GL191" s="198">
        <f>GL190/GE190-1</f>
        <v>-0.1417322834645669</v>
      </c>
      <c r="GM191" s="198">
        <f t="shared" ref="GM191" si="2338">GM190/GF190-1</f>
        <v>-4.0322580645161255E-2</v>
      </c>
      <c r="GN191" s="198">
        <f t="shared" ref="GN191" si="2339">GN190/GG190-1</f>
        <v>2.0000000000000018E-2</v>
      </c>
      <c r="GO191" s="198">
        <f t="shared" ref="GO191" si="2340">GO190/GH190-1</f>
        <v>-2.6785714285714302E-2</v>
      </c>
      <c r="GP191" s="198">
        <f t="shared" ref="GP191" si="2341">GP190/GI190-1</f>
        <v>-5.1835853131749432E-2</v>
      </c>
      <c r="GR191" s="197" t="str">
        <f t="shared" si="1239"/>
        <v>YoY Change (%)</v>
      </c>
      <c r="GS191" s="198">
        <f>GS190/GL190-1</f>
        <v>-0.11926605504587151</v>
      </c>
      <c r="GT191" s="198">
        <f t="shared" ref="GT191" si="2342">GT190/GM190-1</f>
        <v>-0.22689075630252098</v>
      </c>
      <c r="GU191" s="198">
        <f t="shared" ref="GU191" si="2343">GU190/GN190-1</f>
        <v>-0.22549019607843135</v>
      </c>
      <c r="GV191" s="198">
        <f t="shared" ref="GV191" si="2344">GV190/GO190-1</f>
        <v>-0.30275229357798161</v>
      </c>
      <c r="GW191" s="198">
        <f t="shared" ref="GW191" si="2345">GW190/GP190-1</f>
        <v>-0.21867881548974943</v>
      </c>
      <c r="GY191" s="197" t="str">
        <f t="shared" si="1240"/>
        <v>YoY Change (%)</v>
      </c>
      <c r="GZ191" s="198">
        <f>GZ190/GS190-1</f>
        <v>-0.53125</v>
      </c>
      <c r="HA191" s="198">
        <f t="shared" ref="HA191" si="2346">HA190/GT190-1</f>
        <v>-0.41304347826086951</v>
      </c>
      <c r="HB191" s="198">
        <f t="shared" ref="HB191" si="2347">HB190/GU190-1</f>
        <v>-0.27848101265822789</v>
      </c>
      <c r="HC191" s="198">
        <f t="shared" ref="HC191" si="2348">HC190/GV190-1</f>
        <v>2.6315789473684292E-2</v>
      </c>
      <c r="HD191" s="198">
        <f t="shared" ref="HD191" si="2349">HD190/GW190-1</f>
        <v>-0.31778425655976672</v>
      </c>
      <c r="HF191" s="197" t="str">
        <f t="shared" si="1241"/>
        <v>YoY Change (%)</v>
      </c>
      <c r="HG191" s="198">
        <f>HG190/GZ190-1</f>
        <v>0.64444444444444438</v>
      </c>
      <c r="HH191" s="198">
        <f t="shared" ref="HH191" si="2350">HH190/HA190-1</f>
        <v>0.62962962962962954</v>
      </c>
      <c r="HI191" s="198">
        <f t="shared" ref="HI191" si="2351">HI190/HB190-1</f>
        <v>0.43859649122807021</v>
      </c>
      <c r="HJ191" s="198">
        <f t="shared" ref="HJ191" si="2352">HJ190/HC190-1</f>
        <v>0.23076923076923084</v>
      </c>
      <c r="HK191" s="198">
        <f t="shared" ref="HK191" si="2353">HK190/HD190-1</f>
        <v>0.45299145299145294</v>
      </c>
      <c r="HM191" s="197" t="str">
        <f t="shared" si="1242"/>
        <v>YoY Change (%)</v>
      </c>
      <c r="HN191" s="198">
        <f>HN190/HG190-1</f>
        <v>0.20270270270270263</v>
      </c>
      <c r="HO191" s="198">
        <f t="shared" ref="HO191" si="2354">HO190/HH190-1</f>
        <v>-1.1363636363636354E-2</v>
      </c>
      <c r="HP191" s="198">
        <f t="shared" ref="HP191" si="2355">HP190/HI190-1</f>
        <v>4.8780487804878092E-2</v>
      </c>
      <c r="HQ191" s="198">
        <f t="shared" ref="HQ191" si="2356">HQ190/HJ190-1</f>
        <v>3.125E-2</v>
      </c>
      <c r="HR191" s="198">
        <f t="shared" ref="HR191" si="2357">HR190/HK190-1</f>
        <v>6.1764705882352944E-2</v>
      </c>
      <c r="HT191" s="197" t="str">
        <f t="shared" si="1243"/>
        <v>YoY Change (%)</v>
      </c>
      <c r="HU191" s="198">
        <f>HU190/HN190-1</f>
        <v>0.1797752808988764</v>
      </c>
      <c r="HV191" s="198">
        <f t="shared" ref="HV191" si="2358">HV190/HO190-1</f>
        <v>0.27586206896551735</v>
      </c>
      <c r="HW191" s="198">
        <f t="shared" ref="HW191" si="2359">HW190/HP190-1</f>
        <v>0.16279069767441867</v>
      </c>
      <c r="HX191" s="198">
        <f t="shared" ref="HX191" si="2360">HX190/HQ190-1</f>
        <v>0.10101010101010099</v>
      </c>
      <c r="HY191" s="198">
        <f t="shared" ref="HY191" si="2361">HY190/HR190-1</f>
        <v>0.17728531855955687</v>
      </c>
      <c r="IA191" s="197" t="str">
        <f t="shared" si="1244"/>
        <v>YoY Change (%)</v>
      </c>
      <c r="IB191" s="198">
        <f>IB190/HU190-1</f>
        <v>0</v>
      </c>
      <c r="IC191" s="198">
        <f t="shared" ref="IC191" si="2362">IC190/HV190-1</f>
        <v>1.8018018018018056E-2</v>
      </c>
      <c r="ID191" s="198">
        <f t="shared" ref="ID191" si="2363">ID190/HW190-1</f>
        <v>1.0000000000000009E-2</v>
      </c>
      <c r="IE191" s="198">
        <f t="shared" ref="IE191" si="2364">IE190/HX190-1</f>
        <v>3.669724770642202E-2</v>
      </c>
      <c r="IF191" s="198">
        <f t="shared" ref="IF191" si="2365">IF190/HY190-1</f>
        <v>1.6470588235294015E-2</v>
      </c>
      <c r="IH191" s="197" t="str">
        <f t="shared" si="1245"/>
        <v>YoY Change (%)</v>
      </c>
      <c r="II191" s="198">
        <f>II190/IB190-1</f>
        <v>-6.6666666666666652E-2</v>
      </c>
      <c r="IJ191" s="198">
        <f t="shared" ref="IJ191" si="2366">IJ190/IC190-1</f>
        <v>8.8495575221239076E-3</v>
      </c>
      <c r="IK191" s="198">
        <f t="shared" ref="IK191" si="2367">IK190/ID190-1</f>
        <v>7.9207920792079278E-2</v>
      </c>
      <c r="IL191" s="198">
        <f t="shared" ref="IL191" si="2368">IL190/IE190-1</f>
        <v>8.8495575221239076E-3</v>
      </c>
      <c r="IM191" s="198">
        <f t="shared" ref="IM191" si="2369">IM190/IF190-1</f>
        <v>6.9444444444444198E-3</v>
      </c>
      <c r="IO191" s="197" t="str">
        <f t="shared" si="1246"/>
        <v>YoY Change (%)</v>
      </c>
      <c r="IP191" s="198">
        <f>IP190/II190-1</f>
        <v>3.0612244897959107E-2</v>
      </c>
      <c r="IQ191" s="198">
        <f t="shared" ref="IQ191" si="2370">IQ190/IJ190-1</f>
        <v>5.2631578947368363E-2</v>
      </c>
      <c r="IR191" s="198">
        <f t="shared" ref="IR191" si="2371">IR190/IK190-1</f>
        <v>0</v>
      </c>
      <c r="IS191" s="198">
        <f t="shared" ref="IS191" si="2372">IS190/IL190-1</f>
        <v>5.2631578947368363E-2</v>
      </c>
      <c r="IT191" s="198">
        <f t="shared" ref="IT191" si="2373">IT190/IM190-1</f>
        <v>3.4482758620689724E-2</v>
      </c>
      <c r="IV191" s="197" t="str">
        <f t="shared" si="1247"/>
        <v>YoY Change (%)</v>
      </c>
      <c r="IW191" s="198">
        <f>IW190/IP190-1</f>
        <v>0.11881188118811892</v>
      </c>
      <c r="IX191" s="198">
        <f t="shared" ref="IX191" si="2374">IX190/IQ190-1</f>
        <v>8.3333333333333037E-3</v>
      </c>
      <c r="IY191" s="198">
        <f t="shared" ref="IY191" si="2375">IY190/IR190-1</f>
        <v>5.504587155963292E-2</v>
      </c>
      <c r="IZ191" s="198">
        <f t="shared" ref="IZ191" si="2376">IZ190/IS190-1</f>
        <v>0.10833333333333339</v>
      </c>
      <c r="JA191" s="198">
        <f t="shared" ref="JA191" si="2377">JA190/IT190-1</f>
        <v>7.1111111111111125E-2</v>
      </c>
      <c r="JC191" s="197" t="str">
        <f t="shared" si="1248"/>
        <v>YoY Change (%)</v>
      </c>
      <c r="JD191" s="198">
        <f>JD190/IW190-1</f>
        <v>5.3097345132743445E-2</v>
      </c>
      <c r="JE191" s="198">
        <f t="shared" ref="JE191" si="2378">JE190/IX190-1</f>
        <v>-4.132231404958675E-2</v>
      </c>
      <c r="JF191" s="198">
        <f t="shared" ref="JF191" si="2379">JF190/IY190-1</f>
        <v>-7.8260869565217384E-2</v>
      </c>
      <c r="JG191" s="198">
        <f t="shared" ref="JG191" si="2380">JG190/IZ190-1</f>
        <v>-0.12030075187969924</v>
      </c>
      <c r="JH191" s="198">
        <f t="shared" ref="JH191" si="2381">JH190/JA190-1</f>
        <v>-4.9792531120331995E-2</v>
      </c>
      <c r="JJ191" s="197" t="str">
        <f t="shared" si="1249"/>
        <v>YoY Change (%)</v>
      </c>
      <c r="JK191" s="198">
        <f>JK190/JD190-1</f>
        <v>-5.8823529411764719E-2</v>
      </c>
      <c r="JL191" s="198">
        <f t="shared" ref="JL191" si="2382">JL190/JE190-1</f>
        <v>1.7241379310344751E-2</v>
      </c>
      <c r="JM191" s="198">
        <f t="shared" ref="JM191" si="2383">JM190/JF190-1</f>
        <v>5.6603773584905648E-2</v>
      </c>
      <c r="JN191" s="198">
        <f t="shared" ref="JN191" si="2384">JN190/JG190-1</f>
        <v>4.2735042735042805E-2</v>
      </c>
      <c r="JO191" s="198">
        <f t="shared" ref="JO191" si="2385">JO190/JH190-1</f>
        <v>1.3100436681222627E-2</v>
      </c>
      <c r="JQ191" s="197" t="str">
        <f t="shared" si="1250"/>
        <v>YoY Change (%)</v>
      </c>
      <c r="JR191" s="198">
        <f>JR190/JK190-1</f>
        <v>2.6785714285714191E-2</v>
      </c>
      <c r="JS191" s="198">
        <f t="shared" ref="JS191" si="2386">JS190/JL190-1</f>
        <v>2.5423728813559254E-2</v>
      </c>
      <c r="JT191" s="198">
        <f t="shared" ref="JT191" si="2387">JT190/JM190-1</f>
        <v>6.25E-2</v>
      </c>
      <c r="JU191" s="198">
        <f t="shared" ref="JU191" si="2388">JU190/JN190-1</f>
        <v>-3.2786885245901676E-2</v>
      </c>
      <c r="JV191" s="198">
        <f t="shared" ref="JV191" si="2389">JV190/JO190-1</f>
        <v>1.93965517241379E-2</v>
      </c>
      <c r="JX191" s="197" t="str">
        <f t="shared" si="1251"/>
        <v>YoY Change (%)</v>
      </c>
      <c r="JY191" s="198">
        <f>JY190/JR190-1</f>
        <v>-9.5652173913043481E-2</v>
      </c>
      <c r="JZ191" s="198">
        <f t="shared" ref="JZ191" si="2390">JZ190/JS190-1</f>
        <v>-0.71074380165289264</v>
      </c>
      <c r="KA191" s="198">
        <f t="shared" ref="KA191" si="2391">KA190/JT190-1</f>
        <v>-0.1428571428571429</v>
      </c>
      <c r="KB191" s="198">
        <f t="shared" ref="KB191" si="2392">KB190/JU190-1</f>
        <v>-0.1271186440677966</v>
      </c>
      <c r="KC191" s="198">
        <f t="shared" ref="KC191" si="2393">KC190/JV190-1</f>
        <v>-0.27272727272727271</v>
      </c>
      <c r="KE191" s="197" t="str">
        <f t="shared" si="1252"/>
        <v>YoY Change (%)</v>
      </c>
      <c r="KF191" s="198">
        <f>KF190/JY190-1</f>
        <v>-0.16346153846153844</v>
      </c>
      <c r="KG191" s="198">
        <f t="shared" ref="KG191" si="2394">KG190/JZ190-1</f>
        <v>1.2000000000000002</v>
      </c>
      <c r="KH191" s="198">
        <f t="shared" ref="KH191" si="2395">KH190/KA190-1</f>
        <v>-0.26470588235294112</v>
      </c>
      <c r="KI191" s="198">
        <f t="shared" ref="KI191" si="2396">KI190/KB190-1</f>
        <v>-0.23300970873786409</v>
      </c>
      <c r="KJ191" s="198">
        <f t="shared" ref="KJ191" si="2397">KJ190/KC190-1</f>
        <v>-7.5581395348837233E-2</v>
      </c>
      <c r="KL191" s="197" t="str">
        <f t="shared" si="1253"/>
        <v>YoY Change (%)</v>
      </c>
      <c r="KM191" s="198">
        <f>KM190/KF190-1</f>
        <v>-0.10344827586206895</v>
      </c>
      <c r="KN191" s="198">
        <f t="shared" ref="KN191" si="2398">KN190/KG190-1</f>
        <v>0.10389610389610393</v>
      </c>
      <c r="KO191" s="198">
        <f t="shared" ref="KO191" si="2399">KO190/KH190-1</f>
        <v>0.1333333333333333</v>
      </c>
      <c r="KP191" s="198">
        <f t="shared" ref="KP191" si="2400">KP190/KI190-1</f>
        <v>0.139240506329114</v>
      </c>
      <c r="KQ191" s="198">
        <f t="shared" ref="KQ191" si="2401">KQ190/KJ190-1</f>
        <v>6.2893081761006275E-2</v>
      </c>
      <c r="KS191" s="197" t="str">
        <f t="shared" si="1254"/>
        <v>YoY Change (%)</v>
      </c>
      <c r="KT191" s="198">
        <f>KT190/KM190-1</f>
        <v>0.10256410256410264</v>
      </c>
      <c r="KU191" s="198">
        <f t="shared" ref="KU191" si="2402">KU190/KN190-1</f>
        <v>0.21176470588235285</v>
      </c>
      <c r="KV191" s="198">
        <f t="shared" ref="KV191" si="2403">KV190/KO190-1</f>
        <v>0.18823529411764706</v>
      </c>
      <c r="KW191" s="198">
        <f t="shared" ref="KW191" si="2404">KW190/KP190-1</f>
        <v>8.8888888888888795E-2</v>
      </c>
      <c r="KX191" s="198">
        <f t="shared" ref="KX191" si="2405">KX190/KQ190-1</f>
        <v>0.14792899408284033</v>
      </c>
      <c r="KZ191" s="197" t="str">
        <f t="shared" si="1255"/>
        <v>YoY Change (%)</v>
      </c>
      <c r="LA191" s="198">
        <f>LA190/KT190-1</f>
        <v>9.3023255813953432E-2</v>
      </c>
      <c r="LB191" s="198">
        <f>LB190/KU190-1</f>
        <v>1.9417475728155331E-2</v>
      </c>
      <c r="LC191" s="198">
        <f>LC190/KV190-1</f>
        <v>-2.9702970297029729E-2</v>
      </c>
      <c r="LD191" s="198">
        <f t="shared" ref="LD191" si="2406">LD190/KW190-1</f>
        <v>-2.0408163265306145E-2</v>
      </c>
      <c r="LE191" s="199">
        <f t="shared" ref="LE191" si="2407">LE190/KX190-1</f>
        <v>1.2886597938144284E-2</v>
      </c>
      <c r="LF191" s="567"/>
      <c r="LG191" s="197" t="str">
        <f t="shared" si="1256"/>
        <v>YoY Change (%)</v>
      </c>
      <c r="LH191" s="198">
        <f>LH190/LA190-1</f>
        <v>-7.4468085106383031E-2</v>
      </c>
      <c r="LI191" s="198">
        <f>LI190/LB190-1</f>
        <v>-1.9047619047619091E-2</v>
      </c>
      <c r="LJ191" s="198">
        <f>LJ190/LC190-1</f>
        <v>1.0204081632652962E-2</v>
      </c>
      <c r="LK191" s="198">
        <f>LK190/LD190-1</f>
        <v>-5.208333333333337E-2</v>
      </c>
      <c r="LL191" s="199">
        <f t="shared" ref="LL191" si="2408">LL190/LE190-1</f>
        <v>-3.30788804071247E-2</v>
      </c>
      <c r="LM191" s="567"/>
      <c r="LN191" s="197" t="str">
        <f t="shared" si="1257"/>
        <v>YoY Change (%)</v>
      </c>
      <c r="LO191" s="222">
        <v>-1.4999999999999999E-2</v>
      </c>
      <c r="LP191" s="222">
        <v>-0.06</v>
      </c>
      <c r="LQ191" s="222">
        <v>-0.05</v>
      </c>
      <c r="LR191" s="222">
        <v>0.05</v>
      </c>
      <c r="LS191" s="199">
        <f t="shared" ref="LS191" si="2409">LS190/LL190-1</f>
        <v>-2.0749999999999935E-2</v>
      </c>
      <c r="LT191" s="567"/>
      <c r="LU191" s="197" t="str">
        <f t="shared" si="1261"/>
        <v>YoY Change (%)</v>
      </c>
      <c r="LV191" s="222">
        <v>0.03</v>
      </c>
      <c r="LW191" s="222">
        <v>0.03</v>
      </c>
      <c r="LX191" s="222">
        <v>0.03</v>
      </c>
      <c r="LY191" s="222">
        <v>0.03</v>
      </c>
      <c r="LZ191" s="199">
        <f t="shared" ref="LZ191" si="2410">LZ190/LS190-1</f>
        <v>2.9999999999999805E-2</v>
      </c>
      <c r="MA191" s="567"/>
      <c r="MB191" s="197" t="str">
        <f t="shared" si="1265"/>
        <v>YoY Change (%)</v>
      </c>
      <c r="MC191" s="222">
        <v>0.03</v>
      </c>
      <c r="MD191" s="222">
        <v>0.03</v>
      </c>
      <c r="ME191" s="222">
        <v>0.03</v>
      </c>
      <c r="MF191" s="222">
        <v>0.03</v>
      </c>
      <c r="MG191" s="199">
        <f t="shared" ref="MG191" si="2411">MG190/LZ190-1</f>
        <v>3.0000000000000027E-2</v>
      </c>
      <c r="MH191" s="567"/>
    </row>
    <row r="192" spans="1:346" s="37" customFormat="1" ht="13.15" x14ac:dyDescent="0.4">
      <c r="A192" s="100"/>
      <c r="C192" s="186"/>
      <c r="D192" s="186"/>
      <c r="E192" s="186"/>
      <c r="F192" s="186"/>
      <c r="G192" s="186"/>
      <c r="H192" s="186"/>
      <c r="I192" s="186"/>
      <c r="J192" s="186"/>
      <c r="K192" s="186"/>
      <c r="L192" s="186"/>
      <c r="M192" s="186"/>
      <c r="N192" s="193"/>
      <c r="O192" s="193"/>
      <c r="P192" s="193"/>
      <c r="Q192" s="193"/>
      <c r="R192" s="193"/>
      <c r="S192" s="193"/>
      <c r="T192" s="193"/>
      <c r="U192" s="193"/>
      <c r="V192" s="193"/>
      <c r="W192" s="193"/>
      <c r="X192" s="193"/>
      <c r="Y192" s="193"/>
      <c r="Z192" s="193"/>
      <c r="AA192" s="193"/>
      <c r="AB192" s="193"/>
      <c r="AC192" s="193"/>
      <c r="AD192" s="193"/>
      <c r="AE192" s="193"/>
      <c r="AF192" s="193"/>
      <c r="AG192" s="193"/>
      <c r="AH192" s="193"/>
      <c r="AI192" s="193"/>
      <c r="AJ192" s="193"/>
      <c r="AK192" s="193"/>
      <c r="AL192" s="193"/>
      <c r="AM192" s="193"/>
      <c r="AN192" s="193"/>
      <c r="AO192" s="193"/>
      <c r="AP192" s="193"/>
      <c r="AQ192" s="193"/>
      <c r="AR192" s="193"/>
      <c r="AS192" s="193"/>
      <c r="AT192" s="193"/>
      <c r="AU192" s="193"/>
      <c r="AV192" s="193"/>
      <c r="AW192" s="193"/>
      <c r="AX192" s="193"/>
      <c r="AY192" s="193"/>
      <c r="AZ192" s="193"/>
      <c r="BA192" s="193"/>
      <c r="BB192" s="193"/>
      <c r="BC192" s="193"/>
      <c r="BD192" s="193"/>
      <c r="BE192" s="193"/>
      <c r="BF192" s="193"/>
      <c r="BG192" s="193"/>
      <c r="BH192" s="193"/>
      <c r="BI192" s="193"/>
      <c r="BJ192" s="193"/>
      <c r="BK192" s="193"/>
      <c r="BL192" s="193"/>
      <c r="BM192" s="193"/>
      <c r="BP192" s="193"/>
      <c r="BQ192" s="193"/>
      <c r="BR192" s="193"/>
      <c r="BS192" s="193"/>
      <c r="BT192" s="193"/>
      <c r="BW192" s="193"/>
      <c r="BX192" s="193"/>
      <c r="BY192" s="193"/>
      <c r="BZ192" s="193"/>
      <c r="CA192" s="193"/>
      <c r="CD192" s="193"/>
      <c r="CE192" s="193"/>
      <c r="CF192" s="193"/>
      <c r="CG192" s="193"/>
      <c r="CH192" s="193"/>
      <c r="CK192" s="193"/>
      <c r="CL192" s="193"/>
      <c r="CM192" s="193"/>
      <c r="CN192" s="193"/>
      <c r="CO192" s="193"/>
      <c r="CR192" s="193"/>
      <c r="CS192" s="193"/>
      <c r="CT192" s="193"/>
      <c r="CU192" s="193"/>
      <c r="CV192" s="193"/>
      <c r="CY192" s="193"/>
      <c r="CZ192" s="193"/>
      <c r="DA192" s="193"/>
      <c r="DB192" s="193"/>
      <c r="DC192" s="193"/>
      <c r="DF192" s="193"/>
      <c r="DG192" s="193"/>
      <c r="DH192" s="193"/>
      <c r="DI192" s="193"/>
      <c r="DJ192" s="193"/>
      <c r="DM192" s="193"/>
      <c r="DN192" s="193"/>
      <c r="DO192" s="193"/>
      <c r="DP192" s="193"/>
      <c r="DQ192" s="193"/>
      <c r="DT192" s="193"/>
      <c r="DU192" s="193"/>
      <c r="DV192" s="193"/>
      <c r="DW192" s="193"/>
      <c r="DX192" s="193"/>
      <c r="EA192" s="193"/>
      <c r="EB192" s="193"/>
      <c r="EC192" s="193"/>
      <c r="ED192" s="193"/>
      <c r="EE192" s="193"/>
      <c r="EH192" s="193"/>
      <c r="EI192" s="193"/>
      <c r="EJ192" s="193"/>
      <c r="EK192" s="193"/>
      <c r="EL192" s="193"/>
      <c r="EO192" s="193"/>
      <c r="EP192" s="193"/>
      <c r="EQ192" s="193"/>
      <c r="ER192" s="193"/>
      <c r="ES192" s="193"/>
      <c r="EV192" s="193"/>
      <c r="EW192" s="193"/>
      <c r="EX192" s="193"/>
      <c r="EY192" s="193"/>
      <c r="EZ192" s="193"/>
      <c r="FC192" s="193"/>
      <c r="FD192" s="193"/>
      <c r="FE192" s="193"/>
      <c r="FF192" s="193"/>
      <c r="FG192" s="193"/>
      <c r="FJ192" s="193"/>
      <c r="FK192" s="193"/>
      <c r="FL192" s="193"/>
      <c r="FM192" s="193"/>
      <c r="FN192" s="193"/>
      <c r="FQ192" s="193"/>
      <c r="FR192" s="193"/>
      <c r="FS192" s="193"/>
      <c r="FT192" s="193"/>
      <c r="FU192" s="193"/>
      <c r="FX192" s="193"/>
      <c r="FY192" s="193"/>
      <c r="FZ192" s="193"/>
      <c r="GA192" s="193"/>
      <c r="GB192" s="193"/>
      <c r="GE192" s="193"/>
      <c r="GF192" s="193"/>
      <c r="GG192" s="193"/>
      <c r="GH192" s="193"/>
      <c r="GI192" s="193"/>
      <c r="GL192" s="193"/>
      <c r="GM192" s="193"/>
      <c r="GN192" s="193"/>
      <c r="GO192" s="193"/>
      <c r="GP192" s="193"/>
      <c r="GS192" s="193"/>
      <c r="GT192" s="193"/>
      <c r="GU192" s="193"/>
      <c r="GV192" s="193"/>
      <c r="GW192" s="193"/>
      <c r="GZ192" s="193"/>
      <c r="HA192" s="193"/>
      <c r="HB192" s="193"/>
      <c r="HC192" s="193"/>
      <c r="HD192" s="193"/>
      <c r="HG192" s="193"/>
      <c r="HH192" s="193"/>
      <c r="HI192" s="193"/>
      <c r="HJ192" s="193"/>
      <c r="HK192" s="193"/>
      <c r="HN192" s="193"/>
      <c r="HO192" s="193"/>
      <c r="HP192" s="193"/>
      <c r="HQ192" s="193"/>
      <c r="HR192" s="193"/>
      <c r="HU192" s="193"/>
      <c r="HV192" s="193"/>
      <c r="HW192" s="193"/>
      <c r="HX192" s="193"/>
      <c r="HY192" s="193"/>
      <c r="IB192" s="193"/>
      <c r="IC192" s="193"/>
      <c r="ID192" s="193"/>
      <c r="IE192" s="193"/>
      <c r="IF192" s="193"/>
      <c r="II192" s="193"/>
      <c r="IJ192" s="193"/>
      <c r="IK192" s="193"/>
      <c r="IL192" s="193"/>
      <c r="IM192" s="193"/>
      <c r="IP192" s="193"/>
      <c r="IQ192" s="193"/>
      <c r="IR192" s="193"/>
      <c r="IS192" s="193"/>
      <c r="IT192" s="193"/>
      <c r="IW192" s="193"/>
      <c r="IX192" s="193"/>
      <c r="IY192" s="193"/>
      <c r="IZ192" s="193"/>
      <c r="JA192" s="193"/>
      <c r="JD192" s="193"/>
      <c r="JE192" s="193"/>
      <c r="JF192" s="193"/>
      <c r="JG192" s="193"/>
      <c r="JH192" s="193"/>
      <c r="JK192" s="193"/>
      <c r="JL192" s="193"/>
      <c r="JM192" s="193"/>
      <c r="JN192" s="193"/>
      <c r="JO192" s="193"/>
      <c r="JR192" s="193"/>
      <c r="JS192" s="193"/>
      <c r="JT192" s="193"/>
      <c r="JU192" s="193"/>
      <c r="JV192" s="193"/>
      <c r="JY192" s="193"/>
      <c r="JZ192" s="193"/>
      <c r="KA192" s="193"/>
      <c r="KB192" s="193"/>
      <c r="KC192" s="193"/>
      <c r="KF192" s="193"/>
      <c r="KG192" s="193"/>
      <c r="KH192" s="193"/>
      <c r="KI192" s="193"/>
      <c r="KJ192" s="193"/>
      <c r="KM192" s="193"/>
      <c r="KN192" s="193"/>
      <c r="KO192" s="193"/>
      <c r="KP192" s="193"/>
      <c r="KQ192" s="193"/>
      <c r="KT192" s="193"/>
      <c r="KU192" s="193"/>
      <c r="KV192" s="193"/>
      <c r="KW192" s="193"/>
      <c r="KX192" s="193"/>
      <c r="LA192" s="193"/>
      <c r="LB192" s="193"/>
      <c r="LC192" s="193"/>
      <c r="LD192" s="193"/>
      <c r="LE192" s="200"/>
      <c r="LF192" s="565"/>
      <c r="LH192" s="198"/>
      <c r="LI192" s="198"/>
      <c r="LJ192" s="198"/>
      <c r="LK192" s="198"/>
      <c r="LL192" s="193"/>
      <c r="LM192" s="555"/>
      <c r="LN192" s="68"/>
      <c r="LO192" s="198"/>
      <c r="LP192" s="198"/>
      <c r="LQ192" s="198"/>
      <c r="LR192" s="198"/>
      <c r="LS192" s="193"/>
      <c r="LT192" s="555"/>
      <c r="LU192" s="68"/>
      <c r="LV192" s="198"/>
      <c r="LW192" s="198"/>
      <c r="LX192" s="198"/>
      <c r="LY192" s="198"/>
      <c r="LZ192" s="200"/>
      <c r="MA192" s="565"/>
      <c r="MB192" s="68"/>
      <c r="MC192" s="198"/>
      <c r="MD192" s="198"/>
      <c r="ME192" s="198"/>
      <c r="MF192" s="198"/>
      <c r="MG192" s="200"/>
      <c r="MH192" s="565"/>
    </row>
    <row r="193" spans="1:346" s="37" customFormat="1" ht="13.15" x14ac:dyDescent="0.4">
      <c r="A193" s="100"/>
      <c r="B193" s="37" t="s">
        <v>517</v>
      </c>
      <c r="C193" s="186"/>
      <c r="D193" s="186"/>
      <c r="E193" s="186"/>
      <c r="F193" s="186"/>
      <c r="G193" s="186"/>
      <c r="H193" s="186"/>
      <c r="I193" s="186"/>
      <c r="J193" s="186"/>
      <c r="K193" s="186"/>
      <c r="L193" s="186"/>
      <c r="M193" s="186"/>
      <c r="N193" s="194">
        <f t="shared" ref="N193:AY193" si="2412">IFERROR(N11/N71*1000,"")</f>
        <v>1271.4285714285713</v>
      </c>
      <c r="O193" s="194">
        <f t="shared" si="2412"/>
        <v>1325.5813953488371</v>
      </c>
      <c r="P193" s="194">
        <f t="shared" si="2412"/>
        <v>1388.6792452830189</v>
      </c>
      <c r="Q193" s="194">
        <f t="shared" si="2412"/>
        <v>1434.0277777777776</v>
      </c>
      <c r="R193" s="194">
        <f t="shared" si="2412"/>
        <v>1414.1104294478528</v>
      </c>
      <c r="S193" s="194">
        <f t="shared" si="2412"/>
        <v>1392.6553672316384</v>
      </c>
      <c r="T193" s="194">
        <f t="shared" si="2412"/>
        <v>1408.9635854341739</v>
      </c>
      <c r="U193" s="194">
        <f t="shared" si="2412"/>
        <v>1416.8937329700273</v>
      </c>
      <c r="V193" s="194">
        <f t="shared" si="2412"/>
        <v>1403.1007751937984</v>
      </c>
      <c r="W193" s="194">
        <f t="shared" si="2412"/>
        <v>1308.2524271844659</v>
      </c>
      <c r="X193" s="194">
        <f t="shared" si="2412"/>
        <v>1370.7052441229657</v>
      </c>
      <c r="Y193" s="194">
        <f t="shared" si="2412"/>
        <v>1482.9351535836176</v>
      </c>
      <c r="Z193" s="194">
        <f t="shared" si="2412"/>
        <v>1538.7596899224807</v>
      </c>
      <c r="AA193" s="194">
        <f t="shared" si="2412"/>
        <v>1570.6319702602229</v>
      </c>
      <c r="AB193" s="194">
        <f t="shared" si="2412"/>
        <v>1612.4763705103971</v>
      </c>
      <c r="AC193" s="194">
        <f t="shared" si="2412"/>
        <v>1646.9428007889546</v>
      </c>
      <c r="AD193" s="194">
        <f t="shared" si="2412"/>
        <v>1729.5081967213116</v>
      </c>
      <c r="AE193" s="194">
        <f t="shared" si="2412"/>
        <v>1829.3736501079914</v>
      </c>
      <c r="AF193" s="194">
        <f t="shared" si="2412"/>
        <v>1911.1617312072892</v>
      </c>
      <c r="AG193" s="194">
        <f t="shared" si="2412"/>
        <v>2285.7142857142858</v>
      </c>
      <c r="AH193" s="194">
        <f t="shared" si="2412"/>
        <v>2183.7606837606836</v>
      </c>
      <c r="AI193" s="194">
        <f t="shared" si="2412"/>
        <v>2352.9411764705883</v>
      </c>
      <c r="AJ193" s="194">
        <f t="shared" si="2412"/>
        <v>2592.7977839335181</v>
      </c>
      <c r="AK193" s="194">
        <f t="shared" si="2412"/>
        <v>2715.294117647059</v>
      </c>
      <c r="AL193" s="194">
        <f t="shared" si="2412"/>
        <v>2817.1296296296296</v>
      </c>
      <c r="AM193" s="194">
        <f t="shared" si="2412"/>
        <v>2788.5057471264367</v>
      </c>
      <c r="AN193" s="194">
        <f t="shared" si="2412"/>
        <v>2611.1111111111113</v>
      </c>
      <c r="AO193" s="194">
        <f t="shared" si="2412"/>
        <v>2616.1825726141078</v>
      </c>
      <c r="AP193" s="194">
        <f t="shared" si="2412"/>
        <v>2650.6550218340612</v>
      </c>
      <c r="AQ193" s="194">
        <f t="shared" si="2412"/>
        <v>2784.4827586206893</v>
      </c>
      <c r="AR193" s="194">
        <f t="shared" si="2412"/>
        <v>2849.8942917547565</v>
      </c>
      <c r="AS193" s="194">
        <f t="shared" si="2412"/>
        <v>2674.4186046511627</v>
      </c>
      <c r="AT193" s="194">
        <f t="shared" si="2412"/>
        <v>2786.1635220125786</v>
      </c>
      <c r="AU193" s="194">
        <f t="shared" si="2412"/>
        <v>3118.3431952662722</v>
      </c>
      <c r="AV193" s="194">
        <f t="shared" si="2412"/>
        <v>3141.7525773195875</v>
      </c>
      <c r="AW193" s="194">
        <f t="shared" si="2412"/>
        <v>3119.592875318066</v>
      </c>
      <c r="AX193" s="194">
        <f t="shared" si="2412"/>
        <v>3110.5263157894738</v>
      </c>
      <c r="AY193" s="194">
        <f t="shared" si="2412"/>
        <v>3181.677774343952</v>
      </c>
      <c r="AZ193" s="194">
        <f t="shared" ref="AZ193:BA193" si="2413">IFERROR(AZ11/AZ71*1000,"")</f>
        <v>3261.2197187025513</v>
      </c>
      <c r="BA193" s="194">
        <f t="shared" si="2413"/>
        <v>3326.4441130766022</v>
      </c>
      <c r="BB193" s="194"/>
      <c r="BC193" s="194"/>
      <c r="BD193" s="194"/>
      <c r="BE193" s="194"/>
      <c r="BF193" s="194"/>
      <c r="BG193" s="194"/>
      <c r="BH193" s="194"/>
      <c r="BI193" s="194"/>
      <c r="BJ193" s="194"/>
      <c r="BK193" s="194"/>
      <c r="BL193" s="194"/>
      <c r="BM193" s="194"/>
      <c r="BO193" s="37" t="str">
        <f t="shared" si="1220"/>
        <v>Revenue per carload ($)</v>
      </c>
      <c r="BP193" s="193">
        <f>IFERROR(BP11/BP71*1000,"")</f>
        <v>1276.3157894736844</v>
      </c>
      <c r="BQ193" s="193">
        <f>IFERROR(BQ11/BQ71*1000,"")</f>
        <v>1227.8481012658228</v>
      </c>
      <c r="BR193" s="193">
        <f>IFERROR(BR11/BR71*1000,"")</f>
        <v>1241.3793103448277</v>
      </c>
      <c r="BS193" s="193">
        <f>IFERROR(BS11/BS71*1000,"")</f>
        <v>1343.2835820895523</v>
      </c>
      <c r="BT193" s="193">
        <f>IFERROR(BT11/BT71*1000,"")</f>
        <v>1271.4285714285713</v>
      </c>
      <c r="BV193" s="37" t="str">
        <f t="shared" si="1221"/>
        <v>Revenue per carload ($)</v>
      </c>
      <c r="BW193" s="193">
        <f>IFERROR(BW11/BW71*1000,"")</f>
        <v>1310.3448275862067</v>
      </c>
      <c r="BX193" s="193">
        <f>IFERROR(BX11/BX71*1000,"")</f>
        <v>1301.3698630136987</v>
      </c>
      <c r="BY193" s="193">
        <f>IFERROR(BY11/BY71*1000,"")</f>
        <v>1370.9677419354837</v>
      </c>
      <c r="BZ193" s="193">
        <f>IFERROR(BZ11/BZ71*1000,"")</f>
        <v>1323.0769230769231</v>
      </c>
      <c r="CA193" s="193">
        <f>IFERROR(CA11/CA71*1000,"")</f>
        <v>1325.5813953488371</v>
      </c>
      <c r="CC193" s="37" t="str">
        <f t="shared" si="1222"/>
        <v>Revenue per carload ($)</v>
      </c>
      <c r="CD193" s="193">
        <f>IFERROR(CD11/CD71*1000,"")</f>
        <v>1396.5517241379312</v>
      </c>
      <c r="CE193" s="193">
        <f>IFERROR(CE11/CE71*1000,"")</f>
        <v>1352.1126760563379</v>
      </c>
      <c r="CF193" s="193">
        <f>IFERROR(CF11/CF71*1000,"")</f>
        <v>1377.0491803278687</v>
      </c>
      <c r="CG193" s="193">
        <f>IFERROR(CG11/CG71*1000,"")</f>
        <v>1426.6666666666667</v>
      </c>
      <c r="CH193" s="193">
        <f>IFERROR(CH11/CH71*1000,"")</f>
        <v>1388.6792452830189</v>
      </c>
      <c r="CJ193" s="37" t="str">
        <f t="shared" si="1223"/>
        <v>Revenue per carload ($)</v>
      </c>
      <c r="CK193" s="193">
        <f>IFERROR(CK11/CK71*1000,"")</f>
        <v>1464.7887323943662</v>
      </c>
      <c r="CL193" s="193">
        <f>IFERROR(CL11/CL71*1000,"")</f>
        <v>1428.5714285714287</v>
      </c>
      <c r="CM193" s="193">
        <f>IFERROR(CM11/CM71*1000,"")</f>
        <v>1435.483870967742</v>
      </c>
      <c r="CN193" s="193">
        <f>IFERROR(CN11/CN71*1000,"")</f>
        <v>1410.2564102564104</v>
      </c>
      <c r="CO193" s="193">
        <f>IFERROR(CO11/CO71*1000,"")</f>
        <v>1434.0277777777776</v>
      </c>
      <c r="CQ193" s="37" t="str">
        <f t="shared" si="1224"/>
        <v>Revenue per carload ($)</v>
      </c>
      <c r="CR193" s="193">
        <f>IFERROR(CR11/CR71*1000,"")</f>
        <v>1437.5</v>
      </c>
      <c r="CS193" s="193">
        <f>IFERROR(CS11/CS71*1000,"")</f>
        <v>1430.2325581395351</v>
      </c>
      <c r="CT193" s="193">
        <f>IFERROR(CT11/CT71*1000,"")</f>
        <v>1411.7647058823529</v>
      </c>
      <c r="CU193" s="193">
        <f>IFERROR(CU11/CU71*1000,"")</f>
        <v>1380.4347826086955</v>
      </c>
      <c r="CV193" s="193">
        <f>IFERROR(CV11/CV71*1000,"")</f>
        <v>1414.1104294478528</v>
      </c>
      <c r="CX193" s="37" t="str">
        <f t="shared" si="1225"/>
        <v>Revenue per carload ($)</v>
      </c>
      <c r="CY193" s="193">
        <f>IFERROR(CY11/CY71*1000,"")</f>
        <v>1395.6043956043954</v>
      </c>
      <c r="CZ193" s="193">
        <f>IFERROR(CZ11/CZ71*1000,"")</f>
        <v>1360.8247422680413</v>
      </c>
      <c r="DA193" s="193">
        <f>IFERROR(DA11/DA71*1000,"")</f>
        <v>1407.8947368421052</v>
      </c>
      <c r="DB193" s="193">
        <f>IFERROR(DB11/DB71*1000,"")</f>
        <v>1411.1111111111113</v>
      </c>
      <c r="DC193" s="193">
        <f>IFERROR(DC11/DC71*1000,"")</f>
        <v>1392.6553672316384</v>
      </c>
      <c r="DE193" s="37" t="str">
        <f t="shared" si="1226"/>
        <v>Revenue per carload ($)</v>
      </c>
      <c r="DF193" s="193">
        <f>IFERROR(DF11/DF71*1000,"")</f>
        <v>1384.6153846153845</v>
      </c>
      <c r="DG193" s="193">
        <f>IFERROR(DG11/DG71*1000,"")</f>
        <v>1406.5934065934066</v>
      </c>
      <c r="DH193" s="193">
        <f>IFERROR(DH11/DH71*1000,"")</f>
        <v>1423.0769230769231</v>
      </c>
      <c r="DI193" s="193">
        <f>IFERROR(DI11/DI71*1000,"")</f>
        <v>1422.680412371134</v>
      </c>
      <c r="DJ193" s="193">
        <f>IFERROR(DJ11/DJ71*1000,"")</f>
        <v>1408.9635854341739</v>
      </c>
      <c r="DL193" s="37" t="str">
        <f t="shared" si="1227"/>
        <v>Revenue per carload ($)</v>
      </c>
      <c r="DM193" s="193">
        <f>IFERROR(DM11/DM71*1000,"")</f>
        <v>1418.6046511627908</v>
      </c>
      <c r="DN193" s="193">
        <f>IFERROR(DN11/DN71*1000,"")</f>
        <v>1420</v>
      </c>
      <c r="DO193" s="193">
        <f>IFERROR(DO11/DO71*1000,"")</f>
        <v>1413.7931034482758</v>
      </c>
      <c r="DP193" s="193">
        <f>IFERROR(DP11/DP71*1000,"")</f>
        <v>1414.8936170212767</v>
      </c>
      <c r="DQ193" s="193">
        <f>IFERROR(DQ11/DQ71*1000,"")</f>
        <v>1416.8937329700273</v>
      </c>
      <c r="DS193" s="37" t="str">
        <f t="shared" si="1228"/>
        <v>Revenue per carload ($)</v>
      </c>
      <c r="DT193" s="193">
        <f>IFERROR(DT11/DT71*1000,"")</f>
        <v>1387.7551020408164</v>
      </c>
      <c r="DU193" s="193">
        <f>IFERROR(DU11/DU71*1000,"")</f>
        <v>1372.5490196078431</v>
      </c>
      <c r="DV193" s="193">
        <f>IFERROR(DV11/DV71*1000,"")</f>
        <v>1411.7647058823529</v>
      </c>
      <c r="DW193" s="193">
        <f>IFERROR(DW11/DW71*1000,"")</f>
        <v>1441.1764705882354</v>
      </c>
      <c r="DX193" s="193">
        <f>IFERROR(DX11/DX71*1000,"")</f>
        <v>1403.1007751937984</v>
      </c>
      <c r="DZ193" s="37" t="str">
        <f t="shared" si="1229"/>
        <v>Revenue per carload ($)</v>
      </c>
      <c r="EA193" s="193">
        <f>IFERROR(EA11/EA71*1000,"")</f>
        <v>1326.5306122448978</v>
      </c>
      <c r="EB193" s="193">
        <f>IFERROR(EB11/EB71*1000,"")</f>
        <v>1305.5555555555557</v>
      </c>
      <c r="EC193" s="193">
        <f>IFERROR(EC11/EC71*1000,"")</f>
        <v>1275.8620689655174</v>
      </c>
      <c r="ED193" s="193">
        <f>IFERROR(ED11/ED71*1000,"")</f>
        <v>1319.327731092437</v>
      </c>
      <c r="EE193" s="193">
        <f>IFERROR(EE11/EE71*1000,"")</f>
        <v>1308.2524271844659</v>
      </c>
      <c r="EG193" s="37" t="str">
        <f t="shared" si="1230"/>
        <v>Revenue per carload ($)</v>
      </c>
      <c r="EH193" s="193">
        <f>IFERROR(EH11/EH71*1000,"")</f>
        <v>1277.3109243697479</v>
      </c>
      <c r="EI193" s="193">
        <f>IFERROR(EI11/EI71*1000,"")</f>
        <v>1340.9090909090908</v>
      </c>
      <c r="EJ193" s="193">
        <f>IFERROR(EJ11/EJ71*1000,"")</f>
        <v>1400</v>
      </c>
      <c r="EK193" s="193">
        <f>IFERROR(EK11/EK71*1000,"")</f>
        <v>1439.4904458598726</v>
      </c>
      <c r="EL193" s="193">
        <f>IFERROR(EL11/EL71*1000,"")</f>
        <v>1370.7052441229657</v>
      </c>
      <c r="EN193" s="37" t="str">
        <f t="shared" si="1231"/>
        <v>Revenue per carload ($)</v>
      </c>
      <c r="EO193" s="193">
        <f>IFERROR(EO11/EO71*1000,"")</f>
        <v>1436.7088607594937</v>
      </c>
      <c r="EP193" s="193">
        <f>IFERROR(EP11/EP71*1000,"")</f>
        <v>1506.3291139240507</v>
      </c>
      <c r="EQ193" s="193">
        <f>IFERROR(EQ11/EQ71*1000,"")</f>
        <v>1484.8484848484848</v>
      </c>
      <c r="ER193" s="193">
        <f>IFERROR(ER11/ER71*1000,"")</f>
        <v>1507.2463768115942</v>
      </c>
      <c r="ES193" s="193">
        <f>IFERROR(ES11/ES71*1000,"")</f>
        <v>1482.9351535836176</v>
      </c>
      <c r="EU193" s="37" t="str">
        <f t="shared" si="1232"/>
        <v>Revenue per carload ($)</v>
      </c>
      <c r="EV193" s="193">
        <f>IFERROR(EV11/EV71*1000,"")</f>
        <v>1527.5590551181101</v>
      </c>
      <c r="EW193" s="193">
        <f>IFERROR(EW11/EW71*1000,"")</f>
        <v>1532.3741007194244</v>
      </c>
      <c r="EX193" s="193">
        <f>IFERROR(EX11/EX71*1000,"")</f>
        <v>1546.2184873949579</v>
      </c>
      <c r="EY193" s="193">
        <f>IFERROR(EY11/EY71*1000,"")</f>
        <v>1549.6183206106871</v>
      </c>
      <c r="EZ193" s="193">
        <f>IFERROR(EZ11/EZ71*1000,"")</f>
        <v>1538.7596899224807</v>
      </c>
      <c r="FB193" s="37" t="str">
        <f t="shared" si="1233"/>
        <v>Revenue per carload ($)</v>
      </c>
      <c r="FC193" s="193">
        <f>IFERROR(FC11/FC71*1000,"")</f>
        <v>1550.3875968992249</v>
      </c>
      <c r="FD193" s="193">
        <f>IFERROR(FD11/FD71*1000,"")</f>
        <v>1560.8108108108108</v>
      </c>
      <c r="FE193" s="193">
        <f>IFERROR(FE11/FE71*1000,"")</f>
        <v>1572.5806451612902</v>
      </c>
      <c r="FF193" s="193">
        <f>IFERROR(FF11/FF71*1000,"")</f>
        <v>1598.5401459854013</v>
      </c>
      <c r="FG193" s="193">
        <f>IFERROR(FG11/FG71*1000,"")</f>
        <v>1570.6319702602229</v>
      </c>
      <c r="FI193" s="37" t="str">
        <f t="shared" si="1234"/>
        <v>Revenue per carload ($)</v>
      </c>
      <c r="FJ193" s="193">
        <f>IFERROR(FJ11/FJ71*1000,"")</f>
        <v>1587.7862595419847</v>
      </c>
      <c r="FK193" s="193">
        <f>IFERROR(FK11/FK71*1000,"")</f>
        <v>1611.5107913669065</v>
      </c>
      <c r="FL193" s="193">
        <f>IFERROR(FL11/FL71*1000,"")</f>
        <v>1608.3333333333335</v>
      </c>
      <c r="FM193" s="193">
        <f>IFERROR(FM11/FM71*1000,"")</f>
        <v>1640.2877697841727</v>
      </c>
      <c r="FN193" s="193">
        <f>IFERROR(FN11/FN71*1000,"")</f>
        <v>1612.4763705103971</v>
      </c>
      <c r="FP193" s="37" t="str">
        <f t="shared" si="1235"/>
        <v>Revenue per carload ($)</v>
      </c>
      <c r="FQ193" s="193">
        <f>IFERROR(FQ11/FQ71*1000,"")</f>
        <v>1616</v>
      </c>
      <c r="FR193" s="193">
        <f>IFERROR(FR11/FR71*1000,"")</f>
        <v>1629.6296296296296</v>
      </c>
      <c r="FS193" s="193">
        <f>IFERROR(FS11/FS71*1000,"")</f>
        <v>1651.7857142857142</v>
      </c>
      <c r="FT193" s="193">
        <f>IFERROR(FT11/FT71*1000,"")</f>
        <v>1688.8888888888889</v>
      </c>
      <c r="FU193" s="193">
        <f>IFERROR(FU11/FU71*1000,"")</f>
        <v>1646.9428007889546</v>
      </c>
      <c r="FW193" s="37" t="str">
        <f t="shared" si="1236"/>
        <v>Revenue per carload ($)</v>
      </c>
      <c r="FX193" s="193">
        <f>IFERROR(FX11/FX71*1000,"")</f>
        <v>1664</v>
      </c>
      <c r="FY193" s="193">
        <f>IFERROR(FY11/FY71*1000,"")</f>
        <v>1701.6129032258066</v>
      </c>
      <c r="FZ193" s="193">
        <f>IFERROR(FZ11/FZ71*1000,"")</f>
        <v>1754.3859649122805</v>
      </c>
      <c r="GA193" s="193">
        <f>IFERROR(GA11/GA71*1000,"")</f>
        <v>1800</v>
      </c>
      <c r="GB193" s="193">
        <f>IFERROR(GB11/GB71*1000,"")</f>
        <v>1729.5081967213116</v>
      </c>
      <c r="GD193" s="37" t="str">
        <f t="shared" si="1237"/>
        <v>Revenue per carload ($)</v>
      </c>
      <c r="GE193" s="193">
        <f>IFERROR(GE11/GE71*1000,"")</f>
        <v>1818.8976377952756</v>
      </c>
      <c r="GF193" s="193">
        <f>IFERROR(GF11/GF71*1000,"")</f>
        <v>1798.3870967741934</v>
      </c>
      <c r="GG193" s="193">
        <f>IFERROR(GG11/GG71*1000,"")</f>
        <v>1830</v>
      </c>
      <c r="GH193" s="193">
        <f>IFERROR(GH11/GH71*1000,"")</f>
        <v>1875</v>
      </c>
      <c r="GI193" s="193">
        <f>IFERROR(GI11/GI71*1000,"")</f>
        <v>1829.3736501079914</v>
      </c>
      <c r="GK193" s="37" t="str">
        <f t="shared" si="1238"/>
        <v>Revenue per carload ($)</v>
      </c>
      <c r="GL193" s="193">
        <f>IFERROR(GL11/GL71*1000,"")</f>
        <v>1862.3853211009173</v>
      </c>
      <c r="GM193" s="193">
        <f>IFERROR(GM11/GM71*1000,"")</f>
        <v>1873.9495798319329</v>
      </c>
      <c r="GN193" s="193">
        <f>IFERROR(GN11/GN71*1000,"")</f>
        <v>1941.1764705882354</v>
      </c>
      <c r="GO193" s="193">
        <f>IFERROR(GO11/GO71*1000,"")</f>
        <v>1972.4770642201834</v>
      </c>
      <c r="GP193" s="193">
        <f>IFERROR(GP11/GP71*1000,"")</f>
        <v>1911.1617312072892</v>
      </c>
      <c r="GR193" s="37" t="str">
        <f t="shared" si="1239"/>
        <v>Revenue per carload ($)</v>
      </c>
      <c r="GS193" s="193">
        <f>IFERROR(GS11/GS71*1000,"")</f>
        <v>2104.1666666666665</v>
      </c>
      <c r="GT193" s="193">
        <f>IFERROR(GT11/GT71*1000,"")</f>
        <v>2228.2608695652175</v>
      </c>
      <c r="GU193" s="193">
        <f>IFERROR(GU11/GU71*1000,"")</f>
        <v>2468.3544303797466</v>
      </c>
      <c r="GV193" s="193">
        <f>IFERROR(GV11/GV71*1000,"")</f>
        <v>2394.7368421052633</v>
      </c>
      <c r="GW193" s="193">
        <f>IFERROR(GW11/GW71*1000,"")</f>
        <v>2285.7142857142858</v>
      </c>
      <c r="GY193" s="37" t="str">
        <f t="shared" si="1240"/>
        <v>Revenue per carload ($)</v>
      </c>
      <c r="GZ193" s="193">
        <f>IFERROR(GZ11/GZ71*1000,"")</f>
        <v>2111.1111111111113</v>
      </c>
      <c r="HA193" s="193">
        <f>IFERROR(HA11/HA71*1000,"")</f>
        <v>2092.5925925925926</v>
      </c>
      <c r="HB193" s="193">
        <f>IFERROR(HB11/HB71*1000,"")</f>
        <v>2228.0701754385964</v>
      </c>
      <c r="HC193" s="193">
        <f>IFERROR(HC11/HC71*1000,"")</f>
        <v>2256.4102564102564</v>
      </c>
      <c r="HD193" s="193">
        <f>IFERROR(HD11/HD71*1000,"")</f>
        <v>2183.7606837606836</v>
      </c>
      <c r="HF193" s="37" t="str">
        <f t="shared" si="1241"/>
        <v>Revenue per carload ($)</v>
      </c>
      <c r="HG193" s="193">
        <f>IFERROR(HG11/HG71*1000,"")</f>
        <v>2297.2972972972975</v>
      </c>
      <c r="HH193" s="193">
        <f>IFERROR(HH11/HH71*1000,"")</f>
        <v>2318.1818181818185</v>
      </c>
      <c r="HI193" s="193">
        <f>IFERROR(HI11/HI71*1000,"")</f>
        <v>2390.2439024390242</v>
      </c>
      <c r="HJ193" s="193">
        <f>IFERROR(HJ11/HJ71*1000,"")</f>
        <v>2395.8333333333335</v>
      </c>
      <c r="HK193" s="193">
        <f>IFERROR(HK11/HK71*1000,"")</f>
        <v>2352.9411764705883</v>
      </c>
      <c r="HM193" s="37" t="str">
        <f t="shared" si="1242"/>
        <v>Revenue per carload ($)</v>
      </c>
      <c r="HN193" s="193">
        <f>IFERROR(HN11/HN71*1000,"")</f>
        <v>2460.674157303371</v>
      </c>
      <c r="HO193" s="193">
        <f>IFERROR(HO11/HO71*1000,"")</f>
        <v>2597.7011494252874</v>
      </c>
      <c r="HP193" s="193">
        <f>IFERROR(HP11/HP71*1000,"")</f>
        <v>2651.1627906976742</v>
      </c>
      <c r="HQ193" s="193">
        <f>IFERROR(HQ11/HQ71*1000,"")</f>
        <v>2656.5656565656564</v>
      </c>
      <c r="HR193" s="193">
        <f>IFERROR(HR11/HR71*1000,"")</f>
        <v>2592.7977839335181</v>
      </c>
      <c r="HT193" s="37" t="str">
        <f t="shared" si="1243"/>
        <v>Revenue per carload ($)</v>
      </c>
      <c r="HU193" s="193">
        <f>IFERROR(HU11/HU71*1000,"")</f>
        <v>2676.1904761904761</v>
      </c>
      <c r="HV193" s="193">
        <f>IFERROR(HV11/HV71*1000,"")</f>
        <v>2720.7207207207207</v>
      </c>
      <c r="HW193" s="193">
        <f>IFERROR(HW11/HW71*1000,"")</f>
        <v>2700</v>
      </c>
      <c r="HX193" s="193">
        <f>IFERROR(HX11/HX71*1000,"")</f>
        <v>2761.4678899082569</v>
      </c>
      <c r="HY193" s="193">
        <f>IFERROR(HY11/HY71*1000,"")</f>
        <v>2715.294117647059</v>
      </c>
      <c r="IA193" s="37" t="str">
        <f t="shared" si="1244"/>
        <v>Revenue per carload ($)</v>
      </c>
      <c r="IB193" s="193">
        <f>IFERROR(IB11/IB71*1000,"")</f>
        <v>2790.4761904761904</v>
      </c>
      <c r="IC193" s="193">
        <f>IFERROR(IC11/IC71*1000,"")</f>
        <v>2814.1592920353983</v>
      </c>
      <c r="ID193" s="193">
        <f>IFERROR(ID11/ID71*1000,"")</f>
        <v>2831.6831683168316</v>
      </c>
      <c r="IE193" s="193">
        <f>IFERROR(IE11/IE71*1000,"")</f>
        <v>2831.858407079646</v>
      </c>
      <c r="IF193" s="193">
        <f>IFERROR(IF11/IF71*1000,"")</f>
        <v>2817.1296296296296</v>
      </c>
      <c r="IH193" s="37" t="str">
        <f t="shared" si="1245"/>
        <v>Revenue per carload ($)</v>
      </c>
      <c r="II193" s="193">
        <f>IFERROR(II11/II71*1000,"")</f>
        <v>2806.1224489795918</v>
      </c>
      <c r="IJ193" s="193">
        <f>IFERROR(IJ11/IJ71*1000,"")</f>
        <v>2815.7894736842104</v>
      </c>
      <c r="IK193" s="193">
        <f>IFERROR(IK11/IK71*1000,"")</f>
        <v>2798.1651376146788</v>
      </c>
      <c r="IL193" s="193">
        <f>IFERROR(IL11/IL71*1000,"")</f>
        <v>2736.8421052631579</v>
      </c>
      <c r="IM193" s="193">
        <f>IFERROR(IM11/IM71*1000,"")</f>
        <v>2788.5057471264367</v>
      </c>
      <c r="IO193" s="37" t="str">
        <f t="shared" si="1246"/>
        <v>Revenue per carload ($)</v>
      </c>
      <c r="IP193" s="193">
        <f>IFERROR(IP11/IP71*1000,"")</f>
        <v>2643.5643564356437</v>
      </c>
      <c r="IQ193" s="193">
        <f>IFERROR(IQ11/IQ71*1000,"")</f>
        <v>2608.3333333333335</v>
      </c>
      <c r="IR193" s="193">
        <f>IFERROR(IR11/IR71*1000,"")</f>
        <v>2633.0275229357799</v>
      </c>
      <c r="IS193" s="193">
        <f>IFERROR(IS11/IS71*1000,"")</f>
        <v>2566.666666666667</v>
      </c>
      <c r="IT193" s="193">
        <f>IFERROR(IT11/IT71*1000,"")</f>
        <v>2611.1111111111113</v>
      </c>
      <c r="IV193" s="37" t="str">
        <f t="shared" si="1247"/>
        <v>Revenue per carload ($)</v>
      </c>
      <c r="IW193" s="193">
        <f>IFERROR(IW11/IW71*1000,"")</f>
        <v>2566.3716814159293</v>
      </c>
      <c r="IX193" s="193">
        <f>IFERROR(IX11/IX71*1000,"")</f>
        <v>2586.7768595041321</v>
      </c>
      <c r="IY193" s="193">
        <f>IFERROR(IY11/IY71*1000,"")</f>
        <v>2643.478260869565</v>
      </c>
      <c r="IZ193" s="193">
        <f>IFERROR(IZ11/IZ71*1000,"")</f>
        <v>2661.6541353383459</v>
      </c>
      <c r="JA193" s="193">
        <f>IFERROR(JA11/JA71*1000,"")</f>
        <v>2616.1825726141078</v>
      </c>
      <c r="JC193" s="37" t="str">
        <f t="shared" si="1248"/>
        <v>Revenue per carload ($)</v>
      </c>
      <c r="JD193" s="193">
        <f>IFERROR(JD11/JD71*1000,"")</f>
        <v>2655.4621848739494</v>
      </c>
      <c r="JE193" s="193">
        <f>IFERROR(JE11/JE71*1000,"")</f>
        <v>2646.5517241379312</v>
      </c>
      <c r="JF193" s="193">
        <f>IFERROR(JF11/JF71*1000,"")</f>
        <v>2716.9811320754716</v>
      </c>
      <c r="JG193" s="193">
        <f>IFERROR(JG11/JG71*1000,"")</f>
        <v>2589.7435897435898</v>
      </c>
      <c r="JH193" s="193">
        <f>IFERROR(JH11/JH71*1000,"")</f>
        <v>2650.6550218340612</v>
      </c>
      <c r="JJ193" s="37" t="str">
        <f t="shared" si="1249"/>
        <v>Revenue per carload ($)</v>
      </c>
      <c r="JK193" s="193">
        <f>IFERROR(JK11/JK71*1000,"")</f>
        <v>2714.2857142857142</v>
      </c>
      <c r="JL193" s="193">
        <f>IFERROR(JL11/JL71*1000,"")</f>
        <v>2796.6101694915255</v>
      </c>
      <c r="JM193" s="193">
        <f>IFERROR(JM11/JM71*1000,"")</f>
        <v>2901.7857142857142</v>
      </c>
      <c r="JN193" s="193">
        <f>IFERROR(JN11/JN71*1000,"")</f>
        <v>2729.5081967213114</v>
      </c>
      <c r="JO193" s="193">
        <f>IFERROR(JO11/JO71*1000,"")</f>
        <v>2784.4827586206893</v>
      </c>
      <c r="JQ193" s="37" t="str">
        <f t="shared" si="1250"/>
        <v>Revenue per carload ($)</v>
      </c>
      <c r="JR193" s="193">
        <f>IFERROR(JR11/JR71*1000,"")</f>
        <v>2704.3478260869565</v>
      </c>
      <c r="JS193" s="193">
        <f>IFERROR(JS11/JS71*1000,"")</f>
        <v>2719.0082644628101</v>
      </c>
      <c r="JT193" s="193">
        <f>IFERROR(JT11/JT71*1000,"")</f>
        <v>2974.7899159663866</v>
      </c>
      <c r="JU193" s="193">
        <f>IFERROR(JU11/JU71*1000,"")</f>
        <v>3000</v>
      </c>
      <c r="JV193" s="193">
        <f>IFERROR(JV11/JV71*1000,"")</f>
        <v>2849.8942917547565</v>
      </c>
      <c r="JX193" s="37" t="str">
        <f t="shared" si="1251"/>
        <v>Revenue per carload ($)</v>
      </c>
      <c r="JY193" s="193">
        <f>IFERROR(JY11/JY71*1000,"")</f>
        <v>2701.9230769230771</v>
      </c>
      <c r="JZ193" s="193">
        <f>IFERROR(JZ11/JZ71*1000,"")</f>
        <v>2657.1428571428569</v>
      </c>
      <c r="KA193" s="193">
        <f>IFERROR(KA11/KA71*1000,"")</f>
        <v>2656.8627450980389</v>
      </c>
      <c r="KB193" s="193">
        <f>IFERROR(KB11/KB71*1000,"")</f>
        <v>2669.9029126213595</v>
      </c>
      <c r="KC193" s="193">
        <f>IFERROR(KC11/KC71*1000,"")</f>
        <v>2674.4186046511627</v>
      </c>
      <c r="KE193" s="37" t="str">
        <f t="shared" si="1252"/>
        <v>Revenue per carload ($)</v>
      </c>
      <c r="KF193" s="193">
        <f>IFERROR(KF11/KF71*1000,"")</f>
        <v>2712.6436781609195</v>
      </c>
      <c r="KG193" s="193">
        <f>IFERROR(KG11/KG71*1000,"")</f>
        <v>2805.1948051948052</v>
      </c>
      <c r="KH193" s="193">
        <f>IFERROR(KH11/KH71*1000,"")</f>
        <v>2786.6666666666665</v>
      </c>
      <c r="KI193" s="193">
        <f>IFERROR(KI11/KI71*1000,"")</f>
        <v>2848.1012658227851</v>
      </c>
      <c r="KJ193" s="193">
        <f>IFERROR(KJ11/KJ71*1000,"")</f>
        <v>2786.1635220125786</v>
      </c>
      <c r="KL193" s="37" t="str">
        <f t="shared" si="1253"/>
        <v>Revenue per carload ($)</v>
      </c>
      <c r="KM193" s="193">
        <f>IFERROR(KM11/KM71*1000,"")</f>
        <v>2910.2564102564102</v>
      </c>
      <c r="KN193" s="193">
        <f>IFERROR(KN11/KN71*1000,"")</f>
        <v>3152.9411764705883</v>
      </c>
      <c r="KO193" s="193">
        <f>IFERROR(KO11/KO71*1000,"")</f>
        <v>3223.5294117647059</v>
      </c>
      <c r="KP193" s="193">
        <f>IFERROR(KP11/KP71*1000,"")</f>
        <v>3166.6666666666665</v>
      </c>
      <c r="KQ193" s="193">
        <f>IFERROR(KQ11/KQ71*1000,"")</f>
        <v>3118.3431952662722</v>
      </c>
      <c r="KS193" s="37" t="str">
        <f t="shared" si="1254"/>
        <v>Revenue per carload ($)</v>
      </c>
      <c r="KT193" s="193">
        <f>IFERROR(KT11/KT71*1000,"")</f>
        <v>3186.046511627907</v>
      </c>
      <c r="KU193" s="193">
        <f>IFERROR(KU11/KU71*1000,"")</f>
        <v>3135.9223300970875</v>
      </c>
      <c r="KV193" s="193">
        <f>IFERROR(KV11/KV71*1000,"")</f>
        <v>3049.5049504950493</v>
      </c>
      <c r="KW193" s="193">
        <f>IFERROR(KW11/KW71*1000,"")</f>
        <v>3204.0816326530612</v>
      </c>
      <c r="KX193" s="193">
        <f>IFERROR(KX11/KX71*1000,"")</f>
        <v>3141.7525773195875</v>
      </c>
      <c r="KZ193" s="37" t="str">
        <f t="shared" si="1255"/>
        <v>Revenue per carload ($)</v>
      </c>
      <c r="LA193" s="193">
        <f>IFERROR(LA11/LA71*1000,"")</f>
        <v>3117.0212765957449</v>
      </c>
      <c r="LB193" s="193">
        <f>IFERROR(LB11/LB71*1000,"")</f>
        <v>3200</v>
      </c>
      <c r="LC193" s="193">
        <f>IFERROR(LC11/LC71*1000,"")</f>
        <v>3071.4285714285716</v>
      </c>
      <c r="LD193" s="193">
        <f>IFERROR(LD11/LD71*1000,"")</f>
        <v>3083.3333333333335</v>
      </c>
      <c r="LE193" s="201">
        <f>LE196/LE190*1000</f>
        <v>3119.592875318066</v>
      </c>
      <c r="LF193" s="573"/>
      <c r="LG193" s="37" t="str">
        <f t="shared" si="1256"/>
        <v>Revenue per carload ($)</v>
      </c>
      <c r="LH193" s="193">
        <f>IFERROR(LH11/LH71*1000,"")</f>
        <v>3114.9425287356321</v>
      </c>
      <c r="LI193" s="193">
        <f>IFERROR(LI11/LI71*1000,"")</f>
        <v>3106.7961165048541</v>
      </c>
      <c r="LJ193" s="193">
        <f>IFERROR(LJ11/LJ71*1000,"")</f>
        <v>3090.909090909091</v>
      </c>
      <c r="LK193" s="193">
        <f>IFERROR(LK11/LK71*1000,"")</f>
        <v>3131.868131868132</v>
      </c>
      <c r="LL193" s="201">
        <f>LL196/LL190*1000</f>
        <v>3110.5263157894738</v>
      </c>
      <c r="LM193" s="573"/>
      <c r="LN193" s="37" t="str">
        <f t="shared" si="1257"/>
        <v>Revenue per carload ($)</v>
      </c>
      <c r="LO193" s="193">
        <f>(LH193)*(1+LO194)</f>
        <v>3161.6666666666661</v>
      </c>
      <c r="LP193" s="193">
        <f t="shared" ref="LP193" si="2414">(LI193)*(1+LP194)</f>
        <v>3168.9320388349511</v>
      </c>
      <c r="LQ193" s="193">
        <f t="shared" ref="LQ193" si="2415">(LJ193)*(1+LQ194)</f>
        <v>3168.181818181818</v>
      </c>
      <c r="LR193" s="193">
        <f t="shared" ref="LR193" si="2416">(LK193)*(1+LR194)</f>
        <v>3225.8241758241761</v>
      </c>
      <c r="LS193" s="201">
        <f>LS196/LS190*1000</f>
        <v>3181.677774343952</v>
      </c>
      <c r="LT193" s="573"/>
      <c r="LU193" s="37" t="str">
        <f t="shared" si="1261"/>
        <v>Revenue per carload ($)</v>
      </c>
      <c r="LV193" s="193">
        <f>(LO193)*(1+LV194)</f>
        <v>3240.7083333333326</v>
      </c>
      <c r="LW193" s="193">
        <f t="shared" ref="LW193" si="2417">(LP193)*(1+LW194)</f>
        <v>3248.1553398058245</v>
      </c>
      <c r="LX193" s="193">
        <f t="shared" ref="LX193" si="2418">(LQ193)*(1+LX194)</f>
        <v>3247.3863636363631</v>
      </c>
      <c r="LY193" s="193">
        <f t="shared" ref="LY193" si="2419">(LR193)*(1+LY194)</f>
        <v>3306.4697802197802</v>
      </c>
      <c r="LZ193" s="201">
        <f>LZ196/LZ190*1000</f>
        <v>3261.2197187025513</v>
      </c>
      <c r="MA193" s="573"/>
      <c r="MB193" s="37" t="str">
        <f t="shared" si="1265"/>
        <v>Revenue per carload ($)</v>
      </c>
      <c r="MC193" s="193">
        <f>(LV193)*(1+MC194)</f>
        <v>3305.5224999999991</v>
      </c>
      <c r="MD193" s="193">
        <f t="shared" ref="MD193" si="2420">(LW193)*(1+MD194)</f>
        <v>3313.1184466019408</v>
      </c>
      <c r="ME193" s="193">
        <f t="shared" ref="ME193" si="2421">(LX193)*(1+ME194)</f>
        <v>3312.3340909090903</v>
      </c>
      <c r="MF193" s="193">
        <f t="shared" ref="MF193" si="2422">(LY193)*(1+MF194)</f>
        <v>3372.5991758241757</v>
      </c>
      <c r="MG193" s="201">
        <f>MG196/MG190*1000</f>
        <v>3326.4441130766022</v>
      </c>
      <c r="MH193" s="573"/>
    </row>
    <row r="194" spans="1:346" s="37" customFormat="1" ht="13.15" x14ac:dyDescent="0.4">
      <c r="A194" s="100"/>
      <c r="B194" s="197" t="s">
        <v>516</v>
      </c>
      <c r="C194" s="186"/>
      <c r="D194" s="186"/>
      <c r="E194" s="186"/>
      <c r="F194" s="186"/>
      <c r="G194" s="186"/>
      <c r="H194" s="186"/>
      <c r="I194" s="186"/>
      <c r="J194" s="186"/>
      <c r="K194" s="186"/>
      <c r="L194" s="186"/>
      <c r="M194" s="186"/>
      <c r="N194" s="193"/>
      <c r="O194" s="198">
        <f>O193/N193-1</f>
        <v>4.2592108701332565E-2</v>
      </c>
      <c r="P194" s="198">
        <f t="shared" ref="P194:BA194" si="2423">P193/O193-1</f>
        <v>4.7600132406488083E-2</v>
      </c>
      <c r="Q194" s="198">
        <f t="shared" si="2423"/>
        <v>3.2655872584540946E-2</v>
      </c>
      <c r="R194" s="198">
        <f t="shared" si="2423"/>
        <v>-1.3889095203434287E-2</v>
      </c>
      <c r="S194" s="198">
        <f t="shared" si="2423"/>
        <v>-1.5172126426216681E-2</v>
      </c>
      <c r="T194" s="198">
        <f t="shared" si="2423"/>
        <v>1.1710160737723241E-2</v>
      </c>
      <c r="U194" s="198">
        <f t="shared" si="2423"/>
        <v>5.6283552093432387E-3</v>
      </c>
      <c r="V194" s="198">
        <f t="shared" si="2423"/>
        <v>-9.7346451997615269E-3</v>
      </c>
      <c r="W194" s="198">
        <f t="shared" si="2423"/>
        <v>-6.7599098857480056E-2</v>
      </c>
      <c r="X194" s="198">
        <f t="shared" si="2423"/>
        <v>4.7737589199743802E-2</v>
      </c>
      <c r="Y194" s="198">
        <f t="shared" si="2423"/>
        <v>8.1877493313641914E-2</v>
      </c>
      <c r="Z194" s="198">
        <f t="shared" si="2423"/>
        <v>3.7644624044388619E-2</v>
      </c>
      <c r="AA194" s="198">
        <f t="shared" si="2423"/>
        <v>2.0712968078431926E-2</v>
      </c>
      <c r="AB194" s="198">
        <f t="shared" si="2423"/>
        <v>2.6641760159282546E-2</v>
      </c>
      <c r="AC194" s="198">
        <f t="shared" si="2423"/>
        <v>2.1374843631133622E-2</v>
      </c>
      <c r="AD194" s="198">
        <f t="shared" si="2423"/>
        <v>5.0132521841562916E-2</v>
      </c>
      <c r="AE194" s="198">
        <f t="shared" si="2423"/>
        <v>5.7742110488980591E-2</v>
      </c>
      <c r="AF194" s="198">
        <f t="shared" si="2423"/>
        <v>4.4708242678836996E-2</v>
      </c>
      <c r="AG194" s="198">
        <f t="shared" si="2423"/>
        <v>0.19598161076111031</v>
      </c>
      <c r="AH194" s="198">
        <f t="shared" si="2423"/>
        <v>-4.4604700854700918E-2</v>
      </c>
      <c r="AI194" s="198">
        <f t="shared" si="2423"/>
        <v>7.7472084724300672E-2</v>
      </c>
      <c r="AJ194" s="198">
        <f t="shared" si="2423"/>
        <v>0.1019390581717452</v>
      </c>
      <c r="AK194" s="198">
        <f t="shared" si="2423"/>
        <v>4.7244846656611328E-2</v>
      </c>
      <c r="AL194" s="198">
        <f t="shared" si="2423"/>
        <v>3.7504412991847813E-2</v>
      </c>
      <c r="AM194" s="198">
        <f t="shared" si="2423"/>
        <v>-1.0160655087411041E-2</v>
      </c>
      <c r="AN194" s="198">
        <f t="shared" si="2423"/>
        <v>-6.361637812585863E-2</v>
      </c>
      <c r="AO194" s="198">
        <f t="shared" si="2423"/>
        <v>1.9422618522113577E-3</v>
      </c>
      <c r="AP194" s="198">
        <f t="shared" si="2423"/>
        <v>1.3176622144343897E-2</v>
      </c>
      <c r="AQ194" s="198">
        <f t="shared" si="2423"/>
        <v>5.0488553087541632E-2</v>
      </c>
      <c r="AR194" s="198">
        <f t="shared" si="2423"/>
        <v>2.3491448432048978E-2</v>
      </c>
      <c r="AS194" s="198">
        <f t="shared" si="2423"/>
        <v>-6.1572700296735783E-2</v>
      </c>
      <c r="AT194" s="198">
        <f t="shared" si="2423"/>
        <v>4.1782882143833744E-2</v>
      </c>
      <c r="AU194" s="198">
        <f t="shared" si="2423"/>
        <v>0.11922475857186754</v>
      </c>
      <c r="AV194" s="198">
        <f t="shared" si="2423"/>
        <v>7.5069934857880938E-3</v>
      </c>
      <c r="AW194" s="198">
        <f t="shared" si="2423"/>
        <v>-7.053293171936259E-3</v>
      </c>
      <c r="AX194" s="198">
        <f t="shared" si="2423"/>
        <v>-2.9063278097363199E-3</v>
      </c>
      <c r="AY194" s="198">
        <f t="shared" si="2423"/>
        <v>2.2874411379612214E-2</v>
      </c>
      <c r="AZ194" s="198">
        <f t="shared" si="2423"/>
        <v>2.5000000000000133E-2</v>
      </c>
      <c r="BA194" s="198">
        <f t="shared" si="2423"/>
        <v>2.0000000000000018E-2</v>
      </c>
      <c r="BB194" s="198"/>
      <c r="BC194" s="198"/>
      <c r="BD194" s="198"/>
      <c r="BE194" s="198"/>
      <c r="BF194" s="198"/>
      <c r="BG194" s="198"/>
      <c r="BH194" s="198"/>
      <c r="BI194" s="198"/>
      <c r="BJ194" s="198"/>
      <c r="BK194" s="198"/>
      <c r="BL194" s="198"/>
      <c r="BM194" s="198"/>
      <c r="BO194" s="197" t="str">
        <f t="shared" si="1220"/>
        <v>YoY Change (%)</v>
      </c>
      <c r="BP194" s="193"/>
      <c r="BQ194" s="193"/>
      <c r="BR194" s="193"/>
      <c r="BS194" s="193"/>
      <c r="BT194" s="193"/>
      <c r="BV194" s="197" t="str">
        <f t="shared" si="1221"/>
        <v>YoY Change (%)</v>
      </c>
      <c r="BW194" s="198">
        <f>BW193/BP193-1</f>
        <v>2.6661926768574151E-2</v>
      </c>
      <c r="BX194" s="198">
        <f t="shared" ref="BX194" si="2424">BX193/BQ193-1</f>
        <v>5.9878548227651374E-2</v>
      </c>
      <c r="BY194" s="198">
        <f t="shared" ref="BY194" si="2425">BY193/BR193-1</f>
        <v>0.10439068100358395</v>
      </c>
      <c r="BZ194" s="198">
        <f t="shared" ref="BZ194" si="2426">BZ193/BS193-1</f>
        <v>-1.5042735042735011E-2</v>
      </c>
      <c r="CA194" s="198">
        <f t="shared" ref="CA194" si="2427">CA193/BT193-1</f>
        <v>4.2592108701332565E-2</v>
      </c>
      <c r="CC194" s="197" t="str">
        <f t="shared" si="1222"/>
        <v>YoY Change (%)</v>
      </c>
      <c r="CD194" s="198">
        <f>CD193/BW193-1</f>
        <v>6.5789473684210842E-2</v>
      </c>
      <c r="CE194" s="198">
        <f t="shared" ref="CE194" si="2428">CE193/BX193-1</f>
        <v>3.8991845811712222E-2</v>
      </c>
      <c r="CF194" s="198">
        <f t="shared" ref="CF194" si="2429">CF193/BY193-1</f>
        <v>4.4358727097397743E-3</v>
      </c>
      <c r="CG194" s="198">
        <f t="shared" ref="CG194" si="2430">CG193/BZ193-1</f>
        <v>7.8294573643410859E-2</v>
      </c>
      <c r="CH194" s="198">
        <f t="shared" ref="CH194" si="2431">CH193/CA193-1</f>
        <v>4.7600132406488083E-2</v>
      </c>
      <c r="CJ194" s="197" t="str">
        <f t="shared" si="1223"/>
        <v>YoY Change (%)</v>
      </c>
      <c r="CK194" s="198">
        <f>CK193/CD193-1</f>
        <v>4.8861067640410205E-2</v>
      </c>
      <c r="CL194" s="198">
        <f t="shared" ref="CL194" si="2432">CL193/CE193-1</f>
        <v>5.6547619047619291E-2</v>
      </c>
      <c r="CM194" s="198">
        <f t="shared" ref="CM194" si="2433">CM193/CF193-1</f>
        <v>4.2434715821812796E-2</v>
      </c>
      <c r="CN194" s="198">
        <f t="shared" ref="CN194" si="2434">CN193/CG193-1</f>
        <v>-1.1502516175413313E-2</v>
      </c>
      <c r="CO194" s="198">
        <f t="shared" ref="CO194" si="2435">CO193/CH193-1</f>
        <v>3.2655872584540946E-2</v>
      </c>
      <c r="CQ194" s="197" t="str">
        <f t="shared" si="1224"/>
        <v>YoY Change (%)</v>
      </c>
      <c r="CR194" s="198">
        <f>CR193/CK193-1</f>
        <v>-1.8629807692307709E-2</v>
      </c>
      <c r="CS194" s="198">
        <f t="shared" ref="CS194" si="2436">CS193/CL193-1</f>
        <v>1.1627906976745539E-3</v>
      </c>
      <c r="CT194" s="198">
        <f t="shared" ref="CT194" si="2437">CT193/CM193-1</f>
        <v>-1.6523463317911435E-2</v>
      </c>
      <c r="CU194" s="198">
        <f t="shared" ref="CU194" si="2438">CU193/CN193-1</f>
        <v>-2.1146245059288749E-2</v>
      </c>
      <c r="CV194" s="198">
        <f t="shared" ref="CV194" si="2439">CV193/CO193-1</f>
        <v>-1.3889095203434287E-2</v>
      </c>
      <c r="CX194" s="197" t="str">
        <f t="shared" si="1225"/>
        <v>YoY Change (%)</v>
      </c>
      <c r="CY194" s="198">
        <f>CY193/CR193-1</f>
        <v>-2.9144768275203181E-2</v>
      </c>
      <c r="CZ194" s="198">
        <f t="shared" ref="CZ194" si="2440">CZ193/CS193-1</f>
        <v>-4.8529041991450916E-2</v>
      </c>
      <c r="DA194" s="198">
        <f t="shared" ref="DA194" si="2441">DA193/CT193-1</f>
        <v>-2.7412280701755165E-3</v>
      </c>
      <c r="DB194" s="198">
        <f t="shared" ref="DB194" si="2442">DB193/CU193-1</f>
        <v>2.2222222222222365E-2</v>
      </c>
      <c r="DC194" s="198">
        <f t="shared" ref="DC194" si="2443">DC193/CV193-1</f>
        <v>-1.5172126426216681E-2</v>
      </c>
      <c r="DE194" s="197" t="str">
        <f t="shared" si="1226"/>
        <v>YoY Change (%)</v>
      </c>
      <c r="DF194" s="198">
        <f>DF193/CY193-1</f>
        <v>-7.8740157480314821E-3</v>
      </c>
      <c r="DG194" s="198">
        <f t="shared" ref="DG194" si="2444">DG193/CZ193-1</f>
        <v>3.3633033633033493E-2</v>
      </c>
      <c r="DH194" s="198">
        <f t="shared" ref="DH194" si="2445">DH193/DA193-1</f>
        <v>1.0783608914450182E-2</v>
      </c>
      <c r="DI194" s="198">
        <f t="shared" ref="DI194" si="2446">DI193/DB193-1</f>
        <v>8.1987174283626452E-3</v>
      </c>
      <c r="DJ194" s="198">
        <f t="shared" ref="DJ194" si="2447">DJ193/DC193-1</f>
        <v>1.1710160737723241E-2</v>
      </c>
      <c r="DL194" s="197" t="str">
        <f t="shared" si="1227"/>
        <v>YoY Change (%)</v>
      </c>
      <c r="DM194" s="198">
        <f>DM193/DF193-1</f>
        <v>2.4547803617571251E-2</v>
      </c>
      <c r="DN194" s="198">
        <f t="shared" ref="DN194" si="2448">DN193/DG193-1</f>
        <v>9.5312499999999911E-3</v>
      </c>
      <c r="DO194" s="198">
        <f t="shared" ref="DO194" si="2449">DO193/DH193-1</f>
        <v>-6.5237651444548517E-3</v>
      </c>
      <c r="DP194" s="198">
        <f t="shared" ref="DP194" si="2450">DP193/DI193-1</f>
        <v>-5.4733271662040783E-3</v>
      </c>
      <c r="DQ194" s="198">
        <f t="shared" ref="DQ194" si="2451">DQ193/DJ193-1</f>
        <v>5.6283552093432387E-3</v>
      </c>
      <c r="DS194" s="197" t="str">
        <f t="shared" si="1228"/>
        <v>YoY Change (%)</v>
      </c>
      <c r="DT194" s="198">
        <f>DT193/DM193-1</f>
        <v>-2.1746403479424581E-2</v>
      </c>
      <c r="DU194" s="198">
        <f t="shared" ref="DU194" si="2452">DU193/DN193-1</f>
        <v>-3.3416183374758379E-2</v>
      </c>
      <c r="DV194" s="198">
        <f t="shared" ref="DV194" si="2453">DV193/DO193-1</f>
        <v>-1.4347202295552641E-3</v>
      </c>
      <c r="DW194" s="198">
        <f t="shared" ref="DW194" si="2454">DW193/DP193-1</f>
        <v>1.8575851393188847E-2</v>
      </c>
      <c r="DX194" s="198">
        <f t="shared" ref="DX194" si="2455">DX193/DQ193-1</f>
        <v>-9.7346451997615269E-3</v>
      </c>
      <c r="DZ194" s="197" t="str">
        <f t="shared" si="1229"/>
        <v>YoY Change (%)</v>
      </c>
      <c r="EA194" s="198">
        <f>EA193/DT193-1</f>
        <v>-4.4117647058823706E-2</v>
      </c>
      <c r="EB194" s="198">
        <f t="shared" ref="EB194" si="2456">EB193/DU193-1</f>
        <v>-4.8809523809523747E-2</v>
      </c>
      <c r="EC194" s="198">
        <f t="shared" ref="EC194" si="2457">EC193/DV193-1</f>
        <v>-9.6264367816091823E-2</v>
      </c>
      <c r="ED194" s="198">
        <f t="shared" ref="ED194" si="2458">ED193/DW193-1</f>
        <v>-8.4548104956268189E-2</v>
      </c>
      <c r="EE194" s="198">
        <f t="shared" ref="EE194" si="2459">EE193/DX193-1</f>
        <v>-6.7599098857480056E-2</v>
      </c>
      <c r="EG194" s="197" t="str">
        <f t="shared" si="1230"/>
        <v>YoY Change (%)</v>
      </c>
      <c r="EH194" s="198">
        <f>EH193/EA193-1</f>
        <v>-3.7104072398189913E-2</v>
      </c>
      <c r="EI194" s="198">
        <f t="shared" ref="EI194" si="2460">EI193/EB193-1</f>
        <v>2.7079303675048072E-2</v>
      </c>
      <c r="EJ194" s="198">
        <f t="shared" ref="EJ194" si="2461">EJ193/EC193-1</f>
        <v>9.7297297297297192E-2</v>
      </c>
      <c r="EK194" s="198">
        <f t="shared" ref="EK194" si="2462">EK193/ED193-1</f>
        <v>9.1078745588056176E-2</v>
      </c>
      <c r="EL194" s="198">
        <f t="shared" ref="EL194" si="2463">EL193/EE193-1</f>
        <v>4.7737589199743802E-2</v>
      </c>
      <c r="EN194" s="197" t="str">
        <f t="shared" si="1231"/>
        <v>YoY Change (%)</v>
      </c>
      <c r="EO194" s="198">
        <f>EO193/EH193-1</f>
        <v>0.1247918054630246</v>
      </c>
      <c r="EP194" s="198">
        <f t="shared" ref="EP194" si="2464">EP193/EI193-1</f>
        <v>0.12336408496030904</v>
      </c>
      <c r="EQ194" s="198">
        <f t="shared" ref="EQ194" si="2465">EQ193/EJ193-1</f>
        <v>6.0606060606060552E-2</v>
      </c>
      <c r="ER194" s="198">
        <f t="shared" ref="ER194" si="2466">ER193/EK193-1</f>
        <v>4.7069385661151708E-2</v>
      </c>
      <c r="ES194" s="198">
        <f t="shared" ref="ES194" si="2467">ES193/EL193-1</f>
        <v>8.1877493313641914E-2</v>
      </c>
      <c r="EU194" s="197" t="str">
        <f t="shared" si="1232"/>
        <v>YoY Change (%)</v>
      </c>
      <c r="EV194" s="198">
        <f>EV193/EO193-1</f>
        <v>6.3234937042561112E-2</v>
      </c>
      <c r="EW194" s="198">
        <f t="shared" ref="EW194" si="2468">EW193/EP193-1</f>
        <v>1.7290369385164039E-2</v>
      </c>
      <c r="EX194" s="198">
        <f t="shared" ref="EX194" si="2469">EX193/EQ193-1</f>
        <v>4.1330818041502404E-2</v>
      </c>
      <c r="EY194" s="198">
        <f t="shared" ref="EY194" si="2470">EY193/ER193-1</f>
        <v>2.8112155020551866E-2</v>
      </c>
      <c r="EZ194" s="198">
        <f t="shared" ref="EZ194" si="2471">EZ193/ES193-1</f>
        <v>3.7644624044388619E-2</v>
      </c>
      <c r="FB194" s="197" t="str">
        <f t="shared" si="1233"/>
        <v>YoY Change (%)</v>
      </c>
      <c r="FC194" s="198">
        <f>FC193/EV193-1</f>
        <v>1.4944457763925723E-2</v>
      </c>
      <c r="FD194" s="198">
        <f t="shared" ref="FD194" si="2472">FD193/EW193-1</f>
        <v>1.8557289684050238E-2</v>
      </c>
      <c r="FE194" s="198">
        <f t="shared" ref="FE194" si="2473">FE193/EX193-1</f>
        <v>1.7049438990182297E-2</v>
      </c>
      <c r="FF194" s="198">
        <f t="shared" ref="FF194" si="2474">FF193/EY193-1</f>
        <v>3.1570241990579229E-2</v>
      </c>
      <c r="FG194" s="198">
        <f t="shared" ref="FG194" si="2475">FG193/EZ193-1</f>
        <v>2.0712968078431926E-2</v>
      </c>
      <c r="FI194" s="197" t="str">
        <f t="shared" si="1234"/>
        <v>YoY Change (%)</v>
      </c>
      <c r="FJ194" s="198">
        <f>FJ193/FC193-1</f>
        <v>2.4122137404580135E-2</v>
      </c>
      <c r="FK194" s="198">
        <f t="shared" ref="FK194" si="2476">FK193/FD193-1</f>
        <v>3.2483104425550469E-2</v>
      </c>
      <c r="FL194" s="198">
        <f t="shared" ref="FL194" si="2477">FL193/FE193-1</f>
        <v>2.2735042735042787E-2</v>
      </c>
      <c r="FM194" s="198">
        <f t="shared" ref="FM194" si="2478">FM193/FF193-1</f>
        <v>2.6116093426628684E-2</v>
      </c>
      <c r="FN194" s="198">
        <f t="shared" ref="FN194" si="2479">FN193/FG193-1</f>
        <v>2.6641760159282546E-2</v>
      </c>
      <c r="FP194" s="197" t="str">
        <f t="shared" si="1235"/>
        <v>YoY Change (%)</v>
      </c>
      <c r="FQ194" s="198">
        <f>FQ193/FJ193-1</f>
        <v>1.7769230769230759E-2</v>
      </c>
      <c r="FR194" s="198">
        <f t="shared" ref="FR194" si="2480">FR193/FK193-1</f>
        <v>1.1243386243386277E-2</v>
      </c>
      <c r="FS194" s="198">
        <f t="shared" ref="FS194" si="2481">FS193/FL193-1</f>
        <v>2.7017024426350789E-2</v>
      </c>
      <c r="FT194" s="198">
        <f t="shared" ref="FT194" si="2482">FT193/FM193-1</f>
        <v>2.9629629629629672E-2</v>
      </c>
      <c r="FU194" s="198">
        <f t="shared" ref="FU194" si="2483">FU193/FN193-1</f>
        <v>2.1374843631133622E-2</v>
      </c>
      <c r="FW194" s="197" t="str">
        <f t="shared" si="1236"/>
        <v>YoY Change (%)</v>
      </c>
      <c r="FX194" s="198">
        <f>FX193/FQ193-1</f>
        <v>2.9702970297029729E-2</v>
      </c>
      <c r="FY194" s="198">
        <f t="shared" ref="FY194" si="2484">FY193/FR193-1</f>
        <v>4.417155425219943E-2</v>
      </c>
      <c r="FZ194" s="198">
        <f t="shared" ref="FZ194" si="2485">FZ193/FS193-1</f>
        <v>6.2114746325272696E-2</v>
      </c>
      <c r="GA194" s="198">
        <f t="shared" ref="GA194" si="2486">GA193/FT193-1</f>
        <v>6.578947368421062E-2</v>
      </c>
      <c r="GB194" s="198">
        <f t="shared" ref="GB194" si="2487">GB193/FU193-1</f>
        <v>5.0132521841562916E-2</v>
      </c>
      <c r="GD194" s="197" t="str">
        <f t="shared" si="1237"/>
        <v>YoY Change (%)</v>
      </c>
      <c r="GE194" s="198">
        <f>GE193/FX193-1</f>
        <v>9.3087522713507065E-2</v>
      </c>
      <c r="GF194" s="198">
        <f t="shared" ref="GF194" si="2488">GF193/FY193-1</f>
        <v>5.6872037914691864E-2</v>
      </c>
      <c r="GG194" s="198">
        <f t="shared" ref="GG194" si="2489">GG193/FZ193-1</f>
        <v>4.3100000000000138E-2</v>
      </c>
      <c r="GH194" s="198">
        <f t="shared" ref="GH194" si="2490">GH193/GA193-1</f>
        <v>4.1666666666666741E-2</v>
      </c>
      <c r="GI194" s="198">
        <f t="shared" ref="GI194" si="2491">GI193/GB193-1</f>
        <v>5.7742110488980591E-2</v>
      </c>
      <c r="GK194" s="197" t="str">
        <f t="shared" si="1238"/>
        <v>YoY Change (%)</v>
      </c>
      <c r="GL194" s="198">
        <f>GL193/GE193-1</f>
        <v>2.3908812899638532E-2</v>
      </c>
      <c r="GM194" s="198">
        <f t="shared" ref="GM194" si="2492">GM193/GF193-1</f>
        <v>4.2016806722689148E-2</v>
      </c>
      <c r="GN194" s="198">
        <f t="shared" ref="GN194" si="2493">GN193/GG193-1</f>
        <v>6.0752169720347249E-2</v>
      </c>
      <c r="GO194" s="198">
        <f t="shared" ref="GO194" si="2494">GO193/GH193-1</f>
        <v>5.1987767584097844E-2</v>
      </c>
      <c r="GP194" s="198">
        <f t="shared" ref="GP194" si="2495">GP193/GI193-1</f>
        <v>4.4708242678836996E-2</v>
      </c>
      <c r="GR194" s="197" t="str">
        <f t="shared" si="1239"/>
        <v>YoY Change (%)</v>
      </c>
      <c r="GS194" s="198">
        <f>GS193/GL193-1</f>
        <v>0.12982348111658459</v>
      </c>
      <c r="GT194" s="198">
        <f t="shared" ref="GT194" si="2496">GT193/GM193-1</f>
        <v>0.18907194384870341</v>
      </c>
      <c r="GU194" s="198">
        <f t="shared" ref="GU194" si="2497">GU193/GN193-1</f>
        <v>0.27157652474108152</v>
      </c>
      <c r="GV194" s="198">
        <f t="shared" ref="GV194" si="2498">GV193/GO193-1</f>
        <v>0.21407588739290095</v>
      </c>
      <c r="GW194" s="198">
        <f t="shared" ref="GW194" si="2499">GW193/GP193-1</f>
        <v>0.19598161076111031</v>
      </c>
      <c r="GY194" s="197" t="str">
        <f t="shared" si="1240"/>
        <v>YoY Change (%)</v>
      </c>
      <c r="GZ194" s="198">
        <f>GZ193/GS193-1</f>
        <v>3.3003300330034513E-3</v>
      </c>
      <c r="HA194" s="198">
        <f t="shared" ref="HA194" si="2500">HA193/GT193-1</f>
        <v>-6.0885275519421911E-2</v>
      </c>
      <c r="HB194" s="198">
        <f t="shared" ref="HB194" si="2501">HB193/GU193-1</f>
        <v>-9.7345928924876257E-2</v>
      </c>
      <c r="HC194" s="198">
        <f t="shared" ref="HC194" si="2502">HC193/GV193-1</f>
        <v>-5.7762750070442515E-2</v>
      </c>
      <c r="HD194" s="198">
        <f t="shared" ref="HD194" si="2503">HD193/GW193-1</f>
        <v>-4.4604700854700918E-2</v>
      </c>
      <c r="HF194" s="197" t="str">
        <f t="shared" si="1241"/>
        <v>YoY Change (%)</v>
      </c>
      <c r="HG194" s="198">
        <f>HG193/GZ193-1</f>
        <v>8.819345661450928E-2</v>
      </c>
      <c r="HH194" s="198">
        <f t="shared" ref="HH194" si="2504">HH193/HA193-1</f>
        <v>0.10780370072405487</v>
      </c>
      <c r="HI194" s="198">
        <f t="shared" ref="HI194" si="2505">HI193/HB193-1</f>
        <v>7.2786633378144838E-2</v>
      </c>
      <c r="HJ194" s="198">
        <f t="shared" ref="HJ194" si="2506">HJ193/HC193-1</f>
        <v>6.1789772727272929E-2</v>
      </c>
      <c r="HK194" s="198">
        <f t="shared" ref="HK194" si="2507">HK193/HD193-1</f>
        <v>7.7472084724300672E-2</v>
      </c>
      <c r="HM194" s="197" t="str">
        <f t="shared" si="1242"/>
        <v>YoY Change (%)</v>
      </c>
      <c r="HN194" s="198">
        <f>HN193/HG193-1</f>
        <v>7.1116986120290715E-2</v>
      </c>
      <c r="HO194" s="198">
        <f t="shared" ref="HO194" si="2508">HO193/HH193-1</f>
        <v>0.12057696641875126</v>
      </c>
      <c r="HP194" s="198">
        <f t="shared" ref="HP194" si="2509">HP193/HI193-1</f>
        <v>0.10915994304698629</v>
      </c>
      <c r="HQ194" s="198">
        <f t="shared" ref="HQ194" si="2510">HQ193/HJ193-1</f>
        <v>0.10882740447957828</v>
      </c>
      <c r="HR194" s="198">
        <f t="shared" ref="HR194" si="2511">HR193/HK193-1</f>
        <v>0.1019390581717452</v>
      </c>
      <c r="HT194" s="197" t="str">
        <f t="shared" si="1243"/>
        <v>YoY Change (%)</v>
      </c>
      <c r="HU194" s="198">
        <f>HU193/HN193-1</f>
        <v>8.7584257447270941E-2</v>
      </c>
      <c r="HV194" s="198">
        <f t="shared" ref="HV194" si="2512">HV193/HO193-1</f>
        <v>4.7357091604879109E-2</v>
      </c>
      <c r="HW194" s="198">
        <f t="shared" ref="HW194" si="2513">HW193/HP193-1</f>
        <v>1.8421052631579116E-2</v>
      </c>
      <c r="HX194" s="198">
        <f t="shared" ref="HX194" si="2514">HX193/HQ193-1</f>
        <v>3.9487912931245095E-2</v>
      </c>
      <c r="HY194" s="198">
        <f t="shared" ref="HY194" si="2515">HY193/HR193-1</f>
        <v>4.7244846656611328E-2</v>
      </c>
      <c r="IA194" s="197" t="str">
        <f t="shared" si="1244"/>
        <v>YoY Change (%)</v>
      </c>
      <c r="IB194" s="198">
        <f>IB193/HU193-1</f>
        <v>4.2704626334519658E-2</v>
      </c>
      <c r="IC194" s="198">
        <f t="shared" ref="IC194" si="2516">IC193/HV193-1</f>
        <v>3.4343315946785413E-2</v>
      </c>
      <c r="ID194" s="198">
        <f t="shared" ref="ID194" si="2517">ID193/HW193-1</f>
        <v>4.8771543821048757E-2</v>
      </c>
      <c r="IE194" s="198">
        <f t="shared" ref="IE194" si="2518">IE193/HX193-1</f>
        <v>2.5490253726516254E-2</v>
      </c>
      <c r="IF194" s="198">
        <f t="shared" ref="IF194" si="2519">IF193/HY193-1</f>
        <v>3.7504412991847813E-2</v>
      </c>
      <c r="IH194" s="197" t="str">
        <f t="shared" si="1245"/>
        <v>YoY Change (%)</v>
      </c>
      <c r="II194" s="198">
        <f>II193/IB193-1</f>
        <v>5.6070209653826808E-3</v>
      </c>
      <c r="IJ194" s="198">
        <f t="shared" ref="IJ194" si="2520">IJ193/IC193-1</f>
        <v>5.7927838464078008E-4</v>
      </c>
      <c r="IK194" s="198">
        <f t="shared" ref="IK194" si="2521">IK193/ID193-1</f>
        <v>-1.1836787066144883E-2</v>
      </c>
      <c r="IL194" s="198">
        <f t="shared" ref="IL194" si="2522">IL193/IE193-1</f>
        <v>-3.3552631578947389E-2</v>
      </c>
      <c r="IM194" s="198">
        <f t="shared" ref="IM194" si="2523">IM193/IF193-1</f>
        <v>-1.0160655087411041E-2</v>
      </c>
      <c r="IO194" s="197" t="str">
        <f t="shared" si="1246"/>
        <v>YoY Change (%)</v>
      </c>
      <c r="IP194" s="198">
        <f>IP193/II193-1</f>
        <v>-5.7929792979297901E-2</v>
      </c>
      <c r="IQ194" s="198">
        <f t="shared" ref="IQ194" si="2524">IQ193/IJ193-1</f>
        <v>-7.3676012461059148E-2</v>
      </c>
      <c r="IR194" s="198">
        <f t="shared" ref="IR194" si="2525">IR193/IK193-1</f>
        <v>-5.9016393442622883E-2</v>
      </c>
      <c r="IS194" s="198">
        <f t="shared" ref="IS194" si="2526">IS193/IL193-1</f>
        <v>-6.217948717948707E-2</v>
      </c>
      <c r="IT194" s="198">
        <f t="shared" ref="IT194" si="2527">IT193/IM193-1</f>
        <v>-6.361637812585863E-2</v>
      </c>
      <c r="IV194" s="197" t="str">
        <f t="shared" si="1247"/>
        <v>YoY Change (%)</v>
      </c>
      <c r="IW194" s="198">
        <f>IW193/IP193-1</f>
        <v>-2.9200225381989409E-2</v>
      </c>
      <c r="IX194" s="198">
        <f t="shared" ref="IX194" si="2528">IX193/IQ193-1</f>
        <v>-8.2644628099174389E-3</v>
      </c>
      <c r="IY194" s="198">
        <f t="shared" ref="IY194" si="2529">IY193/IR193-1</f>
        <v>3.9690955915769877E-3</v>
      </c>
      <c r="IZ194" s="198">
        <f t="shared" ref="IZ194" si="2530">IZ193/IS193-1</f>
        <v>3.7008104677277442E-2</v>
      </c>
      <c r="JA194" s="198">
        <f t="shared" ref="JA194" si="2531">JA193/IT193-1</f>
        <v>1.9422618522113577E-3</v>
      </c>
      <c r="JC194" s="197" t="str">
        <f t="shared" si="1248"/>
        <v>YoY Change (%)</v>
      </c>
      <c r="JD194" s="198">
        <f>JD193/IW193-1</f>
        <v>3.4714575485366383E-2</v>
      </c>
      <c r="JE194" s="198">
        <f t="shared" ref="JE194" si="2532">JE193/IX193-1</f>
        <v>2.3107855018178025E-2</v>
      </c>
      <c r="JF194" s="198">
        <f t="shared" ref="JF194" si="2533">JF193/IY193-1</f>
        <v>2.7805362462760774E-2</v>
      </c>
      <c r="JG194" s="198">
        <f t="shared" ref="JG194" si="2534">JG193/IZ193-1</f>
        <v>-2.7017238881645644E-2</v>
      </c>
      <c r="JH194" s="198">
        <f t="shared" ref="JH194" si="2535">JH193/JA193-1</f>
        <v>1.3176622144343897E-2</v>
      </c>
      <c r="JJ194" s="197" t="str">
        <f t="shared" si="1249"/>
        <v>YoY Change (%)</v>
      </c>
      <c r="JK194" s="198">
        <f>JK193/JD193-1</f>
        <v>2.2151898734177333E-2</v>
      </c>
      <c r="JL194" s="198">
        <f t="shared" ref="JL194" si="2536">JL193/JE193-1</f>
        <v>5.6699608016341774E-2</v>
      </c>
      <c r="JM194" s="198">
        <f t="shared" ref="JM194" si="2537">JM193/JF193-1</f>
        <v>6.8018353174603252E-2</v>
      </c>
      <c r="JN194" s="198">
        <f t="shared" ref="JN194" si="2538">JN193/JG193-1</f>
        <v>5.396851160525884E-2</v>
      </c>
      <c r="JO194" s="198">
        <f t="shared" ref="JO194" si="2539">JO193/JH193-1</f>
        <v>5.0488553087541632E-2</v>
      </c>
      <c r="JQ194" s="197" t="str">
        <f t="shared" si="1250"/>
        <v>YoY Change (%)</v>
      </c>
      <c r="JR194" s="198">
        <f>JR193/JK193-1</f>
        <v>-3.6613272311212253E-3</v>
      </c>
      <c r="JS194" s="198">
        <f t="shared" ref="JS194" si="2540">JS193/JL193-1</f>
        <v>-2.7748559979964948E-2</v>
      </c>
      <c r="JT194" s="198">
        <f t="shared" ref="JT194" si="2541">JT193/JM193-1</f>
        <v>2.5158371040723937E-2</v>
      </c>
      <c r="JU194" s="198">
        <f t="shared" ref="JU194" si="2542">JU193/JN193-1</f>
        <v>9.9099099099099197E-2</v>
      </c>
      <c r="JV194" s="198">
        <f t="shared" ref="JV194" si="2543">JV193/JO193-1</f>
        <v>2.3491448432048978E-2</v>
      </c>
      <c r="JX194" s="197" t="str">
        <f t="shared" si="1251"/>
        <v>YoY Change (%)</v>
      </c>
      <c r="JY194" s="198">
        <f>JY193/JR193-1</f>
        <v>-8.9661142715791176E-4</v>
      </c>
      <c r="JZ194" s="198">
        <f t="shared" ref="JZ194" si="2544">JZ193/JS193-1</f>
        <v>-2.2752930959618056E-2</v>
      </c>
      <c r="KA194" s="198">
        <f t="shared" ref="KA194" si="2545">KA193/JT193-1</f>
        <v>-0.10687382297551806</v>
      </c>
      <c r="KB194" s="198">
        <f t="shared" ref="KB194" si="2546">KB193/JU193-1</f>
        <v>-0.11003236245954684</v>
      </c>
      <c r="KC194" s="198">
        <f t="shared" ref="KC194" si="2547">KC193/JV193-1</f>
        <v>-6.1572700296735783E-2</v>
      </c>
      <c r="KE194" s="197" t="str">
        <f t="shared" si="1252"/>
        <v>YoY Change (%)</v>
      </c>
      <c r="KF194" s="198">
        <f>KF193/JY193-1</f>
        <v>3.9677670061766257E-3</v>
      </c>
      <c r="KG194" s="198">
        <f t="shared" ref="KG194" si="2548">KG193/JZ193-1</f>
        <v>5.5718475073313956E-2</v>
      </c>
      <c r="KH194" s="198">
        <f t="shared" ref="KH194" si="2549">KH193/KA193-1</f>
        <v>4.8856088560885746E-2</v>
      </c>
      <c r="KI194" s="198">
        <f t="shared" ref="KI194" si="2550">KI193/KB193-1</f>
        <v>6.6743383199079354E-2</v>
      </c>
      <c r="KJ194" s="198">
        <f t="shared" ref="KJ194" si="2551">KJ193/KC193-1</f>
        <v>4.1782882143833744E-2</v>
      </c>
      <c r="KL194" s="197" t="str">
        <f t="shared" si="1253"/>
        <v>YoY Change (%)</v>
      </c>
      <c r="KM194" s="198">
        <f>KM193/KF193-1</f>
        <v>7.2848761408083496E-2</v>
      </c>
      <c r="KN194" s="198">
        <f t="shared" ref="KN194" si="2552">KN193/KG193-1</f>
        <v>0.12396514161220051</v>
      </c>
      <c r="KO194" s="198">
        <f t="shared" ref="KO194" si="2553">KO193/KH193-1</f>
        <v>0.15676892766676054</v>
      </c>
      <c r="KP194" s="198">
        <f t="shared" ref="KP194" si="2554">KP193/KI193-1</f>
        <v>0.11185185185185165</v>
      </c>
      <c r="KQ194" s="198">
        <f t="shared" ref="KQ194" si="2555">KQ193/KJ193-1</f>
        <v>0.11922475857186754</v>
      </c>
      <c r="KS194" s="197" t="str">
        <f t="shared" si="1254"/>
        <v>YoY Change (%)</v>
      </c>
      <c r="KT194" s="198">
        <f>KT193/KM193-1</f>
        <v>9.476488064747457E-2</v>
      </c>
      <c r="KU194" s="198">
        <f t="shared" ref="KU194" si="2556">KU193/KN193-1</f>
        <v>-5.3977684393565761E-3</v>
      </c>
      <c r="KV194" s="198">
        <f t="shared" ref="KV194" si="2557">KV193/KO193-1</f>
        <v>-5.3985690539856912E-2</v>
      </c>
      <c r="KW194" s="198">
        <f t="shared" ref="KW194" si="2558">KW193/KP193-1</f>
        <v>1.1815252416756294E-2</v>
      </c>
      <c r="KX194" s="198">
        <f t="shared" ref="KX194" si="2559">KX193/KQ193-1</f>
        <v>7.5069934857880938E-3</v>
      </c>
      <c r="KZ194" s="197" t="str">
        <f t="shared" si="1255"/>
        <v>YoY Change (%)</v>
      </c>
      <c r="LA194" s="198">
        <f>LA193/KT193-1</f>
        <v>-2.1664854791116572E-2</v>
      </c>
      <c r="LB194" s="198">
        <f>LB193/KU193-1</f>
        <v>2.0433436532507621E-2</v>
      </c>
      <c r="LC194" s="198">
        <f>LC193/KV193-1</f>
        <v>7.1892393320964754E-3</v>
      </c>
      <c r="LD194" s="198">
        <f t="shared" ref="LD194" si="2560">LD193/KW193-1</f>
        <v>-3.768577494692138E-2</v>
      </c>
      <c r="LE194" s="199">
        <f t="shared" ref="LE194" si="2561">LE193/KX193-1</f>
        <v>-7.053293171936259E-3</v>
      </c>
      <c r="LF194" s="567"/>
      <c r="LG194" s="197" t="str">
        <f t="shared" si="1256"/>
        <v>YoY Change (%)</v>
      </c>
      <c r="LH194" s="198">
        <f>LH193/LA193-1</f>
        <v>-6.669020438586637E-4</v>
      </c>
      <c r="LI194" s="198">
        <f>LI193/LB193-1</f>
        <v>-2.9126213592233108E-2</v>
      </c>
      <c r="LJ194" s="198">
        <f>LJ193/LC193-1</f>
        <v>6.3424947145878097E-3</v>
      </c>
      <c r="LK194" s="198">
        <f>LK193/LD193-1</f>
        <v>1.5741015741015829E-2</v>
      </c>
      <c r="LL194" s="199">
        <f t="shared" ref="LL194" si="2562">LL193/LE193-1</f>
        <v>-2.9063278097363199E-3</v>
      </c>
      <c r="LM194" s="567"/>
      <c r="LN194" s="197" t="str">
        <f t="shared" si="1257"/>
        <v>YoY Change (%)</v>
      </c>
      <c r="LO194" s="222">
        <v>1.4999999999999999E-2</v>
      </c>
      <c r="LP194" s="222">
        <v>0.02</v>
      </c>
      <c r="LQ194" s="222">
        <v>2.5000000000000001E-2</v>
      </c>
      <c r="LR194" s="222">
        <v>0.03</v>
      </c>
      <c r="LS194" s="199">
        <f t="shared" ref="LS194" si="2563">LS193/LL193-1</f>
        <v>2.2874411379612214E-2</v>
      </c>
      <c r="LT194" s="567"/>
      <c r="LU194" s="197" t="str">
        <f t="shared" si="1261"/>
        <v>YoY Change (%)</v>
      </c>
      <c r="LV194" s="222">
        <v>2.5000000000000001E-2</v>
      </c>
      <c r="LW194" s="222">
        <v>2.5000000000000001E-2</v>
      </c>
      <c r="LX194" s="222">
        <v>2.5000000000000001E-2</v>
      </c>
      <c r="LY194" s="222">
        <v>2.5000000000000001E-2</v>
      </c>
      <c r="LZ194" s="199">
        <f t="shared" ref="LZ194" si="2564">LZ193/LS193-1</f>
        <v>2.5000000000000133E-2</v>
      </c>
      <c r="MA194" s="567"/>
      <c r="MB194" s="197" t="str">
        <f t="shared" si="1265"/>
        <v>YoY Change (%)</v>
      </c>
      <c r="MC194" s="222">
        <v>0.02</v>
      </c>
      <c r="MD194" s="222">
        <v>0.02</v>
      </c>
      <c r="ME194" s="222">
        <v>0.02</v>
      </c>
      <c r="MF194" s="222">
        <v>0.02</v>
      </c>
      <c r="MG194" s="199">
        <f t="shared" ref="MG194" si="2565">MG193/LZ193-1</f>
        <v>2.0000000000000018E-2</v>
      </c>
      <c r="MH194" s="567"/>
    </row>
    <row r="195" spans="1:346" s="37" customFormat="1" ht="13.15" x14ac:dyDescent="0.4">
      <c r="A195" s="100"/>
      <c r="C195" s="186"/>
      <c r="D195" s="186"/>
      <c r="E195" s="186"/>
      <c r="F195" s="186"/>
      <c r="G195" s="186"/>
      <c r="H195" s="186"/>
      <c r="I195" s="186"/>
      <c r="J195" s="186"/>
      <c r="K195" s="186"/>
      <c r="L195" s="186"/>
      <c r="M195" s="186"/>
      <c r="N195" s="193"/>
      <c r="O195" s="193"/>
      <c r="P195" s="193"/>
      <c r="Q195" s="193"/>
      <c r="R195" s="193"/>
      <c r="S195" s="193"/>
      <c r="T195" s="193"/>
      <c r="U195" s="193"/>
      <c r="V195" s="193"/>
      <c r="W195" s="193"/>
      <c r="X195" s="193"/>
      <c r="Y195" s="193"/>
      <c r="Z195" s="193"/>
      <c r="AA195" s="193"/>
      <c r="AB195" s="193"/>
      <c r="AC195" s="193"/>
      <c r="AD195" s="193"/>
      <c r="AE195" s="193"/>
      <c r="AF195" s="193"/>
      <c r="AG195" s="193"/>
      <c r="AH195" s="193"/>
      <c r="AI195" s="193"/>
      <c r="AJ195" s="193"/>
      <c r="AK195" s="193"/>
      <c r="AL195" s="193"/>
      <c r="AM195" s="193"/>
      <c r="AN195" s="193"/>
      <c r="AO195" s="193"/>
      <c r="AP195" s="193"/>
      <c r="AQ195" s="193"/>
      <c r="AR195" s="193"/>
      <c r="AS195" s="193"/>
      <c r="AT195" s="193"/>
      <c r="AU195" s="193"/>
      <c r="AV195" s="193"/>
      <c r="AW195" s="193"/>
      <c r="AX195" s="193"/>
      <c r="AY195" s="193"/>
      <c r="AZ195" s="193"/>
      <c r="BA195" s="193"/>
      <c r="BB195" s="193"/>
      <c r="BC195" s="193"/>
      <c r="BD195" s="193"/>
      <c r="BE195" s="193"/>
      <c r="BF195" s="193"/>
      <c r="BG195" s="193"/>
      <c r="BH195" s="193"/>
      <c r="BI195" s="193"/>
      <c r="BJ195" s="193"/>
      <c r="BK195" s="193"/>
      <c r="BL195" s="193"/>
      <c r="BM195" s="193"/>
      <c r="BP195" s="193"/>
      <c r="BQ195" s="193"/>
      <c r="BR195" s="193"/>
      <c r="BS195" s="193"/>
      <c r="BT195" s="193"/>
      <c r="BW195" s="193"/>
      <c r="BX195" s="193"/>
      <c r="BY195" s="193"/>
      <c r="BZ195" s="193"/>
      <c r="CA195" s="193"/>
      <c r="CD195" s="193"/>
      <c r="CE195" s="193"/>
      <c r="CF195" s="193"/>
      <c r="CG195" s="193"/>
      <c r="CH195" s="193"/>
      <c r="CK195" s="193"/>
      <c r="CL195" s="193"/>
      <c r="CM195" s="193"/>
      <c r="CN195" s="193"/>
      <c r="CO195" s="193"/>
      <c r="CR195" s="193"/>
      <c r="CS195" s="193"/>
      <c r="CT195" s="193"/>
      <c r="CU195" s="193"/>
      <c r="CV195" s="193"/>
      <c r="CY195" s="193"/>
      <c r="CZ195" s="193"/>
      <c r="DA195" s="193"/>
      <c r="DB195" s="193"/>
      <c r="DC195" s="193"/>
      <c r="DF195" s="193"/>
      <c r="DG195" s="193"/>
      <c r="DH195" s="193"/>
      <c r="DI195" s="193"/>
      <c r="DJ195" s="193"/>
      <c r="DM195" s="193"/>
      <c r="DN195" s="193"/>
      <c r="DO195" s="193"/>
      <c r="DP195" s="193"/>
      <c r="DQ195" s="193"/>
      <c r="DT195" s="193"/>
      <c r="DU195" s="193"/>
      <c r="DV195" s="193"/>
      <c r="DW195" s="193"/>
      <c r="DX195" s="193"/>
      <c r="EA195" s="193"/>
      <c r="EB195" s="193"/>
      <c r="EC195" s="193"/>
      <c r="ED195" s="193"/>
      <c r="EE195" s="193"/>
      <c r="EH195" s="193"/>
      <c r="EI195" s="193"/>
      <c r="EJ195" s="193"/>
      <c r="EK195" s="193"/>
      <c r="EL195" s="193"/>
      <c r="EO195" s="193"/>
      <c r="EP195" s="193"/>
      <c r="EQ195" s="193"/>
      <c r="ER195" s="193"/>
      <c r="ES195" s="193"/>
      <c r="EV195" s="193"/>
      <c r="EW195" s="193"/>
      <c r="EX195" s="193"/>
      <c r="EY195" s="193"/>
      <c r="EZ195" s="193"/>
      <c r="FC195" s="193"/>
      <c r="FD195" s="193"/>
      <c r="FE195" s="193"/>
      <c r="FF195" s="193"/>
      <c r="FG195" s="193"/>
      <c r="FJ195" s="193"/>
      <c r="FK195" s="193"/>
      <c r="FL195" s="193"/>
      <c r="FM195" s="193"/>
      <c r="FN195" s="193"/>
      <c r="FQ195" s="193"/>
      <c r="FR195" s="193"/>
      <c r="FS195" s="193"/>
      <c r="FT195" s="193"/>
      <c r="FU195" s="193"/>
      <c r="FX195" s="193"/>
      <c r="FY195" s="193"/>
      <c r="FZ195" s="193"/>
      <c r="GA195" s="193"/>
      <c r="GB195" s="193"/>
      <c r="GE195" s="193"/>
      <c r="GF195" s="193"/>
      <c r="GG195" s="193"/>
      <c r="GH195" s="193"/>
      <c r="GI195" s="193"/>
      <c r="GL195" s="193"/>
      <c r="GM195" s="193"/>
      <c r="GN195" s="193"/>
      <c r="GO195" s="193"/>
      <c r="GP195" s="193"/>
      <c r="GS195" s="193"/>
      <c r="GT195" s="193"/>
      <c r="GU195" s="193"/>
      <c r="GV195" s="193"/>
      <c r="GW195" s="193"/>
      <c r="GZ195" s="193"/>
      <c r="HA195" s="193"/>
      <c r="HB195" s="193"/>
      <c r="HC195" s="193"/>
      <c r="HD195" s="193"/>
      <c r="HG195" s="193"/>
      <c r="HH195" s="193"/>
      <c r="HI195" s="193"/>
      <c r="HJ195" s="193"/>
      <c r="HK195" s="193"/>
      <c r="HN195" s="193"/>
      <c r="HO195" s="193"/>
      <c r="HP195" s="193"/>
      <c r="HQ195" s="193"/>
      <c r="HR195" s="193"/>
      <c r="HU195" s="193"/>
      <c r="HV195" s="193"/>
      <c r="HW195" s="193"/>
      <c r="HX195" s="193"/>
      <c r="HY195" s="193"/>
      <c r="IB195" s="193"/>
      <c r="IC195" s="193"/>
      <c r="ID195" s="193"/>
      <c r="IE195" s="193"/>
      <c r="IF195" s="193"/>
      <c r="II195" s="193"/>
      <c r="IJ195" s="193"/>
      <c r="IK195" s="193"/>
      <c r="IL195" s="193"/>
      <c r="IM195" s="193"/>
      <c r="IP195" s="193"/>
      <c r="IQ195" s="193"/>
      <c r="IR195" s="193"/>
      <c r="IS195" s="193"/>
      <c r="IT195" s="193"/>
      <c r="IW195" s="193"/>
      <c r="IX195" s="193"/>
      <c r="IY195" s="193"/>
      <c r="IZ195" s="193"/>
      <c r="JA195" s="193"/>
      <c r="JD195" s="193"/>
      <c r="JE195" s="193"/>
      <c r="JF195" s="193"/>
      <c r="JG195" s="193"/>
      <c r="JH195" s="193"/>
      <c r="JK195" s="193"/>
      <c r="JL195" s="193"/>
      <c r="JM195" s="193"/>
      <c r="JN195" s="193"/>
      <c r="JO195" s="193"/>
      <c r="JR195" s="193"/>
      <c r="JS195" s="193"/>
      <c r="JT195" s="193"/>
      <c r="JU195" s="193"/>
      <c r="JV195" s="193"/>
      <c r="JY195" s="193"/>
      <c r="JZ195" s="193"/>
      <c r="KA195" s="193"/>
      <c r="KB195" s="193"/>
      <c r="KC195" s="193"/>
      <c r="KF195" s="193"/>
      <c r="KG195" s="193"/>
      <c r="KH195" s="193"/>
      <c r="KI195" s="193"/>
      <c r="KJ195" s="193"/>
      <c r="KM195" s="193"/>
      <c r="KN195" s="193"/>
      <c r="KO195" s="193"/>
      <c r="KP195" s="193"/>
      <c r="KQ195" s="193"/>
      <c r="KT195" s="193"/>
      <c r="KU195" s="193"/>
      <c r="KV195" s="193"/>
      <c r="KW195" s="193"/>
      <c r="KX195" s="193"/>
      <c r="LA195" s="193"/>
      <c r="LB195" s="193"/>
      <c r="LC195" s="193"/>
      <c r="LD195" s="193"/>
      <c r="LE195" s="200"/>
      <c r="LF195" s="565"/>
      <c r="LH195" s="193"/>
      <c r="LI195" s="193"/>
      <c r="LJ195" s="193"/>
      <c r="LK195" s="193"/>
      <c r="LL195" s="200"/>
      <c r="LM195" s="565"/>
      <c r="LO195" s="200"/>
      <c r="LP195" s="200"/>
      <c r="LQ195" s="200"/>
      <c r="LR195" s="200"/>
      <c r="LS195" s="200"/>
      <c r="LT195" s="565"/>
      <c r="LV195" s="200"/>
      <c r="LW195" s="200"/>
      <c r="LX195" s="200"/>
      <c r="LY195" s="200"/>
      <c r="LZ195" s="200"/>
      <c r="MA195" s="565"/>
      <c r="MC195" s="200"/>
      <c r="MD195" s="200"/>
      <c r="ME195" s="200"/>
      <c r="MF195" s="200"/>
      <c r="MG195" s="200"/>
      <c r="MH195" s="565"/>
    </row>
    <row r="196" spans="1:346" s="68" customFormat="1" ht="12.75" x14ac:dyDescent="0.35">
      <c r="A196" s="140"/>
      <c r="B196" s="68" t="s">
        <v>519</v>
      </c>
      <c r="C196" s="190"/>
      <c r="D196" s="190"/>
      <c r="E196" s="190"/>
      <c r="F196" s="190"/>
      <c r="G196" s="190"/>
      <c r="H196" s="190"/>
      <c r="I196" s="190"/>
      <c r="J196" s="190"/>
      <c r="K196" s="190"/>
      <c r="L196" s="190"/>
      <c r="M196" s="190"/>
      <c r="N196" s="203">
        <f>(N193*N190)/1000</f>
        <v>356</v>
      </c>
      <c r="O196" s="203">
        <f>(O193*O190)/1000</f>
        <v>341.99999999999994</v>
      </c>
      <c r="P196" s="203">
        <f t="shared" ref="P196:AY196" si="2566">(P193*P190)/1000</f>
        <v>368</v>
      </c>
      <c r="Q196" s="203">
        <f t="shared" si="2566"/>
        <v>412.99999999999994</v>
      </c>
      <c r="R196" s="203">
        <f t="shared" si="2566"/>
        <v>461</v>
      </c>
      <c r="S196" s="203">
        <f t="shared" si="2566"/>
        <v>493</v>
      </c>
      <c r="T196" s="203">
        <f t="shared" si="2566"/>
        <v>503.00000000000006</v>
      </c>
      <c r="U196" s="203">
        <f t="shared" si="2566"/>
        <v>520</v>
      </c>
      <c r="V196" s="203">
        <f t="shared" si="2566"/>
        <v>543</v>
      </c>
      <c r="W196" s="203">
        <f t="shared" si="2566"/>
        <v>539</v>
      </c>
      <c r="X196" s="203">
        <f t="shared" si="2566"/>
        <v>758</v>
      </c>
      <c r="Y196" s="203">
        <f t="shared" si="2566"/>
        <v>869</v>
      </c>
      <c r="Z196" s="203">
        <f t="shared" si="2566"/>
        <v>794</v>
      </c>
      <c r="AA196" s="203">
        <f t="shared" si="2566"/>
        <v>845</v>
      </c>
      <c r="AB196" s="203">
        <f t="shared" si="2566"/>
        <v>853.00000000000011</v>
      </c>
      <c r="AC196" s="203">
        <f t="shared" si="2566"/>
        <v>835</v>
      </c>
      <c r="AD196" s="203">
        <f t="shared" si="2566"/>
        <v>844.00000000000011</v>
      </c>
      <c r="AE196" s="203">
        <f t="shared" si="2566"/>
        <v>847</v>
      </c>
      <c r="AF196" s="203">
        <f t="shared" si="2566"/>
        <v>839</v>
      </c>
      <c r="AG196" s="203">
        <f t="shared" si="2566"/>
        <v>784</v>
      </c>
      <c r="AH196" s="203">
        <f t="shared" si="2566"/>
        <v>510.99999999999994</v>
      </c>
      <c r="AI196" s="203">
        <f t="shared" si="2566"/>
        <v>800</v>
      </c>
      <c r="AJ196" s="203">
        <f t="shared" si="2566"/>
        <v>936</v>
      </c>
      <c r="AK196" s="203">
        <f t="shared" si="2566"/>
        <v>1154</v>
      </c>
      <c r="AL196" s="203">
        <f t="shared" si="2566"/>
        <v>1217</v>
      </c>
      <c r="AM196" s="203">
        <f t="shared" si="2566"/>
        <v>1213</v>
      </c>
      <c r="AN196" s="203">
        <f t="shared" si="2566"/>
        <v>1175</v>
      </c>
      <c r="AO196" s="203">
        <f t="shared" si="2566"/>
        <v>1261</v>
      </c>
      <c r="AP196" s="203">
        <f t="shared" si="2566"/>
        <v>1214</v>
      </c>
      <c r="AQ196" s="203">
        <f t="shared" si="2566"/>
        <v>1291.9999999999998</v>
      </c>
      <c r="AR196" s="203">
        <f t="shared" si="2566"/>
        <v>1347.9999999999998</v>
      </c>
      <c r="AS196" s="203">
        <f t="shared" si="2566"/>
        <v>920</v>
      </c>
      <c r="AT196" s="203">
        <f t="shared" si="2566"/>
        <v>886</v>
      </c>
      <c r="AU196" s="203">
        <f t="shared" si="2566"/>
        <v>1054</v>
      </c>
      <c r="AV196" s="203">
        <f t="shared" si="2566"/>
        <v>1219</v>
      </c>
      <c r="AW196" s="203">
        <f t="shared" si="2566"/>
        <v>1226</v>
      </c>
      <c r="AX196" s="203">
        <f t="shared" si="2566"/>
        <v>1182</v>
      </c>
      <c r="AY196" s="203">
        <f t="shared" si="2566"/>
        <v>1183.9500249999996</v>
      </c>
      <c r="AZ196" s="203">
        <f t="shared" ref="AZ196:BA196" si="2567">(AZ193*AZ190)/1000</f>
        <v>1249.9552388937498</v>
      </c>
      <c r="BA196" s="203">
        <f t="shared" si="2567"/>
        <v>1313.2029739817735</v>
      </c>
      <c r="BB196" s="203"/>
      <c r="BC196" s="203"/>
      <c r="BD196" s="203"/>
      <c r="BE196" s="203"/>
      <c r="BF196" s="203"/>
      <c r="BG196" s="203"/>
      <c r="BH196" s="203"/>
      <c r="BI196" s="203"/>
      <c r="BJ196" s="203"/>
      <c r="BK196" s="203"/>
      <c r="BL196" s="203"/>
      <c r="BM196" s="203"/>
      <c r="BO196" s="68" t="str">
        <f t="shared" si="1220"/>
        <v>Automotive Revenue</v>
      </c>
      <c r="BP196" s="204">
        <f>(BP193*BP190)/1000</f>
        <v>97.000000000000014</v>
      </c>
      <c r="BQ196" s="204">
        <f t="shared" ref="BQ196:BS196" si="2568">(BQ193*BQ190)/1000</f>
        <v>97</v>
      </c>
      <c r="BR196" s="204">
        <f t="shared" si="2568"/>
        <v>72</v>
      </c>
      <c r="BS196" s="204">
        <f t="shared" si="2568"/>
        <v>90</v>
      </c>
      <c r="BT196" s="204">
        <f t="shared" ref="BT196" si="2569">(BT193*BT190)/1000</f>
        <v>356</v>
      </c>
      <c r="BV196" s="68" t="str">
        <f t="shared" si="1221"/>
        <v>Automotive Revenue</v>
      </c>
      <c r="BW196" s="204">
        <f>(BW193*BW190)/1000</f>
        <v>75.999999999999986</v>
      </c>
      <c r="BX196" s="204">
        <f t="shared" ref="BX196:CA196" si="2570">(BX193*BX190)/1000</f>
        <v>95</v>
      </c>
      <c r="BY196" s="204">
        <f t="shared" si="2570"/>
        <v>84.999999999999986</v>
      </c>
      <c r="BZ196" s="204">
        <f t="shared" si="2570"/>
        <v>86</v>
      </c>
      <c r="CA196" s="204">
        <f t="shared" si="2570"/>
        <v>341.99999999999994</v>
      </c>
      <c r="CC196" s="68" t="str">
        <f t="shared" si="1222"/>
        <v>Automotive Revenue</v>
      </c>
      <c r="CD196" s="204">
        <f>(CD193*CD190)/1000</f>
        <v>81</v>
      </c>
      <c r="CE196" s="204">
        <f t="shared" ref="CE196:CH196" si="2571">(CE193*CE190)/1000</f>
        <v>96</v>
      </c>
      <c r="CF196" s="204">
        <f t="shared" si="2571"/>
        <v>83.999999999999986</v>
      </c>
      <c r="CG196" s="204">
        <f t="shared" si="2571"/>
        <v>107</v>
      </c>
      <c r="CH196" s="204">
        <f t="shared" si="2571"/>
        <v>368</v>
      </c>
      <c r="CJ196" s="68" t="str">
        <f t="shared" si="1223"/>
        <v>Automotive Revenue</v>
      </c>
      <c r="CK196" s="204">
        <f>(CK193*CK190)/1000</f>
        <v>104</v>
      </c>
      <c r="CL196" s="204">
        <f t="shared" ref="CL196:CO196" si="2572">(CL193*CL190)/1000</f>
        <v>110.00000000000001</v>
      </c>
      <c r="CM196" s="204">
        <f t="shared" si="2572"/>
        <v>89</v>
      </c>
      <c r="CN196" s="204">
        <f t="shared" si="2572"/>
        <v>110.00000000000001</v>
      </c>
      <c r="CO196" s="204">
        <f t="shared" si="2572"/>
        <v>412.99999999999994</v>
      </c>
      <c r="CQ196" s="68" t="str">
        <f t="shared" si="1224"/>
        <v>Automotive Revenue</v>
      </c>
      <c r="CR196" s="204">
        <f>(CR193*CR190)/1000</f>
        <v>115</v>
      </c>
      <c r="CS196" s="204">
        <f t="shared" ref="CS196:CV196" si="2573">(CS193*CS190)/1000</f>
        <v>123.00000000000001</v>
      </c>
      <c r="CT196" s="204">
        <f t="shared" si="2573"/>
        <v>96</v>
      </c>
      <c r="CU196" s="204">
        <f t="shared" si="2573"/>
        <v>126.99999999999999</v>
      </c>
      <c r="CV196" s="204">
        <f t="shared" si="2573"/>
        <v>461</v>
      </c>
      <c r="CX196" s="68" t="str">
        <f t="shared" si="1225"/>
        <v>Automotive Revenue</v>
      </c>
      <c r="CY196" s="204">
        <f>(CY193*CY190)/1000</f>
        <v>126.99999999999999</v>
      </c>
      <c r="CZ196" s="204">
        <f t="shared" ref="CZ196:DC196" si="2574">(CZ193*CZ190)/1000</f>
        <v>132</v>
      </c>
      <c r="DA196" s="204">
        <f t="shared" si="2574"/>
        <v>107</v>
      </c>
      <c r="DB196" s="204">
        <f t="shared" si="2574"/>
        <v>127.00000000000001</v>
      </c>
      <c r="DC196" s="204">
        <f t="shared" si="2574"/>
        <v>493</v>
      </c>
      <c r="DE196" s="68" t="str">
        <f t="shared" si="1226"/>
        <v>Automotive Revenue</v>
      </c>
      <c r="DF196" s="204">
        <f>(DF193*DF190)/1000</f>
        <v>125.99999999999999</v>
      </c>
      <c r="DG196" s="204">
        <f t="shared" ref="DG196:DJ196" si="2575">(DG193*DG190)/1000</f>
        <v>128</v>
      </c>
      <c r="DH196" s="204">
        <f t="shared" si="2575"/>
        <v>111</v>
      </c>
      <c r="DI196" s="204">
        <f t="shared" si="2575"/>
        <v>138</v>
      </c>
      <c r="DJ196" s="204">
        <f t="shared" si="2575"/>
        <v>503.00000000000006</v>
      </c>
      <c r="DL196" s="68" t="str">
        <f t="shared" si="1227"/>
        <v>Automotive Revenue</v>
      </c>
      <c r="DM196" s="204">
        <f>(DM193*DM190)/1000</f>
        <v>122.00000000000001</v>
      </c>
      <c r="DN196" s="204">
        <f t="shared" ref="DN196:DQ196" si="2576">(DN193*DN190)/1000</f>
        <v>142</v>
      </c>
      <c r="DO196" s="204">
        <f t="shared" si="2576"/>
        <v>123</v>
      </c>
      <c r="DP196" s="204">
        <f t="shared" si="2576"/>
        <v>133</v>
      </c>
      <c r="DQ196" s="204">
        <f t="shared" si="2576"/>
        <v>520</v>
      </c>
      <c r="DS196" s="68" t="str">
        <f t="shared" si="1228"/>
        <v>Automotive Revenue</v>
      </c>
      <c r="DT196" s="204">
        <f>(DT193*DT190)/1000</f>
        <v>136</v>
      </c>
      <c r="DU196" s="204">
        <f t="shared" ref="DU196:DX196" si="2577">(DU193*DU190)/1000</f>
        <v>140</v>
      </c>
      <c r="DV196" s="204">
        <f t="shared" si="2577"/>
        <v>120</v>
      </c>
      <c r="DW196" s="204">
        <f t="shared" si="2577"/>
        <v>147</v>
      </c>
      <c r="DX196" s="204">
        <f t="shared" si="2577"/>
        <v>543</v>
      </c>
      <c r="DZ196" s="68" t="str">
        <f t="shared" si="1229"/>
        <v>Automotive Revenue</v>
      </c>
      <c r="EA196" s="204">
        <f>(EA193*EA190)/1000</f>
        <v>129.99999999999997</v>
      </c>
      <c r="EB196" s="204">
        <f t="shared" ref="EB196:EE196" si="2578">(EB193*EB190)/1000</f>
        <v>141</v>
      </c>
      <c r="EC196" s="204">
        <f t="shared" si="2578"/>
        <v>111.00000000000001</v>
      </c>
      <c r="ED196" s="204">
        <f t="shared" si="2578"/>
        <v>157</v>
      </c>
      <c r="EE196" s="204">
        <f t="shared" si="2578"/>
        <v>539</v>
      </c>
      <c r="EG196" s="68" t="str">
        <f t="shared" si="1230"/>
        <v>Automotive Revenue</v>
      </c>
      <c r="EH196" s="204">
        <f>(EH193*EH190)/1000</f>
        <v>152</v>
      </c>
      <c r="EI196" s="204">
        <f t="shared" ref="EI196:EL196" si="2579">(EI193*EI190)/1000</f>
        <v>176.99999999999997</v>
      </c>
      <c r="EJ196" s="204">
        <f t="shared" si="2579"/>
        <v>203</v>
      </c>
      <c r="EK196" s="204">
        <f t="shared" si="2579"/>
        <v>226</v>
      </c>
      <c r="EL196" s="204">
        <f t="shared" si="2579"/>
        <v>758</v>
      </c>
      <c r="EN196" s="68" t="str">
        <f t="shared" si="1231"/>
        <v>Automotive Revenue</v>
      </c>
      <c r="EO196" s="204">
        <f>(EO193*EO190)/1000</f>
        <v>227</v>
      </c>
      <c r="EP196" s="204">
        <f t="shared" ref="EP196:ES196" si="2580">(EP193*EP190)/1000</f>
        <v>238</v>
      </c>
      <c r="EQ196" s="204">
        <f t="shared" si="2580"/>
        <v>196</v>
      </c>
      <c r="ER196" s="204">
        <f t="shared" si="2580"/>
        <v>208</v>
      </c>
      <c r="ES196" s="204">
        <f t="shared" si="2580"/>
        <v>869</v>
      </c>
      <c r="EU196" s="68" t="str">
        <f t="shared" si="1232"/>
        <v>Automotive Revenue</v>
      </c>
      <c r="EV196" s="204">
        <f>(EV193*EV190)/1000</f>
        <v>193.99999999999997</v>
      </c>
      <c r="EW196" s="204">
        <f t="shared" ref="EW196:EZ196" si="2581">(EW193*EW190)/1000</f>
        <v>213</v>
      </c>
      <c r="EX196" s="204">
        <f t="shared" si="2581"/>
        <v>184</v>
      </c>
      <c r="EY196" s="204">
        <f t="shared" si="2581"/>
        <v>203</v>
      </c>
      <c r="EZ196" s="204">
        <f t="shared" si="2581"/>
        <v>794</v>
      </c>
      <c r="FB196" s="68" t="str">
        <f t="shared" si="1233"/>
        <v>Automotive Revenue</v>
      </c>
      <c r="FC196" s="204">
        <f>(FC193*FC190)/1000</f>
        <v>200.00000000000003</v>
      </c>
      <c r="FD196" s="204">
        <f t="shared" ref="FD196:FG196" si="2582">(FD193*FD190)/1000</f>
        <v>231</v>
      </c>
      <c r="FE196" s="204">
        <f t="shared" si="2582"/>
        <v>195</v>
      </c>
      <c r="FF196" s="204">
        <f t="shared" si="2582"/>
        <v>218.99999999999997</v>
      </c>
      <c r="FG196" s="204">
        <f t="shared" si="2582"/>
        <v>845</v>
      </c>
      <c r="FI196" s="68" t="str">
        <f t="shared" si="1234"/>
        <v>Automotive Revenue</v>
      </c>
      <c r="FJ196" s="204">
        <f>(FJ193*FJ190)/1000</f>
        <v>208</v>
      </c>
      <c r="FK196" s="204">
        <f t="shared" ref="FK196:FN196" si="2583">(FK193*FK190)/1000</f>
        <v>224</v>
      </c>
      <c r="FL196" s="204">
        <f t="shared" si="2583"/>
        <v>193.00000000000003</v>
      </c>
      <c r="FM196" s="204">
        <f t="shared" si="2583"/>
        <v>228</v>
      </c>
      <c r="FN196" s="204">
        <f t="shared" si="2583"/>
        <v>853.00000000000011</v>
      </c>
      <c r="FP196" s="68" t="str">
        <f t="shared" si="1235"/>
        <v>Automotive Revenue</v>
      </c>
      <c r="FQ196" s="204">
        <f>(FQ193*FQ190)/1000</f>
        <v>202</v>
      </c>
      <c r="FR196" s="204">
        <f t="shared" ref="FR196:FU196" si="2584">(FR193*FR190)/1000</f>
        <v>220</v>
      </c>
      <c r="FS196" s="204">
        <f t="shared" si="2584"/>
        <v>185</v>
      </c>
      <c r="FT196" s="204">
        <f t="shared" si="2584"/>
        <v>228</v>
      </c>
      <c r="FU196" s="204">
        <f t="shared" si="2584"/>
        <v>835</v>
      </c>
      <c r="FW196" s="68" t="str">
        <f t="shared" si="1236"/>
        <v>Automotive Revenue</v>
      </c>
      <c r="FX196" s="204">
        <f>(FX193*FX190)/1000</f>
        <v>208</v>
      </c>
      <c r="FY196" s="204">
        <f t="shared" ref="FY196:GB196" si="2585">(FY193*FY190)/1000</f>
        <v>211.00000000000003</v>
      </c>
      <c r="FZ196" s="204">
        <f t="shared" si="2585"/>
        <v>199.99999999999997</v>
      </c>
      <c r="GA196" s="204">
        <f t="shared" si="2585"/>
        <v>225</v>
      </c>
      <c r="GB196" s="204">
        <f t="shared" si="2585"/>
        <v>844.00000000000011</v>
      </c>
      <c r="GD196" s="68" t="str">
        <f t="shared" si="1237"/>
        <v>Automotive Revenue</v>
      </c>
      <c r="GE196" s="204">
        <f>(GE193*GE190)/1000</f>
        <v>231</v>
      </c>
      <c r="GF196" s="204">
        <f t="shared" ref="GF196:GI196" si="2586">(GF193*GF190)/1000</f>
        <v>222.99999999999997</v>
      </c>
      <c r="GG196" s="204">
        <f t="shared" si="2586"/>
        <v>183</v>
      </c>
      <c r="GH196" s="204">
        <f t="shared" si="2586"/>
        <v>210</v>
      </c>
      <c r="GI196" s="204">
        <f t="shared" si="2586"/>
        <v>847</v>
      </c>
      <c r="GK196" s="68" t="str">
        <f t="shared" si="1238"/>
        <v>Automotive Revenue</v>
      </c>
      <c r="GL196" s="204">
        <f>(GL193*GL190)/1000</f>
        <v>202.99999999999997</v>
      </c>
      <c r="GM196" s="204">
        <f t="shared" ref="GM196:GP196" si="2587">(GM193*GM190)/1000</f>
        <v>223</v>
      </c>
      <c r="GN196" s="204">
        <f t="shared" si="2587"/>
        <v>198</v>
      </c>
      <c r="GO196" s="204">
        <f t="shared" si="2587"/>
        <v>215</v>
      </c>
      <c r="GP196" s="204">
        <f t="shared" si="2587"/>
        <v>839</v>
      </c>
      <c r="GR196" s="68" t="str">
        <f t="shared" si="1239"/>
        <v>Automotive Revenue</v>
      </c>
      <c r="GS196" s="204">
        <f>(GS193*GS190)/1000</f>
        <v>202</v>
      </c>
      <c r="GT196" s="204">
        <f t="shared" ref="GT196:GW196" si="2588">(GT193*GT190)/1000</f>
        <v>205</v>
      </c>
      <c r="GU196" s="204">
        <f t="shared" si="2588"/>
        <v>194.99999999999997</v>
      </c>
      <c r="GV196" s="204">
        <f t="shared" si="2588"/>
        <v>182</v>
      </c>
      <c r="GW196" s="204">
        <f t="shared" si="2588"/>
        <v>784</v>
      </c>
      <c r="GY196" s="68" t="str">
        <f t="shared" si="1240"/>
        <v>Automotive Revenue</v>
      </c>
      <c r="GZ196" s="204">
        <f>(GZ193*GZ190)/1000</f>
        <v>95.000000000000014</v>
      </c>
      <c r="HA196" s="204">
        <f t="shared" ref="HA196:HD196" si="2589">(HA193*HA190)/1000</f>
        <v>113</v>
      </c>
      <c r="HB196" s="204">
        <f t="shared" si="2589"/>
        <v>127</v>
      </c>
      <c r="HC196" s="204">
        <f t="shared" si="2589"/>
        <v>176</v>
      </c>
      <c r="HD196" s="204">
        <f t="shared" si="2589"/>
        <v>510.99999999999994</v>
      </c>
      <c r="HF196" s="68" t="str">
        <f t="shared" si="1241"/>
        <v>Automotive Revenue</v>
      </c>
      <c r="HG196" s="204">
        <f>(HG193*HG190)/1000</f>
        <v>170.00000000000003</v>
      </c>
      <c r="HH196" s="204">
        <f t="shared" ref="HH196:HK196" si="2590">(HH193*HH190)/1000</f>
        <v>204.00000000000003</v>
      </c>
      <c r="HI196" s="204">
        <f t="shared" si="2590"/>
        <v>195.99999999999997</v>
      </c>
      <c r="HJ196" s="204">
        <f t="shared" si="2590"/>
        <v>230</v>
      </c>
      <c r="HK196" s="204">
        <f t="shared" si="2590"/>
        <v>800</v>
      </c>
      <c r="HM196" s="68" t="str">
        <f t="shared" si="1242"/>
        <v>Automotive Revenue</v>
      </c>
      <c r="HN196" s="204">
        <f>(HN193*HN190)/1000</f>
        <v>219.00000000000003</v>
      </c>
      <c r="HO196" s="204">
        <f t="shared" ref="HO196:HR196" si="2591">(HO193*HO190)/1000</f>
        <v>226</v>
      </c>
      <c r="HP196" s="204">
        <f t="shared" si="2591"/>
        <v>227.99999999999997</v>
      </c>
      <c r="HQ196" s="204">
        <f t="shared" si="2591"/>
        <v>263</v>
      </c>
      <c r="HR196" s="204">
        <f t="shared" si="2591"/>
        <v>936</v>
      </c>
      <c r="HT196" s="68" t="str">
        <f t="shared" si="1243"/>
        <v>Automotive Revenue</v>
      </c>
      <c r="HU196" s="204">
        <f>(HU193*HU190)/1000</f>
        <v>281</v>
      </c>
      <c r="HV196" s="204">
        <f t="shared" ref="HV196:HY196" si="2592">(HV193*HV190)/1000</f>
        <v>302</v>
      </c>
      <c r="HW196" s="204">
        <f t="shared" si="2592"/>
        <v>270</v>
      </c>
      <c r="HX196" s="204">
        <f t="shared" si="2592"/>
        <v>301</v>
      </c>
      <c r="HY196" s="204">
        <f t="shared" si="2592"/>
        <v>1154</v>
      </c>
      <c r="IA196" s="68" t="str">
        <f t="shared" si="1244"/>
        <v>Automotive Revenue</v>
      </c>
      <c r="IB196" s="204">
        <f>(IB193*IB190)/1000</f>
        <v>293</v>
      </c>
      <c r="IC196" s="204">
        <f t="shared" ref="IC196:IF196" si="2593">(IC193*IC190)/1000</f>
        <v>318</v>
      </c>
      <c r="ID196" s="204">
        <f t="shared" si="2593"/>
        <v>286</v>
      </c>
      <c r="IE196" s="204">
        <f t="shared" si="2593"/>
        <v>320</v>
      </c>
      <c r="IF196" s="204">
        <f t="shared" si="2593"/>
        <v>1217</v>
      </c>
      <c r="IH196" s="68" t="str">
        <f t="shared" si="1245"/>
        <v>Automotive Revenue</v>
      </c>
      <c r="II196" s="204">
        <f>(II193*II190)/1000</f>
        <v>275</v>
      </c>
      <c r="IJ196" s="204">
        <f t="shared" ref="IJ196:IM196" si="2594">(IJ193*IJ190)/1000</f>
        <v>321</v>
      </c>
      <c r="IK196" s="204">
        <f t="shared" si="2594"/>
        <v>305</v>
      </c>
      <c r="IL196" s="204">
        <f t="shared" si="2594"/>
        <v>312</v>
      </c>
      <c r="IM196" s="204">
        <f t="shared" si="2594"/>
        <v>1213</v>
      </c>
      <c r="IO196" s="68" t="str">
        <f t="shared" si="1246"/>
        <v>Automotive Revenue</v>
      </c>
      <c r="IP196" s="204">
        <f>(IP193*IP190)/1000</f>
        <v>267</v>
      </c>
      <c r="IQ196" s="204">
        <f t="shared" ref="IQ196:IT196" si="2595">(IQ193*IQ190)/1000</f>
        <v>313</v>
      </c>
      <c r="IR196" s="204">
        <f t="shared" si="2595"/>
        <v>287</v>
      </c>
      <c r="IS196" s="204">
        <f t="shared" si="2595"/>
        <v>308.00000000000006</v>
      </c>
      <c r="IT196" s="204">
        <f t="shared" si="2595"/>
        <v>1175</v>
      </c>
      <c r="IV196" s="68" t="str">
        <f t="shared" si="1247"/>
        <v>Automotive Revenue</v>
      </c>
      <c r="IW196" s="204">
        <f>(IW193*IW190)/1000</f>
        <v>290</v>
      </c>
      <c r="IX196" s="204">
        <f t="shared" ref="IX196:JA196" si="2596">(IX193*IX190)/1000</f>
        <v>313</v>
      </c>
      <c r="IY196" s="204">
        <f t="shared" si="2596"/>
        <v>304</v>
      </c>
      <c r="IZ196" s="204">
        <f t="shared" si="2596"/>
        <v>354</v>
      </c>
      <c r="JA196" s="204">
        <f t="shared" si="2596"/>
        <v>1261</v>
      </c>
      <c r="JC196" s="68" t="str">
        <f t="shared" si="1248"/>
        <v>Automotive Revenue</v>
      </c>
      <c r="JD196" s="204">
        <f>(JD193*JD190)/1000</f>
        <v>316</v>
      </c>
      <c r="JE196" s="204">
        <f t="shared" ref="JE196:JH196" si="2597">(JE193*JE190)/1000</f>
        <v>307</v>
      </c>
      <c r="JF196" s="204">
        <f t="shared" si="2597"/>
        <v>288</v>
      </c>
      <c r="JG196" s="204">
        <f t="shared" si="2597"/>
        <v>303</v>
      </c>
      <c r="JH196" s="204">
        <f t="shared" si="2597"/>
        <v>1214</v>
      </c>
      <c r="JJ196" s="68" t="str">
        <f t="shared" si="1249"/>
        <v>Automotive Revenue</v>
      </c>
      <c r="JK196" s="204">
        <f>(JK193*JK190)/1000</f>
        <v>304</v>
      </c>
      <c r="JL196" s="204">
        <f t="shared" ref="JL196:JO196" si="2598">(JL193*JL190)/1000</f>
        <v>330</v>
      </c>
      <c r="JM196" s="204">
        <f t="shared" si="2598"/>
        <v>325</v>
      </c>
      <c r="JN196" s="204">
        <f t="shared" si="2598"/>
        <v>333</v>
      </c>
      <c r="JO196" s="204">
        <f t="shared" si="2598"/>
        <v>1291.9999999999998</v>
      </c>
      <c r="JQ196" s="68" t="str">
        <f t="shared" si="1250"/>
        <v>Automotive Revenue</v>
      </c>
      <c r="JR196" s="204">
        <f>(JR193*JR190)/1000</f>
        <v>311</v>
      </c>
      <c r="JS196" s="204">
        <f t="shared" ref="JS196:JV196" si="2599">(JS193*JS190)/1000</f>
        <v>329</v>
      </c>
      <c r="JT196" s="204">
        <f t="shared" si="2599"/>
        <v>354</v>
      </c>
      <c r="JU196" s="204">
        <f t="shared" si="2599"/>
        <v>354</v>
      </c>
      <c r="JV196" s="204">
        <f t="shared" si="2599"/>
        <v>1347.9999999999998</v>
      </c>
      <c r="JX196" s="68" t="str">
        <f t="shared" si="1251"/>
        <v>Automotive Revenue</v>
      </c>
      <c r="JY196" s="204">
        <f>(JY193*JY190)/1000</f>
        <v>281</v>
      </c>
      <c r="JZ196" s="204">
        <f t="shared" ref="JZ196:KC196" si="2600">(JZ193*JZ190)/1000</f>
        <v>92.999999999999986</v>
      </c>
      <c r="KA196" s="204">
        <f t="shared" si="2600"/>
        <v>270.99999999999994</v>
      </c>
      <c r="KB196" s="204">
        <f t="shared" si="2600"/>
        <v>275.00000000000006</v>
      </c>
      <c r="KC196" s="204">
        <f t="shared" si="2600"/>
        <v>920</v>
      </c>
      <c r="KE196" s="68" t="str">
        <f t="shared" si="1252"/>
        <v>Automotive Revenue</v>
      </c>
      <c r="KF196" s="204">
        <f>(KF193*KF190)/1000</f>
        <v>236</v>
      </c>
      <c r="KG196" s="204">
        <f t="shared" ref="KG196:KJ196" si="2601">(KG193*KG190)/1000</f>
        <v>216</v>
      </c>
      <c r="KH196" s="204">
        <f t="shared" si="2601"/>
        <v>209</v>
      </c>
      <c r="KI196" s="204">
        <f t="shared" si="2601"/>
        <v>225.00000000000003</v>
      </c>
      <c r="KJ196" s="204">
        <f t="shared" si="2601"/>
        <v>886</v>
      </c>
      <c r="KL196" s="68" t="str">
        <f t="shared" si="1253"/>
        <v>Automotive Revenue</v>
      </c>
      <c r="KM196" s="204">
        <f>(KM193*KM190)/1000</f>
        <v>227</v>
      </c>
      <c r="KN196" s="204">
        <f t="shared" ref="KN196:KQ196" si="2602">(KN193*KN190)/1000</f>
        <v>268</v>
      </c>
      <c r="KO196" s="204">
        <f t="shared" si="2602"/>
        <v>274</v>
      </c>
      <c r="KP196" s="204">
        <f t="shared" si="2602"/>
        <v>285</v>
      </c>
      <c r="KQ196" s="204">
        <f t="shared" si="2602"/>
        <v>1054</v>
      </c>
      <c r="KS196" s="68" t="str">
        <f t="shared" si="1254"/>
        <v>Automotive Revenue</v>
      </c>
      <c r="KT196" s="204">
        <f>(KT193*KT190)/1000</f>
        <v>274</v>
      </c>
      <c r="KU196" s="204">
        <f t="shared" ref="KU196:KX196" si="2603">(KU193*KU190)/1000</f>
        <v>323</v>
      </c>
      <c r="KV196" s="204">
        <f t="shared" si="2603"/>
        <v>308</v>
      </c>
      <c r="KW196" s="204">
        <f t="shared" si="2603"/>
        <v>314</v>
      </c>
      <c r="KX196" s="204">
        <f t="shared" si="2603"/>
        <v>1219</v>
      </c>
      <c r="KZ196" s="68" t="str">
        <f t="shared" si="1255"/>
        <v>Automotive Revenue</v>
      </c>
      <c r="LA196" s="204">
        <f>(LA193*LA190)/1000</f>
        <v>293</v>
      </c>
      <c r="LB196" s="204">
        <f>(LB193*LB190)/1000</f>
        <v>336</v>
      </c>
      <c r="LC196" s="204">
        <f>(LC193*LC190)/1000</f>
        <v>301</v>
      </c>
      <c r="LD196" s="204">
        <f t="shared" ref="LD196" si="2604">(LD193*LD190)/1000</f>
        <v>296</v>
      </c>
      <c r="LE196" s="205">
        <f>SUM(LA196:LD196)</f>
        <v>1226</v>
      </c>
      <c r="LF196" s="563"/>
      <c r="LG196" s="68" t="str">
        <f t="shared" si="1256"/>
        <v>Automotive Revenue</v>
      </c>
      <c r="LH196" s="204">
        <f>(LH193*LH190)/1000</f>
        <v>271</v>
      </c>
      <c r="LI196" s="204">
        <f>(LI193*LI190)/1000</f>
        <v>320</v>
      </c>
      <c r="LJ196" s="204">
        <f>(LJ193*LJ190)/1000</f>
        <v>306</v>
      </c>
      <c r="LK196" s="204">
        <f>(LK193*LK190)/1000</f>
        <v>285</v>
      </c>
      <c r="LL196" s="205">
        <f>SUM(LH196:LK196)</f>
        <v>1182</v>
      </c>
      <c r="LM196" s="563"/>
      <c r="LN196" s="68" t="str">
        <f t="shared" si="1257"/>
        <v>Automotive Revenue</v>
      </c>
      <c r="LO196" s="205">
        <f>(LO190*LO193)/1000</f>
        <v>270.9390249999999</v>
      </c>
      <c r="LP196" s="205">
        <f t="shared" ref="LP196:LR196" si="2605">(LP190*LP193)/1000</f>
        <v>306.81599999999992</v>
      </c>
      <c r="LQ196" s="205">
        <f t="shared" si="2605"/>
        <v>297.96749999999997</v>
      </c>
      <c r="LR196" s="205">
        <f t="shared" si="2605"/>
        <v>308.22750000000002</v>
      </c>
      <c r="LS196" s="205">
        <f>SUM(LO196:LR196)</f>
        <v>1183.9500249999999</v>
      </c>
      <c r="LT196" s="563"/>
      <c r="LU196" s="68" t="str">
        <f t="shared" si="1261"/>
        <v>Automotive Revenue</v>
      </c>
      <c r="LV196" s="205">
        <f>(LV190*LV193)/1000</f>
        <v>286.04387564374997</v>
      </c>
      <c r="LW196" s="205">
        <f t="shared" ref="LW196:LY196" si="2606">(LW190*LW193)/1000</f>
        <v>323.9209919999999</v>
      </c>
      <c r="LX196" s="205">
        <f t="shared" si="2606"/>
        <v>314.57918812499992</v>
      </c>
      <c r="LY196" s="205">
        <f t="shared" si="2606"/>
        <v>325.41118312499998</v>
      </c>
      <c r="LZ196" s="205">
        <f>SUM(LV196:LY196)</f>
        <v>1249.9552388937498</v>
      </c>
      <c r="MA196" s="563"/>
      <c r="MB196" s="68" t="str">
        <f t="shared" si="1265"/>
        <v>Automotive Revenue</v>
      </c>
      <c r="MC196" s="205">
        <f>(MC190*MC193)/1000</f>
        <v>300.51769575132363</v>
      </c>
      <c r="MD196" s="205">
        <f t="shared" ref="MD196:MF196" si="2607">(MD190*MD193)/1000</f>
        <v>340.31139419519991</v>
      </c>
      <c r="ME196" s="205">
        <f t="shared" si="2607"/>
        <v>330.49689504412498</v>
      </c>
      <c r="MF196" s="205">
        <f t="shared" si="2607"/>
        <v>341.87698899112496</v>
      </c>
      <c r="MG196" s="205">
        <f>SUM(MC196:MF196)</f>
        <v>1313.2029739817735</v>
      </c>
      <c r="MH196" s="563"/>
    </row>
    <row r="197" spans="1:346" s="37" customFormat="1" ht="13.15" x14ac:dyDescent="0.4">
      <c r="A197" s="100"/>
      <c r="B197" s="197" t="s">
        <v>516</v>
      </c>
      <c r="C197" s="186"/>
      <c r="D197" s="186"/>
      <c r="E197" s="186"/>
      <c r="F197" s="186"/>
      <c r="G197" s="186"/>
      <c r="H197" s="186"/>
      <c r="I197" s="186"/>
      <c r="J197" s="186"/>
      <c r="K197" s="186"/>
      <c r="L197" s="186"/>
      <c r="M197" s="186"/>
      <c r="N197" s="193"/>
      <c r="O197" s="198">
        <f>O196/N196-1</f>
        <v>-3.9325842696629421E-2</v>
      </c>
      <c r="P197" s="198">
        <f t="shared" ref="P197:BA197" si="2608">P196/O196-1</f>
        <v>7.6023391812865659E-2</v>
      </c>
      <c r="Q197" s="198">
        <f t="shared" si="2608"/>
        <v>0.12228260869565211</v>
      </c>
      <c r="R197" s="198">
        <f t="shared" si="2608"/>
        <v>0.116222760290557</v>
      </c>
      <c r="S197" s="198">
        <f t="shared" si="2608"/>
        <v>6.9414316702820056E-2</v>
      </c>
      <c r="T197" s="198">
        <f t="shared" si="2608"/>
        <v>2.0283975659229236E-2</v>
      </c>
      <c r="U197" s="198">
        <f t="shared" si="2608"/>
        <v>3.3797216699801069E-2</v>
      </c>
      <c r="V197" s="198">
        <f t="shared" si="2608"/>
        <v>4.4230769230769296E-2</v>
      </c>
      <c r="W197" s="198">
        <f t="shared" si="2608"/>
        <v>-7.3664825046040328E-3</v>
      </c>
      <c r="X197" s="198">
        <f t="shared" si="2608"/>
        <v>0.40630797773654925</v>
      </c>
      <c r="Y197" s="198">
        <f t="shared" si="2608"/>
        <v>0.14643799472295504</v>
      </c>
      <c r="Z197" s="198">
        <f t="shared" si="2608"/>
        <v>-8.6306098964326838E-2</v>
      </c>
      <c r="AA197" s="198">
        <f t="shared" si="2608"/>
        <v>6.4231738035264385E-2</v>
      </c>
      <c r="AB197" s="198">
        <f t="shared" si="2608"/>
        <v>9.4674556213019123E-3</v>
      </c>
      <c r="AC197" s="198">
        <f t="shared" si="2608"/>
        <v>-2.1101992966002459E-2</v>
      </c>
      <c r="AD197" s="198">
        <f t="shared" si="2608"/>
        <v>1.0778443113772518E-2</v>
      </c>
      <c r="AE197" s="198">
        <f t="shared" si="2608"/>
        <v>3.5545023696681444E-3</v>
      </c>
      <c r="AF197" s="198">
        <f t="shared" si="2608"/>
        <v>-9.445100354191216E-3</v>
      </c>
      <c r="AG197" s="198">
        <f t="shared" si="2608"/>
        <v>-6.5554231227651916E-2</v>
      </c>
      <c r="AH197" s="198">
        <f t="shared" si="2608"/>
        <v>-0.34821428571428581</v>
      </c>
      <c r="AI197" s="198">
        <f t="shared" si="2608"/>
        <v>0.56555772994129172</v>
      </c>
      <c r="AJ197" s="198">
        <f t="shared" si="2608"/>
        <v>0.16999999999999993</v>
      </c>
      <c r="AK197" s="198">
        <f t="shared" si="2608"/>
        <v>0.23290598290598297</v>
      </c>
      <c r="AL197" s="198">
        <f t="shared" si="2608"/>
        <v>5.4592720970537245E-2</v>
      </c>
      <c r="AM197" s="198">
        <f t="shared" si="2608"/>
        <v>-3.2867707477403085E-3</v>
      </c>
      <c r="AN197" s="198">
        <f t="shared" si="2608"/>
        <v>-3.1327287716405583E-2</v>
      </c>
      <c r="AO197" s="198">
        <f t="shared" si="2608"/>
        <v>7.3191489361702056E-2</v>
      </c>
      <c r="AP197" s="198">
        <f t="shared" si="2608"/>
        <v>-3.7272006344171271E-2</v>
      </c>
      <c r="AQ197" s="198">
        <f t="shared" si="2608"/>
        <v>6.4250411861614287E-2</v>
      </c>
      <c r="AR197" s="198">
        <f t="shared" si="2608"/>
        <v>4.334365325077405E-2</v>
      </c>
      <c r="AS197" s="198">
        <f t="shared" si="2608"/>
        <v>-0.31750741839762597</v>
      </c>
      <c r="AT197" s="198">
        <f t="shared" si="2608"/>
        <v>-3.6956521739130443E-2</v>
      </c>
      <c r="AU197" s="198">
        <f t="shared" si="2608"/>
        <v>0.18961625282167049</v>
      </c>
      <c r="AV197" s="198">
        <f t="shared" si="2608"/>
        <v>0.15654648956356731</v>
      </c>
      <c r="AW197" s="198">
        <f t="shared" si="2608"/>
        <v>5.7424118129614232E-3</v>
      </c>
      <c r="AX197" s="198">
        <f t="shared" si="2608"/>
        <v>-3.5889070146818969E-2</v>
      </c>
      <c r="AY197" s="198">
        <f t="shared" si="2608"/>
        <v>1.6497673434852089E-3</v>
      </c>
      <c r="AZ197" s="198">
        <f t="shared" si="2608"/>
        <v>5.5750000000000188E-2</v>
      </c>
      <c r="BA197" s="198">
        <f t="shared" si="2608"/>
        <v>5.0599999999999978E-2</v>
      </c>
      <c r="BB197" s="198"/>
      <c r="BC197" s="198"/>
      <c r="BD197" s="198"/>
      <c r="BE197" s="198"/>
      <c r="BF197" s="198"/>
      <c r="BG197" s="198"/>
      <c r="BH197" s="198"/>
      <c r="BI197" s="198"/>
      <c r="BJ197" s="198"/>
      <c r="BK197" s="198"/>
      <c r="BL197" s="198"/>
      <c r="BM197" s="198"/>
      <c r="BO197" s="197" t="str">
        <f t="shared" si="1220"/>
        <v>YoY Change (%)</v>
      </c>
      <c r="BP197" s="193"/>
      <c r="BQ197" s="193"/>
      <c r="BR197" s="193"/>
      <c r="BS197" s="193"/>
      <c r="BT197" s="193"/>
      <c r="BV197" s="197" t="str">
        <f t="shared" si="1221"/>
        <v>YoY Change (%)</v>
      </c>
      <c r="BW197" s="198">
        <f>BW196/BP196-1</f>
        <v>-0.21649484536082497</v>
      </c>
      <c r="BX197" s="198">
        <f t="shared" ref="BX197" si="2609">BX196/BQ196-1</f>
        <v>-2.0618556701030966E-2</v>
      </c>
      <c r="BY197" s="198">
        <f t="shared" ref="BY197" si="2610">BY196/BR196-1</f>
        <v>0.18055555555555536</v>
      </c>
      <c r="BZ197" s="198">
        <f t="shared" ref="BZ197" si="2611">BZ196/BS196-1</f>
        <v>-4.4444444444444398E-2</v>
      </c>
      <c r="CA197" s="198">
        <f t="shared" ref="CA197" si="2612">CA196/BT196-1</f>
        <v>-3.9325842696629421E-2</v>
      </c>
      <c r="CC197" s="197" t="str">
        <f t="shared" si="1222"/>
        <v>YoY Change (%)</v>
      </c>
      <c r="CD197" s="198">
        <f>CD196/BW196-1</f>
        <v>6.578947368421062E-2</v>
      </c>
      <c r="CE197" s="198">
        <f t="shared" ref="CE197" si="2613">CE196/BX196-1</f>
        <v>1.0526315789473717E-2</v>
      </c>
      <c r="CF197" s="198">
        <f t="shared" ref="CF197" si="2614">CF196/BY196-1</f>
        <v>-1.1764705882352899E-2</v>
      </c>
      <c r="CG197" s="198">
        <f t="shared" ref="CG197" si="2615">CG196/BZ196-1</f>
        <v>0.2441860465116279</v>
      </c>
      <c r="CH197" s="198">
        <f t="shared" ref="CH197" si="2616">CH196/CA196-1</f>
        <v>7.6023391812865659E-2</v>
      </c>
      <c r="CJ197" s="197" t="str">
        <f t="shared" si="1223"/>
        <v>YoY Change (%)</v>
      </c>
      <c r="CK197" s="198">
        <f>CK196/CD196-1</f>
        <v>0.28395061728395055</v>
      </c>
      <c r="CL197" s="198">
        <f t="shared" ref="CL197" si="2617">CL196/CE196-1</f>
        <v>0.14583333333333348</v>
      </c>
      <c r="CM197" s="198">
        <f t="shared" ref="CM197" si="2618">CM196/CF196-1</f>
        <v>5.9523809523809756E-2</v>
      </c>
      <c r="CN197" s="198">
        <f t="shared" ref="CN197" si="2619">CN196/CG196-1</f>
        <v>2.8037383177570208E-2</v>
      </c>
      <c r="CO197" s="198">
        <f t="shared" ref="CO197" si="2620">CO196/CH196-1</f>
        <v>0.12228260869565211</v>
      </c>
      <c r="CQ197" s="197" t="str">
        <f t="shared" si="1224"/>
        <v>YoY Change (%)</v>
      </c>
      <c r="CR197" s="198">
        <f>CR196/CK196-1</f>
        <v>0.10576923076923084</v>
      </c>
      <c r="CS197" s="198">
        <f t="shared" ref="CS197" si="2621">CS196/CL196-1</f>
        <v>0.11818181818181817</v>
      </c>
      <c r="CT197" s="198">
        <f t="shared" ref="CT197" si="2622">CT196/CM196-1</f>
        <v>7.8651685393258397E-2</v>
      </c>
      <c r="CU197" s="198">
        <f t="shared" ref="CU197" si="2623">CU196/CN196-1</f>
        <v>0.15454545454545432</v>
      </c>
      <c r="CV197" s="198">
        <f t="shared" ref="CV197" si="2624">CV196/CO196-1</f>
        <v>0.116222760290557</v>
      </c>
      <c r="CX197" s="197" t="str">
        <f t="shared" si="1225"/>
        <v>YoY Change (%)</v>
      </c>
      <c r="CY197" s="198">
        <f>CY196/CR196-1</f>
        <v>0.10434782608695636</v>
      </c>
      <c r="CZ197" s="198">
        <f t="shared" ref="CZ197" si="2625">CZ196/CS196-1</f>
        <v>7.3170731707316916E-2</v>
      </c>
      <c r="DA197" s="198">
        <f t="shared" ref="DA197" si="2626">DA196/CT196-1</f>
        <v>0.11458333333333326</v>
      </c>
      <c r="DB197" s="198">
        <f t="shared" ref="DB197" si="2627">DB196/CU196-1</f>
        <v>0</v>
      </c>
      <c r="DC197" s="198">
        <f t="shared" ref="DC197" si="2628">DC196/CV196-1</f>
        <v>6.9414316702820056E-2</v>
      </c>
      <c r="DE197" s="197" t="str">
        <f t="shared" si="1226"/>
        <v>YoY Change (%)</v>
      </c>
      <c r="DF197" s="198">
        <f>DF196/CY196-1</f>
        <v>-7.8740157480314821E-3</v>
      </c>
      <c r="DG197" s="198">
        <f t="shared" ref="DG197" si="2629">DG196/CZ196-1</f>
        <v>-3.0303030303030276E-2</v>
      </c>
      <c r="DH197" s="198">
        <f t="shared" ref="DH197" si="2630">DH196/DA196-1</f>
        <v>3.7383177570093462E-2</v>
      </c>
      <c r="DI197" s="198">
        <f t="shared" ref="DI197" si="2631">DI196/DB196-1</f>
        <v>8.6614173228346303E-2</v>
      </c>
      <c r="DJ197" s="198">
        <f t="shared" ref="DJ197" si="2632">DJ196/DC196-1</f>
        <v>2.0283975659229236E-2</v>
      </c>
      <c r="DL197" s="197" t="str">
        <f t="shared" si="1227"/>
        <v>YoY Change (%)</v>
      </c>
      <c r="DM197" s="198">
        <f>DM196/DF196-1</f>
        <v>-3.1746031746031522E-2</v>
      </c>
      <c r="DN197" s="198">
        <f t="shared" ref="DN197" si="2633">DN196/DG196-1</f>
        <v>0.109375</v>
      </c>
      <c r="DO197" s="198">
        <f t="shared" ref="DO197" si="2634">DO196/DH196-1</f>
        <v>0.10810810810810811</v>
      </c>
      <c r="DP197" s="198">
        <f t="shared" ref="DP197" si="2635">DP196/DI196-1</f>
        <v>-3.6231884057971064E-2</v>
      </c>
      <c r="DQ197" s="198">
        <f t="shared" ref="DQ197" si="2636">DQ196/DJ196-1</f>
        <v>3.3797216699801069E-2</v>
      </c>
      <c r="DS197" s="197" t="str">
        <f t="shared" si="1228"/>
        <v>YoY Change (%)</v>
      </c>
      <c r="DT197" s="198">
        <f>DT196/DM196-1</f>
        <v>0.11475409836065564</v>
      </c>
      <c r="DU197" s="198">
        <f t="shared" ref="DU197" si="2637">DU196/DN196-1</f>
        <v>-1.4084507042253502E-2</v>
      </c>
      <c r="DV197" s="198">
        <f t="shared" ref="DV197" si="2638">DV196/DO196-1</f>
        <v>-2.4390243902439046E-2</v>
      </c>
      <c r="DW197" s="198">
        <f t="shared" ref="DW197" si="2639">DW196/DP196-1</f>
        <v>0.10526315789473695</v>
      </c>
      <c r="DX197" s="198">
        <f t="shared" ref="DX197" si="2640">DX196/DQ196-1</f>
        <v>4.4230769230769296E-2</v>
      </c>
      <c r="DZ197" s="197" t="str">
        <f t="shared" si="1229"/>
        <v>YoY Change (%)</v>
      </c>
      <c r="EA197" s="198">
        <f>EA196/DT196-1</f>
        <v>-4.4117647058823706E-2</v>
      </c>
      <c r="EB197" s="198">
        <f t="shared" ref="EB197" si="2641">EB196/DU196-1</f>
        <v>7.1428571428571175E-3</v>
      </c>
      <c r="EC197" s="198">
        <f t="shared" ref="EC197" si="2642">EC196/DV196-1</f>
        <v>-7.4999999999999845E-2</v>
      </c>
      <c r="ED197" s="198">
        <f t="shared" ref="ED197" si="2643">ED196/DW196-1</f>
        <v>6.8027210884353817E-2</v>
      </c>
      <c r="EE197" s="198">
        <f t="shared" ref="EE197" si="2644">EE196/DX196-1</f>
        <v>-7.3664825046040328E-3</v>
      </c>
      <c r="EG197" s="197" t="str">
        <f t="shared" si="1230"/>
        <v>YoY Change (%)</v>
      </c>
      <c r="EH197" s="198">
        <f>EH196/EA196-1</f>
        <v>0.16923076923076952</v>
      </c>
      <c r="EI197" s="198">
        <f t="shared" ref="EI197" si="2645">EI196/EB196-1</f>
        <v>0.25531914893616992</v>
      </c>
      <c r="EJ197" s="198">
        <f t="shared" ref="EJ197" si="2646">EJ196/EC196-1</f>
        <v>0.82882882882882858</v>
      </c>
      <c r="EK197" s="198">
        <f t="shared" ref="EK197" si="2647">EK196/ED196-1</f>
        <v>0.43949044585987251</v>
      </c>
      <c r="EL197" s="198">
        <f t="shared" ref="EL197" si="2648">EL196/EE196-1</f>
        <v>0.40630797773654925</v>
      </c>
      <c r="EN197" s="197" t="str">
        <f t="shared" si="1231"/>
        <v>YoY Change (%)</v>
      </c>
      <c r="EO197" s="198">
        <f>EO196/EH196-1</f>
        <v>0.49342105263157898</v>
      </c>
      <c r="EP197" s="198">
        <f t="shared" ref="EP197" si="2649">EP196/EI196-1</f>
        <v>0.34463276836158219</v>
      </c>
      <c r="EQ197" s="198">
        <f t="shared" ref="EQ197" si="2650">EQ196/EJ196-1</f>
        <v>-3.4482758620689613E-2</v>
      </c>
      <c r="ER197" s="198">
        <f t="shared" ref="ER197" si="2651">ER196/EK196-1</f>
        <v>-7.9646017699115057E-2</v>
      </c>
      <c r="ES197" s="198">
        <f t="shared" ref="ES197" si="2652">ES196/EL196-1</f>
        <v>0.14643799472295504</v>
      </c>
      <c r="EU197" s="197" t="str">
        <f t="shared" si="1232"/>
        <v>YoY Change (%)</v>
      </c>
      <c r="EV197" s="198">
        <f>EV196/EO196-1</f>
        <v>-0.14537444933920718</v>
      </c>
      <c r="EW197" s="198">
        <f t="shared" ref="EW197" si="2653">EW196/EP196-1</f>
        <v>-0.10504201680672265</v>
      </c>
      <c r="EX197" s="198">
        <f t="shared" ref="EX197" si="2654">EX196/EQ196-1</f>
        <v>-6.1224489795918324E-2</v>
      </c>
      <c r="EY197" s="198">
        <f t="shared" ref="EY197" si="2655">EY196/ER196-1</f>
        <v>-2.4038461538461564E-2</v>
      </c>
      <c r="EZ197" s="198">
        <f t="shared" ref="EZ197" si="2656">EZ196/ES196-1</f>
        <v>-8.6306098964326838E-2</v>
      </c>
      <c r="FB197" s="197" t="str">
        <f t="shared" si="1233"/>
        <v>YoY Change (%)</v>
      </c>
      <c r="FC197" s="198">
        <f>FC196/EV196-1</f>
        <v>3.0927835051546726E-2</v>
      </c>
      <c r="FD197" s="198">
        <f t="shared" ref="FD197" si="2657">FD196/EW196-1</f>
        <v>8.4507042253521236E-2</v>
      </c>
      <c r="FE197" s="198">
        <f t="shared" ref="FE197" si="2658">FE196/EX196-1</f>
        <v>5.9782608695652106E-2</v>
      </c>
      <c r="FF197" s="198">
        <f t="shared" ref="FF197" si="2659">FF196/EY196-1</f>
        <v>7.8817733990147687E-2</v>
      </c>
      <c r="FG197" s="198">
        <f t="shared" ref="FG197" si="2660">FG196/EZ196-1</f>
        <v>6.4231738035264385E-2</v>
      </c>
      <c r="FI197" s="197" t="str">
        <f t="shared" si="1234"/>
        <v>YoY Change (%)</v>
      </c>
      <c r="FJ197" s="198">
        <f>FJ196/FC196-1</f>
        <v>3.9999999999999813E-2</v>
      </c>
      <c r="FK197" s="198">
        <f t="shared" ref="FK197" si="2661">FK196/FD196-1</f>
        <v>-3.0303030303030276E-2</v>
      </c>
      <c r="FL197" s="198">
        <f t="shared" ref="FL197" si="2662">FL196/FE196-1</f>
        <v>-1.0256410256410109E-2</v>
      </c>
      <c r="FM197" s="198">
        <f t="shared" ref="FM197" si="2663">FM196/FF196-1</f>
        <v>4.1095890410959068E-2</v>
      </c>
      <c r="FN197" s="198">
        <f t="shared" ref="FN197" si="2664">FN196/FG196-1</f>
        <v>9.4674556213019123E-3</v>
      </c>
      <c r="FP197" s="197" t="str">
        <f t="shared" si="1235"/>
        <v>YoY Change (%)</v>
      </c>
      <c r="FQ197" s="198">
        <f>FQ196/FJ196-1</f>
        <v>-2.8846153846153855E-2</v>
      </c>
      <c r="FR197" s="198">
        <f t="shared" ref="FR197" si="2665">FR196/FK196-1</f>
        <v>-1.7857142857142905E-2</v>
      </c>
      <c r="FS197" s="198">
        <f t="shared" ref="FS197" si="2666">FS196/FL196-1</f>
        <v>-4.1450777202072686E-2</v>
      </c>
      <c r="FT197" s="198">
        <f t="shared" ref="FT197" si="2667">FT196/FM196-1</f>
        <v>0</v>
      </c>
      <c r="FU197" s="198">
        <f t="shared" ref="FU197" si="2668">FU196/FN196-1</f>
        <v>-2.1101992966002459E-2</v>
      </c>
      <c r="FW197" s="197" t="str">
        <f t="shared" si="1236"/>
        <v>YoY Change (%)</v>
      </c>
      <c r="FX197" s="198">
        <f>FX196/FQ196-1</f>
        <v>2.9702970297029729E-2</v>
      </c>
      <c r="FY197" s="198">
        <f t="shared" ref="FY197" si="2669">FY196/FR196-1</f>
        <v>-4.0909090909090784E-2</v>
      </c>
      <c r="FZ197" s="198">
        <f t="shared" ref="FZ197" si="2670">FZ196/FS196-1</f>
        <v>8.1081081081080919E-2</v>
      </c>
      <c r="GA197" s="198">
        <f t="shared" ref="GA197" si="2671">GA196/FT196-1</f>
        <v>-1.3157894736842146E-2</v>
      </c>
      <c r="GB197" s="198">
        <f t="shared" ref="GB197" si="2672">GB196/FU196-1</f>
        <v>1.0778443113772518E-2</v>
      </c>
      <c r="GD197" s="197" t="str">
        <f t="shared" si="1237"/>
        <v>YoY Change (%)</v>
      </c>
      <c r="GE197" s="198">
        <f>GE196/FX196-1</f>
        <v>0.11057692307692313</v>
      </c>
      <c r="GF197" s="198">
        <f t="shared" ref="GF197" si="2673">GF196/FY196-1</f>
        <v>5.6872037914691642E-2</v>
      </c>
      <c r="GG197" s="198">
        <f t="shared" ref="GG197" si="2674">GG196/FZ196-1</f>
        <v>-8.4999999999999853E-2</v>
      </c>
      <c r="GH197" s="198">
        <f t="shared" ref="GH197" si="2675">GH196/GA196-1</f>
        <v>-6.6666666666666652E-2</v>
      </c>
      <c r="GI197" s="198">
        <f t="shared" ref="GI197" si="2676">GI196/GB196-1</f>
        <v>3.5545023696681444E-3</v>
      </c>
      <c r="GK197" s="197" t="str">
        <f t="shared" si="1238"/>
        <v>YoY Change (%)</v>
      </c>
      <c r="GL197" s="198">
        <f>GL196/GE196-1</f>
        <v>-0.12121212121212133</v>
      </c>
      <c r="GM197" s="198">
        <f t="shared" ref="GM197" si="2677">GM196/GF196-1</f>
        <v>0</v>
      </c>
      <c r="GN197" s="198">
        <f t="shared" ref="GN197" si="2678">GN196/GG196-1</f>
        <v>8.1967213114754189E-2</v>
      </c>
      <c r="GO197" s="198">
        <f t="shared" ref="GO197" si="2679">GO196/GH196-1</f>
        <v>2.3809523809523725E-2</v>
      </c>
      <c r="GP197" s="198">
        <f t="shared" ref="GP197" si="2680">GP196/GI196-1</f>
        <v>-9.445100354191216E-3</v>
      </c>
      <c r="GR197" s="197" t="str">
        <f t="shared" si="1239"/>
        <v>YoY Change (%)</v>
      </c>
      <c r="GS197" s="198">
        <f>GS196/GL196-1</f>
        <v>-4.9261083743841194E-3</v>
      </c>
      <c r="GT197" s="198">
        <f t="shared" ref="GT197" si="2681">GT196/GM196-1</f>
        <v>-8.0717488789237679E-2</v>
      </c>
      <c r="GU197" s="198">
        <f t="shared" ref="GU197" si="2682">GU196/GN196-1</f>
        <v>-1.5151515151515249E-2</v>
      </c>
      <c r="GV197" s="198">
        <f t="shared" ref="GV197" si="2683">GV196/GO196-1</f>
        <v>-0.15348837209302324</v>
      </c>
      <c r="GW197" s="198">
        <f t="shared" ref="GW197" si="2684">GW196/GP196-1</f>
        <v>-6.5554231227651916E-2</v>
      </c>
      <c r="GY197" s="197" t="str">
        <f t="shared" si="1240"/>
        <v>YoY Change (%)</v>
      </c>
      <c r="GZ197" s="198">
        <f>GZ196/GS196-1</f>
        <v>-0.52970297029702962</v>
      </c>
      <c r="HA197" s="198">
        <f t="shared" ref="HA197" si="2685">HA196/GT196-1</f>
        <v>-0.448780487804878</v>
      </c>
      <c r="HB197" s="198">
        <f t="shared" ref="HB197" si="2686">HB196/GU196-1</f>
        <v>-0.34871794871794859</v>
      </c>
      <c r="HC197" s="198">
        <f t="shared" ref="HC197" si="2687">HC196/GV196-1</f>
        <v>-3.2967032967032961E-2</v>
      </c>
      <c r="HD197" s="198">
        <f t="shared" ref="HD197" si="2688">HD196/GW196-1</f>
        <v>-0.34821428571428581</v>
      </c>
      <c r="HF197" s="197" t="str">
        <f t="shared" si="1241"/>
        <v>YoY Change (%)</v>
      </c>
      <c r="HG197" s="198">
        <f>HG196/GZ196-1</f>
        <v>0.78947368421052633</v>
      </c>
      <c r="HH197" s="198">
        <f t="shared" ref="HH197" si="2689">HH196/HA196-1</f>
        <v>0.80530973451327448</v>
      </c>
      <c r="HI197" s="198">
        <f t="shared" ref="HI197" si="2690">HI196/HB196-1</f>
        <v>0.54330708661417293</v>
      </c>
      <c r="HJ197" s="198">
        <f t="shared" ref="HJ197" si="2691">HJ196/HC196-1</f>
        <v>0.30681818181818188</v>
      </c>
      <c r="HK197" s="198">
        <f t="shared" ref="HK197" si="2692">HK196/HD196-1</f>
        <v>0.56555772994129172</v>
      </c>
      <c r="HM197" s="197" t="str">
        <f t="shared" si="1242"/>
        <v>YoY Change (%)</v>
      </c>
      <c r="HN197" s="198">
        <f>HN196/HG196-1</f>
        <v>0.28823529411764692</v>
      </c>
      <c r="HO197" s="198">
        <f t="shared" ref="HO197" si="2693">HO196/HH196-1</f>
        <v>0.1078431372549018</v>
      </c>
      <c r="HP197" s="198">
        <f t="shared" ref="HP197" si="2694">HP196/HI196-1</f>
        <v>0.16326530612244894</v>
      </c>
      <c r="HQ197" s="198">
        <f t="shared" ref="HQ197" si="2695">HQ196/HJ196-1</f>
        <v>0.14347826086956528</v>
      </c>
      <c r="HR197" s="198">
        <f t="shared" ref="HR197" si="2696">HR196/HK196-1</f>
        <v>0.16999999999999993</v>
      </c>
      <c r="HT197" s="197" t="str">
        <f t="shared" si="1243"/>
        <v>YoY Change (%)</v>
      </c>
      <c r="HU197" s="198">
        <f>HU196/HN196-1</f>
        <v>0.2831050228310501</v>
      </c>
      <c r="HV197" s="198">
        <f t="shared" ref="HV197" si="2697">HV196/HO196-1</f>
        <v>0.33628318584070804</v>
      </c>
      <c r="HW197" s="198">
        <f t="shared" ref="HW197" si="2698">HW196/HP196-1</f>
        <v>0.1842105263157896</v>
      </c>
      <c r="HX197" s="198">
        <f t="shared" ref="HX197" si="2699">HX196/HQ196-1</f>
        <v>0.14448669201520903</v>
      </c>
      <c r="HY197" s="198">
        <f t="shared" ref="HY197" si="2700">HY196/HR196-1</f>
        <v>0.23290598290598297</v>
      </c>
      <c r="IA197" s="197" t="str">
        <f t="shared" si="1244"/>
        <v>YoY Change (%)</v>
      </c>
      <c r="IB197" s="198">
        <f>IB196/HU196-1</f>
        <v>4.2704626334519658E-2</v>
      </c>
      <c r="IC197" s="198">
        <f t="shared" ref="IC197" si="2701">IC196/HV196-1</f>
        <v>5.2980132450331174E-2</v>
      </c>
      <c r="ID197" s="198">
        <f t="shared" ref="ID197" si="2702">ID196/HW196-1</f>
        <v>5.9259259259259345E-2</v>
      </c>
      <c r="IE197" s="198">
        <f t="shared" ref="IE197" si="2703">IE196/HX196-1</f>
        <v>6.3122923588039948E-2</v>
      </c>
      <c r="IF197" s="198">
        <f t="shared" ref="IF197" si="2704">IF196/HY196-1</f>
        <v>5.4592720970537245E-2</v>
      </c>
      <c r="IH197" s="197" t="str">
        <f t="shared" si="1245"/>
        <v>YoY Change (%)</v>
      </c>
      <c r="II197" s="198">
        <f>II196/IB196-1</f>
        <v>-6.1433447098976135E-2</v>
      </c>
      <c r="IJ197" s="198">
        <f t="shared" ref="IJ197" si="2705">IJ196/IC196-1</f>
        <v>9.4339622641510523E-3</v>
      </c>
      <c r="IK197" s="198">
        <f t="shared" ref="IK197" si="2706">IK196/ID196-1</f>
        <v>6.643356643356646E-2</v>
      </c>
      <c r="IL197" s="198">
        <f t="shared" ref="IL197" si="2707">IL196/IE196-1</f>
        <v>-2.5000000000000022E-2</v>
      </c>
      <c r="IM197" s="198">
        <f t="shared" ref="IM197" si="2708">IM196/IF196-1</f>
        <v>-3.2867707477403085E-3</v>
      </c>
      <c r="IO197" s="197" t="str">
        <f t="shared" si="1246"/>
        <v>YoY Change (%)</v>
      </c>
      <c r="IP197" s="198">
        <f>IP196/II196-1</f>
        <v>-2.9090909090909056E-2</v>
      </c>
      <c r="IQ197" s="198">
        <f t="shared" ref="IQ197" si="2709">IQ196/IJ196-1</f>
        <v>-2.4922118380062308E-2</v>
      </c>
      <c r="IR197" s="198">
        <f t="shared" ref="IR197" si="2710">IR196/IK196-1</f>
        <v>-5.9016393442622994E-2</v>
      </c>
      <c r="IS197" s="198">
        <f t="shared" ref="IS197" si="2711">IS196/IL196-1</f>
        <v>-1.2820512820512664E-2</v>
      </c>
      <c r="IT197" s="198">
        <f t="shared" ref="IT197" si="2712">IT196/IM196-1</f>
        <v>-3.1327287716405583E-2</v>
      </c>
      <c r="IV197" s="197" t="str">
        <f t="shared" si="1247"/>
        <v>YoY Change (%)</v>
      </c>
      <c r="IW197" s="198">
        <f>IW196/IP196-1</f>
        <v>8.6142322097378266E-2</v>
      </c>
      <c r="IX197" s="198">
        <f t="shared" ref="IX197" si="2713">IX196/IQ196-1</f>
        <v>0</v>
      </c>
      <c r="IY197" s="198">
        <f t="shared" ref="IY197" si="2714">IY196/IR196-1</f>
        <v>5.9233449477351874E-2</v>
      </c>
      <c r="IZ197" s="198">
        <f t="shared" ref="IZ197" si="2715">IZ196/IS196-1</f>
        <v>0.14935064935064912</v>
      </c>
      <c r="JA197" s="198">
        <f t="shared" ref="JA197" si="2716">JA196/IT196-1</f>
        <v>7.3191489361702056E-2</v>
      </c>
      <c r="JC197" s="197" t="str">
        <f t="shared" si="1248"/>
        <v>YoY Change (%)</v>
      </c>
      <c r="JD197" s="198">
        <f>JD196/IW196-1</f>
        <v>8.9655172413793061E-2</v>
      </c>
      <c r="JE197" s="198">
        <f t="shared" ref="JE197" si="2717">JE196/IX196-1</f>
        <v>-1.9169329073482455E-2</v>
      </c>
      <c r="JF197" s="198">
        <f t="shared" ref="JF197" si="2718">JF196/IY196-1</f>
        <v>-5.2631578947368474E-2</v>
      </c>
      <c r="JG197" s="198">
        <f t="shared" ref="JG197" si="2719">JG196/IZ196-1</f>
        <v>-0.14406779661016944</v>
      </c>
      <c r="JH197" s="198">
        <f t="shared" ref="JH197" si="2720">JH196/JA196-1</f>
        <v>-3.7272006344171271E-2</v>
      </c>
      <c r="JJ197" s="197" t="str">
        <f t="shared" si="1249"/>
        <v>YoY Change (%)</v>
      </c>
      <c r="JK197" s="198">
        <f>JK196/JD196-1</f>
        <v>-3.7974683544303778E-2</v>
      </c>
      <c r="JL197" s="198">
        <f t="shared" ref="JL197" si="2721">JL196/JE196-1</f>
        <v>7.4918566775244333E-2</v>
      </c>
      <c r="JM197" s="198">
        <f t="shared" ref="JM197" si="2722">JM196/JF196-1</f>
        <v>0.12847222222222232</v>
      </c>
      <c r="JN197" s="198">
        <f t="shared" ref="JN197" si="2723">JN196/JG196-1</f>
        <v>9.9009900990099098E-2</v>
      </c>
      <c r="JO197" s="198">
        <f t="shared" ref="JO197" si="2724">JO196/JH196-1</f>
        <v>6.4250411861614287E-2</v>
      </c>
      <c r="JQ197" s="197" t="str">
        <f t="shared" si="1250"/>
        <v>YoY Change (%)</v>
      </c>
      <c r="JR197" s="198">
        <f>JR196/JK196-1</f>
        <v>2.3026315789473673E-2</v>
      </c>
      <c r="JS197" s="198">
        <f t="shared" ref="JS197" si="2725">JS196/JL196-1</f>
        <v>-3.0303030303030498E-3</v>
      </c>
      <c r="JT197" s="198">
        <f t="shared" ref="JT197" si="2726">JT196/JM196-1</f>
        <v>8.9230769230769225E-2</v>
      </c>
      <c r="JU197" s="198">
        <f t="shared" ref="JU197" si="2727">JU196/JN196-1</f>
        <v>6.3063063063063085E-2</v>
      </c>
      <c r="JV197" s="198">
        <f t="shared" ref="JV197" si="2728">JV196/JO196-1</f>
        <v>4.334365325077405E-2</v>
      </c>
      <c r="JX197" s="197" t="str">
        <f t="shared" si="1251"/>
        <v>YoY Change (%)</v>
      </c>
      <c r="JY197" s="198">
        <f>JY196/JR196-1</f>
        <v>-9.6463022508038621E-2</v>
      </c>
      <c r="JZ197" s="198">
        <f t="shared" ref="JZ197" si="2729">JZ196/JS196-1</f>
        <v>-0.71732522796352582</v>
      </c>
      <c r="KA197" s="198">
        <f t="shared" ref="KA197" si="2730">KA196/JT196-1</f>
        <v>-0.23446327683615831</v>
      </c>
      <c r="KB197" s="198">
        <f t="shared" ref="KB197" si="2731">KB196/JU196-1</f>
        <v>-0.22316384180790949</v>
      </c>
      <c r="KC197" s="198">
        <f t="shared" ref="KC197" si="2732">KC196/JV196-1</f>
        <v>-0.31750741839762597</v>
      </c>
      <c r="KE197" s="197" t="str">
        <f t="shared" si="1252"/>
        <v>YoY Change (%)</v>
      </c>
      <c r="KF197" s="198">
        <f>KF196/JY196-1</f>
        <v>-0.16014234875444844</v>
      </c>
      <c r="KG197" s="198">
        <f t="shared" ref="KG197" si="2733">KG196/JZ196-1</f>
        <v>1.3225806451612905</v>
      </c>
      <c r="KH197" s="198">
        <f t="shared" ref="KH197" si="2734">KH196/KA196-1</f>
        <v>-0.22878228782287802</v>
      </c>
      <c r="KI197" s="198">
        <f t="shared" ref="KI197" si="2735">KI196/KB196-1</f>
        <v>-0.18181818181818188</v>
      </c>
      <c r="KJ197" s="198">
        <f t="shared" ref="KJ197" si="2736">KJ196/KC196-1</f>
        <v>-3.6956521739130443E-2</v>
      </c>
      <c r="KL197" s="197" t="str">
        <f t="shared" si="1253"/>
        <v>YoY Change (%)</v>
      </c>
      <c r="KM197" s="198">
        <f>KM196/KF196-1</f>
        <v>-3.8135593220338992E-2</v>
      </c>
      <c r="KN197" s="198">
        <f t="shared" ref="KN197" si="2737">KN196/KG196-1</f>
        <v>0.2407407407407407</v>
      </c>
      <c r="KO197" s="198">
        <f t="shared" ref="KO197" si="2738">KO196/KH196-1</f>
        <v>0.31100478468899517</v>
      </c>
      <c r="KP197" s="198">
        <f t="shared" ref="KP197" si="2739">KP196/KI196-1</f>
        <v>0.26666666666666661</v>
      </c>
      <c r="KQ197" s="198">
        <f t="shared" ref="KQ197" si="2740">KQ196/KJ196-1</f>
        <v>0.18961625282167049</v>
      </c>
      <c r="KS197" s="197" t="str">
        <f t="shared" si="1254"/>
        <v>YoY Change (%)</v>
      </c>
      <c r="KT197" s="198">
        <f>KT196/KM196-1</f>
        <v>0.20704845814977979</v>
      </c>
      <c r="KU197" s="198">
        <f t="shared" ref="KU197" si="2741">KU196/KN196-1</f>
        <v>0.20522388059701502</v>
      </c>
      <c r="KV197" s="198">
        <f t="shared" ref="KV197" si="2742">KV196/KO196-1</f>
        <v>0.12408759124087587</v>
      </c>
      <c r="KW197" s="198">
        <f t="shared" ref="KW197" si="2743">KW196/KP196-1</f>
        <v>0.10175438596491237</v>
      </c>
      <c r="KX197" s="198">
        <f t="shared" ref="KX197" si="2744">KX196/KQ196-1</f>
        <v>0.15654648956356731</v>
      </c>
      <c r="KZ197" s="197" t="str">
        <f t="shared" si="1255"/>
        <v>YoY Change (%)</v>
      </c>
      <c r="LA197" s="198">
        <f>LA196/KT196-1</f>
        <v>6.9343065693430628E-2</v>
      </c>
      <c r="LB197" s="198">
        <f>LB196/KU196-1</f>
        <v>4.0247678018575872E-2</v>
      </c>
      <c r="LC197" s="198">
        <f>LC196/KV196-1</f>
        <v>-2.2727272727272707E-2</v>
      </c>
      <c r="LD197" s="198">
        <f t="shared" ref="LD197" si="2745">LD196/KW196-1</f>
        <v>-5.7324840764331197E-2</v>
      </c>
      <c r="LE197" s="199">
        <f t="shared" ref="LE197" si="2746">LE196/KX196-1</f>
        <v>5.7424118129614232E-3</v>
      </c>
      <c r="LF197" s="574"/>
      <c r="LG197" s="197" t="str">
        <f t="shared" si="1256"/>
        <v>YoY Change (%)</v>
      </c>
      <c r="LH197" s="198">
        <f>LH196/LA196-1</f>
        <v>-7.5085324232081918E-2</v>
      </c>
      <c r="LI197" s="198">
        <f>LI196/LB196-1</f>
        <v>-4.7619047619047672E-2</v>
      </c>
      <c r="LJ197" s="198">
        <f>LJ196/LC196-1</f>
        <v>1.6611295681063121E-2</v>
      </c>
      <c r="LK197" s="198">
        <f>LK196/LD196-1</f>
        <v>-3.7162162162162171E-2</v>
      </c>
      <c r="LL197" s="199">
        <f t="shared" ref="LL197" si="2747">LL196/LE196-1</f>
        <v>-3.5889070146818969E-2</v>
      </c>
      <c r="LM197" s="574"/>
      <c r="LN197" s="197" t="str">
        <f t="shared" si="1257"/>
        <v>YoY Change (%)</v>
      </c>
      <c r="LO197" s="199">
        <f>LO196/LH196-1</f>
        <v>-2.250000000003638E-4</v>
      </c>
      <c r="LP197" s="199">
        <f t="shared" ref="LP197" si="2748">LP196/LI196-1</f>
        <v>-4.1200000000000236E-2</v>
      </c>
      <c r="LQ197" s="199">
        <f t="shared" ref="LQ197" si="2749">LQ196/LJ196-1</f>
        <v>-2.6250000000000107E-2</v>
      </c>
      <c r="LR197" s="199">
        <f t="shared" ref="LR197" si="2750">LR196/LK196-1</f>
        <v>8.1500000000000128E-2</v>
      </c>
      <c r="LS197" s="199">
        <f t="shared" ref="LS197" si="2751">LS196/LL196-1</f>
        <v>1.649767343485431E-3</v>
      </c>
      <c r="LT197" s="574"/>
      <c r="LU197" s="197" t="str">
        <f t="shared" si="1261"/>
        <v>YoY Change (%)</v>
      </c>
      <c r="LV197" s="199">
        <f>LV196/LO196-1</f>
        <v>5.5750000000000188E-2</v>
      </c>
      <c r="LW197" s="199">
        <f t="shared" ref="LW197" si="2752">LW196/LP196-1</f>
        <v>5.5749999999999966E-2</v>
      </c>
      <c r="LX197" s="199">
        <f t="shared" ref="LX197" si="2753">LX196/LQ196-1</f>
        <v>5.5749999999999744E-2</v>
      </c>
      <c r="LY197" s="199">
        <f t="shared" ref="LY197" si="2754">LY196/LR196-1</f>
        <v>5.5749999999999966E-2</v>
      </c>
      <c r="LZ197" s="199">
        <f t="shared" ref="LZ197" si="2755">LZ196/LS196-1</f>
        <v>5.5749999999999966E-2</v>
      </c>
      <c r="MA197" s="574"/>
      <c r="MB197" s="197" t="str">
        <f t="shared" si="1265"/>
        <v>YoY Change (%)</v>
      </c>
      <c r="MC197" s="199">
        <f>MC196/LV196-1</f>
        <v>5.0599999999999756E-2</v>
      </c>
      <c r="MD197" s="199">
        <f t="shared" ref="MD197" si="2756">MD196/LW196-1</f>
        <v>5.0599999999999978E-2</v>
      </c>
      <c r="ME197" s="199">
        <f t="shared" ref="ME197" si="2757">ME196/LX196-1</f>
        <v>5.06000000000002E-2</v>
      </c>
      <c r="MF197" s="199">
        <f t="shared" ref="MF197" si="2758">MF196/LY196-1</f>
        <v>5.0599999999999978E-2</v>
      </c>
      <c r="MG197" s="199">
        <f t="shared" ref="MG197" si="2759">MG196/LZ196-1</f>
        <v>5.0599999999999978E-2</v>
      </c>
      <c r="MH197" s="574"/>
    </row>
    <row r="198" spans="1:346" s="37" customFormat="1" ht="13.15" x14ac:dyDescent="0.4">
      <c r="A198" s="100"/>
      <c r="C198" s="186"/>
      <c r="D198" s="186"/>
      <c r="E198" s="186"/>
      <c r="F198" s="186"/>
      <c r="G198" s="186"/>
      <c r="H198" s="186"/>
      <c r="I198" s="186"/>
      <c r="J198" s="186"/>
      <c r="K198" s="186"/>
      <c r="L198" s="186"/>
      <c r="M198" s="186"/>
      <c r="N198" s="193"/>
      <c r="O198" s="193"/>
      <c r="P198" s="193"/>
      <c r="Q198" s="193"/>
      <c r="R198" s="193"/>
      <c r="S198" s="193"/>
      <c r="T198" s="193"/>
      <c r="U198" s="193"/>
      <c r="V198" s="193"/>
      <c r="W198" s="193"/>
      <c r="X198" s="193"/>
      <c r="Y198" s="193"/>
      <c r="Z198" s="193"/>
      <c r="AA198" s="193"/>
      <c r="AB198" s="193"/>
      <c r="AC198" s="193"/>
      <c r="AD198" s="193"/>
      <c r="AE198" s="193"/>
      <c r="AF198" s="193"/>
      <c r="AG198" s="193"/>
      <c r="AH198" s="193"/>
      <c r="AI198" s="193"/>
      <c r="AJ198" s="193"/>
      <c r="AK198" s="193"/>
      <c r="AL198" s="193"/>
      <c r="AM198" s="193"/>
      <c r="AN198" s="193"/>
      <c r="AO198" s="193"/>
      <c r="AP198" s="193"/>
      <c r="AQ198" s="193"/>
      <c r="AR198" s="193"/>
      <c r="AS198" s="193"/>
      <c r="AT198" s="193"/>
      <c r="AU198" s="193"/>
      <c r="AV198" s="193"/>
      <c r="AW198" s="193"/>
      <c r="AX198" s="193"/>
      <c r="AY198" s="193"/>
      <c r="AZ198" s="193"/>
      <c r="BA198" s="193"/>
      <c r="BB198" s="193"/>
      <c r="BC198" s="193"/>
      <c r="BD198" s="193"/>
      <c r="BE198" s="193"/>
      <c r="BF198" s="193"/>
      <c r="BG198" s="193"/>
      <c r="BH198" s="193"/>
      <c r="BI198" s="193"/>
      <c r="BJ198" s="193"/>
      <c r="BK198" s="193"/>
      <c r="BL198" s="193"/>
      <c r="BM198" s="193"/>
      <c r="BP198" s="193"/>
      <c r="BQ198" s="193"/>
      <c r="BR198" s="193"/>
      <c r="BS198" s="193"/>
      <c r="BT198" s="193"/>
      <c r="BW198" s="193"/>
      <c r="BX198" s="193"/>
      <c r="BY198" s="193"/>
      <c r="BZ198" s="193"/>
      <c r="CA198" s="193"/>
      <c r="CD198" s="193"/>
      <c r="CE198" s="193"/>
      <c r="CF198" s="193"/>
      <c r="CG198" s="193"/>
      <c r="CH198" s="193"/>
      <c r="CK198" s="193"/>
      <c r="CL198" s="193"/>
      <c r="CM198" s="193"/>
      <c r="CN198" s="193"/>
      <c r="CO198" s="193"/>
      <c r="CR198" s="193"/>
      <c r="CS198" s="193"/>
      <c r="CT198" s="193"/>
      <c r="CU198" s="193"/>
      <c r="CV198" s="193"/>
      <c r="CY198" s="193"/>
      <c r="CZ198" s="193"/>
      <c r="DA198" s="193"/>
      <c r="DB198" s="193"/>
      <c r="DC198" s="193"/>
      <c r="DF198" s="193"/>
      <c r="DG198" s="193"/>
      <c r="DH198" s="193"/>
      <c r="DI198" s="193"/>
      <c r="DJ198" s="193"/>
      <c r="DM198" s="193"/>
      <c r="DN198" s="193"/>
      <c r="DO198" s="193"/>
      <c r="DP198" s="193"/>
      <c r="DQ198" s="193"/>
      <c r="DT198" s="193"/>
      <c r="DU198" s="193"/>
      <c r="DV198" s="193"/>
      <c r="DW198" s="193"/>
      <c r="DX198" s="193"/>
      <c r="EA198" s="193"/>
      <c r="EB198" s="193"/>
      <c r="EC198" s="193"/>
      <c r="ED198" s="193"/>
      <c r="EE198" s="193"/>
      <c r="EH198" s="193"/>
      <c r="EI198" s="193"/>
      <c r="EJ198" s="193"/>
      <c r="EK198" s="193"/>
      <c r="EL198" s="193"/>
      <c r="EO198" s="193"/>
      <c r="EP198" s="193"/>
      <c r="EQ198" s="193"/>
      <c r="ER198" s="193"/>
      <c r="ES198" s="193"/>
      <c r="EV198" s="193"/>
      <c r="EW198" s="193"/>
      <c r="EX198" s="193"/>
      <c r="EY198" s="193"/>
      <c r="EZ198" s="193"/>
      <c r="FC198" s="193"/>
      <c r="FD198" s="193"/>
      <c r="FE198" s="193"/>
      <c r="FF198" s="193"/>
      <c r="FG198" s="193"/>
      <c r="FJ198" s="193"/>
      <c r="FK198" s="193"/>
      <c r="FL198" s="193"/>
      <c r="FM198" s="193"/>
      <c r="FN198" s="193"/>
      <c r="FQ198" s="193"/>
      <c r="FR198" s="193"/>
      <c r="FS198" s="193"/>
      <c r="FT198" s="193"/>
      <c r="FU198" s="193"/>
      <c r="FX198" s="193"/>
      <c r="FY198" s="193"/>
      <c r="FZ198" s="193"/>
      <c r="GA198" s="193"/>
      <c r="GB198" s="193"/>
      <c r="GE198" s="193"/>
      <c r="GF198" s="193"/>
      <c r="GG198" s="193"/>
      <c r="GH198" s="193"/>
      <c r="GI198" s="193"/>
      <c r="GL198" s="193"/>
      <c r="GM198" s="193"/>
      <c r="GN198" s="193"/>
      <c r="GO198" s="193"/>
      <c r="GP198" s="193"/>
      <c r="GS198" s="193"/>
      <c r="GT198" s="193"/>
      <c r="GU198" s="193"/>
      <c r="GV198" s="193"/>
      <c r="GW198" s="193"/>
      <c r="GZ198" s="193"/>
      <c r="HA198" s="193"/>
      <c r="HB198" s="193"/>
      <c r="HC198" s="193"/>
      <c r="HD198" s="193"/>
      <c r="HG198" s="193"/>
      <c r="HH198" s="193"/>
      <c r="HI198" s="193"/>
      <c r="HJ198" s="193"/>
      <c r="HK198" s="193"/>
      <c r="HN198" s="193"/>
      <c r="HO198" s="193"/>
      <c r="HP198" s="193"/>
      <c r="HQ198" s="193"/>
      <c r="HR198" s="193"/>
      <c r="HU198" s="193"/>
      <c r="HV198" s="193"/>
      <c r="HW198" s="193"/>
      <c r="HX198" s="193"/>
      <c r="HY198" s="193"/>
      <c r="IB198" s="193"/>
      <c r="IC198" s="193"/>
      <c r="ID198" s="193"/>
      <c r="IE198" s="193"/>
      <c r="IF198" s="193"/>
      <c r="II198" s="193"/>
      <c r="IJ198" s="193"/>
      <c r="IK198" s="193"/>
      <c r="IL198" s="193"/>
      <c r="IM198" s="193"/>
      <c r="IP198" s="193"/>
      <c r="IQ198" s="193"/>
      <c r="IR198" s="193"/>
      <c r="IS198" s="193"/>
      <c r="IT198" s="193"/>
      <c r="IW198" s="193"/>
      <c r="IX198" s="193"/>
      <c r="IY198" s="193"/>
      <c r="IZ198" s="193"/>
      <c r="JA198" s="193"/>
      <c r="JD198" s="193"/>
      <c r="JE198" s="193"/>
      <c r="JF198" s="193"/>
      <c r="JG198" s="193"/>
      <c r="JH198" s="193"/>
      <c r="JK198" s="193"/>
      <c r="JL198" s="193"/>
      <c r="JM198" s="193"/>
      <c r="JN198" s="193"/>
      <c r="JO198" s="193"/>
      <c r="JR198" s="193"/>
      <c r="JS198" s="193"/>
      <c r="JT198" s="193"/>
      <c r="JU198" s="193"/>
      <c r="JV198" s="193"/>
      <c r="JY198" s="193"/>
      <c r="JZ198" s="193"/>
      <c r="KA198" s="193"/>
      <c r="KB198" s="193"/>
      <c r="KC198" s="193"/>
      <c r="KF198" s="193"/>
      <c r="KG198" s="193"/>
      <c r="KH198" s="193"/>
      <c r="KI198" s="193"/>
      <c r="KJ198" s="193"/>
      <c r="KM198" s="193"/>
      <c r="KN198" s="193"/>
      <c r="KO198" s="193"/>
      <c r="KP198" s="193"/>
      <c r="KQ198" s="193"/>
      <c r="KT198" s="193"/>
      <c r="KU198" s="193"/>
      <c r="KV198" s="193"/>
      <c r="KW198" s="193"/>
      <c r="KX198" s="193"/>
      <c r="LA198" s="193"/>
      <c r="LB198" s="193"/>
      <c r="LC198" s="193"/>
      <c r="LD198" s="193"/>
      <c r="LE198" s="193"/>
      <c r="LF198" s="555"/>
      <c r="LH198" s="193"/>
      <c r="LI198" s="193"/>
      <c r="LJ198" s="193"/>
      <c r="LK198" s="192"/>
      <c r="LL198" s="193"/>
      <c r="LM198" s="555"/>
      <c r="LO198" s="192"/>
      <c r="LP198" s="192"/>
      <c r="LQ198" s="192"/>
      <c r="LR198" s="192"/>
      <c r="LS198" s="193"/>
      <c r="LT198" s="555"/>
      <c r="LV198" s="192"/>
      <c r="LW198" s="192"/>
      <c r="LX198" s="192"/>
      <c r="LY198" s="192"/>
      <c r="LZ198" s="193"/>
      <c r="MA198" s="555"/>
      <c r="MC198" s="192"/>
      <c r="MD198" s="192"/>
      <c r="ME198" s="192"/>
      <c r="MF198" s="192"/>
      <c r="MG198" s="193"/>
      <c r="MH198" s="555"/>
    </row>
    <row r="199" spans="1:346" s="37" customFormat="1" ht="13.15" x14ac:dyDescent="0.4">
      <c r="A199" s="100"/>
      <c r="B199" s="68" t="s">
        <v>143</v>
      </c>
      <c r="C199" s="186"/>
      <c r="D199" s="186"/>
      <c r="E199" s="186"/>
      <c r="F199" s="186"/>
      <c r="G199" s="186"/>
      <c r="H199" s="186"/>
      <c r="I199" s="186"/>
      <c r="J199" s="186"/>
      <c r="K199" s="186"/>
      <c r="L199" s="186"/>
      <c r="M199" s="186"/>
      <c r="N199" s="200"/>
      <c r="O199" s="200"/>
      <c r="P199" s="200"/>
      <c r="Q199" s="200"/>
      <c r="R199" s="200"/>
      <c r="S199" s="200"/>
      <c r="T199" s="200"/>
      <c r="U199" s="200"/>
      <c r="V199" s="200"/>
      <c r="W199" s="200"/>
      <c r="X199" s="200"/>
      <c r="Y199" s="200"/>
      <c r="Z199" s="200"/>
      <c r="AA199" s="200"/>
      <c r="AB199" s="200"/>
      <c r="AC199" s="200"/>
      <c r="AD199" s="200"/>
      <c r="AE199" s="200"/>
      <c r="AF199" s="200"/>
      <c r="AG199" s="200"/>
      <c r="AH199" s="200"/>
      <c r="AI199" s="200"/>
      <c r="AJ199" s="200"/>
      <c r="AK199" s="200"/>
      <c r="AL199" s="200"/>
      <c r="AM199" s="200"/>
      <c r="AN199" s="200"/>
      <c r="AO199" s="200"/>
      <c r="AP199" s="200"/>
      <c r="AQ199" s="200"/>
      <c r="AR199" s="200"/>
      <c r="AS199" s="200"/>
      <c r="AT199" s="200"/>
      <c r="AU199" s="200"/>
      <c r="AV199" s="200"/>
      <c r="AW199" s="200"/>
      <c r="AX199" s="200"/>
      <c r="AY199" s="200"/>
      <c r="AZ199" s="200"/>
      <c r="BA199" s="200"/>
      <c r="BB199" s="200"/>
      <c r="BC199" s="200"/>
      <c r="BD199" s="200"/>
      <c r="BE199" s="200"/>
      <c r="BF199" s="200"/>
      <c r="BG199" s="200"/>
      <c r="BH199" s="200"/>
      <c r="BI199" s="200"/>
      <c r="BJ199" s="200"/>
      <c r="BK199" s="200"/>
      <c r="BL199" s="200"/>
      <c r="BM199" s="200"/>
      <c r="BO199" s="68" t="str">
        <f t="shared" si="1220"/>
        <v>Minerals</v>
      </c>
      <c r="BP199" s="200"/>
      <c r="BQ199" s="200"/>
      <c r="BR199" s="200"/>
      <c r="BS199" s="200"/>
      <c r="BT199" s="200"/>
      <c r="BV199" s="68" t="str">
        <f t="shared" si="1221"/>
        <v>Minerals</v>
      </c>
      <c r="BW199" s="200"/>
      <c r="BX199" s="200"/>
      <c r="BY199" s="200"/>
      <c r="BZ199" s="200"/>
      <c r="CA199" s="200"/>
      <c r="CC199" s="68" t="str">
        <f t="shared" si="1222"/>
        <v>Minerals</v>
      </c>
      <c r="CD199" s="200"/>
      <c r="CE199" s="200"/>
      <c r="CF199" s="200"/>
      <c r="CG199" s="200"/>
      <c r="CH199" s="200"/>
      <c r="CJ199" s="68" t="str">
        <f t="shared" si="1223"/>
        <v>Minerals</v>
      </c>
      <c r="CK199" s="200"/>
      <c r="CL199" s="200"/>
      <c r="CM199" s="200"/>
      <c r="CN199" s="200"/>
      <c r="CO199" s="200"/>
      <c r="CQ199" s="68" t="str">
        <f t="shared" si="1224"/>
        <v>Minerals</v>
      </c>
      <c r="CR199" s="200"/>
      <c r="CS199" s="200"/>
      <c r="CT199" s="200"/>
      <c r="CU199" s="200"/>
      <c r="CV199" s="200"/>
      <c r="CX199" s="68" t="str">
        <f t="shared" si="1225"/>
        <v>Minerals</v>
      </c>
      <c r="CY199" s="200"/>
      <c r="CZ199" s="200"/>
      <c r="DA199" s="200"/>
      <c r="DB199" s="200"/>
      <c r="DC199" s="200"/>
      <c r="DE199" s="68" t="str">
        <f t="shared" si="1226"/>
        <v>Minerals</v>
      </c>
      <c r="DF199" s="200"/>
      <c r="DG199" s="200"/>
      <c r="DH199" s="200"/>
      <c r="DI199" s="200"/>
      <c r="DJ199" s="200"/>
      <c r="DL199" s="68" t="str">
        <f t="shared" si="1227"/>
        <v>Minerals</v>
      </c>
      <c r="DM199" s="200"/>
      <c r="DN199" s="200"/>
      <c r="DO199" s="200"/>
      <c r="DP199" s="200"/>
      <c r="DQ199" s="200"/>
      <c r="DS199" s="68" t="str">
        <f t="shared" si="1228"/>
        <v>Minerals</v>
      </c>
      <c r="DT199" s="200"/>
      <c r="DU199" s="200"/>
      <c r="DV199" s="200"/>
      <c r="DW199" s="200"/>
      <c r="DX199" s="200"/>
      <c r="DZ199" s="68" t="str">
        <f t="shared" si="1229"/>
        <v>Minerals</v>
      </c>
      <c r="EA199" s="200"/>
      <c r="EB199" s="200"/>
      <c r="EC199" s="200"/>
      <c r="ED199" s="200"/>
      <c r="EE199" s="200"/>
      <c r="EG199" s="68" t="str">
        <f t="shared" si="1230"/>
        <v>Minerals</v>
      </c>
      <c r="EH199" s="200"/>
      <c r="EI199" s="200"/>
      <c r="EJ199" s="200"/>
      <c r="EK199" s="200"/>
      <c r="EL199" s="200"/>
      <c r="EN199" s="68" t="str">
        <f t="shared" si="1231"/>
        <v>Minerals</v>
      </c>
      <c r="EO199" s="200"/>
      <c r="EP199" s="200"/>
      <c r="EQ199" s="200"/>
      <c r="ER199" s="200"/>
      <c r="ES199" s="200"/>
      <c r="EU199" s="68" t="str">
        <f t="shared" si="1232"/>
        <v>Minerals</v>
      </c>
      <c r="EV199" s="200"/>
      <c r="EW199" s="200"/>
      <c r="EX199" s="200"/>
      <c r="EY199" s="200"/>
      <c r="EZ199" s="200"/>
      <c r="FB199" s="68" t="str">
        <f t="shared" si="1233"/>
        <v>Minerals</v>
      </c>
      <c r="FC199" s="200"/>
      <c r="FD199" s="200"/>
      <c r="FE199" s="200"/>
      <c r="FF199" s="200"/>
      <c r="FG199" s="200"/>
      <c r="FI199" s="68" t="str">
        <f t="shared" si="1234"/>
        <v>Minerals</v>
      </c>
      <c r="FJ199" s="200"/>
      <c r="FK199" s="200"/>
      <c r="FL199" s="200"/>
      <c r="FM199" s="200"/>
      <c r="FN199" s="200"/>
      <c r="FP199" s="68" t="str">
        <f t="shared" si="1235"/>
        <v>Minerals</v>
      </c>
      <c r="FQ199" s="200"/>
      <c r="FR199" s="200"/>
      <c r="FS199" s="200"/>
      <c r="FT199" s="200"/>
      <c r="FU199" s="200"/>
      <c r="FW199" s="68" t="str">
        <f t="shared" si="1236"/>
        <v>Minerals</v>
      </c>
      <c r="FX199" s="200"/>
      <c r="FY199" s="200"/>
      <c r="FZ199" s="200"/>
      <c r="GA199" s="200"/>
      <c r="GB199" s="200"/>
      <c r="GD199" s="68" t="str">
        <f t="shared" si="1237"/>
        <v>Minerals</v>
      </c>
      <c r="GE199" s="200"/>
      <c r="GF199" s="200"/>
      <c r="GG199" s="200"/>
      <c r="GH199" s="200"/>
      <c r="GI199" s="200"/>
      <c r="GK199" s="68" t="str">
        <f t="shared" si="1238"/>
        <v>Minerals</v>
      </c>
      <c r="GL199" s="200"/>
      <c r="GM199" s="200"/>
      <c r="GN199" s="200"/>
      <c r="GO199" s="200"/>
      <c r="GP199" s="200"/>
      <c r="GR199" s="68" t="str">
        <f t="shared" si="1239"/>
        <v>Minerals</v>
      </c>
      <c r="GS199" s="200"/>
      <c r="GT199" s="200"/>
      <c r="GU199" s="200"/>
      <c r="GV199" s="200"/>
      <c r="GW199" s="200"/>
      <c r="GY199" s="68" t="str">
        <f t="shared" si="1240"/>
        <v>Minerals</v>
      </c>
      <c r="GZ199" s="200"/>
      <c r="HA199" s="200"/>
      <c r="HB199" s="200"/>
      <c r="HC199" s="200"/>
      <c r="HD199" s="200"/>
      <c r="HF199" s="68" t="str">
        <f t="shared" si="1241"/>
        <v>Minerals</v>
      </c>
      <c r="HG199" s="200"/>
      <c r="HH199" s="200"/>
      <c r="HI199" s="200"/>
      <c r="HJ199" s="200"/>
      <c r="HK199" s="200"/>
      <c r="HM199" s="68" t="str">
        <f t="shared" si="1242"/>
        <v>Minerals</v>
      </c>
      <c r="HN199" s="200"/>
      <c r="HO199" s="200"/>
      <c r="HP199" s="200"/>
      <c r="HQ199" s="200"/>
      <c r="HR199" s="200"/>
      <c r="HT199" s="68" t="str">
        <f t="shared" si="1243"/>
        <v>Minerals</v>
      </c>
      <c r="HU199" s="200"/>
      <c r="HV199" s="200"/>
      <c r="HW199" s="200"/>
      <c r="HX199" s="200"/>
      <c r="HY199" s="200"/>
      <c r="IA199" s="68" t="str">
        <f t="shared" si="1244"/>
        <v>Minerals</v>
      </c>
      <c r="IB199" s="200"/>
      <c r="IC199" s="200"/>
      <c r="ID199" s="200"/>
      <c r="IE199" s="200"/>
      <c r="IF199" s="200"/>
      <c r="IH199" s="68" t="str">
        <f t="shared" si="1245"/>
        <v>Minerals</v>
      </c>
      <c r="II199" s="200"/>
      <c r="IJ199" s="200"/>
      <c r="IK199" s="200"/>
      <c r="IL199" s="200"/>
      <c r="IM199" s="200"/>
      <c r="IO199" s="68" t="str">
        <f t="shared" si="1246"/>
        <v>Minerals</v>
      </c>
      <c r="IP199" s="200"/>
      <c r="IQ199" s="200"/>
      <c r="IR199" s="200"/>
      <c r="IS199" s="200"/>
      <c r="IT199" s="200"/>
      <c r="IV199" s="68" t="str">
        <f t="shared" si="1247"/>
        <v>Minerals</v>
      </c>
      <c r="IW199" s="200"/>
      <c r="IX199" s="200"/>
      <c r="IY199" s="200"/>
      <c r="IZ199" s="200"/>
      <c r="JA199" s="200"/>
      <c r="JC199" s="68" t="str">
        <f t="shared" si="1248"/>
        <v>Minerals</v>
      </c>
      <c r="JD199" s="200"/>
      <c r="JE199" s="200"/>
      <c r="JF199" s="200"/>
      <c r="JG199" s="200"/>
      <c r="JH199" s="200"/>
      <c r="JJ199" s="68" t="str">
        <f t="shared" si="1249"/>
        <v>Minerals</v>
      </c>
      <c r="JK199" s="200"/>
      <c r="JL199" s="200"/>
      <c r="JM199" s="200"/>
      <c r="JN199" s="200"/>
      <c r="JO199" s="200"/>
      <c r="JQ199" s="68" t="str">
        <f t="shared" si="1250"/>
        <v>Minerals</v>
      </c>
      <c r="JR199" s="200"/>
      <c r="JS199" s="200"/>
      <c r="JT199" s="200"/>
      <c r="JU199" s="200"/>
      <c r="JV199" s="200"/>
      <c r="JX199" s="68" t="str">
        <f t="shared" si="1251"/>
        <v>Minerals</v>
      </c>
      <c r="JY199" s="200"/>
      <c r="JZ199" s="200"/>
      <c r="KA199" s="200"/>
      <c r="KB199" s="200"/>
      <c r="KC199" s="200"/>
      <c r="KE199" s="68" t="str">
        <f t="shared" si="1252"/>
        <v>Minerals</v>
      </c>
      <c r="KF199" s="200"/>
      <c r="KG199" s="200"/>
      <c r="KH199" s="200"/>
      <c r="KI199" s="200"/>
      <c r="KJ199" s="200"/>
      <c r="KL199" s="68" t="str">
        <f t="shared" si="1253"/>
        <v>Minerals</v>
      </c>
      <c r="KM199" s="200"/>
      <c r="KN199" s="200"/>
      <c r="KO199" s="200"/>
      <c r="KP199" s="200"/>
      <c r="KQ199" s="200"/>
      <c r="KS199" s="68" t="str">
        <f t="shared" si="1254"/>
        <v>Minerals</v>
      </c>
      <c r="KT199" s="200"/>
      <c r="KU199" s="200"/>
      <c r="KV199" s="200"/>
      <c r="KW199" s="200"/>
      <c r="KX199" s="200"/>
      <c r="KZ199" s="68" t="str">
        <f t="shared" si="1255"/>
        <v>Minerals</v>
      </c>
      <c r="LA199" s="200"/>
      <c r="LB199" s="200"/>
      <c r="LC199" s="200"/>
      <c r="LD199" s="200"/>
      <c r="LE199" s="193"/>
      <c r="LF199" s="555"/>
      <c r="LG199" s="68" t="str">
        <f t="shared" si="1256"/>
        <v>Minerals</v>
      </c>
      <c r="LH199" s="198"/>
      <c r="LI199" s="198"/>
      <c r="LJ199" s="198"/>
      <c r="LK199" s="198"/>
      <c r="LL199" s="193"/>
      <c r="LM199" s="555"/>
      <c r="LN199" s="68" t="str">
        <f>$B199</f>
        <v>Minerals</v>
      </c>
      <c r="LO199" s="198">
        <f>LO200/LK200-1</f>
        <v>-0.12080645161290327</v>
      </c>
      <c r="LP199" s="198">
        <f>LP200/LO200-1</f>
        <v>0.2410566868464501</v>
      </c>
      <c r="LQ199" s="198">
        <f>LQ200/LP200-1</f>
        <v>3.0007390983000537E-2</v>
      </c>
      <c r="LR199" s="198">
        <f>LR200/LQ200-1</f>
        <v>-5.2382319173363778E-2</v>
      </c>
      <c r="LS199" s="193"/>
      <c r="LT199" s="555"/>
      <c r="LU199" s="68" t="str">
        <f>$B199</f>
        <v>Minerals</v>
      </c>
      <c r="LV199" s="198">
        <f>LV200/LR200-1</f>
        <v>-0.14144479781917307</v>
      </c>
      <c r="LW199" s="198">
        <f>LW200/LV200-1</f>
        <v>0.2410566868464501</v>
      </c>
      <c r="LX199" s="198">
        <f>LX200/LW200-1</f>
        <v>3.0007390983000759E-2</v>
      </c>
      <c r="LY199" s="198">
        <f>LY200/LX200-1</f>
        <v>-5.2382319173363889E-2</v>
      </c>
      <c r="LZ199" s="193"/>
      <c r="MA199" s="555"/>
      <c r="MB199" s="68" t="str">
        <f>$B199</f>
        <v>Minerals</v>
      </c>
      <c r="MC199" s="198">
        <f>MC200/LY200-1</f>
        <v>-0.14557246706042715</v>
      </c>
      <c r="MD199" s="198">
        <f>MD200/MC200-1</f>
        <v>0.2410566868464501</v>
      </c>
      <c r="ME199" s="198">
        <f>ME200/MD200-1</f>
        <v>3.0007390983000759E-2</v>
      </c>
      <c r="MF199" s="198">
        <f>MF200/ME200-1</f>
        <v>-5.2382319173363889E-2</v>
      </c>
      <c r="MG199" s="193"/>
      <c r="MH199" s="555"/>
    </row>
    <row r="200" spans="1:346" s="37" customFormat="1" ht="13.15" x14ac:dyDescent="0.4">
      <c r="A200" s="100"/>
      <c r="B200" s="37" t="s">
        <v>342</v>
      </c>
      <c r="C200" s="186"/>
      <c r="D200" s="186"/>
      <c r="E200" s="186"/>
      <c r="F200" s="186"/>
      <c r="G200" s="186"/>
      <c r="H200" s="186"/>
      <c r="I200" s="186"/>
      <c r="J200" s="186"/>
      <c r="K200" s="186"/>
      <c r="L200" s="186"/>
      <c r="M200" s="186"/>
      <c r="N200" s="194">
        <f t="shared" ref="N200:AY200" si="2760">N72</f>
        <v>408</v>
      </c>
      <c r="O200" s="194">
        <f t="shared" si="2760"/>
        <v>412</v>
      </c>
      <c r="P200" s="194">
        <f t="shared" si="2760"/>
        <v>327</v>
      </c>
      <c r="Q200" s="194">
        <f t="shared" si="2760"/>
        <v>345</v>
      </c>
      <c r="R200" s="194">
        <f t="shared" si="2760"/>
        <v>374</v>
      </c>
      <c r="S200" s="194">
        <f t="shared" si="2760"/>
        <v>419</v>
      </c>
      <c r="T200" s="194">
        <f t="shared" si="2760"/>
        <v>414</v>
      </c>
      <c r="U200" s="194">
        <f t="shared" si="2760"/>
        <v>429</v>
      </c>
      <c r="V200" s="194">
        <f t="shared" si="2760"/>
        <v>445</v>
      </c>
      <c r="W200" s="194">
        <f t="shared" si="2760"/>
        <v>429</v>
      </c>
      <c r="X200" s="194">
        <f t="shared" si="2760"/>
        <v>434</v>
      </c>
      <c r="Y200" s="194">
        <f t="shared" si="2760"/>
        <v>0</v>
      </c>
      <c r="Z200" s="194">
        <f t="shared" si="2760"/>
        <v>0</v>
      </c>
      <c r="AA200" s="194">
        <f t="shared" si="2760"/>
        <v>0</v>
      </c>
      <c r="AB200" s="194">
        <f t="shared" si="2760"/>
        <v>0</v>
      </c>
      <c r="AC200" s="194">
        <f t="shared" si="2760"/>
        <v>0</v>
      </c>
      <c r="AD200" s="194">
        <f t="shared" si="2760"/>
        <v>0</v>
      </c>
      <c r="AE200" s="194">
        <f t="shared" si="2760"/>
        <v>0</v>
      </c>
      <c r="AF200" s="194">
        <f t="shared" si="2760"/>
        <v>0</v>
      </c>
      <c r="AG200" s="194">
        <f t="shared" si="2760"/>
        <v>0</v>
      </c>
      <c r="AH200" s="194">
        <f t="shared" si="2760"/>
        <v>0</v>
      </c>
      <c r="AI200" s="194">
        <f t="shared" si="2760"/>
        <v>277</v>
      </c>
      <c r="AJ200" s="194">
        <f t="shared" si="2760"/>
        <v>295</v>
      </c>
      <c r="AK200" s="194">
        <f t="shared" si="2760"/>
        <v>270</v>
      </c>
      <c r="AL200" s="194">
        <f t="shared" si="2760"/>
        <v>270</v>
      </c>
      <c r="AM200" s="194">
        <f t="shared" si="2760"/>
        <v>288</v>
      </c>
      <c r="AN200" s="194">
        <f t="shared" si="2760"/>
        <v>306</v>
      </c>
      <c r="AO200" s="194">
        <f t="shared" si="2760"/>
        <v>310</v>
      </c>
      <c r="AP200" s="194">
        <f t="shared" si="2760"/>
        <v>267</v>
      </c>
      <c r="AQ200" s="194">
        <f t="shared" si="2760"/>
        <v>284</v>
      </c>
      <c r="AR200" s="194">
        <f t="shared" si="2760"/>
        <v>303</v>
      </c>
      <c r="AS200" s="194">
        <f t="shared" si="2760"/>
        <v>321</v>
      </c>
      <c r="AT200" s="194">
        <f t="shared" si="2760"/>
        <v>325</v>
      </c>
      <c r="AU200" s="194">
        <f t="shared" si="2760"/>
        <v>337</v>
      </c>
      <c r="AV200" s="194">
        <f t="shared" si="2760"/>
        <v>358</v>
      </c>
      <c r="AW200" s="194">
        <f t="shared" si="2760"/>
        <v>361</v>
      </c>
      <c r="AX200" s="194">
        <f t="shared" si="2760"/>
        <v>375</v>
      </c>
      <c r="AY200" s="194">
        <f t="shared" si="2760"/>
        <v>386.80500000000001</v>
      </c>
      <c r="AZ200" s="194">
        <f t="shared" ref="AZ200:BA200" si="2761">AZ72</f>
        <v>402.27719999999999</v>
      </c>
      <c r="BA200" s="194">
        <f t="shared" si="2761"/>
        <v>416.35690199999993</v>
      </c>
      <c r="BB200" s="194"/>
      <c r="BC200" s="194"/>
      <c r="BD200" s="194"/>
      <c r="BE200" s="194"/>
      <c r="BF200" s="194"/>
      <c r="BG200" s="194"/>
      <c r="BH200" s="194"/>
      <c r="BI200" s="194"/>
      <c r="BJ200" s="194"/>
      <c r="BK200" s="194"/>
      <c r="BL200" s="194"/>
      <c r="BM200" s="194"/>
      <c r="BO200" s="37" t="str">
        <f t="shared" si="1220"/>
        <v>Carloads (000s)</v>
      </c>
      <c r="BP200" s="195">
        <f>BP72</f>
        <v>97</v>
      </c>
      <c r="BQ200" s="195">
        <f>BQ72</f>
        <v>110</v>
      </c>
      <c r="BR200" s="195">
        <f>BR72</f>
        <v>105</v>
      </c>
      <c r="BS200" s="195">
        <f>BS72</f>
        <v>96</v>
      </c>
      <c r="BT200" s="195">
        <f>BT72</f>
        <v>408</v>
      </c>
      <c r="BV200" s="37" t="str">
        <f t="shared" si="1221"/>
        <v>Carloads (000s)</v>
      </c>
      <c r="BW200" s="195">
        <f>BW72</f>
        <v>103</v>
      </c>
      <c r="BX200" s="195">
        <f>BX72</f>
        <v>115</v>
      </c>
      <c r="BY200" s="195">
        <f>BY72</f>
        <v>103</v>
      </c>
      <c r="BZ200" s="195">
        <f>BZ72</f>
        <v>91</v>
      </c>
      <c r="CA200" s="195">
        <f>CA72</f>
        <v>412</v>
      </c>
      <c r="CC200" s="37" t="str">
        <f t="shared" si="1222"/>
        <v>Carloads (000s)</v>
      </c>
      <c r="CD200" s="195">
        <f>CD72</f>
        <v>76</v>
      </c>
      <c r="CE200" s="195">
        <f>CE72</f>
        <v>85</v>
      </c>
      <c r="CF200" s="195">
        <f>CF72</f>
        <v>84</v>
      </c>
      <c r="CG200" s="195">
        <f>CG72</f>
        <v>82</v>
      </c>
      <c r="CH200" s="195">
        <f>CH72</f>
        <v>327</v>
      </c>
      <c r="CJ200" s="37" t="str">
        <f t="shared" si="1223"/>
        <v>Carloads (000s)</v>
      </c>
      <c r="CK200" s="195">
        <f>CK72</f>
        <v>79</v>
      </c>
      <c r="CL200" s="195">
        <f>CL72</f>
        <v>89</v>
      </c>
      <c r="CM200" s="195">
        <f>CM72</f>
        <v>90</v>
      </c>
      <c r="CN200" s="195">
        <f>CN72</f>
        <v>87</v>
      </c>
      <c r="CO200" s="195">
        <f>CO72</f>
        <v>345</v>
      </c>
      <c r="CQ200" s="37" t="str">
        <f t="shared" si="1224"/>
        <v>Carloads (000s)</v>
      </c>
      <c r="CR200" s="195">
        <f>CR72</f>
        <v>81</v>
      </c>
      <c r="CS200" s="195">
        <f>CS72</f>
        <v>96</v>
      </c>
      <c r="CT200" s="195">
        <f>CT72</f>
        <v>100</v>
      </c>
      <c r="CU200" s="195">
        <f>CU72</f>
        <v>97</v>
      </c>
      <c r="CV200" s="195">
        <f>CV72</f>
        <v>374</v>
      </c>
      <c r="CX200" s="37" t="str">
        <f t="shared" si="1225"/>
        <v>Carloads (000s)</v>
      </c>
      <c r="CY200" s="195">
        <f>CY72</f>
        <v>94</v>
      </c>
      <c r="CZ200" s="195">
        <f>CZ72</f>
        <v>109</v>
      </c>
      <c r="DA200" s="195">
        <f>DA72</f>
        <v>111</v>
      </c>
      <c r="DB200" s="195">
        <f>DB72</f>
        <v>105</v>
      </c>
      <c r="DC200" s="195">
        <f>DC72</f>
        <v>419</v>
      </c>
      <c r="DE200" s="37" t="str">
        <f t="shared" si="1226"/>
        <v>Carloads (000s)</v>
      </c>
      <c r="DF200" s="195">
        <f>DF72</f>
        <v>98</v>
      </c>
      <c r="DG200" s="195">
        <f>DG72</f>
        <v>109</v>
      </c>
      <c r="DH200" s="195">
        <f>DH72</f>
        <v>107</v>
      </c>
      <c r="DI200" s="195">
        <f>DI72</f>
        <v>100</v>
      </c>
      <c r="DJ200" s="195">
        <f>DJ72</f>
        <v>414</v>
      </c>
      <c r="DL200" s="37" t="str">
        <f t="shared" si="1227"/>
        <v>Carloads (000s)</v>
      </c>
      <c r="DM200" s="195">
        <f>DM72</f>
        <v>94</v>
      </c>
      <c r="DN200" s="195">
        <f>DN72</f>
        <v>112</v>
      </c>
      <c r="DO200" s="195">
        <f>DO72</f>
        <v>112</v>
      </c>
      <c r="DP200" s="195">
        <f>DP72</f>
        <v>111</v>
      </c>
      <c r="DQ200" s="195">
        <f>DQ72</f>
        <v>429</v>
      </c>
      <c r="DS200" s="37" t="str">
        <f t="shared" si="1228"/>
        <v>Carloads (000s)</v>
      </c>
      <c r="DT200" s="195">
        <f>DT72</f>
        <v>104</v>
      </c>
      <c r="DU200" s="195">
        <f>DU72</f>
        <v>111</v>
      </c>
      <c r="DV200" s="195">
        <f>DV72</f>
        <v>119</v>
      </c>
      <c r="DW200" s="195">
        <f>DW72</f>
        <v>111</v>
      </c>
      <c r="DX200" s="195">
        <f>DX72</f>
        <v>445</v>
      </c>
      <c r="DZ200" s="37" t="str">
        <f t="shared" si="1229"/>
        <v>Carloads (000s)</v>
      </c>
      <c r="EA200" s="195">
        <f>EA72</f>
        <v>103</v>
      </c>
      <c r="EB200" s="195">
        <f>EB72</f>
        <v>118</v>
      </c>
      <c r="EC200" s="195">
        <f>EC72</f>
        <v>107</v>
      </c>
      <c r="ED200" s="195">
        <f>ED72</f>
        <v>101</v>
      </c>
      <c r="EE200" s="195">
        <f>EE72</f>
        <v>429</v>
      </c>
      <c r="EG200" s="37" t="str">
        <f t="shared" si="1230"/>
        <v>Carloads (000s)</v>
      </c>
      <c r="EH200" s="195">
        <f>EH72</f>
        <v>113</v>
      </c>
      <c r="EI200" s="195">
        <f>EI72</f>
        <v>109</v>
      </c>
      <c r="EJ200" s="195">
        <f>EJ72</f>
        <v>107</v>
      </c>
      <c r="EK200" s="195">
        <f>EK72</f>
        <v>105</v>
      </c>
      <c r="EL200" s="195">
        <f>EL72</f>
        <v>434</v>
      </c>
      <c r="EN200" s="37" t="str">
        <f t="shared" si="1231"/>
        <v>Carloads (000s)</v>
      </c>
      <c r="EO200" s="195">
        <f>EO72</f>
        <v>0</v>
      </c>
      <c r="EP200" s="195">
        <f>EP72</f>
        <v>0</v>
      </c>
      <c r="EQ200" s="195">
        <f>EQ72</f>
        <v>0</v>
      </c>
      <c r="ER200" s="195">
        <f>ER72</f>
        <v>0</v>
      </c>
      <c r="ES200" s="195">
        <f>ES72</f>
        <v>0</v>
      </c>
      <c r="EU200" s="37" t="str">
        <f t="shared" si="1232"/>
        <v>Carloads (000s)</v>
      </c>
      <c r="EV200" s="195">
        <f>EV72</f>
        <v>0</v>
      </c>
      <c r="EW200" s="195">
        <f>EW72</f>
        <v>0</v>
      </c>
      <c r="EX200" s="195">
        <f>EX72</f>
        <v>0</v>
      </c>
      <c r="EY200" s="195">
        <f>EY72</f>
        <v>0</v>
      </c>
      <c r="EZ200" s="195">
        <f>EZ72</f>
        <v>0</v>
      </c>
      <c r="FB200" s="37" t="str">
        <f t="shared" si="1233"/>
        <v>Carloads (000s)</v>
      </c>
      <c r="FC200" s="195">
        <f>FC72</f>
        <v>0</v>
      </c>
      <c r="FD200" s="195">
        <f>FD72</f>
        <v>0</v>
      </c>
      <c r="FE200" s="195">
        <f>FE72</f>
        <v>0</v>
      </c>
      <c r="FF200" s="195">
        <f>FF72</f>
        <v>0</v>
      </c>
      <c r="FG200" s="195">
        <f>FG72</f>
        <v>0</v>
      </c>
      <c r="FI200" s="37" t="str">
        <f t="shared" si="1234"/>
        <v>Carloads (000s)</v>
      </c>
      <c r="FJ200" s="195">
        <f>FJ72</f>
        <v>0</v>
      </c>
      <c r="FK200" s="195">
        <f>FK72</f>
        <v>0</v>
      </c>
      <c r="FL200" s="195">
        <f>FL72</f>
        <v>0</v>
      </c>
      <c r="FM200" s="195">
        <f>FM72</f>
        <v>0</v>
      </c>
      <c r="FN200" s="195">
        <f>FN72</f>
        <v>0</v>
      </c>
      <c r="FP200" s="37" t="str">
        <f t="shared" si="1235"/>
        <v>Carloads (000s)</v>
      </c>
      <c r="FQ200" s="195">
        <f>FQ72</f>
        <v>0</v>
      </c>
      <c r="FR200" s="195">
        <f>FR72</f>
        <v>0</v>
      </c>
      <c r="FS200" s="195">
        <f>FS72</f>
        <v>0</v>
      </c>
      <c r="FT200" s="195">
        <f>FT72</f>
        <v>0</v>
      </c>
      <c r="FU200" s="195">
        <f>FU72</f>
        <v>0</v>
      </c>
      <c r="FW200" s="37" t="str">
        <f t="shared" si="1236"/>
        <v>Carloads (000s)</v>
      </c>
      <c r="FX200" s="195">
        <f>FX72</f>
        <v>0</v>
      </c>
      <c r="FY200" s="195">
        <f>FY72</f>
        <v>0</v>
      </c>
      <c r="FZ200" s="195">
        <f>FZ72</f>
        <v>0</v>
      </c>
      <c r="GA200" s="195">
        <f>GA72</f>
        <v>0</v>
      </c>
      <c r="GB200" s="195">
        <f>GB72</f>
        <v>0</v>
      </c>
      <c r="GD200" s="37" t="str">
        <f t="shared" si="1237"/>
        <v>Carloads (000s)</v>
      </c>
      <c r="GE200" s="195">
        <f>GE72</f>
        <v>0</v>
      </c>
      <c r="GF200" s="195">
        <f>GF72</f>
        <v>0</v>
      </c>
      <c r="GG200" s="195">
        <f>GG72</f>
        <v>0</v>
      </c>
      <c r="GH200" s="195">
        <f>GH72</f>
        <v>0</v>
      </c>
      <c r="GI200" s="195">
        <f>GI72</f>
        <v>0</v>
      </c>
      <c r="GK200" s="37" t="str">
        <f t="shared" si="1238"/>
        <v>Carloads (000s)</v>
      </c>
      <c r="GL200" s="195">
        <f>GL72</f>
        <v>0</v>
      </c>
      <c r="GM200" s="195">
        <f>GM72</f>
        <v>0</v>
      </c>
      <c r="GN200" s="195">
        <f>GN72</f>
        <v>0</v>
      </c>
      <c r="GO200" s="195">
        <f>GO72</f>
        <v>0</v>
      </c>
      <c r="GP200" s="195">
        <f>GP72</f>
        <v>0</v>
      </c>
      <c r="GR200" s="37" t="str">
        <f t="shared" si="1239"/>
        <v>Carloads (000s)</v>
      </c>
      <c r="GS200" s="195">
        <f>GS72</f>
        <v>0</v>
      </c>
      <c r="GT200" s="195">
        <f>GT72</f>
        <v>0</v>
      </c>
      <c r="GU200" s="195">
        <f>GU72</f>
        <v>0</v>
      </c>
      <c r="GV200" s="195">
        <f>GV72</f>
        <v>0</v>
      </c>
      <c r="GW200" s="195">
        <f>GW72</f>
        <v>0</v>
      </c>
      <c r="GY200" s="37" t="str">
        <f t="shared" si="1240"/>
        <v>Carloads (000s)</v>
      </c>
      <c r="GZ200" s="195">
        <f>GZ72</f>
        <v>0</v>
      </c>
      <c r="HA200" s="195">
        <f>HA72</f>
        <v>0</v>
      </c>
      <c r="HB200" s="195">
        <f>HB72</f>
        <v>0</v>
      </c>
      <c r="HC200" s="195">
        <f>HC72</f>
        <v>0</v>
      </c>
      <c r="HD200" s="195">
        <f>HD72</f>
        <v>0</v>
      </c>
      <c r="HF200" s="37" t="str">
        <f t="shared" si="1241"/>
        <v>Carloads (000s)</v>
      </c>
      <c r="HG200" s="195">
        <f>HG72</f>
        <v>54</v>
      </c>
      <c r="HH200" s="195">
        <f>HH72</f>
        <v>76</v>
      </c>
      <c r="HI200" s="195">
        <f>HI72</f>
        <v>77</v>
      </c>
      <c r="HJ200" s="195">
        <f>HJ72</f>
        <v>70</v>
      </c>
      <c r="HK200" s="195">
        <f>HK72</f>
        <v>277</v>
      </c>
      <c r="HM200" s="37" t="str">
        <f t="shared" si="1242"/>
        <v>Carloads (000s)</v>
      </c>
      <c r="HN200" s="195">
        <f>HN72</f>
        <v>62</v>
      </c>
      <c r="HO200" s="195">
        <f>HO72</f>
        <v>80</v>
      </c>
      <c r="HP200" s="195">
        <f>HP72</f>
        <v>79</v>
      </c>
      <c r="HQ200" s="195">
        <f>HQ72</f>
        <v>74</v>
      </c>
      <c r="HR200" s="195">
        <f>HR72</f>
        <v>295</v>
      </c>
      <c r="HT200" s="37" t="str">
        <f t="shared" si="1243"/>
        <v>Carloads (000s)</v>
      </c>
      <c r="HU200" s="195">
        <f>HU72</f>
        <v>57</v>
      </c>
      <c r="HV200" s="195">
        <f>HV72</f>
        <v>70</v>
      </c>
      <c r="HW200" s="195">
        <f>HW72</f>
        <v>74</v>
      </c>
      <c r="HX200" s="195">
        <f>HX72</f>
        <v>69</v>
      </c>
      <c r="HY200" s="195">
        <f>HY72</f>
        <v>270</v>
      </c>
      <c r="IA200" s="37" t="str">
        <f t="shared" si="1244"/>
        <v>Carloads (000s)</v>
      </c>
      <c r="IB200" s="195">
        <f>IB72</f>
        <v>56</v>
      </c>
      <c r="IC200" s="195">
        <f>IC72</f>
        <v>73</v>
      </c>
      <c r="ID200" s="195">
        <f>ID72</f>
        <v>75</v>
      </c>
      <c r="IE200" s="195">
        <f>IE72</f>
        <v>66</v>
      </c>
      <c r="IF200" s="195">
        <f>IF72</f>
        <v>270</v>
      </c>
      <c r="IH200" s="37" t="str">
        <f t="shared" si="1245"/>
        <v>Carloads (000s)</v>
      </c>
      <c r="II200" s="195">
        <f>II72</f>
        <v>53</v>
      </c>
      <c r="IJ200" s="195">
        <f>IJ72</f>
        <v>78</v>
      </c>
      <c r="IK200" s="195">
        <f>IK72</f>
        <v>83</v>
      </c>
      <c r="IL200" s="195">
        <f>IL72</f>
        <v>74</v>
      </c>
      <c r="IM200" s="195">
        <f>IM72</f>
        <v>288</v>
      </c>
      <c r="IO200" s="37" t="str">
        <f t="shared" si="1246"/>
        <v>Carloads (000s)</v>
      </c>
      <c r="IP200" s="195">
        <f>IP72</f>
        <v>59</v>
      </c>
      <c r="IQ200" s="195">
        <f>IQ72</f>
        <v>82</v>
      </c>
      <c r="IR200" s="195">
        <f>IR72</f>
        <v>87</v>
      </c>
      <c r="IS200" s="195">
        <f>IS72</f>
        <v>78</v>
      </c>
      <c r="IT200" s="195">
        <f>IT72</f>
        <v>306</v>
      </c>
      <c r="IV200" s="37" t="str">
        <f t="shared" si="1247"/>
        <v>Carloads (000s)</v>
      </c>
      <c r="IW200" s="195">
        <f>IW72</f>
        <v>58</v>
      </c>
      <c r="IX200" s="195">
        <f>IX72</f>
        <v>86</v>
      </c>
      <c r="IY200" s="195">
        <f>IY72</f>
        <v>86</v>
      </c>
      <c r="IZ200" s="195">
        <f>IZ72</f>
        <v>80</v>
      </c>
      <c r="JA200" s="195">
        <f>JA72</f>
        <v>310</v>
      </c>
      <c r="JC200" s="37" t="str">
        <f t="shared" si="1248"/>
        <v>Carloads (000s)</v>
      </c>
      <c r="JD200" s="195">
        <f>JD72</f>
        <v>70</v>
      </c>
      <c r="JE200" s="195">
        <f>JE72</f>
        <v>67</v>
      </c>
      <c r="JF200" s="195">
        <f>JF72</f>
        <v>64</v>
      </c>
      <c r="JG200" s="195">
        <f>JG72</f>
        <v>66</v>
      </c>
      <c r="JH200" s="195">
        <f>JH72</f>
        <v>267</v>
      </c>
      <c r="JJ200" s="37" t="str">
        <f t="shared" si="1249"/>
        <v>Carloads (000s)</v>
      </c>
      <c r="JK200" s="195">
        <f>JK72</f>
        <v>66</v>
      </c>
      <c r="JL200" s="195">
        <f>JL72</f>
        <v>71</v>
      </c>
      <c r="JM200" s="195">
        <f>JM72</f>
        <v>74</v>
      </c>
      <c r="JN200" s="195">
        <f>JN72</f>
        <v>73</v>
      </c>
      <c r="JO200" s="195">
        <f>JO72</f>
        <v>284</v>
      </c>
      <c r="JQ200" s="37" t="str">
        <f t="shared" si="1250"/>
        <v>Carloads (000s)</v>
      </c>
      <c r="JR200" s="195">
        <f>JR72</f>
        <v>69</v>
      </c>
      <c r="JS200" s="195">
        <f>JS72</f>
        <v>90</v>
      </c>
      <c r="JT200" s="195">
        <f>JT72</f>
        <v>73</v>
      </c>
      <c r="JU200" s="195">
        <f>JU72</f>
        <v>71</v>
      </c>
      <c r="JV200" s="195">
        <f>JV72</f>
        <v>303</v>
      </c>
      <c r="JX200" s="37" t="str">
        <f t="shared" si="1251"/>
        <v>Carloads (000s)</v>
      </c>
      <c r="JY200" s="195">
        <f>JY72</f>
        <v>74</v>
      </c>
      <c r="JZ200" s="195">
        <f>JZ72</f>
        <v>83</v>
      </c>
      <c r="KA200" s="195">
        <f>KA72</f>
        <v>86</v>
      </c>
      <c r="KB200" s="195">
        <f>KB72</f>
        <v>78</v>
      </c>
      <c r="KC200" s="195">
        <f>KC72</f>
        <v>321</v>
      </c>
      <c r="KE200" s="37" t="str">
        <f t="shared" si="1252"/>
        <v>Carloads (000s)</v>
      </c>
      <c r="KF200" s="195">
        <f>KF72</f>
        <v>67</v>
      </c>
      <c r="KG200" s="195">
        <f>KG72</f>
        <v>87</v>
      </c>
      <c r="KH200" s="195">
        <f>KH72</f>
        <v>90</v>
      </c>
      <c r="KI200" s="195">
        <f>KI72</f>
        <v>81</v>
      </c>
      <c r="KJ200" s="195">
        <f>KJ72</f>
        <v>325</v>
      </c>
      <c r="KL200" s="37" t="str">
        <f t="shared" si="1253"/>
        <v>Carloads (000s)</v>
      </c>
      <c r="KM200" s="195">
        <f>KM72</f>
        <v>72</v>
      </c>
      <c r="KN200" s="195">
        <f>KN72</f>
        <v>90</v>
      </c>
      <c r="KO200" s="195">
        <f>KO72</f>
        <v>91</v>
      </c>
      <c r="KP200" s="195">
        <f>KP72</f>
        <v>84</v>
      </c>
      <c r="KQ200" s="195">
        <f>KQ72</f>
        <v>337</v>
      </c>
      <c r="KS200" s="37" t="str">
        <f t="shared" si="1254"/>
        <v>Carloads (000s)</v>
      </c>
      <c r="KT200" s="195">
        <f>KT72</f>
        <v>83</v>
      </c>
      <c r="KU200" s="195">
        <f>KU72</f>
        <v>95</v>
      </c>
      <c r="KV200" s="195">
        <f>KV72</f>
        <v>95</v>
      </c>
      <c r="KW200" s="195">
        <f>KW72</f>
        <v>85</v>
      </c>
      <c r="KX200" s="195">
        <f>KX72</f>
        <v>358</v>
      </c>
      <c r="KZ200" s="37" t="str">
        <f t="shared" si="1255"/>
        <v>Carloads (000s)</v>
      </c>
      <c r="LA200" s="195">
        <f>LA72</f>
        <v>80</v>
      </c>
      <c r="LB200" s="195">
        <f>LB72</f>
        <v>97</v>
      </c>
      <c r="LC200" s="195">
        <f>LC72</f>
        <v>96</v>
      </c>
      <c r="LD200" s="195">
        <f>LD72</f>
        <v>88</v>
      </c>
      <c r="LE200" s="196">
        <f>SUM(LA200:LD200)</f>
        <v>361</v>
      </c>
      <c r="LF200" s="573"/>
      <c r="LG200" s="37" t="str">
        <f t="shared" si="1256"/>
        <v>Carloads (000s)</v>
      </c>
      <c r="LH200" s="195">
        <f>LH72</f>
        <v>79</v>
      </c>
      <c r="LI200" s="195">
        <f>LI72</f>
        <v>99</v>
      </c>
      <c r="LJ200" s="195">
        <f>LJ72</f>
        <v>104</v>
      </c>
      <c r="LK200" s="195">
        <f>LK72</f>
        <v>93</v>
      </c>
      <c r="LL200" s="196">
        <f>SUM(LH200:LK200)</f>
        <v>375</v>
      </c>
      <c r="LM200" s="573"/>
      <c r="LN200" s="37" t="str">
        <f t="shared" si="1257"/>
        <v>Carloads (000s)</v>
      </c>
      <c r="LO200" s="196">
        <f>(LH200)*(1+LO201)</f>
        <v>81.765000000000001</v>
      </c>
      <c r="LP200" s="196">
        <f t="shared" ref="LP200" si="2762">(LI200)*(1+LP201)</f>
        <v>101.47499999999999</v>
      </c>
      <c r="LQ200" s="196">
        <f t="shared" ref="LQ200" si="2763">(LJ200)*(1+LQ201)</f>
        <v>104.51999999999998</v>
      </c>
      <c r="LR200" s="196">
        <f t="shared" ref="LR200" si="2764">(LK200)*(1+LR201)</f>
        <v>99.045000000000002</v>
      </c>
      <c r="LS200" s="196">
        <f>SUM(LO200:LR200)</f>
        <v>386.80500000000001</v>
      </c>
      <c r="LT200" s="573"/>
      <c r="LU200" s="37" t="str">
        <f t="shared" si="1261"/>
        <v>Carloads (000s)</v>
      </c>
      <c r="LV200" s="196">
        <f>(LO200)*(1+LV201)</f>
        <v>85.035600000000002</v>
      </c>
      <c r="LW200" s="196">
        <f t="shared" ref="LW200" si="2765">(LP200)*(1+LW201)</f>
        <v>105.53399999999999</v>
      </c>
      <c r="LX200" s="196">
        <f t="shared" ref="LX200" si="2766">(LQ200)*(1+LX201)</f>
        <v>108.70079999999999</v>
      </c>
      <c r="LY200" s="196">
        <f t="shared" ref="LY200" si="2767">(LR200)*(1+LY201)</f>
        <v>103.0068</v>
      </c>
      <c r="LZ200" s="196">
        <f>SUM(LV200:LY200)</f>
        <v>402.27719999999999</v>
      </c>
      <c r="MA200" s="573"/>
      <c r="MB200" s="37" t="str">
        <f t="shared" si="1265"/>
        <v>Carloads (000s)</v>
      </c>
      <c r="MC200" s="196">
        <f>(LV200)*(1+MC201)</f>
        <v>88.011845999999991</v>
      </c>
      <c r="MD200" s="196">
        <f t="shared" ref="MD200" si="2768">(LW200)*(1+MD201)</f>
        <v>109.22768999999998</v>
      </c>
      <c r="ME200" s="196">
        <f t="shared" ref="ME200" si="2769">(LX200)*(1+ME201)</f>
        <v>112.50532799999998</v>
      </c>
      <c r="MF200" s="196">
        <f t="shared" ref="MF200" si="2770">(LY200)*(1+MF201)</f>
        <v>106.61203799999998</v>
      </c>
      <c r="MG200" s="196">
        <f>SUM(MC200:MF200)</f>
        <v>416.35690199999993</v>
      </c>
      <c r="MH200" s="573"/>
    </row>
    <row r="201" spans="1:346" s="37" customFormat="1" ht="13.15" x14ac:dyDescent="0.4">
      <c r="A201" s="100"/>
      <c r="B201" s="197" t="s">
        <v>516</v>
      </c>
      <c r="C201" s="186"/>
      <c r="D201" s="186"/>
      <c r="E201" s="186"/>
      <c r="F201" s="186"/>
      <c r="G201" s="186"/>
      <c r="H201" s="186"/>
      <c r="I201" s="186"/>
      <c r="J201" s="186"/>
      <c r="K201" s="186"/>
      <c r="L201" s="186"/>
      <c r="M201" s="186"/>
      <c r="N201" s="193"/>
      <c r="O201" s="198">
        <f>O200/N200-1</f>
        <v>9.8039215686274161E-3</v>
      </c>
      <c r="P201" s="198">
        <f t="shared" ref="P201:BA201" si="2771">P200/O200-1</f>
        <v>-0.2063106796116505</v>
      </c>
      <c r="Q201" s="198">
        <f t="shared" si="2771"/>
        <v>5.504587155963292E-2</v>
      </c>
      <c r="R201" s="198">
        <f t="shared" si="2771"/>
        <v>8.405797101449286E-2</v>
      </c>
      <c r="S201" s="198">
        <f t="shared" si="2771"/>
        <v>0.1203208556149733</v>
      </c>
      <c r="T201" s="198">
        <f t="shared" si="2771"/>
        <v>-1.1933174224343701E-2</v>
      </c>
      <c r="U201" s="198">
        <f t="shared" si="2771"/>
        <v>3.6231884057970953E-2</v>
      </c>
      <c r="V201" s="198">
        <f t="shared" si="2771"/>
        <v>3.7296037296037365E-2</v>
      </c>
      <c r="W201" s="198">
        <f t="shared" si="2771"/>
        <v>-3.5955056179775235E-2</v>
      </c>
      <c r="X201" s="198">
        <f t="shared" si="2771"/>
        <v>1.1655011655011593E-2</v>
      </c>
      <c r="Y201" s="198">
        <f t="shared" si="2771"/>
        <v>-1</v>
      </c>
      <c r="Z201" s="198" t="e">
        <f t="shared" si="2771"/>
        <v>#DIV/0!</v>
      </c>
      <c r="AA201" s="198" t="e">
        <f t="shared" si="2771"/>
        <v>#DIV/0!</v>
      </c>
      <c r="AB201" s="198" t="e">
        <f t="shared" si="2771"/>
        <v>#DIV/0!</v>
      </c>
      <c r="AC201" s="198" t="e">
        <f t="shared" si="2771"/>
        <v>#DIV/0!</v>
      </c>
      <c r="AD201" s="198" t="e">
        <f t="shared" si="2771"/>
        <v>#DIV/0!</v>
      </c>
      <c r="AE201" s="198" t="e">
        <f t="shared" si="2771"/>
        <v>#DIV/0!</v>
      </c>
      <c r="AF201" s="198" t="e">
        <f t="shared" si="2771"/>
        <v>#DIV/0!</v>
      </c>
      <c r="AG201" s="198" t="e">
        <f t="shared" si="2771"/>
        <v>#DIV/0!</v>
      </c>
      <c r="AH201" s="198" t="e">
        <f t="shared" si="2771"/>
        <v>#DIV/0!</v>
      </c>
      <c r="AI201" s="198" t="e">
        <f t="shared" si="2771"/>
        <v>#DIV/0!</v>
      </c>
      <c r="AJ201" s="198">
        <f t="shared" si="2771"/>
        <v>6.498194945848379E-2</v>
      </c>
      <c r="AK201" s="198">
        <f t="shared" si="2771"/>
        <v>-8.4745762711864403E-2</v>
      </c>
      <c r="AL201" s="198">
        <f t="shared" si="2771"/>
        <v>0</v>
      </c>
      <c r="AM201" s="198">
        <f t="shared" si="2771"/>
        <v>6.6666666666666652E-2</v>
      </c>
      <c r="AN201" s="198">
        <f t="shared" si="2771"/>
        <v>6.25E-2</v>
      </c>
      <c r="AO201" s="198">
        <f t="shared" si="2771"/>
        <v>1.3071895424836555E-2</v>
      </c>
      <c r="AP201" s="198">
        <f t="shared" si="2771"/>
        <v>-0.1387096774193548</v>
      </c>
      <c r="AQ201" s="198">
        <f t="shared" si="2771"/>
        <v>6.367041198501866E-2</v>
      </c>
      <c r="AR201" s="198">
        <f t="shared" si="2771"/>
        <v>6.6901408450704247E-2</v>
      </c>
      <c r="AS201" s="198">
        <f t="shared" si="2771"/>
        <v>5.9405940594059459E-2</v>
      </c>
      <c r="AT201" s="198">
        <f t="shared" si="2771"/>
        <v>1.2461059190031154E-2</v>
      </c>
      <c r="AU201" s="198">
        <f t="shared" si="2771"/>
        <v>3.6923076923076836E-2</v>
      </c>
      <c r="AV201" s="198">
        <f t="shared" si="2771"/>
        <v>6.2314540059347223E-2</v>
      </c>
      <c r="AW201" s="198">
        <f t="shared" si="2771"/>
        <v>8.379888268156499E-3</v>
      </c>
      <c r="AX201" s="198">
        <f t="shared" si="2771"/>
        <v>3.8781163434903121E-2</v>
      </c>
      <c r="AY201" s="198">
        <f t="shared" si="2771"/>
        <v>3.1479999999999952E-2</v>
      </c>
      <c r="AZ201" s="198">
        <f t="shared" si="2771"/>
        <v>4.0000000000000036E-2</v>
      </c>
      <c r="BA201" s="198">
        <f t="shared" si="2771"/>
        <v>3.499999999999992E-2</v>
      </c>
      <c r="BB201" s="198"/>
      <c r="BC201" s="198"/>
      <c r="BD201" s="198"/>
      <c r="BE201" s="198"/>
      <c r="BF201" s="198"/>
      <c r="BG201" s="198"/>
      <c r="BH201" s="198"/>
      <c r="BI201" s="198"/>
      <c r="BJ201" s="198"/>
      <c r="BK201" s="198"/>
      <c r="BL201" s="198"/>
      <c r="BM201" s="198"/>
      <c r="BO201" s="197" t="str">
        <f t="shared" si="1220"/>
        <v>YoY Change (%)</v>
      </c>
      <c r="BP201" s="193"/>
      <c r="BQ201" s="193"/>
      <c r="BR201" s="193"/>
      <c r="BS201" s="193"/>
      <c r="BT201" s="193"/>
      <c r="BV201" s="197" t="str">
        <f t="shared" si="1221"/>
        <v>YoY Change (%)</v>
      </c>
      <c r="BW201" s="198">
        <f>BW200/BP200-1</f>
        <v>6.1855670103092786E-2</v>
      </c>
      <c r="BX201" s="198">
        <f t="shared" ref="BX201" si="2772">BX200/BQ200-1</f>
        <v>4.5454545454545414E-2</v>
      </c>
      <c r="BY201" s="198">
        <f t="shared" ref="BY201" si="2773">BY200/BR200-1</f>
        <v>-1.9047619047619091E-2</v>
      </c>
      <c r="BZ201" s="198">
        <f t="shared" ref="BZ201" si="2774">BZ200/BS200-1</f>
        <v>-5.208333333333337E-2</v>
      </c>
      <c r="CA201" s="198">
        <f t="shared" ref="CA201" si="2775">CA200/BT200-1</f>
        <v>9.8039215686274161E-3</v>
      </c>
      <c r="CC201" s="197" t="str">
        <f t="shared" si="1222"/>
        <v>YoY Change (%)</v>
      </c>
      <c r="CD201" s="198">
        <f>CD200/BW200-1</f>
        <v>-0.26213592233009708</v>
      </c>
      <c r="CE201" s="198">
        <f t="shared" ref="CE201" si="2776">CE200/BX200-1</f>
        <v>-0.26086956521739135</v>
      </c>
      <c r="CF201" s="198">
        <f t="shared" ref="CF201" si="2777">CF200/BY200-1</f>
        <v>-0.18446601941747576</v>
      </c>
      <c r="CG201" s="198">
        <f t="shared" ref="CG201" si="2778">CG200/BZ200-1</f>
        <v>-9.8901098901098883E-2</v>
      </c>
      <c r="CH201" s="198">
        <f t="shared" ref="CH201" si="2779">CH200/CA200-1</f>
        <v>-0.2063106796116505</v>
      </c>
      <c r="CJ201" s="197" t="str">
        <f t="shared" si="1223"/>
        <v>YoY Change (%)</v>
      </c>
      <c r="CK201" s="198">
        <f>CK200/CD200-1</f>
        <v>3.9473684210526327E-2</v>
      </c>
      <c r="CL201" s="198">
        <f t="shared" ref="CL201" si="2780">CL200/CE200-1</f>
        <v>4.705882352941182E-2</v>
      </c>
      <c r="CM201" s="198">
        <f t="shared" ref="CM201" si="2781">CM200/CF200-1</f>
        <v>7.1428571428571397E-2</v>
      </c>
      <c r="CN201" s="198">
        <f t="shared" ref="CN201" si="2782">CN200/CG200-1</f>
        <v>6.0975609756097615E-2</v>
      </c>
      <c r="CO201" s="198">
        <f t="shared" ref="CO201" si="2783">CO200/CH200-1</f>
        <v>5.504587155963292E-2</v>
      </c>
      <c r="CQ201" s="197" t="str">
        <f t="shared" si="1224"/>
        <v>YoY Change (%)</v>
      </c>
      <c r="CR201" s="198">
        <f>CR200/CK200-1</f>
        <v>2.5316455696202445E-2</v>
      </c>
      <c r="CS201" s="198">
        <f t="shared" ref="CS201" si="2784">CS200/CL200-1</f>
        <v>7.8651685393258397E-2</v>
      </c>
      <c r="CT201" s="198">
        <f t="shared" ref="CT201" si="2785">CT200/CM200-1</f>
        <v>0.11111111111111116</v>
      </c>
      <c r="CU201" s="198">
        <f t="shared" ref="CU201" si="2786">CU200/CN200-1</f>
        <v>0.11494252873563227</v>
      </c>
      <c r="CV201" s="198">
        <f t="shared" ref="CV201" si="2787">CV200/CO200-1</f>
        <v>8.405797101449286E-2</v>
      </c>
      <c r="CX201" s="197" t="str">
        <f t="shared" si="1225"/>
        <v>YoY Change (%)</v>
      </c>
      <c r="CY201" s="198">
        <f>CY200/CR200-1</f>
        <v>0.16049382716049387</v>
      </c>
      <c r="CZ201" s="198">
        <f t="shared" ref="CZ201" si="2788">CZ200/CS200-1</f>
        <v>0.13541666666666674</v>
      </c>
      <c r="DA201" s="198">
        <f t="shared" ref="DA201" si="2789">DA200/CT200-1</f>
        <v>0.1100000000000001</v>
      </c>
      <c r="DB201" s="198">
        <f t="shared" ref="DB201" si="2790">DB200/CU200-1</f>
        <v>8.247422680412364E-2</v>
      </c>
      <c r="DC201" s="198">
        <f t="shared" ref="DC201" si="2791">DC200/CV200-1</f>
        <v>0.1203208556149733</v>
      </c>
      <c r="DE201" s="197" t="str">
        <f t="shared" si="1226"/>
        <v>YoY Change (%)</v>
      </c>
      <c r="DF201" s="198">
        <f>DF200/CY200-1</f>
        <v>4.2553191489361764E-2</v>
      </c>
      <c r="DG201" s="198">
        <f t="shared" ref="DG201" si="2792">DG200/CZ200-1</f>
        <v>0</v>
      </c>
      <c r="DH201" s="198">
        <f t="shared" ref="DH201" si="2793">DH200/DA200-1</f>
        <v>-3.6036036036036001E-2</v>
      </c>
      <c r="DI201" s="198">
        <f t="shared" ref="DI201" si="2794">DI200/DB200-1</f>
        <v>-4.7619047619047672E-2</v>
      </c>
      <c r="DJ201" s="198">
        <f t="shared" ref="DJ201" si="2795">DJ200/DC200-1</f>
        <v>-1.1933174224343701E-2</v>
      </c>
      <c r="DL201" s="197" t="str">
        <f t="shared" si="1227"/>
        <v>YoY Change (%)</v>
      </c>
      <c r="DM201" s="198">
        <f>DM200/DF200-1</f>
        <v>-4.081632653061229E-2</v>
      </c>
      <c r="DN201" s="198">
        <f t="shared" ref="DN201" si="2796">DN200/DG200-1</f>
        <v>2.7522935779816571E-2</v>
      </c>
      <c r="DO201" s="198">
        <f t="shared" ref="DO201" si="2797">DO200/DH200-1</f>
        <v>4.6728971962616717E-2</v>
      </c>
      <c r="DP201" s="198">
        <f t="shared" ref="DP201" si="2798">DP200/DI200-1</f>
        <v>0.1100000000000001</v>
      </c>
      <c r="DQ201" s="198">
        <f t="shared" ref="DQ201" si="2799">DQ200/DJ200-1</f>
        <v>3.6231884057970953E-2</v>
      </c>
      <c r="DS201" s="197" t="str">
        <f t="shared" si="1228"/>
        <v>YoY Change (%)</v>
      </c>
      <c r="DT201" s="198">
        <f>DT200/DM200-1</f>
        <v>0.1063829787234043</v>
      </c>
      <c r="DU201" s="198">
        <f t="shared" ref="DU201" si="2800">DU200/DN200-1</f>
        <v>-8.9285714285713969E-3</v>
      </c>
      <c r="DV201" s="198">
        <f t="shared" ref="DV201" si="2801">DV200/DO200-1</f>
        <v>6.25E-2</v>
      </c>
      <c r="DW201" s="198">
        <f t="shared" ref="DW201" si="2802">DW200/DP200-1</f>
        <v>0</v>
      </c>
      <c r="DX201" s="198">
        <f t="shared" ref="DX201" si="2803">DX200/DQ200-1</f>
        <v>3.7296037296037365E-2</v>
      </c>
      <c r="DZ201" s="197" t="str">
        <f t="shared" si="1229"/>
        <v>YoY Change (%)</v>
      </c>
      <c r="EA201" s="198">
        <f>EA200/DT200-1</f>
        <v>-9.6153846153845812E-3</v>
      </c>
      <c r="EB201" s="198">
        <f t="shared" ref="EB201" si="2804">EB200/DU200-1</f>
        <v>6.3063063063063085E-2</v>
      </c>
      <c r="EC201" s="198">
        <f t="shared" ref="EC201" si="2805">EC200/DV200-1</f>
        <v>-0.10084033613445376</v>
      </c>
      <c r="ED201" s="198">
        <f t="shared" ref="ED201" si="2806">ED200/DW200-1</f>
        <v>-9.0090090090090058E-2</v>
      </c>
      <c r="EE201" s="198">
        <f t="shared" ref="EE201" si="2807">EE200/DX200-1</f>
        <v>-3.5955056179775235E-2</v>
      </c>
      <c r="EG201" s="197" t="str">
        <f t="shared" si="1230"/>
        <v>YoY Change (%)</v>
      </c>
      <c r="EH201" s="198">
        <f>EH200/EA200-1</f>
        <v>9.7087378640776656E-2</v>
      </c>
      <c r="EI201" s="198">
        <f t="shared" ref="EI201" si="2808">EI200/EB200-1</f>
        <v>-7.6271186440677985E-2</v>
      </c>
      <c r="EJ201" s="198">
        <f t="shared" ref="EJ201" si="2809">EJ200/EC200-1</f>
        <v>0</v>
      </c>
      <c r="EK201" s="198">
        <f t="shared" ref="EK201" si="2810">EK200/ED200-1</f>
        <v>3.9603960396039639E-2</v>
      </c>
      <c r="EL201" s="198">
        <f t="shared" ref="EL201" si="2811">EL200/EE200-1</f>
        <v>1.1655011655011593E-2</v>
      </c>
      <c r="EN201" s="197" t="str">
        <f t="shared" si="1231"/>
        <v>YoY Change (%)</v>
      </c>
      <c r="EO201" s="198">
        <f>EO200/EH200-1</f>
        <v>-1</v>
      </c>
      <c r="EP201" s="198">
        <f t="shared" ref="EP201" si="2812">EP200/EI200-1</f>
        <v>-1</v>
      </c>
      <c r="EQ201" s="198">
        <f t="shared" ref="EQ201" si="2813">EQ200/EJ200-1</f>
        <v>-1</v>
      </c>
      <c r="ER201" s="198">
        <f t="shared" ref="ER201" si="2814">ER200/EK200-1</f>
        <v>-1</v>
      </c>
      <c r="ES201" s="198">
        <f t="shared" ref="ES201" si="2815">ES200/EL200-1</f>
        <v>-1</v>
      </c>
      <c r="EU201" s="197" t="str">
        <f t="shared" si="1232"/>
        <v>YoY Change (%)</v>
      </c>
      <c r="EV201" s="198" t="e">
        <f>EV200/EO200-1</f>
        <v>#DIV/0!</v>
      </c>
      <c r="EW201" s="198" t="e">
        <f t="shared" ref="EW201" si="2816">EW200/EP200-1</f>
        <v>#DIV/0!</v>
      </c>
      <c r="EX201" s="198" t="e">
        <f t="shared" ref="EX201" si="2817">EX200/EQ200-1</f>
        <v>#DIV/0!</v>
      </c>
      <c r="EY201" s="198" t="e">
        <f t="shared" ref="EY201" si="2818">EY200/ER200-1</f>
        <v>#DIV/0!</v>
      </c>
      <c r="EZ201" s="198" t="e">
        <f t="shared" ref="EZ201" si="2819">EZ200/ES200-1</f>
        <v>#DIV/0!</v>
      </c>
      <c r="FB201" s="197" t="str">
        <f t="shared" si="1233"/>
        <v>YoY Change (%)</v>
      </c>
      <c r="FC201" s="198" t="e">
        <f>FC200/EV200-1</f>
        <v>#DIV/0!</v>
      </c>
      <c r="FD201" s="198" t="e">
        <f t="shared" ref="FD201" si="2820">FD200/EW200-1</f>
        <v>#DIV/0!</v>
      </c>
      <c r="FE201" s="198" t="e">
        <f t="shared" ref="FE201" si="2821">FE200/EX200-1</f>
        <v>#DIV/0!</v>
      </c>
      <c r="FF201" s="198" t="e">
        <f t="shared" ref="FF201" si="2822">FF200/EY200-1</f>
        <v>#DIV/0!</v>
      </c>
      <c r="FG201" s="198" t="e">
        <f t="shared" ref="FG201" si="2823">FG200/EZ200-1</f>
        <v>#DIV/0!</v>
      </c>
      <c r="FI201" s="197" t="str">
        <f t="shared" si="1234"/>
        <v>YoY Change (%)</v>
      </c>
      <c r="FJ201" s="198" t="e">
        <f>FJ200/FC200-1</f>
        <v>#DIV/0!</v>
      </c>
      <c r="FK201" s="198" t="e">
        <f t="shared" ref="FK201" si="2824">FK200/FD200-1</f>
        <v>#DIV/0!</v>
      </c>
      <c r="FL201" s="198" t="e">
        <f t="shared" ref="FL201" si="2825">FL200/FE200-1</f>
        <v>#DIV/0!</v>
      </c>
      <c r="FM201" s="198" t="e">
        <f t="shared" ref="FM201" si="2826">FM200/FF200-1</f>
        <v>#DIV/0!</v>
      </c>
      <c r="FN201" s="198" t="e">
        <f t="shared" ref="FN201" si="2827">FN200/FG200-1</f>
        <v>#DIV/0!</v>
      </c>
      <c r="FP201" s="197" t="str">
        <f t="shared" si="1235"/>
        <v>YoY Change (%)</v>
      </c>
      <c r="FQ201" s="198" t="e">
        <f>FQ200/FJ200-1</f>
        <v>#DIV/0!</v>
      </c>
      <c r="FR201" s="198" t="e">
        <f t="shared" ref="FR201" si="2828">FR200/FK200-1</f>
        <v>#DIV/0!</v>
      </c>
      <c r="FS201" s="198" t="e">
        <f t="shared" ref="FS201" si="2829">FS200/FL200-1</f>
        <v>#DIV/0!</v>
      </c>
      <c r="FT201" s="198" t="e">
        <f t="shared" ref="FT201" si="2830">FT200/FM200-1</f>
        <v>#DIV/0!</v>
      </c>
      <c r="FU201" s="198" t="e">
        <f t="shared" ref="FU201" si="2831">FU200/FN200-1</f>
        <v>#DIV/0!</v>
      </c>
      <c r="FW201" s="197" t="str">
        <f t="shared" si="1236"/>
        <v>YoY Change (%)</v>
      </c>
      <c r="FX201" s="198" t="e">
        <f>FX200/FQ200-1</f>
        <v>#DIV/0!</v>
      </c>
      <c r="FY201" s="198" t="e">
        <f t="shared" ref="FY201" si="2832">FY200/FR200-1</f>
        <v>#DIV/0!</v>
      </c>
      <c r="FZ201" s="198" t="e">
        <f t="shared" ref="FZ201" si="2833">FZ200/FS200-1</f>
        <v>#DIV/0!</v>
      </c>
      <c r="GA201" s="198" t="e">
        <f t="shared" ref="GA201" si="2834">GA200/FT200-1</f>
        <v>#DIV/0!</v>
      </c>
      <c r="GB201" s="198" t="e">
        <f t="shared" ref="GB201" si="2835">GB200/FU200-1</f>
        <v>#DIV/0!</v>
      </c>
      <c r="GD201" s="197" t="str">
        <f t="shared" si="1237"/>
        <v>YoY Change (%)</v>
      </c>
      <c r="GE201" s="198" t="e">
        <f>GE200/FX200-1</f>
        <v>#DIV/0!</v>
      </c>
      <c r="GF201" s="198" t="e">
        <f t="shared" ref="GF201" si="2836">GF200/FY200-1</f>
        <v>#DIV/0!</v>
      </c>
      <c r="GG201" s="198" t="e">
        <f t="shared" ref="GG201" si="2837">GG200/FZ200-1</f>
        <v>#DIV/0!</v>
      </c>
      <c r="GH201" s="198" t="e">
        <f t="shared" ref="GH201" si="2838">GH200/GA200-1</f>
        <v>#DIV/0!</v>
      </c>
      <c r="GI201" s="198" t="e">
        <f t="shared" ref="GI201" si="2839">GI200/GB200-1</f>
        <v>#DIV/0!</v>
      </c>
      <c r="GK201" s="197" t="str">
        <f t="shared" si="1238"/>
        <v>YoY Change (%)</v>
      </c>
      <c r="GL201" s="198" t="e">
        <f>GL200/GE200-1</f>
        <v>#DIV/0!</v>
      </c>
      <c r="GM201" s="198" t="e">
        <f t="shared" ref="GM201" si="2840">GM200/GF200-1</f>
        <v>#DIV/0!</v>
      </c>
      <c r="GN201" s="198" t="e">
        <f t="shared" ref="GN201" si="2841">GN200/GG200-1</f>
        <v>#DIV/0!</v>
      </c>
      <c r="GO201" s="198" t="e">
        <f t="shared" ref="GO201" si="2842">GO200/GH200-1</f>
        <v>#DIV/0!</v>
      </c>
      <c r="GP201" s="198" t="e">
        <f t="shared" ref="GP201" si="2843">GP200/GI200-1</f>
        <v>#DIV/0!</v>
      </c>
      <c r="GR201" s="197" t="str">
        <f t="shared" si="1239"/>
        <v>YoY Change (%)</v>
      </c>
      <c r="GS201" s="198" t="e">
        <f>GS200/GL200-1</f>
        <v>#DIV/0!</v>
      </c>
      <c r="GT201" s="198" t="e">
        <f t="shared" ref="GT201" si="2844">GT200/GM200-1</f>
        <v>#DIV/0!</v>
      </c>
      <c r="GU201" s="198" t="e">
        <f t="shared" ref="GU201" si="2845">GU200/GN200-1</f>
        <v>#DIV/0!</v>
      </c>
      <c r="GV201" s="198" t="e">
        <f t="shared" ref="GV201" si="2846">GV200/GO200-1</f>
        <v>#DIV/0!</v>
      </c>
      <c r="GW201" s="198" t="e">
        <f t="shared" ref="GW201" si="2847">GW200/GP200-1</f>
        <v>#DIV/0!</v>
      </c>
      <c r="GY201" s="197" t="str">
        <f t="shared" si="1240"/>
        <v>YoY Change (%)</v>
      </c>
      <c r="GZ201" s="198" t="e">
        <f>GZ200/GS200-1</f>
        <v>#DIV/0!</v>
      </c>
      <c r="HA201" s="198" t="e">
        <f t="shared" ref="HA201" si="2848">HA200/GT200-1</f>
        <v>#DIV/0!</v>
      </c>
      <c r="HB201" s="198" t="e">
        <f t="shared" ref="HB201" si="2849">HB200/GU200-1</f>
        <v>#DIV/0!</v>
      </c>
      <c r="HC201" s="198" t="e">
        <f t="shared" ref="HC201" si="2850">HC200/GV200-1</f>
        <v>#DIV/0!</v>
      </c>
      <c r="HD201" s="198" t="e">
        <f t="shared" ref="HD201" si="2851">HD200/GW200-1</f>
        <v>#DIV/0!</v>
      </c>
      <c r="HF201" s="197" t="str">
        <f t="shared" si="1241"/>
        <v>YoY Change (%)</v>
      </c>
      <c r="HG201" s="198" t="e">
        <f>HG200/GZ200-1</f>
        <v>#DIV/0!</v>
      </c>
      <c r="HH201" s="198" t="e">
        <f t="shared" ref="HH201" si="2852">HH200/HA200-1</f>
        <v>#DIV/0!</v>
      </c>
      <c r="HI201" s="198" t="e">
        <f t="shared" ref="HI201" si="2853">HI200/HB200-1</f>
        <v>#DIV/0!</v>
      </c>
      <c r="HJ201" s="198" t="e">
        <f t="shared" ref="HJ201" si="2854">HJ200/HC200-1</f>
        <v>#DIV/0!</v>
      </c>
      <c r="HK201" s="198" t="e">
        <f t="shared" ref="HK201" si="2855">HK200/HD200-1</f>
        <v>#DIV/0!</v>
      </c>
      <c r="HM201" s="197" t="str">
        <f t="shared" si="1242"/>
        <v>YoY Change (%)</v>
      </c>
      <c r="HN201" s="198">
        <f>HN200/HG200-1</f>
        <v>0.14814814814814814</v>
      </c>
      <c r="HO201" s="198">
        <f t="shared" ref="HO201" si="2856">HO200/HH200-1</f>
        <v>5.2631578947368363E-2</v>
      </c>
      <c r="HP201" s="198">
        <f t="shared" ref="HP201" si="2857">HP200/HI200-1</f>
        <v>2.5974025974025983E-2</v>
      </c>
      <c r="HQ201" s="198">
        <f t="shared" ref="HQ201" si="2858">HQ200/HJ200-1</f>
        <v>5.7142857142857162E-2</v>
      </c>
      <c r="HR201" s="198">
        <f t="shared" ref="HR201" si="2859">HR200/HK200-1</f>
        <v>6.498194945848379E-2</v>
      </c>
      <c r="HT201" s="197" t="str">
        <f t="shared" si="1243"/>
        <v>YoY Change (%)</v>
      </c>
      <c r="HU201" s="198">
        <f>HU200/HN200-1</f>
        <v>-8.064516129032262E-2</v>
      </c>
      <c r="HV201" s="198">
        <f t="shared" ref="HV201" si="2860">HV200/HO200-1</f>
        <v>-0.125</v>
      </c>
      <c r="HW201" s="198">
        <f t="shared" ref="HW201" si="2861">HW200/HP200-1</f>
        <v>-6.3291139240506333E-2</v>
      </c>
      <c r="HX201" s="198">
        <f t="shared" ref="HX201" si="2862">HX200/HQ200-1</f>
        <v>-6.7567567567567544E-2</v>
      </c>
      <c r="HY201" s="198">
        <f t="shared" ref="HY201" si="2863">HY200/HR200-1</f>
        <v>-8.4745762711864403E-2</v>
      </c>
      <c r="IA201" s="197" t="str">
        <f t="shared" si="1244"/>
        <v>YoY Change (%)</v>
      </c>
      <c r="IB201" s="198">
        <f>IB200/HU200-1</f>
        <v>-1.7543859649122862E-2</v>
      </c>
      <c r="IC201" s="198">
        <f t="shared" ref="IC201" si="2864">IC200/HV200-1</f>
        <v>4.2857142857142927E-2</v>
      </c>
      <c r="ID201" s="198">
        <f t="shared" ref="ID201" si="2865">ID200/HW200-1</f>
        <v>1.3513513513513598E-2</v>
      </c>
      <c r="IE201" s="198">
        <f t="shared" ref="IE201" si="2866">IE200/HX200-1</f>
        <v>-4.3478260869565188E-2</v>
      </c>
      <c r="IF201" s="198">
        <f t="shared" ref="IF201" si="2867">IF200/HY200-1</f>
        <v>0</v>
      </c>
      <c r="IH201" s="197" t="str">
        <f t="shared" si="1245"/>
        <v>YoY Change (%)</v>
      </c>
      <c r="II201" s="198">
        <f>II200/IB200-1</f>
        <v>-5.3571428571428603E-2</v>
      </c>
      <c r="IJ201" s="198">
        <f t="shared" ref="IJ201" si="2868">IJ200/IC200-1</f>
        <v>6.8493150684931559E-2</v>
      </c>
      <c r="IK201" s="198">
        <f t="shared" ref="IK201" si="2869">IK200/ID200-1</f>
        <v>0.10666666666666669</v>
      </c>
      <c r="IL201" s="198">
        <f t="shared" ref="IL201" si="2870">IL200/IE200-1</f>
        <v>0.1212121212121211</v>
      </c>
      <c r="IM201" s="198">
        <f t="shared" ref="IM201" si="2871">IM200/IF200-1</f>
        <v>6.6666666666666652E-2</v>
      </c>
      <c r="IO201" s="197" t="str">
        <f t="shared" si="1246"/>
        <v>YoY Change (%)</v>
      </c>
      <c r="IP201" s="198">
        <f>IP200/II200-1</f>
        <v>0.1132075471698113</v>
      </c>
      <c r="IQ201" s="198">
        <f t="shared" ref="IQ201" si="2872">IQ200/IJ200-1</f>
        <v>5.1282051282051322E-2</v>
      </c>
      <c r="IR201" s="198">
        <f t="shared" ref="IR201" si="2873">IR200/IK200-1</f>
        <v>4.8192771084337283E-2</v>
      </c>
      <c r="IS201" s="198">
        <f t="shared" ref="IS201" si="2874">IS200/IL200-1</f>
        <v>5.4054054054053946E-2</v>
      </c>
      <c r="IT201" s="198">
        <f t="shared" ref="IT201" si="2875">IT200/IM200-1</f>
        <v>6.25E-2</v>
      </c>
      <c r="IV201" s="197" t="str">
        <f t="shared" si="1247"/>
        <v>YoY Change (%)</v>
      </c>
      <c r="IW201" s="198">
        <f>IW200/IP200-1</f>
        <v>-1.6949152542372836E-2</v>
      </c>
      <c r="IX201" s="198">
        <f t="shared" ref="IX201" si="2876">IX200/IQ200-1</f>
        <v>4.8780487804878092E-2</v>
      </c>
      <c r="IY201" s="198">
        <f t="shared" ref="IY201" si="2877">IY200/IR200-1</f>
        <v>-1.1494252873563204E-2</v>
      </c>
      <c r="IZ201" s="198">
        <f t="shared" ref="IZ201" si="2878">IZ200/IS200-1</f>
        <v>2.564102564102555E-2</v>
      </c>
      <c r="JA201" s="198">
        <f t="shared" ref="JA201" si="2879">JA200/IT200-1</f>
        <v>1.3071895424836555E-2</v>
      </c>
      <c r="JC201" s="197" t="str">
        <f t="shared" si="1248"/>
        <v>YoY Change (%)</v>
      </c>
      <c r="JD201" s="198">
        <f>JD200/IW200-1</f>
        <v>0.2068965517241379</v>
      </c>
      <c r="JE201" s="198">
        <f t="shared" ref="JE201" si="2880">JE200/IX200-1</f>
        <v>-0.22093023255813948</v>
      </c>
      <c r="JF201" s="198">
        <f t="shared" ref="JF201" si="2881">JF200/IY200-1</f>
        <v>-0.2558139534883721</v>
      </c>
      <c r="JG201" s="198">
        <f t="shared" ref="JG201" si="2882">JG200/IZ200-1</f>
        <v>-0.17500000000000004</v>
      </c>
      <c r="JH201" s="198">
        <f t="shared" ref="JH201" si="2883">JH200/JA200-1</f>
        <v>-0.1387096774193548</v>
      </c>
      <c r="JJ201" s="197" t="str">
        <f t="shared" si="1249"/>
        <v>YoY Change (%)</v>
      </c>
      <c r="JK201" s="198">
        <f>JK200/JD200-1</f>
        <v>-5.7142857142857162E-2</v>
      </c>
      <c r="JL201" s="198">
        <f t="shared" ref="JL201" si="2884">JL200/JE200-1</f>
        <v>5.9701492537313383E-2</v>
      </c>
      <c r="JM201" s="198">
        <f t="shared" ref="JM201" si="2885">JM200/JF200-1</f>
        <v>0.15625</v>
      </c>
      <c r="JN201" s="198">
        <f t="shared" ref="JN201" si="2886">JN200/JG200-1</f>
        <v>0.10606060606060597</v>
      </c>
      <c r="JO201" s="198">
        <f t="shared" ref="JO201" si="2887">JO200/JH200-1</f>
        <v>6.367041198501866E-2</v>
      </c>
      <c r="JQ201" s="197" t="str">
        <f t="shared" si="1250"/>
        <v>YoY Change (%)</v>
      </c>
      <c r="JR201" s="198">
        <f>JR200/JK200-1</f>
        <v>4.5454545454545414E-2</v>
      </c>
      <c r="JS201" s="198">
        <f t="shared" ref="JS201" si="2888">JS200/JL200-1</f>
        <v>0.26760563380281699</v>
      </c>
      <c r="JT201" s="198">
        <f t="shared" ref="JT201" si="2889">JT200/JM200-1</f>
        <v>-1.3513513513513487E-2</v>
      </c>
      <c r="JU201" s="198">
        <f t="shared" ref="JU201" si="2890">JU200/JN200-1</f>
        <v>-2.7397260273972601E-2</v>
      </c>
      <c r="JV201" s="198">
        <f t="shared" ref="JV201" si="2891">JV200/JO200-1</f>
        <v>6.6901408450704247E-2</v>
      </c>
      <c r="JX201" s="197" t="str">
        <f t="shared" si="1251"/>
        <v>YoY Change (%)</v>
      </c>
      <c r="JY201" s="198">
        <f>JY200/JR200-1</f>
        <v>7.2463768115942129E-2</v>
      </c>
      <c r="JZ201" s="198">
        <f t="shared" ref="JZ201" si="2892">JZ200/JS200-1</f>
        <v>-7.7777777777777724E-2</v>
      </c>
      <c r="KA201" s="198">
        <f t="shared" ref="KA201" si="2893">KA200/JT200-1</f>
        <v>0.17808219178082196</v>
      </c>
      <c r="KB201" s="198">
        <f t="shared" ref="KB201" si="2894">KB200/JU200-1</f>
        <v>9.8591549295774739E-2</v>
      </c>
      <c r="KC201" s="198">
        <f t="shared" ref="KC201" si="2895">KC200/JV200-1</f>
        <v>5.9405940594059459E-2</v>
      </c>
      <c r="KE201" s="197" t="str">
        <f t="shared" si="1252"/>
        <v>YoY Change (%)</v>
      </c>
      <c r="KF201" s="198">
        <f>KF200/JY200-1</f>
        <v>-9.4594594594594628E-2</v>
      </c>
      <c r="KG201" s="198">
        <f t="shared" ref="KG201" si="2896">KG200/JZ200-1</f>
        <v>4.8192771084337283E-2</v>
      </c>
      <c r="KH201" s="198">
        <f t="shared" ref="KH201" si="2897">KH200/KA200-1</f>
        <v>4.6511627906976827E-2</v>
      </c>
      <c r="KI201" s="198">
        <f t="shared" ref="KI201" si="2898">KI200/KB200-1</f>
        <v>3.8461538461538547E-2</v>
      </c>
      <c r="KJ201" s="198">
        <f t="shared" ref="KJ201" si="2899">KJ200/KC200-1</f>
        <v>1.2461059190031154E-2</v>
      </c>
      <c r="KL201" s="197" t="str">
        <f t="shared" si="1253"/>
        <v>YoY Change (%)</v>
      </c>
      <c r="KM201" s="198">
        <f>KM200/KF200-1</f>
        <v>7.4626865671641784E-2</v>
      </c>
      <c r="KN201" s="198">
        <f t="shared" ref="KN201" si="2900">KN200/KG200-1</f>
        <v>3.4482758620689724E-2</v>
      </c>
      <c r="KO201" s="198">
        <f t="shared" ref="KO201" si="2901">KO200/KH200-1</f>
        <v>1.1111111111111072E-2</v>
      </c>
      <c r="KP201" s="198">
        <f t="shared" ref="KP201" si="2902">KP200/KI200-1</f>
        <v>3.7037037037036979E-2</v>
      </c>
      <c r="KQ201" s="198">
        <f t="shared" ref="KQ201" si="2903">KQ200/KJ200-1</f>
        <v>3.6923076923076836E-2</v>
      </c>
      <c r="KS201" s="197" t="str">
        <f t="shared" si="1254"/>
        <v>YoY Change (%)</v>
      </c>
      <c r="KT201" s="198">
        <f>KT200/KM200-1</f>
        <v>0.15277777777777768</v>
      </c>
      <c r="KU201" s="198">
        <f t="shared" ref="KU201" si="2904">KU200/KN200-1</f>
        <v>5.555555555555558E-2</v>
      </c>
      <c r="KV201" s="198">
        <f t="shared" ref="KV201" si="2905">KV200/KO200-1</f>
        <v>4.3956043956044022E-2</v>
      </c>
      <c r="KW201" s="198">
        <f t="shared" ref="KW201" si="2906">KW200/KP200-1</f>
        <v>1.1904761904761862E-2</v>
      </c>
      <c r="KX201" s="198">
        <f t="shared" ref="KX201" si="2907">KX200/KQ200-1</f>
        <v>6.2314540059347223E-2</v>
      </c>
      <c r="KZ201" s="197" t="str">
        <f t="shared" si="1255"/>
        <v>YoY Change (%)</v>
      </c>
      <c r="LA201" s="198">
        <f>LA200/KT200-1</f>
        <v>-3.6144578313253017E-2</v>
      </c>
      <c r="LB201" s="198">
        <f>LB200/KU200-1</f>
        <v>2.1052631578947434E-2</v>
      </c>
      <c r="LC201" s="198">
        <f>LC200/KV200-1</f>
        <v>1.0526315789473717E-2</v>
      </c>
      <c r="LD201" s="198">
        <f t="shared" ref="LD201" si="2908">LD200/KW200-1</f>
        <v>3.529411764705892E-2</v>
      </c>
      <c r="LE201" s="199">
        <f t="shared" ref="LE201" si="2909">LE200/KX200-1</f>
        <v>8.379888268156499E-3</v>
      </c>
      <c r="LF201" s="567"/>
      <c r="LG201" s="197" t="str">
        <f t="shared" si="1256"/>
        <v>YoY Change (%)</v>
      </c>
      <c r="LH201" s="198">
        <f>LH200/LA200-1</f>
        <v>-1.2499999999999956E-2</v>
      </c>
      <c r="LI201" s="198">
        <f>LI200/LB200-1</f>
        <v>2.0618556701030855E-2</v>
      </c>
      <c r="LJ201" s="198">
        <f>LJ200/LC200-1</f>
        <v>8.3333333333333259E-2</v>
      </c>
      <c r="LK201" s="198">
        <f>LK200/LD200-1</f>
        <v>5.6818181818181879E-2</v>
      </c>
      <c r="LL201" s="199">
        <f t="shared" ref="LL201" si="2910">LL200/LE200-1</f>
        <v>3.8781163434903121E-2</v>
      </c>
      <c r="LM201" s="567"/>
      <c r="LN201" s="197" t="str">
        <f t="shared" si="1257"/>
        <v>YoY Change (%)</v>
      </c>
      <c r="LO201" s="222">
        <v>3.5000000000000003E-2</v>
      </c>
      <c r="LP201" s="222">
        <v>2.5000000000000001E-2</v>
      </c>
      <c r="LQ201" s="222">
        <v>5.0000000000000001E-3</v>
      </c>
      <c r="LR201" s="222">
        <v>6.5000000000000002E-2</v>
      </c>
      <c r="LS201" s="199">
        <f t="shared" ref="LS201" si="2911">LS200/LL200-1</f>
        <v>3.1479999999999952E-2</v>
      </c>
      <c r="LT201" s="567"/>
      <c r="LU201" s="197" t="str">
        <f t="shared" si="1261"/>
        <v>YoY Change (%)</v>
      </c>
      <c r="LV201" s="222">
        <v>0.04</v>
      </c>
      <c r="LW201" s="222">
        <v>0.04</v>
      </c>
      <c r="LX201" s="222">
        <v>0.04</v>
      </c>
      <c r="LY201" s="222">
        <v>0.04</v>
      </c>
      <c r="LZ201" s="199">
        <f t="shared" ref="LZ201" si="2912">LZ200/LS200-1</f>
        <v>4.0000000000000036E-2</v>
      </c>
      <c r="MA201" s="567"/>
      <c r="MB201" s="197" t="str">
        <f t="shared" si="1265"/>
        <v>YoY Change (%)</v>
      </c>
      <c r="MC201" s="222">
        <v>3.5000000000000003E-2</v>
      </c>
      <c r="MD201" s="222">
        <v>3.5000000000000003E-2</v>
      </c>
      <c r="ME201" s="222">
        <v>3.5000000000000003E-2</v>
      </c>
      <c r="MF201" s="222">
        <v>3.5000000000000003E-2</v>
      </c>
      <c r="MG201" s="199">
        <f t="shared" ref="MG201" si="2913">MG200/LZ200-1</f>
        <v>3.499999999999992E-2</v>
      </c>
      <c r="MH201" s="567"/>
    </row>
    <row r="202" spans="1:346" s="37" customFormat="1" ht="13.15" x14ac:dyDescent="0.4">
      <c r="A202" s="100"/>
      <c r="C202" s="186"/>
      <c r="D202" s="186"/>
      <c r="E202" s="186"/>
      <c r="F202" s="186"/>
      <c r="G202" s="186"/>
      <c r="H202" s="186"/>
      <c r="I202" s="186"/>
      <c r="J202" s="186"/>
      <c r="K202" s="186"/>
      <c r="L202" s="186"/>
      <c r="M202" s="186"/>
      <c r="N202" s="193"/>
      <c r="O202" s="193"/>
      <c r="P202" s="193"/>
      <c r="Q202" s="193"/>
      <c r="R202" s="193"/>
      <c r="S202" s="193"/>
      <c r="T202" s="193"/>
      <c r="U202" s="193"/>
      <c r="V202" s="193"/>
      <c r="W202" s="193"/>
      <c r="X202" s="193"/>
      <c r="Y202" s="193"/>
      <c r="Z202" s="193"/>
      <c r="AA202" s="193"/>
      <c r="AB202" s="193"/>
      <c r="AC202" s="193"/>
      <c r="AD202" s="193"/>
      <c r="AE202" s="193"/>
      <c r="AF202" s="193"/>
      <c r="AG202" s="193"/>
      <c r="AH202" s="193"/>
      <c r="AI202" s="193"/>
      <c r="AJ202" s="193"/>
      <c r="AK202" s="193"/>
      <c r="AL202" s="193"/>
      <c r="AM202" s="193"/>
      <c r="AN202" s="193"/>
      <c r="AO202" s="193"/>
      <c r="AP202" s="193"/>
      <c r="AQ202" s="193"/>
      <c r="AR202" s="193"/>
      <c r="AS202" s="193"/>
      <c r="AT202" s="193"/>
      <c r="AU202" s="193"/>
      <c r="AV202" s="193"/>
      <c r="AW202" s="193"/>
      <c r="AX202" s="193"/>
      <c r="AY202" s="193"/>
      <c r="AZ202" s="193"/>
      <c r="BA202" s="193"/>
      <c r="BB202" s="193"/>
      <c r="BC202" s="193"/>
      <c r="BD202" s="193"/>
      <c r="BE202" s="193"/>
      <c r="BF202" s="193"/>
      <c r="BG202" s="193"/>
      <c r="BH202" s="193"/>
      <c r="BI202" s="193"/>
      <c r="BJ202" s="193"/>
      <c r="BK202" s="193"/>
      <c r="BL202" s="193"/>
      <c r="BM202" s="193"/>
      <c r="BP202" s="193"/>
      <c r="BQ202" s="193"/>
      <c r="BR202" s="193"/>
      <c r="BS202" s="193"/>
      <c r="BT202" s="193"/>
      <c r="BW202" s="193"/>
      <c r="BX202" s="193"/>
      <c r="BY202" s="193"/>
      <c r="BZ202" s="193"/>
      <c r="CA202" s="193"/>
      <c r="CD202" s="193"/>
      <c r="CE202" s="193"/>
      <c r="CF202" s="193"/>
      <c r="CG202" s="193"/>
      <c r="CH202" s="193"/>
      <c r="CK202" s="193"/>
      <c r="CL202" s="193"/>
      <c r="CM202" s="193"/>
      <c r="CN202" s="193"/>
      <c r="CO202" s="193"/>
      <c r="CR202" s="193"/>
      <c r="CS202" s="193"/>
      <c r="CT202" s="193"/>
      <c r="CU202" s="193"/>
      <c r="CV202" s="193"/>
      <c r="CY202" s="193"/>
      <c r="CZ202" s="193"/>
      <c r="DA202" s="193"/>
      <c r="DB202" s="193"/>
      <c r="DC202" s="193"/>
      <c r="DF202" s="193"/>
      <c r="DG202" s="193"/>
      <c r="DH202" s="193"/>
      <c r="DI202" s="193"/>
      <c r="DJ202" s="193"/>
      <c r="DM202" s="193"/>
      <c r="DN202" s="193"/>
      <c r="DO202" s="193"/>
      <c r="DP202" s="193"/>
      <c r="DQ202" s="193"/>
      <c r="DT202" s="193"/>
      <c r="DU202" s="193"/>
      <c r="DV202" s="193"/>
      <c r="DW202" s="193"/>
      <c r="DX202" s="193"/>
      <c r="EA202" s="193"/>
      <c r="EB202" s="193"/>
      <c r="EC202" s="193"/>
      <c r="ED202" s="193"/>
      <c r="EE202" s="193"/>
      <c r="EH202" s="193"/>
      <c r="EI202" s="193"/>
      <c r="EJ202" s="193"/>
      <c r="EK202" s="193"/>
      <c r="EL202" s="193"/>
      <c r="EO202" s="193"/>
      <c r="EP202" s="193"/>
      <c r="EQ202" s="193"/>
      <c r="ER202" s="193"/>
      <c r="ES202" s="193"/>
      <c r="EV202" s="193"/>
      <c r="EW202" s="193"/>
      <c r="EX202" s="193"/>
      <c r="EY202" s="193"/>
      <c r="EZ202" s="193"/>
      <c r="FC202" s="193"/>
      <c r="FD202" s="193"/>
      <c r="FE202" s="193"/>
      <c r="FF202" s="193"/>
      <c r="FG202" s="193"/>
      <c r="FJ202" s="193"/>
      <c r="FK202" s="193"/>
      <c r="FL202" s="193"/>
      <c r="FM202" s="193"/>
      <c r="FN202" s="193"/>
      <c r="FQ202" s="193"/>
      <c r="FR202" s="193"/>
      <c r="FS202" s="193"/>
      <c r="FT202" s="193"/>
      <c r="FU202" s="193"/>
      <c r="FX202" s="193"/>
      <c r="FY202" s="193"/>
      <c r="FZ202" s="193"/>
      <c r="GA202" s="193"/>
      <c r="GB202" s="193"/>
      <c r="GE202" s="193"/>
      <c r="GF202" s="193"/>
      <c r="GG202" s="193"/>
      <c r="GH202" s="193"/>
      <c r="GI202" s="193"/>
      <c r="GL202" s="193"/>
      <c r="GM202" s="193"/>
      <c r="GN202" s="193"/>
      <c r="GO202" s="193"/>
      <c r="GP202" s="193"/>
      <c r="GS202" s="193"/>
      <c r="GT202" s="193"/>
      <c r="GU202" s="193"/>
      <c r="GV202" s="193"/>
      <c r="GW202" s="193"/>
      <c r="GZ202" s="193"/>
      <c r="HA202" s="193"/>
      <c r="HB202" s="193"/>
      <c r="HC202" s="193"/>
      <c r="HD202" s="193"/>
      <c r="HG202" s="193"/>
      <c r="HH202" s="193"/>
      <c r="HI202" s="193"/>
      <c r="HJ202" s="193"/>
      <c r="HK202" s="193"/>
      <c r="HN202" s="193"/>
      <c r="HO202" s="193"/>
      <c r="HP202" s="193"/>
      <c r="HQ202" s="193"/>
      <c r="HR202" s="193"/>
      <c r="HU202" s="193"/>
      <c r="HV202" s="193"/>
      <c r="HW202" s="193"/>
      <c r="HX202" s="193"/>
      <c r="HY202" s="193"/>
      <c r="IB202" s="193"/>
      <c r="IC202" s="193"/>
      <c r="ID202" s="193"/>
      <c r="IE202" s="193"/>
      <c r="IF202" s="193"/>
      <c r="II202" s="193"/>
      <c r="IJ202" s="193"/>
      <c r="IK202" s="193"/>
      <c r="IL202" s="193"/>
      <c r="IM202" s="193"/>
      <c r="IP202" s="193"/>
      <c r="IQ202" s="193"/>
      <c r="IR202" s="193"/>
      <c r="IS202" s="193"/>
      <c r="IT202" s="193"/>
      <c r="IW202" s="193"/>
      <c r="IX202" s="193"/>
      <c r="IY202" s="193"/>
      <c r="IZ202" s="193"/>
      <c r="JA202" s="193"/>
      <c r="JD202" s="193"/>
      <c r="JE202" s="193"/>
      <c r="JF202" s="193"/>
      <c r="JG202" s="193"/>
      <c r="JH202" s="193"/>
      <c r="JK202" s="193"/>
      <c r="JL202" s="193"/>
      <c r="JM202" s="193"/>
      <c r="JN202" s="193"/>
      <c r="JO202" s="193"/>
      <c r="JR202" s="193"/>
      <c r="JS202" s="193"/>
      <c r="JT202" s="193"/>
      <c r="JU202" s="193"/>
      <c r="JV202" s="193"/>
      <c r="JY202" s="193"/>
      <c r="JZ202" s="193"/>
      <c r="KA202" s="193"/>
      <c r="KB202" s="193"/>
      <c r="KC202" s="193"/>
      <c r="KF202" s="193"/>
      <c r="KG202" s="193"/>
      <c r="KH202" s="193"/>
      <c r="KI202" s="193"/>
      <c r="KJ202" s="193"/>
      <c r="KM202" s="193"/>
      <c r="KN202" s="193"/>
      <c r="KO202" s="193"/>
      <c r="KP202" s="193"/>
      <c r="KQ202" s="193"/>
      <c r="KT202" s="193"/>
      <c r="KU202" s="193"/>
      <c r="KV202" s="193"/>
      <c r="KW202" s="193"/>
      <c r="KX202" s="193"/>
      <c r="LA202" s="193"/>
      <c r="LB202" s="193"/>
      <c r="LC202" s="193"/>
      <c r="LD202" s="193"/>
      <c r="LE202" s="200"/>
      <c r="LF202" s="565"/>
      <c r="LH202" s="198"/>
      <c r="LI202" s="198"/>
      <c r="LJ202" s="198"/>
      <c r="LK202" s="198"/>
      <c r="LL202" s="193"/>
      <c r="LM202" s="555"/>
      <c r="LN202" s="68"/>
      <c r="LO202" s="198"/>
      <c r="LP202" s="198"/>
      <c r="LQ202" s="198"/>
      <c r="LR202" s="198"/>
      <c r="LS202" s="193"/>
      <c r="LT202" s="555"/>
      <c r="LU202" s="68"/>
      <c r="LV202" s="198"/>
      <c r="LW202" s="198"/>
      <c r="LX202" s="198"/>
      <c r="LY202" s="198"/>
      <c r="LZ202" s="200"/>
      <c r="MA202" s="565"/>
      <c r="MB202" s="68"/>
      <c r="MC202" s="198"/>
      <c r="MD202" s="198"/>
      <c r="ME202" s="198"/>
      <c r="MF202" s="198"/>
      <c r="MG202" s="200"/>
      <c r="MH202" s="565"/>
    </row>
    <row r="203" spans="1:346" s="37" customFormat="1" ht="13.15" x14ac:dyDescent="0.4">
      <c r="A203" s="100"/>
      <c r="B203" s="37" t="s">
        <v>517</v>
      </c>
      <c r="C203" s="186"/>
      <c r="D203" s="186"/>
      <c r="E203" s="186"/>
      <c r="F203" s="186"/>
      <c r="G203" s="186"/>
      <c r="H203" s="186"/>
      <c r="I203" s="186"/>
      <c r="J203" s="186"/>
      <c r="K203" s="186"/>
      <c r="L203" s="186"/>
      <c r="M203" s="186"/>
      <c r="N203" s="194">
        <f t="shared" ref="N203:AY203" si="2914">IFERROR(N12/N72*1000,"")</f>
        <v>781.86274509803923</v>
      </c>
      <c r="O203" s="194">
        <f t="shared" si="2914"/>
        <v>788.8349514563107</v>
      </c>
      <c r="P203" s="194">
        <f t="shared" si="2914"/>
        <v>896.02446483180427</v>
      </c>
      <c r="Q203" s="194">
        <f t="shared" si="2914"/>
        <v>895.6521739130435</v>
      </c>
      <c r="R203" s="194">
        <f t="shared" si="2914"/>
        <v>887.70053475935833</v>
      </c>
      <c r="S203" s="194">
        <f t="shared" si="2914"/>
        <v>871.12171837708831</v>
      </c>
      <c r="T203" s="194">
        <f t="shared" si="2914"/>
        <v>905.79710144927537</v>
      </c>
      <c r="U203" s="194">
        <f t="shared" si="2914"/>
        <v>888.11188811188811</v>
      </c>
      <c r="V203" s="194">
        <f t="shared" si="2914"/>
        <v>885.39325842696621</v>
      </c>
      <c r="W203" s="194">
        <f t="shared" si="2914"/>
        <v>876.45687645687644</v>
      </c>
      <c r="X203" s="194">
        <f t="shared" si="2914"/>
        <v>914.74654377880188</v>
      </c>
      <c r="Y203" s="194" t="str">
        <f t="shared" si="2914"/>
        <v/>
      </c>
      <c r="Z203" s="194" t="str">
        <f t="shared" si="2914"/>
        <v/>
      </c>
      <c r="AA203" s="194" t="str">
        <f t="shared" si="2914"/>
        <v/>
      </c>
      <c r="AB203" s="194" t="str">
        <f t="shared" si="2914"/>
        <v/>
      </c>
      <c r="AC203" s="194" t="str">
        <f t="shared" si="2914"/>
        <v/>
      </c>
      <c r="AD203" s="194" t="str">
        <f t="shared" si="2914"/>
        <v/>
      </c>
      <c r="AE203" s="194" t="str">
        <f t="shared" si="2914"/>
        <v/>
      </c>
      <c r="AF203" s="194" t="str">
        <f t="shared" si="2914"/>
        <v/>
      </c>
      <c r="AG203" s="194" t="str">
        <f t="shared" si="2914"/>
        <v/>
      </c>
      <c r="AH203" s="194" t="str">
        <f t="shared" si="2914"/>
        <v/>
      </c>
      <c r="AI203" s="194">
        <f t="shared" si="2914"/>
        <v>1361.0108303249099</v>
      </c>
      <c r="AJ203" s="194">
        <f t="shared" si="2914"/>
        <v>1433.8983050847457</v>
      </c>
      <c r="AK203" s="194">
        <f t="shared" si="2914"/>
        <v>1514.8148148148148</v>
      </c>
      <c r="AL203" s="194">
        <f t="shared" si="2914"/>
        <v>1562.9629629629628</v>
      </c>
      <c r="AM203" s="194">
        <f t="shared" si="2914"/>
        <v>1555.5555555555557</v>
      </c>
      <c r="AN203" s="194">
        <f t="shared" si="2914"/>
        <v>1500</v>
      </c>
      <c r="AO203" s="194">
        <f t="shared" si="2914"/>
        <v>1493.5483870967744</v>
      </c>
      <c r="AP203" s="194">
        <f t="shared" si="2914"/>
        <v>2059.925093632959</v>
      </c>
      <c r="AQ203" s="194">
        <f t="shared" si="2914"/>
        <v>1823.943661971831</v>
      </c>
      <c r="AR203" s="194">
        <f t="shared" si="2914"/>
        <v>1825.0825082508252</v>
      </c>
      <c r="AS203" s="194">
        <f t="shared" si="2914"/>
        <v>1676.0124610591899</v>
      </c>
      <c r="AT203" s="194">
        <f t="shared" si="2914"/>
        <v>1806.1538461538462</v>
      </c>
      <c r="AU203" s="194">
        <f t="shared" si="2914"/>
        <v>1952.5222551928782</v>
      </c>
      <c r="AV203" s="194">
        <f t="shared" si="2914"/>
        <v>2047.4860335195531</v>
      </c>
      <c r="AW203" s="194">
        <f t="shared" si="2914"/>
        <v>2138.5041551246536</v>
      </c>
      <c r="AX203" s="194">
        <f t="shared" si="2914"/>
        <v>2218.6666666666665</v>
      </c>
      <c r="AY203" s="194">
        <f t="shared" si="2914"/>
        <v>2299.4529866470184</v>
      </c>
      <c r="AZ203" s="194">
        <f t="shared" ref="AZ203:BA203" si="2915">IFERROR(AZ12/AZ72*1000,"")</f>
        <v>2362.2036000859607</v>
      </c>
      <c r="BA203" s="194">
        <f t="shared" si="2915"/>
        <v>2421.2586900881092</v>
      </c>
      <c r="BB203" s="194"/>
      <c r="BC203" s="194"/>
      <c r="BD203" s="194"/>
      <c r="BE203" s="194"/>
      <c r="BF203" s="194"/>
      <c r="BG203" s="194"/>
      <c r="BH203" s="194"/>
      <c r="BI203" s="194"/>
      <c r="BJ203" s="194"/>
      <c r="BK203" s="194"/>
      <c r="BL203" s="194"/>
      <c r="BM203" s="194"/>
      <c r="BO203" s="37" t="str">
        <f t="shared" si="1220"/>
        <v>Revenue per carload ($)</v>
      </c>
      <c r="BP203" s="193">
        <f>IFERROR(BP12/BP72*1000,"")</f>
        <v>814.43298969072168</v>
      </c>
      <c r="BQ203" s="193">
        <f>IFERROR(BQ12/BQ72*1000,"")</f>
        <v>754.5454545454545</v>
      </c>
      <c r="BR203" s="193">
        <f>IFERROR(BR12/BR72*1000,"")</f>
        <v>742.85714285714289</v>
      </c>
      <c r="BS203" s="193">
        <f>IFERROR(BS12/BS72*1000,"")</f>
        <v>822.91666666666663</v>
      </c>
      <c r="BT203" s="193">
        <f>IFERROR(BT12/BT72*1000,"")</f>
        <v>781.86274509803923</v>
      </c>
      <c r="BV203" s="37" t="str">
        <f t="shared" si="1221"/>
        <v>Revenue per carload ($)</v>
      </c>
      <c r="BW203" s="193">
        <f>IFERROR(BW12/BW72*1000,"")</f>
        <v>796.11650485436894</v>
      </c>
      <c r="BX203" s="193">
        <f>IFERROR(BX12/BX72*1000,"")</f>
        <v>773.91304347826087</v>
      </c>
      <c r="BY203" s="193">
        <f>IFERROR(BY12/BY72*1000,"")</f>
        <v>776.69902912621353</v>
      </c>
      <c r="BZ203" s="193">
        <f>IFERROR(BZ12/BZ72*1000,"")</f>
        <v>813.1868131868132</v>
      </c>
      <c r="CA203" s="193">
        <f>IFERROR(CA12/CA72*1000,"")</f>
        <v>788.8349514563107</v>
      </c>
      <c r="CC203" s="37" t="str">
        <f t="shared" si="1222"/>
        <v>Revenue per carload ($)</v>
      </c>
      <c r="CD203" s="193">
        <f>IFERROR(CD12/CD72*1000,"")</f>
        <v>921.0526315789474</v>
      </c>
      <c r="CE203" s="193">
        <f>IFERROR(CE12/CE72*1000,"")</f>
        <v>882.35294117647061</v>
      </c>
      <c r="CF203" s="193">
        <f>IFERROR(CF12/CF72*1000,"")</f>
        <v>880.95238095238096</v>
      </c>
      <c r="CG203" s="193">
        <f>IFERROR(CG12/CG72*1000,"")</f>
        <v>902.43902439024396</v>
      </c>
      <c r="CH203" s="193">
        <f>IFERROR(CH12/CH72*1000,"")</f>
        <v>896.02446483180427</v>
      </c>
      <c r="CJ203" s="37" t="str">
        <f t="shared" si="1223"/>
        <v>Revenue per carload ($)</v>
      </c>
      <c r="CK203" s="193">
        <f>IFERROR(CK12/CK72*1000,"")</f>
        <v>936.70886075949363</v>
      </c>
      <c r="CL203" s="193">
        <f>IFERROR(CL12/CL72*1000,"")</f>
        <v>887.64044943820215</v>
      </c>
      <c r="CM203" s="193">
        <f>IFERROR(CM12/CM72*1000,"")</f>
        <v>877.77777777777771</v>
      </c>
      <c r="CN203" s="193">
        <f>IFERROR(CN12/CN72*1000,"")</f>
        <v>885.05747126436779</v>
      </c>
      <c r="CO203" s="193">
        <f>IFERROR(CO12/CO72*1000,"")</f>
        <v>895.6521739130435</v>
      </c>
      <c r="CQ203" s="37" t="str">
        <f t="shared" si="1224"/>
        <v>Revenue per carload ($)</v>
      </c>
      <c r="CR203" s="193">
        <f>IFERROR(CR12/CR72*1000,"")</f>
        <v>938.27160493827159</v>
      </c>
      <c r="CS203" s="193">
        <f>IFERROR(CS12/CS72*1000,"")</f>
        <v>885.41666666666663</v>
      </c>
      <c r="CT203" s="193">
        <f>IFERROR(CT12/CT72*1000,"")</f>
        <v>860</v>
      </c>
      <c r="CU203" s="193">
        <f>IFERROR(CU12/CU72*1000,"")</f>
        <v>876.28865979381442</v>
      </c>
      <c r="CV203" s="193">
        <f>IFERROR(CV12/CV72*1000,"")</f>
        <v>887.70053475935833</v>
      </c>
      <c r="CX203" s="37" t="str">
        <f t="shared" si="1225"/>
        <v>Revenue per carload ($)</v>
      </c>
      <c r="CY203" s="193">
        <f>IFERROR(CY12/CY72*1000,"")</f>
        <v>904.25531914893622</v>
      </c>
      <c r="CZ203" s="193">
        <f>IFERROR(CZ12/CZ72*1000,"")</f>
        <v>871.55963302752298</v>
      </c>
      <c r="DA203" s="193">
        <f>IFERROR(DA12/DA72*1000,"")</f>
        <v>864.8648648648649</v>
      </c>
      <c r="DB203" s="193">
        <f>IFERROR(DB12/DB72*1000,"")</f>
        <v>847.61904761904759</v>
      </c>
      <c r="DC203" s="193">
        <f>IFERROR(DC12/DC72*1000,"")</f>
        <v>871.12171837708831</v>
      </c>
      <c r="DE203" s="37" t="str">
        <f t="shared" si="1226"/>
        <v>Revenue per carload ($)</v>
      </c>
      <c r="DF203" s="193">
        <f>IFERROR(DF12/DF72*1000,"")</f>
        <v>938.77551020408168</v>
      </c>
      <c r="DG203" s="193">
        <f>IFERROR(DG12/DG72*1000,"")</f>
        <v>889.90825688073392</v>
      </c>
      <c r="DH203" s="193">
        <f>IFERROR(DH12/DH72*1000,"")</f>
        <v>897.19626168224295</v>
      </c>
      <c r="DI203" s="193">
        <f>IFERROR(DI12/DI72*1000,"")</f>
        <v>900</v>
      </c>
      <c r="DJ203" s="193">
        <f>IFERROR(DJ12/DJ72*1000,"")</f>
        <v>905.79710144927537</v>
      </c>
      <c r="DL203" s="37" t="str">
        <f t="shared" si="1227"/>
        <v>Revenue per carload ($)</v>
      </c>
      <c r="DM203" s="193">
        <f>IFERROR(DM12/DM72*1000,"")</f>
        <v>925.531914893617</v>
      </c>
      <c r="DN203" s="193">
        <f>IFERROR(DN12/DN72*1000,"")</f>
        <v>892.85714285714289</v>
      </c>
      <c r="DO203" s="193">
        <f>IFERROR(DO12/DO72*1000,"")</f>
        <v>883.92857142857144</v>
      </c>
      <c r="DP203" s="193">
        <f>IFERROR(DP12/DP72*1000,"")</f>
        <v>855.85585585585591</v>
      </c>
      <c r="DQ203" s="193">
        <f>IFERROR(DQ12/DQ72*1000,"")</f>
        <v>888.11188811188811</v>
      </c>
      <c r="DS203" s="37" t="str">
        <f t="shared" si="1228"/>
        <v>Revenue per carload ($)</v>
      </c>
      <c r="DT203" s="193">
        <f>IFERROR(DT12/DT72*1000,"")</f>
        <v>894.23076923076928</v>
      </c>
      <c r="DU203" s="193">
        <f>IFERROR(DU12/DU72*1000,"")</f>
        <v>891.89189189189187</v>
      </c>
      <c r="DV203" s="193">
        <f>IFERROR(DV12/DV72*1000,"")</f>
        <v>873.94957983193274</v>
      </c>
      <c r="DW203" s="193">
        <f>IFERROR(DW12/DW72*1000,"")</f>
        <v>882.88288288288288</v>
      </c>
      <c r="DX203" s="193">
        <f>IFERROR(DX12/DX72*1000,"")</f>
        <v>885.39325842696621</v>
      </c>
      <c r="DZ203" s="37" t="str">
        <f t="shared" si="1229"/>
        <v>Revenue per carload ($)</v>
      </c>
      <c r="EA203" s="193">
        <f>IFERROR(EA12/EA72*1000,"")</f>
        <v>912.62135922330106</v>
      </c>
      <c r="EB203" s="193">
        <f>IFERROR(EB12/EB72*1000,"")</f>
        <v>847.45762711864404</v>
      </c>
      <c r="EC203" s="193">
        <f>IFERROR(EC12/EC72*1000,"")</f>
        <v>869.15887850467288</v>
      </c>
      <c r="ED203" s="193">
        <f>IFERROR(ED12/ED72*1000,"")</f>
        <v>881.18811881188117</v>
      </c>
      <c r="EE203" s="193">
        <f>IFERROR(EE12/EE72*1000,"")</f>
        <v>876.45687645687644</v>
      </c>
      <c r="EG203" s="37" t="str">
        <f t="shared" si="1230"/>
        <v>Revenue per carload ($)</v>
      </c>
      <c r="EH203" s="193">
        <f>IFERROR(EH12/EH72*1000,"")</f>
        <v>911.50442477876106</v>
      </c>
      <c r="EI203" s="193">
        <f>IFERROR(EI12/EI72*1000,"")</f>
        <v>908.25688073394497</v>
      </c>
      <c r="EJ203" s="193">
        <f>IFERROR(EJ12/EJ72*1000,"")</f>
        <v>925.23364485981313</v>
      </c>
      <c r="EK203" s="193">
        <f>IFERROR(EK12/EK72*1000,"")</f>
        <v>914.28571428571422</v>
      </c>
      <c r="EL203" s="193">
        <f>IFERROR(EL12/EL72*1000,"")</f>
        <v>914.74654377880188</v>
      </c>
      <c r="EN203" s="37" t="str">
        <f t="shared" si="1231"/>
        <v>Revenue per carload ($)</v>
      </c>
      <c r="EO203" s="193" t="str">
        <f>IFERROR(EO12/EO72*1000,"")</f>
        <v/>
      </c>
      <c r="EP203" s="193" t="str">
        <f>IFERROR(EP12/EP72*1000,"")</f>
        <v/>
      </c>
      <c r="EQ203" s="193" t="str">
        <f>IFERROR(EQ12/EQ72*1000,"")</f>
        <v/>
      </c>
      <c r="ER203" s="193" t="str">
        <f>IFERROR(ER12/ER72*1000,"")</f>
        <v/>
      </c>
      <c r="ES203" s="193" t="str">
        <f>IFERROR(ES12/ES72*1000,"")</f>
        <v/>
      </c>
      <c r="EU203" s="37" t="str">
        <f t="shared" si="1232"/>
        <v>Revenue per carload ($)</v>
      </c>
      <c r="EV203" s="193" t="str">
        <f>IFERROR(EV12/EV72*1000,"")</f>
        <v/>
      </c>
      <c r="EW203" s="193" t="str">
        <f>IFERROR(EW12/EW72*1000,"")</f>
        <v/>
      </c>
      <c r="EX203" s="193" t="str">
        <f>IFERROR(EX12/EX72*1000,"")</f>
        <v/>
      </c>
      <c r="EY203" s="193" t="str">
        <f>IFERROR(EY12/EY72*1000,"")</f>
        <v/>
      </c>
      <c r="EZ203" s="193" t="str">
        <f>IFERROR(EZ12/EZ72*1000,"")</f>
        <v/>
      </c>
      <c r="FB203" s="37" t="str">
        <f t="shared" si="1233"/>
        <v>Revenue per carload ($)</v>
      </c>
      <c r="FC203" s="193" t="str">
        <f>IFERROR(FC12/FC72*1000,"")</f>
        <v/>
      </c>
      <c r="FD203" s="193" t="str">
        <f>IFERROR(FD12/FD72*1000,"")</f>
        <v/>
      </c>
      <c r="FE203" s="193" t="str">
        <f>IFERROR(FE12/FE72*1000,"")</f>
        <v/>
      </c>
      <c r="FF203" s="193" t="str">
        <f>IFERROR(FF12/FF72*1000,"")</f>
        <v/>
      </c>
      <c r="FG203" s="193" t="str">
        <f>IFERROR(FG12/FG72*1000,"")</f>
        <v/>
      </c>
      <c r="FI203" s="37" t="str">
        <f t="shared" si="1234"/>
        <v>Revenue per carload ($)</v>
      </c>
      <c r="FJ203" s="193" t="str">
        <f>IFERROR(FJ12/FJ72*1000,"")</f>
        <v/>
      </c>
      <c r="FK203" s="193" t="str">
        <f>IFERROR(FK12/FK72*1000,"")</f>
        <v/>
      </c>
      <c r="FL203" s="193" t="str">
        <f>IFERROR(FL12/FL72*1000,"")</f>
        <v/>
      </c>
      <c r="FM203" s="193" t="str">
        <f>IFERROR(FM12/FM72*1000,"")</f>
        <v/>
      </c>
      <c r="FN203" s="193" t="str">
        <f>IFERROR(FN12/FN72*1000,"")</f>
        <v/>
      </c>
      <c r="FP203" s="37" t="str">
        <f t="shared" si="1235"/>
        <v>Revenue per carload ($)</v>
      </c>
      <c r="FQ203" s="193" t="str">
        <f>IFERROR(FQ12/FQ72*1000,"")</f>
        <v/>
      </c>
      <c r="FR203" s="193" t="str">
        <f>IFERROR(FR12/FR72*1000,"")</f>
        <v/>
      </c>
      <c r="FS203" s="193" t="str">
        <f>IFERROR(FS12/FS72*1000,"")</f>
        <v/>
      </c>
      <c r="FT203" s="193" t="str">
        <f>IFERROR(FT12/FT72*1000,"")</f>
        <v/>
      </c>
      <c r="FU203" s="193" t="str">
        <f>IFERROR(FU12/FU72*1000,"")</f>
        <v/>
      </c>
      <c r="FW203" s="37" t="str">
        <f t="shared" si="1236"/>
        <v>Revenue per carload ($)</v>
      </c>
      <c r="FX203" s="193" t="str">
        <f>IFERROR(FX12/FX72*1000,"")</f>
        <v/>
      </c>
      <c r="FY203" s="193" t="str">
        <f>IFERROR(FY12/FY72*1000,"")</f>
        <v/>
      </c>
      <c r="FZ203" s="193" t="str">
        <f>IFERROR(FZ12/FZ72*1000,"")</f>
        <v/>
      </c>
      <c r="GA203" s="193" t="str">
        <f>IFERROR(GA12/GA72*1000,"")</f>
        <v/>
      </c>
      <c r="GB203" s="193" t="str">
        <f>IFERROR(GB12/GB72*1000,"")</f>
        <v/>
      </c>
      <c r="GD203" s="37" t="str">
        <f t="shared" si="1237"/>
        <v>Revenue per carload ($)</v>
      </c>
      <c r="GE203" s="193" t="str">
        <f>IFERROR(GE12/GE72*1000,"")</f>
        <v/>
      </c>
      <c r="GF203" s="193" t="str">
        <f>IFERROR(GF12/GF72*1000,"")</f>
        <v/>
      </c>
      <c r="GG203" s="193" t="str">
        <f>IFERROR(GG12/GG72*1000,"")</f>
        <v/>
      </c>
      <c r="GH203" s="193" t="str">
        <f>IFERROR(GH12/GH72*1000,"")</f>
        <v/>
      </c>
      <c r="GI203" s="193" t="str">
        <f>IFERROR(GI12/GI72*1000,"")</f>
        <v/>
      </c>
      <c r="GK203" s="37" t="str">
        <f t="shared" si="1238"/>
        <v>Revenue per carload ($)</v>
      </c>
      <c r="GL203" s="193" t="str">
        <f>IFERROR(GL12/GL72*1000,"")</f>
        <v/>
      </c>
      <c r="GM203" s="193" t="str">
        <f>IFERROR(GM12/GM72*1000,"")</f>
        <v/>
      </c>
      <c r="GN203" s="193" t="str">
        <f>IFERROR(GN12/GN72*1000,"")</f>
        <v/>
      </c>
      <c r="GO203" s="193" t="str">
        <f>IFERROR(GO12/GO72*1000,"")</f>
        <v/>
      </c>
      <c r="GP203" s="193" t="str">
        <f>IFERROR(GP12/GP72*1000,"")</f>
        <v/>
      </c>
      <c r="GR203" s="37" t="str">
        <f t="shared" si="1239"/>
        <v>Revenue per carload ($)</v>
      </c>
      <c r="GS203" s="193" t="str">
        <f>IFERROR(GS12/GS72*1000,"")</f>
        <v/>
      </c>
      <c r="GT203" s="193" t="str">
        <f>IFERROR(GT12/GT72*1000,"")</f>
        <v/>
      </c>
      <c r="GU203" s="193" t="str">
        <f>IFERROR(GU12/GU72*1000,"")</f>
        <v/>
      </c>
      <c r="GV203" s="193" t="str">
        <f>IFERROR(GV12/GV72*1000,"")</f>
        <v/>
      </c>
      <c r="GW203" s="193" t="str">
        <f>IFERROR(GW12/GW72*1000,"")</f>
        <v/>
      </c>
      <c r="GY203" s="37" t="str">
        <f t="shared" si="1240"/>
        <v>Revenue per carload ($)</v>
      </c>
      <c r="GZ203" s="193" t="str">
        <f>IFERROR(GZ12/GZ72*1000,"")</f>
        <v/>
      </c>
      <c r="HA203" s="193" t="str">
        <f>IFERROR(HA12/HA72*1000,"")</f>
        <v/>
      </c>
      <c r="HB203" s="193" t="str">
        <f>IFERROR(HB12/HB72*1000,"")</f>
        <v/>
      </c>
      <c r="HC203" s="193" t="str">
        <f>IFERROR(HC12/HC72*1000,"")</f>
        <v/>
      </c>
      <c r="HD203" s="193" t="str">
        <f>IFERROR(HD12/HD72*1000,"")</f>
        <v/>
      </c>
      <c r="HF203" s="37" t="str">
        <f t="shared" si="1241"/>
        <v>Revenue per carload ($)</v>
      </c>
      <c r="HG203" s="193">
        <f>IFERROR(HG12/HG72*1000,"")</f>
        <v>1425.9259259259259</v>
      </c>
      <c r="HH203" s="193">
        <f>IFERROR(HH12/HH72*1000,"")</f>
        <v>1342.1052631578948</v>
      </c>
      <c r="HI203" s="193">
        <f>IFERROR(HI12/HI72*1000,"")</f>
        <v>1324.6753246753246</v>
      </c>
      <c r="HJ203" s="193">
        <f>IFERROR(HJ12/HJ72*1000,"")</f>
        <v>1371.4285714285713</v>
      </c>
      <c r="HK203" s="193">
        <f>IFERROR(HK12/HK72*1000,"")</f>
        <v>1361.0108303249099</v>
      </c>
      <c r="HM203" s="37" t="str">
        <f t="shared" si="1242"/>
        <v>Revenue per carload ($)</v>
      </c>
      <c r="HN203" s="193">
        <f>IFERROR(HN12/HN72*1000,"")</f>
        <v>1467.741935483871</v>
      </c>
      <c r="HO203" s="193">
        <f>IFERROR(HO12/HO72*1000,"")</f>
        <v>1412.5</v>
      </c>
      <c r="HP203" s="193">
        <f>IFERROR(HP12/HP72*1000,"")</f>
        <v>1443.0379746835442</v>
      </c>
      <c r="HQ203" s="193">
        <f>IFERROR(HQ12/HQ72*1000,"")</f>
        <v>1418.918918918919</v>
      </c>
      <c r="HR203" s="193">
        <f>IFERROR(HR12/HR72*1000,"")</f>
        <v>1433.8983050847457</v>
      </c>
      <c r="HT203" s="37" t="str">
        <f t="shared" si="1243"/>
        <v>Revenue per carload ($)</v>
      </c>
      <c r="HU203" s="193">
        <f>IFERROR(HU12/HU72*1000,"")</f>
        <v>1649.1228070175439</v>
      </c>
      <c r="HV203" s="193">
        <f>IFERROR(HV12/HV72*1000,"")</f>
        <v>1528.5714285714284</v>
      </c>
      <c r="HW203" s="193">
        <f>IFERROR(HW12/HW72*1000,"")</f>
        <v>1405.4054054054054</v>
      </c>
      <c r="HX203" s="193">
        <f>IFERROR(HX12/HX72*1000,"")</f>
        <v>1507.2463768115942</v>
      </c>
      <c r="HY203" s="193">
        <f>IFERROR(HY12/HY72*1000,"")</f>
        <v>1514.8148148148148</v>
      </c>
      <c r="IA203" s="37" t="str">
        <f t="shared" si="1244"/>
        <v>Revenue per carload ($)</v>
      </c>
      <c r="IB203" s="193">
        <f>IFERROR(IB12/IB72*1000,"")</f>
        <v>1678.5714285714287</v>
      </c>
      <c r="IC203" s="193">
        <f>IFERROR(IC12/IC72*1000,"")</f>
        <v>1534.2465753424656</v>
      </c>
      <c r="ID203" s="193">
        <f>IFERROR(ID12/ID72*1000,"")</f>
        <v>1480</v>
      </c>
      <c r="IE203" s="193">
        <f>IFERROR(IE12/IE72*1000,"")</f>
        <v>1590.9090909090908</v>
      </c>
      <c r="IF203" s="193">
        <f>IFERROR(IF12/IF72*1000,"")</f>
        <v>1562.9629629629628</v>
      </c>
      <c r="IH203" s="37" t="str">
        <f t="shared" si="1245"/>
        <v>Revenue per carload ($)</v>
      </c>
      <c r="II203" s="193">
        <f>IFERROR(II12/II72*1000,"")</f>
        <v>1754.7169811320755</v>
      </c>
      <c r="IJ203" s="193">
        <f>IFERROR(IJ12/IJ72*1000,"")</f>
        <v>1538.4615384615386</v>
      </c>
      <c r="IK203" s="193">
        <f>IFERROR(IK12/IK72*1000,"")</f>
        <v>1481.9277108433735</v>
      </c>
      <c r="IL203" s="193">
        <f>IFERROR(IL12/IL72*1000,"")</f>
        <v>1513.5135135135135</v>
      </c>
      <c r="IM203" s="193">
        <f>IFERROR(IM12/IM72*1000,"")</f>
        <v>1555.5555555555557</v>
      </c>
      <c r="IO203" s="37" t="str">
        <f t="shared" si="1246"/>
        <v>Revenue per carload ($)</v>
      </c>
      <c r="IP203" s="193">
        <f>IFERROR(IP12/IP72*1000,"")</f>
        <v>1694.9152542372881</v>
      </c>
      <c r="IQ203" s="193">
        <f>IFERROR(IQ12/IQ72*1000,"")</f>
        <v>1475.6097560975609</v>
      </c>
      <c r="IR203" s="193">
        <f>IFERROR(IR12/IR72*1000,"")</f>
        <v>1436.7816091954021</v>
      </c>
      <c r="IS203" s="193">
        <f>IFERROR(IS12/IS72*1000,"")</f>
        <v>1448.7179487179487</v>
      </c>
      <c r="IT203" s="193">
        <f>IFERROR(IT12/IT72*1000,"")</f>
        <v>1500</v>
      </c>
      <c r="IV203" s="37" t="str">
        <f t="shared" si="1247"/>
        <v>Revenue per carload ($)</v>
      </c>
      <c r="IW203" s="193">
        <f>IFERROR(IW12/IW72*1000,"")</f>
        <v>1620.6896551724137</v>
      </c>
      <c r="IX203" s="193">
        <f>IFERROR(IX12/IX72*1000,"")</f>
        <v>1465.1162790697674</v>
      </c>
      <c r="IY203" s="193">
        <f>IFERROR(IY12/IY72*1000,"")</f>
        <v>1453.4883720930231</v>
      </c>
      <c r="IZ203" s="193">
        <f>IFERROR(IZ12/IZ72*1000,"")</f>
        <v>1475</v>
      </c>
      <c r="JA203" s="193">
        <f>IFERROR(JA12/JA72*1000,"")</f>
        <v>1493.5483870967744</v>
      </c>
      <c r="JC203" s="37" t="str">
        <f t="shared" si="1248"/>
        <v>Revenue per carload ($)</v>
      </c>
      <c r="JD203" s="193">
        <f>IFERROR(JD12/JD72*1000,"")</f>
        <v>1628.5714285714287</v>
      </c>
      <c r="JE203" s="193">
        <f>IFERROR(JE12/JE72*1000,"")</f>
        <v>1910.4477611940299</v>
      </c>
      <c r="JF203" s="193">
        <f>IFERROR(JF12/JF72*1000,"")</f>
        <v>1875</v>
      </c>
      <c r="JG203" s="193">
        <f>IFERROR(JG12/JG72*1000,"")</f>
        <v>2848.4848484848485</v>
      </c>
      <c r="JH203" s="193">
        <f>IFERROR(JH12/JH72*1000,"")</f>
        <v>2059.925093632959</v>
      </c>
      <c r="JJ203" s="37" t="str">
        <f t="shared" si="1249"/>
        <v>Revenue per carload ($)</v>
      </c>
      <c r="JK203" s="193">
        <f>IFERROR(JK12/JK72*1000,"")</f>
        <v>1727.2727272727273</v>
      </c>
      <c r="JL203" s="193">
        <f>IFERROR(JL12/JL72*1000,"")</f>
        <v>1929.5774647887324</v>
      </c>
      <c r="JM203" s="193">
        <f>IFERROR(JM12/JM72*1000,"")</f>
        <v>1851.3513513513512</v>
      </c>
      <c r="JN203" s="193">
        <f>IFERROR(JN12/JN72*1000,"")</f>
        <v>1780.8219178082193</v>
      </c>
      <c r="JO203" s="193">
        <f>IFERROR(JO12/JO72*1000,"")</f>
        <v>1823.943661971831</v>
      </c>
      <c r="JQ203" s="37" t="str">
        <f t="shared" si="1250"/>
        <v>Revenue per carload ($)</v>
      </c>
      <c r="JR203" s="193">
        <f>IFERROR(JR12/JR72*1000,"")</f>
        <v>1782.6086956521738</v>
      </c>
      <c r="JS203" s="193">
        <f>IFERROR(JS12/JS72*1000,"")</f>
        <v>1633.3333333333333</v>
      </c>
      <c r="JT203" s="193">
        <f>IFERROR(JT12/JT72*1000,"")</f>
        <v>1986.3013698630136</v>
      </c>
      <c r="JU203" s="193">
        <f>IFERROR(JU12/JU72*1000,"")</f>
        <v>1943.661971830986</v>
      </c>
      <c r="JV203" s="193">
        <f>IFERROR(JV12/JV72*1000,"")</f>
        <v>1825.0825082508252</v>
      </c>
      <c r="JX203" s="37" t="str">
        <f t="shared" si="1251"/>
        <v>Revenue per carload ($)</v>
      </c>
      <c r="JY203" s="193">
        <f>IFERROR(JY12/JY72*1000,"")</f>
        <v>1716.2162162162163</v>
      </c>
      <c r="JZ203" s="193">
        <f>IFERROR(JZ12/JZ72*1000,"")</f>
        <v>1614.4578313253012</v>
      </c>
      <c r="KA203" s="193">
        <f>IFERROR(KA12/KA72*1000,"")</f>
        <v>1674.4186046511629</v>
      </c>
      <c r="KB203" s="193">
        <f>IFERROR(KB12/KB72*1000,"")</f>
        <v>1705.1282051282051</v>
      </c>
      <c r="KC203" s="193">
        <f>IFERROR(KC12/KC72*1000,"")</f>
        <v>1676.0124610591899</v>
      </c>
      <c r="KE203" s="37" t="str">
        <f t="shared" si="1252"/>
        <v>Revenue per carload ($)</v>
      </c>
      <c r="KF203" s="193">
        <f>IFERROR(KF12/KF72*1000,"")</f>
        <v>1865.6716417910447</v>
      </c>
      <c r="KG203" s="193">
        <f>IFERROR(KG12/KG72*1000,"")</f>
        <v>1747.1264367816093</v>
      </c>
      <c r="KH203" s="193">
        <f>IFERROR(KH12/KH72*1000,"")</f>
        <v>1800</v>
      </c>
      <c r="KI203" s="193">
        <f>IFERROR(KI12/KI72*1000,"")</f>
        <v>1827.1604938271603</v>
      </c>
      <c r="KJ203" s="193">
        <f>IFERROR(KJ12/KJ72*1000,"")</f>
        <v>1806.1538461538462</v>
      </c>
      <c r="KL203" s="37" t="str">
        <f t="shared" si="1253"/>
        <v>Revenue per carload ($)</v>
      </c>
      <c r="KM203" s="193">
        <f>IFERROR(KM12/KM72*1000,"")</f>
        <v>2000</v>
      </c>
      <c r="KN203" s="193">
        <f>IFERROR(KN12/KN72*1000,"")</f>
        <v>1888.8888888888889</v>
      </c>
      <c r="KO203" s="193">
        <f>IFERROR(KO12/KO72*1000,"")</f>
        <v>1978.0219780219782</v>
      </c>
      <c r="KP203" s="193">
        <f>IFERROR(KP12/KP72*1000,"")</f>
        <v>1952.3809523809523</v>
      </c>
      <c r="KQ203" s="193">
        <f>IFERROR(KQ12/KQ72*1000,"")</f>
        <v>1952.5222551928782</v>
      </c>
      <c r="KS203" s="37" t="str">
        <f t="shared" si="1254"/>
        <v>Revenue per carload ($)</v>
      </c>
      <c r="KT203" s="193">
        <f>IFERROR(KT12/KT72*1000,"")</f>
        <v>2084.3373493975905</v>
      </c>
      <c r="KU203" s="193">
        <f>IFERROR(KU12/KU72*1000,"")</f>
        <v>2010.5263157894738</v>
      </c>
      <c r="KV203" s="193">
        <f>IFERROR(KV12/KV72*1000,"")</f>
        <v>2000</v>
      </c>
      <c r="KW203" s="193">
        <f>IFERROR(KW12/KW72*1000,"")</f>
        <v>2105.8823529411766</v>
      </c>
      <c r="KX203" s="193">
        <f>IFERROR(KX12/KX72*1000,"")</f>
        <v>2047.4860335195531</v>
      </c>
      <c r="KZ203" s="37" t="str">
        <f t="shared" si="1255"/>
        <v>Revenue per carload ($)</v>
      </c>
      <c r="LA203" s="193">
        <f>IFERROR(LA12/LA72*1000,"")</f>
        <v>2175</v>
      </c>
      <c r="LB203" s="193">
        <f>IFERROR(LB12/LB72*1000,"")</f>
        <v>2134.0206185567008</v>
      </c>
      <c r="LC203" s="193">
        <f>IFERROR(LC12/LC72*1000,"")</f>
        <v>2104.1666666666665</v>
      </c>
      <c r="LD203" s="193">
        <f>IFERROR(LD12/LD72*1000,"")</f>
        <v>2147.727272727273</v>
      </c>
      <c r="LE203" s="201">
        <f>LE206/LE200*1000</f>
        <v>2138.5041551246536</v>
      </c>
      <c r="LF203" s="563"/>
      <c r="LG203" s="37" t="str">
        <f t="shared" si="1256"/>
        <v>Revenue per carload ($)</v>
      </c>
      <c r="LH203" s="193">
        <f>IFERROR(LH12/LH72*1000,"")</f>
        <v>2291.1392405063293</v>
      </c>
      <c r="LI203" s="193">
        <f>IFERROR(LI12/LI72*1000,"")</f>
        <v>2202.0202020202019</v>
      </c>
      <c r="LJ203" s="193">
        <f>IFERROR(LJ12/LJ72*1000,"")</f>
        <v>2173.0769230769229</v>
      </c>
      <c r="LK203" s="193">
        <f>IFERROR(LK12/LK72*1000,"")</f>
        <v>2225.8064516129029</v>
      </c>
      <c r="LL203" s="201">
        <f>LL206/LL200*1000</f>
        <v>2218.6666666666665</v>
      </c>
      <c r="LM203" s="563"/>
      <c r="LN203" s="37" t="str">
        <f t="shared" si="1257"/>
        <v>Revenue per carload ($)</v>
      </c>
      <c r="LO203" s="193">
        <f>(LH203)*(1+LO204)</f>
        <v>2377.0569620253168</v>
      </c>
      <c r="LP203" s="193">
        <f t="shared" ref="LP203" si="2916">(LI203)*(1+LP204)</f>
        <v>2284.5959595959598</v>
      </c>
      <c r="LQ203" s="193">
        <f t="shared" ref="LQ203" si="2917">(LJ203)*(1+LQ204)</f>
        <v>2249.1346153846148</v>
      </c>
      <c r="LR203" s="193">
        <f t="shared" ref="LR203" si="2918">(LK203)*(1+LR204)</f>
        <v>2303.7096774193542</v>
      </c>
      <c r="LS203" s="201">
        <f>LS206/LS200*1000</f>
        <v>2299.4529866470184</v>
      </c>
      <c r="LT203" s="563"/>
      <c r="LU203" s="37" t="str">
        <f t="shared" si="1261"/>
        <v>Revenue per carload ($)</v>
      </c>
      <c r="LV203" s="193">
        <f>(LO203)*(1+LV204)</f>
        <v>2454.3113132911394</v>
      </c>
      <c r="LW203" s="193">
        <f t="shared" ref="LW203" si="2919">(LP203)*(1+LW204)</f>
        <v>2335.9993686868688</v>
      </c>
      <c r="LX203" s="193">
        <f t="shared" ref="LX203" si="2920">(LQ203)*(1+LX204)</f>
        <v>2310.9858173076918</v>
      </c>
      <c r="LY203" s="193">
        <f t="shared" ref="LY203" si="2921">(LR203)*(1+LY204)</f>
        <v>2367.0616935483868</v>
      </c>
      <c r="LZ203" s="201">
        <f>LZ206/LZ200*1000</f>
        <v>2362.2036000859607</v>
      </c>
      <c r="MA203" s="563"/>
      <c r="MB203" s="37" t="str">
        <f t="shared" si="1265"/>
        <v>Revenue per carload ($)</v>
      </c>
      <c r="MC203" s="193">
        <f>(LV203)*(1+MC204)</f>
        <v>2515.6690961234176</v>
      </c>
      <c r="MD203" s="193">
        <f t="shared" ref="MD203" si="2922">(LW203)*(1+MD204)</f>
        <v>2394.3993529040404</v>
      </c>
      <c r="ME203" s="193">
        <f t="shared" ref="ME203" si="2923">(LX203)*(1+ME204)</f>
        <v>2368.7604627403839</v>
      </c>
      <c r="MF203" s="193">
        <f t="shared" ref="MF203" si="2924">(LY203)*(1+MF204)</f>
        <v>2426.2382358870964</v>
      </c>
      <c r="MG203" s="201">
        <f>MG206/MG200*1000</f>
        <v>2421.2586900881092</v>
      </c>
      <c r="MH203" s="563"/>
    </row>
    <row r="204" spans="1:346" s="37" customFormat="1" ht="13.15" x14ac:dyDescent="0.4">
      <c r="A204" s="100"/>
      <c r="B204" s="197" t="s">
        <v>516</v>
      </c>
      <c r="C204" s="186"/>
      <c r="D204" s="186"/>
      <c r="E204" s="186"/>
      <c r="F204" s="186"/>
      <c r="G204" s="186"/>
      <c r="H204" s="186"/>
      <c r="I204" s="186"/>
      <c r="J204" s="186"/>
      <c r="K204" s="186"/>
      <c r="L204" s="186"/>
      <c r="M204" s="186"/>
      <c r="N204" s="193"/>
      <c r="O204" s="198">
        <f>O203/N203-1</f>
        <v>8.9174300757830505E-3</v>
      </c>
      <c r="P204" s="198">
        <f t="shared" ref="P204:BA204" si="2925">P203/O203-1</f>
        <v>0.13588332157139482</v>
      </c>
      <c r="Q204" s="198">
        <f t="shared" si="2925"/>
        <v>-4.1549191274670161E-4</v>
      </c>
      <c r="R204" s="198">
        <f t="shared" si="2925"/>
        <v>-8.8780437152795599E-3</v>
      </c>
      <c r="S204" s="198">
        <f t="shared" si="2925"/>
        <v>-1.8676136527015053E-2</v>
      </c>
      <c r="T204" s="198">
        <f t="shared" si="2925"/>
        <v>3.9805439745880467E-2</v>
      </c>
      <c r="U204" s="198">
        <f t="shared" si="2925"/>
        <v>-1.952447552447556E-2</v>
      </c>
      <c r="V204" s="198">
        <f t="shared" si="2925"/>
        <v>-3.0611342121561469E-3</v>
      </c>
      <c r="W204" s="198">
        <f t="shared" si="2925"/>
        <v>-1.0093121768248614E-2</v>
      </c>
      <c r="X204" s="198">
        <f t="shared" si="2925"/>
        <v>4.368688106677121E-2</v>
      </c>
      <c r="Y204" s="198" t="e">
        <f t="shared" si="2925"/>
        <v>#VALUE!</v>
      </c>
      <c r="Z204" s="198" t="e">
        <f t="shared" si="2925"/>
        <v>#VALUE!</v>
      </c>
      <c r="AA204" s="198" t="e">
        <f t="shared" si="2925"/>
        <v>#VALUE!</v>
      </c>
      <c r="AB204" s="198" t="e">
        <f t="shared" si="2925"/>
        <v>#VALUE!</v>
      </c>
      <c r="AC204" s="198" t="e">
        <f t="shared" si="2925"/>
        <v>#VALUE!</v>
      </c>
      <c r="AD204" s="198" t="e">
        <f t="shared" si="2925"/>
        <v>#VALUE!</v>
      </c>
      <c r="AE204" s="198" t="e">
        <f t="shared" si="2925"/>
        <v>#VALUE!</v>
      </c>
      <c r="AF204" s="198" t="e">
        <f t="shared" si="2925"/>
        <v>#VALUE!</v>
      </c>
      <c r="AG204" s="198" t="e">
        <f t="shared" si="2925"/>
        <v>#VALUE!</v>
      </c>
      <c r="AH204" s="198" t="e">
        <f t="shared" si="2925"/>
        <v>#VALUE!</v>
      </c>
      <c r="AI204" s="198" t="e">
        <f t="shared" si="2925"/>
        <v>#VALUE!</v>
      </c>
      <c r="AJ204" s="198">
        <f t="shared" si="2925"/>
        <v>5.355392707818174E-2</v>
      </c>
      <c r="AK204" s="198">
        <f t="shared" si="2925"/>
        <v>5.6431135627353024E-2</v>
      </c>
      <c r="AL204" s="198">
        <f t="shared" si="2925"/>
        <v>3.1784841075794601E-2</v>
      </c>
      <c r="AM204" s="198">
        <f t="shared" si="2925"/>
        <v>-4.7393364928908222E-3</v>
      </c>
      <c r="AN204" s="198">
        <f t="shared" si="2925"/>
        <v>-3.5714285714285809E-2</v>
      </c>
      <c r="AO204" s="198">
        <f t="shared" si="2925"/>
        <v>-4.3010752688170673E-3</v>
      </c>
      <c r="AP204" s="198">
        <f t="shared" si="2925"/>
        <v>0.37921550545619276</v>
      </c>
      <c r="AQ204" s="198">
        <f t="shared" si="2925"/>
        <v>-0.11455825864276581</v>
      </c>
      <c r="AR204" s="198">
        <f t="shared" si="2925"/>
        <v>6.2438676300069496E-4</v>
      </c>
      <c r="AS204" s="198">
        <f t="shared" si="2925"/>
        <v>-8.1678524953102127E-2</v>
      </c>
      <c r="AT204" s="198">
        <f t="shared" si="2925"/>
        <v>7.764941378324286E-2</v>
      </c>
      <c r="AU204" s="198">
        <f t="shared" si="2925"/>
        <v>8.1038727321440129E-2</v>
      </c>
      <c r="AV204" s="198">
        <f t="shared" si="2925"/>
        <v>4.8636463975819888E-2</v>
      </c>
      <c r="AW204" s="198">
        <f t="shared" si="2925"/>
        <v>4.4453598273705319E-2</v>
      </c>
      <c r="AX204" s="198">
        <f t="shared" si="2925"/>
        <v>3.7485319516407545E-2</v>
      </c>
      <c r="AY204" s="198">
        <f t="shared" si="2925"/>
        <v>3.641210335652878E-2</v>
      </c>
      <c r="AZ204" s="198">
        <f t="shared" si="2925"/>
        <v>2.7289365689725731E-2</v>
      </c>
      <c r="BA204" s="198">
        <f t="shared" si="2925"/>
        <v>2.4999999999999689E-2</v>
      </c>
      <c r="BB204" s="198"/>
      <c r="BC204" s="198"/>
      <c r="BD204" s="198"/>
      <c r="BE204" s="198"/>
      <c r="BF204" s="198"/>
      <c r="BG204" s="198"/>
      <c r="BH204" s="198"/>
      <c r="BI204" s="198"/>
      <c r="BJ204" s="198"/>
      <c r="BK204" s="198"/>
      <c r="BL204" s="198"/>
      <c r="BM204" s="198"/>
      <c r="BO204" s="197" t="str">
        <f t="shared" si="1220"/>
        <v>YoY Change (%)</v>
      </c>
      <c r="BP204" s="193"/>
      <c r="BQ204" s="193"/>
      <c r="BR204" s="193"/>
      <c r="BS204" s="193"/>
      <c r="BT204" s="193"/>
      <c r="BV204" s="197" t="str">
        <f t="shared" si="1221"/>
        <v>YoY Change (%)</v>
      </c>
      <c r="BW204" s="198">
        <f>BW203/BP203-1</f>
        <v>-2.2489861128179967E-2</v>
      </c>
      <c r="BX204" s="198">
        <f t="shared" ref="BX204" si="2926">BX203/BQ203-1</f>
        <v>2.566788894709271E-2</v>
      </c>
      <c r="BY204" s="198">
        <f t="shared" ref="BY204" si="2927">BY203/BR203-1</f>
        <v>4.5556385362210516E-2</v>
      </c>
      <c r="BZ204" s="198">
        <f t="shared" ref="BZ204" si="2928">BZ203/BS203-1</f>
        <v>-1.1823619418556031E-2</v>
      </c>
      <c r="CA204" s="198">
        <f t="shared" ref="CA204" si="2929">CA203/BT203-1</f>
        <v>8.9174300757830505E-3</v>
      </c>
      <c r="CC204" s="197" t="str">
        <f t="shared" si="1222"/>
        <v>YoY Change (%)</v>
      </c>
      <c r="CD204" s="198">
        <f>CD203/BW203-1</f>
        <v>0.1569319640564828</v>
      </c>
      <c r="CE204" s="198">
        <f t="shared" ref="CE204" si="2930">CE203/BX203-1</f>
        <v>0.14011896893588904</v>
      </c>
      <c r="CF204" s="198">
        <f t="shared" ref="CF204" si="2931">CF203/BY203-1</f>
        <v>0.13422619047619055</v>
      </c>
      <c r="CG204" s="198">
        <f t="shared" ref="CG204" si="2932">CG203/BZ203-1</f>
        <v>0.10975609756097571</v>
      </c>
      <c r="CH204" s="198">
        <f t="shared" ref="CH204" si="2933">CH203/CA203-1</f>
        <v>0.13588332157139482</v>
      </c>
      <c r="CJ204" s="197" t="str">
        <f t="shared" si="1223"/>
        <v>YoY Change (%)</v>
      </c>
      <c r="CK204" s="198">
        <f>CK203/CD203-1</f>
        <v>1.6998191681735886E-2</v>
      </c>
      <c r="CL204" s="198">
        <f t="shared" ref="CL204" si="2934">CL203/CE203-1</f>
        <v>5.9925093632957616E-3</v>
      </c>
      <c r="CM204" s="198">
        <f t="shared" ref="CM204" si="2935">CM203/CF203-1</f>
        <v>-3.6036036036036778E-3</v>
      </c>
      <c r="CN204" s="198">
        <f t="shared" ref="CN204" si="2936">CN203/CG203-1</f>
        <v>-1.9260639950295255E-2</v>
      </c>
      <c r="CO204" s="198">
        <f t="shared" ref="CO204" si="2937">CO203/CH203-1</f>
        <v>-4.1549191274670161E-4</v>
      </c>
      <c r="CQ204" s="197" t="str">
        <f t="shared" si="1224"/>
        <v>YoY Change (%)</v>
      </c>
      <c r="CR204" s="198">
        <f>CR203/CK203-1</f>
        <v>1.6683350016684084E-3</v>
      </c>
      <c r="CS204" s="198">
        <f t="shared" ref="CS204" si="2938">CS203/CL203-1</f>
        <v>-2.5052742616032964E-3</v>
      </c>
      <c r="CT204" s="198">
        <f t="shared" ref="CT204" si="2939">CT203/CM203-1</f>
        <v>-2.0253164556961911E-2</v>
      </c>
      <c r="CU204" s="198">
        <f t="shared" ref="CU204" si="2940">CU203/CN203-1</f>
        <v>-9.9076181550408204E-3</v>
      </c>
      <c r="CV204" s="198">
        <f t="shared" ref="CV204" si="2941">CV203/CO203-1</f>
        <v>-8.8780437152795599E-3</v>
      </c>
      <c r="CX204" s="197" t="str">
        <f t="shared" si="1225"/>
        <v>YoY Change (%)</v>
      </c>
      <c r="CY204" s="198">
        <f>CY203/CR203-1</f>
        <v>-3.6254199328107473E-2</v>
      </c>
      <c r="CZ204" s="198">
        <f t="shared" ref="CZ204" si="2942">CZ203/CS203-1</f>
        <v>-1.5650296815973963E-2</v>
      </c>
      <c r="DA204" s="198">
        <f t="shared" ref="DA204" si="2943">DA203/CT203-1</f>
        <v>5.6568196103079504E-3</v>
      </c>
      <c r="DB204" s="198">
        <f t="shared" ref="DB204" si="2944">DB203/CU203-1</f>
        <v>-3.2717086834733955E-2</v>
      </c>
      <c r="DC204" s="198">
        <f t="shared" ref="DC204" si="2945">DC203/CV203-1</f>
        <v>-1.8676136527015053E-2</v>
      </c>
      <c r="DE204" s="197" t="str">
        <f t="shared" si="1226"/>
        <v>YoY Change (%)</v>
      </c>
      <c r="DF204" s="198">
        <f>DF203/CY203-1</f>
        <v>3.8175270108043113E-2</v>
      </c>
      <c r="DG204" s="198">
        <f t="shared" ref="DG204" si="2946">DG203/CZ203-1</f>
        <v>2.1052631578947212E-2</v>
      </c>
      <c r="DH204" s="198">
        <f t="shared" ref="DH204" si="2947">DH203/DA203-1</f>
        <v>3.7383177570093462E-2</v>
      </c>
      <c r="DI204" s="198">
        <f t="shared" ref="DI204" si="2948">DI203/DB203-1</f>
        <v>6.1797752808988804E-2</v>
      </c>
      <c r="DJ204" s="198">
        <f t="shared" ref="DJ204" si="2949">DJ203/DC203-1</f>
        <v>3.9805439745880467E-2</v>
      </c>
      <c r="DL204" s="197" t="str">
        <f t="shared" si="1227"/>
        <v>YoY Change (%)</v>
      </c>
      <c r="DM204" s="198">
        <f>DM203/DF203-1</f>
        <v>-1.4107308048103673E-2</v>
      </c>
      <c r="DN204" s="198">
        <f t="shared" ref="DN204" si="2950">DN203/DG203-1</f>
        <v>3.3136966126656731E-3</v>
      </c>
      <c r="DO204" s="198">
        <f t="shared" ref="DO204" si="2951">DO203/DH203-1</f>
        <v>-1.4787946428571397E-2</v>
      </c>
      <c r="DP204" s="198">
        <f t="shared" ref="DP204" si="2952">DP203/DI203-1</f>
        <v>-4.9049049049048943E-2</v>
      </c>
      <c r="DQ204" s="198">
        <f t="shared" ref="DQ204" si="2953">DQ203/DJ203-1</f>
        <v>-1.952447552447556E-2</v>
      </c>
      <c r="DS204" s="197" t="str">
        <f t="shared" si="1228"/>
        <v>YoY Change (%)</v>
      </c>
      <c r="DT204" s="198">
        <f>DT203/DM203-1</f>
        <v>-3.3819628647214772E-2</v>
      </c>
      <c r="DU204" s="198">
        <f t="shared" ref="DU204" si="2954">DU203/DN203-1</f>
        <v>-1.0810810810811811E-3</v>
      </c>
      <c r="DV204" s="198">
        <f t="shared" ref="DV204" si="2955">DV203/DO203-1</f>
        <v>-1.1289364230540722E-2</v>
      </c>
      <c r="DW204" s="198">
        <f t="shared" ref="DW204" si="2956">DW203/DP203-1</f>
        <v>3.1578947368420929E-2</v>
      </c>
      <c r="DX204" s="198">
        <f t="shared" ref="DX204" si="2957">DX203/DQ203-1</f>
        <v>-3.0611342121561469E-3</v>
      </c>
      <c r="DZ204" s="197" t="str">
        <f t="shared" si="1229"/>
        <v>YoY Change (%)</v>
      </c>
      <c r="EA204" s="198">
        <f>EA203/DT203-1</f>
        <v>2.0565821066917289E-2</v>
      </c>
      <c r="EB204" s="198">
        <f t="shared" ref="EB204" si="2958">EB203/DU203-1</f>
        <v>-4.9820236260914252E-2</v>
      </c>
      <c r="EC204" s="198">
        <f t="shared" ref="EC204" si="2959">EC203/DV203-1</f>
        <v>-5.4816678648453854E-3</v>
      </c>
      <c r="ED204" s="198">
        <f t="shared" ref="ED204" si="2960">ED203/DW203-1</f>
        <v>-1.9195797130733272E-3</v>
      </c>
      <c r="EE204" s="198">
        <f t="shared" ref="EE204" si="2961">EE203/DX203-1</f>
        <v>-1.0093121768248614E-2</v>
      </c>
      <c r="EG204" s="197" t="str">
        <f t="shared" si="1230"/>
        <v>YoY Change (%)</v>
      </c>
      <c r="EH204" s="198">
        <f>EH203/EA203-1</f>
        <v>-1.2238749764640344E-3</v>
      </c>
      <c r="EI204" s="198">
        <f t="shared" ref="EI204" si="2962">EI203/EB203-1</f>
        <v>7.1743119266055144E-2</v>
      </c>
      <c r="EJ204" s="198">
        <f t="shared" ref="EJ204" si="2963">EJ203/EC203-1</f>
        <v>6.4516129032258229E-2</v>
      </c>
      <c r="EK204" s="198">
        <f t="shared" ref="EK204" si="2964">EK203/ED203-1</f>
        <v>3.7560192616372445E-2</v>
      </c>
      <c r="EL204" s="198">
        <f t="shared" ref="EL204" si="2965">EL203/EE203-1</f>
        <v>4.368688106677121E-2</v>
      </c>
      <c r="EN204" s="197" t="str">
        <f t="shared" si="1231"/>
        <v>YoY Change (%)</v>
      </c>
      <c r="EO204" s="198" t="e">
        <f>EO203/EH203-1</f>
        <v>#VALUE!</v>
      </c>
      <c r="EP204" s="198" t="e">
        <f t="shared" ref="EP204" si="2966">EP203/EI203-1</f>
        <v>#VALUE!</v>
      </c>
      <c r="EQ204" s="198" t="e">
        <f t="shared" ref="EQ204" si="2967">EQ203/EJ203-1</f>
        <v>#VALUE!</v>
      </c>
      <c r="ER204" s="198" t="e">
        <f t="shared" ref="ER204" si="2968">ER203/EK203-1</f>
        <v>#VALUE!</v>
      </c>
      <c r="ES204" s="198" t="e">
        <f t="shared" ref="ES204" si="2969">ES203/EL203-1</f>
        <v>#VALUE!</v>
      </c>
      <c r="EU204" s="197" t="str">
        <f t="shared" si="1232"/>
        <v>YoY Change (%)</v>
      </c>
      <c r="EV204" s="198" t="e">
        <f>EV203/EO203-1</f>
        <v>#VALUE!</v>
      </c>
      <c r="EW204" s="198" t="e">
        <f t="shared" ref="EW204" si="2970">EW203/EP203-1</f>
        <v>#VALUE!</v>
      </c>
      <c r="EX204" s="198" t="e">
        <f t="shared" ref="EX204" si="2971">EX203/EQ203-1</f>
        <v>#VALUE!</v>
      </c>
      <c r="EY204" s="198" t="e">
        <f t="shared" ref="EY204" si="2972">EY203/ER203-1</f>
        <v>#VALUE!</v>
      </c>
      <c r="EZ204" s="198" t="e">
        <f t="shared" ref="EZ204" si="2973">EZ203/ES203-1</f>
        <v>#VALUE!</v>
      </c>
      <c r="FB204" s="197" t="str">
        <f t="shared" si="1233"/>
        <v>YoY Change (%)</v>
      </c>
      <c r="FC204" s="198" t="e">
        <f>FC203/EV203-1</f>
        <v>#VALUE!</v>
      </c>
      <c r="FD204" s="198" t="e">
        <f t="shared" ref="FD204" si="2974">FD203/EW203-1</f>
        <v>#VALUE!</v>
      </c>
      <c r="FE204" s="198" t="e">
        <f t="shared" ref="FE204" si="2975">FE203/EX203-1</f>
        <v>#VALUE!</v>
      </c>
      <c r="FF204" s="198" t="e">
        <f t="shared" ref="FF204" si="2976">FF203/EY203-1</f>
        <v>#VALUE!</v>
      </c>
      <c r="FG204" s="198" t="e">
        <f t="shared" ref="FG204" si="2977">FG203/EZ203-1</f>
        <v>#VALUE!</v>
      </c>
      <c r="FI204" s="197" t="str">
        <f t="shared" si="1234"/>
        <v>YoY Change (%)</v>
      </c>
      <c r="FJ204" s="198" t="e">
        <f>FJ203/FC203-1</f>
        <v>#VALUE!</v>
      </c>
      <c r="FK204" s="198" t="e">
        <f t="shared" ref="FK204" si="2978">FK203/FD203-1</f>
        <v>#VALUE!</v>
      </c>
      <c r="FL204" s="198" t="e">
        <f t="shared" ref="FL204" si="2979">FL203/FE203-1</f>
        <v>#VALUE!</v>
      </c>
      <c r="FM204" s="198" t="e">
        <f t="shared" ref="FM204" si="2980">FM203/FF203-1</f>
        <v>#VALUE!</v>
      </c>
      <c r="FN204" s="198" t="e">
        <f t="shared" ref="FN204" si="2981">FN203/FG203-1</f>
        <v>#VALUE!</v>
      </c>
      <c r="FP204" s="197" t="str">
        <f t="shared" si="1235"/>
        <v>YoY Change (%)</v>
      </c>
      <c r="FQ204" s="198" t="e">
        <f>FQ203/FJ203-1</f>
        <v>#VALUE!</v>
      </c>
      <c r="FR204" s="198" t="e">
        <f t="shared" ref="FR204" si="2982">FR203/FK203-1</f>
        <v>#VALUE!</v>
      </c>
      <c r="FS204" s="198" t="e">
        <f t="shared" ref="FS204" si="2983">FS203/FL203-1</f>
        <v>#VALUE!</v>
      </c>
      <c r="FT204" s="198" t="e">
        <f t="shared" ref="FT204" si="2984">FT203/FM203-1</f>
        <v>#VALUE!</v>
      </c>
      <c r="FU204" s="198" t="e">
        <f t="shared" ref="FU204" si="2985">FU203/FN203-1</f>
        <v>#VALUE!</v>
      </c>
      <c r="FW204" s="197" t="str">
        <f t="shared" si="1236"/>
        <v>YoY Change (%)</v>
      </c>
      <c r="FX204" s="198" t="e">
        <f>FX203/FQ203-1</f>
        <v>#VALUE!</v>
      </c>
      <c r="FY204" s="198" t="e">
        <f t="shared" ref="FY204" si="2986">FY203/FR203-1</f>
        <v>#VALUE!</v>
      </c>
      <c r="FZ204" s="198" t="e">
        <f t="shared" ref="FZ204" si="2987">FZ203/FS203-1</f>
        <v>#VALUE!</v>
      </c>
      <c r="GA204" s="198" t="e">
        <f t="shared" ref="GA204" si="2988">GA203/FT203-1</f>
        <v>#VALUE!</v>
      </c>
      <c r="GB204" s="198" t="e">
        <f t="shared" ref="GB204" si="2989">GB203/FU203-1</f>
        <v>#VALUE!</v>
      </c>
      <c r="GD204" s="197" t="str">
        <f t="shared" si="1237"/>
        <v>YoY Change (%)</v>
      </c>
      <c r="GE204" s="198" t="e">
        <f>GE203/FX203-1</f>
        <v>#VALUE!</v>
      </c>
      <c r="GF204" s="198" t="e">
        <f t="shared" ref="GF204" si="2990">GF203/FY203-1</f>
        <v>#VALUE!</v>
      </c>
      <c r="GG204" s="198" t="e">
        <f t="shared" ref="GG204" si="2991">GG203/FZ203-1</f>
        <v>#VALUE!</v>
      </c>
      <c r="GH204" s="198" t="e">
        <f t="shared" ref="GH204" si="2992">GH203/GA203-1</f>
        <v>#VALUE!</v>
      </c>
      <c r="GI204" s="198" t="e">
        <f t="shared" ref="GI204" si="2993">GI203/GB203-1</f>
        <v>#VALUE!</v>
      </c>
      <c r="GK204" s="197" t="str">
        <f t="shared" si="1238"/>
        <v>YoY Change (%)</v>
      </c>
      <c r="GL204" s="198" t="e">
        <f>GL203/GE203-1</f>
        <v>#VALUE!</v>
      </c>
      <c r="GM204" s="198" t="e">
        <f t="shared" ref="GM204" si="2994">GM203/GF203-1</f>
        <v>#VALUE!</v>
      </c>
      <c r="GN204" s="198" t="e">
        <f t="shared" ref="GN204" si="2995">GN203/GG203-1</f>
        <v>#VALUE!</v>
      </c>
      <c r="GO204" s="198" t="e">
        <f t="shared" ref="GO204" si="2996">GO203/GH203-1</f>
        <v>#VALUE!</v>
      </c>
      <c r="GP204" s="198" t="e">
        <f t="shared" ref="GP204" si="2997">GP203/GI203-1</f>
        <v>#VALUE!</v>
      </c>
      <c r="GR204" s="197" t="str">
        <f t="shared" si="1239"/>
        <v>YoY Change (%)</v>
      </c>
      <c r="GS204" s="198" t="e">
        <f>GS203/GL203-1</f>
        <v>#VALUE!</v>
      </c>
      <c r="GT204" s="198" t="e">
        <f t="shared" ref="GT204" si="2998">GT203/GM203-1</f>
        <v>#VALUE!</v>
      </c>
      <c r="GU204" s="198" t="e">
        <f t="shared" ref="GU204" si="2999">GU203/GN203-1</f>
        <v>#VALUE!</v>
      </c>
      <c r="GV204" s="198" t="e">
        <f t="shared" ref="GV204" si="3000">GV203/GO203-1</f>
        <v>#VALUE!</v>
      </c>
      <c r="GW204" s="198" t="e">
        <f t="shared" ref="GW204" si="3001">GW203/GP203-1</f>
        <v>#VALUE!</v>
      </c>
      <c r="GY204" s="197" t="str">
        <f t="shared" si="1240"/>
        <v>YoY Change (%)</v>
      </c>
      <c r="GZ204" s="198" t="e">
        <f>GZ203/GS203-1</f>
        <v>#VALUE!</v>
      </c>
      <c r="HA204" s="198" t="e">
        <f t="shared" ref="HA204" si="3002">HA203/GT203-1</f>
        <v>#VALUE!</v>
      </c>
      <c r="HB204" s="198" t="e">
        <f t="shared" ref="HB204" si="3003">HB203/GU203-1</f>
        <v>#VALUE!</v>
      </c>
      <c r="HC204" s="198" t="e">
        <f t="shared" ref="HC204" si="3004">HC203/GV203-1</f>
        <v>#VALUE!</v>
      </c>
      <c r="HD204" s="198" t="e">
        <f t="shared" ref="HD204" si="3005">HD203/GW203-1</f>
        <v>#VALUE!</v>
      </c>
      <c r="HF204" s="197" t="str">
        <f t="shared" si="1241"/>
        <v>YoY Change (%)</v>
      </c>
      <c r="HG204" s="198" t="e">
        <f>HG203/GZ203-1</f>
        <v>#VALUE!</v>
      </c>
      <c r="HH204" s="198" t="e">
        <f t="shared" ref="HH204" si="3006">HH203/HA203-1</f>
        <v>#VALUE!</v>
      </c>
      <c r="HI204" s="198" t="e">
        <f t="shared" ref="HI204" si="3007">HI203/HB203-1</f>
        <v>#VALUE!</v>
      </c>
      <c r="HJ204" s="198" t="e">
        <f t="shared" ref="HJ204" si="3008">HJ203/HC203-1</f>
        <v>#VALUE!</v>
      </c>
      <c r="HK204" s="198" t="e">
        <f t="shared" ref="HK204" si="3009">HK203/HD203-1</f>
        <v>#VALUE!</v>
      </c>
      <c r="HM204" s="197" t="str">
        <f t="shared" si="1242"/>
        <v>YoY Change (%)</v>
      </c>
      <c r="HN204" s="198">
        <f>HN203/HG203-1</f>
        <v>2.9325513196480912E-2</v>
      </c>
      <c r="HO204" s="198">
        <f t="shared" ref="HO204" si="3010">HO203/HH203-1</f>
        <v>5.2450980392156898E-2</v>
      </c>
      <c r="HP204" s="198">
        <f t="shared" ref="HP204" si="3011">HP203/HI203-1</f>
        <v>8.935219657483251E-2</v>
      </c>
      <c r="HQ204" s="198">
        <f t="shared" ref="HQ204" si="3012">HQ203/HJ203-1</f>
        <v>3.462837837837851E-2</v>
      </c>
      <c r="HR204" s="198">
        <f t="shared" ref="HR204" si="3013">HR203/HK203-1</f>
        <v>5.355392707818174E-2</v>
      </c>
      <c r="HT204" s="197" t="str">
        <f t="shared" si="1243"/>
        <v>YoY Change (%)</v>
      </c>
      <c r="HU204" s="198">
        <f>HU203/HN203-1</f>
        <v>0.1235781762097552</v>
      </c>
      <c r="HV204" s="198">
        <f t="shared" ref="HV204" si="3014">HV203/HO203-1</f>
        <v>8.2174462705436158E-2</v>
      </c>
      <c r="HW204" s="198">
        <f t="shared" ref="HW204" si="3015">HW203/HP203-1</f>
        <v>-2.6078710289236584E-2</v>
      </c>
      <c r="HX204" s="198">
        <f t="shared" ref="HX204" si="3016">HX203/HQ203-1</f>
        <v>6.2249827467218743E-2</v>
      </c>
      <c r="HY204" s="198">
        <f t="shared" ref="HY204" si="3017">HY203/HR203-1</f>
        <v>5.6431135627353024E-2</v>
      </c>
      <c r="IA204" s="197" t="str">
        <f t="shared" si="1244"/>
        <v>YoY Change (%)</v>
      </c>
      <c r="IB204" s="198">
        <f>IB203/HU203-1</f>
        <v>1.7857142857142794E-2</v>
      </c>
      <c r="IC204" s="198">
        <f t="shared" ref="IC204" si="3018">IC203/HV203-1</f>
        <v>3.7127128408653842E-3</v>
      </c>
      <c r="ID204" s="198">
        <f t="shared" ref="ID204" si="3019">ID203/HW203-1</f>
        <v>5.3076923076923022E-2</v>
      </c>
      <c r="IE204" s="198">
        <f t="shared" ref="IE204" si="3020">IE203/HX203-1</f>
        <v>5.5506993006992911E-2</v>
      </c>
      <c r="IF204" s="198">
        <f t="shared" ref="IF204" si="3021">IF203/HY203-1</f>
        <v>3.1784841075794601E-2</v>
      </c>
      <c r="IH204" s="197" t="str">
        <f t="shared" si="1245"/>
        <v>YoY Change (%)</v>
      </c>
      <c r="II204" s="198">
        <f>II203/IB203-1</f>
        <v>4.536330790847054E-2</v>
      </c>
      <c r="IJ204" s="198">
        <f t="shared" ref="IJ204" si="3022">IJ203/IC203-1</f>
        <v>2.7472527472529595E-3</v>
      </c>
      <c r="IK204" s="198">
        <f t="shared" ref="IK204" si="3023">IK203/ID203-1</f>
        <v>1.3025073266037523E-3</v>
      </c>
      <c r="IL204" s="198">
        <f t="shared" ref="IL204" si="3024">IL203/IE203-1</f>
        <v>-4.8648648648648596E-2</v>
      </c>
      <c r="IM204" s="198">
        <f t="shared" ref="IM204" si="3025">IM203/IF203-1</f>
        <v>-4.7393364928908222E-3</v>
      </c>
      <c r="IO204" s="197" t="str">
        <f t="shared" si="1246"/>
        <v>YoY Change (%)</v>
      </c>
      <c r="IP204" s="198">
        <f>IP203/II203-1</f>
        <v>-3.4080554036814315E-2</v>
      </c>
      <c r="IQ204" s="198">
        <f t="shared" ref="IQ204" si="3026">IQ203/IJ203-1</f>
        <v>-4.0853658536585513E-2</v>
      </c>
      <c r="IR204" s="198">
        <f t="shared" ref="IR204" si="3027">IR203/IK203-1</f>
        <v>-3.0464442575460327E-2</v>
      </c>
      <c r="IS204" s="198">
        <f t="shared" ref="IS204" si="3028">IS203/IL203-1</f>
        <v>-4.281135531135527E-2</v>
      </c>
      <c r="IT204" s="198">
        <f t="shared" ref="IT204" si="3029">IT203/IM203-1</f>
        <v>-3.5714285714285809E-2</v>
      </c>
      <c r="IV204" s="197" t="str">
        <f t="shared" si="1247"/>
        <v>YoY Change (%)</v>
      </c>
      <c r="IW204" s="198">
        <f>IW203/IP203-1</f>
        <v>-4.3793103448275916E-2</v>
      </c>
      <c r="IX204" s="198">
        <f t="shared" ref="IX204" si="3030">IX203/IQ203-1</f>
        <v>-7.1112819527194837E-3</v>
      </c>
      <c r="IY204" s="198">
        <f t="shared" ref="IY204" si="3031">IY203/IR203-1</f>
        <v>1.1627906976744207E-2</v>
      </c>
      <c r="IZ204" s="198">
        <f t="shared" ref="IZ204" si="3032">IZ203/IS203-1</f>
        <v>1.8141592920353888E-2</v>
      </c>
      <c r="JA204" s="198">
        <f t="shared" ref="JA204" si="3033">JA203/IT203-1</f>
        <v>-4.3010752688170673E-3</v>
      </c>
      <c r="JC204" s="197" t="str">
        <f t="shared" si="1248"/>
        <v>YoY Change (%)</v>
      </c>
      <c r="JD204" s="198">
        <f>JD203/IW203-1</f>
        <v>4.8632218844986141E-3</v>
      </c>
      <c r="JE204" s="198">
        <f t="shared" ref="JE204" si="3034">JE203/IX203-1</f>
        <v>0.3039564084340205</v>
      </c>
      <c r="JF204" s="198">
        <f t="shared" ref="JF204" si="3035">JF203/IY203-1</f>
        <v>0.29000000000000004</v>
      </c>
      <c r="JG204" s="198">
        <f t="shared" ref="JG204" si="3036">JG203/IZ203-1</f>
        <v>0.93117616846430407</v>
      </c>
      <c r="JH204" s="198">
        <f t="shared" ref="JH204" si="3037">JH203/JA203-1</f>
        <v>0.37921550545619276</v>
      </c>
      <c r="JJ204" s="197" t="str">
        <f t="shared" si="1249"/>
        <v>YoY Change (%)</v>
      </c>
      <c r="JK204" s="198">
        <f>JK203/JD203-1</f>
        <v>6.0606060606060552E-2</v>
      </c>
      <c r="JL204" s="198">
        <f t="shared" ref="JL204" si="3038">JL203/JE203-1</f>
        <v>1.0013204225352013E-2</v>
      </c>
      <c r="JM204" s="198">
        <f t="shared" ref="JM204" si="3039">JM203/JF203-1</f>
        <v>-1.2612612612612706E-2</v>
      </c>
      <c r="JN204" s="198">
        <f t="shared" ref="JN204" si="3040">JN203/JG203-1</f>
        <v>-0.37481783736519958</v>
      </c>
      <c r="JO204" s="198">
        <f t="shared" ref="JO204" si="3041">JO203/JH203-1</f>
        <v>-0.11455825864276581</v>
      </c>
      <c r="JQ204" s="197" t="str">
        <f t="shared" si="1250"/>
        <v>YoY Change (%)</v>
      </c>
      <c r="JR204" s="198">
        <f>JR203/JK203-1</f>
        <v>3.203661327231111E-2</v>
      </c>
      <c r="JS204" s="198">
        <f t="shared" ref="JS204" si="3042">JS203/JL203-1</f>
        <v>-0.15352798053527983</v>
      </c>
      <c r="JT204" s="198">
        <f t="shared" ref="JT204" si="3043">JT203/JM203-1</f>
        <v>7.2892710728927224E-2</v>
      </c>
      <c r="JU204" s="198">
        <f t="shared" ref="JU204" si="3044">JU203/JN203-1</f>
        <v>9.1440953412784465E-2</v>
      </c>
      <c r="JV204" s="198">
        <f t="shared" ref="JV204" si="3045">JV203/JO203-1</f>
        <v>6.2438676300069496E-4</v>
      </c>
      <c r="JX204" s="197" t="str">
        <f t="shared" si="1251"/>
        <v>YoY Change (%)</v>
      </c>
      <c r="JY204" s="198">
        <f>JY203/JR203-1</f>
        <v>-3.7244561634805384E-2</v>
      </c>
      <c r="JZ204" s="198">
        <f t="shared" ref="JZ204" si="3046">JZ203/JS203-1</f>
        <v>-1.1556429800835932E-2</v>
      </c>
      <c r="KA204" s="198">
        <f t="shared" ref="KA204" si="3047">KA203/JT203-1</f>
        <v>-0.1570168404170007</v>
      </c>
      <c r="KB204" s="198">
        <f t="shared" ref="KB204" si="3048">KB203/JU203-1</f>
        <v>-0.1227238944630249</v>
      </c>
      <c r="KC204" s="198">
        <f t="shared" ref="KC204" si="3049">KC203/JV203-1</f>
        <v>-8.1678524953102127E-2</v>
      </c>
      <c r="KE204" s="197" t="str">
        <f t="shared" si="1252"/>
        <v>YoY Change (%)</v>
      </c>
      <c r="KF204" s="198">
        <f>KF203/JY203-1</f>
        <v>8.7084263720766275E-2</v>
      </c>
      <c r="KG204" s="198">
        <f t="shared" ref="KG204" si="3050">KG203/JZ203-1</f>
        <v>8.2175330245325195E-2</v>
      </c>
      <c r="KH204" s="198">
        <f t="shared" ref="KH204" si="3051">KH203/KA203-1</f>
        <v>7.4999999999999956E-2</v>
      </c>
      <c r="KI204" s="198">
        <f t="shared" ref="KI204" si="3052">KI203/KB203-1</f>
        <v>7.1567808409913614E-2</v>
      </c>
      <c r="KJ204" s="198">
        <f t="shared" ref="KJ204" si="3053">KJ203/KC203-1</f>
        <v>7.764941378324286E-2</v>
      </c>
      <c r="KL204" s="197" t="str">
        <f t="shared" si="1253"/>
        <v>YoY Change (%)</v>
      </c>
      <c r="KM204" s="198">
        <f>KM203/KF203-1</f>
        <v>7.2000000000000064E-2</v>
      </c>
      <c r="KN204" s="198">
        <f t="shared" ref="KN204" si="3054">KN203/KG203-1</f>
        <v>8.1140350877192846E-2</v>
      </c>
      <c r="KO204" s="198">
        <f t="shared" ref="KO204" si="3055">KO203/KH203-1</f>
        <v>9.8901098901098994E-2</v>
      </c>
      <c r="KP204" s="198">
        <f t="shared" ref="KP204" si="3056">KP203/KI203-1</f>
        <v>6.8532818532818673E-2</v>
      </c>
      <c r="KQ204" s="198">
        <f t="shared" ref="KQ204" si="3057">KQ203/KJ203-1</f>
        <v>8.1038727321440129E-2</v>
      </c>
      <c r="KS204" s="197" t="str">
        <f t="shared" si="1254"/>
        <v>YoY Change (%)</v>
      </c>
      <c r="KT204" s="198">
        <f>KT203/KM203-1</f>
        <v>4.2168674698795261E-2</v>
      </c>
      <c r="KU204" s="198">
        <f t="shared" ref="KU204" si="3058">KU203/KN203-1</f>
        <v>6.4396284829721484E-2</v>
      </c>
      <c r="KV204" s="198">
        <f t="shared" ref="KV204" si="3059">KV203/KO203-1</f>
        <v>1.1111111111111072E-2</v>
      </c>
      <c r="KW204" s="198">
        <f t="shared" ref="KW204" si="3060">KW203/KP203-1</f>
        <v>7.8622668579627186E-2</v>
      </c>
      <c r="KX204" s="198">
        <f t="shared" ref="KX204" si="3061">KX203/KQ203-1</f>
        <v>4.8636463975819888E-2</v>
      </c>
      <c r="KZ204" s="197" t="str">
        <f t="shared" si="1255"/>
        <v>YoY Change (%)</v>
      </c>
      <c r="LA204" s="198">
        <f>LA203/KT203-1</f>
        <v>4.3497109826589497E-2</v>
      </c>
      <c r="LB204" s="198">
        <f>LB203/KU203-1</f>
        <v>6.1423867868516169E-2</v>
      </c>
      <c r="LC204" s="198">
        <f>LC203/KV203-1</f>
        <v>5.2083333333333259E-2</v>
      </c>
      <c r="LD204" s="198">
        <f t="shared" ref="LD204" si="3062">LD203/KW203-1</f>
        <v>1.9870492635855941E-2</v>
      </c>
      <c r="LE204" s="199">
        <f t="shared" ref="LE204" si="3063">LE203/KX203-1</f>
        <v>4.4453598273705319E-2</v>
      </c>
      <c r="LF204" s="567"/>
      <c r="LG204" s="197" t="str">
        <f t="shared" si="1256"/>
        <v>YoY Change (%)</v>
      </c>
      <c r="LH204" s="198">
        <f>LH203/LA203-1</f>
        <v>5.339735195693307E-2</v>
      </c>
      <c r="LI204" s="198">
        <f>LI203/LB203-1</f>
        <v>3.1864539110916024E-2</v>
      </c>
      <c r="LJ204" s="198">
        <f>LJ203/LC203-1</f>
        <v>3.2749428789032642E-2</v>
      </c>
      <c r="LK204" s="198">
        <f>LK203/LD203-1</f>
        <v>3.6354326676907078E-2</v>
      </c>
      <c r="LL204" s="199">
        <f t="shared" ref="LL204" si="3064">LL203/LE203-1</f>
        <v>3.7485319516407545E-2</v>
      </c>
      <c r="LM204" s="567"/>
      <c r="LN204" s="197" t="str">
        <f t="shared" si="1257"/>
        <v>YoY Change (%)</v>
      </c>
      <c r="LO204" s="222">
        <v>3.7499999999999999E-2</v>
      </c>
      <c r="LP204" s="222">
        <v>3.7499999999999999E-2</v>
      </c>
      <c r="LQ204" s="222">
        <v>3.5000000000000003E-2</v>
      </c>
      <c r="LR204" s="222">
        <v>3.5000000000000003E-2</v>
      </c>
      <c r="LS204" s="199">
        <f t="shared" ref="LS204" si="3065">LS203/LL203-1</f>
        <v>3.641210335652878E-2</v>
      </c>
      <c r="LT204" s="567"/>
      <c r="LU204" s="197" t="str">
        <f t="shared" si="1261"/>
        <v>YoY Change (%)</v>
      </c>
      <c r="LV204" s="222">
        <v>3.2500000000000001E-2</v>
      </c>
      <c r="LW204" s="222">
        <v>2.2499999999999999E-2</v>
      </c>
      <c r="LX204" s="222">
        <v>2.75E-2</v>
      </c>
      <c r="LY204" s="222">
        <v>2.75E-2</v>
      </c>
      <c r="LZ204" s="199">
        <f t="shared" ref="LZ204" si="3066">LZ203/LS203-1</f>
        <v>2.7289365689725731E-2</v>
      </c>
      <c r="MA204" s="567"/>
      <c r="MB204" s="197" t="str">
        <f t="shared" si="1265"/>
        <v>YoY Change (%)</v>
      </c>
      <c r="MC204" s="222">
        <v>2.5000000000000001E-2</v>
      </c>
      <c r="MD204" s="222">
        <v>2.5000000000000001E-2</v>
      </c>
      <c r="ME204" s="222">
        <v>2.5000000000000001E-2</v>
      </c>
      <c r="MF204" s="222">
        <v>2.5000000000000001E-2</v>
      </c>
      <c r="MG204" s="199">
        <f t="shared" ref="MG204" si="3067">MG203/LZ203-1</f>
        <v>2.4999999999999689E-2</v>
      </c>
      <c r="MH204" s="567"/>
    </row>
    <row r="205" spans="1:346" s="37" customFormat="1" ht="13.15" x14ac:dyDescent="0.4">
      <c r="A205" s="100"/>
      <c r="C205" s="186"/>
      <c r="D205" s="186"/>
      <c r="E205" s="186"/>
      <c r="F205" s="186"/>
      <c r="G205" s="186"/>
      <c r="H205" s="186"/>
      <c r="I205" s="186"/>
      <c r="J205" s="186"/>
      <c r="K205" s="186"/>
      <c r="L205" s="186"/>
      <c r="M205" s="186"/>
      <c r="N205" s="193"/>
      <c r="O205" s="193"/>
      <c r="P205" s="193"/>
      <c r="Q205" s="193"/>
      <c r="R205" s="193"/>
      <c r="S205" s="193"/>
      <c r="T205" s="193"/>
      <c r="U205" s="193"/>
      <c r="V205" s="193"/>
      <c r="W205" s="193"/>
      <c r="X205" s="193"/>
      <c r="Y205" s="193"/>
      <c r="Z205" s="193"/>
      <c r="AA205" s="193"/>
      <c r="AB205" s="193"/>
      <c r="AC205" s="193"/>
      <c r="AD205" s="193"/>
      <c r="AE205" s="193"/>
      <c r="AF205" s="193"/>
      <c r="AG205" s="193"/>
      <c r="AH205" s="193"/>
      <c r="AI205" s="193"/>
      <c r="AJ205" s="193"/>
      <c r="AK205" s="193"/>
      <c r="AL205" s="193"/>
      <c r="AM205" s="193"/>
      <c r="AN205" s="193"/>
      <c r="AO205" s="193"/>
      <c r="AP205" s="193"/>
      <c r="AQ205" s="193"/>
      <c r="AR205" s="193"/>
      <c r="AS205" s="193"/>
      <c r="AT205" s="193"/>
      <c r="AU205" s="193"/>
      <c r="AV205" s="193"/>
      <c r="AW205" s="193"/>
      <c r="AX205" s="193"/>
      <c r="AY205" s="193"/>
      <c r="AZ205" s="193"/>
      <c r="BA205" s="193"/>
      <c r="BB205" s="193"/>
      <c r="BC205" s="193"/>
      <c r="BD205" s="193"/>
      <c r="BE205" s="193"/>
      <c r="BF205" s="193"/>
      <c r="BG205" s="193"/>
      <c r="BH205" s="193"/>
      <c r="BI205" s="193"/>
      <c r="BJ205" s="193"/>
      <c r="BK205" s="193"/>
      <c r="BL205" s="193"/>
      <c r="BM205" s="193"/>
      <c r="BP205" s="193"/>
      <c r="BQ205" s="193"/>
      <c r="BR205" s="193"/>
      <c r="BS205" s="193"/>
      <c r="BT205" s="193"/>
      <c r="BW205" s="193"/>
      <c r="BX205" s="193"/>
      <c r="BY205" s="193"/>
      <c r="BZ205" s="193"/>
      <c r="CA205" s="193"/>
      <c r="CD205" s="193"/>
      <c r="CE205" s="193"/>
      <c r="CF205" s="193"/>
      <c r="CG205" s="193"/>
      <c r="CH205" s="193"/>
      <c r="CK205" s="193"/>
      <c r="CL205" s="193"/>
      <c r="CM205" s="193"/>
      <c r="CN205" s="193"/>
      <c r="CO205" s="193"/>
      <c r="CR205" s="193"/>
      <c r="CS205" s="193"/>
      <c r="CT205" s="193"/>
      <c r="CU205" s="193"/>
      <c r="CV205" s="193"/>
      <c r="CY205" s="193"/>
      <c r="CZ205" s="193"/>
      <c r="DA205" s="193"/>
      <c r="DB205" s="193"/>
      <c r="DC205" s="193"/>
      <c r="DF205" s="193"/>
      <c r="DG205" s="193"/>
      <c r="DH205" s="193"/>
      <c r="DI205" s="193"/>
      <c r="DJ205" s="193"/>
      <c r="DM205" s="193"/>
      <c r="DN205" s="193"/>
      <c r="DO205" s="193"/>
      <c r="DP205" s="193"/>
      <c r="DQ205" s="193"/>
      <c r="DT205" s="193"/>
      <c r="DU205" s="193"/>
      <c r="DV205" s="193"/>
      <c r="DW205" s="193"/>
      <c r="DX205" s="193"/>
      <c r="EA205" s="193"/>
      <c r="EB205" s="193"/>
      <c r="EC205" s="193"/>
      <c r="ED205" s="193"/>
      <c r="EE205" s="193"/>
      <c r="EH205" s="193"/>
      <c r="EI205" s="193"/>
      <c r="EJ205" s="193"/>
      <c r="EK205" s="193"/>
      <c r="EL205" s="193"/>
      <c r="EO205" s="193"/>
      <c r="EP205" s="193"/>
      <c r="EQ205" s="193"/>
      <c r="ER205" s="193"/>
      <c r="ES205" s="193"/>
      <c r="EV205" s="193"/>
      <c r="EW205" s="193"/>
      <c r="EX205" s="193"/>
      <c r="EY205" s="193"/>
      <c r="EZ205" s="193"/>
      <c r="FC205" s="193"/>
      <c r="FD205" s="193"/>
      <c r="FE205" s="193"/>
      <c r="FF205" s="193"/>
      <c r="FG205" s="193"/>
      <c r="FJ205" s="193"/>
      <c r="FK205" s="193"/>
      <c r="FL205" s="193"/>
      <c r="FM205" s="193"/>
      <c r="FN205" s="193"/>
      <c r="FQ205" s="193"/>
      <c r="FR205" s="193"/>
      <c r="FS205" s="193"/>
      <c r="FT205" s="193"/>
      <c r="FU205" s="193"/>
      <c r="FX205" s="193"/>
      <c r="FY205" s="193"/>
      <c r="FZ205" s="193"/>
      <c r="GA205" s="193"/>
      <c r="GB205" s="193"/>
      <c r="GE205" s="193"/>
      <c r="GF205" s="193"/>
      <c r="GG205" s="193"/>
      <c r="GH205" s="193"/>
      <c r="GI205" s="193"/>
      <c r="GL205" s="193"/>
      <c r="GM205" s="193"/>
      <c r="GN205" s="193"/>
      <c r="GO205" s="193"/>
      <c r="GP205" s="193"/>
      <c r="GS205" s="193"/>
      <c r="GT205" s="193"/>
      <c r="GU205" s="193"/>
      <c r="GV205" s="193"/>
      <c r="GW205" s="193"/>
      <c r="GZ205" s="193"/>
      <c r="HA205" s="193"/>
      <c r="HB205" s="193"/>
      <c r="HC205" s="193"/>
      <c r="HD205" s="193"/>
      <c r="HG205" s="193"/>
      <c r="HH205" s="193"/>
      <c r="HI205" s="193"/>
      <c r="HJ205" s="193"/>
      <c r="HK205" s="193"/>
      <c r="HN205" s="193"/>
      <c r="HO205" s="193"/>
      <c r="HP205" s="193"/>
      <c r="HQ205" s="193"/>
      <c r="HR205" s="193"/>
      <c r="HU205" s="193"/>
      <c r="HV205" s="193"/>
      <c r="HW205" s="193"/>
      <c r="HX205" s="193"/>
      <c r="HY205" s="193"/>
      <c r="IB205" s="193"/>
      <c r="IC205" s="193"/>
      <c r="ID205" s="193"/>
      <c r="IE205" s="193"/>
      <c r="IF205" s="193"/>
      <c r="II205" s="193"/>
      <c r="IJ205" s="193"/>
      <c r="IK205" s="193"/>
      <c r="IL205" s="193"/>
      <c r="IM205" s="193"/>
      <c r="IP205" s="193"/>
      <c r="IQ205" s="193"/>
      <c r="IR205" s="193"/>
      <c r="IS205" s="193"/>
      <c r="IT205" s="193"/>
      <c r="IW205" s="193"/>
      <c r="IX205" s="193"/>
      <c r="IY205" s="193"/>
      <c r="IZ205" s="193"/>
      <c r="JA205" s="193"/>
      <c r="JD205" s="193"/>
      <c r="JE205" s="193"/>
      <c r="JF205" s="193"/>
      <c r="JG205" s="193"/>
      <c r="JH205" s="193"/>
      <c r="JK205" s="193"/>
      <c r="JL205" s="193"/>
      <c r="JM205" s="193"/>
      <c r="JN205" s="193"/>
      <c r="JO205" s="193"/>
      <c r="JR205" s="193"/>
      <c r="JS205" s="193"/>
      <c r="JT205" s="193"/>
      <c r="JU205" s="193"/>
      <c r="JV205" s="193"/>
      <c r="JY205" s="193"/>
      <c r="JZ205" s="193"/>
      <c r="KA205" s="193"/>
      <c r="KB205" s="193"/>
      <c r="KC205" s="193"/>
      <c r="KF205" s="193"/>
      <c r="KG205" s="193"/>
      <c r="KH205" s="193"/>
      <c r="KI205" s="193"/>
      <c r="KJ205" s="193"/>
      <c r="KM205" s="193"/>
      <c r="KN205" s="193"/>
      <c r="KO205" s="193"/>
      <c r="KP205" s="193"/>
      <c r="KQ205" s="193"/>
      <c r="KT205" s="193"/>
      <c r="KU205" s="193"/>
      <c r="KV205" s="193"/>
      <c r="KW205" s="193"/>
      <c r="KX205" s="193"/>
      <c r="LA205" s="193"/>
      <c r="LB205" s="193"/>
      <c r="LC205" s="193"/>
      <c r="LD205" s="193"/>
      <c r="LE205" s="200"/>
      <c r="LF205" s="565"/>
      <c r="LH205" s="193"/>
      <c r="LI205" s="193"/>
      <c r="LJ205" s="193"/>
      <c r="LK205" s="193"/>
      <c r="LL205" s="200"/>
      <c r="LM205" s="565"/>
      <c r="LO205" s="200"/>
      <c r="LP205" s="200"/>
      <c r="LQ205" s="200"/>
      <c r="LR205" s="200"/>
      <c r="LS205" s="200"/>
      <c r="LT205" s="565"/>
      <c r="LV205" s="200"/>
      <c r="LW205" s="200"/>
      <c r="LX205" s="200"/>
      <c r="LY205" s="200"/>
      <c r="LZ205" s="200"/>
      <c r="MA205" s="565"/>
      <c r="MC205" s="200"/>
      <c r="MD205" s="200"/>
      <c r="ME205" s="200"/>
      <c r="MF205" s="200"/>
      <c r="MG205" s="200"/>
      <c r="MH205" s="565"/>
    </row>
    <row r="206" spans="1:346" s="68" customFormat="1" ht="12.75" x14ac:dyDescent="0.35">
      <c r="A206" s="140"/>
      <c r="B206" s="68" t="s">
        <v>522</v>
      </c>
      <c r="C206" s="190"/>
      <c r="D206" s="190"/>
      <c r="E206" s="190"/>
      <c r="F206" s="190"/>
      <c r="G206" s="190"/>
      <c r="H206" s="190"/>
      <c r="I206" s="190"/>
      <c r="J206" s="190"/>
      <c r="K206" s="190"/>
      <c r="L206" s="190"/>
      <c r="M206" s="190"/>
      <c r="N206" s="203">
        <f>(N203*N200)/1000</f>
        <v>319</v>
      </c>
      <c r="O206" s="203">
        <f>(O203*O200)/1000</f>
        <v>325</v>
      </c>
      <c r="P206" s="203">
        <f t="shared" ref="P206:AY206" si="3068">(P203*P200)/1000</f>
        <v>293</v>
      </c>
      <c r="Q206" s="203">
        <f t="shared" si="3068"/>
        <v>309</v>
      </c>
      <c r="R206" s="203">
        <f t="shared" si="3068"/>
        <v>332</v>
      </c>
      <c r="S206" s="203">
        <f t="shared" si="3068"/>
        <v>365</v>
      </c>
      <c r="T206" s="203">
        <f t="shared" si="3068"/>
        <v>375</v>
      </c>
      <c r="U206" s="203">
        <f t="shared" si="3068"/>
        <v>381</v>
      </c>
      <c r="V206" s="203">
        <f t="shared" si="3068"/>
        <v>393.99999999999994</v>
      </c>
      <c r="W206" s="203">
        <f t="shared" si="3068"/>
        <v>376</v>
      </c>
      <c r="X206" s="203">
        <f t="shared" si="3068"/>
        <v>397</v>
      </c>
      <c r="Y206" s="203" t="e">
        <f t="shared" si="3068"/>
        <v>#VALUE!</v>
      </c>
      <c r="Z206" s="203" t="e">
        <f t="shared" si="3068"/>
        <v>#VALUE!</v>
      </c>
      <c r="AA206" s="203" t="e">
        <f t="shared" si="3068"/>
        <v>#VALUE!</v>
      </c>
      <c r="AB206" s="203" t="e">
        <f t="shared" si="3068"/>
        <v>#VALUE!</v>
      </c>
      <c r="AC206" s="203" t="e">
        <f t="shared" si="3068"/>
        <v>#VALUE!</v>
      </c>
      <c r="AD206" s="203" t="e">
        <f t="shared" si="3068"/>
        <v>#VALUE!</v>
      </c>
      <c r="AE206" s="203" t="e">
        <f t="shared" si="3068"/>
        <v>#VALUE!</v>
      </c>
      <c r="AF206" s="203" t="e">
        <f t="shared" si="3068"/>
        <v>#VALUE!</v>
      </c>
      <c r="AG206" s="203" t="e">
        <f t="shared" si="3068"/>
        <v>#VALUE!</v>
      </c>
      <c r="AH206" s="203" t="e">
        <f t="shared" si="3068"/>
        <v>#VALUE!</v>
      </c>
      <c r="AI206" s="203">
        <f t="shared" si="3068"/>
        <v>377.00000000000006</v>
      </c>
      <c r="AJ206" s="203">
        <f t="shared" si="3068"/>
        <v>423</v>
      </c>
      <c r="AK206" s="203">
        <f t="shared" si="3068"/>
        <v>409</v>
      </c>
      <c r="AL206" s="203">
        <f t="shared" si="3068"/>
        <v>421.99999999999994</v>
      </c>
      <c r="AM206" s="203">
        <f t="shared" si="3068"/>
        <v>448</v>
      </c>
      <c r="AN206" s="203">
        <f t="shared" si="3068"/>
        <v>459</v>
      </c>
      <c r="AO206" s="203">
        <f t="shared" si="3068"/>
        <v>463.00000000000006</v>
      </c>
      <c r="AP206" s="203">
        <f t="shared" si="3068"/>
        <v>550.00000000000011</v>
      </c>
      <c r="AQ206" s="203">
        <f t="shared" si="3068"/>
        <v>518</v>
      </c>
      <c r="AR206" s="203">
        <f t="shared" si="3068"/>
        <v>553</v>
      </c>
      <c r="AS206" s="203">
        <f t="shared" si="3068"/>
        <v>538</v>
      </c>
      <c r="AT206" s="203">
        <f t="shared" si="3068"/>
        <v>587</v>
      </c>
      <c r="AU206" s="203">
        <f t="shared" si="3068"/>
        <v>658</v>
      </c>
      <c r="AV206" s="203">
        <f t="shared" si="3068"/>
        <v>733</v>
      </c>
      <c r="AW206" s="203">
        <f t="shared" si="3068"/>
        <v>772</v>
      </c>
      <c r="AX206" s="203">
        <f t="shared" si="3068"/>
        <v>832</v>
      </c>
      <c r="AY206" s="203">
        <f t="shared" si="3068"/>
        <v>889.43991249999999</v>
      </c>
      <c r="AZ206" s="203">
        <f t="shared" ref="AZ206:BA206" si="3069">(AZ203*AZ200)/1000</f>
        <v>950.26065007249997</v>
      </c>
      <c r="BA206" s="203">
        <f t="shared" si="3069"/>
        <v>1008.1077671456632</v>
      </c>
      <c r="BB206" s="203"/>
      <c r="BC206" s="203"/>
      <c r="BD206" s="203"/>
      <c r="BE206" s="203"/>
      <c r="BF206" s="203"/>
      <c r="BG206" s="203"/>
      <c r="BH206" s="203"/>
      <c r="BI206" s="203"/>
      <c r="BJ206" s="203"/>
      <c r="BK206" s="203"/>
      <c r="BL206" s="203"/>
      <c r="BM206" s="203"/>
      <c r="BO206" s="68" t="str">
        <f t="shared" si="1220"/>
        <v>Mineral Revenue</v>
      </c>
      <c r="BP206" s="204">
        <f>(BP203*BP200)/1000</f>
        <v>79</v>
      </c>
      <c r="BQ206" s="204">
        <f t="shared" ref="BQ206:BS206" si="3070">(BQ203*BQ200)/1000</f>
        <v>83</v>
      </c>
      <c r="BR206" s="204">
        <f t="shared" si="3070"/>
        <v>78</v>
      </c>
      <c r="BS206" s="204">
        <f t="shared" si="3070"/>
        <v>79</v>
      </c>
      <c r="BT206" s="204">
        <f t="shared" ref="BT206" si="3071">(BT203*BT200)/1000</f>
        <v>319</v>
      </c>
      <c r="BV206" s="68" t="str">
        <f t="shared" si="1221"/>
        <v>Mineral Revenue</v>
      </c>
      <c r="BW206" s="204">
        <f>(BW203*BW200)/1000</f>
        <v>82</v>
      </c>
      <c r="BX206" s="204">
        <f t="shared" ref="BX206:CA206" si="3072">(BX203*BX200)/1000</f>
        <v>89</v>
      </c>
      <c r="BY206" s="204">
        <f t="shared" si="3072"/>
        <v>80</v>
      </c>
      <c r="BZ206" s="204">
        <f t="shared" si="3072"/>
        <v>74</v>
      </c>
      <c r="CA206" s="204">
        <f t="shared" si="3072"/>
        <v>325</v>
      </c>
      <c r="CC206" s="68" t="str">
        <f t="shared" si="1222"/>
        <v>Mineral Revenue</v>
      </c>
      <c r="CD206" s="204">
        <f>(CD203*CD200)/1000</f>
        <v>70</v>
      </c>
      <c r="CE206" s="204">
        <f t="shared" ref="CE206:CH206" si="3073">(CE203*CE200)/1000</f>
        <v>75</v>
      </c>
      <c r="CF206" s="204">
        <f t="shared" si="3073"/>
        <v>74</v>
      </c>
      <c r="CG206" s="204">
        <f t="shared" si="3073"/>
        <v>74</v>
      </c>
      <c r="CH206" s="204">
        <f t="shared" si="3073"/>
        <v>293</v>
      </c>
      <c r="CJ206" s="68" t="str">
        <f t="shared" si="1223"/>
        <v>Mineral Revenue</v>
      </c>
      <c r="CK206" s="204">
        <f>(CK203*CK200)/1000</f>
        <v>74</v>
      </c>
      <c r="CL206" s="204">
        <f t="shared" ref="CL206:CO206" si="3074">(CL203*CL200)/1000</f>
        <v>78.999999999999986</v>
      </c>
      <c r="CM206" s="204">
        <f t="shared" si="3074"/>
        <v>79</v>
      </c>
      <c r="CN206" s="204">
        <f t="shared" si="3074"/>
        <v>77</v>
      </c>
      <c r="CO206" s="204">
        <f t="shared" si="3074"/>
        <v>309</v>
      </c>
      <c r="CQ206" s="68" t="str">
        <f t="shared" si="1224"/>
        <v>Mineral Revenue</v>
      </c>
      <c r="CR206" s="204">
        <f>(CR203*CR200)/1000</f>
        <v>76</v>
      </c>
      <c r="CS206" s="204">
        <f t="shared" ref="CS206:CV206" si="3075">(CS203*CS200)/1000</f>
        <v>85</v>
      </c>
      <c r="CT206" s="204">
        <f t="shared" si="3075"/>
        <v>86</v>
      </c>
      <c r="CU206" s="204">
        <f t="shared" si="3075"/>
        <v>85</v>
      </c>
      <c r="CV206" s="204">
        <f t="shared" si="3075"/>
        <v>332</v>
      </c>
      <c r="CX206" s="68" t="str">
        <f t="shared" si="1225"/>
        <v>Mineral Revenue</v>
      </c>
      <c r="CY206" s="204">
        <f>(CY203*CY200)/1000</f>
        <v>85</v>
      </c>
      <c r="CZ206" s="204">
        <f t="shared" ref="CZ206:DC206" si="3076">(CZ203*CZ200)/1000</f>
        <v>95</v>
      </c>
      <c r="DA206" s="204">
        <f t="shared" si="3076"/>
        <v>96</v>
      </c>
      <c r="DB206" s="204">
        <f t="shared" si="3076"/>
        <v>89</v>
      </c>
      <c r="DC206" s="204">
        <f t="shared" si="3076"/>
        <v>365</v>
      </c>
      <c r="DE206" s="68" t="str">
        <f t="shared" si="1226"/>
        <v>Mineral Revenue</v>
      </c>
      <c r="DF206" s="204">
        <f>(DF203*DF200)/1000</f>
        <v>92</v>
      </c>
      <c r="DG206" s="204">
        <f t="shared" ref="DG206:DJ206" si="3077">(DG203*DG200)/1000</f>
        <v>97</v>
      </c>
      <c r="DH206" s="204">
        <f t="shared" si="3077"/>
        <v>96</v>
      </c>
      <c r="DI206" s="204">
        <f t="shared" si="3077"/>
        <v>90</v>
      </c>
      <c r="DJ206" s="204">
        <f t="shared" si="3077"/>
        <v>375</v>
      </c>
      <c r="DL206" s="68" t="str">
        <f t="shared" si="1227"/>
        <v>Mineral Revenue</v>
      </c>
      <c r="DM206" s="204">
        <f>(DM203*DM200)/1000</f>
        <v>87</v>
      </c>
      <c r="DN206" s="204">
        <f t="shared" ref="DN206:DQ206" si="3078">(DN203*DN200)/1000</f>
        <v>100</v>
      </c>
      <c r="DO206" s="204">
        <f t="shared" si="3078"/>
        <v>99</v>
      </c>
      <c r="DP206" s="204">
        <f t="shared" si="3078"/>
        <v>95</v>
      </c>
      <c r="DQ206" s="204">
        <f t="shared" si="3078"/>
        <v>381</v>
      </c>
      <c r="DS206" s="68" t="str">
        <f t="shared" si="1228"/>
        <v>Mineral Revenue</v>
      </c>
      <c r="DT206" s="204">
        <f>(DT203*DT200)/1000</f>
        <v>93</v>
      </c>
      <c r="DU206" s="204">
        <f t="shared" ref="DU206:DX206" si="3079">(DU203*DU200)/1000</f>
        <v>99</v>
      </c>
      <c r="DV206" s="204">
        <f t="shared" si="3079"/>
        <v>104</v>
      </c>
      <c r="DW206" s="204">
        <f t="shared" si="3079"/>
        <v>98</v>
      </c>
      <c r="DX206" s="204">
        <f t="shared" si="3079"/>
        <v>393.99999999999994</v>
      </c>
      <c r="DZ206" s="68" t="str">
        <f t="shared" si="1229"/>
        <v>Mineral Revenue</v>
      </c>
      <c r="EA206" s="204">
        <f>(EA203*EA200)/1000</f>
        <v>94.000000000000014</v>
      </c>
      <c r="EB206" s="204">
        <f t="shared" ref="EB206:EE206" si="3080">(EB203*EB200)/1000</f>
        <v>100</v>
      </c>
      <c r="EC206" s="204">
        <f t="shared" si="3080"/>
        <v>93</v>
      </c>
      <c r="ED206" s="204">
        <f t="shared" si="3080"/>
        <v>89</v>
      </c>
      <c r="EE206" s="204">
        <f t="shared" si="3080"/>
        <v>376</v>
      </c>
      <c r="EG206" s="68" t="str">
        <f t="shared" si="1230"/>
        <v>Mineral Revenue</v>
      </c>
      <c r="EH206" s="204">
        <f>(EH203*EH200)/1000</f>
        <v>103</v>
      </c>
      <c r="EI206" s="204">
        <f t="shared" ref="EI206:EL206" si="3081">(EI203*EI200)/1000</f>
        <v>99</v>
      </c>
      <c r="EJ206" s="204">
        <f t="shared" si="3081"/>
        <v>99</v>
      </c>
      <c r="EK206" s="204">
        <f t="shared" si="3081"/>
        <v>96</v>
      </c>
      <c r="EL206" s="204">
        <f t="shared" si="3081"/>
        <v>397</v>
      </c>
      <c r="EN206" s="68" t="str">
        <f t="shared" si="1231"/>
        <v>Mineral Revenue</v>
      </c>
      <c r="EO206" s="204" t="e">
        <f>(EO203*EO200)/1000</f>
        <v>#VALUE!</v>
      </c>
      <c r="EP206" s="204" t="e">
        <f t="shared" ref="EP206:ES206" si="3082">(EP203*EP200)/1000</f>
        <v>#VALUE!</v>
      </c>
      <c r="EQ206" s="204" t="e">
        <f t="shared" si="3082"/>
        <v>#VALUE!</v>
      </c>
      <c r="ER206" s="204" t="e">
        <f t="shared" si="3082"/>
        <v>#VALUE!</v>
      </c>
      <c r="ES206" s="204" t="e">
        <f t="shared" si="3082"/>
        <v>#VALUE!</v>
      </c>
      <c r="EU206" s="68" t="str">
        <f t="shared" si="1232"/>
        <v>Mineral Revenue</v>
      </c>
      <c r="EV206" s="204" t="e">
        <f>(EV203*EV200)/1000</f>
        <v>#VALUE!</v>
      </c>
      <c r="EW206" s="204" t="e">
        <f t="shared" ref="EW206:EZ206" si="3083">(EW203*EW200)/1000</f>
        <v>#VALUE!</v>
      </c>
      <c r="EX206" s="204" t="e">
        <f t="shared" si="3083"/>
        <v>#VALUE!</v>
      </c>
      <c r="EY206" s="204" t="e">
        <f t="shared" si="3083"/>
        <v>#VALUE!</v>
      </c>
      <c r="EZ206" s="204" t="e">
        <f t="shared" si="3083"/>
        <v>#VALUE!</v>
      </c>
      <c r="FB206" s="68" t="str">
        <f t="shared" si="1233"/>
        <v>Mineral Revenue</v>
      </c>
      <c r="FC206" s="204" t="e">
        <f>(FC203*FC200)/1000</f>
        <v>#VALUE!</v>
      </c>
      <c r="FD206" s="204" t="e">
        <f t="shared" ref="FD206:FG206" si="3084">(FD203*FD200)/1000</f>
        <v>#VALUE!</v>
      </c>
      <c r="FE206" s="204" t="e">
        <f t="shared" si="3084"/>
        <v>#VALUE!</v>
      </c>
      <c r="FF206" s="204" t="e">
        <f t="shared" si="3084"/>
        <v>#VALUE!</v>
      </c>
      <c r="FG206" s="204" t="e">
        <f t="shared" si="3084"/>
        <v>#VALUE!</v>
      </c>
      <c r="FI206" s="68" t="str">
        <f t="shared" si="1234"/>
        <v>Mineral Revenue</v>
      </c>
      <c r="FJ206" s="204" t="e">
        <f>(FJ203*FJ200)/1000</f>
        <v>#VALUE!</v>
      </c>
      <c r="FK206" s="204" t="e">
        <f t="shared" ref="FK206:FN206" si="3085">(FK203*FK200)/1000</f>
        <v>#VALUE!</v>
      </c>
      <c r="FL206" s="204" t="e">
        <f t="shared" si="3085"/>
        <v>#VALUE!</v>
      </c>
      <c r="FM206" s="204" t="e">
        <f t="shared" si="3085"/>
        <v>#VALUE!</v>
      </c>
      <c r="FN206" s="204" t="e">
        <f t="shared" si="3085"/>
        <v>#VALUE!</v>
      </c>
      <c r="FP206" s="68" t="str">
        <f t="shared" si="1235"/>
        <v>Mineral Revenue</v>
      </c>
      <c r="FQ206" s="204" t="e">
        <f>(FQ203*FQ200)/1000</f>
        <v>#VALUE!</v>
      </c>
      <c r="FR206" s="204" t="e">
        <f t="shared" ref="FR206:FU206" si="3086">(FR203*FR200)/1000</f>
        <v>#VALUE!</v>
      </c>
      <c r="FS206" s="204" t="e">
        <f t="shared" si="3086"/>
        <v>#VALUE!</v>
      </c>
      <c r="FT206" s="204" t="e">
        <f t="shared" si="3086"/>
        <v>#VALUE!</v>
      </c>
      <c r="FU206" s="204" t="e">
        <f t="shared" si="3086"/>
        <v>#VALUE!</v>
      </c>
      <c r="FW206" s="68" t="str">
        <f t="shared" si="1236"/>
        <v>Mineral Revenue</v>
      </c>
      <c r="FX206" s="204" t="e">
        <f>(FX203*FX200)/1000</f>
        <v>#VALUE!</v>
      </c>
      <c r="FY206" s="204" t="e">
        <f t="shared" ref="FY206:GB206" si="3087">(FY203*FY200)/1000</f>
        <v>#VALUE!</v>
      </c>
      <c r="FZ206" s="204" t="e">
        <f t="shared" si="3087"/>
        <v>#VALUE!</v>
      </c>
      <c r="GA206" s="204" t="e">
        <f t="shared" si="3087"/>
        <v>#VALUE!</v>
      </c>
      <c r="GB206" s="204" t="e">
        <f t="shared" si="3087"/>
        <v>#VALUE!</v>
      </c>
      <c r="GD206" s="68" t="str">
        <f t="shared" si="1237"/>
        <v>Mineral Revenue</v>
      </c>
      <c r="GE206" s="204" t="e">
        <f>(GE203*GE200)/1000</f>
        <v>#VALUE!</v>
      </c>
      <c r="GF206" s="204" t="e">
        <f t="shared" ref="GF206:GI206" si="3088">(GF203*GF200)/1000</f>
        <v>#VALUE!</v>
      </c>
      <c r="GG206" s="204" t="e">
        <f t="shared" si="3088"/>
        <v>#VALUE!</v>
      </c>
      <c r="GH206" s="204" t="e">
        <f t="shared" si="3088"/>
        <v>#VALUE!</v>
      </c>
      <c r="GI206" s="204" t="e">
        <f t="shared" si="3088"/>
        <v>#VALUE!</v>
      </c>
      <c r="GK206" s="68" t="str">
        <f t="shared" si="1238"/>
        <v>Mineral Revenue</v>
      </c>
      <c r="GL206" s="204" t="e">
        <f>(GL203*GL200)/1000</f>
        <v>#VALUE!</v>
      </c>
      <c r="GM206" s="204" t="e">
        <f t="shared" ref="GM206:GP206" si="3089">(GM203*GM200)/1000</f>
        <v>#VALUE!</v>
      </c>
      <c r="GN206" s="204" t="e">
        <f t="shared" si="3089"/>
        <v>#VALUE!</v>
      </c>
      <c r="GO206" s="204" t="e">
        <f t="shared" si="3089"/>
        <v>#VALUE!</v>
      </c>
      <c r="GP206" s="204" t="e">
        <f t="shared" si="3089"/>
        <v>#VALUE!</v>
      </c>
      <c r="GR206" s="68" t="str">
        <f t="shared" si="1239"/>
        <v>Mineral Revenue</v>
      </c>
      <c r="GS206" s="204" t="e">
        <f>(GS203*GS200)/1000</f>
        <v>#VALUE!</v>
      </c>
      <c r="GT206" s="204" t="e">
        <f t="shared" ref="GT206:GW206" si="3090">(GT203*GT200)/1000</f>
        <v>#VALUE!</v>
      </c>
      <c r="GU206" s="204" t="e">
        <f t="shared" si="3090"/>
        <v>#VALUE!</v>
      </c>
      <c r="GV206" s="204" t="e">
        <f t="shared" si="3090"/>
        <v>#VALUE!</v>
      </c>
      <c r="GW206" s="204" t="e">
        <f t="shared" si="3090"/>
        <v>#VALUE!</v>
      </c>
      <c r="GY206" s="68" t="str">
        <f t="shared" si="1240"/>
        <v>Mineral Revenue</v>
      </c>
      <c r="GZ206" s="204" t="e">
        <f>(GZ203*GZ200)/1000</f>
        <v>#VALUE!</v>
      </c>
      <c r="HA206" s="204" t="e">
        <f t="shared" ref="HA206:HD206" si="3091">(HA203*HA200)/1000</f>
        <v>#VALUE!</v>
      </c>
      <c r="HB206" s="204" t="e">
        <f t="shared" si="3091"/>
        <v>#VALUE!</v>
      </c>
      <c r="HC206" s="204" t="e">
        <f t="shared" si="3091"/>
        <v>#VALUE!</v>
      </c>
      <c r="HD206" s="204" t="e">
        <f t="shared" si="3091"/>
        <v>#VALUE!</v>
      </c>
      <c r="HF206" s="68" t="str">
        <f t="shared" si="1241"/>
        <v>Mineral Revenue</v>
      </c>
      <c r="HG206" s="204">
        <f>(HG203*HG200)/1000</f>
        <v>77</v>
      </c>
      <c r="HH206" s="204">
        <f t="shared" ref="HH206:HK206" si="3092">(HH203*HH200)/1000</f>
        <v>102</v>
      </c>
      <c r="HI206" s="204">
        <f t="shared" si="3092"/>
        <v>102</v>
      </c>
      <c r="HJ206" s="204">
        <f t="shared" si="3092"/>
        <v>96</v>
      </c>
      <c r="HK206" s="204">
        <f t="shared" si="3092"/>
        <v>377.00000000000006</v>
      </c>
      <c r="HM206" s="68" t="str">
        <f t="shared" si="1242"/>
        <v>Mineral Revenue</v>
      </c>
      <c r="HN206" s="204">
        <f>(HN203*HN200)/1000</f>
        <v>91</v>
      </c>
      <c r="HO206" s="204">
        <f t="shared" ref="HO206:HR206" si="3093">(HO203*HO200)/1000</f>
        <v>113</v>
      </c>
      <c r="HP206" s="204">
        <f t="shared" si="3093"/>
        <v>114</v>
      </c>
      <c r="HQ206" s="204">
        <f t="shared" si="3093"/>
        <v>105</v>
      </c>
      <c r="HR206" s="204">
        <f t="shared" si="3093"/>
        <v>423</v>
      </c>
      <c r="HT206" s="68" t="str">
        <f t="shared" si="1243"/>
        <v>Mineral Revenue</v>
      </c>
      <c r="HU206" s="204">
        <f>(HU203*HU200)/1000</f>
        <v>94</v>
      </c>
      <c r="HV206" s="204">
        <f t="shared" ref="HV206:HY206" si="3094">(HV203*HV200)/1000</f>
        <v>106.99999999999999</v>
      </c>
      <c r="HW206" s="204">
        <f t="shared" si="3094"/>
        <v>104</v>
      </c>
      <c r="HX206" s="204">
        <f t="shared" si="3094"/>
        <v>104</v>
      </c>
      <c r="HY206" s="204">
        <f t="shared" si="3094"/>
        <v>409</v>
      </c>
      <c r="IA206" s="68" t="str">
        <f t="shared" si="1244"/>
        <v>Mineral Revenue</v>
      </c>
      <c r="IB206" s="204">
        <f>(IB203*IB200)/1000</f>
        <v>94</v>
      </c>
      <c r="IC206" s="204">
        <f t="shared" ref="IC206:IF206" si="3095">(IC203*IC200)/1000</f>
        <v>111.99999999999999</v>
      </c>
      <c r="ID206" s="204">
        <f t="shared" si="3095"/>
        <v>111</v>
      </c>
      <c r="IE206" s="204">
        <f t="shared" si="3095"/>
        <v>104.99999999999999</v>
      </c>
      <c r="IF206" s="204">
        <f t="shared" si="3095"/>
        <v>421.99999999999994</v>
      </c>
      <c r="IH206" s="68" t="str">
        <f t="shared" si="1245"/>
        <v>Mineral Revenue</v>
      </c>
      <c r="II206" s="204">
        <f>(II203*II200)/1000</f>
        <v>93</v>
      </c>
      <c r="IJ206" s="204">
        <f t="shared" ref="IJ206:IM206" si="3096">(IJ203*IJ200)/1000</f>
        <v>120.00000000000001</v>
      </c>
      <c r="IK206" s="204">
        <f t="shared" si="3096"/>
        <v>123</v>
      </c>
      <c r="IL206" s="204">
        <f t="shared" si="3096"/>
        <v>112</v>
      </c>
      <c r="IM206" s="204">
        <f t="shared" si="3096"/>
        <v>448</v>
      </c>
      <c r="IO206" s="68" t="str">
        <f t="shared" si="1246"/>
        <v>Mineral Revenue</v>
      </c>
      <c r="IP206" s="204">
        <f>(IP203*IP200)/1000</f>
        <v>100</v>
      </c>
      <c r="IQ206" s="204">
        <f t="shared" ref="IQ206:IT206" si="3097">(IQ203*IQ200)/1000</f>
        <v>120.99999999999999</v>
      </c>
      <c r="IR206" s="204">
        <f t="shared" si="3097"/>
        <v>124.99999999999999</v>
      </c>
      <c r="IS206" s="204">
        <f t="shared" si="3097"/>
        <v>113</v>
      </c>
      <c r="IT206" s="204">
        <f t="shared" si="3097"/>
        <v>459</v>
      </c>
      <c r="IV206" s="68" t="str">
        <f t="shared" si="1247"/>
        <v>Mineral Revenue</v>
      </c>
      <c r="IW206" s="204">
        <f>(IW203*IW200)/1000</f>
        <v>94</v>
      </c>
      <c r="IX206" s="204">
        <f t="shared" ref="IX206:JA206" si="3098">(IX203*IX200)/1000</f>
        <v>126</v>
      </c>
      <c r="IY206" s="204">
        <f t="shared" si="3098"/>
        <v>124.99999999999999</v>
      </c>
      <c r="IZ206" s="204">
        <f t="shared" si="3098"/>
        <v>118</v>
      </c>
      <c r="JA206" s="204">
        <f t="shared" si="3098"/>
        <v>463.00000000000006</v>
      </c>
      <c r="JC206" s="68" t="str">
        <f t="shared" si="1248"/>
        <v>Mineral Revenue</v>
      </c>
      <c r="JD206" s="204">
        <f>(JD203*JD200)/1000</f>
        <v>114</v>
      </c>
      <c r="JE206" s="204">
        <f t="shared" ref="JE206:JH206" si="3099">(JE203*JE200)/1000</f>
        <v>128</v>
      </c>
      <c r="JF206" s="204">
        <f t="shared" si="3099"/>
        <v>120</v>
      </c>
      <c r="JG206" s="204">
        <f t="shared" si="3099"/>
        <v>188</v>
      </c>
      <c r="JH206" s="204">
        <f t="shared" si="3099"/>
        <v>550.00000000000011</v>
      </c>
      <c r="JJ206" s="68" t="str">
        <f t="shared" si="1249"/>
        <v>Mineral Revenue</v>
      </c>
      <c r="JK206" s="204">
        <f>(JK203*JK200)/1000</f>
        <v>114</v>
      </c>
      <c r="JL206" s="204">
        <f t="shared" ref="JL206:JO206" si="3100">(JL203*JL200)/1000</f>
        <v>137</v>
      </c>
      <c r="JM206" s="204">
        <f t="shared" si="3100"/>
        <v>137</v>
      </c>
      <c r="JN206" s="204">
        <f t="shared" si="3100"/>
        <v>130</v>
      </c>
      <c r="JO206" s="204">
        <f t="shared" si="3100"/>
        <v>518</v>
      </c>
      <c r="JQ206" s="68" t="str">
        <f t="shared" si="1250"/>
        <v>Mineral Revenue</v>
      </c>
      <c r="JR206" s="204">
        <f>(JR203*JR200)/1000</f>
        <v>122.99999999999999</v>
      </c>
      <c r="JS206" s="204">
        <f t="shared" ref="JS206:JV206" si="3101">(JS203*JS200)/1000</f>
        <v>147</v>
      </c>
      <c r="JT206" s="204">
        <f t="shared" si="3101"/>
        <v>145</v>
      </c>
      <c r="JU206" s="204">
        <f t="shared" si="3101"/>
        <v>138</v>
      </c>
      <c r="JV206" s="204">
        <f t="shared" si="3101"/>
        <v>553</v>
      </c>
      <c r="JX206" s="68" t="str">
        <f t="shared" si="1251"/>
        <v>Mineral Revenue</v>
      </c>
      <c r="JY206" s="204">
        <f>(JY203*JY200)/1000</f>
        <v>127</v>
      </c>
      <c r="JZ206" s="204">
        <f t="shared" ref="JZ206:KC206" si="3102">(JZ203*JZ200)/1000</f>
        <v>134</v>
      </c>
      <c r="KA206" s="204">
        <f t="shared" si="3102"/>
        <v>144</v>
      </c>
      <c r="KB206" s="204">
        <f t="shared" si="3102"/>
        <v>133</v>
      </c>
      <c r="KC206" s="204">
        <f t="shared" si="3102"/>
        <v>538</v>
      </c>
      <c r="KE206" s="68" t="str">
        <f t="shared" si="1252"/>
        <v>Mineral Revenue</v>
      </c>
      <c r="KF206" s="204">
        <f>(KF203*KF200)/1000</f>
        <v>125</v>
      </c>
      <c r="KG206" s="204">
        <f t="shared" ref="KG206:KJ206" si="3103">(KG203*KG200)/1000</f>
        <v>152</v>
      </c>
      <c r="KH206" s="204">
        <f t="shared" si="3103"/>
        <v>162</v>
      </c>
      <c r="KI206" s="204">
        <f t="shared" si="3103"/>
        <v>147.99999999999997</v>
      </c>
      <c r="KJ206" s="204">
        <f t="shared" si="3103"/>
        <v>587</v>
      </c>
      <c r="KL206" s="68" t="str">
        <f t="shared" si="1253"/>
        <v>Mineral Revenue</v>
      </c>
      <c r="KM206" s="204">
        <f>(KM203*KM200)/1000</f>
        <v>144</v>
      </c>
      <c r="KN206" s="204">
        <f t="shared" ref="KN206:KQ206" si="3104">(KN203*KN200)/1000</f>
        <v>170</v>
      </c>
      <c r="KO206" s="204">
        <f t="shared" si="3104"/>
        <v>180</v>
      </c>
      <c r="KP206" s="204">
        <f t="shared" si="3104"/>
        <v>164</v>
      </c>
      <c r="KQ206" s="204">
        <f t="shared" si="3104"/>
        <v>658</v>
      </c>
      <c r="KS206" s="68" t="str">
        <f t="shared" si="1254"/>
        <v>Mineral Revenue</v>
      </c>
      <c r="KT206" s="204">
        <f>(KT203*KT200)/1000</f>
        <v>173</v>
      </c>
      <c r="KU206" s="204">
        <f t="shared" ref="KU206:KX206" si="3105">(KU203*KU200)/1000</f>
        <v>191</v>
      </c>
      <c r="KV206" s="204">
        <f t="shared" si="3105"/>
        <v>190</v>
      </c>
      <c r="KW206" s="204">
        <f t="shared" si="3105"/>
        <v>179</v>
      </c>
      <c r="KX206" s="204">
        <f t="shared" si="3105"/>
        <v>733</v>
      </c>
      <c r="KZ206" s="68" t="str">
        <f t="shared" si="1255"/>
        <v>Mineral Revenue</v>
      </c>
      <c r="LA206" s="204">
        <f>(LA203*LA200)/1000</f>
        <v>174</v>
      </c>
      <c r="LB206" s="204">
        <f>(LB203*LB200)/1000</f>
        <v>206.99999999999997</v>
      </c>
      <c r="LC206" s="204">
        <f>(LC203*LC200)/1000</f>
        <v>202</v>
      </c>
      <c r="LD206" s="204">
        <f t="shared" ref="LD206" si="3106">(LD203*LD200)/1000</f>
        <v>189.00000000000003</v>
      </c>
      <c r="LE206" s="205">
        <f>SUM(LA206:LD206)</f>
        <v>772</v>
      </c>
      <c r="LF206" s="563"/>
      <c r="LG206" s="68" t="str">
        <f t="shared" si="1256"/>
        <v>Mineral Revenue</v>
      </c>
      <c r="LH206" s="204">
        <f>(LH203*LH200)/1000</f>
        <v>181.00000000000003</v>
      </c>
      <c r="LI206" s="204">
        <f>(LI203*LI200)/1000</f>
        <v>217.99999999999997</v>
      </c>
      <c r="LJ206" s="204">
        <f>(LJ203*LJ200)/1000</f>
        <v>225.99999999999997</v>
      </c>
      <c r="LK206" s="204">
        <f>(LK203*LK200)/1000</f>
        <v>206.99999999999997</v>
      </c>
      <c r="LL206" s="205">
        <f>SUM(LH206:LK206)</f>
        <v>832</v>
      </c>
      <c r="LM206" s="563"/>
      <c r="LN206" s="68" t="str">
        <f t="shared" si="1257"/>
        <v>Mineral Revenue</v>
      </c>
      <c r="LO206" s="205">
        <f>(LO200*LO203)/1000</f>
        <v>194.36006250000003</v>
      </c>
      <c r="LP206" s="205">
        <f t="shared" ref="LP206:LR206" si="3107">(LP200*LP203)/1000</f>
        <v>231.829375</v>
      </c>
      <c r="LQ206" s="205">
        <f t="shared" si="3107"/>
        <v>235.0795499999999</v>
      </c>
      <c r="LR206" s="205">
        <f t="shared" si="3107"/>
        <v>228.17092499999993</v>
      </c>
      <c r="LS206" s="205">
        <f>SUM(LO206:LR206)</f>
        <v>889.43991249999988</v>
      </c>
      <c r="LT206" s="563"/>
      <c r="LU206" s="68" t="str">
        <f t="shared" si="1261"/>
        <v>Mineral Revenue</v>
      </c>
      <c r="LV206" s="205">
        <f>(LV200*LV203)/1000</f>
        <v>208.70383511250003</v>
      </c>
      <c r="LW206" s="205">
        <f t="shared" ref="LW206:LY206" si="3108">(LW200*LW203)/1000</f>
        <v>246.52735737499998</v>
      </c>
      <c r="LX206" s="205">
        <f t="shared" si="3108"/>
        <v>251.20600712999993</v>
      </c>
      <c r="LY206" s="205">
        <f t="shared" si="3108"/>
        <v>243.82345045499994</v>
      </c>
      <c r="LZ206" s="205">
        <f>SUM(LV206:LY206)</f>
        <v>950.26065007249997</v>
      </c>
      <c r="MA206" s="563"/>
      <c r="MB206" s="68" t="str">
        <f t="shared" si="1265"/>
        <v>Mineral Revenue</v>
      </c>
      <c r="MC206" s="205">
        <f>(MC200*MC203)/1000</f>
        <v>221.4086810749734</v>
      </c>
      <c r="MD206" s="205">
        <f t="shared" ref="MD206:MF206" si="3109">(MD200*MD203)/1000</f>
        <v>261.53471025520309</v>
      </c>
      <c r="ME206" s="205">
        <f t="shared" si="3109"/>
        <v>266.49817281403864</v>
      </c>
      <c r="MF206" s="205">
        <f t="shared" si="3109"/>
        <v>258.66620300144803</v>
      </c>
      <c r="MG206" s="205">
        <f>SUM(MC206:MF206)</f>
        <v>1008.1077671456632</v>
      </c>
      <c r="MH206" s="563"/>
    </row>
    <row r="207" spans="1:346" s="37" customFormat="1" ht="13.15" x14ac:dyDescent="0.4">
      <c r="A207" s="100"/>
      <c r="B207" s="197" t="s">
        <v>516</v>
      </c>
      <c r="C207" s="186"/>
      <c r="D207" s="186"/>
      <c r="E207" s="186"/>
      <c r="F207" s="186"/>
      <c r="G207" s="186"/>
      <c r="H207" s="186"/>
      <c r="I207" s="186"/>
      <c r="J207" s="186"/>
      <c r="K207" s="186"/>
      <c r="L207" s="186"/>
      <c r="M207" s="186"/>
      <c r="N207" s="193"/>
      <c r="O207" s="198">
        <f>O206/N206-1</f>
        <v>1.8808777429467183E-2</v>
      </c>
      <c r="P207" s="198">
        <f t="shared" ref="P207:BA207" si="3110">P206/O206-1</f>
        <v>-9.8461538461538489E-2</v>
      </c>
      <c r="Q207" s="198">
        <f t="shared" si="3110"/>
        <v>5.4607508532423132E-2</v>
      </c>
      <c r="R207" s="198">
        <f t="shared" si="3110"/>
        <v>7.4433656957928696E-2</v>
      </c>
      <c r="S207" s="198">
        <f t="shared" si="3110"/>
        <v>9.9397590361445687E-2</v>
      </c>
      <c r="T207" s="198">
        <f t="shared" si="3110"/>
        <v>2.7397260273972712E-2</v>
      </c>
      <c r="U207" s="198">
        <f t="shared" si="3110"/>
        <v>1.6000000000000014E-2</v>
      </c>
      <c r="V207" s="198">
        <f t="shared" si="3110"/>
        <v>3.4120734908136274E-2</v>
      </c>
      <c r="W207" s="198">
        <f t="shared" si="3110"/>
        <v>-4.5685279187817174E-2</v>
      </c>
      <c r="X207" s="198">
        <f t="shared" si="3110"/>
        <v>5.5851063829787329E-2</v>
      </c>
      <c r="Y207" s="198" t="e">
        <f t="shared" si="3110"/>
        <v>#VALUE!</v>
      </c>
      <c r="Z207" s="198" t="e">
        <f t="shared" si="3110"/>
        <v>#VALUE!</v>
      </c>
      <c r="AA207" s="198" t="e">
        <f t="shared" si="3110"/>
        <v>#VALUE!</v>
      </c>
      <c r="AB207" s="198" t="e">
        <f t="shared" si="3110"/>
        <v>#VALUE!</v>
      </c>
      <c r="AC207" s="198" t="e">
        <f t="shared" si="3110"/>
        <v>#VALUE!</v>
      </c>
      <c r="AD207" s="198" t="e">
        <f t="shared" si="3110"/>
        <v>#VALUE!</v>
      </c>
      <c r="AE207" s="198" t="e">
        <f t="shared" si="3110"/>
        <v>#VALUE!</v>
      </c>
      <c r="AF207" s="198" t="e">
        <f t="shared" si="3110"/>
        <v>#VALUE!</v>
      </c>
      <c r="AG207" s="198" t="e">
        <f t="shared" si="3110"/>
        <v>#VALUE!</v>
      </c>
      <c r="AH207" s="198" t="e">
        <f t="shared" si="3110"/>
        <v>#VALUE!</v>
      </c>
      <c r="AI207" s="198" t="e">
        <f t="shared" si="3110"/>
        <v>#VALUE!</v>
      </c>
      <c r="AJ207" s="198">
        <f t="shared" si="3110"/>
        <v>0.12201591511936316</v>
      </c>
      <c r="AK207" s="198">
        <f t="shared" si="3110"/>
        <v>-3.3096926713948038E-2</v>
      </c>
      <c r="AL207" s="198">
        <f t="shared" si="3110"/>
        <v>3.1784841075794379E-2</v>
      </c>
      <c r="AM207" s="198">
        <f t="shared" si="3110"/>
        <v>6.1611374407583019E-2</v>
      </c>
      <c r="AN207" s="198">
        <f t="shared" si="3110"/>
        <v>2.4553571428571397E-2</v>
      </c>
      <c r="AO207" s="198">
        <f t="shared" si="3110"/>
        <v>8.7145969498911846E-3</v>
      </c>
      <c r="AP207" s="198">
        <f t="shared" si="3110"/>
        <v>0.1879049676025919</v>
      </c>
      <c r="AQ207" s="198">
        <f t="shared" si="3110"/>
        <v>-5.8181818181818334E-2</v>
      </c>
      <c r="AR207" s="198">
        <f t="shared" si="3110"/>
        <v>6.7567567567567544E-2</v>
      </c>
      <c r="AS207" s="198">
        <f t="shared" si="3110"/>
        <v>-2.7124773960216952E-2</v>
      </c>
      <c r="AT207" s="198">
        <f t="shared" si="3110"/>
        <v>9.1078066914498157E-2</v>
      </c>
      <c r="AU207" s="198">
        <f t="shared" si="3110"/>
        <v>0.12095400340715501</v>
      </c>
      <c r="AV207" s="198">
        <f t="shared" si="3110"/>
        <v>0.11398176291793316</v>
      </c>
      <c r="AW207" s="198">
        <f t="shared" si="3110"/>
        <v>5.3206002728513058E-2</v>
      </c>
      <c r="AX207" s="198">
        <f t="shared" si="3110"/>
        <v>7.7720207253886064E-2</v>
      </c>
      <c r="AY207" s="198">
        <f t="shared" si="3110"/>
        <v>6.90383563701924E-2</v>
      </c>
      <c r="AZ207" s="198">
        <f t="shared" si="3110"/>
        <v>6.8380940317314565E-2</v>
      </c>
      <c r="BA207" s="198">
        <f t="shared" si="3110"/>
        <v>6.087499999999979E-2</v>
      </c>
      <c r="BB207" s="198"/>
      <c r="BC207" s="198"/>
      <c r="BD207" s="198"/>
      <c r="BE207" s="198"/>
      <c r="BF207" s="198"/>
      <c r="BG207" s="198"/>
      <c r="BH207" s="198"/>
      <c r="BI207" s="198"/>
      <c r="BJ207" s="198"/>
      <c r="BK207" s="198"/>
      <c r="BL207" s="198"/>
      <c r="BM207" s="198"/>
      <c r="BO207" s="197" t="str">
        <f t="shared" si="1220"/>
        <v>YoY Change (%)</v>
      </c>
      <c r="BP207" s="193"/>
      <c r="BQ207" s="193"/>
      <c r="BR207" s="193"/>
      <c r="BS207" s="193"/>
      <c r="BT207" s="193"/>
      <c r="BV207" s="197" t="str">
        <f t="shared" si="1221"/>
        <v>YoY Change (%)</v>
      </c>
      <c r="BW207" s="198">
        <f>BW206/BP206-1</f>
        <v>3.7974683544303778E-2</v>
      </c>
      <c r="BX207" s="198">
        <f t="shared" ref="BX207" si="3111">BX206/BQ206-1</f>
        <v>7.2289156626506035E-2</v>
      </c>
      <c r="BY207" s="198">
        <f t="shared" ref="BY207" si="3112">BY206/BR206-1</f>
        <v>2.564102564102555E-2</v>
      </c>
      <c r="BZ207" s="198">
        <f t="shared" ref="BZ207" si="3113">BZ206/BS206-1</f>
        <v>-6.3291139240506333E-2</v>
      </c>
      <c r="CA207" s="198">
        <f t="shared" ref="CA207" si="3114">CA206/BT206-1</f>
        <v>1.8808777429467183E-2</v>
      </c>
      <c r="CC207" s="197" t="str">
        <f t="shared" si="1222"/>
        <v>YoY Change (%)</v>
      </c>
      <c r="CD207" s="198">
        <f>CD206/BW206-1</f>
        <v>-0.14634146341463417</v>
      </c>
      <c r="CE207" s="198">
        <f t="shared" ref="CE207" si="3115">CE206/BX206-1</f>
        <v>-0.15730337078651691</v>
      </c>
      <c r="CF207" s="198">
        <f t="shared" ref="CF207" si="3116">CF206/BY206-1</f>
        <v>-7.4999999999999956E-2</v>
      </c>
      <c r="CG207" s="198">
        <f t="shared" ref="CG207" si="3117">CG206/BZ206-1</f>
        <v>0</v>
      </c>
      <c r="CH207" s="198">
        <f t="shared" ref="CH207" si="3118">CH206/CA206-1</f>
        <v>-9.8461538461538489E-2</v>
      </c>
      <c r="CJ207" s="197" t="str">
        <f t="shared" si="1223"/>
        <v>YoY Change (%)</v>
      </c>
      <c r="CK207" s="198">
        <f>CK206/CD206-1</f>
        <v>5.7142857142857162E-2</v>
      </c>
      <c r="CL207" s="198">
        <f t="shared" ref="CL207" si="3119">CL206/CE206-1</f>
        <v>5.3333333333333233E-2</v>
      </c>
      <c r="CM207" s="198">
        <f t="shared" ref="CM207" si="3120">CM206/CF206-1</f>
        <v>6.7567567567567544E-2</v>
      </c>
      <c r="CN207" s="198">
        <f t="shared" ref="CN207" si="3121">CN206/CG206-1</f>
        <v>4.0540540540540571E-2</v>
      </c>
      <c r="CO207" s="198">
        <f t="shared" ref="CO207" si="3122">CO206/CH206-1</f>
        <v>5.4607508532423132E-2</v>
      </c>
      <c r="CQ207" s="197" t="str">
        <f t="shared" si="1224"/>
        <v>YoY Change (%)</v>
      </c>
      <c r="CR207" s="198">
        <f>CR206/CK206-1</f>
        <v>2.7027027027026973E-2</v>
      </c>
      <c r="CS207" s="198">
        <f t="shared" ref="CS207" si="3123">CS206/CL206-1</f>
        <v>7.5949367088607778E-2</v>
      </c>
      <c r="CT207" s="198">
        <f t="shared" ref="CT207" si="3124">CT206/CM206-1</f>
        <v>8.8607594936708889E-2</v>
      </c>
      <c r="CU207" s="198">
        <f t="shared" ref="CU207" si="3125">CU206/CN206-1</f>
        <v>0.10389610389610393</v>
      </c>
      <c r="CV207" s="198">
        <f t="shared" ref="CV207" si="3126">CV206/CO206-1</f>
        <v>7.4433656957928696E-2</v>
      </c>
      <c r="CX207" s="197" t="str">
        <f t="shared" si="1225"/>
        <v>YoY Change (%)</v>
      </c>
      <c r="CY207" s="198">
        <f>CY206/CR206-1</f>
        <v>0.11842105263157898</v>
      </c>
      <c r="CZ207" s="198">
        <f t="shared" ref="CZ207" si="3127">CZ206/CS206-1</f>
        <v>0.11764705882352944</v>
      </c>
      <c r="DA207" s="198">
        <f t="shared" ref="DA207" si="3128">DA206/CT206-1</f>
        <v>0.11627906976744184</v>
      </c>
      <c r="DB207" s="198">
        <f t="shared" ref="DB207" si="3129">DB206/CU206-1</f>
        <v>4.705882352941182E-2</v>
      </c>
      <c r="DC207" s="198">
        <f t="shared" ref="DC207" si="3130">DC206/CV206-1</f>
        <v>9.9397590361445687E-2</v>
      </c>
      <c r="DE207" s="197" t="str">
        <f t="shared" si="1226"/>
        <v>YoY Change (%)</v>
      </c>
      <c r="DF207" s="198">
        <f>DF206/CY206-1</f>
        <v>8.2352941176470518E-2</v>
      </c>
      <c r="DG207" s="198">
        <f t="shared" ref="DG207" si="3131">DG206/CZ206-1</f>
        <v>2.1052631578947434E-2</v>
      </c>
      <c r="DH207" s="198">
        <f t="shared" ref="DH207" si="3132">DH206/DA206-1</f>
        <v>0</v>
      </c>
      <c r="DI207" s="198">
        <f t="shared" ref="DI207" si="3133">DI206/DB206-1</f>
        <v>1.1235955056179803E-2</v>
      </c>
      <c r="DJ207" s="198">
        <f t="shared" ref="DJ207" si="3134">DJ206/DC206-1</f>
        <v>2.7397260273972712E-2</v>
      </c>
      <c r="DL207" s="197" t="str">
        <f t="shared" si="1227"/>
        <v>YoY Change (%)</v>
      </c>
      <c r="DM207" s="198">
        <f>DM206/DF206-1</f>
        <v>-5.4347826086956541E-2</v>
      </c>
      <c r="DN207" s="198">
        <f t="shared" ref="DN207" si="3135">DN206/DG206-1</f>
        <v>3.0927835051546282E-2</v>
      </c>
      <c r="DO207" s="198">
        <f t="shared" ref="DO207" si="3136">DO206/DH206-1</f>
        <v>3.125E-2</v>
      </c>
      <c r="DP207" s="198">
        <f t="shared" ref="DP207" si="3137">DP206/DI206-1</f>
        <v>5.555555555555558E-2</v>
      </c>
      <c r="DQ207" s="198">
        <f t="shared" ref="DQ207" si="3138">DQ206/DJ206-1</f>
        <v>1.6000000000000014E-2</v>
      </c>
      <c r="DS207" s="197" t="str">
        <f t="shared" si="1228"/>
        <v>YoY Change (%)</v>
      </c>
      <c r="DT207" s="198">
        <f>DT206/DM206-1</f>
        <v>6.8965517241379226E-2</v>
      </c>
      <c r="DU207" s="198">
        <f t="shared" ref="DU207" si="3139">DU206/DN206-1</f>
        <v>-1.0000000000000009E-2</v>
      </c>
      <c r="DV207" s="198">
        <f t="shared" ref="DV207" si="3140">DV206/DO206-1</f>
        <v>5.0505050505050608E-2</v>
      </c>
      <c r="DW207" s="198">
        <f t="shared" ref="DW207" si="3141">DW206/DP206-1</f>
        <v>3.1578947368421151E-2</v>
      </c>
      <c r="DX207" s="198">
        <f t="shared" ref="DX207" si="3142">DX206/DQ206-1</f>
        <v>3.4120734908136274E-2</v>
      </c>
      <c r="DZ207" s="197" t="str">
        <f t="shared" si="1229"/>
        <v>YoY Change (%)</v>
      </c>
      <c r="EA207" s="198">
        <f>EA206/DT206-1</f>
        <v>1.0752688172043223E-2</v>
      </c>
      <c r="EB207" s="198">
        <f t="shared" ref="EB207" si="3143">EB206/DU206-1</f>
        <v>1.0101010101010166E-2</v>
      </c>
      <c r="EC207" s="198">
        <f t="shared" ref="EC207" si="3144">EC206/DV206-1</f>
        <v>-0.10576923076923073</v>
      </c>
      <c r="ED207" s="198">
        <f t="shared" ref="ED207" si="3145">ED206/DW206-1</f>
        <v>-9.1836734693877542E-2</v>
      </c>
      <c r="EE207" s="198">
        <f t="shared" ref="EE207" si="3146">EE206/DX206-1</f>
        <v>-4.5685279187817174E-2</v>
      </c>
      <c r="EG207" s="197" t="str">
        <f t="shared" si="1230"/>
        <v>YoY Change (%)</v>
      </c>
      <c r="EH207" s="198">
        <f>EH206/EA206-1</f>
        <v>9.5744680851063579E-2</v>
      </c>
      <c r="EI207" s="198">
        <f t="shared" ref="EI207" si="3147">EI206/EB206-1</f>
        <v>-1.0000000000000009E-2</v>
      </c>
      <c r="EJ207" s="198">
        <f t="shared" ref="EJ207" si="3148">EJ206/EC206-1</f>
        <v>6.4516129032258007E-2</v>
      </c>
      <c r="EK207" s="198">
        <f t="shared" ref="EK207" si="3149">EK206/ED206-1</f>
        <v>7.8651685393258397E-2</v>
      </c>
      <c r="EL207" s="198">
        <f t="shared" ref="EL207" si="3150">EL206/EE206-1</f>
        <v>5.5851063829787329E-2</v>
      </c>
      <c r="EN207" s="197" t="str">
        <f t="shared" si="1231"/>
        <v>YoY Change (%)</v>
      </c>
      <c r="EO207" s="198" t="e">
        <f>EO206/EH206-1</f>
        <v>#VALUE!</v>
      </c>
      <c r="EP207" s="198" t="e">
        <f t="shared" ref="EP207" si="3151">EP206/EI206-1</f>
        <v>#VALUE!</v>
      </c>
      <c r="EQ207" s="198" t="e">
        <f t="shared" ref="EQ207" si="3152">EQ206/EJ206-1</f>
        <v>#VALUE!</v>
      </c>
      <c r="ER207" s="198" t="e">
        <f t="shared" ref="ER207" si="3153">ER206/EK206-1</f>
        <v>#VALUE!</v>
      </c>
      <c r="ES207" s="198" t="e">
        <f t="shared" ref="ES207" si="3154">ES206/EL206-1</f>
        <v>#VALUE!</v>
      </c>
      <c r="EU207" s="197" t="str">
        <f t="shared" si="1232"/>
        <v>YoY Change (%)</v>
      </c>
      <c r="EV207" s="198" t="e">
        <f>EV206/EO206-1</f>
        <v>#VALUE!</v>
      </c>
      <c r="EW207" s="198" t="e">
        <f t="shared" ref="EW207" si="3155">EW206/EP206-1</f>
        <v>#VALUE!</v>
      </c>
      <c r="EX207" s="198" t="e">
        <f t="shared" ref="EX207" si="3156">EX206/EQ206-1</f>
        <v>#VALUE!</v>
      </c>
      <c r="EY207" s="198" t="e">
        <f t="shared" ref="EY207" si="3157">EY206/ER206-1</f>
        <v>#VALUE!</v>
      </c>
      <c r="EZ207" s="198" t="e">
        <f t="shared" ref="EZ207" si="3158">EZ206/ES206-1</f>
        <v>#VALUE!</v>
      </c>
      <c r="FB207" s="197" t="str">
        <f t="shared" si="1233"/>
        <v>YoY Change (%)</v>
      </c>
      <c r="FC207" s="198" t="e">
        <f>FC206/EV206-1</f>
        <v>#VALUE!</v>
      </c>
      <c r="FD207" s="198" t="e">
        <f t="shared" ref="FD207" si="3159">FD206/EW206-1</f>
        <v>#VALUE!</v>
      </c>
      <c r="FE207" s="198" t="e">
        <f t="shared" ref="FE207" si="3160">FE206/EX206-1</f>
        <v>#VALUE!</v>
      </c>
      <c r="FF207" s="198" t="e">
        <f t="shared" ref="FF207" si="3161">FF206/EY206-1</f>
        <v>#VALUE!</v>
      </c>
      <c r="FG207" s="198" t="e">
        <f t="shared" ref="FG207" si="3162">FG206/EZ206-1</f>
        <v>#VALUE!</v>
      </c>
      <c r="FI207" s="197" t="str">
        <f t="shared" si="1234"/>
        <v>YoY Change (%)</v>
      </c>
      <c r="FJ207" s="198" t="e">
        <f>FJ206/FC206-1</f>
        <v>#VALUE!</v>
      </c>
      <c r="FK207" s="198" t="e">
        <f t="shared" ref="FK207" si="3163">FK206/FD206-1</f>
        <v>#VALUE!</v>
      </c>
      <c r="FL207" s="198" t="e">
        <f t="shared" ref="FL207" si="3164">FL206/FE206-1</f>
        <v>#VALUE!</v>
      </c>
      <c r="FM207" s="198" t="e">
        <f t="shared" ref="FM207" si="3165">FM206/FF206-1</f>
        <v>#VALUE!</v>
      </c>
      <c r="FN207" s="198" t="e">
        <f t="shared" ref="FN207" si="3166">FN206/FG206-1</f>
        <v>#VALUE!</v>
      </c>
      <c r="FP207" s="197" t="str">
        <f t="shared" si="1235"/>
        <v>YoY Change (%)</v>
      </c>
      <c r="FQ207" s="198" t="e">
        <f>FQ206/FJ206-1</f>
        <v>#VALUE!</v>
      </c>
      <c r="FR207" s="198" t="e">
        <f t="shared" ref="FR207" si="3167">FR206/FK206-1</f>
        <v>#VALUE!</v>
      </c>
      <c r="FS207" s="198" t="e">
        <f t="shared" ref="FS207" si="3168">FS206/FL206-1</f>
        <v>#VALUE!</v>
      </c>
      <c r="FT207" s="198" t="e">
        <f t="shared" ref="FT207" si="3169">FT206/FM206-1</f>
        <v>#VALUE!</v>
      </c>
      <c r="FU207" s="198" t="e">
        <f t="shared" ref="FU207" si="3170">FU206/FN206-1</f>
        <v>#VALUE!</v>
      </c>
      <c r="FW207" s="197" t="str">
        <f t="shared" si="1236"/>
        <v>YoY Change (%)</v>
      </c>
      <c r="FX207" s="198" t="e">
        <f>FX206/FQ206-1</f>
        <v>#VALUE!</v>
      </c>
      <c r="FY207" s="198" t="e">
        <f t="shared" ref="FY207" si="3171">FY206/FR206-1</f>
        <v>#VALUE!</v>
      </c>
      <c r="FZ207" s="198" t="e">
        <f t="shared" ref="FZ207" si="3172">FZ206/FS206-1</f>
        <v>#VALUE!</v>
      </c>
      <c r="GA207" s="198" t="e">
        <f t="shared" ref="GA207" si="3173">GA206/FT206-1</f>
        <v>#VALUE!</v>
      </c>
      <c r="GB207" s="198" t="e">
        <f t="shared" ref="GB207" si="3174">GB206/FU206-1</f>
        <v>#VALUE!</v>
      </c>
      <c r="GD207" s="197" t="str">
        <f t="shared" si="1237"/>
        <v>YoY Change (%)</v>
      </c>
      <c r="GE207" s="198" t="e">
        <f>GE206/FX206-1</f>
        <v>#VALUE!</v>
      </c>
      <c r="GF207" s="198" t="e">
        <f t="shared" ref="GF207" si="3175">GF206/FY206-1</f>
        <v>#VALUE!</v>
      </c>
      <c r="GG207" s="198" t="e">
        <f t="shared" ref="GG207" si="3176">GG206/FZ206-1</f>
        <v>#VALUE!</v>
      </c>
      <c r="GH207" s="198" t="e">
        <f t="shared" ref="GH207" si="3177">GH206/GA206-1</f>
        <v>#VALUE!</v>
      </c>
      <c r="GI207" s="198" t="e">
        <f t="shared" ref="GI207" si="3178">GI206/GB206-1</f>
        <v>#VALUE!</v>
      </c>
      <c r="GK207" s="197" t="str">
        <f t="shared" si="1238"/>
        <v>YoY Change (%)</v>
      </c>
      <c r="GL207" s="198" t="e">
        <f>GL206/GE206-1</f>
        <v>#VALUE!</v>
      </c>
      <c r="GM207" s="198" t="e">
        <f t="shared" ref="GM207" si="3179">GM206/GF206-1</f>
        <v>#VALUE!</v>
      </c>
      <c r="GN207" s="198" t="e">
        <f t="shared" ref="GN207" si="3180">GN206/GG206-1</f>
        <v>#VALUE!</v>
      </c>
      <c r="GO207" s="198" t="e">
        <f t="shared" ref="GO207" si="3181">GO206/GH206-1</f>
        <v>#VALUE!</v>
      </c>
      <c r="GP207" s="198" t="e">
        <f t="shared" ref="GP207" si="3182">GP206/GI206-1</f>
        <v>#VALUE!</v>
      </c>
      <c r="GR207" s="197" t="str">
        <f t="shared" si="1239"/>
        <v>YoY Change (%)</v>
      </c>
      <c r="GS207" s="198" t="e">
        <f>GS206/GL206-1</f>
        <v>#VALUE!</v>
      </c>
      <c r="GT207" s="198" t="e">
        <f t="shared" ref="GT207" si="3183">GT206/GM206-1</f>
        <v>#VALUE!</v>
      </c>
      <c r="GU207" s="198" t="e">
        <f t="shared" ref="GU207" si="3184">GU206/GN206-1</f>
        <v>#VALUE!</v>
      </c>
      <c r="GV207" s="198" t="e">
        <f t="shared" ref="GV207" si="3185">GV206/GO206-1</f>
        <v>#VALUE!</v>
      </c>
      <c r="GW207" s="198" t="e">
        <f t="shared" ref="GW207" si="3186">GW206/GP206-1</f>
        <v>#VALUE!</v>
      </c>
      <c r="GY207" s="197" t="str">
        <f t="shared" si="1240"/>
        <v>YoY Change (%)</v>
      </c>
      <c r="GZ207" s="198" t="e">
        <f>GZ206/GS206-1</f>
        <v>#VALUE!</v>
      </c>
      <c r="HA207" s="198" t="e">
        <f t="shared" ref="HA207" si="3187">HA206/GT206-1</f>
        <v>#VALUE!</v>
      </c>
      <c r="HB207" s="198" t="e">
        <f t="shared" ref="HB207" si="3188">HB206/GU206-1</f>
        <v>#VALUE!</v>
      </c>
      <c r="HC207" s="198" t="e">
        <f t="shared" ref="HC207" si="3189">HC206/GV206-1</f>
        <v>#VALUE!</v>
      </c>
      <c r="HD207" s="198" t="e">
        <f t="shared" ref="HD207" si="3190">HD206/GW206-1</f>
        <v>#VALUE!</v>
      </c>
      <c r="HF207" s="197" t="str">
        <f t="shared" si="1241"/>
        <v>YoY Change (%)</v>
      </c>
      <c r="HG207" s="198" t="e">
        <f>HG206/GZ206-1</f>
        <v>#VALUE!</v>
      </c>
      <c r="HH207" s="198" t="e">
        <f t="shared" ref="HH207" si="3191">HH206/HA206-1</f>
        <v>#VALUE!</v>
      </c>
      <c r="HI207" s="198" t="e">
        <f t="shared" ref="HI207" si="3192">HI206/HB206-1</f>
        <v>#VALUE!</v>
      </c>
      <c r="HJ207" s="198" t="e">
        <f t="shared" ref="HJ207" si="3193">HJ206/HC206-1</f>
        <v>#VALUE!</v>
      </c>
      <c r="HK207" s="198" t="e">
        <f t="shared" ref="HK207" si="3194">HK206/HD206-1</f>
        <v>#VALUE!</v>
      </c>
      <c r="HM207" s="197" t="str">
        <f t="shared" si="1242"/>
        <v>YoY Change (%)</v>
      </c>
      <c r="HN207" s="198">
        <f>HN206/HG206-1</f>
        <v>0.18181818181818188</v>
      </c>
      <c r="HO207" s="198">
        <f t="shared" ref="HO207" si="3195">HO206/HH206-1</f>
        <v>0.10784313725490202</v>
      </c>
      <c r="HP207" s="198">
        <f t="shared" ref="HP207" si="3196">HP206/HI206-1</f>
        <v>0.11764705882352944</v>
      </c>
      <c r="HQ207" s="198">
        <f t="shared" ref="HQ207" si="3197">HQ206/HJ206-1</f>
        <v>9.375E-2</v>
      </c>
      <c r="HR207" s="198">
        <f t="shared" ref="HR207" si="3198">HR206/HK206-1</f>
        <v>0.12201591511936316</v>
      </c>
      <c r="HT207" s="197" t="str">
        <f t="shared" si="1243"/>
        <v>YoY Change (%)</v>
      </c>
      <c r="HU207" s="198">
        <f>HU206/HN206-1</f>
        <v>3.2967032967033072E-2</v>
      </c>
      <c r="HV207" s="198">
        <f t="shared" ref="HV207" si="3199">HV206/HO206-1</f>
        <v>-5.3097345132743445E-2</v>
      </c>
      <c r="HW207" s="198">
        <f t="shared" ref="HW207" si="3200">HW206/HP206-1</f>
        <v>-8.7719298245614086E-2</v>
      </c>
      <c r="HX207" s="198">
        <f t="shared" ref="HX207" si="3201">HX206/HQ206-1</f>
        <v>-9.52380952380949E-3</v>
      </c>
      <c r="HY207" s="198">
        <f t="shared" ref="HY207" si="3202">HY206/HR206-1</f>
        <v>-3.3096926713948038E-2</v>
      </c>
      <c r="IA207" s="197" t="str">
        <f t="shared" si="1244"/>
        <v>YoY Change (%)</v>
      </c>
      <c r="IB207" s="198">
        <f>IB206/HU206-1</f>
        <v>0</v>
      </c>
      <c r="IC207" s="198">
        <f t="shared" ref="IC207" si="3203">IC206/HV206-1</f>
        <v>4.6728971962616939E-2</v>
      </c>
      <c r="ID207" s="198">
        <f t="shared" ref="ID207" si="3204">ID206/HW206-1</f>
        <v>6.7307692307692291E-2</v>
      </c>
      <c r="IE207" s="198">
        <f t="shared" ref="IE207" si="3205">IE206/HX206-1</f>
        <v>9.6153846153845812E-3</v>
      </c>
      <c r="IF207" s="198">
        <f t="shared" ref="IF207" si="3206">IF206/HY206-1</f>
        <v>3.1784841075794379E-2</v>
      </c>
      <c r="IH207" s="197" t="str">
        <f t="shared" si="1245"/>
        <v>YoY Change (%)</v>
      </c>
      <c r="II207" s="198">
        <f>II206/IB206-1</f>
        <v>-1.0638297872340385E-2</v>
      </c>
      <c r="IJ207" s="198">
        <f t="shared" ref="IJ207" si="3207">IJ206/IC206-1</f>
        <v>7.1428571428571619E-2</v>
      </c>
      <c r="IK207" s="198">
        <f t="shared" ref="IK207" si="3208">IK206/ID206-1</f>
        <v>0.10810810810810811</v>
      </c>
      <c r="IL207" s="198">
        <f t="shared" ref="IL207" si="3209">IL206/IE206-1</f>
        <v>6.6666666666666874E-2</v>
      </c>
      <c r="IM207" s="198">
        <f t="shared" ref="IM207" si="3210">IM206/IF206-1</f>
        <v>6.1611374407583019E-2</v>
      </c>
      <c r="IO207" s="197" t="str">
        <f t="shared" si="1246"/>
        <v>YoY Change (%)</v>
      </c>
      <c r="IP207" s="198">
        <f>IP206/II206-1</f>
        <v>7.5268817204301008E-2</v>
      </c>
      <c r="IQ207" s="198">
        <f t="shared" ref="IQ207" si="3211">IQ206/IJ206-1</f>
        <v>8.3333333333330817E-3</v>
      </c>
      <c r="IR207" s="198">
        <f t="shared" ref="IR207" si="3212">IR206/IK206-1</f>
        <v>1.6260162601625883E-2</v>
      </c>
      <c r="IS207" s="198">
        <f t="shared" ref="IS207" si="3213">IS206/IL206-1</f>
        <v>8.9285714285713969E-3</v>
      </c>
      <c r="IT207" s="198">
        <f t="shared" ref="IT207" si="3214">IT206/IM206-1</f>
        <v>2.4553571428571397E-2</v>
      </c>
      <c r="IV207" s="197" t="str">
        <f t="shared" si="1247"/>
        <v>YoY Change (%)</v>
      </c>
      <c r="IW207" s="198">
        <f>IW206/IP206-1</f>
        <v>-6.0000000000000053E-2</v>
      </c>
      <c r="IX207" s="198">
        <f t="shared" ref="IX207" si="3215">IX206/IQ206-1</f>
        <v>4.1322314049586861E-2</v>
      </c>
      <c r="IY207" s="198">
        <f t="shared" ref="IY207" si="3216">IY206/IR206-1</f>
        <v>0</v>
      </c>
      <c r="IZ207" s="198">
        <f t="shared" ref="IZ207" si="3217">IZ206/IS206-1</f>
        <v>4.4247787610619538E-2</v>
      </c>
      <c r="JA207" s="198">
        <f t="shared" ref="JA207" si="3218">JA206/IT206-1</f>
        <v>8.7145969498911846E-3</v>
      </c>
      <c r="JC207" s="197" t="str">
        <f t="shared" si="1248"/>
        <v>YoY Change (%)</v>
      </c>
      <c r="JD207" s="198">
        <f>JD206/IW206-1</f>
        <v>0.2127659574468086</v>
      </c>
      <c r="JE207" s="198">
        <f t="shared" ref="JE207" si="3219">JE206/IX206-1</f>
        <v>1.5873015873015817E-2</v>
      </c>
      <c r="JF207" s="198">
        <f t="shared" ref="JF207" si="3220">JF206/IY206-1</f>
        <v>-3.9999999999999925E-2</v>
      </c>
      <c r="JG207" s="198">
        <f t="shared" ref="JG207" si="3221">JG206/IZ206-1</f>
        <v>0.59322033898305082</v>
      </c>
      <c r="JH207" s="198">
        <f t="shared" ref="JH207" si="3222">JH206/JA206-1</f>
        <v>0.1879049676025919</v>
      </c>
      <c r="JJ207" s="197" t="str">
        <f t="shared" si="1249"/>
        <v>YoY Change (%)</v>
      </c>
      <c r="JK207" s="198">
        <f>JK206/JD206-1</f>
        <v>0</v>
      </c>
      <c r="JL207" s="198">
        <f t="shared" ref="JL207" si="3223">JL206/JE206-1</f>
        <v>7.03125E-2</v>
      </c>
      <c r="JM207" s="198">
        <f t="shared" ref="JM207" si="3224">JM206/JF206-1</f>
        <v>0.14166666666666661</v>
      </c>
      <c r="JN207" s="198">
        <f t="shared" ref="JN207" si="3225">JN206/JG206-1</f>
        <v>-0.30851063829787229</v>
      </c>
      <c r="JO207" s="198">
        <f t="shared" ref="JO207" si="3226">JO206/JH206-1</f>
        <v>-5.8181818181818334E-2</v>
      </c>
      <c r="JQ207" s="197" t="str">
        <f t="shared" si="1250"/>
        <v>YoY Change (%)</v>
      </c>
      <c r="JR207" s="198">
        <f>JR206/JK206-1</f>
        <v>7.8947368421052433E-2</v>
      </c>
      <c r="JS207" s="198">
        <f t="shared" ref="JS207" si="3227">JS206/JL206-1</f>
        <v>7.2992700729926918E-2</v>
      </c>
      <c r="JT207" s="198">
        <f t="shared" ref="JT207" si="3228">JT206/JM206-1</f>
        <v>5.8394160583941535E-2</v>
      </c>
      <c r="JU207" s="198">
        <f t="shared" ref="JU207" si="3229">JU206/JN206-1</f>
        <v>6.1538461538461542E-2</v>
      </c>
      <c r="JV207" s="198">
        <f t="shared" ref="JV207" si="3230">JV206/JO206-1</f>
        <v>6.7567567567567544E-2</v>
      </c>
      <c r="JX207" s="197" t="str">
        <f t="shared" si="1251"/>
        <v>YoY Change (%)</v>
      </c>
      <c r="JY207" s="198">
        <f>JY206/JR206-1</f>
        <v>3.2520325203252209E-2</v>
      </c>
      <c r="JZ207" s="198">
        <f t="shared" ref="JZ207" si="3231">JZ206/JS206-1</f>
        <v>-8.8435374149659851E-2</v>
      </c>
      <c r="KA207" s="198">
        <f t="shared" ref="KA207" si="3232">KA206/JT206-1</f>
        <v>-6.8965517241379448E-3</v>
      </c>
      <c r="KB207" s="198">
        <f t="shared" ref="KB207" si="3233">KB206/JU206-1</f>
        <v>-3.6231884057971064E-2</v>
      </c>
      <c r="KC207" s="198">
        <f t="shared" ref="KC207" si="3234">KC206/JV206-1</f>
        <v>-2.7124773960216952E-2</v>
      </c>
      <c r="KE207" s="197" t="str">
        <f t="shared" si="1252"/>
        <v>YoY Change (%)</v>
      </c>
      <c r="KF207" s="198">
        <f>KF206/JY206-1</f>
        <v>-1.5748031496062964E-2</v>
      </c>
      <c r="KG207" s="198">
        <f t="shared" ref="KG207" si="3235">KG206/JZ206-1</f>
        <v>0.13432835820895517</v>
      </c>
      <c r="KH207" s="198">
        <f t="shared" ref="KH207" si="3236">KH206/KA206-1</f>
        <v>0.125</v>
      </c>
      <c r="KI207" s="198">
        <f t="shared" ref="KI207" si="3237">KI206/KB206-1</f>
        <v>0.11278195488721776</v>
      </c>
      <c r="KJ207" s="198">
        <f t="shared" ref="KJ207" si="3238">KJ206/KC206-1</f>
        <v>9.1078066914498157E-2</v>
      </c>
      <c r="KL207" s="197" t="str">
        <f t="shared" si="1253"/>
        <v>YoY Change (%)</v>
      </c>
      <c r="KM207" s="198">
        <f>KM206/KF206-1</f>
        <v>0.15199999999999991</v>
      </c>
      <c r="KN207" s="198">
        <f t="shared" ref="KN207" si="3239">KN206/KG206-1</f>
        <v>0.11842105263157898</v>
      </c>
      <c r="KO207" s="198">
        <f t="shared" ref="KO207" si="3240">KO206/KH206-1</f>
        <v>0.11111111111111116</v>
      </c>
      <c r="KP207" s="198">
        <f t="shared" ref="KP207" si="3241">KP206/KI206-1</f>
        <v>0.10810810810810834</v>
      </c>
      <c r="KQ207" s="198">
        <f t="shared" ref="KQ207" si="3242">KQ206/KJ206-1</f>
        <v>0.12095400340715501</v>
      </c>
      <c r="KS207" s="197" t="str">
        <f t="shared" si="1254"/>
        <v>YoY Change (%)</v>
      </c>
      <c r="KT207" s="198">
        <f>KT206/KM206-1</f>
        <v>0.20138888888888884</v>
      </c>
      <c r="KU207" s="198">
        <f t="shared" ref="KU207" si="3243">KU206/KN206-1</f>
        <v>0.12352941176470589</v>
      </c>
      <c r="KV207" s="198">
        <f t="shared" ref="KV207" si="3244">KV206/KO206-1</f>
        <v>5.555555555555558E-2</v>
      </c>
      <c r="KW207" s="198">
        <f t="shared" ref="KW207" si="3245">KW206/KP206-1</f>
        <v>9.1463414634146423E-2</v>
      </c>
      <c r="KX207" s="198">
        <f t="shared" ref="KX207" si="3246">KX206/KQ206-1</f>
        <v>0.11398176291793316</v>
      </c>
      <c r="KZ207" s="197" t="str">
        <f t="shared" si="1255"/>
        <v>YoY Change (%)</v>
      </c>
      <c r="LA207" s="198">
        <f>LA206/KT206-1</f>
        <v>5.7803468208093012E-3</v>
      </c>
      <c r="LB207" s="198">
        <f>LB206/KU206-1</f>
        <v>8.3769633507853269E-2</v>
      </c>
      <c r="LC207" s="198">
        <f>LC206/KV206-1</f>
        <v>6.315789473684208E-2</v>
      </c>
      <c r="LD207" s="198">
        <f t="shared" ref="LD207" si="3247">LD206/KW206-1</f>
        <v>5.5865921787709549E-2</v>
      </c>
      <c r="LE207" s="199">
        <f t="shared" ref="LE207" si="3248">LE206/KX206-1</f>
        <v>5.3206002728513058E-2</v>
      </c>
      <c r="LF207" s="574"/>
      <c r="LG207" s="197" t="str">
        <f t="shared" si="1256"/>
        <v>YoY Change (%)</v>
      </c>
      <c r="LH207" s="198">
        <f>LH206/LA206-1</f>
        <v>4.0229885057471382E-2</v>
      </c>
      <c r="LI207" s="198">
        <f>LI206/LB206-1</f>
        <v>5.3140096618357502E-2</v>
      </c>
      <c r="LJ207" s="198">
        <f>LJ206/LC206-1</f>
        <v>0.1188118811881187</v>
      </c>
      <c r="LK207" s="198">
        <f>LK206/LD206-1</f>
        <v>9.52380952380949E-2</v>
      </c>
      <c r="LL207" s="199">
        <f t="shared" ref="LL207" si="3249">LL206/LE206-1</f>
        <v>7.7720207253886064E-2</v>
      </c>
      <c r="LM207" s="574"/>
      <c r="LN207" s="197" t="str">
        <f t="shared" si="1257"/>
        <v>YoY Change (%)</v>
      </c>
      <c r="LO207" s="199">
        <f>LO206/LH206-1</f>
        <v>7.3812500000000059E-2</v>
      </c>
      <c r="LP207" s="199">
        <f t="shared" ref="LP207" si="3250">LP206/LI206-1</f>
        <v>6.3437500000000036E-2</v>
      </c>
      <c r="LQ207" s="199">
        <f t="shared" ref="LQ207" si="3251">LQ206/LJ206-1</f>
        <v>4.0174999999999628E-2</v>
      </c>
      <c r="LR207" s="199">
        <f t="shared" ref="LR207" si="3252">LR206/LK206-1</f>
        <v>0.10227499999999989</v>
      </c>
      <c r="LS207" s="199">
        <f t="shared" ref="LS207" si="3253">LS206/LL206-1</f>
        <v>6.9038356370192178E-2</v>
      </c>
      <c r="LT207" s="574"/>
      <c r="LU207" s="197" t="str">
        <f t="shared" si="1261"/>
        <v>YoY Change (%)</v>
      </c>
      <c r="LV207" s="199">
        <f>LV206/LO206-1</f>
        <v>7.3800000000000088E-2</v>
      </c>
      <c r="LW207" s="199">
        <f t="shared" ref="LW207" si="3254">LW206/LP206-1</f>
        <v>6.3399999999999901E-2</v>
      </c>
      <c r="LX207" s="199">
        <f t="shared" ref="LX207" si="3255">LX206/LQ206-1</f>
        <v>6.8600000000000216E-2</v>
      </c>
      <c r="LY207" s="199">
        <f t="shared" ref="LY207" si="3256">LY206/LR206-1</f>
        <v>6.8599999999999994E-2</v>
      </c>
      <c r="LZ207" s="199">
        <f t="shared" ref="LZ207" si="3257">LZ206/LS206-1</f>
        <v>6.8380940317314787E-2</v>
      </c>
      <c r="MA207" s="574"/>
      <c r="MB207" s="197" t="str">
        <f t="shared" si="1265"/>
        <v>YoY Change (%)</v>
      </c>
      <c r="MC207" s="199">
        <f>MC206/LV206-1</f>
        <v>6.0874999999999568E-2</v>
      </c>
      <c r="MD207" s="199">
        <f t="shared" ref="MD207" si="3258">MD206/LW206-1</f>
        <v>6.0875000000000012E-2</v>
      </c>
      <c r="ME207" s="199">
        <f t="shared" ref="ME207" si="3259">ME206/LX206-1</f>
        <v>6.087499999999979E-2</v>
      </c>
      <c r="MF207" s="199">
        <f t="shared" ref="MF207" si="3260">MF206/LY206-1</f>
        <v>6.087499999999979E-2</v>
      </c>
      <c r="MG207" s="199">
        <f t="shared" ref="MG207" si="3261">MG206/LZ206-1</f>
        <v>6.087499999999979E-2</v>
      </c>
      <c r="MH207" s="574"/>
    </row>
    <row r="208" spans="1:346" s="37" customFormat="1" ht="13.15" x14ac:dyDescent="0.4">
      <c r="A208" s="100"/>
      <c r="C208" s="186"/>
      <c r="D208" s="186"/>
      <c r="E208" s="186"/>
      <c r="F208" s="186"/>
      <c r="G208" s="186"/>
      <c r="H208" s="186"/>
      <c r="I208" s="186"/>
      <c r="J208" s="186"/>
      <c r="K208" s="186"/>
      <c r="L208" s="186"/>
      <c r="M208" s="186"/>
      <c r="N208" s="193"/>
      <c r="O208" s="193"/>
      <c r="P208" s="193"/>
      <c r="Q208" s="193"/>
      <c r="R208" s="193"/>
      <c r="S208" s="193"/>
      <c r="T208" s="193"/>
      <c r="U208" s="193"/>
      <c r="V208" s="193"/>
      <c r="W208" s="193"/>
      <c r="X208" s="193"/>
      <c r="Y208" s="193"/>
      <c r="Z208" s="193"/>
      <c r="AA208" s="193"/>
      <c r="AB208" s="193"/>
      <c r="AC208" s="193"/>
      <c r="AD208" s="193"/>
      <c r="AE208" s="193"/>
      <c r="AF208" s="193"/>
      <c r="AG208" s="193"/>
      <c r="AH208" s="193"/>
      <c r="AI208" s="193"/>
      <c r="AJ208" s="193"/>
      <c r="AK208" s="193"/>
      <c r="AL208" s="193"/>
      <c r="AM208" s="193"/>
      <c r="AN208" s="193"/>
      <c r="AO208" s="193"/>
      <c r="AP208" s="193"/>
      <c r="AQ208" s="193"/>
      <c r="AR208" s="193"/>
      <c r="AS208" s="193"/>
      <c r="AT208" s="193"/>
      <c r="AU208" s="193"/>
      <c r="AV208" s="193"/>
      <c r="AW208" s="193"/>
      <c r="AX208" s="193"/>
      <c r="AY208" s="193"/>
      <c r="AZ208" s="193"/>
      <c r="BA208" s="193"/>
      <c r="BB208" s="193"/>
      <c r="BC208" s="193"/>
      <c r="BD208" s="193"/>
      <c r="BE208" s="193"/>
      <c r="BF208" s="193"/>
      <c r="BG208" s="193"/>
      <c r="BH208" s="193"/>
      <c r="BI208" s="193"/>
      <c r="BJ208" s="193"/>
      <c r="BK208" s="193"/>
      <c r="BL208" s="193"/>
      <c r="BM208" s="193"/>
      <c r="BP208" s="193"/>
      <c r="BQ208" s="193"/>
      <c r="BR208" s="193"/>
      <c r="BS208" s="193"/>
      <c r="BT208" s="193"/>
      <c r="BW208" s="193"/>
      <c r="BX208" s="193"/>
      <c r="BY208" s="193"/>
      <c r="BZ208" s="193"/>
      <c r="CA208" s="193"/>
      <c r="CD208" s="193"/>
      <c r="CE208" s="193"/>
      <c r="CF208" s="193"/>
      <c r="CG208" s="193"/>
      <c r="CH208" s="193"/>
      <c r="CK208" s="193"/>
      <c r="CL208" s="193"/>
      <c r="CM208" s="193"/>
      <c r="CN208" s="193"/>
      <c r="CO208" s="193"/>
      <c r="CR208" s="193"/>
      <c r="CS208" s="193"/>
      <c r="CT208" s="193"/>
      <c r="CU208" s="193"/>
      <c r="CV208" s="193"/>
      <c r="CY208" s="193"/>
      <c r="CZ208" s="193"/>
      <c r="DA208" s="193"/>
      <c r="DB208" s="193"/>
      <c r="DC208" s="193"/>
      <c r="DF208" s="193"/>
      <c r="DG208" s="193"/>
      <c r="DH208" s="193"/>
      <c r="DI208" s="193"/>
      <c r="DJ208" s="193"/>
      <c r="DM208" s="193"/>
      <c r="DN208" s="193"/>
      <c r="DO208" s="193"/>
      <c r="DP208" s="193"/>
      <c r="DQ208" s="193"/>
      <c r="DT208" s="193"/>
      <c r="DU208" s="193"/>
      <c r="DV208" s="193"/>
      <c r="DW208" s="193"/>
      <c r="DX208" s="193"/>
      <c r="EA208" s="193"/>
      <c r="EB208" s="193"/>
      <c r="EC208" s="193"/>
      <c r="ED208" s="193"/>
      <c r="EE208" s="193"/>
      <c r="EH208" s="193"/>
      <c r="EI208" s="193"/>
      <c r="EJ208" s="193"/>
      <c r="EK208" s="193"/>
      <c r="EL208" s="193"/>
      <c r="EO208" s="193"/>
      <c r="EP208" s="193"/>
      <c r="EQ208" s="193"/>
      <c r="ER208" s="193"/>
      <c r="ES208" s="193"/>
      <c r="EV208" s="193"/>
      <c r="EW208" s="193"/>
      <c r="EX208" s="193"/>
      <c r="EY208" s="193"/>
      <c r="EZ208" s="193"/>
      <c r="FC208" s="193"/>
      <c r="FD208" s="193"/>
      <c r="FE208" s="193"/>
      <c r="FF208" s="193"/>
      <c r="FG208" s="193"/>
      <c r="FJ208" s="193"/>
      <c r="FK208" s="193"/>
      <c r="FL208" s="193"/>
      <c r="FM208" s="193"/>
      <c r="FN208" s="193"/>
      <c r="FQ208" s="193"/>
      <c r="FR208" s="193"/>
      <c r="FS208" s="193"/>
      <c r="FT208" s="193"/>
      <c r="FU208" s="193"/>
      <c r="FX208" s="193"/>
      <c r="FY208" s="193"/>
      <c r="FZ208" s="193"/>
      <c r="GA208" s="193"/>
      <c r="GB208" s="193"/>
      <c r="GE208" s="193"/>
      <c r="GF208" s="193"/>
      <c r="GG208" s="193"/>
      <c r="GH208" s="193"/>
      <c r="GI208" s="193"/>
      <c r="GL208" s="193"/>
      <c r="GM208" s="193"/>
      <c r="GN208" s="193"/>
      <c r="GO208" s="193"/>
      <c r="GP208" s="193"/>
      <c r="GS208" s="193"/>
      <c r="GT208" s="193"/>
      <c r="GU208" s="193"/>
      <c r="GV208" s="193"/>
      <c r="GW208" s="193"/>
      <c r="GZ208" s="193"/>
      <c r="HA208" s="193"/>
      <c r="HB208" s="193"/>
      <c r="HC208" s="193"/>
      <c r="HD208" s="193"/>
      <c r="HG208" s="193"/>
      <c r="HH208" s="193"/>
      <c r="HI208" s="193"/>
      <c r="HJ208" s="193"/>
      <c r="HK208" s="193"/>
      <c r="HN208" s="193"/>
      <c r="HO208" s="193"/>
      <c r="HP208" s="193"/>
      <c r="HQ208" s="193"/>
      <c r="HR208" s="193"/>
      <c r="HU208" s="193"/>
      <c r="HV208" s="193"/>
      <c r="HW208" s="193"/>
      <c r="HX208" s="193"/>
      <c r="HY208" s="193"/>
      <c r="IB208" s="193"/>
      <c r="IC208" s="193"/>
      <c r="ID208" s="193"/>
      <c r="IE208" s="193"/>
      <c r="IF208" s="193"/>
      <c r="II208" s="193"/>
      <c r="IJ208" s="193"/>
      <c r="IK208" s="193"/>
      <c r="IL208" s="193"/>
      <c r="IM208" s="193"/>
      <c r="IP208" s="193"/>
      <c r="IQ208" s="193"/>
      <c r="IR208" s="193"/>
      <c r="IS208" s="193"/>
      <c r="IT208" s="193"/>
      <c r="IW208" s="193"/>
      <c r="IX208" s="193"/>
      <c r="IY208" s="193"/>
      <c r="IZ208" s="193"/>
      <c r="JA208" s="193"/>
      <c r="JD208" s="193"/>
      <c r="JE208" s="193"/>
      <c r="JF208" s="193"/>
      <c r="JG208" s="193"/>
      <c r="JH208" s="193"/>
      <c r="JK208" s="193"/>
      <c r="JL208" s="193"/>
      <c r="JM208" s="193"/>
      <c r="JN208" s="193"/>
      <c r="JO208" s="193"/>
      <c r="JR208" s="193"/>
      <c r="JS208" s="193"/>
      <c r="JT208" s="193"/>
      <c r="JU208" s="193"/>
      <c r="JV208" s="193"/>
      <c r="JY208" s="193"/>
      <c r="JZ208" s="193"/>
      <c r="KA208" s="193"/>
      <c r="KB208" s="193"/>
      <c r="KC208" s="193"/>
      <c r="KF208" s="193"/>
      <c r="KG208" s="193"/>
      <c r="KH208" s="193"/>
      <c r="KI208" s="193"/>
      <c r="KJ208" s="193"/>
      <c r="KM208" s="193"/>
      <c r="KN208" s="193"/>
      <c r="KO208" s="193"/>
      <c r="KP208" s="193"/>
      <c r="KQ208" s="193"/>
      <c r="KT208" s="193"/>
      <c r="KU208" s="193"/>
      <c r="KV208" s="193"/>
      <c r="KW208" s="193"/>
      <c r="KX208" s="193"/>
      <c r="LA208" s="193"/>
      <c r="LB208" s="193"/>
      <c r="LC208" s="193"/>
      <c r="LD208" s="193"/>
      <c r="LE208" s="193"/>
      <c r="LF208" s="555"/>
      <c r="LH208" s="193"/>
      <c r="LI208" s="193"/>
      <c r="LJ208" s="193"/>
      <c r="LK208" s="192"/>
      <c r="LL208" s="193"/>
      <c r="LM208" s="555"/>
      <c r="LO208" s="192"/>
      <c r="LP208" s="192"/>
      <c r="LQ208" s="192"/>
      <c r="LR208" s="192"/>
      <c r="LS208" s="193"/>
      <c r="LT208" s="555"/>
      <c r="LV208" s="192"/>
      <c r="LW208" s="192"/>
      <c r="LX208" s="192"/>
      <c r="LY208" s="192"/>
      <c r="LZ208" s="193"/>
      <c r="MA208" s="555"/>
      <c r="MC208" s="192"/>
      <c r="MD208" s="192"/>
      <c r="ME208" s="192"/>
      <c r="MF208" s="192"/>
      <c r="MG208" s="193"/>
      <c r="MH208" s="555"/>
    </row>
    <row r="209" spans="1:346" s="37" customFormat="1" ht="13.15" x14ac:dyDescent="0.4">
      <c r="A209" s="100"/>
      <c r="B209" s="68" t="s">
        <v>144</v>
      </c>
      <c r="C209" s="186"/>
      <c r="D209" s="186"/>
      <c r="E209" s="186"/>
      <c r="F209" s="186"/>
      <c r="G209" s="186"/>
      <c r="H209" s="186"/>
      <c r="I209" s="186"/>
      <c r="J209" s="186"/>
      <c r="K209" s="186"/>
      <c r="L209" s="186"/>
      <c r="M209" s="186"/>
      <c r="N209" s="200"/>
      <c r="O209" s="200"/>
      <c r="P209" s="200"/>
      <c r="Q209" s="200"/>
      <c r="R209" s="200"/>
      <c r="S209" s="200"/>
      <c r="T209" s="200"/>
      <c r="U209" s="200"/>
      <c r="V209" s="200"/>
      <c r="W209" s="200"/>
      <c r="X209" s="200"/>
      <c r="Y209" s="200"/>
      <c r="Z209" s="200"/>
      <c r="AA209" s="200"/>
      <c r="AB209" s="200"/>
      <c r="AC209" s="200"/>
      <c r="AD209" s="200"/>
      <c r="AE209" s="200"/>
      <c r="AF209" s="200"/>
      <c r="AG209" s="200"/>
      <c r="AH209" s="200"/>
      <c r="AI209" s="200"/>
      <c r="AJ209" s="200"/>
      <c r="AK209" s="200"/>
      <c r="AL209" s="200"/>
      <c r="AM209" s="200"/>
      <c r="AN209" s="200"/>
      <c r="AO209" s="200"/>
      <c r="AP209" s="200"/>
      <c r="AQ209" s="200"/>
      <c r="AR209" s="200"/>
      <c r="AS209" s="200"/>
      <c r="AT209" s="200"/>
      <c r="AU209" s="200"/>
      <c r="AV209" s="200"/>
      <c r="AW209" s="200"/>
      <c r="AX209" s="200"/>
      <c r="AY209" s="200"/>
      <c r="AZ209" s="200"/>
      <c r="BA209" s="200"/>
      <c r="BB209" s="200"/>
      <c r="BC209" s="200"/>
      <c r="BD209" s="200"/>
      <c r="BE209" s="200"/>
      <c r="BF209" s="200"/>
      <c r="BG209" s="200"/>
      <c r="BH209" s="200"/>
      <c r="BI209" s="200"/>
      <c r="BJ209" s="200"/>
      <c r="BK209" s="200"/>
      <c r="BL209" s="200"/>
      <c r="BM209" s="200"/>
      <c r="BO209" s="68" t="str">
        <f t="shared" si="1220"/>
        <v>Metals and Equipment</v>
      </c>
      <c r="BP209" s="200"/>
      <c r="BQ209" s="200"/>
      <c r="BR209" s="200"/>
      <c r="BS209" s="200"/>
      <c r="BT209" s="200"/>
      <c r="BV209" s="68" t="str">
        <f t="shared" si="1221"/>
        <v>Metals and Equipment</v>
      </c>
      <c r="BW209" s="200"/>
      <c r="BX209" s="200"/>
      <c r="BY209" s="200"/>
      <c r="BZ209" s="200"/>
      <c r="CA209" s="200"/>
      <c r="CC209" s="68" t="str">
        <f t="shared" si="1222"/>
        <v>Metals and Equipment</v>
      </c>
      <c r="CD209" s="200"/>
      <c r="CE209" s="200"/>
      <c r="CF209" s="200"/>
      <c r="CG209" s="200"/>
      <c r="CH209" s="200"/>
      <c r="CJ209" s="68" t="str">
        <f t="shared" si="1223"/>
        <v>Metals and Equipment</v>
      </c>
      <c r="CK209" s="200"/>
      <c r="CL209" s="200"/>
      <c r="CM209" s="200"/>
      <c r="CN209" s="200"/>
      <c r="CO209" s="200"/>
      <c r="CQ209" s="68" t="str">
        <f t="shared" si="1224"/>
        <v>Metals and Equipment</v>
      </c>
      <c r="CR209" s="200"/>
      <c r="CS209" s="200"/>
      <c r="CT209" s="200"/>
      <c r="CU209" s="200"/>
      <c r="CV209" s="200"/>
      <c r="CX209" s="68" t="str">
        <f t="shared" si="1225"/>
        <v>Metals and Equipment</v>
      </c>
      <c r="CY209" s="200"/>
      <c r="CZ209" s="200"/>
      <c r="DA209" s="200"/>
      <c r="DB209" s="200"/>
      <c r="DC209" s="200"/>
      <c r="DE209" s="68" t="str">
        <f t="shared" si="1226"/>
        <v>Metals and Equipment</v>
      </c>
      <c r="DF209" s="200"/>
      <c r="DG209" s="200"/>
      <c r="DH209" s="200"/>
      <c r="DI209" s="200"/>
      <c r="DJ209" s="200"/>
      <c r="DL209" s="68" t="str">
        <f t="shared" si="1227"/>
        <v>Metals and Equipment</v>
      </c>
      <c r="DM209" s="200"/>
      <c r="DN209" s="200"/>
      <c r="DO209" s="200"/>
      <c r="DP209" s="200"/>
      <c r="DQ209" s="200"/>
      <c r="DS209" s="68" t="str">
        <f t="shared" si="1228"/>
        <v>Metals and Equipment</v>
      </c>
      <c r="DT209" s="200"/>
      <c r="DU209" s="200"/>
      <c r="DV209" s="200"/>
      <c r="DW209" s="200"/>
      <c r="DX209" s="200"/>
      <c r="DZ209" s="68" t="str">
        <f t="shared" si="1229"/>
        <v>Metals and Equipment</v>
      </c>
      <c r="EA209" s="200"/>
      <c r="EB209" s="200"/>
      <c r="EC209" s="200"/>
      <c r="ED209" s="200"/>
      <c r="EE209" s="200"/>
      <c r="EG209" s="68" t="str">
        <f t="shared" si="1230"/>
        <v>Metals and Equipment</v>
      </c>
      <c r="EH209" s="200"/>
      <c r="EI209" s="200"/>
      <c r="EJ209" s="200"/>
      <c r="EK209" s="200"/>
      <c r="EL209" s="200"/>
      <c r="EN209" s="68" t="str">
        <f t="shared" si="1231"/>
        <v>Metals and Equipment</v>
      </c>
      <c r="EO209" s="200"/>
      <c r="EP209" s="200"/>
      <c r="EQ209" s="200"/>
      <c r="ER209" s="200"/>
      <c r="ES209" s="200"/>
      <c r="EU209" s="68" t="str">
        <f t="shared" si="1232"/>
        <v>Metals and Equipment</v>
      </c>
      <c r="EV209" s="200"/>
      <c r="EW209" s="200"/>
      <c r="EX209" s="200"/>
      <c r="EY209" s="200"/>
      <c r="EZ209" s="200"/>
      <c r="FB209" s="68" t="str">
        <f t="shared" si="1233"/>
        <v>Metals and Equipment</v>
      </c>
      <c r="FC209" s="200"/>
      <c r="FD209" s="200"/>
      <c r="FE209" s="200"/>
      <c r="FF209" s="200"/>
      <c r="FG209" s="200"/>
      <c r="FI209" s="68" t="str">
        <f t="shared" si="1234"/>
        <v>Metals and Equipment</v>
      </c>
      <c r="FJ209" s="200"/>
      <c r="FK209" s="200"/>
      <c r="FL209" s="200"/>
      <c r="FM209" s="200"/>
      <c r="FN209" s="200"/>
      <c r="FP209" s="68" t="str">
        <f t="shared" si="1235"/>
        <v>Metals and Equipment</v>
      </c>
      <c r="FQ209" s="200"/>
      <c r="FR209" s="200"/>
      <c r="FS209" s="200"/>
      <c r="FT209" s="200"/>
      <c r="FU209" s="200"/>
      <c r="FW209" s="68" t="str">
        <f t="shared" si="1236"/>
        <v>Metals and Equipment</v>
      </c>
      <c r="FX209" s="200"/>
      <c r="FY209" s="200"/>
      <c r="FZ209" s="200"/>
      <c r="GA209" s="200"/>
      <c r="GB209" s="200"/>
      <c r="GD209" s="68" t="str">
        <f t="shared" si="1237"/>
        <v>Metals and Equipment</v>
      </c>
      <c r="GE209" s="200"/>
      <c r="GF209" s="200"/>
      <c r="GG209" s="200"/>
      <c r="GH209" s="200"/>
      <c r="GI209" s="200"/>
      <c r="GK209" s="68" t="str">
        <f t="shared" si="1238"/>
        <v>Metals and Equipment</v>
      </c>
      <c r="GL209" s="200"/>
      <c r="GM209" s="200"/>
      <c r="GN209" s="200"/>
      <c r="GO209" s="200"/>
      <c r="GP209" s="200"/>
      <c r="GR209" s="68" t="str">
        <f t="shared" si="1239"/>
        <v>Metals and Equipment</v>
      </c>
      <c r="GS209" s="200"/>
      <c r="GT209" s="200"/>
      <c r="GU209" s="200"/>
      <c r="GV209" s="200"/>
      <c r="GW209" s="200"/>
      <c r="GY209" s="68" t="str">
        <f t="shared" si="1240"/>
        <v>Metals and Equipment</v>
      </c>
      <c r="GZ209" s="200"/>
      <c r="HA209" s="200"/>
      <c r="HB209" s="200"/>
      <c r="HC209" s="200"/>
      <c r="HD209" s="200"/>
      <c r="HF209" s="68" t="str">
        <f t="shared" si="1241"/>
        <v>Metals and Equipment</v>
      </c>
      <c r="HG209" s="200"/>
      <c r="HH209" s="200"/>
      <c r="HI209" s="200"/>
      <c r="HJ209" s="200"/>
      <c r="HK209" s="200"/>
      <c r="HM209" s="68" t="str">
        <f t="shared" si="1242"/>
        <v>Metals and Equipment</v>
      </c>
      <c r="HN209" s="200"/>
      <c r="HO209" s="200"/>
      <c r="HP209" s="200"/>
      <c r="HQ209" s="200"/>
      <c r="HR209" s="200"/>
      <c r="HT209" s="68" t="str">
        <f t="shared" si="1243"/>
        <v>Metals and Equipment</v>
      </c>
      <c r="HU209" s="200"/>
      <c r="HV209" s="200"/>
      <c r="HW209" s="200"/>
      <c r="HX209" s="200"/>
      <c r="HY209" s="200"/>
      <c r="IA209" s="68" t="str">
        <f t="shared" si="1244"/>
        <v>Metals and Equipment</v>
      </c>
      <c r="IB209" s="200"/>
      <c r="IC209" s="200"/>
      <c r="ID209" s="200"/>
      <c r="IE209" s="200"/>
      <c r="IF209" s="200"/>
      <c r="IH209" s="68" t="str">
        <f t="shared" si="1245"/>
        <v>Metals and Equipment</v>
      </c>
      <c r="II209" s="200"/>
      <c r="IJ209" s="200"/>
      <c r="IK209" s="200"/>
      <c r="IL209" s="200"/>
      <c r="IM209" s="200"/>
      <c r="IO209" s="68" t="str">
        <f t="shared" si="1246"/>
        <v>Metals and Equipment</v>
      </c>
      <c r="IP209" s="200"/>
      <c r="IQ209" s="200"/>
      <c r="IR209" s="200"/>
      <c r="IS209" s="200"/>
      <c r="IT209" s="200"/>
      <c r="IV209" s="68" t="str">
        <f t="shared" si="1247"/>
        <v>Metals and Equipment</v>
      </c>
      <c r="IW209" s="200"/>
      <c r="IX209" s="200"/>
      <c r="IY209" s="200"/>
      <c r="IZ209" s="200"/>
      <c r="JA209" s="200"/>
      <c r="JC209" s="68" t="str">
        <f t="shared" si="1248"/>
        <v>Metals and Equipment</v>
      </c>
      <c r="JD209" s="200"/>
      <c r="JE209" s="200"/>
      <c r="JF209" s="200"/>
      <c r="JG209" s="200"/>
      <c r="JH209" s="200"/>
      <c r="JJ209" s="68" t="str">
        <f t="shared" si="1249"/>
        <v>Metals and Equipment</v>
      </c>
      <c r="JK209" s="200"/>
      <c r="JL209" s="200"/>
      <c r="JM209" s="200"/>
      <c r="JN209" s="200"/>
      <c r="JO209" s="200"/>
      <c r="JQ209" s="68" t="str">
        <f t="shared" si="1250"/>
        <v>Metals and Equipment</v>
      </c>
      <c r="JR209" s="200"/>
      <c r="JS209" s="200"/>
      <c r="JT209" s="200"/>
      <c r="JU209" s="200"/>
      <c r="JV209" s="200"/>
      <c r="JX209" s="68" t="str">
        <f t="shared" si="1251"/>
        <v>Metals and Equipment</v>
      </c>
      <c r="JY209" s="200"/>
      <c r="JZ209" s="200"/>
      <c r="KA209" s="200"/>
      <c r="KB209" s="200"/>
      <c r="KC209" s="200"/>
      <c r="KE209" s="68" t="str">
        <f t="shared" si="1252"/>
        <v>Metals and Equipment</v>
      </c>
      <c r="KF209" s="200"/>
      <c r="KG209" s="200"/>
      <c r="KH209" s="200"/>
      <c r="KI209" s="200"/>
      <c r="KJ209" s="200"/>
      <c r="KL209" s="68" t="str">
        <f t="shared" si="1253"/>
        <v>Metals and Equipment</v>
      </c>
      <c r="KM209" s="200"/>
      <c r="KN209" s="200"/>
      <c r="KO209" s="200"/>
      <c r="KP209" s="200"/>
      <c r="KQ209" s="200"/>
      <c r="KS209" s="68" t="str">
        <f t="shared" si="1254"/>
        <v>Metals and Equipment</v>
      </c>
      <c r="KT209" s="200"/>
      <c r="KU209" s="200"/>
      <c r="KV209" s="200"/>
      <c r="KW209" s="200"/>
      <c r="KX209" s="200"/>
      <c r="KZ209" s="68" t="str">
        <f t="shared" si="1255"/>
        <v>Metals and Equipment</v>
      </c>
      <c r="LA209" s="200"/>
      <c r="LB209" s="192"/>
      <c r="LC209" s="192"/>
      <c r="LD209" s="200"/>
      <c r="LE209" s="193"/>
      <c r="LF209" s="555"/>
      <c r="LG209" s="68" t="str">
        <f t="shared" si="1256"/>
        <v>Metals and Equipment</v>
      </c>
      <c r="LH209" s="198"/>
      <c r="LI209" s="198"/>
      <c r="LJ209" s="198"/>
      <c r="LK209" s="198"/>
      <c r="LL209" s="193"/>
      <c r="LM209" s="555"/>
      <c r="LN209" s="68" t="str">
        <f>$B209</f>
        <v>Metals and Equipment</v>
      </c>
      <c r="LO209" s="198">
        <f>LO210/LK210-1</f>
        <v>6.7857142857142616E-2</v>
      </c>
      <c r="LP209" s="198">
        <f>LP210/LO210-1</f>
        <v>3.0100334448160515E-2</v>
      </c>
      <c r="LQ209" s="198">
        <f>LQ210/LP210-1</f>
        <v>-9.0187590187590372E-3</v>
      </c>
      <c r="LR209" s="198">
        <f>LR210/LQ210-1</f>
        <v>-6.8875136512559165E-2</v>
      </c>
      <c r="LS209" s="193"/>
      <c r="LT209" s="555"/>
      <c r="LU209" s="68" t="str">
        <f>$B209</f>
        <v>Metals and Equipment</v>
      </c>
      <c r="LV209" s="198">
        <f>LV210/LR210-1</f>
        <v>7.8377902885291784E-2</v>
      </c>
      <c r="LW209" s="198">
        <f>LW210/LV210-1</f>
        <v>3.0100334448160515E-2</v>
      </c>
      <c r="LX209" s="198">
        <f>LX210/LW210-1</f>
        <v>-9.0187590187590372E-3</v>
      </c>
      <c r="LY209" s="198">
        <f>LY210/LX210-1</f>
        <v>-6.8875136512559054E-2</v>
      </c>
      <c r="LZ209" s="193"/>
      <c r="MA209" s="555"/>
      <c r="MB209" s="68" t="str">
        <f>$B209</f>
        <v>Metals and Equipment</v>
      </c>
      <c r="MC209" s="198">
        <f>MC210/LY210-1</f>
        <v>7.8377902885291784E-2</v>
      </c>
      <c r="MD209" s="198">
        <f>MD210/MC210-1</f>
        <v>3.0100334448160515E-2</v>
      </c>
      <c r="ME209" s="198">
        <f>ME210/MD210-1</f>
        <v>-9.0187590187589262E-3</v>
      </c>
      <c r="MF209" s="198">
        <f>MF210/ME210-1</f>
        <v>-6.8875136512559054E-2</v>
      </c>
      <c r="MG209" s="193"/>
      <c r="MH209" s="555"/>
    </row>
    <row r="210" spans="1:346" s="37" customFormat="1" ht="13.15" x14ac:dyDescent="0.4">
      <c r="A210" s="100"/>
      <c r="B210" s="37" t="s">
        <v>342</v>
      </c>
      <c r="C210" s="186"/>
      <c r="D210" s="186"/>
      <c r="E210" s="186"/>
      <c r="F210" s="186"/>
      <c r="G210" s="186"/>
      <c r="H210" s="186"/>
      <c r="I210" s="186"/>
      <c r="J210" s="186"/>
      <c r="K210" s="186"/>
      <c r="L210" s="186"/>
      <c r="M210" s="186"/>
      <c r="N210" s="194">
        <f t="shared" ref="N210:AY210" si="3262">N73</f>
        <v>250</v>
      </c>
      <c r="O210" s="194">
        <f t="shared" si="3262"/>
        <v>233</v>
      </c>
      <c r="P210" s="194">
        <f t="shared" si="3262"/>
        <v>199</v>
      </c>
      <c r="Q210" s="194">
        <f t="shared" si="3262"/>
        <v>226</v>
      </c>
      <c r="R210" s="194">
        <f t="shared" si="3262"/>
        <v>258</v>
      </c>
      <c r="S210" s="194">
        <f t="shared" si="3262"/>
        <v>292</v>
      </c>
      <c r="T210" s="194">
        <f t="shared" si="3262"/>
        <v>301</v>
      </c>
      <c r="U210" s="194">
        <f t="shared" si="3262"/>
        <v>277</v>
      </c>
      <c r="V210" s="194">
        <f t="shared" si="3262"/>
        <v>316</v>
      </c>
      <c r="W210" s="194">
        <f t="shared" si="3262"/>
        <v>290</v>
      </c>
      <c r="X210" s="194">
        <f t="shared" si="3262"/>
        <v>326</v>
      </c>
      <c r="Y210" s="194">
        <f t="shared" si="3262"/>
        <v>343</v>
      </c>
      <c r="Z210" s="194">
        <f t="shared" si="3262"/>
        <v>319</v>
      </c>
      <c r="AA210" s="194">
        <f t="shared" si="3262"/>
        <v>319</v>
      </c>
      <c r="AB210" s="194">
        <f t="shared" si="3262"/>
        <v>348</v>
      </c>
      <c r="AC210" s="194">
        <f t="shared" si="3262"/>
        <v>380</v>
      </c>
      <c r="AD210" s="194">
        <f t="shared" si="3262"/>
        <v>361</v>
      </c>
      <c r="AE210" s="194">
        <f t="shared" si="3262"/>
        <v>364</v>
      </c>
      <c r="AF210" s="194">
        <f t="shared" si="3262"/>
        <v>355</v>
      </c>
      <c r="AG210" s="194">
        <f t="shared" si="3262"/>
        <v>337</v>
      </c>
      <c r="AH210" s="194">
        <f t="shared" si="3262"/>
        <v>200</v>
      </c>
      <c r="AI210" s="194">
        <f t="shared" si="3262"/>
        <v>243</v>
      </c>
      <c r="AJ210" s="194">
        <f t="shared" si="3262"/>
        <v>265</v>
      </c>
      <c r="AK210" s="194">
        <f t="shared" si="3262"/>
        <v>263</v>
      </c>
      <c r="AL210" s="194">
        <f t="shared" si="3262"/>
        <v>309</v>
      </c>
      <c r="AM210" s="194">
        <f t="shared" si="3262"/>
        <v>331</v>
      </c>
      <c r="AN210" s="194">
        <f t="shared" si="3262"/>
        <v>284</v>
      </c>
      <c r="AO210" s="194">
        <f t="shared" si="3262"/>
        <v>266</v>
      </c>
      <c r="AP210" s="194">
        <f t="shared" si="3262"/>
        <v>256</v>
      </c>
      <c r="AQ210" s="194">
        <f t="shared" si="3262"/>
        <v>267</v>
      </c>
      <c r="AR210" s="194">
        <f t="shared" si="3262"/>
        <v>248</v>
      </c>
      <c r="AS210" s="194">
        <f t="shared" si="3262"/>
        <v>239</v>
      </c>
      <c r="AT210" s="194">
        <f t="shared" si="3262"/>
        <v>277</v>
      </c>
      <c r="AU210" s="194">
        <f t="shared" si="3262"/>
        <v>267</v>
      </c>
      <c r="AV210" s="194">
        <f t="shared" si="3262"/>
        <v>284</v>
      </c>
      <c r="AW210" s="194">
        <f t="shared" si="3262"/>
        <v>268</v>
      </c>
      <c r="AX210" s="194">
        <f t="shared" si="3262"/>
        <v>265</v>
      </c>
      <c r="AY210" s="194">
        <f t="shared" si="3262"/>
        <v>269.19499999999999</v>
      </c>
      <c r="AZ210" s="194">
        <f t="shared" ref="AZ210:BA210" si="3263">AZ73</f>
        <v>275.92487499999993</v>
      </c>
      <c r="BA210" s="194">
        <f t="shared" si="3263"/>
        <v>282.82299687499989</v>
      </c>
      <c r="BB210" s="194"/>
      <c r="BC210" s="194"/>
      <c r="BD210" s="194"/>
      <c r="BE210" s="194"/>
      <c r="BF210" s="194"/>
      <c r="BG210" s="194"/>
      <c r="BH210" s="194"/>
      <c r="BI210" s="194"/>
      <c r="BJ210" s="194"/>
      <c r="BK210" s="194"/>
      <c r="BL210" s="194"/>
      <c r="BM210" s="194"/>
      <c r="BO210" s="37" t="str">
        <f t="shared" si="1220"/>
        <v>Carloads (000s)</v>
      </c>
      <c r="BP210" s="195">
        <f>BP73</f>
        <v>57</v>
      </c>
      <c r="BQ210" s="195">
        <f>BQ73</f>
        <v>71</v>
      </c>
      <c r="BR210" s="195">
        <f>BR73</f>
        <v>67</v>
      </c>
      <c r="BS210" s="195">
        <f>BS73</f>
        <v>55</v>
      </c>
      <c r="BT210" s="195">
        <f>BT73</f>
        <v>250</v>
      </c>
      <c r="BV210" s="37" t="str">
        <f t="shared" si="1221"/>
        <v>Carloads (000s)</v>
      </c>
      <c r="BW210" s="195">
        <f>BW73</f>
        <v>53</v>
      </c>
      <c r="BX210" s="195">
        <f>BX73</f>
        <v>64</v>
      </c>
      <c r="BY210" s="195">
        <f>BY73</f>
        <v>62</v>
      </c>
      <c r="BZ210" s="195">
        <f>BZ73</f>
        <v>54</v>
      </c>
      <c r="CA210" s="195">
        <f>CA73</f>
        <v>233</v>
      </c>
      <c r="CC210" s="37" t="str">
        <f t="shared" si="1222"/>
        <v>Carloads (000s)</v>
      </c>
      <c r="CD210" s="195">
        <f>CD73</f>
        <v>44</v>
      </c>
      <c r="CE210" s="195">
        <f>CE73</f>
        <v>49</v>
      </c>
      <c r="CF210" s="195">
        <f>CF73</f>
        <v>55</v>
      </c>
      <c r="CG210" s="195">
        <f>CG73</f>
        <v>51</v>
      </c>
      <c r="CH210" s="195">
        <f>CH73</f>
        <v>199</v>
      </c>
      <c r="CJ210" s="37" t="str">
        <f t="shared" si="1223"/>
        <v>Carloads (000s)</v>
      </c>
      <c r="CK210" s="195">
        <f>CK73</f>
        <v>48</v>
      </c>
      <c r="CL210" s="195">
        <f>CL73</f>
        <v>62</v>
      </c>
      <c r="CM210" s="195">
        <f>CM73</f>
        <v>58</v>
      </c>
      <c r="CN210" s="195">
        <f>CN73</f>
        <v>58</v>
      </c>
      <c r="CO210" s="195">
        <f>CO73</f>
        <v>226</v>
      </c>
      <c r="CQ210" s="37" t="str">
        <f t="shared" si="1224"/>
        <v>Carloads (000s)</v>
      </c>
      <c r="CR210" s="195">
        <f>CR73</f>
        <v>56</v>
      </c>
      <c r="CS210" s="195">
        <f>CS73</f>
        <v>68</v>
      </c>
      <c r="CT210" s="195">
        <f>CT73</f>
        <v>69</v>
      </c>
      <c r="CU210" s="195">
        <f>CU73</f>
        <v>65</v>
      </c>
      <c r="CV210" s="195">
        <f>CV73</f>
        <v>258</v>
      </c>
      <c r="CX210" s="37" t="str">
        <f t="shared" si="1225"/>
        <v>Carloads (000s)</v>
      </c>
      <c r="CY210" s="195">
        <f>CY73</f>
        <v>68</v>
      </c>
      <c r="CZ210" s="195">
        <f>CZ73</f>
        <v>75</v>
      </c>
      <c r="DA210" s="195">
        <f>DA73</f>
        <v>77</v>
      </c>
      <c r="DB210" s="195">
        <f>DB73</f>
        <v>72</v>
      </c>
      <c r="DC210" s="195">
        <f>DC73</f>
        <v>292</v>
      </c>
      <c r="DE210" s="37" t="str">
        <f t="shared" si="1226"/>
        <v>Carloads (000s)</v>
      </c>
      <c r="DF210" s="195">
        <f>DF73</f>
        <v>74</v>
      </c>
      <c r="DG210" s="195">
        <f>DG73</f>
        <v>81</v>
      </c>
      <c r="DH210" s="195">
        <f>DH73</f>
        <v>76</v>
      </c>
      <c r="DI210" s="195">
        <f>DI73</f>
        <v>70</v>
      </c>
      <c r="DJ210" s="195">
        <f>DJ73</f>
        <v>301</v>
      </c>
      <c r="DL210" s="37" t="str">
        <f t="shared" si="1227"/>
        <v>Carloads (000s)</v>
      </c>
      <c r="DM210" s="195">
        <f>DM73</f>
        <v>65</v>
      </c>
      <c r="DN210" s="195">
        <f>DN73</f>
        <v>71</v>
      </c>
      <c r="DO210" s="195">
        <f>DO73</f>
        <v>70</v>
      </c>
      <c r="DP210" s="195">
        <f>DP73</f>
        <v>71</v>
      </c>
      <c r="DQ210" s="195">
        <f>DQ73</f>
        <v>277</v>
      </c>
      <c r="DS210" s="37" t="str">
        <f t="shared" si="1228"/>
        <v>Carloads (000s)</v>
      </c>
      <c r="DT210" s="195">
        <f>DT73</f>
        <v>71</v>
      </c>
      <c r="DU210" s="195">
        <f>DU73</f>
        <v>82</v>
      </c>
      <c r="DV210" s="195">
        <f>DV73</f>
        <v>80</v>
      </c>
      <c r="DW210" s="195">
        <f>DW73</f>
        <v>83</v>
      </c>
      <c r="DX210" s="195">
        <f>DX73</f>
        <v>316</v>
      </c>
      <c r="DZ210" s="37" t="str">
        <f t="shared" si="1229"/>
        <v>Carloads (000s)</v>
      </c>
      <c r="EA210" s="195">
        <f>EA73</f>
        <v>75</v>
      </c>
      <c r="EB210" s="195">
        <f>EB73</f>
        <v>87</v>
      </c>
      <c r="EC210" s="195">
        <f>EC73</f>
        <v>66</v>
      </c>
      <c r="ED210" s="195">
        <f>ED73</f>
        <v>62</v>
      </c>
      <c r="EE210" s="195">
        <f>EE73</f>
        <v>290</v>
      </c>
      <c r="EG210" s="37" t="str">
        <f t="shared" si="1230"/>
        <v>Carloads (000s)</v>
      </c>
      <c r="EH210" s="195">
        <f>EH73</f>
        <v>79</v>
      </c>
      <c r="EI210" s="195">
        <f>EI73</f>
        <v>78</v>
      </c>
      <c r="EJ210" s="195">
        <f>EJ73</f>
        <v>85</v>
      </c>
      <c r="EK210" s="195">
        <f>EK73</f>
        <v>84</v>
      </c>
      <c r="EL210" s="195">
        <f>EL73</f>
        <v>326</v>
      </c>
      <c r="EN210" s="37" t="str">
        <f t="shared" si="1231"/>
        <v>Carloads (000s)</v>
      </c>
      <c r="EO210" s="195">
        <f>EO73</f>
        <v>91</v>
      </c>
      <c r="EP210" s="195">
        <f>EP73</f>
        <v>89</v>
      </c>
      <c r="EQ210" s="195">
        <f>EQ73</f>
        <v>84</v>
      </c>
      <c r="ER210" s="195">
        <f>ER73</f>
        <v>79</v>
      </c>
      <c r="ES210" s="195">
        <f>ES73</f>
        <v>343</v>
      </c>
      <c r="EU210" s="37" t="str">
        <f t="shared" si="1232"/>
        <v>Carloads (000s)</v>
      </c>
      <c r="EV210" s="195">
        <f>EV73</f>
        <v>81</v>
      </c>
      <c r="EW210" s="195">
        <f>EW73</f>
        <v>83</v>
      </c>
      <c r="EX210" s="195">
        <f>EX73</f>
        <v>81</v>
      </c>
      <c r="EY210" s="195">
        <f>EY73</f>
        <v>74</v>
      </c>
      <c r="EZ210" s="195">
        <f>EZ73</f>
        <v>319</v>
      </c>
      <c r="FB210" s="37" t="str">
        <f t="shared" si="1233"/>
        <v>Carloads (000s)</v>
      </c>
      <c r="FC210" s="195">
        <f>FC73</f>
        <v>77</v>
      </c>
      <c r="FD210" s="195">
        <f>FD73</f>
        <v>80</v>
      </c>
      <c r="FE210" s="195">
        <f>FE73</f>
        <v>83</v>
      </c>
      <c r="FF210" s="195">
        <f>FF73</f>
        <v>79</v>
      </c>
      <c r="FG210" s="195">
        <f>FG73</f>
        <v>319</v>
      </c>
      <c r="FI210" s="37" t="str">
        <f t="shared" si="1234"/>
        <v>Carloads (000s)</v>
      </c>
      <c r="FJ210" s="195">
        <f>FJ73</f>
        <v>88</v>
      </c>
      <c r="FK210" s="195">
        <f>FK73</f>
        <v>87</v>
      </c>
      <c r="FL210" s="195">
        <f>FL73</f>
        <v>85</v>
      </c>
      <c r="FM210" s="195">
        <f>FM73</f>
        <v>88</v>
      </c>
      <c r="FN210" s="195">
        <f>FN73</f>
        <v>348</v>
      </c>
      <c r="FP210" s="37" t="str">
        <f t="shared" si="1235"/>
        <v>Carloads (000s)</v>
      </c>
      <c r="FQ210" s="195">
        <f>FQ73</f>
        <v>94</v>
      </c>
      <c r="FR210" s="195">
        <f>FR73</f>
        <v>95</v>
      </c>
      <c r="FS210" s="195">
        <f>FS73</f>
        <v>95</v>
      </c>
      <c r="FT210" s="195">
        <f>FT73</f>
        <v>96</v>
      </c>
      <c r="FU210" s="195">
        <f>FU73</f>
        <v>380</v>
      </c>
      <c r="FW210" s="37" t="str">
        <f t="shared" si="1236"/>
        <v>Carloads (000s)</v>
      </c>
      <c r="FX210" s="195">
        <f>FX73</f>
        <v>93</v>
      </c>
      <c r="FY210" s="195">
        <f>FY73</f>
        <v>92</v>
      </c>
      <c r="FZ210" s="195">
        <f>FZ73</f>
        <v>88</v>
      </c>
      <c r="GA210" s="195">
        <f>GA73</f>
        <v>88</v>
      </c>
      <c r="GB210" s="195">
        <f>GB73</f>
        <v>361</v>
      </c>
      <c r="GD210" s="37" t="str">
        <f t="shared" si="1237"/>
        <v>Carloads (000s)</v>
      </c>
      <c r="GE210" s="195">
        <f>GE73</f>
        <v>94</v>
      </c>
      <c r="GF210" s="195">
        <f>GF73</f>
        <v>95</v>
      </c>
      <c r="GG210" s="195">
        <f>GG73</f>
        <v>91</v>
      </c>
      <c r="GH210" s="195">
        <f>GH73</f>
        <v>84</v>
      </c>
      <c r="GI210" s="195">
        <f>GI73</f>
        <v>364</v>
      </c>
      <c r="GK210" s="37" t="str">
        <f t="shared" si="1238"/>
        <v>Carloads (000s)</v>
      </c>
      <c r="GL210" s="195">
        <f>GL73</f>
        <v>93</v>
      </c>
      <c r="GM210" s="195">
        <f>GM73</f>
        <v>94</v>
      </c>
      <c r="GN210" s="195">
        <f>GN73</f>
        <v>89</v>
      </c>
      <c r="GO210" s="195">
        <f>GO73</f>
        <v>79</v>
      </c>
      <c r="GP210" s="195">
        <f>GP73</f>
        <v>355</v>
      </c>
      <c r="GR210" s="37" t="str">
        <f t="shared" si="1239"/>
        <v>Carloads (000s)</v>
      </c>
      <c r="GS210" s="195">
        <f>GS73</f>
        <v>92</v>
      </c>
      <c r="GT210" s="195">
        <f>GT73</f>
        <v>96</v>
      </c>
      <c r="GU210" s="195">
        <f>GU73</f>
        <v>92</v>
      </c>
      <c r="GV210" s="195">
        <f>GV73</f>
        <v>57</v>
      </c>
      <c r="GW210" s="195">
        <f>GW73</f>
        <v>337</v>
      </c>
      <c r="GY210" s="37" t="str">
        <f t="shared" si="1240"/>
        <v>Carloads (000s)</v>
      </c>
      <c r="GZ210" s="195">
        <f>GZ73</f>
        <v>48</v>
      </c>
      <c r="HA210" s="195">
        <f>HA73</f>
        <v>45</v>
      </c>
      <c r="HB210" s="195">
        <f>HB73</f>
        <v>55</v>
      </c>
      <c r="HC210" s="195">
        <f>HC73</f>
        <v>52</v>
      </c>
      <c r="HD210" s="195">
        <f>HD73</f>
        <v>200</v>
      </c>
      <c r="HF210" s="37" t="str">
        <f t="shared" si="1241"/>
        <v>Carloads (000s)</v>
      </c>
      <c r="HG210" s="195">
        <f>HG73</f>
        <v>61</v>
      </c>
      <c r="HH210" s="195">
        <f>HH73</f>
        <v>65</v>
      </c>
      <c r="HI210" s="195">
        <f>HI73</f>
        <v>57</v>
      </c>
      <c r="HJ210" s="195">
        <f>HJ73</f>
        <v>60</v>
      </c>
      <c r="HK210" s="195">
        <f>HK73</f>
        <v>243</v>
      </c>
      <c r="HM210" s="37" t="str">
        <f t="shared" si="1242"/>
        <v>Carloads (000s)</v>
      </c>
      <c r="HN210" s="195">
        <f>HN73</f>
        <v>67</v>
      </c>
      <c r="HO210" s="195">
        <f>HO73</f>
        <v>68</v>
      </c>
      <c r="HP210" s="195">
        <f>HP73</f>
        <v>66</v>
      </c>
      <c r="HQ210" s="195">
        <f>HQ73</f>
        <v>64</v>
      </c>
      <c r="HR210" s="195">
        <f>HR73</f>
        <v>265</v>
      </c>
      <c r="HT210" s="37" t="str">
        <f t="shared" si="1243"/>
        <v>Carloads (000s)</v>
      </c>
      <c r="HU210" s="195">
        <f>HU73</f>
        <v>72</v>
      </c>
      <c r="HV210" s="195">
        <f>HV73</f>
        <v>67</v>
      </c>
      <c r="HW210" s="195">
        <f>HW73</f>
        <v>64</v>
      </c>
      <c r="HX210" s="195">
        <f>HX73</f>
        <v>60</v>
      </c>
      <c r="HY210" s="195">
        <f>HY73</f>
        <v>263</v>
      </c>
      <c r="IA210" s="37" t="str">
        <f t="shared" si="1244"/>
        <v>Carloads (000s)</v>
      </c>
      <c r="IB210" s="195">
        <f>IB73</f>
        <v>78</v>
      </c>
      <c r="IC210" s="195">
        <f>IC73</f>
        <v>76</v>
      </c>
      <c r="ID210" s="195">
        <f>ID73</f>
        <v>80</v>
      </c>
      <c r="IE210" s="195">
        <f>IE73</f>
        <v>75</v>
      </c>
      <c r="IF210" s="195">
        <f>IF73</f>
        <v>309</v>
      </c>
      <c r="IH210" s="37" t="str">
        <f t="shared" si="1245"/>
        <v>Carloads (000s)</v>
      </c>
      <c r="II210" s="195">
        <f>II73</f>
        <v>78</v>
      </c>
      <c r="IJ210" s="195">
        <f>IJ73</f>
        <v>87</v>
      </c>
      <c r="IK210" s="195">
        <f>IK73</f>
        <v>87</v>
      </c>
      <c r="IL210" s="195">
        <f>IL73</f>
        <v>79</v>
      </c>
      <c r="IM210" s="195">
        <f>IM73</f>
        <v>331</v>
      </c>
      <c r="IO210" s="37" t="str">
        <f t="shared" si="1246"/>
        <v>Carloads (000s)</v>
      </c>
      <c r="IP210" s="195">
        <f>IP73</f>
        <v>72</v>
      </c>
      <c r="IQ210" s="195">
        <f>IQ73</f>
        <v>75</v>
      </c>
      <c r="IR210" s="195">
        <f>IR73</f>
        <v>72</v>
      </c>
      <c r="IS210" s="195">
        <f>IS73</f>
        <v>65</v>
      </c>
      <c r="IT210" s="195">
        <f>IT73</f>
        <v>284</v>
      </c>
      <c r="IV210" s="37" t="str">
        <f t="shared" si="1247"/>
        <v>Carloads (000s)</v>
      </c>
      <c r="IW210" s="195">
        <f>IW73</f>
        <v>62</v>
      </c>
      <c r="IX210" s="195">
        <f>IX73</f>
        <v>71</v>
      </c>
      <c r="IY210" s="195">
        <f>IY73</f>
        <v>63</v>
      </c>
      <c r="IZ210" s="195">
        <f>IZ73</f>
        <v>70</v>
      </c>
      <c r="JA210" s="195">
        <f>JA73</f>
        <v>266</v>
      </c>
      <c r="JC210" s="37" t="str">
        <f t="shared" si="1248"/>
        <v>Carloads (000s)</v>
      </c>
      <c r="JD210" s="195">
        <f>JD73</f>
        <v>70</v>
      </c>
      <c r="JE210" s="195">
        <f>JE73</f>
        <v>67</v>
      </c>
      <c r="JF210" s="195">
        <f>JF73</f>
        <v>64</v>
      </c>
      <c r="JG210" s="195">
        <f>JG73</f>
        <v>55</v>
      </c>
      <c r="JH210" s="195">
        <f>JH73</f>
        <v>256</v>
      </c>
      <c r="JJ210" s="37" t="str">
        <f t="shared" si="1249"/>
        <v>Carloads (000s)</v>
      </c>
      <c r="JK210" s="195">
        <f>JK73</f>
        <v>64</v>
      </c>
      <c r="JL210" s="195">
        <f>JL73</f>
        <v>69</v>
      </c>
      <c r="JM210" s="195">
        <f>JM73</f>
        <v>69</v>
      </c>
      <c r="JN210" s="195">
        <f>JN73</f>
        <v>65</v>
      </c>
      <c r="JO210" s="195">
        <f>JO73</f>
        <v>267</v>
      </c>
      <c r="JQ210" s="37" t="str">
        <f t="shared" si="1250"/>
        <v>Carloads (000s)</v>
      </c>
      <c r="JR210" s="195">
        <f>JR73</f>
        <v>64</v>
      </c>
      <c r="JS210" s="195">
        <f>JS73</f>
        <v>63</v>
      </c>
      <c r="JT210" s="195">
        <f>JT73</f>
        <v>65</v>
      </c>
      <c r="JU210" s="195">
        <f>JU73</f>
        <v>56</v>
      </c>
      <c r="JV210" s="195">
        <f>JV73</f>
        <v>248</v>
      </c>
      <c r="JX210" s="37" t="str">
        <f t="shared" si="1251"/>
        <v>Carloads (000s)</v>
      </c>
      <c r="JY210" s="195">
        <f>JY73</f>
        <v>67</v>
      </c>
      <c r="JZ210" s="195">
        <f>JZ73</f>
        <v>48</v>
      </c>
      <c r="KA210" s="195">
        <f>KA73</f>
        <v>58</v>
      </c>
      <c r="KB210" s="195">
        <f>KB73</f>
        <v>66</v>
      </c>
      <c r="KC210" s="195">
        <f>KC73</f>
        <v>239</v>
      </c>
      <c r="KE210" s="37" t="str">
        <f t="shared" si="1252"/>
        <v>Carloads (000s)</v>
      </c>
      <c r="KF210" s="195">
        <f>KF73</f>
        <v>68</v>
      </c>
      <c r="KG210" s="195">
        <f>KG73</f>
        <v>71</v>
      </c>
      <c r="KH210" s="195">
        <f>KH73</f>
        <v>70</v>
      </c>
      <c r="KI210" s="195">
        <f>KI73</f>
        <v>68</v>
      </c>
      <c r="KJ210" s="195">
        <f>KJ73</f>
        <v>277</v>
      </c>
      <c r="KL210" s="37" t="str">
        <f t="shared" si="1253"/>
        <v>Carloads (000s)</v>
      </c>
      <c r="KM210" s="195">
        <f>KM73</f>
        <v>66</v>
      </c>
      <c r="KN210" s="195">
        <f>KN73</f>
        <v>69</v>
      </c>
      <c r="KO210" s="195">
        <f>KO73</f>
        <v>67</v>
      </c>
      <c r="KP210" s="195">
        <f>KP73</f>
        <v>65</v>
      </c>
      <c r="KQ210" s="195">
        <f>KQ73</f>
        <v>267</v>
      </c>
      <c r="KS210" s="37" t="str">
        <f t="shared" si="1254"/>
        <v>Carloads (000s)</v>
      </c>
      <c r="KT210" s="195">
        <f>KT73</f>
        <v>73</v>
      </c>
      <c r="KU210" s="195">
        <f>KU73</f>
        <v>74</v>
      </c>
      <c r="KV210" s="195">
        <f>KV73</f>
        <v>70</v>
      </c>
      <c r="KW210" s="195">
        <f>KW73</f>
        <v>67</v>
      </c>
      <c r="KX210" s="195">
        <f>KX73</f>
        <v>284</v>
      </c>
      <c r="KZ210" s="37" t="str">
        <f t="shared" si="1255"/>
        <v>Carloads (000s)</v>
      </c>
      <c r="LA210" s="195">
        <f>LA73</f>
        <v>73</v>
      </c>
      <c r="LB210" s="195">
        <f>LB73</f>
        <v>68</v>
      </c>
      <c r="LC210" s="195">
        <f>LC73</f>
        <v>64</v>
      </c>
      <c r="LD210" s="195">
        <f>LD73</f>
        <v>63</v>
      </c>
      <c r="LE210" s="196">
        <f>SUM(LA210:LD210)</f>
        <v>268</v>
      </c>
      <c r="LF210" s="573"/>
      <c r="LG210" s="37" t="str">
        <f t="shared" si="1256"/>
        <v>Carloads (000s)</v>
      </c>
      <c r="LH210" s="195">
        <f>LH73</f>
        <v>65</v>
      </c>
      <c r="LI210" s="195">
        <f>LI73</f>
        <v>70</v>
      </c>
      <c r="LJ210" s="195">
        <f>LJ73</f>
        <v>67</v>
      </c>
      <c r="LK210" s="195">
        <f>LK73</f>
        <v>63</v>
      </c>
      <c r="LL210" s="196">
        <f>SUM(LH210:LK210)</f>
        <v>265</v>
      </c>
      <c r="LM210" s="573"/>
      <c r="LN210" s="37" t="str">
        <f t="shared" si="1257"/>
        <v>Carloads (000s)</v>
      </c>
      <c r="LO210" s="196">
        <f>(LH210)*(1+LO211)</f>
        <v>67.274999999999991</v>
      </c>
      <c r="LP210" s="196">
        <f t="shared" ref="LP210" si="3264">(LI210)*(1+LP211)</f>
        <v>69.3</v>
      </c>
      <c r="LQ210" s="196">
        <f t="shared" ref="LQ210" si="3265">(LJ210)*(1+LQ211)</f>
        <v>68.674999999999997</v>
      </c>
      <c r="LR210" s="196">
        <f t="shared" ref="LR210" si="3266">(LK210)*(1+LR211)</f>
        <v>63.944999999999993</v>
      </c>
      <c r="LS210" s="196">
        <f>SUM(LO210:LR210)</f>
        <v>269.19499999999999</v>
      </c>
      <c r="LT210" s="573"/>
      <c r="LU210" s="37" t="str">
        <f t="shared" si="1261"/>
        <v>Carloads (000s)</v>
      </c>
      <c r="LV210" s="196">
        <f>(LO210)*(1+LV211)</f>
        <v>68.956874999999982</v>
      </c>
      <c r="LW210" s="196">
        <f t="shared" ref="LW210" si="3267">(LP210)*(1+LW211)</f>
        <v>71.032499999999985</v>
      </c>
      <c r="LX210" s="196">
        <f t="shared" ref="LX210" si="3268">(LQ210)*(1+LX211)</f>
        <v>70.391874999999985</v>
      </c>
      <c r="LY210" s="196">
        <f t="shared" ref="LY210" si="3269">(LR210)*(1+LY211)</f>
        <v>65.543624999999992</v>
      </c>
      <c r="LZ210" s="196">
        <f>SUM(LV210:LY210)</f>
        <v>275.92487499999993</v>
      </c>
      <c r="MA210" s="573"/>
      <c r="MB210" s="37" t="str">
        <f t="shared" si="1265"/>
        <v>Carloads (000s)</v>
      </c>
      <c r="MC210" s="196">
        <f>(LV210)*(1+MC211)</f>
        <v>70.68079687499997</v>
      </c>
      <c r="MD210" s="196">
        <f t="shared" ref="MD210" si="3270">(LW210)*(1+MD211)</f>
        <v>72.808312499999971</v>
      </c>
      <c r="ME210" s="196">
        <f t="shared" ref="ME210" si="3271">(LX210)*(1+ME211)</f>
        <v>72.151671874999977</v>
      </c>
      <c r="MF210" s="196">
        <f t="shared" ref="MF210" si="3272">(LY210)*(1+MF211)</f>
        <v>67.182215624999984</v>
      </c>
      <c r="MG210" s="196">
        <f>SUM(MC210:MF210)</f>
        <v>282.82299687499989</v>
      </c>
      <c r="MH210" s="573"/>
    </row>
    <row r="211" spans="1:346" s="37" customFormat="1" ht="13.15" x14ac:dyDescent="0.4">
      <c r="A211" s="100"/>
      <c r="B211" s="197" t="s">
        <v>516</v>
      </c>
      <c r="C211" s="186"/>
      <c r="D211" s="186"/>
      <c r="E211" s="186"/>
      <c r="F211" s="186"/>
      <c r="G211" s="186"/>
      <c r="H211" s="186"/>
      <c r="I211" s="186"/>
      <c r="J211" s="186"/>
      <c r="K211" s="186"/>
      <c r="L211" s="186"/>
      <c r="M211" s="186"/>
      <c r="N211" s="193"/>
      <c r="O211" s="198">
        <f>O210/N210-1</f>
        <v>-6.7999999999999949E-2</v>
      </c>
      <c r="P211" s="198">
        <f t="shared" ref="P211:BA211" si="3273">P210/O210-1</f>
        <v>-0.14592274678111583</v>
      </c>
      <c r="Q211" s="198">
        <f t="shared" si="3273"/>
        <v>0.13567839195979903</v>
      </c>
      <c r="R211" s="198">
        <f t="shared" si="3273"/>
        <v>0.1415929203539823</v>
      </c>
      <c r="S211" s="198">
        <f t="shared" si="3273"/>
        <v>0.13178294573643412</v>
      </c>
      <c r="T211" s="198">
        <f t="shared" si="3273"/>
        <v>3.082191780821919E-2</v>
      </c>
      <c r="U211" s="198">
        <f t="shared" si="3273"/>
        <v>-7.9734219269102957E-2</v>
      </c>
      <c r="V211" s="198">
        <f t="shared" si="3273"/>
        <v>0.1407942238267148</v>
      </c>
      <c r="W211" s="198">
        <f t="shared" si="3273"/>
        <v>-8.2278481012658222E-2</v>
      </c>
      <c r="X211" s="198">
        <f t="shared" si="3273"/>
        <v>0.12413793103448278</v>
      </c>
      <c r="Y211" s="198">
        <f t="shared" si="3273"/>
        <v>5.2147239263803602E-2</v>
      </c>
      <c r="Z211" s="198">
        <f t="shared" si="3273"/>
        <v>-6.9970845481049593E-2</v>
      </c>
      <c r="AA211" s="198">
        <f t="shared" si="3273"/>
        <v>0</v>
      </c>
      <c r="AB211" s="198">
        <f t="shared" si="3273"/>
        <v>9.0909090909090828E-2</v>
      </c>
      <c r="AC211" s="198">
        <f t="shared" si="3273"/>
        <v>9.1954022988505857E-2</v>
      </c>
      <c r="AD211" s="198">
        <f t="shared" si="3273"/>
        <v>-5.0000000000000044E-2</v>
      </c>
      <c r="AE211" s="198">
        <f t="shared" si="3273"/>
        <v>8.310249307479145E-3</v>
      </c>
      <c r="AF211" s="198">
        <f t="shared" si="3273"/>
        <v>-2.4725274725274748E-2</v>
      </c>
      <c r="AG211" s="198">
        <f t="shared" si="3273"/>
        <v>-5.070422535211272E-2</v>
      </c>
      <c r="AH211" s="198">
        <f t="shared" si="3273"/>
        <v>-0.40652818991097928</v>
      </c>
      <c r="AI211" s="198">
        <f t="shared" si="3273"/>
        <v>0.21500000000000008</v>
      </c>
      <c r="AJ211" s="198">
        <f t="shared" si="3273"/>
        <v>9.0534979423868345E-2</v>
      </c>
      <c r="AK211" s="198">
        <f t="shared" si="3273"/>
        <v>-7.547169811320753E-3</v>
      </c>
      <c r="AL211" s="198">
        <f t="shared" si="3273"/>
        <v>0.17490494296577941</v>
      </c>
      <c r="AM211" s="198">
        <f t="shared" si="3273"/>
        <v>7.1197411003236288E-2</v>
      </c>
      <c r="AN211" s="198">
        <f t="shared" si="3273"/>
        <v>-0.14199395770392753</v>
      </c>
      <c r="AO211" s="198">
        <f t="shared" si="3273"/>
        <v>-6.3380281690140872E-2</v>
      </c>
      <c r="AP211" s="198">
        <f t="shared" si="3273"/>
        <v>-3.7593984962406068E-2</v>
      </c>
      <c r="AQ211" s="198">
        <f t="shared" si="3273"/>
        <v>4.296875E-2</v>
      </c>
      <c r="AR211" s="198">
        <f t="shared" si="3273"/>
        <v>-7.1161048689138529E-2</v>
      </c>
      <c r="AS211" s="198">
        <f t="shared" si="3273"/>
        <v>-3.6290322580645129E-2</v>
      </c>
      <c r="AT211" s="198">
        <f t="shared" si="3273"/>
        <v>0.15899581589958167</v>
      </c>
      <c r="AU211" s="198">
        <f t="shared" si="3273"/>
        <v>-3.6101083032490933E-2</v>
      </c>
      <c r="AV211" s="198">
        <f t="shared" si="3273"/>
        <v>6.367041198501866E-2</v>
      </c>
      <c r="AW211" s="198">
        <f t="shared" si="3273"/>
        <v>-5.633802816901412E-2</v>
      </c>
      <c r="AX211" s="198">
        <f t="shared" si="3273"/>
        <v>-1.1194029850746245E-2</v>
      </c>
      <c r="AY211" s="198">
        <f t="shared" si="3273"/>
        <v>1.5830188679245349E-2</v>
      </c>
      <c r="AZ211" s="198">
        <f t="shared" si="3273"/>
        <v>2.4999999999999689E-2</v>
      </c>
      <c r="BA211" s="198">
        <f t="shared" si="3273"/>
        <v>2.4999999999999911E-2</v>
      </c>
      <c r="BB211" s="198"/>
      <c r="BC211" s="198"/>
      <c r="BD211" s="198"/>
      <c r="BE211" s="198"/>
      <c r="BF211" s="198"/>
      <c r="BG211" s="198"/>
      <c r="BH211" s="198"/>
      <c r="BI211" s="198"/>
      <c r="BJ211" s="198"/>
      <c r="BK211" s="198"/>
      <c r="BL211" s="198"/>
      <c r="BM211" s="198"/>
      <c r="BO211" s="197" t="str">
        <f t="shared" si="1220"/>
        <v>YoY Change (%)</v>
      </c>
      <c r="BP211" s="193"/>
      <c r="BQ211" s="193"/>
      <c r="BR211" s="193"/>
      <c r="BS211" s="193"/>
      <c r="BT211" s="193"/>
      <c r="BV211" s="197" t="str">
        <f t="shared" si="1221"/>
        <v>YoY Change (%)</v>
      </c>
      <c r="BW211" s="198">
        <f>BW210/BP210-1</f>
        <v>-7.0175438596491224E-2</v>
      </c>
      <c r="BX211" s="198">
        <f t="shared" ref="BX211" si="3274">BX210/BQ210-1</f>
        <v>-9.8591549295774628E-2</v>
      </c>
      <c r="BY211" s="198">
        <f t="shared" ref="BY211" si="3275">BY210/BR210-1</f>
        <v>-7.4626865671641784E-2</v>
      </c>
      <c r="BZ211" s="198">
        <f t="shared" ref="BZ211" si="3276">BZ210/BS210-1</f>
        <v>-1.8181818181818188E-2</v>
      </c>
      <c r="CA211" s="198">
        <f t="shared" ref="CA211" si="3277">CA210/BT210-1</f>
        <v>-6.7999999999999949E-2</v>
      </c>
      <c r="CC211" s="197" t="str">
        <f t="shared" si="1222"/>
        <v>YoY Change (%)</v>
      </c>
      <c r="CD211" s="198">
        <f>CD210/BW210-1</f>
        <v>-0.16981132075471694</v>
      </c>
      <c r="CE211" s="198">
        <f t="shared" ref="CE211" si="3278">CE210/BX210-1</f>
        <v>-0.234375</v>
      </c>
      <c r="CF211" s="198">
        <f t="shared" ref="CF211" si="3279">CF210/BY210-1</f>
        <v>-0.11290322580645162</v>
      </c>
      <c r="CG211" s="198">
        <f t="shared" ref="CG211" si="3280">CG210/BZ210-1</f>
        <v>-5.555555555555558E-2</v>
      </c>
      <c r="CH211" s="198">
        <f t="shared" ref="CH211" si="3281">CH210/CA210-1</f>
        <v>-0.14592274678111583</v>
      </c>
      <c r="CJ211" s="197" t="str">
        <f t="shared" si="1223"/>
        <v>YoY Change (%)</v>
      </c>
      <c r="CK211" s="198">
        <f>CK210/CD210-1</f>
        <v>9.0909090909090828E-2</v>
      </c>
      <c r="CL211" s="198">
        <f t="shared" ref="CL211" si="3282">CL210/CE210-1</f>
        <v>0.26530612244897966</v>
      </c>
      <c r="CM211" s="198">
        <f t="shared" ref="CM211" si="3283">CM210/CF210-1</f>
        <v>5.4545454545454453E-2</v>
      </c>
      <c r="CN211" s="198">
        <f t="shared" ref="CN211" si="3284">CN210/CG210-1</f>
        <v>0.13725490196078427</v>
      </c>
      <c r="CO211" s="198">
        <f t="shared" ref="CO211" si="3285">CO210/CH210-1</f>
        <v>0.13567839195979903</v>
      </c>
      <c r="CQ211" s="197" t="str">
        <f t="shared" si="1224"/>
        <v>YoY Change (%)</v>
      </c>
      <c r="CR211" s="198">
        <f>CR210/CK210-1</f>
        <v>0.16666666666666674</v>
      </c>
      <c r="CS211" s="198">
        <f t="shared" ref="CS211" si="3286">CS210/CL210-1</f>
        <v>9.6774193548387011E-2</v>
      </c>
      <c r="CT211" s="198">
        <f t="shared" ref="CT211" si="3287">CT210/CM210-1</f>
        <v>0.18965517241379315</v>
      </c>
      <c r="CU211" s="198">
        <f t="shared" ref="CU211" si="3288">CU210/CN210-1</f>
        <v>0.1206896551724137</v>
      </c>
      <c r="CV211" s="198">
        <f t="shared" ref="CV211" si="3289">CV210/CO210-1</f>
        <v>0.1415929203539823</v>
      </c>
      <c r="CX211" s="197" t="str">
        <f t="shared" si="1225"/>
        <v>YoY Change (%)</v>
      </c>
      <c r="CY211" s="198">
        <f>CY210/CR210-1</f>
        <v>0.21428571428571419</v>
      </c>
      <c r="CZ211" s="198">
        <f t="shared" ref="CZ211" si="3290">CZ210/CS210-1</f>
        <v>0.10294117647058831</v>
      </c>
      <c r="DA211" s="198">
        <f t="shared" ref="DA211" si="3291">DA210/CT210-1</f>
        <v>0.11594202898550732</v>
      </c>
      <c r="DB211" s="198">
        <f t="shared" ref="DB211" si="3292">DB210/CU210-1</f>
        <v>0.10769230769230775</v>
      </c>
      <c r="DC211" s="198">
        <f t="shared" ref="DC211" si="3293">DC210/CV210-1</f>
        <v>0.13178294573643412</v>
      </c>
      <c r="DE211" s="197" t="str">
        <f t="shared" si="1226"/>
        <v>YoY Change (%)</v>
      </c>
      <c r="DF211" s="198">
        <f>DF210/CY210-1</f>
        <v>8.8235294117646967E-2</v>
      </c>
      <c r="DG211" s="198">
        <f t="shared" ref="DG211" si="3294">DG210/CZ210-1</f>
        <v>8.0000000000000071E-2</v>
      </c>
      <c r="DH211" s="198">
        <f t="shared" ref="DH211" si="3295">DH210/DA210-1</f>
        <v>-1.2987012987012991E-2</v>
      </c>
      <c r="DI211" s="198">
        <f t="shared" ref="DI211" si="3296">DI210/DB210-1</f>
        <v>-2.777777777777779E-2</v>
      </c>
      <c r="DJ211" s="198">
        <f t="shared" ref="DJ211" si="3297">DJ210/DC210-1</f>
        <v>3.082191780821919E-2</v>
      </c>
      <c r="DL211" s="197" t="str">
        <f t="shared" si="1227"/>
        <v>YoY Change (%)</v>
      </c>
      <c r="DM211" s="198">
        <f>DM210/DF210-1</f>
        <v>-0.1216216216216216</v>
      </c>
      <c r="DN211" s="198">
        <f t="shared" ref="DN211" si="3298">DN210/DG210-1</f>
        <v>-0.12345679012345678</v>
      </c>
      <c r="DO211" s="198">
        <f t="shared" ref="DO211" si="3299">DO210/DH210-1</f>
        <v>-7.8947368421052655E-2</v>
      </c>
      <c r="DP211" s="198">
        <f t="shared" ref="DP211" si="3300">DP210/DI210-1</f>
        <v>1.4285714285714235E-2</v>
      </c>
      <c r="DQ211" s="198">
        <f t="shared" ref="DQ211" si="3301">DQ210/DJ210-1</f>
        <v>-7.9734219269102957E-2</v>
      </c>
      <c r="DS211" s="197" t="str">
        <f t="shared" si="1228"/>
        <v>YoY Change (%)</v>
      </c>
      <c r="DT211" s="198">
        <f>DT210/DM210-1</f>
        <v>9.2307692307692202E-2</v>
      </c>
      <c r="DU211" s="198">
        <f t="shared" ref="DU211" si="3302">DU210/DN210-1</f>
        <v>0.15492957746478875</v>
      </c>
      <c r="DV211" s="198">
        <f t="shared" ref="DV211" si="3303">DV210/DO210-1</f>
        <v>0.14285714285714279</v>
      </c>
      <c r="DW211" s="198">
        <f t="shared" ref="DW211" si="3304">DW210/DP210-1</f>
        <v>0.16901408450704225</v>
      </c>
      <c r="DX211" s="198">
        <f t="shared" ref="DX211" si="3305">DX210/DQ210-1</f>
        <v>0.1407942238267148</v>
      </c>
      <c r="DZ211" s="197" t="str">
        <f t="shared" si="1229"/>
        <v>YoY Change (%)</v>
      </c>
      <c r="EA211" s="198">
        <f>EA210/DT210-1</f>
        <v>5.6338028169014009E-2</v>
      </c>
      <c r="EB211" s="198">
        <f t="shared" ref="EB211" si="3306">EB210/DU210-1</f>
        <v>6.0975609756097615E-2</v>
      </c>
      <c r="EC211" s="198">
        <f t="shared" ref="EC211" si="3307">EC210/DV210-1</f>
        <v>-0.17500000000000004</v>
      </c>
      <c r="ED211" s="198">
        <f t="shared" ref="ED211" si="3308">ED210/DW210-1</f>
        <v>-0.25301204819277112</v>
      </c>
      <c r="EE211" s="198">
        <f t="shared" ref="EE211" si="3309">EE210/DX210-1</f>
        <v>-8.2278481012658222E-2</v>
      </c>
      <c r="EG211" s="197" t="str">
        <f t="shared" si="1230"/>
        <v>YoY Change (%)</v>
      </c>
      <c r="EH211" s="198">
        <f>EH210/EA210-1</f>
        <v>5.3333333333333233E-2</v>
      </c>
      <c r="EI211" s="198">
        <f t="shared" ref="EI211" si="3310">EI210/EB210-1</f>
        <v>-0.10344827586206895</v>
      </c>
      <c r="EJ211" s="198">
        <f t="shared" ref="EJ211" si="3311">EJ210/EC210-1</f>
        <v>0.28787878787878785</v>
      </c>
      <c r="EK211" s="198">
        <f t="shared" ref="EK211" si="3312">EK210/ED210-1</f>
        <v>0.35483870967741926</v>
      </c>
      <c r="EL211" s="198">
        <f t="shared" ref="EL211" si="3313">EL210/EE210-1</f>
        <v>0.12413793103448278</v>
      </c>
      <c r="EN211" s="197" t="str">
        <f t="shared" si="1231"/>
        <v>YoY Change (%)</v>
      </c>
      <c r="EO211" s="198">
        <f>EO210/EH210-1</f>
        <v>0.15189873417721511</v>
      </c>
      <c r="EP211" s="198">
        <f t="shared" ref="EP211" si="3314">EP210/EI210-1</f>
        <v>0.14102564102564097</v>
      </c>
      <c r="EQ211" s="198">
        <f t="shared" ref="EQ211" si="3315">EQ210/EJ210-1</f>
        <v>-1.1764705882352899E-2</v>
      </c>
      <c r="ER211" s="198">
        <f t="shared" ref="ER211" si="3316">ER210/EK210-1</f>
        <v>-5.9523809523809534E-2</v>
      </c>
      <c r="ES211" s="198">
        <f t="shared" ref="ES211" si="3317">ES210/EL210-1</f>
        <v>5.2147239263803602E-2</v>
      </c>
      <c r="EU211" s="197" t="str">
        <f t="shared" si="1232"/>
        <v>YoY Change (%)</v>
      </c>
      <c r="EV211" s="198">
        <f>EV210/EO210-1</f>
        <v>-0.10989010989010994</v>
      </c>
      <c r="EW211" s="198">
        <f t="shared" ref="EW211" si="3318">EW210/EP210-1</f>
        <v>-6.7415730337078705E-2</v>
      </c>
      <c r="EX211" s="198">
        <f t="shared" ref="EX211" si="3319">EX210/EQ210-1</f>
        <v>-3.5714285714285698E-2</v>
      </c>
      <c r="EY211" s="198">
        <f t="shared" ref="EY211" si="3320">EY210/ER210-1</f>
        <v>-6.3291139240506333E-2</v>
      </c>
      <c r="EZ211" s="198">
        <f t="shared" ref="EZ211" si="3321">EZ210/ES210-1</f>
        <v>-6.9970845481049593E-2</v>
      </c>
      <c r="FB211" s="197" t="str">
        <f t="shared" si="1233"/>
        <v>YoY Change (%)</v>
      </c>
      <c r="FC211" s="198">
        <f>FC210/EV210-1</f>
        <v>-4.9382716049382713E-2</v>
      </c>
      <c r="FD211" s="198">
        <f t="shared" ref="FD211" si="3322">FD210/EW210-1</f>
        <v>-3.6144578313253017E-2</v>
      </c>
      <c r="FE211" s="198">
        <f t="shared" ref="FE211" si="3323">FE210/EX210-1</f>
        <v>2.4691358024691468E-2</v>
      </c>
      <c r="FF211" s="198">
        <f t="shared" ref="FF211" si="3324">FF210/EY210-1</f>
        <v>6.7567567567567544E-2</v>
      </c>
      <c r="FG211" s="198">
        <f t="shared" ref="FG211" si="3325">FG210/EZ210-1</f>
        <v>0</v>
      </c>
      <c r="FI211" s="197" t="str">
        <f t="shared" si="1234"/>
        <v>YoY Change (%)</v>
      </c>
      <c r="FJ211" s="198">
        <f>FJ210/FC210-1</f>
        <v>0.14285714285714279</v>
      </c>
      <c r="FK211" s="198">
        <f t="shared" ref="FK211" si="3326">FK210/FD210-1</f>
        <v>8.7499999999999911E-2</v>
      </c>
      <c r="FL211" s="198">
        <f t="shared" ref="FL211" si="3327">FL210/FE210-1</f>
        <v>2.4096385542168752E-2</v>
      </c>
      <c r="FM211" s="198">
        <f t="shared" ref="FM211" si="3328">FM210/FF210-1</f>
        <v>0.11392405063291133</v>
      </c>
      <c r="FN211" s="198">
        <f t="shared" ref="FN211" si="3329">FN210/FG210-1</f>
        <v>9.0909090909090828E-2</v>
      </c>
      <c r="FP211" s="197" t="str">
        <f t="shared" si="1235"/>
        <v>YoY Change (%)</v>
      </c>
      <c r="FQ211" s="198">
        <f>FQ210/FJ210-1</f>
        <v>6.8181818181818121E-2</v>
      </c>
      <c r="FR211" s="198">
        <f t="shared" ref="FR211" si="3330">FR210/FK210-1</f>
        <v>9.1954022988505857E-2</v>
      </c>
      <c r="FS211" s="198">
        <f t="shared" ref="FS211" si="3331">FS210/FL210-1</f>
        <v>0.11764705882352944</v>
      </c>
      <c r="FT211" s="198">
        <f t="shared" ref="FT211" si="3332">FT210/FM210-1</f>
        <v>9.0909090909090828E-2</v>
      </c>
      <c r="FU211" s="198">
        <f t="shared" ref="FU211" si="3333">FU210/FN210-1</f>
        <v>9.1954022988505857E-2</v>
      </c>
      <c r="FW211" s="197" t="str">
        <f t="shared" si="1236"/>
        <v>YoY Change (%)</v>
      </c>
      <c r="FX211" s="198">
        <f>FX210/FQ210-1</f>
        <v>-1.0638297872340385E-2</v>
      </c>
      <c r="FY211" s="198">
        <f t="shared" ref="FY211" si="3334">FY210/FR210-1</f>
        <v>-3.157894736842104E-2</v>
      </c>
      <c r="FZ211" s="198">
        <f t="shared" ref="FZ211" si="3335">FZ210/FS210-1</f>
        <v>-7.3684210526315796E-2</v>
      </c>
      <c r="GA211" s="198">
        <f t="shared" ref="GA211" si="3336">GA210/FT210-1</f>
        <v>-8.333333333333337E-2</v>
      </c>
      <c r="GB211" s="198">
        <f t="shared" ref="GB211" si="3337">GB210/FU210-1</f>
        <v>-5.0000000000000044E-2</v>
      </c>
      <c r="GD211" s="197" t="str">
        <f t="shared" si="1237"/>
        <v>YoY Change (%)</v>
      </c>
      <c r="GE211" s="198">
        <f>GE210/FX210-1</f>
        <v>1.0752688172043001E-2</v>
      </c>
      <c r="GF211" s="198">
        <f t="shared" ref="GF211" si="3338">GF210/FY210-1</f>
        <v>3.2608695652173836E-2</v>
      </c>
      <c r="GG211" s="198">
        <f t="shared" ref="GG211" si="3339">GG210/FZ210-1</f>
        <v>3.4090909090909172E-2</v>
      </c>
      <c r="GH211" s="198">
        <f t="shared" ref="GH211" si="3340">GH210/GA210-1</f>
        <v>-4.5454545454545414E-2</v>
      </c>
      <c r="GI211" s="198">
        <f t="shared" ref="GI211" si="3341">GI210/GB210-1</f>
        <v>8.310249307479145E-3</v>
      </c>
      <c r="GK211" s="197" t="str">
        <f t="shared" si="1238"/>
        <v>YoY Change (%)</v>
      </c>
      <c r="GL211" s="198">
        <f>GL210/GE210-1</f>
        <v>-1.0638297872340385E-2</v>
      </c>
      <c r="GM211" s="198">
        <f t="shared" ref="GM211" si="3342">GM210/GF210-1</f>
        <v>-1.0526315789473717E-2</v>
      </c>
      <c r="GN211" s="198">
        <f t="shared" ref="GN211" si="3343">GN210/GG210-1</f>
        <v>-2.1978021978022011E-2</v>
      </c>
      <c r="GO211" s="198">
        <f t="shared" ref="GO211" si="3344">GO210/GH210-1</f>
        <v>-5.9523809523809534E-2</v>
      </c>
      <c r="GP211" s="198">
        <f t="shared" ref="GP211" si="3345">GP210/GI210-1</f>
        <v>-2.4725274725274748E-2</v>
      </c>
      <c r="GR211" s="197" t="str">
        <f t="shared" si="1239"/>
        <v>YoY Change (%)</v>
      </c>
      <c r="GS211" s="198">
        <f>GS210/GL210-1</f>
        <v>-1.0752688172043001E-2</v>
      </c>
      <c r="GT211" s="198">
        <f t="shared" ref="GT211" si="3346">GT210/GM210-1</f>
        <v>2.1276595744680771E-2</v>
      </c>
      <c r="GU211" s="198">
        <f t="shared" ref="GU211" si="3347">GU210/GN210-1</f>
        <v>3.3707865168539408E-2</v>
      </c>
      <c r="GV211" s="198">
        <f t="shared" ref="GV211" si="3348">GV210/GO210-1</f>
        <v>-0.27848101265822789</v>
      </c>
      <c r="GW211" s="198">
        <f t="shared" ref="GW211" si="3349">GW210/GP210-1</f>
        <v>-5.070422535211272E-2</v>
      </c>
      <c r="GY211" s="197" t="str">
        <f t="shared" si="1240"/>
        <v>YoY Change (%)</v>
      </c>
      <c r="GZ211" s="198">
        <f>GZ210/GS210-1</f>
        <v>-0.47826086956521741</v>
      </c>
      <c r="HA211" s="198">
        <f t="shared" ref="HA211" si="3350">HA210/GT210-1</f>
        <v>-0.53125</v>
      </c>
      <c r="HB211" s="198">
        <f t="shared" ref="HB211" si="3351">HB210/GU210-1</f>
        <v>-0.40217391304347827</v>
      </c>
      <c r="HC211" s="198">
        <f t="shared" ref="HC211" si="3352">HC210/GV210-1</f>
        <v>-8.7719298245614086E-2</v>
      </c>
      <c r="HD211" s="198">
        <f t="shared" ref="HD211" si="3353">HD210/GW210-1</f>
        <v>-0.40652818991097928</v>
      </c>
      <c r="HF211" s="197" t="str">
        <f t="shared" si="1241"/>
        <v>YoY Change (%)</v>
      </c>
      <c r="HG211" s="198">
        <f>HG210/GZ210-1</f>
        <v>0.27083333333333326</v>
      </c>
      <c r="HH211" s="198">
        <f t="shared" ref="HH211" si="3354">HH210/HA210-1</f>
        <v>0.44444444444444442</v>
      </c>
      <c r="HI211" s="198">
        <f t="shared" ref="HI211" si="3355">HI210/HB210-1</f>
        <v>3.6363636363636376E-2</v>
      </c>
      <c r="HJ211" s="198">
        <f t="shared" ref="HJ211" si="3356">HJ210/HC210-1</f>
        <v>0.15384615384615374</v>
      </c>
      <c r="HK211" s="198">
        <f t="shared" ref="HK211" si="3357">HK210/HD210-1</f>
        <v>0.21500000000000008</v>
      </c>
      <c r="HM211" s="197" t="str">
        <f t="shared" si="1242"/>
        <v>YoY Change (%)</v>
      </c>
      <c r="HN211" s="198">
        <f>HN210/HG210-1</f>
        <v>9.8360655737705027E-2</v>
      </c>
      <c r="HO211" s="198">
        <f t="shared" ref="HO211" si="3358">HO210/HH210-1</f>
        <v>4.6153846153846212E-2</v>
      </c>
      <c r="HP211" s="198">
        <f t="shared" ref="HP211" si="3359">HP210/HI210-1</f>
        <v>0.15789473684210531</v>
      </c>
      <c r="HQ211" s="198">
        <f t="shared" ref="HQ211" si="3360">HQ210/HJ210-1</f>
        <v>6.6666666666666652E-2</v>
      </c>
      <c r="HR211" s="198">
        <f t="shared" ref="HR211" si="3361">HR210/HK210-1</f>
        <v>9.0534979423868345E-2</v>
      </c>
      <c r="HT211" s="197" t="str">
        <f t="shared" si="1243"/>
        <v>YoY Change (%)</v>
      </c>
      <c r="HU211" s="198">
        <f>HU210/HN210-1</f>
        <v>7.4626865671641784E-2</v>
      </c>
      <c r="HV211" s="198">
        <f t="shared" ref="HV211" si="3362">HV210/HO210-1</f>
        <v>-1.4705882352941124E-2</v>
      </c>
      <c r="HW211" s="198">
        <f t="shared" ref="HW211" si="3363">HW210/HP210-1</f>
        <v>-3.0303030303030276E-2</v>
      </c>
      <c r="HX211" s="198">
        <f t="shared" ref="HX211" si="3364">HX210/HQ210-1</f>
        <v>-6.25E-2</v>
      </c>
      <c r="HY211" s="198">
        <f t="shared" ref="HY211" si="3365">HY210/HR210-1</f>
        <v>-7.547169811320753E-3</v>
      </c>
      <c r="IA211" s="197" t="str">
        <f t="shared" si="1244"/>
        <v>YoY Change (%)</v>
      </c>
      <c r="IB211" s="198">
        <f>IB210/HU210-1</f>
        <v>8.3333333333333259E-2</v>
      </c>
      <c r="IC211" s="198">
        <f t="shared" ref="IC211" si="3366">IC210/HV210-1</f>
        <v>0.13432835820895517</v>
      </c>
      <c r="ID211" s="198">
        <f t="shared" ref="ID211" si="3367">ID210/HW210-1</f>
        <v>0.25</v>
      </c>
      <c r="IE211" s="198">
        <f t="shared" ref="IE211" si="3368">IE210/HX210-1</f>
        <v>0.25</v>
      </c>
      <c r="IF211" s="198">
        <f t="shared" ref="IF211" si="3369">IF210/HY210-1</f>
        <v>0.17490494296577941</v>
      </c>
      <c r="IH211" s="197" t="str">
        <f t="shared" si="1245"/>
        <v>YoY Change (%)</v>
      </c>
      <c r="II211" s="198">
        <f>II210/IB210-1</f>
        <v>0</v>
      </c>
      <c r="IJ211" s="198">
        <f t="shared" ref="IJ211" si="3370">IJ210/IC210-1</f>
        <v>0.14473684210526305</v>
      </c>
      <c r="IK211" s="198">
        <f t="shared" ref="IK211" si="3371">IK210/ID210-1</f>
        <v>8.7499999999999911E-2</v>
      </c>
      <c r="IL211" s="198">
        <f t="shared" ref="IL211" si="3372">IL210/IE210-1</f>
        <v>5.3333333333333233E-2</v>
      </c>
      <c r="IM211" s="198">
        <f t="shared" ref="IM211" si="3373">IM210/IF210-1</f>
        <v>7.1197411003236288E-2</v>
      </c>
      <c r="IO211" s="197" t="str">
        <f t="shared" si="1246"/>
        <v>YoY Change (%)</v>
      </c>
      <c r="IP211" s="198">
        <f>IP210/II210-1</f>
        <v>-7.6923076923076872E-2</v>
      </c>
      <c r="IQ211" s="198">
        <f t="shared" ref="IQ211" si="3374">IQ210/IJ210-1</f>
        <v>-0.13793103448275867</v>
      </c>
      <c r="IR211" s="198">
        <f t="shared" ref="IR211" si="3375">IR210/IK210-1</f>
        <v>-0.17241379310344829</v>
      </c>
      <c r="IS211" s="198">
        <f t="shared" ref="IS211" si="3376">IS210/IL210-1</f>
        <v>-0.17721518987341767</v>
      </c>
      <c r="IT211" s="198">
        <f t="shared" ref="IT211" si="3377">IT210/IM210-1</f>
        <v>-0.14199395770392753</v>
      </c>
      <c r="IV211" s="197" t="str">
        <f t="shared" si="1247"/>
        <v>YoY Change (%)</v>
      </c>
      <c r="IW211" s="198">
        <f>IW210/IP210-1</f>
        <v>-0.13888888888888884</v>
      </c>
      <c r="IX211" s="198">
        <f t="shared" ref="IX211" si="3378">IX210/IQ210-1</f>
        <v>-5.3333333333333344E-2</v>
      </c>
      <c r="IY211" s="198">
        <f t="shared" ref="IY211" si="3379">IY210/IR210-1</f>
        <v>-0.125</v>
      </c>
      <c r="IZ211" s="198">
        <f t="shared" ref="IZ211" si="3380">IZ210/IS210-1</f>
        <v>7.6923076923076872E-2</v>
      </c>
      <c r="JA211" s="198">
        <f t="shared" ref="JA211" si="3381">JA210/IT210-1</f>
        <v>-6.3380281690140872E-2</v>
      </c>
      <c r="JC211" s="197" t="str">
        <f t="shared" si="1248"/>
        <v>YoY Change (%)</v>
      </c>
      <c r="JD211" s="198">
        <f>JD210/IW210-1</f>
        <v>0.12903225806451624</v>
      </c>
      <c r="JE211" s="198">
        <f t="shared" ref="JE211" si="3382">JE210/IX210-1</f>
        <v>-5.633802816901412E-2</v>
      </c>
      <c r="JF211" s="198">
        <f t="shared" ref="JF211" si="3383">JF210/IY210-1</f>
        <v>1.5873015873015817E-2</v>
      </c>
      <c r="JG211" s="198">
        <f t="shared" ref="JG211" si="3384">JG210/IZ210-1</f>
        <v>-0.2142857142857143</v>
      </c>
      <c r="JH211" s="198">
        <f t="shared" ref="JH211" si="3385">JH210/JA210-1</f>
        <v>-3.7593984962406068E-2</v>
      </c>
      <c r="JJ211" s="197" t="str">
        <f t="shared" si="1249"/>
        <v>YoY Change (%)</v>
      </c>
      <c r="JK211" s="198">
        <f>JK210/JD210-1</f>
        <v>-8.5714285714285743E-2</v>
      </c>
      <c r="JL211" s="198">
        <f t="shared" ref="JL211" si="3386">JL210/JE210-1</f>
        <v>2.9850746268656803E-2</v>
      </c>
      <c r="JM211" s="198">
        <f t="shared" ref="JM211" si="3387">JM210/JF210-1</f>
        <v>7.8125E-2</v>
      </c>
      <c r="JN211" s="198">
        <f t="shared" ref="JN211" si="3388">JN210/JG210-1</f>
        <v>0.18181818181818188</v>
      </c>
      <c r="JO211" s="198">
        <f t="shared" ref="JO211" si="3389">JO210/JH210-1</f>
        <v>4.296875E-2</v>
      </c>
      <c r="JQ211" s="197" t="str">
        <f t="shared" si="1250"/>
        <v>YoY Change (%)</v>
      </c>
      <c r="JR211" s="198">
        <f>JR210/JK210-1</f>
        <v>0</v>
      </c>
      <c r="JS211" s="198">
        <f t="shared" ref="JS211" si="3390">JS210/JL210-1</f>
        <v>-8.6956521739130488E-2</v>
      </c>
      <c r="JT211" s="198">
        <f t="shared" ref="JT211" si="3391">JT210/JM210-1</f>
        <v>-5.7971014492753659E-2</v>
      </c>
      <c r="JU211" s="198">
        <f t="shared" ref="JU211" si="3392">JU210/JN210-1</f>
        <v>-0.13846153846153841</v>
      </c>
      <c r="JV211" s="198">
        <f t="shared" ref="JV211" si="3393">JV210/JO210-1</f>
        <v>-7.1161048689138529E-2</v>
      </c>
      <c r="JX211" s="197" t="str">
        <f t="shared" si="1251"/>
        <v>YoY Change (%)</v>
      </c>
      <c r="JY211" s="198">
        <f>JY210/JR210-1</f>
        <v>4.6875E-2</v>
      </c>
      <c r="JZ211" s="198">
        <f t="shared" ref="JZ211" si="3394">JZ210/JS210-1</f>
        <v>-0.23809523809523814</v>
      </c>
      <c r="KA211" s="198">
        <f t="shared" ref="KA211" si="3395">KA210/JT210-1</f>
        <v>-0.10769230769230764</v>
      </c>
      <c r="KB211" s="198">
        <f t="shared" ref="KB211" si="3396">KB210/JU210-1</f>
        <v>0.1785714285714286</v>
      </c>
      <c r="KC211" s="198">
        <f t="shared" ref="KC211" si="3397">KC210/JV210-1</f>
        <v>-3.6290322580645129E-2</v>
      </c>
      <c r="KE211" s="197" t="str">
        <f t="shared" si="1252"/>
        <v>YoY Change (%)</v>
      </c>
      <c r="KF211" s="198">
        <f>KF210/JY210-1</f>
        <v>1.4925373134328401E-2</v>
      </c>
      <c r="KG211" s="198">
        <f t="shared" ref="KG211" si="3398">KG210/JZ210-1</f>
        <v>0.47916666666666674</v>
      </c>
      <c r="KH211" s="198">
        <f t="shared" ref="KH211" si="3399">KH210/KA210-1</f>
        <v>0.2068965517241379</v>
      </c>
      <c r="KI211" s="198">
        <f t="shared" ref="KI211" si="3400">KI210/KB210-1</f>
        <v>3.0303030303030276E-2</v>
      </c>
      <c r="KJ211" s="198">
        <f t="shared" ref="KJ211" si="3401">KJ210/KC210-1</f>
        <v>0.15899581589958167</v>
      </c>
      <c r="KL211" s="197" t="str">
        <f t="shared" si="1253"/>
        <v>YoY Change (%)</v>
      </c>
      <c r="KM211" s="198">
        <f>KM210/KF210-1</f>
        <v>-2.9411764705882359E-2</v>
      </c>
      <c r="KN211" s="198">
        <f t="shared" ref="KN211" si="3402">KN210/KG210-1</f>
        <v>-2.8169014084507005E-2</v>
      </c>
      <c r="KO211" s="198">
        <f t="shared" ref="KO211" si="3403">KO210/KH210-1</f>
        <v>-4.2857142857142816E-2</v>
      </c>
      <c r="KP211" s="198">
        <f t="shared" ref="KP211" si="3404">KP210/KI210-1</f>
        <v>-4.4117647058823484E-2</v>
      </c>
      <c r="KQ211" s="198">
        <f t="shared" ref="KQ211" si="3405">KQ210/KJ210-1</f>
        <v>-3.6101083032490933E-2</v>
      </c>
      <c r="KS211" s="197" t="str">
        <f t="shared" si="1254"/>
        <v>YoY Change (%)</v>
      </c>
      <c r="KT211" s="198">
        <f>KT210/KM210-1</f>
        <v>0.10606060606060597</v>
      </c>
      <c r="KU211" s="198">
        <f t="shared" ref="KU211" si="3406">KU210/KN210-1</f>
        <v>7.2463768115942129E-2</v>
      </c>
      <c r="KV211" s="198">
        <f t="shared" ref="KV211" si="3407">KV210/KO210-1</f>
        <v>4.4776119402984982E-2</v>
      </c>
      <c r="KW211" s="198">
        <f t="shared" ref="KW211" si="3408">KW210/KP210-1</f>
        <v>3.076923076923066E-2</v>
      </c>
      <c r="KX211" s="198">
        <f t="shared" ref="KX211" si="3409">KX210/KQ210-1</f>
        <v>6.367041198501866E-2</v>
      </c>
      <c r="KZ211" s="197" t="str">
        <f t="shared" si="1255"/>
        <v>YoY Change (%)</v>
      </c>
      <c r="LA211" s="198">
        <f>LA210/KT210-1</f>
        <v>0</v>
      </c>
      <c r="LB211" s="198">
        <f>LB210/KU210-1</f>
        <v>-8.108108108108103E-2</v>
      </c>
      <c r="LC211" s="198">
        <f>LC210/KV210-1</f>
        <v>-8.5714285714285743E-2</v>
      </c>
      <c r="LD211" s="198">
        <f t="shared" ref="LD211" si="3410">LD210/KW210-1</f>
        <v>-5.9701492537313383E-2</v>
      </c>
      <c r="LE211" s="199">
        <f t="shared" ref="LE211" si="3411">LE210/KX210-1</f>
        <v>-5.633802816901412E-2</v>
      </c>
      <c r="LF211" s="567"/>
      <c r="LG211" s="197" t="str">
        <f t="shared" si="1256"/>
        <v>YoY Change (%)</v>
      </c>
      <c r="LH211" s="198">
        <f>LH210/LA210-1</f>
        <v>-0.1095890410958904</v>
      </c>
      <c r="LI211" s="198">
        <f>LI210/LB210-1</f>
        <v>2.9411764705882248E-2</v>
      </c>
      <c r="LJ211" s="198">
        <f>LJ210/LC210-1</f>
        <v>4.6875E-2</v>
      </c>
      <c r="LK211" s="198">
        <f>LK210/LD210-1</f>
        <v>0</v>
      </c>
      <c r="LL211" s="199">
        <f t="shared" ref="LL211" si="3412">LL210/LE210-1</f>
        <v>-1.1194029850746245E-2</v>
      </c>
      <c r="LM211" s="567"/>
      <c r="LN211" s="197" t="str">
        <f t="shared" si="1257"/>
        <v>YoY Change (%)</v>
      </c>
      <c r="LO211" s="222">
        <v>3.5000000000000003E-2</v>
      </c>
      <c r="LP211" s="222">
        <v>-0.01</v>
      </c>
      <c r="LQ211" s="222">
        <v>2.5000000000000001E-2</v>
      </c>
      <c r="LR211" s="222">
        <v>1.4999999999999999E-2</v>
      </c>
      <c r="LS211" s="199">
        <f t="shared" ref="LS211" si="3413">LS210/LL210-1</f>
        <v>1.5830188679245349E-2</v>
      </c>
      <c r="LT211" s="567"/>
      <c r="LU211" s="197" t="str">
        <f t="shared" si="1261"/>
        <v>YoY Change (%)</v>
      </c>
      <c r="LV211" s="222">
        <v>2.5000000000000001E-2</v>
      </c>
      <c r="LW211" s="222">
        <v>2.5000000000000001E-2</v>
      </c>
      <c r="LX211" s="222">
        <v>2.5000000000000001E-2</v>
      </c>
      <c r="LY211" s="222">
        <v>2.5000000000000001E-2</v>
      </c>
      <c r="LZ211" s="199">
        <f t="shared" ref="LZ211" si="3414">LZ210/LS210-1</f>
        <v>2.4999999999999689E-2</v>
      </c>
      <c r="MA211" s="567"/>
      <c r="MB211" s="197" t="str">
        <f t="shared" si="1265"/>
        <v>YoY Change (%)</v>
      </c>
      <c r="MC211" s="222">
        <v>2.5000000000000001E-2</v>
      </c>
      <c r="MD211" s="222">
        <v>2.5000000000000001E-2</v>
      </c>
      <c r="ME211" s="222">
        <v>2.5000000000000001E-2</v>
      </c>
      <c r="MF211" s="222">
        <v>2.5000000000000001E-2</v>
      </c>
      <c r="MG211" s="199">
        <f t="shared" ref="MG211" si="3415">MG210/LZ210-1</f>
        <v>2.4999999999999911E-2</v>
      </c>
      <c r="MH211" s="567"/>
    </row>
    <row r="212" spans="1:346" s="37" customFormat="1" ht="13.15" x14ac:dyDescent="0.4">
      <c r="A212" s="100"/>
      <c r="C212" s="186"/>
      <c r="D212" s="186"/>
      <c r="E212" s="186"/>
      <c r="F212" s="186"/>
      <c r="G212" s="186"/>
      <c r="H212" s="186"/>
      <c r="I212" s="186"/>
      <c r="J212" s="186"/>
      <c r="K212" s="186"/>
      <c r="L212" s="186"/>
      <c r="M212" s="186"/>
      <c r="N212" s="193"/>
      <c r="O212" s="193"/>
      <c r="P212" s="193"/>
      <c r="Q212" s="193"/>
      <c r="R212" s="193"/>
      <c r="S212" s="193"/>
      <c r="T212" s="193"/>
      <c r="U212" s="193"/>
      <c r="V212" s="193"/>
      <c r="W212" s="193"/>
      <c r="X212" s="193"/>
      <c r="Y212" s="193"/>
      <c r="Z212" s="193"/>
      <c r="AA212" s="193"/>
      <c r="AB212" s="193"/>
      <c r="AC212" s="193"/>
      <c r="AD212" s="193"/>
      <c r="AE212" s="193"/>
      <c r="AF212" s="193"/>
      <c r="AG212" s="193"/>
      <c r="AH212" s="193"/>
      <c r="AI212" s="193"/>
      <c r="AJ212" s="193"/>
      <c r="AK212" s="193"/>
      <c r="AL212" s="193"/>
      <c r="AM212" s="193"/>
      <c r="AN212" s="193"/>
      <c r="AO212" s="193"/>
      <c r="AP212" s="193"/>
      <c r="AQ212" s="193"/>
      <c r="AR212" s="193"/>
      <c r="AS212" s="193"/>
      <c r="AT212" s="193"/>
      <c r="AU212" s="193"/>
      <c r="AV212" s="193"/>
      <c r="AW212" s="193"/>
      <c r="AX212" s="193"/>
      <c r="AY212" s="193"/>
      <c r="AZ212" s="193"/>
      <c r="BA212" s="193"/>
      <c r="BB212" s="193"/>
      <c r="BC212" s="193"/>
      <c r="BD212" s="193"/>
      <c r="BE212" s="193"/>
      <c r="BF212" s="193"/>
      <c r="BG212" s="193"/>
      <c r="BH212" s="193"/>
      <c r="BI212" s="193"/>
      <c r="BJ212" s="193"/>
      <c r="BK212" s="193"/>
      <c r="BL212" s="193"/>
      <c r="BM212" s="193"/>
      <c r="BP212" s="193"/>
      <c r="BQ212" s="193"/>
      <c r="BR212" s="193"/>
      <c r="BS212" s="193"/>
      <c r="BT212" s="193"/>
      <c r="BW212" s="193"/>
      <c r="BX212" s="193"/>
      <c r="BY212" s="193"/>
      <c r="BZ212" s="193"/>
      <c r="CA212" s="193"/>
      <c r="CD212" s="193"/>
      <c r="CE212" s="193"/>
      <c r="CF212" s="193"/>
      <c r="CG212" s="193"/>
      <c r="CH212" s="193"/>
      <c r="CK212" s="193"/>
      <c r="CL212" s="193"/>
      <c r="CM212" s="193"/>
      <c r="CN212" s="193"/>
      <c r="CO212" s="193"/>
      <c r="CR212" s="193"/>
      <c r="CS212" s="193"/>
      <c r="CT212" s="193"/>
      <c r="CU212" s="193"/>
      <c r="CV212" s="193"/>
      <c r="CY212" s="193"/>
      <c r="CZ212" s="193"/>
      <c r="DA212" s="193"/>
      <c r="DB212" s="193"/>
      <c r="DC212" s="193"/>
      <c r="DF212" s="193"/>
      <c r="DG212" s="193"/>
      <c r="DH212" s="193"/>
      <c r="DI212" s="193"/>
      <c r="DJ212" s="193"/>
      <c r="DM212" s="193"/>
      <c r="DN212" s="193"/>
      <c r="DO212" s="193"/>
      <c r="DP212" s="193"/>
      <c r="DQ212" s="193"/>
      <c r="DT212" s="193"/>
      <c r="DU212" s="193"/>
      <c r="DV212" s="193"/>
      <c r="DW212" s="193"/>
      <c r="DX212" s="193"/>
      <c r="EA212" s="193"/>
      <c r="EB212" s="193"/>
      <c r="EC212" s="193"/>
      <c r="ED212" s="193"/>
      <c r="EE212" s="193"/>
      <c r="EH212" s="193"/>
      <c r="EI212" s="193"/>
      <c r="EJ212" s="193"/>
      <c r="EK212" s="193"/>
      <c r="EL212" s="193"/>
      <c r="EO212" s="193"/>
      <c r="EP212" s="193"/>
      <c r="EQ212" s="193"/>
      <c r="ER212" s="193"/>
      <c r="ES212" s="193"/>
      <c r="EV212" s="193"/>
      <c r="EW212" s="193"/>
      <c r="EX212" s="193"/>
      <c r="EY212" s="193"/>
      <c r="EZ212" s="193"/>
      <c r="FC212" s="193"/>
      <c r="FD212" s="193"/>
      <c r="FE212" s="193"/>
      <c r="FF212" s="193"/>
      <c r="FG212" s="193"/>
      <c r="FJ212" s="193"/>
      <c r="FK212" s="193"/>
      <c r="FL212" s="193"/>
      <c r="FM212" s="193"/>
      <c r="FN212" s="193"/>
      <c r="FQ212" s="193"/>
      <c r="FR212" s="193"/>
      <c r="FS212" s="193"/>
      <c r="FT212" s="193"/>
      <c r="FU212" s="193"/>
      <c r="FX212" s="193"/>
      <c r="FY212" s="193"/>
      <c r="FZ212" s="193"/>
      <c r="GA212" s="193"/>
      <c r="GB212" s="193"/>
      <c r="GE212" s="193"/>
      <c r="GF212" s="193"/>
      <c r="GG212" s="193"/>
      <c r="GH212" s="193"/>
      <c r="GI212" s="193"/>
      <c r="GL212" s="193"/>
      <c r="GM212" s="193"/>
      <c r="GN212" s="193"/>
      <c r="GO212" s="193"/>
      <c r="GP212" s="193"/>
      <c r="GS212" s="193"/>
      <c r="GT212" s="193"/>
      <c r="GU212" s="193"/>
      <c r="GV212" s="193"/>
      <c r="GW212" s="193"/>
      <c r="GZ212" s="193"/>
      <c r="HA212" s="193"/>
      <c r="HB212" s="193"/>
      <c r="HC212" s="193"/>
      <c r="HD212" s="193"/>
      <c r="HG212" s="193"/>
      <c r="HH212" s="193"/>
      <c r="HI212" s="193"/>
      <c r="HJ212" s="193"/>
      <c r="HK212" s="193"/>
      <c r="HN212" s="193"/>
      <c r="HO212" s="193"/>
      <c r="HP212" s="193"/>
      <c r="HQ212" s="193"/>
      <c r="HR212" s="193"/>
      <c r="HU212" s="193"/>
      <c r="HV212" s="193"/>
      <c r="HW212" s="193"/>
      <c r="HX212" s="193"/>
      <c r="HY212" s="193"/>
      <c r="IB212" s="193"/>
      <c r="IC212" s="193"/>
      <c r="ID212" s="193"/>
      <c r="IE212" s="193"/>
      <c r="IF212" s="193"/>
      <c r="II212" s="193"/>
      <c r="IJ212" s="193"/>
      <c r="IK212" s="193"/>
      <c r="IL212" s="193"/>
      <c r="IM212" s="193"/>
      <c r="IP212" s="193"/>
      <c r="IQ212" s="193"/>
      <c r="IR212" s="193"/>
      <c r="IS212" s="193"/>
      <c r="IT212" s="193"/>
      <c r="IW212" s="193"/>
      <c r="IX212" s="193"/>
      <c r="IY212" s="193"/>
      <c r="IZ212" s="193"/>
      <c r="JA212" s="193"/>
      <c r="JD212" s="193"/>
      <c r="JE212" s="193"/>
      <c r="JF212" s="193"/>
      <c r="JG212" s="193"/>
      <c r="JH212" s="193"/>
      <c r="JK212" s="193"/>
      <c r="JL212" s="193"/>
      <c r="JM212" s="193"/>
      <c r="JN212" s="193"/>
      <c r="JO212" s="193"/>
      <c r="JR212" s="193"/>
      <c r="JS212" s="193"/>
      <c r="JT212" s="193"/>
      <c r="JU212" s="193"/>
      <c r="JV212" s="193"/>
      <c r="JY212" s="193"/>
      <c r="JZ212" s="193"/>
      <c r="KA212" s="193"/>
      <c r="KB212" s="193"/>
      <c r="KC212" s="193"/>
      <c r="KF212" s="193"/>
      <c r="KG212" s="193"/>
      <c r="KH212" s="193"/>
      <c r="KI212" s="193"/>
      <c r="KJ212" s="193"/>
      <c r="KM212" s="193"/>
      <c r="KN212" s="193"/>
      <c r="KO212" s="193"/>
      <c r="KP212" s="193"/>
      <c r="KQ212" s="193"/>
      <c r="KT212" s="193"/>
      <c r="KU212" s="193"/>
      <c r="KV212" s="193"/>
      <c r="KW212" s="193"/>
      <c r="KX212" s="193"/>
      <c r="LA212" s="193"/>
      <c r="LB212" s="193"/>
      <c r="LC212" s="193"/>
      <c r="LD212" s="193"/>
      <c r="LE212" s="200"/>
      <c r="LF212" s="565"/>
      <c r="LH212" s="198"/>
      <c r="LI212" s="198"/>
      <c r="LJ212" s="198"/>
      <c r="LK212" s="198"/>
      <c r="LL212" s="193"/>
      <c r="LM212" s="555"/>
      <c r="LN212" s="68"/>
      <c r="LO212" s="198"/>
      <c r="LP212" s="198"/>
      <c r="LQ212" s="198"/>
      <c r="LR212" s="198"/>
      <c r="LS212" s="193"/>
      <c r="LT212" s="555"/>
      <c r="LU212" s="68"/>
      <c r="LV212" s="198"/>
      <c r="LW212" s="198"/>
      <c r="LX212" s="198"/>
      <c r="LY212" s="198"/>
      <c r="LZ212" s="200"/>
      <c r="MA212" s="565"/>
      <c r="MB212" s="68"/>
      <c r="MC212" s="198"/>
      <c r="MD212" s="198"/>
      <c r="ME212" s="198"/>
      <c r="MF212" s="198"/>
      <c r="MG212" s="200"/>
      <c r="MH212" s="565"/>
    </row>
    <row r="213" spans="1:346" s="37" customFormat="1" ht="13.15" x14ac:dyDescent="0.4">
      <c r="A213" s="100"/>
      <c r="B213" s="37" t="s">
        <v>517</v>
      </c>
      <c r="C213" s="186"/>
      <c r="D213" s="186"/>
      <c r="E213" s="186"/>
      <c r="F213" s="186"/>
      <c r="G213" s="186"/>
      <c r="H213" s="186"/>
      <c r="I213" s="186"/>
      <c r="J213" s="186"/>
      <c r="K213" s="186"/>
      <c r="L213" s="186"/>
      <c r="M213" s="186"/>
      <c r="N213" s="194">
        <f t="shared" ref="N213:AY213" si="3416">IFERROR(N13/N73*1000,"")</f>
        <v>944</v>
      </c>
      <c r="O213" s="194">
        <f t="shared" si="3416"/>
        <v>948.49785407725312</v>
      </c>
      <c r="P213" s="194">
        <f t="shared" si="3416"/>
        <v>1015.0753768844221</v>
      </c>
      <c r="Q213" s="194">
        <f t="shared" si="3416"/>
        <v>973.45132743362831</v>
      </c>
      <c r="R213" s="194">
        <f t="shared" si="3416"/>
        <v>941.8604651162791</v>
      </c>
      <c r="S213" s="194">
        <f t="shared" si="3416"/>
        <v>976.02739726027403</v>
      </c>
      <c r="T213" s="194">
        <f t="shared" si="3416"/>
        <v>966.7774086378738</v>
      </c>
      <c r="U213" s="194">
        <f t="shared" si="3416"/>
        <v>1046.9314079422384</v>
      </c>
      <c r="V213" s="194">
        <f t="shared" si="3416"/>
        <v>993.67088607594928</v>
      </c>
      <c r="W213" s="194">
        <f t="shared" si="3416"/>
        <v>1072.4137931034484</v>
      </c>
      <c r="X213" s="194">
        <f t="shared" si="3416"/>
        <v>1131.9018404907974</v>
      </c>
      <c r="Y213" s="194">
        <f t="shared" si="3416"/>
        <v>1186.588921282799</v>
      </c>
      <c r="Z213" s="194">
        <f t="shared" si="3416"/>
        <v>1238.244514106583</v>
      </c>
      <c r="AA213" s="194">
        <f t="shared" si="3416"/>
        <v>1257.0532915360502</v>
      </c>
      <c r="AB213" s="194">
        <f t="shared" si="3416"/>
        <v>1250</v>
      </c>
      <c r="AC213" s="194">
        <f t="shared" si="3416"/>
        <v>1344.7368421052631</v>
      </c>
      <c r="AD213" s="194">
        <f t="shared" si="3416"/>
        <v>1578.9473684210527</v>
      </c>
      <c r="AE213" s="194">
        <f t="shared" si="3416"/>
        <v>1848.901098901099</v>
      </c>
      <c r="AF213" s="194">
        <f t="shared" si="3416"/>
        <v>2160.5633802816901</v>
      </c>
      <c r="AG213" s="194">
        <f t="shared" si="3416"/>
        <v>2231.4540059347182</v>
      </c>
      <c r="AH213" s="194">
        <f t="shared" si="3416"/>
        <v>1995</v>
      </c>
      <c r="AI213" s="194">
        <f t="shared" si="3416"/>
        <v>2139.9176954732511</v>
      </c>
      <c r="AJ213" s="194">
        <f t="shared" si="3416"/>
        <v>2313.2075471698113</v>
      </c>
      <c r="AK213" s="194">
        <f t="shared" si="3416"/>
        <v>2414.4486692015212</v>
      </c>
      <c r="AL213" s="194">
        <f t="shared" si="3416"/>
        <v>2381.8770226537217</v>
      </c>
      <c r="AM213" s="194">
        <f t="shared" si="3416"/>
        <v>2489.4259818731121</v>
      </c>
      <c r="AN213" s="194">
        <f t="shared" si="3416"/>
        <v>2545.7746478873241</v>
      </c>
      <c r="AO213" s="194">
        <f t="shared" si="3416"/>
        <v>2751.8796992481207</v>
      </c>
      <c r="AP213" s="194">
        <f t="shared" si="3416"/>
        <v>2746.09375</v>
      </c>
      <c r="AQ213" s="194">
        <f t="shared" si="3416"/>
        <v>2880.1498127340824</v>
      </c>
      <c r="AR213" s="194">
        <f t="shared" si="3416"/>
        <v>2991.9354838709673</v>
      </c>
      <c r="AS213" s="194">
        <f t="shared" si="3416"/>
        <v>2824.2677824267785</v>
      </c>
      <c r="AT213" s="194">
        <f t="shared" si="3416"/>
        <v>2873.6462093862815</v>
      </c>
      <c r="AU213" s="194">
        <f t="shared" si="3416"/>
        <v>3101.1235955056181</v>
      </c>
      <c r="AV213" s="194">
        <f t="shared" si="3416"/>
        <v>3228.8732394366193</v>
      </c>
      <c r="AW213" s="194">
        <f t="shared" si="3416"/>
        <v>3361.940298507463</v>
      </c>
      <c r="AX213" s="194">
        <f t="shared" si="3416"/>
        <v>3279.2452830188677</v>
      </c>
      <c r="AY213" s="194">
        <f t="shared" si="3416"/>
        <v>3390.3388343022716</v>
      </c>
      <c r="AZ213" s="194">
        <f t="shared" ref="AZ213:BA213" si="3417">IFERROR(AZ13/AZ73*1000,"")</f>
        <v>3483.5731522455849</v>
      </c>
      <c r="BA213" s="194">
        <f t="shared" si="3417"/>
        <v>3570.6624810517237</v>
      </c>
      <c r="BB213" s="194"/>
      <c r="BC213" s="194"/>
      <c r="BD213" s="194"/>
      <c r="BE213" s="194"/>
      <c r="BF213" s="194"/>
      <c r="BG213" s="194"/>
      <c r="BH213" s="194"/>
      <c r="BI213" s="194"/>
      <c r="BJ213" s="194"/>
      <c r="BK213" s="194"/>
      <c r="BL213" s="194"/>
      <c r="BM213" s="194"/>
      <c r="BO213" s="37" t="str">
        <f t="shared" si="1220"/>
        <v>Revenue per carload ($)</v>
      </c>
      <c r="BP213" s="193">
        <f>IFERROR(BP13/BP73*1000,"")</f>
        <v>1000</v>
      </c>
      <c r="BQ213" s="193">
        <f>IFERROR(BQ13/BQ73*1000,"")</f>
        <v>887.32394366197184</v>
      </c>
      <c r="BR213" s="193">
        <f>IFERROR(BR13/BR73*1000,"")</f>
        <v>895.52238805970148</v>
      </c>
      <c r="BS213" s="193">
        <f>IFERROR(BS13/BS73*1000,"")</f>
        <v>1018.1818181818181</v>
      </c>
      <c r="BT213" s="193">
        <f>IFERROR(BT13/BT73*1000,"")</f>
        <v>944</v>
      </c>
      <c r="BV213" s="37" t="str">
        <f t="shared" si="1221"/>
        <v>Revenue per carload ($)</v>
      </c>
      <c r="BW213" s="193">
        <f>IFERROR(BW13/BW73*1000,"")</f>
        <v>1000</v>
      </c>
      <c r="BX213" s="193">
        <f>IFERROR(BX13/BX73*1000,"")</f>
        <v>921.875</v>
      </c>
      <c r="BY213" s="193">
        <f>IFERROR(BY13/BY73*1000,"")</f>
        <v>887.09677419354841</v>
      </c>
      <c r="BZ213" s="193">
        <f>IFERROR(BZ13/BZ73*1000,"")</f>
        <v>1000</v>
      </c>
      <c r="CA213" s="193">
        <f>IFERROR(CA13/CA73*1000,"")</f>
        <v>948.49785407725312</v>
      </c>
      <c r="CC213" s="37" t="str">
        <f t="shared" si="1222"/>
        <v>Revenue per carload ($)</v>
      </c>
      <c r="CD213" s="193">
        <f>IFERROR(CD13/CD73*1000,"")</f>
        <v>1090.9090909090908</v>
      </c>
      <c r="CE213" s="193">
        <f>IFERROR(CE13/CE73*1000,"")</f>
        <v>979.59183673469386</v>
      </c>
      <c r="CF213" s="193">
        <f>IFERROR(CF13/CF73*1000,"")</f>
        <v>981.81818181818176</v>
      </c>
      <c r="CG213" s="193">
        <f>IFERROR(CG13/CG73*1000,"")</f>
        <v>1019.6078431372548</v>
      </c>
      <c r="CH213" s="193">
        <f>IFERROR(CH13/CH73*1000,"")</f>
        <v>1015.0753768844221</v>
      </c>
      <c r="CJ213" s="37" t="str">
        <f t="shared" si="1223"/>
        <v>Revenue per carload ($)</v>
      </c>
      <c r="CK213" s="193">
        <f>IFERROR(CK13/CK73*1000,"")</f>
        <v>1041.6666666666667</v>
      </c>
      <c r="CL213" s="193">
        <f>IFERROR(CL13/CL73*1000,"")</f>
        <v>951.61290322580646</v>
      </c>
      <c r="CM213" s="193">
        <f>IFERROR(CM13/CM73*1000,"")</f>
        <v>948.27586206896558</v>
      </c>
      <c r="CN213" s="193">
        <f>IFERROR(CN13/CN73*1000,"")</f>
        <v>965.51724137931035</v>
      </c>
      <c r="CO213" s="193">
        <f>IFERROR(CO13/CO73*1000,"")</f>
        <v>973.45132743362831</v>
      </c>
      <c r="CQ213" s="37" t="str">
        <f t="shared" si="1224"/>
        <v>Revenue per carload ($)</v>
      </c>
      <c r="CR213" s="193">
        <f>IFERROR(CR13/CR73*1000,"")</f>
        <v>1000</v>
      </c>
      <c r="CS213" s="193">
        <f>IFERROR(CS13/CS73*1000,"")</f>
        <v>926.47058823529414</v>
      </c>
      <c r="CT213" s="193">
        <f>IFERROR(CT13/CT73*1000,"")</f>
        <v>869.56521739130437</v>
      </c>
      <c r="CU213" s="193">
        <f>IFERROR(CU13/CU73*1000,"")</f>
        <v>984.61538461538464</v>
      </c>
      <c r="CV213" s="193">
        <f>IFERROR(CV13/CV73*1000,"")</f>
        <v>941.8604651162791</v>
      </c>
      <c r="CX213" s="37" t="str">
        <f t="shared" si="1225"/>
        <v>Revenue per carload ($)</v>
      </c>
      <c r="CY213" s="193">
        <f>IFERROR(CY13/CY73*1000,"")</f>
        <v>1029.4117647058822</v>
      </c>
      <c r="CZ213" s="193">
        <f>IFERROR(CZ13/CZ73*1000,"")</f>
        <v>973.33333333333337</v>
      </c>
      <c r="DA213" s="193">
        <f>IFERROR(DA13/DA73*1000,"")</f>
        <v>935.06493506493507</v>
      </c>
      <c r="DB213" s="193">
        <f>IFERROR(DB13/DB73*1000,"")</f>
        <v>972.22222222222217</v>
      </c>
      <c r="DC213" s="193">
        <f>IFERROR(DC13/DC73*1000,"")</f>
        <v>976.02739726027403</v>
      </c>
      <c r="DE213" s="37" t="str">
        <f t="shared" si="1226"/>
        <v>Revenue per carload ($)</v>
      </c>
      <c r="DF213" s="193">
        <f>IFERROR(DF13/DF73*1000,"")</f>
        <v>1000</v>
      </c>
      <c r="DG213" s="193">
        <f>IFERROR(DG13/DG73*1000,"")</f>
        <v>938.27160493827159</v>
      </c>
      <c r="DH213" s="193">
        <f>IFERROR(DH13/DH73*1000,"")</f>
        <v>960.52631578947364</v>
      </c>
      <c r="DI213" s="193">
        <f>IFERROR(DI13/DI73*1000,"")</f>
        <v>971.42857142857144</v>
      </c>
      <c r="DJ213" s="193">
        <f>IFERROR(DJ13/DJ73*1000,"")</f>
        <v>966.7774086378738</v>
      </c>
      <c r="DL213" s="37" t="str">
        <f t="shared" si="1227"/>
        <v>Revenue per carload ($)</v>
      </c>
      <c r="DM213" s="193">
        <f>IFERROR(DM13/DM73*1000,"")</f>
        <v>1076.9230769230769</v>
      </c>
      <c r="DN213" s="193">
        <f>IFERROR(DN13/DN73*1000,"")</f>
        <v>1028.1690140845069</v>
      </c>
      <c r="DO213" s="193">
        <f>IFERROR(DO13/DO73*1000,"")</f>
        <v>1028.5714285714284</v>
      </c>
      <c r="DP213" s="193">
        <f>IFERROR(DP13/DP73*1000,"")</f>
        <v>1056.338028169014</v>
      </c>
      <c r="DQ213" s="193">
        <f>IFERROR(DQ13/DQ73*1000,"")</f>
        <v>1046.9314079422384</v>
      </c>
      <c r="DS213" s="37" t="str">
        <f t="shared" si="1228"/>
        <v>Revenue per carload ($)</v>
      </c>
      <c r="DT213" s="193">
        <f>IFERROR(DT13/DT73*1000,"")</f>
        <v>1056.338028169014</v>
      </c>
      <c r="DU213" s="193">
        <f>IFERROR(DU13/DU73*1000,"")</f>
        <v>987.80487804878044</v>
      </c>
      <c r="DV213" s="193">
        <f>IFERROR(DV13/DV73*1000,"")</f>
        <v>987.5</v>
      </c>
      <c r="DW213" s="193">
        <f>IFERROR(DW13/DW73*1000,"")</f>
        <v>951.80722891566256</v>
      </c>
      <c r="DX213" s="193">
        <f>IFERROR(DX13/DX73*1000,"")</f>
        <v>993.67088607594928</v>
      </c>
      <c r="DZ213" s="37" t="str">
        <f t="shared" si="1229"/>
        <v>Revenue per carload ($)</v>
      </c>
      <c r="EA213" s="193">
        <f>IFERROR(EA13/EA73*1000,"")</f>
        <v>1040</v>
      </c>
      <c r="EB213" s="193">
        <f>IFERROR(EB13/EB73*1000,"")</f>
        <v>988.50574712643675</v>
      </c>
      <c r="EC213" s="193">
        <f>IFERROR(EC13/EC73*1000,"")</f>
        <v>1151.5151515151515</v>
      </c>
      <c r="ED213" s="193">
        <f>IFERROR(ED13/ED73*1000,"")</f>
        <v>1145.1612903225807</v>
      </c>
      <c r="EE213" s="193">
        <f>IFERROR(EE13/EE73*1000,"")</f>
        <v>1072.4137931034484</v>
      </c>
      <c r="EG213" s="37" t="str">
        <f t="shared" si="1230"/>
        <v>Revenue per carload ($)</v>
      </c>
      <c r="EH213" s="193">
        <f>IFERROR(EH13/EH73*1000,"")</f>
        <v>1063.2911392405063</v>
      </c>
      <c r="EI213" s="193">
        <f>IFERROR(EI13/EI73*1000,"")</f>
        <v>1128.2051282051282</v>
      </c>
      <c r="EJ213" s="193">
        <f>IFERROR(EJ13/EJ73*1000,"")</f>
        <v>1176.4705882352941</v>
      </c>
      <c r="EK213" s="193">
        <f>IFERROR(EK13/EK73*1000,"")</f>
        <v>1154.7619047619046</v>
      </c>
      <c r="EL213" s="193">
        <f>IFERROR(EL13/EL73*1000,"")</f>
        <v>1131.9018404907974</v>
      </c>
      <c r="EN213" s="37" t="str">
        <f t="shared" si="1231"/>
        <v>Revenue per carload ($)</v>
      </c>
      <c r="EO213" s="193">
        <f>IFERROR(EO13/EO73*1000,"")</f>
        <v>1153.8461538461538</v>
      </c>
      <c r="EP213" s="193">
        <f>IFERROR(EP13/EP73*1000,"")</f>
        <v>1191.0112359550562</v>
      </c>
      <c r="EQ213" s="193">
        <f>IFERROR(EQ13/EQ73*1000,"")</f>
        <v>1190.4761904761904</v>
      </c>
      <c r="ER213" s="193">
        <f>IFERROR(ER13/ER73*1000,"")</f>
        <v>1215.1898734177216</v>
      </c>
      <c r="ES213" s="193">
        <f>IFERROR(ES13/ES73*1000,"")</f>
        <v>1186.588921282799</v>
      </c>
      <c r="EU213" s="37" t="str">
        <f t="shared" si="1232"/>
        <v>Revenue per carload ($)</v>
      </c>
      <c r="EV213" s="193">
        <f>IFERROR(EV13/EV73*1000,"")</f>
        <v>1222.2222222222224</v>
      </c>
      <c r="EW213" s="193">
        <f>IFERROR(EW13/EW73*1000,"")</f>
        <v>1240.963855421687</v>
      </c>
      <c r="EX213" s="193">
        <f>IFERROR(EX13/EX73*1000,"")</f>
        <v>1259.2592592592594</v>
      </c>
      <c r="EY213" s="193">
        <f>IFERROR(EY13/EY73*1000,"")</f>
        <v>1229.7297297297298</v>
      </c>
      <c r="EZ213" s="193">
        <f>IFERROR(EZ13/EZ73*1000,"")</f>
        <v>1238.244514106583</v>
      </c>
      <c r="FB213" s="37" t="str">
        <f t="shared" si="1233"/>
        <v>Revenue per carload ($)</v>
      </c>
      <c r="FC213" s="193">
        <f>IFERROR(FC13/FC73*1000,"")</f>
        <v>1272.7272727272727</v>
      </c>
      <c r="FD213" s="193">
        <f>IFERROR(FD13/FD73*1000,"")</f>
        <v>1250</v>
      </c>
      <c r="FE213" s="193">
        <f>IFERROR(FE13/FE73*1000,"")</f>
        <v>1253.0120481927711</v>
      </c>
      <c r="FF213" s="193">
        <f>IFERROR(FF13/FF73*1000,"")</f>
        <v>1253.1645569620252</v>
      </c>
      <c r="FG213" s="193">
        <f>IFERROR(FG13/FG73*1000,"")</f>
        <v>1257.0532915360502</v>
      </c>
      <c r="FI213" s="37" t="str">
        <f t="shared" si="1234"/>
        <v>Revenue per carload ($)</v>
      </c>
      <c r="FJ213" s="193">
        <f>IFERROR(FJ13/FJ73*1000,"")</f>
        <v>1250</v>
      </c>
      <c r="FK213" s="193">
        <f>IFERROR(FK13/FK73*1000,"")</f>
        <v>1241.3793103448277</v>
      </c>
      <c r="FL213" s="193">
        <f>IFERROR(FL13/FL73*1000,"")</f>
        <v>1258.8235294117646</v>
      </c>
      <c r="FM213" s="193">
        <f>IFERROR(FM13/FM73*1000,"")</f>
        <v>1250</v>
      </c>
      <c r="FN213" s="193">
        <f>IFERROR(FN13/FN73*1000,"")</f>
        <v>1250</v>
      </c>
      <c r="FP213" s="37" t="str">
        <f t="shared" si="1235"/>
        <v>Revenue per carload ($)</v>
      </c>
      <c r="FQ213" s="193">
        <f>IFERROR(FQ13/FQ73*1000,"")</f>
        <v>1265.9574468085107</v>
      </c>
      <c r="FR213" s="193">
        <f>IFERROR(FR13/FR73*1000,"")</f>
        <v>1315.7894736842106</v>
      </c>
      <c r="FS213" s="193">
        <f>IFERROR(FS13/FS73*1000,"")</f>
        <v>1357.8947368421052</v>
      </c>
      <c r="FT213" s="193">
        <f>IFERROR(FT13/FT73*1000,"")</f>
        <v>1437.5</v>
      </c>
      <c r="FU213" s="193">
        <f>IFERROR(FU13/FU73*1000,"")</f>
        <v>1344.7368421052631</v>
      </c>
      <c r="FW213" s="37" t="str">
        <f t="shared" si="1236"/>
        <v>Revenue per carload ($)</v>
      </c>
      <c r="FX213" s="193">
        <f>IFERROR(FX13/FX73*1000,"")</f>
        <v>1483.8709677419356</v>
      </c>
      <c r="FY213" s="193">
        <f>IFERROR(FY13/FY73*1000,"")</f>
        <v>1521.7391304347827</v>
      </c>
      <c r="FZ213" s="193">
        <f>IFERROR(FZ13/FZ73*1000,"")</f>
        <v>1613.6363636363635</v>
      </c>
      <c r="GA213" s="193">
        <f>IFERROR(GA13/GA73*1000,"")</f>
        <v>1704.5454545454545</v>
      </c>
      <c r="GB213" s="193">
        <f>IFERROR(GB13/GB73*1000,"")</f>
        <v>1578.9473684210527</v>
      </c>
      <c r="GD213" s="37" t="str">
        <f t="shared" si="1237"/>
        <v>Revenue per carload ($)</v>
      </c>
      <c r="GE213" s="193">
        <f>IFERROR(GE13/GE73*1000,"")</f>
        <v>1744.6808510638298</v>
      </c>
      <c r="GF213" s="193">
        <f>IFERROR(GF13/GF73*1000,"")</f>
        <v>1821.0526315789475</v>
      </c>
      <c r="GG213" s="193">
        <f>IFERROR(GG13/GG73*1000,"")</f>
        <v>1934.065934065934</v>
      </c>
      <c r="GH213" s="193">
        <f>IFERROR(GH13/GH73*1000,"")</f>
        <v>1904.7619047619046</v>
      </c>
      <c r="GI213" s="193">
        <f>IFERROR(GI13/GI73*1000,"")</f>
        <v>1848.901098901099</v>
      </c>
      <c r="GK213" s="37" t="str">
        <f t="shared" si="1238"/>
        <v>Revenue per carload ($)</v>
      </c>
      <c r="GL213" s="193">
        <f>IFERROR(GL13/GL73*1000,"")</f>
        <v>1892.4731182795699</v>
      </c>
      <c r="GM213" s="193">
        <f>IFERROR(GM13/GM73*1000,"")</f>
        <v>1936.1702127659576</v>
      </c>
      <c r="GN213" s="193">
        <f>IFERROR(GN13/GN73*1000,"")</f>
        <v>2764.0449438202249</v>
      </c>
      <c r="GO213" s="193">
        <f>IFERROR(GO13/GO73*1000,"")</f>
        <v>2063.2911392405063</v>
      </c>
      <c r="GP213" s="193">
        <f>IFERROR(GP13/GP73*1000,"")</f>
        <v>2160.5633802816901</v>
      </c>
      <c r="GR213" s="37" t="str">
        <f t="shared" si="1239"/>
        <v>Revenue per carload ($)</v>
      </c>
      <c r="GS213" s="193">
        <f>IFERROR(GS13/GS73*1000,"")</f>
        <v>2141.304347826087</v>
      </c>
      <c r="GT213" s="193">
        <f>IFERROR(GT13/GT73*1000,"")</f>
        <v>2197.9166666666665</v>
      </c>
      <c r="GU213" s="193">
        <f>IFERROR(GU13/GU73*1000,"")</f>
        <v>2336.9565217391305</v>
      </c>
      <c r="GV213" s="193">
        <f>IFERROR(GV13/GV73*1000,"")</f>
        <v>2263.1578947368421</v>
      </c>
      <c r="GW213" s="193">
        <f>IFERROR(GW13/GW73*1000,"")</f>
        <v>2231.4540059347182</v>
      </c>
      <c r="GY213" s="37" t="str">
        <f t="shared" si="1240"/>
        <v>Revenue per carload ($)</v>
      </c>
      <c r="GZ213" s="193">
        <f>IFERROR(GZ13/GZ73*1000,"")</f>
        <v>2020.8333333333335</v>
      </c>
      <c r="HA213" s="193">
        <f>IFERROR(HA13/HA73*1000,"")</f>
        <v>1933.3333333333333</v>
      </c>
      <c r="HB213" s="193">
        <f>IFERROR(HB13/HB73*1000,"")</f>
        <v>2018.181818181818</v>
      </c>
      <c r="HC213" s="193">
        <f>IFERROR(HC13/HC73*1000,"")</f>
        <v>2000</v>
      </c>
      <c r="HD213" s="193">
        <f>IFERROR(HD13/HD73*1000,"")</f>
        <v>1995</v>
      </c>
      <c r="HF213" s="37" t="str">
        <f t="shared" si="1241"/>
        <v>Revenue per carload ($)</v>
      </c>
      <c r="HG213" s="193">
        <f>IFERROR(HG13/HG73*1000,"")</f>
        <v>2098.3606557377052</v>
      </c>
      <c r="HH213" s="193">
        <f>IFERROR(HH13/HH73*1000,"")</f>
        <v>2153.8461538461538</v>
      </c>
      <c r="HI213" s="193">
        <f>IFERROR(HI13/HI73*1000,"")</f>
        <v>2192.9824561403511</v>
      </c>
      <c r="HJ213" s="193">
        <f>IFERROR(HJ13/HJ73*1000,"")</f>
        <v>2116.6666666666665</v>
      </c>
      <c r="HK213" s="193">
        <f>IFERROR(HK13/HK73*1000,"")</f>
        <v>2139.9176954732511</v>
      </c>
      <c r="HM213" s="37" t="str">
        <f t="shared" si="1242"/>
        <v>Revenue per carload ($)</v>
      </c>
      <c r="HN213" s="193">
        <f>IFERROR(HN13/HN73*1000,"")</f>
        <v>2208.9552238805973</v>
      </c>
      <c r="HO213" s="193">
        <f>IFERROR(HO13/HO73*1000,"")</f>
        <v>2323.5294117647059</v>
      </c>
      <c r="HP213" s="193">
        <f>IFERROR(HP13/HP73*1000,"")</f>
        <v>2348.4848484848485</v>
      </c>
      <c r="HQ213" s="193">
        <f>IFERROR(HQ13/HQ73*1000,"")</f>
        <v>2375</v>
      </c>
      <c r="HR213" s="193">
        <f>IFERROR(HR13/HR73*1000,"")</f>
        <v>2313.2075471698113</v>
      </c>
      <c r="HT213" s="37" t="str">
        <f t="shared" si="1243"/>
        <v>Revenue per carload ($)</v>
      </c>
      <c r="HU213" s="193">
        <f>IFERROR(HU13/HU73*1000,"")</f>
        <v>2375</v>
      </c>
      <c r="HV213" s="193">
        <f>IFERROR(HV13/HV73*1000,"")</f>
        <v>2432.8358208955224</v>
      </c>
      <c r="HW213" s="193">
        <f>IFERROR(HW13/HW73*1000,"")</f>
        <v>2421.875</v>
      </c>
      <c r="HX213" s="193">
        <f>IFERROR(HX13/HX73*1000,"")</f>
        <v>2433.333333333333</v>
      </c>
      <c r="HY213" s="193">
        <f>IFERROR(HY13/HY73*1000,"")</f>
        <v>2414.4486692015212</v>
      </c>
      <c r="IA213" s="37" t="str">
        <f t="shared" si="1244"/>
        <v>Revenue per carload ($)</v>
      </c>
      <c r="IB213" s="193">
        <f>IFERROR(IB13/IB73*1000,"")</f>
        <v>2358.9743589743589</v>
      </c>
      <c r="IC213" s="193">
        <f>IFERROR(IC13/IC73*1000,"")</f>
        <v>2407.8947368421054</v>
      </c>
      <c r="ID213" s="193">
        <f>IFERROR(ID13/ID73*1000,"")</f>
        <v>2362.5</v>
      </c>
      <c r="IE213" s="193">
        <f>IFERROR(IE13/IE73*1000,"")</f>
        <v>2400</v>
      </c>
      <c r="IF213" s="193">
        <f>IFERROR(IF13/IF73*1000,"")</f>
        <v>2381.8770226537217</v>
      </c>
      <c r="IH213" s="37" t="str">
        <f t="shared" si="1245"/>
        <v>Revenue per carload ($)</v>
      </c>
      <c r="II213" s="193">
        <f>IFERROR(II13/II73*1000,"")</f>
        <v>2435.8974358974356</v>
      </c>
      <c r="IJ213" s="193">
        <f>IFERROR(IJ13/IJ73*1000,"")</f>
        <v>2471.2643678160921</v>
      </c>
      <c r="IK213" s="193">
        <f>IFERROR(IK13/IK73*1000,"")</f>
        <v>2574.7126436781609</v>
      </c>
      <c r="IL213" s="193">
        <f>IFERROR(IL13/IL73*1000,"")</f>
        <v>2468.3544303797466</v>
      </c>
      <c r="IM213" s="193">
        <f>IFERROR(IM13/IM73*1000,"")</f>
        <v>2489.4259818731121</v>
      </c>
      <c r="IO213" s="37" t="str">
        <f t="shared" si="1246"/>
        <v>Revenue per carload ($)</v>
      </c>
      <c r="IP213" s="193">
        <f>IFERROR(IP13/IP73*1000,"")</f>
        <v>2500</v>
      </c>
      <c r="IQ213" s="193">
        <f>IFERROR(IQ13/IQ73*1000,"")</f>
        <v>2466.666666666667</v>
      </c>
      <c r="IR213" s="193">
        <f>IFERROR(IR13/IR73*1000,"")</f>
        <v>2638.8888888888887</v>
      </c>
      <c r="IS213" s="193">
        <f>IFERROR(IS13/IS73*1000,"")</f>
        <v>2584.6153846153848</v>
      </c>
      <c r="IT213" s="193">
        <f>IFERROR(IT13/IT73*1000,"")</f>
        <v>2545.7746478873241</v>
      </c>
      <c r="IV213" s="37" t="str">
        <f t="shared" si="1247"/>
        <v>Revenue per carload ($)</v>
      </c>
      <c r="IW213" s="193">
        <f>IFERROR(IW13/IW73*1000,"")</f>
        <v>2661.2903225806449</v>
      </c>
      <c r="IX213" s="193">
        <f>IFERROR(IX13/IX73*1000,"")</f>
        <v>2619.7183098591549</v>
      </c>
      <c r="IY213" s="193">
        <f>IFERROR(IY13/IY73*1000,"")</f>
        <v>2857.1428571428573</v>
      </c>
      <c r="IZ213" s="193">
        <f>IFERROR(IZ13/IZ73*1000,"")</f>
        <v>2871.4285714285716</v>
      </c>
      <c r="JA213" s="193">
        <f>IFERROR(JA13/JA73*1000,"")</f>
        <v>2751.8796992481207</v>
      </c>
      <c r="JC213" s="37" t="str">
        <f t="shared" si="1248"/>
        <v>Revenue per carload ($)</v>
      </c>
      <c r="JD213" s="193">
        <f>IFERROR(JD13/JD73*1000,"")</f>
        <v>2714.2857142857142</v>
      </c>
      <c r="JE213" s="193">
        <f>IFERROR(JE13/JE73*1000,"")</f>
        <v>2656.7164179104479</v>
      </c>
      <c r="JF213" s="193">
        <f>IFERROR(JF13/JF73*1000,"")</f>
        <v>2781.25</v>
      </c>
      <c r="JG213" s="193">
        <f>IFERROR(JG13/JG73*1000,"")</f>
        <v>2854.5454545454545</v>
      </c>
      <c r="JH213" s="193">
        <f>IFERROR(JH13/JH73*1000,"")</f>
        <v>2746.09375</v>
      </c>
      <c r="JJ213" s="37" t="str">
        <f t="shared" si="1249"/>
        <v>Revenue per carload ($)</v>
      </c>
      <c r="JK213" s="193">
        <f>IFERROR(JK13/JK73*1000,"")</f>
        <v>2906.25</v>
      </c>
      <c r="JL213" s="193">
        <f>IFERROR(JL13/JL73*1000,"")</f>
        <v>2869.565217391304</v>
      </c>
      <c r="JM213" s="193">
        <f>IFERROR(JM13/JM73*1000,"")</f>
        <v>2971.014492753623</v>
      </c>
      <c r="JN213" s="193">
        <f>IFERROR(JN13/JN73*1000,"")</f>
        <v>2769.2307692307691</v>
      </c>
      <c r="JO213" s="193">
        <f>IFERROR(JO13/JO73*1000,"")</f>
        <v>2880.1498127340824</v>
      </c>
      <c r="JQ213" s="37" t="str">
        <f t="shared" si="1250"/>
        <v>Revenue per carload ($)</v>
      </c>
      <c r="JR213" s="193">
        <f>IFERROR(JR13/JR73*1000,"")</f>
        <v>2953.125</v>
      </c>
      <c r="JS213" s="193">
        <f>IFERROR(JS13/JS73*1000,"")</f>
        <v>2984.1269841269841</v>
      </c>
      <c r="JT213" s="193">
        <f>IFERROR(JT13/JT73*1000,"")</f>
        <v>3000</v>
      </c>
      <c r="JU213" s="193">
        <f>IFERROR(JU13/JU73*1000,"")</f>
        <v>3035.7142857142858</v>
      </c>
      <c r="JV213" s="193">
        <f>IFERROR(JV13/JV73*1000,"")</f>
        <v>2991.9354838709673</v>
      </c>
      <c r="JX213" s="37" t="str">
        <f t="shared" si="1251"/>
        <v>Revenue per carload ($)</v>
      </c>
      <c r="JY213" s="193">
        <f>IFERROR(JY13/JY73*1000,"")</f>
        <v>2970.1492537313434</v>
      </c>
      <c r="JZ213" s="193">
        <f>IFERROR(JZ13/JZ73*1000,"")</f>
        <v>2958.3333333333335</v>
      </c>
      <c r="KA213" s="193">
        <f>IFERROR(KA13/KA73*1000,"")</f>
        <v>2741.3793103448274</v>
      </c>
      <c r="KB213" s="193">
        <f>IFERROR(KB13/KB73*1000,"")</f>
        <v>2651.5151515151515</v>
      </c>
      <c r="KC213" s="193">
        <f>IFERROR(KC13/KC73*1000,"")</f>
        <v>2824.2677824267785</v>
      </c>
      <c r="KE213" s="37" t="str">
        <f t="shared" si="1252"/>
        <v>Revenue per carload ($)</v>
      </c>
      <c r="KF213" s="193">
        <f>IFERROR(KF13/KF73*1000,"")</f>
        <v>2735.294117647059</v>
      </c>
      <c r="KG213" s="193">
        <f>IFERROR(KG13/KG73*1000,"")</f>
        <v>2873.2394366197186</v>
      </c>
      <c r="KH213" s="193">
        <f>IFERROR(KH13/KH73*1000,"")</f>
        <v>2942.8571428571431</v>
      </c>
      <c r="KI213" s="193">
        <f>IFERROR(KI13/KI73*1000,"")</f>
        <v>2941.1764705882356</v>
      </c>
      <c r="KJ213" s="193">
        <f>IFERROR(KJ13/KJ73*1000,"")</f>
        <v>2873.6462093862815</v>
      </c>
      <c r="KL213" s="37" t="str">
        <f t="shared" si="1253"/>
        <v>Revenue per carload ($)</v>
      </c>
      <c r="KM213" s="193">
        <f>IFERROR(KM13/KM73*1000,"")</f>
        <v>2984.848484848485</v>
      </c>
      <c r="KN213" s="193">
        <f>IFERROR(KN13/KN73*1000,"")</f>
        <v>3130.434782608696</v>
      </c>
      <c r="KO213" s="193">
        <f>IFERROR(KO13/KO73*1000,"")</f>
        <v>3149.2537313432836</v>
      </c>
      <c r="KP213" s="193">
        <f>IFERROR(KP13/KP73*1000,"")</f>
        <v>3138.4615384615386</v>
      </c>
      <c r="KQ213" s="193">
        <f>IFERROR(KQ13/KQ73*1000,"")</f>
        <v>3101.1235955056181</v>
      </c>
      <c r="KS213" s="37" t="str">
        <f t="shared" si="1254"/>
        <v>Revenue per carload ($)</v>
      </c>
      <c r="KT213" s="193">
        <f>IFERROR(KT13/KT73*1000,"")</f>
        <v>3273.9726027397264</v>
      </c>
      <c r="KU213" s="193">
        <f>IFERROR(KU13/KU73*1000,"")</f>
        <v>3243.2432432432433</v>
      </c>
      <c r="KV213" s="193">
        <f>IFERROR(KV13/KV73*1000,"")</f>
        <v>3214.2857142857142</v>
      </c>
      <c r="KW213" s="193">
        <f>IFERROR(KW13/KW73*1000,"")</f>
        <v>3179.1044776119402</v>
      </c>
      <c r="KX213" s="193">
        <f>IFERROR(KX13/KX73*1000,"")</f>
        <v>3228.8732394366193</v>
      </c>
      <c r="KZ213" s="37" t="str">
        <f t="shared" si="1255"/>
        <v>Revenue per carload ($)</v>
      </c>
      <c r="LA213" s="193">
        <f>IFERROR(LA13/LA73*1000,"")</f>
        <v>3589.0410958904113</v>
      </c>
      <c r="LB213" s="193">
        <f>IFERROR(LB13/LB73*1000,"")</f>
        <v>3382.3529411764707</v>
      </c>
      <c r="LC213" s="193">
        <f>IFERROR(LC13/LC73*1000,"")</f>
        <v>3250</v>
      </c>
      <c r="LD213" s="193">
        <f>IFERROR(LD13/LD73*1000,"")</f>
        <v>3190.4761904761908</v>
      </c>
      <c r="LE213" s="193">
        <f>LE216/LE210*1000</f>
        <v>3361.940298507463</v>
      </c>
      <c r="LF213" s="563"/>
      <c r="LG213" s="37" t="str">
        <f t="shared" si="1256"/>
        <v>Revenue per carload ($)</v>
      </c>
      <c r="LH213" s="193">
        <f>IFERROR(LH13/LH73*1000,"")</f>
        <v>3215.3846153846157</v>
      </c>
      <c r="LI213" s="193">
        <f>IFERROR(LI13/LI73*1000,"")</f>
        <v>3200</v>
      </c>
      <c r="LJ213" s="193">
        <f>IFERROR(LJ13/LJ73*1000,"")</f>
        <v>3343.2835820895521</v>
      </c>
      <c r="LK213" s="193">
        <f>IFERROR(LK13/LK73*1000,"")</f>
        <v>3365.0793650793653</v>
      </c>
      <c r="LL213" s="193">
        <f>LL216/LL210*1000</f>
        <v>3279.2452830188677</v>
      </c>
      <c r="LM213" s="563"/>
      <c r="LN213" s="37" t="str">
        <f t="shared" si="1257"/>
        <v>Revenue per carload ($)</v>
      </c>
      <c r="LO213" s="193">
        <f>(LH213)*(1+LO214)</f>
        <v>3335.961538461539</v>
      </c>
      <c r="LP213" s="193">
        <f t="shared" ref="LP213" si="3418">(LI213)*(1+LP214)</f>
        <v>3320.0000000000005</v>
      </c>
      <c r="LQ213" s="193">
        <f t="shared" ref="LQ213" si="3419">(LJ213)*(1+LQ214)</f>
        <v>3451.9402985074626</v>
      </c>
      <c r="LR213" s="193">
        <f t="shared" ref="LR213" si="3420">(LK213)*(1+LR214)</f>
        <v>3457.6190476190482</v>
      </c>
      <c r="LS213" s="193">
        <f>LS216/LS210*1000</f>
        <v>3390.3388343022716</v>
      </c>
      <c r="LT213" s="563"/>
      <c r="LU213" s="37" t="str">
        <f t="shared" si="1261"/>
        <v>Revenue per carload ($)</v>
      </c>
      <c r="LV213" s="193">
        <f>(LO213)*(1+LV214)</f>
        <v>3427.7004807692315</v>
      </c>
      <c r="LW213" s="193">
        <f t="shared" ref="LW213" si="3421">(LP213)*(1+LW214)</f>
        <v>3411.3000000000006</v>
      </c>
      <c r="LX213" s="193">
        <f t="shared" ref="LX213" si="3422">(LQ213)*(1+LX214)</f>
        <v>3546.8686567164182</v>
      </c>
      <c r="LY213" s="193">
        <f t="shared" ref="LY213" si="3423">(LR213)*(1+LY214)</f>
        <v>3552.7035714285721</v>
      </c>
      <c r="LZ213" s="193">
        <f>LZ216/LZ210*1000</f>
        <v>3483.5731522455849</v>
      </c>
      <c r="MA213" s="563"/>
      <c r="MB213" s="37" t="str">
        <f t="shared" si="1265"/>
        <v>Revenue per carload ($)</v>
      </c>
      <c r="MC213" s="193">
        <f>(LV213)*(1+MC214)</f>
        <v>3513.3929927884619</v>
      </c>
      <c r="MD213" s="193">
        <f t="shared" ref="MD213" si="3424">(LW213)*(1+MD214)</f>
        <v>3496.5825000000004</v>
      </c>
      <c r="ME213" s="193">
        <f t="shared" ref="ME213" si="3425">(LX213)*(1+ME214)</f>
        <v>3635.5403731343281</v>
      </c>
      <c r="MF213" s="193">
        <f t="shared" ref="MF213" si="3426">(LY213)*(1+MF214)</f>
        <v>3641.521160714286</v>
      </c>
      <c r="MG213" s="193">
        <f>MG216/MG210*1000</f>
        <v>3570.6624810517237</v>
      </c>
      <c r="MH213" s="563"/>
    </row>
    <row r="214" spans="1:346" s="37" customFormat="1" ht="13.15" x14ac:dyDescent="0.4">
      <c r="A214" s="100"/>
      <c r="B214" s="197" t="s">
        <v>516</v>
      </c>
      <c r="C214" s="186"/>
      <c r="D214" s="186"/>
      <c r="E214" s="186"/>
      <c r="F214" s="186"/>
      <c r="G214" s="186"/>
      <c r="H214" s="186"/>
      <c r="I214" s="186"/>
      <c r="J214" s="186"/>
      <c r="K214" s="186"/>
      <c r="L214" s="186"/>
      <c r="M214" s="186"/>
      <c r="N214" s="193"/>
      <c r="O214" s="198">
        <f>O213/N213-1</f>
        <v>4.764675929293638E-3</v>
      </c>
      <c r="P214" s="198">
        <f t="shared" ref="P214:BA214" si="3427">P213/O213-1</f>
        <v>7.0192591918870395E-2</v>
      </c>
      <c r="Q214" s="198">
        <f t="shared" si="3427"/>
        <v>-4.1005870498554309E-2</v>
      </c>
      <c r="R214" s="198">
        <f t="shared" si="3427"/>
        <v>-3.2452431289640593E-2</v>
      </c>
      <c r="S214" s="198">
        <f t="shared" si="3427"/>
        <v>3.6276002029426602E-2</v>
      </c>
      <c r="T214" s="198">
        <f t="shared" si="3427"/>
        <v>-9.4771813254065362E-3</v>
      </c>
      <c r="U214" s="198">
        <f t="shared" si="3427"/>
        <v>8.2908432270150323E-2</v>
      </c>
      <c r="V214" s="198">
        <f t="shared" si="3427"/>
        <v>-5.0872981230903669E-2</v>
      </c>
      <c r="W214" s="198">
        <f t="shared" si="3427"/>
        <v>7.9244454206018222E-2</v>
      </c>
      <c r="X214" s="198">
        <f t="shared" si="3427"/>
        <v>5.5471169589489389E-2</v>
      </c>
      <c r="Y214" s="198">
        <f t="shared" si="3427"/>
        <v>4.8314331539817124E-2</v>
      </c>
      <c r="Z214" s="198">
        <f t="shared" si="3427"/>
        <v>4.3532846040682749E-2</v>
      </c>
      <c r="AA214" s="198">
        <f t="shared" si="3427"/>
        <v>1.51898734177216E-2</v>
      </c>
      <c r="AB214" s="198">
        <f t="shared" si="3427"/>
        <v>-5.610972568578565E-3</v>
      </c>
      <c r="AC214" s="198">
        <f t="shared" si="3427"/>
        <v>7.5789473684210407E-2</v>
      </c>
      <c r="AD214" s="198">
        <f t="shared" si="3427"/>
        <v>0.17416829745596885</v>
      </c>
      <c r="AE214" s="198">
        <f t="shared" si="3427"/>
        <v>0.17097069597069603</v>
      </c>
      <c r="AF214" s="198">
        <f t="shared" si="3427"/>
        <v>0.16856622648222164</v>
      </c>
      <c r="AG214" s="198">
        <f t="shared" si="3427"/>
        <v>3.2811176149706522E-2</v>
      </c>
      <c r="AH214" s="198">
        <f t="shared" si="3427"/>
        <v>-0.10596409574468091</v>
      </c>
      <c r="AI214" s="198">
        <f t="shared" si="3427"/>
        <v>7.2640448858772411E-2</v>
      </c>
      <c r="AJ214" s="198">
        <f t="shared" si="3427"/>
        <v>8.0979680696661838E-2</v>
      </c>
      <c r="AK214" s="198">
        <f t="shared" si="3427"/>
        <v>4.3766553569988709E-2</v>
      </c>
      <c r="AL214" s="198">
        <f t="shared" si="3427"/>
        <v>-1.3490304003261788E-2</v>
      </c>
      <c r="AM214" s="198">
        <f t="shared" si="3427"/>
        <v>4.5153027715749472E-2</v>
      </c>
      <c r="AN214" s="198">
        <f t="shared" si="3427"/>
        <v>2.2635204430466294E-2</v>
      </c>
      <c r="AO214" s="198">
        <f t="shared" si="3427"/>
        <v>8.0959660562193836E-2</v>
      </c>
      <c r="AP214" s="198">
        <f t="shared" si="3427"/>
        <v>-2.1025443989072246E-3</v>
      </c>
      <c r="AQ214" s="198">
        <f t="shared" si="3427"/>
        <v>4.8817001507716951E-2</v>
      </c>
      <c r="AR214" s="198">
        <f t="shared" si="3427"/>
        <v>3.8812450186668679E-2</v>
      </c>
      <c r="AS214" s="198">
        <f t="shared" si="3427"/>
        <v>-5.6039878649809749E-2</v>
      </c>
      <c r="AT214" s="198">
        <f t="shared" si="3427"/>
        <v>1.7483620804920275E-2</v>
      </c>
      <c r="AU214" s="198">
        <f t="shared" si="3427"/>
        <v>7.91598441646435E-2</v>
      </c>
      <c r="AV214" s="198">
        <f t="shared" si="3427"/>
        <v>4.1194631557460504E-2</v>
      </c>
      <c r="AW214" s="198">
        <f t="shared" si="3427"/>
        <v>4.1211608261853439E-2</v>
      </c>
      <c r="AX214" s="198">
        <f t="shared" si="3427"/>
        <v>-2.45974074927231E-2</v>
      </c>
      <c r="AY214" s="198">
        <f t="shared" si="3427"/>
        <v>3.387778031081945E-2</v>
      </c>
      <c r="AZ214" s="198">
        <f t="shared" si="3427"/>
        <v>2.7500000000000302E-2</v>
      </c>
      <c r="BA214" s="198">
        <f t="shared" si="3427"/>
        <v>2.4999999999999689E-2</v>
      </c>
      <c r="BB214" s="198"/>
      <c r="BC214" s="198"/>
      <c r="BD214" s="198"/>
      <c r="BE214" s="198"/>
      <c r="BF214" s="198"/>
      <c r="BG214" s="198"/>
      <c r="BH214" s="198"/>
      <c r="BI214" s="198"/>
      <c r="BJ214" s="198"/>
      <c r="BK214" s="198"/>
      <c r="BL214" s="198"/>
      <c r="BM214" s="198"/>
      <c r="BO214" s="197" t="str">
        <f t="shared" si="1220"/>
        <v>YoY Change (%)</v>
      </c>
      <c r="BP214" s="193"/>
      <c r="BQ214" s="193"/>
      <c r="BR214" s="193"/>
      <c r="BS214" s="193"/>
      <c r="BT214" s="193"/>
      <c r="BV214" s="197" t="str">
        <f t="shared" si="1221"/>
        <v>YoY Change (%)</v>
      </c>
      <c r="BW214" s="198">
        <f>BW213/BP213-1</f>
        <v>0</v>
      </c>
      <c r="BX214" s="198">
        <f t="shared" ref="BX214" si="3428">BX213/BQ213-1</f>
        <v>3.8938492063492092E-2</v>
      </c>
      <c r="BY214" s="198">
        <f t="shared" ref="BY214" si="3429">BY213/BR213-1</f>
        <v>-9.4086021505376261E-3</v>
      </c>
      <c r="BZ214" s="198">
        <f t="shared" ref="BZ214" si="3430">BZ213/BS213-1</f>
        <v>-1.7857142857142794E-2</v>
      </c>
      <c r="CA214" s="198">
        <f t="shared" ref="CA214" si="3431">CA213/BT213-1</f>
        <v>4.764675929293638E-3</v>
      </c>
      <c r="CC214" s="197" t="str">
        <f t="shared" si="1222"/>
        <v>YoY Change (%)</v>
      </c>
      <c r="CD214" s="198">
        <f>CD213/BW213-1</f>
        <v>9.0909090909090828E-2</v>
      </c>
      <c r="CE214" s="198">
        <f t="shared" ref="CE214" si="3432">CE213/BX213-1</f>
        <v>6.2608094085091714E-2</v>
      </c>
      <c r="CF214" s="198">
        <f t="shared" ref="CF214" si="3433">CF213/BY213-1</f>
        <v>0.10677685950413207</v>
      </c>
      <c r="CG214" s="198">
        <f t="shared" ref="CG214" si="3434">CG213/BZ213-1</f>
        <v>1.9607843137254832E-2</v>
      </c>
      <c r="CH214" s="198">
        <f t="shared" ref="CH214" si="3435">CH213/CA213-1</f>
        <v>7.0192591918870395E-2</v>
      </c>
      <c r="CJ214" s="197" t="str">
        <f t="shared" si="1223"/>
        <v>YoY Change (%)</v>
      </c>
      <c r="CK214" s="198">
        <f>CK213/CD213-1</f>
        <v>-4.5138888888888729E-2</v>
      </c>
      <c r="CL214" s="198">
        <f t="shared" ref="CL214" si="3436">CL213/CE213-1</f>
        <v>-2.856182795698925E-2</v>
      </c>
      <c r="CM214" s="198">
        <f t="shared" ref="CM214" si="3437">CM213/CF213-1</f>
        <v>-3.4163473818646151E-2</v>
      </c>
      <c r="CN214" s="198">
        <f t="shared" ref="CN214" si="3438">CN213/CG213-1</f>
        <v>-5.3050397877983935E-2</v>
      </c>
      <c r="CO214" s="198">
        <f t="shared" ref="CO214" si="3439">CO213/CH213-1</f>
        <v>-4.1005870498554309E-2</v>
      </c>
      <c r="CQ214" s="197" t="str">
        <f t="shared" si="1224"/>
        <v>YoY Change (%)</v>
      </c>
      <c r="CR214" s="198">
        <f>CR213/CK213-1</f>
        <v>-4.0000000000000036E-2</v>
      </c>
      <c r="CS214" s="198">
        <f t="shared" ref="CS214" si="3440">CS213/CL213-1</f>
        <v>-2.6420737786640114E-2</v>
      </c>
      <c r="CT214" s="198">
        <f t="shared" ref="CT214" si="3441">CT213/CM213-1</f>
        <v>-8.3003952569170036E-2</v>
      </c>
      <c r="CU214" s="198">
        <f t="shared" ref="CU214" si="3442">CU213/CN213-1</f>
        <v>1.978021978021971E-2</v>
      </c>
      <c r="CV214" s="198">
        <f t="shared" ref="CV214" si="3443">CV213/CO213-1</f>
        <v>-3.2452431289640593E-2</v>
      </c>
      <c r="CX214" s="197" t="str">
        <f t="shared" si="1225"/>
        <v>YoY Change (%)</v>
      </c>
      <c r="CY214" s="198">
        <f>CY213/CR213-1</f>
        <v>2.9411764705882248E-2</v>
      </c>
      <c r="CZ214" s="198">
        <f t="shared" ref="CZ214" si="3444">CZ213/CS213-1</f>
        <v>5.0582010582010506E-2</v>
      </c>
      <c r="DA214" s="198">
        <f t="shared" ref="DA214" si="3445">DA213/CT213-1</f>
        <v>7.5324675324675239E-2</v>
      </c>
      <c r="DB214" s="198">
        <f t="shared" ref="DB214" si="3446">DB213/CU213-1</f>
        <v>-1.258680555555558E-2</v>
      </c>
      <c r="DC214" s="198">
        <f t="shared" ref="DC214" si="3447">DC213/CV213-1</f>
        <v>3.6276002029426602E-2</v>
      </c>
      <c r="DE214" s="197" t="str">
        <f t="shared" si="1226"/>
        <v>YoY Change (%)</v>
      </c>
      <c r="DF214" s="198">
        <f>DF213/CY213-1</f>
        <v>-2.857142857142847E-2</v>
      </c>
      <c r="DG214" s="198">
        <f t="shared" ref="DG214" si="3448">DG213/CZ213-1</f>
        <v>-3.6022323693556624E-2</v>
      </c>
      <c r="DH214" s="198">
        <f t="shared" ref="DH214" si="3449">DH213/DA213-1</f>
        <v>2.7229532163742576E-2</v>
      </c>
      <c r="DI214" s="198">
        <f t="shared" ref="DI214" si="3450">DI213/DB213-1</f>
        <v>-8.1632653061214366E-4</v>
      </c>
      <c r="DJ214" s="198">
        <f t="shared" ref="DJ214" si="3451">DJ213/DC213-1</f>
        <v>-9.4771813254065362E-3</v>
      </c>
      <c r="DL214" s="197" t="str">
        <f t="shared" si="1227"/>
        <v>YoY Change (%)</v>
      </c>
      <c r="DM214" s="198">
        <f>DM213/DF213-1</f>
        <v>7.6923076923076872E-2</v>
      </c>
      <c r="DN214" s="198">
        <f t="shared" ref="DN214" si="3452">DN213/DG213-1</f>
        <v>9.5811712379540337E-2</v>
      </c>
      <c r="DO214" s="198">
        <f t="shared" ref="DO214" si="3453">DO213/DH213-1</f>
        <v>7.0841487279843296E-2</v>
      </c>
      <c r="DP214" s="198">
        <f t="shared" ref="DP214" si="3454">DP213/DI213-1</f>
        <v>8.7406793703396879E-2</v>
      </c>
      <c r="DQ214" s="198">
        <f t="shared" ref="DQ214" si="3455">DQ213/DJ213-1</f>
        <v>8.2908432270150323E-2</v>
      </c>
      <c r="DS214" s="197" t="str">
        <f t="shared" si="1228"/>
        <v>YoY Change (%)</v>
      </c>
      <c r="DT214" s="198">
        <f>DT213/DM213-1</f>
        <v>-1.9114688128772706E-2</v>
      </c>
      <c r="DU214" s="198">
        <f t="shared" ref="DU214" si="3456">DU213/DN213-1</f>
        <v>-3.9258269295021631E-2</v>
      </c>
      <c r="DV214" s="198">
        <f t="shared" ref="DV214" si="3457">DV213/DO213-1</f>
        <v>-3.9930555555555469E-2</v>
      </c>
      <c r="DW214" s="198">
        <f t="shared" ref="DW214" si="3458">DW213/DP213-1</f>
        <v>-9.8955823293172762E-2</v>
      </c>
      <c r="DX214" s="198">
        <f t="shared" ref="DX214" si="3459">DX213/DQ213-1</f>
        <v>-5.0872981230903669E-2</v>
      </c>
      <c r="DZ214" s="197" t="str">
        <f t="shared" si="1229"/>
        <v>YoY Change (%)</v>
      </c>
      <c r="EA214" s="198">
        <f>EA213/DT213-1</f>
        <v>-1.5466666666666629E-2</v>
      </c>
      <c r="EB214" s="198">
        <f t="shared" ref="EB214" si="3460">EB213/DU213-1</f>
        <v>7.0952178231875607E-4</v>
      </c>
      <c r="EC214" s="198">
        <f t="shared" ref="EC214" si="3461">EC213/DV213-1</f>
        <v>0.16609129267357114</v>
      </c>
      <c r="ED214" s="198">
        <f t="shared" ref="ED214" si="3462">ED213/DW213-1</f>
        <v>0.20314414046549634</v>
      </c>
      <c r="EE214" s="198">
        <f t="shared" ref="EE214" si="3463">EE213/DX213-1</f>
        <v>7.9244454206018222E-2</v>
      </c>
      <c r="EG214" s="197" t="str">
        <f t="shared" si="1230"/>
        <v>YoY Change (%)</v>
      </c>
      <c r="EH214" s="198">
        <f>EH213/EA213-1</f>
        <v>2.2395326192794496E-2</v>
      </c>
      <c r="EI214" s="198">
        <f t="shared" ref="EI214" si="3464">EI213/EB213-1</f>
        <v>0.14132379248658311</v>
      </c>
      <c r="EJ214" s="198">
        <f t="shared" ref="EJ214" si="3465">EJ213/EC213-1</f>
        <v>2.1671826625387025E-2</v>
      </c>
      <c r="EK214" s="198">
        <f t="shared" ref="EK214" si="3466">EK213/ED213-1</f>
        <v>8.3836351441983759E-3</v>
      </c>
      <c r="EL214" s="198">
        <f t="shared" ref="EL214" si="3467">EL213/EE213-1</f>
        <v>5.5471169589489389E-2</v>
      </c>
      <c r="EN214" s="197" t="str">
        <f t="shared" si="1231"/>
        <v>YoY Change (%)</v>
      </c>
      <c r="EO214" s="198">
        <f>EO213/EH213-1</f>
        <v>8.5164835164835306E-2</v>
      </c>
      <c r="EP214" s="198">
        <f t="shared" ref="EP214" si="3468">EP213/EI213-1</f>
        <v>5.5669050051072588E-2</v>
      </c>
      <c r="EQ214" s="198">
        <f t="shared" ref="EQ214" si="3469">EQ213/EJ213-1</f>
        <v>1.1904761904761862E-2</v>
      </c>
      <c r="ER214" s="198">
        <f t="shared" ref="ER214" si="3470">ER213/EK213-1</f>
        <v>5.2329374918439475E-2</v>
      </c>
      <c r="ES214" s="198">
        <f t="shared" ref="ES214" si="3471">ES213/EL213-1</f>
        <v>4.8314331539817124E-2</v>
      </c>
      <c r="EU214" s="197" t="str">
        <f t="shared" si="1232"/>
        <v>YoY Change (%)</v>
      </c>
      <c r="EV214" s="198">
        <f>EV213/EO213-1</f>
        <v>5.9259259259259345E-2</v>
      </c>
      <c r="EW214" s="198">
        <f t="shared" ref="EW214" si="3472">EW213/EP213-1</f>
        <v>4.1941350306887948E-2</v>
      </c>
      <c r="EX214" s="198">
        <f t="shared" ref="EX214" si="3473">EX213/EQ213-1</f>
        <v>5.7777777777777928E-2</v>
      </c>
      <c r="EY214" s="198">
        <f t="shared" ref="EY214" si="3474">EY213/ER213-1</f>
        <v>1.1965090090090058E-2</v>
      </c>
      <c r="EZ214" s="198">
        <f t="shared" ref="EZ214" si="3475">EZ213/ES213-1</f>
        <v>4.3532846040682749E-2</v>
      </c>
      <c r="FB214" s="197" t="str">
        <f t="shared" si="1233"/>
        <v>YoY Change (%)</v>
      </c>
      <c r="FC214" s="198">
        <f>FC213/EV213-1</f>
        <v>4.1322314049586639E-2</v>
      </c>
      <c r="FD214" s="198">
        <f t="shared" ref="FD214" si="3476">FD213/EW213-1</f>
        <v>7.2815533980581382E-3</v>
      </c>
      <c r="FE214" s="198">
        <f t="shared" ref="FE214" si="3477">FE213/EX213-1</f>
        <v>-4.9610205527994555E-3</v>
      </c>
      <c r="FF214" s="198">
        <f t="shared" ref="FF214" si="3478">FF213/EY213-1</f>
        <v>1.9056892474613951E-2</v>
      </c>
      <c r="FG214" s="198">
        <f t="shared" ref="FG214" si="3479">FG213/EZ213-1</f>
        <v>1.51898734177216E-2</v>
      </c>
      <c r="FI214" s="197" t="str">
        <f t="shared" si="1234"/>
        <v>YoY Change (%)</v>
      </c>
      <c r="FJ214" s="198">
        <f>FJ213/FC213-1</f>
        <v>-1.7857142857142905E-2</v>
      </c>
      <c r="FK214" s="198">
        <f t="shared" ref="FK214" si="3480">FK213/FD213-1</f>
        <v>-6.8965517241378338E-3</v>
      </c>
      <c r="FL214" s="198">
        <f t="shared" ref="FL214" si="3481">FL213/FE213-1</f>
        <v>4.6380090497737392E-3</v>
      </c>
      <c r="FM214" s="198">
        <f t="shared" ref="FM214" si="3482">FM213/FF213-1</f>
        <v>-2.525252525252486E-3</v>
      </c>
      <c r="FN214" s="198">
        <f t="shared" ref="FN214" si="3483">FN213/FG213-1</f>
        <v>-5.610972568578565E-3</v>
      </c>
      <c r="FP214" s="197" t="str">
        <f t="shared" si="1235"/>
        <v>YoY Change (%)</v>
      </c>
      <c r="FQ214" s="198">
        <f>FQ213/FJ213-1</f>
        <v>1.276595744680864E-2</v>
      </c>
      <c r="FR214" s="198">
        <f t="shared" ref="FR214" si="3484">FR213/FK213-1</f>
        <v>5.9941520467836185E-2</v>
      </c>
      <c r="FS214" s="198">
        <f t="shared" ref="FS214" si="3485">FS213/FL213-1</f>
        <v>7.8701426463354762E-2</v>
      </c>
      <c r="FT214" s="198">
        <f t="shared" ref="FT214" si="3486">FT213/FM213-1</f>
        <v>0.14999999999999991</v>
      </c>
      <c r="FU214" s="198">
        <f t="shared" ref="FU214" si="3487">FU213/FN213-1</f>
        <v>7.5789473684210407E-2</v>
      </c>
      <c r="FW214" s="197" t="str">
        <f t="shared" si="1236"/>
        <v>YoY Change (%)</v>
      </c>
      <c r="FX214" s="198">
        <f>FX213/FQ213-1</f>
        <v>0.17213336947682301</v>
      </c>
      <c r="FY214" s="198">
        <f t="shared" ref="FY214" si="3488">FY213/FR213-1</f>
        <v>0.15652173913043477</v>
      </c>
      <c r="FZ214" s="198">
        <f t="shared" ref="FZ214" si="3489">FZ213/FS213-1</f>
        <v>0.18833685694150804</v>
      </c>
      <c r="GA214" s="198">
        <f t="shared" ref="GA214" si="3490">GA213/FT213-1</f>
        <v>0.18577075098814233</v>
      </c>
      <c r="GB214" s="198">
        <f t="shared" ref="GB214" si="3491">GB213/FU213-1</f>
        <v>0.17416829745596885</v>
      </c>
      <c r="GD214" s="197" t="str">
        <f t="shared" si="1237"/>
        <v>YoY Change (%)</v>
      </c>
      <c r="GE214" s="198">
        <f>GE213/FX213-1</f>
        <v>0.17576318223866783</v>
      </c>
      <c r="GF214" s="198">
        <f t="shared" ref="GF214" si="3492">GF213/FY213-1</f>
        <v>0.19669172932330836</v>
      </c>
      <c r="GG214" s="198">
        <f t="shared" ref="GG214" si="3493">GG213/FZ213-1</f>
        <v>0.19857607181550851</v>
      </c>
      <c r="GH214" s="198">
        <f t="shared" ref="GH214" si="3494">GH213/GA213-1</f>
        <v>0.11746031746031749</v>
      </c>
      <c r="GI214" s="198">
        <f t="shared" ref="GI214" si="3495">GI213/GB213-1</f>
        <v>0.17097069597069603</v>
      </c>
      <c r="GK214" s="197" t="str">
        <f t="shared" si="1238"/>
        <v>YoY Change (%)</v>
      </c>
      <c r="GL214" s="198">
        <f>GL213/GE213-1</f>
        <v>8.4710201940729091E-2</v>
      </c>
      <c r="GM214" s="198">
        <f t="shared" ref="GM214" si="3496">GM213/GF213-1</f>
        <v>6.3214856721190538E-2</v>
      </c>
      <c r="GN214" s="198">
        <f t="shared" ref="GN214" si="3497">GN213/GG213-1</f>
        <v>0.42913687436159353</v>
      </c>
      <c r="GO214" s="198">
        <f t="shared" ref="GO214" si="3498">GO213/GH213-1</f>
        <v>8.3227848101265822E-2</v>
      </c>
      <c r="GP214" s="198">
        <f t="shared" ref="GP214" si="3499">GP213/GI213-1</f>
        <v>0.16856622648222164</v>
      </c>
      <c r="GR214" s="197" t="str">
        <f t="shared" si="1239"/>
        <v>YoY Change (%)</v>
      </c>
      <c r="GS214" s="198">
        <f>GS213/GL213-1</f>
        <v>0.13148468379446632</v>
      </c>
      <c r="GT214" s="198">
        <f t="shared" ref="GT214" si="3500">GT213/GM213-1</f>
        <v>0.13518772893772879</v>
      </c>
      <c r="GU214" s="198">
        <f t="shared" ref="GU214" si="3501">GU213/GN213-1</f>
        <v>-0.15451572993990814</v>
      </c>
      <c r="GV214" s="198">
        <f t="shared" ref="GV214" si="3502">GV213/GO213-1</f>
        <v>9.6867936712948133E-2</v>
      </c>
      <c r="GW214" s="198">
        <f t="shared" ref="GW214" si="3503">GW213/GP213-1</f>
        <v>3.2811176149706522E-2</v>
      </c>
      <c r="GY214" s="197" t="str">
        <f t="shared" si="1240"/>
        <v>YoY Change (%)</v>
      </c>
      <c r="GZ214" s="198">
        <f>GZ213/GS213-1</f>
        <v>-5.6260575296108284E-2</v>
      </c>
      <c r="HA214" s="198">
        <f t="shared" ref="HA214" si="3504">HA213/GT213-1</f>
        <v>-0.1203791469194313</v>
      </c>
      <c r="HB214" s="198">
        <f t="shared" ref="HB214" si="3505">HB213/GU213-1</f>
        <v>-0.13640591966173365</v>
      </c>
      <c r="HC214" s="198">
        <f t="shared" ref="HC214" si="3506">HC213/GV213-1</f>
        <v>-0.11627906976744184</v>
      </c>
      <c r="HD214" s="198">
        <f t="shared" ref="HD214" si="3507">HD213/GW213-1</f>
        <v>-0.10596409574468091</v>
      </c>
      <c r="HF214" s="197" t="str">
        <f t="shared" si="1241"/>
        <v>YoY Change (%)</v>
      </c>
      <c r="HG214" s="198">
        <f>HG213/GZ213-1</f>
        <v>3.8364035828967413E-2</v>
      </c>
      <c r="HH214" s="198">
        <f t="shared" ref="HH214" si="3508">HH213/HA213-1</f>
        <v>0.11405835543766574</v>
      </c>
      <c r="HI214" s="198">
        <f t="shared" ref="HI214" si="3509">HI213/HB213-1</f>
        <v>8.6612928718192039E-2</v>
      </c>
      <c r="HJ214" s="198">
        <f t="shared" ref="HJ214" si="3510">HJ213/HC213-1</f>
        <v>5.8333333333333348E-2</v>
      </c>
      <c r="HK214" s="198">
        <f t="shared" ref="HK214" si="3511">HK213/HD213-1</f>
        <v>7.2640448858772411E-2</v>
      </c>
      <c r="HM214" s="197" t="str">
        <f t="shared" si="1242"/>
        <v>YoY Change (%)</v>
      </c>
      <c r="HN214" s="198">
        <f>HN213/HG213-1</f>
        <v>5.2705223880596952E-2</v>
      </c>
      <c r="HO214" s="198">
        <f t="shared" ref="HO214" si="3512">HO213/HH213-1</f>
        <v>7.8781512605041959E-2</v>
      </c>
      <c r="HP214" s="198">
        <f t="shared" ref="HP214" si="3513">HP213/HI213-1</f>
        <v>7.0909090909090811E-2</v>
      </c>
      <c r="HQ214" s="198">
        <f t="shared" ref="HQ214" si="3514">HQ213/HJ213-1</f>
        <v>0.12204724409448819</v>
      </c>
      <c r="HR214" s="198">
        <f t="shared" ref="HR214" si="3515">HR213/HK213-1</f>
        <v>8.0979680696661838E-2</v>
      </c>
      <c r="HT214" s="197" t="str">
        <f t="shared" si="1243"/>
        <v>YoY Change (%)</v>
      </c>
      <c r="HU214" s="198">
        <f>HU213/HN213-1</f>
        <v>7.5168918918918859E-2</v>
      </c>
      <c r="HV214" s="198">
        <f t="shared" ref="HV214" si="3516">HV213/HO213-1</f>
        <v>4.7043264689212272E-2</v>
      </c>
      <c r="HW214" s="198">
        <f t="shared" ref="HW214" si="3517">HW213/HP213-1</f>
        <v>3.125E-2</v>
      </c>
      <c r="HX214" s="198">
        <f t="shared" ref="HX214" si="3518">HX213/HQ213-1</f>
        <v>2.4561403508771784E-2</v>
      </c>
      <c r="HY214" s="198">
        <f t="shared" ref="HY214" si="3519">HY213/HR213-1</f>
        <v>4.3766553569988709E-2</v>
      </c>
      <c r="IA214" s="197" t="str">
        <f t="shared" si="1244"/>
        <v>YoY Change (%)</v>
      </c>
      <c r="IB214" s="198">
        <f>IB213/HU213-1</f>
        <v>-6.7476383265857587E-3</v>
      </c>
      <c r="IC214" s="198">
        <f t="shared" ref="IC214" si="3520">IC213/HV213-1</f>
        <v>-1.0251856635453582E-2</v>
      </c>
      <c r="ID214" s="198">
        <f t="shared" ref="ID214" si="3521">ID213/HW213-1</f>
        <v>-2.4516129032258083E-2</v>
      </c>
      <c r="IE214" s="198">
        <f t="shared" ref="IE214" si="3522">IE213/HX213-1</f>
        <v>-1.3698630136986134E-2</v>
      </c>
      <c r="IF214" s="198">
        <f t="shared" ref="IF214" si="3523">IF213/HY213-1</f>
        <v>-1.3490304003261788E-2</v>
      </c>
      <c r="IH214" s="197" t="str">
        <f t="shared" si="1245"/>
        <v>YoY Change (%)</v>
      </c>
      <c r="II214" s="198">
        <f>II213/IB213-1</f>
        <v>3.2608695652173836E-2</v>
      </c>
      <c r="IJ214" s="198">
        <f t="shared" ref="IJ214" si="3524">IJ213/IC213-1</f>
        <v>2.6317442371710298E-2</v>
      </c>
      <c r="IK214" s="198">
        <f t="shared" ref="IK214" si="3525">IK213/ID213-1</f>
        <v>8.9825457641549589E-2</v>
      </c>
      <c r="IL214" s="198">
        <f t="shared" ref="IL214" si="3526">IL213/IE213-1</f>
        <v>2.8481012658227778E-2</v>
      </c>
      <c r="IM214" s="198">
        <f t="shared" ref="IM214" si="3527">IM213/IF213-1</f>
        <v>4.5153027715749472E-2</v>
      </c>
      <c r="IO214" s="197" t="str">
        <f t="shared" si="1246"/>
        <v>YoY Change (%)</v>
      </c>
      <c r="IP214" s="198">
        <f>IP213/II213-1</f>
        <v>2.6315789473684292E-2</v>
      </c>
      <c r="IQ214" s="198">
        <f t="shared" ref="IQ214" si="3528">IQ213/IJ213-1</f>
        <v>-1.8604651162790198E-3</v>
      </c>
      <c r="IR214" s="198">
        <f t="shared" ref="IR214" si="3529">IR213/IK213-1</f>
        <v>2.4925595238095122E-2</v>
      </c>
      <c r="IS214" s="198">
        <f t="shared" ref="IS214" si="3530">IS213/IL213-1</f>
        <v>4.7100591715976359E-2</v>
      </c>
      <c r="IT214" s="198">
        <f t="shared" ref="IT214" si="3531">IT213/IM213-1</f>
        <v>2.2635204430466294E-2</v>
      </c>
      <c r="IV214" s="197" t="str">
        <f t="shared" si="1247"/>
        <v>YoY Change (%)</v>
      </c>
      <c r="IW214" s="198">
        <f>IW213/IP213-1</f>
        <v>6.4516129032258007E-2</v>
      </c>
      <c r="IX214" s="198">
        <f t="shared" ref="IX214" si="3532">IX213/IQ213-1</f>
        <v>6.2047963456413946E-2</v>
      </c>
      <c r="IY214" s="198">
        <f t="shared" ref="IY214" si="3533">IY213/IR213-1</f>
        <v>8.2706766917293395E-2</v>
      </c>
      <c r="IZ214" s="198">
        <f t="shared" ref="IZ214" si="3534">IZ213/IS213-1</f>
        <v>0.11096938775510212</v>
      </c>
      <c r="JA214" s="198">
        <f t="shared" ref="JA214" si="3535">JA213/IT213-1</f>
        <v>8.0959660562193836E-2</v>
      </c>
      <c r="JC214" s="197" t="str">
        <f t="shared" si="1248"/>
        <v>YoY Change (%)</v>
      </c>
      <c r="JD214" s="198">
        <f>JD213/IW213-1</f>
        <v>1.9913419913419883E-2</v>
      </c>
      <c r="JE214" s="198">
        <f t="shared" ref="JE214" si="3536">JE213/IX213-1</f>
        <v>1.412293371850426E-2</v>
      </c>
      <c r="JF214" s="198">
        <f t="shared" ref="JF214" si="3537">JF213/IY213-1</f>
        <v>-2.6562500000000044E-2</v>
      </c>
      <c r="JG214" s="198">
        <f t="shared" ref="JG214" si="3538">JG213/IZ213-1</f>
        <v>-5.8796924468567102E-3</v>
      </c>
      <c r="JH214" s="198">
        <f t="shared" ref="JH214" si="3539">JH213/JA213-1</f>
        <v>-2.1025443989072246E-3</v>
      </c>
      <c r="JJ214" s="197" t="str">
        <f t="shared" si="1249"/>
        <v>YoY Change (%)</v>
      </c>
      <c r="JK214" s="198">
        <f>JK213/JD213-1</f>
        <v>7.0723684210526327E-2</v>
      </c>
      <c r="JL214" s="198">
        <f t="shared" ref="JL214" si="3540">JL213/JE213-1</f>
        <v>8.0117244748412197E-2</v>
      </c>
      <c r="JM214" s="198">
        <f t="shared" ref="JM214" si="3541">JM213/JF213-1</f>
        <v>6.8229929978830706E-2</v>
      </c>
      <c r="JN214" s="198">
        <f t="shared" ref="JN214" si="3542">JN213/JG213-1</f>
        <v>-2.9887310142087231E-2</v>
      </c>
      <c r="JO214" s="198">
        <f t="shared" ref="JO214" si="3543">JO213/JH213-1</f>
        <v>4.8817001507716951E-2</v>
      </c>
      <c r="JQ214" s="197" t="str">
        <f t="shared" si="1250"/>
        <v>YoY Change (%)</v>
      </c>
      <c r="JR214" s="198">
        <f>JR213/JK213-1</f>
        <v>1.6129032258064502E-2</v>
      </c>
      <c r="JS214" s="198">
        <f t="shared" ref="JS214" si="3544">JS213/JL213-1</f>
        <v>3.9923039923040138E-2</v>
      </c>
      <c r="JT214" s="198">
        <f t="shared" ref="JT214" si="3545">JT213/JM213-1</f>
        <v>9.7560975609756184E-3</v>
      </c>
      <c r="JU214" s="198">
        <f t="shared" ref="JU214" si="3546">JU213/JN213-1</f>
        <v>9.6230158730158832E-2</v>
      </c>
      <c r="JV214" s="198">
        <f t="shared" ref="JV214" si="3547">JV213/JO213-1</f>
        <v>3.8812450186668679E-2</v>
      </c>
      <c r="JX214" s="197" t="str">
        <f t="shared" si="1251"/>
        <v>YoY Change (%)</v>
      </c>
      <c r="JY214" s="198">
        <f>JY213/JR213-1</f>
        <v>5.7648266603491649E-3</v>
      </c>
      <c r="JZ214" s="198">
        <f t="shared" ref="JZ214" si="3548">JZ213/JS213-1</f>
        <v>-8.6436170212765839E-3</v>
      </c>
      <c r="KA214" s="198">
        <f t="shared" ref="KA214" si="3549">KA213/JT213-1</f>
        <v>-8.6206896551724199E-2</v>
      </c>
      <c r="KB214" s="198">
        <f t="shared" ref="KB214" si="3550">KB213/JU213-1</f>
        <v>-0.12655971479500894</v>
      </c>
      <c r="KC214" s="198">
        <f t="shared" ref="KC214" si="3551">KC213/JV213-1</f>
        <v>-5.6039878649809749E-2</v>
      </c>
      <c r="KE214" s="197" t="str">
        <f t="shared" si="1252"/>
        <v>YoY Change (%)</v>
      </c>
      <c r="KF214" s="198">
        <f>KF213/JY213-1</f>
        <v>-7.9071829736919841E-2</v>
      </c>
      <c r="KG214" s="198">
        <f t="shared" ref="KG214" si="3552">KG213/JZ213-1</f>
        <v>-2.8764134100376815E-2</v>
      </c>
      <c r="KH214" s="198">
        <f t="shared" ref="KH214" si="3553">KH213/KA213-1</f>
        <v>7.3495058400719016E-2</v>
      </c>
      <c r="KI214" s="198">
        <f t="shared" ref="KI214" si="3554">KI213/KB213-1</f>
        <v>0.10924369747899165</v>
      </c>
      <c r="KJ214" s="198">
        <f t="shared" ref="KJ214" si="3555">KJ213/KC213-1</f>
        <v>1.7483620804920275E-2</v>
      </c>
      <c r="KL214" s="197" t="str">
        <f t="shared" si="1253"/>
        <v>YoY Change (%)</v>
      </c>
      <c r="KM214" s="198">
        <f>KM213/KF213-1</f>
        <v>9.1234929944607357E-2</v>
      </c>
      <c r="KN214" s="198">
        <f t="shared" ref="KN214" si="3556">KN213/KG213-1</f>
        <v>8.951406649616378E-2</v>
      </c>
      <c r="KO214" s="198">
        <f t="shared" ref="KO214" si="3557">KO213/KH213-1</f>
        <v>7.0134763077814632E-2</v>
      </c>
      <c r="KP214" s="198">
        <f t="shared" ref="KP214" si="3558">KP213/KI213-1</f>
        <v>6.7076923076923034E-2</v>
      </c>
      <c r="KQ214" s="198">
        <f t="shared" ref="KQ214" si="3559">KQ213/KJ213-1</f>
        <v>7.91598441646435E-2</v>
      </c>
      <c r="KS214" s="197" t="str">
        <f t="shared" si="1254"/>
        <v>YoY Change (%)</v>
      </c>
      <c r="KT214" s="198">
        <f>KT213/KM213-1</f>
        <v>9.6863917669146815E-2</v>
      </c>
      <c r="KU214" s="198">
        <f t="shared" ref="KU214" si="3560">KU213/KN213-1</f>
        <v>3.603603603603589E-2</v>
      </c>
      <c r="KV214" s="198">
        <f t="shared" ref="KV214" si="3561">KV213/KO213-1</f>
        <v>2.064996614759651E-2</v>
      </c>
      <c r="KW214" s="198">
        <f t="shared" ref="KW214" si="3562">KW213/KP213-1</f>
        <v>1.2949956101843574E-2</v>
      </c>
      <c r="KX214" s="198">
        <f t="shared" ref="KX214" si="3563">KX213/KQ213-1</f>
        <v>4.1194631557460504E-2</v>
      </c>
      <c r="KZ214" s="197" t="str">
        <f t="shared" si="1255"/>
        <v>YoY Change (%)</v>
      </c>
      <c r="LA214" s="198">
        <f>LA213/KT213-1</f>
        <v>9.6234309623430825E-2</v>
      </c>
      <c r="LB214" s="198">
        <f>LB213/KU213-1</f>
        <v>4.2892156862745168E-2</v>
      </c>
      <c r="LC214" s="198">
        <f>LC213/KV213-1</f>
        <v>1.1111111111111072E-2</v>
      </c>
      <c r="LD214" s="198">
        <f t="shared" ref="LD214" si="3564">LD213/KW213-1</f>
        <v>3.5770176615248506E-3</v>
      </c>
      <c r="LE214" s="199">
        <f t="shared" ref="LE214" si="3565">LE213/KX213-1</f>
        <v>4.1211608261853439E-2</v>
      </c>
      <c r="LF214" s="567"/>
      <c r="LG214" s="197" t="str">
        <f t="shared" si="1256"/>
        <v>YoY Change (%)</v>
      </c>
      <c r="LH214" s="198">
        <f>LH213/LA213-1</f>
        <v>-0.10411039342337047</v>
      </c>
      <c r="LI214" s="198">
        <f>LI213/LB213-1</f>
        <v>-5.3913043478260869E-2</v>
      </c>
      <c r="LJ214" s="198">
        <f>LJ213/LC213-1</f>
        <v>2.8702640642939148E-2</v>
      </c>
      <c r="LK214" s="198">
        <f>LK213/LD213-1</f>
        <v>5.4726368159203842E-2</v>
      </c>
      <c r="LL214" s="199">
        <f t="shared" ref="LL214" si="3566">LL213/LE213-1</f>
        <v>-2.45974074927231E-2</v>
      </c>
      <c r="LM214" s="567"/>
      <c r="LN214" s="197" t="str">
        <f t="shared" si="1257"/>
        <v>YoY Change (%)</v>
      </c>
      <c r="LO214" s="222">
        <v>3.7499999999999999E-2</v>
      </c>
      <c r="LP214" s="222">
        <v>3.7499999999999999E-2</v>
      </c>
      <c r="LQ214" s="222">
        <v>3.2500000000000001E-2</v>
      </c>
      <c r="LR214" s="222">
        <v>2.75E-2</v>
      </c>
      <c r="LS214" s="199">
        <f t="shared" ref="LS214" si="3567">LS213/LL213-1</f>
        <v>3.387778031081945E-2</v>
      </c>
      <c r="LT214" s="567"/>
      <c r="LU214" s="197" t="str">
        <f t="shared" si="1261"/>
        <v>YoY Change (%)</v>
      </c>
      <c r="LV214" s="222">
        <v>2.75E-2</v>
      </c>
      <c r="LW214" s="222">
        <v>2.75E-2</v>
      </c>
      <c r="LX214" s="222">
        <v>2.75E-2</v>
      </c>
      <c r="LY214" s="222">
        <v>2.75E-2</v>
      </c>
      <c r="LZ214" s="199">
        <f t="shared" ref="LZ214" si="3568">LZ213/LS213-1</f>
        <v>2.7500000000000302E-2</v>
      </c>
      <c r="MA214" s="567"/>
      <c r="MB214" s="197" t="str">
        <f t="shared" si="1265"/>
        <v>YoY Change (%)</v>
      </c>
      <c r="MC214" s="222">
        <v>2.5000000000000001E-2</v>
      </c>
      <c r="MD214" s="222">
        <v>2.5000000000000001E-2</v>
      </c>
      <c r="ME214" s="222">
        <v>2.5000000000000001E-2</v>
      </c>
      <c r="MF214" s="222">
        <v>2.5000000000000001E-2</v>
      </c>
      <c r="MG214" s="199">
        <f t="shared" ref="MG214" si="3569">MG213/LZ213-1</f>
        <v>2.4999999999999689E-2</v>
      </c>
      <c r="MH214" s="567"/>
    </row>
    <row r="215" spans="1:346" s="37" customFormat="1" ht="13.15" x14ac:dyDescent="0.4">
      <c r="A215" s="100"/>
      <c r="C215" s="186"/>
      <c r="D215" s="186"/>
      <c r="E215" s="186"/>
      <c r="F215" s="186"/>
      <c r="G215" s="186"/>
      <c r="H215" s="186"/>
      <c r="I215" s="186"/>
      <c r="J215" s="186"/>
      <c r="K215" s="186"/>
      <c r="L215" s="186"/>
      <c r="M215" s="186"/>
      <c r="N215" s="193"/>
      <c r="O215" s="193"/>
      <c r="P215" s="193"/>
      <c r="Q215" s="193"/>
      <c r="R215" s="193"/>
      <c r="S215" s="193"/>
      <c r="T215" s="193"/>
      <c r="U215" s="193"/>
      <c r="V215" s="193"/>
      <c r="W215" s="193"/>
      <c r="X215" s="193"/>
      <c r="Y215" s="193"/>
      <c r="Z215" s="193"/>
      <c r="AA215" s="193"/>
      <c r="AB215" s="193"/>
      <c r="AC215" s="193"/>
      <c r="AD215" s="193"/>
      <c r="AE215" s="193"/>
      <c r="AF215" s="193"/>
      <c r="AG215" s="193"/>
      <c r="AH215" s="193"/>
      <c r="AI215" s="193"/>
      <c r="AJ215" s="193"/>
      <c r="AK215" s="193"/>
      <c r="AL215" s="193"/>
      <c r="AM215" s="193"/>
      <c r="AN215" s="193"/>
      <c r="AO215" s="193"/>
      <c r="AP215" s="193"/>
      <c r="AQ215" s="193"/>
      <c r="AR215" s="193"/>
      <c r="AS215" s="193"/>
      <c r="AT215" s="193"/>
      <c r="AU215" s="193"/>
      <c r="AV215" s="193"/>
      <c r="AW215" s="193"/>
      <c r="AX215" s="193"/>
      <c r="AY215" s="193"/>
      <c r="AZ215" s="193"/>
      <c r="BA215" s="193"/>
      <c r="BB215" s="193"/>
      <c r="BC215" s="193"/>
      <c r="BD215" s="193"/>
      <c r="BE215" s="193"/>
      <c r="BF215" s="193"/>
      <c r="BG215" s="193"/>
      <c r="BH215" s="193"/>
      <c r="BI215" s="193"/>
      <c r="BJ215" s="193"/>
      <c r="BK215" s="193"/>
      <c r="BL215" s="193"/>
      <c r="BM215" s="193"/>
      <c r="BP215" s="193"/>
      <c r="BQ215" s="193"/>
      <c r="BR215" s="193"/>
      <c r="BS215" s="193"/>
      <c r="BT215" s="193"/>
      <c r="BW215" s="193"/>
      <c r="BX215" s="193"/>
      <c r="BY215" s="193"/>
      <c r="BZ215" s="193"/>
      <c r="CA215" s="193"/>
      <c r="CD215" s="193"/>
      <c r="CE215" s="193"/>
      <c r="CF215" s="193"/>
      <c r="CG215" s="193"/>
      <c r="CH215" s="193"/>
      <c r="CK215" s="193"/>
      <c r="CL215" s="193"/>
      <c r="CM215" s="193"/>
      <c r="CN215" s="193"/>
      <c r="CO215" s="193"/>
      <c r="CR215" s="193"/>
      <c r="CS215" s="193"/>
      <c r="CT215" s="193"/>
      <c r="CU215" s="193"/>
      <c r="CV215" s="193"/>
      <c r="CY215" s="193"/>
      <c r="CZ215" s="193"/>
      <c r="DA215" s="193"/>
      <c r="DB215" s="193"/>
      <c r="DC215" s="193"/>
      <c r="DF215" s="193"/>
      <c r="DG215" s="193"/>
      <c r="DH215" s="193"/>
      <c r="DI215" s="193"/>
      <c r="DJ215" s="193"/>
      <c r="DM215" s="193"/>
      <c r="DN215" s="193"/>
      <c r="DO215" s="193"/>
      <c r="DP215" s="193"/>
      <c r="DQ215" s="193"/>
      <c r="DT215" s="193"/>
      <c r="DU215" s="193"/>
      <c r="DV215" s="193"/>
      <c r="DW215" s="193"/>
      <c r="DX215" s="193"/>
      <c r="EA215" s="193"/>
      <c r="EB215" s="193"/>
      <c r="EC215" s="193"/>
      <c r="ED215" s="193"/>
      <c r="EE215" s="193"/>
      <c r="EH215" s="193"/>
      <c r="EI215" s="193"/>
      <c r="EJ215" s="193"/>
      <c r="EK215" s="193"/>
      <c r="EL215" s="193"/>
      <c r="EO215" s="193"/>
      <c r="EP215" s="193"/>
      <c r="EQ215" s="193"/>
      <c r="ER215" s="193"/>
      <c r="ES215" s="193"/>
      <c r="EV215" s="193"/>
      <c r="EW215" s="193"/>
      <c r="EX215" s="193"/>
      <c r="EY215" s="193"/>
      <c r="EZ215" s="193"/>
      <c r="FC215" s="193"/>
      <c r="FD215" s="193"/>
      <c r="FE215" s="193"/>
      <c r="FF215" s="193"/>
      <c r="FG215" s="193"/>
      <c r="FJ215" s="193"/>
      <c r="FK215" s="193"/>
      <c r="FL215" s="193"/>
      <c r="FM215" s="193"/>
      <c r="FN215" s="193"/>
      <c r="FQ215" s="193"/>
      <c r="FR215" s="193"/>
      <c r="FS215" s="193"/>
      <c r="FT215" s="193"/>
      <c r="FU215" s="193"/>
      <c r="FX215" s="193"/>
      <c r="FY215" s="193"/>
      <c r="FZ215" s="193"/>
      <c r="GA215" s="193"/>
      <c r="GB215" s="193"/>
      <c r="GE215" s="193"/>
      <c r="GF215" s="193"/>
      <c r="GG215" s="193"/>
      <c r="GH215" s="193"/>
      <c r="GI215" s="193"/>
      <c r="GL215" s="193"/>
      <c r="GM215" s="193"/>
      <c r="GN215" s="193"/>
      <c r="GO215" s="193"/>
      <c r="GP215" s="193"/>
      <c r="GS215" s="193"/>
      <c r="GT215" s="193"/>
      <c r="GU215" s="193"/>
      <c r="GV215" s="193"/>
      <c r="GW215" s="193"/>
      <c r="GZ215" s="193"/>
      <c r="HA215" s="193"/>
      <c r="HB215" s="193"/>
      <c r="HC215" s="193"/>
      <c r="HD215" s="193"/>
      <c r="HG215" s="193"/>
      <c r="HH215" s="193"/>
      <c r="HI215" s="193"/>
      <c r="HJ215" s="193"/>
      <c r="HK215" s="193"/>
      <c r="HN215" s="193"/>
      <c r="HO215" s="193"/>
      <c r="HP215" s="193"/>
      <c r="HQ215" s="193"/>
      <c r="HR215" s="193"/>
      <c r="HU215" s="193"/>
      <c r="HV215" s="193"/>
      <c r="HW215" s="193"/>
      <c r="HX215" s="193"/>
      <c r="HY215" s="193"/>
      <c r="IB215" s="193"/>
      <c r="IC215" s="193"/>
      <c r="ID215" s="193"/>
      <c r="IE215" s="193"/>
      <c r="IF215" s="193"/>
      <c r="II215" s="193"/>
      <c r="IJ215" s="193"/>
      <c r="IK215" s="193"/>
      <c r="IL215" s="193"/>
      <c r="IM215" s="193"/>
      <c r="IP215" s="193"/>
      <c r="IQ215" s="193"/>
      <c r="IR215" s="193"/>
      <c r="IS215" s="193"/>
      <c r="IT215" s="193"/>
      <c r="IW215" s="193"/>
      <c r="IX215" s="193"/>
      <c r="IY215" s="193"/>
      <c r="IZ215" s="193"/>
      <c r="JA215" s="193"/>
      <c r="JD215" s="193"/>
      <c r="JE215" s="193"/>
      <c r="JF215" s="193"/>
      <c r="JG215" s="193"/>
      <c r="JH215" s="193"/>
      <c r="JK215" s="193"/>
      <c r="JL215" s="193"/>
      <c r="JM215" s="193"/>
      <c r="JN215" s="193"/>
      <c r="JO215" s="193"/>
      <c r="JR215" s="193"/>
      <c r="JS215" s="193"/>
      <c r="JT215" s="193"/>
      <c r="JU215" s="193"/>
      <c r="JV215" s="193"/>
      <c r="JY215" s="193"/>
      <c r="JZ215" s="193"/>
      <c r="KA215" s="193"/>
      <c r="KB215" s="193"/>
      <c r="KC215" s="193"/>
      <c r="KF215" s="193"/>
      <c r="KG215" s="193"/>
      <c r="KH215" s="193"/>
      <c r="KI215" s="193"/>
      <c r="KJ215" s="193"/>
      <c r="KM215" s="193"/>
      <c r="KN215" s="193"/>
      <c r="KO215" s="193"/>
      <c r="KP215" s="193"/>
      <c r="KQ215" s="193"/>
      <c r="KT215" s="193"/>
      <c r="KU215" s="193"/>
      <c r="KV215" s="193"/>
      <c r="KW215" s="193"/>
      <c r="KX215" s="193"/>
      <c r="LA215" s="193"/>
      <c r="LB215" s="193"/>
      <c r="LC215" s="193"/>
      <c r="LD215" s="193"/>
      <c r="LE215" s="200"/>
      <c r="LF215" s="565"/>
      <c r="LH215" s="193"/>
      <c r="LI215" s="193"/>
      <c r="LJ215" s="193"/>
      <c r="LK215" s="193"/>
      <c r="LL215" s="200"/>
      <c r="LM215" s="565"/>
      <c r="LO215" s="200"/>
      <c r="LP215" s="200"/>
      <c r="LQ215" s="200"/>
      <c r="LR215" s="200"/>
      <c r="LS215" s="200"/>
      <c r="LT215" s="565"/>
      <c r="LV215" s="200"/>
      <c r="LW215" s="200"/>
      <c r="LX215" s="200"/>
      <c r="LY215" s="200"/>
      <c r="LZ215" s="200"/>
      <c r="MA215" s="565"/>
      <c r="MC215" s="200"/>
      <c r="MD215" s="200"/>
      <c r="ME215" s="200"/>
      <c r="MF215" s="200"/>
      <c r="MG215" s="200"/>
      <c r="MH215" s="565"/>
    </row>
    <row r="216" spans="1:346" s="68" customFormat="1" ht="12.75" x14ac:dyDescent="0.35">
      <c r="A216" s="140"/>
      <c r="B216" s="68" t="s">
        <v>523</v>
      </c>
      <c r="C216" s="190"/>
      <c r="D216" s="190"/>
      <c r="E216" s="190"/>
      <c r="F216" s="190"/>
      <c r="G216" s="190"/>
      <c r="H216" s="190"/>
      <c r="I216" s="190"/>
      <c r="J216" s="190"/>
      <c r="K216" s="190"/>
      <c r="L216" s="190"/>
      <c r="M216" s="190"/>
      <c r="N216" s="203">
        <f>(N213*N210)/1000</f>
        <v>236</v>
      </c>
      <c r="O216" s="203">
        <f>(O213*O210)/1000</f>
        <v>220.99999999999997</v>
      </c>
      <c r="P216" s="203">
        <f t="shared" ref="P216:AY216" si="3570">(P213*P210)/1000</f>
        <v>202</v>
      </c>
      <c r="Q216" s="203">
        <f t="shared" si="3570"/>
        <v>220</v>
      </c>
      <c r="R216" s="203">
        <f t="shared" si="3570"/>
        <v>243</v>
      </c>
      <c r="S216" s="203">
        <f t="shared" si="3570"/>
        <v>285</v>
      </c>
      <c r="T216" s="203">
        <f t="shared" si="3570"/>
        <v>291</v>
      </c>
      <c r="U216" s="203">
        <f t="shared" si="3570"/>
        <v>290</v>
      </c>
      <c r="V216" s="203">
        <f t="shared" si="3570"/>
        <v>314</v>
      </c>
      <c r="W216" s="203">
        <f t="shared" si="3570"/>
        <v>311</v>
      </c>
      <c r="X216" s="203">
        <f t="shared" si="3570"/>
        <v>368.99999999999994</v>
      </c>
      <c r="Y216" s="203">
        <f t="shared" si="3570"/>
        <v>407.00000000000006</v>
      </c>
      <c r="Z216" s="203">
        <f t="shared" si="3570"/>
        <v>395</v>
      </c>
      <c r="AA216" s="203">
        <f t="shared" si="3570"/>
        <v>401</v>
      </c>
      <c r="AB216" s="203">
        <f t="shared" si="3570"/>
        <v>435</v>
      </c>
      <c r="AC216" s="203">
        <f t="shared" si="3570"/>
        <v>511</v>
      </c>
      <c r="AD216" s="203">
        <f t="shared" si="3570"/>
        <v>570</v>
      </c>
      <c r="AE216" s="203">
        <f t="shared" si="3570"/>
        <v>673</v>
      </c>
      <c r="AF216" s="203">
        <f t="shared" si="3570"/>
        <v>767</v>
      </c>
      <c r="AG216" s="203">
        <f t="shared" si="3570"/>
        <v>752</v>
      </c>
      <c r="AH216" s="203">
        <f t="shared" si="3570"/>
        <v>399</v>
      </c>
      <c r="AI216" s="203">
        <f t="shared" si="3570"/>
        <v>520</v>
      </c>
      <c r="AJ216" s="203">
        <f t="shared" si="3570"/>
        <v>613</v>
      </c>
      <c r="AK216" s="203">
        <f t="shared" si="3570"/>
        <v>635.00000000000011</v>
      </c>
      <c r="AL216" s="203">
        <f t="shared" si="3570"/>
        <v>736</v>
      </c>
      <c r="AM216" s="203">
        <f t="shared" si="3570"/>
        <v>824.00000000000011</v>
      </c>
      <c r="AN216" s="203">
        <f t="shared" si="3570"/>
        <v>723</v>
      </c>
      <c r="AO216" s="203">
        <f t="shared" si="3570"/>
        <v>732.00000000000011</v>
      </c>
      <c r="AP216" s="203">
        <f t="shared" si="3570"/>
        <v>703</v>
      </c>
      <c r="AQ216" s="203">
        <f t="shared" si="3570"/>
        <v>769</v>
      </c>
      <c r="AR216" s="203">
        <f t="shared" si="3570"/>
        <v>741.99999999999989</v>
      </c>
      <c r="AS216" s="203">
        <f t="shared" si="3570"/>
        <v>675</v>
      </c>
      <c r="AT216" s="203">
        <f t="shared" si="3570"/>
        <v>796</v>
      </c>
      <c r="AU216" s="203">
        <f t="shared" si="3570"/>
        <v>828</v>
      </c>
      <c r="AV216" s="203">
        <f t="shared" si="3570"/>
        <v>916.99999999999989</v>
      </c>
      <c r="AW216" s="203">
        <f t="shared" si="3570"/>
        <v>901.00000000000011</v>
      </c>
      <c r="AX216" s="203">
        <f t="shared" si="3570"/>
        <v>868.99999999999989</v>
      </c>
      <c r="AY216" s="203">
        <f t="shared" si="3570"/>
        <v>912.6622625</v>
      </c>
      <c r="AZ216" s="203">
        <f t="shared" ref="AZ216:BA216" si="3571">(AZ213*AZ210)/1000</f>
        <v>961.20448658671876</v>
      </c>
      <c r="BA216" s="203">
        <f t="shared" si="3571"/>
        <v>1009.865463720171</v>
      </c>
      <c r="BB216" s="203"/>
      <c r="BC216" s="203"/>
      <c r="BD216" s="203"/>
      <c r="BE216" s="203"/>
      <c r="BF216" s="203"/>
      <c r="BG216" s="203"/>
      <c r="BH216" s="203"/>
      <c r="BI216" s="203"/>
      <c r="BJ216" s="203"/>
      <c r="BK216" s="203"/>
      <c r="BL216" s="203"/>
      <c r="BM216" s="203"/>
      <c r="BO216" s="68" t="str">
        <f t="shared" si="1220"/>
        <v>Metals and Equipment Revenue</v>
      </c>
      <c r="BP216" s="204">
        <f>(BP213*BP210)/1000</f>
        <v>57</v>
      </c>
      <c r="BQ216" s="204">
        <f t="shared" ref="BQ216:BS216" si="3572">(BQ213*BQ210)/1000</f>
        <v>63</v>
      </c>
      <c r="BR216" s="204">
        <f t="shared" si="3572"/>
        <v>60</v>
      </c>
      <c r="BS216" s="204">
        <f t="shared" si="3572"/>
        <v>56</v>
      </c>
      <c r="BT216" s="204">
        <f t="shared" ref="BT216" si="3573">(BT213*BT210)/1000</f>
        <v>236</v>
      </c>
      <c r="BV216" s="68" t="str">
        <f t="shared" si="1221"/>
        <v>Metals and Equipment Revenue</v>
      </c>
      <c r="BW216" s="204">
        <f>(BW213*BW210)/1000</f>
        <v>53</v>
      </c>
      <c r="BX216" s="204">
        <f t="shared" ref="BX216:CA216" si="3574">(BX213*BX210)/1000</f>
        <v>59</v>
      </c>
      <c r="BY216" s="204">
        <f t="shared" si="3574"/>
        <v>55</v>
      </c>
      <c r="BZ216" s="204">
        <f t="shared" si="3574"/>
        <v>54</v>
      </c>
      <c r="CA216" s="204">
        <f t="shared" si="3574"/>
        <v>220.99999999999997</v>
      </c>
      <c r="CC216" s="68" t="str">
        <f t="shared" si="1222"/>
        <v>Metals and Equipment Revenue</v>
      </c>
      <c r="CD216" s="204">
        <f>(CD213*CD210)/1000</f>
        <v>47.999999999999993</v>
      </c>
      <c r="CE216" s="204">
        <f t="shared" ref="CE216:CH216" si="3575">(CE213*CE210)/1000</f>
        <v>48</v>
      </c>
      <c r="CF216" s="204">
        <f t="shared" si="3575"/>
        <v>54</v>
      </c>
      <c r="CG216" s="204">
        <f t="shared" si="3575"/>
        <v>51.999999999999993</v>
      </c>
      <c r="CH216" s="204">
        <f t="shared" si="3575"/>
        <v>202</v>
      </c>
      <c r="CJ216" s="68" t="str">
        <f t="shared" si="1223"/>
        <v>Metals and Equipment Revenue</v>
      </c>
      <c r="CK216" s="204">
        <f>(CK213*CK210)/1000</f>
        <v>50</v>
      </c>
      <c r="CL216" s="204">
        <f t="shared" ref="CL216:CO216" si="3576">(CL213*CL210)/1000</f>
        <v>59</v>
      </c>
      <c r="CM216" s="204">
        <f t="shared" si="3576"/>
        <v>55</v>
      </c>
      <c r="CN216" s="204">
        <f t="shared" si="3576"/>
        <v>56</v>
      </c>
      <c r="CO216" s="204">
        <f t="shared" si="3576"/>
        <v>220</v>
      </c>
      <c r="CQ216" s="68" t="str">
        <f t="shared" si="1224"/>
        <v>Metals and Equipment Revenue</v>
      </c>
      <c r="CR216" s="204">
        <f>(CR213*CR210)/1000</f>
        <v>56</v>
      </c>
      <c r="CS216" s="204">
        <f t="shared" ref="CS216:CV216" si="3577">(CS213*CS210)/1000</f>
        <v>63</v>
      </c>
      <c r="CT216" s="204">
        <f t="shared" si="3577"/>
        <v>60</v>
      </c>
      <c r="CU216" s="204">
        <f t="shared" si="3577"/>
        <v>64</v>
      </c>
      <c r="CV216" s="204">
        <f t="shared" si="3577"/>
        <v>243</v>
      </c>
      <c r="CX216" s="68" t="str">
        <f t="shared" si="1225"/>
        <v>Metals and Equipment Revenue</v>
      </c>
      <c r="CY216" s="204">
        <f>(CY213*CY210)/1000</f>
        <v>69.999999999999986</v>
      </c>
      <c r="CZ216" s="204">
        <f t="shared" ref="CZ216:DC216" si="3578">(CZ213*CZ210)/1000</f>
        <v>73</v>
      </c>
      <c r="DA216" s="204">
        <f t="shared" si="3578"/>
        <v>72</v>
      </c>
      <c r="DB216" s="204">
        <f t="shared" si="3578"/>
        <v>70</v>
      </c>
      <c r="DC216" s="204">
        <f t="shared" si="3578"/>
        <v>285</v>
      </c>
      <c r="DE216" s="68" t="str">
        <f t="shared" si="1226"/>
        <v>Metals and Equipment Revenue</v>
      </c>
      <c r="DF216" s="204">
        <f>(DF213*DF210)/1000</f>
        <v>74</v>
      </c>
      <c r="DG216" s="204">
        <f t="shared" ref="DG216:DJ216" si="3579">(DG213*DG210)/1000</f>
        <v>76</v>
      </c>
      <c r="DH216" s="204">
        <f t="shared" si="3579"/>
        <v>73</v>
      </c>
      <c r="DI216" s="204">
        <f t="shared" si="3579"/>
        <v>68</v>
      </c>
      <c r="DJ216" s="204">
        <f t="shared" si="3579"/>
        <v>291</v>
      </c>
      <c r="DL216" s="68" t="str">
        <f t="shared" si="1227"/>
        <v>Metals and Equipment Revenue</v>
      </c>
      <c r="DM216" s="204">
        <f>(DM213*DM210)/1000</f>
        <v>70</v>
      </c>
      <c r="DN216" s="204">
        <f t="shared" ref="DN216:DQ216" si="3580">(DN213*DN210)/1000</f>
        <v>72.999999999999986</v>
      </c>
      <c r="DO216" s="204">
        <f t="shared" si="3580"/>
        <v>71.999999999999986</v>
      </c>
      <c r="DP216" s="204">
        <f t="shared" si="3580"/>
        <v>75</v>
      </c>
      <c r="DQ216" s="204">
        <f t="shared" si="3580"/>
        <v>290</v>
      </c>
      <c r="DS216" s="68" t="str">
        <f t="shared" si="1228"/>
        <v>Metals and Equipment Revenue</v>
      </c>
      <c r="DT216" s="204">
        <f>(DT213*DT210)/1000</f>
        <v>75</v>
      </c>
      <c r="DU216" s="204">
        <f t="shared" ref="DU216:DX216" si="3581">(DU213*DU210)/1000</f>
        <v>81</v>
      </c>
      <c r="DV216" s="204">
        <f t="shared" si="3581"/>
        <v>79</v>
      </c>
      <c r="DW216" s="204">
        <f t="shared" si="3581"/>
        <v>79</v>
      </c>
      <c r="DX216" s="204">
        <f t="shared" si="3581"/>
        <v>314</v>
      </c>
      <c r="DZ216" s="68" t="str">
        <f t="shared" si="1229"/>
        <v>Metals and Equipment Revenue</v>
      </c>
      <c r="EA216" s="204">
        <f>(EA213*EA210)/1000</f>
        <v>78</v>
      </c>
      <c r="EB216" s="204">
        <f t="shared" ref="EB216:EE216" si="3582">(EB213*EB210)/1000</f>
        <v>86</v>
      </c>
      <c r="EC216" s="204">
        <f t="shared" si="3582"/>
        <v>76</v>
      </c>
      <c r="ED216" s="204">
        <f t="shared" si="3582"/>
        <v>71</v>
      </c>
      <c r="EE216" s="204">
        <f t="shared" si="3582"/>
        <v>311</v>
      </c>
      <c r="EG216" s="68" t="str">
        <f t="shared" si="1230"/>
        <v>Metals and Equipment Revenue</v>
      </c>
      <c r="EH216" s="204">
        <f>(EH213*EH210)/1000</f>
        <v>84</v>
      </c>
      <c r="EI216" s="204">
        <f t="shared" ref="EI216:EL216" si="3583">(EI213*EI210)/1000</f>
        <v>88</v>
      </c>
      <c r="EJ216" s="204">
        <f t="shared" si="3583"/>
        <v>100</v>
      </c>
      <c r="EK216" s="204">
        <f t="shared" si="3583"/>
        <v>96.999999999999986</v>
      </c>
      <c r="EL216" s="204">
        <f t="shared" si="3583"/>
        <v>368.99999999999994</v>
      </c>
      <c r="EN216" s="68" t="str">
        <f t="shared" si="1231"/>
        <v>Metals and Equipment Revenue</v>
      </c>
      <c r="EO216" s="204">
        <f>(EO213*EO210)/1000</f>
        <v>105</v>
      </c>
      <c r="EP216" s="204">
        <f t="shared" ref="EP216:ES216" si="3584">(EP213*EP210)/1000</f>
        <v>106</v>
      </c>
      <c r="EQ216" s="204">
        <f t="shared" si="3584"/>
        <v>99.999999999999986</v>
      </c>
      <c r="ER216" s="204">
        <f t="shared" si="3584"/>
        <v>96.000000000000014</v>
      </c>
      <c r="ES216" s="204">
        <f t="shared" si="3584"/>
        <v>407.00000000000006</v>
      </c>
      <c r="EU216" s="68" t="str">
        <f t="shared" si="1232"/>
        <v>Metals and Equipment Revenue</v>
      </c>
      <c r="EV216" s="204">
        <f>(EV213*EV210)/1000</f>
        <v>99.000000000000014</v>
      </c>
      <c r="EW216" s="204">
        <f t="shared" ref="EW216:EZ216" si="3585">(EW213*EW210)/1000</f>
        <v>103.00000000000001</v>
      </c>
      <c r="EX216" s="204">
        <f t="shared" si="3585"/>
        <v>102.00000000000001</v>
      </c>
      <c r="EY216" s="204">
        <f t="shared" si="3585"/>
        <v>91</v>
      </c>
      <c r="EZ216" s="204">
        <f t="shared" si="3585"/>
        <v>395</v>
      </c>
      <c r="FB216" s="68" t="str">
        <f t="shared" si="1233"/>
        <v>Metals and Equipment Revenue</v>
      </c>
      <c r="FC216" s="204">
        <f>(FC213*FC210)/1000</f>
        <v>98</v>
      </c>
      <c r="FD216" s="204">
        <f t="shared" ref="FD216:FG216" si="3586">(FD213*FD210)/1000</f>
        <v>100</v>
      </c>
      <c r="FE216" s="204">
        <f t="shared" si="3586"/>
        <v>104</v>
      </c>
      <c r="FF216" s="204">
        <f t="shared" si="3586"/>
        <v>99</v>
      </c>
      <c r="FG216" s="204">
        <f t="shared" si="3586"/>
        <v>401</v>
      </c>
      <c r="FI216" s="68" t="str">
        <f t="shared" si="1234"/>
        <v>Metals and Equipment Revenue</v>
      </c>
      <c r="FJ216" s="204">
        <f>(FJ213*FJ210)/1000</f>
        <v>110</v>
      </c>
      <c r="FK216" s="204">
        <f t="shared" ref="FK216:FN216" si="3587">(FK213*FK210)/1000</f>
        <v>108.00000000000001</v>
      </c>
      <c r="FL216" s="204">
        <f t="shared" si="3587"/>
        <v>107</v>
      </c>
      <c r="FM216" s="204">
        <f t="shared" si="3587"/>
        <v>110</v>
      </c>
      <c r="FN216" s="204">
        <f t="shared" si="3587"/>
        <v>435</v>
      </c>
      <c r="FP216" s="68" t="str">
        <f t="shared" si="1235"/>
        <v>Metals and Equipment Revenue</v>
      </c>
      <c r="FQ216" s="204">
        <f>(FQ213*FQ210)/1000</f>
        <v>119</v>
      </c>
      <c r="FR216" s="204">
        <f t="shared" ref="FR216:FU216" si="3588">(FR213*FR210)/1000</f>
        <v>125.00000000000001</v>
      </c>
      <c r="FS216" s="204">
        <f t="shared" si="3588"/>
        <v>129</v>
      </c>
      <c r="FT216" s="204">
        <f t="shared" si="3588"/>
        <v>138</v>
      </c>
      <c r="FU216" s="204">
        <f t="shared" si="3588"/>
        <v>511</v>
      </c>
      <c r="FW216" s="68" t="str">
        <f t="shared" si="1236"/>
        <v>Metals and Equipment Revenue</v>
      </c>
      <c r="FX216" s="204">
        <f>(FX213*FX210)/1000</f>
        <v>138</v>
      </c>
      <c r="FY216" s="204">
        <f t="shared" ref="FY216:GB216" si="3589">(FY213*FY210)/1000</f>
        <v>140</v>
      </c>
      <c r="FZ216" s="204">
        <f t="shared" si="3589"/>
        <v>142</v>
      </c>
      <c r="GA216" s="204">
        <f t="shared" si="3589"/>
        <v>150</v>
      </c>
      <c r="GB216" s="204">
        <f t="shared" si="3589"/>
        <v>570</v>
      </c>
      <c r="GD216" s="68" t="str">
        <f t="shared" si="1237"/>
        <v>Metals and Equipment Revenue</v>
      </c>
      <c r="GE216" s="204">
        <f>(GE213*GE210)/1000</f>
        <v>164</v>
      </c>
      <c r="GF216" s="204">
        <f t="shared" ref="GF216:GI216" si="3590">(GF213*GF210)/1000</f>
        <v>173</v>
      </c>
      <c r="GG216" s="204">
        <f t="shared" si="3590"/>
        <v>176</v>
      </c>
      <c r="GH216" s="204">
        <f t="shared" si="3590"/>
        <v>160</v>
      </c>
      <c r="GI216" s="204">
        <f t="shared" si="3590"/>
        <v>673</v>
      </c>
      <c r="GK216" s="68" t="str">
        <f t="shared" si="1238"/>
        <v>Metals and Equipment Revenue</v>
      </c>
      <c r="GL216" s="204">
        <f>(GL213*GL210)/1000</f>
        <v>176</v>
      </c>
      <c r="GM216" s="204">
        <f t="shared" ref="GM216:GP216" si="3591">(GM213*GM210)/1000</f>
        <v>182</v>
      </c>
      <c r="GN216" s="204">
        <f t="shared" si="3591"/>
        <v>246.00000000000003</v>
      </c>
      <c r="GO216" s="204">
        <f t="shared" si="3591"/>
        <v>163</v>
      </c>
      <c r="GP216" s="204">
        <f t="shared" si="3591"/>
        <v>767</v>
      </c>
      <c r="GR216" s="68" t="str">
        <f t="shared" si="1239"/>
        <v>Metals and Equipment Revenue</v>
      </c>
      <c r="GS216" s="204">
        <f>(GS213*GS210)/1000</f>
        <v>197</v>
      </c>
      <c r="GT216" s="204">
        <f t="shared" ref="GT216:GW216" si="3592">(GT213*GT210)/1000</f>
        <v>211</v>
      </c>
      <c r="GU216" s="204">
        <f t="shared" si="3592"/>
        <v>215</v>
      </c>
      <c r="GV216" s="204">
        <f t="shared" si="3592"/>
        <v>129</v>
      </c>
      <c r="GW216" s="204">
        <f t="shared" si="3592"/>
        <v>752</v>
      </c>
      <c r="GY216" s="68" t="str">
        <f t="shared" si="1240"/>
        <v>Metals and Equipment Revenue</v>
      </c>
      <c r="GZ216" s="204">
        <f>(GZ213*GZ210)/1000</f>
        <v>97</v>
      </c>
      <c r="HA216" s="204">
        <f t="shared" ref="HA216:HD216" si="3593">(HA213*HA210)/1000</f>
        <v>87</v>
      </c>
      <c r="HB216" s="204">
        <f t="shared" si="3593"/>
        <v>110.99999999999999</v>
      </c>
      <c r="HC216" s="204">
        <f t="shared" si="3593"/>
        <v>104</v>
      </c>
      <c r="HD216" s="204">
        <f t="shared" si="3593"/>
        <v>399</v>
      </c>
      <c r="HF216" s="68" t="str">
        <f t="shared" si="1241"/>
        <v>Metals and Equipment Revenue</v>
      </c>
      <c r="HG216" s="204">
        <f>(HG213*HG210)/1000</f>
        <v>128.00000000000003</v>
      </c>
      <c r="HH216" s="204">
        <f t="shared" ref="HH216:HK216" si="3594">(HH213*HH210)/1000</f>
        <v>140</v>
      </c>
      <c r="HI216" s="204">
        <f t="shared" si="3594"/>
        <v>125.00000000000001</v>
      </c>
      <c r="HJ216" s="204">
        <f t="shared" si="3594"/>
        <v>126.99999999999999</v>
      </c>
      <c r="HK216" s="204">
        <f t="shared" si="3594"/>
        <v>520</v>
      </c>
      <c r="HM216" s="68" t="str">
        <f t="shared" si="1242"/>
        <v>Metals and Equipment Revenue</v>
      </c>
      <c r="HN216" s="204">
        <f>(HN213*HN210)/1000</f>
        <v>148.00000000000003</v>
      </c>
      <c r="HO216" s="204">
        <f t="shared" ref="HO216:HR216" si="3595">(HO213*HO210)/1000</f>
        <v>158</v>
      </c>
      <c r="HP216" s="204">
        <f t="shared" si="3595"/>
        <v>155</v>
      </c>
      <c r="HQ216" s="204">
        <f t="shared" si="3595"/>
        <v>152</v>
      </c>
      <c r="HR216" s="204">
        <f t="shared" si="3595"/>
        <v>613</v>
      </c>
      <c r="HT216" s="68" t="str">
        <f t="shared" si="1243"/>
        <v>Metals and Equipment Revenue</v>
      </c>
      <c r="HU216" s="204">
        <f>(HU213*HU210)/1000</f>
        <v>171</v>
      </c>
      <c r="HV216" s="204">
        <f t="shared" ref="HV216:HY216" si="3596">(HV213*HV210)/1000</f>
        <v>163</v>
      </c>
      <c r="HW216" s="204">
        <f t="shared" si="3596"/>
        <v>155</v>
      </c>
      <c r="HX216" s="204">
        <f t="shared" si="3596"/>
        <v>145.99999999999997</v>
      </c>
      <c r="HY216" s="204">
        <f t="shared" si="3596"/>
        <v>635.00000000000011</v>
      </c>
      <c r="IA216" s="68" t="str">
        <f t="shared" si="1244"/>
        <v>Metals and Equipment Revenue</v>
      </c>
      <c r="IB216" s="204">
        <f>(IB213*IB210)/1000</f>
        <v>184</v>
      </c>
      <c r="IC216" s="204">
        <f t="shared" ref="IC216:IF216" si="3597">(IC213*IC210)/1000</f>
        <v>183</v>
      </c>
      <c r="ID216" s="204">
        <f t="shared" si="3597"/>
        <v>189</v>
      </c>
      <c r="IE216" s="204">
        <f t="shared" si="3597"/>
        <v>180</v>
      </c>
      <c r="IF216" s="204">
        <f t="shared" si="3597"/>
        <v>736</v>
      </c>
      <c r="IH216" s="68" t="str">
        <f t="shared" si="1245"/>
        <v>Metals and Equipment Revenue</v>
      </c>
      <c r="II216" s="204">
        <f>(II213*II210)/1000</f>
        <v>189.99999999999997</v>
      </c>
      <c r="IJ216" s="204">
        <f t="shared" ref="IJ216:IM216" si="3598">(IJ213*IJ210)/1000</f>
        <v>215</v>
      </c>
      <c r="IK216" s="204">
        <f t="shared" si="3598"/>
        <v>224</v>
      </c>
      <c r="IL216" s="204">
        <f t="shared" si="3598"/>
        <v>194.99999999999997</v>
      </c>
      <c r="IM216" s="204">
        <f t="shared" si="3598"/>
        <v>824.00000000000011</v>
      </c>
      <c r="IO216" s="68" t="str">
        <f t="shared" si="1246"/>
        <v>Metals and Equipment Revenue</v>
      </c>
      <c r="IP216" s="204">
        <f>(IP213*IP210)/1000</f>
        <v>180</v>
      </c>
      <c r="IQ216" s="204">
        <f t="shared" ref="IQ216:IT216" si="3599">(IQ213*IQ210)/1000</f>
        <v>185.00000000000003</v>
      </c>
      <c r="IR216" s="204">
        <f t="shared" si="3599"/>
        <v>190</v>
      </c>
      <c r="IS216" s="204">
        <f t="shared" si="3599"/>
        <v>168</v>
      </c>
      <c r="IT216" s="204">
        <f t="shared" si="3599"/>
        <v>723</v>
      </c>
      <c r="IV216" s="68" t="str">
        <f t="shared" si="1247"/>
        <v>Metals and Equipment Revenue</v>
      </c>
      <c r="IW216" s="204">
        <f>(IW213*IW210)/1000</f>
        <v>164.99999999999997</v>
      </c>
      <c r="IX216" s="204">
        <f t="shared" ref="IX216:JA216" si="3600">(IX213*IX210)/1000</f>
        <v>186</v>
      </c>
      <c r="IY216" s="204">
        <f t="shared" si="3600"/>
        <v>180</v>
      </c>
      <c r="IZ216" s="204">
        <f t="shared" si="3600"/>
        <v>201</v>
      </c>
      <c r="JA216" s="204">
        <f t="shared" si="3600"/>
        <v>732.00000000000011</v>
      </c>
      <c r="JC216" s="68" t="str">
        <f t="shared" si="1248"/>
        <v>Metals and Equipment Revenue</v>
      </c>
      <c r="JD216" s="204">
        <f>(JD213*JD210)/1000</f>
        <v>190</v>
      </c>
      <c r="JE216" s="204">
        <f t="shared" ref="JE216:JH216" si="3601">(JE213*JE210)/1000</f>
        <v>178</v>
      </c>
      <c r="JF216" s="204">
        <f t="shared" si="3601"/>
        <v>178</v>
      </c>
      <c r="JG216" s="204">
        <f t="shared" si="3601"/>
        <v>157</v>
      </c>
      <c r="JH216" s="204">
        <f t="shared" si="3601"/>
        <v>703</v>
      </c>
      <c r="JJ216" s="68" t="str">
        <f t="shared" si="1249"/>
        <v>Metals and Equipment Revenue</v>
      </c>
      <c r="JK216" s="204">
        <f>(JK213*JK210)/1000</f>
        <v>186</v>
      </c>
      <c r="JL216" s="204">
        <f t="shared" ref="JL216:JO216" si="3602">(JL213*JL210)/1000</f>
        <v>197.99999999999997</v>
      </c>
      <c r="JM216" s="204">
        <f t="shared" si="3602"/>
        <v>205</v>
      </c>
      <c r="JN216" s="204">
        <f t="shared" si="3602"/>
        <v>180</v>
      </c>
      <c r="JO216" s="204">
        <f t="shared" si="3602"/>
        <v>769</v>
      </c>
      <c r="JQ216" s="68" t="str">
        <f t="shared" si="1250"/>
        <v>Metals and Equipment Revenue</v>
      </c>
      <c r="JR216" s="204">
        <f>(JR213*JR210)/1000</f>
        <v>189</v>
      </c>
      <c r="JS216" s="204">
        <f t="shared" ref="JS216:JV216" si="3603">(JS213*JS210)/1000</f>
        <v>188</v>
      </c>
      <c r="JT216" s="204">
        <f t="shared" si="3603"/>
        <v>195</v>
      </c>
      <c r="JU216" s="204">
        <f t="shared" si="3603"/>
        <v>170</v>
      </c>
      <c r="JV216" s="204">
        <f t="shared" si="3603"/>
        <v>741.99999999999989</v>
      </c>
      <c r="JX216" s="68" t="str">
        <f t="shared" si="1251"/>
        <v>Metals and Equipment Revenue</v>
      </c>
      <c r="JY216" s="204">
        <f>(JY213*JY210)/1000</f>
        <v>199</v>
      </c>
      <c r="JZ216" s="204">
        <f t="shared" ref="JZ216:KC216" si="3604">(JZ213*JZ210)/1000</f>
        <v>142</v>
      </c>
      <c r="KA216" s="204">
        <f t="shared" si="3604"/>
        <v>159</v>
      </c>
      <c r="KB216" s="204">
        <f t="shared" si="3604"/>
        <v>175</v>
      </c>
      <c r="KC216" s="204">
        <f t="shared" si="3604"/>
        <v>675</v>
      </c>
      <c r="KE216" s="68" t="str">
        <f t="shared" si="1252"/>
        <v>Metals and Equipment Revenue</v>
      </c>
      <c r="KF216" s="204">
        <f>(KF213*KF210)/1000</f>
        <v>186</v>
      </c>
      <c r="KG216" s="204">
        <f t="shared" ref="KG216:KJ216" si="3605">(KG213*KG210)/1000</f>
        <v>204.00000000000003</v>
      </c>
      <c r="KH216" s="204">
        <f t="shared" si="3605"/>
        <v>206.00000000000003</v>
      </c>
      <c r="KI216" s="204">
        <f t="shared" si="3605"/>
        <v>200.00000000000003</v>
      </c>
      <c r="KJ216" s="204">
        <f t="shared" si="3605"/>
        <v>796</v>
      </c>
      <c r="KL216" s="68" t="str">
        <f t="shared" si="1253"/>
        <v>Metals and Equipment Revenue</v>
      </c>
      <c r="KM216" s="204">
        <f>(KM213*KM210)/1000</f>
        <v>197</v>
      </c>
      <c r="KN216" s="204">
        <f t="shared" ref="KN216:KQ216" si="3606">(KN213*KN210)/1000</f>
        <v>216.00000000000003</v>
      </c>
      <c r="KO216" s="204">
        <f t="shared" si="3606"/>
        <v>211</v>
      </c>
      <c r="KP216" s="204">
        <f t="shared" si="3606"/>
        <v>204</v>
      </c>
      <c r="KQ216" s="204">
        <f t="shared" si="3606"/>
        <v>828</v>
      </c>
      <c r="KS216" s="68" t="str">
        <f t="shared" si="1254"/>
        <v>Metals and Equipment Revenue</v>
      </c>
      <c r="KT216" s="204">
        <f>(KT213*KT210)/1000</f>
        <v>239.00000000000003</v>
      </c>
      <c r="KU216" s="204">
        <f t="shared" ref="KU216:KX216" si="3607">(KU213*KU210)/1000</f>
        <v>240</v>
      </c>
      <c r="KV216" s="204">
        <f t="shared" si="3607"/>
        <v>225</v>
      </c>
      <c r="KW216" s="204">
        <f t="shared" si="3607"/>
        <v>213</v>
      </c>
      <c r="KX216" s="204">
        <f t="shared" si="3607"/>
        <v>916.99999999999989</v>
      </c>
      <c r="KZ216" s="68" t="str">
        <f t="shared" si="1255"/>
        <v>Metals and Equipment Revenue</v>
      </c>
      <c r="LA216" s="204">
        <f>(LA213*LA210)/1000</f>
        <v>262.00000000000006</v>
      </c>
      <c r="LB216" s="204">
        <f>(LB213*LB210)/1000</f>
        <v>230</v>
      </c>
      <c r="LC216" s="204">
        <f>(LC213*LC210)/1000</f>
        <v>208</v>
      </c>
      <c r="LD216" s="204">
        <f t="shared" ref="LD216" si="3608">(LD213*LD210)/1000</f>
        <v>201.00000000000003</v>
      </c>
      <c r="LE216" s="205">
        <f>SUM(LA216:LD216)</f>
        <v>901</v>
      </c>
      <c r="LF216" s="563"/>
      <c r="LG216" s="68" t="str">
        <f t="shared" si="1256"/>
        <v>Metals and Equipment Revenue</v>
      </c>
      <c r="LH216" s="204">
        <f>(LH213*LH210)/1000</f>
        <v>209.00000000000003</v>
      </c>
      <c r="LI216" s="204">
        <f>(LI213*LI210)/1000</f>
        <v>224</v>
      </c>
      <c r="LJ216" s="204">
        <f>(LJ213*LJ210)/1000</f>
        <v>224</v>
      </c>
      <c r="LK216" s="204">
        <f>(LK213*LK210)/1000</f>
        <v>212</v>
      </c>
      <c r="LL216" s="205">
        <f>SUM(LH216:LK216)</f>
        <v>869</v>
      </c>
      <c r="LM216" s="563"/>
      <c r="LN216" s="68" t="str">
        <f t="shared" si="1257"/>
        <v>Metals and Equipment Revenue</v>
      </c>
      <c r="LO216" s="205">
        <f>(LO210*LO213)/1000</f>
        <v>224.42681250000001</v>
      </c>
      <c r="LP216" s="205">
        <f t="shared" ref="LP216:LR216" si="3609">(LP210*LP213)/1000</f>
        <v>230.07600000000002</v>
      </c>
      <c r="LQ216" s="205">
        <f t="shared" si="3609"/>
        <v>237.06199999999998</v>
      </c>
      <c r="LR216" s="205">
        <f t="shared" si="3609"/>
        <v>221.09745000000001</v>
      </c>
      <c r="LS216" s="205">
        <f>SUM(LO216:LR216)</f>
        <v>912.6622625</v>
      </c>
      <c r="LT216" s="563"/>
      <c r="LU216" s="68" t="str">
        <f t="shared" si="1261"/>
        <v>Metals and Equipment Revenue</v>
      </c>
      <c r="LV216" s="205">
        <f>(LV210*LV213)/1000</f>
        <v>236.36351358984373</v>
      </c>
      <c r="LW216" s="205">
        <f t="shared" ref="LW216:LY216" si="3610">(LW210*LW213)/1000</f>
        <v>242.31316724999999</v>
      </c>
      <c r="LX216" s="205">
        <f t="shared" si="3610"/>
        <v>249.67073512499996</v>
      </c>
      <c r="LY216" s="205">
        <f t="shared" si="3610"/>
        <v>232.85707062187504</v>
      </c>
      <c r="LZ216" s="205">
        <f>SUM(LV216:LY216)</f>
        <v>961.20448658671876</v>
      </c>
      <c r="MA216" s="563"/>
      <c r="MB216" s="68" t="str">
        <f t="shared" si="1265"/>
        <v>Metals and Equipment Revenue</v>
      </c>
      <c r="MC216" s="205">
        <f>(MC210*MC213)/1000</f>
        <v>248.3294164653295</v>
      </c>
      <c r="MD216" s="205">
        <f t="shared" ref="MD216:MF216" si="3611">(MD210*MD213)/1000</f>
        <v>254.58027134203118</v>
      </c>
      <c r="ME216" s="205">
        <f t="shared" si="3611"/>
        <v>262.310316090703</v>
      </c>
      <c r="MF216" s="205">
        <f t="shared" si="3611"/>
        <v>244.64545982210737</v>
      </c>
      <c r="MG216" s="205">
        <f>SUM(MC216:MF216)</f>
        <v>1009.865463720171</v>
      </c>
      <c r="MH216" s="563"/>
    </row>
    <row r="217" spans="1:346" s="37" customFormat="1" ht="13.15" x14ac:dyDescent="0.4">
      <c r="A217" s="100"/>
      <c r="B217" s="197" t="s">
        <v>516</v>
      </c>
      <c r="C217" s="186"/>
      <c r="D217" s="186"/>
      <c r="E217" s="186"/>
      <c r="F217" s="186"/>
      <c r="G217" s="186"/>
      <c r="H217" s="186"/>
      <c r="I217" s="186"/>
      <c r="J217" s="186"/>
      <c r="K217" s="186"/>
      <c r="L217" s="186"/>
      <c r="M217" s="186"/>
      <c r="N217" s="193"/>
      <c r="O217" s="198">
        <f>O216/N216-1</f>
        <v>-6.3559322033898469E-2</v>
      </c>
      <c r="P217" s="198">
        <f t="shared" ref="P217:BA217" si="3612">P216/O216-1</f>
        <v>-8.5972850678732948E-2</v>
      </c>
      <c r="Q217" s="198">
        <f t="shared" si="3612"/>
        <v>8.9108910891089188E-2</v>
      </c>
      <c r="R217" s="198">
        <f t="shared" si="3612"/>
        <v>0.1045454545454545</v>
      </c>
      <c r="S217" s="198">
        <f t="shared" si="3612"/>
        <v>0.17283950617283961</v>
      </c>
      <c r="T217" s="198">
        <f t="shared" si="3612"/>
        <v>2.1052631578947434E-2</v>
      </c>
      <c r="U217" s="198">
        <f t="shared" si="3612"/>
        <v>-3.4364261168384758E-3</v>
      </c>
      <c r="V217" s="198">
        <f t="shared" si="3612"/>
        <v>8.2758620689655116E-2</v>
      </c>
      <c r="W217" s="198">
        <f t="shared" si="3612"/>
        <v>-9.5541401273885329E-3</v>
      </c>
      <c r="X217" s="198">
        <f t="shared" si="3612"/>
        <v>0.18649517684887451</v>
      </c>
      <c r="Y217" s="198">
        <f t="shared" si="3612"/>
        <v>0.10298102981029844</v>
      </c>
      <c r="Z217" s="198">
        <f t="shared" si="3612"/>
        <v>-2.9484029484029617E-2</v>
      </c>
      <c r="AA217" s="198">
        <f t="shared" si="3612"/>
        <v>1.51898734177216E-2</v>
      </c>
      <c r="AB217" s="198">
        <f t="shared" si="3612"/>
        <v>8.4788029925187081E-2</v>
      </c>
      <c r="AC217" s="198">
        <f t="shared" si="3612"/>
        <v>0.17471264367816097</v>
      </c>
      <c r="AD217" s="198">
        <f t="shared" si="3612"/>
        <v>0.1154598825831703</v>
      </c>
      <c r="AE217" s="198">
        <f t="shared" si="3612"/>
        <v>0.18070175438596481</v>
      </c>
      <c r="AF217" s="198">
        <f t="shared" si="3612"/>
        <v>0.13967310549777112</v>
      </c>
      <c r="AG217" s="198">
        <f t="shared" si="3612"/>
        <v>-1.9556714471968717E-2</v>
      </c>
      <c r="AH217" s="198">
        <f t="shared" si="3612"/>
        <v>-0.46941489361702127</v>
      </c>
      <c r="AI217" s="198">
        <f t="shared" si="3612"/>
        <v>0.30325814536340845</v>
      </c>
      <c r="AJ217" s="198">
        <f t="shared" si="3612"/>
        <v>0.17884615384615388</v>
      </c>
      <c r="AK217" s="198">
        <f t="shared" si="3612"/>
        <v>3.588907014681908E-2</v>
      </c>
      <c r="AL217" s="198">
        <f t="shared" si="3612"/>
        <v>0.15905511811023598</v>
      </c>
      <c r="AM217" s="198">
        <f t="shared" si="3612"/>
        <v>0.11956521739130443</v>
      </c>
      <c r="AN217" s="198">
        <f t="shared" si="3612"/>
        <v>-0.12257281553398069</v>
      </c>
      <c r="AO217" s="198">
        <f t="shared" si="3612"/>
        <v>1.2448132780083165E-2</v>
      </c>
      <c r="AP217" s="198">
        <f t="shared" si="3612"/>
        <v>-3.9617486338797914E-2</v>
      </c>
      <c r="AQ217" s="198">
        <f t="shared" si="3612"/>
        <v>9.3883357041251836E-2</v>
      </c>
      <c r="AR217" s="198">
        <f t="shared" si="3612"/>
        <v>-3.5110533159948165E-2</v>
      </c>
      <c r="AS217" s="198">
        <f t="shared" si="3612"/>
        <v>-9.0296495956873168E-2</v>
      </c>
      <c r="AT217" s="198">
        <f t="shared" si="3612"/>
        <v>0.17925925925925923</v>
      </c>
      <c r="AU217" s="198">
        <f t="shared" si="3612"/>
        <v>4.020100502512558E-2</v>
      </c>
      <c r="AV217" s="198">
        <f t="shared" si="3612"/>
        <v>0.10748792270531382</v>
      </c>
      <c r="AW217" s="198">
        <f t="shared" si="3612"/>
        <v>-1.74482006543073E-2</v>
      </c>
      <c r="AX217" s="198">
        <f t="shared" si="3612"/>
        <v>-3.5516093229745027E-2</v>
      </c>
      <c r="AY217" s="198">
        <f t="shared" si="3612"/>
        <v>5.0244260644419114E-2</v>
      </c>
      <c r="AZ217" s="198">
        <f t="shared" si="3612"/>
        <v>5.3187499999999943E-2</v>
      </c>
      <c r="BA217" s="198">
        <f t="shared" si="3612"/>
        <v>5.0624999999999476E-2</v>
      </c>
      <c r="BB217" s="198"/>
      <c r="BC217" s="198"/>
      <c r="BD217" s="198"/>
      <c r="BE217" s="198"/>
      <c r="BF217" s="198"/>
      <c r="BG217" s="198"/>
      <c r="BH217" s="198"/>
      <c r="BI217" s="198"/>
      <c r="BJ217" s="198"/>
      <c r="BK217" s="198"/>
      <c r="BL217" s="198"/>
      <c r="BM217" s="198"/>
      <c r="BO217" s="197" t="str">
        <f t="shared" si="1220"/>
        <v>YoY Change (%)</v>
      </c>
      <c r="BP217" s="193"/>
      <c r="BQ217" s="193"/>
      <c r="BR217" s="193"/>
      <c r="BS217" s="193"/>
      <c r="BT217" s="193"/>
      <c r="BV217" s="197" t="str">
        <f t="shared" si="1221"/>
        <v>YoY Change (%)</v>
      </c>
      <c r="BW217" s="198">
        <f>BW216/BP216-1</f>
        <v>-7.0175438596491224E-2</v>
      </c>
      <c r="BX217" s="198">
        <f t="shared" ref="BX217" si="3613">BX216/BQ216-1</f>
        <v>-6.3492063492063489E-2</v>
      </c>
      <c r="BY217" s="198">
        <f t="shared" ref="BY217" si="3614">BY216/BR216-1</f>
        <v>-8.333333333333337E-2</v>
      </c>
      <c r="BZ217" s="198">
        <f t="shared" ref="BZ217" si="3615">BZ216/BS216-1</f>
        <v>-3.5714285714285698E-2</v>
      </c>
      <c r="CA217" s="198">
        <f t="shared" ref="CA217" si="3616">CA216/BT216-1</f>
        <v>-6.3559322033898469E-2</v>
      </c>
      <c r="CC217" s="197" t="str">
        <f t="shared" si="1222"/>
        <v>YoY Change (%)</v>
      </c>
      <c r="CD217" s="198">
        <f>CD216/BW216-1</f>
        <v>-9.4339622641509524E-2</v>
      </c>
      <c r="CE217" s="198">
        <f t="shared" ref="CE217" si="3617">CE216/BX216-1</f>
        <v>-0.18644067796610164</v>
      </c>
      <c r="CF217" s="198">
        <f t="shared" ref="CF217" si="3618">CF216/BY216-1</f>
        <v>-1.8181818181818188E-2</v>
      </c>
      <c r="CG217" s="198">
        <f t="shared" ref="CG217" si="3619">CG216/BZ216-1</f>
        <v>-3.7037037037037202E-2</v>
      </c>
      <c r="CH217" s="198">
        <f t="shared" ref="CH217" si="3620">CH216/CA216-1</f>
        <v>-8.5972850678732948E-2</v>
      </c>
      <c r="CJ217" s="197" t="str">
        <f t="shared" si="1223"/>
        <v>YoY Change (%)</v>
      </c>
      <c r="CK217" s="198">
        <f>CK216/CD216-1</f>
        <v>4.1666666666666741E-2</v>
      </c>
      <c r="CL217" s="198">
        <f t="shared" ref="CL217" si="3621">CL216/CE216-1</f>
        <v>0.22916666666666674</v>
      </c>
      <c r="CM217" s="198">
        <f t="shared" ref="CM217" si="3622">CM216/CF216-1</f>
        <v>1.8518518518518601E-2</v>
      </c>
      <c r="CN217" s="198">
        <f t="shared" ref="CN217" si="3623">CN216/CG216-1</f>
        <v>7.6923076923077094E-2</v>
      </c>
      <c r="CO217" s="198">
        <f t="shared" ref="CO217" si="3624">CO216/CH216-1</f>
        <v>8.9108910891089188E-2</v>
      </c>
      <c r="CQ217" s="197" t="str">
        <f t="shared" si="1224"/>
        <v>YoY Change (%)</v>
      </c>
      <c r="CR217" s="198">
        <f>CR216/CK216-1</f>
        <v>0.12000000000000011</v>
      </c>
      <c r="CS217" s="198">
        <f t="shared" ref="CS217" si="3625">CS216/CL216-1</f>
        <v>6.7796610169491567E-2</v>
      </c>
      <c r="CT217" s="198">
        <f t="shared" ref="CT217" si="3626">CT216/CM216-1</f>
        <v>9.0909090909090828E-2</v>
      </c>
      <c r="CU217" s="198">
        <f t="shared" ref="CU217" si="3627">CU216/CN216-1</f>
        <v>0.14285714285714279</v>
      </c>
      <c r="CV217" s="198">
        <f t="shared" ref="CV217" si="3628">CV216/CO216-1</f>
        <v>0.1045454545454545</v>
      </c>
      <c r="CX217" s="197" t="str">
        <f t="shared" si="1225"/>
        <v>YoY Change (%)</v>
      </c>
      <c r="CY217" s="198">
        <f>CY216/CR216-1</f>
        <v>0.24999999999999978</v>
      </c>
      <c r="CZ217" s="198">
        <f t="shared" ref="CZ217" si="3629">CZ216/CS216-1</f>
        <v>0.15873015873015883</v>
      </c>
      <c r="DA217" s="198">
        <f t="shared" ref="DA217" si="3630">DA216/CT216-1</f>
        <v>0.19999999999999996</v>
      </c>
      <c r="DB217" s="198">
        <f t="shared" ref="DB217" si="3631">DB216/CU216-1</f>
        <v>9.375E-2</v>
      </c>
      <c r="DC217" s="198">
        <f t="shared" ref="DC217" si="3632">DC216/CV216-1</f>
        <v>0.17283950617283961</v>
      </c>
      <c r="DE217" s="197" t="str">
        <f t="shared" si="1226"/>
        <v>YoY Change (%)</v>
      </c>
      <c r="DF217" s="198">
        <f>DF216/CY216-1</f>
        <v>5.7142857142857384E-2</v>
      </c>
      <c r="DG217" s="198">
        <f t="shared" ref="DG217" si="3633">DG216/CZ216-1</f>
        <v>4.1095890410958846E-2</v>
      </c>
      <c r="DH217" s="198">
        <f t="shared" ref="DH217" si="3634">DH216/DA216-1</f>
        <v>1.388888888888884E-2</v>
      </c>
      <c r="DI217" s="198">
        <f t="shared" ref="DI217" si="3635">DI216/DB216-1</f>
        <v>-2.8571428571428581E-2</v>
      </c>
      <c r="DJ217" s="198">
        <f t="shared" ref="DJ217" si="3636">DJ216/DC216-1</f>
        <v>2.1052631578947434E-2</v>
      </c>
      <c r="DL217" s="197" t="str">
        <f t="shared" si="1227"/>
        <v>YoY Change (%)</v>
      </c>
      <c r="DM217" s="198">
        <f>DM216/DF216-1</f>
        <v>-5.4054054054054057E-2</v>
      </c>
      <c r="DN217" s="198">
        <f t="shared" ref="DN217" si="3637">DN216/DG216-1</f>
        <v>-3.947368421052655E-2</v>
      </c>
      <c r="DO217" s="198">
        <f t="shared" ref="DO217" si="3638">DO216/DH216-1</f>
        <v>-1.3698630136986467E-2</v>
      </c>
      <c r="DP217" s="198">
        <f t="shared" ref="DP217" si="3639">DP216/DI216-1</f>
        <v>0.10294117647058831</v>
      </c>
      <c r="DQ217" s="198">
        <f t="shared" ref="DQ217" si="3640">DQ216/DJ216-1</f>
        <v>-3.4364261168384758E-3</v>
      </c>
      <c r="DS217" s="197" t="str">
        <f t="shared" si="1228"/>
        <v>YoY Change (%)</v>
      </c>
      <c r="DT217" s="198">
        <f>DT216/DM216-1</f>
        <v>7.1428571428571397E-2</v>
      </c>
      <c r="DU217" s="198">
        <f t="shared" ref="DU217" si="3641">DU216/DN216-1</f>
        <v>0.10958904109589063</v>
      </c>
      <c r="DV217" s="198">
        <f t="shared" ref="DV217" si="3642">DV216/DO216-1</f>
        <v>9.7222222222222543E-2</v>
      </c>
      <c r="DW217" s="198">
        <f t="shared" ref="DW217" si="3643">DW216/DP216-1</f>
        <v>5.3333333333333233E-2</v>
      </c>
      <c r="DX217" s="198">
        <f t="shared" ref="DX217" si="3644">DX216/DQ216-1</f>
        <v>8.2758620689655116E-2</v>
      </c>
      <c r="DZ217" s="197" t="str">
        <f t="shared" si="1229"/>
        <v>YoY Change (%)</v>
      </c>
      <c r="EA217" s="198">
        <f>EA216/DT216-1</f>
        <v>4.0000000000000036E-2</v>
      </c>
      <c r="EB217" s="198">
        <f t="shared" ref="EB217" si="3645">EB216/DU216-1</f>
        <v>6.1728395061728447E-2</v>
      </c>
      <c r="EC217" s="198">
        <f t="shared" ref="EC217" si="3646">EC216/DV216-1</f>
        <v>-3.7974683544303778E-2</v>
      </c>
      <c r="ED217" s="198">
        <f t="shared" ref="ED217" si="3647">ED216/DW216-1</f>
        <v>-0.10126582278481011</v>
      </c>
      <c r="EE217" s="198">
        <f t="shared" ref="EE217" si="3648">EE216/DX216-1</f>
        <v>-9.5541401273885329E-3</v>
      </c>
      <c r="EG217" s="197" t="str">
        <f t="shared" si="1230"/>
        <v>YoY Change (%)</v>
      </c>
      <c r="EH217" s="198">
        <f>EH216/EA216-1</f>
        <v>7.6923076923076872E-2</v>
      </c>
      <c r="EI217" s="198">
        <f t="shared" ref="EI217" si="3649">EI216/EB216-1</f>
        <v>2.3255813953488413E-2</v>
      </c>
      <c r="EJ217" s="198">
        <f t="shared" ref="EJ217" si="3650">EJ216/EC216-1</f>
        <v>0.31578947368421062</v>
      </c>
      <c r="EK217" s="198">
        <f t="shared" ref="EK217" si="3651">EK216/ED216-1</f>
        <v>0.36619718309859128</v>
      </c>
      <c r="EL217" s="198">
        <f t="shared" ref="EL217" si="3652">EL216/EE216-1</f>
        <v>0.18649517684887451</v>
      </c>
      <c r="EN217" s="197" t="str">
        <f t="shared" si="1231"/>
        <v>YoY Change (%)</v>
      </c>
      <c r="EO217" s="198">
        <f>EO216/EH216-1</f>
        <v>0.25</v>
      </c>
      <c r="EP217" s="198">
        <f t="shared" ref="EP217" si="3653">EP216/EI216-1</f>
        <v>0.20454545454545459</v>
      </c>
      <c r="EQ217" s="198">
        <f t="shared" ref="EQ217" si="3654">EQ216/EJ216-1</f>
        <v>0</v>
      </c>
      <c r="ER217" s="198">
        <f t="shared" ref="ER217" si="3655">ER216/EK216-1</f>
        <v>-1.0309278350515205E-2</v>
      </c>
      <c r="ES217" s="198">
        <f t="shared" ref="ES217" si="3656">ES216/EL216-1</f>
        <v>0.10298102981029844</v>
      </c>
      <c r="EU217" s="197" t="str">
        <f t="shared" si="1232"/>
        <v>YoY Change (%)</v>
      </c>
      <c r="EV217" s="198">
        <f>EV216/EO216-1</f>
        <v>-5.7142857142857051E-2</v>
      </c>
      <c r="EW217" s="198">
        <f t="shared" ref="EW217" si="3657">EW216/EP216-1</f>
        <v>-2.8301886792452713E-2</v>
      </c>
      <c r="EX217" s="198">
        <f t="shared" ref="EX217" si="3658">EX216/EQ216-1</f>
        <v>2.000000000000024E-2</v>
      </c>
      <c r="EY217" s="198">
        <f t="shared" ref="EY217" si="3659">EY216/ER216-1</f>
        <v>-5.2083333333333481E-2</v>
      </c>
      <c r="EZ217" s="198">
        <f t="shared" ref="EZ217" si="3660">EZ216/ES216-1</f>
        <v>-2.9484029484029617E-2</v>
      </c>
      <c r="FB217" s="197" t="str">
        <f t="shared" si="1233"/>
        <v>YoY Change (%)</v>
      </c>
      <c r="FC217" s="198">
        <f>FC216/EV216-1</f>
        <v>-1.0101010101010277E-2</v>
      </c>
      <c r="FD217" s="198">
        <f t="shared" ref="FD217" si="3661">FD216/EW216-1</f>
        <v>-2.9126213592233108E-2</v>
      </c>
      <c r="FE217" s="198">
        <f t="shared" ref="FE217" si="3662">FE216/EX216-1</f>
        <v>1.9607843137254832E-2</v>
      </c>
      <c r="FF217" s="198">
        <f t="shared" ref="FF217" si="3663">FF216/EY216-1</f>
        <v>8.7912087912087822E-2</v>
      </c>
      <c r="FG217" s="198">
        <f t="shared" ref="FG217" si="3664">FG216/EZ216-1</f>
        <v>1.51898734177216E-2</v>
      </c>
      <c r="FI217" s="197" t="str">
        <f t="shared" si="1234"/>
        <v>YoY Change (%)</v>
      </c>
      <c r="FJ217" s="198">
        <f>FJ216/FC216-1</f>
        <v>0.12244897959183665</v>
      </c>
      <c r="FK217" s="198">
        <f t="shared" ref="FK217" si="3665">FK216/FD216-1</f>
        <v>8.0000000000000071E-2</v>
      </c>
      <c r="FL217" s="198">
        <f t="shared" ref="FL217" si="3666">FL216/FE216-1</f>
        <v>2.8846153846153744E-2</v>
      </c>
      <c r="FM217" s="198">
        <f t="shared" ref="FM217" si="3667">FM216/FF216-1</f>
        <v>0.11111111111111116</v>
      </c>
      <c r="FN217" s="198">
        <f t="shared" ref="FN217" si="3668">FN216/FG216-1</f>
        <v>8.4788029925187081E-2</v>
      </c>
      <c r="FP217" s="197" t="str">
        <f t="shared" si="1235"/>
        <v>YoY Change (%)</v>
      </c>
      <c r="FQ217" s="198">
        <f>FQ216/FJ216-1</f>
        <v>8.181818181818179E-2</v>
      </c>
      <c r="FR217" s="198">
        <f t="shared" ref="FR217" si="3669">FR216/FK216-1</f>
        <v>0.15740740740740744</v>
      </c>
      <c r="FS217" s="198">
        <f t="shared" ref="FS217" si="3670">FS216/FL216-1</f>
        <v>0.20560747663551404</v>
      </c>
      <c r="FT217" s="198">
        <f t="shared" ref="FT217" si="3671">FT216/FM216-1</f>
        <v>0.25454545454545463</v>
      </c>
      <c r="FU217" s="198">
        <f t="shared" ref="FU217" si="3672">FU216/FN216-1</f>
        <v>0.17471264367816097</v>
      </c>
      <c r="FW217" s="197" t="str">
        <f t="shared" si="1236"/>
        <v>YoY Change (%)</v>
      </c>
      <c r="FX217" s="198">
        <f>FX216/FQ216-1</f>
        <v>0.15966386554621859</v>
      </c>
      <c r="FY217" s="198">
        <f t="shared" ref="FY217" si="3673">FY216/FR216-1</f>
        <v>0.11999999999999988</v>
      </c>
      <c r="FZ217" s="198">
        <f t="shared" ref="FZ217" si="3674">FZ216/FS216-1</f>
        <v>0.10077519379844957</v>
      </c>
      <c r="GA217" s="198">
        <f t="shared" ref="GA217" si="3675">GA216/FT216-1</f>
        <v>8.6956521739130377E-2</v>
      </c>
      <c r="GB217" s="198">
        <f t="shared" ref="GB217" si="3676">GB216/FU216-1</f>
        <v>0.1154598825831703</v>
      </c>
      <c r="GD217" s="197" t="str">
        <f t="shared" si="1237"/>
        <v>YoY Change (%)</v>
      </c>
      <c r="GE217" s="198">
        <f>GE216/FX216-1</f>
        <v>0.18840579710144922</v>
      </c>
      <c r="GF217" s="198">
        <f t="shared" ref="GF217" si="3677">GF216/FY216-1</f>
        <v>0.23571428571428577</v>
      </c>
      <c r="GG217" s="198">
        <f t="shared" ref="GG217" si="3678">GG216/FZ216-1</f>
        <v>0.23943661971830976</v>
      </c>
      <c r="GH217" s="198">
        <f t="shared" ref="GH217" si="3679">GH216/GA216-1</f>
        <v>6.6666666666666652E-2</v>
      </c>
      <c r="GI217" s="198">
        <f t="shared" ref="GI217" si="3680">GI216/GB216-1</f>
        <v>0.18070175438596481</v>
      </c>
      <c r="GK217" s="197" t="str">
        <f t="shared" si="1238"/>
        <v>YoY Change (%)</v>
      </c>
      <c r="GL217" s="198">
        <f>GL216/GE216-1</f>
        <v>7.3170731707317138E-2</v>
      </c>
      <c r="GM217" s="198">
        <f t="shared" ref="GM217" si="3681">GM216/GF216-1</f>
        <v>5.2023121387283267E-2</v>
      </c>
      <c r="GN217" s="198">
        <f t="shared" ref="GN217" si="3682">GN216/GG216-1</f>
        <v>0.39772727272727293</v>
      </c>
      <c r="GO217" s="198">
        <f t="shared" ref="GO217" si="3683">GO216/GH216-1</f>
        <v>1.8750000000000044E-2</v>
      </c>
      <c r="GP217" s="198">
        <f t="shared" ref="GP217" si="3684">GP216/GI216-1</f>
        <v>0.13967310549777112</v>
      </c>
      <c r="GR217" s="197" t="str">
        <f t="shared" si="1239"/>
        <v>YoY Change (%)</v>
      </c>
      <c r="GS217" s="198">
        <f>GS216/GL216-1</f>
        <v>0.11931818181818188</v>
      </c>
      <c r="GT217" s="198">
        <f t="shared" ref="GT217" si="3685">GT216/GM216-1</f>
        <v>0.15934065934065944</v>
      </c>
      <c r="GU217" s="198">
        <f t="shared" ref="GU217" si="3686">GU216/GN216-1</f>
        <v>-0.1260162601626017</v>
      </c>
      <c r="GV217" s="198">
        <f t="shared" ref="GV217" si="3687">GV216/GO216-1</f>
        <v>-0.20858895705521474</v>
      </c>
      <c r="GW217" s="198">
        <f t="shared" ref="GW217" si="3688">GW216/GP216-1</f>
        <v>-1.9556714471968717E-2</v>
      </c>
      <c r="GY217" s="197" t="str">
        <f t="shared" si="1240"/>
        <v>YoY Change (%)</v>
      </c>
      <c r="GZ217" s="198">
        <f>GZ216/GS216-1</f>
        <v>-0.50761421319796951</v>
      </c>
      <c r="HA217" s="198">
        <f t="shared" ref="HA217" si="3689">HA216/GT216-1</f>
        <v>-0.58767772511848348</v>
      </c>
      <c r="HB217" s="198">
        <f t="shared" ref="HB217" si="3690">HB216/GU216-1</f>
        <v>-0.48372093023255824</v>
      </c>
      <c r="HC217" s="198">
        <f t="shared" ref="HC217" si="3691">HC216/GV216-1</f>
        <v>-0.19379844961240311</v>
      </c>
      <c r="HD217" s="198">
        <f t="shared" ref="HD217" si="3692">HD216/GW216-1</f>
        <v>-0.46941489361702127</v>
      </c>
      <c r="HF217" s="197" t="str">
        <f t="shared" si="1241"/>
        <v>YoY Change (%)</v>
      </c>
      <c r="HG217" s="198">
        <f>HG216/GZ216-1</f>
        <v>0.31958762886597958</v>
      </c>
      <c r="HH217" s="198">
        <f t="shared" ref="HH217" si="3693">HH216/HA216-1</f>
        <v>0.60919540229885061</v>
      </c>
      <c r="HI217" s="198">
        <f t="shared" ref="HI217" si="3694">HI216/HB216-1</f>
        <v>0.12612612612612639</v>
      </c>
      <c r="HJ217" s="198">
        <f t="shared" ref="HJ217" si="3695">HJ216/HC216-1</f>
        <v>0.22115384615384603</v>
      </c>
      <c r="HK217" s="198">
        <f t="shared" ref="HK217" si="3696">HK216/HD216-1</f>
        <v>0.30325814536340845</v>
      </c>
      <c r="HM217" s="197" t="str">
        <f t="shared" si="1242"/>
        <v>YoY Change (%)</v>
      </c>
      <c r="HN217" s="198">
        <f>HN216/HG216-1</f>
        <v>0.15625</v>
      </c>
      <c r="HO217" s="198">
        <f t="shared" ref="HO217" si="3697">HO216/HH216-1</f>
        <v>0.12857142857142856</v>
      </c>
      <c r="HP217" s="198">
        <f t="shared" ref="HP217" si="3698">HP216/HI216-1</f>
        <v>0.23999999999999977</v>
      </c>
      <c r="HQ217" s="198">
        <f t="shared" ref="HQ217" si="3699">HQ216/HJ216-1</f>
        <v>0.1968503937007875</v>
      </c>
      <c r="HR217" s="198">
        <f t="shared" ref="HR217" si="3700">HR216/HK216-1</f>
        <v>0.17884615384615388</v>
      </c>
      <c r="HT217" s="197" t="str">
        <f t="shared" si="1243"/>
        <v>YoY Change (%)</v>
      </c>
      <c r="HU217" s="198">
        <f>HU216/HN216-1</f>
        <v>0.15540540540540526</v>
      </c>
      <c r="HV217" s="198">
        <f t="shared" ref="HV217" si="3701">HV216/HO216-1</f>
        <v>3.1645569620253111E-2</v>
      </c>
      <c r="HW217" s="198">
        <f t="shared" ref="HW217" si="3702">HW216/HP216-1</f>
        <v>0</v>
      </c>
      <c r="HX217" s="198">
        <f t="shared" ref="HX217" si="3703">HX216/HQ216-1</f>
        <v>-3.947368421052655E-2</v>
      </c>
      <c r="HY217" s="198">
        <f t="shared" ref="HY217" si="3704">HY216/HR216-1</f>
        <v>3.588907014681908E-2</v>
      </c>
      <c r="IA217" s="197" t="str">
        <f t="shared" si="1244"/>
        <v>YoY Change (%)</v>
      </c>
      <c r="IB217" s="198">
        <f>IB216/HU216-1</f>
        <v>7.6023391812865437E-2</v>
      </c>
      <c r="IC217" s="198">
        <f t="shared" ref="IC217" si="3705">IC216/HV216-1</f>
        <v>0.12269938650306744</v>
      </c>
      <c r="ID217" s="198">
        <f t="shared" ref="ID217" si="3706">ID216/HW216-1</f>
        <v>0.21935483870967731</v>
      </c>
      <c r="IE217" s="198">
        <f t="shared" ref="IE217" si="3707">IE216/HX216-1</f>
        <v>0.23287671232876739</v>
      </c>
      <c r="IF217" s="198">
        <f t="shared" ref="IF217" si="3708">IF216/HY216-1</f>
        <v>0.15905511811023598</v>
      </c>
      <c r="IH217" s="197" t="str">
        <f t="shared" si="1245"/>
        <v>YoY Change (%)</v>
      </c>
      <c r="II217" s="198">
        <f>II216/IB216-1</f>
        <v>3.2608695652173836E-2</v>
      </c>
      <c r="IJ217" s="198">
        <f t="shared" ref="IJ217" si="3709">IJ216/IC216-1</f>
        <v>0.17486338797814205</v>
      </c>
      <c r="IK217" s="198">
        <f t="shared" ref="IK217" si="3710">IK216/ID216-1</f>
        <v>0.18518518518518512</v>
      </c>
      <c r="IL217" s="198">
        <f t="shared" ref="IL217" si="3711">IL216/IE216-1</f>
        <v>8.3333333333333259E-2</v>
      </c>
      <c r="IM217" s="198">
        <f t="shared" ref="IM217" si="3712">IM216/IF216-1</f>
        <v>0.11956521739130443</v>
      </c>
      <c r="IO217" s="197" t="str">
        <f t="shared" si="1246"/>
        <v>YoY Change (%)</v>
      </c>
      <c r="IP217" s="198">
        <f>IP216/II216-1</f>
        <v>-5.2631578947368252E-2</v>
      </c>
      <c r="IQ217" s="198">
        <f t="shared" ref="IQ217" si="3713">IQ216/IJ216-1</f>
        <v>-0.13953488372093015</v>
      </c>
      <c r="IR217" s="198">
        <f t="shared" ref="IR217" si="3714">IR216/IK216-1</f>
        <v>-0.1517857142857143</v>
      </c>
      <c r="IS217" s="198">
        <f t="shared" ref="IS217" si="3715">IS216/IL216-1</f>
        <v>-0.1384615384615383</v>
      </c>
      <c r="IT217" s="198">
        <f t="shared" ref="IT217" si="3716">IT216/IM216-1</f>
        <v>-0.12257281553398069</v>
      </c>
      <c r="IV217" s="197" t="str">
        <f t="shared" si="1247"/>
        <v>YoY Change (%)</v>
      </c>
      <c r="IW217" s="198">
        <f>IW216/IP216-1</f>
        <v>-8.3333333333333481E-2</v>
      </c>
      <c r="IX217" s="198">
        <f t="shared" ref="IX217" si="3717">IX216/IQ216-1</f>
        <v>5.4054054054053502E-3</v>
      </c>
      <c r="IY217" s="198">
        <f t="shared" ref="IY217" si="3718">IY216/IR216-1</f>
        <v>-5.2631578947368474E-2</v>
      </c>
      <c r="IZ217" s="198">
        <f t="shared" ref="IZ217" si="3719">IZ216/IS216-1</f>
        <v>0.1964285714285714</v>
      </c>
      <c r="JA217" s="198">
        <f t="shared" ref="JA217" si="3720">JA216/IT216-1</f>
        <v>1.2448132780083165E-2</v>
      </c>
      <c r="JC217" s="197" t="str">
        <f t="shared" si="1248"/>
        <v>YoY Change (%)</v>
      </c>
      <c r="JD217" s="198">
        <f>JD216/IW216-1</f>
        <v>0.1515151515151516</v>
      </c>
      <c r="JE217" s="198">
        <f t="shared" ref="JE217" si="3721">JE216/IX216-1</f>
        <v>-4.3010752688172005E-2</v>
      </c>
      <c r="JF217" s="198">
        <f t="shared" ref="JF217" si="3722">JF216/IY216-1</f>
        <v>-1.1111111111111072E-2</v>
      </c>
      <c r="JG217" s="198">
        <f t="shared" ref="JG217" si="3723">JG216/IZ216-1</f>
        <v>-0.21890547263681592</v>
      </c>
      <c r="JH217" s="198">
        <f t="shared" ref="JH217" si="3724">JH216/JA216-1</f>
        <v>-3.9617486338797914E-2</v>
      </c>
      <c r="JJ217" s="197" t="str">
        <f t="shared" si="1249"/>
        <v>YoY Change (%)</v>
      </c>
      <c r="JK217" s="198">
        <f>JK216/JD216-1</f>
        <v>-2.1052631578947323E-2</v>
      </c>
      <c r="JL217" s="198">
        <f t="shared" ref="JL217" si="3725">JL216/JE216-1</f>
        <v>0.11235955056179758</v>
      </c>
      <c r="JM217" s="198">
        <f t="shared" ref="JM217" si="3726">JM216/JF216-1</f>
        <v>0.151685393258427</v>
      </c>
      <c r="JN217" s="198">
        <f t="shared" ref="JN217" si="3727">JN216/JG216-1</f>
        <v>0.14649681528662417</v>
      </c>
      <c r="JO217" s="198">
        <f t="shared" ref="JO217" si="3728">JO216/JH216-1</f>
        <v>9.3883357041251836E-2</v>
      </c>
      <c r="JQ217" s="197" t="str">
        <f t="shared" si="1250"/>
        <v>YoY Change (%)</v>
      </c>
      <c r="JR217" s="198">
        <f>JR216/JK216-1</f>
        <v>1.6129032258064502E-2</v>
      </c>
      <c r="JS217" s="198">
        <f t="shared" ref="JS217" si="3729">JS216/JL216-1</f>
        <v>-5.0505050505050386E-2</v>
      </c>
      <c r="JT217" s="198">
        <f t="shared" ref="JT217" si="3730">JT216/JM216-1</f>
        <v>-4.8780487804878092E-2</v>
      </c>
      <c r="JU217" s="198">
        <f t="shared" ref="JU217" si="3731">JU216/JN216-1</f>
        <v>-5.555555555555558E-2</v>
      </c>
      <c r="JV217" s="198">
        <f t="shared" ref="JV217" si="3732">JV216/JO216-1</f>
        <v>-3.5110533159948165E-2</v>
      </c>
      <c r="JX217" s="197" t="str">
        <f t="shared" si="1251"/>
        <v>YoY Change (%)</v>
      </c>
      <c r="JY217" s="198">
        <f>JY216/JR216-1</f>
        <v>5.2910052910053018E-2</v>
      </c>
      <c r="JZ217" s="198">
        <f t="shared" ref="JZ217" si="3733">JZ216/JS216-1</f>
        <v>-0.24468085106382975</v>
      </c>
      <c r="KA217" s="198">
        <f t="shared" ref="KA217" si="3734">KA216/JT216-1</f>
        <v>-0.18461538461538463</v>
      </c>
      <c r="KB217" s="198">
        <f t="shared" ref="KB217" si="3735">KB216/JU216-1</f>
        <v>2.9411764705882248E-2</v>
      </c>
      <c r="KC217" s="198">
        <f t="shared" ref="KC217" si="3736">KC216/JV216-1</f>
        <v>-9.0296495956873168E-2</v>
      </c>
      <c r="KE217" s="197" t="str">
        <f t="shared" si="1252"/>
        <v>YoY Change (%)</v>
      </c>
      <c r="KF217" s="198">
        <f>KF216/JY216-1</f>
        <v>-6.5326633165829096E-2</v>
      </c>
      <c r="KG217" s="198">
        <f t="shared" ref="KG217" si="3737">KG216/JZ216-1</f>
        <v>0.43661971830985946</v>
      </c>
      <c r="KH217" s="198">
        <f t="shared" ref="KH217" si="3738">KH216/KA216-1</f>
        <v>0.29559748427672972</v>
      </c>
      <c r="KI217" s="198">
        <f t="shared" ref="KI217" si="3739">KI216/KB216-1</f>
        <v>0.14285714285714302</v>
      </c>
      <c r="KJ217" s="198">
        <f t="shared" ref="KJ217" si="3740">KJ216/KC216-1</f>
        <v>0.17925925925925923</v>
      </c>
      <c r="KL217" s="197" t="str">
        <f t="shared" si="1253"/>
        <v>YoY Change (%)</v>
      </c>
      <c r="KM217" s="198">
        <f>KM216/KF216-1</f>
        <v>5.9139784946236507E-2</v>
      </c>
      <c r="KN217" s="198">
        <f t="shared" ref="KN217" si="3741">KN216/KG216-1</f>
        <v>5.8823529411764719E-2</v>
      </c>
      <c r="KO217" s="198">
        <f t="shared" ref="KO217" si="3742">KO216/KH216-1</f>
        <v>2.4271844660193942E-2</v>
      </c>
      <c r="KP217" s="198">
        <f t="shared" ref="KP217" si="3743">KP216/KI216-1</f>
        <v>1.9999999999999796E-2</v>
      </c>
      <c r="KQ217" s="198">
        <f t="shared" ref="KQ217" si="3744">KQ216/KJ216-1</f>
        <v>4.020100502512558E-2</v>
      </c>
      <c r="KS217" s="197" t="str">
        <f t="shared" si="1254"/>
        <v>YoY Change (%)</v>
      </c>
      <c r="KT217" s="198">
        <f>KT216/KM216-1</f>
        <v>0.2131979695431474</v>
      </c>
      <c r="KU217" s="198">
        <f t="shared" ref="KU217" si="3745">KU216/KN216-1</f>
        <v>0.11111111111111094</v>
      </c>
      <c r="KV217" s="198">
        <f t="shared" ref="KV217" si="3746">KV216/KO216-1</f>
        <v>6.6350710900473953E-2</v>
      </c>
      <c r="KW217" s="198">
        <f t="shared" ref="KW217" si="3747">KW216/KP216-1</f>
        <v>4.4117647058823595E-2</v>
      </c>
      <c r="KX217" s="198">
        <f t="shared" ref="KX217" si="3748">KX216/KQ216-1</f>
        <v>0.10748792270531382</v>
      </c>
      <c r="KZ217" s="197" t="str">
        <f t="shared" si="1255"/>
        <v>YoY Change (%)</v>
      </c>
      <c r="LA217" s="198">
        <f>LA216/KT216-1</f>
        <v>9.6234309623431047E-2</v>
      </c>
      <c r="LB217" s="198">
        <f>LB216/KU216-1</f>
        <v>-4.166666666666663E-2</v>
      </c>
      <c r="LC217" s="198">
        <f>LC216/KV216-1</f>
        <v>-7.5555555555555598E-2</v>
      </c>
      <c r="LD217" s="198">
        <f t="shared" ref="LD217" si="3749">LD216/KW216-1</f>
        <v>-5.6338028169013898E-2</v>
      </c>
      <c r="LE217" s="199">
        <f t="shared" ref="LE217" si="3750">LE216/KX216-1</f>
        <v>-1.7448200654307411E-2</v>
      </c>
      <c r="LF217" s="574"/>
      <c r="LG217" s="197" t="str">
        <f t="shared" si="1256"/>
        <v>YoY Change (%)</v>
      </c>
      <c r="LH217" s="198">
        <f>LH216/LA216-1</f>
        <v>-0.20229007633587792</v>
      </c>
      <c r="LI217" s="198">
        <f>LI216/LB216-1</f>
        <v>-2.6086956521739091E-2</v>
      </c>
      <c r="LJ217" s="198">
        <f>LJ216/LC216-1</f>
        <v>7.6923076923076872E-2</v>
      </c>
      <c r="LK217" s="198">
        <f>LK216/LD216-1</f>
        <v>5.4726368159203842E-2</v>
      </c>
      <c r="LL217" s="199">
        <f t="shared" ref="LL217" si="3751">LL216/LE216-1</f>
        <v>-3.5516093229744694E-2</v>
      </c>
      <c r="LM217" s="574"/>
      <c r="LN217" s="197" t="str">
        <f t="shared" si="1257"/>
        <v>YoY Change (%)</v>
      </c>
      <c r="LO217" s="199">
        <f>LO216/LH216-1</f>
        <v>7.3812499999999837E-2</v>
      </c>
      <c r="LP217" s="199">
        <f t="shared" ref="LP217" si="3752">LP216/LI216-1</f>
        <v>2.7125000000000066E-2</v>
      </c>
      <c r="LQ217" s="199">
        <f t="shared" ref="LQ217" si="3753">LQ216/LJ216-1</f>
        <v>5.8312499999999989E-2</v>
      </c>
      <c r="LR217" s="199">
        <f t="shared" ref="LR217" si="3754">LR216/LK216-1</f>
        <v>4.2912500000000131E-2</v>
      </c>
      <c r="LS217" s="199">
        <f t="shared" ref="LS217" si="3755">LS216/LL216-1</f>
        <v>5.0244260644418892E-2</v>
      </c>
      <c r="LT217" s="574"/>
      <c r="LU217" s="197" t="str">
        <f t="shared" si="1261"/>
        <v>YoY Change (%)</v>
      </c>
      <c r="LV217" s="199">
        <f>LV216/LO216-1</f>
        <v>5.3187499999999943E-2</v>
      </c>
      <c r="LW217" s="199">
        <f t="shared" ref="LW217" si="3756">LW216/LP216-1</f>
        <v>5.3187499999999943E-2</v>
      </c>
      <c r="LX217" s="199">
        <f t="shared" ref="LX217" si="3757">LX216/LQ216-1</f>
        <v>5.3187499999999943E-2</v>
      </c>
      <c r="LY217" s="199">
        <f t="shared" ref="LY217" si="3758">LY216/LR216-1</f>
        <v>5.3187500000000165E-2</v>
      </c>
      <c r="LZ217" s="199">
        <f t="shared" ref="LZ217" si="3759">LZ216/LS216-1</f>
        <v>5.3187499999999943E-2</v>
      </c>
      <c r="MA217" s="574"/>
      <c r="MB217" s="197" t="str">
        <f t="shared" si="1265"/>
        <v>YoY Change (%)</v>
      </c>
      <c r="MC217" s="199">
        <f>MC216/LV216-1</f>
        <v>5.0624999999999698E-2</v>
      </c>
      <c r="MD217" s="199">
        <f t="shared" ref="MD217" si="3760">MD216/LW216-1</f>
        <v>5.0624999999999698E-2</v>
      </c>
      <c r="ME217" s="199">
        <f t="shared" ref="ME217" si="3761">ME216/LX216-1</f>
        <v>5.0624999999999698E-2</v>
      </c>
      <c r="MF217" s="199">
        <f t="shared" ref="MF217" si="3762">MF216/LY216-1</f>
        <v>5.0624999999999698E-2</v>
      </c>
      <c r="MG217" s="199">
        <f t="shared" ref="MG217" si="3763">MG216/LZ216-1</f>
        <v>5.0624999999999476E-2</v>
      </c>
      <c r="MH217" s="574"/>
    </row>
    <row r="218" spans="1:346" s="37" customFormat="1" ht="13.15" x14ac:dyDescent="0.4">
      <c r="A218" s="100"/>
      <c r="C218" s="186"/>
      <c r="D218" s="186"/>
      <c r="E218" s="186"/>
      <c r="F218" s="186"/>
      <c r="G218" s="186"/>
      <c r="H218" s="186"/>
      <c r="I218" s="186"/>
      <c r="J218" s="186"/>
      <c r="K218" s="186"/>
      <c r="L218" s="186"/>
      <c r="M218" s="186"/>
      <c r="N218" s="193"/>
      <c r="O218" s="193"/>
      <c r="P218" s="193"/>
      <c r="Q218" s="193"/>
      <c r="R218" s="193"/>
      <c r="S218" s="193"/>
      <c r="T218" s="193"/>
      <c r="U218" s="193"/>
      <c r="V218" s="193"/>
      <c r="W218" s="193"/>
      <c r="X218" s="193"/>
      <c r="Y218" s="193"/>
      <c r="Z218" s="193"/>
      <c r="AA218" s="193"/>
      <c r="AB218" s="193"/>
      <c r="AC218" s="193"/>
      <c r="AD218" s="193"/>
      <c r="AE218" s="193"/>
      <c r="AF218" s="193"/>
      <c r="AG218" s="193"/>
      <c r="AH218" s="193"/>
      <c r="AI218" s="193"/>
      <c r="AJ218" s="193"/>
      <c r="AK218" s="193"/>
      <c r="AL218" s="193"/>
      <c r="AM218" s="193"/>
      <c r="AN218" s="193"/>
      <c r="AO218" s="193"/>
      <c r="AP218" s="193"/>
      <c r="AQ218" s="193"/>
      <c r="AR218" s="193"/>
      <c r="AS218" s="193"/>
      <c r="AT218" s="193"/>
      <c r="AU218" s="193"/>
      <c r="AV218" s="193"/>
      <c r="AW218" s="193"/>
      <c r="AX218" s="193"/>
      <c r="AY218" s="193"/>
      <c r="AZ218" s="193"/>
      <c r="BA218" s="193"/>
      <c r="BB218" s="193"/>
      <c r="BC218" s="193"/>
      <c r="BD218" s="193"/>
      <c r="BE218" s="193"/>
      <c r="BF218" s="193"/>
      <c r="BG218" s="193"/>
      <c r="BH218" s="193"/>
      <c r="BI218" s="193"/>
      <c r="BJ218" s="193"/>
      <c r="BK218" s="193"/>
      <c r="BL218" s="193"/>
      <c r="BM218" s="193"/>
      <c r="BP218" s="193"/>
      <c r="BQ218" s="193"/>
      <c r="BR218" s="193"/>
      <c r="BS218" s="193"/>
      <c r="BT218" s="193"/>
      <c r="BW218" s="193"/>
      <c r="BX218" s="193"/>
      <c r="BY218" s="193"/>
      <c r="BZ218" s="193"/>
      <c r="CA218" s="193"/>
      <c r="CD218" s="193"/>
      <c r="CE218" s="193"/>
      <c r="CF218" s="193"/>
      <c r="CG218" s="193"/>
      <c r="CH218" s="193"/>
      <c r="CK218" s="193"/>
      <c r="CL218" s="193"/>
      <c r="CM218" s="193"/>
      <c r="CN218" s="193"/>
      <c r="CO218" s="193"/>
      <c r="CR218" s="193"/>
      <c r="CS218" s="193"/>
      <c r="CT218" s="193"/>
      <c r="CU218" s="193"/>
      <c r="CV218" s="193"/>
      <c r="CY218" s="193"/>
      <c r="CZ218" s="193"/>
      <c r="DA218" s="193"/>
      <c r="DB218" s="193"/>
      <c r="DC218" s="193"/>
      <c r="DF218" s="193"/>
      <c r="DG218" s="193"/>
      <c r="DH218" s="193"/>
      <c r="DI218" s="193"/>
      <c r="DJ218" s="193"/>
      <c r="DM218" s="193"/>
      <c r="DN218" s="193"/>
      <c r="DO218" s="193"/>
      <c r="DP218" s="193"/>
      <c r="DQ218" s="193"/>
      <c r="DT218" s="193"/>
      <c r="DU218" s="193"/>
      <c r="DV218" s="193"/>
      <c r="DW218" s="193"/>
      <c r="DX218" s="193"/>
      <c r="EA218" s="193"/>
      <c r="EB218" s="193"/>
      <c r="EC218" s="193"/>
      <c r="ED218" s="193"/>
      <c r="EE218" s="193"/>
      <c r="EH218" s="193"/>
      <c r="EI218" s="193"/>
      <c r="EJ218" s="193"/>
      <c r="EK218" s="193"/>
      <c r="EL218" s="193"/>
      <c r="EO218" s="193"/>
      <c r="EP218" s="193"/>
      <c r="EQ218" s="193"/>
      <c r="ER218" s="193"/>
      <c r="ES218" s="193"/>
      <c r="EV218" s="193"/>
      <c r="EW218" s="193"/>
      <c r="EX218" s="193"/>
      <c r="EY218" s="193"/>
      <c r="EZ218" s="193"/>
      <c r="FC218" s="193"/>
      <c r="FD218" s="193"/>
      <c r="FE218" s="193"/>
      <c r="FF218" s="193"/>
      <c r="FG218" s="193"/>
      <c r="FJ218" s="193"/>
      <c r="FK218" s="193"/>
      <c r="FL218" s="193"/>
      <c r="FM218" s="193"/>
      <c r="FN218" s="193"/>
      <c r="FQ218" s="193"/>
      <c r="FR218" s="193"/>
      <c r="FS218" s="193"/>
      <c r="FT218" s="193"/>
      <c r="FU218" s="193"/>
      <c r="FX218" s="193"/>
      <c r="FY218" s="193"/>
      <c r="FZ218" s="193"/>
      <c r="GA218" s="193"/>
      <c r="GB218" s="193"/>
      <c r="GE218" s="193"/>
      <c r="GF218" s="193"/>
      <c r="GG218" s="193"/>
      <c r="GH218" s="193"/>
      <c r="GI218" s="193"/>
      <c r="GL218" s="193"/>
      <c r="GM218" s="193"/>
      <c r="GN218" s="193"/>
      <c r="GO218" s="193"/>
      <c r="GP218" s="193"/>
      <c r="GS218" s="193"/>
      <c r="GT218" s="193"/>
      <c r="GU218" s="193"/>
      <c r="GV218" s="193"/>
      <c r="GW218" s="193"/>
      <c r="GZ218" s="193"/>
      <c r="HA218" s="193"/>
      <c r="HB218" s="193"/>
      <c r="HC218" s="193"/>
      <c r="HD218" s="193"/>
      <c r="HG218" s="193"/>
      <c r="HH218" s="193"/>
      <c r="HI218" s="193"/>
      <c r="HJ218" s="193"/>
      <c r="HK218" s="193"/>
      <c r="HN218" s="193"/>
      <c r="HO218" s="193"/>
      <c r="HP218" s="193"/>
      <c r="HQ218" s="193"/>
      <c r="HR218" s="193"/>
      <c r="HU218" s="193"/>
      <c r="HV218" s="193"/>
      <c r="HW218" s="193"/>
      <c r="HX218" s="193"/>
      <c r="HY218" s="193"/>
      <c r="IB218" s="193"/>
      <c r="IC218" s="193"/>
      <c r="ID218" s="193"/>
      <c r="IE218" s="193"/>
      <c r="IF218" s="193"/>
      <c r="II218" s="193"/>
      <c r="IJ218" s="193"/>
      <c r="IK218" s="193"/>
      <c r="IL218" s="193"/>
      <c r="IM218" s="193"/>
      <c r="IP218" s="193"/>
      <c r="IQ218" s="193"/>
      <c r="IR218" s="193"/>
      <c r="IS218" s="193"/>
      <c r="IT218" s="193"/>
      <c r="IW218" s="193"/>
      <c r="IX218" s="193"/>
      <c r="IY218" s="193"/>
      <c r="IZ218" s="193"/>
      <c r="JA218" s="193"/>
      <c r="JD218" s="193"/>
      <c r="JE218" s="193"/>
      <c r="JF218" s="193"/>
      <c r="JG218" s="193"/>
      <c r="JH218" s="193"/>
      <c r="JK218" s="193"/>
      <c r="JL218" s="193"/>
      <c r="JM218" s="193"/>
      <c r="JN218" s="193"/>
      <c r="JO218" s="193"/>
      <c r="JR218" s="193"/>
      <c r="JS218" s="193"/>
      <c r="JT218" s="193"/>
      <c r="JU218" s="193"/>
      <c r="JV218" s="193"/>
      <c r="JY218" s="193"/>
      <c r="JZ218" s="193"/>
      <c r="KA218" s="193"/>
      <c r="KB218" s="193"/>
      <c r="KC218" s="193"/>
      <c r="KF218" s="193"/>
      <c r="KG218" s="193"/>
      <c r="KH218" s="193"/>
      <c r="KI218" s="193"/>
      <c r="KJ218" s="193"/>
      <c r="KM218" s="193"/>
      <c r="KN218" s="193"/>
      <c r="KO218" s="193"/>
      <c r="KP218" s="193"/>
      <c r="KQ218" s="193"/>
      <c r="KT218" s="193"/>
      <c r="KU218" s="193"/>
      <c r="KV218" s="193"/>
      <c r="KW218" s="193"/>
      <c r="KX218" s="193"/>
      <c r="LA218" s="193"/>
      <c r="LB218" s="193"/>
      <c r="LC218" s="193"/>
      <c r="LD218" s="193"/>
      <c r="LE218" s="193"/>
      <c r="LF218" s="555"/>
      <c r="LH218" s="193"/>
      <c r="LI218" s="193"/>
      <c r="LJ218" s="193"/>
      <c r="LK218" s="193"/>
      <c r="LL218" s="193"/>
      <c r="LM218" s="555"/>
      <c r="LO218" s="192"/>
      <c r="LP218" s="192"/>
      <c r="LQ218" s="192"/>
      <c r="LR218" s="192"/>
      <c r="LS218" s="193"/>
      <c r="LT218" s="555"/>
      <c r="LV218" s="192"/>
      <c r="LW218" s="192"/>
      <c r="LX218" s="192"/>
      <c r="LY218" s="192"/>
      <c r="LZ218" s="193"/>
      <c r="MA218" s="555"/>
      <c r="MC218" s="192"/>
      <c r="MD218" s="192"/>
      <c r="ME218" s="192"/>
      <c r="MF218" s="192"/>
      <c r="MG218" s="193"/>
      <c r="MH218" s="555"/>
    </row>
    <row r="219" spans="1:346" s="37" customFormat="1" ht="13.5" customHeight="1" x14ac:dyDescent="0.4">
      <c r="A219" s="100"/>
      <c r="B219" s="206" t="s">
        <v>322</v>
      </c>
      <c r="C219" s="186"/>
      <c r="D219" s="186"/>
      <c r="E219" s="186"/>
      <c r="F219" s="186"/>
      <c r="G219" s="186"/>
      <c r="H219" s="186"/>
      <c r="I219" s="186"/>
      <c r="J219" s="186"/>
      <c r="K219" s="186"/>
      <c r="L219" s="186"/>
      <c r="M219" s="186"/>
      <c r="N219" s="200"/>
      <c r="O219" s="200"/>
      <c r="P219" s="200"/>
      <c r="Q219" s="200"/>
      <c r="R219" s="200"/>
      <c r="S219" s="200"/>
      <c r="T219" s="200"/>
      <c r="U219" s="200"/>
      <c r="V219" s="200"/>
      <c r="W219" s="200"/>
      <c r="X219" s="200"/>
      <c r="Y219" s="200"/>
      <c r="Z219" s="200"/>
      <c r="AA219" s="200"/>
      <c r="AB219" s="200"/>
      <c r="AC219" s="200"/>
      <c r="AD219" s="200"/>
      <c r="AE219" s="200"/>
      <c r="AF219" s="200"/>
      <c r="AG219" s="200"/>
      <c r="AH219" s="200"/>
      <c r="AI219" s="200"/>
      <c r="AJ219" s="200"/>
      <c r="AK219" s="200"/>
      <c r="AL219" s="200"/>
      <c r="AM219" s="200"/>
      <c r="AN219" s="200"/>
      <c r="AO219" s="200"/>
      <c r="AP219" s="200"/>
      <c r="AQ219" s="200"/>
      <c r="AR219" s="200"/>
      <c r="AS219" s="200"/>
      <c r="AT219" s="200"/>
      <c r="AU219" s="200"/>
      <c r="AV219" s="200"/>
      <c r="AW219" s="200"/>
      <c r="AX219" s="200"/>
      <c r="AY219" s="200"/>
      <c r="AZ219" s="200"/>
      <c r="BA219" s="200"/>
      <c r="BB219" s="200"/>
      <c r="BC219" s="200"/>
      <c r="BD219" s="200"/>
      <c r="BE219" s="200"/>
      <c r="BF219" s="200"/>
      <c r="BG219" s="200"/>
      <c r="BH219" s="200"/>
      <c r="BI219" s="200"/>
      <c r="BJ219" s="200"/>
      <c r="BK219" s="200"/>
      <c r="BL219" s="200"/>
      <c r="BM219" s="200"/>
      <c r="BO219" s="206" t="str">
        <f t="shared" si="1220"/>
        <v>Forest Products</v>
      </c>
      <c r="BP219" s="200"/>
      <c r="BQ219" s="200"/>
      <c r="BR219" s="200"/>
      <c r="BS219" s="200"/>
      <c r="BT219" s="200"/>
      <c r="BV219" s="206" t="str">
        <f t="shared" si="1221"/>
        <v>Forest Products</v>
      </c>
      <c r="BW219" s="200"/>
      <c r="BX219" s="200"/>
      <c r="BY219" s="200"/>
      <c r="BZ219" s="200"/>
      <c r="CA219" s="200"/>
      <c r="CC219" s="206" t="str">
        <f t="shared" si="1222"/>
        <v>Forest Products</v>
      </c>
      <c r="CD219" s="200"/>
      <c r="CE219" s="200"/>
      <c r="CF219" s="200"/>
      <c r="CG219" s="200"/>
      <c r="CH219" s="200"/>
      <c r="CJ219" s="206" t="str">
        <f t="shared" si="1223"/>
        <v>Forest Products</v>
      </c>
      <c r="CK219" s="200"/>
      <c r="CL219" s="200"/>
      <c r="CM219" s="200"/>
      <c r="CN219" s="200"/>
      <c r="CO219" s="200"/>
      <c r="CQ219" s="206" t="str">
        <f t="shared" si="1224"/>
        <v>Forest Products</v>
      </c>
      <c r="CR219" s="200"/>
      <c r="CS219" s="200"/>
      <c r="CT219" s="200"/>
      <c r="CU219" s="200"/>
      <c r="CV219" s="200"/>
      <c r="CX219" s="206" t="str">
        <f t="shared" si="1225"/>
        <v>Forest Products</v>
      </c>
      <c r="CY219" s="200"/>
      <c r="CZ219" s="200"/>
      <c r="DA219" s="200"/>
      <c r="DB219" s="200"/>
      <c r="DC219" s="200"/>
      <c r="DE219" s="206" t="str">
        <f t="shared" si="1226"/>
        <v>Forest Products</v>
      </c>
      <c r="DF219" s="200"/>
      <c r="DG219" s="200"/>
      <c r="DH219" s="200"/>
      <c r="DI219" s="200"/>
      <c r="DJ219" s="200"/>
      <c r="DL219" s="206" t="str">
        <f t="shared" si="1227"/>
        <v>Forest Products</v>
      </c>
      <c r="DM219" s="200"/>
      <c r="DN219" s="200"/>
      <c r="DO219" s="200"/>
      <c r="DP219" s="200"/>
      <c r="DQ219" s="200"/>
      <c r="DS219" s="206" t="str">
        <f t="shared" si="1228"/>
        <v>Forest Products</v>
      </c>
      <c r="DT219" s="200"/>
      <c r="DU219" s="200"/>
      <c r="DV219" s="200"/>
      <c r="DW219" s="200"/>
      <c r="DX219" s="200"/>
      <c r="DZ219" s="206" t="str">
        <f t="shared" si="1229"/>
        <v>Forest Products</v>
      </c>
      <c r="EA219" s="200"/>
      <c r="EB219" s="200"/>
      <c r="EC219" s="200"/>
      <c r="ED219" s="200"/>
      <c r="EE219" s="200"/>
      <c r="EG219" s="206" t="str">
        <f t="shared" si="1230"/>
        <v>Forest Products</v>
      </c>
      <c r="EH219" s="200"/>
      <c r="EI219" s="200"/>
      <c r="EJ219" s="200"/>
      <c r="EK219" s="200"/>
      <c r="EL219" s="200"/>
      <c r="EN219" s="206" t="str">
        <f t="shared" si="1231"/>
        <v>Forest Products</v>
      </c>
      <c r="EO219" s="200"/>
      <c r="EP219" s="200"/>
      <c r="EQ219" s="200"/>
      <c r="ER219" s="200"/>
      <c r="ES219" s="200"/>
      <c r="EU219" s="206" t="str">
        <f t="shared" si="1232"/>
        <v>Forest Products</v>
      </c>
      <c r="EV219" s="200"/>
      <c r="EW219" s="200"/>
      <c r="EX219" s="200"/>
      <c r="EY219" s="200"/>
      <c r="EZ219" s="200"/>
      <c r="FB219" s="206" t="str">
        <f t="shared" si="1233"/>
        <v>Forest Products</v>
      </c>
      <c r="FC219" s="200"/>
      <c r="FD219" s="200"/>
      <c r="FE219" s="200"/>
      <c r="FF219" s="200"/>
      <c r="FG219" s="200"/>
      <c r="FI219" s="206" t="str">
        <f t="shared" si="1234"/>
        <v>Forest Products</v>
      </c>
      <c r="FJ219" s="200"/>
      <c r="FK219" s="200"/>
      <c r="FL219" s="200"/>
      <c r="FM219" s="200"/>
      <c r="FN219" s="200"/>
      <c r="FP219" s="206" t="str">
        <f t="shared" si="1235"/>
        <v>Forest Products</v>
      </c>
      <c r="FQ219" s="200"/>
      <c r="FR219" s="200"/>
      <c r="FS219" s="200"/>
      <c r="FT219" s="200"/>
      <c r="FU219" s="200"/>
      <c r="FW219" s="206" t="str">
        <f t="shared" si="1236"/>
        <v>Forest Products</v>
      </c>
      <c r="FX219" s="200"/>
      <c r="FY219" s="200"/>
      <c r="FZ219" s="200"/>
      <c r="GA219" s="200"/>
      <c r="GB219" s="200"/>
      <c r="GD219" s="206" t="str">
        <f t="shared" si="1237"/>
        <v>Forest Products</v>
      </c>
      <c r="GE219" s="200"/>
      <c r="GF219" s="200"/>
      <c r="GG219" s="200"/>
      <c r="GH219" s="200"/>
      <c r="GI219" s="200"/>
      <c r="GK219" s="206" t="str">
        <f t="shared" si="1238"/>
        <v>Forest Products</v>
      </c>
      <c r="GL219" s="200"/>
      <c r="GM219" s="200"/>
      <c r="GN219" s="200"/>
      <c r="GO219" s="200"/>
      <c r="GP219" s="200"/>
      <c r="GR219" s="206" t="str">
        <f t="shared" si="1239"/>
        <v>Forest Products</v>
      </c>
      <c r="GS219" s="200"/>
      <c r="GT219" s="200"/>
      <c r="GU219" s="200"/>
      <c r="GV219" s="200"/>
      <c r="GW219" s="200"/>
      <c r="GY219" s="206" t="str">
        <f t="shared" si="1240"/>
        <v>Forest Products</v>
      </c>
      <c r="GZ219" s="200"/>
      <c r="HA219" s="200"/>
      <c r="HB219" s="200"/>
      <c r="HC219" s="200"/>
      <c r="HD219" s="200"/>
      <c r="HF219" s="206" t="str">
        <f t="shared" si="1241"/>
        <v>Forest Products</v>
      </c>
      <c r="HG219" s="200"/>
      <c r="HH219" s="200"/>
      <c r="HI219" s="200"/>
      <c r="HJ219" s="200"/>
      <c r="HK219" s="200"/>
      <c r="HM219" s="206" t="str">
        <f t="shared" si="1242"/>
        <v>Forest Products</v>
      </c>
      <c r="HN219" s="200"/>
      <c r="HO219" s="200"/>
      <c r="HP219" s="200"/>
      <c r="HQ219" s="200"/>
      <c r="HR219" s="200"/>
      <c r="HT219" s="206" t="str">
        <f t="shared" si="1243"/>
        <v>Forest Products</v>
      </c>
      <c r="HU219" s="200"/>
      <c r="HV219" s="200"/>
      <c r="HW219" s="200"/>
      <c r="HX219" s="200"/>
      <c r="HY219" s="200"/>
      <c r="IA219" s="206" t="str">
        <f t="shared" si="1244"/>
        <v>Forest Products</v>
      </c>
      <c r="IB219" s="200"/>
      <c r="IC219" s="200"/>
      <c r="ID219" s="200"/>
      <c r="IE219" s="200"/>
      <c r="IF219" s="200"/>
      <c r="IH219" s="206" t="str">
        <f t="shared" si="1245"/>
        <v>Forest Products</v>
      </c>
      <c r="II219" s="200"/>
      <c r="IJ219" s="200"/>
      <c r="IK219" s="200"/>
      <c r="IL219" s="200"/>
      <c r="IM219" s="200"/>
      <c r="IO219" s="206" t="str">
        <f t="shared" si="1246"/>
        <v>Forest Products</v>
      </c>
      <c r="IP219" s="200"/>
      <c r="IQ219" s="200"/>
      <c r="IR219" s="200"/>
      <c r="IS219" s="200"/>
      <c r="IT219" s="200"/>
      <c r="IV219" s="206" t="str">
        <f t="shared" si="1247"/>
        <v>Forest Products</v>
      </c>
      <c r="IW219" s="200"/>
      <c r="IX219" s="200"/>
      <c r="IY219" s="200"/>
      <c r="IZ219" s="200"/>
      <c r="JA219" s="200"/>
      <c r="JC219" s="206" t="str">
        <f t="shared" si="1248"/>
        <v>Forest Products</v>
      </c>
      <c r="JD219" s="200"/>
      <c r="JE219" s="200"/>
      <c r="JF219" s="200"/>
      <c r="JG219" s="200"/>
      <c r="JH219" s="200"/>
      <c r="JJ219" s="206" t="str">
        <f t="shared" si="1249"/>
        <v>Forest Products</v>
      </c>
      <c r="JK219" s="200"/>
      <c r="JL219" s="200"/>
      <c r="JM219" s="200"/>
      <c r="JN219" s="200"/>
      <c r="JO219" s="200"/>
      <c r="JQ219" s="206" t="str">
        <f t="shared" si="1250"/>
        <v>Forest Products</v>
      </c>
      <c r="JR219" s="200"/>
      <c r="JS219" s="200"/>
      <c r="JT219" s="200"/>
      <c r="JU219" s="200"/>
      <c r="JV219" s="200"/>
      <c r="JX219" s="206" t="str">
        <f t="shared" si="1251"/>
        <v>Forest Products</v>
      </c>
      <c r="JY219" s="200"/>
      <c r="JZ219" s="200"/>
      <c r="KA219" s="200"/>
      <c r="KB219" s="200"/>
      <c r="KC219" s="200"/>
      <c r="KE219" s="206" t="str">
        <f t="shared" si="1252"/>
        <v>Forest Products</v>
      </c>
      <c r="KF219" s="200"/>
      <c r="KG219" s="200"/>
      <c r="KH219" s="200"/>
      <c r="KI219" s="200"/>
      <c r="KJ219" s="200"/>
      <c r="KL219" s="206" t="str">
        <f t="shared" si="1253"/>
        <v>Forest Products</v>
      </c>
      <c r="KM219" s="200"/>
      <c r="KN219" s="200"/>
      <c r="KO219" s="200"/>
      <c r="KP219" s="200"/>
      <c r="KQ219" s="200"/>
      <c r="KS219" s="206" t="str">
        <f t="shared" si="1254"/>
        <v>Forest Products</v>
      </c>
      <c r="KT219" s="200"/>
      <c r="KU219" s="200"/>
      <c r="KV219" s="200"/>
      <c r="KW219" s="200"/>
      <c r="KX219" s="200"/>
      <c r="KZ219" s="206" t="str">
        <f t="shared" si="1255"/>
        <v>Forest Products</v>
      </c>
      <c r="LA219" s="200"/>
      <c r="LB219" s="200"/>
      <c r="LC219" s="200"/>
      <c r="LD219" s="200"/>
      <c r="LE219" s="193"/>
      <c r="LF219" s="555"/>
      <c r="LG219" s="206" t="str">
        <f t="shared" si="1256"/>
        <v>Forest Products</v>
      </c>
      <c r="LH219" s="198">
        <f>LH220/LD220-1</f>
        <v>-2.777777777777779E-2</v>
      </c>
      <c r="LI219" s="198">
        <f>LI220/LH220-1</f>
        <v>0</v>
      </c>
      <c r="LJ219" s="198">
        <f>LJ220/LI220-1</f>
        <v>-2.8571428571428581E-2</v>
      </c>
      <c r="LK219" s="198">
        <f>LK220/LJ220-1</f>
        <v>-5.8823529411764719E-2</v>
      </c>
      <c r="LL219" s="193"/>
      <c r="LM219" s="555"/>
      <c r="LN219" s="68" t="str">
        <f>$B219</f>
        <v>Forest Products</v>
      </c>
      <c r="LO219" s="198">
        <f>LO220/LK220-1</f>
        <v>-4.6874999999999556E-3</v>
      </c>
      <c r="LP219" s="198">
        <f>LP220/LO220-1</f>
        <v>4.9450549450549275E-2</v>
      </c>
      <c r="LQ219" s="198">
        <f>LQ220/LP220-1</f>
        <v>2.7374719521316537E-2</v>
      </c>
      <c r="LR219" s="198">
        <f>LR220/LQ220-1</f>
        <v>-4.9504950495049549E-2</v>
      </c>
      <c r="LS219" s="193"/>
      <c r="LT219" s="555"/>
      <c r="LU219" s="68" t="str">
        <f>$B219</f>
        <v>Forest Products</v>
      </c>
      <c r="LV219" s="198">
        <f>LV220/LR220-1</f>
        <v>-1.4445465686274472E-2</v>
      </c>
      <c r="LW219" s="198">
        <f>LW220/LV220-1</f>
        <v>4.9450549450549275E-2</v>
      </c>
      <c r="LX219" s="198">
        <f>LX220/LW220-1</f>
        <v>3.2460732984293417E-2</v>
      </c>
      <c r="LY219" s="198">
        <f>LY220/LX220-1</f>
        <v>-4.4822708871872452E-2</v>
      </c>
      <c r="LZ219" s="193"/>
      <c r="MA219" s="555"/>
      <c r="MB219" s="68" t="str">
        <f>$B219</f>
        <v>Forest Products</v>
      </c>
      <c r="MC219" s="198">
        <f>MC220/LY220-1</f>
        <v>-1.4445465686274583E-2</v>
      </c>
      <c r="MD219" s="198">
        <f>MD220/MC220-1</f>
        <v>5.4594914889032342E-2</v>
      </c>
      <c r="ME219" s="198">
        <f>ME220/MD220-1</f>
        <v>3.7497126803728964E-2</v>
      </c>
      <c r="MF219" s="198">
        <f>MF220/ME220-1</f>
        <v>-4.9459491838513947E-2</v>
      </c>
      <c r="MG219" s="193"/>
      <c r="MH219" s="555"/>
    </row>
    <row r="220" spans="1:346" s="37" customFormat="1" ht="13.15" x14ac:dyDescent="0.4">
      <c r="A220" s="100"/>
      <c r="B220" s="37" t="s">
        <v>342</v>
      </c>
      <c r="C220" s="186"/>
      <c r="D220" s="186"/>
      <c r="E220" s="186"/>
      <c r="F220" s="186"/>
      <c r="G220" s="186"/>
      <c r="H220" s="186"/>
      <c r="I220" s="186"/>
      <c r="J220" s="186"/>
      <c r="K220" s="186"/>
      <c r="L220" s="186"/>
      <c r="M220" s="186"/>
      <c r="N220" s="194">
        <f t="shared" ref="N220:AY220" si="3764">N74</f>
        <v>547</v>
      </c>
      <c r="O220" s="194">
        <f t="shared" si="3764"/>
        <v>510</v>
      </c>
      <c r="P220" s="194">
        <f t="shared" si="3764"/>
        <v>439</v>
      </c>
      <c r="Q220" s="194">
        <f t="shared" si="3764"/>
        <v>441</v>
      </c>
      <c r="R220" s="194">
        <f t="shared" si="3764"/>
        <v>435</v>
      </c>
      <c r="S220" s="194">
        <f t="shared" si="3764"/>
        <v>442</v>
      </c>
      <c r="T220" s="194">
        <f t="shared" si="3764"/>
        <v>456</v>
      </c>
      <c r="U220" s="194">
        <f t="shared" si="3764"/>
        <v>460</v>
      </c>
      <c r="V220" s="194">
        <f t="shared" si="3764"/>
        <v>471</v>
      </c>
      <c r="W220" s="194">
        <f t="shared" si="3764"/>
        <v>457</v>
      </c>
      <c r="X220" s="194">
        <f t="shared" si="3764"/>
        <v>505</v>
      </c>
      <c r="Y220" s="194">
        <f t="shared" si="3764"/>
        <v>648</v>
      </c>
      <c r="Z220" s="194">
        <f t="shared" si="3764"/>
        <v>597</v>
      </c>
      <c r="AA220" s="194">
        <f t="shared" si="3764"/>
        <v>590</v>
      </c>
      <c r="AB220" s="194">
        <f t="shared" si="3764"/>
        <v>493</v>
      </c>
      <c r="AC220" s="194">
        <f t="shared" si="3764"/>
        <v>465</v>
      </c>
      <c r="AD220" s="194">
        <f t="shared" si="3764"/>
        <v>439</v>
      </c>
      <c r="AE220" s="194">
        <f t="shared" si="3764"/>
        <v>404</v>
      </c>
      <c r="AF220" s="194">
        <f t="shared" si="3764"/>
        <v>385</v>
      </c>
      <c r="AG220" s="194">
        <f t="shared" si="3764"/>
        <v>344</v>
      </c>
      <c r="AH220" s="194">
        <f t="shared" si="3764"/>
        <v>258</v>
      </c>
      <c r="AI220" s="194">
        <f t="shared" si="3764"/>
        <v>265</v>
      </c>
      <c r="AJ220" s="194">
        <f t="shared" si="3764"/>
        <v>281</v>
      </c>
      <c r="AK220" s="194">
        <f t="shared" si="3764"/>
        <v>286</v>
      </c>
      <c r="AL220" s="194">
        <f t="shared" si="3764"/>
        <v>298</v>
      </c>
      <c r="AM220" s="194">
        <f t="shared" si="3764"/>
        <v>307</v>
      </c>
      <c r="AN220" s="194">
        <f t="shared" si="3764"/>
        <v>290</v>
      </c>
      <c r="AO220" s="194">
        <f t="shared" si="3764"/>
        <v>284</v>
      </c>
      <c r="AP220" s="194">
        <f t="shared" si="3764"/>
        <v>305</v>
      </c>
      <c r="AQ220" s="194">
        <f t="shared" si="3764"/>
        <v>316</v>
      </c>
      <c r="AR220" s="194">
        <f t="shared" si="3764"/>
        <v>319</v>
      </c>
      <c r="AS220" s="194">
        <f t="shared" si="3764"/>
        <v>270</v>
      </c>
      <c r="AT220" s="194">
        <f t="shared" si="3764"/>
        <v>296</v>
      </c>
      <c r="AU220" s="194">
        <f t="shared" si="3764"/>
        <v>291</v>
      </c>
      <c r="AV220" s="194">
        <f t="shared" si="3764"/>
        <v>282</v>
      </c>
      <c r="AW220" s="194">
        <f t="shared" si="3764"/>
        <v>289</v>
      </c>
      <c r="AX220" s="194">
        <f t="shared" si="3764"/>
        <v>272</v>
      </c>
      <c r="AY220" s="194">
        <f t="shared" si="3764"/>
        <v>264.51</v>
      </c>
      <c r="AZ220" s="194">
        <f t="shared" ref="AZ220:BA220" si="3765">AZ74</f>
        <v>268.15129999999999</v>
      </c>
      <c r="BA220" s="194">
        <f t="shared" si="3765"/>
        <v>274.88194850000002</v>
      </c>
      <c r="BB220" s="194"/>
      <c r="BC220" s="194"/>
      <c r="BD220" s="194"/>
      <c r="BE220" s="194"/>
      <c r="BF220" s="194"/>
      <c r="BG220" s="194"/>
      <c r="BH220" s="194"/>
      <c r="BI220" s="194"/>
      <c r="BJ220" s="194"/>
      <c r="BK220" s="194"/>
      <c r="BL220" s="194"/>
      <c r="BM220" s="194"/>
      <c r="BO220" s="37" t="str">
        <f t="shared" si="1220"/>
        <v>Carloads (000s)</v>
      </c>
      <c r="BP220" s="195">
        <f>BP74</f>
        <v>147</v>
      </c>
      <c r="BQ220" s="195">
        <f>BQ74</f>
        <v>139</v>
      </c>
      <c r="BR220" s="195">
        <f>BR74</f>
        <v>137</v>
      </c>
      <c r="BS220" s="195">
        <f>BS74</f>
        <v>124</v>
      </c>
      <c r="BT220" s="195">
        <f>BT74</f>
        <v>547</v>
      </c>
      <c r="BV220" s="37" t="str">
        <f t="shared" si="1221"/>
        <v>Carloads (000s)</v>
      </c>
      <c r="BW220" s="195">
        <f>BW74</f>
        <v>137</v>
      </c>
      <c r="BX220" s="195">
        <f>BX74</f>
        <v>132</v>
      </c>
      <c r="BY220" s="195">
        <f>BY74</f>
        <v>127</v>
      </c>
      <c r="BZ220" s="195">
        <f>BZ74</f>
        <v>114</v>
      </c>
      <c r="CA220" s="195">
        <f>CA74</f>
        <v>510</v>
      </c>
      <c r="CC220" s="37" t="str">
        <f t="shared" si="1222"/>
        <v>Carloads (000s)</v>
      </c>
      <c r="CD220" s="195">
        <f>CD74</f>
        <v>113</v>
      </c>
      <c r="CE220" s="195">
        <f>CE74</f>
        <v>107</v>
      </c>
      <c r="CF220" s="195">
        <f>CF74</f>
        <v>110</v>
      </c>
      <c r="CG220" s="195">
        <f>CG74</f>
        <v>109</v>
      </c>
      <c r="CH220" s="195">
        <f>CH74</f>
        <v>439</v>
      </c>
      <c r="CJ220" s="37" t="str">
        <f t="shared" si="1223"/>
        <v>Carloads (000s)</v>
      </c>
      <c r="CK220" s="195">
        <f>CK74</f>
        <v>115</v>
      </c>
      <c r="CL220" s="195">
        <f>CL74</f>
        <v>109</v>
      </c>
      <c r="CM220" s="195">
        <f>CM74</f>
        <v>109</v>
      </c>
      <c r="CN220" s="195">
        <f>CN74</f>
        <v>108</v>
      </c>
      <c r="CO220" s="195">
        <f>CO74</f>
        <v>441</v>
      </c>
      <c r="CQ220" s="37" t="str">
        <f t="shared" si="1224"/>
        <v>Carloads (000s)</v>
      </c>
      <c r="CR220" s="195">
        <f>CR74</f>
        <v>110</v>
      </c>
      <c r="CS220" s="195">
        <f>CS74</f>
        <v>109</v>
      </c>
      <c r="CT220" s="195">
        <f>CT74</f>
        <v>107</v>
      </c>
      <c r="CU220" s="195">
        <f>CU74</f>
        <v>109</v>
      </c>
      <c r="CV220" s="195">
        <f>CV74</f>
        <v>435</v>
      </c>
      <c r="CX220" s="37" t="str">
        <f t="shared" si="1225"/>
        <v>Carloads (000s)</v>
      </c>
      <c r="CY220" s="195">
        <f>CY74</f>
        <v>111</v>
      </c>
      <c r="CZ220" s="195">
        <f>CZ74</f>
        <v>113</v>
      </c>
      <c r="DA220" s="195">
        <f>DA74</f>
        <v>110</v>
      </c>
      <c r="DB220" s="195">
        <f>DB74</f>
        <v>108</v>
      </c>
      <c r="DC220" s="195">
        <f>DC74</f>
        <v>442</v>
      </c>
      <c r="DE220" s="37" t="str">
        <f t="shared" si="1226"/>
        <v>Carloads (000s)</v>
      </c>
      <c r="DF220" s="195">
        <f>DF74</f>
        <v>112</v>
      </c>
      <c r="DG220" s="195">
        <f>DG74</f>
        <v>116</v>
      </c>
      <c r="DH220" s="195">
        <f>DH74</f>
        <v>116</v>
      </c>
      <c r="DI220" s="195">
        <f>DI74</f>
        <v>112</v>
      </c>
      <c r="DJ220" s="195">
        <f>DJ74</f>
        <v>456</v>
      </c>
      <c r="DL220" s="37" t="str">
        <f t="shared" si="1227"/>
        <v>Carloads (000s)</v>
      </c>
      <c r="DM220" s="195">
        <f>DM74</f>
        <v>117</v>
      </c>
      <c r="DN220" s="195">
        <f>DN74</f>
        <v>110</v>
      </c>
      <c r="DO220" s="195">
        <f>DO74</f>
        <v>118</v>
      </c>
      <c r="DP220" s="195">
        <f>DP74</f>
        <v>115</v>
      </c>
      <c r="DQ220" s="195">
        <f>DQ74</f>
        <v>460</v>
      </c>
      <c r="DS220" s="37" t="str">
        <f t="shared" si="1228"/>
        <v>Carloads (000s)</v>
      </c>
      <c r="DT220" s="195">
        <f>DT74</f>
        <v>120</v>
      </c>
      <c r="DU220" s="195">
        <f>DU74</f>
        <v>118</v>
      </c>
      <c r="DV220" s="195">
        <f>DV74</f>
        <v>117</v>
      </c>
      <c r="DW220" s="195">
        <f>DW74</f>
        <v>116</v>
      </c>
      <c r="DX220" s="195">
        <f>DX74</f>
        <v>471</v>
      </c>
      <c r="DZ220" s="37" t="str">
        <f t="shared" si="1229"/>
        <v>Carloads (000s)</v>
      </c>
      <c r="EA220" s="195">
        <f>EA74</f>
        <v>118</v>
      </c>
      <c r="EB220" s="195">
        <f>EB74</f>
        <v>116</v>
      </c>
      <c r="EC220" s="195">
        <f>EC74</f>
        <v>115</v>
      </c>
      <c r="ED220" s="195">
        <f>ED74</f>
        <v>108</v>
      </c>
      <c r="EE220" s="195">
        <f>EE74</f>
        <v>457</v>
      </c>
      <c r="EG220" s="37" t="str">
        <f t="shared" si="1230"/>
        <v>Carloads (000s)</v>
      </c>
      <c r="EH220" s="195">
        <f>EH74</f>
        <v>121</v>
      </c>
      <c r="EI220" s="195">
        <f>EI74</f>
        <v>121</v>
      </c>
      <c r="EJ220" s="195">
        <f>EJ74</f>
        <v>132</v>
      </c>
      <c r="EK220" s="195">
        <f>EK74</f>
        <v>131</v>
      </c>
      <c r="EL220" s="195">
        <f>EL74</f>
        <v>505</v>
      </c>
      <c r="EN220" s="37" t="str">
        <f t="shared" si="1231"/>
        <v>Carloads (000s)</v>
      </c>
      <c r="EO220" s="195">
        <f>EO74</f>
        <v>171</v>
      </c>
      <c r="EP220" s="195">
        <f>EP74</f>
        <v>167</v>
      </c>
      <c r="EQ220" s="195">
        <f>EQ74</f>
        <v>158</v>
      </c>
      <c r="ER220" s="195">
        <f>ER74</f>
        <v>152</v>
      </c>
      <c r="ES220" s="195">
        <f>ES74</f>
        <v>648</v>
      </c>
      <c r="EU220" s="37" t="str">
        <f t="shared" si="1232"/>
        <v>Carloads (000s)</v>
      </c>
      <c r="EV220" s="195">
        <f>EV74</f>
        <v>151</v>
      </c>
      <c r="EW220" s="195">
        <f>EW74</f>
        <v>152</v>
      </c>
      <c r="EX220" s="195">
        <f>EX74</f>
        <v>150</v>
      </c>
      <c r="EY220" s="195">
        <f>EY74</f>
        <v>144</v>
      </c>
      <c r="EZ220" s="195">
        <f>EZ74</f>
        <v>597</v>
      </c>
      <c r="FB220" s="37" t="str">
        <f t="shared" si="1233"/>
        <v>Carloads (000s)</v>
      </c>
      <c r="FC220" s="195">
        <f>FC74</f>
        <v>144</v>
      </c>
      <c r="FD220" s="195">
        <f>FD74</f>
        <v>152</v>
      </c>
      <c r="FE220" s="195">
        <f>FE74</f>
        <v>151</v>
      </c>
      <c r="FF220" s="195">
        <f>FF74</f>
        <v>143</v>
      </c>
      <c r="FG220" s="195">
        <f>FG74</f>
        <v>590</v>
      </c>
      <c r="FI220" s="37" t="str">
        <f t="shared" si="1234"/>
        <v>Carloads (000s)</v>
      </c>
      <c r="FJ220" s="195">
        <f>FJ74</f>
        <v>148</v>
      </c>
      <c r="FK220" s="195">
        <f>FK74</f>
        <v>116</v>
      </c>
      <c r="FL220" s="195">
        <f>FL74</f>
        <v>115</v>
      </c>
      <c r="FM220" s="195">
        <f>FM74</f>
        <v>114</v>
      </c>
      <c r="FN220" s="195">
        <f>FN74</f>
        <v>493</v>
      </c>
      <c r="FP220" s="37" t="str">
        <f t="shared" si="1235"/>
        <v>Carloads (000s)</v>
      </c>
      <c r="FQ220" s="195">
        <f>FQ74</f>
        <v>114</v>
      </c>
      <c r="FR220" s="195">
        <f>FR74</f>
        <v>115</v>
      </c>
      <c r="FS220" s="195">
        <f>FS74</f>
        <v>115</v>
      </c>
      <c r="FT220" s="195">
        <f>FT74</f>
        <v>121</v>
      </c>
      <c r="FU220" s="195">
        <f>FU74</f>
        <v>465</v>
      </c>
      <c r="FW220" s="37" t="str">
        <f t="shared" si="1236"/>
        <v>Carloads (000s)</v>
      </c>
      <c r="FX220" s="195">
        <f>FX74</f>
        <v>113</v>
      </c>
      <c r="FY220" s="195">
        <f>FY74</f>
        <v>113</v>
      </c>
      <c r="FZ220" s="195">
        <f>FZ74</f>
        <v>107</v>
      </c>
      <c r="GA220" s="195">
        <f>GA74</f>
        <v>106</v>
      </c>
      <c r="GB220" s="195">
        <f>GB74</f>
        <v>439</v>
      </c>
      <c r="GD220" s="37" t="str">
        <f t="shared" si="1237"/>
        <v>Carloads (000s)</v>
      </c>
      <c r="GE220" s="195">
        <f>GE74</f>
        <v>106</v>
      </c>
      <c r="GF220" s="195">
        <f>GF74</f>
        <v>103</v>
      </c>
      <c r="GG220" s="195">
        <f>GG74</f>
        <v>100</v>
      </c>
      <c r="GH220" s="195">
        <f>GH74</f>
        <v>95</v>
      </c>
      <c r="GI220" s="195">
        <f>GI74</f>
        <v>404</v>
      </c>
      <c r="GK220" s="37" t="str">
        <f t="shared" si="1238"/>
        <v>Carloads (000s)</v>
      </c>
      <c r="GL220" s="195">
        <f>GL74</f>
        <v>102</v>
      </c>
      <c r="GM220" s="195">
        <f>GM74</f>
        <v>100</v>
      </c>
      <c r="GN220" s="195">
        <f>GN74</f>
        <v>96</v>
      </c>
      <c r="GO220" s="195">
        <f>GO74</f>
        <v>87</v>
      </c>
      <c r="GP220" s="195">
        <f>GP74</f>
        <v>385</v>
      </c>
      <c r="GR220" s="37" t="str">
        <f t="shared" si="1239"/>
        <v>Carloads (000s)</v>
      </c>
      <c r="GS220" s="195">
        <f>GS74</f>
        <v>87</v>
      </c>
      <c r="GT220" s="195">
        <f>GT74</f>
        <v>90</v>
      </c>
      <c r="GU220" s="195">
        <f>GU74</f>
        <v>90</v>
      </c>
      <c r="GV220" s="195">
        <f>GV74</f>
        <v>77</v>
      </c>
      <c r="GW220" s="195">
        <f>GW74</f>
        <v>344</v>
      </c>
      <c r="GY220" s="37" t="str">
        <f t="shared" si="1240"/>
        <v>Carloads (000s)</v>
      </c>
      <c r="GZ220" s="195">
        <f>GZ74</f>
        <v>65</v>
      </c>
      <c r="HA220" s="195">
        <f>HA74</f>
        <v>64</v>
      </c>
      <c r="HB220" s="195">
        <f>HB74</f>
        <v>67</v>
      </c>
      <c r="HC220" s="195">
        <f>HC74</f>
        <v>62</v>
      </c>
      <c r="HD220" s="195">
        <f>HD74</f>
        <v>258</v>
      </c>
      <c r="HF220" s="37" t="str">
        <f t="shared" si="1241"/>
        <v>Carloads (000s)</v>
      </c>
      <c r="HG220" s="195">
        <f>HG74</f>
        <v>63</v>
      </c>
      <c r="HH220" s="195">
        <f>HH74</f>
        <v>65</v>
      </c>
      <c r="HI220" s="195">
        <f>HI74</f>
        <v>67</v>
      </c>
      <c r="HJ220" s="195">
        <f>HJ74</f>
        <v>70</v>
      </c>
      <c r="HK220" s="195">
        <f>HK74</f>
        <v>265</v>
      </c>
      <c r="HM220" s="37" t="str">
        <f t="shared" si="1242"/>
        <v>Carloads (000s)</v>
      </c>
      <c r="HN220" s="195">
        <f>HN74</f>
        <v>69</v>
      </c>
      <c r="HO220" s="195">
        <f>HO74</f>
        <v>70</v>
      </c>
      <c r="HP220" s="195">
        <f>HP74</f>
        <v>73</v>
      </c>
      <c r="HQ220" s="195">
        <f>HQ74</f>
        <v>69</v>
      </c>
      <c r="HR220" s="195">
        <f>HR74</f>
        <v>281</v>
      </c>
      <c r="HT220" s="37" t="str">
        <f t="shared" si="1243"/>
        <v>Carloads (000s)</v>
      </c>
      <c r="HU220" s="195">
        <f>HU74</f>
        <v>73</v>
      </c>
      <c r="HV220" s="195">
        <f>HV74</f>
        <v>71</v>
      </c>
      <c r="HW220" s="195">
        <f>HW74</f>
        <v>73</v>
      </c>
      <c r="HX220" s="195">
        <f>HX74</f>
        <v>69</v>
      </c>
      <c r="HY220" s="195">
        <f>HY74</f>
        <v>286</v>
      </c>
      <c r="IA220" s="37" t="str">
        <f t="shared" si="1244"/>
        <v>Carloads (000s)</v>
      </c>
      <c r="IB220" s="195">
        <f>IB74</f>
        <v>73</v>
      </c>
      <c r="IC220" s="195">
        <f>IC74</f>
        <v>74</v>
      </c>
      <c r="ID220" s="195">
        <f>ID74</f>
        <v>77</v>
      </c>
      <c r="IE220" s="195">
        <f>IE74</f>
        <v>74</v>
      </c>
      <c r="IF220" s="195">
        <f>IF74</f>
        <v>298</v>
      </c>
      <c r="IH220" s="37" t="str">
        <f t="shared" si="1245"/>
        <v>Carloads (000s)</v>
      </c>
      <c r="II220" s="195">
        <f>II74</f>
        <v>74</v>
      </c>
      <c r="IJ220" s="195">
        <f>IJ74</f>
        <v>79</v>
      </c>
      <c r="IK220" s="195">
        <f>IK74</f>
        <v>77</v>
      </c>
      <c r="IL220" s="195">
        <f>IL74</f>
        <v>77</v>
      </c>
      <c r="IM220" s="195">
        <f>IM74</f>
        <v>307</v>
      </c>
      <c r="IO220" s="37" t="str">
        <f t="shared" si="1246"/>
        <v>Carloads (000s)</v>
      </c>
      <c r="IP220" s="195">
        <f>IP74</f>
        <v>73</v>
      </c>
      <c r="IQ220" s="195">
        <f>IQ74</f>
        <v>74</v>
      </c>
      <c r="IR220" s="195">
        <f>IR74</f>
        <v>73</v>
      </c>
      <c r="IS220" s="195">
        <f>IS74</f>
        <v>70</v>
      </c>
      <c r="IT220" s="195">
        <f>IT74</f>
        <v>290</v>
      </c>
      <c r="IV220" s="37" t="str">
        <f t="shared" si="1247"/>
        <v>Carloads (000s)</v>
      </c>
      <c r="IW220" s="195">
        <f>IW74</f>
        <v>68</v>
      </c>
      <c r="IX220" s="195">
        <f>IX74</f>
        <v>68</v>
      </c>
      <c r="IY220" s="195">
        <f>IY74</f>
        <v>68</v>
      </c>
      <c r="IZ220" s="195">
        <f>IZ74</f>
        <v>80</v>
      </c>
      <c r="JA220" s="195">
        <f>JA74</f>
        <v>284</v>
      </c>
      <c r="JC220" s="37" t="str">
        <f t="shared" si="1248"/>
        <v>Carloads (000s)</v>
      </c>
      <c r="JD220" s="195">
        <f>JD74</f>
        <v>67</v>
      </c>
      <c r="JE220" s="195">
        <f>JE74</f>
        <v>83</v>
      </c>
      <c r="JF220" s="195">
        <f>JF74</f>
        <v>80</v>
      </c>
      <c r="JG220" s="195">
        <f>JG74</f>
        <v>75</v>
      </c>
      <c r="JH220" s="195">
        <f>JH74</f>
        <v>305</v>
      </c>
      <c r="JJ220" s="37" t="str">
        <f t="shared" si="1249"/>
        <v>Carloads (000s)</v>
      </c>
      <c r="JK220" s="195">
        <f>JK74</f>
        <v>67</v>
      </c>
      <c r="JL220" s="195">
        <f>JL74</f>
        <v>86</v>
      </c>
      <c r="JM220" s="195">
        <f>JM74</f>
        <v>85</v>
      </c>
      <c r="JN220" s="195">
        <f>JN74</f>
        <v>78</v>
      </c>
      <c r="JO220" s="195">
        <f>JO74</f>
        <v>316</v>
      </c>
      <c r="JQ220" s="37" t="str">
        <f t="shared" si="1250"/>
        <v>Carloads (000s)</v>
      </c>
      <c r="JR220" s="195">
        <f>JR74</f>
        <v>71</v>
      </c>
      <c r="JS220" s="195">
        <f>JS74</f>
        <v>71</v>
      </c>
      <c r="JT220" s="195">
        <f>JT74</f>
        <v>90</v>
      </c>
      <c r="JU220" s="195">
        <f>JU74</f>
        <v>87</v>
      </c>
      <c r="JV220" s="195">
        <f>JV74</f>
        <v>319</v>
      </c>
      <c r="JX220" s="37" t="str">
        <f t="shared" si="1251"/>
        <v>Carloads (000s)</v>
      </c>
      <c r="JY220" s="195">
        <f>JY74</f>
        <v>71</v>
      </c>
      <c r="JZ220" s="195">
        <f>JZ74</f>
        <v>64</v>
      </c>
      <c r="KA220" s="195">
        <f>KA74</f>
        <v>67</v>
      </c>
      <c r="KB220" s="195">
        <f>KB74</f>
        <v>68</v>
      </c>
      <c r="KC220" s="195">
        <f>KC74</f>
        <v>270</v>
      </c>
      <c r="KE220" s="37" t="str">
        <f t="shared" si="1252"/>
        <v>Carloads (000s)</v>
      </c>
      <c r="KF220" s="195">
        <f>KF74</f>
        <v>73</v>
      </c>
      <c r="KG220" s="195">
        <f>KG74</f>
        <v>75</v>
      </c>
      <c r="KH220" s="195">
        <f>KH74</f>
        <v>75</v>
      </c>
      <c r="KI220" s="195">
        <f>KI74</f>
        <v>73</v>
      </c>
      <c r="KJ220" s="195">
        <f>KJ74</f>
        <v>296</v>
      </c>
      <c r="KL220" s="37" t="str">
        <f t="shared" si="1253"/>
        <v>Carloads (000s)</v>
      </c>
      <c r="KM220" s="195">
        <f>KM74</f>
        <v>70</v>
      </c>
      <c r="KN220" s="195">
        <f>KN74</f>
        <v>74</v>
      </c>
      <c r="KO220" s="195">
        <f>KO74</f>
        <v>75</v>
      </c>
      <c r="KP220" s="195">
        <f>KP74</f>
        <v>72</v>
      </c>
      <c r="KQ220" s="195">
        <f>KQ74</f>
        <v>291</v>
      </c>
      <c r="KS220" s="37" t="str">
        <f t="shared" si="1254"/>
        <v>Carloads (000s)</v>
      </c>
      <c r="KT220" s="195">
        <f>KT74</f>
        <v>73</v>
      </c>
      <c r="KU220" s="195">
        <f>KU74</f>
        <v>72</v>
      </c>
      <c r="KV220" s="195">
        <f>KV74</f>
        <v>67</v>
      </c>
      <c r="KW220" s="195">
        <f>KW74</f>
        <v>70</v>
      </c>
      <c r="KX220" s="195">
        <f>KX74</f>
        <v>282</v>
      </c>
      <c r="KZ220" s="37" t="str">
        <f t="shared" si="1255"/>
        <v>Carloads (000s)</v>
      </c>
      <c r="LA220" s="195">
        <f>LA74</f>
        <v>70</v>
      </c>
      <c r="LB220" s="195">
        <f>LB74</f>
        <v>74</v>
      </c>
      <c r="LC220" s="195">
        <f>LC74</f>
        <v>73</v>
      </c>
      <c r="LD220" s="195">
        <f>LD74</f>
        <v>72</v>
      </c>
      <c r="LE220" s="196">
        <f>SUM(LA220:LD220)</f>
        <v>289</v>
      </c>
      <c r="LF220" s="573"/>
      <c r="LG220" s="37" t="str">
        <f t="shared" si="1256"/>
        <v>Carloads (000s)</v>
      </c>
      <c r="LH220" s="195">
        <f>LH74</f>
        <v>70</v>
      </c>
      <c r="LI220" s="195">
        <f>LI74</f>
        <v>70</v>
      </c>
      <c r="LJ220" s="195">
        <f>LJ74</f>
        <v>68</v>
      </c>
      <c r="LK220" s="195">
        <f>LK74</f>
        <v>64</v>
      </c>
      <c r="LL220" s="196">
        <f>SUM(LH220:LK220)</f>
        <v>272</v>
      </c>
      <c r="LM220" s="573"/>
      <c r="LN220" s="37" t="str">
        <f t="shared" si="1257"/>
        <v>Carloads (000s)</v>
      </c>
      <c r="LO220" s="196">
        <f>(LH220)*(1+LO221)</f>
        <v>63.7</v>
      </c>
      <c r="LP220" s="196">
        <f t="shared" ref="LP220" si="3766">(LI220)*(1+LP221)</f>
        <v>66.849999999999994</v>
      </c>
      <c r="LQ220" s="196">
        <f t="shared" ref="LQ220" si="3767">(LJ220)*(1+LQ221)</f>
        <v>68.680000000000007</v>
      </c>
      <c r="LR220" s="196">
        <f t="shared" ref="LR220" si="3768">(LK220)*(1+LR221)</f>
        <v>65.28</v>
      </c>
      <c r="LS220" s="196">
        <f>SUM(LO220:LR220)</f>
        <v>264.51</v>
      </c>
      <c r="LT220" s="573"/>
      <c r="LU220" s="37" t="str">
        <f t="shared" si="1261"/>
        <v>Carloads (000s)</v>
      </c>
      <c r="LV220" s="196">
        <f>(LO220)*(1+LV221)</f>
        <v>64.337000000000003</v>
      </c>
      <c r="LW220" s="196">
        <f t="shared" ref="LW220" si="3769">(LP220)*(1+LW221)</f>
        <v>67.518499999999989</v>
      </c>
      <c r="LX220" s="196">
        <f t="shared" ref="LX220" si="3770">(LQ220)*(1+LX221)</f>
        <v>69.7102</v>
      </c>
      <c r="LY220" s="196">
        <f t="shared" ref="LY220" si="3771">(LR220)*(1+LY221)</f>
        <v>66.585599999999999</v>
      </c>
      <c r="LZ220" s="196">
        <f>SUM(LV220:LY220)</f>
        <v>268.15129999999999</v>
      </c>
      <c r="MA220" s="573"/>
      <c r="MB220" s="37" t="str">
        <f t="shared" si="1265"/>
        <v>Carloads (000s)</v>
      </c>
      <c r="MC220" s="196">
        <f>(LV220)*(1+MC221)</f>
        <v>65.623739999999998</v>
      </c>
      <c r="MD220" s="196">
        <f t="shared" ref="MD220" si="3772">(LW220)*(1+MD221)</f>
        <v>69.206462499999986</v>
      </c>
      <c r="ME220" s="196">
        <f t="shared" ref="ME220" si="3773">(LX220)*(1+ME221)</f>
        <v>71.801506000000003</v>
      </c>
      <c r="MF220" s="196">
        <f t="shared" ref="MF220" si="3774">(LY220)*(1+MF221)</f>
        <v>68.250239999999991</v>
      </c>
      <c r="MG220" s="196">
        <f>SUM(MC220:MF220)</f>
        <v>274.88194850000002</v>
      </c>
      <c r="MH220" s="573"/>
    </row>
    <row r="221" spans="1:346" s="37" customFormat="1" ht="13.15" x14ac:dyDescent="0.4">
      <c r="A221" s="100"/>
      <c r="B221" s="197" t="s">
        <v>516</v>
      </c>
      <c r="C221" s="186"/>
      <c r="D221" s="186"/>
      <c r="E221" s="186"/>
      <c r="F221" s="186"/>
      <c r="G221" s="186"/>
      <c r="H221" s="186"/>
      <c r="I221" s="186"/>
      <c r="J221" s="186"/>
      <c r="K221" s="186"/>
      <c r="L221" s="186"/>
      <c r="M221" s="186"/>
      <c r="N221" s="193"/>
      <c r="O221" s="198">
        <f>O220/N220-1</f>
        <v>-6.7641681901279727E-2</v>
      </c>
      <c r="P221" s="198">
        <f t="shared" ref="P221:BA221" si="3775">P220/O220-1</f>
        <v>-0.13921568627450975</v>
      </c>
      <c r="Q221" s="198">
        <f t="shared" si="3775"/>
        <v>4.5558086560364419E-3</v>
      </c>
      <c r="R221" s="198">
        <f t="shared" si="3775"/>
        <v>-1.3605442176870763E-2</v>
      </c>
      <c r="S221" s="198">
        <f t="shared" si="3775"/>
        <v>1.6091954022988464E-2</v>
      </c>
      <c r="T221" s="198">
        <f t="shared" si="3775"/>
        <v>3.167420814479649E-2</v>
      </c>
      <c r="U221" s="198">
        <f t="shared" si="3775"/>
        <v>8.7719298245614308E-3</v>
      </c>
      <c r="V221" s="198">
        <f t="shared" si="3775"/>
        <v>2.3913043478260843E-2</v>
      </c>
      <c r="W221" s="198">
        <f t="shared" si="3775"/>
        <v>-2.9723991507430991E-2</v>
      </c>
      <c r="X221" s="198">
        <f t="shared" si="3775"/>
        <v>0.10503282275711157</v>
      </c>
      <c r="Y221" s="198">
        <f t="shared" si="3775"/>
        <v>0.2831683168316832</v>
      </c>
      <c r="Z221" s="198">
        <f t="shared" si="3775"/>
        <v>-7.870370370370372E-2</v>
      </c>
      <c r="AA221" s="198">
        <f t="shared" si="3775"/>
        <v>-1.1725293132328285E-2</v>
      </c>
      <c r="AB221" s="198">
        <f t="shared" si="3775"/>
        <v>-0.16440677966101691</v>
      </c>
      <c r="AC221" s="198">
        <f t="shared" si="3775"/>
        <v>-5.679513184584184E-2</v>
      </c>
      <c r="AD221" s="198">
        <f t="shared" si="3775"/>
        <v>-5.5913978494623651E-2</v>
      </c>
      <c r="AE221" s="198">
        <f t="shared" si="3775"/>
        <v>-7.9726651480637845E-2</v>
      </c>
      <c r="AF221" s="198">
        <f t="shared" si="3775"/>
        <v>-4.7029702970297071E-2</v>
      </c>
      <c r="AG221" s="198">
        <f t="shared" si="3775"/>
        <v>-0.10649350649350653</v>
      </c>
      <c r="AH221" s="198">
        <f t="shared" si="3775"/>
        <v>-0.25</v>
      </c>
      <c r="AI221" s="198">
        <f t="shared" si="3775"/>
        <v>2.7131782945736482E-2</v>
      </c>
      <c r="AJ221" s="198">
        <f t="shared" si="3775"/>
        <v>6.0377358490566024E-2</v>
      </c>
      <c r="AK221" s="198">
        <f t="shared" si="3775"/>
        <v>1.7793594306049876E-2</v>
      </c>
      <c r="AL221" s="198">
        <f t="shared" si="3775"/>
        <v>4.195804195804187E-2</v>
      </c>
      <c r="AM221" s="198">
        <f t="shared" si="3775"/>
        <v>3.0201342281879207E-2</v>
      </c>
      <c r="AN221" s="198">
        <f t="shared" si="3775"/>
        <v>-5.5374592833876246E-2</v>
      </c>
      <c r="AO221" s="198">
        <f t="shared" si="3775"/>
        <v>-2.0689655172413834E-2</v>
      </c>
      <c r="AP221" s="198">
        <f t="shared" si="3775"/>
        <v>7.3943661971830998E-2</v>
      </c>
      <c r="AQ221" s="198">
        <f t="shared" si="3775"/>
        <v>3.6065573770491799E-2</v>
      </c>
      <c r="AR221" s="198">
        <f t="shared" si="3775"/>
        <v>9.493670886076E-3</v>
      </c>
      <c r="AS221" s="198">
        <f t="shared" si="3775"/>
        <v>-0.15360501567398122</v>
      </c>
      <c r="AT221" s="198">
        <f t="shared" si="3775"/>
        <v>9.6296296296296324E-2</v>
      </c>
      <c r="AU221" s="198">
        <f t="shared" si="3775"/>
        <v>-1.6891891891891886E-2</v>
      </c>
      <c r="AV221" s="198">
        <f t="shared" si="3775"/>
        <v>-3.0927835051546393E-2</v>
      </c>
      <c r="AW221" s="198">
        <f t="shared" si="3775"/>
        <v>2.4822695035461084E-2</v>
      </c>
      <c r="AX221" s="198">
        <f t="shared" si="3775"/>
        <v>-5.8823529411764719E-2</v>
      </c>
      <c r="AY221" s="198">
        <f t="shared" si="3775"/>
        <v>-2.7536764705882399E-2</v>
      </c>
      <c r="AZ221" s="198">
        <f t="shared" si="3775"/>
        <v>1.3766209217042746E-2</v>
      </c>
      <c r="BA221" s="198">
        <f t="shared" si="3775"/>
        <v>2.5100189706333875E-2</v>
      </c>
      <c r="BB221" s="198"/>
      <c r="BC221" s="198"/>
      <c r="BD221" s="198"/>
      <c r="BE221" s="198"/>
      <c r="BF221" s="198"/>
      <c r="BG221" s="198"/>
      <c r="BH221" s="198"/>
      <c r="BI221" s="198"/>
      <c r="BJ221" s="198"/>
      <c r="BK221" s="198"/>
      <c r="BL221" s="198"/>
      <c r="BM221" s="198"/>
      <c r="BO221" s="197" t="str">
        <f t="shared" si="1220"/>
        <v>YoY Change (%)</v>
      </c>
      <c r="BP221" s="193"/>
      <c r="BQ221" s="193"/>
      <c r="BR221" s="193"/>
      <c r="BS221" s="193"/>
      <c r="BT221" s="193"/>
      <c r="BV221" s="197" t="str">
        <f t="shared" si="1221"/>
        <v>YoY Change (%)</v>
      </c>
      <c r="BW221" s="198">
        <f>BW220/BP220-1</f>
        <v>-6.8027210884353706E-2</v>
      </c>
      <c r="BX221" s="198">
        <f t="shared" ref="BX221" si="3776">BX220/BQ220-1</f>
        <v>-5.0359712230215847E-2</v>
      </c>
      <c r="BY221" s="198">
        <f t="shared" ref="BY221" si="3777">BY220/BR220-1</f>
        <v>-7.2992700729927029E-2</v>
      </c>
      <c r="BZ221" s="198">
        <f t="shared" ref="BZ221" si="3778">BZ220/BS220-1</f>
        <v>-8.064516129032262E-2</v>
      </c>
      <c r="CA221" s="198">
        <f t="shared" ref="CA221" si="3779">CA220/BT220-1</f>
        <v>-6.7641681901279727E-2</v>
      </c>
      <c r="CC221" s="197" t="str">
        <f t="shared" si="1222"/>
        <v>YoY Change (%)</v>
      </c>
      <c r="CD221" s="198">
        <f>CD220/BW220-1</f>
        <v>-0.17518248175182483</v>
      </c>
      <c r="CE221" s="198">
        <f t="shared" ref="CE221" si="3780">CE220/BX220-1</f>
        <v>-0.18939393939393945</v>
      </c>
      <c r="CF221" s="198">
        <f t="shared" ref="CF221" si="3781">CF220/BY220-1</f>
        <v>-0.13385826771653542</v>
      </c>
      <c r="CG221" s="198">
        <f t="shared" ref="CG221" si="3782">CG220/BZ220-1</f>
        <v>-4.3859649122807043E-2</v>
      </c>
      <c r="CH221" s="198">
        <f t="shared" ref="CH221" si="3783">CH220/CA220-1</f>
        <v>-0.13921568627450975</v>
      </c>
      <c r="CJ221" s="197" t="str">
        <f t="shared" si="1223"/>
        <v>YoY Change (%)</v>
      </c>
      <c r="CK221" s="198">
        <f>CK220/CD220-1</f>
        <v>1.7699115044247815E-2</v>
      </c>
      <c r="CL221" s="198">
        <f t="shared" ref="CL221" si="3784">CL220/CE220-1</f>
        <v>1.8691588785046731E-2</v>
      </c>
      <c r="CM221" s="198">
        <f t="shared" ref="CM221" si="3785">CM220/CF220-1</f>
        <v>-9.0909090909090384E-3</v>
      </c>
      <c r="CN221" s="198">
        <f t="shared" ref="CN221" si="3786">CN220/CG220-1</f>
        <v>-9.1743119266054496E-3</v>
      </c>
      <c r="CO221" s="198">
        <f t="shared" ref="CO221" si="3787">CO220/CH220-1</f>
        <v>4.5558086560364419E-3</v>
      </c>
      <c r="CQ221" s="197" t="str">
        <f t="shared" si="1224"/>
        <v>YoY Change (%)</v>
      </c>
      <c r="CR221" s="198">
        <f>CR220/CK220-1</f>
        <v>-4.3478260869565188E-2</v>
      </c>
      <c r="CS221" s="198">
        <f t="shared" ref="CS221" si="3788">CS220/CL220-1</f>
        <v>0</v>
      </c>
      <c r="CT221" s="198">
        <f t="shared" ref="CT221" si="3789">CT220/CM220-1</f>
        <v>-1.834862385321101E-2</v>
      </c>
      <c r="CU221" s="198">
        <f t="shared" ref="CU221" si="3790">CU220/CN220-1</f>
        <v>9.2592592592593004E-3</v>
      </c>
      <c r="CV221" s="198">
        <f t="shared" ref="CV221" si="3791">CV220/CO220-1</f>
        <v>-1.3605442176870763E-2</v>
      </c>
      <c r="CX221" s="197" t="str">
        <f t="shared" si="1225"/>
        <v>YoY Change (%)</v>
      </c>
      <c r="CY221" s="198">
        <f>CY220/CR220-1</f>
        <v>9.0909090909090384E-3</v>
      </c>
      <c r="CZ221" s="198">
        <f t="shared" ref="CZ221" si="3792">CZ220/CS220-1</f>
        <v>3.669724770642202E-2</v>
      </c>
      <c r="DA221" s="198">
        <f t="shared" ref="DA221" si="3793">DA220/CT220-1</f>
        <v>2.8037383177569986E-2</v>
      </c>
      <c r="DB221" s="198">
        <f t="shared" ref="DB221" si="3794">DB220/CU220-1</f>
        <v>-9.1743119266054496E-3</v>
      </c>
      <c r="DC221" s="198">
        <f t="shared" ref="DC221" si="3795">DC220/CV220-1</f>
        <v>1.6091954022988464E-2</v>
      </c>
      <c r="DE221" s="197" t="str">
        <f t="shared" si="1226"/>
        <v>YoY Change (%)</v>
      </c>
      <c r="DF221" s="198">
        <f>DF220/CY220-1</f>
        <v>9.009009009008917E-3</v>
      </c>
      <c r="DG221" s="198">
        <f t="shared" ref="DG221" si="3796">DG220/CZ220-1</f>
        <v>2.6548672566371723E-2</v>
      </c>
      <c r="DH221" s="198">
        <f t="shared" ref="DH221" si="3797">DH220/DA220-1</f>
        <v>5.4545454545454453E-2</v>
      </c>
      <c r="DI221" s="198">
        <f t="shared" ref="DI221" si="3798">DI220/DB220-1</f>
        <v>3.7037037037036979E-2</v>
      </c>
      <c r="DJ221" s="198">
        <f t="shared" ref="DJ221" si="3799">DJ220/DC220-1</f>
        <v>3.167420814479649E-2</v>
      </c>
      <c r="DL221" s="197" t="str">
        <f t="shared" si="1227"/>
        <v>YoY Change (%)</v>
      </c>
      <c r="DM221" s="198">
        <f>DM220/DF220-1</f>
        <v>4.4642857142857206E-2</v>
      </c>
      <c r="DN221" s="198">
        <f t="shared" ref="DN221" si="3800">DN220/DG220-1</f>
        <v>-5.1724137931034475E-2</v>
      </c>
      <c r="DO221" s="198">
        <f t="shared" ref="DO221" si="3801">DO220/DH220-1</f>
        <v>1.7241379310344751E-2</v>
      </c>
      <c r="DP221" s="198">
        <f t="shared" ref="DP221" si="3802">DP220/DI220-1</f>
        <v>2.6785714285714191E-2</v>
      </c>
      <c r="DQ221" s="198">
        <f t="shared" ref="DQ221" si="3803">DQ220/DJ220-1</f>
        <v>8.7719298245614308E-3</v>
      </c>
      <c r="DS221" s="197" t="str">
        <f t="shared" si="1228"/>
        <v>YoY Change (%)</v>
      </c>
      <c r="DT221" s="198">
        <f>DT220/DM220-1</f>
        <v>2.564102564102555E-2</v>
      </c>
      <c r="DU221" s="198">
        <f t="shared" ref="DU221" si="3804">DU220/DN220-1</f>
        <v>7.2727272727272751E-2</v>
      </c>
      <c r="DV221" s="198">
        <f t="shared" ref="DV221" si="3805">DV220/DO220-1</f>
        <v>-8.4745762711864181E-3</v>
      </c>
      <c r="DW221" s="198">
        <f t="shared" ref="DW221" si="3806">DW220/DP220-1</f>
        <v>8.6956521739129933E-3</v>
      </c>
      <c r="DX221" s="198">
        <f t="shared" ref="DX221" si="3807">DX220/DQ220-1</f>
        <v>2.3913043478260843E-2</v>
      </c>
      <c r="DZ221" s="197" t="str">
        <f t="shared" si="1229"/>
        <v>YoY Change (%)</v>
      </c>
      <c r="EA221" s="198">
        <f>EA220/DT220-1</f>
        <v>-1.6666666666666718E-2</v>
      </c>
      <c r="EB221" s="198">
        <f t="shared" ref="EB221" si="3808">EB220/DU220-1</f>
        <v>-1.6949152542372836E-2</v>
      </c>
      <c r="EC221" s="198">
        <f t="shared" ref="EC221" si="3809">EC220/DV220-1</f>
        <v>-1.7094017094017144E-2</v>
      </c>
      <c r="ED221" s="198">
        <f t="shared" ref="ED221" si="3810">ED220/DW220-1</f>
        <v>-6.8965517241379337E-2</v>
      </c>
      <c r="EE221" s="198">
        <f t="shared" ref="EE221" si="3811">EE220/DX220-1</f>
        <v>-2.9723991507430991E-2</v>
      </c>
      <c r="EG221" s="197" t="str">
        <f t="shared" si="1230"/>
        <v>YoY Change (%)</v>
      </c>
      <c r="EH221" s="198">
        <f>EH220/EA220-1</f>
        <v>2.5423728813559254E-2</v>
      </c>
      <c r="EI221" s="198">
        <f t="shared" ref="EI221" si="3812">EI220/EB220-1</f>
        <v>4.31034482758621E-2</v>
      </c>
      <c r="EJ221" s="198">
        <f t="shared" ref="EJ221" si="3813">EJ220/EC220-1</f>
        <v>0.14782608695652177</v>
      </c>
      <c r="EK221" s="198">
        <f t="shared" ref="EK221" si="3814">EK220/ED220-1</f>
        <v>0.21296296296296302</v>
      </c>
      <c r="EL221" s="198">
        <f t="shared" ref="EL221" si="3815">EL220/EE220-1</f>
        <v>0.10503282275711157</v>
      </c>
      <c r="EN221" s="197" t="str">
        <f t="shared" si="1231"/>
        <v>YoY Change (%)</v>
      </c>
      <c r="EO221" s="198">
        <f>EO220/EH220-1</f>
        <v>0.41322314049586772</v>
      </c>
      <c r="EP221" s="198">
        <f t="shared" ref="EP221" si="3816">EP220/EI220-1</f>
        <v>0.38016528925619841</v>
      </c>
      <c r="EQ221" s="198">
        <f t="shared" ref="EQ221" si="3817">EQ220/EJ220-1</f>
        <v>0.19696969696969702</v>
      </c>
      <c r="ER221" s="198">
        <f t="shared" ref="ER221" si="3818">ER220/EK220-1</f>
        <v>0.16030534351145032</v>
      </c>
      <c r="ES221" s="198">
        <f t="shared" ref="ES221" si="3819">ES220/EL220-1</f>
        <v>0.2831683168316832</v>
      </c>
      <c r="EU221" s="197" t="str">
        <f t="shared" si="1232"/>
        <v>YoY Change (%)</v>
      </c>
      <c r="EV221" s="198">
        <f>EV220/EO220-1</f>
        <v>-0.11695906432748537</v>
      </c>
      <c r="EW221" s="198">
        <f t="shared" ref="EW221" si="3820">EW220/EP220-1</f>
        <v>-8.9820359281437168E-2</v>
      </c>
      <c r="EX221" s="198">
        <f t="shared" ref="EX221" si="3821">EX220/EQ220-1</f>
        <v>-5.0632911392405111E-2</v>
      </c>
      <c r="EY221" s="198">
        <f t="shared" ref="EY221" si="3822">EY220/ER220-1</f>
        <v>-5.2631578947368474E-2</v>
      </c>
      <c r="EZ221" s="198">
        <f t="shared" ref="EZ221" si="3823">EZ220/ES220-1</f>
        <v>-7.870370370370372E-2</v>
      </c>
      <c r="FB221" s="197" t="str">
        <f t="shared" si="1233"/>
        <v>YoY Change (%)</v>
      </c>
      <c r="FC221" s="198">
        <f>FC220/EV220-1</f>
        <v>-4.635761589403975E-2</v>
      </c>
      <c r="FD221" s="198">
        <f t="shared" ref="FD221" si="3824">FD220/EW220-1</f>
        <v>0</v>
      </c>
      <c r="FE221" s="198">
        <f t="shared" ref="FE221" si="3825">FE220/EX220-1</f>
        <v>6.6666666666665986E-3</v>
      </c>
      <c r="FF221" s="198">
        <f t="shared" ref="FF221" si="3826">FF220/EY220-1</f>
        <v>-6.9444444444444198E-3</v>
      </c>
      <c r="FG221" s="198">
        <f t="shared" ref="FG221" si="3827">FG220/EZ220-1</f>
        <v>-1.1725293132328285E-2</v>
      </c>
      <c r="FI221" s="197" t="str">
        <f t="shared" si="1234"/>
        <v>YoY Change (%)</v>
      </c>
      <c r="FJ221" s="198">
        <f>FJ220/FC220-1</f>
        <v>2.7777777777777679E-2</v>
      </c>
      <c r="FK221" s="198">
        <f t="shared" ref="FK221" si="3828">FK220/FD220-1</f>
        <v>-0.23684210526315785</v>
      </c>
      <c r="FL221" s="198">
        <f t="shared" ref="FL221" si="3829">FL220/FE220-1</f>
        <v>-0.23841059602649006</v>
      </c>
      <c r="FM221" s="198">
        <f t="shared" ref="FM221" si="3830">FM220/FF220-1</f>
        <v>-0.20279720279720281</v>
      </c>
      <c r="FN221" s="198">
        <f t="shared" ref="FN221" si="3831">FN220/FG220-1</f>
        <v>-0.16440677966101691</v>
      </c>
      <c r="FP221" s="197" t="str">
        <f t="shared" si="1235"/>
        <v>YoY Change (%)</v>
      </c>
      <c r="FQ221" s="198">
        <f>FQ220/FJ220-1</f>
        <v>-0.22972972972972971</v>
      </c>
      <c r="FR221" s="198">
        <f t="shared" ref="FR221" si="3832">FR220/FK220-1</f>
        <v>-8.6206896551723755E-3</v>
      </c>
      <c r="FS221" s="198">
        <f t="shared" ref="FS221" si="3833">FS220/FL220-1</f>
        <v>0</v>
      </c>
      <c r="FT221" s="198">
        <f t="shared" ref="FT221" si="3834">FT220/FM220-1</f>
        <v>6.1403508771929793E-2</v>
      </c>
      <c r="FU221" s="198">
        <f t="shared" ref="FU221" si="3835">FU220/FN220-1</f>
        <v>-5.679513184584184E-2</v>
      </c>
      <c r="FW221" s="197" t="str">
        <f t="shared" si="1236"/>
        <v>YoY Change (%)</v>
      </c>
      <c r="FX221" s="198">
        <f>FX220/FQ220-1</f>
        <v>-8.7719298245614308E-3</v>
      </c>
      <c r="FY221" s="198">
        <f t="shared" ref="FY221" si="3836">FY220/FR220-1</f>
        <v>-1.7391304347826098E-2</v>
      </c>
      <c r="FZ221" s="198">
        <f t="shared" ref="FZ221" si="3837">FZ220/FS220-1</f>
        <v>-6.956521739130439E-2</v>
      </c>
      <c r="GA221" s="198">
        <f t="shared" ref="GA221" si="3838">GA220/FT220-1</f>
        <v>-0.12396694214876036</v>
      </c>
      <c r="GB221" s="198">
        <f t="shared" ref="GB221" si="3839">GB220/FU220-1</f>
        <v>-5.5913978494623651E-2</v>
      </c>
      <c r="GD221" s="197" t="str">
        <f t="shared" si="1237"/>
        <v>YoY Change (%)</v>
      </c>
      <c r="GE221" s="198">
        <f>GE220/FX220-1</f>
        <v>-6.1946902654867242E-2</v>
      </c>
      <c r="GF221" s="198">
        <f t="shared" ref="GF221" si="3840">GF220/FY220-1</f>
        <v>-8.8495575221238965E-2</v>
      </c>
      <c r="GG221" s="198">
        <f t="shared" ref="GG221" si="3841">GG220/FZ220-1</f>
        <v>-6.5420560747663559E-2</v>
      </c>
      <c r="GH221" s="198">
        <f t="shared" ref="GH221" si="3842">GH220/GA220-1</f>
        <v>-0.10377358490566035</v>
      </c>
      <c r="GI221" s="198">
        <f t="shared" ref="GI221" si="3843">GI220/GB220-1</f>
        <v>-7.9726651480637845E-2</v>
      </c>
      <c r="GK221" s="197" t="str">
        <f t="shared" si="1238"/>
        <v>YoY Change (%)</v>
      </c>
      <c r="GL221" s="198">
        <f>GL220/GE220-1</f>
        <v>-3.7735849056603765E-2</v>
      </c>
      <c r="GM221" s="198">
        <f t="shared" ref="GM221" si="3844">GM220/GF220-1</f>
        <v>-2.9126213592232997E-2</v>
      </c>
      <c r="GN221" s="198">
        <f t="shared" ref="GN221" si="3845">GN220/GG220-1</f>
        <v>-4.0000000000000036E-2</v>
      </c>
      <c r="GO221" s="198">
        <f t="shared" ref="GO221" si="3846">GO220/GH220-1</f>
        <v>-8.4210526315789513E-2</v>
      </c>
      <c r="GP221" s="198">
        <f t="shared" ref="GP221" si="3847">GP220/GI220-1</f>
        <v>-4.7029702970297071E-2</v>
      </c>
      <c r="GR221" s="197" t="str">
        <f t="shared" si="1239"/>
        <v>YoY Change (%)</v>
      </c>
      <c r="GS221" s="198">
        <f>GS220/GL220-1</f>
        <v>-0.1470588235294118</v>
      </c>
      <c r="GT221" s="198">
        <f t="shared" ref="GT221" si="3848">GT220/GM220-1</f>
        <v>-9.9999999999999978E-2</v>
      </c>
      <c r="GU221" s="198">
        <f t="shared" ref="GU221" si="3849">GU220/GN220-1</f>
        <v>-6.25E-2</v>
      </c>
      <c r="GV221" s="198">
        <f t="shared" ref="GV221" si="3850">GV220/GO220-1</f>
        <v>-0.11494252873563215</v>
      </c>
      <c r="GW221" s="198">
        <f t="shared" ref="GW221" si="3851">GW220/GP220-1</f>
        <v>-0.10649350649350653</v>
      </c>
      <c r="GY221" s="197" t="str">
        <f t="shared" si="1240"/>
        <v>YoY Change (%)</v>
      </c>
      <c r="GZ221" s="198">
        <f>GZ220/GS220-1</f>
        <v>-0.25287356321839083</v>
      </c>
      <c r="HA221" s="198">
        <f t="shared" ref="HA221" si="3852">HA220/GT220-1</f>
        <v>-0.28888888888888886</v>
      </c>
      <c r="HB221" s="198">
        <f t="shared" ref="HB221" si="3853">HB220/GU220-1</f>
        <v>-0.25555555555555554</v>
      </c>
      <c r="HC221" s="198">
        <f t="shared" ref="HC221" si="3854">HC220/GV220-1</f>
        <v>-0.19480519480519476</v>
      </c>
      <c r="HD221" s="198">
        <f t="shared" ref="HD221" si="3855">HD220/GW220-1</f>
        <v>-0.25</v>
      </c>
      <c r="HF221" s="197" t="str">
        <f t="shared" si="1241"/>
        <v>YoY Change (%)</v>
      </c>
      <c r="HG221" s="198">
        <f>HG220/GZ220-1</f>
        <v>-3.0769230769230771E-2</v>
      </c>
      <c r="HH221" s="198">
        <f t="shared" ref="HH221" si="3856">HH220/HA220-1</f>
        <v>1.5625E-2</v>
      </c>
      <c r="HI221" s="198">
        <f t="shared" ref="HI221" si="3857">HI220/HB220-1</f>
        <v>0</v>
      </c>
      <c r="HJ221" s="198">
        <f t="shared" ref="HJ221" si="3858">HJ220/HC220-1</f>
        <v>0.12903225806451624</v>
      </c>
      <c r="HK221" s="198">
        <f t="shared" ref="HK221" si="3859">HK220/HD220-1</f>
        <v>2.7131782945736482E-2</v>
      </c>
      <c r="HM221" s="197" t="str">
        <f t="shared" si="1242"/>
        <v>YoY Change (%)</v>
      </c>
      <c r="HN221" s="198">
        <f>HN220/HG220-1</f>
        <v>9.5238095238095344E-2</v>
      </c>
      <c r="HO221" s="198">
        <f t="shared" ref="HO221" si="3860">HO220/HH220-1</f>
        <v>7.6923076923076872E-2</v>
      </c>
      <c r="HP221" s="198">
        <f t="shared" ref="HP221" si="3861">HP220/HI220-1</f>
        <v>8.9552238805970186E-2</v>
      </c>
      <c r="HQ221" s="198">
        <f t="shared" ref="HQ221" si="3862">HQ220/HJ220-1</f>
        <v>-1.4285714285714235E-2</v>
      </c>
      <c r="HR221" s="198">
        <f t="shared" ref="HR221" si="3863">HR220/HK220-1</f>
        <v>6.0377358490566024E-2</v>
      </c>
      <c r="HT221" s="197" t="str">
        <f t="shared" si="1243"/>
        <v>YoY Change (%)</v>
      </c>
      <c r="HU221" s="198">
        <f>HU220/HN220-1</f>
        <v>5.7971014492753659E-2</v>
      </c>
      <c r="HV221" s="198">
        <f t="shared" ref="HV221" si="3864">HV220/HO220-1</f>
        <v>1.4285714285714235E-2</v>
      </c>
      <c r="HW221" s="198">
        <f t="shared" ref="HW221" si="3865">HW220/HP220-1</f>
        <v>0</v>
      </c>
      <c r="HX221" s="198">
        <f t="shared" ref="HX221" si="3866">HX220/HQ220-1</f>
        <v>0</v>
      </c>
      <c r="HY221" s="198">
        <f t="shared" ref="HY221" si="3867">HY220/HR220-1</f>
        <v>1.7793594306049876E-2</v>
      </c>
      <c r="IA221" s="197" t="str">
        <f t="shared" si="1244"/>
        <v>YoY Change (%)</v>
      </c>
      <c r="IB221" s="198">
        <f>IB220/HU220-1</f>
        <v>0</v>
      </c>
      <c r="IC221" s="198">
        <f t="shared" ref="IC221" si="3868">IC220/HV220-1</f>
        <v>4.2253521126760507E-2</v>
      </c>
      <c r="ID221" s="198">
        <f t="shared" ref="ID221" si="3869">ID220/HW220-1</f>
        <v>5.4794520547945202E-2</v>
      </c>
      <c r="IE221" s="198">
        <f t="shared" ref="IE221" si="3870">IE220/HX220-1</f>
        <v>7.2463768115942129E-2</v>
      </c>
      <c r="IF221" s="198">
        <f t="shared" ref="IF221" si="3871">IF220/HY220-1</f>
        <v>4.195804195804187E-2</v>
      </c>
      <c r="IH221" s="197" t="str">
        <f t="shared" si="1245"/>
        <v>YoY Change (%)</v>
      </c>
      <c r="II221" s="198">
        <f>II220/IB220-1</f>
        <v>1.3698630136986356E-2</v>
      </c>
      <c r="IJ221" s="198">
        <f t="shared" ref="IJ221" si="3872">IJ220/IC220-1</f>
        <v>6.7567567567567544E-2</v>
      </c>
      <c r="IK221" s="198">
        <f t="shared" ref="IK221" si="3873">IK220/ID220-1</f>
        <v>0</v>
      </c>
      <c r="IL221" s="198">
        <f t="shared" ref="IL221" si="3874">IL220/IE220-1</f>
        <v>4.0540540540540571E-2</v>
      </c>
      <c r="IM221" s="198">
        <f t="shared" ref="IM221" si="3875">IM220/IF220-1</f>
        <v>3.0201342281879207E-2</v>
      </c>
      <c r="IO221" s="197" t="str">
        <f t="shared" si="1246"/>
        <v>YoY Change (%)</v>
      </c>
      <c r="IP221" s="198">
        <f>IP220/II220-1</f>
        <v>-1.3513513513513487E-2</v>
      </c>
      <c r="IQ221" s="198">
        <f t="shared" ref="IQ221" si="3876">IQ220/IJ220-1</f>
        <v>-6.3291139240506333E-2</v>
      </c>
      <c r="IR221" s="198">
        <f t="shared" ref="IR221" si="3877">IR220/IK220-1</f>
        <v>-5.1948051948051965E-2</v>
      </c>
      <c r="IS221" s="198">
        <f t="shared" ref="IS221" si="3878">IS220/IL220-1</f>
        <v>-9.0909090909090939E-2</v>
      </c>
      <c r="IT221" s="198">
        <f t="shared" ref="IT221" si="3879">IT220/IM220-1</f>
        <v>-5.5374592833876246E-2</v>
      </c>
      <c r="IV221" s="197" t="str">
        <f t="shared" si="1247"/>
        <v>YoY Change (%)</v>
      </c>
      <c r="IW221" s="198">
        <f>IW220/IP220-1</f>
        <v>-6.8493150684931559E-2</v>
      </c>
      <c r="IX221" s="198">
        <f t="shared" ref="IX221" si="3880">IX220/IQ220-1</f>
        <v>-8.108108108108103E-2</v>
      </c>
      <c r="IY221" s="198">
        <f t="shared" ref="IY221" si="3881">IY220/IR220-1</f>
        <v>-6.8493150684931559E-2</v>
      </c>
      <c r="IZ221" s="198">
        <f t="shared" ref="IZ221" si="3882">IZ220/IS220-1</f>
        <v>0.14285714285714279</v>
      </c>
      <c r="JA221" s="198">
        <f t="shared" ref="JA221" si="3883">JA220/IT220-1</f>
        <v>-2.0689655172413834E-2</v>
      </c>
      <c r="JC221" s="197" t="str">
        <f t="shared" si="1248"/>
        <v>YoY Change (%)</v>
      </c>
      <c r="JD221" s="198">
        <f>JD220/IW220-1</f>
        <v>-1.4705882352941124E-2</v>
      </c>
      <c r="JE221" s="198">
        <f t="shared" ref="JE221" si="3884">JE220/IX220-1</f>
        <v>0.22058823529411775</v>
      </c>
      <c r="JF221" s="198">
        <f t="shared" ref="JF221" si="3885">JF220/IY220-1</f>
        <v>0.17647058823529416</v>
      </c>
      <c r="JG221" s="198">
        <f t="shared" ref="JG221" si="3886">JG220/IZ220-1</f>
        <v>-6.25E-2</v>
      </c>
      <c r="JH221" s="198">
        <f t="shared" ref="JH221" si="3887">JH220/JA220-1</f>
        <v>7.3943661971830998E-2</v>
      </c>
      <c r="JJ221" s="197" t="str">
        <f t="shared" si="1249"/>
        <v>YoY Change (%)</v>
      </c>
      <c r="JK221" s="198">
        <f>JK220/JD220-1</f>
        <v>0</v>
      </c>
      <c r="JL221" s="198">
        <f t="shared" ref="JL221" si="3888">JL220/JE220-1</f>
        <v>3.6144578313253017E-2</v>
      </c>
      <c r="JM221" s="198">
        <f t="shared" ref="JM221" si="3889">JM220/JF220-1</f>
        <v>6.25E-2</v>
      </c>
      <c r="JN221" s="198">
        <f t="shared" ref="JN221" si="3890">JN220/JG220-1</f>
        <v>4.0000000000000036E-2</v>
      </c>
      <c r="JO221" s="198">
        <f t="shared" ref="JO221" si="3891">JO220/JH220-1</f>
        <v>3.6065573770491799E-2</v>
      </c>
      <c r="JQ221" s="197" t="str">
        <f t="shared" si="1250"/>
        <v>YoY Change (%)</v>
      </c>
      <c r="JR221" s="198">
        <f>JR220/JK220-1</f>
        <v>5.9701492537313383E-2</v>
      </c>
      <c r="JS221" s="198">
        <f t="shared" ref="JS221" si="3892">JS220/JL220-1</f>
        <v>-0.17441860465116277</v>
      </c>
      <c r="JT221" s="198">
        <f t="shared" ref="JT221" si="3893">JT220/JM220-1</f>
        <v>5.8823529411764719E-2</v>
      </c>
      <c r="JU221" s="198">
        <f t="shared" ref="JU221" si="3894">JU220/JN220-1</f>
        <v>0.11538461538461542</v>
      </c>
      <c r="JV221" s="198">
        <f t="shared" ref="JV221" si="3895">JV220/JO220-1</f>
        <v>9.493670886076E-3</v>
      </c>
      <c r="JX221" s="197" t="str">
        <f t="shared" si="1251"/>
        <v>YoY Change (%)</v>
      </c>
      <c r="JY221" s="198">
        <f>JY220/JR220-1</f>
        <v>0</v>
      </c>
      <c r="JZ221" s="198">
        <f t="shared" ref="JZ221" si="3896">JZ220/JS220-1</f>
        <v>-9.8591549295774628E-2</v>
      </c>
      <c r="KA221" s="198">
        <f t="shared" ref="KA221" si="3897">KA220/JT220-1</f>
        <v>-0.25555555555555554</v>
      </c>
      <c r="KB221" s="198">
        <f t="shared" ref="KB221" si="3898">KB220/JU220-1</f>
        <v>-0.2183908045977011</v>
      </c>
      <c r="KC221" s="198">
        <f t="shared" ref="KC221" si="3899">KC220/JV220-1</f>
        <v>-0.15360501567398122</v>
      </c>
      <c r="KE221" s="197" t="str">
        <f t="shared" si="1252"/>
        <v>YoY Change (%)</v>
      </c>
      <c r="KF221" s="198">
        <f>KF220/JY220-1</f>
        <v>2.8169014084507005E-2</v>
      </c>
      <c r="KG221" s="198">
        <f t="shared" ref="KG221" si="3900">KG220/JZ220-1</f>
        <v>0.171875</v>
      </c>
      <c r="KH221" s="198">
        <f t="shared" ref="KH221" si="3901">KH220/KA220-1</f>
        <v>0.11940298507462677</v>
      </c>
      <c r="KI221" s="198">
        <f t="shared" ref="KI221" si="3902">KI220/KB220-1</f>
        <v>7.3529411764705843E-2</v>
      </c>
      <c r="KJ221" s="198">
        <f t="shared" ref="KJ221" si="3903">KJ220/KC220-1</f>
        <v>9.6296296296296324E-2</v>
      </c>
      <c r="KL221" s="197" t="str">
        <f t="shared" si="1253"/>
        <v>YoY Change (%)</v>
      </c>
      <c r="KM221" s="198">
        <f>KM220/KF220-1</f>
        <v>-4.1095890410958957E-2</v>
      </c>
      <c r="KN221" s="198">
        <f t="shared" ref="KN221" si="3904">KN220/KG220-1</f>
        <v>-1.3333333333333308E-2</v>
      </c>
      <c r="KO221" s="198">
        <f t="shared" ref="KO221" si="3905">KO220/KH220-1</f>
        <v>0</v>
      </c>
      <c r="KP221" s="198">
        <f t="shared" ref="KP221" si="3906">KP220/KI220-1</f>
        <v>-1.3698630136986356E-2</v>
      </c>
      <c r="KQ221" s="198">
        <f t="shared" ref="KQ221" si="3907">KQ220/KJ220-1</f>
        <v>-1.6891891891891886E-2</v>
      </c>
      <c r="KS221" s="197" t="str">
        <f t="shared" si="1254"/>
        <v>YoY Change (%)</v>
      </c>
      <c r="KT221" s="198">
        <f>KT220/KM220-1</f>
        <v>4.2857142857142927E-2</v>
      </c>
      <c r="KU221" s="198">
        <f t="shared" ref="KU221" si="3908">KU220/KN220-1</f>
        <v>-2.7027027027026973E-2</v>
      </c>
      <c r="KV221" s="198">
        <f t="shared" ref="KV221" si="3909">KV220/KO220-1</f>
        <v>-0.10666666666666669</v>
      </c>
      <c r="KW221" s="198">
        <f t="shared" ref="KW221" si="3910">KW220/KP220-1</f>
        <v>-2.777777777777779E-2</v>
      </c>
      <c r="KX221" s="198">
        <f t="shared" ref="KX221" si="3911">KX220/KQ220-1</f>
        <v>-3.0927835051546393E-2</v>
      </c>
      <c r="KZ221" s="197" t="str">
        <f t="shared" si="1255"/>
        <v>YoY Change (%)</v>
      </c>
      <c r="LA221" s="198">
        <f>LA220/KT220-1</f>
        <v>-4.1095890410958957E-2</v>
      </c>
      <c r="LB221" s="198">
        <f>LB220/KU220-1</f>
        <v>2.7777777777777679E-2</v>
      </c>
      <c r="LC221" s="198">
        <f>LC220/KV220-1</f>
        <v>8.9552238805970186E-2</v>
      </c>
      <c r="LD221" s="198">
        <f t="shared" ref="LD221" si="3912">LD220/KW220-1</f>
        <v>2.857142857142847E-2</v>
      </c>
      <c r="LE221" s="199">
        <f t="shared" ref="LE221" si="3913">LE220/KX220-1</f>
        <v>2.4822695035461084E-2</v>
      </c>
      <c r="LF221" s="567"/>
      <c r="LG221" s="197" t="str">
        <f t="shared" si="1256"/>
        <v>YoY Change (%)</v>
      </c>
      <c r="LH221" s="198">
        <f>LH220/LA220-1</f>
        <v>0</v>
      </c>
      <c r="LI221" s="198">
        <f>LI220/LB220-1</f>
        <v>-5.4054054054054057E-2</v>
      </c>
      <c r="LJ221" s="198">
        <f>LJ220/LC220-1</f>
        <v>-6.8493150684931559E-2</v>
      </c>
      <c r="LK221" s="198">
        <f>LK220/LD220-1</f>
        <v>-0.11111111111111116</v>
      </c>
      <c r="LL221" s="199">
        <f t="shared" ref="LL221" si="3914">LL220/LE220-1</f>
        <v>-5.8823529411764719E-2</v>
      </c>
      <c r="LM221" s="567"/>
      <c r="LN221" s="197" t="str">
        <f t="shared" si="1257"/>
        <v>YoY Change (%)</v>
      </c>
      <c r="LO221" s="222">
        <v>-0.09</v>
      </c>
      <c r="LP221" s="222">
        <v>-4.4999999999999998E-2</v>
      </c>
      <c r="LQ221" s="222">
        <v>0.01</v>
      </c>
      <c r="LR221" s="222">
        <v>0.02</v>
      </c>
      <c r="LS221" s="199">
        <f t="shared" ref="LS221" si="3915">LS220/LL220-1</f>
        <v>-2.7536764705882399E-2</v>
      </c>
      <c r="LT221" s="567"/>
      <c r="LU221" s="197" t="str">
        <f t="shared" si="1261"/>
        <v>YoY Change (%)</v>
      </c>
      <c r="LV221" s="222">
        <v>0.01</v>
      </c>
      <c r="LW221" s="222">
        <v>0.01</v>
      </c>
      <c r="LX221" s="222">
        <v>1.4999999999999999E-2</v>
      </c>
      <c r="LY221" s="222">
        <v>0.02</v>
      </c>
      <c r="LZ221" s="199">
        <f t="shared" ref="LZ221" si="3916">LZ220/LS220-1</f>
        <v>1.3766209217042746E-2</v>
      </c>
      <c r="MA221" s="567"/>
      <c r="MB221" s="197" t="str">
        <f t="shared" si="1265"/>
        <v>YoY Change (%)</v>
      </c>
      <c r="MC221" s="222">
        <v>0.02</v>
      </c>
      <c r="MD221" s="222">
        <v>2.5000000000000001E-2</v>
      </c>
      <c r="ME221" s="222">
        <v>0.03</v>
      </c>
      <c r="MF221" s="222">
        <v>2.5000000000000001E-2</v>
      </c>
      <c r="MG221" s="199">
        <f t="shared" ref="MG221" si="3917">MG220/LZ220-1</f>
        <v>2.5100189706333875E-2</v>
      </c>
      <c r="MH221" s="567"/>
    </row>
    <row r="222" spans="1:346" s="37" customFormat="1" ht="13.15" x14ac:dyDescent="0.4">
      <c r="A222" s="100"/>
      <c r="C222" s="186"/>
      <c r="D222" s="186"/>
      <c r="E222" s="186"/>
      <c r="F222" s="186"/>
      <c r="G222" s="186"/>
      <c r="H222" s="186"/>
      <c r="I222" s="186"/>
      <c r="J222" s="186"/>
      <c r="K222" s="186"/>
      <c r="L222" s="186"/>
      <c r="M222" s="186"/>
      <c r="N222" s="193"/>
      <c r="O222" s="193"/>
      <c r="P222" s="193"/>
      <c r="Q222" s="193"/>
      <c r="R222" s="193"/>
      <c r="S222" s="193"/>
      <c r="T222" s="193"/>
      <c r="U222" s="193"/>
      <c r="V222" s="193"/>
      <c r="W222" s="193"/>
      <c r="X222" s="193"/>
      <c r="Y222" s="193"/>
      <c r="Z222" s="193"/>
      <c r="AA222" s="193"/>
      <c r="AB222" s="193"/>
      <c r="AC222" s="193"/>
      <c r="AD222" s="193"/>
      <c r="AE222" s="193"/>
      <c r="AF222" s="193"/>
      <c r="AG222" s="193"/>
      <c r="AH222" s="193"/>
      <c r="AI222" s="193"/>
      <c r="AJ222" s="193"/>
      <c r="AK222" s="193"/>
      <c r="AL222" s="193"/>
      <c r="AM222" s="193"/>
      <c r="AN222" s="193"/>
      <c r="AO222" s="193"/>
      <c r="AP222" s="193"/>
      <c r="AQ222" s="193"/>
      <c r="AR222" s="193"/>
      <c r="AS222" s="193"/>
      <c r="AT222" s="193"/>
      <c r="AU222" s="193"/>
      <c r="AV222" s="193"/>
      <c r="AW222" s="193"/>
      <c r="AX222" s="193"/>
      <c r="AY222" s="193"/>
      <c r="AZ222" s="193"/>
      <c r="BA222" s="193"/>
      <c r="BB222" s="193"/>
      <c r="BC222" s="193"/>
      <c r="BD222" s="193"/>
      <c r="BE222" s="193"/>
      <c r="BF222" s="193"/>
      <c r="BG222" s="193"/>
      <c r="BH222" s="193"/>
      <c r="BI222" s="193"/>
      <c r="BJ222" s="193"/>
      <c r="BK222" s="193"/>
      <c r="BL222" s="193"/>
      <c r="BM222" s="193"/>
      <c r="BP222" s="193"/>
      <c r="BQ222" s="193"/>
      <c r="BR222" s="193"/>
      <c r="BS222" s="193"/>
      <c r="BT222" s="193"/>
      <c r="BW222" s="193"/>
      <c r="BX222" s="193"/>
      <c r="BY222" s="193"/>
      <c r="BZ222" s="193"/>
      <c r="CA222" s="193"/>
      <c r="CD222" s="193"/>
      <c r="CE222" s="193"/>
      <c r="CF222" s="193"/>
      <c r="CG222" s="193"/>
      <c r="CH222" s="193"/>
      <c r="CK222" s="193"/>
      <c r="CL222" s="193"/>
      <c r="CM222" s="193"/>
      <c r="CN222" s="193"/>
      <c r="CO222" s="193"/>
      <c r="CR222" s="193"/>
      <c r="CS222" s="193"/>
      <c r="CT222" s="193"/>
      <c r="CU222" s="193"/>
      <c r="CV222" s="193"/>
      <c r="CY222" s="193"/>
      <c r="CZ222" s="193"/>
      <c r="DA222" s="193"/>
      <c r="DB222" s="193"/>
      <c r="DC222" s="193"/>
      <c r="DF222" s="193"/>
      <c r="DG222" s="193"/>
      <c r="DH222" s="193"/>
      <c r="DI222" s="193"/>
      <c r="DJ222" s="193"/>
      <c r="DM222" s="193"/>
      <c r="DN222" s="193"/>
      <c r="DO222" s="193"/>
      <c r="DP222" s="193"/>
      <c r="DQ222" s="193"/>
      <c r="DT222" s="193"/>
      <c r="DU222" s="193"/>
      <c r="DV222" s="193"/>
      <c r="DW222" s="193"/>
      <c r="DX222" s="193"/>
      <c r="EA222" s="193"/>
      <c r="EB222" s="193"/>
      <c r="EC222" s="193"/>
      <c r="ED222" s="193"/>
      <c r="EE222" s="193"/>
      <c r="EH222" s="193"/>
      <c r="EI222" s="193"/>
      <c r="EJ222" s="193"/>
      <c r="EK222" s="193"/>
      <c r="EL222" s="193"/>
      <c r="EO222" s="193"/>
      <c r="EP222" s="193"/>
      <c r="EQ222" s="193"/>
      <c r="ER222" s="193"/>
      <c r="ES222" s="193"/>
      <c r="EV222" s="193"/>
      <c r="EW222" s="193"/>
      <c r="EX222" s="193"/>
      <c r="EY222" s="193"/>
      <c r="EZ222" s="193"/>
      <c r="FC222" s="193"/>
      <c r="FD222" s="193"/>
      <c r="FE222" s="193"/>
      <c r="FF222" s="193"/>
      <c r="FG222" s="193"/>
      <c r="FJ222" s="193"/>
      <c r="FK222" s="193"/>
      <c r="FL222" s="193"/>
      <c r="FM222" s="193"/>
      <c r="FN222" s="193"/>
      <c r="FQ222" s="193"/>
      <c r="FR222" s="193"/>
      <c r="FS222" s="193"/>
      <c r="FT222" s="193"/>
      <c r="FU222" s="193"/>
      <c r="FX222" s="193"/>
      <c r="FY222" s="193"/>
      <c r="FZ222" s="193"/>
      <c r="GA222" s="193"/>
      <c r="GB222" s="193"/>
      <c r="GE222" s="193"/>
      <c r="GF222" s="193"/>
      <c r="GG222" s="193"/>
      <c r="GH222" s="193"/>
      <c r="GI222" s="193"/>
      <c r="GL222" s="193"/>
      <c r="GM222" s="193"/>
      <c r="GN222" s="193"/>
      <c r="GO222" s="193"/>
      <c r="GP222" s="193"/>
      <c r="GS222" s="193"/>
      <c r="GT222" s="193"/>
      <c r="GU222" s="193"/>
      <c r="GV222" s="193"/>
      <c r="GW222" s="193"/>
      <c r="GZ222" s="193"/>
      <c r="HA222" s="193"/>
      <c r="HB222" s="193"/>
      <c r="HC222" s="193"/>
      <c r="HD222" s="193"/>
      <c r="HG222" s="193"/>
      <c r="HH222" s="193"/>
      <c r="HI222" s="193"/>
      <c r="HJ222" s="193"/>
      <c r="HK222" s="193"/>
      <c r="HN222" s="193"/>
      <c r="HO222" s="193"/>
      <c r="HP222" s="193"/>
      <c r="HQ222" s="193"/>
      <c r="HR222" s="193"/>
      <c r="HU222" s="193"/>
      <c r="HV222" s="193"/>
      <c r="HW222" s="193"/>
      <c r="HX222" s="193"/>
      <c r="HY222" s="193"/>
      <c r="IB222" s="193"/>
      <c r="IC222" s="193"/>
      <c r="ID222" s="193"/>
      <c r="IE222" s="193"/>
      <c r="IF222" s="193"/>
      <c r="II222" s="193"/>
      <c r="IJ222" s="193"/>
      <c r="IK222" s="193"/>
      <c r="IL222" s="193"/>
      <c r="IM222" s="193"/>
      <c r="IP222" s="193"/>
      <c r="IQ222" s="193"/>
      <c r="IR222" s="193"/>
      <c r="IS222" s="193"/>
      <c r="IT222" s="193"/>
      <c r="IW222" s="193"/>
      <c r="IX222" s="193"/>
      <c r="IY222" s="193"/>
      <c r="IZ222" s="193"/>
      <c r="JA222" s="193"/>
      <c r="JD222" s="193"/>
      <c r="JE222" s="193"/>
      <c r="JF222" s="193"/>
      <c r="JG222" s="193"/>
      <c r="JH222" s="193"/>
      <c r="JK222" s="193"/>
      <c r="JL222" s="193"/>
      <c r="JM222" s="193"/>
      <c r="JN222" s="193"/>
      <c r="JO222" s="193"/>
      <c r="JR222" s="193"/>
      <c r="JS222" s="193"/>
      <c r="JT222" s="193"/>
      <c r="JU222" s="193"/>
      <c r="JV222" s="193"/>
      <c r="JY222" s="193"/>
      <c r="JZ222" s="193"/>
      <c r="KA222" s="193"/>
      <c r="KB222" s="193"/>
      <c r="KC222" s="193"/>
      <c r="KF222" s="193"/>
      <c r="KG222" s="193"/>
      <c r="KH222" s="193"/>
      <c r="KI222" s="193"/>
      <c r="KJ222" s="193"/>
      <c r="KM222" s="193"/>
      <c r="KN222" s="193"/>
      <c r="KO222" s="193"/>
      <c r="KP222" s="193"/>
      <c r="KQ222" s="193"/>
      <c r="KT222" s="193"/>
      <c r="KU222" s="193"/>
      <c r="KV222" s="193"/>
      <c r="KW222" s="193"/>
      <c r="KX222" s="193"/>
      <c r="LA222" s="193"/>
      <c r="LB222" s="193"/>
      <c r="LC222" s="193"/>
      <c r="LD222" s="193"/>
      <c r="LE222" s="200"/>
      <c r="LF222" s="565"/>
      <c r="LH222" s="198"/>
      <c r="LI222" s="198"/>
      <c r="LJ222" s="198"/>
      <c r="LK222" s="198"/>
      <c r="LL222" s="193"/>
      <c r="LM222" s="555"/>
      <c r="LN222" s="68"/>
      <c r="LO222" s="198"/>
      <c r="LP222" s="198"/>
      <c r="LQ222" s="198"/>
      <c r="LR222" s="198"/>
      <c r="LS222" s="193"/>
      <c r="LT222" s="555"/>
      <c r="LU222" s="68"/>
      <c r="LV222" s="198"/>
      <c r="LW222" s="198"/>
      <c r="LX222" s="198"/>
      <c r="LY222" s="198"/>
      <c r="LZ222" s="200"/>
      <c r="MA222" s="565"/>
      <c r="MB222" s="68"/>
      <c r="MC222" s="198"/>
      <c r="MD222" s="198"/>
      <c r="ME222" s="198"/>
      <c r="MF222" s="198"/>
      <c r="MG222" s="200"/>
      <c r="MH222" s="565"/>
    </row>
    <row r="223" spans="1:346" s="37" customFormat="1" ht="13.15" x14ac:dyDescent="0.4">
      <c r="A223" s="100"/>
      <c r="B223" s="37" t="s">
        <v>517</v>
      </c>
      <c r="C223" s="186"/>
      <c r="D223" s="186"/>
      <c r="E223" s="186"/>
      <c r="F223" s="186"/>
      <c r="G223" s="186"/>
      <c r="H223" s="186"/>
      <c r="I223" s="186"/>
      <c r="J223" s="186"/>
      <c r="K223" s="186"/>
      <c r="L223" s="186"/>
      <c r="M223" s="186"/>
      <c r="N223" s="194">
        <f t="shared" ref="N223:AY223" si="3918">IFERROR(N14/N74*1000,"")</f>
        <v>870.20109689213893</v>
      </c>
      <c r="O223" s="194">
        <f t="shared" si="3918"/>
        <v>905.88235294117646</v>
      </c>
      <c r="P223" s="194">
        <f t="shared" si="3918"/>
        <v>984.05466970387249</v>
      </c>
      <c r="Q223" s="194">
        <f t="shared" si="3918"/>
        <v>1015.8730158730158</v>
      </c>
      <c r="R223" s="194">
        <f t="shared" si="3918"/>
        <v>1016.0919540229885</v>
      </c>
      <c r="S223" s="194">
        <f t="shared" si="3918"/>
        <v>1004.5248868778281</v>
      </c>
      <c r="T223" s="194">
        <f t="shared" si="3918"/>
        <v>1017.5438596491229</v>
      </c>
      <c r="U223" s="194">
        <f t="shared" si="3918"/>
        <v>1073.913043478261</v>
      </c>
      <c r="V223" s="194">
        <f t="shared" si="3918"/>
        <v>1059.4479830148621</v>
      </c>
      <c r="W223" s="194">
        <f t="shared" si="3918"/>
        <v>1094.0919037199124</v>
      </c>
      <c r="X223" s="194">
        <f t="shared" si="3918"/>
        <v>1182.178217821782</v>
      </c>
      <c r="Y223" s="194">
        <f t="shared" si="3918"/>
        <v>1254.6296296296296</v>
      </c>
      <c r="Z223" s="194">
        <f t="shared" si="3918"/>
        <v>1299.8324958123953</v>
      </c>
      <c r="AA223" s="194">
        <f t="shared" si="3918"/>
        <v>1306.7796610169491</v>
      </c>
      <c r="AB223" s="194">
        <f t="shared" si="3918"/>
        <v>1348.8843813387423</v>
      </c>
      <c r="AC223" s="194">
        <f t="shared" si="3918"/>
        <v>1464.516129032258</v>
      </c>
      <c r="AD223" s="194">
        <f t="shared" si="3918"/>
        <v>1633.2574031890661</v>
      </c>
      <c r="AE223" s="194">
        <f t="shared" si="3918"/>
        <v>1913.3663366336632</v>
      </c>
      <c r="AF223" s="194">
        <f t="shared" si="3918"/>
        <v>2085.7142857142858</v>
      </c>
      <c r="AG223" s="194">
        <f t="shared" si="3918"/>
        <v>2305.2325581395348</v>
      </c>
      <c r="AH223" s="194">
        <f t="shared" si="3918"/>
        <v>2120.1550387596903</v>
      </c>
      <c r="AI223" s="194">
        <f t="shared" si="3918"/>
        <v>2264.1509433962265</v>
      </c>
      <c r="AJ223" s="194">
        <f t="shared" si="3918"/>
        <v>2434.1637010676159</v>
      </c>
      <c r="AK223" s="194">
        <f t="shared" si="3918"/>
        <v>2524.4755244755247</v>
      </c>
      <c r="AL223" s="194">
        <f t="shared" si="3918"/>
        <v>2600.6711409395975</v>
      </c>
      <c r="AM223" s="194">
        <f t="shared" si="3918"/>
        <v>2667.7524429967425</v>
      </c>
      <c r="AN223" s="194">
        <f t="shared" si="3918"/>
        <v>2744.8275862068967</v>
      </c>
      <c r="AO223" s="194">
        <f t="shared" si="3918"/>
        <v>2433.0985915492961</v>
      </c>
      <c r="AP223" s="194">
        <f t="shared" si="3918"/>
        <v>2236.0655737704919</v>
      </c>
      <c r="AQ223" s="194">
        <f t="shared" si="3918"/>
        <v>2689.8734177215192</v>
      </c>
      <c r="AR223" s="194">
        <f t="shared" si="3918"/>
        <v>2736.6771159874606</v>
      </c>
      <c r="AS223" s="194">
        <f t="shared" si="3918"/>
        <v>3051.8518518518517</v>
      </c>
      <c r="AT223" s="194">
        <f t="shared" si="3918"/>
        <v>3101.3513513513512</v>
      </c>
      <c r="AU223" s="194">
        <f t="shared" si="3918"/>
        <v>3422.680412371134</v>
      </c>
      <c r="AV223" s="194">
        <f t="shared" si="3918"/>
        <v>3588.6524822695037</v>
      </c>
      <c r="AW223" s="194">
        <f t="shared" si="3918"/>
        <v>3477.5086505190316</v>
      </c>
      <c r="AX223" s="194">
        <f t="shared" si="3918"/>
        <v>3584.5588235294117</v>
      </c>
      <c r="AY223" s="194">
        <f t="shared" si="3918"/>
        <v>3675.4311746247781</v>
      </c>
      <c r="AZ223" s="194">
        <f t="shared" ref="AZ223:BA223" si="3919">IFERROR(AZ14/AZ74*1000,"")</f>
        <v>3794.9950434465545</v>
      </c>
      <c r="BA223" s="194">
        <f t="shared" si="3919"/>
        <v>3908.9924133712752</v>
      </c>
      <c r="BB223" s="194"/>
      <c r="BC223" s="194"/>
      <c r="BD223" s="194"/>
      <c r="BE223" s="194"/>
      <c r="BF223" s="194"/>
      <c r="BG223" s="194"/>
      <c r="BH223" s="194"/>
      <c r="BI223" s="194"/>
      <c r="BJ223" s="194"/>
      <c r="BK223" s="194"/>
      <c r="BL223" s="194"/>
      <c r="BM223" s="194"/>
      <c r="BO223" s="37" t="str">
        <f t="shared" si="1220"/>
        <v>Revenue per carload ($)</v>
      </c>
      <c r="BP223" s="193">
        <f>IFERROR(BP14/BP74*1000,"")</f>
        <v>850.34013605442169</v>
      </c>
      <c r="BQ223" s="193">
        <f>IFERROR(BQ14/BQ74*1000,"")</f>
        <v>841.726618705036</v>
      </c>
      <c r="BR223" s="193">
        <f>IFERROR(BR14/BR74*1000,"")</f>
        <v>846.7153284671532</v>
      </c>
      <c r="BS223" s="193">
        <f>IFERROR(BS14/BS74*1000,"")</f>
        <v>951.61290322580646</v>
      </c>
      <c r="BT223" s="193">
        <f>IFERROR(BT14/BT74*1000,"")</f>
        <v>870.20109689213893</v>
      </c>
      <c r="BV223" s="37" t="str">
        <f t="shared" si="1221"/>
        <v>Revenue per carload ($)</v>
      </c>
      <c r="BW223" s="193">
        <f>IFERROR(BW14/BW74*1000,"")</f>
        <v>875.91240875912411</v>
      </c>
      <c r="BX223" s="193">
        <f>IFERROR(BX14/BX74*1000,"")</f>
        <v>893.93939393939388</v>
      </c>
      <c r="BY223" s="193">
        <f>IFERROR(BY14/BY74*1000,"")</f>
        <v>881.88976377952758</v>
      </c>
      <c r="BZ223" s="193">
        <f>IFERROR(BZ14/BZ74*1000,"")</f>
        <v>982.45614035087715</v>
      </c>
      <c r="CA223" s="193">
        <f>IFERROR(CA14/CA74*1000,"")</f>
        <v>905.88235294117646</v>
      </c>
      <c r="CC223" s="37" t="str">
        <f t="shared" si="1222"/>
        <v>Revenue per carload ($)</v>
      </c>
      <c r="CD223" s="193">
        <f>IFERROR(CD14/CD74*1000,"")</f>
        <v>955.75221238938059</v>
      </c>
      <c r="CE223" s="193">
        <f>IFERROR(CE14/CE74*1000,"")</f>
        <v>990.65420560747668</v>
      </c>
      <c r="CF223" s="193">
        <f>IFERROR(CF14/CF74*1000,"")</f>
        <v>1000</v>
      </c>
      <c r="CG223" s="193">
        <f>IFERROR(CG14/CG74*1000,"")</f>
        <v>990.82568807339453</v>
      </c>
      <c r="CH223" s="193">
        <f>IFERROR(CH14/CH74*1000,"")</f>
        <v>984.05466970387249</v>
      </c>
      <c r="CJ223" s="37" t="str">
        <f t="shared" si="1223"/>
        <v>Revenue per carload ($)</v>
      </c>
      <c r="CK223" s="193">
        <f>IFERROR(CK14/CK74*1000,"")</f>
        <v>1017.391304347826</v>
      </c>
      <c r="CL223" s="193">
        <f>IFERROR(CL14/CL74*1000,"")</f>
        <v>1018.3486238532109</v>
      </c>
      <c r="CM223" s="193">
        <f>IFERROR(CM14/CM74*1000,"")</f>
        <v>1009.1743119266055</v>
      </c>
      <c r="CN223" s="193">
        <f>IFERROR(CN14/CN74*1000,"")</f>
        <v>1018.5185185185186</v>
      </c>
      <c r="CO223" s="193">
        <f>IFERROR(CO14/CO74*1000,"")</f>
        <v>1015.8730158730158</v>
      </c>
      <c r="CQ223" s="37" t="str">
        <f t="shared" si="1224"/>
        <v>Revenue per carload ($)</v>
      </c>
      <c r="CR223" s="193">
        <f>IFERROR(CR14/CR74*1000,"")</f>
        <v>1027.2727272727273</v>
      </c>
      <c r="CS223" s="193">
        <f>IFERROR(CS14/CS74*1000,"")</f>
        <v>1018.3486238532109</v>
      </c>
      <c r="CT223" s="193">
        <f>IFERROR(CT14/CT74*1000,"")</f>
        <v>1000</v>
      </c>
      <c r="CU223" s="193">
        <f>IFERROR(CU14/CU74*1000,"")</f>
        <v>1018.3486238532109</v>
      </c>
      <c r="CV223" s="193">
        <f>IFERROR(CV14/CV74*1000,"")</f>
        <v>1016.0919540229885</v>
      </c>
      <c r="CX223" s="37" t="str">
        <f t="shared" si="1225"/>
        <v>Revenue per carload ($)</v>
      </c>
      <c r="CY223" s="193">
        <f>IFERROR(CY14/CY74*1000,"")</f>
        <v>1000</v>
      </c>
      <c r="CZ223" s="193">
        <f>IFERROR(CZ14/CZ74*1000,"")</f>
        <v>1008.8495575221239</v>
      </c>
      <c r="DA223" s="193">
        <f>IFERROR(DA14/DA74*1000,"")</f>
        <v>1000</v>
      </c>
      <c r="DB223" s="193">
        <f>IFERROR(DB14/DB74*1000,"")</f>
        <v>1009.2592592592594</v>
      </c>
      <c r="DC223" s="193">
        <f>IFERROR(DC14/DC74*1000,"")</f>
        <v>1004.5248868778281</v>
      </c>
      <c r="DE223" s="37" t="str">
        <f t="shared" si="1226"/>
        <v>Revenue per carload ($)</v>
      </c>
      <c r="DF223" s="193">
        <f>IFERROR(DF14/DF74*1000,"")</f>
        <v>1008.9285714285714</v>
      </c>
      <c r="DG223" s="193">
        <f>IFERROR(DG14/DG74*1000,"")</f>
        <v>1025.8620689655174</v>
      </c>
      <c r="DH223" s="193">
        <f>IFERROR(DH14/DH74*1000,"")</f>
        <v>1008.6206896551723</v>
      </c>
      <c r="DI223" s="193">
        <f>IFERROR(DI14/DI74*1000,"")</f>
        <v>1026.7857142857142</v>
      </c>
      <c r="DJ223" s="193">
        <f>IFERROR(DJ14/DJ74*1000,"")</f>
        <v>1017.5438596491229</v>
      </c>
      <c r="DL223" s="37" t="str">
        <f t="shared" si="1227"/>
        <v>Revenue per carload ($)</v>
      </c>
      <c r="DM223" s="193">
        <f>IFERROR(DM14/DM74*1000,"")</f>
        <v>1025.6410256410256</v>
      </c>
      <c r="DN223" s="193">
        <f>IFERROR(DN14/DN74*1000,"")</f>
        <v>1136.3636363636365</v>
      </c>
      <c r="DO223" s="193">
        <f>IFERROR(DO14/DO74*1000,"")</f>
        <v>1050.8474576271187</v>
      </c>
      <c r="DP223" s="193">
        <f>IFERROR(DP14/DP74*1000,"")</f>
        <v>1086.9565217391303</v>
      </c>
      <c r="DQ223" s="193">
        <f>IFERROR(DQ14/DQ74*1000,"")</f>
        <v>1073.913043478261</v>
      </c>
      <c r="DS223" s="37" t="str">
        <f t="shared" si="1228"/>
        <v>Revenue per carload ($)</v>
      </c>
      <c r="DT223" s="193">
        <f>IFERROR(DT14/DT74*1000,"")</f>
        <v>1066.6666666666667</v>
      </c>
      <c r="DU223" s="193">
        <f>IFERROR(DU14/DU74*1000,"")</f>
        <v>1067.7966101694915</v>
      </c>
      <c r="DV223" s="193">
        <f>IFERROR(DV14/DV74*1000,"")</f>
        <v>1051.2820512820513</v>
      </c>
      <c r="DW223" s="193">
        <f>IFERROR(DW14/DW74*1000,"")</f>
        <v>1051.7241379310344</v>
      </c>
      <c r="DX223" s="193">
        <f>IFERROR(DX14/DX74*1000,"")</f>
        <v>1059.4479830148621</v>
      </c>
      <c r="DZ223" s="37" t="str">
        <f t="shared" si="1229"/>
        <v>Revenue per carload ($)</v>
      </c>
      <c r="EA223" s="193">
        <f>IFERROR(EA14/EA74*1000,"")</f>
        <v>1067.7966101694915</v>
      </c>
      <c r="EB223" s="193">
        <f>IFERROR(EB14/EB74*1000,"")</f>
        <v>1068.9655172413793</v>
      </c>
      <c r="EC223" s="193">
        <f>IFERROR(EC14/EC74*1000,"")</f>
        <v>1113.0434782608695</v>
      </c>
      <c r="ED223" s="193">
        <f>IFERROR(ED14/ED74*1000,"")</f>
        <v>1129.6296296296296</v>
      </c>
      <c r="EE223" s="193">
        <f>IFERROR(EE14/EE74*1000,"")</f>
        <v>1094.0919037199124</v>
      </c>
      <c r="EG223" s="37" t="str">
        <f t="shared" si="1230"/>
        <v>Revenue per carload ($)</v>
      </c>
      <c r="EH223" s="193">
        <f>IFERROR(EH14/EH74*1000,"")</f>
        <v>1107.4380165289258</v>
      </c>
      <c r="EI223" s="193">
        <f>IFERROR(EI14/EI74*1000,"")</f>
        <v>1173.5537190082646</v>
      </c>
      <c r="EJ223" s="193">
        <f>IFERROR(EJ14/EJ74*1000,"")</f>
        <v>1212.1212121212122</v>
      </c>
      <c r="EK223" s="193">
        <f>IFERROR(EK14/EK74*1000,"")</f>
        <v>1229.0076335877861</v>
      </c>
      <c r="EL223" s="193">
        <f>IFERROR(EL14/EL74*1000,"")</f>
        <v>1182.178217821782</v>
      </c>
      <c r="EN223" s="37" t="str">
        <f t="shared" si="1231"/>
        <v>Revenue per carload ($)</v>
      </c>
      <c r="EO223" s="193">
        <f>IFERROR(EO14/EO74*1000,"")</f>
        <v>1216.374269005848</v>
      </c>
      <c r="EP223" s="193">
        <f>IFERROR(EP14/EP74*1000,"")</f>
        <v>1251.4970059880238</v>
      </c>
      <c r="EQ223" s="193">
        <f>IFERROR(EQ14/EQ74*1000,"")</f>
        <v>1265.8227848101267</v>
      </c>
      <c r="ER223" s="193">
        <f>IFERROR(ER14/ER74*1000,"")</f>
        <v>1289.4736842105262</v>
      </c>
      <c r="ES223" s="193">
        <f>IFERROR(ES14/ES74*1000,"")</f>
        <v>1254.6296296296296</v>
      </c>
      <c r="EU223" s="37" t="str">
        <f t="shared" si="1232"/>
        <v>Revenue per carload ($)</v>
      </c>
      <c r="EV223" s="193">
        <f>IFERROR(EV14/EV74*1000,"")</f>
        <v>1298.0132450331125</v>
      </c>
      <c r="EW223" s="193">
        <f>IFERROR(EW14/EW74*1000,"")</f>
        <v>1302.6315789473683</v>
      </c>
      <c r="EX223" s="193">
        <f>IFERROR(EX14/EX74*1000,"")</f>
        <v>1320</v>
      </c>
      <c r="EY223" s="193">
        <f>IFERROR(EY14/EY74*1000,"")</f>
        <v>1277.7777777777776</v>
      </c>
      <c r="EZ223" s="193">
        <f>IFERROR(EZ14/EZ74*1000,"")</f>
        <v>1299.8324958123953</v>
      </c>
      <c r="FB223" s="37" t="str">
        <f t="shared" si="1233"/>
        <v>Revenue per carload ($)</v>
      </c>
      <c r="FC223" s="193">
        <f>IFERROR(FC14/FC74*1000,"")</f>
        <v>1312.5</v>
      </c>
      <c r="FD223" s="193">
        <f>IFERROR(FD14/FD74*1000,"")</f>
        <v>1296.0526315789473</v>
      </c>
      <c r="FE223" s="193">
        <f>IFERROR(FE14/FE74*1000,"")</f>
        <v>1291.3907284768211</v>
      </c>
      <c r="FF223" s="193">
        <f>IFERROR(FF14/FF74*1000,"")</f>
        <v>1328.6713286713289</v>
      </c>
      <c r="FG223" s="193">
        <f>IFERROR(FG14/FG74*1000,"")</f>
        <v>1306.7796610169491</v>
      </c>
      <c r="FI223" s="37" t="str">
        <f t="shared" si="1234"/>
        <v>Revenue per carload ($)</v>
      </c>
      <c r="FJ223" s="193">
        <f>IFERROR(FJ14/FJ74*1000,"")</f>
        <v>1317.5675675675675</v>
      </c>
      <c r="FK223" s="193">
        <f>IFERROR(FK14/FK74*1000,"")</f>
        <v>1370.6896551724137</v>
      </c>
      <c r="FL223" s="193">
        <f>IFERROR(FL14/FL74*1000,"")</f>
        <v>1373.913043478261</v>
      </c>
      <c r="FM223" s="193">
        <f>IFERROR(FM14/FM74*1000,"")</f>
        <v>1342.1052631578948</v>
      </c>
      <c r="FN223" s="193">
        <f>IFERROR(FN14/FN74*1000,"")</f>
        <v>1348.8843813387423</v>
      </c>
      <c r="FP223" s="37" t="str">
        <f t="shared" si="1235"/>
        <v>Revenue per carload ($)</v>
      </c>
      <c r="FQ223" s="193">
        <f>IFERROR(FQ14/FQ74*1000,"")</f>
        <v>1394.7368421052631</v>
      </c>
      <c r="FR223" s="193">
        <f>IFERROR(FR14/FR74*1000,"")</f>
        <v>1443.4782608695652</v>
      </c>
      <c r="FS223" s="193">
        <f>IFERROR(FS14/FS74*1000,"")</f>
        <v>1486.9565217391305</v>
      </c>
      <c r="FT223" s="193">
        <f>IFERROR(FT14/FT74*1000,"")</f>
        <v>1528.9256198347107</v>
      </c>
      <c r="FU223" s="193">
        <f>IFERROR(FU14/FU74*1000,"")</f>
        <v>1464.516129032258</v>
      </c>
      <c r="FW223" s="37" t="str">
        <f t="shared" si="1236"/>
        <v>Revenue per carload ($)</v>
      </c>
      <c r="FX223" s="193">
        <f>IFERROR(FX14/FX74*1000,"")</f>
        <v>1557.5221238938052</v>
      </c>
      <c r="FY223" s="193">
        <f>IFERROR(FY14/FY74*1000,"")</f>
        <v>1601.7699115044247</v>
      </c>
      <c r="FZ223" s="193">
        <f>IFERROR(FZ14/FZ74*1000,"")</f>
        <v>1654.2056074766356</v>
      </c>
      <c r="GA223" s="193">
        <f>IFERROR(GA14/GA74*1000,"")</f>
        <v>1726.4150943396226</v>
      </c>
      <c r="GB223" s="193">
        <f>IFERROR(GB14/GB74*1000,"")</f>
        <v>1633.2574031890661</v>
      </c>
      <c r="GD223" s="37" t="str">
        <f t="shared" si="1237"/>
        <v>Revenue per carload ($)</v>
      </c>
      <c r="GE223" s="193">
        <f>IFERROR(GE14/GE74*1000,"")</f>
        <v>1801.8867924528302</v>
      </c>
      <c r="GF223" s="193">
        <f>IFERROR(GF14/GF74*1000,"")</f>
        <v>1883.495145631068</v>
      </c>
      <c r="GG223" s="193">
        <f>IFERROR(GG14/GG74*1000,"")</f>
        <v>2000</v>
      </c>
      <c r="GH223" s="193">
        <f>IFERROR(GH14/GH74*1000,"")</f>
        <v>1978.9473684210525</v>
      </c>
      <c r="GI223" s="193">
        <f>IFERROR(GI14/GI74*1000,"")</f>
        <v>1913.3663366336632</v>
      </c>
      <c r="GK223" s="37" t="str">
        <f t="shared" si="1238"/>
        <v>Revenue per carload ($)</v>
      </c>
      <c r="GL223" s="193">
        <f>IFERROR(GL14/GL74*1000,"")</f>
        <v>2009.8039215686274</v>
      </c>
      <c r="GM223" s="193">
        <f>IFERROR(GM14/GM74*1000,"")</f>
        <v>2100</v>
      </c>
      <c r="GN223" s="193">
        <f>IFERROR(GN14/GN74*1000,"")</f>
        <v>2114.5833333333335</v>
      </c>
      <c r="GO223" s="193">
        <f>IFERROR(GO14/GO74*1000,"")</f>
        <v>2126.4367816091958</v>
      </c>
      <c r="GP223" s="193">
        <f>IFERROR(GP14/GP74*1000,"")</f>
        <v>2085.7142857142858</v>
      </c>
      <c r="GR223" s="37" t="str">
        <f t="shared" si="1239"/>
        <v>Revenue per carload ($)</v>
      </c>
      <c r="GS223" s="193">
        <f>IFERROR(GS14/GS74*1000,"")</f>
        <v>2206.8965517241377</v>
      </c>
      <c r="GT223" s="193">
        <f>IFERROR(GT14/GT74*1000,"")</f>
        <v>2277.7777777777778</v>
      </c>
      <c r="GU223" s="193">
        <f>IFERROR(GU14/GU74*1000,"")</f>
        <v>2400</v>
      </c>
      <c r="GV223" s="193">
        <f>IFERROR(GV14/GV74*1000,"")</f>
        <v>2337.6623376623374</v>
      </c>
      <c r="GW223" s="193">
        <f>IFERROR(GW14/GW74*1000,"")</f>
        <v>2305.2325581395348</v>
      </c>
      <c r="GY223" s="37" t="str">
        <f t="shared" si="1240"/>
        <v>Revenue per carload ($)</v>
      </c>
      <c r="GZ223" s="193">
        <f>IFERROR(GZ14/GZ74*1000,"")</f>
        <v>2153.8461538461538</v>
      </c>
      <c r="HA223" s="193">
        <f>IFERROR(HA14/HA74*1000,"")</f>
        <v>2078.125</v>
      </c>
      <c r="HB223" s="193">
        <f>IFERROR(HB14/HB74*1000,"")</f>
        <v>2089.5522388059699</v>
      </c>
      <c r="HC223" s="193">
        <f>IFERROR(HC14/HC74*1000,"")</f>
        <v>2161.2903225806449</v>
      </c>
      <c r="HD223" s="193">
        <f>IFERROR(HD14/HD74*1000,"")</f>
        <v>2120.1550387596903</v>
      </c>
      <c r="HF223" s="37" t="str">
        <f t="shared" si="1241"/>
        <v>Revenue per carload ($)</v>
      </c>
      <c r="HG223" s="193">
        <f>IFERROR(HG14/HG74*1000,"")</f>
        <v>2222.2222222222222</v>
      </c>
      <c r="HH223" s="193">
        <f>IFERROR(HH14/HH74*1000,"")</f>
        <v>2307.6923076923076</v>
      </c>
      <c r="HI223" s="193">
        <f>IFERROR(HI14/HI74*1000,"")</f>
        <v>2238.8059701492534</v>
      </c>
      <c r="HJ223" s="193">
        <f>IFERROR(HJ14/HJ74*1000,"")</f>
        <v>2285.7142857142858</v>
      </c>
      <c r="HK223" s="193">
        <f>IFERROR(HK14/HK74*1000,"")</f>
        <v>2264.1509433962265</v>
      </c>
      <c r="HM223" s="37" t="str">
        <f t="shared" si="1242"/>
        <v>Revenue per carload ($)</v>
      </c>
      <c r="HN223" s="193">
        <f>IFERROR(HN14/HN74*1000,"")</f>
        <v>2333.3333333333335</v>
      </c>
      <c r="HO223" s="193">
        <f>IFERROR(HO14/HO74*1000,"")</f>
        <v>2485.7142857142858</v>
      </c>
      <c r="HP223" s="193">
        <f>IFERROR(HP14/HP74*1000,"")</f>
        <v>2452.0547945205481</v>
      </c>
      <c r="HQ223" s="193">
        <f>IFERROR(HQ14/HQ74*1000,"")</f>
        <v>2463.768115942029</v>
      </c>
      <c r="HR223" s="193">
        <f>IFERROR(HR14/HR74*1000,"")</f>
        <v>2434.1637010676159</v>
      </c>
      <c r="HT223" s="37" t="str">
        <f t="shared" si="1243"/>
        <v>Revenue per carload ($)</v>
      </c>
      <c r="HU223" s="193">
        <f>IFERROR(HU14/HU74*1000,"")</f>
        <v>2479.4520547945208</v>
      </c>
      <c r="HV223" s="193">
        <f>IFERROR(HV14/HV74*1000,"")</f>
        <v>2591.5492957746478</v>
      </c>
      <c r="HW223" s="193">
        <f>IFERROR(HW14/HW74*1000,"")</f>
        <v>2493.1506849315069</v>
      </c>
      <c r="HX223" s="193">
        <f>IFERROR(HX14/HX74*1000,"")</f>
        <v>2536.231884057971</v>
      </c>
      <c r="HY223" s="193">
        <f>IFERROR(HY14/HY74*1000,"")</f>
        <v>2524.4755244755247</v>
      </c>
      <c r="IA223" s="37" t="str">
        <f t="shared" si="1244"/>
        <v>Revenue per carload ($)</v>
      </c>
      <c r="IB223" s="193">
        <f>IFERROR(IB14/IB74*1000,"")</f>
        <v>2589.0410958904113</v>
      </c>
      <c r="IC223" s="193">
        <f>IFERROR(IC14/IC74*1000,"")</f>
        <v>2635.135135135135</v>
      </c>
      <c r="ID223" s="193">
        <f>IFERROR(ID14/ID74*1000,"")</f>
        <v>2584.4155844155844</v>
      </c>
      <c r="IE223" s="193">
        <f>IFERROR(IE14/IE74*1000,"")</f>
        <v>2594.5945945945946</v>
      </c>
      <c r="IF223" s="193">
        <f>IFERROR(IF14/IF74*1000,"")</f>
        <v>2600.6711409395975</v>
      </c>
      <c r="IH223" s="37" t="str">
        <f t="shared" si="1245"/>
        <v>Revenue per carload ($)</v>
      </c>
      <c r="II223" s="193">
        <f>IFERROR(II14/II74*1000,"")</f>
        <v>2621.6216216216217</v>
      </c>
      <c r="IJ223" s="193">
        <f>IFERROR(IJ14/IJ74*1000,"")</f>
        <v>2658.2278481012659</v>
      </c>
      <c r="IK223" s="193">
        <f>IFERROR(IK14/IK74*1000,"")</f>
        <v>2714.2857142857142</v>
      </c>
      <c r="IL223" s="193">
        <f>IFERROR(IL14/IL74*1000,"")</f>
        <v>2675.3246753246749</v>
      </c>
      <c r="IM223" s="193">
        <f>IFERROR(IM14/IM74*1000,"")</f>
        <v>2667.7524429967425</v>
      </c>
      <c r="IO223" s="37" t="str">
        <f t="shared" si="1246"/>
        <v>Revenue per carload ($)</v>
      </c>
      <c r="IP223" s="193">
        <f>IFERROR(IP14/IP74*1000,"")</f>
        <v>2712.3287671232879</v>
      </c>
      <c r="IQ223" s="193">
        <f>IFERROR(IQ14/IQ74*1000,"")</f>
        <v>2729.72972972973</v>
      </c>
      <c r="IR223" s="193">
        <f>IFERROR(IR14/IR74*1000,"")</f>
        <v>2780.821917808219</v>
      </c>
      <c r="IS223" s="193">
        <f>IFERROR(IS14/IS74*1000,"")</f>
        <v>2757.1428571428573</v>
      </c>
      <c r="IT223" s="193">
        <f>IFERROR(IT14/IT74*1000,"")</f>
        <v>2744.8275862068967</v>
      </c>
      <c r="IV223" s="37" t="str">
        <f t="shared" si="1247"/>
        <v>Revenue per carload ($)</v>
      </c>
      <c r="IW223" s="193">
        <f>IFERROR(IW14/IW74*1000,"")</f>
        <v>2779.4117647058824</v>
      </c>
      <c r="IX223" s="193">
        <f>IFERROR(IX14/IX74*1000,"")</f>
        <v>2823.5294117647059</v>
      </c>
      <c r="IY223" s="193">
        <f>IFERROR(IY14/IY74*1000,"")</f>
        <v>2808.8235294117644</v>
      </c>
      <c r="IZ223" s="193">
        <f>IFERROR(IZ14/IZ74*1000,"")</f>
        <v>1487.5</v>
      </c>
      <c r="JA223" s="193">
        <f>IFERROR(JA14/JA74*1000,"")</f>
        <v>2433.0985915492961</v>
      </c>
      <c r="JC223" s="37" t="str">
        <f t="shared" si="1248"/>
        <v>Revenue per carload ($)</v>
      </c>
      <c r="JD223" s="193">
        <f>IFERROR(JD14/JD74*1000,"")</f>
        <v>2865.6716417910447</v>
      </c>
      <c r="JE223" s="193">
        <f>IFERROR(JE14/JE74*1000,"")</f>
        <v>2337.3493975903616</v>
      </c>
      <c r="JF223" s="193">
        <f>IFERROR(JF14/JF74*1000,"")</f>
        <v>2262.5</v>
      </c>
      <c r="JG223" s="193">
        <f>IFERROR(JG14/JG74*1000,"")</f>
        <v>1533.3333333333335</v>
      </c>
      <c r="JH223" s="193">
        <f>IFERROR(JH14/JH74*1000,"")</f>
        <v>2236.0655737704919</v>
      </c>
      <c r="JJ223" s="37" t="str">
        <f t="shared" si="1249"/>
        <v>Revenue per carload ($)</v>
      </c>
      <c r="JK223" s="193">
        <f>IFERROR(JK14/JK74*1000,"")</f>
        <v>2910.4477611940301</v>
      </c>
      <c r="JL223" s="193">
        <f>IFERROR(JL14/JL74*1000,"")</f>
        <v>2500</v>
      </c>
      <c r="JM223" s="193">
        <f>IFERROR(JM14/JM74*1000,"")</f>
        <v>2623.5294117647059</v>
      </c>
      <c r="JN223" s="193">
        <f>IFERROR(JN14/JN74*1000,"")</f>
        <v>2782.0512820512818</v>
      </c>
      <c r="JO223" s="193">
        <f>IFERROR(JO14/JO74*1000,"")</f>
        <v>2689.8734177215192</v>
      </c>
      <c r="JQ223" s="37" t="str">
        <f t="shared" si="1250"/>
        <v>Revenue per carload ($)</v>
      </c>
      <c r="JR223" s="193">
        <f>IFERROR(JR14/JR74*1000,"")</f>
        <v>3042.2535211267605</v>
      </c>
      <c r="JS223" s="193">
        <f>IFERROR(JS14/JS74*1000,"")</f>
        <v>3070.4225352112676</v>
      </c>
      <c r="JT223" s="193">
        <f>IFERROR(JT14/JT74*1000,"")</f>
        <v>2500</v>
      </c>
      <c r="JU223" s="193">
        <f>IFERROR(JU14/JU74*1000,"")</f>
        <v>2459.7701149425288</v>
      </c>
      <c r="JV223" s="193">
        <f>IFERROR(JV14/JV74*1000,"")</f>
        <v>2736.6771159874606</v>
      </c>
      <c r="JX223" s="37" t="str">
        <f t="shared" si="1251"/>
        <v>Revenue per carload ($)</v>
      </c>
      <c r="JY223" s="193">
        <f>IFERROR(JY14/JY74*1000,"")</f>
        <v>3056.3380281690138</v>
      </c>
      <c r="JZ223" s="193">
        <f>IFERROR(JZ14/JZ74*1000,"")</f>
        <v>3031.25</v>
      </c>
      <c r="KA223" s="193">
        <f>IFERROR(KA14/KA74*1000,"")</f>
        <v>3074.626865671642</v>
      </c>
      <c r="KB223" s="193">
        <f>IFERROR(KB14/KB74*1000,"")</f>
        <v>3044.1176470588234</v>
      </c>
      <c r="KC223" s="193">
        <f>IFERROR(KC14/KC74*1000,"")</f>
        <v>3051.8518518518517</v>
      </c>
      <c r="KE223" s="37" t="str">
        <f t="shared" si="1252"/>
        <v>Revenue per carload ($)</v>
      </c>
      <c r="KF223" s="193">
        <f>IFERROR(KF14/KF74*1000,"")</f>
        <v>3013.6986301369861</v>
      </c>
      <c r="KG223" s="193">
        <f>IFERROR(KG14/KG74*1000,"")</f>
        <v>3106.6666666666665</v>
      </c>
      <c r="KH223" s="193">
        <f>IFERROR(KH14/KH74*1000,"")</f>
        <v>3080</v>
      </c>
      <c r="KI223" s="193">
        <f>IFERROR(KI14/KI74*1000,"")</f>
        <v>3205.4794520547944</v>
      </c>
      <c r="KJ223" s="193">
        <f>IFERROR(KJ14/KJ74*1000,"")</f>
        <v>3101.3513513513512</v>
      </c>
      <c r="KL223" s="37" t="str">
        <f t="shared" si="1253"/>
        <v>Revenue per carload ($)</v>
      </c>
      <c r="KM223" s="193">
        <f>IFERROR(KM14/KM74*1000,"")</f>
        <v>3257.1428571428573</v>
      </c>
      <c r="KN223" s="193">
        <f>IFERROR(KN14/KN74*1000,"")</f>
        <v>3391.8918918918921</v>
      </c>
      <c r="KO223" s="193">
        <f>IFERROR(KO14/KO74*1000,"")</f>
        <v>3520</v>
      </c>
      <c r="KP223" s="193">
        <f>IFERROR(KP14/KP74*1000,"")</f>
        <v>3513.8888888888887</v>
      </c>
      <c r="KQ223" s="193">
        <f>IFERROR(KQ14/KQ74*1000,"")</f>
        <v>3422.680412371134</v>
      </c>
      <c r="KS223" s="37" t="str">
        <f t="shared" si="1254"/>
        <v>Revenue per carload ($)</v>
      </c>
      <c r="KT223" s="193">
        <f>IFERROR(KT14/KT74*1000,"")</f>
        <v>3575.3424657534247</v>
      </c>
      <c r="KU223" s="193">
        <f>IFERROR(KU14/KU74*1000,"")</f>
        <v>3569.4444444444448</v>
      </c>
      <c r="KV223" s="193">
        <f>IFERROR(KV14/KV74*1000,"")</f>
        <v>3626.8656716417909</v>
      </c>
      <c r="KW223" s="193">
        <f>IFERROR(KW14/KW74*1000,"")</f>
        <v>3585.7142857142858</v>
      </c>
      <c r="KX223" s="193">
        <f>IFERROR(KX14/KX74*1000,"")</f>
        <v>3588.6524822695037</v>
      </c>
      <c r="KZ223" s="37" t="str">
        <f t="shared" si="1255"/>
        <v>Revenue per carload ($)</v>
      </c>
      <c r="LA223" s="193">
        <f>IFERROR(LA14/LA74*1000,"")</f>
        <v>3142.8571428571427</v>
      </c>
      <c r="LB223" s="193">
        <f>IFERROR(LB14/LB74*1000,"")</f>
        <v>3635.135135135135</v>
      </c>
      <c r="LC223" s="193">
        <f>IFERROR(LC14/LC74*1000,"")</f>
        <v>3547.9452054794519</v>
      </c>
      <c r="LD223" s="193">
        <f>IFERROR(LD14/LD74*1000,"")</f>
        <v>3569.4444444444448</v>
      </c>
      <c r="LE223" s="193">
        <f>LE226/LE220*1000</f>
        <v>3477.5086505190316</v>
      </c>
      <c r="LF223" s="563"/>
      <c r="LG223" s="37" t="str">
        <f t="shared" si="1256"/>
        <v>Revenue per carload ($)</v>
      </c>
      <c r="LH223" s="193">
        <f>IFERROR(LH14/LH74*1000,"")</f>
        <v>3557.1428571428569</v>
      </c>
      <c r="LI223" s="193">
        <f>IFERROR(LI14/LI74*1000,"")</f>
        <v>3571.4285714285716</v>
      </c>
      <c r="LJ223" s="193">
        <f>IFERROR(LJ14/LJ74*1000,"")</f>
        <v>3632.3529411764707</v>
      </c>
      <c r="LK223" s="193">
        <f>IFERROR(LK14/LK74*1000,"")</f>
        <v>3578.125</v>
      </c>
      <c r="LL223" s="193">
        <f>LL226/LL220*1000</f>
        <v>3584.5588235294117</v>
      </c>
      <c r="LM223" s="563"/>
      <c r="LN223" s="37" t="str">
        <f t="shared" si="1257"/>
        <v>Revenue per carload ($)</v>
      </c>
      <c r="LO223" s="193">
        <f>(LH223)*(1+LO224)</f>
        <v>3628.2857142857142</v>
      </c>
      <c r="LP223" s="193">
        <f t="shared" ref="LP223" si="3920">(LI223)*(1+LP224)</f>
        <v>3642.8571428571431</v>
      </c>
      <c r="LQ223" s="193">
        <f t="shared" ref="LQ223" si="3921">(LJ223)*(1+LQ224)</f>
        <v>3741.3235294117649</v>
      </c>
      <c r="LR223" s="193">
        <f t="shared" ref="LR223" si="3922">(LK223)*(1+LR224)</f>
        <v>3685.46875</v>
      </c>
      <c r="LS223" s="193">
        <f>LS226/LS220*1000</f>
        <v>3675.4311746247781</v>
      </c>
      <c r="LT223" s="563"/>
      <c r="LU223" s="37" t="str">
        <f t="shared" si="1261"/>
        <v>Revenue per carload ($)</v>
      </c>
      <c r="LV223" s="193">
        <f>(LO223)*(1+LV224)</f>
        <v>3746.2049999999999</v>
      </c>
      <c r="LW223" s="193">
        <f t="shared" ref="LW223" si="3923">(LP223)*(1+LW224)</f>
        <v>3761.25</v>
      </c>
      <c r="LX223" s="193">
        <f t="shared" ref="LX223" si="3924">(LQ223)*(1+LX224)</f>
        <v>3862.9165441176469</v>
      </c>
      <c r="LY223" s="193">
        <f t="shared" ref="LY223" si="3925">(LR223)*(1+LY224)</f>
        <v>3805.2464843749999</v>
      </c>
      <c r="LZ223" s="193">
        <f>LZ226/LZ220*1000</f>
        <v>3794.9950434465545</v>
      </c>
      <c r="MA223" s="563"/>
      <c r="MB223" s="37" t="str">
        <f t="shared" si="1265"/>
        <v>Revenue per carload ($)</v>
      </c>
      <c r="MC223" s="193">
        <f>(LV223)*(1+MC224)</f>
        <v>3858.5911500000002</v>
      </c>
      <c r="MD223" s="193">
        <f t="shared" ref="MD223" si="3926">(LW223)*(1+MD224)</f>
        <v>3874.0875000000001</v>
      </c>
      <c r="ME223" s="193">
        <f t="shared" ref="ME223" si="3927">(LX223)*(1+ME224)</f>
        <v>3978.8040404411763</v>
      </c>
      <c r="MF223" s="193">
        <f t="shared" ref="MF223" si="3928">(LY223)*(1+MF224)</f>
        <v>3919.4038789062502</v>
      </c>
      <c r="MG223" s="193">
        <f>MG226/MG220*1000</f>
        <v>3908.9924133712752</v>
      </c>
      <c r="MH223" s="563"/>
    </row>
    <row r="224" spans="1:346" s="37" customFormat="1" ht="13.15" x14ac:dyDescent="0.4">
      <c r="A224" s="100"/>
      <c r="B224" s="197" t="s">
        <v>516</v>
      </c>
      <c r="C224" s="186"/>
      <c r="D224" s="186"/>
      <c r="E224" s="186"/>
      <c r="F224" s="186"/>
      <c r="G224" s="186"/>
      <c r="H224" s="186"/>
      <c r="I224" s="186"/>
      <c r="J224" s="186"/>
      <c r="K224" s="186"/>
      <c r="L224" s="186"/>
      <c r="M224" s="186"/>
      <c r="N224" s="193"/>
      <c r="O224" s="198">
        <f>O223/N223-1</f>
        <v>4.1003460207612363E-2</v>
      </c>
      <c r="P224" s="198">
        <f t="shared" ref="P224:BA224" si="3929">P223/O223-1</f>
        <v>8.6294115906872193E-2</v>
      </c>
      <c r="Q224" s="198">
        <f t="shared" si="3929"/>
        <v>3.233392122280998E-2</v>
      </c>
      <c r="R224" s="198">
        <f t="shared" si="3929"/>
        <v>2.1551724137935935E-4</v>
      </c>
      <c r="S224" s="198">
        <f t="shared" si="3929"/>
        <v>-1.138387829897014E-2</v>
      </c>
      <c r="T224" s="198">
        <f t="shared" si="3929"/>
        <v>1.2960328749802574E-2</v>
      </c>
      <c r="U224" s="198">
        <f t="shared" si="3929"/>
        <v>5.5397301349325412E-2</v>
      </c>
      <c r="V224" s="198">
        <f t="shared" si="3929"/>
        <v>-1.3469489500331E-2</v>
      </c>
      <c r="W224" s="198">
        <f t="shared" si="3929"/>
        <v>3.2699973250658765E-2</v>
      </c>
      <c r="X224" s="198">
        <f t="shared" si="3929"/>
        <v>8.0510891089108805E-2</v>
      </c>
      <c r="Y224" s="198">
        <f t="shared" si="3929"/>
        <v>6.1286370122216161E-2</v>
      </c>
      <c r="Z224" s="198">
        <f t="shared" si="3929"/>
        <v>3.6028852750839224E-2</v>
      </c>
      <c r="AA224" s="198">
        <f t="shared" si="3929"/>
        <v>5.3446618906167753E-3</v>
      </c>
      <c r="AB224" s="198">
        <f t="shared" si="3929"/>
        <v>3.2220213994627711E-2</v>
      </c>
      <c r="AC224" s="198">
        <f t="shared" si="3929"/>
        <v>8.5723987387824385E-2</v>
      </c>
      <c r="AD224" s="198">
        <f t="shared" si="3929"/>
        <v>0.11521981275024329</v>
      </c>
      <c r="AE224" s="198">
        <f t="shared" si="3929"/>
        <v>0.17150323818992774</v>
      </c>
      <c r="AF224" s="198">
        <f t="shared" si="3929"/>
        <v>9.007577157641844E-2</v>
      </c>
      <c r="AG224" s="198">
        <f t="shared" si="3929"/>
        <v>0.10524848677922893</v>
      </c>
      <c r="AH224" s="198">
        <f t="shared" si="3929"/>
        <v>-8.0285834384194787E-2</v>
      </c>
      <c r="AI224" s="198">
        <f t="shared" si="3929"/>
        <v>6.791762960918879E-2</v>
      </c>
      <c r="AJ224" s="198">
        <f t="shared" si="3929"/>
        <v>7.5088967971530307E-2</v>
      </c>
      <c r="AK224" s="198">
        <f t="shared" si="3929"/>
        <v>3.7101787101787131E-2</v>
      </c>
      <c r="AL224" s="198">
        <f t="shared" si="3929"/>
        <v>3.018275112011759E-2</v>
      </c>
      <c r="AM224" s="198">
        <f t="shared" si="3929"/>
        <v>2.5793842597457095E-2</v>
      </c>
      <c r="AN224" s="198">
        <f t="shared" si="3929"/>
        <v>2.8891415098311723E-2</v>
      </c>
      <c r="AO224" s="198">
        <f t="shared" si="3929"/>
        <v>-0.1135696086064123</v>
      </c>
      <c r="AP224" s="198">
        <f t="shared" si="3929"/>
        <v>-8.0980285165239363E-2</v>
      </c>
      <c r="AQ224" s="198">
        <f t="shared" si="3929"/>
        <v>0.20294925572589939</v>
      </c>
      <c r="AR224" s="198">
        <f t="shared" si="3929"/>
        <v>1.7399963120044104E-2</v>
      </c>
      <c r="AS224" s="198">
        <f t="shared" si="3929"/>
        <v>0.11516694242925629</v>
      </c>
      <c r="AT224" s="198">
        <f t="shared" si="3929"/>
        <v>1.6219496195224448E-2</v>
      </c>
      <c r="AU224" s="198">
        <f t="shared" si="3929"/>
        <v>0.10360937043775142</v>
      </c>
      <c r="AV224" s="198">
        <f t="shared" si="3929"/>
        <v>4.8491839699222439E-2</v>
      </c>
      <c r="AW224" s="198">
        <f t="shared" si="3929"/>
        <v>-3.097090963797744E-2</v>
      </c>
      <c r="AX224" s="198">
        <f t="shared" si="3929"/>
        <v>3.0783582089552119E-2</v>
      </c>
      <c r="AY224" s="198">
        <f t="shared" si="3929"/>
        <v>2.5351055895322716E-2</v>
      </c>
      <c r="AZ224" s="198">
        <f t="shared" si="3929"/>
        <v>3.253056937843013E-2</v>
      </c>
      <c r="BA224" s="198">
        <f t="shared" si="3929"/>
        <v>3.0038871887745566E-2</v>
      </c>
      <c r="BB224" s="198"/>
      <c r="BC224" s="198"/>
      <c r="BD224" s="198"/>
      <c r="BE224" s="198"/>
      <c r="BF224" s="198"/>
      <c r="BG224" s="198"/>
      <c r="BH224" s="198"/>
      <c r="BI224" s="198"/>
      <c r="BJ224" s="198"/>
      <c r="BK224" s="198"/>
      <c r="BL224" s="198"/>
      <c r="BM224" s="198"/>
      <c r="BO224" s="197" t="str">
        <f t="shared" ref="BO224:BO267" si="3930">$B224</f>
        <v>YoY Change (%)</v>
      </c>
      <c r="BP224" s="193"/>
      <c r="BQ224" s="193"/>
      <c r="BR224" s="193"/>
      <c r="BS224" s="193"/>
      <c r="BT224" s="193"/>
      <c r="BV224" s="197" t="str">
        <f t="shared" ref="BV224:BV267" si="3931">$B224</f>
        <v>YoY Change (%)</v>
      </c>
      <c r="BW224" s="198">
        <f>BW223/BP223-1</f>
        <v>3.0072992700729939E-2</v>
      </c>
      <c r="BX224" s="198">
        <f t="shared" ref="BX224" si="3932">BX223/BQ223-1</f>
        <v>6.2030562030561898E-2</v>
      </c>
      <c r="BY224" s="198">
        <f t="shared" ref="BY224" si="3933">BY223/BR223-1</f>
        <v>4.1542221015476555E-2</v>
      </c>
      <c r="BZ224" s="198">
        <f t="shared" ref="BZ224" si="3934">BZ223/BS223-1</f>
        <v>3.2411537317870831E-2</v>
      </c>
      <c r="CA224" s="198">
        <f t="shared" ref="CA224" si="3935">CA223/BT223-1</f>
        <v>4.1003460207612363E-2</v>
      </c>
      <c r="CC224" s="197" t="str">
        <f t="shared" ref="CC224:CC267" si="3936">$B224</f>
        <v>YoY Change (%)</v>
      </c>
      <c r="CD224" s="198">
        <f>CD223/BW223-1</f>
        <v>9.1150442477876181E-2</v>
      </c>
      <c r="CE224" s="198">
        <f t="shared" ref="CE224" si="3937">CE223/BX223-1</f>
        <v>0.10818945034056715</v>
      </c>
      <c r="CF224" s="198">
        <f t="shared" ref="CF224" si="3938">CF223/BY223-1</f>
        <v>0.1339285714285714</v>
      </c>
      <c r="CG224" s="198">
        <f t="shared" ref="CG224" si="3939">CG223/BZ223-1</f>
        <v>8.5190039318481237E-3</v>
      </c>
      <c r="CH224" s="198">
        <f t="shared" ref="CH224" si="3940">CH223/CA223-1</f>
        <v>8.6294115906872193E-2</v>
      </c>
      <c r="CJ224" s="197" t="str">
        <f t="shared" ref="CJ224:CJ267" si="3941">$B224</f>
        <v>YoY Change (%)</v>
      </c>
      <c r="CK224" s="198">
        <f>CK223/CD223-1</f>
        <v>6.4492753623188293E-2</v>
      </c>
      <c r="CL224" s="198">
        <f t="shared" ref="CL224" si="3942">CL223/CE223-1</f>
        <v>2.7955686342392205E-2</v>
      </c>
      <c r="CM224" s="198">
        <f t="shared" ref="CM224" si="3943">CM223/CF223-1</f>
        <v>9.1743119266054496E-3</v>
      </c>
      <c r="CN224" s="198">
        <f t="shared" ref="CN224" si="3944">CN223/CG223-1</f>
        <v>2.7949245541838197E-2</v>
      </c>
      <c r="CO224" s="198">
        <f t="shared" ref="CO224" si="3945">CO223/CH223-1</f>
        <v>3.233392122280998E-2</v>
      </c>
      <c r="CQ224" s="197" t="str">
        <f t="shared" ref="CQ224:CQ267" si="3946">$B224</f>
        <v>YoY Change (%)</v>
      </c>
      <c r="CR224" s="198">
        <f>CR223/CK223-1</f>
        <v>9.7125097125096982E-3</v>
      </c>
      <c r="CS224" s="198">
        <f t="shared" ref="CS224" si="3947">CS223/CL223-1</f>
        <v>0</v>
      </c>
      <c r="CT224" s="198">
        <f t="shared" ref="CT224" si="3948">CT223/CM223-1</f>
        <v>-9.0909090909090384E-3</v>
      </c>
      <c r="CU224" s="198">
        <f t="shared" ref="CU224" si="3949">CU223/CN223-1</f>
        <v>-1.6680567139293334E-4</v>
      </c>
      <c r="CV224" s="198">
        <f t="shared" ref="CV224" si="3950">CV223/CO223-1</f>
        <v>2.1551724137935935E-4</v>
      </c>
      <c r="CX224" s="197" t="str">
        <f t="shared" ref="CX224:CX267" si="3951">$B224</f>
        <v>YoY Change (%)</v>
      </c>
      <c r="CY224" s="198">
        <f>CY223/CR223-1</f>
        <v>-2.6548672566371612E-2</v>
      </c>
      <c r="CZ224" s="198">
        <f t="shared" ref="CZ224" si="3952">CZ223/CS223-1</f>
        <v>-9.3279119827791579E-3</v>
      </c>
      <c r="DA224" s="198">
        <f t="shared" ref="DA224" si="3953">DA223/CT223-1</f>
        <v>0</v>
      </c>
      <c r="DB224" s="198">
        <f t="shared" ref="DB224" si="3954">DB223/CU223-1</f>
        <v>-8.9255922589254189E-3</v>
      </c>
      <c r="DC224" s="198">
        <f t="shared" ref="DC224" si="3955">DC223/CV223-1</f>
        <v>-1.138387829897014E-2</v>
      </c>
      <c r="DE224" s="197" t="str">
        <f t="shared" ref="DE224:DE267" si="3956">$B224</f>
        <v>YoY Change (%)</v>
      </c>
      <c r="DF224" s="198">
        <f>DF223/CY223-1</f>
        <v>8.9285714285713969E-3</v>
      </c>
      <c r="DG224" s="198">
        <f t="shared" ref="DG224" si="3957">DG223/CZ223-1</f>
        <v>1.6863278886872557E-2</v>
      </c>
      <c r="DH224" s="198">
        <f t="shared" ref="DH224" si="3958">DH223/DA223-1</f>
        <v>8.6206896551723755E-3</v>
      </c>
      <c r="DI224" s="198">
        <f t="shared" ref="DI224" si="3959">DI223/DB223-1</f>
        <v>1.7365661861074466E-2</v>
      </c>
      <c r="DJ224" s="198">
        <f t="shared" ref="DJ224" si="3960">DJ223/DC223-1</f>
        <v>1.2960328749802574E-2</v>
      </c>
      <c r="DL224" s="197" t="str">
        <f t="shared" ref="DL224:DL267" si="3961">$B224</f>
        <v>YoY Change (%)</v>
      </c>
      <c r="DM224" s="198">
        <f>DM223/DF223-1</f>
        <v>1.6564556387565155E-2</v>
      </c>
      <c r="DN224" s="198">
        <f t="shared" ref="DN224" si="3962">DN223/DG223-1</f>
        <v>0.1077158135981664</v>
      </c>
      <c r="DO224" s="198">
        <f t="shared" ref="DO224" si="3963">DO223/DH223-1</f>
        <v>4.1865855425177623E-2</v>
      </c>
      <c r="DP224" s="198">
        <f t="shared" ref="DP224" si="3964">DP223/DI223-1</f>
        <v>5.8601134215500839E-2</v>
      </c>
      <c r="DQ224" s="198">
        <f t="shared" ref="DQ224" si="3965">DQ223/DJ223-1</f>
        <v>5.5397301349325412E-2</v>
      </c>
      <c r="DS224" s="197" t="str">
        <f t="shared" ref="DS224:DS267" si="3966">$B224</f>
        <v>YoY Change (%)</v>
      </c>
      <c r="DT224" s="198">
        <f>DT223/DM223-1</f>
        <v>4.0000000000000036E-2</v>
      </c>
      <c r="DU224" s="198">
        <f t="shared" ref="DU224" si="3967">DU223/DN223-1</f>
        <v>-6.0338983050847617E-2</v>
      </c>
      <c r="DV224" s="198">
        <f t="shared" ref="DV224" si="3968">DV223/DO223-1</f>
        <v>4.1356492969391034E-4</v>
      </c>
      <c r="DW224" s="198">
        <f t="shared" ref="DW224" si="3969">DW223/DP223-1</f>
        <v>-3.2413793103448163E-2</v>
      </c>
      <c r="DX224" s="198">
        <f t="shared" ref="DX224" si="3970">DX223/DQ223-1</f>
        <v>-1.3469489500331E-2</v>
      </c>
      <c r="DZ224" s="197" t="str">
        <f t="shared" ref="DZ224:DZ267" si="3971">$B224</f>
        <v>YoY Change (%)</v>
      </c>
      <c r="EA224" s="198">
        <f>EA223/DT223-1</f>
        <v>1.0593220338981357E-3</v>
      </c>
      <c r="EB224" s="198">
        <f t="shared" ref="EB224" si="3972">EB223/DU223-1</f>
        <v>1.0946907498632363E-3</v>
      </c>
      <c r="EC224" s="198">
        <f t="shared" ref="EC224" si="3973">EC223/DV223-1</f>
        <v>5.8748674443266147E-2</v>
      </c>
      <c r="ED224" s="198">
        <f t="shared" ref="ED224" si="3974">ED223/DW223-1</f>
        <v>7.4074074074074181E-2</v>
      </c>
      <c r="EE224" s="198">
        <f t="shared" ref="EE224" si="3975">EE223/DX223-1</f>
        <v>3.2699973250658765E-2</v>
      </c>
      <c r="EG224" s="197" t="str">
        <f t="shared" ref="EG224:EG267" si="3976">$B224</f>
        <v>YoY Change (%)</v>
      </c>
      <c r="EH224" s="198">
        <f>EH223/EA223-1</f>
        <v>3.7124491669946469E-2</v>
      </c>
      <c r="EI224" s="198">
        <f t="shared" ref="EI224" si="3977">EI223/EB223-1</f>
        <v>9.7840575846441125E-2</v>
      </c>
      <c r="EJ224" s="198">
        <f t="shared" ref="EJ224" si="3978">EJ223/EC223-1</f>
        <v>8.9015151515151603E-2</v>
      </c>
      <c r="EK224" s="198">
        <f t="shared" ref="EK224" si="3979">EK223/ED223-1</f>
        <v>8.7973970717056593E-2</v>
      </c>
      <c r="EL224" s="198">
        <f t="shared" ref="EL224" si="3980">EL223/EE223-1</f>
        <v>8.0510891089108805E-2</v>
      </c>
      <c r="EN224" s="197" t="str">
        <f t="shared" ref="EN224:EN267" si="3981">$B224</f>
        <v>YoY Change (%)</v>
      </c>
      <c r="EO224" s="198">
        <f>EO223/EH223-1</f>
        <v>9.836781007244455E-2</v>
      </c>
      <c r="EP224" s="198">
        <f t="shared" ref="EP224" si="3982">EP223/EI223-1</f>
        <v>6.6416462848949864E-2</v>
      </c>
      <c r="EQ224" s="198">
        <f t="shared" ref="EQ224" si="3983">EQ223/EJ223-1</f>
        <v>4.4303797468354444E-2</v>
      </c>
      <c r="ER224" s="198">
        <f t="shared" ref="ER224" si="3984">ER223/EK223-1</f>
        <v>4.9199084668192228E-2</v>
      </c>
      <c r="ES224" s="198">
        <f t="shared" ref="ES224" si="3985">ES223/EL223-1</f>
        <v>6.1286370122216161E-2</v>
      </c>
      <c r="EU224" s="197" t="str">
        <f t="shared" ref="EU224:EU267" si="3986">$B224</f>
        <v>YoY Change (%)</v>
      </c>
      <c r="EV224" s="198">
        <f>EV223/EO223-1</f>
        <v>6.7116658176260779E-2</v>
      </c>
      <c r="EW224" s="198">
        <f t="shared" ref="EW224" si="3987">EW223/EP223-1</f>
        <v>4.0858725761772963E-2</v>
      </c>
      <c r="EX224" s="198">
        <f t="shared" ref="EX224" si="3988">EX223/EQ223-1</f>
        <v>4.2799999999999949E-2</v>
      </c>
      <c r="EY224" s="198">
        <f t="shared" ref="EY224" si="3989">EY223/ER223-1</f>
        <v>-9.0702947845805459E-3</v>
      </c>
      <c r="EZ224" s="198">
        <f t="shared" ref="EZ224" si="3990">EZ223/ES223-1</f>
        <v>3.6028852750839224E-2</v>
      </c>
      <c r="FB224" s="197" t="str">
        <f t="shared" ref="FB224:FB267" si="3991">$B224</f>
        <v>YoY Change (%)</v>
      </c>
      <c r="FC224" s="198">
        <f>FC223/EV223-1</f>
        <v>1.1160714285714413E-2</v>
      </c>
      <c r="FD224" s="198">
        <f t="shared" ref="FD224" si="3992">FD223/EW223-1</f>
        <v>-5.050505050505083E-3</v>
      </c>
      <c r="FE224" s="198">
        <f t="shared" ref="FE224" si="3993">FE223/EX223-1</f>
        <v>-2.1673690547862834E-2</v>
      </c>
      <c r="FF224" s="198">
        <f t="shared" ref="FF224" si="3994">FF223/EY223-1</f>
        <v>3.9829735481909712E-2</v>
      </c>
      <c r="FG224" s="198">
        <f t="shared" ref="FG224" si="3995">FG223/EZ223-1</f>
        <v>5.3446618906167753E-3</v>
      </c>
      <c r="FI224" s="197" t="str">
        <f t="shared" ref="FI224:FI267" si="3996">$B224</f>
        <v>YoY Change (%)</v>
      </c>
      <c r="FJ224" s="198">
        <f>FJ223/FC223-1</f>
        <v>3.8610038610038533E-3</v>
      </c>
      <c r="FK224" s="198">
        <f t="shared" ref="FK224" si="3997">FK223/FD223-1</f>
        <v>5.7587957290390346E-2</v>
      </c>
      <c r="FL224" s="198">
        <f t="shared" ref="FL224" si="3998">FL223/FE223-1</f>
        <v>6.390189520624312E-2</v>
      </c>
      <c r="FM224" s="198">
        <f t="shared" ref="FM224" si="3999">FM223/FF223-1</f>
        <v>1.0110803324099527E-2</v>
      </c>
      <c r="FN224" s="198">
        <f t="shared" ref="FN224" si="4000">FN223/FG223-1</f>
        <v>3.2220213994627711E-2</v>
      </c>
      <c r="FP224" s="197" t="str">
        <f t="shared" ref="FP224:FP267" si="4001">$B224</f>
        <v>YoY Change (%)</v>
      </c>
      <c r="FQ224" s="198">
        <f>FQ223/FJ223-1</f>
        <v>5.8569500674763963E-2</v>
      </c>
      <c r="FR224" s="198">
        <f t="shared" ref="FR224" si="4002">FR223/FK223-1</f>
        <v>5.3103636860814873E-2</v>
      </c>
      <c r="FS224" s="198">
        <f t="shared" ref="FS224" si="4003">FS223/FL223-1</f>
        <v>8.2278481012658222E-2</v>
      </c>
      <c r="FT224" s="198">
        <f t="shared" ref="FT224" si="4004">FT223/FM223-1</f>
        <v>0.13919948144547067</v>
      </c>
      <c r="FU224" s="198">
        <f t="shared" ref="FU224" si="4005">FU223/FN223-1</f>
        <v>8.5723987387824385E-2</v>
      </c>
      <c r="FW224" s="197" t="str">
        <f t="shared" ref="FW224:FW267" si="4006">$B224</f>
        <v>YoY Change (%)</v>
      </c>
      <c r="FX224" s="198">
        <f>FX223/FQ223-1</f>
        <v>0.1167139756219735</v>
      </c>
      <c r="FY224" s="198">
        <f t="shared" ref="FY224" si="4007">FY223/FR223-1</f>
        <v>0.10965987845186054</v>
      </c>
      <c r="FZ224" s="198">
        <f t="shared" ref="FZ224" si="4008">FZ223/FS223-1</f>
        <v>0.11247745532054432</v>
      </c>
      <c r="GA224" s="198">
        <f t="shared" ref="GA224" si="4009">GA223/FT223-1</f>
        <v>0.12916879143294246</v>
      </c>
      <c r="GB224" s="198">
        <f t="shared" ref="GB224" si="4010">GB223/FU223-1</f>
        <v>0.11521981275024329</v>
      </c>
      <c r="GD224" s="197" t="str">
        <f t="shared" ref="GD224:GD267" si="4011">$B224</f>
        <v>YoY Change (%)</v>
      </c>
      <c r="GE224" s="198">
        <f>GE223/FX223-1</f>
        <v>0.15689322469982847</v>
      </c>
      <c r="GF224" s="198">
        <f t="shared" ref="GF224" si="4012">GF223/FY223-1</f>
        <v>0.17588370970337408</v>
      </c>
      <c r="GG224" s="198">
        <f t="shared" ref="GG224" si="4013">GG223/FZ223-1</f>
        <v>0.20903954802259883</v>
      </c>
      <c r="GH224" s="198">
        <f t="shared" ref="GH224" si="4014">GH223/GA223-1</f>
        <v>0.14627552487776807</v>
      </c>
      <c r="GI224" s="198">
        <f t="shared" ref="GI224" si="4015">GI223/GB223-1</f>
        <v>0.17150323818992774</v>
      </c>
      <c r="GK224" s="197" t="str">
        <f t="shared" ref="GK224:GK267" si="4016">$B224</f>
        <v>YoY Change (%)</v>
      </c>
      <c r="GL224" s="198">
        <f>GL223/GE223-1</f>
        <v>0.1153885638024843</v>
      </c>
      <c r="GM224" s="198">
        <f t="shared" ref="GM224" si="4017">GM223/GF223-1</f>
        <v>0.11494845360824746</v>
      </c>
      <c r="GN224" s="198">
        <f t="shared" ref="GN224" si="4018">GN223/GG223-1</f>
        <v>5.7291666666666741E-2</v>
      </c>
      <c r="GO224" s="198">
        <f t="shared" ref="GO224" si="4019">GO223/GH223-1</f>
        <v>7.4529224749327661E-2</v>
      </c>
      <c r="GP224" s="198">
        <f t="shared" ref="GP224" si="4020">GP223/GI223-1</f>
        <v>9.007577157641844E-2</v>
      </c>
      <c r="GR224" s="197" t="str">
        <f t="shared" ref="GR224:GR267" si="4021">$B224</f>
        <v>YoY Change (%)</v>
      </c>
      <c r="GS224" s="198">
        <f>GS223/GL223-1</f>
        <v>9.8065601345668441E-2</v>
      </c>
      <c r="GT224" s="198">
        <f t="shared" ref="GT224" si="4022">GT223/GM223-1</f>
        <v>8.4656084656084651E-2</v>
      </c>
      <c r="GU224" s="198">
        <f t="shared" ref="GU224" si="4023">GU223/GN223-1</f>
        <v>0.13497536945812794</v>
      </c>
      <c r="GV224" s="198">
        <f t="shared" ref="GV224" si="4024">GV223/GO223-1</f>
        <v>9.9333099333098973E-2</v>
      </c>
      <c r="GW224" s="198">
        <f t="shared" ref="GW224" si="4025">GW223/GP223-1</f>
        <v>0.10524848677922893</v>
      </c>
      <c r="GY224" s="197" t="str">
        <f t="shared" ref="GY224:GY267" si="4026">$B224</f>
        <v>YoY Change (%)</v>
      </c>
      <c r="GZ224" s="198">
        <f>GZ223/GS223-1</f>
        <v>-2.4038461538461453E-2</v>
      </c>
      <c r="HA224" s="198">
        <f t="shared" ref="HA224" si="4027">HA223/GT223-1</f>
        <v>-8.7652439024390238E-2</v>
      </c>
      <c r="HB224" s="198">
        <f t="shared" ref="HB224" si="4028">HB223/GU223-1</f>
        <v>-0.12935323383084585</v>
      </c>
      <c r="HC224" s="198">
        <f t="shared" ref="HC224" si="4029">HC223/GV223-1</f>
        <v>-7.5448028673835155E-2</v>
      </c>
      <c r="HD224" s="198">
        <f t="shared" ref="HD224" si="4030">HD223/GW223-1</f>
        <v>-8.0285834384194787E-2</v>
      </c>
      <c r="HF224" s="197" t="str">
        <f t="shared" ref="HF224:HF267" si="4031">$B224</f>
        <v>YoY Change (%)</v>
      </c>
      <c r="HG224" s="198">
        <f>HG223/GZ223-1</f>
        <v>3.1746031746031633E-2</v>
      </c>
      <c r="HH224" s="198">
        <f t="shared" ref="HH224" si="4032">HH223/HA223-1</f>
        <v>0.1104684788895316</v>
      </c>
      <c r="HI224" s="198">
        <f t="shared" ref="HI224" si="4033">HI223/HB223-1</f>
        <v>7.1428571428571397E-2</v>
      </c>
      <c r="HJ224" s="198">
        <f t="shared" ref="HJ224" si="4034">HJ223/HC223-1</f>
        <v>5.7569296375266754E-2</v>
      </c>
      <c r="HK224" s="198">
        <f t="shared" ref="HK224" si="4035">HK223/HD223-1</f>
        <v>6.791762960918879E-2</v>
      </c>
      <c r="HM224" s="197" t="str">
        <f t="shared" ref="HM224:HM267" si="4036">$B224</f>
        <v>YoY Change (%)</v>
      </c>
      <c r="HN224" s="198">
        <f>HN223/HG223-1</f>
        <v>5.0000000000000044E-2</v>
      </c>
      <c r="HO224" s="198">
        <f t="shared" ref="HO224" si="4037">HO223/HH223-1</f>
        <v>7.714285714285718E-2</v>
      </c>
      <c r="HP224" s="198">
        <f t="shared" ref="HP224" si="4038">HP223/HI223-1</f>
        <v>9.5251141552511687E-2</v>
      </c>
      <c r="HQ224" s="198">
        <f t="shared" ref="HQ224" si="4039">HQ223/HJ223-1</f>
        <v>7.7898550724637694E-2</v>
      </c>
      <c r="HR224" s="198">
        <f t="shared" ref="HR224" si="4040">HR223/HK223-1</f>
        <v>7.5088967971530307E-2</v>
      </c>
      <c r="HT224" s="197" t="str">
        <f t="shared" ref="HT224:HT267" si="4041">$B224</f>
        <v>YoY Change (%)</v>
      </c>
      <c r="HU224" s="198">
        <f>HU223/HN223-1</f>
        <v>6.262230919765166E-2</v>
      </c>
      <c r="HV224" s="198">
        <f t="shared" ref="HV224" si="4042">HV223/HO223-1</f>
        <v>4.2577302897846891E-2</v>
      </c>
      <c r="HW224" s="198">
        <f t="shared" ref="HW224" si="4043">HW223/HP223-1</f>
        <v>1.6759776536312776E-2</v>
      </c>
      <c r="HX224" s="198">
        <f t="shared" ref="HX224" si="4044">HX223/HQ223-1</f>
        <v>2.9411764705882248E-2</v>
      </c>
      <c r="HY224" s="198">
        <f t="shared" ref="HY224" si="4045">HY223/HR223-1</f>
        <v>3.7101787101787131E-2</v>
      </c>
      <c r="IA224" s="197" t="str">
        <f t="shared" ref="IA224:IA267" si="4046">$B224</f>
        <v>YoY Change (%)</v>
      </c>
      <c r="IB224" s="198">
        <f>IB223/HU223-1</f>
        <v>4.4198895027624419E-2</v>
      </c>
      <c r="IC224" s="198">
        <f t="shared" ref="IC224" si="4047">IC223/HV223-1</f>
        <v>1.6818448883666237E-2</v>
      </c>
      <c r="ID224" s="198">
        <f t="shared" ref="ID224" si="4048">ID223/HW223-1</f>
        <v>3.660625089196512E-2</v>
      </c>
      <c r="IE224" s="198">
        <f t="shared" ref="IE224" si="4049">IE223/HX223-1</f>
        <v>2.3011583011582903E-2</v>
      </c>
      <c r="IF224" s="198">
        <f t="shared" ref="IF224" si="4050">IF223/HY223-1</f>
        <v>3.018275112011759E-2</v>
      </c>
      <c r="IH224" s="197" t="str">
        <f t="shared" ref="IH224:IH267" si="4051">$B224</f>
        <v>YoY Change (%)</v>
      </c>
      <c r="II224" s="198">
        <f>II223/IB223-1</f>
        <v>1.2584012584012427E-2</v>
      </c>
      <c r="IJ224" s="198">
        <f t="shared" ref="IJ224" si="4052">IJ223/IC223-1</f>
        <v>8.7633885102240683E-3</v>
      </c>
      <c r="IK224" s="198">
        <f t="shared" ref="IK224" si="4053">IK223/ID223-1</f>
        <v>5.0251256281407031E-2</v>
      </c>
      <c r="IL224" s="198">
        <f t="shared" ref="IL224" si="4054">IL223/IE223-1</f>
        <v>3.1114718614718484E-2</v>
      </c>
      <c r="IM224" s="198">
        <f t="shared" ref="IM224" si="4055">IM223/IF223-1</f>
        <v>2.5793842597457095E-2</v>
      </c>
      <c r="IO224" s="197" t="str">
        <f t="shared" ref="IO224:IO267" si="4056">$B224</f>
        <v>YoY Change (%)</v>
      </c>
      <c r="IP224" s="198">
        <f>IP223/II223-1</f>
        <v>3.4599632820223158E-2</v>
      </c>
      <c r="IQ224" s="198">
        <f t="shared" ref="IQ224" si="4057">IQ223/IJ223-1</f>
        <v>2.6898326898326941E-2</v>
      </c>
      <c r="IR224" s="198">
        <f t="shared" ref="IR224" si="4058">IR223/IK223-1</f>
        <v>2.4513338139870111E-2</v>
      </c>
      <c r="IS224" s="198">
        <f t="shared" ref="IS224" si="4059">IS223/IL223-1</f>
        <v>3.0582524271844935E-2</v>
      </c>
      <c r="IT224" s="198">
        <f t="shared" ref="IT224" si="4060">IT223/IM223-1</f>
        <v>2.8891415098311723E-2</v>
      </c>
      <c r="IV224" s="197" t="str">
        <f t="shared" ref="IV224:IV267" si="4061">$B224</f>
        <v>YoY Change (%)</v>
      </c>
      <c r="IW224" s="198">
        <f>IW223/IP223-1</f>
        <v>2.4732620320855547E-2</v>
      </c>
      <c r="IX224" s="198">
        <f t="shared" ref="IX224" si="4062">IX223/IQ223-1</f>
        <v>3.4362259755387203E-2</v>
      </c>
      <c r="IY224" s="198">
        <f t="shared" ref="IY224" si="4063">IY223/IR223-1</f>
        <v>1.0069545059403051E-2</v>
      </c>
      <c r="IZ224" s="198">
        <f t="shared" ref="IZ224" si="4064">IZ223/IS223-1</f>
        <v>-0.46049222797927469</v>
      </c>
      <c r="JA224" s="198">
        <f t="shared" ref="JA224" si="4065">JA223/IT223-1</f>
        <v>-0.1135696086064123</v>
      </c>
      <c r="JC224" s="197" t="str">
        <f t="shared" ref="JC224:JC267" si="4066">$B224</f>
        <v>YoY Change (%)</v>
      </c>
      <c r="JD224" s="198">
        <f>JD223/IW223-1</f>
        <v>3.1035299692016016E-2</v>
      </c>
      <c r="JE224" s="198">
        <f t="shared" ref="JE224" si="4067">JE223/IX223-1</f>
        <v>-0.17218875502008024</v>
      </c>
      <c r="JF224" s="198">
        <f t="shared" ref="JF224" si="4068">JF223/IY223-1</f>
        <v>-0.19450261780104705</v>
      </c>
      <c r="JG224" s="198">
        <f t="shared" ref="JG224" si="4069">JG223/IZ223-1</f>
        <v>3.0812324929972101E-2</v>
      </c>
      <c r="JH224" s="198">
        <f t="shared" ref="JH224" si="4070">JH223/JA223-1</f>
        <v>-8.0980285165239363E-2</v>
      </c>
      <c r="JJ224" s="197" t="str">
        <f t="shared" ref="JJ224:JJ267" si="4071">$B224</f>
        <v>YoY Change (%)</v>
      </c>
      <c r="JK224" s="198">
        <f>JK223/JD223-1</f>
        <v>1.5625E-2</v>
      </c>
      <c r="JL224" s="198">
        <f t="shared" ref="JL224" si="4072">JL223/JE223-1</f>
        <v>6.9587628865979356E-2</v>
      </c>
      <c r="JM224" s="198">
        <f t="shared" ref="JM224" si="4073">JM223/JF223-1</f>
        <v>0.1595710107247319</v>
      </c>
      <c r="JN224" s="198">
        <f t="shared" ref="JN224" si="4074">JN223/JG223-1</f>
        <v>0.8143812709030096</v>
      </c>
      <c r="JO224" s="198">
        <f t="shared" ref="JO224" si="4075">JO223/JH223-1</f>
        <v>0.20294925572589939</v>
      </c>
      <c r="JQ224" s="197" t="str">
        <f t="shared" ref="JQ224:JQ267" si="4076">$B224</f>
        <v>YoY Change (%)</v>
      </c>
      <c r="JR224" s="198">
        <f>JR223/JK223-1</f>
        <v>4.5287107258938031E-2</v>
      </c>
      <c r="JS224" s="198">
        <f t="shared" ref="JS224" si="4077">JS223/JL223-1</f>
        <v>0.22816901408450696</v>
      </c>
      <c r="JT224" s="198">
        <f t="shared" ref="JT224" si="4078">JT223/JM223-1</f>
        <v>-4.7085201793721998E-2</v>
      </c>
      <c r="JU224" s="198">
        <f t="shared" ref="JU224" si="4079">JU223/JN223-1</f>
        <v>-0.11584300015890658</v>
      </c>
      <c r="JV224" s="198">
        <f t="shared" ref="JV224" si="4080">JV223/JO223-1</f>
        <v>1.7399963120044104E-2</v>
      </c>
      <c r="JX224" s="197" t="str">
        <f t="shared" ref="JX224:JX267" si="4081">$B224</f>
        <v>YoY Change (%)</v>
      </c>
      <c r="JY224" s="198">
        <f>JY223/JR223-1</f>
        <v>4.6296296296295392E-3</v>
      </c>
      <c r="JZ224" s="198">
        <f t="shared" ref="JZ224" si="4082">JZ223/JS223-1</f>
        <v>-1.2758027522935755E-2</v>
      </c>
      <c r="KA224" s="198">
        <f t="shared" ref="KA224" si="4083">KA223/JT223-1</f>
        <v>0.22985074626865676</v>
      </c>
      <c r="KB224" s="198">
        <f t="shared" ref="KB224" si="4084">KB223/JU223-1</f>
        <v>0.23756184716877393</v>
      </c>
      <c r="KC224" s="198">
        <f t="shared" ref="KC224" si="4085">KC223/JV223-1</f>
        <v>0.11516694242925629</v>
      </c>
      <c r="KE224" s="197" t="str">
        <f t="shared" ref="KE224:KE267" si="4086">$B224</f>
        <v>YoY Change (%)</v>
      </c>
      <c r="KF224" s="198">
        <f>KF223/JY223-1</f>
        <v>-1.3951139448267091E-2</v>
      </c>
      <c r="KG224" s="198">
        <f t="shared" ref="KG224" si="4087">KG223/JZ223-1</f>
        <v>2.487972508591052E-2</v>
      </c>
      <c r="KH224" s="198">
        <f t="shared" ref="KH224" si="4088">KH223/KA223-1</f>
        <v>1.7475728155338377E-3</v>
      </c>
      <c r="KI224" s="198">
        <f t="shared" ref="KI224" si="4089">KI223/KB223-1</f>
        <v>5.3007742703990557E-2</v>
      </c>
      <c r="KJ224" s="198">
        <f t="shared" ref="KJ224" si="4090">KJ223/KC223-1</f>
        <v>1.6219496195224448E-2</v>
      </c>
      <c r="KL224" s="197" t="str">
        <f t="shared" ref="KL224:KL267" si="4091">$B224</f>
        <v>YoY Change (%)</v>
      </c>
      <c r="KM224" s="198">
        <f>KM223/KF223-1</f>
        <v>8.0779220779220839E-2</v>
      </c>
      <c r="KN224" s="198">
        <f t="shared" ref="KN224" si="4092">KN223/KG223-1</f>
        <v>9.1810694814986826E-2</v>
      </c>
      <c r="KO224" s="198">
        <f t="shared" ref="KO224" si="4093">KO223/KH223-1</f>
        <v>0.14285714285714279</v>
      </c>
      <c r="KP224" s="198">
        <f t="shared" ref="KP224" si="4094">KP223/KI223-1</f>
        <v>9.6213200379867025E-2</v>
      </c>
      <c r="KQ224" s="198">
        <f t="shared" ref="KQ224" si="4095">KQ223/KJ223-1</f>
        <v>0.10360937043775142</v>
      </c>
      <c r="KS224" s="197" t="str">
        <f t="shared" ref="KS224:KS267" si="4096">$B224</f>
        <v>YoY Change (%)</v>
      </c>
      <c r="KT224" s="198">
        <f>KT223/KM223-1</f>
        <v>9.7692862292718008E-2</v>
      </c>
      <c r="KU224" s="198">
        <f t="shared" ref="KU224" si="4097">KU223/KN223-1</f>
        <v>5.2346170872067388E-2</v>
      </c>
      <c r="KV224" s="198">
        <f t="shared" ref="KV224" si="4098">KV223/KO223-1</f>
        <v>3.0359565807327016E-2</v>
      </c>
      <c r="KW224" s="198">
        <f t="shared" ref="KW224" si="4099">KW223/KP223-1</f>
        <v>2.0440429136081351E-2</v>
      </c>
      <c r="KX224" s="198">
        <f t="shared" ref="KX224" si="4100">KX223/KQ223-1</f>
        <v>4.8491839699222439E-2</v>
      </c>
      <c r="KZ224" s="197" t="str">
        <f t="shared" ref="KZ224:KZ267" si="4101">$B224</f>
        <v>YoY Change (%)</v>
      </c>
      <c r="LA224" s="198">
        <f>LA223/KT223-1</f>
        <v>-0.12096332785987962</v>
      </c>
      <c r="LB224" s="198">
        <f>LB223/KU223-1</f>
        <v>1.8403617625407431E-2</v>
      </c>
      <c r="LC224" s="198">
        <f>LC223/KV223-1</f>
        <v>-2.1759963921303305E-2</v>
      </c>
      <c r="LD224" s="198">
        <f t="shared" ref="LD224" si="4102">LD223/KW223-1</f>
        <v>-4.5374059318281645E-3</v>
      </c>
      <c r="LE224" s="199">
        <f t="shared" ref="LE224" si="4103">LE223/KX223-1</f>
        <v>-3.097090963797744E-2</v>
      </c>
      <c r="LF224" s="567"/>
      <c r="LG224" s="197" t="str">
        <f t="shared" ref="LG224:LG267" si="4104">$B224</f>
        <v>YoY Change (%)</v>
      </c>
      <c r="LH224" s="198">
        <f>LH223/LA223-1</f>
        <v>0.13181818181818183</v>
      </c>
      <c r="LI224" s="198">
        <f>LI223/LB223-1</f>
        <v>-1.7525225703664327E-2</v>
      </c>
      <c r="LJ224" s="198">
        <f>LJ223/LC223-1</f>
        <v>2.379059732000921E-2</v>
      </c>
      <c r="LK224" s="198">
        <f>LK223/LD223-1</f>
        <v>2.4319066147859836E-3</v>
      </c>
      <c r="LL224" s="199">
        <f t="shared" ref="LL224" si="4105">LL223/LE223-1</f>
        <v>3.0783582089552119E-2</v>
      </c>
      <c r="LM224" s="567"/>
      <c r="LN224" s="197" t="str">
        <f t="shared" ref="LN224:LN267" si="4106">$B224</f>
        <v>YoY Change (%)</v>
      </c>
      <c r="LO224" s="222">
        <v>0.02</v>
      </c>
      <c r="LP224" s="222">
        <v>0.02</v>
      </c>
      <c r="LQ224" s="222">
        <v>0.03</v>
      </c>
      <c r="LR224" s="222">
        <v>0.03</v>
      </c>
      <c r="LS224" s="199">
        <f t="shared" ref="LS224" si="4107">LS223/LL223-1</f>
        <v>2.5351055895322716E-2</v>
      </c>
      <c r="LT224" s="567"/>
      <c r="LU224" s="197" t="str">
        <f t="shared" si="1261"/>
        <v>YoY Change (%)</v>
      </c>
      <c r="LV224" s="222">
        <v>3.2500000000000001E-2</v>
      </c>
      <c r="LW224" s="222">
        <v>3.2500000000000001E-2</v>
      </c>
      <c r="LX224" s="222">
        <v>3.2500000000000001E-2</v>
      </c>
      <c r="LY224" s="222">
        <v>3.2500000000000001E-2</v>
      </c>
      <c r="LZ224" s="199">
        <f t="shared" ref="LZ224" si="4108">LZ223/LS223-1</f>
        <v>3.253056937843013E-2</v>
      </c>
      <c r="MA224" s="567"/>
      <c r="MB224" s="197" t="str">
        <f t="shared" si="1265"/>
        <v>YoY Change (%)</v>
      </c>
      <c r="MC224" s="222">
        <v>0.03</v>
      </c>
      <c r="MD224" s="222">
        <v>0.03</v>
      </c>
      <c r="ME224" s="222">
        <v>0.03</v>
      </c>
      <c r="MF224" s="222">
        <v>0.03</v>
      </c>
      <c r="MG224" s="199">
        <f t="shared" ref="MG224" si="4109">MG223/LZ223-1</f>
        <v>3.0038871887745566E-2</v>
      </c>
      <c r="MH224" s="567"/>
    </row>
    <row r="225" spans="1:346" s="37" customFormat="1" ht="13.15" x14ac:dyDescent="0.4">
      <c r="A225" s="100"/>
      <c r="C225" s="186"/>
      <c r="D225" s="186"/>
      <c r="E225" s="186"/>
      <c r="F225" s="186"/>
      <c r="G225" s="186"/>
      <c r="H225" s="186"/>
      <c r="I225" s="186"/>
      <c r="J225" s="186"/>
      <c r="K225" s="186"/>
      <c r="L225" s="186"/>
      <c r="M225" s="186"/>
      <c r="N225" s="193"/>
      <c r="O225" s="193"/>
      <c r="P225" s="193"/>
      <c r="Q225" s="193"/>
      <c r="R225" s="193"/>
      <c r="S225" s="193"/>
      <c r="T225" s="193"/>
      <c r="U225" s="193"/>
      <c r="V225" s="193"/>
      <c r="W225" s="193"/>
      <c r="X225" s="193"/>
      <c r="Y225" s="193"/>
      <c r="Z225" s="193"/>
      <c r="AA225" s="193"/>
      <c r="AB225" s="193"/>
      <c r="AC225" s="193"/>
      <c r="AD225" s="193"/>
      <c r="AE225" s="193"/>
      <c r="AF225" s="193"/>
      <c r="AG225" s="193"/>
      <c r="AH225" s="193"/>
      <c r="AI225" s="193"/>
      <c r="AJ225" s="193"/>
      <c r="AK225" s="193"/>
      <c r="AL225" s="193"/>
      <c r="AM225" s="193"/>
      <c r="AN225" s="193"/>
      <c r="AO225" s="193"/>
      <c r="AP225" s="193"/>
      <c r="AQ225" s="193"/>
      <c r="AR225" s="193"/>
      <c r="AS225" s="193"/>
      <c r="AT225" s="193"/>
      <c r="AU225" s="193"/>
      <c r="AV225" s="193"/>
      <c r="AW225" s="193"/>
      <c r="AX225" s="193"/>
      <c r="AY225" s="193"/>
      <c r="AZ225" s="193"/>
      <c r="BA225" s="193"/>
      <c r="BB225" s="193"/>
      <c r="BC225" s="193"/>
      <c r="BD225" s="193"/>
      <c r="BE225" s="193"/>
      <c r="BF225" s="193"/>
      <c r="BG225" s="193"/>
      <c r="BH225" s="193"/>
      <c r="BI225" s="193"/>
      <c r="BJ225" s="193"/>
      <c r="BK225" s="193"/>
      <c r="BL225" s="193"/>
      <c r="BM225" s="193"/>
      <c r="BP225" s="193"/>
      <c r="BQ225" s="193"/>
      <c r="BR225" s="193"/>
      <c r="BS225" s="193"/>
      <c r="BT225" s="193"/>
      <c r="BW225" s="193"/>
      <c r="BX225" s="193"/>
      <c r="BY225" s="193"/>
      <c r="BZ225" s="193"/>
      <c r="CA225" s="193"/>
      <c r="CD225" s="193"/>
      <c r="CE225" s="193"/>
      <c r="CF225" s="193"/>
      <c r="CG225" s="193"/>
      <c r="CH225" s="193"/>
      <c r="CK225" s="193"/>
      <c r="CL225" s="193"/>
      <c r="CM225" s="193"/>
      <c r="CN225" s="193"/>
      <c r="CO225" s="193"/>
      <c r="CR225" s="193"/>
      <c r="CS225" s="193"/>
      <c r="CT225" s="193"/>
      <c r="CU225" s="193"/>
      <c r="CV225" s="193"/>
      <c r="CY225" s="193"/>
      <c r="CZ225" s="193"/>
      <c r="DA225" s="193"/>
      <c r="DB225" s="193"/>
      <c r="DC225" s="193"/>
      <c r="DF225" s="193"/>
      <c r="DG225" s="193"/>
      <c r="DH225" s="193"/>
      <c r="DI225" s="193"/>
      <c r="DJ225" s="193"/>
      <c r="DM225" s="193"/>
      <c r="DN225" s="193"/>
      <c r="DO225" s="193"/>
      <c r="DP225" s="193"/>
      <c r="DQ225" s="193"/>
      <c r="DT225" s="193"/>
      <c r="DU225" s="193"/>
      <c r="DV225" s="193"/>
      <c r="DW225" s="193"/>
      <c r="DX225" s="193"/>
      <c r="EA225" s="193"/>
      <c r="EB225" s="193"/>
      <c r="EC225" s="193"/>
      <c r="ED225" s="193"/>
      <c r="EE225" s="193"/>
      <c r="EH225" s="193"/>
      <c r="EI225" s="193"/>
      <c r="EJ225" s="193"/>
      <c r="EK225" s="193"/>
      <c r="EL225" s="193"/>
      <c r="EO225" s="193"/>
      <c r="EP225" s="193"/>
      <c r="EQ225" s="193"/>
      <c r="ER225" s="193"/>
      <c r="ES225" s="193"/>
      <c r="EV225" s="193"/>
      <c r="EW225" s="193"/>
      <c r="EX225" s="193"/>
      <c r="EY225" s="193"/>
      <c r="EZ225" s="193"/>
      <c r="FC225" s="193"/>
      <c r="FD225" s="193"/>
      <c r="FE225" s="193"/>
      <c r="FF225" s="193"/>
      <c r="FG225" s="193"/>
      <c r="FJ225" s="193"/>
      <c r="FK225" s="193"/>
      <c r="FL225" s="193"/>
      <c r="FM225" s="193"/>
      <c r="FN225" s="193"/>
      <c r="FQ225" s="193"/>
      <c r="FR225" s="193"/>
      <c r="FS225" s="193"/>
      <c r="FT225" s="193"/>
      <c r="FU225" s="193"/>
      <c r="FX225" s="193"/>
      <c r="FY225" s="193"/>
      <c r="FZ225" s="193"/>
      <c r="GA225" s="193"/>
      <c r="GB225" s="193"/>
      <c r="GE225" s="193"/>
      <c r="GF225" s="193"/>
      <c r="GG225" s="193"/>
      <c r="GH225" s="193"/>
      <c r="GI225" s="193"/>
      <c r="GL225" s="193"/>
      <c r="GM225" s="193"/>
      <c r="GN225" s="193"/>
      <c r="GO225" s="193"/>
      <c r="GP225" s="193"/>
      <c r="GS225" s="193"/>
      <c r="GT225" s="193"/>
      <c r="GU225" s="193"/>
      <c r="GV225" s="193"/>
      <c r="GW225" s="193"/>
      <c r="GZ225" s="193"/>
      <c r="HA225" s="193"/>
      <c r="HB225" s="193"/>
      <c r="HC225" s="193"/>
      <c r="HD225" s="193"/>
      <c r="HG225" s="193"/>
      <c r="HH225" s="193"/>
      <c r="HI225" s="193"/>
      <c r="HJ225" s="193"/>
      <c r="HK225" s="193"/>
      <c r="HN225" s="193"/>
      <c r="HO225" s="193"/>
      <c r="HP225" s="193"/>
      <c r="HQ225" s="193"/>
      <c r="HR225" s="193"/>
      <c r="HU225" s="193"/>
      <c r="HV225" s="193"/>
      <c r="HW225" s="193"/>
      <c r="HX225" s="193"/>
      <c r="HY225" s="193"/>
      <c r="IB225" s="193"/>
      <c r="IC225" s="193"/>
      <c r="ID225" s="193"/>
      <c r="IE225" s="193"/>
      <c r="IF225" s="193"/>
      <c r="II225" s="193"/>
      <c r="IJ225" s="193"/>
      <c r="IK225" s="193"/>
      <c r="IL225" s="193"/>
      <c r="IM225" s="193"/>
      <c r="IP225" s="193"/>
      <c r="IQ225" s="193"/>
      <c r="IR225" s="193"/>
      <c r="IS225" s="193"/>
      <c r="IT225" s="193"/>
      <c r="IW225" s="193"/>
      <c r="IX225" s="193"/>
      <c r="IY225" s="193"/>
      <c r="IZ225" s="193"/>
      <c r="JA225" s="193"/>
      <c r="JD225" s="193"/>
      <c r="JE225" s="193"/>
      <c r="JF225" s="193"/>
      <c r="JG225" s="193"/>
      <c r="JH225" s="193"/>
      <c r="JK225" s="193"/>
      <c r="JL225" s="193"/>
      <c r="JM225" s="193"/>
      <c r="JN225" s="193"/>
      <c r="JO225" s="193"/>
      <c r="JR225" s="193"/>
      <c r="JS225" s="193"/>
      <c r="JT225" s="193"/>
      <c r="JU225" s="193"/>
      <c r="JV225" s="193"/>
      <c r="JY225" s="193"/>
      <c r="JZ225" s="193"/>
      <c r="KA225" s="193"/>
      <c r="KB225" s="193"/>
      <c r="KC225" s="193"/>
      <c r="KF225" s="193"/>
      <c r="KG225" s="193"/>
      <c r="KH225" s="193"/>
      <c r="KI225" s="193"/>
      <c r="KJ225" s="193"/>
      <c r="KM225" s="193"/>
      <c r="KN225" s="193"/>
      <c r="KO225" s="193"/>
      <c r="KP225" s="193"/>
      <c r="KQ225" s="193"/>
      <c r="KT225" s="193"/>
      <c r="KU225" s="193"/>
      <c r="KV225" s="193"/>
      <c r="KW225" s="193"/>
      <c r="KX225" s="193"/>
      <c r="LA225" s="193"/>
      <c r="LB225" s="193"/>
      <c r="LC225" s="193"/>
      <c r="LD225" s="193"/>
      <c r="LE225" s="200"/>
      <c r="LF225" s="565"/>
      <c r="LH225" s="193"/>
      <c r="LI225" s="193"/>
      <c r="LJ225" s="193"/>
      <c r="LK225" s="193"/>
      <c r="LL225" s="200"/>
      <c r="LM225" s="565"/>
      <c r="LO225" s="200"/>
      <c r="LP225" s="200"/>
      <c r="LQ225" s="200"/>
      <c r="LR225" s="200"/>
      <c r="LS225" s="200"/>
      <c r="LT225" s="565"/>
      <c r="LV225" s="200"/>
      <c r="LW225" s="200"/>
      <c r="LX225" s="200"/>
      <c r="LY225" s="200"/>
      <c r="LZ225" s="200"/>
      <c r="MA225" s="565"/>
      <c r="MC225" s="200"/>
      <c r="MD225" s="200"/>
      <c r="ME225" s="200"/>
      <c r="MF225" s="200"/>
      <c r="MG225" s="200"/>
      <c r="MH225" s="565"/>
    </row>
    <row r="226" spans="1:346" s="68" customFormat="1" ht="12.75" x14ac:dyDescent="0.35">
      <c r="A226" s="140"/>
      <c r="B226" s="206" t="s">
        <v>524</v>
      </c>
      <c r="C226" s="190"/>
      <c r="D226" s="190"/>
      <c r="E226" s="190"/>
      <c r="F226" s="190"/>
      <c r="G226" s="190"/>
      <c r="H226" s="190"/>
      <c r="I226" s="190"/>
      <c r="J226" s="190"/>
      <c r="K226" s="190"/>
      <c r="L226" s="190"/>
      <c r="M226" s="190"/>
      <c r="N226" s="203">
        <f>(N223*N220)/1000</f>
        <v>476</v>
      </c>
      <c r="O226" s="203">
        <f>(O223*O220)/1000</f>
        <v>462</v>
      </c>
      <c r="P226" s="203">
        <f t="shared" ref="P226:AY226" si="4110">(P223*P220)/1000</f>
        <v>432</v>
      </c>
      <c r="Q226" s="203">
        <f t="shared" si="4110"/>
        <v>447.99999999999994</v>
      </c>
      <c r="R226" s="203">
        <f t="shared" si="4110"/>
        <v>442</v>
      </c>
      <c r="S226" s="203">
        <f t="shared" si="4110"/>
        <v>444</v>
      </c>
      <c r="T226" s="203">
        <f t="shared" si="4110"/>
        <v>464</v>
      </c>
      <c r="U226" s="203">
        <f t="shared" si="4110"/>
        <v>494.00000000000006</v>
      </c>
      <c r="V226" s="203">
        <f t="shared" si="4110"/>
        <v>499.00000000000006</v>
      </c>
      <c r="W226" s="203">
        <f t="shared" si="4110"/>
        <v>499.99999999999994</v>
      </c>
      <c r="X226" s="203">
        <f t="shared" si="4110"/>
        <v>596.99999999999989</v>
      </c>
      <c r="Y226" s="203">
        <f t="shared" si="4110"/>
        <v>813</v>
      </c>
      <c r="Z226" s="203">
        <f t="shared" si="4110"/>
        <v>776</v>
      </c>
      <c r="AA226" s="203">
        <f t="shared" si="4110"/>
        <v>771</v>
      </c>
      <c r="AB226" s="203">
        <f t="shared" si="4110"/>
        <v>665</v>
      </c>
      <c r="AC226" s="203">
        <f t="shared" si="4110"/>
        <v>681</v>
      </c>
      <c r="AD226" s="203">
        <f t="shared" si="4110"/>
        <v>717</v>
      </c>
      <c r="AE226" s="203">
        <f t="shared" si="4110"/>
        <v>772.99999999999989</v>
      </c>
      <c r="AF226" s="203">
        <f t="shared" si="4110"/>
        <v>803</v>
      </c>
      <c r="AG226" s="203">
        <f t="shared" si="4110"/>
        <v>793</v>
      </c>
      <c r="AH226" s="203">
        <f t="shared" si="4110"/>
        <v>547.00000000000011</v>
      </c>
      <c r="AI226" s="203">
        <f t="shared" si="4110"/>
        <v>600</v>
      </c>
      <c r="AJ226" s="203">
        <f t="shared" si="4110"/>
        <v>684.00000000000011</v>
      </c>
      <c r="AK226" s="203">
        <f t="shared" si="4110"/>
        <v>722.00000000000011</v>
      </c>
      <c r="AL226" s="203">
        <f t="shared" si="4110"/>
        <v>775.00000000000011</v>
      </c>
      <c r="AM226" s="203">
        <f t="shared" si="4110"/>
        <v>819</v>
      </c>
      <c r="AN226" s="203">
        <f t="shared" si="4110"/>
        <v>796</v>
      </c>
      <c r="AO226" s="203">
        <f t="shared" si="4110"/>
        <v>691.00000000000011</v>
      </c>
      <c r="AP226" s="203">
        <f t="shared" si="4110"/>
        <v>682</v>
      </c>
      <c r="AQ226" s="203">
        <f t="shared" si="4110"/>
        <v>850.00000000000011</v>
      </c>
      <c r="AR226" s="203">
        <f t="shared" si="4110"/>
        <v>873</v>
      </c>
      <c r="AS226" s="203">
        <f t="shared" si="4110"/>
        <v>824</v>
      </c>
      <c r="AT226" s="203">
        <f t="shared" si="4110"/>
        <v>918</v>
      </c>
      <c r="AU226" s="203">
        <f t="shared" si="4110"/>
        <v>996</v>
      </c>
      <c r="AV226" s="203">
        <f t="shared" si="4110"/>
        <v>1012</v>
      </c>
      <c r="AW226" s="203">
        <f t="shared" si="4110"/>
        <v>1005.0000000000001</v>
      </c>
      <c r="AX226" s="203">
        <f t="shared" si="4110"/>
        <v>975</v>
      </c>
      <c r="AY226" s="203">
        <f t="shared" si="4110"/>
        <v>972.18830000000003</v>
      </c>
      <c r="AZ226" s="203">
        <f t="shared" ref="AZ226:BA226" si="4111">(AZ223*AZ220)/1000</f>
        <v>1017.6328543937501</v>
      </c>
      <c r="BA226" s="203">
        <f t="shared" si="4111"/>
        <v>1074.5114512592138</v>
      </c>
      <c r="BB226" s="203"/>
      <c r="BC226" s="203"/>
      <c r="BD226" s="203"/>
      <c r="BE226" s="203"/>
      <c r="BF226" s="203"/>
      <c r="BG226" s="203"/>
      <c r="BH226" s="203"/>
      <c r="BI226" s="203"/>
      <c r="BJ226" s="203"/>
      <c r="BK226" s="203"/>
      <c r="BL226" s="203"/>
      <c r="BM226" s="203"/>
      <c r="BO226" s="68" t="str">
        <f t="shared" si="3930"/>
        <v>Forest Product Revenue</v>
      </c>
      <c r="BP226" s="204">
        <f>(BP223*BP220)/1000</f>
        <v>124.99999999999999</v>
      </c>
      <c r="BQ226" s="204">
        <f t="shared" ref="BQ226:BS226" si="4112">(BQ223*BQ220)/1000</f>
        <v>117</v>
      </c>
      <c r="BR226" s="204">
        <f t="shared" si="4112"/>
        <v>115.99999999999999</v>
      </c>
      <c r="BS226" s="204">
        <f t="shared" si="4112"/>
        <v>118</v>
      </c>
      <c r="BT226" s="204">
        <f t="shared" ref="BT226" si="4113">(BT223*BT220)/1000</f>
        <v>476</v>
      </c>
      <c r="BV226" s="68" t="str">
        <f t="shared" si="3931"/>
        <v>Forest Product Revenue</v>
      </c>
      <c r="BW226" s="204">
        <f>(BW223*BW220)/1000</f>
        <v>120</v>
      </c>
      <c r="BX226" s="204">
        <f t="shared" ref="BX226:CA226" si="4114">(BX223*BX220)/1000</f>
        <v>117.99999999999999</v>
      </c>
      <c r="BY226" s="204">
        <f t="shared" si="4114"/>
        <v>112</v>
      </c>
      <c r="BZ226" s="204">
        <f t="shared" si="4114"/>
        <v>112</v>
      </c>
      <c r="CA226" s="204">
        <f t="shared" si="4114"/>
        <v>462</v>
      </c>
      <c r="CC226" s="68" t="str">
        <f t="shared" si="3936"/>
        <v>Forest Product Revenue</v>
      </c>
      <c r="CD226" s="204">
        <f>(CD223*CD220)/1000</f>
        <v>108</v>
      </c>
      <c r="CE226" s="204">
        <f t="shared" ref="CE226:CH226" si="4115">(CE223*CE220)/1000</f>
        <v>106</v>
      </c>
      <c r="CF226" s="204">
        <f t="shared" si="4115"/>
        <v>110</v>
      </c>
      <c r="CG226" s="204">
        <f t="shared" si="4115"/>
        <v>108</v>
      </c>
      <c r="CH226" s="204">
        <f t="shared" si="4115"/>
        <v>432</v>
      </c>
      <c r="CJ226" s="68" t="str">
        <f t="shared" si="3941"/>
        <v>Forest Product Revenue</v>
      </c>
      <c r="CK226" s="204">
        <f>(CK223*CK220)/1000</f>
        <v>116.99999999999999</v>
      </c>
      <c r="CL226" s="204">
        <f t="shared" ref="CL226:CO226" si="4116">(CL223*CL220)/1000</f>
        <v>110.99999999999999</v>
      </c>
      <c r="CM226" s="204">
        <f t="shared" si="4116"/>
        <v>110</v>
      </c>
      <c r="CN226" s="204">
        <f t="shared" si="4116"/>
        <v>110.00000000000001</v>
      </c>
      <c r="CO226" s="204">
        <f t="shared" si="4116"/>
        <v>447.99999999999994</v>
      </c>
      <c r="CQ226" s="68" t="str">
        <f t="shared" si="3946"/>
        <v>Forest Product Revenue</v>
      </c>
      <c r="CR226" s="204">
        <f>(CR223*CR220)/1000</f>
        <v>113</v>
      </c>
      <c r="CS226" s="204">
        <f t="shared" ref="CS226:CV226" si="4117">(CS223*CS220)/1000</f>
        <v>110.99999999999999</v>
      </c>
      <c r="CT226" s="204">
        <f t="shared" si="4117"/>
        <v>107</v>
      </c>
      <c r="CU226" s="204">
        <f t="shared" si="4117"/>
        <v>110.99999999999999</v>
      </c>
      <c r="CV226" s="204">
        <f t="shared" si="4117"/>
        <v>442</v>
      </c>
      <c r="CX226" s="68" t="str">
        <f t="shared" si="3951"/>
        <v>Forest Product Revenue</v>
      </c>
      <c r="CY226" s="204">
        <f>(CY223*CY220)/1000</f>
        <v>111</v>
      </c>
      <c r="CZ226" s="204">
        <f t="shared" ref="CZ226:DC226" si="4118">(CZ223*CZ220)/1000</f>
        <v>114</v>
      </c>
      <c r="DA226" s="204">
        <f t="shared" si="4118"/>
        <v>110</v>
      </c>
      <c r="DB226" s="204">
        <f t="shared" si="4118"/>
        <v>109.00000000000001</v>
      </c>
      <c r="DC226" s="204">
        <f t="shared" si="4118"/>
        <v>444</v>
      </c>
      <c r="DE226" s="68" t="str">
        <f t="shared" si="3956"/>
        <v>Forest Product Revenue</v>
      </c>
      <c r="DF226" s="204">
        <f>(DF223*DF220)/1000</f>
        <v>113</v>
      </c>
      <c r="DG226" s="204">
        <f t="shared" ref="DG226:DJ226" si="4119">(DG223*DG220)/1000</f>
        <v>119.00000000000003</v>
      </c>
      <c r="DH226" s="204">
        <f t="shared" si="4119"/>
        <v>116.99999999999999</v>
      </c>
      <c r="DI226" s="204">
        <f t="shared" si="4119"/>
        <v>115</v>
      </c>
      <c r="DJ226" s="204">
        <f t="shared" si="4119"/>
        <v>464</v>
      </c>
      <c r="DL226" s="68" t="str">
        <f t="shared" si="3961"/>
        <v>Forest Product Revenue</v>
      </c>
      <c r="DM226" s="204">
        <f>(DM223*DM220)/1000</f>
        <v>120</v>
      </c>
      <c r="DN226" s="204">
        <f t="shared" ref="DN226:DQ226" si="4120">(DN223*DN220)/1000</f>
        <v>125.00000000000001</v>
      </c>
      <c r="DO226" s="204">
        <f t="shared" si="4120"/>
        <v>124.00000000000001</v>
      </c>
      <c r="DP226" s="204">
        <f t="shared" si="4120"/>
        <v>124.99999999999999</v>
      </c>
      <c r="DQ226" s="204">
        <f t="shared" si="4120"/>
        <v>494.00000000000006</v>
      </c>
      <c r="DS226" s="68" t="str">
        <f t="shared" si="3966"/>
        <v>Forest Product Revenue</v>
      </c>
      <c r="DT226" s="204">
        <f>(DT223*DT220)/1000</f>
        <v>128.00000000000003</v>
      </c>
      <c r="DU226" s="204">
        <f t="shared" ref="DU226:DX226" si="4121">(DU223*DU220)/1000</f>
        <v>126</v>
      </c>
      <c r="DV226" s="204">
        <f t="shared" si="4121"/>
        <v>123</v>
      </c>
      <c r="DW226" s="204">
        <f t="shared" si="4121"/>
        <v>122</v>
      </c>
      <c r="DX226" s="204">
        <f t="shared" si="4121"/>
        <v>499.00000000000006</v>
      </c>
      <c r="DZ226" s="68" t="str">
        <f t="shared" si="3971"/>
        <v>Forest Product Revenue</v>
      </c>
      <c r="EA226" s="204">
        <f>(EA223*EA220)/1000</f>
        <v>126</v>
      </c>
      <c r="EB226" s="204">
        <f t="shared" ref="EB226:EE226" si="4122">(EB223*EB220)/1000</f>
        <v>124</v>
      </c>
      <c r="EC226" s="204">
        <f t="shared" si="4122"/>
        <v>128</v>
      </c>
      <c r="ED226" s="204">
        <f t="shared" si="4122"/>
        <v>122</v>
      </c>
      <c r="EE226" s="204">
        <f t="shared" si="4122"/>
        <v>499.99999999999994</v>
      </c>
      <c r="EG226" s="68" t="str">
        <f t="shared" si="3976"/>
        <v>Forest Product Revenue</v>
      </c>
      <c r="EH226" s="204">
        <f>(EH223*EH220)/1000</f>
        <v>134.00000000000003</v>
      </c>
      <c r="EI226" s="204">
        <f t="shared" ref="EI226:EL226" si="4123">(EI223*EI220)/1000</f>
        <v>142</v>
      </c>
      <c r="EJ226" s="204">
        <f t="shared" si="4123"/>
        <v>160.00000000000003</v>
      </c>
      <c r="EK226" s="204">
        <f t="shared" si="4123"/>
        <v>160.99999999999997</v>
      </c>
      <c r="EL226" s="204">
        <f t="shared" si="4123"/>
        <v>596.99999999999989</v>
      </c>
      <c r="EN226" s="68" t="str">
        <f t="shared" si="3981"/>
        <v>Forest Product Revenue</v>
      </c>
      <c r="EO226" s="204">
        <f>(EO223*EO220)/1000</f>
        <v>208</v>
      </c>
      <c r="EP226" s="204">
        <f t="shared" ref="EP226:ES226" si="4124">(EP223*EP220)/1000</f>
        <v>208.99999999999997</v>
      </c>
      <c r="EQ226" s="204">
        <f t="shared" si="4124"/>
        <v>200.00000000000003</v>
      </c>
      <c r="ER226" s="204">
        <f t="shared" si="4124"/>
        <v>196</v>
      </c>
      <c r="ES226" s="204">
        <f t="shared" si="4124"/>
        <v>813</v>
      </c>
      <c r="EU226" s="68" t="str">
        <f t="shared" si="3986"/>
        <v>Forest Product Revenue</v>
      </c>
      <c r="EV226" s="204">
        <f>(EV223*EV220)/1000</f>
        <v>196</v>
      </c>
      <c r="EW226" s="204">
        <f t="shared" ref="EW226:EZ226" si="4125">(EW223*EW220)/1000</f>
        <v>198</v>
      </c>
      <c r="EX226" s="204">
        <f t="shared" si="4125"/>
        <v>198</v>
      </c>
      <c r="EY226" s="204">
        <f t="shared" si="4125"/>
        <v>183.99999999999997</v>
      </c>
      <c r="EZ226" s="204">
        <f t="shared" si="4125"/>
        <v>776</v>
      </c>
      <c r="FB226" s="68" t="str">
        <f t="shared" si="3991"/>
        <v>Forest Product Revenue</v>
      </c>
      <c r="FC226" s="204">
        <f>(FC223*FC220)/1000</f>
        <v>189</v>
      </c>
      <c r="FD226" s="204">
        <f t="shared" ref="FD226:FG226" si="4126">(FD223*FD220)/1000</f>
        <v>197</v>
      </c>
      <c r="FE226" s="204">
        <f t="shared" si="4126"/>
        <v>195</v>
      </c>
      <c r="FF226" s="204">
        <f t="shared" si="4126"/>
        <v>190.00000000000003</v>
      </c>
      <c r="FG226" s="204">
        <f t="shared" si="4126"/>
        <v>771</v>
      </c>
      <c r="FI226" s="68" t="str">
        <f t="shared" si="3996"/>
        <v>Forest Product Revenue</v>
      </c>
      <c r="FJ226" s="204">
        <f>(FJ223*FJ220)/1000</f>
        <v>195</v>
      </c>
      <c r="FK226" s="204">
        <f t="shared" ref="FK226:FN226" si="4127">(FK223*FK220)/1000</f>
        <v>159</v>
      </c>
      <c r="FL226" s="204">
        <f t="shared" si="4127"/>
        <v>158</v>
      </c>
      <c r="FM226" s="204">
        <f t="shared" si="4127"/>
        <v>153</v>
      </c>
      <c r="FN226" s="204">
        <f t="shared" si="4127"/>
        <v>665</v>
      </c>
      <c r="FP226" s="68" t="str">
        <f t="shared" si="4001"/>
        <v>Forest Product Revenue</v>
      </c>
      <c r="FQ226" s="204">
        <f>(FQ223*FQ220)/1000</f>
        <v>159</v>
      </c>
      <c r="FR226" s="204">
        <f t="shared" ref="FR226:FU226" si="4128">(FR223*FR220)/1000</f>
        <v>166</v>
      </c>
      <c r="FS226" s="204">
        <f t="shared" si="4128"/>
        <v>171</v>
      </c>
      <c r="FT226" s="204">
        <f t="shared" si="4128"/>
        <v>185</v>
      </c>
      <c r="FU226" s="204">
        <f t="shared" si="4128"/>
        <v>681</v>
      </c>
      <c r="FW226" s="68" t="str">
        <f t="shared" si="4006"/>
        <v>Forest Product Revenue</v>
      </c>
      <c r="FX226" s="204">
        <f>(FX223*FX220)/1000</f>
        <v>176</v>
      </c>
      <c r="FY226" s="204">
        <f t="shared" ref="FY226:GB226" si="4129">(FY223*FY220)/1000</f>
        <v>181</v>
      </c>
      <c r="FZ226" s="204">
        <f t="shared" si="4129"/>
        <v>177</v>
      </c>
      <c r="GA226" s="204">
        <f t="shared" si="4129"/>
        <v>183</v>
      </c>
      <c r="GB226" s="204">
        <f t="shared" si="4129"/>
        <v>717</v>
      </c>
      <c r="GD226" s="68" t="str">
        <f t="shared" si="4011"/>
        <v>Forest Product Revenue</v>
      </c>
      <c r="GE226" s="204">
        <f>(GE223*GE220)/1000</f>
        <v>191</v>
      </c>
      <c r="GF226" s="204">
        <f t="shared" ref="GF226:GI226" si="4130">(GF223*GF220)/1000</f>
        <v>194</v>
      </c>
      <c r="GG226" s="204">
        <f t="shared" si="4130"/>
        <v>200</v>
      </c>
      <c r="GH226" s="204">
        <f t="shared" si="4130"/>
        <v>188</v>
      </c>
      <c r="GI226" s="204">
        <f t="shared" si="4130"/>
        <v>772.99999999999989</v>
      </c>
      <c r="GK226" s="68" t="str">
        <f t="shared" si="4016"/>
        <v>Forest Product Revenue</v>
      </c>
      <c r="GL226" s="204">
        <f>(GL223*GL220)/1000</f>
        <v>205</v>
      </c>
      <c r="GM226" s="204">
        <f t="shared" ref="GM226:GP226" si="4131">(GM223*GM220)/1000</f>
        <v>210</v>
      </c>
      <c r="GN226" s="204">
        <f t="shared" si="4131"/>
        <v>203</v>
      </c>
      <c r="GO226" s="204">
        <f t="shared" si="4131"/>
        <v>185.00000000000003</v>
      </c>
      <c r="GP226" s="204">
        <f t="shared" si="4131"/>
        <v>803</v>
      </c>
      <c r="GR226" s="68" t="str">
        <f t="shared" si="4021"/>
        <v>Forest Product Revenue</v>
      </c>
      <c r="GS226" s="204">
        <f>(GS223*GS220)/1000</f>
        <v>191.99999999999997</v>
      </c>
      <c r="GT226" s="204">
        <f t="shared" ref="GT226:GW226" si="4132">(GT223*GT220)/1000</f>
        <v>205</v>
      </c>
      <c r="GU226" s="204">
        <f t="shared" si="4132"/>
        <v>216</v>
      </c>
      <c r="GV226" s="204">
        <f t="shared" si="4132"/>
        <v>179.99999999999997</v>
      </c>
      <c r="GW226" s="204">
        <f t="shared" si="4132"/>
        <v>793</v>
      </c>
      <c r="GY226" s="68" t="str">
        <f t="shared" si="4026"/>
        <v>Forest Product Revenue</v>
      </c>
      <c r="GZ226" s="204">
        <f>(GZ223*GZ220)/1000</f>
        <v>140</v>
      </c>
      <c r="HA226" s="204">
        <f t="shared" ref="HA226:HD226" si="4133">(HA223*HA220)/1000</f>
        <v>133</v>
      </c>
      <c r="HB226" s="204">
        <f t="shared" si="4133"/>
        <v>139.99999999999997</v>
      </c>
      <c r="HC226" s="204">
        <f t="shared" si="4133"/>
        <v>133.99999999999997</v>
      </c>
      <c r="HD226" s="204">
        <f t="shared" si="4133"/>
        <v>547.00000000000011</v>
      </c>
      <c r="HF226" s="68" t="str">
        <f t="shared" si="4031"/>
        <v>Forest Product Revenue</v>
      </c>
      <c r="HG226" s="204">
        <f>(HG223*HG220)/1000</f>
        <v>140</v>
      </c>
      <c r="HH226" s="204">
        <f t="shared" ref="HH226:HK226" si="4134">(HH223*HH220)/1000</f>
        <v>150</v>
      </c>
      <c r="HI226" s="204">
        <f t="shared" si="4134"/>
        <v>149.99999999999997</v>
      </c>
      <c r="HJ226" s="204">
        <f t="shared" si="4134"/>
        <v>160</v>
      </c>
      <c r="HK226" s="204">
        <f t="shared" si="4134"/>
        <v>600</v>
      </c>
      <c r="HM226" s="68" t="str">
        <f t="shared" si="4036"/>
        <v>Forest Product Revenue</v>
      </c>
      <c r="HN226" s="204">
        <f>(HN223*HN220)/1000</f>
        <v>161</v>
      </c>
      <c r="HO226" s="204">
        <f t="shared" ref="HO226:HR226" si="4135">(HO223*HO220)/1000</f>
        <v>174</v>
      </c>
      <c r="HP226" s="204">
        <f t="shared" si="4135"/>
        <v>179</v>
      </c>
      <c r="HQ226" s="204">
        <f t="shared" si="4135"/>
        <v>170</v>
      </c>
      <c r="HR226" s="204">
        <f t="shared" si="4135"/>
        <v>684.00000000000011</v>
      </c>
      <c r="HT226" s="68" t="str">
        <f t="shared" si="4041"/>
        <v>Forest Product Revenue</v>
      </c>
      <c r="HU226" s="204">
        <f>(HU223*HU220)/1000</f>
        <v>181.00000000000003</v>
      </c>
      <c r="HV226" s="204">
        <f t="shared" ref="HV226:HY226" si="4136">(HV223*HV220)/1000</f>
        <v>184</v>
      </c>
      <c r="HW226" s="204">
        <f t="shared" si="4136"/>
        <v>182</v>
      </c>
      <c r="HX226" s="204">
        <f t="shared" si="4136"/>
        <v>175</v>
      </c>
      <c r="HY226" s="204">
        <f t="shared" si="4136"/>
        <v>722.00000000000011</v>
      </c>
      <c r="IA226" s="68" t="str">
        <f t="shared" si="4046"/>
        <v>Forest Product Revenue</v>
      </c>
      <c r="IB226" s="204">
        <f>(IB223*IB220)/1000</f>
        <v>189.00000000000003</v>
      </c>
      <c r="IC226" s="204">
        <f t="shared" ref="IC226:IF226" si="4137">(IC223*IC220)/1000</f>
        <v>195</v>
      </c>
      <c r="ID226" s="204">
        <f t="shared" si="4137"/>
        <v>199</v>
      </c>
      <c r="IE226" s="204">
        <f t="shared" si="4137"/>
        <v>192</v>
      </c>
      <c r="IF226" s="204">
        <f t="shared" si="4137"/>
        <v>775.00000000000011</v>
      </c>
      <c r="IH226" s="68" t="str">
        <f t="shared" si="4051"/>
        <v>Forest Product Revenue</v>
      </c>
      <c r="II226" s="204">
        <f>(II223*II220)/1000</f>
        <v>194</v>
      </c>
      <c r="IJ226" s="204">
        <f t="shared" ref="IJ226:IM226" si="4138">(IJ223*IJ220)/1000</f>
        <v>210</v>
      </c>
      <c r="IK226" s="204">
        <f t="shared" si="4138"/>
        <v>209</v>
      </c>
      <c r="IL226" s="204">
        <f t="shared" si="4138"/>
        <v>205.99999999999997</v>
      </c>
      <c r="IM226" s="204">
        <f t="shared" si="4138"/>
        <v>819</v>
      </c>
      <c r="IO226" s="68" t="str">
        <f t="shared" si="4056"/>
        <v>Forest Product Revenue</v>
      </c>
      <c r="IP226" s="204">
        <f>(IP223*IP220)/1000</f>
        <v>198.00000000000003</v>
      </c>
      <c r="IQ226" s="204">
        <f t="shared" ref="IQ226:IT226" si="4139">(IQ223*IQ220)/1000</f>
        <v>202.00000000000003</v>
      </c>
      <c r="IR226" s="204">
        <f t="shared" si="4139"/>
        <v>203</v>
      </c>
      <c r="IS226" s="204">
        <f t="shared" si="4139"/>
        <v>193</v>
      </c>
      <c r="IT226" s="204">
        <f t="shared" si="4139"/>
        <v>796</v>
      </c>
      <c r="IV226" s="68" t="str">
        <f t="shared" si="4061"/>
        <v>Forest Product Revenue</v>
      </c>
      <c r="IW226" s="204">
        <f>(IW223*IW220)/1000</f>
        <v>189</v>
      </c>
      <c r="IX226" s="204">
        <f t="shared" ref="IX226:JA226" si="4140">(IX223*IX220)/1000</f>
        <v>192</v>
      </c>
      <c r="IY226" s="204">
        <f t="shared" si="4140"/>
        <v>190.99999999999997</v>
      </c>
      <c r="IZ226" s="204">
        <f t="shared" si="4140"/>
        <v>119</v>
      </c>
      <c r="JA226" s="204">
        <f t="shared" si="4140"/>
        <v>691.00000000000011</v>
      </c>
      <c r="JC226" s="68" t="str">
        <f t="shared" si="4066"/>
        <v>Forest Product Revenue</v>
      </c>
      <c r="JD226" s="204">
        <f>(JD223*JD220)/1000</f>
        <v>192</v>
      </c>
      <c r="JE226" s="204">
        <f t="shared" ref="JE226:JH226" si="4141">(JE223*JE220)/1000</f>
        <v>194</v>
      </c>
      <c r="JF226" s="204">
        <f t="shared" si="4141"/>
        <v>181</v>
      </c>
      <c r="JG226" s="204">
        <f t="shared" si="4141"/>
        <v>115.00000000000001</v>
      </c>
      <c r="JH226" s="204">
        <f t="shared" si="4141"/>
        <v>682</v>
      </c>
      <c r="JJ226" s="68" t="str">
        <f t="shared" si="4071"/>
        <v>Forest Product Revenue</v>
      </c>
      <c r="JK226" s="204">
        <f>(JK223*JK220)/1000</f>
        <v>195.00000000000003</v>
      </c>
      <c r="JL226" s="204">
        <f t="shared" ref="JL226:JO226" si="4142">(JL223*JL220)/1000</f>
        <v>215</v>
      </c>
      <c r="JM226" s="204">
        <f t="shared" si="4142"/>
        <v>223</v>
      </c>
      <c r="JN226" s="204">
        <f t="shared" si="4142"/>
        <v>216.99999999999997</v>
      </c>
      <c r="JO226" s="204">
        <f t="shared" si="4142"/>
        <v>850.00000000000011</v>
      </c>
      <c r="JQ226" s="68" t="str">
        <f t="shared" si="4076"/>
        <v>Forest Product Revenue</v>
      </c>
      <c r="JR226" s="204">
        <f>(JR223*JR220)/1000</f>
        <v>216</v>
      </c>
      <c r="JS226" s="204">
        <f t="shared" ref="JS226:JV226" si="4143">(JS223*JS220)/1000</f>
        <v>218</v>
      </c>
      <c r="JT226" s="204">
        <f t="shared" si="4143"/>
        <v>225</v>
      </c>
      <c r="JU226" s="204">
        <f t="shared" si="4143"/>
        <v>214</v>
      </c>
      <c r="JV226" s="204">
        <f t="shared" si="4143"/>
        <v>873</v>
      </c>
      <c r="JX226" s="68" t="str">
        <f t="shared" si="4081"/>
        <v>Forest Product Revenue</v>
      </c>
      <c r="JY226" s="204">
        <f>(JY223*JY220)/1000</f>
        <v>216.99999999999997</v>
      </c>
      <c r="JZ226" s="204">
        <f t="shared" ref="JZ226:KC226" si="4144">(JZ223*JZ220)/1000</f>
        <v>194</v>
      </c>
      <c r="KA226" s="204">
        <f t="shared" si="4144"/>
        <v>206</v>
      </c>
      <c r="KB226" s="204">
        <f t="shared" si="4144"/>
        <v>207</v>
      </c>
      <c r="KC226" s="204">
        <f t="shared" si="4144"/>
        <v>824</v>
      </c>
      <c r="KE226" s="68" t="str">
        <f t="shared" si="4086"/>
        <v>Forest Product Revenue</v>
      </c>
      <c r="KF226" s="204">
        <f>(KF223*KF220)/1000</f>
        <v>220</v>
      </c>
      <c r="KG226" s="204">
        <f t="shared" ref="KG226:KJ226" si="4145">(KG223*KG220)/1000</f>
        <v>233</v>
      </c>
      <c r="KH226" s="204">
        <f t="shared" si="4145"/>
        <v>231</v>
      </c>
      <c r="KI226" s="204">
        <f t="shared" si="4145"/>
        <v>234</v>
      </c>
      <c r="KJ226" s="204">
        <f t="shared" si="4145"/>
        <v>918</v>
      </c>
      <c r="KL226" s="68" t="str">
        <f t="shared" si="4091"/>
        <v>Forest Product Revenue</v>
      </c>
      <c r="KM226" s="204">
        <f>(KM223*KM220)/1000</f>
        <v>228</v>
      </c>
      <c r="KN226" s="204">
        <f t="shared" ref="KN226:KQ226" si="4146">(KN223*KN220)/1000</f>
        <v>251.00000000000003</v>
      </c>
      <c r="KO226" s="204">
        <f t="shared" si="4146"/>
        <v>264</v>
      </c>
      <c r="KP226" s="204">
        <f t="shared" si="4146"/>
        <v>253</v>
      </c>
      <c r="KQ226" s="204">
        <f t="shared" si="4146"/>
        <v>996</v>
      </c>
      <c r="KS226" s="68" t="str">
        <f t="shared" si="4096"/>
        <v>Forest Product Revenue</v>
      </c>
      <c r="KT226" s="204">
        <f>(KT223*KT220)/1000</f>
        <v>261</v>
      </c>
      <c r="KU226" s="204">
        <f t="shared" ref="KU226:KX226" si="4147">(KU223*KU220)/1000</f>
        <v>257.00000000000006</v>
      </c>
      <c r="KV226" s="204">
        <f t="shared" si="4147"/>
        <v>243</v>
      </c>
      <c r="KW226" s="204">
        <f t="shared" si="4147"/>
        <v>251</v>
      </c>
      <c r="KX226" s="204">
        <f t="shared" si="4147"/>
        <v>1012</v>
      </c>
      <c r="KZ226" s="68" t="str">
        <f t="shared" si="4101"/>
        <v>Forest Product Revenue</v>
      </c>
      <c r="LA226" s="204">
        <f>(LA223*LA220)/1000</f>
        <v>220</v>
      </c>
      <c r="LB226" s="204">
        <f>(LB223*LB220)/1000</f>
        <v>269</v>
      </c>
      <c r="LC226" s="204">
        <f>(LC223*LC220)/1000</f>
        <v>259</v>
      </c>
      <c r="LD226" s="204">
        <f t="shared" ref="LD226" si="4148">(LD223*LD220)/1000</f>
        <v>257.00000000000006</v>
      </c>
      <c r="LE226" s="205">
        <f>SUM(LA226:LD226)</f>
        <v>1005</v>
      </c>
      <c r="LF226" s="563"/>
      <c r="LG226" s="68" t="str">
        <f t="shared" si="4104"/>
        <v>Forest Product Revenue</v>
      </c>
      <c r="LH226" s="204">
        <f>(LH223*LH220)/1000</f>
        <v>248.99999999999997</v>
      </c>
      <c r="LI226" s="204">
        <f>(LI223*LI220)/1000</f>
        <v>250</v>
      </c>
      <c r="LJ226" s="204">
        <f>(LJ223*LJ220)/1000</f>
        <v>247</v>
      </c>
      <c r="LK226" s="204">
        <f>(LK223*LK220)/1000</f>
        <v>229</v>
      </c>
      <c r="LL226" s="205">
        <f>SUM(LH226:LK226)</f>
        <v>975</v>
      </c>
      <c r="LM226" s="563"/>
      <c r="LN226" s="68" t="str">
        <f t="shared" si="4106"/>
        <v>Forest Product Revenue</v>
      </c>
      <c r="LO226" s="205">
        <f>(LO220*LO223)/1000</f>
        <v>231.12180000000001</v>
      </c>
      <c r="LP226" s="205">
        <f t="shared" ref="LP226:LR226" si="4149">(LP220*LP223)/1000</f>
        <v>243.52500000000001</v>
      </c>
      <c r="LQ226" s="205">
        <f t="shared" si="4149"/>
        <v>256.95410000000004</v>
      </c>
      <c r="LR226" s="205">
        <f t="shared" si="4149"/>
        <v>240.5874</v>
      </c>
      <c r="LS226" s="205">
        <f>SUM(LO226:LR226)</f>
        <v>972.18830000000003</v>
      </c>
      <c r="LT226" s="563"/>
      <c r="LU226" s="68" t="str">
        <f t="shared" si="1261"/>
        <v>Forest Product Revenue</v>
      </c>
      <c r="LV226" s="205">
        <f>(LV220*LV223)/1000</f>
        <v>241.01959108500003</v>
      </c>
      <c r="LW226" s="205">
        <f t="shared" ref="LW226:LY226" si="4150">(LW220*LW223)/1000</f>
        <v>253.95395812499996</v>
      </c>
      <c r="LX226" s="205">
        <f t="shared" si="4150"/>
        <v>269.28468487375</v>
      </c>
      <c r="LY226" s="205">
        <f t="shared" si="4150"/>
        <v>253.37462031000001</v>
      </c>
      <c r="LZ226" s="205">
        <f>SUM(LV226:LY226)</f>
        <v>1017.63285439375</v>
      </c>
      <c r="MA226" s="563"/>
      <c r="MB226" s="68" t="str">
        <f t="shared" si="1265"/>
        <v>Forest Product Revenue</v>
      </c>
      <c r="MC226" s="205">
        <f>(MC220*MC223)/1000</f>
        <v>253.21518239390099</v>
      </c>
      <c r="MD226" s="205">
        <f t="shared" ref="MD226:MF226" si="4151">(MD220*MD223)/1000</f>
        <v>268.11189129046869</v>
      </c>
      <c r="ME226" s="205">
        <f t="shared" si="4151"/>
        <v>285.6841221825614</v>
      </c>
      <c r="MF226" s="205">
        <f t="shared" si="4151"/>
        <v>267.5002553922825</v>
      </c>
      <c r="MG226" s="205">
        <f>SUM(MC226:MF226)</f>
        <v>1074.5114512592136</v>
      </c>
      <c r="MH226" s="563"/>
    </row>
    <row r="227" spans="1:346" s="37" customFormat="1" ht="13.15" x14ac:dyDescent="0.4">
      <c r="A227" s="100"/>
      <c r="B227" s="197" t="s">
        <v>516</v>
      </c>
      <c r="C227" s="186"/>
      <c r="D227" s="186"/>
      <c r="E227" s="186"/>
      <c r="F227" s="186"/>
      <c r="G227" s="186"/>
      <c r="H227" s="186"/>
      <c r="I227" s="186"/>
      <c r="J227" s="186"/>
      <c r="K227" s="186"/>
      <c r="L227" s="186"/>
      <c r="M227" s="186"/>
      <c r="N227" s="193"/>
      <c r="O227" s="198">
        <f>O226/N226-1</f>
        <v>-2.9411764705882359E-2</v>
      </c>
      <c r="P227" s="198">
        <f t="shared" ref="P227:BA227" si="4152">P226/O226-1</f>
        <v>-6.4935064935064957E-2</v>
      </c>
      <c r="Q227" s="198">
        <f t="shared" si="4152"/>
        <v>3.7037037037036979E-2</v>
      </c>
      <c r="R227" s="198">
        <f t="shared" si="4152"/>
        <v>-1.3392857142856984E-2</v>
      </c>
      <c r="S227" s="198">
        <f t="shared" si="4152"/>
        <v>4.5248868778280382E-3</v>
      </c>
      <c r="T227" s="198">
        <f t="shared" si="4152"/>
        <v>4.5045045045045029E-2</v>
      </c>
      <c r="U227" s="198">
        <f t="shared" si="4152"/>
        <v>6.4655172413793149E-2</v>
      </c>
      <c r="V227" s="198">
        <f t="shared" si="4152"/>
        <v>1.0121457489878471E-2</v>
      </c>
      <c r="W227" s="198">
        <f t="shared" si="4152"/>
        <v>2.0040080160317331E-3</v>
      </c>
      <c r="X227" s="198">
        <f t="shared" si="4152"/>
        <v>0.19399999999999995</v>
      </c>
      <c r="Y227" s="198">
        <f t="shared" si="4152"/>
        <v>0.36180904522613089</v>
      </c>
      <c r="Z227" s="198">
        <f t="shared" si="4152"/>
        <v>-4.5510455104551095E-2</v>
      </c>
      <c r="AA227" s="198">
        <f t="shared" si="4152"/>
        <v>-6.4432989690721421E-3</v>
      </c>
      <c r="AB227" s="198">
        <f t="shared" si="4152"/>
        <v>-0.13748378728923472</v>
      </c>
      <c r="AC227" s="198">
        <f t="shared" si="4152"/>
        <v>2.4060150375939893E-2</v>
      </c>
      <c r="AD227" s="198">
        <f t="shared" si="4152"/>
        <v>5.2863436123347984E-2</v>
      </c>
      <c r="AE227" s="198">
        <f t="shared" si="4152"/>
        <v>7.8103207810320541E-2</v>
      </c>
      <c r="AF227" s="198">
        <f t="shared" si="4152"/>
        <v>3.8809831824062169E-2</v>
      </c>
      <c r="AG227" s="198">
        <f t="shared" si="4152"/>
        <v>-1.2453300124533051E-2</v>
      </c>
      <c r="AH227" s="198">
        <f t="shared" si="4152"/>
        <v>-0.31021437578814615</v>
      </c>
      <c r="AI227" s="198">
        <f t="shared" si="4152"/>
        <v>9.6892138939670636E-2</v>
      </c>
      <c r="AJ227" s="198">
        <f t="shared" si="4152"/>
        <v>0.14000000000000012</v>
      </c>
      <c r="AK227" s="198">
        <f t="shared" si="4152"/>
        <v>5.555555555555558E-2</v>
      </c>
      <c r="AL227" s="198">
        <f t="shared" si="4152"/>
        <v>7.3407202216066558E-2</v>
      </c>
      <c r="AM227" s="198">
        <f t="shared" si="4152"/>
        <v>5.6774193548386975E-2</v>
      </c>
      <c r="AN227" s="198">
        <f t="shared" si="4152"/>
        <v>-2.8083028083028094E-2</v>
      </c>
      <c r="AO227" s="198">
        <f t="shared" si="4152"/>
        <v>-0.13190954773869334</v>
      </c>
      <c r="AP227" s="198">
        <f t="shared" si="4152"/>
        <v>-1.3024602026049381E-2</v>
      </c>
      <c r="AQ227" s="198">
        <f t="shared" si="4152"/>
        <v>0.24633431085044011</v>
      </c>
      <c r="AR227" s="198">
        <f t="shared" si="4152"/>
        <v>2.705882352941158E-2</v>
      </c>
      <c r="AS227" s="198">
        <f t="shared" si="4152"/>
        <v>-5.6128293241695326E-2</v>
      </c>
      <c r="AT227" s="198">
        <f t="shared" si="4152"/>
        <v>0.11407766990291268</v>
      </c>
      <c r="AU227" s="198">
        <f t="shared" si="4152"/>
        <v>8.4967320261437829E-2</v>
      </c>
      <c r="AV227" s="198">
        <f t="shared" si="4152"/>
        <v>1.6064257028112428E-2</v>
      </c>
      <c r="AW227" s="198">
        <f t="shared" si="4152"/>
        <v>-6.9169960474306791E-3</v>
      </c>
      <c r="AX227" s="198">
        <f t="shared" si="4152"/>
        <v>-2.9850746268656803E-2</v>
      </c>
      <c r="AY227" s="198">
        <f t="shared" si="4152"/>
        <v>-2.8837948717947981E-3</v>
      </c>
      <c r="AZ227" s="198">
        <f t="shared" si="4152"/>
        <v>4.6744601219486093E-2</v>
      </c>
      <c r="BA227" s="198">
        <f t="shared" si="4152"/>
        <v>5.5893042977026131E-2</v>
      </c>
      <c r="BB227" s="198"/>
      <c r="BC227" s="198"/>
      <c r="BD227" s="198"/>
      <c r="BE227" s="198"/>
      <c r="BF227" s="198"/>
      <c r="BG227" s="198"/>
      <c r="BH227" s="198"/>
      <c r="BI227" s="198"/>
      <c r="BJ227" s="198"/>
      <c r="BK227" s="198"/>
      <c r="BL227" s="198"/>
      <c r="BM227" s="198"/>
      <c r="BO227" s="197" t="str">
        <f t="shared" si="3930"/>
        <v>YoY Change (%)</v>
      </c>
      <c r="BP227" s="193"/>
      <c r="BQ227" s="193"/>
      <c r="BR227" s="193"/>
      <c r="BS227" s="193"/>
      <c r="BT227" s="193"/>
      <c r="BV227" s="197" t="str">
        <f t="shared" si="3931"/>
        <v>YoY Change (%)</v>
      </c>
      <c r="BW227" s="198">
        <f>BW226/BP226-1</f>
        <v>-3.9999999999999925E-2</v>
      </c>
      <c r="BX227" s="198">
        <f t="shared" ref="BX227" si="4153">BX226/BQ226-1</f>
        <v>8.5470085470085166E-3</v>
      </c>
      <c r="BY227" s="198">
        <f t="shared" ref="BY227" si="4154">BY226/BR226-1</f>
        <v>-3.4482758620689502E-2</v>
      </c>
      <c r="BZ227" s="198">
        <f t="shared" ref="BZ227" si="4155">BZ226/BS226-1</f>
        <v>-5.084745762711862E-2</v>
      </c>
      <c r="CA227" s="198">
        <f t="shared" ref="CA227" si="4156">CA226/BT226-1</f>
        <v>-2.9411764705882359E-2</v>
      </c>
      <c r="CC227" s="197" t="str">
        <f t="shared" si="3936"/>
        <v>YoY Change (%)</v>
      </c>
      <c r="CD227" s="198">
        <f>CD226/BW226-1</f>
        <v>-9.9999999999999978E-2</v>
      </c>
      <c r="CE227" s="198">
        <f t="shared" ref="CE227" si="4157">CE226/BX226-1</f>
        <v>-0.10169491525423713</v>
      </c>
      <c r="CF227" s="198">
        <f t="shared" ref="CF227" si="4158">CF226/BY226-1</f>
        <v>-1.7857142857142905E-2</v>
      </c>
      <c r="CG227" s="198">
        <f t="shared" ref="CG227" si="4159">CG226/BZ226-1</f>
        <v>-3.5714285714285698E-2</v>
      </c>
      <c r="CH227" s="198">
        <f t="shared" ref="CH227" si="4160">CH226/CA226-1</f>
        <v>-6.4935064935064957E-2</v>
      </c>
      <c r="CJ227" s="197" t="str">
        <f t="shared" si="3941"/>
        <v>YoY Change (%)</v>
      </c>
      <c r="CK227" s="198">
        <f>CK226/CD226-1</f>
        <v>8.3333333333333259E-2</v>
      </c>
      <c r="CL227" s="198">
        <f t="shared" ref="CL227" si="4161">CL226/CE226-1</f>
        <v>4.7169811320754595E-2</v>
      </c>
      <c r="CM227" s="198">
        <f t="shared" ref="CM227" si="4162">CM226/CF226-1</f>
        <v>0</v>
      </c>
      <c r="CN227" s="198">
        <f t="shared" ref="CN227" si="4163">CN226/CG226-1</f>
        <v>1.8518518518518601E-2</v>
      </c>
      <c r="CO227" s="198">
        <f t="shared" ref="CO227" si="4164">CO226/CH226-1</f>
        <v>3.7037037037036979E-2</v>
      </c>
      <c r="CQ227" s="197" t="str">
        <f t="shared" si="3946"/>
        <v>YoY Change (%)</v>
      </c>
      <c r="CR227" s="198">
        <f>CR226/CK226-1</f>
        <v>-3.4188034188034067E-2</v>
      </c>
      <c r="CS227" s="198">
        <f t="shared" ref="CS227" si="4165">CS226/CL226-1</f>
        <v>0</v>
      </c>
      <c r="CT227" s="198">
        <f t="shared" ref="CT227" si="4166">CT226/CM226-1</f>
        <v>-2.7272727272727226E-2</v>
      </c>
      <c r="CU227" s="198">
        <f t="shared" ref="CU227" si="4167">CU226/CN226-1</f>
        <v>9.0909090909088164E-3</v>
      </c>
      <c r="CV227" s="198">
        <f t="shared" ref="CV227" si="4168">CV226/CO226-1</f>
        <v>-1.3392857142856984E-2</v>
      </c>
      <c r="CX227" s="197" t="str">
        <f t="shared" si="3951"/>
        <v>YoY Change (%)</v>
      </c>
      <c r="CY227" s="198">
        <f>CY226/CR226-1</f>
        <v>-1.7699115044247815E-2</v>
      </c>
      <c r="CZ227" s="198">
        <f t="shared" ref="CZ227" si="4169">CZ226/CS226-1</f>
        <v>2.7027027027027195E-2</v>
      </c>
      <c r="DA227" s="198">
        <f t="shared" ref="DA227" si="4170">DA226/CT226-1</f>
        <v>2.8037383177569986E-2</v>
      </c>
      <c r="DB227" s="198">
        <f t="shared" ref="DB227" si="4171">DB226/CU226-1</f>
        <v>-1.8018018018017723E-2</v>
      </c>
      <c r="DC227" s="198">
        <f t="shared" ref="DC227" si="4172">DC226/CV226-1</f>
        <v>4.5248868778280382E-3</v>
      </c>
      <c r="DE227" s="197" t="str">
        <f t="shared" si="3956"/>
        <v>YoY Change (%)</v>
      </c>
      <c r="DF227" s="198">
        <f>DF226/CY226-1</f>
        <v>1.8018018018018056E-2</v>
      </c>
      <c r="DG227" s="198">
        <f t="shared" ref="DG227" si="4173">DG226/CZ226-1</f>
        <v>4.3859649122807376E-2</v>
      </c>
      <c r="DH227" s="198">
        <f t="shared" ref="DH227" si="4174">DH226/DA226-1</f>
        <v>6.3636363636363491E-2</v>
      </c>
      <c r="DI227" s="198">
        <f t="shared" ref="DI227" si="4175">DI226/DB226-1</f>
        <v>5.504587155963292E-2</v>
      </c>
      <c r="DJ227" s="198">
        <f t="shared" ref="DJ227" si="4176">DJ226/DC226-1</f>
        <v>4.5045045045045029E-2</v>
      </c>
      <c r="DL227" s="197" t="str">
        <f t="shared" si="3961"/>
        <v>YoY Change (%)</v>
      </c>
      <c r="DM227" s="198">
        <f>DM226/DF226-1</f>
        <v>6.1946902654867353E-2</v>
      </c>
      <c r="DN227" s="198">
        <f t="shared" ref="DN227" si="4177">DN226/DG226-1</f>
        <v>5.0420168067226712E-2</v>
      </c>
      <c r="DO227" s="198">
        <f t="shared" ref="DO227" si="4178">DO226/DH226-1</f>
        <v>5.9829059829060061E-2</v>
      </c>
      <c r="DP227" s="198">
        <f t="shared" ref="DP227" si="4179">DP226/DI226-1</f>
        <v>8.6956521739130377E-2</v>
      </c>
      <c r="DQ227" s="198">
        <f t="shared" ref="DQ227" si="4180">DQ226/DJ226-1</f>
        <v>6.4655172413793149E-2</v>
      </c>
      <c r="DS227" s="197" t="str">
        <f t="shared" si="3966"/>
        <v>YoY Change (%)</v>
      </c>
      <c r="DT227" s="198">
        <f>DT226/DM226-1</f>
        <v>6.6666666666666874E-2</v>
      </c>
      <c r="DU227" s="198">
        <f t="shared" ref="DU227" si="4181">DU226/DN226-1</f>
        <v>7.9999999999997851E-3</v>
      </c>
      <c r="DV227" s="198">
        <f t="shared" ref="DV227" si="4182">DV226/DO226-1</f>
        <v>-8.0645161290323619E-3</v>
      </c>
      <c r="DW227" s="198">
        <f t="shared" ref="DW227" si="4183">DW226/DP226-1</f>
        <v>-2.399999999999991E-2</v>
      </c>
      <c r="DX227" s="198">
        <f t="shared" ref="DX227" si="4184">DX226/DQ226-1</f>
        <v>1.0121457489878471E-2</v>
      </c>
      <c r="DZ227" s="197" t="str">
        <f t="shared" si="3971"/>
        <v>YoY Change (%)</v>
      </c>
      <c r="EA227" s="198">
        <f>EA226/DT226-1</f>
        <v>-1.5625000000000222E-2</v>
      </c>
      <c r="EB227" s="198">
        <f t="shared" ref="EB227" si="4185">EB226/DU226-1</f>
        <v>-1.5873015873015928E-2</v>
      </c>
      <c r="EC227" s="198">
        <f t="shared" ref="EC227" si="4186">EC226/DV226-1</f>
        <v>4.0650406504065151E-2</v>
      </c>
      <c r="ED227" s="198">
        <f t="shared" ref="ED227" si="4187">ED226/DW226-1</f>
        <v>0</v>
      </c>
      <c r="EE227" s="198">
        <f t="shared" ref="EE227" si="4188">EE226/DX226-1</f>
        <v>2.0040080160317331E-3</v>
      </c>
      <c r="EG227" s="197" t="str">
        <f t="shared" si="3976"/>
        <v>YoY Change (%)</v>
      </c>
      <c r="EH227" s="198">
        <f>EH226/EA226-1</f>
        <v>6.3492063492063711E-2</v>
      </c>
      <c r="EI227" s="198">
        <f t="shared" ref="EI227" si="4189">EI226/EB226-1</f>
        <v>0.14516129032258074</v>
      </c>
      <c r="EJ227" s="198">
        <f t="shared" ref="EJ227" si="4190">EJ226/EC226-1</f>
        <v>0.25000000000000022</v>
      </c>
      <c r="EK227" s="198">
        <f t="shared" ref="EK227" si="4191">EK226/ED226-1</f>
        <v>0.31967213114754078</v>
      </c>
      <c r="EL227" s="198">
        <f t="shared" ref="EL227" si="4192">EL226/EE226-1</f>
        <v>0.19399999999999995</v>
      </c>
      <c r="EN227" s="197" t="str">
        <f t="shared" si="3981"/>
        <v>YoY Change (%)</v>
      </c>
      <c r="EO227" s="198">
        <f>EO226/EH226-1</f>
        <v>0.55223880597014885</v>
      </c>
      <c r="EP227" s="198">
        <f t="shared" ref="EP227" si="4193">EP226/EI226-1</f>
        <v>0.47183098591549277</v>
      </c>
      <c r="EQ227" s="198">
        <f t="shared" ref="EQ227" si="4194">EQ226/EJ226-1</f>
        <v>0.25</v>
      </c>
      <c r="ER227" s="198">
        <f t="shared" ref="ER227" si="4195">ER226/EK226-1</f>
        <v>0.21739130434782639</v>
      </c>
      <c r="ES227" s="198">
        <f t="shared" ref="ES227" si="4196">ES226/EL226-1</f>
        <v>0.36180904522613089</v>
      </c>
      <c r="EU227" s="197" t="str">
        <f t="shared" si="3986"/>
        <v>YoY Change (%)</v>
      </c>
      <c r="EV227" s="198">
        <f>EV226/EO226-1</f>
        <v>-5.7692307692307709E-2</v>
      </c>
      <c r="EW227" s="198">
        <f t="shared" ref="EW227" si="4197">EW226/EP226-1</f>
        <v>-5.2631578947368252E-2</v>
      </c>
      <c r="EX227" s="198">
        <f t="shared" ref="EX227" si="4198">EX226/EQ226-1</f>
        <v>-1.000000000000012E-2</v>
      </c>
      <c r="EY227" s="198">
        <f t="shared" ref="EY227" si="4199">EY226/ER226-1</f>
        <v>-6.1224489795918546E-2</v>
      </c>
      <c r="EZ227" s="198">
        <f t="shared" ref="EZ227" si="4200">EZ226/ES226-1</f>
        <v>-4.5510455104551095E-2</v>
      </c>
      <c r="FB227" s="197" t="str">
        <f t="shared" si="3991"/>
        <v>YoY Change (%)</v>
      </c>
      <c r="FC227" s="198">
        <f>FC226/EV226-1</f>
        <v>-3.5714285714285698E-2</v>
      </c>
      <c r="FD227" s="198">
        <f t="shared" ref="FD227" si="4201">FD226/EW226-1</f>
        <v>-5.050505050505083E-3</v>
      </c>
      <c r="FE227" s="198">
        <f t="shared" ref="FE227" si="4202">FE226/EX226-1</f>
        <v>-1.5151515151515138E-2</v>
      </c>
      <c r="FF227" s="198">
        <f t="shared" ref="FF227" si="4203">FF226/EY226-1</f>
        <v>3.260869565217428E-2</v>
      </c>
      <c r="FG227" s="198">
        <f t="shared" ref="FG227" si="4204">FG226/EZ226-1</f>
        <v>-6.4432989690721421E-3</v>
      </c>
      <c r="FI227" s="197" t="str">
        <f t="shared" si="3996"/>
        <v>YoY Change (%)</v>
      </c>
      <c r="FJ227" s="198">
        <f>FJ226/FC226-1</f>
        <v>3.1746031746031855E-2</v>
      </c>
      <c r="FK227" s="198">
        <f t="shared" ref="FK227" si="4205">FK226/FD226-1</f>
        <v>-0.19289340101522845</v>
      </c>
      <c r="FL227" s="198">
        <f t="shared" ref="FL227" si="4206">FL226/FE226-1</f>
        <v>-0.18974358974358974</v>
      </c>
      <c r="FM227" s="198">
        <f t="shared" ref="FM227" si="4207">FM226/FF226-1</f>
        <v>-0.19473684210526332</v>
      </c>
      <c r="FN227" s="198">
        <f t="shared" ref="FN227" si="4208">FN226/FG226-1</f>
        <v>-0.13748378728923472</v>
      </c>
      <c r="FP227" s="197" t="str">
        <f t="shared" si="4001"/>
        <v>YoY Change (%)</v>
      </c>
      <c r="FQ227" s="198">
        <f>FQ226/FJ226-1</f>
        <v>-0.18461538461538463</v>
      </c>
      <c r="FR227" s="198">
        <f t="shared" ref="FR227" si="4209">FR226/FK226-1</f>
        <v>4.4025157232704393E-2</v>
      </c>
      <c r="FS227" s="198">
        <f t="shared" ref="FS227" si="4210">FS226/FL226-1</f>
        <v>8.2278481012658222E-2</v>
      </c>
      <c r="FT227" s="198">
        <f t="shared" ref="FT227" si="4211">FT226/FM226-1</f>
        <v>0.20915032679738554</v>
      </c>
      <c r="FU227" s="198">
        <f t="shared" ref="FU227" si="4212">FU226/FN226-1</f>
        <v>2.4060150375939893E-2</v>
      </c>
      <c r="FW227" s="197" t="str">
        <f t="shared" si="4006"/>
        <v>YoY Change (%)</v>
      </c>
      <c r="FX227" s="198">
        <f>FX226/FQ226-1</f>
        <v>0.10691823899371067</v>
      </c>
      <c r="FY227" s="198">
        <f t="shared" ref="FY227" si="4213">FY226/FR226-1</f>
        <v>9.0361445783132543E-2</v>
      </c>
      <c r="FZ227" s="198">
        <f t="shared" ref="FZ227" si="4214">FZ226/FS226-1</f>
        <v>3.5087719298245723E-2</v>
      </c>
      <c r="GA227" s="198">
        <f t="shared" ref="GA227" si="4215">GA226/FT226-1</f>
        <v>-1.0810810810810811E-2</v>
      </c>
      <c r="GB227" s="198">
        <f t="shared" ref="GB227" si="4216">GB226/FU226-1</f>
        <v>5.2863436123347984E-2</v>
      </c>
      <c r="GD227" s="197" t="str">
        <f t="shared" si="4011"/>
        <v>YoY Change (%)</v>
      </c>
      <c r="GE227" s="198">
        <f>GE226/FX226-1</f>
        <v>8.5227272727272707E-2</v>
      </c>
      <c r="GF227" s="198">
        <f t="shared" ref="GF227" si="4217">GF226/FY226-1</f>
        <v>7.182320441988943E-2</v>
      </c>
      <c r="GG227" s="198">
        <f t="shared" ref="GG227" si="4218">GG226/FZ226-1</f>
        <v>0.12994350282485878</v>
      </c>
      <c r="GH227" s="198">
        <f t="shared" ref="GH227" si="4219">GH226/GA226-1</f>
        <v>2.732240437158473E-2</v>
      </c>
      <c r="GI227" s="198">
        <f t="shared" ref="GI227" si="4220">GI226/GB226-1</f>
        <v>7.8103207810320541E-2</v>
      </c>
      <c r="GK227" s="197" t="str">
        <f t="shared" si="4016"/>
        <v>YoY Change (%)</v>
      </c>
      <c r="GL227" s="198">
        <f>GL226/GE226-1</f>
        <v>7.3298429319371694E-2</v>
      </c>
      <c r="GM227" s="198">
        <f t="shared" ref="GM227" si="4221">GM226/GF226-1</f>
        <v>8.247422680412364E-2</v>
      </c>
      <c r="GN227" s="198">
        <f t="shared" ref="GN227" si="4222">GN226/GG226-1</f>
        <v>1.4999999999999902E-2</v>
      </c>
      <c r="GO227" s="198">
        <f t="shared" ref="GO227" si="4223">GO226/GH226-1</f>
        <v>-1.5957446808510523E-2</v>
      </c>
      <c r="GP227" s="198">
        <f t="shared" ref="GP227" si="4224">GP226/GI226-1</f>
        <v>3.8809831824062169E-2</v>
      </c>
      <c r="GR227" s="197" t="str">
        <f t="shared" si="4021"/>
        <v>YoY Change (%)</v>
      </c>
      <c r="GS227" s="198">
        <f>GS226/GL226-1</f>
        <v>-6.3414634146341631E-2</v>
      </c>
      <c r="GT227" s="198">
        <f t="shared" ref="GT227" si="4225">GT226/GM226-1</f>
        <v>-2.3809523809523836E-2</v>
      </c>
      <c r="GU227" s="198">
        <f t="shared" ref="GU227" si="4226">GU226/GN226-1</f>
        <v>6.4039408866995107E-2</v>
      </c>
      <c r="GV227" s="198">
        <f t="shared" ref="GV227" si="4227">GV226/GO226-1</f>
        <v>-2.7027027027027306E-2</v>
      </c>
      <c r="GW227" s="198">
        <f t="shared" ref="GW227" si="4228">GW226/GP226-1</f>
        <v>-1.2453300124533051E-2</v>
      </c>
      <c r="GY227" s="197" t="str">
        <f t="shared" si="4026"/>
        <v>YoY Change (%)</v>
      </c>
      <c r="GZ227" s="198">
        <f>GZ226/GS226-1</f>
        <v>-0.27083333333333326</v>
      </c>
      <c r="HA227" s="198">
        <f t="shared" ref="HA227" si="4229">HA226/GT226-1</f>
        <v>-0.35121951219512193</v>
      </c>
      <c r="HB227" s="198">
        <f t="shared" ref="HB227" si="4230">HB226/GU226-1</f>
        <v>-0.35185185185185197</v>
      </c>
      <c r="HC227" s="198">
        <f t="shared" ref="HC227" si="4231">HC226/GV226-1</f>
        <v>-0.25555555555555565</v>
      </c>
      <c r="HD227" s="198">
        <f t="shared" ref="HD227" si="4232">HD226/GW226-1</f>
        <v>-0.31021437578814615</v>
      </c>
      <c r="HF227" s="197" t="str">
        <f t="shared" si="4031"/>
        <v>YoY Change (%)</v>
      </c>
      <c r="HG227" s="198">
        <f>HG226/GZ226-1</f>
        <v>0</v>
      </c>
      <c r="HH227" s="198">
        <f t="shared" ref="HH227" si="4233">HH226/HA226-1</f>
        <v>0.1278195488721805</v>
      </c>
      <c r="HI227" s="198">
        <f t="shared" ref="HI227" si="4234">HI226/HB226-1</f>
        <v>7.1428571428571397E-2</v>
      </c>
      <c r="HJ227" s="198">
        <f t="shared" ref="HJ227" si="4235">HJ226/HC226-1</f>
        <v>0.19402985074626899</v>
      </c>
      <c r="HK227" s="198">
        <f t="shared" ref="HK227" si="4236">HK226/HD226-1</f>
        <v>9.6892138939670636E-2</v>
      </c>
      <c r="HM227" s="197" t="str">
        <f t="shared" si="4036"/>
        <v>YoY Change (%)</v>
      </c>
      <c r="HN227" s="198">
        <f>HN226/HG226-1</f>
        <v>0.14999999999999991</v>
      </c>
      <c r="HO227" s="198">
        <f t="shared" ref="HO227" si="4237">HO226/HH226-1</f>
        <v>0.15999999999999992</v>
      </c>
      <c r="HP227" s="198">
        <f t="shared" ref="HP227" si="4238">HP226/HI226-1</f>
        <v>0.19333333333333358</v>
      </c>
      <c r="HQ227" s="198">
        <f t="shared" ref="HQ227" si="4239">HQ226/HJ226-1</f>
        <v>6.25E-2</v>
      </c>
      <c r="HR227" s="198">
        <f t="shared" ref="HR227" si="4240">HR226/HK226-1</f>
        <v>0.14000000000000012</v>
      </c>
      <c r="HT227" s="197" t="str">
        <f t="shared" si="4041"/>
        <v>YoY Change (%)</v>
      </c>
      <c r="HU227" s="198">
        <f>HU226/HN226-1</f>
        <v>0.12422360248447228</v>
      </c>
      <c r="HV227" s="198">
        <f t="shared" ref="HV227" si="4241">HV226/HO226-1</f>
        <v>5.7471264367816133E-2</v>
      </c>
      <c r="HW227" s="198">
        <f t="shared" ref="HW227" si="4242">HW226/HP226-1</f>
        <v>1.6759776536312776E-2</v>
      </c>
      <c r="HX227" s="198">
        <f t="shared" ref="HX227" si="4243">HX226/HQ226-1</f>
        <v>2.9411764705882248E-2</v>
      </c>
      <c r="HY227" s="198">
        <f t="shared" ref="HY227" si="4244">HY226/HR226-1</f>
        <v>5.555555555555558E-2</v>
      </c>
      <c r="IA227" s="197" t="str">
        <f t="shared" si="4046"/>
        <v>YoY Change (%)</v>
      </c>
      <c r="IB227" s="198">
        <f>IB226/HU226-1</f>
        <v>4.4198895027624197E-2</v>
      </c>
      <c r="IC227" s="198">
        <f t="shared" ref="IC227" si="4245">IC226/HV226-1</f>
        <v>5.9782608695652106E-2</v>
      </c>
      <c r="ID227" s="198">
        <f t="shared" ref="ID227" si="4246">ID226/HW226-1</f>
        <v>9.3406593406593297E-2</v>
      </c>
      <c r="IE227" s="198">
        <f t="shared" ref="IE227" si="4247">IE226/HX226-1</f>
        <v>9.7142857142857197E-2</v>
      </c>
      <c r="IF227" s="198">
        <f t="shared" ref="IF227" si="4248">IF226/HY226-1</f>
        <v>7.3407202216066558E-2</v>
      </c>
      <c r="IH227" s="197" t="str">
        <f t="shared" si="4051"/>
        <v>YoY Change (%)</v>
      </c>
      <c r="II227" s="198">
        <f>II226/IB226-1</f>
        <v>2.6455026455026287E-2</v>
      </c>
      <c r="IJ227" s="198">
        <f t="shared" ref="IJ227" si="4249">IJ226/IC226-1</f>
        <v>7.6923076923076872E-2</v>
      </c>
      <c r="IK227" s="198">
        <f t="shared" ref="IK227" si="4250">IK226/ID226-1</f>
        <v>5.0251256281407031E-2</v>
      </c>
      <c r="IL227" s="198">
        <f t="shared" ref="IL227" si="4251">IL226/IE226-1</f>
        <v>7.2916666666666519E-2</v>
      </c>
      <c r="IM227" s="198">
        <f t="shared" ref="IM227" si="4252">IM226/IF226-1</f>
        <v>5.6774193548386975E-2</v>
      </c>
      <c r="IO227" s="197" t="str">
        <f t="shared" si="4056"/>
        <v>YoY Change (%)</v>
      </c>
      <c r="IP227" s="198">
        <f>IP226/II226-1</f>
        <v>2.0618556701031077E-2</v>
      </c>
      <c r="IQ227" s="198">
        <f t="shared" ref="IQ227" si="4253">IQ226/IJ226-1</f>
        <v>-3.809523809523796E-2</v>
      </c>
      <c r="IR227" s="198">
        <f t="shared" ref="IR227" si="4254">IR226/IK226-1</f>
        <v>-2.8708133971291905E-2</v>
      </c>
      <c r="IS227" s="198">
        <f t="shared" ref="IS227" si="4255">IS226/IL226-1</f>
        <v>-6.3106796116504715E-2</v>
      </c>
      <c r="IT227" s="198">
        <f t="shared" ref="IT227" si="4256">IT226/IM226-1</f>
        <v>-2.8083028083028094E-2</v>
      </c>
      <c r="IV227" s="197" t="str">
        <f t="shared" si="4061"/>
        <v>YoY Change (%)</v>
      </c>
      <c r="IW227" s="198">
        <f>IW226/IP226-1</f>
        <v>-4.5454545454545636E-2</v>
      </c>
      <c r="IX227" s="198">
        <f t="shared" ref="IX227" si="4257">IX226/IQ226-1</f>
        <v>-4.950495049504966E-2</v>
      </c>
      <c r="IY227" s="198">
        <f t="shared" ref="IY227" si="4258">IY226/IR226-1</f>
        <v>-5.9113300492610987E-2</v>
      </c>
      <c r="IZ227" s="198">
        <f t="shared" ref="IZ227" si="4259">IZ226/IS226-1</f>
        <v>-0.38341968911917101</v>
      </c>
      <c r="JA227" s="198">
        <f t="shared" ref="JA227" si="4260">JA226/IT226-1</f>
        <v>-0.13190954773869334</v>
      </c>
      <c r="JC227" s="197" t="str">
        <f t="shared" si="4066"/>
        <v>YoY Change (%)</v>
      </c>
      <c r="JD227" s="198">
        <f>JD226/IW226-1</f>
        <v>1.5873015873015817E-2</v>
      </c>
      <c r="JE227" s="198">
        <f t="shared" ref="JE227" si="4261">JE226/IX226-1</f>
        <v>1.0416666666666741E-2</v>
      </c>
      <c r="JF227" s="198">
        <f t="shared" ref="JF227" si="4262">JF226/IY226-1</f>
        <v>-5.235602094240821E-2</v>
      </c>
      <c r="JG227" s="198">
        <f t="shared" ref="JG227" si="4263">JG226/IZ226-1</f>
        <v>-3.3613445378151141E-2</v>
      </c>
      <c r="JH227" s="198">
        <f t="shared" ref="JH227" si="4264">JH226/JA226-1</f>
        <v>-1.3024602026049381E-2</v>
      </c>
      <c r="JJ227" s="197" t="str">
        <f t="shared" si="4071"/>
        <v>YoY Change (%)</v>
      </c>
      <c r="JK227" s="198">
        <f>JK226/JD226-1</f>
        <v>1.5625000000000222E-2</v>
      </c>
      <c r="JL227" s="198">
        <f t="shared" ref="JL227" si="4265">JL226/JE226-1</f>
        <v>0.10824742268041243</v>
      </c>
      <c r="JM227" s="198">
        <f t="shared" ref="JM227" si="4266">JM226/JF226-1</f>
        <v>0.2320441988950277</v>
      </c>
      <c r="JN227" s="198">
        <f t="shared" ref="JN227" si="4267">JN226/JG226-1</f>
        <v>0.88695652173912998</v>
      </c>
      <c r="JO227" s="198">
        <f t="shared" ref="JO227" si="4268">JO226/JH226-1</f>
        <v>0.24633431085044011</v>
      </c>
      <c r="JQ227" s="197" t="str">
        <f t="shared" si="4076"/>
        <v>YoY Change (%)</v>
      </c>
      <c r="JR227" s="198">
        <f>JR226/JK226-1</f>
        <v>0.10769230769230753</v>
      </c>
      <c r="JS227" s="198">
        <f t="shared" ref="JS227" si="4269">JS226/JL226-1</f>
        <v>1.3953488372093092E-2</v>
      </c>
      <c r="JT227" s="198">
        <f t="shared" ref="JT227" si="4270">JT226/JM226-1</f>
        <v>8.9686098654708779E-3</v>
      </c>
      <c r="JU227" s="198">
        <f t="shared" ref="JU227" si="4271">JU226/JN226-1</f>
        <v>-1.3824884792626557E-2</v>
      </c>
      <c r="JV227" s="198">
        <f t="shared" ref="JV227" si="4272">JV226/JO226-1</f>
        <v>2.705882352941158E-2</v>
      </c>
      <c r="JX227" s="197" t="str">
        <f t="shared" si="4081"/>
        <v>YoY Change (%)</v>
      </c>
      <c r="JY227" s="198">
        <f>JY226/JR226-1</f>
        <v>4.6296296296295392E-3</v>
      </c>
      <c r="JZ227" s="198">
        <f t="shared" ref="JZ227" si="4273">JZ226/JS226-1</f>
        <v>-0.11009174311926606</v>
      </c>
      <c r="KA227" s="198">
        <f t="shared" ref="KA227" si="4274">KA226/JT226-1</f>
        <v>-8.4444444444444433E-2</v>
      </c>
      <c r="KB227" s="198">
        <f t="shared" ref="KB227" si="4275">KB226/JU226-1</f>
        <v>-3.2710280373831724E-2</v>
      </c>
      <c r="KC227" s="198">
        <f t="shared" ref="KC227" si="4276">KC226/JV226-1</f>
        <v>-5.6128293241695326E-2</v>
      </c>
      <c r="KE227" s="197" t="str">
        <f t="shared" si="4086"/>
        <v>YoY Change (%)</v>
      </c>
      <c r="KF227" s="198">
        <f>KF226/JY226-1</f>
        <v>1.3824884792626779E-2</v>
      </c>
      <c r="KG227" s="198">
        <f t="shared" ref="KG227" si="4277">KG226/JZ226-1</f>
        <v>0.2010309278350515</v>
      </c>
      <c r="KH227" s="198">
        <f t="shared" ref="KH227" si="4278">KH226/KA226-1</f>
        <v>0.12135922330097082</v>
      </c>
      <c r="KI227" s="198">
        <f t="shared" ref="KI227" si="4279">KI226/KB226-1</f>
        <v>0.13043478260869557</v>
      </c>
      <c r="KJ227" s="198">
        <f t="shared" ref="KJ227" si="4280">KJ226/KC226-1</f>
        <v>0.11407766990291268</v>
      </c>
      <c r="KL227" s="197" t="str">
        <f t="shared" si="4091"/>
        <v>YoY Change (%)</v>
      </c>
      <c r="KM227" s="198">
        <f>KM226/KF226-1</f>
        <v>3.6363636363636376E-2</v>
      </c>
      <c r="KN227" s="198">
        <f t="shared" ref="KN227" si="4281">KN226/KG226-1</f>
        <v>7.72532188841204E-2</v>
      </c>
      <c r="KO227" s="198">
        <f t="shared" ref="KO227" si="4282">KO226/KH226-1</f>
        <v>0.14285714285714279</v>
      </c>
      <c r="KP227" s="198">
        <f t="shared" ref="KP227" si="4283">KP226/KI226-1</f>
        <v>8.119658119658113E-2</v>
      </c>
      <c r="KQ227" s="198">
        <f t="shared" ref="KQ227" si="4284">KQ226/KJ226-1</f>
        <v>8.4967320261437829E-2</v>
      </c>
      <c r="KS227" s="197" t="str">
        <f t="shared" si="4096"/>
        <v>YoY Change (%)</v>
      </c>
      <c r="KT227" s="198">
        <f>KT226/KM226-1</f>
        <v>0.14473684210526305</v>
      </c>
      <c r="KU227" s="198">
        <f t="shared" ref="KU227" si="4285">KU226/KN226-1</f>
        <v>2.3904382470119723E-2</v>
      </c>
      <c r="KV227" s="198">
        <f t="shared" ref="KV227" si="4286">KV226/KO226-1</f>
        <v>-7.9545454545454586E-2</v>
      </c>
      <c r="KW227" s="198">
        <f t="shared" ref="KW227" si="4287">KW226/KP226-1</f>
        <v>-7.905138339920903E-3</v>
      </c>
      <c r="KX227" s="198">
        <f t="shared" ref="KX227" si="4288">KX226/KQ226-1</f>
        <v>1.6064257028112428E-2</v>
      </c>
      <c r="KZ227" s="197" t="str">
        <f t="shared" si="4101"/>
        <v>YoY Change (%)</v>
      </c>
      <c r="LA227" s="198">
        <f>LA226/KT226-1</f>
        <v>-0.15708812260536398</v>
      </c>
      <c r="LB227" s="198">
        <f>LB226/KU226-1</f>
        <v>4.6692607003890885E-2</v>
      </c>
      <c r="LC227" s="198">
        <f>LC226/KV226-1</f>
        <v>6.5843621399176877E-2</v>
      </c>
      <c r="LD227" s="198">
        <f t="shared" ref="LD227" si="4289">LD226/KW226-1</f>
        <v>2.3904382470119723E-2</v>
      </c>
      <c r="LE227" s="199">
        <f t="shared" ref="LE227" si="4290">LE226/KX226-1</f>
        <v>-6.9169960474307901E-3</v>
      </c>
      <c r="LF227" s="574"/>
      <c r="LG227" s="197" t="str">
        <f t="shared" si="4104"/>
        <v>YoY Change (%)</v>
      </c>
      <c r="LH227" s="198">
        <f>LH226/LA226-1</f>
        <v>0.13181818181818161</v>
      </c>
      <c r="LI227" s="198">
        <f>LI226/LB226-1</f>
        <v>-7.0631970260223054E-2</v>
      </c>
      <c r="LJ227" s="198">
        <f>LJ226/LC226-1</f>
        <v>-4.633204633204635E-2</v>
      </c>
      <c r="LK227" s="198">
        <f>LK226/LD226-1</f>
        <v>-0.10894941634241262</v>
      </c>
      <c r="LL227" s="199">
        <f t="shared" ref="LL227" si="4291">LL226/LE226-1</f>
        <v>-2.9850746268656692E-2</v>
      </c>
      <c r="LM227" s="574"/>
      <c r="LN227" s="197" t="str">
        <f t="shared" si="4106"/>
        <v>YoY Change (%)</v>
      </c>
      <c r="LO227" s="199">
        <f>LO226/LH226-1</f>
        <v>-7.1799999999999864E-2</v>
      </c>
      <c r="LP227" s="199">
        <f t="shared" ref="LP227" si="4292">LP226/LI226-1</f>
        <v>-2.5899999999999923E-2</v>
      </c>
      <c r="LQ227" s="199">
        <f t="shared" ref="LQ227" si="4293">LQ226/LJ226-1</f>
        <v>4.0300000000000225E-2</v>
      </c>
      <c r="LR227" s="199">
        <f t="shared" ref="LR227" si="4294">LR226/LK226-1</f>
        <v>5.0599999999999978E-2</v>
      </c>
      <c r="LS227" s="199">
        <f t="shared" ref="LS227" si="4295">LS226/LL226-1</f>
        <v>-2.8837948717947981E-3</v>
      </c>
      <c r="LT227" s="574"/>
      <c r="LU227" s="197" t="str">
        <f t="shared" si="1261"/>
        <v>YoY Change (%)</v>
      </c>
      <c r="LV227" s="199">
        <f>LV226/LO226-1</f>
        <v>4.2825000000000113E-2</v>
      </c>
      <c r="LW227" s="199">
        <f t="shared" ref="LW227" si="4296">LW226/LP226-1</f>
        <v>4.2824999999999891E-2</v>
      </c>
      <c r="LX227" s="199">
        <f t="shared" ref="LX227" si="4297">LX226/LQ226-1</f>
        <v>4.798749999999985E-2</v>
      </c>
      <c r="LY227" s="199">
        <f t="shared" ref="LY227" si="4298">LY226/LR226-1</f>
        <v>5.3150000000000031E-2</v>
      </c>
      <c r="LZ227" s="199">
        <f t="shared" ref="LZ227" si="4299">LZ226/LS226-1</f>
        <v>4.6744601219485871E-2</v>
      </c>
      <c r="MA227" s="574"/>
      <c r="MB227" s="197" t="str">
        <f t="shared" si="1265"/>
        <v>YoY Change (%)</v>
      </c>
      <c r="MC227" s="199">
        <f>MC226/LV226-1</f>
        <v>5.0599999999999756E-2</v>
      </c>
      <c r="MD227" s="199">
        <f t="shared" ref="MD227" si="4300">MD226/LW226-1</f>
        <v>5.5749999999999966E-2</v>
      </c>
      <c r="ME227" s="199">
        <f t="shared" ref="ME227" si="4301">ME226/LX226-1</f>
        <v>6.0900000000000176E-2</v>
      </c>
      <c r="MF227" s="199">
        <f t="shared" ref="MF227" si="4302">MF226/LY226-1</f>
        <v>5.5749999999999966E-2</v>
      </c>
      <c r="MG227" s="199">
        <f t="shared" ref="MG227" si="4303">MG226/LZ226-1</f>
        <v>5.5893042977026131E-2</v>
      </c>
      <c r="MH227" s="574"/>
    </row>
    <row r="228" spans="1:346" s="37" customFormat="1" ht="13.15" x14ac:dyDescent="0.4">
      <c r="A228" s="100"/>
      <c r="C228" s="186"/>
      <c r="D228" s="186"/>
      <c r="E228" s="186"/>
      <c r="F228" s="186"/>
      <c r="G228" s="186"/>
      <c r="H228" s="186"/>
      <c r="I228" s="186"/>
      <c r="J228" s="186"/>
      <c r="K228" s="186"/>
      <c r="L228" s="186"/>
      <c r="M228" s="186"/>
      <c r="N228" s="193"/>
      <c r="O228" s="193"/>
      <c r="P228" s="193"/>
      <c r="Q228" s="193"/>
      <c r="R228" s="193"/>
      <c r="S228" s="193"/>
      <c r="T228" s="193"/>
      <c r="U228" s="193"/>
      <c r="V228" s="193"/>
      <c r="W228" s="193"/>
      <c r="X228" s="193"/>
      <c r="Y228" s="193"/>
      <c r="Z228" s="193"/>
      <c r="AA228" s="193"/>
      <c r="AB228" s="193"/>
      <c r="AC228" s="193"/>
      <c r="AD228" s="193"/>
      <c r="AE228" s="193"/>
      <c r="AF228" s="193"/>
      <c r="AG228" s="193"/>
      <c r="AH228" s="193"/>
      <c r="AI228" s="193"/>
      <c r="AJ228" s="193"/>
      <c r="AK228" s="193"/>
      <c r="AL228" s="193"/>
      <c r="AM228" s="193"/>
      <c r="AN228" s="193"/>
      <c r="AO228" s="193"/>
      <c r="AP228" s="193"/>
      <c r="AQ228" s="193"/>
      <c r="AR228" s="193"/>
      <c r="AS228" s="193"/>
      <c r="AT228" s="193"/>
      <c r="AU228" s="193"/>
      <c r="AV228" s="193"/>
      <c r="AW228" s="193"/>
      <c r="AX228" s="193"/>
      <c r="AY228" s="193"/>
      <c r="AZ228" s="193"/>
      <c r="BA228" s="193"/>
      <c r="BB228" s="193"/>
      <c r="BC228" s="193"/>
      <c r="BD228" s="193"/>
      <c r="BE228" s="193"/>
      <c r="BF228" s="193"/>
      <c r="BG228" s="193"/>
      <c r="BH228" s="193"/>
      <c r="BI228" s="193"/>
      <c r="BJ228" s="193"/>
      <c r="BK228" s="193"/>
      <c r="BL228" s="193"/>
      <c r="BM228" s="193"/>
      <c r="BP228" s="193"/>
      <c r="BQ228" s="193"/>
      <c r="BR228" s="193"/>
      <c r="BS228" s="193"/>
      <c r="BT228" s="193"/>
      <c r="BW228" s="193"/>
      <c r="BX228" s="193"/>
      <c r="BY228" s="193"/>
      <c r="BZ228" s="193"/>
      <c r="CA228" s="193"/>
      <c r="CD228" s="193"/>
      <c r="CE228" s="193"/>
      <c r="CF228" s="193"/>
      <c r="CG228" s="193"/>
      <c r="CH228" s="193"/>
      <c r="CK228" s="193"/>
      <c r="CL228" s="193"/>
      <c r="CM228" s="193"/>
      <c r="CN228" s="193"/>
      <c r="CO228" s="193"/>
      <c r="CR228" s="193"/>
      <c r="CS228" s="193"/>
      <c r="CT228" s="193"/>
      <c r="CU228" s="193"/>
      <c r="CV228" s="193"/>
      <c r="CY228" s="193"/>
      <c r="CZ228" s="193"/>
      <c r="DA228" s="193"/>
      <c r="DB228" s="193"/>
      <c r="DC228" s="193"/>
      <c r="DF228" s="193"/>
      <c r="DG228" s="193"/>
      <c r="DH228" s="193"/>
      <c r="DI228" s="193"/>
      <c r="DJ228" s="193"/>
      <c r="DM228" s="193"/>
      <c r="DN228" s="193"/>
      <c r="DO228" s="193"/>
      <c r="DP228" s="193"/>
      <c r="DQ228" s="193"/>
      <c r="DT228" s="193"/>
      <c r="DU228" s="193"/>
      <c r="DV228" s="193"/>
      <c r="DW228" s="193"/>
      <c r="DX228" s="193"/>
      <c r="EA228" s="193"/>
      <c r="EB228" s="193"/>
      <c r="EC228" s="193"/>
      <c r="ED228" s="193"/>
      <c r="EE228" s="193"/>
      <c r="EH228" s="193"/>
      <c r="EI228" s="193"/>
      <c r="EJ228" s="193"/>
      <c r="EK228" s="193"/>
      <c r="EL228" s="193"/>
      <c r="EO228" s="193"/>
      <c r="EP228" s="193"/>
      <c r="EQ228" s="193"/>
      <c r="ER228" s="193"/>
      <c r="ES228" s="193"/>
      <c r="EV228" s="193"/>
      <c r="EW228" s="193"/>
      <c r="EX228" s="193"/>
      <c r="EY228" s="193"/>
      <c r="EZ228" s="193"/>
      <c r="FC228" s="193"/>
      <c r="FD228" s="193"/>
      <c r="FE228" s="193"/>
      <c r="FF228" s="193"/>
      <c r="FG228" s="193"/>
      <c r="FJ228" s="193"/>
      <c r="FK228" s="193"/>
      <c r="FL228" s="193"/>
      <c r="FM228" s="193"/>
      <c r="FN228" s="193"/>
      <c r="FQ228" s="193"/>
      <c r="FR228" s="193"/>
      <c r="FS228" s="193"/>
      <c r="FT228" s="193"/>
      <c r="FU228" s="193"/>
      <c r="FX228" s="193"/>
      <c r="FY228" s="193"/>
      <c r="FZ228" s="193"/>
      <c r="GA228" s="193"/>
      <c r="GB228" s="193"/>
      <c r="GE228" s="193"/>
      <c r="GF228" s="193"/>
      <c r="GG228" s="193"/>
      <c r="GH228" s="193"/>
      <c r="GI228" s="193"/>
      <c r="GL228" s="193"/>
      <c r="GM228" s="193"/>
      <c r="GN228" s="193"/>
      <c r="GO228" s="193"/>
      <c r="GP228" s="193"/>
      <c r="GS228" s="193"/>
      <c r="GT228" s="193"/>
      <c r="GU228" s="193"/>
      <c r="GV228" s="193"/>
      <c r="GW228" s="193"/>
      <c r="GZ228" s="193"/>
      <c r="HA228" s="193"/>
      <c r="HB228" s="193"/>
      <c r="HC228" s="193"/>
      <c r="HD228" s="193"/>
      <c r="HG228" s="193"/>
      <c r="HH228" s="193"/>
      <c r="HI228" s="193"/>
      <c r="HJ228" s="193"/>
      <c r="HK228" s="193"/>
      <c r="HN228" s="193"/>
      <c r="HO228" s="193"/>
      <c r="HP228" s="193"/>
      <c r="HQ228" s="193"/>
      <c r="HR228" s="193"/>
      <c r="HU228" s="193"/>
      <c r="HV228" s="193"/>
      <c r="HW228" s="193"/>
      <c r="HX228" s="193"/>
      <c r="HY228" s="193"/>
      <c r="IB228" s="193"/>
      <c r="IC228" s="193"/>
      <c r="ID228" s="193"/>
      <c r="IE228" s="193"/>
      <c r="IF228" s="193"/>
      <c r="II228" s="193"/>
      <c r="IJ228" s="193"/>
      <c r="IK228" s="193"/>
      <c r="IL228" s="193"/>
      <c r="IM228" s="193"/>
      <c r="IP228" s="193"/>
      <c r="IQ228" s="193"/>
      <c r="IR228" s="193"/>
      <c r="IS228" s="193"/>
      <c r="IT228" s="193"/>
      <c r="IW228" s="193"/>
      <c r="IX228" s="193"/>
      <c r="IY228" s="193"/>
      <c r="IZ228" s="193"/>
      <c r="JA228" s="193"/>
      <c r="JD228" s="193"/>
      <c r="JE228" s="193"/>
      <c r="JF228" s="193"/>
      <c r="JG228" s="193"/>
      <c r="JH228" s="193"/>
      <c r="JK228" s="193"/>
      <c r="JL228" s="193"/>
      <c r="JM228" s="193"/>
      <c r="JN228" s="193"/>
      <c r="JO228" s="193"/>
      <c r="JR228" s="193"/>
      <c r="JS228" s="193"/>
      <c r="JT228" s="193"/>
      <c r="JU228" s="193"/>
      <c r="JV228" s="193"/>
      <c r="JY228" s="193"/>
      <c r="JZ228" s="193"/>
      <c r="KA228" s="193"/>
      <c r="KB228" s="193"/>
      <c r="KC228" s="193"/>
      <c r="KF228" s="193"/>
      <c r="KG228" s="193"/>
      <c r="KH228" s="193"/>
      <c r="KI228" s="193"/>
      <c r="KJ228" s="193"/>
      <c r="KM228" s="193"/>
      <c r="KN228" s="193"/>
      <c r="KO228" s="193"/>
      <c r="KP228" s="193"/>
      <c r="KQ228" s="193"/>
      <c r="KT228" s="193"/>
      <c r="KU228" s="193"/>
      <c r="KV228" s="193"/>
      <c r="KW228" s="193"/>
      <c r="KX228" s="193"/>
      <c r="LA228" s="193"/>
      <c r="LB228" s="193"/>
      <c r="LC228" s="193"/>
      <c r="LD228" s="193"/>
      <c r="LE228" s="193"/>
      <c r="LF228" s="555"/>
      <c r="LH228" s="193"/>
      <c r="LI228" s="193"/>
      <c r="LJ228" s="193"/>
      <c r="LK228" s="193"/>
      <c r="LL228" s="193"/>
      <c r="LM228" s="555"/>
      <c r="LO228" s="192"/>
      <c r="LP228" s="192"/>
      <c r="LQ228" s="192"/>
      <c r="LR228" s="192"/>
      <c r="LS228" s="193"/>
      <c r="LT228" s="555"/>
      <c r="LV228" s="192"/>
      <c r="LW228" s="192"/>
      <c r="LX228" s="192"/>
      <c r="LY228" s="192"/>
      <c r="LZ228" s="193"/>
      <c r="MA228" s="555"/>
      <c r="MC228" s="192"/>
      <c r="MD228" s="192"/>
      <c r="ME228" s="192"/>
      <c r="MF228" s="192"/>
      <c r="MG228" s="193"/>
      <c r="MH228" s="555"/>
    </row>
    <row r="229" spans="1:346" s="37" customFormat="1" ht="13.15" x14ac:dyDescent="0.4">
      <c r="A229" s="100"/>
      <c r="B229" s="206" t="s">
        <v>145</v>
      </c>
      <c r="C229" s="186"/>
      <c r="D229" s="186"/>
      <c r="E229" s="186"/>
      <c r="F229" s="186"/>
      <c r="G229" s="186"/>
      <c r="H229" s="186"/>
      <c r="I229" s="186"/>
      <c r="J229" s="186"/>
      <c r="K229" s="186"/>
      <c r="L229" s="186"/>
      <c r="M229" s="186"/>
      <c r="N229" s="200"/>
      <c r="O229" s="200"/>
      <c r="P229" s="200"/>
      <c r="Q229" s="200"/>
      <c r="R229" s="200"/>
      <c r="S229" s="200"/>
      <c r="T229" s="200"/>
      <c r="U229" s="200"/>
      <c r="V229" s="200"/>
      <c r="W229" s="200"/>
      <c r="X229" s="200"/>
      <c r="Y229" s="200"/>
      <c r="Z229" s="200"/>
      <c r="AA229" s="200"/>
      <c r="AB229" s="200"/>
      <c r="AC229" s="200"/>
      <c r="AD229" s="200"/>
      <c r="AE229" s="200"/>
      <c r="AF229" s="200"/>
      <c r="AG229" s="200"/>
      <c r="AH229" s="200"/>
      <c r="AI229" s="200"/>
      <c r="AJ229" s="200"/>
      <c r="AK229" s="200"/>
      <c r="AL229" s="200"/>
      <c r="AM229" s="200"/>
      <c r="AN229" s="200"/>
      <c r="AO229" s="200"/>
      <c r="AP229" s="200"/>
      <c r="AQ229" s="200"/>
      <c r="AR229" s="200"/>
      <c r="AS229" s="200"/>
      <c r="AT229" s="200"/>
      <c r="AU229" s="200"/>
      <c r="AV229" s="200"/>
      <c r="AW229" s="200"/>
      <c r="AX229" s="200"/>
      <c r="AY229" s="200"/>
      <c r="AZ229" s="200"/>
      <c r="BA229" s="200"/>
      <c r="BB229" s="200"/>
      <c r="BC229" s="200"/>
      <c r="BD229" s="200"/>
      <c r="BE229" s="200"/>
      <c r="BF229" s="200"/>
      <c r="BG229" s="200"/>
      <c r="BH229" s="200"/>
      <c r="BI229" s="200"/>
      <c r="BJ229" s="200"/>
      <c r="BK229" s="200"/>
      <c r="BL229" s="200"/>
      <c r="BM229" s="200"/>
      <c r="BO229" s="206" t="str">
        <f t="shared" si="3930"/>
        <v>Fertilizers</v>
      </c>
      <c r="BP229" s="200"/>
      <c r="BQ229" s="200"/>
      <c r="BR229" s="200"/>
      <c r="BS229" s="200"/>
      <c r="BT229" s="200"/>
      <c r="BV229" s="206" t="str">
        <f t="shared" si="3931"/>
        <v>Fertilizers</v>
      </c>
      <c r="BW229" s="200"/>
      <c r="BX229" s="200"/>
      <c r="BY229" s="200"/>
      <c r="BZ229" s="200"/>
      <c r="CA229" s="200"/>
      <c r="CC229" s="206" t="str">
        <f t="shared" si="3936"/>
        <v>Fertilizers</v>
      </c>
      <c r="CD229" s="200"/>
      <c r="CE229" s="200"/>
      <c r="CF229" s="200"/>
      <c r="CG229" s="200"/>
      <c r="CH229" s="200"/>
      <c r="CJ229" s="206" t="str">
        <f t="shared" si="3941"/>
        <v>Fertilizers</v>
      </c>
      <c r="CK229" s="200"/>
      <c r="CL229" s="200"/>
      <c r="CM229" s="200"/>
      <c r="CN229" s="200"/>
      <c r="CO229" s="200"/>
      <c r="CQ229" s="206" t="str">
        <f t="shared" si="3946"/>
        <v>Fertilizers</v>
      </c>
      <c r="CR229" s="200"/>
      <c r="CS229" s="200"/>
      <c r="CT229" s="200"/>
      <c r="CU229" s="200"/>
      <c r="CV229" s="200"/>
      <c r="CX229" s="206" t="str">
        <f t="shared" si="3951"/>
        <v>Fertilizers</v>
      </c>
      <c r="CY229" s="200"/>
      <c r="CZ229" s="200"/>
      <c r="DA229" s="200"/>
      <c r="DB229" s="200"/>
      <c r="DC229" s="200"/>
      <c r="DE229" s="206" t="str">
        <f t="shared" si="3956"/>
        <v>Fertilizers</v>
      </c>
      <c r="DF229" s="200"/>
      <c r="DG229" s="200"/>
      <c r="DH229" s="200"/>
      <c r="DI229" s="200"/>
      <c r="DJ229" s="200"/>
      <c r="DL229" s="206" t="str">
        <f t="shared" si="3961"/>
        <v>Fertilizers</v>
      </c>
      <c r="DM229" s="200"/>
      <c r="DN229" s="200"/>
      <c r="DO229" s="200"/>
      <c r="DP229" s="200"/>
      <c r="DQ229" s="200"/>
      <c r="DS229" s="206" t="str">
        <f t="shared" si="3966"/>
        <v>Fertilizers</v>
      </c>
      <c r="DT229" s="200"/>
      <c r="DU229" s="200"/>
      <c r="DV229" s="200"/>
      <c r="DW229" s="200"/>
      <c r="DX229" s="200"/>
      <c r="DZ229" s="206" t="str">
        <f t="shared" si="3971"/>
        <v>Fertilizers</v>
      </c>
      <c r="EA229" s="200"/>
      <c r="EB229" s="200"/>
      <c r="EC229" s="200"/>
      <c r="ED229" s="200"/>
      <c r="EE229" s="200"/>
      <c r="EG229" s="206" t="str">
        <f t="shared" si="3976"/>
        <v>Fertilizers</v>
      </c>
      <c r="EH229" s="200"/>
      <c r="EI229" s="200"/>
      <c r="EJ229" s="200"/>
      <c r="EK229" s="200"/>
      <c r="EL229" s="200"/>
      <c r="EN229" s="206" t="str">
        <f t="shared" si="3981"/>
        <v>Fertilizers</v>
      </c>
      <c r="EO229" s="200"/>
      <c r="EP229" s="200"/>
      <c r="EQ229" s="200"/>
      <c r="ER229" s="200"/>
      <c r="ES229" s="200"/>
      <c r="EU229" s="206" t="str">
        <f t="shared" si="3986"/>
        <v>Fertilizers</v>
      </c>
      <c r="EV229" s="200"/>
      <c r="EW229" s="200"/>
      <c r="EX229" s="200"/>
      <c r="EY229" s="200"/>
      <c r="EZ229" s="200"/>
      <c r="FB229" s="206" t="str">
        <f t="shared" si="3991"/>
        <v>Fertilizers</v>
      </c>
      <c r="FC229" s="200"/>
      <c r="FD229" s="200"/>
      <c r="FE229" s="200"/>
      <c r="FF229" s="200"/>
      <c r="FG229" s="200"/>
      <c r="FI229" s="206" t="str">
        <f t="shared" si="3996"/>
        <v>Fertilizers</v>
      </c>
      <c r="FJ229" s="200"/>
      <c r="FK229" s="200"/>
      <c r="FL229" s="200"/>
      <c r="FM229" s="200"/>
      <c r="FN229" s="200"/>
      <c r="FP229" s="206" t="str">
        <f t="shared" si="4001"/>
        <v>Fertilizers</v>
      </c>
      <c r="FQ229" s="200"/>
      <c r="FR229" s="200"/>
      <c r="FS229" s="200"/>
      <c r="FT229" s="200"/>
      <c r="FU229" s="200"/>
      <c r="FW229" s="206" t="str">
        <f t="shared" si="4006"/>
        <v>Fertilizers</v>
      </c>
      <c r="FX229" s="200"/>
      <c r="FY229" s="200"/>
      <c r="FZ229" s="200"/>
      <c r="GA229" s="200"/>
      <c r="GB229" s="200"/>
      <c r="GD229" s="206" t="str">
        <f t="shared" si="4011"/>
        <v>Fertilizers</v>
      </c>
      <c r="GE229" s="200"/>
      <c r="GF229" s="200"/>
      <c r="GG229" s="200"/>
      <c r="GH229" s="200"/>
      <c r="GI229" s="200"/>
      <c r="GK229" s="206" t="str">
        <f t="shared" si="4016"/>
        <v>Fertilizers</v>
      </c>
      <c r="GL229" s="200"/>
      <c r="GM229" s="200"/>
      <c r="GN229" s="200"/>
      <c r="GO229" s="200"/>
      <c r="GP229" s="200"/>
      <c r="GR229" s="206" t="str">
        <f t="shared" si="4021"/>
        <v>Fertilizers</v>
      </c>
      <c r="GS229" s="200"/>
      <c r="GT229" s="200"/>
      <c r="GU229" s="200"/>
      <c r="GV229" s="200"/>
      <c r="GW229" s="200"/>
      <c r="GY229" s="206" t="str">
        <f t="shared" si="4026"/>
        <v>Fertilizers</v>
      </c>
      <c r="GZ229" s="200"/>
      <c r="HA229" s="200"/>
      <c r="HB229" s="200"/>
      <c r="HC229" s="200"/>
      <c r="HD229" s="200"/>
      <c r="HF229" s="206" t="str">
        <f t="shared" si="4031"/>
        <v>Fertilizers</v>
      </c>
      <c r="HG229" s="200"/>
      <c r="HH229" s="200"/>
      <c r="HI229" s="200"/>
      <c r="HJ229" s="200"/>
      <c r="HK229" s="200"/>
      <c r="HM229" s="206" t="str">
        <f t="shared" si="4036"/>
        <v>Fertilizers</v>
      </c>
      <c r="HN229" s="200"/>
      <c r="HO229" s="200"/>
      <c r="HP229" s="200"/>
      <c r="HQ229" s="200"/>
      <c r="HR229" s="200"/>
      <c r="HT229" s="206" t="str">
        <f t="shared" si="4041"/>
        <v>Fertilizers</v>
      </c>
      <c r="HU229" s="200"/>
      <c r="HV229" s="200"/>
      <c r="HW229" s="200"/>
      <c r="HX229" s="200"/>
      <c r="HY229" s="200"/>
      <c r="IA229" s="206" t="str">
        <f t="shared" si="4046"/>
        <v>Fertilizers</v>
      </c>
      <c r="IB229" s="200"/>
      <c r="IC229" s="200"/>
      <c r="ID229" s="200"/>
      <c r="IE229" s="200"/>
      <c r="IF229" s="200"/>
      <c r="IH229" s="206" t="str">
        <f t="shared" si="4051"/>
        <v>Fertilizers</v>
      </c>
      <c r="II229" s="200"/>
      <c r="IJ229" s="200"/>
      <c r="IK229" s="200"/>
      <c r="IL229" s="200"/>
      <c r="IM229" s="200"/>
      <c r="IO229" s="206" t="str">
        <f t="shared" si="4056"/>
        <v>Fertilizers</v>
      </c>
      <c r="IP229" s="200"/>
      <c r="IQ229" s="200"/>
      <c r="IR229" s="200"/>
      <c r="IS229" s="200"/>
      <c r="IT229" s="200"/>
      <c r="IV229" s="206" t="str">
        <f t="shared" si="4061"/>
        <v>Fertilizers</v>
      </c>
      <c r="IW229" s="200"/>
      <c r="IX229" s="200"/>
      <c r="IY229" s="200"/>
      <c r="IZ229" s="200"/>
      <c r="JA229" s="200"/>
      <c r="JC229" s="206" t="str">
        <f t="shared" si="4066"/>
        <v>Fertilizers</v>
      </c>
      <c r="JD229" s="200"/>
      <c r="JE229" s="200"/>
      <c r="JF229" s="200"/>
      <c r="JG229" s="200"/>
      <c r="JH229" s="200"/>
      <c r="JJ229" s="206" t="str">
        <f t="shared" si="4071"/>
        <v>Fertilizers</v>
      </c>
      <c r="JK229" s="200"/>
      <c r="JL229" s="200"/>
      <c r="JM229" s="200"/>
      <c r="JN229" s="200"/>
      <c r="JO229" s="200"/>
      <c r="JQ229" s="206" t="str">
        <f t="shared" si="4076"/>
        <v>Fertilizers</v>
      </c>
      <c r="JR229" s="200"/>
      <c r="JS229" s="200"/>
      <c r="JT229" s="200"/>
      <c r="JU229" s="200"/>
      <c r="JV229" s="200"/>
      <c r="JX229" s="206" t="str">
        <f t="shared" si="4081"/>
        <v>Fertilizers</v>
      </c>
      <c r="JY229" s="200"/>
      <c r="JZ229" s="200"/>
      <c r="KA229" s="200"/>
      <c r="KB229" s="200"/>
      <c r="KC229" s="200"/>
      <c r="KE229" s="206" t="str">
        <f t="shared" si="4086"/>
        <v>Fertilizers</v>
      </c>
      <c r="KF229" s="200"/>
      <c r="KG229" s="200"/>
      <c r="KH229" s="200"/>
      <c r="KI229" s="200"/>
      <c r="KJ229" s="200"/>
      <c r="KL229" s="206" t="str">
        <f t="shared" si="4091"/>
        <v>Fertilizers</v>
      </c>
      <c r="KM229" s="200"/>
      <c r="KN229" s="200"/>
      <c r="KO229" s="200"/>
      <c r="KP229" s="200"/>
      <c r="KQ229" s="200"/>
      <c r="KS229" s="206" t="str">
        <f t="shared" si="4096"/>
        <v>Fertilizers</v>
      </c>
      <c r="KT229" s="200"/>
      <c r="KU229" s="200"/>
      <c r="KV229" s="200"/>
      <c r="KW229" s="200"/>
      <c r="KX229" s="200"/>
      <c r="KZ229" s="206" t="str">
        <f t="shared" si="4101"/>
        <v>Fertilizers</v>
      </c>
      <c r="LA229" s="200"/>
      <c r="LB229" s="200"/>
      <c r="LC229" s="200"/>
      <c r="LD229" s="200"/>
      <c r="LE229" s="193"/>
      <c r="LF229" s="555"/>
      <c r="LG229" s="206" t="str">
        <f t="shared" si="4104"/>
        <v>Fertilizers</v>
      </c>
      <c r="LH229" s="198">
        <f>LH230/LD230-1</f>
        <v>9.0909090909090828E-2</v>
      </c>
      <c r="LI229" s="198">
        <f>LI230/LH230-1</f>
        <v>-2.083333333333337E-2</v>
      </c>
      <c r="LJ229" s="198">
        <f>LJ230/LI230-1</f>
        <v>2.1276595744680771E-2</v>
      </c>
      <c r="LK229" s="198">
        <f>LK230/LJ230-1</f>
        <v>-2.083333333333337E-2</v>
      </c>
      <c r="LL229" s="193"/>
      <c r="LM229" s="555"/>
      <c r="LN229" s="68" t="str">
        <f>$B229</f>
        <v>Fertilizers</v>
      </c>
      <c r="LO229" s="198">
        <f>LO230/LK230-1</f>
        <v>2.1276595744680771E-2</v>
      </c>
      <c r="LP229" s="198">
        <f>LP230/LO230-1</f>
        <v>-6.1458333333334059E-3</v>
      </c>
      <c r="LQ229" s="198">
        <f>LQ230/LP230-1</f>
        <v>3.6369353317262432E-2</v>
      </c>
      <c r="LR229" s="198">
        <f>LR230/LQ230-1</f>
        <v>-1.820388349514479E-3</v>
      </c>
      <c r="LS229" s="193"/>
      <c r="LT229" s="555"/>
      <c r="LU229" s="68" t="str">
        <f>$B229</f>
        <v>Fertilizers</v>
      </c>
      <c r="LV229" s="198">
        <f>LV230/LR230-1</f>
        <v>1.1550151975683987E-2</v>
      </c>
      <c r="LW229" s="198">
        <f>LW230/LV230-1</f>
        <v>-6.1458333333334059E-3</v>
      </c>
      <c r="LX229" s="198">
        <f>LX230/LW230-1</f>
        <v>6.4740835100336458E-3</v>
      </c>
      <c r="LY229" s="198">
        <f>LY230/LX230-1</f>
        <v>-1.1703354801499422E-2</v>
      </c>
      <c r="LZ229" s="193"/>
      <c r="MA229" s="555"/>
      <c r="MB229" s="68" t="str">
        <f>$B229</f>
        <v>Fertilizers</v>
      </c>
      <c r="MC229" s="198">
        <f>MC230/LY230-1</f>
        <v>3.1781155015197626E-2</v>
      </c>
      <c r="MD229" s="198">
        <f>MD230/MC230-1</f>
        <v>-1.5889501633986947E-2</v>
      </c>
      <c r="ME229" s="198">
        <f>ME230/MD230-1</f>
        <v>-3.4910064257094309E-3</v>
      </c>
      <c r="MF229" s="198">
        <f>MF230/ME230-1</f>
        <v>-9.2326131885033247E-3</v>
      </c>
      <c r="MG229" s="193"/>
      <c r="MH229" s="555"/>
    </row>
    <row r="230" spans="1:346" s="37" customFormat="1" ht="13.15" x14ac:dyDescent="0.4">
      <c r="A230" s="100"/>
      <c r="B230" s="37" t="s">
        <v>342</v>
      </c>
      <c r="C230" s="186"/>
      <c r="D230" s="186"/>
      <c r="E230" s="186"/>
      <c r="F230" s="186"/>
      <c r="G230" s="186"/>
      <c r="H230" s="186"/>
      <c r="I230" s="186"/>
      <c r="J230" s="186"/>
      <c r="K230" s="186"/>
      <c r="L230" s="186"/>
      <c r="M230" s="186"/>
      <c r="N230" s="194">
        <f t="shared" ref="N230:AY230" si="4304">N75</f>
        <v>518</v>
      </c>
      <c r="O230" s="194">
        <f t="shared" si="4304"/>
        <v>501</v>
      </c>
      <c r="P230" s="194">
        <f t="shared" si="4304"/>
        <v>475</v>
      </c>
      <c r="Q230" s="194">
        <f t="shared" si="4304"/>
        <v>457</v>
      </c>
      <c r="R230" s="194">
        <f t="shared" si="4304"/>
        <v>423</v>
      </c>
      <c r="S230" s="194">
        <f t="shared" si="4304"/>
        <v>470</v>
      </c>
      <c r="T230" s="194">
        <f t="shared" si="4304"/>
        <v>512</v>
      </c>
      <c r="U230" s="194">
        <f t="shared" si="4304"/>
        <v>511</v>
      </c>
      <c r="V230" s="194">
        <f t="shared" si="4304"/>
        <v>506</v>
      </c>
      <c r="W230" s="194">
        <f t="shared" si="4304"/>
        <v>539</v>
      </c>
      <c r="X230" s="194">
        <f t="shared" si="4304"/>
        <v>527</v>
      </c>
      <c r="Y230" s="194">
        <f t="shared" si="4304"/>
        <v>487</v>
      </c>
      <c r="Z230" s="194">
        <f t="shared" si="4304"/>
        <v>441</v>
      </c>
      <c r="AA230" s="194">
        <f t="shared" si="4304"/>
        <v>463</v>
      </c>
      <c r="AB230" s="194">
        <f t="shared" si="4304"/>
        <v>460</v>
      </c>
      <c r="AC230" s="194">
        <f t="shared" si="4304"/>
        <v>471</v>
      </c>
      <c r="AD230" s="194">
        <f t="shared" si="4304"/>
        <v>444</v>
      </c>
      <c r="AE230" s="194">
        <f t="shared" si="4304"/>
        <v>362</v>
      </c>
      <c r="AF230" s="194">
        <f t="shared" si="4304"/>
        <v>363</v>
      </c>
      <c r="AG230" s="194">
        <f t="shared" si="4304"/>
        <v>335</v>
      </c>
      <c r="AH230" s="194">
        <f t="shared" si="4304"/>
        <v>289</v>
      </c>
      <c r="AI230" s="194">
        <f t="shared" si="4304"/>
        <v>313</v>
      </c>
      <c r="AJ230" s="194">
        <f t="shared" si="4304"/>
        <v>321</v>
      </c>
      <c r="AK230" s="194">
        <f t="shared" si="4304"/>
        <v>321</v>
      </c>
      <c r="AL230" s="194">
        <f t="shared" si="4304"/>
        <v>327</v>
      </c>
      <c r="AM230" s="194">
        <f t="shared" si="4304"/>
        <v>330</v>
      </c>
      <c r="AN230" s="194">
        <f t="shared" si="4304"/>
        <v>301</v>
      </c>
      <c r="AO230" s="194">
        <f t="shared" si="4304"/>
        <v>283</v>
      </c>
      <c r="AP230" s="194">
        <f t="shared" si="4304"/>
        <v>291</v>
      </c>
      <c r="AQ230" s="194">
        <f t="shared" si="4304"/>
        <v>248</v>
      </c>
      <c r="AR230" s="194">
        <f t="shared" si="4304"/>
        <v>243</v>
      </c>
      <c r="AS230" s="194">
        <f t="shared" si="4304"/>
        <v>234</v>
      </c>
      <c r="AT230" s="194">
        <f t="shared" si="4304"/>
        <v>229</v>
      </c>
      <c r="AU230" s="194">
        <f t="shared" si="4304"/>
        <v>203</v>
      </c>
      <c r="AV230" s="194">
        <f t="shared" si="4304"/>
        <v>199</v>
      </c>
      <c r="AW230" s="194">
        <f t="shared" si="4304"/>
        <v>186</v>
      </c>
      <c r="AX230" s="194">
        <f t="shared" si="4304"/>
        <v>190</v>
      </c>
      <c r="AY230" s="194">
        <f t="shared" si="4304"/>
        <v>194.49499999999998</v>
      </c>
      <c r="AZ230" s="194">
        <f t="shared" ref="AZ230:BA230" si="4305">AZ75</f>
        <v>198.8176</v>
      </c>
      <c r="BA230" s="194">
        <f t="shared" si="4305"/>
        <v>200.435507</v>
      </c>
      <c r="BB230" s="194"/>
      <c r="BC230" s="194"/>
      <c r="BD230" s="194"/>
      <c r="BE230" s="194"/>
      <c r="BF230" s="194"/>
      <c r="BG230" s="194"/>
      <c r="BH230" s="194"/>
      <c r="BI230" s="194"/>
      <c r="BJ230" s="194"/>
      <c r="BK230" s="194"/>
      <c r="BL230" s="194"/>
      <c r="BM230" s="194"/>
      <c r="BO230" s="37" t="str">
        <f t="shared" si="3930"/>
        <v>Carloads (000s)</v>
      </c>
      <c r="BP230" s="195">
        <f>BP75</f>
        <v>138</v>
      </c>
      <c r="BQ230" s="195">
        <f>BQ75</f>
        <v>131</v>
      </c>
      <c r="BR230" s="195">
        <f>BR75</f>
        <v>125</v>
      </c>
      <c r="BS230" s="195">
        <f>BS75</f>
        <v>124</v>
      </c>
      <c r="BT230" s="195">
        <f>BT75</f>
        <v>518</v>
      </c>
      <c r="BV230" s="37" t="str">
        <f t="shared" si="3931"/>
        <v>Carloads (000s)</v>
      </c>
      <c r="BW230" s="195">
        <f>BW75</f>
        <v>132</v>
      </c>
      <c r="BX230" s="195">
        <f>BX75</f>
        <v>133</v>
      </c>
      <c r="BY230" s="195">
        <f>BY75</f>
        <v>115</v>
      </c>
      <c r="BZ230" s="195">
        <f>BZ75</f>
        <v>121</v>
      </c>
      <c r="CA230" s="195">
        <f>CA75</f>
        <v>501</v>
      </c>
      <c r="CC230" s="37" t="str">
        <f t="shared" si="3936"/>
        <v>Carloads (000s)</v>
      </c>
      <c r="CD230" s="195">
        <f>CD75</f>
        <v>124</v>
      </c>
      <c r="CE230" s="195">
        <f>CE75</f>
        <v>116</v>
      </c>
      <c r="CF230" s="195">
        <f>CF75</f>
        <v>116</v>
      </c>
      <c r="CG230" s="195">
        <f>CG75</f>
        <v>119</v>
      </c>
      <c r="CH230" s="195">
        <f>CH75</f>
        <v>475</v>
      </c>
      <c r="CJ230" s="37" t="str">
        <f t="shared" si="3941"/>
        <v>Carloads (000s)</v>
      </c>
      <c r="CK230" s="195">
        <f>CK75</f>
        <v>120</v>
      </c>
      <c r="CL230" s="195">
        <f>CL75</f>
        <v>123</v>
      </c>
      <c r="CM230" s="195">
        <f>CM75</f>
        <v>105</v>
      </c>
      <c r="CN230" s="195">
        <f>CN75</f>
        <v>109</v>
      </c>
      <c r="CO230" s="195">
        <f>CO75</f>
        <v>457</v>
      </c>
      <c r="CQ230" s="37" t="str">
        <f t="shared" si="3946"/>
        <v>Carloads (000s)</v>
      </c>
      <c r="CR230" s="195">
        <f>CR75</f>
        <v>111</v>
      </c>
      <c r="CS230" s="195">
        <f>CS75</f>
        <v>109</v>
      </c>
      <c r="CT230" s="195">
        <f>CT75</f>
        <v>102</v>
      </c>
      <c r="CU230" s="195">
        <f>CU75</f>
        <v>101</v>
      </c>
      <c r="CV230" s="195">
        <f>CV75</f>
        <v>423</v>
      </c>
      <c r="CX230" s="37" t="str">
        <f t="shared" si="3951"/>
        <v>Carloads (000s)</v>
      </c>
      <c r="CY230" s="195">
        <f>CY75</f>
        <v>113</v>
      </c>
      <c r="CZ230" s="195">
        <f>CZ75</f>
        <v>119</v>
      </c>
      <c r="DA230" s="195">
        <f>DA75</f>
        <v>115</v>
      </c>
      <c r="DB230" s="195">
        <f>DB75</f>
        <v>123</v>
      </c>
      <c r="DC230" s="195">
        <f>DC75</f>
        <v>470</v>
      </c>
      <c r="DE230" s="37" t="str">
        <f t="shared" si="3956"/>
        <v>Carloads (000s)</v>
      </c>
      <c r="DF230" s="195">
        <f>DF75</f>
        <v>136</v>
      </c>
      <c r="DG230" s="195">
        <f>DG75</f>
        <v>126</v>
      </c>
      <c r="DH230" s="195">
        <f>DH75</f>
        <v>123</v>
      </c>
      <c r="DI230" s="195">
        <f>DI75</f>
        <v>127</v>
      </c>
      <c r="DJ230" s="195">
        <f>DJ75</f>
        <v>512</v>
      </c>
      <c r="DL230" s="37" t="str">
        <f t="shared" si="3961"/>
        <v>Carloads (000s)</v>
      </c>
      <c r="DM230" s="195">
        <f>DM75</f>
        <v>130</v>
      </c>
      <c r="DN230" s="195">
        <f>DN75</f>
        <v>128</v>
      </c>
      <c r="DO230" s="195">
        <f>DO75</f>
        <v>128</v>
      </c>
      <c r="DP230" s="195">
        <f>DP75</f>
        <v>125</v>
      </c>
      <c r="DQ230" s="195">
        <f>DQ75</f>
        <v>511</v>
      </c>
      <c r="DS230" s="37" t="str">
        <f t="shared" si="3966"/>
        <v>Carloads (000s)</v>
      </c>
      <c r="DT230" s="195">
        <f>DT75</f>
        <v>125</v>
      </c>
      <c r="DU230" s="195">
        <f>DU75</f>
        <v>129</v>
      </c>
      <c r="DV230" s="195">
        <f>DV75</f>
        <v>121</v>
      </c>
      <c r="DW230" s="195">
        <f>DW75</f>
        <v>131</v>
      </c>
      <c r="DX230" s="195">
        <f>DX75</f>
        <v>506</v>
      </c>
      <c r="DZ230" s="37" t="str">
        <f t="shared" si="3971"/>
        <v>Carloads (000s)</v>
      </c>
      <c r="EA230" s="195">
        <f>EA75</f>
        <v>135</v>
      </c>
      <c r="EB230" s="195">
        <f>EB75</f>
        <v>138</v>
      </c>
      <c r="EC230" s="195">
        <f>EC75</f>
        <v>131</v>
      </c>
      <c r="ED230" s="195">
        <f>ED75</f>
        <v>135</v>
      </c>
      <c r="EE230" s="195">
        <f>EE75</f>
        <v>539</v>
      </c>
      <c r="EG230" s="37" t="str">
        <f t="shared" si="3976"/>
        <v>Carloads (000s)</v>
      </c>
      <c r="EH230" s="195">
        <f>EH75</f>
        <v>148</v>
      </c>
      <c r="EI230" s="195">
        <f>EI75</f>
        <v>128</v>
      </c>
      <c r="EJ230" s="195">
        <f>EJ75</f>
        <v>127</v>
      </c>
      <c r="EK230" s="195">
        <f>EK75</f>
        <v>124</v>
      </c>
      <c r="EL230" s="195">
        <f>EL75</f>
        <v>527</v>
      </c>
      <c r="EN230" s="37" t="str">
        <f t="shared" si="3981"/>
        <v>Carloads (000s)</v>
      </c>
      <c r="EO230" s="195">
        <f>EO75</f>
        <v>131</v>
      </c>
      <c r="EP230" s="195">
        <f>EP75</f>
        <v>123</v>
      </c>
      <c r="EQ230" s="195">
        <f>EQ75</f>
        <v>115</v>
      </c>
      <c r="ER230" s="195">
        <f>ER75</f>
        <v>118</v>
      </c>
      <c r="ES230" s="195">
        <f>ES75</f>
        <v>487</v>
      </c>
      <c r="EU230" s="37" t="str">
        <f t="shared" si="3986"/>
        <v>Carloads (000s)</v>
      </c>
      <c r="EV230" s="195">
        <f>EV75</f>
        <v>119</v>
      </c>
      <c r="EW230" s="195">
        <f>EW75</f>
        <v>105</v>
      </c>
      <c r="EX230" s="195">
        <f>EX75</f>
        <v>101</v>
      </c>
      <c r="EY230" s="195">
        <f>EY75</f>
        <v>116</v>
      </c>
      <c r="EZ230" s="195">
        <f>EZ75</f>
        <v>441</v>
      </c>
      <c r="FB230" s="37" t="str">
        <f t="shared" si="3991"/>
        <v>Carloads (000s)</v>
      </c>
      <c r="FC230" s="195">
        <f>FC75</f>
        <v>119</v>
      </c>
      <c r="FD230" s="195">
        <f>FD75</f>
        <v>119</v>
      </c>
      <c r="FE230" s="195">
        <f>FE75</f>
        <v>113</v>
      </c>
      <c r="FF230" s="195">
        <f>FF75</f>
        <v>112</v>
      </c>
      <c r="FG230" s="195">
        <f>FG75</f>
        <v>463</v>
      </c>
      <c r="FI230" s="37" t="str">
        <f t="shared" si="3996"/>
        <v>Carloads (000s)</v>
      </c>
      <c r="FJ230" s="195">
        <f>FJ75</f>
        <v>117</v>
      </c>
      <c r="FK230" s="195">
        <f>FK75</f>
        <v>113</v>
      </c>
      <c r="FL230" s="195">
        <f>FL75</f>
        <v>114</v>
      </c>
      <c r="FM230" s="195">
        <f>FM75</f>
        <v>116</v>
      </c>
      <c r="FN230" s="195">
        <f>FN75</f>
        <v>460</v>
      </c>
      <c r="FP230" s="37" t="str">
        <f t="shared" si="4001"/>
        <v>Carloads (000s)</v>
      </c>
      <c r="FQ230" s="195">
        <f>FQ75</f>
        <v>120</v>
      </c>
      <c r="FR230" s="195">
        <f>FR75</f>
        <v>121</v>
      </c>
      <c r="FS230" s="195">
        <f>FS75</f>
        <v>107</v>
      </c>
      <c r="FT230" s="195">
        <f>FT75</f>
        <v>123</v>
      </c>
      <c r="FU230" s="195">
        <f>FU75</f>
        <v>471</v>
      </c>
      <c r="FW230" s="37" t="str">
        <f t="shared" si="4006"/>
        <v>Carloads (000s)</v>
      </c>
      <c r="FX230" s="195">
        <f>FX75</f>
        <v>117</v>
      </c>
      <c r="FY230" s="195">
        <f>FY75</f>
        <v>117</v>
      </c>
      <c r="FZ230" s="195">
        <f>FZ75</f>
        <v>111</v>
      </c>
      <c r="GA230" s="195">
        <f>GA75</f>
        <v>99</v>
      </c>
      <c r="GB230" s="195">
        <f>GB75</f>
        <v>444</v>
      </c>
      <c r="GD230" s="37" t="str">
        <f t="shared" si="4011"/>
        <v>Carloads (000s)</v>
      </c>
      <c r="GE230" s="195">
        <f>GE75</f>
        <v>88</v>
      </c>
      <c r="GF230" s="195">
        <f>GF75</f>
        <v>94</v>
      </c>
      <c r="GG230" s="195">
        <f>GG75</f>
        <v>93</v>
      </c>
      <c r="GH230" s="195">
        <f>GH75</f>
        <v>87</v>
      </c>
      <c r="GI230" s="195">
        <f>GI75</f>
        <v>362</v>
      </c>
      <c r="GK230" s="37" t="str">
        <f t="shared" si="4016"/>
        <v>Carloads (000s)</v>
      </c>
      <c r="GL230" s="195">
        <f>GL75</f>
        <v>92</v>
      </c>
      <c r="GM230" s="195">
        <f>GM75</f>
        <v>89</v>
      </c>
      <c r="GN230" s="195">
        <f>GN75</f>
        <v>90</v>
      </c>
      <c r="GO230" s="195">
        <f>GO75</f>
        <v>92</v>
      </c>
      <c r="GP230" s="195">
        <f>GP75</f>
        <v>363</v>
      </c>
      <c r="GR230" s="37" t="str">
        <f t="shared" si="4021"/>
        <v>Carloads (000s)</v>
      </c>
      <c r="GS230" s="195">
        <f>GS75</f>
        <v>91</v>
      </c>
      <c r="GT230" s="195">
        <f>GT75</f>
        <v>91</v>
      </c>
      <c r="GU230" s="195">
        <f>GU75</f>
        <v>87</v>
      </c>
      <c r="GV230" s="195">
        <f>GV75</f>
        <v>66</v>
      </c>
      <c r="GW230" s="195">
        <f>GW75</f>
        <v>335</v>
      </c>
      <c r="GY230" s="37" t="str">
        <f t="shared" si="4026"/>
        <v>Carloads (000s)</v>
      </c>
      <c r="GZ230" s="195">
        <f>GZ75</f>
        <v>60</v>
      </c>
      <c r="HA230" s="195">
        <f>HA75</f>
        <v>74</v>
      </c>
      <c r="HB230" s="195">
        <f>HB75</f>
        <v>77</v>
      </c>
      <c r="HC230" s="195">
        <f>HC75</f>
        <v>78</v>
      </c>
      <c r="HD230" s="195">
        <f>HD75</f>
        <v>289</v>
      </c>
      <c r="HF230" s="37" t="str">
        <f t="shared" si="4031"/>
        <v>Carloads (000s)</v>
      </c>
      <c r="HG230" s="195">
        <f>HG75</f>
        <v>79</v>
      </c>
      <c r="HH230" s="195">
        <f>HH75</f>
        <v>80</v>
      </c>
      <c r="HI230" s="195">
        <f>HI75</f>
        <v>78</v>
      </c>
      <c r="HJ230" s="195">
        <f>HJ75</f>
        <v>76</v>
      </c>
      <c r="HK230" s="195">
        <f>HK75</f>
        <v>313</v>
      </c>
      <c r="HM230" s="37" t="str">
        <f t="shared" si="4036"/>
        <v>Carloads (000s)</v>
      </c>
      <c r="HN230" s="195">
        <f>HN75</f>
        <v>83</v>
      </c>
      <c r="HO230" s="195">
        <f>HO75</f>
        <v>80</v>
      </c>
      <c r="HP230" s="195">
        <f>HP75</f>
        <v>80</v>
      </c>
      <c r="HQ230" s="195">
        <f>HQ75</f>
        <v>78</v>
      </c>
      <c r="HR230" s="195">
        <f>HR75</f>
        <v>321</v>
      </c>
      <c r="HT230" s="37" t="str">
        <f t="shared" si="4041"/>
        <v>Carloads (000s)</v>
      </c>
      <c r="HU230" s="195">
        <f>HU75</f>
        <v>80</v>
      </c>
      <c r="HV230" s="195">
        <f>HV75</f>
        <v>79</v>
      </c>
      <c r="HW230" s="195">
        <f>HW75</f>
        <v>80</v>
      </c>
      <c r="HX230" s="195">
        <f>HX75</f>
        <v>82</v>
      </c>
      <c r="HY230" s="195">
        <f>HY75</f>
        <v>321</v>
      </c>
      <c r="IA230" s="37" t="str">
        <f t="shared" si="4046"/>
        <v>Carloads (000s)</v>
      </c>
      <c r="IB230" s="195">
        <f>IB75</f>
        <v>84</v>
      </c>
      <c r="IC230" s="195">
        <f>IC75</f>
        <v>86</v>
      </c>
      <c r="ID230" s="195">
        <f>ID75</f>
        <v>80</v>
      </c>
      <c r="IE230" s="195">
        <f>IE75</f>
        <v>77</v>
      </c>
      <c r="IF230" s="195">
        <f>IF75</f>
        <v>327</v>
      </c>
      <c r="IH230" s="37" t="str">
        <f t="shared" si="4051"/>
        <v>Carloads (000s)</v>
      </c>
      <c r="II230" s="195">
        <f>II75</f>
        <v>83</v>
      </c>
      <c r="IJ230" s="195">
        <f>IJ75</f>
        <v>86</v>
      </c>
      <c r="IK230" s="195">
        <f>IK75</f>
        <v>82</v>
      </c>
      <c r="IL230" s="195">
        <f>IL75</f>
        <v>79</v>
      </c>
      <c r="IM230" s="195">
        <f>IM75</f>
        <v>330</v>
      </c>
      <c r="IO230" s="37" t="str">
        <f t="shared" si="4056"/>
        <v>Carloads (000s)</v>
      </c>
      <c r="IP230" s="195">
        <f>IP75</f>
        <v>78</v>
      </c>
      <c r="IQ230" s="195">
        <f>IQ75</f>
        <v>78</v>
      </c>
      <c r="IR230" s="195">
        <f>IR75</f>
        <v>71</v>
      </c>
      <c r="IS230" s="195">
        <f>IS75</f>
        <v>74</v>
      </c>
      <c r="IT230" s="195">
        <f>IT75</f>
        <v>301</v>
      </c>
      <c r="IV230" s="37" t="str">
        <f t="shared" si="4061"/>
        <v>Carloads (000s)</v>
      </c>
      <c r="IW230" s="195">
        <f>IW75</f>
        <v>76</v>
      </c>
      <c r="IX230" s="195">
        <f>IX75</f>
        <v>72</v>
      </c>
      <c r="IY230" s="195">
        <f>IY75</f>
        <v>72</v>
      </c>
      <c r="IZ230" s="195">
        <f>IZ75</f>
        <v>63</v>
      </c>
      <c r="JA230" s="195">
        <f>JA75</f>
        <v>283</v>
      </c>
      <c r="JC230" s="37" t="str">
        <f t="shared" si="4066"/>
        <v>Carloads (000s)</v>
      </c>
      <c r="JD230" s="195">
        <f>JD75</f>
        <v>77</v>
      </c>
      <c r="JE230" s="195">
        <f>JE75</f>
        <v>78</v>
      </c>
      <c r="JF230" s="195">
        <f>JF75</f>
        <v>68</v>
      </c>
      <c r="JG230" s="195">
        <f>JG75</f>
        <v>68</v>
      </c>
      <c r="JH230" s="195">
        <f>JH75</f>
        <v>291</v>
      </c>
      <c r="JJ230" s="37" t="str">
        <f t="shared" si="4071"/>
        <v>Carloads (000s)</v>
      </c>
      <c r="JK230" s="195">
        <f>JK75</f>
        <v>64</v>
      </c>
      <c r="JL230" s="195">
        <f>JL75</f>
        <v>64</v>
      </c>
      <c r="JM230" s="195">
        <f>JM75</f>
        <v>60</v>
      </c>
      <c r="JN230" s="195">
        <f>JN75</f>
        <v>60</v>
      </c>
      <c r="JO230" s="195">
        <f>JO75</f>
        <v>248</v>
      </c>
      <c r="JQ230" s="37" t="str">
        <f t="shared" si="4076"/>
        <v>Carloads (000s)</v>
      </c>
      <c r="JR230" s="195">
        <f>JR75</f>
        <v>62</v>
      </c>
      <c r="JS230" s="195">
        <f>JS75</f>
        <v>61</v>
      </c>
      <c r="JT230" s="195">
        <f>JT75</f>
        <v>60</v>
      </c>
      <c r="JU230" s="195">
        <f>JU75</f>
        <v>60</v>
      </c>
      <c r="JV230" s="195">
        <f>JV75</f>
        <v>243</v>
      </c>
      <c r="JX230" s="37" t="str">
        <f t="shared" si="4081"/>
        <v>Carloads (000s)</v>
      </c>
      <c r="JY230" s="195">
        <f>JY75</f>
        <v>58</v>
      </c>
      <c r="JZ230" s="195">
        <f>JZ75</f>
        <v>60</v>
      </c>
      <c r="KA230" s="195">
        <f>KA75</f>
        <v>57</v>
      </c>
      <c r="KB230" s="195">
        <f>KB75</f>
        <v>59</v>
      </c>
      <c r="KC230" s="195">
        <f>KC75</f>
        <v>234</v>
      </c>
      <c r="KE230" s="37" t="str">
        <f t="shared" si="4086"/>
        <v>Carloads (000s)</v>
      </c>
      <c r="KF230" s="195">
        <f>KF75</f>
        <v>57</v>
      </c>
      <c r="KG230" s="195">
        <f>KG75</f>
        <v>62</v>
      </c>
      <c r="KH230" s="195">
        <f>KH75</f>
        <v>54</v>
      </c>
      <c r="KI230" s="195">
        <f>KI75</f>
        <v>56</v>
      </c>
      <c r="KJ230" s="195">
        <f>KJ75</f>
        <v>229</v>
      </c>
      <c r="KL230" s="37" t="str">
        <f t="shared" si="4091"/>
        <v>Carloads (000s)</v>
      </c>
      <c r="KM230" s="195">
        <f>KM75</f>
        <v>56</v>
      </c>
      <c r="KN230" s="195">
        <f>KN75</f>
        <v>54</v>
      </c>
      <c r="KO230" s="195">
        <f>KO75</f>
        <v>48</v>
      </c>
      <c r="KP230" s="195">
        <f>KP75</f>
        <v>45</v>
      </c>
      <c r="KQ230" s="195">
        <f>KQ75</f>
        <v>203</v>
      </c>
      <c r="KS230" s="37" t="str">
        <f t="shared" si="4096"/>
        <v>Carloads (000s)</v>
      </c>
      <c r="KT230" s="195">
        <f>KT75</f>
        <v>50</v>
      </c>
      <c r="KU230" s="195">
        <f>KU75</f>
        <v>55</v>
      </c>
      <c r="KV230" s="195">
        <f>KV75</f>
        <v>47</v>
      </c>
      <c r="KW230" s="195">
        <f>KW75</f>
        <v>47</v>
      </c>
      <c r="KX230" s="195">
        <f>KX75</f>
        <v>199</v>
      </c>
      <c r="KZ230" s="37" t="str">
        <f t="shared" si="4101"/>
        <v>Carloads (000s)</v>
      </c>
      <c r="LA230" s="195">
        <f>LA75</f>
        <v>47</v>
      </c>
      <c r="LB230" s="195">
        <f>LB75</f>
        <v>50</v>
      </c>
      <c r="LC230" s="195">
        <f>LC75</f>
        <v>45</v>
      </c>
      <c r="LD230" s="195">
        <f>LD75</f>
        <v>44</v>
      </c>
      <c r="LE230" s="196">
        <f>SUM(LA230:LD230)</f>
        <v>186</v>
      </c>
      <c r="LF230" s="573"/>
      <c r="LG230" s="37" t="str">
        <f t="shared" si="4104"/>
        <v>Carloads (000s)</v>
      </c>
      <c r="LH230" s="195">
        <f>LH75</f>
        <v>48</v>
      </c>
      <c r="LI230" s="195">
        <f>LI75</f>
        <v>47</v>
      </c>
      <c r="LJ230" s="195">
        <f>LJ75</f>
        <v>48</v>
      </c>
      <c r="LK230" s="195">
        <f>LK75</f>
        <v>47</v>
      </c>
      <c r="LL230" s="196">
        <f>SUM(LH230:LK230)</f>
        <v>190</v>
      </c>
      <c r="LM230" s="573"/>
      <c r="LN230" s="37" t="str">
        <f t="shared" si="4106"/>
        <v>Carloads (000s)</v>
      </c>
      <c r="LO230" s="196">
        <f>(LH230)*(1+LO231)</f>
        <v>48</v>
      </c>
      <c r="LP230" s="196">
        <f t="shared" ref="LP230" si="4306">(LI230)*(1+LP231)</f>
        <v>47.704999999999998</v>
      </c>
      <c r="LQ230" s="196">
        <f t="shared" ref="LQ230" si="4307">(LJ230)*(1+LQ231)</f>
        <v>49.44</v>
      </c>
      <c r="LR230" s="196">
        <f t="shared" ref="LR230" si="4308">(LK230)*(1+LR231)</f>
        <v>49.35</v>
      </c>
      <c r="LS230" s="196">
        <f>SUM(LO230:LR230)</f>
        <v>194.49499999999998</v>
      </c>
      <c r="LT230" s="573"/>
      <c r="LU230" s="37" t="str">
        <f t="shared" si="1261"/>
        <v>Carloads (000s)</v>
      </c>
      <c r="LV230" s="196">
        <f>(LO230)*(1+LV231)</f>
        <v>49.92</v>
      </c>
      <c r="LW230" s="196">
        <f t="shared" ref="LW230" si="4309">(LP230)*(1+LW231)</f>
        <v>49.613199999999999</v>
      </c>
      <c r="LX230" s="196">
        <f t="shared" ref="LX230" si="4310">(LQ230)*(1+LX231)</f>
        <v>49.934399999999997</v>
      </c>
      <c r="LY230" s="196">
        <f t="shared" ref="LY230" si="4311">(LR230)*(1+LY231)</f>
        <v>49.35</v>
      </c>
      <c r="LZ230" s="196">
        <f>SUM(LV230:LY230)</f>
        <v>198.8176</v>
      </c>
      <c r="MA230" s="573"/>
      <c r="MB230" s="37" t="str">
        <f t="shared" si="1265"/>
        <v>Carloads (000s)</v>
      </c>
      <c r="MC230" s="196">
        <f>(LV230)*(1+MC231)</f>
        <v>50.918400000000005</v>
      </c>
      <c r="MD230" s="196">
        <f t="shared" ref="MD230" si="4312">(LW230)*(1+MD231)</f>
        <v>50.109332000000002</v>
      </c>
      <c r="ME230" s="196">
        <f t="shared" ref="ME230" si="4313">(LX230)*(1+ME231)</f>
        <v>49.934399999999997</v>
      </c>
      <c r="MF230" s="196">
        <f t="shared" ref="MF230" si="4314">(LY230)*(1+MF231)</f>
        <v>49.473374999999997</v>
      </c>
      <c r="MG230" s="196">
        <f>SUM(MC230:MF230)</f>
        <v>200.435507</v>
      </c>
      <c r="MH230" s="573"/>
    </row>
    <row r="231" spans="1:346" s="37" customFormat="1" ht="13.15" x14ac:dyDescent="0.4">
      <c r="A231" s="100"/>
      <c r="B231" s="197" t="s">
        <v>516</v>
      </c>
      <c r="C231" s="186"/>
      <c r="D231" s="186"/>
      <c r="E231" s="186"/>
      <c r="F231" s="186"/>
      <c r="G231" s="186"/>
      <c r="H231" s="186"/>
      <c r="I231" s="186"/>
      <c r="J231" s="186"/>
      <c r="K231" s="186"/>
      <c r="L231" s="186"/>
      <c r="M231" s="186"/>
      <c r="N231" s="193"/>
      <c r="O231" s="198">
        <f>O230/N230-1</f>
        <v>-3.2818532818532864E-2</v>
      </c>
      <c r="P231" s="198">
        <f t="shared" ref="P231:BA231" si="4315">P230/O230-1</f>
        <v>-5.1896207584830378E-2</v>
      </c>
      <c r="Q231" s="198">
        <f t="shared" si="4315"/>
        <v>-3.7894736842105314E-2</v>
      </c>
      <c r="R231" s="198">
        <f t="shared" si="4315"/>
        <v>-7.4398249452954035E-2</v>
      </c>
      <c r="S231" s="198">
        <f t="shared" si="4315"/>
        <v>0.11111111111111116</v>
      </c>
      <c r="T231" s="198">
        <f t="shared" si="4315"/>
        <v>8.9361702127659592E-2</v>
      </c>
      <c r="U231" s="198">
        <f t="shared" si="4315"/>
        <v>-1.953125E-3</v>
      </c>
      <c r="V231" s="198">
        <f t="shared" si="4315"/>
        <v>-9.7847358121331274E-3</v>
      </c>
      <c r="W231" s="198">
        <f t="shared" si="4315"/>
        <v>6.5217391304347894E-2</v>
      </c>
      <c r="X231" s="198">
        <f t="shared" si="4315"/>
        <v>-2.2263450834879461E-2</v>
      </c>
      <c r="Y231" s="198">
        <f t="shared" si="4315"/>
        <v>-7.5901328273244806E-2</v>
      </c>
      <c r="Z231" s="198">
        <f t="shared" si="4315"/>
        <v>-9.4455852156057452E-2</v>
      </c>
      <c r="AA231" s="198">
        <f t="shared" si="4315"/>
        <v>4.9886621315192725E-2</v>
      </c>
      <c r="AB231" s="198">
        <f t="shared" si="4315"/>
        <v>-6.4794816414687206E-3</v>
      </c>
      <c r="AC231" s="198">
        <f t="shared" si="4315"/>
        <v>2.3913043478260843E-2</v>
      </c>
      <c r="AD231" s="198">
        <f t="shared" si="4315"/>
        <v>-5.7324840764331197E-2</v>
      </c>
      <c r="AE231" s="198">
        <f t="shared" si="4315"/>
        <v>-0.18468468468468469</v>
      </c>
      <c r="AF231" s="198">
        <f t="shared" si="4315"/>
        <v>2.7624309392264568E-3</v>
      </c>
      <c r="AG231" s="198">
        <f t="shared" si="4315"/>
        <v>-7.7134986225895319E-2</v>
      </c>
      <c r="AH231" s="198">
        <f t="shared" si="4315"/>
        <v>-0.13731343283582087</v>
      </c>
      <c r="AI231" s="198">
        <f t="shared" si="4315"/>
        <v>8.3044982698961878E-2</v>
      </c>
      <c r="AJ231" s="198">
        <f t="shared" si="4315"/>
        <v>2.5559105431310014E-2</v>
      </c>
      <c r="AK231" s="198">
        <f t="shared" si="4315"/>
        <v>0</v>
      </c>
      <c r="AL231" s="198">
        <f t="shared" si="4315"/>
        <v>1.8691588785046731E-2</v>
      </c>
      <c r="AM231" s="198">
        <f t="shared" si="4315"/>
        <v>9.1743119266054496E-3</v>
      </c>
      <c r="AN231" s="198">
        <f t="shared" si="4315"/>
        <v>-8.787878787878789E-2</v>
      </c>
      <c r="AO231" s="198">
        <f t="shared" si="4315"/>
        <v>-5.980066445182719E-2</v>
      </c>
      <c r="AP231" s="198">
        <f t="shared" si="4315"/>
        <v>2.8268551236749095E-2</v>
      </c>
      <c r="AQ231" s="198">
        <f t="shared" si="4315"/>
        <v>-0.14776632302405501</v>
      </c>
      <c r="AR231" s="198">
        <f t="shared" si="4315"/>
        <v>-2.0161290322580627E-2</v>
      </c>
      <c r="AS231" s="198">
        <f t="shared" si="4315"/>
        <v>-3.703703703703709E-2</v>
      </c>
      <c r="AT231" s="198">
        <f t="shared" si="4315"/>
        <v>-2.1367521367521403E-2</v>
      </c>
      <c r="AU231" s="198">
        <f t="shared" si="4315"/>
        <v>-0.11353711790393017</v>
      </c>
      <c r="AV231" s="198">
        <f t="shared" si="4315"/>
        <v>-1.9704433497536922E-2</v>
      </c>
      <c r="AW231" s="198">
        <f t="shared" si="4315"/>
        <v>-6.5326633165829096E-2</v>
      </c>
      <c r="AX231" s="198">
        <f t="shared" si="4315"/>
        <v>2.1505376344086002E-2</v>
      </c>
      <c r="AY231" s="198">
        <f t="shared" si="4315"/>
        <v>2.3657894736841989E-2</v>
      </c>
      <c r="AZ231" s="198">
        <f t="shared" si="4315"/>
        <v>2.222473585439233E-2</v>
      </c>
      <c r="BA231" s="198">
        <f t="shared" si="4315"/>
        <v>8.1376447557963694E-3</v>
      </c>
      <c r="BB231" s="198"/>
      <c r="BC231" s="198"/>
      <c r="BD231" s="198"/>
      <c r="BE231" s="198"/>
      <c r="BF231" s="198"/>
      <c r="BG231" s="198"/>
      <c r="BH231" s="198"/>
      <c r="BI231" s="198"/>
      <c r="BJ231" s="198"/>
      <c r="BK231" s="198"/>
      <c r="BL231" s="198"/>
      <c r="BM231" s="198"/>
      <c r="BO231" s="197" t="str">
        <f t="shared" si="3930"/>
        <v>YoY Change (%)</v>
      </c>
      <c r="BP231" s="193"/>
      <c r="BQ231" s="193"/>
      <c r="BR231" s="193"/>
      <c r="BS231" s="193"/>
      <c r="BT231" s="193"/>
      <c r="BV231" s="197" t="str">
        <f t="shared" si="3931"/>
        <v>YoY Change (%)</v>
      </c>
      <c r="BW231" s="198">
        <f>BW230/BP230-1</f>
        <v>-4.3478260869565188E-2</v>
      </c>
      <c r="BX231" s="198">
        <f t="shared" ref="BX231" si="4316">BX230/BQ230-1</f>
        <v>1.5267175572519109E-2</v>
      </c>
      <c r="BY231" s="198">
        <f t="shared" ref="BY231" si="4317">BY230/BR230-1</f>
        <v>-7.999999999999996E-2</v>
      </c>
      <c r="BZ231" s="198">
        <f t="shared" ref="BZ231" si="4318">BZ230/BS230-1</f>
        <v>-2.4193548387096753E-2</v>
      </c>
      <c r="CA231" s="198">
        <f t="shared" ref="CA231" si="4319">CA230/BT230-1</f>
        <v>-3.2818532818532864E-2</v>
      </c>
      <c r="CC231" s="197" t="str">
        <f t="shared" si="3936"/>
        <v>YoY Change (%)</v>
      </c>
      <c r="CD231" s="198">
        <f>CD230/BW230-1</f>
        <v>-6.0606060606060552E-2</v>
      </c>
      <c r="CE231" s="198">
        <f t="shared" ref="CE231" si="4320">CE230/BX230-1</f>
        <v>-0.1278195488721805</v>
      </c>
      <c r="CF231" s="198">
        <f t="shared" ref="CF231" si="4321">CF230/BY230-1</f>
        <v>8.6956521739129933E-3</v>
      </c>
      <c r="CG231" s="198">
        <f t="shared" ref="CG231" si="4322">CG230/BZ230-1</f>
        <v>-1.6528925619834656E-2</v>
      </c>
      <c r="CH231" s="198">
        <f t="shared" ref="CH231" si="4323">CH230/CA230-1</f>
        <v>-5.1896207584830378E-2</v>
      </c>
      <c r="CJ231" s="197" t="str">
        <f t="shared" si="3941"/>
        <v>YoY Change (%)</v>
      </c>
      <c r="CK231" s="198">
        <f>CK230/CD230-1</f>
        <v>-3.2258064516129004E-2</v>
      </c>
      <c r="CL231" s="198">
        <f t="shared" ref="CL231" si="4324">CL230/CE230-1</f>
        <v>6.0344827586206851E-2</v>
      </c>
      <c r="CM231" s="198">
        <f t="shared" ref="CM231" si="4325">CM230/CF230-1</f>
        <v>-9.4827586206896575E-2</v>
      </c>
      <c r="CN231" s="198">
        <f t="shared" ref="CN231" si="4326">CN230/CG230-1</f>
        <v>-8.4033613445378186E-2</v>
      </c>
      <c r="CO231" s="198">
        <f t="shared" ref="CO231" si="4327">CO230/CH230-1</f>
        <v>-3.7894736842105314E-2</v>
      </c>
      <c r="CQ231" s="197" t="str">
        <f t="shared" si="3946"/>
        <v>YoY Change (%)</v>
      </c>
      <c r="CR231" s="198">
        <f>CR230/CK230-1</f>
        <v>-7.4999999999999956E-2</v>
      </c>
      <c r="CS231" s="198">
        <f t="shared" ref="CS231" si="4328">CS230/CL230-1</f>
        <v>-0.11382113821138207</v>
      </c>
      <c r="CT231" s="198">
        <f t="shared" ref="CT231" si="4329">CT230/CM230-1</f>
        <v>-2.8571428571428581E-2</v>
      </c>
      <c r="CU231" s="198">
        <f t="shared" ref="CU231" si="4330">CU230/CN230-1</f>
        <v>-7.3394495412844041E-2</v>
      </c>
      <c r="CV231" s="198">
        <f t="shared" ref="CV231" si="4331">CV230/CO230-1</f>
        <v>-7.4398249452954035E-2</v>
      </c>
      <c r="CX231" s="197" t="str">
        <f t="shared" si="3951"/>
        <v>YoY Change (%)</v>
      </c>
      <c r="CY231" s="198">
        <f>CY230/CR230-1</f>
        <v>1.8018018018018056E-2</v>
      </c>
      <c r="CZ231" s="198">
        <f t="shared" ref="CZ231" si="4332">CZ230/CS230-1</f>
        <v>9.174311926605494E-2</v>
      </c>
      <c r="DA231" s="198">
        <f t="shared" ref="DA231" si="4333">DA230/CT230-1</f>
        <v>0.12745098039215685</v>
      </c>
      <c r="DB231" s="198">
        <f t="shared" ref="DB231" si="4334">DB230/CU230-1</f>
        <v>0.21782178217821779</v>
      </c>
      <c r="DC231" s="198">
        <f t="shared" ref="DC231" si="4335">DC230/CV230-1</f>
        <v>0.11111111111111116</v>
      </c>
      <c r="DE231" s="197" t="str">
        <f t="shared" si="3956"/>
        <v>YoY Change (%)</v>
      </c>
      <c r="DF231" s="198">
        <f>DF230/CY230-1</f>
        <v>0.20353982300884965</v>
      </c>
      <c r="DG231" s="198">
        <f t="shared" ref="DG231" si="4336">DG230/CZ230-1</f>
        <v>5.8823529411764719E-2</v>
      </c>
      <c r="DH231" s="198">
        <f t="shared" ref="DH231" si="4337">DH230/DA230-1</f>
        <v>6.956521739130439E-2</v>
      </c>
      <c r="DI231" s="198">
        <f t="shared" ref="DI231" si="4338">DI230/DB230-1</f>
        <v>3.2520325203251987E-2</v>
      </c>
      <c r="DJ231" s="198">
        <f t="shared" ref="DJ231" si="4339">DJ230/DC230-1</f>
        <v>8.9361702127659592E-2</v>
      </c>
      <c r="DL231" s="197" t="str">
        <f t="shared" si="3961"/>
        <v>YoY Change (%)</v>
      </c>
      <c r="DM231" s="198">
        <f>DM230/DF230-1</f>
        <v>-4.4117647058823484E-2</v>
      </c>
      <c r="DN231" s="198">
        <f t="shared" ref="DN231" si="4340">DN230/DG230-1</f>
        <v>1.5873015873015817E-2</v>
      </c>
      <c r="DO231" s="198">
        <f t="shared" ref="DO231" si="4341">DO230/DH230-1</f>
        <v>4.0650406504065151E-2</v>
      </c>
      <c r="DP231" s="198">
        <f t="shared" ref="DP231" si="4342">DP230/DI230-1</f>
        <v>-1.5748031496062964E-2</v>
      </c>
      <c r="DQ231" s="198">
        <f t="shared" ref="DQ231" si="4343">DQ230/DJ230-1</f>
        <v>-1.953125E-3</v>
      </c>
      <c r="DS231" s="197" t="str">
        <f t="shared" si="3966"/>
        <v>YoY Change (%)</v>
      </c>
      <c r="DT231" s="198">
        <f>DT230/DM230-1</f>
        <v>-3.8461538461538436E-2</v>
      </c>
      <c r="DU231" s="198">
        <f t="shared" ref="DU231" si="4344">DU230/DN230-1</f>
        <v>7.8125E-3</v>
      </c>
      <c r="DV231" s="198">
        <f t="shared" ref="DV231" si="4345">DV230/DO230-1</f>
        <v>-5.46875E-2</v>
      </c>
      <c r="DW231" s="198">
        <f t="shared" ref="DW231" si="4346">DW230/DP230-1</f>
        <v>4.8000000000000043E-2</v>
      </c>
      <c r="DX231" s="198">
        <f t="shared" ref="DX231" si="4347">DX230/DQ230-1</f>
        <v>-9.7847358121331274E-3</v>
      </c>
      <c r="DZ231" s="197" t="str">
        <f t="shared" si="3971"/>
        <v>YoY Change (%)</v>
      </c>
      <c r="EA231" s="198">
        <f>EA230/DT230-1</f>
        <v>8.0000000000000071E-2</v>
      </c>
      <c r="EB231" s="198">
        <f t="shared" ref="EB231" si="4348">EB230/DU230-1</f>
        <v>6.9767441860465018E-2</v>
      </c>
      <c r="EC231" s="198">
        <f t="shared" ref="EC231" si="4349">EC230/DV230-1</f>
        <v>8.2644628099173501E-2</v>
      </c>
      <c r="ED231" s="198">
        <f t="shared" ref="ED231" si="4350">ED230/DW230-1</f>
        <v>3.0534351145038219E-2</v>
      </c>
      <c r="EE231" s="198">
        <f t="shared" ref="EE231" si="4351">EE230/DX230-1</f>
        <v>6.5217391304347894E-2</v>
      </c>
      <c r="EG231" s="197" t="str">
        <f t="shared" si="3976"/>
        <v>YoY Change (%)</v>
      </c>
      <c r="EH231" s="198">
        <f>EH230/EA230-1</f>
        <v>9.6296296296296324E-2</v>
      </c>
      <c r="EI231" s="198">
        <f t="shared" ref="EI231" si="4352">EI230/EB230-1</f>
        <v>-7.2463768115942018E-2</v>
      </c>
      <c r="EJ231" s="198">
        <f t="shared" ref="EJ231" si="4353">EJ230/EC230-1</f>
        <v>-3.0534351145038219E-2</v>
      </c>
      <c r="EK231" s="198">
        <f t="shared" ref="EK231" si="4354">EK230/ED230-1</f>
        <v>-8.1481481481481488E-2</v>
      </c>
      <c r="EL231" s="198">
        <f t="shared" ref="EL231" si="4355">EL230/EE230-1</f>
        <v>-2.2263450834879461E-2</v>
      </c>
      <c r="EN231" s="197" t="str">
        <f t="shared" si="3981"/>
        <v>YoY Change (%)</v>
      </c>
      <c r="EO231" s="198">
        <f>EO230/EH230-1</f>
        <v>-0.11486486486486491</v>
      </c>
      <c r="EP231" s="198">
        <f t="shared" ref="EP231" si="4356">EP230/EI230-1</f>
        <v>-3.90625E-2</v>
      </c>
      <c r="EQ231" s="198">
        <f t="shared" ref="EQ231" si="4357">EQ230/EJ230-1</f>
        <v>-9.4488188976378007E-2</v>
      </c>
      <c r="ER231" s="198">
        <f t="shared" ref="ER231" si="4358">ER230/EK230-1</f>
        <v>-4.8387096774193505E-2</v>
      </c>
      <c r="ES231" s="198">
        <f t="shared" ref="ES231" si="4359">ES230/EL230-1</f>
        <v>-7.5901328273244806E-2</v>
      </c>
      <c r="EU231" s="197" t="str">
        <f t="shared" si="3986"/>
        <v>YoY Change (%)</v>
      </c>
      <c r="EV231" s="198">
        <f>EV230/EO230-1</f>
        <v>-9.1603053435114545E-2</v>
      </c>
      <c r="EW231" s="198">
        <f t="shared" ref="EW231" si="4360">EW230/EP230-1</f>
        <v>-0.14634146341463417</v>
      </c>
      <c r="EX231" s="198">
        <f t="shared" ref="EX231" si="4361">EX230/EQ230-1</f>
        <v>-0.12173913043478257</v>
      </c>
      <c r="EY231" s="198">
        <f t="shared" ref="EY231" si="4362">EY230/ER230-1</f>
        <v>-1.6949152542372836E-2</v>
      </c>
      <c r="EZ231" s="198">
        <f t="shared" ref="EZ231" si="4363">EZ230/ES230-1</f>
        <v>-9.4455852156057452E-2</v>
      </c>
      <c r="FB231" s="197" t="str">
        <f t="shared" si="3991"/>
        <v>YoY Change (%)</v>
      </c>
      <c r="FC231" s="198">
        <f>FC230/EV230-1</f>
        <v>0</v>
      </c>
      <c r="FD231" s="198">
        <f t="shared" ref="FD231" si="4364">FD230/EW230-1</f>
        <v>0.1333333333333333</v>
      </c>
      <c r="FE231" s="198">
        <f t="shared" ref="FE231" si="4365">FE230/EX230-1</f>
        <v>0.11881188118811892</v>
      </c>
      <c r="FF231" s="198">
        <f t="shared" ref="FF231" si="4366">FF230/EY230-1</f>
        <v>-3.4482758620689613E-2</v>
      </c>
      <c r="FG231" s="198">
        <f t="shared" ref="FG231" si="4367">FG230/EZ230-1</f>
        <v>4.9886621315192725E-2</v>
      </c>
      <c r="FI231" s="197" t="str">
        <f t="shared" si="3996"/>
        <v>YoY Change (%)</v>
      </c>
      <c r="FJ231" s="198">
        <f>FJ230/FC230-1</f>
        <v>-1.6806722689075682E-2</v>
      </c>
      <c r="FK231" s="198">
        <f t="shared" ref="FK231" si="4368">FK230/FD230-1</f>
        <v>-5.0420168067226934E-2</v>
      </c>
      <c r="FL231" s="198">
        <f t="shared" ref="FL231" si="4369">FL230/FE230-1</f>
        <v>8.8495575221239076E-3</v>
      </c>
      <c r="FM231" s="198">
        <f t="shared" ref="FM231" si="4370">FM230/FF230-1</f>
        <v>3.5714285714285809E-2</v>
      </c>
      <c r="FN231" s="198">
        <f t="shared" ref="FN231" si="4371">FN230/FG230-1</f>
        <v>-6.4794816414687206E-3</v>
      </c>
      <c r="FP231" s="197" t="str">
        <f t="shared" si="4001"/>
        <v>YoY Change (%)</v>
      </c>
      <c r="FQ231" s="198">
        <f>FQ230/FJ230-1</f>
        <v>2.564102564102555E-2</v>
      </c>
      <c r="FR231" s="198">
        <f t="shared" ref="FR231" si="4372">FR230/FK230-1</f>
        <v>7.079646017699126E-2</v>
      </c>
      <c r="FS231" s="198">
        <f t="shared" ref="FS231" si="4373">FS230/FL230-1</f>
        <v>-6.1403508771929793E-2</v>
      </c>
      <c r="FT231" s="198">
        <f t="shared" ref="FT231" si="4374">FT230/FM230-1</f>
        <v>6.0344827586206851E-2</v>
      </c>
      <c r="FU231" s="198">
        <f t="shared" ref="FU231" si="4375">FU230/FN230-1</f>
        <v>2.3913043478260843E-2</v>
      </c>
      <c r="FW231" s="197" t="str">
        <f t="shared" si="4006"/>
        <v>YoY Change (%)</v>
      </c>
      <c r="FX231" s="198">
        <f>FX230/FQ230-1</f>
        <v>-2.5000000000000022E-2</v>
      </c>
      <c r="FY231" s="198">
        <f t="shared" ref="FY231" si="4376">FY230/FR230-1</f>
        <v>-3.3057851239669422E-2</v>
      </c>
      <c r="FZ231" s="198">
        <f t="shared" ref="FZ231" si="4377">FZ230/FS230-1</f>
        <v>3.7383177570093462E-2</v>
      </c>
      <c r="GA231" s="198">
        <f t="shared" ref="GA231" si="4378">GA230/FT230-1</f>
        <v>-0.19512195121951215</v>
      </c>
      <c r="GB231" s="198">
        <f t="shared" ref="GB231" si="4379">GB230/FU230-1</f>
        <v>-5.7324840764331197E-2</v>
      </c>
      <c r="GD231" s="197" t="str">
        <f t="shared" si="4011"/>
        <v>YoY Change (%)</v>
      </c>
      <c r="GE231" s="198">
        <f>GE230/FX230-1</f>
        <v>-0.24786324786324787</v>
      </c>
      <c r="GF231" s="198">
        <f t="shared" ref="GF231" si="4380">GF230/FY230-1</f>
        <v>-0.19658119658119655</v>
      </c>
      <c r="GG231" s="198">
        <f t="shared" ref="GG231" si="4381">GG230/FZ230-1</f>
        <v>-0.16216216216216217</v>
      </c>
      <c r="GH231" s="198">
        <f t="shared" ref="GH231" si="4382">GH230/GA230-1</f>
        <v>-0.12121212121212122</v>
      </c>
      <c r="GI231" s="198">
        <f t="shared" ref="GI231" si="4383">GI230/GB230-1</f>
        <v>-0.18468468468468469</v>
      </c>
      <c r="GK231" s="197" t="str">
        <f t="shared" si="4016"/>
        <v>YoY Change (%)</v>
      </c>
      <c r="GL231" s="198">
        <f>GL230/GE230-1</f>
        <v>4.5454545454545414E-2</v>
      </c>
      <c r="GM231" s="198">
        <f t="shared" ref="GM231" si="4384">GM230/GF230-1</f>
        <v>-5.3191489361702149E-2</v>
      </c>
      <c r="GN231" s="198">
        <f t="shared" ref="GN231" si="4385">GN230/GG230-1</f>
        <v>-3.2258064516129004E-2</v>
      </c>
      <c r="GO231" s="198">
        <f t="shared" ref="GO231" si="4386">GO230/GH230-1</f>
        <v>5.7471264367816133E-2</v>
      </c>
      <c r="GP231" s="198">
        <f t="shared" ref="GP231" si="4387">GP230/GI230-1</f>
        <v>2.7624309392264568E-3</v>
      </c>
      <c r="GR231" s="197" t="str">
        <f t="shared" si="4021"/>
        <v>YoY Change (%)</v>
      </c>
      <c r="GS231" s="198">
        <f>GS230/GL230-1</f>
        <v>-1.0869565217391353E-2</v>
      </c>
      <c r="GT231" s="198">
        <f t="shared" ref="GT231" si="4388">GT230/GM230-1</f>
        <v>2.2471910112359605E-2</v>
      </c>
      <c r="GU231" s="198">
        <f t="shared" ref="GU231" si="4389">GU230/GN230-1</f>
        <v>-3.3333333333333326E-2</v>
      </c>
      <c r="GV231" s="198">
        <f t="shared" ref="GV231" si="4390">GV230/GO230-1</f>
        <v>-0.28260869565217395</v>
      </c>
      <c r="GW231" s="198">
        <f t="shared" ref="GW231" si="4391">GW230/GP230-1</f>
        <v>-7.7134986225895319E-2</v>
      </c>
      <c r="GY231" s="197" t="str">
        <f t="shared" si="4026"/>
        <v>YoY Change (%)</v>
      </c>
      <c r="GZ231" s="198">
        <f>GZ230/GS230-1</f>
        <v>-0.34065934065934067</v>
      </c>
      <c r="HA231" s="198">
        <f t="shared" ref="HA231" si="4392">HA230/GT230-1</f>
        <v>-0.18681318681318682</v>
      </c>
      <c r="HB231" s="198">
        <f t="shared" ref="HB231" si="4393">HB230/GU230-1</f>
        <v>-0.11494252873563215</v>
      </c>
      <c r="HC231" s="198">
        <f t="shared" ref="HC231" si="4394">HC230/GV230-1</f>
        <v>0.18181818181818188</v>
      </c>
      <c r="HD231" s="198">
        <f t="shared" ref="HD231" si="4395">HD230/GW230-1</f>
        <v>-0.13731343283582087</v>
      </c>
      <c r="HF231" s="197" t="str">
        <f t="shared" si="4031"/>
        <v>YoY Change (%)</v>
      </c>
      <c r="HG231" s="198">
        <f>HG230/GZ230-1</f>
        <v>0.31666666666666665</v>
      </c>
      <c r="HH231" s="198">
        <f t="shared" ref="HH231" si="4396">HH230/HA230-1</f>
        <v>8.1081081081081141E-2</v>
      </c>
      <c r="HI231" s="198">
        <f t="shared" ref="HI231" si="4397">HI230/HB230-1</f>
        <v>1.298701298701288E-2</v>
      </c>
      <c r="HJ231" s="198">
        <f t="shared" ref="HJ231" si="4398">HJ230/HC230-1</f>
        <v>-2.5641025641025661E-2</v>
      </c>
      <c r="HK231" s="198">
        <f t="shared" ref="HK231" si="4399">HK230/HD230-1</f>
        <v>8.3044982698961878E-2</v>
      </c>
      <c r="HM231" s="197" t="str">
        <f t="shared" si="4036"/>
        <v>YoY Change (%)</v>
      </c>
      <c r="HN231" s="198">
        <f>HN230/HG230-1</f>
        <v>5.0632911392405111E-2</v>
      </c>
      <c r="HO231" s="198">
        <f t="shared" ref="HO231" si="4400">HO230/HH230-1</f>
        <v>0</v>
      </c>
      <c r="HP231" s="198">
        <f t="shared" ref="HP231" si="4401">HP230/HI230-1</f>
        <v>2.564102564102555E-2</v>
      </c>
      <c r="HQ231" s="198">
        <f t="shared" ref="HQ231" si="4402">HQ230/HJ230-1</f>
        <v>2.6315789473684292E-2</v>
      </c>
      <c r="HR231" s="198">
        <f t="shared" ref="HR231" si="4403">HR230/HK230-1</f>
        <v>2.5559105431310014E-2</v>
      </c>
      <c r="HT231" s="197" t="str">
        <f t="shared" si="4041"/>
        <v>YoY Change (%)</v>
      </c>
      <c r="HU231" s="198">
        <f>HU230/HN230-1</f>
        <v>-3.6144578313253017E-2</v>
      </c>
      <c r="HV231" s="198">
        <f t="shared" ref="HV231" si="4404">HV230/HO230-1</f>
        <v>-1.2499999999999956E-2</v>
      </c>
      <c r="HW231" s="198">
        <f t="shared" ref="HW231" si="4405">HW230/HP230-1</f>
        <v>0</v>
      </c>
      <c r="HX231" s="198">
        <f t="shared" ref="HX231" si="4406">HX230/HQ230-1</f>
        <v>5.1282051282051322E-2</v>
      </c>
      <c r="HY231" s="198">
        <f t="shared" ref="HY231" si="4407">HY230/HR230-1</f>
        <v>0</v>
      </c>
      <c r="IA231" s="197" t="str">
        <f t="shared" si="4046"/>
        <v>YoY Change (%)</v>
      </c>
      <c r="IB231" s="198">
        <f>IB230/HU230-1</f>
        <v>5.0000000000000044E-2</v>
      </c>
      <c r="IC231" s="198">
        <f t="shared" ref="IC231" si="4408">IC230/HV230-1</f>
        <v>8.8607594936708889E-2</v>
      </c>
      <c r="ID231" s="198">
        <f t="shared" ref="ID231" si="4409">ID230/HW230-1</f>
        <v>0</v>
      </c>
      <c r="IE231" s="198">
        <f t="shared" ref="IE231" si="4410">IE230/HX230-1</f>
        <v>-6.0975609756097615E-2</v>
      </c>
      <c r="IF231" s="198">
        <f t="shared" ref="IF231" si="4411">IF230/HY230-1</f>
        <v>1.8691588785046731E-2</v>
      </c>
      <c r="IH231" s="197" t="str">
        <f t="shared" si="4051"/>
        <v>YoY Change (%)</v>
      </c>
      <c r="II231" s="198">
        <f>II230/IB230-1</f>
        <v>-1.1904761904761862E-2</v>
      </c>
      <c r="IJ231" s="198">
        <f t="shared" ref="IJ231" si="4412">IJ230/IC230-1</f>
        <v>0</v>
      </c>
      <c r="IK231" s="198">
        <f t="shared" ref="IK231" si="4413">IK230/ID230-1</f>
        <v>2.4999999999999911E-2</v>
      </c>
      <c r="IL231" s="198">
        <f t="shared" ref="IL231" si="4414">IL230/IE230-1</f>
        <v>2.5974025974025983E-2</v>
      </c>
      <c r="IM231" s="198">
        <f t="shared" ref="IM231" si="4415">IM230/IF230-1</f>
        <v>9.1743119266054496E-3</v>
      </c>
      <c r="IO231" s="197" t="str">
        <f t="shared" si="4056"/>
        <v>YoY Change (%)</v>
      </c>
      <c r="IP231" s="198">
        <f>IP230/II230-1</f>
        <v>-6.0240963855421659E-2</v>
      </c>
      <c r="IQ231" s="198">
        <f t="shared" ref="IQ231" si="4416">IQ230/IJ230-1</f>
        <v>-9.3023255813953543E-2</v>
      </c>
      <c r="IR231" s="198">
        <f t="shared" ref="IR231" si="4417">IR230/IK230-1</f>
        <v>-0.13414634146341464</v>
      </c>
      <c r="IS231" s="198">
        <f t="shared" ref="IS231" si="4418">IS230/IL230-1</f>
        <v>-6.3291139240506333E-2</v>
      </c>
      <c r="IT231" s="198">
        <f t="shared" ref="IT231" si="4419">IT230/IM230-1</f>
        <v>-8.787878787878789E-2</v>
      </c>
      <c r="IV231" s="197" t="str">
        <f t="shared" si="4061"/>
        <v>YoY Change (%)</v>
      </c>
      <c r="IW231" s="198">
        <f>IW230/IP230-1</f>
        <v>-2.5641025641025661E-2</v>
      </c>
      <c r="IX231" s="198">
        <f t="shared" ref="IX231" si="4420">IX230/IQ230-1</f>
        <v>-7.6923076923076872E-2</v>
      </c>
      <c r="IY231" s="198">
        <f t="shared" ref="IY231" si="4421">IY230/IR230-1</f>
        <v>1.4084507042253502E-2</v>
      </c>
      <c r="IZ231" s="198">
        <f t="shared" ref="IZ231" si="4422">IZ230/IS230-1</f>
        <v>-0.14864864864864868</v>
      </c>
      <c r="JA231" s="198">
        <f t="shared" ref="JA231" si="4423">JA230/IT230-1</f>
        <v>-5.980066445182719E-2</v>
      </c>
      <c r="JC231" s="197" t="str">
        <f t="shared" si="4066"/>
        <v>YoY Change (%)</v>
      </c>
      <c r="JD231" s="198">
        <f>JD230/IW230-1</f>
        <v>1.3157894736842035E-2</v>
      </c>
      <c r="JE231" s="198">
        <f t="shared" ref="JE231" si="4424">JE230/IX230-1</f>
        <v>8.3333333333333259E-2</v>
      </c>
      <c r="JF231" s="198">
        <f t="shared" ref="JF231" si="4425">JF230/IY230-1</f>
        <v>-5.555555555555558E-2</v>
      </c>
      <c r="JG231" s="198">
        <f t="shared" ref="JG231" si="4426">JG230/IZ230-1</f>
        <v>7.9365079365079305E-2</v>
      </c>
      <c r="JH231" s="198">
        <f t="shared" ref="JH231" si="4427">JH230/JA230-1</f>
        <v>2.8268551236749095E-2</v>
      </c>
      <c r="JJ231" s="197" t="str">
        <f t="shared" si="4071"/>
        <v>YoY Change (%)</v>
      </c>
      <c r="JK231" s="198">
        <f>JK230/JD230-1</f>
        <v>-0.16883116883116878</v>
      </c>
      <c r="JL231" s="198">
        <f t="shared" ref="JL231" si="4428">JL230/JE230-1</f>
        <v>-0.17948717948717952</v>
      </c>
      <c r="JM231" s="198">
        <f t="shared" ref="JM231" si="4429">JM230/JF230-1</f>
        <v>-0.11764705882352944</v>
      </c>
      <c r="JN231" s="198">
        <f t="shared" ref="JN231" si="4430">JN230/JG230-1</f>
        <v>-0.11764705882352944</v>
      </c>
      <c r="JO231" s="198">
        <f t="shared" ref="JO231" si="4431">JO230/JH230-1</f>
        <v>-0.14776632302405501</v>
      </c>
      <c r="JQ231" s="197" t="str">
        <f t="shared" si="4076"/>
        <v>YoY Change (%)</v>
      </c>
      <c r="JR231" s="198">
        <f>JR230/JK230-1</f>
        <v>-3.125E-2</v>
      </c>
      <c r="JS231" s="198">
        <f t="shared" ref="JS231" si="4432">JS230/JL230-1</f>
        <v>-4.6875E-2</v>
      </c>
      <c r="JT231" s="198">
        <f t="shared" ref="JT231" si="4433">JT230/JM230-1</f>
        <v>0</v>
      </c>
      <c r="JU231" s="198">
        <f t="shared" ref="JU231" si="4434">JU230/JN230-1</f>
        <v>0</v>
      </c>
      <c r="JV231" s="198">
        <f t="shared" ref="JV231" si="4435">JV230/JO230-1</f>
        <v>-2.0161290322580627E-2</v>
      </c>
      <c r="JX231" s="197" t="str">
        <f t="shared" si="4081"/>
        <v>YoY Change (%)</v>
      </c>
      <c r="JY231" s="198">
        <f>JY230/JR230-1</f>
        <v>-6.4516129032258118E-2</v>
      </c>
      <c r="JZ231" s="198">
        <f t="shared" ref="JZ231" si="4436">JZ230/JS230-1</f>
        <v>-1.6393442622950838E-2</v>
      </c>
      <c r="KA231" s="198">
        <f t="shared" ref="KA231" si="4437">KA230/JT230-1</f>
        <v>-5.0000000000000044E-2</v>
      </c>
      <c r="KB231" s="198">
        <f t="shared" ref="KB231" si="4438">KB230/JU230-1</f>
        <v>-1.6666666666666718E-2</v>
      </c>
      <c r="KC231" s="198">
        <f t="shared" ref="KC231" si="4439">KC230/JV230-1</f>
        <v>-3.703703703703709E-2</v>
      </c>
      <c r="KE231" s="197" t="str">
        <f t="shared" si="4086"/>
        <v>YoY Change (%)</v>
      </c>
      <c r="KF231" s="198">
        <f>KF230/JY230-1</f>
        <v>-1.7241379310344862E-2</v>
      </c>
      <c r="KG231" s="198">
        <f t="shared" ref="KG231" si="4440">KG230/JZ230-1</f>
        <v>3.3333333333333437E-2</v>
      </c>
      <c r="KH231" s="198">
        <f t="shared" ref="KH231" si="4441">KH230/KA230-1</f>
        <v>-5.2631578947368474E-2</v>
      </c>
      <c r="KI231" s="198">
        <f t="shared" ref="KI231" si="4442">KI230/KB230-1</f>
        <v>-5.084745762711862E-2</v>
      </c>
      <c r="KJ231" s="198">
        <f t="shared" ref="KJ231" si="4443">KJ230/KC230-1</f>
        <v>-2.1367521367521403E-2</v>
      </c>
      <c r="KL231" s="197" t="str">
        <f t="shared" si="4091"/>
        <v>YoY Change (%)</v>
      </c>
      <c r="KM231" s="198">
        <f>KM230/KF230-1</f>
        <v>-1.7543859649122862E-2</v>
      </c>
      <c r="KN231" s="198">
        <f t="shared" ref="KN231" si="4444">KN230/KG230-1</f>
        <v>-0.12903225806451613</v>
      </c>
      <c r="KO231" s="198">
        <f t="shared" ref="KO231" si="4445">KO230/KH230-1</f>
        <v>-0.11111111111111116</v>
      </c>
      <c r="KP231" s="198">
        <f t="shared" ref="KP231" si="4446">KP230/KI230-1</f>
        <v>-0.1964285714285714</v>
      </c>
      <c r="KQ231" s="198">
        <f t="shared" ref="KQ231" si="4447">KQ230/KJ230-1</f>
        <v>-0.11353711790393017</v>
      </c>
      <c r="KS231" s="197" t="str">
        <f t="shared" si="4096"/>
        <v>YoY Change (%)</v>
      </c>
      <c r="KT231" s="198">
        <f>KT230/KM230-1</f>
        <v>-0.1071428571428571</v>
      </c>
      <c r="KU231" s="198">
        <f t="shared" ref="KU231" si="4448">KU230/KN230-1</f>
        <v>1.8518518518518601E-2</v>
      </c>
      <c r="KV231" s="198">
        <f t="shared" ref="KV231" si="4449">KV230/KO230-1</f>
        <v>-2.083333333333337E-2</v>
      </c>
      <c r="KW231" s="198">
        <f t="shared" ref="KW231" si="4450">KW230/KP230-1</f>
        <v>4.4444444444444509E-2</v>
      </c>
      <c r="KX231" s="198">
        <f t="shared" ref="KX231" si="4451">KX230/KQ230-1</f>
        <v>-1.9704433497536922E-2</v>
      </c>
      <c r="KZ231" s="197" t="str">
        <f t="shared" si="4101"/>
        <v>YoY Change (%)</v>
      </c>
      <c r="LA231" s="198">
        <f>LA230/KT230-1</f>
        <v>-6.0000000000000053E-2</v>
      </c>
      <c r="LB231" s="198">
        <f>LB230/KU230-1</f>
        <v>-9.0909090909090939E-2</v>
      </c>
      <c r="LC231" s="198">
        <f>LC230/KV230-1</f>
        <v>-4.2553191489361653E-2</v>
      </c>
      <c r="LD231" s="198">
        <f t="shared" ref="LD231" si="4452">LD230/KW230-1</f>
        <v>-6.3829787234042534E-2</v>
      </c>
      <c r="LE231" s="199">
        <f t="shared" ref="LE231" si="4453">LE230/KX230-1</f>
        <v>-6.5326633165829096E-2</v>
      </c>
      <c r="LF231" s="567"/>
      <c r="LG231" s="197" t="str">
        <f t="shared" si="4104"/>
        <v>YoY Change (%)</v>
      </c>
      <c r="LH231" s="198">
        <f>LH230/LA230-1</f>
        <v>2.1276595744680771E-2</v>
      </c>
      <c r="LI231" s="198">
        <f>LI230/LB230-1</f>
        <v>-6.0000000000000053E-2</v>
      </c>
      <c r="LJ231" s="198">
        <f>LJ230/LC230-1</f>
        <v>6.6666666666666652E-2</v>
      </c>
      <c r="LK231" s="198">
        <f>LK230/LD230-1</f>
        <v>6.8181818181818121E-2</v>
      </c>
      <c r="LL231" s="199">
        <f t="shared" ref="LL231" si="4454">LL230/LE230-1</f>
        <v>2.1505376344086002E-2</v>
      </c>
      <c r="LM231" s="567"/>
      <c r="LN231" s="197" t="str">
        <f t="shared" si="4106"/>
        <v>YoY Change (%)</v>
      </c>
      <c r="LO231" s="222">
        <v>0</v>
      </c>
      <c r="LP231" s="222">
        <v>1.4999999999999999E-2</v>
      </c>
      <c r="LQ231" s="222">
        <v>0.03</v>
      </c>
      <c r="LR231" s="222">
        <v>0.05</v>
      </c>
      <c r="LS231" s="199">
        <f t="shared" ref="LS231" si="4455">LS230/LL230-1</f>
        <v>2.3657894736841989E-2</v>
      </c>
      <c r="LT231" s="567"/>
      <c r="LU231" s="197" t="str">
        <f t="shared" si="1261"/>
        <v>YoY Change (%)</v>
      </c>
      <c r="LV231" s="222">
        <v>0.04</v>
      </c>
      <c r="LW231" s="222">
        <v>0.04</v>
      </c>
      <c r="LX231" s="222">
        <v>0.01</v>
      </c>
      <c r="LY231" s="222">
        <v>0</v>
      </c>
      <c r="LZ231" s="199">
        <f t="shared" ref="LZ231" si="4456">LZ230/LS230-1</f>
        <v>2.222473585439233E-2</v>
      </c>
      <c r="MA231" s="567"/>
      <c r="MB231" s="197" t="str">
        <f t="shared" si="1265"/>
        <v>YoY Change (%)</v>
      </c>
      <c r="MC231" s="222">
        <v>0.02</v>
      </c>
      <c r="MD231" s="222">
        <v>0.01</v>
      </c>
      <c r="ME231" s="222">
        <v>0</v>
      </c>
      <c r="MF231" s="222">
        <v>2.5000000000000001E-3</v>
      </c>
      <c r="MG231" s="199">
        <f t="shared" ref="MG231" si="4457">MG230/LZ230-1</f>
        <v>8.1376447557963694E-3</v>
      </c>
      <c r="MH231" s="567"/>
    </row>
    <row r="232" spans="1:346" s="37" customFormat="1" ht="13.15" x14ac:dyDescent="0.4">
      <c r="A232" s="100"/>
      <c r="C232" s="186"/>
      <c r="D232" s="186"/>
      <c r="E232" s="186"/>
      <c r="F232" s="186"/>
      <c r="G232" s="186"/>
      <c r="H232" s="186"/>
      <c r="I232" s="186"/>
      <c r="J232" s="186"/>
      <c r="K232" s="186"/>
      <c r="L232" s="186"/>
      <c r="M232" s="186"/>
      <c r="N232" s="193"/>
      <c r="O232" s="193"/>
      <c r="P232" s="193"/>
      <c r="Q232" s="193"/>
      <c r="R232" s="193"/>
      <c r="S232" s="193"/>
      <c r="T232" s="193"/>
      <c r="U232" s="193"/>
      <c r="V232" s="193"/>
      <c r="W232" s="193"/>
      <c r="X232" s="193"/>
      <c r="Y232" s="193"/>
      <c r="Z232" s="193"/>
      <c r="AA232" s="193"/>
      <c r="AB232" s="193"/>
      <c r="AC232" s="193"/>
      <c r="AD232" s="193"/>
      <c r="AE232" s="193"/>
      <c r="AF232" s="193"/>
      <c r="AG232" s="193"/>
      <c r="AH232" s="193"/>
      <c r="AI232" s="193"/>
      <c r="AJ232" s="193"/>
      <c r="AK232" s="193"/>
      <c r="AL232" s="193"/>
      <c r="AM232" s="193"/>
      <c r="AN232" s="193"/>
      <c r="AO232" s="193"/>
      <c r="AP232" s="193"/>
      <c r="AQ232" s="193"/>
      <c r="AR232" s="193"/>
      <c r="AS232" s="193"/>
      <c r="AT232" s="193"/>
      <c r="AU232" s="193"/>
      <c r="AV232" s="193"/>
      <c r="AW232" s="193"/>
      <c r="AX232" s="193"/>
      <c r="AY232" s="193"/>
      <c r="AZ232" s="193"/>
      <c r="BA232" s="193"/>
      <c r="BB232" s="193"/>
      <c r="BC232" s="193"/>
      <c r="BD232" s="193"/>
      <c r="BE232" s="193"/>
      <c r="BF232" s="193"/>
      <c r="BG232" s="193"/>
      <c r="BH232" s="193"/>
      <c r="BI232" s="193"/>
      <c r="BJ232" s="193"/>
      <c r="BK232" s="193"/>
      <c r="BL232" s="193"/>
      <c r="BM232" s="193"/>
      <c r="BP232" s="193"/>
      <c r="BQ232" s="193"/>
      <c r="BR232" s="193"/>
      <c r="BS232" s="193"/>
      <c r="BT232" s="193"/>
      <c r="BW232" s="193"/>
      <c r="BX232" s="193"/>
      <c r="BY232" s="193"/>
      <c r="BZ232" s="193"/>
      <c r="CA232" s="193"/>
      <c r="CD232" s="193"/>
      <c r="CE232" s="193"/>
      <c r="CF232" s="193"/>
      <c r="CG232" s="193"/>
      <c r="CH232" s="193"/>
      <c r="CK232" s="193"/>
      <c r="CL232" s="193"/>
      <c r="CM232" s="193"/>
      <c r="CN232" s="193"/>
      <c r="CO232" s="193"/>
      <c r="CR232" s="193"/>
      <c r="CS232" s="193"/>
      <c r="CT232" s="193"/>
      <c r="CU232" s="193"/>
      <c r="CV232" s="193"/>
      <c r="CY232" s="193"/>
      <c r="CZ232" s="193"/>
      <c r="DA232" s="193"/>
      <c r="DB232" s="193"/>
      <c r="DC232" s="193"/>
      <c r="DF232" s="193"/>
      <c r="DG232" s="193"/>
      <c r="DH232" s="193"/>
      <c r="DI232" s="193"/>
      <c r="DJ232" s="193"/>
      <c r="DM232" s="193"/>
      <c r="DN232" s="193"/>
      <c r="DO232" s="193"/>
      <c r="DP232" s="193"/>
      <c r="DQ232" s="193"/>
      <c r="DT232" s="193"/>
      <c r="DU232" s="193"/>
      <c r="DV232" s="193"/>
      <c r="DW232" s="193"/>
      <c r="DX232" s="193"/>
      <c r="EA232" s="193"/>
      <c r="EB232" s="193"/>
      <c r="EC232" s="193"/>
      <c r="ED232" s="193"/>
      <c r="EE232" s="193"/>
      <c r="EH232" s="193"/>
      <c r="EI232" s="193"/>
      <c r="EJ232" s="193"/>
      <c r="EK232" s="193"/>
      <c r="EL232" s="193"/>
      <c r="EO232" s="193"/>
      <c r="EP232" s="193"/>
      <c r="EQ232" s="193"/>
      <c r="ER232" s="193"/>
      <c r="ES232" s="193"/>
      <c r="EV232" s="193"/>
      <c r="EW232" s="193"/>
      <c r="EX232" s="193"/>
      <c r="EY232" s="193"/>
      <c r="EZ232" s="193"/>
      <c r="FC232" s="193"/>
      <c r="FD232" s="193"/>
      <c r="FE232" s="193"/>
      <c r="FF232" s="193"/>
      <c r="FG232" s="193"/>
      <c r="FJ232" s="193"/>
      <c r="FK232" s="193"/>
      <c r="FL232" s="193"/>
      <c r="FM232" s="193"/>
      <c r="FN232" s="193"/>
      <c r="FQ232" s="193"/>
      <c r="FR232" s="193"/>
      <c r="FS232" s="193"/>
      <c r="FT232" s="193"/>
      <c r="FU232" s="193"/>
      <c r="FX232" s="193"/>
      <c r="FY232" s="193"/>
      <c r="FZ232" s="193"/>
      <c r="GA232" s="193"/>
      <c r="GB232" s="193"/>
      <c r="GE232" s="193"/>
      <c r="GF232" s="193"/>
      <c r="GG232" s="193"/>
      <c r="GH232" s="193"/>
      <c r="GI232" s="193"/>
      <c r="GL232" s="193"/>
      <c r="GM232" s="193"/>
      <c r="GN232" s="193"/>
      <c r="GO232" s="193"/>
      <c r="GP232" s="193"/>
      <c r="GS232" s="193"/>
      <c r="GT232" s="193"/>
      <c r="GU232" s="193"/>
      <c r="GV232" s="193"/>
      <c r="GW232" s="193"/>
      <c r="GZ232" s="193"/>
      <c r="HA232" s="193"/>
      <c r="HB232" s="193"/>
      <c r="HC232" s="193"/>
      <c r="HD232" s="193"/>
      <c r="HG232" s="193"/>
      <c r="HH232" s="193"/>
      <c r="HI232" s="193"/>
      <c r="HJ232" s="193"/>
      <c r="HK232" s="193"/>
      <c r="HN232" s="193"/>
      <c r="HO232" s="193"/>
      <c r="HP232" s="193"/>
      <c r="HQ232" s="193"/>
      <c r="HR232" s="193"/>
      <c r="HU232" s="193"/>
      <c r="HV232" s="193"/>
      <c r="HW232" s="193"/>
      <c r="HX232" s="193"/>
      <c r="HY232" s="193"/>
      <c r="IB232" s="193"/>
      <c r="IC232" s="193"/>
      <c r="ID232" s="193"/>
      <c r="IE232" s="193"/>
      <c r="IF232" s="193"/>
      <c r="II232" s="193"/>
      <c r="IJ232" s="193"/>
      <c r="IK232" s="193"/>
      <c r="IL232" s="193"/>
      <c r="IM232" s="193"/>
      <c r="IP232" s="193"/>
      <c r="IQ232" s="193"/>
      <c r="IR232" s="193"/>
      <c r="IS232" s="193"/>
      <c r="IT232" s="193"/>
      <c r="IW232" s="193"/>
      <c r="IX232" s="193"/>
      <c r="IY232" s="193"/>
      <c r="IZ232" s="193"/>
      <c r="JA232" s="193"/>
      <c r="JD232" s="193"/>
      <c r="JE232" s="193"/>
      <c r="JF232" s="193"/>
      <c r="JG232" s="193"/>
      <c r="JH232" s="193"/>
      <c r="JK232" s="193"/>
      <c r="JL232" s="193"/>
      <c r="JM232" s="193"/>
      <c r="JN232" s="193"/>
      <c r="JO232" s="193"/>
      <c r="JR232" s="193"/>
      <c r="JS232" s="193"/>
      <c r="JT232" s="193"/>
      <c r="JU232" s="193"/>
      <c r="JV232" s="193"/>
      <c r="JY232" s="193"/>
      <c r="JZ232" s="193"/>
      <c r="KA232" s="193"/>
      <c r="KB232" s="193"/>
      <c r="KC232" s="193"/>
      <c r="KF232" s="193"/>
      <c r="KG232" s="193"/>
      <c r="KH232" s="193"/>
      <c r="KI232" s="193"/>
      <c r="KJ232" s="193"/>
      <c r="KM232" s="193"/>
      <c r="KN232" s="193"/>
      <c r="KO232" s="193"/>
      <c r="KP232" s="193"/>
      <c r="KQ232" s="193"/>
      <c r="KT232" s="193"/>
      <c r="KU232" s="193"/>
      <c r="KV232" s="193"/>
      <c r="KW232" s="193"/>
      <c r="KX232" s="193"/>
      <c r="LA232" s="193"/>
      <c r="LB232" s="193"/>
      <c r="LC232" s="193"/>
      <c r="LD232" s="193"/>
      <c r="LE232" s="200"/>
      <c r="LF232" s="565"/>
      <c r="LH232" s="198"/>
      <c r="LI232" s="198"/>
      <c r="LJ232" s="198"/>
      <c r="LK232" s="198"/>
      <c r="LL232" s="193"/>
      <c r="LM232" s="555"/>
      <c r="LN232" s="68"/>
      <c r="LO232" s="198"/>
      <c r="LP232" s="198"/>
      <c r="LQ232" s="198"/>
      <c r="LR232" s="198"/>
      <c r="LS232" s="193"/>
      <c r="LT232" s="555"/>
      <c r="LU232" s="68"/>
      <c r="LV232" s="198"/>
      <c r="LW232" s="198"/>
      <c r="LX232" s="198"/>
      <c r="LY232" s="198"/>
      <c r="LZ232" s="200"/>
      <c r="MA232" s="565"/>
      <c r="MB232" s="68"/>
      <c r="MC232" s="198"/>
      <c r="MD232" s="198"/>
      <c r="ME232" s="198"/>
      <c r="MF232" s="198"/>
      <c r="MG232" s="200"/>
      <c r="MH232" s="565"/>
    </row>
    <row r="233" spans="1:346" s="37" customFormat="1" ht="13.15" x14ac:dyDescent="0.4">
      <c r="A233" s="100"/>
      <c r="B233" s="37" t="s">
        <v>517</v>
      </c>
      <c r="C233" s="186"/>
      <c r="D233" s="186"/>
      <c r="E233" s="186"/>
      <c r="F233" s="186"/>
      <c r="G233" s="186"/>
      <c r="H233" s="186"/>
      <c r="I233" s="186"/>
      <c r="J233" s="186"/>
      <c r="K233" s="186"/>
      <c r="L233" s="186"/>
      <c r="M233" s="186"/>
      <c r="N233" s="194">
        <f t="shared" ref="N233:AY233" si="4458">IFERROR(N15/N75*1000,"")</f>
        <v>513.51351351351343</v>
      </c>
      <c r="O233" s="194">
        <f t="shared" si="4458"/>
        <v>544.91017964071852</v>
      </c>
      <c r="P233" s="194">
        <f t="shared" si="4458"/>
        <v>570.52631578947364</v>
      </c>
      <c r="Q233" s="194">
        <f t="shared" si="4458"/>
        <v>586.43326039387307</v>
      </c>
      <c r="R233" s="194">
        <f t="shared" si="4458"/>
        <v>605.20094562647751</v>
      </c>
      <c r="S233" s="194">
        <f t="shared" si="4458"/>
        <v>540.42553191489367</v>
      </c>
      <c r="T233" s="194">
        <f t="shared" si="4458"/>
        <v>550.78125</v>
      </c>
      <c r="U233" s="194">
        <f t="shared" si="4458"/>
        <v>545.9882583170255</v>
      </c>
      <c r="V233" s="194">
        <f t="shared" si="4458"/>
        <v>577.07509881422925</v>
      </c>
      <c r="W233" s="194">
        <f t="shared" si="4458"/>
        <v>562.15213358070503</v>
      </c>
      <c r="X233" s="194">
        <f t="shared" si="4458"/>
        <v>601.51802656546488</v>
      </c>
      <c r="Y233" s="194">
        <f t="shared" si="4458"/>
        <v>650.92402464065708</v>
      </c>
      <c r="Z233" s="194">
        <f t="shared" si="4458"/>
        <v>693.87755102040819</v>
      </c>
      <c r="AA233" s="194">
        <f t="shared" si="4458"/>
        <v>699.78401727861774</v>
      </c>
      <c r="AB233" s="194">
        <f t="shared" si="4458"/>
        <v>715.21739130434776</v>
      </c>
      <c r="AC233" s="194">
        <f t="shared" si="4458"/>
        <v>723.99150743099779</v>
      </c>
      <c r="AD233" s="194">
        <f t="shared" si="4458"/>
        <v>790.54054054054052</v>
      </c>
      <c r="AE233" s="194">
        <f t="shared" si="4458"/>
        <v>977.90055248618773</v>
      </c>
      <c r="AF233" s="194">
        <f t="shared" si="4458"/>
        <v>1159.7796143250689</v>
      </c>
      <c r="AG233" s="194">
        <f t="shared" si="4458"/>
        <v>1376.1194029850747</v>
      </c>
      <c r="AH233" s="194">
        <f t="shared" si="4458"/>
        <v>1290.6574394463669</v>
      </c>
      <c r="AI233" s="194">
        <f t="shared" si="4458"/>
        <v>1485.6230031948883</v>
      </c>
      <c r="AJ233" s="194">
        <f t="shared" si="4458"/>
        <v>1526.4797507788162</v>
      </c>
      <c r="AK233" s="194">
        <f t="shared" si="4458"/>
        <v>1595.0155763239875</v>
      </c>
      <c r="AL233" s="194">
        <f t="shared" si="4458"/>
        <v>1611.6207951070337</v>
      </c>
      <c r="AM233" s="194">
        <f t="shared" si="4458"/>
        <v>1618.1818181818182</v>
      </c>
      <c r="AN233" s="194">
        <f t="shared" si="4458"/>
        <v>1624.5847176079735</v>
      </c>
      <c r="AO233" s="194">
        <f t="shared" si="4458"/>
        <v>1830.3886925795052</v>
      </c>
      <c r="AP233" s="194">
        <f t="shared" si="4458"/>
        <v>1601.3745704467356</v>
      </c>
      <c r="AQ233" s="194">
        <f t="shared" si="4458"/>
        <v>1782.258064516129</v>
      </c>
      <c r="AR233" s="194">
        <f t="shared" si="4458"/>
        <v>1773.6625514403293</v>
      </c>
      <c r="AS233" s="194">
        <f t="shared" si="4458"/>
        <v>1811.965811965812</v>
      </c>
      <c r="AT233" s="194">
        <f t="shared" si="4458"/>
        <v>2052.4017467248909</v>
      </c>
      <c r="AU233" s="194">
        <f t="shared" si="4458"/>
        <v>2241.3793103448274</v>
      </c>
      <c r="AV233" s="194">
        <f t="shared" si="4458"/>
        <v>2592.9648241206032</v>
      </c>
      <c r="AW233" s="194">
        <f t="shared" si="4458"/>
        <v>2715.0537634408602</v>
      </c>
      <c r="AX233" s="194">
        <f t="shared" si="4458"/>
        <v>2742.1052631578946</v>
      </c>
      <c r="AY233" s="194">
        <f t="shared" si="4458"/>
        <v>2814.0576878583001</v>
      </c>
      <c r="AZ233" s="194">
        <f t="shared" ref="AZ233:BA233" si="4459">IFERROR(AZ15/AZ75*1000,"")</f>
        <v>2891.2632799359817</v>
      </c>
      <c r="BA233" s="194">
        <f t="shared" si="4459"/>
        <v>2963.8374507116555</v>
      </c>
      <c r="BB233" s="194"/>
      <c r="BC233" s="194"/>
      <c r="BD233" s="194"/>
      <c r="BE233" s="194"/>
      <c r="BF233" s="194"/>
      <c r="BG233" s="194"/>
      <c r="BH233" s="194"/>
      <c r="BI233" s="194"/>
      <c r="BJ233" s="194"/>
      <c r="BK233" s="194"/>
      <c r="BL233" s="194"/>
      <c r="BM233" s="194"/>
      <c r="BO233" s="37" t="str">
        <f t="shared" si="3930"/>
        <v>Revenue per carload ($)</v>
      </c>
      <c r="BP233" s="193">
        <f>IFERROR(BP15/BP75*1000,"")</f>
        <v>557.97101449275362</v>
      </c>
      <c r="BQ233" s="193">
        <f>IFERROR(BQ15/BQ75*1000,"")</f>
        <v>496.18320610687022</v>
      </c>
      <c r="BR233" s="193">
        <f>IFERROR(BR15/BR75*1000,"")</f>
        <v>472</v>
      </c>
      <c r="BS233" s="193">
        <f>IFERROR(BS15/BS75*1000,"")</f>
        <v>524.19354838709671</v>
      </c>
      <c r="BT233" s="193">
        <f>IFERROR(BT15/BT75*1000,"")</f>
        <v>513.51351351351343</v>
      </c>
      <c r="BV233" s="37" t="str">
        <f t="shared" si="3931"/>
        <v>Revenue per carload ($)</v>
      </c>
      <c r="BW233" s="193">
        <f>IFERROR(BW15/BW75*1000,"")</f>
        <v>598.4848484848485</v>
      </c>
      <c r="BX233" s="193">
        <f>IFERROR(BX15/BX75*1000,"")</f>
        <v>526.31578947368416</v>
      </c>
      <c r="BY233" s="193">
        <f>IFERROR(BY15/BY75*1000,"")</f>
        <v>495.6521739130435</v>
      </c>
      <c r="BZ233" s="193">
        <f>IFERROR(BZ15/BZ75*1000,"")</f>
        <v>553.7190082644629</v>
      </c>
      <c r="CA233" s="193">
        <f>IFERROR(CA15/CA75*1000,"")</f>
        <v>544.91017964071852</v>
      </c>
      <c r="CC233" s="37" t="str">
        <f t="shared" si="3936"/>
        <v>Revenue per carload ($)</v>
      </c>
      <c r="CD233" s="193">
        <f>IFERROR(CD15/CD75*1000,"")</f>
        <v>604.83870967741939</v>
      </c>
      <c r="CE233" s="193">
        <f>IFERROR(CE15/CE75*1000,"")</f>
        <v>586.20689655172407</v>
      </c>
      <c r="CF233" s="193">
        <f>IFERROR(CF15/CF75*1000,"")</f>
        <v>525.86206896551721</v>
      </c>
      <c r="CG233" s="193">
        <f>IFERROR(CG15/CG75*1000,"")</f>
        <v>563.02521008403357</v>
      </c>
      <c r="CH233" s="193">
        <f>IFERROR(CH15/CH75*1000,"")</f>
        <v>570.52631578947364</v>
      </c>
      <c r="CJ233" s="37" t="str">
        <f t="shared" si="3941"/>
        <v>Revenue per carload ($)</v>
      </c>
      <c r="CK233" s="193">
        <f>IFERROR(CK15/CK75*1000,"")</f>
        <v>641.66666666666674</v>
      </c>
      <c r="CL233" s="193">
        <f>IFERROR(CL15/CL75*1000,"")</f>
        <v>577.23577235772359</v>
      </c>
      <c r="CM233" s="193">
        <f>IFERROR(CM15/CM75*1000,"")</f>
        <v>542.85714285714278</v>
      </c>
      <c r="CN233" s="193">
        <f>IFERROR(CN15/CN75*1000,"")</f>
        <v>577.98165137614671</v>
      </c>
      <c r="CO233" s="193">
        <f>IFERROR(CO15/CO75*1000,"")</f>
        <v>586.43326039387307</v>
      </c>
      <c r="CQ233" s="37" t="str">
        <f t="shared" si="3946"/>
        <v>Revenue per carload ($)</v>
      </c>
      <c r="CR233" s="193">
        <f>IFERROR(CR15/CR75*1000,"")</f>
        <v>630.63063063063066</v>
      </c>
      <c r="CS233" s="193">
        <f>IFERROR(CS15/CS75*1000,"")</f>
        <v>614.67889908256882</v>
      </c>
      <c r="CT233" s="193">
        <f>IFERROR(CT15/CT75*1000,"")</f>
        <v>568.62745098039215</v>
      </c>
      <c r="CU233" s="193">
        <f>IFERROR(CU15/CU75*1000,"")</f>
        <v>603.96039603960389</v>
      </c>
      <c r="CV233" s="193">
        <f>IFERROR(CV15/CV75*1000,"")</f>
        <v>605.20094562647751</v>
      </c>
      <c r="CX233" s="37" t="str">
        <f t="shared" si="3951"/>
        <v>Revenue per carload ($)</v>
      </c>
      <c r="CY233" s="193">
        <f>IFERROR(CY15/CY75*1000,"")</f>
        <v>592.92035398230087</v>
      </c>
      <c r="CZ233" s="193">
        <f>IFERROR(CZ15/CZ75*1000,"")</f>
        <v>537.81512605042019</v>
      </c>
      <c r="DA233" s="193">
        <f>IFERROR(DA15/DA75*1000,"")</f>
        <v>513.04347826086962</v>
      </c>
      <c r="DB233" s="193">
        <f>IFERROR(DB15/DB75*1000,"")</f>
        <v>520.32520325203257</v>
      </c>
      <c r="DC233" s="193">
        <f>IFERROR(DC15/DC75*1000,"")</f>
        <v>540.42553191489367</v>
      </c>
      <c r="DE233" s="37" t="str">
        <f t="shared" si="3956"/>
        <v>Revenue per carload ($)</v>
      </c>
      <c r="DF233" s="193">
        <f>IFERROR(DF15/DF75*1000,"")</f>
        <v>580.88235294117646</v>
      </c>
      <c r="DG233" s="193">
        <f>IFERROR(DG15/DG75*1000,"")</f>
        <v>531.74603174603169</v>
      </c>
      <c r="DH233" s="193">
        <f>IFERROR(DH15/DH75*1000,"")</f>
        <v>528.45528455284557</v>
      </c>
      <c r="DI233" s="193">
        <f>IFERROR(DI15/DI75*1000,"")</f>
        <v>559.05511811023621</v>
      </c>
      <c r="DJ233" s="193">
        <f>IFERROR(DJ15/DJ75*1000,"")</f>
        <v>550.78125</v>
      </c>
      <c r="DL233" s="37" t="str">
        <f t="shared" si="3961"/>
        <v>Revenue per carload ($)</v>
      </c>
      <c r="DM233" s="193">
        <f>IFERROR(DM15/DM75*1000,"")</f>
        <v>576.92307692307691</v>
      </c>
      <c r="DN233" s="193">
        <f>IFERROR(DN15/DN75*1000,"")</f>
        <v>539.0625</v>
      </c>
      <c r="DO233" s="193">
        <f>IFERROR(DO15/DO75*1000,"")</f>
        <v>515.625</v>
      </c>
      <c r="DP233" s="193">
        <f>IFERROR(DP15/DP75*1000,"")</f>
        <v>552</v>
      </c>
      <c r="DQ233" s="193">
        <f>IFERROR(DQ15/DQ75*1000,"")</f>
        <v>545.9882583170255</v>
      </c>
      <c r="DS233" s="37" t="str">
        <f t="shared" si="3966"/>
        <v>Revenue per carload ($)</v>
      </c>
      <c r="DT233" s="193">
        <f>IFERROR(DT15/DT75*1000,"")</f>
        <v>600</v>
      </c>
      <c r="DU233" s="193">
        <f>IFERROR(DU15/DU75*1000,"")</f>
        <v>573.64341085271315</v>
      </c>
      <c r="DV233" s="193">
        <f>IFERROR(DV15/DV75*1000,"")</f>
        <v>561.98347107438019</v>
      </c>
      <c r="DW233" s="193">
        <f>IFERROR(DW15/DW75*1000,"")</f>
        <v>572.51908396946556</v>
      </c>
      <c r="DX233" s="193">
        <f>IFERROR(DX15/DX75*1000,"")</f>
        <v>577.07509881422925</v>
      </c>
      <c r="DZ233" s="37" t="str">
        <f t="shared" si="3971"/>
        <v>Revenue per carload ($)</v>
      </c>
      <c r="EA233" s="193">
        <f>IFERROR(EA15/EA75*1000,"")</f>
        <v>614.81481481481478</v>
      </c>
      <c r="EB233" s="193">
        <f>IFERROR(EB15/EB75*1000,"")</f>
        <v>565.21739130434776</v>
      </c>
      <c r="EC233" s="193">
        <f>IFERROR(EC15/EC75*1000,"")</f>
        <v>526.71755725190837</v>
      </c>
      <c r="ED233" s="193">
        <f>IFERROR(ED15/ED75*1000,"")</f>
        <v>540.74074074074076</v>
      </c>
      <c r="EE233" s="193">
        <f>IFERROR(EE15/EE75*1000,"")</f>
        <v>562.15213358070503</v>
      </c>
      <c r="EG233" s="37" t="str">
        <f t="shared" si="3976"/>
        <v>Revenue per carload ($)</v>
      </c>
      <c r="EH233" s="193">
        <f>IFERROR(EH15/EH75*1000,"")</f>
        <v>601.35135135135135</v>
      </c>
      <c r="EI233" s="193">
        <f>IFERROR(EI15/EI75*1000,"")</f>
        <v>609.375</v>
      </c>
      <c r="EJ233" s="193">
        <f>IFERROR(EJ15/EJ75*1000,"")</f>
        <v>559.05511811023621</v>
      </c>
      <c r="EK233" s="193">
        <f>IFERROR(EK15/EK75*1000,"")</f>
        <v>637.09677419354841</v>
      </c>
      <c r="EL233" s="193">
        <f>IFERROR(EL15/EL75*1000,"")</f>
        <v>601.51802656546488</v>
      </c>
      <c r="EN233" s="37" t="str">
        <f t="shared" si="3981"/>
        <v>Revenue per carload ($)</v>
      </c>
      <c r="EO233" s="193">
        <f>IFERROR(EO15/EO75*1000,"")</f>
        <v>709.92366412213732</v>
      </c>
      <c r="EP233" s="193">
        <f>IFERROR(EP15/EP75*1000,"")</f>
        <v>601.6260162601626</v>
      </c>
      <c r="EQ233" s="193">
        <f>IFERROR(EQ15/EQ75*1000,"")</f>
        <v>652.17391304347825</v>
      </c>
      <c r="ER233" s="193">
        <f>IFERROR(ER15/ER75*1000,"")</f>
        <v>635.59322033898297</v>
      </c>
      <c r="ES233" s="193">
        <f>IFERROR(ES15/ES75*1000,"")</f>
        <v>650.92402464065708</v>
      </c>
      <c r="EU233" s="37" t="str">
        <f t="shared" si="3986"/>
        <v>Revenue per carload ($)</v>
      </c>
      <c r="EV233" s="193">
        <f>IFERROR(EV15/EV75*1000,"")</f>
        <v>747.89915966386559</v>
      </c>
      <c r="EW233" s="193">
        <f>IFERROR(EW15/EW75*1000,"")</f>
        <v>714.28571428571433</v>
      </c>
      <c r="EX233" s="193">
        <f>IFERROR(EX15/EX75*1000,"")</f>
        <v>623.76237623762381</v>
      </c>
      <c r="EY233" s="193">
        <f>IFERROR(EY15/EY75*1000,"")</f>
        <v>681.0344827586207</v>
      </c>
      <c r="EZ233" s="193">
        <f>IFERROR(EZ15/EZ75*1000,"")</f>
        <v>693.87755102040819</v>
      </c>
      <c r="FB233" s="37" t="str">
        <f t="shared" si="3991"/>
        <v>Revenue per carload ($)</v>
      </c>
      <c r="FC233" s="193">
        <f>IFERROR(FC15/FC75*1000,"")</f>
        <v>747.89915966386559</v>
      </c>
      <c r="FD233" s="193">
        <f>IFERROR(FD15/FD75*1000,"")</f>
        <v>697.47899159663859</v>
      </c>
      <c r="FE233" s="193">
        <f>IFERROR(FE15/FE75*1000,"")</f>
        <v>646.01769911504425</v>
      </c>
      <c r="FF233" s="193">
        <f>IFERROR(FF15/FF75*1000,"")</f>
        <v>705.35714285714289</v>
      </c>
      <c r="FG233" s="193">
        <f>IFERROR(FG15/FG75*1000,"")</f>
        <v>699.78401727861774</v>
      </c>
      <c r="FI233" s="37" t="str">
        <f t="shared" si="3996"/>
        <v>Revenue per carload ($)</v>
      </c>
      <c r="FJ233" s="193">
        <f>IFERROR(FJ15/FJ75*1000,"")</f>
        <v>743.58974358974365</v>
      </c>
      <c r="FK233" s="193">
        <f>IFERROR(FK15/FK75*1000,"")</f>
        <v>752.21238938053091</v>
      </c>
      <c r="FL233" s="193">
        <f>IFERROR(FL15/FL75*1000,"")</f>
        <v>649.12280701754389</v>
      </c>
      <c r="FM233" s="193">
        <f>IFERROR(FM15/FM75*1000,"")</f>
        <v>715.51724137931035</v>
      </c>
      <c r="FN233" s="193">
        <f>IFERROR(FN15/FN75*1000,"")</f>
        <v>715.21739130434776</v>
      </c>
      <c r="FP233" s="37" t="str">
        <f t="shared" si="4001"/>
        <v>Revenue per carload ($)</v>
      </c>
      <c r="FQ233" s="193">
        <f>IFERROR(FQ15/FQ75*1000,"")</f>
        <v>741.66666666666674</v>
      </c>
      <c r="FR233" s="193">
        <f>IFERROR(FR15/FR75*1000,"")</f>
        <v>727.27272727272725</v>
      </c>
      <c r="FS233" s="193">
        <f>IFERROR(FS15/FS75*1000,"")</f>
        <v>700.93457943925227</v>
      </c>
      <c r="FT233" s="193">
        <f>IFERROR(FT15/FT75*1000,"")</f>
        <v>723.57723577235777</v>
      </c>
      <c r="FU233" s="193">
        <f>IFERROR(FU15/FU75*1000,"")</f>
        <v>723.99150743099779</v>
      </c>
      <c r="FW233" s="37" t="str">
        <f t="shared" si="4006"/>
        <v>Revenue per carload ($)</v>
      </c>
      <c r="FX233" s="193">
        <f>IFERROR(FX15/FX75*1000,"")</f>
        <v>769.23076923076928</v>
      </c>
      <c r="FY233" s="193">
        <f>IFERROR(FY15/FY75*1000,"")</f>
        <v>777.77777777777783</v>
      </c>
      <c r="FZ233" s="193">
        <f>IFERROR(FZ15/FZ75*1000,"")</f>
        <v>747.74774774774778</v>
      </c>
      <c r="GA233" s="193">
        <f>IFERROR(GA15/GA75*1000,"")</f>
        <v>878.78787878787875</v>
      </c>
      <c r="GB233" s="193">
        <f>IFERROR(GB15/GB75*1000,"")</f>
        <v>790.54054054054052</v>
      </c>
      <c r="GD233" s="37" t="str">
        <f t="shared" si="4011"/>
        <v>Revenue per carload ($)</v>
      </c>
      <c r="GE233" s="193">
        <f>IFERROR(GE15/GE75*1000,"")</f>
        <v>1022.7272727272727</v>
      </c>
      <c r="GF233" s="193">
        <f>IFERROR(GF15/GF75*1000,"")</f>
        <v>989.36170212765967</v>
      </c>
      <c r="GG233" s="193">
        <f>IFERROR(GG15/GG75*1000,"")</f>
        <v>881.72043010752691</v>
      </c>
      <c r="GH233" s="193">
        <f>IFERROR(GH15/GH75*1000,"")</f>
        <v>1022.9885057471264</v>
      </c>
      <c r="GI233" s="193">
        <f>IFERROR(GI15/GI75*1000,"")</f>
        <v>977.90055248618773</v>
      </c>
      <c r="GK233" s="37" t="str">
        <f t="shared" si="4016"/>
        <v>Revenue per carload ($)</v>
      </c>
      <c r="GL233" s="193">
        <f>IFERROR(GL15/GL75*1000,"")</f>
        <v>1152.1739130434783</v>
      </c>
      <c r="GM233" s="193">
        <f>IFERROR(GM15/GM75*1000,"")</f>
        <v>1168.5393258426966</v>
      </c>
      <c r="GN233" s="193">
        <f>IFERROR(GN15/GN75*1000,"")</f>
        <v>1122.2222222222222</v>
      </c>
      <c r="GO233" s="193">
        <f>IFERROR(GO15/GO75*1000,"")</f>
        <v>1195.6521739130435</v>
      </c>
      <c r="GP233" s="193">
        <f>IFERROR(GP15/GP75*1000,"")</f>
        <v>1159.7796143250689</v>
      </c>
      <c r="GR233" s="37" t="str">
        <f t="shared" si="4021"/>
        <v>Revenue per carload ($)</v>
      </c>
      <c r="GS233" s="193">
        <f>IFERROR(GS15/GS75*1000,"")</f>
        <v>1428.5714285714287</v>
      </c>
      <c r="GT233" s="193">
        <f>IFERROR(GT15/GT75*1000,"")</f>
        <v>1406.5934065934066</v>
      </c>
      <c r="GU233" s="193">
        <f>IFERROR(GU15/GU75*1000,"")</f>
        <v>1344.8275862068965</v>
      </c>
      <c r="GV233" s="193">
        <f>IFERROR(GV15/GV75*1000,"")</f>
        <v>1303.030303030303</v>
      </c>
      <c r="GW233" s="193">
        <f>IFERROR(GW15/GW75*1000,"")</f>
        <v>1376.1194029850747</v>
      </c>
      <c r="GY233" s="37" t="str">
        <f t="shared" si="4026"/>
        <v>Revenue per carload ($)</v>
      </c>
      <c r="GZ233" s="193">
        <f>IFERROR(GZ15/GZ75*1000,"")</f>
        <v>1450</v>
      </c>
      <c r="HA233" s="193">
        <f>IFERROR(HA15/HA75*1000,"")</f>
        <v>1270.2702702702702</v>
      </c>
      <c r="HB233" s="193">
        <f>IFERROR(HB15/HB75*1000,"")</f>
        <v>1220.7792207792209</v>
      </c>
      <c r="HC233" s="193">
        <f>IFERROR(HC15/HC75*1000,"")</f>
        <v>1256.4102564102564</v>
      </c>
      <c r="HD233" s="193">
        <f>IFERROR(HD15/HD75*1000,"")</f>
        <v>1290.6574394463669</v>
      </c>
      <c r="HF233" s="37" t="str">
        <f t="shared" si="4031"/>
        <v>Revenue per carload ($)</v>
      </c>
      <c r="HG233" s="193">
        <f>IFERROR(HG15/HG75*1000,"")</f>
        <v>1556.9620253164558</v>
      </c>
      <c r="HH233" s="193">
        <f>IFERROR(HH15/HH75*1000,"")</f>
        <v>1362.5</v>
      </c>
      <c r="HI233" s="193">
        <f>IFERROR(HI15/HI75*1000,"")</f>
        <v>1371.7948717948718</v>
      </c>
      <c r="HJ233" s="193">
        <f>IFERROR(HJ15/HJ75*1000,"")</f>
        <v>1657.8947368421052</v>
      </c>
      <c r="HK233" s="193">
        <f>IFERROR(HK15/HK75*1000,"")</f>
        <v>1485.6230031948883</v>
      </c>
      <c r="HM233" s="37" t="str">
        <f t="shared" si="4036"/>
        <v>Revenue per carload ($)</v>
      </c>
      <c r="HN233" s="193">
        <f>IFERROR(HN15/HN75*1000,"")</f>
        <v>1638.5542168674699</v>
      </c>
      <c r="HO233" s="193">
        <f>IFERROR(HO15/HO75*1000,"")</f>
        <v>1487.5</v>
      </c>
      <c r="HP233" s="193">
        <f>IFERROR(HP15/HP75*1000,"")</f>
        <v>1475</v>
      </c>
      <c r="HQ233" s="193">
        <f>IFERROR(HQ15/HQ75*1000,"")</f>
        <v>1500</v>
      </c>
      <c r="HR233" s="193">
        <f>IFERROR(HR15/HR75*1000,"")</f>
        <v>1526.4797507788162</v>
      </c>
      <c r="HT233" s="37" t="str">
        <f t="shared" si="4041"/>
        <v>Revenue per carload ($)</v>
      </c>
      <c r="HU233" s="193">
        <f>IFERROR(HU15/HU75*1000,"")</f>
        <v>1637.5</v>
      </c>
      <c r="HV233" s="193">
        <f>IFERROR(HV15/HV75*1000,"")</f>
        <v>1582.2784810126582</v>
      </c>
      <c r="HW233" s="193">
        <f>IFERROR(HW15/HW75*1000,"")</f>
        <v>1537.5</v>
      </c>
      <c r="HX233" s="193">
        <f>IFERROR(HX15/HX75*1000,"")</f>
        <v>1621.9512195121952</v>
      </c>
      <c r="HY233" s="193">
        <f>IFERROR(HY15/HY75*1000,"")</f>
        <v>1595.0155763239875</v>
      </c>
      <c r="IA233" s="37" t="str">
        <f t="shared" si="4046"/>
        <v>Revenue per carload ($)</v>
      </c>
      <c r="IB233" s="193">
        <f>IFERROR(IB15/IB75*1000,"")</f>
        <v>1714.2857142857142</v>
      </c>
      <c r="IC233" s="193">
        <f>IFERROR(IC15/IC75*1000,"")</f>
        <v>1569.7674418604649</v>
      </c>
      <c r="ID233" s="193">
        <f>IFERROR(ID15/ID75*1000,"")</f>
        <v>1550</v>
      </c>
      <c r="IE233" s="193">
        <f>IFERROR(IE15/IE75*1000,"")</f>
        <v>1610.3896103896104</v>
      </c>
      <c r="IF233" s="193">
        <f>IFERROR(IF15/IF75*1000,"")</f>
        <v>1611.6207951070337</v>
      </c>
      <c r="IH233" s="37" t="str">
        <f t="shared" si="4051"/>
        <v>Revenue per carload ($)</v>
      </c>
      <c r="II233" s="193">
        <f>IFERROR(II15/II75*1000,"")</f>
        <v>1614.4578313253012</v>
      </c>
      <c r="IJ233" s="193">
        <f>IFERROR(IJ15/IJ75*1000,"")</f>
        <v>1662.7906976744187</v>
      </c>
      <c r="IK233" s="193">
        <f>IFERROR(IK15/IK75*1000,"")</f>
        <v>1548.780487804878</v>
      </c>
      <c r="IL233" s="193">
        <f>IFERROR(IL15/IL75*1000,"")</f>
        <v>1645.5696202531647</v>
      </c>
      <c r="IM233" s="193">
        <f>IFERROR(IM15/IM75*1000,"")</f>
        <v>1618.1818181818182</v>
      </c>
      <c r="IO233" s="37" t="str">
        <f t="shared" si="4056"/>
        <v>Revenue per carload ($)</v>
      </c>
      <c r="IP233" s="193">
        <f>IFERROR(IP15/IP75*1000,"")</f>
        <v>1743.5897435897436</v>
      </c>
      <c r="IQ233" s="193">
        <f>IFERROR(IQ15/IQ75*1000,"")</f>
        <v>1564.1025641025642</v>
      </c>
      <c r="IR233" s="193">
        <f>IFERROR(IR15/IR75*1000,"")</f>
        <v>1563.3802816901407</v>
      </c>
      <c r="IS233" s="193">
        <f>IFERROR(IS15/IS75*1000,"")</f>
        <v>1621.6216216216217</v>
      </c>
      <c r="IT233" s="193">
        <f>IFERROR(IT15/IT75*1000,"")</f>
        <v>1624.5847176079735</v>
      </c>
      <c r="IV233" s="37" t="str">
        <f t="shared" si="4061"/>
        <v>Revenue per carload ($)</v>
      </c>
      <c r="IW233" s="193">
        <f>IFERROR(IW15/IW75*1000,"")</f>
        <v>1671.0526315789473</v>
      </c>
      <c r="IX233" s="193">
        <f>IFERROR(IX15/IX75*1000,"")</f>
        <v>1583.3333333333333</v>
      </c>
      <c r="IY233" s="193">
        <f>IFERROR(IY15/IY75*1000,"")</f>
        <v>1444.4444444444443</v>
      </c>
      <c r="IZ233" s="193">
        <f>IFERROR(IZ15/IZ75*1000,"")</f>
        <v>2746.031746031746</v>
      </c>
      <c r="JA233" s="193">
        <f>IFERROR(JA15/JA75*1000,"")</f>
        <v>1830.3886925795052</v>
      </c>
      <c r="JC233" s="37" t="str">
        <f t="shared" si="4066"/>
        <v>Revenue per carload ($)</v>
      </c>
      <c r="JD233" s="193">
        <f>IFERROR(JD15/JD75*1000,"")</f>
        <v>1675.3246753246754</v>
      </c>
      <c r="JE233" s="193">
        <f>IFERROR(JE15/JE75*1000,"")</f>
        <v>1512.8205128205127</v>
      </c>
      <c r="JF233" s="193">
        <f>IFERROR(JF15/JF75*1000,"")</f>
        <v>1558.8235294117646</v>
      </c>
      <c r="JG233" s="193">
        <f>IFERROR(JG15/JG75*1000,"")</f>
        <v>1661.7647058823529</v>
      </c>
      <c r="JH233" s="193">
        <f>IFERROR(JH15/JH75*1000,"")</f>
        <v>1601.3745704467356</v>
      </c>
      <c r="JJ233" s="37" t="str">
        <f t="shared" si="4071"/>
        <v>Revenue per carload ($)</v>
      </c>
      <c r="JK233" s="193">
        <f>IFERROR(JK15/JK75*1000,"")</f>
        <v>1812.5</v>
      </c>
      <c r="JL233" s="193">
        <f>IFERROR(JL15/JL75*1000,"")</f>
        <v>1750</v>
      </c>
      <c r="JM233" s="193">
        <f>IFERROR(JM15/JM75*1000,"")</f>
        <v>1733.3333333333335</v>
      </c>
      <c r="JN233" s="193">
        <f>IFERROR(JN15/JN75*1000,"")</f>
        <v>1833.3333333333333</v>
      </c>
      <c r="JO233" s="193">
        <f>IFERROR(JO15/JO75*1000,"")</f>
        <v>1782.258064516129</v>
      </c>
      <c r="JQ233" s="37" t="str">
        <f t="shared" si="4076"/>
        <v>Revenue per carload ($)</v>
      </c>
      <c r="JR233" s="193">
        <f>IFERROR(JR15/JR75*1000,"")</f>
        <v>1774.1935483870968</v>
      </c>
      <c r="JS233" s="193">
        <f>IFERROR(JS15/JS75*1000,"")</f>
        <v>1836.0655737704919</v>
      </c>
      <c r="JT233" s="193">
        <f>IFERROR(JT15/JT75*1000,"")</f>
        <v>1683.3333333333333</v>
      </c>
      <c r="JU233" s="193">
        <f>IFERROR(JU15/JU75*1000,"")</f>
        <v>1800</v>
      </c>
      <c r="JV233" s="193">
        <f>IFERROR(JV15/JV75*1000,"")</f>
        <v>1773.6625514403293</v>
      </c>
      <c r="JX233" s="37" t="str">
        <f t="shared" si="4081"/>
        <v>Revenue per carload ($)</v>
      </c>
      <c r="JY233" s="193">
        <f>IFERROR(JY15/JY75*1000,"")</f>
        <v>1931.0344827586207</v>
      </c>
      <c r="JZ233" s="193">
        <f>IFERROR(JZ15/JZ75*1000,"")</f>
        <v>1716.6666666666665</v>
      </c>
      <c r="KA233" s="193">
        <f>IFERROR(KA15/KA75*1000,"")</f>
        <v>1684.2105263157894</v>
      </c>
      <c r="KB233" s="193">
        <f>IFERROR(KB15/KB75*1000,"")</f>
        <v>1915.2542372881355</v>
      </c>
      <c r="KC233" s="193">
        <f>IFERROR(KC15/KC75*1000,"")</f>
        <v>1811.965811965812</v>
      </c>
      <c r="KE233" s="37" t="str">
        <f t="shared" si="4086"/>
        <v>Revenue per carload ($)</v>
      </c>
      <c r="KF233" s="193">
        <f>IFERROR(KF15/KF75*1000,"")</f>
        <v>2140.3508771929824</v>
      </c>
      <c r="KG233" s="193">
        <f>IFERROR(KG15/KG75*1000,"")</f>
        <v>1967.741935483871</v>
      </c>
      <c r="KH233" s="193">
        <f>IFERROR(KH15/KH75*1000,"")</f>
        <v>1962.962962962963</v>
      </c>
      <c r="KI233" s="193">
        <f>IFERROR(KI15/KI75*1000,"")</f>
        <v>2142.8571428571427</v>
      </c>
      <c r="KJ233" s="193">
        <f>IFERROR(KJ15/KJ75*1000,"")</f>
        <v>2052.4017467248909</v>
      </c>
      <c r="KL233" s="37" t="str">
        <f t="shared" si="4091"/>
        <v>Revenue per carload ($)</v>
      </c>
      <c r="KM233" s="193">
        <f>IFERROR(KM15/KM75*1000,"")</f>
        <v>2142.8571428571427</v>
      </c>
      <c r="KN233" s="193">
        <f>IFERROR(KN15/KN75*1000,"")</f>
        <v>2185.1851851851852</v>
      </c>
      <c r="KO233" s="193">
        <f>IFERROR(KO15/KO75*1000,"")</f>
        <v>2250</v>
      </c>
      <c r="KP233" s="193">
        <f>IFERROR(KP15/KP75*1000,"")</f>
        <v>2422.2222222222222</v>
      </c>
      <c r="KQ233" s="193">
        <f>IFERROR(KQ15/KQ75*1000,"")</f>
        <v>2241.3793103448274</v>
      </c>
      <c r="KS233" s="37" t="str">
        <f t="shared" si="4096"/>
        <v>Revenue per carload ($)</v>
      </c>
      <c r="KT233" s="193">
        <f>IFERROR(KT15/KT75*1000,"")</f>
        <v>2580</v>
      </c>
      <c r="KU233" s="193">
        <f>IFERROR(KU15/KU75*1000,"")</f>
        <v>2327.272727272727</v>
      </c>
      <c r="KV233" s="193">
        <f>IFERROR(KV15/KV75*1000,"")</f>
        <v>2638.2978723404253</v>
      </c>
      <c r="KW233" s="193">
        <f>IFERROR(KW15/KW75*1000,"")</f>
        <v>2872.3404255319151</v>
      </c>
      <c r="KX233" s="193">
        <f>IFERROR(KX15/KX75*1000,"")</f>
        <v>2592.9648241206032</v>
      </c>
      <c r="KZ233" s="37" t="str">
        <f t="shared" si="4101"/>
        <v>Revenue per carload ($)</v>
      </c>
      <c r="LA233" s="193">
        <f>IFERROR(LA15/LA75*1000,"")</f>
        <v>2893.617021276596</v>
      </c>
      <c r="LB233" s="193">
        <f>IFERROR(LB15/LB75*1000,"")</f>
        <v>2520</v>
      </c>
      <c r="LC233" s="193">
        <f>IFERROR(LC15/LC75*1000,"")</f>
        <v>2622.2222222222222</v>
      </c>
      <c r="LD233" s="193">
        <f>IFERROR(LD15/LD75*1000,"")</f>
        <v>2840.909090909091</v>
      </c>
      <c r="LE233" s="193">
        <f>LE236/LE230*1000</f>
        <v>2715.0537634408602</v>
      </c>
      <c r="LF233" s="563"/>
      <c r="LG233" s="37" t="str">
        <f t="shared" si="4104"/>
        <v>Revenue per carload ($)</v>
      </c>
      <c r="LH233" s="193">
        <f>IFERROR(LH15/LH75*1000,"")</f>
        <v>2833.3333333333335</v>
      </c>
      <c r="LI233" s="193">
        <f>IFERROR(LI15/LI75*1000,"")</f>
        <v>2680.8510638297871</v>
      </c>
      <c r="LJ233" s="193">
        <f>IFERROR(LJ15/LJ75*1000,"")</f>
        <v>2625</v>
      </c>
      <c r="LK233" s="193">
        <f>IFERROR(LK15/LK75*1000,"")</f>
        <v>2829.7872340425533</v>
      </c>
      <c r="LL233" s="193">
        <f>LL236/LL230*1000</f>
        <v>2742.1052631578946</v>
      </c>
      <c r="LM233" s="563"/>
      <c r="LN233" s="37" t="str">
        <f t="shared" si="4106"/>
        <v>Revenue per carload ($)</v>
      </c>
      <c r="LO233" s="193">
        <f>(LH233)*(1+LO234)</f>
        <v>2890</v>
      </c>
      <c r="LP233" s="193">
        <f t="shared" ref="LP233" si="4460">(LI233)*(1+LP234)</f>
        <v>2747.8723404255315</v>
      </c>
      <c r="LQ233" s="193">
        <f t="shared" ref="LQ233" si="4461">(LJ233)*(1+LQ234)</f>
        <v>2703.75</v>
      </c>
      <c r="LR233" s="193">
        <f t="shared" ref="LR233" si="4462">(LK233)*(1+LR234)</f>
        <v>2914.6808510638302</v>
      </c>
      <c r="LS233" s="193">
        <f>LS236/LS230*1000</f>
        <v>2814.0576878583001</v>
      </c>
      <c r="LT233" s="563"/>
      <c r="LU233" s="37" t="str">
        <f t="shared" si="1261"/>
        <v>Revenue per carload ($)</v>
      </c>
      <c r="LV233" s="193">
        <f>(LO233)*(1+LV234)</f>
        <v>2969.4750000000004</v>
      </c>
      <c r="LW233" s="193">
        <f t="shared" ref="LW233" si="4463">(LP233)*(1+LW234)</f>
        <v>2823.4388297872338</v>
      </c>
      <c r="LX233" s="193">
        <f t="shared" ref="LX233" si="4464">(LQ233)*(1+LX234)</f>
        <v>2778.1031250000001</v>
      </c>
      <c r="LY233" s="193">
        <f t="shared" ref="LY233" si="4465">(LR233)*(1+LY234)</f>
        <v>2994.834574468086</v>
      </c>
      <c r="LZ233" s="193">
        <f>LZ236/LZ230*1000</f>
        <v>2891.2632799359817</v>
      </c>
      <c r="MA233" s="563"/>
      <c r="MB233" s="37" t="str">
        <f t="shared" si="1265"/>
        <v>Revenue per carload ($)</v>
      </c>
      <c r="MC233" s="193">
        <f>(LV233)*(1+MC234)</f>
        <v>3043.711875</v>
      </c>
      <c r="MD233" s="193">
        <f t="shared" ref="MD233" si="4466">(LW233)*(1+MD234)</f>
        <v>2894.0248005319145</v>
      </c>
      <c r="ME233" s="193">
        <f t="shared" ref="ME233" si="4467">(LX233)*(1+ME234)</f>
        <v>2847.555703125</v>
      </c>
      <c r="MF233" s="193">
        <f t="shared" ref="MF233" si="4468">(LY233)*(1+MF234)</f>
        <v>3069.7054388297879</v>
      </c>
      <c r="MG233" s="193">
        <f>MG236/MG230*1000</f>
        <v>2963.8374507116555</v>
      </c>
      <c r="MH233" s="563"/>
    </row>
    <row r="234" spans="1:346" s="37" customFormat="1" ht="13.15" x14ac:dyDescent="0.4">
      <c r="A234" s="100"/>
      <c r="B234" s="197" t="s">
        <v>516</v>
      </c>
      <c r="C234" s="186"/>
      <c r="D234" s="186"/>
      <c r="E234" s="186"/>
      <c r="F234" s="186"/>
      <c r="G234" s="186"/>
      <c r="H234" s="186"/>
      <c r="I234" s="186"/>
      <c r="J234" s="186"/>
      <c r="K234" s="186"/>
      <c r="L234" s="186"/>
      <c r="M234" s="186"/>
      <c r="N234" s="193"/>
      <c r="O234" s="198">
        <f>O233/N233-1</f>
        <v>6.1140876142452116E-2</v>
      </c>
      <c r="P234" s="198">
        <f t="shared" ref="P234:BA234" si="4469">P233/O233-1</f>
        <v>4.700983227299016E-2</v>
      </c>
      <c r="Q234" s="198">
        <f t="shared" si="4469"/>
        <v>2.7881175967120697E-2</v>
      </c>
      <c r="R234" s="198">
        <f t="shared" si="4469"/>
        <v>3.200310504216497E-2</v>
      </c>
      <c r="S234" s="198">
        <f t="shared" si="4469"/>
        <v>-0.10703124999999991</v>
      </c>
      <c r="T234" s="198">
        <f t="shared" si="4469"/>
        <v>1.9162155511810885E-2</v>
      </c>
      <c r="U234" s="198">
        <f t="shared" si="4469"/>
        <v>-8.7021692967480524E-3</v>
      </c>
      <c r="V234" s="198">
        <f t="shared" si="4469"/>
        <v>5.6936829727853411E-2</v>
      </c>
      <c r="W234" s="198">
        <f t="shared" si="4469"/>
        <v>-2.5859658932065988E-2</v>
      </c>
      <c r="X234" s="198">
        <f t="shared" si="4469"/>
        <v>7.0027116563648795E-2</v>
      </c>
      <c r="Y234" s="198">
        <f t="shared" si="4469"/>
        <v>8.2135523613963146E-2</v>
      </c>
      <c r="Z234" s="198">
        <f t="shared" si="4469"/>
        <v>6.5988540526620731E-2</v>
      </c>
      <c r="AA234" s="198">
        <f t="shared" si="4469"/>
        <v>8.5122601956548749E-3</v>
      </c>
      <c r="AB234" s="198">
        <f t="shared" si="4469"/>
        <v>2.2054482018249999E-2</v>
      </c>
      <c r="AC234" s="198">
        <f t="shared" si="4469"/>
        <v>1.22677611497235E-2</v>
      </c>
      <c r="AD234" s="198">
        <f t="shared" si="4469"/>
        <v>9.191963224221289E-2</v>
      </c>
      <c r="AE234" s="198">
        <f t="shared" si="4469"/>
        <v>0.23700240827312635</v>
      </c>
      <c r="AF234" s="198">
        <f t="shared" si="4469"/>
        <v>0.18598932312337557</v>
      </c>
      <c r="AG234" s="198">
        <f t="shared" si="4469"/>
        <v>0.18653525720565822</v>
      </c>
      <c r="AH234" s="198">
        <f t="shared" si="4469"/>
        <v>-6.2103596063920019E-2</v>
      </c>
      <c r="AI234" s="198">
        <f t="shared" si="4469"/>
        <v>0.15105910971400172</v>
      </c>
      <c r="AJ234" s="198">
        <f t="shared" si="4469"/>
        <v>2.7501423642514844E-2</v>
      </c>
      <c r="AK234" s="198">
        <f t="shared" si="4469"/>
        <v>4.4897959183673342E-2</v>
      </c>
      <c r="AL234" s="198">
        <f t="shared" si="4469"/>
        <v>1.041069380733961E-2</v>
      </c>
      <c r="AM234" s="198">
        <f t="shared" si="4469"/>
        <v>4.0710712437468377E-3</v>
      </c>
      <c r="AN234" s="198">
        <f t="shared" si="4469"/>
        <v>3.9568479599836337E-3</v>
      </c>
      <c r="AO234" s="198">
        <f t="shared" si="4469"/>
        <v>0.12668097436897963</v>
      </c>
      <c r="AP234" s="198">
        <f t="shared" si="4469"/>
        <v>-0.12511775398373326</v>
      </c>
      <c r="AQ234" s="198">
        <f t="shared" si="4469"/>
        <v>0.11295514329226064</v>
      </c>
      <c r="AR234" s="198">
        <f t="shared" si="4469"/>
        <v>-4.8228218162857939E-3</v>
      </c>
      <c r="AS234" s="198">
        <f t="shared" si="4469"/>
        <v>2.159557379975019E-2</v>
      </c>
      <c r="AT234" s="198">
        <f t="shared" si="4469"/>
        <v>0.13269341682458591</v>
      </c>
      <c r="AU234" s="198">
        <f t="shared" si="4469"/>
        <v>9.2076302274394672E-2</v>
      </c>
      <c r="AV234" s="198">
        <f t="shared" si="4469"/>
        <v>0.15686122922303847</v>
      </c>
      <c r="AW234" s="198">
        <f t="shared" si="4469"/>
        <v>4.7084687838626182E-2</v>
      </c>
      <c r="AX234" s="198">
        <f t="shared" si="4469"/>
        <v>9.9635226680563349E-3</v>
      </c>
      <c r="AY234" s="198">
        <f t="shared" si="4469"/>
        <v>2.6239847779418568E-2</v>
      </c>
      <c r="AZ234" s="198">
        <f t="shared" si="4469"/>
        <v>2.7435682079581136E-2</v>
      </c>
      <c r="BA234" s="198">
        <f t="shared" si="4469"/>
        <v>2.5101197555859045E-2</v>
      </c>
      <c r="BB234" s="198"/>
      <c r="BC234" s="198"/>
      <c r="BD234" s="198"/>
      <c r="BE234" s="198"/>
      <c r="BF234" s="198"/>
      <c r="BG234" s="198"/>
      <c r="BH234" s="198"/>
      <c r="BI234" s="198"/>
      <c r="BJ234" s="198"/>
      <c r="BK234" s="198"/>
      <c r="BL234" s="198"/>
      <c r="BM234" s="198"/>
      <c r="BO234" s="197" t="str">
        <f t="shared" si="3930"/>
        <v>YoY Change (%)</v>
      </c>
      <c r="BP234" s="193"/>
      <c r="BQ234" s="193"/>
      <c r="BR234" s="193"/>
      <c r="BS234" s="193"/>
      <c r="BT234" s="193"/>
      <c r="BV234" s="197" t="str">
        <f t="shared" si="3931"/>
        <v>YoY Change (%)</v>
      </c>
      <c r="BW234" s="198">
        <f>BW233/BP233-1</f>
        <v>7.2609208972845396E-2</v>
      </c>
      <c r="BX234" s="198">
        <f t="shared" ref="BX234" si="4470">BX233/BQ233-1</f>
        <v>6.0728744939271273E-2</v>
      </c>
      <c r="BY234" s="198">
        <f t="shared" ref="BY234" si="4471">BY233/BR233-1</f>
        <v>5.0110537951363332E-2</v>
      </c>
      <c r="BZ234" s="198">
        <f t="shared" ref="BZ234" si="4472">BZ233/BS233-1</f>
        <v>5.6325492689129453E-2</v>
      </c>
      <c r="CA234" s="198">
        <f t="shared" ref="CA234" si="4473">CA233/BT233-1</f>
        <v>6.1140876142452116E-2</v>
      </c>
      <c r="CC234" s="197" t="str">
        <f t="shared" si="3936"/>
        <v>YoY Change (%)</v>
      </c>
      <c r="CD234" s="198">
        <f>CD233/BW233-1</f>
        <v>1.0616578195181692E-2</v>
      </c>
      <c r="CE234" s="198">
        <f t="shared" ref="CE234" si="4474">CE233/BX233-1</f>
        <v>0.11379310344827576</v>
      </c>
      <c r="CF234" s="198">
        <f t="shared" ref="CF234" si="4475">CF233/BY233-1</f>
        <v>6.094978826376285E-2</v>
      </c>
      <c r="CG234" s="198">
        <f t="shared" ref="CG234" si="4476">CG233/BZ233-1</f>
        <v>1.6806722689075348E-2</v>
      </c>
      <c r="CH234" s="198">
        <f t="shared" ref="CH234" si="4477">CH233/CA233-1</f>
        <v>4.700983227299016E-2</v>
      </c>
      <c r="CJ234" s="197" t="str">
        <f t="shared" si="3941"/>
        <v>YoY Change (%)</v>
      </c>
      <c r="CK234" s="198">
        <f>CK233/CD233-1</f>
        <v>6.0888888888888992E-2</v>
      </c>
      <c r="CL234" s="198">
        <f t="shared" ref="CL234" si="4478">CL233/CE233-1</f>
        <v>-1.530368244858904E-2</v>
      </c>
      <c r="CM234" s="198">
        <f t="shared" ref="CM234" si="4479">CM233/CF233-1</f>
        <v>3.2318501170960134E-2</v>
      </c>
      <c r="CN234" s="198">
        <f t="shared" ref="CN234" si="4480">CN233/CG233-1</f>
        <v>2.6564425578529338E-2</v>
      </c>
      <c r="CO234" s="198">
        <f t="shared" ref="CO234" si="4481">CO233/CH233-1</f>
        <v>2.7881175967120697E-2</v>
      </c>
      <c r="CQ234" s="197" t="str">
        <f t="shared" si="3946"/>
        <v>YoY Change (%)</v>
      </c>
      <c r="CR234" s="198">
        <f>CR233/CK233-1</f>
        <v>-1.7199017199017286E-2</v>
      </c>
      <c r="CS234" s="198">
        <f t="shared" ref="CS234" si="4482">CS233/CL233-1</f>
        <v>6.4866261790929025E-2</v>
      </c>
      <c r="CT234" s="198">
        <f t="shared" ref="CT234" si="4483">CT233/CM233-1</f>
        <v>4.7471620227038436E-2</v>
      </c>
      <c r="CU234" s="198">
        <f t="shared" ref="CU234" si="4484">CU233/CN233-1</f>
        <v>4.4947351878044994E-2</v>
      </c>
      <c r="CV234" s="198">
        <f t="shared" ref="CV234" si="4485">CV233/CO233-1</f>
        <v>3.200310504216497E-2</v>
      </c>
      <c r="CX234" s="197" t="str">
        <f t="shared" si="3951"/>
        <v>YoY Change (%)</v>
      </c>
      <c r="CY234" s="198">
        <f>CY233/CR233-1</f>
        <v>-5.9797724399494379E-2</v>
      </c>
      <c r="CZ234" s="198">
        <f t="shared" ref="CZ234" si="4486">CZ233/CS233-1</f>
        <v>-0.12504703373886861</v>
      </c>
      <c r="DA234" s="198">
        <f t="shared" ref="DA234" si="4487">DA233/CT233-1</f>
        <v>-9.7751124437781001E-2</v>
      </c>
      <c r="DB234" s="198">
        <f t="shared" ref="DB234" si="4488">DB233/CU233-1</f>
        <v>-0.13847794215647058</v>
      </c>
      <c r="DC234" s="198">
        <f t="shared" ref="DC234" si="4489">DC233/CV233-1</f>
        <v>-0.10703124999999991</v>
      </c>
      <c r="DE234" s="197" t="str">
        <f t="shared" si="3956"/>
        <v>YoY Change (%)</v>
      </c>
      <c r="DF234" s="198">
        <f>DF233/CY233-1</f>
        <v>-2.0302897278314247E-2</v>
      </c>
      <c r="DG234" s="198">
        <f t="shared" ref="DG234" si="4490">DG233/CZ233-1</f>
        <v>-1.1284722222222321E-2</v>
      </c>
      <c r="DH234" s="198">
        <f t="shared" ref="DH234" si="4491">DH233/DA233-1</f>
        <v>3.0039961416563399E-2</v>
      </c>
      <c r="DI234" s="198">
        <f t="shared" ref="DI234" si="4492">DI233/DB233-1</f>
        <v>7.4434055118110187E-2</v>
      </c>
      <c r="DJ234" s="198">
        <f t="shared" ref="DJ234" si="4493">DJ233/DC233-1</f>
        <v>1.9162155511810885E-2</v>
      </c>
      <c r="DL234" s="197" t="str">
        <f t="shared" si="3961"/>
        <v>YoY Change (%)</v>
      </c>
      <c r="DM234" s="198">
        <f>DM233/DF233-1</f>
        <v>-6.8159688412853248E-3</v>
      </c>
      <c r="DN234" s="198">
        <f t="shared" ref="DN234" si="4494">DN233/DG233-1</f>
        <v>1.3759328358209144E-2</v>
      </c>
      <c r="DO234" s="198">
        <f t="shared" ref="DO234" si="4495">DO233/DH233-1</f>
        <v>-2.4278846153846234E-2</v>
      </c>
      <c r="DP234" s="198">
        <f t="shared" ref="DP234" si="4496">DP233/DI233-1</f>
        <v>-1.2619718309859085E-2</v>
      </c>
      <c r="DQ234" s="198">
        <f t="shared" ref="DQ234" si="4497">DQ233/DJ233-1</f>
        <v>-8.7021692967480524E-3</v>
      </c>
      <c r="DS234" s="197" t="str">
        <f t="shared" si="3966"/>
        <v>YoY Change (%)</v>
      </c>
      <c r="DT234" s="198">
        <f>DT233/DM233-1</f>
        <v>4.0000000000000036E-2</v>
      </c>
      <c r="DU234" s="198">
        <f t="shared" ref="DU234" si="4498">DU233/DN233-1</f>
        <v>6.4150095494888149E-2</v>
      </c>
      <c r="DV234" s="198">
        <f t="shared" ref="DV234" si="4499">DV233/DO233-1</f>
        <v>8.990733784122229E-2</v>
      </c>
      <c r="DW234" s="198">
        <f t="shared" ref="DW234" si="4500">DW233/DP233-1</f>
        <v>3.717225356787246E-2</v>
      </c>
      <c r="DX234" s="198">
        <f t="shared" ref="DX234" si="4501">DX233/DQ233-1</f>
        <v>5.6936829727853411E-2</v>
      </c>
      <c r="DZ234" s="197" t="str">
        <f t="shared" si="3971"/>
        <v>YoY Change (%)</v>
      </c>
      <c r="EA234" s="198">
        <f>EA233/DT233-1</f>
        <v>2.4691358024691246E-2</v>
      </c>
      <c r="EB234" s="198">
        <f t="shared" ref="EB234" si="4502">EB233/DU233-1</f>
        <v>-1.4688601645123422E-2</v>
      </c>
      <c r="EC234" s="198">
        <f t="shared" ref="EC234" si="4503">EC233/DV233-1</f>
        <v>-6.2752581948810171E-2</v>
      </c>
      <c r="ED234" s="198">
        <f t="shared" ref="ED234" si="4504">ED233/DW233-1</f>
        <v>-5.5506172839505985E-2</v>
      </c>
      <c r="EE234" s="198">
        <f t="shared" ref="EE234" si="4505">EE233/DX233-1</f>
        <v>-2.5859658932065988E-2</v>
      </c>
      <c r="EG234" s="197" t="str">
        <f t="shared" si="3976"/>
        <v>YoY Change (%)</v>
      </c>
      <c r="EH234" s="198">
        <f>EH233/EA233-1</f>
        <v>-2.1898404428524865E-2</v>
      </c>
      <c r="EI234" s="198">
        <f t="shared" ref="EI234" si="4506">EI233/EB233-1</f>
        <v>7.8125000000000222E-2</v>
      </c>
      <c r="EJ234" s="198">
        <f t="shared" ref="EJ234" si="4507">EJ233/EC233-1</f>
        <v>6.1394499600593511E-2</v>
      </c>
      <c r="EK234" s="198">
        <f t="shared" ref="EK234" si="4508">EK233/ED233-1</f>
        <v>0.17819266460450733</v>
      </c>
      <c r="EL234" s="198">
        <f t="shared" ref="EL234" si="4509">EL233/EE233-1</f>
        <v>7.0027116563648795E-2</v>
      </c>
      <c r="EN234" s="197" t="str">
        <f t="shared" si="3981"/>
        <v>YoY Change (%)</v>
      </c>
      <c r="EO234" s="198">
        <f>EO233/EH233-1</f>
        <v>0.18054721674243068</v>
      </c>
      <c r="EP234" s="198">
        <f t="shared" ref="EP234" si="4510">EP233/EI233-1</f>
        <v>-1.2716281008963937E-2</v>
      </c>
      <c r="EQ234" s="198">
        <f t="shared" ref="EQ234" si="4511">EQ233/EJ233-1</f>
        <v>0.16656460502143289</v>
      </c>
      <c r="ER234" s="198">
        <f t="shared" ref="ER234" si="4512">ER233/EK233-1</f>
        <v>-2.3600085818495931E-3</v>
      </c>
      <c r="ES234" s="198">
        <f t="shared" ref="ES234" si="4513">ES233/EL233-1</f>
        <v>8.2135523613963146E-2</v>
      </c>
      <c r="EU234" s="197" t="str">
        <f t="shared" si="3986"/>
        <v>YoY Change (%)</v>
      </c>
      <c r="EV234" s="198">
        <f>EV233/EO233-1</f>
        <v>5.3492364687810712E-2</v>
      </c>
      <c r="EW234" s="198">
        <f t="shared" ref="EW234" si="4514">EW233/EP233-1</f>
        <v>0.18725868725868744</v>
      </c>
      <c r="EX234" s="198">
        <f t="shared" ref="EX234" si="4515">EX233/EQ233-1</f>
        <v>-4.3564356435643492E-2</v>
      </c>
      <c r="EY234" s="198">
        <f t="shared" ref="EY234" si="4516">EY233/ER233-1</f>
        <v>7.1494252873563369E-2</v>
      </c>
      <c r="EZ234" s="198">
        <f t="shared" ref="EZ234" si="4517">EZ233/ES233-1</f>
        <v>6.5988540526620731E-2</v>
      </c>
      <c r="FB234" s="197" t="str">
        <f t="shared" si="3991"/>
        <v>YoY Change (%)</v>
      </c>
      <c r="FC234" s="198">
        <f>FC233/EV233-1</f>
        <v>0</v>
      </c>
      <c r="FD234" s="198">
        <f t="shared" ref="FD234" si="4518">FD233/EW233-1</f>
        <v>-2.3529411764706021E-2</v>
      </c>
      <c r="FE234" s="198">
        <f t="shared" ref="FE234" si="4519">FE233/EX233-1</f>
        <v>3.5679168422531271E-2</v>
      </c>
      <c r="FF234" s="198">
        <f t="shared" ref="FF234" si="4520">FF233/EY233-1</f>
        <v>3.5714285714285809E-2</v>
      </c>
      <c r="FG234" s="198">
        <f t="shared" ref="FG234" si="4521">FG233/EZ233-1</f>
        <v>8.5122601956548749E-3</v>
      </c>
      <c r="FI234" s="197" t="str">
        <f t="shared" si="3996"/>
        <v>YoY Change (%)</v>
      </c>
      <c r="FJ234" s="198">
        <f>FJ233/FC233-1</f>
        <v>-5.7620282339383433E-3</v>
      </c>
      <c r="FK234" s="198">
        <f t="shared" ref="FK234" si="4522">FK233/FD233-1</f>
        <v>7.8473184774496163E-2</v>
      </c>
      <c r="FL234" s="198">
        <f t="shared" ref="FL234" si="4523">FL233/FE233-1</f>
        <v>4.8065368901706318E-3</v>
      </c>
      <c r="FM234" s="198">
        <f t="shared" ref="FM234" si="4524">FM233/FF233-1</f>
        <v>1.440419030990836E-2</v>
      </c>
      <c r="FN234" s="198">
        <f t="shared" ref="FN234" si="4525">FN233/FG233-1</f>
        <v>2.2054482018249999E-2</v>
      </c>
      <c r="FP234" s="197" t="str">
        <f t="shared" si="4001"/>
        <v>YoY Change (%)</v>
      </c>
      <c r="FQ234" s="198">
        <f>FQ233/FJ233-1</f>
        <v>-2.586206896551646E-3</v>
      </c>
      <c r="FR234" s="198">
        <f t="shared" ref="FR234" si="4526">FR233/FK233-1</f>
        <v>-3.3155080213903676E-2</v>
      </c>
      <c r="FS234" s="198">
        <f t="shared" ref="FS234" si="4527">FS233/FL233-1</f>
        <v>7.9818135892902209E-2</v>
      </c>
      <c r="FT234" s="198">
        <f t="shared" ref="FT234" si="4528">FT233/FM233-1</f>
        <v>1.1264570477030222E-2</v>
      </c>
      <c r="FU234" s="198">
        <f t="shared" ref="FU234" si="4529">FU233/FN233-1</f>
        <v>1.22677611497235E-2</v>
      </c>
      <c r="FW234" s="197" t="str">
        <f t="shared" si="4006"/>
        <v>YoY Change (%)</v>
      </c>
      <c r="FX234" s="198">
        <f>FX233/FQ233-1</f>
        <v>3.7165082108902237E-2</v>
      </c>
      <c r="FY234" s="198">
        <f t="shared" ref="FY234" si="4530">FY233/FR233-1</f>
        <v>6.9444444444444642E-2</v>
      </c>
      <c r="FZ234" s="198">
        <f t="shared" ref="FZ234" si="4531">FZ233/FS233-1</f>
        <v>6.6786786786786845E-2</v>
      </c>
      <c r="GA234" s="198">
        <f t="shared" ref="GA234" si="4532">GA233/FT233-1</f>
        <v>0.21450459652706821</v>
      </c>
      <c r="GB234" s="198">
        <f t="shared" ref="GB234" si="4533">GB233/FU233-1</f>
        <v>9.191963224221289E-2</v>
      </c>
      <c r="GD234" s="197" t="str">
        <f t="shared" si="4011"/>
        <v>YoY Change (%)</v>
      </c>
      <c r="GE234" s="198">
        <f>GE233/FX233-1</f>
        <v>0.32954545454545459</v>
      </c>
      <c r="GF234" s="198">
        <f t="shared" ref="GF234" si="4534">GF233/FY233-1</f>
        <v>0.27203647416413368</v>
      </c>
      <c r="GG234" s="198">
        <f t="shared" ref="GG234" si="4535">GG233/FZ233-1</f>
        <v>0.17916828604741553</v>
      </c>
      <c r="GH234" s="198">
        <f t="shared" ref="GH234" si="4536">GH233/GA233-1</f>
        <v>0.16409036860879911</v>
      </c>
      <c r="GI234" s="198">
        <f t="shared" ref="GI234" si="4537">GI233/GB233-1</f>
        <v>0.23700240827312635</v>
      </c>
      <c r="GK234" s="197" t="str">
        <f t="shared" si="4016"/>
        <v>YoY Change (%)</v>
      </c>
      <c r="GL234" s="198">
        <f>GL233/GE233-1</f>
        <v>0.12657004830917873</v>
      </c>
      <c r="GM234" s="198">
        <f t="shared" ref="GM234" si="4538">GM233/GF233-1</f>
        <v>0.18110426483025233</v>
      </c>
      <c r="GN234" s="198">
        <f t="shared" ref="GN234" si="4539">GN233/GG233-1</f>
        <v>0.27276422764227637</v>
      </c>
      <c r="GO234" s="198">
        <f t="shared" ref="GO234" si="4540">GO233/GH233-1</f>
        <v>0.16878358573522245</v>
      </c>
      <c r="GP234" s="198">
        <f t="shared" ref="GP234" si="4541">GP233/GI233-1</f>
        <v>0.18598932312337557</v>
      </c>
      <c r="GR234" s="197" t="str">
        <f t="shared" si="4021"/>
        <v>YoY Change (%)</v>
      </c>
      <c r="GS234" s="198">
        <f>GS233/GL233-1</f>
        <v>0.23989218328840978</v>
      </c>
      <c r="GT234" s="198">
        <f t="shared" ref="GT234" si="4542">GT233/GM233-1</f>
        <v>0.20371935756551141</v>
      </c>
      <c r="GU234" s="198">
        <f t="shared" ref="GU234" si="4543">GU233/GN233-1</f>
        <v>0.19836121543188812</v>
      </c>
      <c r="GV234" s="198">
        <f t="shared" ref="GV234" si="4544">GV233/GO233-1</f>
        <v>8.9807162534435214E-2</v>
      </c>
      <c r="GW234" s="198">
        <f t="shared" ref="GW234" si="4545">GW233/GP233-1</f>
        <v>0.18653525720565822</v>
      </c>
      <c r="GY234" s="197" t="str">
        <f t="shared" si="4026"/>
        <v>YoY Change (%)</v>
      </c>
      <c r="GZ234" s="198">
        <f>GZ233/GS233-1</f>
        <v>1.4999999999999902E-2</v>
      </c>
      <c r="HA234" s="198">
        <f t="shared" ref="HA234" si="4546">HA233/GT233-1</f>
        <v>-9.6917229729729826E-2</v>
      </c>
      <c r="HB234" s="198">
        <f t="shared" ref="HB234" si="4547">HB233/GU233-1</f>
        <v>-9.2241092241092115E-2</v>
      </c>
      <c r="HC234" s="198">
        <f t="shared" ref="HC234" si="4548">HC233/GV233-1</f>
        <v>-3.5778175313059046E-2</v>
      </c>
      <c r="HD234" s="198">
        <f t="shared" ref="HD234" si="4549">HD233/GW233-1</f>
        <v>-6.2103596063920019E-2</v>
      </c>
      <c r="HF234" s="197" t="str">
        <f t="shared" si="4031"/>
        <v>YoY Change (%)</v>
      </c>
      <c r="HG234" s="198">
        <f>HG233/GZ233-1</f>
        <v>7.3766914011348828E-2</v>
      </c>
      <c r="HH234" s="198">
        <f t="shared" ref="HH234" si="4550">HH233/HA233-1</f>
        <v>7.2606382978723571E-2</v>
      </c>
      <c r="HI234" s="198">
        <f t="shared" ref="HI234" si="4551">HI233/HB233-1</f>
        <v>0.12370430987452252</v>
      </c>
      <c r="HJ234" s="198">
        <f t="shared" ref="HJ234" si="4552">HJ233/HC233-1</f>
        <v>0.31954887218045114</v>
      </c>
      <c r="HK234" s="198">
        <f t="shared" ref="HK234" si="4553">HK233/HD233-1</f>
        <v>0.15105910971400172</v>
      </c>
      <c r="HM234" s="197" t="str">
        <f t="shared" si="4036"/>
        <v>YoY Change (%)</v>
      </c>
      <c r="HN234" s="198">
        <f>HN233/HG233-1</f>
        <v>5.24047409148789E-2</v>
      </c>
      <c r="HO234" s="198">
        <f t="shared" ref="HO234" si="4554">HO233/HH233-1</f>
        <v>9.174311926605494E-2</v>
      </c>
      <c r="HP234" s="198">
        <f t="shared" ref="HP234" si="4555">HP233/HI233-1</f>
        <v>7.5233644859812987E-2</v>
      </c>
      <c r="HQ234" s="198">
        <f t="shared" ref="HQ234" si="4556">HQ233/HJ233-1</f>
        <v>-9.5238095238095233E-2</v>
      </c>
      <c r="HR234" s="198">
        <f t="shared" ref="HR234" si="4557">HR233/HK233-1</f>
        <v>2.7501423642514844E-2</v>
      </c>
      <c r="HT234" s="197" t="str">
        <f t="shared" si="4041"/>
        <v>YoY Change (%)</v>
      </c>
      <c r="HU234" s="198">
        <f>HU233/HN233-1</f>
        <v>-6.4338235294114643E-4</v>
      </c>
      <c r="HV234" s="198">
        <f t="shared" ref="HV234" si="4558">HV233/HO233-1</f>
        <v>6.3716625890862577E-2</v>
      </c>
      <c r="HW234" s="198">
        <f t="shared" ref="HW234" si="4559">HW233/HP233-1</f>
        <v>4.2372881355932313E-2</v>
      </c>
      <c r="HX234" s="198">
        <f t="shared" ref="HX234" si="4560">HX233/HQ233-1</f>
        <v>8.1300813008130079E-2</v>
      </c>
      <c r="HY234" s="198">
        <f t="shared" ref="HY234" si="4561">HY233/HR233-1</f>
        <v>4.4897959183673342E-2</v>
      </c>
      <c r="IA234" s="197" t="str">
        <f t="shared" si="4046"/>
        <v>YoY Change (%)</v>
      </c>
      <c r="IB234" s="198">
        <f>IB233/HU233-1</f>
        <v>4.6892039258451534E-2</v>
      </c>
      <c r="IC234" s="198">
        <f t="shared" ref="IC234" si="4562">IC233/HV233-1</f>
        <v>-7.9069767441861671E-3</v>
      </c>
      <c r="ID234" s="198">
        <f t="shared" ref="ID234" si="4563">ID233/HW233-1</f>
        <v>8.1300813008129413E-3</v>
      </c>
      <c r="IE234" s="198">
        <f t="shared" ref="IE234" si="4564">IE233/HX233-1</f>
        <v>-7.1282101357289518E-3</v>
      </c>
      <c r="IF234" s="198">
        <f t="shared" ref="IF234" si="4565">IF233/HY233-1</f>
        <v>1.041069380733961E-2</v>
      </c>
      <c r="IH234" s="197" t="str">
        <f t="shared" si="4051"/>
        <v>YoY Change (%)</v>
      </c>
      <c r="II234" s="198">
        <f>II233/IB233-1</f>
        <v>-5.8232931726907577E-2</v>
      </c>
      <c r="IJ234" s="198">
        <f t="shared" ref="IJ234" si="4566">IJ233/IC233-1</f>
        <v>5.9259259259259345E-2</v>
      </c>
      <c r="IK234" s="198">
        <f t="shared" ref="IK234" si="4567">IK233/ID233-1</f>
        <v>-7.8678206136906237E-4</v>
      </c>
      <c r="IL234" s="198">
        <f t="shared" ref="IL234" si="4568">IL233/IE233-1</f>
        <v>2.1845651286239276E-2</v>
      </c>
      <c r="IM234" s="198">
        <f t="shared" ref="IM234" si="4569">IM233/IF233-1</f>
        <v>4.0710712437468377E-3</v>
      </c>
      <c r="IO234" s="197" t="str">
        <f t="shared" si="4056"/>
        <v>YoY Change (%)</v>
      </c>
      <c r="IP234" s="198">
        <f>IP233/II233-1</f>
        <v>7.998469192499047E-2</v>
      </c>
      <c r="IQ234" s="198">
        <f t="shared" ref="IQ234" si="4570">IQ233/IJ233-1</f>
        <v>-5.9350905504751639E-2</v>
      </c>
      <c r="IR234" s="198">
        <f t="shared" ref="IR234" si="4571">IR233/IK233-1</f>
        <v>9.4266385715868761E-3</v>
      </c>
      <c r="IS234" s="198">
        <f t="shared" ref="IS234" si="4572">IS233/IL233-1</f>
        <v>-1.4553014553014609E-2</v>
      </c>
      <c r="IT234" s="198">
        <f t="shared" ref="IT234" si="4573">IT233/IM233-1</f>
        <v>3.9568479599836337E-3</v>
      </c>
      <c r="IV234" s="197" t="str">
        <f t="shared" si="4061"/>
        <v>YoY Change (%)</v>
      </c>
      <c r="IW234" s="198">
        <f>IW233/IP233-1</f>
        <v>-4.160216718266263E-2</v>
      </c>
      <c r="IX234" s="198">
        <f t="shared" ref="IX234" si="4574">IX233/IQ233-1</f>
        <v>1.2295081967212962E-2</v>
      </c>
      <c r="IY234" s="198">
        <f t="shared" ref="IY234" si="4575">IY233/IR233-1</f>
        <v>-7.6076076076076027E-2</v>
      </c>
      <c r="IZ234" s="198">
        <f t="shared" ref="IZ234" si="4576">IZ233/IS233-1</f>
        <v>0.69338624338624344</v>
      </c>
      <c r="JA234" s="198">
        <f t="shared" ref="JA234" si="4577">JA233/IT233-1</f>
        <v>0.12668097436897963</v>
      </c>
      <c r="JC234" s="197" t="str">
        <f t="shared" si="4066"/>
        <v>YoY Change (%)</v>
      </c>
      <c r="JD234" s="198">
        <f>JD233/IW233-1</f>
        <v>2.5564986194908101E-3</v>
      </c>
      <c r="JE234" s="198">
        <f t="shared" ref="JE234" si="4578">JE233/IX233-1</f>
        <v>-4.4534412955465563E-2</v>
      </c>
      <c r="JF234" s="198">
        <f t="shared" ref="JF234" si="4579">JF233/IY233-1</f>
        <v>7.9185520361990891E-2</v>
      </c>
      <c r="JG234" s="198">
        <f t="shared" ref="JG234" si="4580">JG233/IZ233-1</f>
        <v>-0.39484869092145525</v>
      </c>
      <c r="JH234" s="198">
        <f t="shared" ref="JH234" si="4581">JH233/JA233-1</f>
        <v>-0.12511775398373326</v>
      </c>
      <c r="JJ234" s="197" t="str">
        <f t="shared" si="4071"/>
        <v>YoY Change (%)</v>
      </c>
      <c r="JK234" s="198">
        <f>JK233/JD233-1</f>
        <v>8.1879844961240345E-2</v>
      </c>
      <c r="JL234" s="198">
        <f t="shared" ref="JL234" si="4582">JL233/JE233-1</f>
        <v>0.15677966101694918</v>
      </c>
      <c r="JM234" s="198">
        <f t="shared" ref="JM234" si="4583">JM233/JF233-1</f>
        <v>0.11194968553459139</v>
      </c>
      <c r="JN234" s="198">
        <f t="shared" ref="JN234" si="4584">JN233/JG233-1</f>
        <v>0.10324483775811211</v>
      </c>
      <c r="JO234" s="198">
        <f t="shared" ref="JO234" si="4585">JO233/JH233-1</f>
        <v>0.11295514329226064</v>
      </c>
      <c r="JQ234" s="197" t="str">
        <f t="shared" si="4076"/>
        <v>YoY Change (%)</v>
      </c>
      <c r="JR234" s="198">
        <f>JR233/JK233-1</f>
        <v>-2.1134593993325845E-2</v>
      </c>
      <c r="JS234" s="198">
        <f t="shared" ref="JS234" si="4586">JS233/JL233-1</f>
        <v>4.9180327868852514E-2</v>
      </c>
      <c r="JT234" s="198">
        <f t="shared" ref="JT234" si="4587">JT233/JM233-1</f>
        <v>-2.8846153846153966E-2</v>
      </c>
      <c r="JU234" s="198">
        <f t="shared" ref="JU234" si="4588">JU233/JN233-1</f>
        <v>-1.8181818181818188E-2</v>
      </c>
      <c r="JV234" s="198">
        <f t="shared" ref="JV234" si="4589">JV233/JO233-1</f>
        <v>-4.8228218162857939E-3</v>
      </c>
      <c r="JX234" s="197" t="str">
        <f t="shared" si="4081"/>
        <v>YoY Change (%)</v>
      </c>
      <c r="JY234" s="198">
        <f>JY233/JR233-1</f>
        <v>8.8401253918495293E-2</v>
      </c>
      <c r="JZ234" s="198">
        <f t="shared" ref="JZ234" si="4590">JZ233/JS233-1</f>
        <v>-6.5029761904762062E-2</v>
      </c>
      <c r="KA234" s="198">
        <f t="shared" ref="KA234" si="4591">KA233/JT233-1</f>
        <v>5.2110474205302459E-4</v>
      </c>
      <c r="KB234" s="198">
        <f t="shared" ref="KB234" si="4592">KB233/JU233-1</f>
        <v>6.4030131826741998E-2</v>
      </c>
      <c r="KC234" s="198">
        <f t="shared" ref="KC234" si="4593">KC233/JV233-1</f>
        <v>2.159557379975019E-2</v>
      </c>
      <c r="KE234" s="197" t="str">
        <f t="shared" si="4086"/>
        <v>YoY Change (%)</v>
      </c>
      <c r="KF234" s="198">
        <f>KF233/JY233-1</f>
        <v>0.10839598997493738</v>
      </c>
      <c r="KG234" s="198">
        <f t="shared" ref="KG234" si="4594">KG233/JZ233-1</f>
        <v>0.14625743814594427</v>
      </c>
      <c r="KH234" s="198">
        <f t="shared" ref="KH234" si="4595">KH233/KA233-1</f>
        <v>0.1655092592592593</v>
      </c>
      <c r="KI234" s="198">
        <f t="shared" ref="KI234" si="4596">KI233/KB233-1</f>
        <v>0.11883691529709228</v>
      </c>
      <c r="KJ234" s="198">
        <f t="shared" ref="KJ234" si="4597">KJ233/KC233-1</f>
        <v>0.13269341682458591</v>
      </c>
      <c r="KL234" s="197" t="str">
        <f t="shared" si="4091"/>
        <v>YoY Change (%)</v>
      </c>
      <c r="KM234" s="198">
        <f>KM233/KF233-1</f>
        <v>1.1709601873535203E-3</v>
      </c>
      <c r="KN234" s="198">
        <f t="shared" ref="KN234" si="4598">KN233/KG233-1</f>
        <v>0.11050394656952034</v>
      </c>
      <c r="KO234" s="198">
        <f t="shared" ref="KO234" si="4599">KO233/KH233-1</f>
        <v>0.14622641509433953</v>
      </c>
      <c r="KP234" s="198">
        <f t="shared" ref="KP234" si="4600">KP233/KI233-1</f>
        <v>0.13037037037037047</v>
      </c>
      <c r="KQ234" s="198">
        <f t="shared" ref="KQ234" si="4601">KQ233/KJ233-1</f>
        <v>9.2076302274394672E-2</v>
      </c>
      <c r="KS234" s="197" t="str">
        <f t="shared" si="4096"/>
        <v>YoY Change (%)</v>
      </c>
      <c r="KT234" s="198">
        <f>KT233/KM233-1</f>
        <v>0.20400000000000018</v>
      </c>
      <c r="KU234" s="198">
        <f t="shared" ref="KU234" si="4602">KU233/KN233-1</f>
        <v>6.5023112480739442E-2</v>
      </c>
      <c r="KV234" s="198">
        <f t="shared" ref="KV234" si="4603">KV233/KO233-1</f>
        <v>0.17257683215130015</v>
      </c>
      <c r="KW234" s="198">
        <f t="shared" ref="KW234" si="4604">KW233/KP233-1</f>
        <v>0.185828616045286</v>
      </c>
      <c r="KX234" s="198">
        <f t="shared" ref="KX234" si="4605">KX233/KQ233-1</f>
        <v>0.15686122922303847</v>
      </c>
      <c r="KZ234" s="197" t="str">
        <f t="shared" si="4101"/>
        <v>YoY Change (%)</v>
      </c>
      <c r="LA234" s="198">
        <f>LA233/KT233-1</f>
        <v>0.1215569849909286</v>
      </c>
      <c r="LB234" s="198">
        <f>LB233/KU233-1</f>
        <v>8.2812500000000178E-2</v>
      </c>
      <c r="LC234" s="198">
        <f>LC233/KV233-1</f>
        <v>-6.0931899641576415E-3</v>
      </c>
      <c r="LD234" s="198">
        <f t="shared" ref="LD234" si="4606">LD233/KW233-1</f>
        <v>-1.0942760942761032E-2</v>
      </c>
      <c r="LE234" s="199">
        <f t="shared" ref="LE234" si="4607">LE233/KX233-1</f>
        <v>4.7084687838626182E-2</v>
      </c>
      <c r="LF234" s="567"/>
      <c r="LG234" s="197" t="str">
        <f t="shared" si="4104"/>
        <v>YoY Change (%)</v>
      </c>
      <c r="LH234" s="198">
        <f>LH233/LA233-1</f>
        <v>-2.083333333333337E-2</v>
      </c>
      <c r="LI234" s="198">
        <f>LI233/LB233-1</f>
        <v>6.3829787234042534E-2</v>
      </c>
      <c r="LJ234" s="198">
        <f>LJ233/LC233-1</f>
        <v>1.0593220338983578E-3</v>
      </c>
      <c r="LK234" s="198">
        <f>LK233/LD233-1</f>
        <v>-3.9148936170212423E-3</v>
      </c>
      <c r="LL234" s="199">
        <f t="shared" ref="LL234" si="4608">LL233/LE233-1</f>
        <v>9.9635226680563349E-3</v>
      </c>
      <c r="LM234" s="567"/>
      <c r="LN234" s="197" t="str">
        <f t="shared" si="4106"/>
        <v>YoY Change (%)</v>
      </c>
      <c r="LO234" s="222">
        <v>0.02</v>
      </c>
      <c r="LP234" s="222">
        <v>2.5000000000000001E-2</v>
      </c>
      <c r="LQ234" s="222">
        <v>0.03</v>
      </c>
      <c r="LR234" s="222">
        <v>0.03</v>
      </c>
      <c r="LS234" s="199">
        <f t="shared" ref="LS234" si="4609">LS233/LL233-1</f>
        <v>2.6239847779418568E-2</v>
      </c>
      <c r="LT234" s="567"/>
      <c r="LU234" s="197" t="str">
        <f t="shared" ref="LU234:LU267" si="4610">$B234</f>
        <v>YoY Change (%)</v>
      </c>
      <c r="LV234" s="222">
        <v>2.75E-2</v>
      </c>
      <c r="LW234" s="222">
        <v>2.75E-2</v>
      </c>
      <c r="LX234" s="222">
        <v>2.75E-2</v>
      </c>
      <c r="LY234" s="222">
        <v>2.75E-2</v>
      </c>
      <c r="LZ234" s="199">
        <f t="shared" ref="LZ234" si="4611">LZ233/LS233-1</f>
        <v>2.7435682079581136E-2</v>
      </c>
      <c r="MA234" s="567"/>
      <c r="MB234" s="197" t="str">
        <f t="shared" ref="MB234:MB267" si="4612">$B234</f>
        <v>YoY Change (%)</v>
      </c>
      <c r="MC234" s="222">
        <v>2.5000000000000001E-2</v>
      </c>
      <c r="MD234" s="222">
        <v>2.5000000000000001E-2</v>
      </c>
      <c r="ME234" s="222">
        <v>2.5000000000000001E-2</v>
      </c>
      <c r="MF234" s="222">
        <v>2.5000000000000001E-2</v>
      </c>
      <c r="MG234" s="199">
        <f t="shared" ref="MG234" si="4613">MG233/LZ233-1</f>
        <v>2.5101197555859045E-2</v>
      </c>
      <c r="MH234" s="567"/>
    </row>
    <row r="235" spans="1:346" s="37" customFormat="1" ht="13.15" x14ac:dyDescent="0.4">
      <c r="A235" s="100"/>
      <c r="C235" s="186"/>
      <c r="D235" s="186"/>
      <c r="E235" s="186"/>
      <c r="F235" s="186"/>
      <c r="G235" s="186"/>
      <c r="H235" s="186"/>
      <c r="I235" s="186"/>
      <c r="J235" s="186"/>
      <c r="K235" s="186"/>
      <c r="L235" s="186"/>
      <c r="M235" s="186"/>
      <c r="N235" s="193"/>
      <c r="O235" s="193"/>
      <c r="P235" s="193"/>
      <c r="Q235" s="193"/>
      <c r="R235" s="193"/>
      <c r="S235" s="193"/>
      <c r="T235" s="193"/>
      <c r="U235" s="193"/>
      <c r="V235" s="193"/>
      <c r="W235" s="193"/>
      <c r="X235" s="193"/>
      <c r="Y235" s="193"/>
      <c r="Z235" s="193"/>
      <c r="AA235" s="193"/>
      <c r="AB235" s="193"/>
      <c r="AC235" s="193"/>
      <c r="AD235" s="193"/>
      <c r="AE235" s="193"/>
      <c r="AF235" s="193"/>
      <c r="AG235" s="193"/>
      <c r="AH235" s="193"/>
      <c r="AI235" s="193"/>
      <c r="AJ235" s="193"/>
      <c r="AK235" s="193"/>
      <c r="AL235" s="193"/>
      <c r="AM235" s="193"/>
      <c r="AN235" s="193"/>
      <c r="AO235" s="193"/>
      <c r="AP235" s="193"/>
      <c r="AQ235" s="193"/>
      <c r="AR235" s="193"/>
      <c r="AS235" s="193"/>
      <c r="AT235" s="193"/>
      <c r="AU235" s="193"/>
      <c r="AV235" s="193"/>
      <c r="AW235" s="193"/>
      <c r="AX235" s="193"/>
      <c r="AY235" s="193"/>
      <c r="AZ235" s="193"/>
      <c r="BA235" s="193"/>
      <c r="BB235" s="193"/>
      <c r="BC235" s="193"/>
      <c r="BD235" s="193"/>
      <c r="BE235" s="193"/>
      <c r="BF235" s="193"/>
      <c r="BG235" s="193"/>
      <c r="BH235" s="193"/>
      <c r="BI235" s="193"/>
      <c r="BJ235" s="193"/>
      <c r="BK235" s="193"/>
      <c r="BL235" s="193"/>
      <c r="BM235" s="193"/>
      <c r="BP235" s="193"/>
      <c r="BQ235" s="193"/>
      <c r="BR235" s="193"/>
      <c r="BS235" s="193"/>
      <c r="BT235" s="193"/>
      <c r="BW235" s="193"/>
      <c r="BX235" s="193"/>
      <c r="BY235" s="193"/>
      <c r="BZ235" s="193"/>
      <c r="CA235" s="193"/>
      <c r="CD235" s="193"/>
      <c r="CE235" s="193"/>
      <c r="CF235" s="193"/>
      <c r="CG235" s="193"/>
      <c r="CH235" s="193"/>
      <c r="CK235" s="193"/>
      <c r="CL235" s="193"/>
      <c r="CM235" s="193"/>
      <c r="CN235" s="193"/>
      <c r="CO235" s="193"/>
      <c r="CR235" s="193"/>
      <c r="CS235" s="193"/>
      <c r="CT235" s="193"/>
      <c r="CU235" s="193"/>
      <c r="CV235" s="193"/>
      <c r="CY235" s="193"/>
      <c r="CZ235" s="193"/>
      <c r="DA235" s="193"/>
      <c r="DB235" s="193"/>
      <c r="DC235" s="193"/>
      <c r="DF235" s="193"/>
      <c r="DG235" s="193"/>
      <c r="DH235" s="193"/>
      <c r="DI235" s="193"/>
      <c r="DJ235" s="193"/>
      <c r="DM235" s="193"/>
      <c r="DN235" s="193"/>
      <c r="DO235" s="193"/>
      <c r="DP235" s="193"/>
      <c r="DQ235" s="193"/>
      <c r="DT235" s="193"/>
      <c r="DU235" s="193"/>
      <c r="DV235" s="193"/>
      <c r="DW235" s="193"/>
      <c r="DX235" s="193"/>
      <c r="EA235" s="193"/>
      <c r="EB235" s="193"/>
      <c r="EC235" s="193"/>
      <c r="ED235" s="193"/>
      <c r="EE235" s="193"/>
      <c r="EH235" s="193"/>
      <c r="EI235" s="193"/>
      <c r="EJ235" s="193"/>
      <c r="EK235" s="193"/>
      <c r="EL235" s="193"/>
      <c r="EO235" s="193"/>
      <c r="EP235" s="193"/>
      <c r="EQ235" s="193"/>
      <c r="ER235" s="193"/>
      <c r="ES235" s="193"/>
      <c r="EV235" s="193"/>
      <c r="EW235" s="193"/>
      <c r="EX235" s="193"/>
      <c r="EY235" s="193"/>
      <c r="EZ235" s="193"/>
      <c r="FC235" s="193"/>
      <c r="FD235" s="193"/>
      <c r="FE235" s="193"/>
      <c r="FF235" s="193"/>
      <c r="FG235" s="193"/>
      <c r="FJ235" s="193"/>
      <c r="FK235" s="193"/>
      <c r="FL235" s="193"/>
      <c r="FM235" s="193"/>
      <c r="FN235" s="193"/>
      <c r="FQ235" s="193"/>
      <c r="FR235" s="193"/>
      <c r="FS235" s="193"/>
      <c r="FT235" s="193"/>
      <c r="FU235" s="193"/>
      <c r="FX235" s="193"/>
      <c r="FY235" s="193"/>
      <c r="FZ235" s="193"/>
      <c r="GA235" s="193"/>
      <c r="GB235" s="193"/>
      <c r="GE235" s="193"/>
      <c r="GF235" s="193"/>
      <c r="GG235" s="193"/>
      <c r="GH235" s="193"/>
      <c r="GI235" s="193"/>
      <c r="GL235" s="193"/>
      <c r="GM235" s="193"/>
      <c r="GN235" s="193"/>
      <c r="GO235" s="193"/>
      <c r="GP235" s="193"/>
      <c r="GS235" s="193"/>
      <c r="GT235" s="193"/>
      <c r="GU235" s="193"/>
      <c r="GV235" s="193"/>
      <c r="GW235" s="193"/>
      <c r="GZ235" s="193"/>
      <c r="HA235" s="193"/>
      <c r="HB235" s="193"/>
      <c r="HC235" s="193"/>
      <c r="HD235" s="193"/>
      <c r="HG235" s="193"/>
      <c r="HH235" s="193"/>
      <c r="HI235" s="193"/>
      <c r="HJ235" s="193"/>
      <c r="HK235" s="193"/>
      <c r="HN235" s="193"/>
      <c r="HO235" s="193"/>
      <c r="HP235" s="193"/>
      <c r="HQ235" s="193"/>
      <c r="HR235" s="193"/>
      <c r="HU235" s="193"/>
      <c r="HV235" s="193"/>
      <c r="HW235" s="193"/>
      <c r="HX235" s="193"/>
      <c r="HY235" s="193"/>
      <c r="IB235" s="193"/>
      <c r="IC235" s="193"/>
      <c r="ID235" s="193"/>
      <c r="IE235" s="193"/>
      <c r="IF235" s="193"/>
      <c r="II235" s="193"/>
      <c r="IJ235" s="193"/>
      <c r="IK235" s="193"/>
      <c r="IL235" s="193"/>
      <c r="IM235" s="193"/>
      <c r="IP235" s="193"/>
      <c r="IQ235" s="193"/>
      <c r="IR235" s="193"/>
      <c r="IS235" s="193"/>
      <c r="IT235" s="193"/>
      <c r="IW235" s="193"/>
      <c r="IX235" s="193"/>
      <c r="IY235" s="193"/>
      <c r="IZ235" s="193"/>
      <c r="JA235" s="193"/>
      <c r="JD235" s="193"/>
      <c r="JE235" s="193"/>
      <c r="JF235" s="193"/>
      <c r="JG235" s="193"/>
      <c r="JH235" s="193"/>
      <c r="JK235" s="193"/>
      <c r="JL235" s="193"/>
      <c r="JM235" s="193"/>
      <c r="JN235" s="193"/>
      <c r="JO235" s="193"/>
      <c r="JR235" s="193"/>
      <c r="JS235" s="193"/>
      <c r="JT235" s="193"/>
      <c r="JU235" s="193"/>
      <c r="JV235" s="193"/>
      <c r="JY235" s="193"/>
      <c r="JZ235" s="193"/>
      <c r="KA235" s="193"/>
      <c r="KB235" s="193"/>
      <c r="KC235" s="193"/>
      <c r="KF235" s="193"/>
      <c r="KG235" s="193"/>
      <c r="KH235" s="193"/>
      <c r="KI235" s="193"/>
      <c r="KJ235" s="193"/>
      <c r="KM235" s="193"/>
      <c r="KN235" s="193"/>
      <c r="KO235" s="193"/>
      <c r="KP235" s="193"/>
      <c r="KQ235" s="193"/>
      <c r="KT235" s="193"/>
      <c r="KU235" s="193"/>
      <c r="KV235" s="193"/>
      <c r="KW235" s="193"/>
      <c r="KX235" s="193"/>
      <c r="LA235" s="193"/>
      <c r="LB235" s="193"/>
      <c r="LC235" s="193"/>
      <c r="LD235" s="193"/>
      <c r="LE235" s="200"/>
      <c r="LF235" s="565"/>
      <c r="LH235" s="193"/>
      <c r="LI235" s="193"/>
      <c r="LJ235" s="193"/>
      <c r="LK235" s="193"/>
      <c r="LL235" s="200"/>
      <c r="LM235" s="565"/>
      <c r="LO235" s="200"/>
      <c r="LP235" s="200"/>
      <c r="LQ235" s="200"/>
      <c r="LR235" s="200"/>
      <c r="LS235" s="200"/>
      <c r="LT235" s="565"/>
      <c r="LV235" s="200"/>
      <c r="LW235" s="200"/>
      <c r="LX235" s="200"/>
      <c r="LY235" s="200"/>
      <c r="LZ235" s="200"/>
      <c r="MA235" s="565"/>
      <c r="MC235" s="200"/>
      <c r="MD235" s="200"/>
      <c r="ME235" s="200"/>
      <c r="MF235" s="200"/>
      <c r="MG235" s="200"/>
      <c r="MH235" s="565"/>
    </row>
    <row r="236" spans="1:346" s="68" customFormat="1" ht="12.75" x14ac:dyDescent="0.35">
      <c r="A236" s="140"/>
      <c r="B236" s="206" t="s">
        <v>518</v>
      </c>
      <c r="C236" s="190"/>
      <c r="D236" s="190"/>
      <c r="E236" s="190"/>
      <c r="F236" s="190"/>
      <c r="G236" s="190"/>
      <c r="H236" s="190"/>
      <c r="I236" s="190"/>
      <c r="J236" s="190"/>
      <c r="K236" s="190"/>
      <c r="L236" s="190"/>
      <c r="M236" s="190"/>
      <c r="N236" s="203">
        <f>(N233*N230)/1000</f>
        <v>265.99999999999994</v>
      </c>
      <c r="O236" s="203">
        <f>(O233*O230)/1000</f>
        <v>273</v>
      </c>
      <c r="P236" s="203">
        <f t="shared" ref="P236:AY236" si="4614">(P233*P230)/1000</f>
        <v>271</v>
      </c>
      <c r="Q236" s="203">
        <f t="shared" si="4614"/>
        <v>268</v>
      </c>
      <c r="R236" s="203">
        <f t="shared" si="4614"/>
        <v>255.99999999999997</v>
      </c>
      <c r="S236" s="203">
        <f t="shared" si="4614"/>
        <v>254.00000000000003</v>
      </c>
      <c r="T236" s="203">
        <f t="shared" si="4614"/>
        <v>282</v>
      </c>
      <c r="U236" s="203">
        <f t="shared" si="4614"/>
        <v>279.00000000000006</v>
      </c>
      <c r="V236" s="203">
        <f t="shared" si="4614"/>
        <v>292</v>
      </c>
      <c r="W236" s="203">
        <f t="shared" si="4614"/>
        <v>303</v>
      </c>
      <c r="X236" s="203">
        <f t="shared" si="4614"/>
        <v>317</v>
      </c>
      <c r="Y236" s="203">
        <f t="shared" si="4614"/>
        <v>317</v>
      </c>
      <c r="Z236" s="203">
        <f t="shared" si="4614"/>
        <v>306</v>
      </c>
      <c r="AA236" s="203">
        <f t="shared" si="4614"/>
        <v>324</v>
      </c>
      <c r="AB236" s="203">
        <f t="shared" si="4614"/>
        <v>328.99999999999994</v>
      </c>
      <c r="AC236" s="203">
        <f t="shared" si="4614"/>
        <v>340.99999999999994</v>
      </c>
      <c r="AD236" s="203">
        <f t="shared" si="4614"/>
        <v>351</v>
      </c>
      <c r="AE236" s="203">
        <f t="shared" si="4614"/>
        <v>353.99999999999994</v>
      </c>
      <c r="AF236" s="203">
        <f t="shared" si="4614"/>
        <v>421</v>
      </c>
      <c r="AG236" s="203">
        <f t="shared" si="4614"/>
        <v>461</v>
      </c>
      <c r="AH236" s="203">
        <f t="shared" si="4614"/>
        <v>373</v>
      </c>
      <c r="AI236" s="203">
        <f t="shared" si="4614"/>
        <v>465</v>
      </c>
      <c r="AJ236" s="203">
        <f t="shared" si="4614"/>
        <v>490</v>
      </c>
      <c r="AK236" s="203">
        <f t="shared" si="4614"/>
        <v>512</v>
      </c>
      <c r="AL236" s="203">
        <f t="shared" si="4614"/>
        <v>527</v>
      </c>
      <c r="AM236" s="203">
        <f t="shared" si="4614"/>
        <v>534</v>
      </c>
      <c r="AN236" s="203">
        <f t="shared" si="4614"/>
        <v>489</v>
      </c>
      <c r="AO236" s="203">
        <f t="shared" si="4614"/>
        <v>518</v>
      </c>
      <c r="AP236" s="203">
        <f t="shared" si="4614"/>
        <v>466.00000000000006</v>
      </c>
      <c r="AQ236" s="203">
        <f t="shared" si="4614"/>
        <v>442</v>
      </c>
      <c r="AR236" s="203">
        <f t="shared" si="4614"/>
        <v>431</v>
      </c>
      <c r="AS236" s="203">
        <f t="shared" si="4614"/>
        <v>424</v>
      </c>
      <c r="AT236" s="203">
        <f t="shared" si="4614"/>
        <v>470</v>
      </c>
      <c r="AU236" s="203">
        <f t="shared" si="4614"/>
        <v>455</v>
      </c>
      <c r="AV236" s="203">
        <f t="shared" si="4614"/>
        <v>516.00000000000011</v>
      </c>
      <c r="AW236" s="203">
        <f t="shared" si="4614"/>
        <v>505</v>
      </c>
      <c r="AX236" s="203">
        <f t="shared" si="4614"/>
        <v>520.99999999999989</v>
      </c>
      <c r="AY236" s="203">
        <f t="shared" si="4614"/>
        <v>547.32015000000001</v>
      </c>
      <c r="AZ236" s="203">
        <f t="shared" ref="AZ236:BA236" si="4615">(AZ233*AZ230)/1000</f>
        <v>574.83402628500005</v>
      </c>
      <c r="BA236" s="203">
        <f t="shared" si="4615"/>
        <v>594.05826209897816</v>
      </c>
      <c r="BB236" s="203"/>
      <c r="BC236" s="203"/>
      <c r="BD236" s="203"/>
      <c r="BE236" s="203"/>
      <c r="BF236" s="203"/>
      <c r="BG236" s="203"/>
      <c r="BH236" s="203"/>
      <c r="BI236" s="203"/>
      <c r="BJ236" s="203"/>
      <c r="BK236" s="203"/>
      <c r="BL236" s="203"/>
      <c r="BM236" s="203"/>
      <c r="BO236" s="68" t="str">
        <f t="shared" si="3930"/>
        <v>Fertilizer Revenue</v>
      </c>
      <c r="BP236" s="204">
        <f>(BP233*BP230)/1000</f>
        <v>77</v>
      </c>
      <c r="BQ236" s="204">
        <f t="shared" ref="BQ236:BS236" si="4616">(BQ233*BQ230)/1000</f>
        <v>65</v>
      </c>
      <c r="BR236" s="204">
        <f t="shared" si="4616"/>
        <v>59</v>
      </c>
      <c r="BS236" s="204">
        <f t="shared" si="4616"/>
        <v>64.999999999999986</v>
      </c>
      <c r="BT236" s="204">
        <f t="shared" ref="BT236" si="4617">(BT233*BT230)/1000</f>
        <v>265.99999999999994</v>
      </c>
      <c r="BV236" s="68" t="str">
        <f t="shared" si="3931"/>
        <v>Fertilizer Revenue</v>
      </c>
      <c r="BW236" s="204">
        <f>(BW233*BW230)/1000</f>
        <v>79</v>
      </c>
      <c r="BX236" s="204">
        <f t="shared" ref="BX236:CA236" si="4618">(BX233*BX230)/1000</f>
        <v>70</v>
      </c>
      <c r="BY236" s="204">
        <f t="shared" si="4618"/>
        <v>57</v>
      </c>
      <c r="BZ236" s="204">
        <f t="shared" si="4618"/>
        <v>67.000000000000014</v>
      </c>
      <c r="CA236" s="204">
        <f t="shared" si="4618"/>
        <v>273</v>
      </c>
      <c r="CC236" s="68" t="str">
        <f t="shared" si="3936"/>
        <v>Fertilizer Revenue</v>
      </c>
      <c r="CD236" s="204">
        <f>(CD233*CD230)/1000</f>
        <v>75</v>
      </c>
      <c r="CE236" s="204">
        <f t="shared" ref="CE236:CH236" si="4619">(CE233*CE230)/1000</f>
        <v>67.999999999999986</v>
      </c>
      <c r="CF236" s="204">
        <f t="shared" si="4619"/>
        <v>61</v>
      </c>
      <c r="CG236" s="204">
        <f t="shared" si="4619"/>
        <v>67</v>
      </c>
      <c r="CH236" s="204">
        <f t="shared" si="4619"/>
        <v>271</v>
      </c>
      <c r="CJ236" s="68" t="str">
        <f t="shared" si="3941"/>
        <v>Fertilizer Revenue</v>
      </c>
      <c r="CK236" s="204">
        <f>(CK233*CK230)/1000</f>
        <v>77.000000000000014</v>
      </c>
      <c r="CL236" s="204">
        <f t="shared" ref="CL236:CO236" si="4620">(CL233*CL230)/1000</f>
        <v>71</v>
      </c>
      <c r="CM236" s="204">
        <f t="shared" si="4620"/>
        <v>56.999999999999993</v>
      </c>
      <c r="CN236" s="204">
        <f t="shared" si="4620"/>
        <v>62.999999999999993</v>
      </c>
      <c r="CO236" s="204">
        <f t="shared" si="4620"/>
        <v>268</v>
      </c>
      <c r="CQ236" s="68" t="str">
        <f t="shared" si="3946"/>
        <v>Fertilizer Revenue</v>
      </c>
      <c r="CR236" s="204">
        <f>(CR233*CR230)/1000</f>
        <v>70</v>
      </c>
      <c r="CS236" s="204">
        <f t="shared" ref="CS236:CV236" si="4621">(CS233*CS230)/1000</f>
        <v>67</v>
      </c>
      <c r="CT236" s="204">
        <f t="shared" si="4621"/>
        <v>58</v>
      </c>
      <c r="CU236" s="204">
        <f t="shared" si="4621"/>
        <v>60.999999999999993</v>
      </c>
      <c r="CV236" s="204">
        <f t="shared" si="4621"/>
        <v>255.99999999999997</v>
      </c>
      <c r="CX236" s="68" t="str">
        <f t="shared" si="3951"/>
        <v>Fertilizer Revenue</v>
      </c>
      <c r="CY236" s="204">
        <f>(CY233*CY230)/1000</f>
        <v>67</v>
      </c>
      <c r="CZ236" s="204">
        <f t="shared" ref="CZ236:DC236" si="4622">(CZ233*CZ230)/1000</f>
        <v>64</v>
      </c>
      <c r="DA236" s="204">
        <f t="shared" si="4622"/>
        <v>59.000000000000007</v>
      </c>
      <c r="DB236" s="204">
        <f t="shared" si="4622"/>
        <v>64.000000000000014</v>
      </c>
      <c r="DC236" s="204">
        <f t="shared" si="4622"/>
        <v>254.00000000000003</v>
      </c>
      <c r="DE236" s="68" t="str">
        <f t="shared" si="3956"/>
        <v>Fertilizer Revenue</v>
      </c>
      <c r="DF236" s="204">
        <f>(DF233*DF230)/1000</f>
        <v>79</v>
      </c>
      <c r="DG236" s="204">
        <f t="shared" ref="DG236:DJ236" si="4623">(DG233*DG230)/1000</f>
        <v>67</v>
      </c>
      <c r="DH236" s="204">
        <f t="shared" si="4623"/>
        <v>65.000000000000014</v>
      </c>
      <c r="DI236" s="204">
        <f t="shared" si="4623"/>
        <v>71</v>
      </c>
      <c r="DJ236" s="204">
        <f t="shared" si="4623"/>
        <v>282</v>
      </c>
      <c r="DL236" s="68" t="str">
        <f t="shared" si="3961"/>
        <v>Fertilizer Revenue</v>
      </c>
      <c r="DM236" s="204">
        <f>(DM233*DM230)/1000</f>
        <v>75</v>
      </c>
      <c r="DN236" s="204">
        <f t="shared" ref="DN236:DQ236" si="4624">(DN233*DN230)/1000</f>
        <v>69</v>
      </c>
      <c r="DO236" s="204">
        <f t="shared" si="4624"/>
        <v>66</v>
      </c>
      <c r="DP236" s="204">
        <f t="shared" si="4624"/>
        <v>69</v>
      </c>
      <c r="DQ236" s="204">
        <f t="shared" si="4624"/>
        <v>279.00000000000006</v>
      </c>
      <c r="DS236" s="68" t="str">
        <f t="shared" si="3966"/>
        <v>Fertilizer Revenue</v>
      </c>
      <c r="DT236" s="204">
        <f>(DT233*DT230)/1000</f>
        <v>75</v>
      </c>
      <c r="DU236" s="204">
        <f t="shared" ref="DU236:DX236" si="4625">(DU233*DU230)/1000</f>
        <v>74</v>
      </c>
      <c r="DV236" s="204">
        <f t="shared" si="4625"/>
        <v>68</v>
      </c>
      <c r="DW236" s="204">
        <f t="shared" si="4625"/>
        <v>74.999999999999986</v>
      </c>
      <c r="DX236" s="204">
        <f t="shared" si="4625"/>
        <v>292</v>
      </c>
      <c r="DZ236" s="68" t="str">
        <f t="shared" si="3971"/>
        <v>Fertilizer Revenue</v>
      </c>
      <c r="EA236" s="204">
        <f>(EA233*EA230)/1000</f>
        <v>83</v>
      </c>
      <c r="EB236" s="204">
        <f t="shared" ref="EB236:EE236" si="4626">(EB233*EB230)/1000</f>
        <v>77.999999999999986</v>
      </c>
      <c r="EC236" s="204">
        <f t="shared" si="4626"/>
        <v>69</v>
      </c>
      <c r="ED236" s="204">
        <f t="shared" si="4626"/>
        <v>73</v>
      </c>
      <c r="EE236" s="204">
        <f t="shared" si="4626"/>
        <v>303</v>
      </c>
      <c r="EG236" s="68" t="str">
        <f t="shared" si="3976"/>
        <v>Fertilizer Revenue</v>
      </c>
      <c r="EH236" s="204">
        <f>(EH233*EH230)/1000</f>
        <v>89</v>
      </c>
      <c r="EI236" s="204">
        <f t="shared" ref="EI236:EL236" si="4627">(EI233*EI230)/1000</f>
        <v>78</v>
      </c>
      <c r="EJ236" s="204">
        <f t="shared" si="4627"/>
        <v>71</v>
      </c>
      <c r="EK236" s="204">
        <f t="shared" si="4627"/>
        <v>79</v>
      </c>
      <c r="EL236" s="204">
        <f t="shared" si="4627"/>
        <v>317</v>
      </c>
      <c r="EN236" s="68" t="str">
        <f t="shared" si="3981"/>
        <v>Fertilizer Revenue</v>
      </c>
      <c r="EO236" s="204">
        <f>(EO233*EO230)/1000</f>
        <v>92.999999999999986</v>
      </c>
      <c r="EP236" s="204">
        <f t="shared" ref="EP236:ES236" si="4628">(EP233*EP230)/1000</f>
        <v>74</v>
      </c>
      <c r="EQ236" s="204">
        <f t="shared" si="4628"/>
        <v>75</v>
      </c>
      <c r="ER236" s="204">
        <f t="shared" si="4628"/>
        <v>74.999999999999986</v>
      </c>
      <c r="ES236" s="204">
        <f t="shared" si="4628"/>
        <v>317</v>
      </c>
      <c r="EU236" s="68" t="str">
        <f t="shared" si="3986"/>
        <v>Fertilizer Revenue</v>
      </c>
      <c r="EV236" s="204">
        <f>(EV233*EV230)/1000</f>
        <v>89</v>
      </c>
      <c r="EW236" s="204">
        <f t="shared" ref="EW236:EZ236" si="4629">(EW233*EW230)/1000</f>
        <v>75</v>
      </c>
      <c r="EX236" s="204">
        <f t="shared" si="4629"/>
        <v>63.000000000000007</v>
      </c>
      <c r="EY236" s="204">
        <f t="shared" si="4629"/>
        <v>79</v>
      </c>
      <c r="EZ236" s="204">
        <f t="shared" si="4629"/>
        <v>306</v>
      </c>
      <c r="FB236" s="68" t="str">
        <f t="shared" si="3991"/>
        <v>Fertilizer Revenue</v>
      </c>
      <c r="FC236" s="204">
        <f>(FC233*FC230)/1000</f>
        <v>89</v>
      </c>
      <c r="FD236" s="204">
        <f t="shared" ref="FD236:FG236" si="4630">(FD233*FD230)/1000</f>
        <v>82.999999999999986</v>
      </c>
      <c r="FE236" s="204">
        <f t="shared" si="4630"/>
        <v>73</v>
      </c>
      <c r="FF236" s="204">
        <f t="shared" si="4630"/>
        <v>79</v>
      </c>
      <c r="FG236" s="204">
        <f t="shared" si="4630"/>
        <v>324</v>
      </c>
      <c r="FI236" s="68" t="str">
        <f t="shared" si="3996"/>
        <v>Fertilizer Revenue</v>
      </c>
      <c r="FJ236" s="204">
        <f>(FJ233*FJ230)/1000</f>
        <v>87</v>
      </c>
      <c r="FK236" s="204">
        <f t="shared" ref="FK236:FN236" si="4631">(FK233*FK230)/1000</f>
        <v>84.999999999999986</v>
      </c>
      <c r="FL236" s="204">
        <f t="shared" si="4631"/>
        <v>74</v>
      </c>
      <c r="FM236" s="204">
        <f t="shared" si="4631"/>
        <v>83</v>
      </c>
      <c r="FN236" s="204">
        <f t="shared" si="4631"/>
        <v>328.99999999999994</v>
      </c>
      <c r="FP236" s="68" t="str">
        <f t="shared" si="4001"/>
        <v>Fertilizer Revenue</v>
      </c>
      <c r="FQ236" s="204">
        <f>(FQ233*FQ230)/1000</f>
        <v>89.000000000000014</v>
      </c>
      <c r="FR236" s="204">
        <f t="shared" ref="FR236:FU236" si="4632">(FR233*FR230)/1000</f>
        <v>88</v>
      </c>
      <c r="FS236" s="204">
        <f t="shared" si="4632"/>
        <v>75</v>
      </c>
      <c r="FT236" s="204">
        <f t="shared" si="4632"/>
        <v>89</v>
      </c>
      <c r="FU236" s="204">
        <f t="shared" si="4632"/>
        <v>340.99999999999994</v>
      </c>
      <c r="FW236" s="68" t="str">
        <f t="shared" si="4006"/>
        <v>Fertilizer Revenue</v>
      </c>
      <c r="FX236" s="204">
        <f>(FX233*FX230)/1000</f>
        <v>90</v>
      </c>
      <c r="FY236" s="204">
        <f t="shared" ref="FY236:GB236" si="4633">(FY233*FY230)/1000</f>
        <v>91</v>
      </c>
      <c r="FZ236" s="204">
        <f t="shared" si="4633"/>
        <v>83</v>
      </c>
      <c r="GA236" s="204">
        <f t="shared" si="4633"/>
        <v>87</v>
      </c>
      <c r="GB236" s="204">
        <f t="shared" si="4633"/>
        <v>351</v>
      </c>
      <c r="GD236" s="68" t="str">
        <f t="shared" si="4011"/>
        <v>Fertilizer Revenue</v>
      </c>
      <c r="GE236" s="204">
        <f>(GE233*GE230)/1000</f>
        <v>90</v>
      </c>
      <c r="GF236" s="204">
        <f t="shared" ref="GF236:GI236" si="4634">(GF233*GF230)/1000</f>
        <v>93.000000000000014</v>
      </c>
      <c r="GG236" s="204">
        <f t="shared" si="4634"/>
        <v>82</v>
      </c>
      <c r="GH236" s="204">
        <f t="shared" si="4634"/>
        <v>89</v>
      </c>
      <c r="GI236" s="204">
        <f t="shared" si="4634"/>
        <v>353.99999999999994</v>
      </c>
      <c r="GK236" s="68" t="str">
        <f t="shared" si="4016"/>
        <v>Fertilizer Revenue</v>
      </c>
      <c r="GL236" s="204">
        <f>(GL233*GL230)/1000</f>
        <v>106</v>
      </c>
      <c r="GM236" s="204">
        <f t="shared" ref="GM236:GP236" si="4635">(GM233*GM230)/1000</f>
        <v>104</v>
      </c>
      <c r="GN236" s="204">
        <f t="shared" si="4635"/>
        <v>101</v>
      </c>
      <c r="GO236" s="204">
        <f t="shared" si="4635"/>
        <v>110</v>
      </c>
      <c r="GP236" s="204">
        <f t="shared" si="4635"/>
        <v>421</v>
      </c>
      <c r="GR236" s="68" t="str">
        <f t="shared" si="4021"/>
        <v>Fertilizer Revenue</v>
      </c>
      <c r="GS236" s="204">
        <f>(GS233*GS230)/1000</f>
        <v>130.00000000000003</v>
      </c>
      <c r="GT236" s="204">
        <f t="shared" ref="GT236:GW236" si="4636">(GT233*GT230)/1000</f>
        <v>128</v>
      </c>
      <c r="GU236" s="204">
        <f t="shared" si="4636"/>
        <v>117</v>
      </c>
      <c r="GV236" s="204">
        <f t="shared" si="4636"/>
        <v>86</v>
      </c>
      <c r="GW236" s="204">
        <f t="shared" si="4636"/>
        <v>461</v>
      </c>
      <c r="GY236" s="68" t="str">
        <f t="shared" si="4026"/>
        <v>Fertilizer Revenue</v>
      </c>
      <c r="GZ236" s="204">
        <f>(GZ233*GZ230)/1000</f>
        <v>87</v>
      </c>
      <c r="HA236" s="204">
        <f t="shared" ref="HA236:HD236" si="4637">(HA233*HA230)/1000</f>
        <v>94</v>
      </c>
      <c r="HB236" s="204">
        <f t="shared" si="4637"/>
        <v>94</v>
      </c>
      <c r="HC236" s="204">
        <f t="shared" si="4637"/>
        <v>98</v>
      </c>
      <c r="HD236" s="204">
        <f t="shared" si="4637"/>
        <v>373</v>
      </c>
      <c r="HF236" s="68" t="str">
        <f t="shared" si="4031"/>
        <v>Fertilizer Revenue</v>
      </c>
      <c r="HG236" s="204">
        <f>(HG233*HG230)/1000</f>
        <v>123</v>
      </c>
      <c r="HH236" s="204">
        <f t="shared" ref="HH236:HK236" si="4638">(HH233*HH230)/1000</f>
        <v>109</v>
      </c>
      <c r="HI236" s="204">
        <f t="shared" si="4638"/>
        <v>107</v>
      </c>
      <c r="HJ236" s="204">
        <f t="shared" si="4638"/>
        <v>126</v>
      </c>
      <c r="HK236" s="204">
        <f t="shared" si="4638"/>
        <v>465</v>
      </c>
      <c r="HM236" s="68" t="str">
        <f t="shared" si="4036"/>
        <v>Fertilizer Revenue</v>
      </c>
      <c r="HN236" s="204">
        <f>(HN233*HN230)/1000</f>
        <v>136</v>
      </c>
      <c r="HO236" s="204">
        <f t="shared" ref="HO236:HR236" si="4639">(HO233*HO230)/1000</f>
        <v>119</v>
      </c>
      <c r="HP236" s="204">
        <f t="shared" si="4639"/>
        <v>118</v>
      </c>
      <c r="HQ236" s="204">
        <f t="shared" si="4639"/>
        <v>117</v>
      </c>
      <c r="HR236" s="204">
        <f t="shared" si="4639"/>
        <v>490</v>
      </c>
      <c r="HT236" s="68" t="str">
        <f t="shared" si="4041"/>
        <v>Fertilizer Revenue</v>
      </c>
      <c r="HU236" s="204">
        <f>(HU233*HU230)/1000</f>
        <v>131</v>
      </c>
      <c r="HV236" s="204">
        <f t="shared" ref="HV236:HY236" si="4640">(HV233*HV230)/1000</f>
        <v>125</v>
      </c>
      <c r="HW236" s="204">
        <f t="shared" si="4640"/>
        <v>123</v>
      </c>
      <c r="HX236" s="204">
        <f t="shared" si="4640"/>
        <v>133</v>
      </c>
      <c r="HY236" s="204">
        <f t="shared" si="4640"/>
        <v>512</v>
      </c>
      <c r="IA236" s="68" t="str">
        <f t="shared" si="4046"/>
        <v>Fertilizer Revenue</v>
      </c>
      <c r="IB236" s="204">
        <f>(IB233*IB230)/1000</f>
        <v>144</v>
      </c>
      <c r="IC236" s="204">
        <f t="shared" ref="IC236:IF236" si="4641">(IC233*IC230)/1000</f>
        <v>134.99999999999997</v>
      </c>
      <c r="ID236" s="204">
        <f t="shared" si="4641"/>
        <v>124</v>
      </c>
      <c r="IE236" s="204">
        <f t="shared" si="4641"/>
        <v>124</v>
      </c>
      <c r="IF236" s="204">
        <f t="shared" si="4641"/>
        <v>527</v>
      </c>
      <c r="IH236" s="68" t="str">
        <f t="shared" si="4051"/>
        <v>Fertilizer Revenue</v>
      </c>
      <c r="II236" s="204">
        <f>(II233*II230)/1000</f>
        <v>134</v>
      </c>
      <c r="IJ236" s="204">
        <f t="shared" ref="IJ236:IM236" si="4642">(IJ233*IJ230)/1000</f>
        <v>143</v>
      </c>
      <c r="IK236" s="204">
        <f t="shared" si="4642"/>
        <v>127</v>
      </c>
      <c r="IL236" s="204">
        <f t="shared" si="4642"/>
        <v>130.00000000000003</v>
      </c>
      <c r="IM236" s="204">
        <f t="shared" si="4642"/>
        <v>534</v>
      </c>
      <c r="IO236" s="68" t="str">
        <f t="shared" si="4056"/>
        <v>Fertilizer Revenue</v>
      </c>
      <c r="IP236" s="204">
        <f>(IP233*IP230)/1000</f>
        <v>136</v>
      </c>
      <c r="IQ236" s="204">
        <f t="shared" ref="IQ236:IT236" si="4643">(IQ233*IQ230)/1000</f>
        <v>122.00000000000001</v>
      </c>
      <c r="IR236" s="204">
        <f t="shared" si="4643"/>
        <v>110.99999999999999</v>
      </c>
      <c r="IS236" s="204">
        <f t="shared" si="4643"/>
        <v>120</v>
      </c>
      <c r="IT236" s="204">
        <f t="shared" si="4643"/>
        <v>489</v>
      </c>
      <c r="IV236" s="68" t="str">
        <f t="shared" si="4061"/>
        <v>Fertilizer Revenue</v>
      </c>
      <c r="IW236" s="204">
        <f>(IW233*IW230)/1000</f>
        <v>127</v>
      </c>
      <c r="IX236" s="204">
        <f t="shared" ref="IX236:JA236" si="4644">(IX233*IX230)/1000</f>
        <v>114</v>
      </c>
      <c r="IY236" s="204">
        <f t="shared" si="4644"/>
        <v>104</v>
      </c>
      <c r="IZ236" s="204">
        <f t="shared" si="4644"/>
        <v>173</v>
      </c>
      <c r="JA236" s="204">
        <f t="shared" si="4644"/>
        <v>518</v>
      </c>
      <c r="JC236" s="68" t="str">
        <f t="shared" si="4066"/>
        <v>Fertilizer Revenue</v>
      </c>
      <c r="JD236" s="204">
        <f>(JD233*JD230)/1000</f>
        <v>129</v>
      </c>
      <c r="JE236" s="204">
        <f t="shared" ref="JE236:JH236" si="4645">(JE233*JE230)/1000</f>
        <v>117.99999999999999</v>
      </c>
      <c r="JF236" s="204">
        <f t="shared" si="4645"/>
        <v>106</v>
      </c>
      <c r="JG236" s="204">
        <f t="shared" si="4645"/>
        <v>113</v>
      </c>
      <c r="JH236" s="204">
        <f t="shared" si="4645"/>
        <v>466.00000000000006</v>
      </c>
      <c r="JJ236" s="68" t="str">
        <f t="shared" si="4071"/>
        <v>Fertilizer Revenue</v>
      </c>
      <c r="JK236" s="204">
        <f>(JK233*JK230)/1000</f>
        <v>116</v>
      </c>
      <c r="JL236" s="204">
        <f t="shared" ref="JL236:JO236" si="4646">(JL233*JL230)/1000</f>
        <v>112</v>
      </c>
      <c r="JM236" s="204">
        <f t="shared" si="4646"/>
        <v>104.00000000000001</v>
      </c>
      <c r="JN236" s="204">
        <f t="shared" si="4646"/>
        <v>110</v>
      </c>
      <c r="JO236" s="204">
        <f t="shared" si="4646"/>
        <v>442</v>
      </c>
      <c r="JQ236" s="68" t="str">
        <f t="shared" si="4076"/>
        <v>Fertilizer Revenue</v>
      </c>
      <c r="JR236" s="204">
        <f>(JR233*JR230)/1000</f>
        <v>110</v>
      </c>
      <c r="JS236" s="204">
        <f t="shared" ref="JS236:JV236" si="4647">(JS233*JS230)/1000</f>
        <v>112.00000000000001</v>
      </c>
      <c r="JT236" s="204">
        <f t="shared" si="4647"/>
        <v>101</v>
      </c>
      <c r="JU236" s="204">
        <f t="shared" si="4647"/>
        <v>108</v>
      </c>
      <c r="JV236" s="204">
        <f t="shared" si="4647"/>
        <v>431</v>
      </c>
      <c r="JX236" s="68" t="str">
        <f t="shared" si="4081"/>
        <v>Fertilizer Revenue</v>
      </c>
      <c r="JY236" s="204">
        <f>(JY233*JY230)/1000</f>
        <v>112</v>
      </c>
      <c r="JZ236" s="204">
        <f t="shared" ref="JZ236:KC236" si="4648">(JZ233*JZ230)/1000</f>
        <v>102.99999999999999</v>
      </c>
      <c r="KA236" s="204">
        <f t="shared" si="4648"/>
        <v>96</v>
      </c>
      <c r="KB236" s="204">
        <f t="shared" si="4648"/>
        <v>113</v>
      </c>
      <c r="KC236" s="204">
        <f t="shared" si="4648"/>
        <v>424</v>
      </c>
      <c r="KE236" s="68" t="str">
        <f t="shared" si="4086"/>
        <v>Fertilizer Revenue</v>
      </c>
      <c r="KF236" s="204">
        <f>(KF233*KF230)/1000</f>
        <v>122</v>
      </c>
      <c r="KG236" s="204">
        <f t="shared" ref="KG236:KJ236" si="4649">(KG233*KG230)/1000</f>
        <v>122</v>
      </c>
      <c r="KH236" s="204">
        <f t="shared" si="4649"/>
        <v>106</v>
      </c>
      <c r="KI236" s="204">
        <f t="shared" si="4649"/>
        <v>119.99999999999999</v>
      </c>
      <c r="KJ236" s="204">
        <f t="shared" si="4649"/>
        <v>470</v>
      </c>
      <c r="KL236" s="68" t="str">
        <f t="shared" si="4091"/>
        <v>Fertilizer Revenue</v>
      </c>
      <c r="KM236" s="204">
        <f>(KM233*KM230)/1000</f>
        <v>119.99999999999999</v>
      </c>
      <c r="KN236" s="204">
        <f t="shared" ref="KN236:KQ236" si="4650">(KN233*KN230)/1000</f>
        <v>118</v>
      </c>
      <c r="KO236" s="204">
        <f t="shared" si="4650"/>
        <v>108</v>
      </c>
      <c r="KP236" s="204">
        <f t="shared" si="4650"/>
        <v>109</v>
      </c>
      <c r="KQ236" s="204">
        <f t="shared" si="4650"/>
        <v>455</v>
      </c>
      <c r="KS236" s="68" t="str">
        <f t="shared" si="4096"/>
        <v>Fertilizer Revenue</v>
      </c>
      <c r="KT236" s="204">
        <f>(KT233*KT230)/1000</f>
        <v>129</v>
      </c>
      <c r="KU236" s="204">
        <f t="shared" ref="KU236:KX236" si="4651">(KU233*KU230)/1000</f>
        <v>127.99999999999999</v>
      </c>
      <c r="KV236" s="204">
        <f t="shared" si="4651"/>
        <v>123.99999999999999</v>
      </c>
      <c r="KW236" s="204">
        <f t="shared" si="4651"/>
        <v>135</v>
      </c>
      <c r="KX236" s="204">
        <f t="shared" si="4651"/>
        <v>516.00000000000011</v>
      </c>
      <c r="KZ236" s="68" t="str">
        <f t="shared" si="4101"/>
        <v>Fertilizer Revenue</v>
      </c>
      <c r="LA236" s="204">
        <f>(LA233*LA230)/1000</f>
        <v>136</v>
      </c>
      <c r="LB236" s="204">
        <f>(LB233*LB230)/1000</f>
        <v>126</v>
      </c>
      <c r="LC236" s="204">
        <f>(LC233*LC230)/1000</f>
        <v>118</v>
      </c>
      <c r="LD236" s="204">
        <f t="shared" ref="LD236" si="4652">(LD233*LD230)/1000</f>
        <v>125</v>
      </c>
      <c r="LE236" s="205">
        <f>SUM(LA236:LD236)</f>
        <v>505</v>
      </c>
      <c r="LF236" s="563"/>
      <c r="LG236" s="68" t="str">
        <f t="shared" si="4104"/>
        <v>Fertilizer Revenue</v>
      </c>
      <c r="LH236" s="204">
        <f>(LH233*LH230)/1000</f>
        <v>136</v>
      </c>
      <c r="LI236" s="204">
        <f>(LI233*LI230)/1000</f>
        <v>126</v>
      </c>
      <c r="LJ236" s="204">
        <f>(LJ233*LJ230)/1000</f>
        <v>126</v>
      </c>
      <c r="LK236" s="204">
        <f>(LK233*LK230)/1000</f>
        <v>133</v>
      </c>
      <c r="LL236" s="205">
        <f>SUM(LH236:LK236)</f>
        <v>521</v>
      </c>
      <c r="LM236" s="563"/>
      <c r="LN236" s="68" t="str">
        <f t="shared" si="4106"/>
        <v>Fertilizer Revenue</v>
      </c>
      <c r="LO236" s="205">
        <f>(LO230*LO233)/1000</f>
        <v>138.72</v>
      </c>
      <c r="LP236" s="205">
        <f t="shared" ref="LP236:LR236" si="4653">(LP230*LP233)/1000</f>
        <v>131.08724999999998</v>
      </c>
      <c r="LQ236" s="205">
        <f t="shared" si="4653"/>
        <v>133.67339999999999</v>
      </c>
      <c r="LR236" s="205">
        <f t="shared" si="4653"/>
        <v>143.83950000000002</v>
      </c>
      <c r="LS236" s="205">
        <f>SUM(LO236:LR236)</f>
        <v>547.32015000000001</v>
      </c>
      <c r="LT236" s="563"/>
      <c r="LU236" s="68" t="str">
        <f t="shared" si="4610"/>
        <v>Fertilizer Revenue</v>
      </c>
      <c r="LV236" s="205">
        <f>(LV230*LV233)/1000</f>
        <v>148.23619200000002</v>
      </c>
      <c r="LW236" s="205">
        <f t="shared" ref="LW236:LY236" si="4654">(LW230*LW233)/1000</f>
        <v>140.07983534999997</v>
      </c>
      <c r="LX236" s="205">
        <f t="shared" si="4654"/>
        <v>138.72291268499998</v>
      </c>
      <c r="LY236" s="205">
        <f t="shared" si="4654"/>
        <v>147.79508625000005</v>
      </c>
      <c r="LZ236" s="205">
        <f>SUM(LV236:LY236)</f>
        <v>574.83402628500005</v>
      </c>
      <c r="MA236" s="563"/>
      <c r="MB236" s="68" t="str">
        <f t="shared" si="4612"/>
        <v>Fertilizer Revenue</v>
      </c>
      <c r="MC236" s="205">
        <f>(MC230*MC233)/1000</f>
        <v>154.98093873600001</v>
      </c>
      <c r="MD236" s="205">
        <f t="shared" ref="MD236:MF236" si="4655">(MD230*MD233)/1000</f>
        <v>145.01764954608748</v>
      </c>
      <c r="ME236" s="205">
        <f t="shared" si="4655"/>
        <v>142.19098550212499</v>
      </c>
      <c r="MF236" s="205">
        <f t="shared" si="4655"/>
        <v>151.86868831476565</v>
      </c>
      <c r="MG236" s="205">
        <f>SUM(MC236:MF236)</f>
        <v>594.05826209897816</v>
      </c>
      <c r="MH236" s="563"/>
    </row>
    <row r="237" spans="1:346" s="37" customFormat="1" ht="13.15" x14ac:dyDescent="0.4">
      <c r="A237" s="100"/>
      <c r="B237" s="197" t="s">
        <v>516</v>
      </c>
      <c r="C237" s="186"/>
      <c r="D237" s="186"/>
      <c r="E237" s="186"/>
      <c r="F237" s="186"/>
      <c r="G237" s="186"/>
      <c r="H237" s="186"/>
      <c r="I237" s="186"/>
      <c r="J237" s="186"/>
      <c r="K237" s="186"/>
      <c r="L237" s="186"/>
      <c r="M237" s="186"/>
      <c r="N237" s="193"/>
      <c r="O237" s="198">
        <f>O236/N236-1</f>
        <v>2.6315789473684514E-2</v>
      </c>
      <c r="P237" s="198">
        <f t="shared" ref="P237:BA237" si="4656">P236/O236-1</f>
        <v>-7.3260073260073E-3</v>
      </c>
      <c r="Q237" s="198">
        <f t="shared" si="4656"/>
        <v>-1.1070110701106972E-2</v>
      </c>
      <c r="R237" s="198">
        <f t="shared" si="4656"/>
        <v>-4.4776119402985204E-2</v>
      </c>
      <c r="S237" s="198">
        <f t="shared" si="4656"/>
        <v>-7.812499999999778E-3</v>
      </c>
      <c r="T237" s="198">
        <f t="shared" si="4656"/>
        <v>0.11023622047244075</v>
      </c>
      <c r="U237" s="198">
        <f t="shared" si="4656"/>
        <v>-1.0638297872340274E-2</v>
      </c>
      <c r="V237" s="198">
        <f t="shared" si="4656"/>
        <v>4.6594982078852931E-2</v>
      </c>
      <c r="W237" s="198">
        <f t="shared" si="4656"/>
        <v>3.7671232876712368E-2</v>
      </c>
      <c r="X237" s="198">
        <f t="shared" si="4656"/>
        <v>4.6204620462046098E-2</v>
      </c>
      <c r="Y237" s="198">
        <f t="shared" si="4656"/>
        <v>0</v>
      </c>
      <c r="Z237" s="198">
        <f t="shared" si="4656"/>
        <v>-3.4700315457413256E-2</v>
      </c>
      <c r="AA237" s="198">
        <f t="shared" si="4656"/>
        <v>5.8823529411764719E-2</v>
      </c>
      <c r="AB237" s="198">
        <f t="shared" si="4656"/>
        <v>1.5432098765431945E-2</v>
      </c>
      <c r="AC237" s="198">
        <f t="shared" si="4656"/>
        <v>3.6474164133738718E-2</v>
      </c>
      <c r="AD237" s="198">
        <f t="shared" si="4656"/>
        <v>2.9325513196481134E-2</v>
      </c>
      <c r="AE237" s="198">
        <f t="shared" si="4656"/>
        <v>8.5470085470082946E-3</v>
      </c>
      <c r="AF237" s="198">
        <f t="shared" si="4656"/>
        <v>0.18926553672316393</v>
      </c>
      <c r="AG237" s="198">
        <f t="shared" si="4656"/>
        <v>9.5011876484560664E-2</v>
      </c>
      <c r="AH237" s="198">
        <f t="shared" si="4656"/>
        <v>-0.19088937093275493</v>
      </c>
      <c r="AI237" s="198">
        <f t="shared" si="4656"/>
        <v>0.24664879356568359</v>
      </c>
      <c r="AJ237" s="198">
        <f t="shared" si="4656"/>
        <v>5.3763440860215006E-2</v>
      </c>
      <c r="AK237" s="198">
        <f t="shared" si="4656"/>
        <v>4.4897959183673564E-2</v>
      </c>
      <c r="AL237" s="198">
        <f t="shared" si="4656"/>
        <v>2.9296875E-2</v>
      </c>
      <c r="AM237" s="198">
        <f t="shared" si="4656"/>
        <v>1.3282732447817747E-2</v>
      </c>
      <c r="AN237" s="198">
        <f t="shared" si="4656"/>
        <v>-8.4269662921348298E-2</v>
      </c>
      <c r="AO237" s="198">
        <f t="shared" si="4656"/>
        <v>5.9304703476482645E-2</v>
      </c>
      <c r="AP237" s="198">
        <f t="shared" si="4656"/>
        <v>-0.1003861003861003</v>
      </c>
      <c r="AQ237" s="198">
        <f t="shared" si="4656"/>
        <v>-5.1502145922746934E-2</v>
      </c>
      <c r="AR237" s="198">
        <f t="shared" si="4656"/>
        <v>-2.4886877828054321E-2</v>
      </c>
      <c r="AS237" s="198">
        <f t="shared" si="4656"/>
        <v>-1.6241299303944357E-2</v>
      </c>
      <c r="AT237" s="198">
        <f t="shared" si="4656"/>
        <v>0.10849056603773577</v>
      </c>
      <c r="AU237" s="198">
        <f t="shared" si="4656"/>
        <v>-3.1914893617021267E-2</v>
      </c>
      <c r="AV237" s="198">
        <f t="shared" si="4656"/>
        <v>0.13406593406593426</v>
      </c>
      <c r="AW237" s="198">
        <f t="shared" si="4656"/>
        <v>-2.1317829457364601E-2</v>
      </c>
      <c r="AX237" s="198">
        <f t="shared" si="4656"/>
        <v>3.1683168316831489E-2</v>
      </c>
      <c r="AY237" s="198">
        <f t="shared" si="4656"/>
        <v>5.0518522072936944E-2</v>
      </c>
      <c r="AZ237" s="198">
        <f t="shared" si="4656"/>
        <v>5.0270168721177289E-2</v>
      </c>
      <c r="BA237" s="198">
        <f t="shared" si="4656"/>
        <v>3.344310694030983E-2</v>
      </c>
      <c r="BB237" s="198"/>
      <c r="BC237" s="198"/>
      <c r="BD237" s="198"/>
      <c r="BE237" s="198"/>
      <c r="BF237" s="198"/>
      <c r="BG237" s="198"/>
      <c r="BH237" s="198"/>
      <c r="BI237" s="198"/>
      <c r="BJ237" s="198"/>
      <c r="BK237" s="198"/>
      <c r="BL237" s="198"/>
      <c r="BM237" s="198"/>
      <c r="BO237" s="197" t="str">
        <f t="shared" si="3930"/>
        <v>YoY Change (%)</v>
      </c>
      <c r="BP237" s="193"/>
      <c r="BQ237" s="193"/>
      <c r="BR237" s="193"/>
      <c r="BS237" s="193"/>
      <c r="BT237" s="193"/>
      <c r="BV237" s="197" t="str">
        <f t="shared" si="3931"/>
        <v>YoY Change (%)</v>
      </c>
      <c r="BW237" s="198">
        <f>BW236/BP236-1</f>
        <v>2.5974025974025983E-2</v>
      </c>
      <c r="BX237" s="198">
        <f t="shared" ref="BX237" si="4657">BX236/BQ236-1</f>
        <v>7.6923076923076872E-2</v>
      </c>
      <c r="BY237" s="198">
        <f t="shared" ref="BY237" si="4658">BY236/BR236-1</f>
        <v>-3.3898305084745783E-2</v>
      </c>
      <c r="BZ237" s="198">
        <f t="shared" ref="BZ237" si="4659">BZ236/BS236-1</f>
        <v>3.0769230769231104E-2</v>
      </c>
      <c r="CA237" s="198">
        <f t="shared" ref="CA237" si="4660">CA236/BT236-1</f>
        <v>2.6315789473684514E-2</v>
      </c>
      <c r="CC237" s="197" t="str">
        <f t="shared" si="3936"/>
        <v>YoY Change (%)</v>
      </c>
      <c r="CD237" s="198">
        <f>CD236/BW236-1</f>
        <v>-5.0632911392405111E-2</v>
      </c>
      <c r="CE237" s="198">
        <f t="shared" ref="CE237" si="4661">CE236/BX236-1</f>
        <v>-2.8571428571428803E-2</v>
      </c>
      <c r="CF237" s="198">
        <f t="shared" ref="CF237" si="4662">CF236/BY236-1</f>
        <v>7.0175438596491224E-2</v>
      </c>
      <c r="CG237" s="198">
        <f t="shared" ref="CG237" si="4663">CG236/BZ236-1</f>
        <v>0</v>
      </c>
      <c r="CH237" s="198">
        <f t="shared" ref="CH237" si="4664">CH236/CA236-1</f>
        <v>-7.3260073260073E-3</v>
      </c>
      <c r="CJ237" s="197" t="str">
        <f t="shared" si="3941"/>
        <v>YoY Change (%)</v>
      </c>
      <c r="CK237" s="198">
        <f>CK236/CD236-1</f>
        <v>2.6666666666666838E-2</v>
      </c>
      <c r="CL237" s="198">
        <f t="shared" ref="CL237" si="4665">CL236/CE236-1</f>
        <v>4.4117647058823817E-2</v>
      </c>
      <c r="CM237" s="198">
        <f t="shared" ref="CM237" si="4666">CM236/CF236-1</f>
        <v>-6.5573770491803351E-2</v>
      </c>
      <c r="CN237" s="198">
        <f t="shared" ref="CN237" si="4667">CN236/CG236-1</f>
        <v>-5.9701492537313494E-2</v>
      </c>
      <c r="CO237" s="198">
        <f t="shared" ref="CO237" si="4668">CO236/CH236-1</f>
        <v>-1.1070110701106972E-2</v>
      </c>
      <c r="CQ237" s="197" t="str">
        <f t="shared" si="3946"/>
        <v>YoY Change (%)</v>
      </c>
      <c r="CR237" s="198">
        <f>CR236/CK236-1</f>
        <v>-9.090909090909105E-2</v>
      </c>
      <c r="CS237" s="198">
        <f t="shared" ref="CS237" si="4669">CS236/CL236-1</f>
        <v>-5.633802816901412E-2</v>
      </c>
      <c r="CT237" s="198">
        <f t="shared" ref="CT237" si="4670">CT236/CM236-1</f>
        <v>1.7543859649122862E-2</v>
      </c>
      <c r="CU237" s="198">
        <f t="shared" ref="CU237" si="4671">CU236/CN236-1</f>
        <v>-3.1746031746031744E-2</v>
      </c>
      <c r="CV237" s="198">
        <f t="shared" ref="CV237" si="4672">CV236/CO236-1</f>
        <v>-4.4776119402985204E-2</v>
      </c>
      <c r="CX237" s="197" t="str">
        <f t="shared" si="3951"/>
        <v>YoY Change (%)</v>
      </c>
      <c r="CY237" s="198">
        <f>CY236/CR236-1</f>
        <v>-4.2857142857142816E-2</v>
      </c>
      <c r="CZ237" s="198">
        <f t="shared" ref="CZ237" si="4673">CZ236/CS236-1</f>
        <v>-4.4776119402985093E-2</v>
      </c>
      <c r="DA237" s="198">
        <f t="shared" ref="DA237" si="4674">DA236/CT236-1</f>
        <v>1.7241379310344973E-2</v>
      </c>
      <c r="DB237" s="198">
        <f t="shared" ref="DB237" si="4675">DB236/CU236-1</f>
        <v>4.9180327868852736E-2</v>
      </c>
      <c r="DC237" s="198">
        <f t="shared" ref="DC237" si="4676">DC236/CV236-1</f>
        <v>-7.812499999999778E-3</v>
      </c>
      <c r="DE237" s="197" t="str">
        <f t="shared" si="3956"/>
        <v>YoY Change (%)</v>
      </c>
      <c r="DF237" s="198">
        <f>DF236/CY236-1</f>
        <v>0.17910447761194037</v>
      </c>
      <c r="DG237" s="198">
        <f t="shared" ref="DG237" si="4677">DG236/CZ236-1</f>
        <v>4.6875E-2</v>
      </c>
      <c r="DH237" s="198">
        <f t="shared" ref="DH237" si="4678">DH236/DA236-1</f>
        <v>0.10169491525423746</v>
      </c>
      <c r="DI237" s="198">
        <f t="shared" ref="DI237" si="4679">DI236/DB236-1</f>
        <v>0.10937499999999978</v>
      </c>
      <c r="DJ237" s="198">
        <f t="shared" ref="DJ237" si="4680">DJ236/DC236-1</f>
        <v>0.11023622047244075</v>
      </c>
      <c r="DL237" s="197" t="str">
        <f t="shared" si="3961"/>
        <v>YoY Change (%)</v>
      </c>
      <c r="DM237" s="198">
        <f>DM236/DF236-1</f>
        <v>-5.0632911392405111E-2</v>
      </c>
      <c r="DN237" s="198">
        <f t="shared" ref="DN237" si="4681">DN236/DG236-1</f>
        <v>2.9850746268656803E-2</v>
      </c>
      <c r="DO237" s="198">
        <f t="shared" ref="DO237" si="4682">DO236/DH236-1</f>
        <v>1.5384615384615108E-2</v>
      </c>
      <c r="DP237" s="198">
        <f t="shared" ref="DP237" si="4683">DP236/DI236-1</f>
        <v>-2.8169014084507005E-2</v>
      </c>
      <c r="DQ237" s="198">
        <f t="shared" ref="DQ237" si="4684">DQ236/DJ236-1</f>
        <v>-1.0638297872340274E-2</v>
      </c>
      <c r="DS237" s="197" t="str">
        <f t="shared" si="3966"/>
        <v>YoY Change (%)</v>
      </c>
      <c r="DT237" s="198">
        <f>DT236/DM236-1</f>
        <v>0</v>
      </c>
      <c r="DU237" s="198">
        <f t="shared" ref="DU237" si="4685">DU236/DN236-1</f>
        <v>7.2463768115942129E-2</v>
      </c>
      <c r="DV237" s="198">
        <f t="shared" ref="DV237" si="4686">DV236/DO236-1</f>
        <v>3.0303030303030276E-2</v>
      </c>
      <c r="DW237" s="198">
        <f t="shared" ref="DW237" si="4687">DW236/DP236-1</f>
        <v>8.6956521739130155E-2</v>
      </c>
      <c r="DX237" s="198">
        <f t="shared" ref="DX237" si="4688">DX236/DQ236-1</f>
        <v>4.6594982078852931E-2</v>
      </c>
      <c r="DZ237" s="197" t="str">
        <f t="shared" si="3971"/>
        <v>YoY Change (%)</v>
      </c>
      <c r="EA237" s="198">
        <f>EA236/DT236-1</f>
        <v>0.10666666666666669</v>
      </c>
      <c r="EB237" s="198">
        <f t="shared" ref="EB237" si="4689">EB236/DU236-1</f>
        <v>5.4054054054053946E-2</v>
      </c>
      <c r="EC237" s="198">
        <f t="shared" ref="EC237" si="4690">EC236/DV236-1</f>
        <v>1.4705882352941124E-2</v>
      </c>
      <c r="ED237" s="198">
        <f t="shared" ref="ED237" si="4691">ED236/DW236-1</f>
        <v>-2.6666666666666505E-2</v>
      </c>
      <c r="EE237" s="198">
        <f t="shared" ref="EE237" si="4692">EE236/DX236-1</f>
        <v>3.7671232876712368E-2</v>
      </c>
      <c r="EG237" s="197" t="str">
        <f t="shared" si="3976"/>
        <v>YoY Change (%)</v>
      </c>
      <c r="EH237" s="198">
        <f>EH236/EA236-1</f>
        <v>7.2289156626506035E-2</v>
      </c>
      <c r="EI237" s="198">
        <f t="shared" ref="EI237" si="4693">EI236/EB236-1</f>
        <v>0</v>
      </c>
      <c r="EJ237" s="198">
        <f t="shared" ref="EJ237" si="4694">EJ236/EC236-1</f>
        <v>2.8985507246376718E-2</v>
      </c>
      <c r="EK237" s="198">
        <f t="shared" ref="EK237" si="4695">EK236/ED236-1</f>
        <v>8.2191780821917915E-2</v>
      </c>
      <c r="EL237" s="198">
        <f t="shared" ref="EL237" si="4696">EL236/EE236-1</f>
        <v>4.6204620462046098E-2</v>
      </c>
      <c r="EN237" s="197" t="str">
        <f t="shared" si="3981"/>
        <v>YoY Change (%)</v>
      </c>
      <c r="EO237" s="198">
        <f>EO236/EH236-1</f>
        <v>4.4943820224718989E-2</v>
      </c>
      <c r="EP237" s="198">
        <f t="shared" ref="EP237" si="4697">EP236/EI236-1</f>
        <v>-5.1282051282051322E-2</v>
      </c>
      <c r="EQ237" s="198">
        <f t="shared" ref="EQ237" si="4698">EQ236/EJ236-1</f>
        <v>5.6338028169014009E-2</v>
      </c>
      <c r="ER237" s="198">
        <f t="shared" ref="ER237" si="4699">ER236/EK236-1</f>
        <v>-5.0632911392405222E-2</v>
      </c>
      <c r="ES237" s="198">
        <f t="shared" ref="ES237" si="4700">ES236/EL236-1</f>
        <v>0</v>
      </c>
      <c r="EU237" s="197" t="str">
        <f t="shared" si="3986"/>
        <v>YoY Change (%)</v>
      </c>
      <c r="EV237" s="198">
        <f>EV236/EO236-1</f>
        <v>-4.3010752688171894E-2</v>
      </c>
      <c r="EW237" s="198">
        <f t="shared" ref="EW237" si="4701">EW236/EP236-1</f>
        <v>1.3513513513513598E-2</v>
      </c>
      <c r="EX237" s="198">
        <f t="shared" ref="EX237" si="4702">EX236/EQ236-1</f>
        <v>-0.15999999999999992</v>
      </c>
      <c r="EY237" s="198">
        <f t="shared" ref="EY237" si="4703">EY236/ER236-1</f>
        <v>5.3333333333333455E-2</v>
      </c>
      <c r="EZ237" s="198">
        <f t="shared" ref="EZ237" si="4704">EZ236/ES236-1</f>
        <v>-3.4700315457413256E-2</v>
      </c>
      <c r="FB237" s="197" t="str">
        <f t="shared" si="3991"/>
        <v>YoY Change (%)</v>
      </c>
      <c r="FC237" s="198">
        <f>FC236/EV236-1</f>
        <v>0</v>
      </c>
      <c r="FD237" s="198">
        <f t="shared" ref="FD237" si="4705">FD236/EW236-1</f>
        <v>0.10666666666666647</v>
      </c>
      <c r="FE237" s="198">
        <f t="shared" ref="FE237" si="4706">FE236/EX236-1</f>
        <v>0.15873015873015861</v>
      </c>
      <c r="FF237" s="198">
        <f t="shared" ref="FF237" si="4707">FF236/EY236-1</f>
        <v>0</v>
      </c>
      <c r="FG237" s="198">
        <f t="shared" ref="FG237" si="4708">FG236/EZ236-1</f>
        <v>5.8823529411764719E-2</v>
      </c>
      <c r="FI237" s="197" t="str">
        <f t="shared" si="3996"/>
        <v>YoY Change (%)</v>
      </c>
      <c r="FJ237" s="198">
        <f>FJ236/FC236-1</f>
        <v>-2.2471910112359605E-2</v>
      </c>
      <c r="FK237" s="198">
        <f t="shared" ref="FK237" si="4709">FK236/FD236-1</f>
        <v>2.4096385542168752E-2</v>
      </c>
      <c r="FL237" s="198">
        <f t="shared" ref="FL237" si="4710">FL236/FE236-1</f>
        <v>1.3698630136986356E-2</v>
      </c>
      <c r="FM237" s="198">
        <f t="shared" ref="FM237" si="4711">FM236/FF236-1</f>
        <v>5.0632911392405111E-2</v>
      </c>
      <c r="FN237" s="198">
        <f t="shared" ref="FN237" si="4712">FN236/FG236-1</f>
        <v>1.5432098765431945E-2</v>
      </c>
      <c r="FP237" s="197" t="str">
        <f t="shared" si="4001"/>
        <v>YoY Change (%)</v>
      </c>
      <c r="FQ237" s="198">
        <f>FQ236/FJ236-1</f>
        <v>2.2988505747126631E-2</v>
      </c>
      <c r="FR237" s="198">
        <f t="shared" ref="FR237" si="4713">FR236/FK236-1</f>
        <v>3.529411764705892E-2</v>
      </c>
      <c r="FS237" s="198">
        <f t="shared" ref="FS237" si="4714">FS236/FL236-1</f>
        <v>1.3513513513513598E-2</v>
      </c>
      <c r="FT237" s="198">
        <f t="shared" ref="FT237" si="4715">FT236/FM236-1</f>
        <v>7.2289156626506035E-2</v>
      </c>
      <c r="FU237" s="198">
        <f t="shared" ref="FU237" si="4716">FU236/FN236-1</f>
        <v>3.6474164133738718E-2</v>
      </c>
      <c r="FW237" s="197" t="str">
        <f t="shared" si="4006"/>
        <v>YoY Change (%)</v>
      </c>
      <c r="FX237" s="198">
        <f>FX236/FQ236-1</f>
        <v>1.1235955056179581E-2</v>
      </c>
      <c r="FY237" s="198">
        <f t="shared" ref="FY237" si="4717">FY236/FR236-1</f>
        <v>3.4090909090909172E-2</v>
      </c>
      <c r="FZ237" s="198">
        <f t="shared" ref="FZ237" si="4718">FZ236/FS236-1</f>
        <v>0.10666666666666669</v>
      </c>
      <c r="GA237" s="198">
        <f t="shared" ref="GA237" si="4719">GA236/FT236-1</f>
        <v>-2.2471910112359605E-2</v>
      </c>
      <c r="GB237" s="198">
        <f t="shared" ref="GB237" si="4720">GB236/FU236-1</f>
        <v>2.9325513196481134E-2</v>
      </c>
      <c r="GD237" s="197" t="str">
        <f t="shared" si="4011"/>
        <v>YoY Change (%)</v>
      </c>
      <c r="GE237" s="198">
        <f>GE236/FX236-1</f>
        <v>0</v>
      </c>
      <c r="GF237" s="198">
        <f t="shared" ref="GF237" si="4721">GF236/FY236-1</f>
        <v>2.1978021978022122E-2</v>
      </c>
      <c r="GG237" s="198">
        <f t="shared" ref="GG237" si="4722">GG236/FZ236-1</f>
        <v>-1.2048192771084376E-2</v>
      </c>
      <c r="GH237" s="198">
        <f t="shared" ref="GH237" si="4723">GH236/GA236-1</f>
        <v>2.2988505747126409E-2</v>
      </c>
      <c r="GI237" s="198">
        <f t="shared" ref="GI237" si="4724">GI236/GB236-1</f>
        <v>8.5470085470082946E-3</v>
      </c>
      <c r="GK237" s="197" t="str">
        <f t="shared" si="4016"/>
        <v>YoY Change (%)</v>
      </c>
      <c r="GL237" s="198">
        <f>GL236/GE236-1</f>
        <v>0.17777777777777781</v>
      </c>
      <c r="GM237" s="198">
        <f t="shared" ref="GM237" si="4725">GM236/GF236-1</f>
        <v>0.11827956989247301</v>
      </c>
      <c r="GN237" s="198">
        <f t="shared" ref="GN237" si="4726">GN236/GG236-1</f>
        <v>0.23170731707317072</v>
      </c>
      <c r="GO237" s="198">
        <f t="shared" ref="GO237" si="4727">GO236/GH236-1</f>
        <v>0.23595505617977519</v>
      </c>
      <c r="GP237" s="198">
        <f t="shared" ref="GP237" si="4728">GP236/GI236-1</f>
        <v>0.18926553672316393</v>
      </c>
      <c r="GR237" s="197" t="str">
        <f t="shared" si="4021"/>
        <v>YoY Change (%)</v>
      </c>
      <c r="GS237" s="198">
        <f>GS236/GL236-1</f>
        <v>0.22641509433962281</v>
      </c>
      <c r="GT237" s="198">
        <f t="shared" ref="GT237" si="4729">GT236/GM236-1</f>
        <v>0.23076923076923084</v>
      </c>
      <c r="GU237" s="198">
        <f t="shared" ref="GU237" si="4730">GU236/GN236-1</f>
        <v>0.15841584158415833</v>
      </c>
      <c r="GV237" s="198">
        <f t="shared" ref="GV237" si="4731">GV236/GO236-1</f>
        <v>-0.21818181818181814</v>
      </c>
      <c r="GW237" s="198">
        <f t="shared" ref="GW237" si="4732">GW236/GP236-1</f>
        <v>9.5011876484560664E-2</v>
      </c>
      <c r="GY237" s="197" t="str">
        <f t="shared" si="4026"/>
        <v>YoY Change (%)</v>
      </c>
      <c r="GZ237" s="198">
        <f>GZ236/GS236-1</f>
        <v>-0.33076923076923093</v>
      </c>
      <c r="HA237" s="198">
        <f t="shared" ref="HA237" si="4733">HA236/GT236-1</f>
        <v>-0.265625</v>
      </c>
      <c r="HB237" s="198">
        <f t="shared" ref="HB237" si="4734">HB236/GU236-1</f>
        <v>-0.19658119658119655</v>
      </c>
      <c r="HC237" s="198">
        <f t="shared" ref="HC237" si="4735">HC236/GV236-1</f>
        <v>0.13953488372093026</v>
      </c>
      <c r="HD237" s="198">
        <f t="shared" ref="HD237" si="4736">HD236/GW236-1</f>
        <v>-0.19088937093275493</v>
      </c>
      <c r="HF237" s="197" t="str">
        <f t="shared" si="4031"/>
        <v>YoY Change (%)</v>
      </c>
      <c r="HG237" s="198">
        <f>HG236/GZ236-1</f>
        <v>0.4137931034482758</v>
      </c>
      <c r="HH237" s="198">
        <f t="shared" ref="HH237" si="4737">HH236/HA236-1</f>
        <v>0.15957446808510634</v>
      </c>
      <c r="HI237" s="198">
        <f t="shared" ref="HI237" si="4738">HI236/HB236-1</f>
        <v>0.13829787234042556</v>
      </c>
      <c r="HJ237" s="198">
        <f t="shared" ref="HJ237" si="4739">HJ236/HC236-1</f>
        <v>0.28571428571428581</v>
      </c>
      <c r="HK237" s="198">
        <f t="shared" ref="HK237" si="4740">HK236/HD236-1</f>
        <v>0.24664879356568359</v>
      </c>
      <c r="HM237" s="197" t="str">
        <f t="shared" si="4036"/>
        <v>YoY Change (%)</v>
      </c>
      <c r="HN237" s="198">
        <f>HN236/HG236-1</f>
        <v>0.10569105691056913</v>
      </c>
      <c r="HO237" s="198">
        <f t="shared" ref="HO237" si="4741">HO236/HH236-1</f>
        <v>9.174311926605494E-2</v>
      </c>
      <c r="HP237" s="198">
        <f t="shared" ref="HP237" si="4742">HP236/HI236-1</f>
        <v>0.10280373831775691</v>
      </c>
      <c r="HQ237" s="198">
        <f t="shared" ref="HQ237" si="4743">HQ236/HJ236-1</f>
        <v>-7.1428571428571397E-2</v>
      </c>
      <c r="HR237" s="198">
        <f t="shared" ref="HR237" si="4744">HR236/HK236-1</f>
        <v>5.3763440860215006E-2</v>
      </c>
      <c r="HT237" s="197" t="str">
        <f t="shared" si="4041"/>
        <v>YoY Change (%)</v>
      </c>
      <c r="HU237" s="198">
        <f>HU236/HN236-1</f>
        <v>-3.6764705882352922E-2</v>
      </c>
      <c r="HV237" s="198">
        <f t="shared" ref="HV237" si="4745">HV236/HO236-1</f>
        <v>5.0420168067226934E-2</v>
      </c>
      <c r="HW237" s="198">
        <f t="shared" ref="HW237" si="4746">HW236/HP236-1</f>
        <v>4.2372881355932313E-2</v>
      </c>
      <c r="HX237" s="198">
        <f t="shared" ref="HX237" si="4747">HX236/HQ236-1</f>
        <v>0.13675213675213671</v>
      </c>
      <c r="HY237" s="198">
        <f t="shared" ref="HY237" si="4748">HY236/HR236-1</f>
        <v>4.4897959183673564E-2</v>
      </c>
      <c r="IA237" s="197" t="str">
        <f t="shared" si="4046"/>
        <v>YoY Change (%)</v>
      </c>
      <c r="IB237" s="198">
        <f>IB236/HU236-1</f>
        <v>9.92366412213741E-2</v>
      </c>
      <c r="IC237" s="198">
        <f t="shared" ref="IC237" si="4749">IC236/HV236-1</f>
        <v>7.9999999999999849E-2</v>
      </c>
      <c r="ID237" s="198">
        <f t="shared" ref="ID237" si="4750">ID236/HW236-1</f>
        <v>8.1300813008129413E-3</v>
      </c>
      <c r="IE237" s="198">
        <f t="shared" ref="IE237" si="4751">IE236/HX236-1</f>
        <v>-6.7669172932330879E-2</v>
      </c>
      <c r="IF237" s="198">
        <f t="shared" ref="IF237" si="4752">IF236/HY236-1</f>
        <v>2.9296875E-2</v>
      </c>
      <c r="IH237" s="197" t="str">
        <f t="shared" si="4051"/>
        <v>YoY Change (%)</v>
      </c>
      <c r="II237" s="198">
        <f>II236/IB236-1</f>
        <v>-6.944444444444442E-2</v>
      </c>
      <c r="IJ237" s="198">
        <f t="shared" ref="IJ237" si="4753">IJ236/IC236-1</f>
        <v>5.9259259259259567E-2</v>
      </c>
      <c r="IK237" s="198">
        <f t="shared" ref="IK237" si="4754">IK236/ID236-1</f>
        <v>2.4193548387096753E-2</v>
      </c>
      <c r="IL237" s="198">
        <f t="shared" ref="IL237" si="4755">IL236/IE236-1</f>
        <v>4.8387096774193727E-2</v>
      </c>
      <c r="IM237" s="198">
        <f t="shared" ref="IM237" si="4756">IM236/IF236-1</f>
        <v>1.3282732447817747E-2</v>
      </c>
      <c r="IO237" s="197" t="str">
        <f t="shared" si="4056"/>
        <v>YoY Change (%)</v>
      </c>
      <c r="IP237" s="198">
        <f>IP236/II236-1</f>
        <v>1.4925373134328401E-2</v>
      </c>
      <c r="IQ237" s="198">
        <f t="shared" ref="IQ237" si="4757">IQ236/IJ236-1</f>
        <v>-0.14685314685314677</v>
      </c>
      <c r="IR237" s="198">
        <f t="shared" ref="IR237" si="4758">IR236/IK236-1</f>
        <v>-0.12598425196850405</v>
      </c>
      <c r="IS237" s="198">
        <f t="shared" ref="IS237" si="4759">IS236/IL236-1</f>
        <v>-7.6923076923077094E-2</v>
      </c>
      <c r="IT237" s="198">
        <f t="shared" ref="IT237" si="4760">IT236/IM236-1</f>
        <v>-8.4269662921348298E-2</v>
      </c>
      <c r="IV237" s="197" t="str">
        <f t="shared" si="4061"/>
        <v>YoY Change (%)</v>
      </c>
      <c r="IW237" s="198">
        <f>IW236/IP236-1</f>
        <v>-6.6176470588235281E-2</v>
      </c>
      <c r="IX237" s="198">
        <f t="shared" ref="IX237" si="4761">IX236/IQ236-1</f>
        <v>-6.5573770491803351E-2</v>
      </c>
      <c r="IY237" s="198">
        <f t="shared" ref="IY237" si="4762">IY236/IR236-1</f>
        <v>-6.3063063063062974E-2</v>
      </c>
      <c r="IZ237" s="198">
        <f t="shared" ref="IZ237" si="4763">IZ236/IS236-1</f>
        <v>0.44166666666666665</v>
      </c>
      <c r="JA237" s="198">
        <f t="shared" ref="JA237" si="4764">JA236/IT236-1</f>
        <v>5.9304703476482645E-2</v>
      </c>
      <c r="JC237" s="197" t="str">
        <f t="shared" si="4066"/>
        <v>YoY Change (%)</v>
      </c>
      <c r="JD237" s="198">
        <f>JD236/IW236-1</f>
        <v>1.5748031496062964E-2</v>
      </c>
      <c r="JE237" s="198">
        <f t="shared" ref="JE237" si="4765">JE236/IX236-1</f>
        <v>3.5087719298245501E-2</v>
      </c>
      <c r="JF237" s="198">
        <f t="shared" ref="JF237" si="4766">JF236/IY236-1</f>
        <v>1.9230769230769162E-2</v>
      </c>
      <c r="JG237" s="198">
        <f t="shared" ref="JG237" si="4767">JG236/IZ236-1</f>
        <v>-0.34682080924855496</v>
      </c>
      <c r="JH237" s="198">
        <f t="shared" ref="JH237" si="4768">JH236/JA236-1</f>
        <v>-0.1003861003861003</v>
      </c>
      <c r="JJ237" s="197" t="str">
        <f t="shared" si="4071"/>
        <v>YoY Change (%)</v>
      </c>
      <c r="JK237" s="198">
        <f>JK236/JD236-1</f>
        <v>-0.10077519379844957</v>
      </c>
      <c r="JL237" s="198">
        <f t="shared" ref="JL237" si="4769">JL236/JE236-1</f>
        <v>-5.0847457627118509E-2</v>
      </c>
      <c r="JM237" s="198">
        <f t="shared" ref="JM237" si="4770">JM236/JF236-1</f>
        <v>-1.8867924528301772E-2</v>
      </c>
      <c r="JN237" s="198">
        <f t="shared" ref="JN237" si="4771">JN236/JG236-1</f>
        <v>-2.6548672566371723E-2</v>
      </c>
      <c r="JO237" s="198">
        <f t="shared" ref="JO237" si="4772">JO236/JH236-1</f>
        <v>-5.1502145922746934E-2</v>
      </c>
      <c r="JQ237" s="197" t="str">
        <f t="shared" si="4076"/>
        <v>YoY Change (%)</v>
      </c>
      <c r="JR237" s="198">
        <f>JR236/JK236-1</f>
        <v>-5.1724137931034475E-2</v>
      </c>
      <c r="JS237" s="198">
        <f t="shared" ref="JS237" si="4773">JS236/JL236-1</f>
        <v>0</v>
      </c>
      <c r="JT237" s="198">
        <f t="shared" ref="JT237" si="4774">JT236/JM236-1</f>
        <v>-2.8846153846153966E-2</v>
      </c>
      <c r="JU237" s="198">
        <f t="shared" ref="JU237" si="4775">JU236/JN236-1</f>
        <v>-1.8181818181818188E-2</v>
      </c>
      <c r="JV237" s="198">
        <f t="shared" ref="JV237" si="4776">JV236/JO236-1</f>
        <v>-2.4886877828054321E-2</v>
      </c>
      <c r="JX237" s="197" t="str">
        <f t="shared" si="4081"/>
        <v>YoY Change (%)</v>
      </c>
      <c r="JY237" s="198">
        <f>JY236/JR236-1</f>
        <v>1.8181818181818077E-2</v>
      </c>
      <c r="JZ237" s="198">
        <f t="shared" ref="JZ237" si="4777">JZ236/JS236-1</f>
        <v>-8.0357142857143127E-2</v>
      </c>
      <c r="KA237" s="198">
        <f t="shared" ref="KA237" si="4778">KA236/JT236-1</f>
        <v>-4.9504950495049549E-2</v>
      </c>
      <c r="KB237" s="198">
        <f t="shared" ref="KB237" si="4779">KB236/JU236-1</f>
        <v>4.629629629629628E-2</v>
      </c>
      <c r="KC237" s="198">
        <f t="shared" ref="KC237" si="4780">KC236/JV236-1</f>
        <v>-1.6241299303944357E-2</v>
      </c>
      <c r="KE237" s="197" t="str">
        <f t="shared" si="4086"/>
        <v>YoY Change (%)</v>
      </c>
      <c r="KF237" s="198">
        <f>KF236/JY236-1</f>
        <v>8.9285714285714191E-2</v>
      </c>
      <c r="KG237" s="198">
        <f t="shared" ref="KG237" si="4781">KG236/JZ236-1</f>
        <v>0.18446601941747587</v>
      </c>
      <c r="KH237" s="198">
        <f t="shared" ref="KH237" si="4782">KH236/KA236-1</f>
        <v>0.10416666666666674</v>
      </c>
      <c r="KI237" s="198">
        <f t="shared" ref="KI237" si="4783">KI236/KB236-1</f>
        <v>6.1946902654867131E-2</v>
      </c>
      <c r="KJ237" s="198">
        <f t="shared" ref="KJ237" si="4784">KJ236/KC236-1</f>
        <v>0.10849056603773577</v>
      </c>
      <c r="KL237" s="197" t="str">
        <f t="shared" si="4091"/>
        <v>YoY Change (%)</v>
      </c>
      <c r="KM237" s="198">
        <f>KM236/KF236-1</f>
        <v>-1.6393442622950949E-2</v>
      </c>
      <c r="KN237" s="198">
        <f t="shared" ref="KN237" si="4785">KN236/KG236-1</f>
        <v>-3.2786885245901676E-2</v>
      </c>
      <c r="KO237" s="198">
        <f t="shared" ref="KO237" si="4786">KO236/KH236-1</f>
        <v>1.8867924528301883E-2</v>
      </c>
      <c r="KP237" s="198">
        <f t="shared" ref="KP237" si="4787">KP236/KI236-1</f>
        <v>-9.1666666666666563E-2</v>
      </c>
      <c r="KQ237" s="198">
        <f t="shared" ref="KQ237" si="4788">KQ236/KJ236-1</f>
        <v>-3.1914893617021267E-2</v>
      </c>
      <c r="KS237" s="197" t="str">
        <f t="shared" si="4096"/>
        <v>YoY Change (%)</v>
      </c>
      <c r="KT237" s="198">
        <f>KT236/KM236-1</f>
        <v>7.5000000000000178E-2</v>
      </c>
      <c r="KU237" s="198">
        <f t="shared" ref="KU237" si="4789">KU236/KN236-1</f>
        <v>8.4745762711864181E-2</v>
      </c>
      <c r="KV237" s="198">
        <f t="shared" ref="KV237" si="4790">KV236/KO236-1</f>
        <v>0.14814814814814792</v>
      </c>
      <c r="KW237" s="198">
        <f t="shared" ref="KW237" si="4791">KW236/KP236-1</f>
        <v>0.23853211009174302</v>
      </c>
      <c r="KX237" s="198">
        <f t="shared" ref="KX237" si="4792">KX236/KQ236-1</f>
        <v>0.13406593406593426</v>
      </c>
      <c r="KZ237" s="197" t="str">
        <f t="shared" si="4101"/>
        <v>YoY Change (%)</v>
      </c>
      <c r="LA237" s="198">
        <f>LA236/KT236-1</f>
        <v>5.4263565891472965E-2</v>
      </c>
      <c r="LB237" s="198">
        <f>LB236/KU236-1</f>
        <v>-1.5624999999999889E-2</v>
      </c>
      <c r="LC237" s="198">
        <f>LC236/KV236-1</f>
        <v>-4.8387096774193394E-2</v>
      </c>
      <c r="LD237" s="198">
        <f t="shared" ref="LD237" si="4793">LD236/KW236-1</f>
        <v>-7.407407407407407E-2</v>
      </c>
      <c r="LE237" s="199">
        <f t="shared" ref="LE237" si="4794">LE236/KX236-1</f>
        <v>-2.1317829457364601E-2</v>
      </c>
      <c r="LF237" s="574"/>
      <c r="LG237" s="197" t="str">
        <f t="shared" si="4104"/>
        <v>YoY Change (%)</v>
      </c>
      <c r="LH237" s="198">
        <f>LH236/LA236-1</f>
        <v>0</v>
      </c>
      <c r="LI237" s="198">
        <f>LI236/LB236-1</f>
        <v>0</v>
      </c>
      <c r="LJ237" s="198">
        <f>LJ236/LC236-1</f>
        <v>6.7796610169491567E-2</v>
      </c>
      <c r="LK237" s="198">
        <f>LK236/LD236-1</f>
        <v>6.4000000000000057E-2</v>
      </c>
      <c r="LL237" s="199">
        <f t="shared" ref="LL237" si="4795">LL236/LE236-1</f>
        <v>3.1683168316831711E-2</v>
      </c>
      <c r="LM237" s="574"/>
      <c r="LN237" s="197" t="str">
        <f t="shared" si="4106"/>
        <v>YoY Change (%)</v>
      </c>
      <c r="LO237" s="199">
        <f>LO236/LH236-1</f>
        <v>2.0000000000000018E-2</v>
      </c>
      <c r="LP237" s="199">
        <f t="shared" ref="LP237" si="4796">LP236/LI236-1</f>
        <v>4.0374999999999828E-2</v>
      </c>
      <c r="LQ237" s="199">
        <f t="shared" ref="LQ237" si="4797">LQ236/LJ236-1</f>
        <v>6.0899999999999954E-2</v>
      </c>
      <c r="LR237" s="199">
        <f t="shared" ref="LR237" si="4798">LR236/LK236-1</f>
        <v>8.1500000000000128E-2</v>
      </c>
      <c r="LS237" s="199">
        <f t="shared" ref="LS237" si="4799">LS236/LL236-1</f>
        <v>5.0518522072936722E-2</v>
      </c>
      <c r="LT237" s="574"/>
      <c r="LU237" s="197" t="str">
        <f t="shared" si="4610"/>
        <v>YoY Change (%)</v>
      </c>
      <c r="LV237" s="199">
        <f>LV236/LO236-1</f>
        <v>6.8600000000000216E-2</v>
      </c>
      <c r="LW237" s="199">
        <f t="shared" ref="LW237" si="4800">LW236/LP236-1</f>
        <v>6.8599999999999994E-2</v>
      </c>
      <c r="LX237" s="199">
        <f t="shared" ref="LX237" si="4801">LX236/LQ236-1</f>
        <v>3.7774999999999892E-2</v>
      </c>
      <c r="LY237" s="199">
        <f t="shared" ref="LY237" si="4802">LY236/LR236-1</f>
        <v>2.7500000000000302E-2</v>
      </c>
      <c r="LZ237" s="199">
        <f t="shared" ref="LZ237" si="4803">LZ236/LS236-1</f>
        <v>5.0270168721177289E-2</v>
      </c>
      <c r="MA237" s="574"/>
      <c r="MB237" s="197" t="str">
        <f t="shared" si="4612"/>
        <v>YoY Change (%)</v>
      </c>
      <c r="MC237" s="199">
        <f>MC236/LV236-1</f>
        <v>4.5499999999999874E-2</v>
      </c>
      <c r="MD237" s="199">
        <f t="shared" ref="MD237" si="4804">MD236/LW236-1</f>
        <v>3.5250000000000226E-2</v>
      </c>
      <c r="ME237" s="199">
        <f t="shared" ref="ME237" si="4805">ME236/LX236-1</f>
        <v>2.5000000000000133E-2</v>
      </c>
      <c r="MF237" s="199">
        <f t="shared" ref="MF237" si="4806">MF236/LY236-1</f>
        <v>2.7562499999999712E-2</v>
      </c>
      <c r="MG237" s="199">
        <f t="shared" ref="MG237" si="4807">MG236/LZ236-1</f>
        <v>3.344310694030983E-2</v>
      </c>
      <c r="MH237" s="574"/>
    </row>
    <row r="238" spans="1:346" s="37" customFormat="1" ht="13.15" x14ac:dyDescent="0.4">
      <c r="A238" s="100"/>
      <c r="C238" s="186"/>
      <c r="D238" s="186"/>
      <c r="E238" s="186"/>
      <c r="F238" s="186"/>
      <c r="G238" s="186"/>
      <c r="H238" s="186"/>
      <c r="I238" s="186"/>
      <c r="J238" s="186"/>
      <c r="K238" s="186"/>
      <c r="L238" s="186"/>
      <c r="M238" s="186"/>
      <c r="N238" s="193"/>
      <c r="O238" s="193"/>
      <c r="P238" s="193"/>
      <c r="Q238" s="193"/>
      <c r="R238" s="193"/>
      <c r="S238" s="193"/>
      <c r="T238" s="193"/>
      <c r="U238" s="193"/>
      <c r="V238" s="193"/>
      <c r="W238" s="193"/>
      <c r="X238" s="193"/>
      <c r="Y238" s="193"/>
      <c r="Z238" s="193"/>
      <c r="AA238" s="193"/>
      <c r="AB238" s="193"/>
      <c r="AC238" s="193"/>
      <c r="AD238" s="193"/>
      <c r="AE238" s="193"/>
      <c r="AF238" s="193"/>
      <c r="AG238" s="193"/>
      <c r="AH238" s="193"/>
      <c r="AI238" s="193"/>
      <c r="AJ238" s="193"/>
      <c r="AK238" s="193"/>
      <c r="AL238" s="193"/>
      <c r="AM238" s="193"/>
      <c r="AN238" s="193"/>
      <c r="AO238" s="193"/>
      <c r="AP238" s="193"/>
      <c r="AQ238" s="193"/>
      <c r="AR238" s="193"/>
      <c r="AS238" s="193"/>
      <c r="AT238" s="193"/>
      <c r="AU238" s="193"/>
      <c r="AV238" s="193"/>
      <c r="AW238" s="193"/>
      <c r="AX238" s="193"/>
      <c r="AY238" s="193"/>
      <c r="AZ238" s="193"/>
      <c r="BA238" s="193"/>
      <c r="BB238" s="193"/>
      <c r="BC238" s="193"/>
      <c r="BD238" s="193"/>
      <c r="BE238" s="193"/>
      <c r="BF238" s="193"/>
      <c r="BG238" s="193"/>
      <c r="BH238" s="193"/>
      <c r="BI238" s="193"/>
      <c r="BJ238" s="193"/>
      <c r="BK238" s="193"/>
      <c r="BL238" s="193"/>
      <c r="BM238" s="193"/>
      <c r="BP238" s="193"/>
      <c r="BQ238" s="193"/>
      <c r="BR238" s="193"/>
      <c r="BS238" s="193"/>
      <c r="BT238" s="193"/>
      <c r="BW238" s="193"/>
      <c r="BX238" s="193"/>
      <c r="BY238" s="193"/>
      <c r="BZ238" s="193"/>
      <c r="CA238" s="193"/>
      <c r="CD238" s="193"/>
      <c r="CE238" s="193"/>
      <c r="CF238" s="193"/>
      <c r="CG238" s="193"/>
      <c r="CH238" s="193"/>
      <c r="CK238" s="193"/>
      <c r="CL238" s="193"/>
      <c r="CM238" s="193"/>
      <c r="CN238" s="193"/>
      <c r="CO238" s="193"/>
      <c r="CR238" s="193"/>
      <c r="CS238" s="193"/>
      <c r="CT238" s="193"/>
      <c r="CU238" s="193"/>
      <c r="CV238" s="193"/>
      <c r="CY238" s="193"/>
      <c r="CZ238" s="193"/>
      <c r="DA238" s="193"/>
      <c r="DB238" s="193"/>
      <c r="DC238" s="193"/>
      <c r="DF238" s="193"/>
      <c r="DG238" s="193"/>
      <c r="DH238" s="193"/>
      <c r="DI238" s="193"/>
      <c r="DJ238" s="193"/>
      <c r="DM238" s="193"/>
      <c r="DN238" s="193"/>
      <c r="DO238" s="193"/>
      <c r="DP238" s="193"/>
      <c r="DQ238" s="193"/>
      <c r="DT238" s="193"/>
      <c r="DU238" s="193"/>
      <c r="DV238" s="193"/>
      <c r="DW238" s="193"/>
      <c r="DX238" s="193"/>
      <c r="EA238" s="193"/>
      <c r="EB238" s="193"/>
      <c r="EC238" s="193"/>
      <c r="ED238" s="193"/>
      <c r="EE238" s="193"/>
      <c r="EH238" s="193"/>
      <c r="EI238" s="193"/>
      <c r="EJ238" s="193"/>
      <c r="EK238" s="193"/>
      <c r="EL238" s="193"/>
      <c r="EO238" s="193"/>
      <c r="EP238" s="193"/>
      <c r="EQ238" s="193"/>
      <c r="ER238" s="193"/>
      <c r="ES238" s="193"/>
      <c r="EV238" s="193"/>
      <c r="EW238" s="193"/>
      <c r="EX238" s="193"/>
      <c r="EY238" s="193"/>
      <c r="EZ238" s="193"/>
      <c r="FC238" s="193"/>
      <c r="FD238" s="193"/>
      <c r="FE238" s="193"/>
      <c r="FF238" s="193"/>
      <c r="FG238" s="193"/>
      <c r="FJ238" s="193"/>
      <c r="FK238" s="193"/>
      <c r="FL238" s="193"/>
      <c r="FM238" s="193"/>
      <c r="FN238" s="193"/>
      <c r="FQ238" s="193"/>
      <c r="FR238" s="193"/>
      <c r="FS238" s="193"/>
      <c r="FT238" s="193"/>
      <c r="FU238" s="193"/>
      <c r="FX238" s="193"/>
      <c r="FY238" s="193"/>
      <c r="FZ238" s="193"/>
      <c r="GA238" s="193"/>
      <c r="GB238" s="193"/>
      <c r="GE238" s="193"/>
      <c r="GF238" s="193"/>
      <c r="GG238" s="193"/>
      <c r="GH238" s="193"/>
      <c r="GI238" s="193"/>
      <c r="GL238" s="193"/>
      <c r="GM238" s="193"/>
      <c r="GN238" s="193"/>
      <c r="GO238" s="193"/>
      <c r="GP238" s="193"/>
      <c r="GS238" s="193"/>
      <c r="GT238" s="193"/>
      <c r="GU238" s="193"/>
      <c r="GV238" s="193"/>
      <c r="GW238" s="193"/>
      <c r="GZ238" s="193"/>
      <c r="HA238" s="193"/>
      <c r="HB238" s="193"/>
      <c r="HC238" s="193"/>
      <c r="HD238" s="193"/>
      <c r="HG238" s="193"/>
      <c r="HH238" s="193"/>
      <c r="HI238" s="193"/>
      <c r="HJ238" s="193"/>
      <c r="HK238" s="193"/>
      <c r="HN238" s="193"/>
      <c r="HO238" s="193"/>
      <c r="HP238" s="193"/>
      <c r="HQ238" s="193"/>
      <c r="HR238" s="193"/>
      <c r="HU238" s="193"/>
      <c r="HV238" s="193"/>
      <c r="HW238" s="193"/>
      <c r="HX238" s="193"/>
      <c r="HY238" s="193"/>
      <c r="IB238" s="193"/>
      <c r="IC238" s="193"/>
      <c r="ID238" s="193"/>
      <c r="IE238" s="193"/>
      <c r="IF238" s="193"/>
      <c r="II238" s="193"/>
      <c r="IJ238" s="193"/>
      <c r="IK238" s="193"/>
      <c r="IL238" s="193"/>
      <c r="IM238" s="193"/>
      <c r="IP238" s="193"/>
      <c r="IQ238" s="193"/>
      <c r="IR238" s="193"/>
      <c r="IS238" s="193"/>
      <c r="IT238" s="193"/>
      <c r="IW238" s="193"/>
      <c r="IX238" s="193"/>
      <c r="IY238" s="193"/>
      <c r="IZ238" s="193"/>
      <c r="JA238" s="193"/>
      <c r="JD238" s="193"/>
      <c r="JE238" s="193"/>
      <c r="JF238" s="193"/>
      <c r="JG238" s="193"/>
      <c r="JH238" s="193"/>
      <c r="JK238" s="193"/>
      <c r="JL238" s="193"/>
      <c r="JM238" s="193"/>
      <c r="JN238" s="193"/>
      <c r="JO238" s="193"/>
      <c r="JR238" s="193"/>
      <c r="JS238" s="193"/>
      <c r="JT238" s="193"/>
      <c r="JU238" s="193"/>
      <c r="JV238" s="193"/>
      <c r="JY238" s="193"/>
      <c r="JZ238" s="193"/>
      <c r="KA238" s="193"/>
      <c r="KB238" s="193"/>
      <c r="KC238" s="193"/>
      <c r="KF238" s="193"/>
      <c r="KG238" s="193"/>
      <c r="KH238" s="193"/>
      <c r="KI238" s="193"/>
      <c r="KJ238" s="193"/>
      <c r="KM238" s="193"/>
      <c r="KN238" s="193"/>
      <c r="KO238" s="193"/>
      <c r="KP238" s="193"/>
      <c r="KQ238" s="193"/>
      <c r="KT238" s="193"/>
      <c r="KU238" s="193"/>
      <c r="KV238" s="193"/>
      <c r="KW238" s="193"/>
      <c r="KX238" s="193"/>
      <c r="LA238" s="193"/>
      <c r="LB238" s="192"/>
      <c r="LC238" s="192"/>
      <c r="LD238" s="193"/>
      <c r="LE238" s="193"/>
      <c r="LF238" s="555"/>
      <c r="LH238" s="193"/>
      <c r="LI238" s="192"/>
      <c r="LJ238" s="192"/>
      <c r="LK238" s="192"/>
      <c r="LL238" s="193"/>
      <c r="LM238" s="555"/>
      <c r="LO238" s="192"/>
      <c r="LP238" s="192"/>
      <c r="LQ238" s="192"/>
      <c r="LR238" s="192"/>
      <c r="LS238" s="193"/>
      <c r="LT238" s="555"/>
      <c r="LV238" s="192"/>
      <c r="LW238" s="192"/>
      <c r="LX238" s="192"/>
      <c r="LY238" s="192"/>
      <c r="LZ238" s="193"/>
      <c r="MA238" s="555"/>
      <c r="MC238" s="192"/>
      <c r="MD238" s="192"/>
      <c r="ME238" s="192"/>
      <c r="MF238" s="192"/>
      <c r="MG238" s="193"/>
      <c r="MH238" s="555"/>
    </row>
    <row r="239" spans="1:346" s="37" customFormat="1" ht="13.15" x14ac:dyDescent="0.4">
      <c r="A239" s="100"/>
      <c r="B239" s="206" t="s">
        <v>237</v>
      </c>
      <c r="C239" s="186"/>
      <c r="D239" s="186"/>
      <c r="E239" s="186"/>
      <c r="F239" s="186"/>
      <c r="G239" s="186"/>
      <c r="H239" s="186"/>
      <c r="I239" s="186"/>
      <c r="J239" s="186"/>
      <c r="K239" s="186"/>
      <c r="L239" s="186"/>
      <c r="M239" s="186"/>
      <c r="N239" s="193"/>
      <c r="O239" s="193"/>
      <c r="P239" s="193"/>
      <c r="Q239" s="193"/>
      <c r="R239" s="193"/>
      <c r="S239" s="193"/>
      <c r="T239" s="193"/>
      <c r="U239" s="193"/>
      <c r="V239" s="193"/>
      <c r="W239" s="193"/>
      <c r="X239" s="193"/>
      <c r="Y239" s="193"/>
      <c r="Z239" s="193"/>
      <c r="AA239" s="193"/>
      <c r="AB239" s="193"/>
      <c r="AC239" s="193"/>
      <c r="AD239" s="193"/>
      <c r="AE239" s="193"/>
      <c r="AF239" s="193"/>
      <c r="AG239" s="193"/>
      <c r="AH239" s="193"/>
      <c r="AI239" s="193"/>
      <c r="AJ239" s="193"/>
      <c r="AK239" s="193"/>
      <c r="AL239" s="193"/>
      <c r="AM239" s="193"/>
      <c r="AN239" s="193"/>
      <c r="AO239" s="193"/>
      <c r="AP239" s="193"/>
      <c r="AQ239" s="193"/>
      <c r="AR239" s="193"/>
      <c r="AS239" s="193"/>
      <c r="AT239" s="193"/>
      <c r="AU239" s="193"/>
      <c r="AV239" s="193"/>
      <c r="AW239" s="193"/>
      <c r="AX239" s="193"/>
      <c r="AY239" s="193"/>
      <c r="AZ239" s="193"/>
      <c r="BA239" s="193"/>
      <c r="BB239" s="193"/>
      <c r="BC239" s="193"/>
      <c r="BD239" s="193"/>
      <c r="BE239" s="193"/>
      <c r="BF239" s="193"/>
      <c r="BG239" s="193"/>
      <c r="BH239" s="193"/>
      <c r="BI239" s="193"/>
      <c r="BJ239" s="193"/>
      <c r="BK239" s="193"/>
      <c r="BL239" s="193"/>
      <c r="BM239" s="193"/>
      <c r="BO239" s="206" t="str">
        <f t="shared" si="3930"/>
        <v>Merchandise</v>
      </c>
      <c r="BP239" s="193"/>
      <c r="BQ239" s="193"/>
      <c r="BR239" s="193"/>
      <c r="BS239" s="193"/>
      <c r="BT239" s="193"/>
      <c r="BV239" s="206" t="str">
        <f t="shared" si="3931"/>
        <v>Merchandise</v>
      </c>
      <c r="BW239" s="193"/>
      <c r="BX239" s="193"/>
      <c r="BY239" s="193"/>
      <c r="BZ239" s="193"/>
      <c r="CA239" s="193"/>
      <c r="CC239" s="206" t="str">
        <f t="shared" si="3936"/>
        <v>Merchandise</v>
      </c>
      <c r="CD239" s="193"/>
      <c r="CE239" s="193"/>
      <c r="CF239" s="193"/>
      <c r="CG239" s="193"/>
      <c r="CH239" s="193"/>
      <c r="CJ239" s="206" t="str">
        <f t="shared" si="3941"/>
        <v>Merchandise</v>
      </c>
      <c r="CK239" s="193"/>
      <c r="CL239" s="193"/>
      <c r="CM239" s="193"/>
      <c r="CN239" s="193"/>
      <c r="CO239" s="193"/>
      <c r="CQ239" s="206" t="str">
        <f t="shared" si="3946"/>
        <v>Merchandise</v>
      </c>
      <c r="CR239" s="193"/>
      <c r="CS239" s="193"/>
      <c r="CT239" s="193"/>
      <c r="CU239" s="193"/>
      <c r="CV239" s="193"/>
      <c r="CX239" s="206" t="str">
        <f t="shared" si="3951"/>
        <v>Merchandise</v>
      </c>
      <c r="CY239" s="193"/>
      <c r="CZ239" s="193"/>
      <c r="DA239" s="193"/>
      <c r="DB239" s="193"/>
      <c r="DC239" s="193"/>
      <c r="DE239" s="206" t="str">
        <f t="shared" si="3956"/>
        <v>Merchandise</v>
      </c>
      <c r="DF239" s="193"/>
      <c r="DG239" s="193"/>
      <c r="DH239" s="193"/>
      <c r="DI239" s="193"/>
      <c r="DJ239" s="193"/>
      <c r="DL239" s="206" t="str">
        <f t="shared" si="3961"/>
        <v>Merchandise</v>
      </c>
      <c r="DM239" s="193"/>
      <c r="DN239" s="193"/>
      <c r="DO239" s="193"/>
      <c r="DP239" s="193"/>
      <c r="DQ239" s="193"/>
      <c r="DS239" s="206" t="str">
        <f t="shared" si="3966"/>
        <v>Merchandise</v>
      </c>
      <c r="DT239" s="193"/>
      <c r="DU239" s="193"/>
      <c r="DV239" s="193"/>
      <c r="DW239" s="193"/>
      <c r="DX239" s="193"/>
      <c r="DZ239" s="206" t="str">
        <f t="shared" si="3971"/>
        <v>Merchandise</v>
      </c>
      <c r="EA239" s="193"/>
      <c r="EB239" s="193"/>
      <c r="EC239" s="193"/>
      <c r="ED239" s="193"/>
      <c r="EE239" s="193"/>
      <c r="EG239" s="206" t="str">
        <f t="shared" si="3976"/>
        <v>Merchandise</v>
      </c>
      <c r="EH239" s="193"/>
      <c r="EI239" s="193"/>
      <c r="EJ239" s="193"/>
      <c r="EK239" s="193"/>
      <c r="EL239" s="193"/>
      <c r="EN239" s="206" t="str">
        <f t="shared" si="3981"/>
        <v>Merchandise</v>
      </c>
      <c r="EO239" s="193"/>
      <c r="EP239" s="193"/>
      <c r="EQ239" s="193"/>
      <c r="ER239" s="193"/>
      <c r="ES239" s="193"/>
      <c r="EU239" s="206" t="str">
        <f t="shared" si="3986"/>
        <v>Merchandise</v>
      </c>
      <c r="EV239" s="193"/>
      <c r="EW239" s="193"/>
      <c r="EX239" s="193"/>
      <c r="EY239" s="193"/>
      <c r="EZ239" s="193"/>
      <c r="FB239" s="206" t="str">
        <f t="shared" si="3991"/>
        <v>Merchandise</v>
      </c>
      <c r="FC239" s="193"/>
      <c r="FD239" s="193"/>
      <c r="FE239" s="193"/>
      <c r="FF239" s="193"/>
      <c r="FG239" s="193"/>
      <c r="FI239" s="206" t="str">
        <f t="shared" si="3996"/>
        <v>Merchandise</v>
      </c>
      <c r="FJ239" s="193"/>
      <c r="FK239" s="193"/>
      <c r="FL239" s="193"/>
      <c r="FM239" s="193"/>
      <c r="FN239" s="193"/>
      <c r="FP239" s="206" t="str">
        <f t="shared" si="4001"/>
        <v>Merchandise</v>
      </c>
      <c r="FQ239" s="193"/>
      <c r="FR239" s="193"/>
      <c r="FS239" s="193"/>
      <c r="FT239" s="193"/>
      <c r="FU239" s="193"/>
      <c r="FW239" s="206" t="str">
        <f t="shared" si="4006"/>
        <v>Merchandise</v>
      </c>
      <c r="FX239" s="193"/>
      <c r="FY239" s="193"/>
      <c r="FZ239" s="193"/>
      <c r="GA239" s="193"/>
      <c r="GB239" s="193"/>
      <c r="GD239" s="206" t="str">
        <f t="shared" si="4011"/>
        <v>Merchandise</v>
      </c>
      <c r="GE239" s="193"/>
      <c r="GF239" s="193"/>
      <c r="GG239" s="193"/>
      <c r="GH239" s="193"/>
      <c r="GI239" s="193"/>
      <c r="GK239" s="206" t="str">
        <f t="shared" si="4016"/>
        <v>Merchandise</v>
      </c>
      <c r="GL239" s="193"/>
      <c r="GM239" s="193"/>
      <c r="GN239" s="193"/>
      <c r="GO239" s="193"/>
      <c r="GP239" s="193"/>
      <c r="GR239" s="206" t="str">
        <f t="shared" si="4021"/>
        <v>Merchandise</v>
      </c>
      <c r="GS239" s="193"/>
      <c r="GT239" s="193"/>
      <c r="GU239" s="193"/>
      <c r="GV239" s="193"/>
      <c r="GW239" s="193"/>
      <c r="GY239" s="206" t="str">
        <f t="shared" si="4026"/>
        <v>Merchandise</v>
      </c>
      <c r="GZ239" s="193"/>
      <c r="HA239" s="193"/>
      <c r="HB239" s="193"/>
      <c r="HC239" s="193"/>
      <c r="HD239" s="193"/>
      <c r="HF239" s="206" t="str">
        <f t="shared" si="4031"/>
        <v>Merchandise</v>
      </c>
      <c r="HG239" s="193"/>
      <c r="HH239" s="193"/>
      <c r="HI239" s="193"/>
      <c r="HJ239" s="193"/>
      <c r="HK239" s="193"/>
      <c r="HM239" s="206" t="str">
        <f t="shared" si="4036"/>
        <v>Merchandise</v>
      </c>
      <c r="HN239" s="193"/>
      <c r="HO239" s="193"/>
      <c r="HP239" s="193"/>
      <c r="HQ239" s="193"/>
      <c r="HR239" s="193"/>
      <c r="HT239" s="206" t="str">
        <f t="shared" si="4041"/>
        <v>Merchandise</v>
      </c>
      <c r="HU239" s="193"/>
      <c r="HV239" s="193"/>
      <c r="HW239" s="193"/>
      <c r="HX239" s="193"/>
      <c r="HY239" s="193"/>
      <c r="IA239" s="206" t="str">
        <f t="shared" si="4046"/>
        <v>Merchandise</v>
      </c>
      <c r="IB239" s="193"/>
      <c r="IC239" s="193"/>
      <c r="ID239" s="193"/>
      <c r="IE239" s="193"/>
      <c r="IF239" s="193"/>
      <c r="IH239" s="206" t="str">
        <f t="shared" si="4051"/>
        <v>Merchandise</v>
      </c>
      <c r="II239" s="193"/>
      <c r="IJ239" s="193"/>
      <c r="IK239" s="193"/>
      <c r="IL239" s="193"/>
      <c r="IM239" s="193"/>
      <c r="IO239" s="206" t="str">
        <f t="shared" si="4056"/>
        <v>Merchandise</v>
      </c>
      <c r="IP239" s="193"/>
      <c r="IQ239" s="193"/>
      <c r="IR239" s="193"/>
      <c r="IS239" s="193"/>
      <c r="IT239" s="193"/>
      <c r="IV239" s="206" t="str">
        <f t="shared" si="4061"/>
        <v>Merchandise</v>
      </c>
      <c r="IW239" s="193"/>
      <c r="IX239" s="193"/>
      <c r="IY239" s="193"/>
      <c r="IZ239" s="193"/>
      <c r="JA239" s="193"/>
      <c r="JC239" s="206" t="str">
        <f t="shared" si="4066"/>
        <v>Merchandise</v>
      </c>
      <c r="JD239" s="193"/>
      <c r="JE239" s="193"/>
      <c r="JF239" s="193"/>
      <c r="JG239" s="193"/>
      <c r="JH239" s="193"/>
      <c r="JJ239" s="206" t="str">
        <f t="shared" si="4071"/>
        <v>Merchandise</v>
      </c>
      <c r="JK239" s="193"/>
      <c r="JL239" s="193"/>
      <c r="JM239" s="193"/>
      <c r="JN239" s="193"/>
      <c r="JO239" s="193"/>
      <c r="JQ239" s="206" t="str">
        <f t="shared" si="4076"/>
        <v>Merchandise</v>
      </c>
      <c r="JR239" s="193"/>
      <c r="JS239" s="193"/>
      <c r="JT239" s="193"/>
      <c r="JU239" s="193"/>
      <c r="JV239" s="193"/>
      <c r="JX239" s="206" t="str">
        <f t="shared" si="4081"/>
        <v>Merchandise</v>
      </c>
      <c r="JY239" s="193"/>
      <c r="JZ239" s="193"/>
      <c r="KA239" s="193"/>
      <c r="KB239" s="193"/>
      <c r="KC239" s="193"/>
      <c r="KE239" s="206" t="str">
        <f t="shared" si="4086"/>
        <v>Merchandise</v>
      </c>
      <c r="KF239" s="193"/>
      <c r="KG239" s="193"/>
      <c r="KH239" s="193"/>
      <c r="KI239" s="193"/>
      <c r="KJ239" s="193"/>
      <c r="KL239" s="206" t="str">
        <f t="shared" si="4091"/>
        <v>Merchandise</v>
      </c>
      <c r="KM239" s="193"/>
      <c r="KN239" s="193"/>
      <c r="KO239" s="193"/>
      <c r="KP239" s="193"/>
      <c r="KQ239" s="193"/>
      <c r="KS239" s="206" t="str">
        <f t="shared" si="4096"/>
        <v>Merchandise</v>
      </c>
      <c r="KT239" s="193"/>
      <c r="KU239" s="193"/>
      <c r="KV239" s="193"/>
      <c r="KW239" s="193"/>
      <c r="KX239" s="193"/>
      <c r="KZ239" s="206" t="str">
        <f t="shared" si="4101"/>
        <v>Merchandise</v>
      </c>
      <c r="LA239" s="193"/>
      <c r="LB239" s="192"/>
      <c r="LC239" s="192"/>
      <c r="LD239" s="193"/>
      <c r="LE239" s="193"/>
      <c r="LF239" s="555"/>
      <c r="LG239" s="206" t="str">
        <f t="shared" si="4104"/>
        <v>Merchandise</v>
      </c>
      <c r="LH239" s="193"/>
      <c r="LI239" s="192"/>
      <c r="LJ239" s="192"/>
      <c r="LK239" s="192"/>
      <c r="LL239" s="193"/>
      <c r="LM239" s="555"/>
      <c r="LN239" s="206" t="str">
        <f t="shared" si="4106"/>
        <v>Merchandise</v>
      </c>
      <c r="LO239" s="192"/>
      <c r="LP239" s="192"/>
      <c r="LQ239" s="192"/>
      <c r="LR239" s="192"/>
      <c r="LS239" s="193"/>
      <c r="LT239" s="555"/>
      <c r="LU239" s="206" t="str">
        <f t="shared" si="4610"/>
        <v>Merchandise</v>
      </c>
      <c r="LV239" s="192"/>
      <c r="LW239" s="192"/>
      <c r="LX239" s="192"/>
      <c r="LY239" s="192"/>
      <c r="LZ239" s="193"/>
      <c r="MA239" s="555"/>
      <c r="MB239" s="206" t="str">
        <f t="shared" si="4612"/>
        <v>Merchandise</v>
      </c>
      <c r="MC239" s="192"/>
      <c r="MD239" s="192"/>
      <c r="ME239" s="192"/>
      <c r="MF239" s="192"/>
      <c r="MG239" s="193"/>
      <c r="MH239" s="555"/>
    </row>
    <row r="240" spans="1:346" s="37" customFormat="1" ht="13.15" x14ac:dyDescent="0.4">
      <c r="A240" s="100"/>
      <c r="B240" s="37" t="s">
        <v>342</v>
      </c>
      <c r="C240" s="186"/>
      <c r="D240" s="186"/>
      <c r="E240" s="186"/>
      <c r="F240" s="186"/>
      <c r="G240" s="186"/>
      <c r="H240" s="186"/>
      <c r="I240" s="186"/>
      <c r="J240" s="186"/>
      <c r="K240" s="186"/>
      <c r="L240" s="186"/>
      <c r="M240" s="186"/>
      <c r="N240" s="194">
        <f t="shared" ref="N240:AY240" si="4808">SUM(N69:N78)</f>
        <v>2856</v>
      </c>
      <c r="O240" s="194">
        <f t="shared" si="4808"/>
        <v>2748</v>
      </c>
      <c r="P240" s="194">
        <f t="shared" si="4808"/>
        <v>2479</v>
      </c>
      <c r="Q240" s="194">
        <f t="shared" si="4808"/>
        <v>2539</v>
      </c>
      <c r="R240" s="194">
        <f t="shared" si="4808"/>
        <v>2637</v>
      </c>
      <c r="S240" s="194">
        <f t="shared" si="4808"/>
        <v>2802</v>
      </c>
      <c r="T240" s="194">
        <f t="shared" si="4808"/>
        <v>2905</v>
      </c>
      <c r="U240" s="194">
        <f t="shared" si="4808"/>
        <v>2855</v>
      </c>
      <c r="V240" s="194">
        <f t="shared" si="4808"/>
        <v>2978</v>
      </c>
      <c r="W240" s="194">
        <f t="shared" si="4808"/>
        <v>2986</v>
      </c>
      <c r="X240" s="194">
        <f t="shared" si="4808"/>
        <v>3369</v>
      </c>
      <c r="Y240" s="194">
        <f t="shared" si="4808"/>
        <v>3511</v>
      </c>
      <c r="Z240" s="194">
        <f t="shared" si="4808"/>
        <v>3315</v>
      </c>
      <c r="AA240" s="194">
        <f t="shared" si="4808"/>
        <v>3328</v>
      </c>
      <c r="AB240" s="194">
        <f t="shared" si="4808"/>
        <v>3418</v>
      </c>
      <c r="AC240" s="194">
        <f t="shared" si="4808"/>
        <v>3494</v>
      </c>
      <c r="AD240" s="194">
        <f t="shared" si="4808"/>
        <v>3376</v>
      </c>
      <c r="AE240" s="194">
        <f t="shared" si="4808"/>
        <v>3287</v>
      </c>
      <c r="AF240" s="194">
        <f t="shared" si="4808"/>
        <v>3143</v>
      </c>
      <c r="AG240" s="194">
        <f t="shared" si="4808"/>
        <v>2880</v>
      </c>
      <c r="AH240" s="194">
        <f t="shared" si="4808"/>
        <v>2338</v>
      </c>
      <c r="AI240" s="194">
        <f t="shared" si="4808"/>
        <v>2588</v>
      </c>
      <c r="AJ240" s="194">
        <f t="shared" si="4808"/>
        <v>2654</v>
      </c>
      <c r="AK240" s="194">
        <f t="shared" si="4808"/>
        <v>2668</v>
      </c>
      <c r="AL240" s="194">
        <f t="shared" si="4808"/>
        <v>2762</v>
      </c>
      <c r="AM240" s="194">
        <f t="shared" si="4808"/>
        <v>2932</v>
      </c>
      <c r="AN240" s="194">
        <f t="shared" si="4808"/>
        <v>2860</v>
      </c>
      <c r="AO240" s="194">
        <f t="shared" si="4808"/>
        <v>2802</v>
      </c>
      <c r="AP240" s="194">
        <f t="shared" si="4808"/>
        <v>2702</v>
      </c>
      <c r="AQ240" s="194">
        <f t="shared" si="4808"/>
        <v>2700</v>
      </c>
      <c r="AR240" s="194">
        <f t="shared" si="4808"/>
        <v>2707</v>
      </c>
      <c r="AS240" s="194">
        <f t="shared" si="4808"/>
        <v>2535</v>
      </c>
      <c r="AT240" s="194">
        <f t="shared" si="4808"/>
        <v>2571</v>
      </c>
      <c r="AU240" s="194">
        <f t="shared" si="4808"/>
        <v>2558</v>
      </c>
      <c r="AV240" s="194">
        <f t="shared" si="4808"/>
        <v>2621</v>
      </c>
      <c r="AW240" s="194">
        <f t="shared" si="4808"/>
        <v>2648</v>
      </c>
      <c r="AX240" s="194">
        <f t="shared" si="4808"/>
        <v>2594</v>
      </c>
      <c r="AY240" s="194">
        <f t="shared" si="4808"/>
        <v>2579.2849999999999</v>
      </c>
      <c r="AZ240" s="194">
        <f t="shared" ref="AZ240:BA240" si="4809">SUM(AZ69:AZ78)</f>
        <v>2651.1315999999997</v>
      </c>
      <c r="BA240" s="194">
        <f t="shared" si="4809"/>
        <v>2718.9426201249998</v>
      </c>
      <c r="BB240" s="194"/>
      <c r="BC240" s="194"/>
      <c r="BD240" s="194"/>
      <c r="BE240" s="194"/>
      <c r="BF240" s="194"/>
      <c r="BG240" s="194"/>
      <c r="BH240" s="194"/>
      <c r="BI240" s="194"/>
      <c r="BJ240" s="194"/>
      <c r="BK240" s="194"/>
      <c r="BL240" s="194"/>
      <c r="BM240" s="194"/>
      <c r="BO240" s="37" t="str">
        <f t="shared" si="3930"/>
        <v>Carloads (000s)</v>
      </c>
      <c r="BP240" s="207">
        <f>SUM(BP69:BP78)</f>
        <v>733</v>
      </c>
      <c r="BQ240" s="207">
        <f>SUM(BQ69:BQ78)</f>
        <v>746</v>
      </c>
      <c r="BR240" s="207">
        <f>SUM(BR69:BR78)</f>
        <v>700</v>
      </c>
      <c r="BS240" s="207">
        <f>SUM(BS69:BS78)</f>
        <v>677</v>
      </c>
      <c r="BT240" s="207">
        <f>SUM(BT69:BT78)</f>
        <v>2856</v>
      </c>
      <c r="BV240" s="37" t="str">
        <f t="shared" si="3931"/>
        <v>Carloads (000s)</v>
      </c>
      <c r="BW240" s="207">
        <f>SUM(BW69:BW78)</f>
        <v>709</v>
      </c>
      <c r="BX240" s="207">
        <f>SUM(BX69:BX78)</f>
        <v>722</v>
      </c>
      <c r="BY240" s="207">
        <f>SUM(BY69:BY78)</f>
        <v>670</v>
      </c>
      <c r="BZ240" s="207">
        <f>SUM(BZ69:BZ78)</f>
        <v>647</v>
      </c>
      <c r="CA240" s="207">
        <f>SUM(CA69:CA78)</f>
        <v>2748</v>
      </c>
      <c r="CC240" s="37" t="str">
        <f t="shared" si="3936"/>
        <v>Carloads (000s)</v>
      </c>
      <c r="CD240" s="207">
        <f>SUM(CD69:CD78)</f>
        <v>614</v>
      </c>
      <c r="CE240" s="207">
        <f>SUM(CE69:CE78)</f>
        <v>617</v>
      </c>
      <c r="CF240" s="207">
        <f>SUM(CF69:CF78)</f>
        <v>619</v>
      </c>
      <c r="CG240" s="207">
        <f>SUM(CG69:CG78)</f>
        <v>629</v>
      </c>
      <c r="CH240" s="207">
        <f>SUM(CH69:CH78)</f>
        <v>2479</v>
      </c>
      <c r="CJ240" s="37" t="str">
        <f t="shared" si="3941"/>
        <v>Carloads (000s)</v>
      </c>
      <c r="CK240" s="207">
        <f>SUM(CK69:CK78)</f>
        <v>625</v>
      </c>
      <c r="CL240" s="207">
        <f>SUM(CL69:CL78)</f>
        <v>650</v>
      </c>
      <c r="CM240" s="207">
        <f>SUM(CM69:CM78)</f>
        <v>617</v>
      </c>
      <c r="CN240" s="207">
        <f>SUM(CN69:CN78)</f>
        <v>647</v>
      </c>
      <c r="CO240" s="207">
        <f>SUM(CO69:CO78)</f>
        <v>2539</v>
      </c>
      <c r="CQ240" s="37" t="str">
        <f t="shared" si="3946"/>
        <v>Carloads (000s)</v>
      </c>
      <c r="CR240" s="207">
        <f>SUM(CR69:CR78)</f>
        <v>642</v>
      </c>
      <c r="CS240" s="207">
        <f>SUM(CS69:CS78)</f>
        <v>670</v>
      </c>
      <c r="CT240" s="207">
        <f>SUM(CT69:CT78)</f>
        <v>649</v>
      </c>
      <c r="CU240" s="207">
        <f>SUM(CU69:CU78)</f>
        <v>676</v>
      </c>
      <c r="CV240" s="207">
        <f>SUM(CV69:CV78)</f>
        <v>2637</v>
      </c>
      <c r="CX240" s="37" t="str">
        <f t="shared" si="3951"/>
        <v>Carloads (000s)</v>
      </c>
      <c r="CY240" s="207">
        <f>SUM(CY69:CY78)</f>
        <v>678</v>
      </c>
      <c r="CZ240" s="207">
        <f>SUM(CZ69:CZ78)</f>
        <v>720</v>
      </c>
      <c r="DA240" s="207">
        <f>SUM(DA69:DA78)</f>
        <v>689</v>
      </c>
      <c r="DB240" s="207">
        <f>SUM(DB69:DB78)</f>
        <v>715</v>
      </c>
      <c r="DC240" s="207">
        <f>SUM(DC69:DC78)</f>
        <v>2802</v>
      </c>
      <c r="DE240" s="37" t="str">
        <f t="shared" si="3956"/>
        <v>Carloads (000s)</v>
      </c>
      <c r="DF240" s="207">
        <f>SUM(DF69:DF78)</f>
        <v>730</v>
      </c>
      <c r="DG240" s="207">
        <f>SUM(DG69:DG78)</f>
        <v>740</v>
      </c>
      <c r="DH240" s="207">
        <f>SUM(DH69:DH78)</f>
        <v>714</v>
      </c>
      <c r="DI240" s="207">
        <f>SUM(DI69:DI78)</f>
        <v>721</v>
      </c>
      <c r="DJ240" s="207">
        <f>SUM(DJ69:DJ78)</f>
        <v>2905</v>
      </c>
      <c r="DL240" s="37" t="str">
        <f t="shared" si="3961"/>
        <v>Carloads (000s)</v>
      </c>
      <c r="DM240" s="207">
        <f>SUM(DM69:DM78)</f>
        <v>702</v>
      </c>
      <c r="DN240" s="207">
        <f>SUM(DN69:DN78)</f>
        <v>731</v>
      </c>
      <c r="DO240" s="207">
        <f>SUM(DO69:DO78)</f>
        <v>705</v>
      </c>
      <c r="DP240" s="207">
        <f>SUM(DP69:DP78)</f>
        <v>717</v>
      </c>
      <c r="DQ240" s="207">
        <f>SUM(DQ69:DQ78)</f>
        <v>2855</v>
      </c>
      <c r="DS240" s="37" t="str">
        <f t="shared" si="3966"/>
        <v>Carloads (000s)</v>
      </c>
      <c r="DT240" s="207">
        <f>SUM(DT69:DT78)</f>
        <v>729</v>
      </c>
      <c r="DU240" s="207">
        <f>SUM(DU69:DU78)</f>
        <v>757</v>
      </c>
      <c r="DV240" s="207">
        <f>SUM(DV69:DV78)</f>
        <v>730</v>
      </c>
      <c r="DW240" s="207">
        <f>SUM(DW69:DW78)</f>
        <v>762</v>
      </c>
      <c r="DX240" s="207">
        <f>SUM(DX69:DX78)</f>
        <v>2978</v>
      </c>
      <c r="DZ240" s="37" t="str">
        <f t="shared" si="3971"/>
        <v>Carloads (000s)</v>
      </c>
      <c r="EA240" s="207">
        <f>SUM(EA69:EA78)</f>
        <v>747</v>
      </c>
      <c r="EB240" s="207">
        <f>SUM(EB69:EB78)</f>
        <v>781</v>
      </c>
      <c r="EC240" s="207">
        <f>SUM(EC69:EC78)</f>
        <v>717</v>
      </c>
      <c r="ED240" s="207">
        <f>SUM(ED69:ED78)</f>
        <v>744</v>
      </c>
      <c r="EE240" s="207">
        <f>SUM(EE69:EE78)</f>
        <v>2986</v>
      </c>
      <c r="EG240" s="37" t="str">
        <f t="shared" si="3976"/>
        <v>Carloads (000s)</v>
      </c>
      <c r="EH240" s="207">
        <f>SUM(EH69:EH78)</f>
        <v>817</v>
      </c>
      <c r="EI240" s="207">
        <f>SUM(EI69:EI78)</f>
        <v>808</v>
      </c>
      <c r="EJ240" s="207">
        <f>SUM(EJ69:EJ78)</f>
        <v>869</v>
      </c>
      <c r="EK240" s="207">
        <f>SUM(EK69:EK78)</f>
        <v>886</v>
      </c>
      <c r="EL240" s="207">
        <f>SUM(EL69:EL78)</f>
        <v>3369</v>
      </c>
      <c r="EN240" s="37" t="str">
        <f t="shared" si="3981"/>
        <v>Carloads (000s)</v>
      </c>
      <c r="EO240" s="207">
        <f>SUM(EO69:EO78)</f>
        <v>903</v>
      </c>
      <c r="EP240" s="207">
        <f>SUM(EP69:EP78)</f>
        <v>906</v>
      </c>
      <c r="EQ240" s="207">
        <f>SUM(EQ69:EQ78)</f>
        <v>854</v>
      </c>
      <c r="ER240" s="207">
        <f>SUM(ER69:ER78)</f>
        <v>848</v>
      </c>
      <c r="ES240" s="207">
        <f>SUM(ES69:ES78)</f>
        <v>3511</v>
      </c>
      <c r="EU240" s="37" t="str">
        <f t="shared" si="3986"/>
        <v>Carloads (000s)</v>
      </c>
      <c r="EV240" s="207">
        <f>SUM(EV69:EV78)</f>
        <v>838</v>
      </c>
      <c r="EW240" s="207">
        <f>SUM(EW69:EW78)</f>
        <v>846</v>
      </c>
      <c r="EX240" s="207">
        <f>SUM(EX69:EX78)</f>
        <v>813</v>
      </c>
      <c r="EY240" s="207">
        <f>SUM(EY69:EY78)</f>
        <v>818</v>
      </c>
      <c r="EZ240" s="207">
        <f>SUM(EZ69:EZ78)</f>
        <v>3315</v>
      </c>
      <c r="FB240" s="37" t="str">
        <f t="shared" si="3991"/>
        <v>Carloads (000s)</v>
      </c>
      <c r="FC240" s="207">
        <f>SUM(FC69:FC78)</f>
        <v>812</v>
      </c>
      <c r="FD240" s="207">
        <f>SUM(FD69:FD78)</f>
        <v>864</v>
      </c>
      <c r="FE240" s="207">
        <f>SUM(FE69:FE78)</f>
        <v>829</v>
      </c>
      <c r="FF240" s="207">
        <f>SUM(FF69:FF78)</f>
        <v>823</v>
      </c>
      <c r="FG240" s="207">
        <f>SUM(FG69:FG78)</f>
        <v>3328</v>
      </c>
      <c r="FI240" s="37" t="str">
        <f t="shared" si="3996"/>
        <v>Carloads (000s)</v>
      </c>
      <c r="FJ240" s="207">
        <f>SUM(FJ69:FJ78)</f>
        <v>837</v>
      </c>
      <c r="FK240" s="207">
        <f>SUM(FK69:FK78)</f>
        <v>864</v>
      </c>
      <c r="FL240" s="207">
        <f>SUM(FL69:FL78)</f>
        <v>849</v>
      </c>
      <c r="FM240" s="207">
        <f>SUM(FM69:FM78)</f>
        <v>868</v>
      </c>
      <c r="FN240" s="207">
        <f>SUM(FN69:FN78)</f>
        <v>3418</v>
      </c>
      <c r="FP240" s="37" t="str">
        <f t="shared" si="4001"/>
        <v>Carloads (000s)</v>
      </c>
      <c r="FQ240" s="207">
        <f>SUM(FQ69:FQ78)</f>
        <v>855</v>
      </c>
      <c r="FR240" s="207">
        <f>SUM(FR69:FR78)</f>
        <v>890</v>
      </c>
      <c r="FS240" s="207">
        <f>SUM(FS69:FS78)</f>
        <v>835</v>
      </c>
      <c r="FT240" s="207">
        <f>SUM(FT69:FT78)</f>
        <v>914</v>
      </c>
      <c r="FU240" s="207">
        <f>SUM(FU69:FU78)</f>
        <v>3494</v>
      </c>
      <c r="FW240" s="37" t="str">
        <f t="shared" si="4006"/>
        <v>Carloads (000s)</v>
      </c>
      <c r="FX240" s="207">
        <f>SUM(FX69:FX78)</f>
        <v>858</v>
      </c>
      <c r="FY240" s="207">
        <f>SUM(FY69:FY78)</f>
        <v>867</v>
      </c>
      <c r="FZ240" s="207">
        <f>SUM(FZ69:FZ78)</f>
        <v>833</v>
      </c>
      <c r="GA240" s="207">
        <f>SUM(GA69:GA78)</f>
        <v>818</v>
      </c>
      <c r="GB240" s="207">
        <f>SUM(GB69:GB78)</f>
        <v>3376</v>
      </c>
      <c r="GD240" s="37" t="str">
        <f t="shared" si="4011"/>
        <v>Carloads (000s)</v>
      </c>
      <c r="GE240" s="207">
        <f>SUM(GE69:GE78)</f>
        <v>834</v>
      </c>
      <c r="GF240" s="207">
        <f>SUM(GF69:GF78)</f>
        <v>853</v>
      </c>
      <c r="GG240" s="207">
        <f>SUM(GG69:GG78)</f>
        <v>813</v>
      </c>
      <c r="GH240" s="207">
        <f>SUM(GH69:GH78)</f>
        <v>787</v>
      </c>
      <c r="GI240" s="207">
        <f>SUM(GI69:GI78)</f>
        <v>3287</v>
      </c>
      <c r="GK240" s="37" t="str">
        <f t="shared" si="4016"/>
        <v>Carloads (000s)</v>
      </c>
      <c r="GL240" s="207">
        <f>SUM(GL69:GL78)</f>
        <v>784</v>
      </c>
      <c r="GM240" s="207">
        <f>SUM(GM69:GM78)</f>
        <v>822</v>
      </c>
      <c r="GN240" s="207">
        <f>SUM(GN69:GN78)</f>
        <v>778</v>
      </c>
      <c r="GO240" s="207">
        <f>SUM(GO69:GO78)</f>
        <v>759</v>
      </c>
      <c r="GP240" s="207">
        <f>SUM(GP69:GP78)</f>
        <v>3143</v>
      </c>
      <c r="GR240" s="37" t="str">
        <f t="shared" si="4021"/>
        <v>Carloads (000s)</v>
      </c>
      <c r="GS240" s="207">
        <f>SUM(GS69:GS78)</f>
        <v>746</v>
      </c>
      <c r="GT240" s="207">
        <f>SUM(GT69:GT78)</f>
        <v>769</v>
      </c>
      <c r="GU240" s="207">
        <f>SUM(GU69:GU78)</f>
        <v>732</v>
      </c>
      <c r="GV240" s="207">
        <f>SUM(GV69:GV78)</f>
        <v>633</v>
      </c>
      <c r="GW240" s="207">
        <f>SUM(GW69:GW78)</f>
        <v>2880</v>
      </c>
      <c r="GY240" s="37" t="str">
        <f t="shared" si="4026"/>
        <v>Carloads (000s)</v>
      </c>
      <c r="GZ240" s="207">
        <f>SUM(GZ69:GZ78)</f>
        <v>548</v>
      </c>
      <c r="HA240" s="207">
        <f>SUM(HA69:HA78)</f>
        <v>579</v>
      </c>
      <c r="HB240" s="207">
        <f>SUM(HB69:HB78)</f>
        <v>602</v>
      </c>
      <c r="HC240" s="207">
        <f>SUM(HC69:HC78)</f>
        <v>609</v>
      </c>
      <c r="HD240" s="207">
        <f>SUM(HD69:HD78)</f>
        <v>2338</v>
      </c>
      <c r="HF240" s="37" t="str">
        <f t="shared" si="4031"/>
        <v>Carloads (000s)</v>
      </c>
      <c r="HG240" s="207">
        <f>SUM(HG69:HG78)</f>
        <v>613</v>
      </c>
      <c r="HH240" s="207">
        <f>SUM(HH69:HH78)</f>
        <v>659</v>
      </c>
      <c r="HI240" s="207">
        <f>SUM(HI69:HI78)</f>
        <v>643</v>
      </c>
      <c r="HJ240" s="207">
        <f>SUM(HJ69:HJ78)</f>
        <v>673</v>
      </c>
      <c r="HK240" s="207">
        <f>SUM(HK69:HK78)</f>
        <v>2588</v>
      </c>
      <c r="HM240" s="37" t="str">
        <f t="shared" si="4036"/>
        <v>Carloads (000s)</v>
      </c>
      <c r="HN240" s="207">
        <f>SUM(HN69:HN78)</f>
        <v>654</v>
      </c>
      <c r="HO240" s="207">
        <f>SUM(HO69:HO78)</f>
        <v>677</v>
      </c>
      <c r="HP240" s="207">
        <f>SUM(HP69:HP78)</f>
        <v>657</v>
      </c>
      <c r="HQ240" s="207">
        <f>SUM(HQ69:HQ78)</f>
        <v>666</v>
      </c>
      <c r="HR240" s="207">
        <f>SUM(HR69:HR78)</f>
        <v>2654</v>
      </c>
      <c r="HT240" s="37" t="str">
        <f t="shared" si="4041"/>
        <v>Carloads (000s)</v>
      </c>
      <c r="HU240" s="207">
        <f>SUM(HU69:HU78)</f>
        <v>671</v>
      </c>
      <c r="HV240" s="207">
        <f>SUM(HV69:HV78)</f>
        <v>680</v>
      </c>
      <c r="HW240" s="207">
        <f>SUM(HW69:HW78)</f>
        <v>655</v>
      </c>
      <c r="HX240" s="207">
        <f>SUM(HX69:HX78)</f>
        <v>662</v>
      </c>
      <c r="HY240" s="207">
        <f>SUM(HY69:HY78)</f>
        <v>2668</v>
      </c>
      <c r="IA240" s="37" t="str">
        <f t="shared" si="4046"/>
        <v>Carloads (000s)</v>
      </c>
      <c r="IB240" s="207">
        <f>SUM(IB69:IB78)</f>
        <v>666</v>
      </c>
      <c r="IC240" s="207">
        <f>SUM(IC69:IC78)</f>
        <v>702</v>
      </c>
      <c r="ID240" s="207">
        <f>SUM(ID69:ID78)</f>
        <v>687</v>
      </c>
      <c r="IE240" s="207">
        <f>SUM(IE69:IE78)</f>
        <v>707</v>
      </c>
      <c r="IF240" s="207">
        <f>SUM(IF69:IF78)</f>
        <v>2762</v>
      </c>
      <c r="IH240" s="37" t="str">
        <f t="shared" si="4051"/>
        <v>Carloads (000s)</v>
      </c>
      <c r="II240" s="207">
        <f>SUM(II69:II78)</f>
        <v>680</v>
      </c>
      <c r="IJ240" s="207">
        <f>SUM(IJ69:IJ78)</f>
        <v>760</v>
      </c>
      <c r="IK240" s="207">
        <f>SUM(IK69:IK78)</f>
        <v>748</v>
      </c>
      <c r="IL240" s="207">
        <f>SUM(IL69:IL78)</f>
        <v>744</v>
      </c>
      <c r="IM240" s="207">
        <f>SUM(IM69:IM78)</f>
        <v>2932</v>
      </c>
      <c r="IO240" s="37" t="str">
        <f t="shared" si="4056"/>
        <v>Carloads (000s)</v>
      </c>
      <c r="IP240" s="207">
        <f>SUM(IP69:IP78)</f>
        <v>691</v>
      </c>
      <c r="IQ240" s="207">
        <f>SUM(IQ69:IQ78)</f>
        <v>741</v>
      </c>
      <c r="IR240" s="207">
        <f>SUM(IR69:IR78)</f>
        <v>720</v>
      </c>
      <c r="IS240" s="207">
        <f>SUM(IS69:IS78)</f>
        <v>708</v>
      </c>
      <c r="IT240" s="207">
        <f>SUM(IT69:IT78)</f>
        <v>2860</v>
      </c>
      <c r="IV240" s="37" t="str">
        <f t="shared" si="4061"/>
        <v>Carloads (000s)</v>
      </c>
      <c r="IW240" s="207">
        <f>SUM(IW69:IW78)</f>
        <v>673</v>
      </c>
      <c r="IX240" s="207">
        <f>SUM(IX69:IX78)</f>
        <v>706</v>
      </c>
      <c r="IY240" s="207">
        <f>SUM(IY69:IY78)</f>
        <v>686</v>
      </c>
      <c r="IZ240" s="207">
        <f>SUM(IZ69:IZ78)</f>
        <v>737</v>
      </c>
      <c r="JA240" s="207">
        <f>SUM(JA69:JA78)</f>
        <v>2802</v>
      </c>
      <c r="JC240" s="37" t="str">
        <f t="shared" si="4066"/>
        <v>Carloads (000s)</v>
      </c>
      <c r="JD240" s="207">
        <f>SUM(JD69:JD78)</f>
        <v>699</v>
      </c>
      <c r="JE240" s="207">
        <f>SUM(JE69:JE78)</f>
        <v>694</v>
      </c>
      <c r="JF240" s="207">
        <f>SUM(JF69:JF78)</f>
        <v>651</v>
      </c>
      <c r="JG240" s="207">
        <f>SUM(JG69:JG78)</f>
        <v>658</v>
      </c>
      <c r="JH240" s="207">
        <f>SUM(JH69:JH78)</f>
        <v>2702</v>
      </c>
      <c r="JJ240" s="37" t="str">
        <f t="shared" si="4071"/>
        <v>Carloads (000s)</v>
      </c>
      <c r="JK240" s="207">
        <f>SUM(JK69:JK78)</f>
        <v>642</v>
      </c>
      <c r="JL240" s="207">
        <f>SUM(JL69:JL78)</f>
        <v>689</v>
      </c>
      <c r="JM240" s="207">
        <f>SUM(JM69:JM78)</f>
        <v>683</v>
      </c>
      <c r="JN240" s="207">
        <f>SUM(JN69:JN78)</f>
        <v>686</v>
      </c>
      <c r="JO240" s="207">
        <f>SUM(JO69:JO78)</f>
        <v>2700</v>
      </c>
      <c r="JQ240" s="37" t="str">
        <f t="shared" si="4076"/>
        <v>Carloads (000s)</v>
      </c>
      <c r="JR240" s="207">
        <f>SUM(JR69:JR78)</f>
        <v>662</v>
      </c>
      <c r="JS240" s="207">
        <f>SUM(JS69:JS78)</f>
        <v>697</v>
      </c>
      <c r="JT240" s="207">
        <f>SUM(JT69:JT78)</f>
        <v>683</v>
      </c>
      <c r="JU240" s="207">
        <f>SUM(JU69:JU78)</f>
        <v>665</v>
      </c>
      <c r="JV240" s="207">
        <f>SUM(JV69:JV78)</f>
        <v>2707</v>
      </c>
      <c r="JX240" s="37" t="str">
        <f t="shared" si="4081"/>
        <v>Carloads (000s)</v>
      </c>
      <c r="JY240" s="207">
        <f>SUM(JY69:JY78)</f>
        <v>673</v>
      </c>
      <c r="JZ240" s="207">
        <f>SUM(JZ69:JZ78)</f>
        <v>544</v>
      </c>
      <c r="KA240" s="207">
        <f>SUM(KA69:KA78)</f>
        <v>650</v>
      </c>
      <c r="KB240" s="207">
        <f>SUM(KB69:KB78)</f>
        <v>668</v>
      </c>
      <c r="KC240" s="207">
        <f>SUM(KC69:KC78)</f>
        <v>2535</v>
      </c>
      <c r="KE240" s="37" t="str">
        <f t="shared" si="4086"/>
        <v>Carloads (000s)</v>
      </c>
      <c r="KF240" s="207">
        <f>SUM(KF69:KF78)</f>
        <v>631</v>
      </c>
      <c r="KG240" s="207">
        <f>SUM(KG69:KG78)</f>
        <v>656</v>
      </c>
      <c r="KH240" s="207">
        <f>SUM(KH69:KH78)</f>
        <v>639</v>
      </c>
      <c r="KI240" s="207">
        <f>SUM(KI69:KI78)</f>
        <v>645</v>
      </c>
      <c r="KJ240" s="207">
        <f>SUM(KJ69:KJ78)</f>
        <v>2571</v>
      </c>
      <c r="KL240" s="37" t="str">
        <f t="shared" si="4091"/>
        <v>Carloads (000s)</v>
      </c>
      <c r="KM240" s="207">
        <f>SUM(KM69:KM78)</f>
        <v>621</v>
      </c>
      <c r="KN240" s="207">
        <f>SUM(KN69:KN78)</f>
        <v>657</v>
      </c>
      <c r="KO240" s="207">
        <f>SUM(KO69:KO78)</f>
        <v>648</v>
      </c>
      <c r="KP240" s="207">
        <f>SUM(KP69:KP78)</f>
        <v>632</v>
      </c>
      <c r="KQ240" s="207">
        <f>SUM(KQ69:KQ78)</f>
        <v>2558</v>
      </c>
      <c r="KS240" s="37" t="str">
        <f t="shared" si="4096"/>
        <v>Carloads (000s)</v>
      </c>
      <c r="KT240" s="207">
        <f>SUM(KT69:KT78)</f>
        <v>647</v>
      </c>
      <c r="KU240" s="207">
        <f>SUM(KU69:KU78)</f>
        <v>677</v>
      </c>
      <c r="KV240" s="207">
        <f>SUM(KV69:KV78)</f>
        <v>649</v>
      </c>
      <c r="KW240" s="207">
        <f>SUM(KW69:KW78)</f>
        <v>648</v>
      </c>
      <c r="KX240" s="207">
        <f>SUM(KX69:KX78)</f>
        <v>2621</v>
      </c>
      <c r="KZ240" s="37" t="str">
        <f t="shared" si="4101"/>
        <v>Carloads (000s)</v>
      </c>
      <c r="LA240" s="207">
        <f>SUM(LA69:LA78)</f>
        <v>645</v>
      </c>
      <c r="LB240" s="207">
        <f>SUM(LB69:LB78)</f>
        <v>683</v>
      </c>
      <c r="LC240" s="207">
        <f>SUM(LC69:LC78)</f>
        <v>670</v>
      </c>
      <c r="LD240" s="207">
        <f>SUM(LD69:LD78)</f>
        <v>650</v>
      </c>
      <c r="LE240" s="196">
        <f>SUM(LA240:LD240)</f>
        <v>2648</v>
      </c>
      <c r="LF240" s="573"/>
      <c r="LG240" s="37" t="str">
        <f t="shared" si="4104"/>
        <v>Carloads (000s)</v>
      </c>
      <c r="LH240" s="207">
        <f>SUM(LH69:LH78)</f>
        <v>630</v>
      </c>
      <c r="LI240" s="207">
        <f>SUM(LI69:LI78)</f>
        <v>670</v>
      </c>
      <c r="LJ240" s="207">
        <f>SUM(LJ69:LJ78)</f>
        <v>660</v>
      </c>
      <c r="LK240" s="207">
        <f>SUM(LK69:LK78)</f>
        <v>634</v>
      </c>
      <c r="LL240" s="196">
        <f>SUM(LH240:LK240)</f>
        <v>2594</v>
      </c>
      <c r="LM240" s="573"/>
      <c r="LN240" s="37" t="str">
        <f t="shared" si="4106"/>
        <v>Carloads (000s)</v>
      </c>
      <c r="LO240" s="196">
        <f>SUM(LO170,LO180,LO190,LO200,LO210,LO220,LO230)</f>
        <v>618.24</v>
      </c>
      <c r="LP240" s="196">
        <f>SUM(LP170,LP180,LP190,LP200,LP210,LP220,LP230)</f>
        <v>655.77499999999998</v>
      </c>
      <c r="LQ240" s="196">
        <f>SUM(LQ170,LQ180,LQ190,LQ200,LQ210,LQ220,LQ230)</f>
        <v>655.52500000000009</v>
      </c>
      <c r="LR240" s="196">
        <f>SUM(LR170,LR180,LR190,LR200,LR210,LR220,LR230)</f>
        <v>649.745</v>
      </c>
      <c r="LS240" s="196">
        <f>SUM(LO240:LR240)</f>
        <v>2579.2849999999999</v>
      </c>
      <c r="LT240" s="573"/>
      <c r="LU240" s="37" t="str">
        <f t="shared" si="4610"/>
        <v>Carloads (000s)</v>
      </c>
      <c r="LV240" s="196">
        <f>SUM(LV170,LV180,LV190,LV200,LV210,LV220,LV230)</f>
        <v>635.90809999999988</v>
      </c>
      <c r="LW240" s="196">
        <f>SUM(LW170,LW180,LW190,LW200,LW210,LW220,LW230)</f>
        <v>674.69202500000006</v>
      </c>
      <c r="LX240" s="196">
        <f>SUM(LX170,LX180,LX190,LX200,LX210,LX220,LX230)</f>
        <v>673.33457499999997</v>
      </c>
      <c r="LY240" s="196">
        <f>SUM(LY170,LY180,LY190,LY200,LY210,LY220,LY230)</f>
        <v>667.19690000000003</v>
      </c>
      <c r="LZ240" s="196">
        <f>SUM(LV240:LY240)</f>
        <v>2651.1315999999997</v>
      </c>
      <c r="MA240" s="573"/>
      <c r="MB240" s="37" t="str">
        <f t="shared" si="4612"/>
        <v>Carloads (000s)</v>
      </c>
      <c r="MC240" s="196">
        <f>SUM(MC170,MC180,MC190,MC200,MC210,MC220,MC230)</f>
        <v>653.17031262499995</v>
      </c>
      <c r="MD240" s="196">
        <f>SUM(MD170,MD180,MD190,MD200,MD210,MD220,MD230)</f>
        <v>692.61816049999993</v>
      </c>
      <c r="ME240" s="196">
        <f>SUM(ME170,ME180,ME190,ME200,ME210,ME220,ME230)</f>
        <v>690.28702087499994</v>
      </c>
      <c r="MF240" s="196">
        <f>SUM(MF170,MF180,MF190,MF200,MF210,MF220,MF230)</f>
        <v>682.86712612499991</v>
      </c>
      <c r="MG240" s="196">
        <f>SUM(MC240:MF240)</f>
        <v>2718.9426201249998</v>
      </c>
      <c r="MH240" s="573"/>
    </row>
    <row r="241" spans="1:346" s="37" customFormat="1" ht="13.15" x14ac:dyDescent="0.4">
      <c r="A241" s="100"/>
      <c r="B241" s="197" t="s">
        <v>516</v>
      </c>
      <c r="C241" s="186"/>
      <c r="D241" s="186"/>
      <c r="E241" s="186"/>
      <c r="F241" s="186"/>
      <c r="G241" s="186"/>
      <c r="H241" s="186"/>
      <c r="I241" s="186"/>
      <c r="J241" s="186"/>
      <c r="K241" s="186"/>
      <c r="L241" s="186"/>
      <c r="M241" s="186"/>
      <c r="N241" s="193"/>
      <c r="O241" s="198">
        <f>O240/N240-1</f>
        <v>-3.7815126050420145E-2</v>
      </c>
      <c r="P241" s="198">
        <f t="shared" ref="P241:BA241" si="4810">P240/O240-1</f>
        <v>-9.788937409024745E-2</v>
      </c>
      <c r="Q241" s="198">
        <f t="shared" si="4810"/>
        <v>2.4203307785397365E-2</v>
      </c>
      <c r="R241" s="198">
        <f t="shared" si="4810"/>
        <v>3.8597873178416675E-2</v>
      </c>
      <c r="S241" s="198">
        <f t="shared" si="4810"/>
        <v>6.2571103526734895E-2</v>
      </c>
      <c r="T241" s="198">
        <f t="shared" si="4810"/>
        <v>3.6759457530335382E-2</v>
      </c>
      <c r="U241" s="198">
        <f t="shared" si="4810"/>
        <v>-1.7211703958691871E-2</v>
      </c>
      <c r="V241" s="198">
        <f t="shared" si="4810"/>
        <v>4.3082311733800394E-2</v>
      </c>
      <c r="W241" s="198">
        <f t="shared" si="4810"/>
        <v>2.686366689053088E-3</v>
      </c>
      <c r="X241" s="198">
        <f t="shared" si="4810"/>
        <v>0.1282652377762894</v>
      </c>
      <c r="Y241" s="198">
        <f t="shared" si="4810"/>
        <v>4.2149005639655623E-2</v>
      </c>
      <c r="Z241" s="198">
        <f t="shared" si="4810"/>
        <v>-5.5824551409854761E-2</v>
      </c>
      <c r="AA241" s="198">
        <f t="shared" si="4810"/>
        <v>3.9215686274509665E-3</v>
      </c>
      <c r="AB241" s="198">
        <f t="shared" si="4810"/>
        <v>2.7043269230769162E-2</v>
      </c>
      <c r="AC241" s="198">
        <f t="shared" si="4810"/>
        <v>2.2235225277940307E-2</v>
      </c>
      <c r="AD241" s="198">
        <f t="shared" si="4810"/>
        <v>-3.3772180881511127E-2</v>
      </c>
      <c r="AE241" s="198">
        <f t="shared" si="4810"/>
        <v>-2.6362559241706163E-2</v>
      </c>
      <c r="AF241" s="198">
        <f t="shared" si="4810"/>
        <v>-4.3808944326133248E-2</v>
      </c>
      <c r="AG241" s="198">
        <f t="shared" si="4810"/>
        <v>-8.367801463569835E-2</v>
      </c>
      <c r="AH241" s="198">
        <f t="shared" si="4810"/>
        <v>-0.18819444444444444</v>
      </c>
      <c r="AI241" s="198">
        <f t="shared" si="4810"/>
        <v>0.1069289991445681</v>
      </c>
      <c r="AJ241" s="198">
        <f t="shared" si="4810"/>
        <v>2.5502318392581103E-2</v>
      </c>
      <c r="AK241" s="198">
        <f t="shared" si="4810"/>
        <v>5.2750565184627174E-3</v>
      </c>
      <c r="AL241" s="198">
        <f t="shared" si="4810"/>
        <v>3.5232383808095902E-2</v>
      </c>
      <c r="AM241" s="198">
        <f t="shared" si="4810"/>
        <v>6.1549601737871162E-2</v>
      </c>
      <c r="AN241" s="198">
        <f t="shared" si="4810"/>
        <v>-2.4556616643929052E-2</v>
      </c>
      <c r="AO241" s="198">
        <f t="shared" si="4810"/>
        <v>-2.0279720279720248E-2</v>
      </c>
      <c r="AP241" s="198">
        <f t="shared" si="4810"/>
        <v>-3.5688793718772316E-2</v>
      </c>
      <c r="AQ241" s="198">
        <f t="shared" si="4810"/>
        <v>-7.4019245003698053E-4</v>
      </c>
      <c r="AR241" s="198">
        <f t="shared" si="4810"/>
        <v>2.5925925925927018E-3</v>
      </c>
      <c r="AS241" s="198">
        <f t="shared" si="4810"/>
        <v>-6.3538973032877699E-2</v>
      </c>
      <c r="AT241" s="198">
        <f t="shared" si="4810"/>
        <v>1.4201183431952646E-2</v>
      </c>
      <c r="AU241" s="198">
        <f t="shared" si="4810"/>
        <v>-5.056398288603603E-3</v>
      </c>
      <c r="AV241" s="198">
        <f t="shared" si="4810"/>
        <v>2.4628616106333157E-2</v>
      </c>
      <c r="AW241" s="198">
        <f t="shared" si="4810"/>
        <v>1.0301411674933147E-2</v>
      </c>
      <c r="AX241" s="198">
        <f t="shared" si="4810"/>
        <v>-2.0392749244713015E-2</v>
      </c>
      <c r="AY241" s="198">
        <f t="shared" si="4810"/>
        <v>-5.672706245181236E-3</v>
      </c>
      <c r="AZ241" s="198">
        <f t="shared" si="4810"/>
        <v>2.7855238951880024E-2</v>
      </c>
      <c r="BA241" s="198">
        <f t="shared" si="4810"/>
        <v>2.5578141848937364E-2</v>
      </c>
      <c r="BB241" s="198"/>
      <c r="BC241" s="198"/>
      <c r="BD241" s="198"/>
      <c r="BE241" s="198"/>
      <c r="BF241" s="198"/>
      <c r="BG241" s="198"/>
      <c r="BH241" s="198"/>
      <c r="BI241" s="198"/>
      <c r="BJ241" s="198"/>
      <c r="BK241" s="198"/>
      <c r="BL241" s="198"/>
      <c r="BM241" s="198"/>
      <c r="BO241" s="197" t="str">
        <f t="shared" si="3930"/>
        <v>YoY Change (%)</v>
      </c>
      <c r="BP241" s="193"/>
      <c r="BQ241" s="193"/>
      <c r="BR241" s="193"/>
      <c r="BS241" s="193"/>
      <c r="BT241" s="193"/>
      <c r="BV241" s="197" t="str">
        <f t="shared" si="3931"/>
        <v>YoY Change (%)</v>
      </c>
      <c r="BW241" s="198">
        <f>BW240/BP240-1</f>
        <v>-3.2742155525238736E-2</v>
      </c>
      <c r="BX241" s="198">
        <f t="shared" ref="BX241" si="4811">BX240/BQ240-1</f>
        <v>-3.2171581769437019E-2</v>
      </c>
      <c r="BY241" s="198">
        <f t="shared" ref="BY241" si="4812">BY240/BR240-1</f>
        <v>-4.2857142857142816E-2</v>
      </c>
      <c r="BZ241" s="198">
        <f t="shared" ref="BZ241" si="4813">BZ240/BS240-1</f>
        <v>-4.4313146233382561E-2</v>
      </c>
      <c r="CA241" s="198">
        <f t="shared" ref="CA241" si="4814">CA240/BT240-1</f>
        <v>-3.7815126050420145E-2</v>
      </c>
      <c r="CC241" s="197" t="str">
        <f t="shared" si="3936"/>
        <v>YoY Change (%)</v>
      </c>
      <c r="CD241" s="198">
        <f>CD240/BW240-1</f>
        <v>-0.13399153737658676</v>
      </c>
      <c r="CE241" s="198">
        <f t="shared" ref="CE241" si="4815">CE240/BX240-1</f>
        <v>-0.14542936288088648</v>
      </c>
      <c r="CF241" s="198">
        <f t="shared" ref="CF241" si="4816">CF240/BY240-1</f>
        <v>-7.611940298507458E-2</v>
      </c>
      <c r="CG241" s="198">
        <f t="shared" ref="CG241" si="4817">CG240/BZ240-1</f>
        <v>-2.7820710973724849E-2</v>
      </c>
      <c r="CH241" s="198">
        <f t="shared" ref="CH241" si="4818">CH240/CA240-1</f>
        <v>-9.788937409024745E-2</v>
      </c>
      <c r="CJ241" s="197" t="str">
        <f t="shared" si="3941"/>
        <v>YoY Change (%)</v>
      </c>
      <c r="CK241" s="198">
        <f>CK240/CD240-1</f>
        <v>1.791530944625408E-2</v>
      </c>
      <c r="CL241" s="198">
        <f t="shared" ref="CL241" si="4819">CL240/CE240-1</f>
        <v>5.3484602917341917E-2</v>
      </c>
      <c r="CM241" s="198">
        <f t="shared" ref="CM241" si="4820">CM240/CF240-1</f>
        <v>-3.231017770597755E-3</v>
      </c>
      <c r="CN241" s="198">
        <f t="shared" ref="CN241" si="4821">CN240/CG240-1</f>
        <v>2.8616852146263971E-2</v>
      </c>
      <c r="CO241" s="198">
        <f t="shared" ref="CO241" si="4822">CO240/CH240-1</f>
        <v>2.4203307785397365E-2</v>
      </c>
      <c r="CQ241" s="197" t="str">
        <f t="shared" si="3946"/>
        <v>YoY Change (%)</v>
      </c>
      <c r="CR241" s="198">
        <f>CR240/CK240-1</f>
        <v>2.7199999999999891E-2</v>
      </c>
      <c r="CS241" s="198">
        <f t="shared" ref="CS241" si="4823">CS240/CL240-1</f>
        <v>3.076923076923066E-2</v>
      </c>
      <c r="CT241" s="198">
        <f t="shared" ref="CT241" si="4824">CT240/CM240-1</f>
        <v>5.1863857374392142E-2</v>
      </c>
      <c r="CU241" s="198">
        <f t="shared" ref="CU241" si="4825">CU240/CN240-1</f>
        <v>4.4822256568779029E-2</v>
      </c>
      <c r="CV241" s="198">
        <f t="shared" ref="CV241" si="4826">CV240/CO240-1</f>
        <v>3.8597873178416675E-2</v>
      </c>
      <c r="CX241" s="197" t="str">
        <f t="shared" si="3951"/>
        <v>YoY Change (%)</v>
      </c>
      <c r="CY241" s="198">
        <f>CY240/CR240-1</f>
        <v>5.6074766355140193E-2</v>
      </c>
      <c r="CZ241" s="198">
        <f t="shared" ref="CZ241" si="4827">CZ240/CS240-1</f>
        <v>7.4626865671641784E-2</v>
      </c>
      <c r="DA241" s="198">
        <f t="shared" ref="DA241" si="4828">DA240/CT240-1</f>
        <v>6.1633281972264919E-2</v>
      </c>
      <c r="DB241" s="198">
        <f t="shared" ref="DB241" si="4829">DB240/CU240-1</f>
        <v>5.7692307692307709E-2</v>
      </c>
      <c r="DC241" s="198">
        <f t="shared" ref="DC241" si="4830">DC240/CV240-1</f>
        <v>6.2571103526734895E-2</v>
      </c>
      <c r="DE241" s="197" t="str">
        <f t="shared" si="3956"/>
        <v>YoY Change (%)</v>
      </c>
      <c r="DF241" s="198">
        <f>DF240/CY240-1</f>
        <v>7.6696165191740384E-2</v>
      </c>
      <c r="DG241" s="198">
        <f t="shared" ref="DG241" si="4831">DG240/CZ240-1</f>
        <v>2.7777777777777679E-2</v>
      </c>
      <c r="DH241" s="198">
        <f t="shared" ref="DH241" si="4832">DH240/DA240-1</f>
        <v>3.6284470246734424E-2</v>
      </c>
      <c r="DI241" s="198">
        <f t="shared" ref="DI241" si="4833">DI240/DB240-1</f>
        <v>8.3916083916084627E-3</v>
      </c>
      <c r="DJ241" s="198">
        <f t="shared" ref="DJ241" si="4834">DJ240/DC240-1</f>
        <v>3.6759457530335382E-2</v>
      </c>
      <c r="DL241" s="197" t="str">
        <f t="shared" si="3961"/>
        <v>YoY Change (%)</v>
      </c>
      <c r="DM241" s="198">
        <f>DM240/DF240-1</f>
        <v>-3.8356164383561597E-2</v>
      </c>
      <c r="DN241" s="198">
        <f t="shared" ref="DN241" si="4835">DN240/DG240-1</f>
        <v>-1.2162162162162149E-2</v>
      </c>
      <c r="DO241" s="198">
        <f t="shared" ref="DO241" si="4836">DO240/DH240-1</f>
        <v>-1.2605042016806678E-2</v>
      </c>
      <c r="DP241" s="198">
        <f t="shared" ref="DP241" si="4837">DP240/DI240-1</f>
        <v>-5.5478502080443803E-3</v>
      </c>
      <c r="DQ241" s="198">
        <f t="shared" ref="DQ241" si="4838">DQ240/DJ240-1</f>
        <v>-1.7211703958691871E-2</v>
      </c>
      <c r="DS241" s="197" t="str">
        <f t="shared" si="3966"/>
        <v>YoY Change (%)</v>
      </c>
      <c r="DT241" s="198">
        <f>DT240/DM240-1</f>
        <v>3.8461538461538547E-2</v>
      </c>
      <c r="DU241" s="198">
        <f t="shared" ref="DU241" si="4839">DU240/DN240-1</f>
        <v>3.5567715458276306E-2</v>
      </c>
      <c r="DV241" s="198">
        <f t="shared" ref="DV241" si="4840">DV240/DO240-1</f>
        <v>3.5460992907801359E-2</v>
      </c>
      <c r="DW241" s="198">
        <f t="shared" ref="DW241" si="4841">DW240/DP240-1</f>
        <v>6.2761506276150625E-2</v>
      </c>
      <c r="DX241" s="198">
        <f t="shared" ref="DX241" si="4842">DX240/DQ240-1</f>
        <v>4.3082311733800394E-2</v>
      </c>
      <c r="DZ241" s="197" t="str">
        <f t="shared" si="3971"/>
        <v>YoY Change (%)</v>
      </c>
      <c r="EA241" s="198">
        <f>EA240/DT240-1</f>
        <v>2.4691358024691468E-2</v>
      </c>
      <c r="EB241" s="198">
        <f t="shared" ref="EB241" si="4843">EB240/DU240-1</f>
        <v>3.1704095112285335E-2</v>
      </c>
      <c r="EC241" s="198">
        <f t="shared" ref="EC241" si="4844">EC240/DV240-1</f>
        <v>-1.7808219178082174E-2</v>
      </c>
      <c r="ED241" s="198">
        <f t="shared" ref="ED241" si="4845">ED240/DW240-1</f>
        <v>-2.3622047244094446E-2</v>
      </c>
      <c r="EE241" s="198">
        <f t="shared" ref="EE241" si="4846">EE240/DX240-1</f>
        <v>2.686366689053088E-3</v>
      </c>
      <c r="EG241" s="197" t="str">
        <f t="shared" si="3976"/>
        <v>YoY Change (%)</v>
      </c>
      <c r="EH241" s="198">
        <f>EH240/EA240-1</f>
        <v>9.3708165997322679E-2</v>
      </c>
      <c r="EI241" s="198">
        <f t="shared" ref="EI241" si="4847">EI240/EB240-1</f>
        <v>3.4571062740076819E-2</v>
      </c>
      <c r="EJ241" s="198">
        <f t="shared" ref="EJ241" si="4848">EJ240/EC240-1</f>
        <v>0.21199442119944223</v>
      </c>
      <c r="EK241" s="198">
        <f t="shared" ref="EK241" si="4849">EK240/ED240-1</f>
        <v>0.19086021505376349</v>
      </c>
      <c r="EL241" s="198">
        <f t="shared" ref="EL241" si="4850">EL240/EE240-1</f>
        <v>0.1282652377762894</v>
      </c>
      <c r="EN241" s="197" t="str">
        <f t="shared" si="3981"/>
        <v>YoY Change (%)</v>
      </c>
      <c r="EO241" s="198">
        <f>EO240/EH240-1</f>
        <v>0.10526315789473695</v>
      </c>
      <c r="EP241" s="198">
        <f t="shared" ref="EP241" si="4851">EP240/EI240-1</f>
        <v>0.12128712871287139</v>
      </c>
      <c r="EQ241" s="198">
        <f t="shared" ref="EQ241" si="4852">EQ240/EJ240-1</f>
        <v>-1.7261219792865323E-2</v>
      </c>
      <c r="ER241" s="198">
        <f t="shared" ref="ER241" si="4853">ER240/EK240-1</f>
        <v>-4.2889390519187387E-2</v>
      </c>
      <c r="ES241" s="198">
        <f t="shared" ref="ES241" si="4854">ES240/EL240-1</f>
        <v>4.2149005639655623E-2</v>
      </c>
      <c r="EU241" s="197" t="str">
        <f t="shared" si="3986"/>
        <v>YoY Change (%)</v>
      </c>
      <c r="EV241" s="198">
        <f>EV240/EO240-1</f>
        <v>-7.1982281284606819E-2</v>
      </c>
      <c r="EW241" s="198">
        <f t="shared" ref="EW241" si="4855">EW240/EP240-1</f>
        <v>-6.6225165562913912E-2</v>
      </c>
      <c r="EX241" s="198">
        <f t="shared" ref="EX241" si="4856">EX240/EQ240-1</f>
        <v>-4.8009367681498882E-2</v>
      </c>
      <c r="EY241" s="198">
        <f t="shared" ref="EY241" si="4857">EY240/ER240-1</f>
        <v>-3.5377358490566002E-2</v>
      </c>
      <c r="EZ241" s="198">
        <f t="shared" ref="EZ241" si="4858">EZ240/ES240-1</f>
        <v>-5.5824551409854761E-2</v>
      </c>
      <c r="FB241" s="197" t="str">
        <f t="shared" si="3991"/>
        <v>YoY Change (%)</v>
      </c>
      <c r="FC241" s="198">
        <f>FC240/EV240-1</f>
        <v>-3.1026252983293534E-2</v>
      </c>
      <c r="FD241" s="198">
        <f t="shared" ref="FD241" si="4859">FD240/EW240-1</f>
        <v>2.1276595744680771E-2</v>
      </c>
      <c r="FE241" s="198">
        <f t="shared" ref="FE241" si="4860">FE240/EX240-1</f>
        <v>1.9680196801967975E-2</v>
      </c>
      <c r="FF241" s="198">
        <f t="shared" ref="FF241" si="4861">FF240/EY240-1</f>
        <v>6.1124694376528677E-3</v>
      </c>
      <c r="FG241" s="198">
        <f t="shared" ref="FG241" si="4862">FG240/EZ240-1</f>
        <v>3.9215686274509665E-3</v>
      </c>
      <c r="FI241" s="197" t="str">
        <f t="shared" si="3996"/>
        <v>YoY Change (%)</v>
      </c>
      <c r="FJ241" s="198">
        <f>FJ240/FC240-1</f>
        <v>3.0788177339901468E-2</v>
      </c>
      <c r="FK241" s="198">
        <f t="shared" ref="FK241" si="4863">FK240/FD240-1</f>
        <v>0</v>
      </c>
      <c r="FL241" s="198">
        <f t="shared" ref="FL241" si="4864">FL240/FE240-1</f>
        <v>2.4125452352231624E-2</v>
      </c>
      <c r="FM241" s="198">
        <f t="shared" ref="FM241" si="4865">FM240/FF240-1</f>
        <v>5.4678007290400954E-2</v>
      </c>
      <c r="FN241" s="198">
        <f t="shared" ref="FN241" si="4866">FN240/FG240-1</f>
        <v>2.7043269230769162E-2</v>
      </c>
      <c r="FP241" s="197" t="str">
        <f t="shared" si="4001"/>
        <v>YoY Change (%)</v>
      </c>
      <c r="FQ241" s="198">
        <f>FQ240/FJ240-1</f>
        <v>2.1505376344086002E-2</v>
      </c>
      <c r="FR241" s="198">
        <f t="shared" ref="FR241" si="4867">FR240/FK240-1</f>
        <v>3.009259259259256E-2</v>
      </c>
      <c r="FS241" s="198">
        <f t="shared" ref="FS241" si="4868">FS240/FL240-1</f>
        <v>-1.6489988221436991E-2</v>
      </c>
      <c r="FT241" s="198">
        <f t="shared" ref="FT241" si="4869">FT240/FM240-1</f>
        <v>5.2995391705069173E-2</v>
      </c>
      <c r="FU241" s="198">
        <f t="shared" ref="FU241" si="4870">FU240/FN240-1</f>
        <v>2.2235225277940307E-2</v>
      </c>
      <c r="FW241" s="197" t="str">
        <f t="shared" si="4006"/>
        <v>YoY Change (%)</v>
      </c>
      <c r="FX241" s="198">
        <f>FX240/FQ240-1</f>
        <v>3.5087719298245723E-3</v>
      </c>
      <c r="FY241" s="198">
        <f t="shared" ref="FY241" si="4871">FY240/FR240-1</f>
        <v>-2.5842696629213457E-2</v>
      </c>
      <c r="FZ241" s="198">
        <f t="shared" ref="FZ241" si="4872">FZ240/FS240-1</f>
        <v>-2.3952095808382756E-3</v>
      </c>
      <c r="GA241" s="198">
        <f t="shared" ref="GA241" si="4873">GA240/FT240-1</f>
        <v>-0.10503282275711157</v>
      </c>
      <c r="GB241" s="198">
        <f t="shared" ref="GB241" si="4874">GB240/FU240-1</f>
        <v>-3.3772180881511127E-2</v>
      </c>
      <c r="GD241" s="197" t="str">
        <f t="shared" si="4011"/>
        <v>YoY Change (%)</v>
      </c>
      <c r="GE241" s="198">
        <f>GE240/FX240-1</f>
        <v>-2.7972027972028024E-2</v>
      </c>
      <c r="GF241" s="198">
        <f t="shared" ref="GF241" si="4875">GF240/FY240-1</f>
        <v>-1.6147635524798143E-2</v>
      </c>
      <c r="GG241" s="198">
        <f t="shared" ref="GG241" si="4876">GG240/FZ240-1</f>
        <v>-2.4009603841536609E-2</v>
      </c>
      <c r="GH241" s="198">
        <f t="shared" ref="GH241" si="4877">GH240/GA240-1</f>
        <v>-3.7897310513447469E-2</v>
      </c>
      <c r="GI241" s="198">
        <f t="shared" ref="GI241" si="4878">GI240/GB240-1</f>
        <v>-2.6362559241706163E-2</v>
      </c>
      <c r="GK241" s="197" t="str">
        <f t="shared" si="4016"/>
        <v>YoY Change (%)</v>
      </c>
      <c r="GL241" s="198">
        <f>GL240/GE240-1</f>
        <v>-5.9952038369304517E-2</v>
      </c>
      <c r="GM241" s="198">
        <f t="shared" ref="GM241" si="4879">GM240/GF240-1</f>
        <v>-3.6342321219226315E-2</v>
      </c>
      <c r="GN241" s="198">
        <f t="shared" ref="GN241" si="4880">GN240/GG240-1</f>
        <v>-4.3050430504305015E-2</v>
      </c>
      <c r="GO241" s="198">
        <f t="shared" ref="GO241" si="4881">GO240/GH240-1</f>
        <v>-3.5578144853875449E-2</v>
      </c>
      <c r="GP241" s="198">
        <f t="shared" ref="GP241" si="4882">GP240/GI240-1</f>
        <v>-4.3808944326133248E-2</v>
      </c>
      <c r="GR241" s="197" t="str">
        <f t="shared" si="4021"/>
        <v>YoY Change (%)</v>
      </c>
      <c r="GS241" s="198">
        <f>GS240/GL240-1</f>
        <v>-4.8469387755102011E-2</v>
      </c>
      <c r="GT241" s="198">
        <f t="shared" ref="GT241" si="4883">GT240/GM240-1</f>
        <v>-6.4476885644768833E-2</v>
      </c>
      <c r="GU241" s="198">
        <f t="shared" ref="GU241" si="4884">GU240/GN240-1</f>
        <v>-5.9125964010282805E-2</v>
      </c>
      <c r="GV241" s="198">
        <f t="shared" ref="GV241" si="4885">GV240/GO240-1</f>
        <v>-0.16600790513833996</v>
      </c>
      <c r="GW241" s="198">
        <f t="shared" ref="GW241" si="4886">GW240/GP240-1</f>
        <v>-8.367801463569835E-2</v>
      </c>
      <c r="GY241" s="197" t="str">
        <f t="shared" si="4026"/>
        <v>YoY Change (%)</v>
      </c>
      <c r="GZ241" s="198">
        <f>GZ240/GS240-1</f>
        <v>-0.26541554959785518</v>
      </c>
      <c r="HA241" s="198">
        <f t="shared" ref="HA241" si="4887">HA240/GT240-1</f>
        <v>-0.24707412223667102</v>
      </c>
      <c r="HB241" s="198">
        <f t="shared" ref="HB241" si="4888">HB240/GU240-1</f>
        <v>-0.17759562841530052</v>
      </c>
      <c r="HC241" s="198">
        <f t="shared" ref="HC241" si="4889">HC240/GV240-1</f>
        <v>-3.7914691943127909E-2</v>
      </c>
      <c r="HD241" s="198">
        <f t="shared" ref="HD241" si="4890">HD240/GW240-1</f>
        <v>-0.18819444444444444</v>
      </c>
      <c r="HF241" s="197" t="str">
        <f t="shared" si="4031"/>
        <v>YoY Change (%)</v>
      </c>
      <c r="HG241" s="198">
        <f>HG240/GZ240-1</f>
        <v>0.11861313868613133</v>
      </c>
      <c r="HH241" s="198">
        <f t="shared" ref="HH241" si="4891">HH240/HA240-1</f>
        <v>0.13816925734024177</v>
      </c>
      <c r="HI241" s="198">
        <f t="shared" ref="HI241" si="4892">HI240/HB240-1</f>
        <v>6.8106312292358862E-2</v>
      </c>
      <c r="HJ241" s="198">
        <f t="shared" ref="HJ241" si="4893">HJ240/HC240-1</f>
        <v>0.1050903119868638</v>
      </c>
      <c r="HK241" s="198">
        <f t="shared" ref="HK241" si="4894">HK240/HD240-1</f>
        <v>0.1069289991445681</v>
      </c>
      <c r="HM241" s="197" t="str">
        <f t="shared" si="4036"/>
        <v>YoY Change (%)</v>
      </c>
      <c r="HN241" s="198">
        <f>HN240/HG240-1</f>
        <v>6.6884176182707922E-2</v>
      </c>
      <c r="HO241" s="198">
        <f t="shared" ref="HO241" si="4895">HO240/HH240-1</f>
        <v>2.7314112291350501E-2</v>
      </c>
      <c r="HP241" s="198">
        <f t="shared" ref="HP241" si="4896">HP240/HI240-1</f>
        <v>2.1772939346811793E-2</v>
      </c>
      <c r="HQ241" s="198">
        <f t="shared" ref="HQ241" si="4897">HQ240/HJ240-1</f>
        <v>-1.0401188707280795E-2</v>
      </c>
      <c r="HR241" s="198">
        <f t="shared" ref="HR241" si="4898">HR240/HK240-1</f>
        <v>2.5502318392581103E-2</v>
      </c>
      <c r="HT241" s="197" t="str">
        <f t="shared" si="4041"/>
        <v>YoY Change (%)</v>
      </c>
      <c r="HU241" s="198">
        <f>HU240/HN240-1</f>
        <v>2.5993883792049033E-2</v>
      </c>
      <c r="HV241" s="198">
        <f t="shared" ref="HV241" si="4899">HV240/HO240-1</f>
        <v>4.4313146233383449E-3</v>
      </c>
      <c r="HW241" s="198">
        <f t="shared" ref="HW241" si="4900">HW240/HP240-1</f>
        <v>-3.0441400304414001E-3</v>
      </c>
      <c r="HX241" s="198">
        <f t="shared" ref="HX241" si="4901">HX240/HQ240-1</f>
        <v>-6.0060060060059817E-3</v>
      </c>
      <c r="HY241" s="198">
        <f t="shared" ref="HY241" si="4902">HY240/HR240-1</f>
        <v>5.2750565184627174E-3</v>
      </c>
      <c r="IA241" s="197" t="str">
        <f t="shared" si="4046"/>
        <v>YoY Change (%)</v>
      </c>
      <c r="IB241" s="198">
        <f>IB240/HU240-1</f>
        <v>-7.4515648286139768E-3</v>
      </c>
      <c r="IC241" s="198">
        <f t="shared" ref="IC241" si="4903">IC240/HV240-1</f>
        <v>3.2352941176470695E-2</v>
      </c>
      <c r="ID241" s="198">
        <f t="shared" ref="ID241" si="4904">ID240/HW240-1</f>
        <v>4.8854961832061061E-2</v>
      </c>
      <c r="IE241" s="198">
        <f t="shared" ref="IE241" si="4905">IE240/HX240-1</f>
        <v>6.7975830815709903E-2</v>
      </c>
      <c r="IF241" s="198">
        <f t="shared" ref="IF241" si="4906">IF240/HY240-1</f>
        <v>3.5232383808095902E-2</v>
      </c>
      <c r="IH241" s="197" t="str">
        <f t="shared" si="4051"/>
        <v>YoY Change (%)</v>
      </c>
      <c r="II241" s="198">
        <f>II240/IB240-1</f>
        <v>2.1021021021021102E-2</v>
      </c>
      <c r="IJ241" s="198">
        <f t="shared" ref="IJ241" si="4907">IJ240/IC240-1</f>
        <v>8.2621082621082698E-2</v>
      </c>
      <c r="IK241" s="198">
        <f t="shared" ref="IK241" si="4908">IK240/ID240-1</f>
        <v>8.879184861717615E-2</v>
      </c>
      <c r="IL241" s="198">
        <f t="shared" ref="IL241" si="4909">IL240/IE240-1</f>
        <v>5.2333804809052253E-2</v>
      </c>
      <c r="IM241" s="198">
        <f t="shared" ref="IM241" si="4910">IM240/IF240-1</f>
        <v>6.1549601737871162E-2</v>
      </c>
      <c r="IO241" s="197" t="str">
        <f t="shared" si="4056"/>
        <v>YoY Change (%)</v>
      </c>
      <c r="IP241" s="198">
        <f>IP240/II240-1</f>
        <v>1.6176470588235237E-2</v>
      </c>
      <c r="IQ241" s="198">
        <f t="shared" ref="IQ241" si="4911">IQ240/IJ240-1</f>
        <v>-2.5000000000000022E-2</v>
      </c>
      <c r="IR241" s="198">
        <f t="shared" ref="IR241" si="4912">IR240/IK240-1</f>
        <v>-3.7433155080213942E-2</v>
      </c>
      <c r="IS241" s="198">
        <f t="shared" ref="IS241" si="4913">IS240/IL240-1</f>
        <v>-4.8387096774193505E-2</v>
      </c>
      <c r="IT241" s="198">
        <f t="shared" ref="IT241" si="4914">IT240/IM240-1</f>
        <v>-2.4556616643929052E-2</v>
      </c>
      <c r="IV241" s="197" t="str">
        <f t="shared" si="4061"/>
        <v>YoY Change (%)</v>
      </c>
      <c r="IW241" s="198">
        <f>IW240/IP240-1</f>
        <v>-2.6049204052098429E-2</v>
      </c>
      <c r="IX241" s="198">
        <f t="shared" ref="IX241" si="4915">IX240/IQ240-1</f>
        <v>-4.7233468286099867E-2</v>
      </c>
      <c r="IY241" s="198">
        <f t="shared" ref="IY241" si="4916">IY240/IR240-1</f>
        <v>-4.7222222222222276E-2</v>
      </c>
      <c r="IZ241" s="198">
        <f t="shared" ref="IZ241" si="4917">IZ240/IS240-1</f>
        <v>4.0960451977401169E-2</v>
      </c>
      <c r="JA241" s="198">
        <f t="shared" ref="JA241" si="4918">JA240/IT240-1</f>
        <v>-2.0279720279720248E-2</v>
      </c>
      <c r="JC241" s="197" t="str">
        <f t="shared" si="4066"/>
        <v>YoY Change (%)</v>
      </c>
      <c r="JD241" s="198">
        <f>JD240/IW240-1</f>
        <v>3.8632986627043175E-2</v>
      </c>
      <c r="JE241" s="198">
        <f t="shared" ref="JE241" si="4919">JE240/IX240-1</f>
        <v>-1.6997167138810165E-2</v>
      </c>
      <c r="JF241" s="198">
        <f t="shared" ref="JF241" si="4920">JF240/IY240-1</f>
        <v>-5.1020408163265252E-2</v>
      </c>
      <c r="JG241" s="198">
        <f t="shared" ref="JG241" si="4921">JG240/IZ240-1</f>
        <v>-0.10719131614653998</v>
      </c>
      <c r="JH241" s="198">
        <f t="shared" ref="JH241" si="4922">JH240/JA240-1</f>
        <v>-3.5688793718772316E-2</v>
      </c>
      <c r="JJ241" s="197" t="str">
        <f t="shared" si="4071"/>
        <v>YoY Change (%)</v>
      </c>
      <c r="JK241" s="198">
        <f>JK240/JD240-1</f>
        <v>-8.1545064377682386E-2</v>
      </c>
      <c r="JL241" s="198">
        <f t="shared" ref="JL241" si="4923">JL240/JE240-1</f>
        <v>-7.2046109510086609E-3</v>
      </c>
      <c r="JM241" s="198">
        <f t="shared" ref="JM241" si="4924">JM240/JF240-1</f>
        <v>4.9155145929339561E-2</v>
      </c>
      <c r="JN241" s="198">
        <f t="shared" ref="JN241" si="4925">JN240/JG240-1</f>
        <v>4.2553191489361764E-2</v>
      </c>
      <c r="JO241" s="198">
        <f t="shared" ref="JO241" si="4926">JO240/JH240-1</f>
        <v>-7.4019245003698053E-4</v>
      </c>
      <c r="JQ241" s="197" t="str">
        <f t="shared" si="4076"/>
        <v>YoY Change (%)</v>
      </c>
      <c r="JR241" s="198">
        <f>JR240/JK240-1</f>
        <v>3.1152647975077885E-2</v>
      </c>
      <c r="JS241" s="198">
        <f t="shared" ref="JS241" si="4927">JS240/JL240-1</f>
        <v>1.1611030478954953E-2</v>
      </c>
      <c r="JT241" s="198">
        <f t="shared" ref="JT241" si="4928">JT240/JM240-1</f>
        <v>0</v>
      </c>
      <c r="JU241" s="198">
        <f t="shared" ref="JU241" si="4929">JU240/JN240-1</f>
        <v>-3.0612244897959218E-2</v>
      </c>
      <c r="JV241" s="198">
        <f t="shared" ref="JV241" si="4930">JV240/JO240-1</f>
        <v>2.5925925925927018E-3</v>
      </c>
      <c r="JX241" s="197" t="str">
        <f t="shared" si="4081"/>
        <v>YoY Change (%)</v>
      </c>
      <c r="JY241" s="198">
        <f>JY240/JR240-1</f>
        <v>1.6616314199395799E-2</v>
      </c>
      <c r="JZ241" s="198">
        <f t="shared" ref="JZ241" si="4931">JZ240/JS240-1</f>
        <v>-0.21951219512195119</v>
      </c>
      <c r="KA241" s="198">
        <f t="shared" ref="KA241" si="4932">KA240/JT240-1</f>
        <v>-4.8316251830161083E-2</v>
      </c>
      <c r="KB241" s="198">
        <f t="shared" ref="KB241" si="4933">KB240/JU240-1</f>
        <v>4.5112781954887993E-3</v>
      </c>
      <c r="KC241" s="198">
        <f t="shared" ref="KC241" si="4934">KC240/JV240-1</f>
        <v>-6.3538973032877699E-2</v>
      </c>
      <c r="KE241" s="197" t="str">
        <f t="shared" si="4086"/>
        <v>YoY Change (%)</v>
      </c>
      <c r="KF241" s="198">
        <f>KF240/JY240-1</f>
        <v>-6.2407132243684993E-2</v>
      </c>
      <c r="KG241" s="198">
        <f t="shared" ref="KG241" si="4935">KG240/JZ240-1</f>
        <v>0.20588235294117641</v>
      </c>
      <c r="KH241" s="198">
        <f t="shared" ref="KH241" si="4936">KH240/KA240-1</f>
        <v>-1.692307692307693E-2</v>
      </c>
      <c r="KI241" s="198">
        <f t="shared" ref="KI241" si="4937">KI240/KB240-1</f>
        <v>-3.4431137724550864E-2</v>
      </c>
      <c r="KJ241" s="198">
        <f t="shared" ref="KJ241" si="4938">KJ240/KC240-1</f>
        <v>1.4201183431952646E-2</v>
      </c>
      <c r="KL241" s="197" t="str">
        <f t="shared" si="4091"/>
        <v>YoY Change (%)</v>
      </c>
      <c r="KM241" s="198">
        <f>KM240/KF240-1</f>
        <v>-1.5847860538827252E-2</v>
      </c>
      <c r="KN241" s="198">
        <f t="shared" ref="KN241" si="4939">KN240/KG240-1</f>
        <v>1.5243902439023849E-3</v>
      </c>
      <c r="KO241" s="198">
        <f t="shared" ref="KO241" si="4940">KO240/KH240-1</f>
        <v>1.4084507042253502E-2</v>
      </c>
      <c r="KP241" s="198">
        <f t="shared" ref="KP241" si="4941">KP240/KI240-1</f>
        <v>-2.0155038759689936E-2</v>
      </c>
      <c r="KQ241" s="198">
        <f t="shared" ref="KQ241" si="4942">KQ240/KJ240-1</f>
        <v>-5.056398288603603E-3</v>
      </c>
      <c r="KS241" s="197" t="str">
        <f t="shared" si="4096"/>
        <v>YoY Change (%)</v>
      </c>
      <c r="KT241" s="198">
        <f>KT240/KM240-1</f>
        <v>4.1867954911433136E-2</v>
      </c>
      <c r="KU241" s="198">
        <f t="shared" ref="KU241" si="4943">KU240/KN240-1</f>
        <v>3.0441400304414001E-2</v>
      </c>
      <c r="KV241" s="198">
        <f t="shared" ref="KV241" si="4944">KV240/KO240-1</f>
        <v>1.5432098765431057E-3</v>
      </c>
      <c r="KW241" s="198">
        <f t="shared" ref="KW241" si="4945">KW240/KP240-1</f>
        <v>2.5316455696202445E-2</v>
      </c>
      <c r="KX241" s="198">
        <f t="shared" ref="KX241" si="4946">KX240/KQ240-1</f>
        <v>2.4628616106333157E-2</v>
      </c>
      <c r="KZ241" s="197" t="str">
        <f t="shared" si="4101"/>
        <v>YoY Change (%)</v>
      </c>
      <c r="LA241" s="198">
        <f>LA240/KT240-1</f>
        <v>-3.0911901081916993E-3</v>
      </c>
      <c r="LB241" s="198">
        <f>LB240/KU240-1</f>
        <v>8.8626292466764678E-3</v>
      </c>
      <c r="LC241" s="198">
        <f>LC240/KV240-1</f>
        <v>3.2357473035439233E-2</v>
      </c>
      <c r="LD241" s="198">
        <f t="shared" ref="LD241" si="4947">LD240/KW240-1</f>
        <v>3.0864197530864335E-3</v>
      </c>
      <c r="LE241" s="208">
        <f t="shared" ref="LE241" si="4948">LE240/KX240-1</f>
        <v>1.0301411674933147E-2</v>
      </c>
      <c r="LF241" s="567"/>
      <c r="LG241" s="197" t="str">
        <f t="shared" si="4104"/>
        <v>YoY Change (%)</v>
      </c>
      <c r="LH241" s="198">
        <f>LH240/LA240-1</f>
        <v>-2.3255813953488413E-2</v>
      </c>
      <c r="LI241" s="198">
        <f>LI240/LB240-1</f>
        <v>-1.9033674963396807E-2</v>
      </c>
      <c r="LJ241" s="198">
        <f>LJ240/LC240-1</f>
        <v>-1.4925373134328401E-2</v>
      </c>
      <c r="LK241" s="198">
        <f>LK240/LD240-1</f>
        <v>-2.4615384615384595E-2</v>
      </c>
      <c r="LL241" s="208">
        <f t="shared" ref="LL241" si="4949">LL240/LE240-1</f>
        <v>-2.0392749244713015E-2</v>
      </c>
      <c r="LM241" s="567"/>
      <c r="LN241" s="197" t="str">
        <f t="shared" si="4106"/>
        <v>YoY Change (%)</v>
      </c>
      <c r="LO241" s="208">
        <f>LO240/LH240-1</f>
        <v>-1.8666666666666609E-2</v>
      </c>
      <c r="LP241" s="208">
        <f t="shared" ref="LP241" si="4950">LP240/LI240-1</f>
        <v>-2.1231343283582116E-2</v>
      </c>
      <c r="LQ241" s="208">
        <f t="shared" ref="LQ241" si="4951">LQ240/LJ240-1</f>
        <v>-6.7803030303028589E-3</v>
      </c>
      <c r="LR241" s="208">
        <f t="shared" ref="LR241" si="4952">LR240/LK240-1</f>
        <v>2.4834384858044123E-2</v>
      </c>
      <c r="LS241" s="208">
        <f t="shared" ref="LS241" si="4953">LS240/LL240-1</f>
        <v>-5.672706245181236E-3</v>
      </c>
      <c r="LT241" s="567"/>
      <c r="LU241" s="197" t="str">
        <f t="shared" si="4610"/>
        <v>YoY Change (%)</v>
      </c>
      <c r="LV241" s="208">
        <f>LV240/LO240-1</f>
        <v>2.857806030020682E-2</v>
      </c>
      <c r="LW241" s="208">
        <f t="shared" ref="LW241" si="4954">LW240/LP240-1</f>
        <v>2.8846822461972677E-2</v>
      </c>
      <c r="LX241" s="208">
        <f t="shared" ref="LX241" si="4955">LX240/LQ240-1</f>
        <v>2.7168414629495263E-2</v>
      </c>
      <c r="LY241" s="208">
        <f t="shared" ref="LY241" si="4956">LY240/LR240-1</f>
        <v>2.6859614156322875E-2</v>
      </c>
      <c r="LZ241" s="208">
        <f t="shared" ref="LZ241" si="4957">LZ240/LS240-1</f>
        <v>2.7855238951880024E-2</v>
      </c>
      <c r="MA241" s="567"/>
      <c r="MB241" s="197" t="str">
        <f t="shared" si="4612"/>
        <v>YoY Change (%)</v>
      </c>
      <c r="MC241" s="208">
        <f>MC240/LV240-1</f>
        <v>2.7145766227856027E-2</v>
      </c>
      <c r="MD241" s="208">
        <f t="shared" ref="MD241" si="4958">MD240/LW240-1</f>
        <v>2.6569360294424582E-2</v>
      </c>
      <c r="ME241" s="208">
        <f t="shared" ref="ME241" si="4959">ME240/LX240-1</f>
        <v>2.5176853386743137E-2</v>
      </c>
      <c r="MF241" s="208">
        <f t="shared" ref="MF241" si="4960">MF240/LY240-1</f>
        <v>2.3486659073205907E-2</v>
      </c>
      <c r="MG241" s="208">
        <f t="shared" ref="MG241" si="4961">MG240/LZ240-1</f>
        <v>2.5578141848937364E-2</v>
      </c>
      <c r="MH241" s="567"/>
    </row>
    <row r="242" spans="1:346" s="37" customFormat="1" ht="13.15" x14ac:dyDescent="0.4">
      <c r="A242" s="100"/>
      <c r="C242" s="186"/>
      <c r="D242" s="186"/>
      <c r="E242" s="186"/>
      <c r="F242" s="186"/>
      <c r="G242" s="186"/>
      <c r="H242" s="186"/>
      <c r="I242" s="186"/>
      <c r="J242" s="186"/>
      <c r="K242" s="186"/>
      <c r="L242" s="186"/>
      <c r="M242" s="186"/>
      <c r="N242" s="193"/>
      <c r="O242" s="193"/>
      <c r="P242" s="193"/>
      <c r="Q242" s="193"/>
      <c r="R242" s="193"/>
      <c r="S242" s="193"/>
      <c r="T242" s="193"/>
      <c r="U242" s="193"/>
      <c r="V242" s="193"/>
      <c r="W242" s="193"/>
      <c r="X242" s="193"/>
      <c r="Y242" s="193"/>
      <c r="Z242" s="193"/>
      <c r="AA242" s="193"/>
      <c r="AB242" s="193"/>
      <c r="AC242" s="193"/>
      <c r="AD242" s="193"/>
      <c r="AE242" s="193"/>
      <c r="AF242" s="193"/>
      <c r="AG242" s="193"/>
      <c r="AH242" s="193"/>
      <c r="AI242" s="193"/>
      <c r="AJ242" s="193"/>
      <c r="AK242" s="193"/>
      <c r="AL242" s="193"/>
      <c r="AM242" s="193"/>
      <c r="AN242" s="193"/>
      <c r="AO242" s="193"/>
      <c r="AP242" s="193"/>
      <c r="AQ242" s="193"/>
      <c r="AR242" s="193"/>
      <c r="AS242" s="193"/>
      <c r="AT242" s="193"/>
      <c r="AU242" s="193"/>
      <c r="AV242" s="193"/>
      <c r="AW242" s="193"/>
      <c r="AX242" s="193"/>
      <c r="AY242" s="193"/>
      <c r="AZ242" s="193"/>
      <c r="BA242" s="193"/>
      <c r="BB242" s="193"/>
      <c r="BC242" s="193"/>
      <c r="BD242" s="193"/>
      <c r="BE242" s="193"/>
      <c r="BF242" s="193"/>
      <c r="BG242" s="193"/>
      <c r="BH242" s="193"/>
      <c r="BI242" s="193"/>
      <c r="BJ242" s="193"/>
      <c r="BK242" s="193"/>
      <c r="BL242" s="193"/>
      <c r="BM242" s="193"/>
      <c r="BP242" s="193"/>
      <c r="BQ242" s="193"/>
      <c r="BR242" s="193"/>
      <c r="BS242" s="193"/>
      <c r="BT242" s="193"/>
      <c r="BW242" s="193"/>
      <c r="BX242" s="193"/>
      <c r="BY242" s="193"/>
      <c r="BZ242" s="193"/>
      <c r="CA242" s="193"/>
      <c r="CD242" s="193"/>
      <c r="CE242" s="193"/>
      <c r="CF242" s="193"/>
      <c r="CG242" s="193"/>
      <c r="CH242" s="193"/>
      <c r="CK242" s="193"/>
      <c r="CL242" s="193"/>
      <c r="CM242" s="193"/>
      <c r="CN242" s="193"/>
      <c r="CO242" s="193"/>
      <c r="CR242" s="193"/>
      <c r="CS242" s="193"/>
      <c r="CT242" s="193"/>
      <c r="CU242" s="193"/>
      <c r="CV242" s="193"/>
      <c r="CY242" s="193"/>
      <c r="CZ242" s="193"/>
      <c r="DA242" s="193"/>
      <c r="DB242" s="193"/>
      <c r="DC242" s="193"/>
      <c r="DF242" s="193"/>
      <c r="DG242" s="193"/>
      <c r="DH242" s="193"/>
      <c r="DI242" s="193"/>
      <c r="DJ242" s="193"/>
      <c r="DM242" s="193"/>
      <c r="DN242" s="193"/>
      <c r="DO242" s="193"/>
      <c r="DP242" s="193"/>
      <c r="DQ242" s="193"/>
      <c r="DT242" s="193"/>
      <c r="DU242" s="193"/>
      <c r="DV242" s="193"/>
      <c r="DW242" s="193"/>
      <c r="DX242" s="193"/>
      <c r="EA242" s="193"/>
      <c r="EB242" s="193"/>
      <c r="EC242" s="193"/>
      <c r="ED242" s="193"/>
      <c r="EE242" s="193"/>
      <c r="EH242" s="193"/>
      <c r="EI242" s="193"/>
      <c r="EJ242" s="193"/>
      <c r="EK242" s="193"/>
      <c r="EL242" s="193"/>
      <c r="EO242" s="193"/>
      <c r="EP242" s="193"/>
      <c r="EQ242" s="193"/>
      <c r="ER242" s="193"/>
      <c r="ES242" s="193"/>
      <c r="EV242" s="193"/>
      <c r="EW242" s="193"/>
      <c r="EX242" s="193"/>
      <c r="EY242" s="193"/>
      <c r="EZ242" s="193"/>
      <c r="FC242" s="193"/>
      <c r="FD242" s="193"/>
      <c r="FE242" s="193"/>
      <c r="FF242" s="193"/>
      <c r="FG242" s="193"/>
      <c r="FJ242" s="193"/>
      <c r="FK242" s="193"/>
      <c r="FL242" s="193"/>
      <c r="FM242" s="193"/>
      <c r="FN242" s="193"/>
      <c r="FQ242" s="193"/>
      <c r="FR242" s="193"/>
      <c r="FS242" s="193"/>
      <c r="FT242" s="193"/>
      <c r="FU242" s="193"/>
      <c r="FX242" s="193"/>
      <c r="FY242" s="193"/>
      <c r="FZ242" s="193"/>
      <c r="GA242" s="193"/>
      <c r="GB242" s="193"/>
      <c r="GE242" s="193"/>
      <c r="GF242" s="193"/>
      <c r="GG242" s="193"/>
      <c r="GH242" s="193"/>
      <c r="GI242" s="193"/>
      <c r="GL242" s="193"/>
      <c r="GM242" s="193"/>
      <c r="GN242" s="193"/>
      <c r="GO242" s="193"/>
      <c r="GP242" s="193"/>
      <c r="GS242" s="193"/>
      <c r="GT242" s="193"/>
      <c r="GU242" s="193"/>
      <c r="GV242" s="193"/>
      <c r="GW242" s="193"/>
      <c r="GZ242" s="193"/>
      <c r="HA242" s="193"/>
      <c r="HB242" s="193"/>
      <c r="HC242" s="193"/>
      <c r="HD242" s="193"/>
      <c r="HG242" s="193"/>
      <c r="HH242" s="193"/>
      <c r="HI242" s="193"/>
      <c r="HJ242" s="193"/>
      <c r="HK242" s="193"/>
      <c r="HN242" s="193"/>
      <c r="HO242" s="193"/>
      <c r="HP242" s="193"/>
      <c r="HQ242" s="193"/>
      <c r="HR242" s="193"/>
      <c r="HU242" s="193"/>
      <c r="HV242" s="193"/>
      <c r="HW242" s="193"/>
      <c r="HX242" s="193"/>
      <c r="HY242" s="193"/>
      <c r="IB242" s="193"/>
      <c r="IC242" s="193"/>
      <c r="ID242" s="193"/>
      <c r="IE242" s="193"/>
      <c r="IF242" s="193"/>
      <c r="II242" s="193"/>
      <c r="IJ242" s="193"/>
      <c r="IK242" s="193"/>
      <c r="IL242" s="193"/>
      <c r="IM242" s="193"/>
      <c r="IP242" s="193"/>
      <c r="IQ242" s="193"/>
      <c r="IR242" s="193"/>
      <c r="IS242" s="193"/>
      <c r="IT242" s="193"/>
      <c r="IW242" s="193"/>
      <c r="IX242" s="193"/>
      <c r="IY242" s="193"/>
      <c r="IZ242" s="193"/>
      <c r="JA242" s="193"/>
      <c r="JD242" s="193"/>
      <c r="JE242" s="193"/>
      <c r="JF242" s="193"/>
      <c r="JG242" s="193"/>
      <c r="JH242" s="193"/>
      <c r="JK242" s="193"/>
      <c r="JL242" s="193"/>
      <c r="JM242" s="193"/>
      <c r="JN242" s="193"/>
      <c r="JO242" s="193"/>
      <c r="JR242" s="193"/>
      <c r="JS242" s="193"/>
      <c r="JT242" s="193"/>
      <c r="JU242" s="193"/>
      <c r="JV242" s="193"/>
      <c r="JY242" s="193"/>
      <c r="JZ242" s="193"/>
      <c r="KA242" s="193"/>
      <c r="KB242" s="193"/>
      <c r="KC242" s="193"/>
      <c r="KF242" s="193"/>
      <c r="KG242" s="193"/>
      <c r="KH242" s="193"/>
      <c r="KI242" s="193"/>
      <c r="KJ242" s="193"/>
      <c r="KM242" s="193"/>
      <c r="KN242" s="193"/>
      <c r="KO242" s="193"/>
      <c r="KP242" s="193"/>
      <c r="KQ242" s="193"/>
      <c r="KT242" s="193"/>
      <c r="KU242" s="193"/>
      <c r="KV242" s="193"/>
      <c r="KW242" s="193"/>
      <c r="KX242" s="193"/>
      <c r="LA242" s="193"/>
      <c r="LB242" s="193"/>
      <c r="LC242" s="193"/>
      <c r="LD242" s="193"/>
      <c r="LE242" s="200"/>
      <c r="LF242" s="565"/>
      <c r="LH242" s="193"/>
      <c r="LI242" s="193"/>
      <c r="LJ242" s="193"/>
      <c r="LK242" s="193"/>
      <c r="LL242" s="200"/>
      <c r="LM242" s="565"/>
      <c r="LO242" s="200"/>
      <c r="LP242" s="200"/>
      <c r="LQ242" s="200"/>
      <c r="LR242" s="200"/>
      <c r="LS242" s="200"/>
      <c r="LT242" s="565"/>
      <c r="LV242" s="200"/>
      <c r="LW242" s="200"/>
      <c r="LX242" s="200"/>
      <c r="LY242" s="200"/>
      <c r="LZ242" s="200"/>
      <c r="MA242" s="565"/>
      <c r="MC242" s="200"/>
      <c r="MD242" s="200"/>
      <c r="ME242" s="200"/>
      <c r="MF242" s="200"/>
      <c r="MG242" s="200"/>
      <c r="MH242" s="565"/>
    </row>
    <row r="243" spans="1:346" s="37" customFormat="1" ht="13.15" x14ac:dyDescent="0.4">
      <c r="A243" s="100"/>
      <c r="B243" s="37" t="s">
        <v>517</v>
      </c>
      <c r="C243" s="186"/>
      <c r="D243" s="186"/>
      <c r="E243" s="186"/>
      <c r="F243" s="186"/>
      <c r="G243" s="186"/>
      <c r="H243" s="186"/>
      <c r="I243" s="186"/>
      <c r="J243" s="186"/>
      <c r="K243" s="186"/>
      <c r="L243" s="186"/>
      <c r="M243" s="186"/>
      <c r="N243" s="194">
        <f t="shared" ref="N243:AY243" si="4962">IFERROR(N20/N80*1000,"")</f>
        <v>946.07843137254895</v>
      </c>
      <c r="O243" s="194">
        <f t="shared" si="4962"/>
        <v>983.62445414847161</v>
      </c>
      <c r="P243" s="194">
        <f t="shared" si="4962"/>
        <v>1073.4167002823719</v>
      </c>
      <c r="Q243" s="194">
        <f t="shared" si="4962"/>
        <v>1090.5868452146515</v>
      </c>
      <c r="R243" s="194">
        <f t="shared" si="4962"/>
        <v>1103.1475161167994</v>
      </c>
      <c r="S243" s="194">
        <f t="shared" si="4962"/>
        <v>1087.7944325481799</v>
      </c>
      <c r="T243" s="194">
        <f t="shared" si="4962"/>
        <v>1087.091222030981</v>
      </c>
      <c r="U243" s="194">
        <f t="shared" si="4962"/>
        <v>1114.1856392294221</v>
      </c>
      <c r="V243" s="194">
        <f t="shared" si="4962"/>
        <v>1107.7904633982539</v>
      </c>
      <c r="W243" s="194">
        <f t="shared" si="4962"/>
        <v>1102.8131279303418</v>
      </c>
      <c r="X243" s="194">
        <f t="shared" si="4962"/>
        <v>1179.2816859602256</v>
      </c>
      <c r="Y243" s="194">
        <f t="shared" si="4962"/>
        <v>1248.0774708060383</v>
      </c>
      <c r="Z243" s="194">
        <f t="shared" si="4962"/>
        <v>1283.2579185520362</v>
      </c>
      <c r="AA243" s="194">
        <f t="shared" si="4962"/>
        <v>1307.3918269230769</v>
      </c>
      <c r="AB243" s="194">
        <f t="shared" si="4962"/>
        <v>1330.3101228788764</v>
      </c>
      <c r="AC243" s="194">
        <f t="shared" si="4962"/>
        <v>1382.3697767601604</v>
      </c>
      <c r="AD243" s="194">
        <f t="shared" si="4962"/>
        <v>1502.3696682464456</v>
      </c>
      <c r="AE243" s="194">
        <f t="shared" si="4962"/>
        <v>1702.1600243383025</v>
      </c>
      <c r="AF243" s="194">
        <f t="shared" si="4962"/>
        <v>1854.5975182946231</v>
      </c>
      <c r="AG243" s="194">
        <f t="shared" si="4962"/>
        <v>2169.791666666667</v>
      </c>
      <c r="AH243" s="194">
        <f t="shared" si="4962"/>
        <v>2085.1154833190758</v>
      </c>
      <c r="AI243" s="194">
        <f t="shared" si="4962"/>
        <v>2235.7032457496134</v>
      </c>
      <c r="AJ243" s="194">
        <f t="shared" si="4962"/>
        <v>2374.5290128108513</v>
      </c>
      <c r="AK243" s="194">
        <f t="shared" si="4962"/>
        <v>2494.7526236881558</v>
      </c>
      <c r="AL243" s="194">
        <f t="shared" si="4962"/>
        <v>2547.7914554670529</v>
      </c>
      <c r="AM243" s="194">
        <f t="shared" si="4962"/>
        <v>2594.8158253751703</v>
      </c>
      <c r="AN243" s="194">
        <f t="shared" si="4962"/>
        <v>2542.3076923076924</v>
      </c>
      <c r="AO243" s="194">
        <f t="shared" si="4962"/>
        <v>2548.8936473947178</v>
      </c>
      <c r="AP243" s="194">
        <f t="shared" si="4962"/>
        <v>2615.8401184307922</v>
      </c>
      <c r="AQ243" s="194">
        <f t="shared" si="4962"/>
        <v>2774.4444444444443</v>
      </c>
      <c r="AR243" s="194">
        <f t="shared" si="4962"/>
        <v>2803.4724787587738</v>
      </c>
      <c r="AS243" s="194">
        <f t="shared" si="4962"/>
        <v>2791.3214990138067</v>
      </c>
      <c r="AT243" s="194">
        <f t="shared" si="4962"/>
        <v>2932.3220536756126</v>
      </c>
      <c r="AU243" s="194">
        <f t="shared" si="4962"/>
        <v>3220.8756841282252</v>
      </c>
      <c r="AV243" s="194">
        <f t="shared" si="4962"/>
        <v>3301.4116749332316</v>
      </c>
      <c r="AW243" s="194">
        <f t="shared" si="4962"/>
        <v>3362.1601208459215</v>
      </c>
      <c r="AX243" s="194">
        <f t="shared" si="4962"/>
        <v>3382.0354664610641</v>
      </c>
      <c r="AY243" s="194">
        <f t="shared" si="4962"/>
        <v>3457.8640010700633</v>
      </c>
      <c r="AZ243" s="194">
        <f t="shared" ref="AZ243:BA243" si="4963">IFERROR(AZ20/AZ80*1000,"")</f>
        <v>3551.7724375665539</v>
      </c>
      <c r="BA243" s="194">
        <f t="shared" si="4963"/>
        <v>3639.2406838677211</v>
      </c>
      <c r="BB243" s="194"/>
      <c r="BC243" s="194"/>
      <c r="BD243" s="194"/>
      <c r="BE243" s="194"/>
      <c r="BF243" s="194"/>
      <c r="BG243" s="194"/>
      <c r="BH243" s="194"/>
      <c r="BI243" s="194"/>
      <c r="BJ243" s="194"/>
      <c r="BK243" s="194"/>
      <c r="BL243" s="194"/>
      <c r="BM243" s="194"/>
      <c r="BO243" s="37" t="str">
        <f t="shared" si="3930"/>
        <v>Revenue per carload ($)</v>
      </c>
      <c r="BP243" s="193">
        <f>IFERROR(BP20/BP80*1000,"")</f>
        <v>953.61527967257837</v>
      </c>
      <c r="BQ243" s="193">
        <f>IFERROR(BQ20/BQ80*1000,"")</f>
        <v>920.91152815013402</v>
      </c>
      <c r="BR243" s="193">
        <f>IFERROR(BR20/BR80*1000,"")</f>
        <v>910</v>
      </c>
      <c r="BS243" s="193">
        <f>IFERROR(BS20/BS80*1000,"")</f>
        <v>1002.9542097488921</v>
      </c>
      <c r="BT243" s="193">
        <f>IFERROR(BT20/BT80*1000,"")</f>
        <v>946.07843137254895</v>
      </c>
      <c r="BV243" s="37" t="str">
        <f t="shared" si="3931"/>
        <v>Revenue per carload ($)</v>
      </c>
      <c r="BW243" s="193">
        <f>IFERROR(BW20/BW80*1000,"")</f>
        <v>978.84344146685476</v>
      </c>
      <c r="BX243" s="193">
        <f>IFERROR(BX20/BX80*1000,"")</f>
        <v>959.83379501385048</v>
      </c>
      <c r="BY243" s="193">
        <f>IFERROR(BY20/BY80*1000,"")</f>
        <v>965.67164179104486</v>
      </c>
      <c r="BZ243" s="193">
        <f>IFERROR(BZ20/BZ80*1000,"")</f>
        <v>1034.0030911901081</v>
      </c>
      <c r="CA243" s="193">
        <f>IFERROR(CA20/CA80*1000,"")</f>
        <v>983.62445414847161</v>
      </c>
      <c r="CC243" s="37" t="str">
        <f t="shared" si="3936"/>
        <v>Revenue per carload ($)</v>
      </c>
      <c r="CD243" s="193">
        <f>IFERROR(CD20/CD80*1000,"")</f>
        <v>1068.4039087947883</v>
      </c>
      <c r="CE243" s="193">
        <f>IFERROR(CE20/CE80*1000,"")</f>
        <v>1076.1750405186385</v>
      </c>
      <c r="CF243" s="193">
        <f>IFERROR(CF20/CF80*1000,"")</f>
        <v>1061.3893376413571</v>
      </c>
      <c r="CG243" s="193">
        <f>IFERROR(CG20/CG80*1000,"")</f>
        <v>1087.4403815580288</v>
      </c>
      <c r="CH243" s="193">
        <f>IFERROR(CH20/CH80*1000,"")</f>
        <v>1073.4167002823719</v>
      </c>
      <c r="CJ243" s="37" t="str">
        <f t="shared" si="3941"/>
        <v>Revenue per carload ($)</v>
      </c>
      <c r="CK243" s="193">
        <f>IFERROR(CK20/CK80*1000,"")</f>
        <v>1121.5999999999999</v>
      </c>
      <c r="CL243" s="193">
        <f>IFERROR(CL20/CL80*1000,"")</f>
        <v>1086.1538461538462</v>
      </c>
      <c r="CM243" s="193">
        <f>IFERROR(CM20/CM80*1000,"")</f>
        <v>1069.6920583468395</v>
      </c>
      <c r="CN243" s="193">
        <f>IFERROR(CN20/CN80*1000,"")</f>
        <v>1085.0077279752707</v>
      </c>
      <c r="CO243" s="193">
        <f>IFERROR(CO20/CO80*1000,"")</f>
        <v>1090.5868452146515</v>
      </c>
      <c r="CQ243" s="37" t="str">
        <f t="shared" si="3946"/>
        <v>Revenue per carload ($)</v>
      </c>
      <c r="CR243" s="193">
        <f>IFERROR(CR20/CR80*1000,"")</f>
        <v>1121.4953271028037</v>
      </c>
      <c r="CS243" s="193">
        <f>IFERROR(CS20/CS80*1000,"")</f>
        <v>1102.9850746268658</v>
      </c>
      <c r="CT243" s="193">
        <f>IFERROR(CT20/CT80*1000,"")</f>
        <v>1067.7966101694915</v>
      </c>
      <c r="CU243" s="193">
        <f>IFERROR(CU20/CU80*1000,"")</f>
        <v>1119.8224852071005</v>
      </c>
      <c r="CV243" s="193">
        <f>IFERROR(CV20/CV80*1000,"")</f>
        <v>1103.1475161167994</v>
      </c>
      <c r="CX243" s="37" t="str">
        <f t="shared" si="3951"/>
        <v>Revenue per carload ($)</v>
      </c>
      <c r="CY243" s="193">
        <f>IFERROR(CY20/CY80*1000,"")</f>
        <v>1117.9941002949854</v>
      </c>
      <c r="CZ243" s="193">
        <f>IFERROR(CZ20/CZ80*1000,"")</f>
        <v>1091.6666666666665</v>
      </c>
      <c r="DA243" s="193">
        <f>IFERROR(DA20/DA80*1000,"")</f>
        <v>1063.8606676342526</v>
      </c>
      <c r="DB243" s="193">
        <f>IFERROR(DB20/DB80*1000,"")</f>
        <v>1078.3216783216783</v>
      </c>
      <c r="DC243" s="193">
        <f>IFERROR(DC20/DC80*1000,"")</f>
        <v>1087.7944325481799</v>
      </c>
      <c r="DE243" s="37" t="str">
        <f t="shared" si="3956"/>
        <v>Revenue per carload ($)</v>
      </c>
      <c r="DF243" s="193">
        <f>IFERROR(DF20/DF80*1000,"")</f>
        <v>1094.5205479452054</v>
      </c>
      <c r="DG243" s="193">
        <f>IFERROR(DG20/DG80*1000,"")</f>
        <v>1077.0270270270271</v>
      </c>
      <c r="DH243" s="193">
        <f>IFERROR(DH20/DH80*1000,"")</f>
        <v>1074.2296918767506</v>
      </c>
      <c r="DI243" s="193">
        <f>IFERROR(DI20/DI80*1000,"")</f>
        <v>1102.635228848821</v>
      </c>
      <c r="DJ243" s="193">
        <f>IFERROR(DJ20/DJ80*1000,"")</f>
        <v>1087.091222030981</v>
      </c>
      <c r="DL243" s="37" t="str">
        <f t="shared" si="3961"/>
        <v>Revenue per carload ($)</v>
      </c>
      <c r="DM243" s="193">
        <f>IFERROR(DM20/DM80*1000,"")</f>
        <v>1123.931623931624</v>
      </c>
      <c r="DN243" s="193">
        <f>IFERROR(DN20/DN80*1000,"")</f>
        <v>1112.1751025991794</v>
      </c>
      <c r="DO243" s="193">
        <f>IFERROR(DO20/DO80*1000,"")</f>
        <v>1095.0354609929079</v>
      </c>
      <c r="DP243" s="193">
        <f>IFERROR(DP20/DP80*1000,"")</f>
        <v>1125.5230125523012</v>
      </c>
      <c r="DQ243" s="193">
        <f>IFERROR(DQ20/DQ80*1000,"")</f>
        <v>1114.1856392294221</v>
      </c>
      <c r="DS243" s="37" t="str">
        <f t="shared" si="3966"/>
        <v>Revenue per carload ($)</v>
      </c>
      <c r="DT243" s="193">
        <f>IFERROR(DT20/DT80*1000,"")</f>
        <v>1133.0589849108369</v>
      </c>
      <c r="DU243" s="193">
        <f>IFERROR(DU20/DU80*1000,"")</f>
        <v>1110.9643328929988</v>
      </c>
      <c r="DV243" s="193">
        <f>IFERROR(DV20/DV80*1000,"")</f>
        <v>1087.6712328767123</v>
      </c>
      <c r="DW243" s="193">
        <f>IFERROR(DW20/DW80*1000,"")</f>
        <v>1099.737532808399</v>
      </c>
      <c r="DX243" s="193">
        <f>IFERROR(DX20/DX80*1000,"")</f>
        <v>1107.7904633982539</v>
      </c>
      <c r="DZ243" s="37" t="str">
        <f t="shared" si="3971"/>
        <v>Revenue per carload ($)</v>
      </c>
      <c r="EA243" s="193">
        <f>IFERROR(EA20/EA80*1000,"")</f>
        <v>1112.4497991967871</v>
      </c>
      <c r="EB243" s="193">
        <f>IFERROR(EB20/EB80*1000,"")</f>
        <v>1078.1049935979515</v>
      </c>
      <c r="EC243" s="193">
        <f>IFERROR(EC20/EC80*1000,"")</f>
        <v>1104.6025104602511</v>
      </c>
      <c r="ED243" s="193">
        <f>IFERROR(ED20/ED80*1000,"")</f>
        <v>1122.3118279569892</v>
      </c>
      <c r="EE243" s="193">
        <f>IFERROR(EE20/EE80*1000,"")</f>
        <v>1102.8131279303418</v>
      </c>
      <c r="EG243" s="37" t="str">
        <f t="shared" si="3976"/>
        <v>Revenue per carload ($)</v>
      </c>
      <c r="EH243" s="193">
        <f>IFERROR(EH20/EH80*1000,"")</f>
        <v>1108.9351285189719</v>
      </c>
      <c r="EI243" s="193">
        <f>IFERROR(EI20/EI80*1000,"")</f>
        <v>1179.4554455445545</v>
      </c>
      <c r="EJ243" s="193">
        <f>IFERROR(EJ20/EJ80*1000,"")</f>
        <v>1204.8331415420023</v>
      </c>
      <c r="EK243" s="193">
        <f>IFERROR(EK20/EK80*1000,"")</f>
        <v>1227.9909706546275</v>
      </c>
      <c r="EL243" s="193">
        <f>IFERROR(EL20/EL80*1000,"")</f>
        <v>1179.2816859602256</v>
      </c>
      <c r="EN243" s="37" t="str">
        <f t="shared" si="3981"/>
        <v>Revenue per carload ($)</v>
      </c>
      <c r="EO243" s="193">
        <f>IFERROR(EO20/EO80*1000,"")</f>
        <v>1235.8803986710964</v>
      </c>
      <c r="EP243" s="193">
        <f>IFERROR(EP20/EP80*1000,"")</f>
        <v>1247.2406181015451</v>
      </c>
      <c r="EQ243" s="193">
        <f>IFERROR(EQ20/EQ80*1000,"")</f>
        <v>1248.2435597189697</v>
      </c>
      <c r="ER243" s="193">
        <f>IFERROR(ER20/ER80*1000,"")</f>
        <v>1261.7924528301887</v>
      </c>
      <c r="ES243" s="193">
        <f>IFERROR(ES20/ES80*1000,"")</f>
        <v>1248.0774708060383</v>
      </c>
      <c r="EU243" s="37" t="str">
        <f t="shared" si="3986"/>
        <v>Revenue per carload ($)</v>
      </c>
      <c r="EV243" s="193">
        <f>IFERROR(EV20/EV80*1000,"")</f>
        <v>1293.5560859188545</v>
      </c>
      <c r="EW243" s="193">
        <f>IFERROR(EW20/EW80*1000,"")</f>
        <v>1293.1442080378251</v>
      </c>
      <c r="EX243" s="193">
        <f>IFERROR(EX20/EX80*1000,"")</f>
        <v>1274.2927429274293</v>
      </c>
      <c r="EY243" s="193">
        <f>IFERROR(EY20/EY80*1000,"")</f>
        <v>1271.3936430317849</v>
      </c>
      <c r="EZ243" s="193">
        <f>IFERROR(EZ20/EZ80*1000,"")</f>
        <v>1283.2579185520362</v>
      </c>
      <c r="FB243" s="37" t="str">
        <f t="shared" si="3991"/>
        <v>Revenue per carload ($)</v>
      </c>
      <c r="FC243" s="193">
        <f>IFERROR(FC20/FC80*1000,"")</f>
        <v>1315.2709359605913</v>
      </c>
      <c r="FD243" s="193">
        <f>IFERROR(FD20/FD80*1000,"")</f>
        <v>1299.7685185185187</v>
      </c>
      <c r="FE243" s="193">
        <f>IFERROR(FE20/FE80*1000,"")</f>
        <v>1285.8866103739447</v>
      </c>
      <c r="FF243" s="193">
        <f>IFERROR(FF20/FF80*1000,"")</f>
        <v>1329.2831105710814</v>
      </c>
      <c r="FG243" s="193">
        <f>IFERROR(FG20/FG80*1000,"")</f>
        <v>1307.3918269230769</v>
      </c>
      <c r="FI243" s="37" t="str">
        <f t="shared" si="3996"/>
        <v>Revenue per carload ($)</v>
      </c>
      <c r="FJ243" s="193">
        <f>IFERROR(FJ20/FJ80*1000,"")</f>
        <v>1350.0597371565113</v>
      </c>
      <c r="FK243" s="193">
        <f>IFERROR(FK20/FK80*1000,"")</f>
        <v>1332.1759259259259</v>
      </c>
      <c r="FL243" s="193">
        <f>IFERROR(FL20/FL80*1000,"")</f>
        <v>1307.4204946996465</v>
      </c>
      <c r="FM243" s="193">
        <f>IFERROR(FM20/FM80*1000,"")</f>
        <v>1331.7972350230414</v>
      </c>
      <c r="FN243" s="193">
        <f>IFERROR(FN20/FN80*1000,"")</f>
        <v>1330.3101228788764</v>
      </c>
      <c r="FP243" s="37" t="str">
        <f t="shared" si="4001"/>
        <v>Revenue per carload ($)</v>
      </c>
      <c r="FQ243" s="193">
        <f>IFERROR(FQ20/FQ80*1000,"")</f>
        <v>1356.7251461988303</v>
      </c>
      <c r="FR243" s="193">
        <f>IFERROR(FR20/FR80*1000,"")</f>
        <v>1360.6741573033707</v>
      </c>
      <c r="FS243" s="193">
        <f>IFERROR(FS20/FS80*1000,"")</f>
        <v>1384.4311377245508</v>
      </c>
      <c r="FT243" s="193">
        <f>IFERROR(FT20/FT80*1000,"")</f>
        <v>1425.6017505470459</v>
      </c>
      <c r="FU243" s="193">
        <f>IFERROR(FU20/FU80*1000,"")</f>
        <v>1382.3697767601604</v>
      </c>
      <c r="FW243" s="37" t="str">
        <f t="shared" si="4006"/>
        <v>Revenue per carload ($)</v>
      </c>
      <c r="FX243" s="193">
        <f>IFERROR(FX20/FX80*1000,"")</f>
        <v>1452.2144522144522</v>
      </c>
      <c r="FY243" s="193">
        <f>IFERROR(FY20/FY80*1000,"")</f>
        <v>1467.128027681661</v>
      </c>
      <c r="FZ243" s="193">
        <f>IFERROR(FZ20/FZ80*1000,"")</f>
        <v>1499.3997599039617</v>
      </c>
      <c r="GA243" s="193">
        <f>IFERROR(GA20/GA80*1000,"")</f>
        <v>1595.3545232273839</v>
      </c>
      <c r="GB243" s="193">
        <f>IFERROR(GB20/GB80*1000,"")</f>
        <v>1502.3696682464456</v>
      </c>
      <c r="GD243" s="37" t="str">
        <f t="shared" si="4011"/>
        <v>Revenue per carload ($)</v>
      </c>
      <c r="GE243" s="193">
        <f>IFERROR(GE20/GE80*1000,"")</f>
        <v>1654.6762589928057</v>
      </c>
      <c r="GF243" s="193">
        <f>IFERROR(GF20/GF80*1000,"")</f>
        <v>1676.4361078546308</v>
      </c>
      <c r="GG243" s="193">
        <f>IFERROR(GG20/GG80*1000,"")</f>
        <v>1725.7072570725707</v>
      </c>
      <c r="GH243" s="193">
        <f>IFERROR(GH20/GH80*1000,"")</f>
        <v>1756.0355781448538</v>
      </c>
      <c r="GI243" s="193">
        <f>IFERROR(GI20/GI80*1000,"")</f>
        <v>1702.1600243383025</v>
      </c>
      <c r="GK243" s="37" t="str">
        <f t="shared" si="4016"/>
        <v>Revenue per carload ($)</v>
      </c>
      <c r="GL243" s="193">
        <f>IFERROR(GL20/GL80*1000,"")</f>
        <v>1801.0204081632653</v>
      </c>
      <c r="GM243" s="193">
        <f>IFERROR(GM20/GM80*1000,"")</f>
        <v>1813.868613138686</v>
      </c>
      <c r="GN243" s="193">
        <f>IFERROR(GN20/GN80*1000,"")</f>
        <v>1871.46529562982</v>
      </c>
      <c r="GO243" s="193">
        <f>IFERROR(GO20/GO80*1000,"")</f>
        <v>1936.7588932806323</v>
      </c>
      <c r="GP243" s="193">
        <f>IFERROR(GP20/GP80*1000,"")</f>
        <v>1854.5975182946231</v>
      </c>
      <c r="GR243" s="37" t="str">
        <f t="shared" si="4021"/>
        <v>Revenue per carload ($)</v>
      </c>
      <c r="GS243" s="193">
        <f>IFERROR(GS20/GS80*1000,"")</f>
        <v>2069.7050938337802</v>
      </c>
      <c r="GT243" s="193">
        <f>IFERROR(GT20/GT80*1000,"")</f>
        <v>2128.7386215864758</v>
      </c>
      <c r="GU243" s="193">
        <f>IFERROR(GU20/GU80*1000,"")</f>
        <v>2256.8306010928964</v>
      </c>
      <c r="GV243" s="193">
        <f>IFERROR(GV20/GV80*1000,"")</f>
        <v>2236.9668246445499</v>
      </c>
      <c r="GW243" s="193">
        <f>IFERROR(GW20/GW80*1000,"")</f>
        <v>2169.791666666667</v>
      </c>
      <c r="GY243" s="37" t="str">
        <f t="shared" si="4026"/>
        <v>Revenue per carload ($)</v>
      </c>
      <c r="GZ243" s="193">
        <f>IFERROR(GZ20/GZ80*1000,"")</f>
        <v>2135.0364963503648</v>
      </c>
      <c r="HA243" s="193">
        <f>IFERROR(HA20/HA80*1000,"")</f>
        <v>2027.6338514680483</v>
      </c>
      <c r="HB243" s="193">
        <f>IFERROR(HB20/HB80*1000,"")</f>
        <v>2064.784053156146</v>
      </c>
      <c r="HC243" s="193">
        <f>IFERROR(HC20/HC80*1000,"")</f>
        <v>2114.9425287356321</v>
      </c>
      <c r="HD243" s="193">
        <f>IFERROR(HD20/HD80*1000,"")</f>
        <v>2085.1154833190758</v>
      </c>
      <c r="HF243" s="37" t="str">
        <f t="shared" si="4031"/>
        <v>Revenue per carload ($)</v>
      </c>
      <c r="HG243" s="193">
        <f>IFERROR(HG20/HG80*1000,"")</f>
        <v>2231.6476345840128</v>
      </c>
      <c r="HH243" s="193">
        <f>IFERROR(HH20/HH80*1000,"")</f>
        <v>2209.4081942336875</v>
      </c>
      <c r="HI243" s="193">
        <f>IFERROR(HI20/HI80*1000,"")</f>
        <v>2220.8398133748055</v>
      </c>
      <c r="HJ243" s="193">
        <f>IFERROR(HJ20/HJ80*1000,"")</f>
        <v>2279.3462109955422</v>
      </c>
      <c r="HK243" s="193">
        <f>IFERROR(HK20/HK80*1000,"")</f>
        <v>2235.7032457496134</v>
      </c>
      <c r="HM243" s="37" t="str">
        <f t="shared" si="4036"/>
        <v>Revenue per carload ($)</v>
      </c>
      <c r="HN243" s="193">
        <f>IFERROR(HN20/HN80*1000,"")</f>
        <v>2333.3333333333335</v>
      </c>
      <c r="HO243" s="193">
        <f>IFERROR(HO20/HO80*1000,"")</f>
        <v>2381.09305760709</v>
      </c>
      <c r="HP243" s="193">
        <f>IFERROR(HP20/HP80*1000,"")</f>
        <v>2382.0395738203961</v>
      </c>
      <c r="HQ243" s="193">
        <f>IFERROR(HQ20/HQ80*1000,"")</f>
        <v>2400.900900900901</v>
      </c>
      <c r="HR243" s="193">
        <f>IFERROR(HR20/HR80*1000,"")</f>
        <v>2374.5290128108513</v>
      </c>
      <c r="HT243" s="37" t="str">
        <f t="shared" si="4041"/>
        <v>Revenue per carload ($)</v>
      </c>
      <c r="HU243" s="193">
        <f>IFERROR(HU20/HU80*1000,"")</f>
        <v>2496.2742175856929</v>
      </c>
      <c r="HV243" s="193">
        <f>IFERROR(HV20/HV80*1000,"")</f>
        <v>2516.1764705882351</v>
      </c>
      <c r="HW243" s="193">
        <f>IFERROR(HW20/HW80*1000,"")</f>
        <v>2456.4885496183206</v>
      </c>
      <c r="HX243" s="193">
        <f>IFERROR(HX20/HX80*1000,"")</f>
        <v>2509.0634441087614</v>
      </c>
      <c r="HY243" s="193">
        <f>IFERROR(HY20/HY80*1000,"")</f>
        <v>2494.7526236881558</v>
      </c>
      <c r="IA243" s="37" t="str">
        <f t="shared" si="4046"/>
        <v>Revenue per carload ($)</v>
      </c>
      <c r="IB243" s="193">
        <f>IFERROR(IB20/IB80*1000,"")</f>
        <v>2578.0780780780779</v>
      </c>
      <c r="IC243" s="193">
        <f>IFERROR(IC20/IC80*1000,"")</f>
        <v>2538.4615384615381</v>
      </c>
      <c r="ID243" s="193">
        <f>IFERROR(ID20/ID80*1000,"")</f>
        <v>2502.1834061135369</v>
      </c>
      <c r="IE243" s="193">
        <f>IFERROR(IE20/IE80*1000,"")</f>
        <v>2572.8429985855728</v>
      </c>
      <c r="IF243" s="193">
        <f>IFERROR(IF20/IF80*1000,"")</f>
        <v>2547.7914554670529</v>
      </c>
      <c r="IH243" s="37" t="str">
        <f t="shared" si="4051"/>
        <v>Revenue per carload ($)</v>
      </c>
      <c r="II243" s="193">
        <f>IFERROR(II20/II80*1000,"")</f>
        <v>2627.9411764705883</v>
      </c>
      <c r="IJ243" s="193">
        <f>IFERROR(IJ20/IJ80*1000,"")</f>
        <v>2593.4210526315787</v>
      </c>
      <c r="IK243" s="193">
        <f>IFERROR(IK20/IK80*1000,"")</f>
        <v>2576.2032085561495</v>
      </c>
      <c r="IL243" s="193">
        <f>IFERROR(IL20/IL80*1000,"")</f>
        <v>2584.6774193548385</v>
      </c>
      <c r="IM243" s="193">
        <f>IFERROR(IM20/IM80*1000,"")</f>
        <v>2594.8158253751703</v>
      </c>
      <c r="IO243" s="37" t="str">
        <f t="shared" si="4056"/>
        <v>Revenue per carload ($)</v>
      </c>
      <c r="IP243" s="193">
        <f>IFERROR(IP20/IP80*1000,"")</f>
        <v>2617.94500723589</v>
      </c>
      <c r="IQ243" s="193">
        <f>IFERROR(IQ20/IQ80*1000,"")</f>
        <v>2507.422402159244</v>
      </c>
      <c r="IR243" s="193">
        <f>IFERROR(IR20/IR80*1000,"")</f>
        <v>2526.3888888888891</v>
      </c>
      <c r="IS243" s="193">
        <f>IFERROR(IS20/IS80*1000,"")</f>
        <v>2521.1864406779664</v>
      </c>
      <c r="IT243" s="193">
        <f>IFERROR(IT20/IT80*1000,"")</f>
        <v>2542.3076923076924</v>
      </c>
      <c r="IV243" s="37" t="str">
        <f t="shared" si="4061"/>
        <v>Revenue per carload ($)</v>
      </c>
      <c r="IW243" s="193">
        <f>IFERROR(IW20/IW80*1000,"")</f>
        <v>2576.5230312035665</v>
      </c>
      <c r="IX243" s="193">
        <f>IFERROR(IX20/IX80*1000,"")</f>
        <v>2509.9150141643063</v>
      </c>
      <c r="IY243" s="193">
        <f>IFERROR(IY20/IY80*1000,"")</f>
        <v>2537.9008746355685</v>
      </c>
      <c r="IZ243" s="193">
        <f>IFERROR(IZ20/IZ80*1000,"")</f>
        <v>2571.2347354138401</v>
      </c>
      <c r="JA243" s="193">
        <f>IFERROR(JA20/JA80*1000,"")</f>
        <v>2548.8936473947178</v>
      </c>
      <c r="JC243" s="37" t="str">
        <f t="shared" si="4066"/>
        <v>Revenue per carload ($)</v>
      </c>
      <c r="JD243" s="193">
        <f>IFERROR(JD20/JD80*1000,"")</f>
        <v>2630.9012875536482</v>
      </c>
      <c r="JE243" s="193">
        <f>IFERROR(JE20/JE80*1000,"")</f>
        <v>2590.7780979827089</v>
      </c>
      <c r="JF243" s="193">
        <f>IFERROR(JF20/JF80*1000,"")</f>
        <v>2592.9339477726576</v>
      </c>
      <c r="JG243" s="193">
        <f>IFERROR(JG20/JG80*1000,"")</f>
        <v>2648.9361702127662</v>
      </c>
      <c r="JH243" s="193">
        <f>IFERROR(JH20/JH80*1000,"")</f>
        <v>2615.8401184307922</v>
      </c>
      <c r="JJ243" s="37" t="str">
        <f t="shared" si="4071"/>
        <v>Revenue per carload ($)</v>
      </c>
      <c r="JK243" s="193">
        <f>IFERROR(JK20/JK80*1000,"")</f>
        <v>2771.0280373831779</v>
      </c>
      <c r="JL243" s="193">
        <f>IFERROR(JL20/JL80*1000,"")</f>
        <v>2767.7793904209002</v>
      </c>
      <c r="JM243" s="193">
        <f>IFERROR(JM20/JM80*1000,"")</f>
        <v>2767.2035139092241</v>
      </c>
      <c r="JN243" s="193">
        <f>IFERROR(JN20/JN80*1000,"")</f>
        <v>2791.5451895043734</v>
      </c>
      <c r="JO243" s="193">
        <f>IFERROR(JO20/JO80*1000,"")</f>
        <v>2774.4444444444443</v>
      </c>
      <c r="JQ243" s="37" t="str">
        <f t="shared" si="4076"/>
        <v>Revenue per carload ($)</v>
      </c>
      <c r="JR243" s="193">
        <f>IFERROR(JR20/JR80*1000,"")</f>
        <v>2838.368580060423</v>
      </c>
      <c r="JS243" s="193">
        <f>IFERROR(JS20/JS80*1000,"")</f>
        <v>2789.0961262553801</v>
      </c>
      <c r="JT243" s="193">
        <f>IFERROR(JT20/JT80*1000,"")</f>
        <v>2790.6295754026355</v>
      </c>
      <c r="JU243" s="193">
        <f>IFERROR(JU20/JU80*1000,"")</f>
        <v>2796.9924812030076</v>
      </c>
      <c r="JV243" s="193">
        <f>IFERROR(JV20/JV80*1000,"")</f>
        <v>2803.4724787587738</v>
      </c>
      <c r="JX243" s="37" t="str">
        <f t="shared" si="4081"/>
        <v>Revenue per carload ($)</v>
      </c>
      <c r="JY243" s="193">
        <f>IFERROR(JY20/JY80*1000,"")</f>
        <v>2863.2986627043092</v>
      </c>
      <c r="JZ243" s="193">
        <f>IFERROR(JZ20/JZ80*1000,"")</f>
        <v>2772.0588235294117</v>
      </c>
      <c r="KA243" s="193">
        <f>IFERROR(KA20/KA80*1000,"")</f>
        <v>2733.8461538461538</v>
      </c>
      <c r="KB243" s="193">
        <f>IFERROR(KB20/KB80*1000,"")</f>
        <v>2790.4191616766466</v>
      </c>
      <c r="KC243" s="193">
        <f>IFERROR(KC20/KC80*1000,"")</f>
        <v>2791.3214990138067</v>
      </c>
      <c r="KE243" s="37" t="str">
        <f t="shared" si="4086"/>
        <v>Revenue per carload ($)</v>
      </c>
      <c r="KF243" s="193">
        <f>IFERROR(KF20/KF80*1000,"")</f>
        <v>2881.1410459587955</v>
      </c>
      <c r="KG243" s="193">
        <f>IFERROR(KG20/KG80*1000,"")</f>
        <v>2900.9146341463415</v>
      </c>
      <c r="KH243" s="193">
        <f>IFERROR(KH20/KH80*1000,"")</f>
        <v>2943.6619718309862</v>
      </c>
      <c r="KI243" s="193">
        <f>IFERROR(KI20/KI80*1000,"")</f>
        <v>3003.1007751937982</v>
      </c>
      <c r="KJ243" s="193">
        <f>IFERROR(KJ20/KJ80*1000,"")</f>
        <v>2932.3220536756126</v>
      </c>
      <c r="KL243" s="37" t="str">
        <f t="shared" si="4091"/>
        <v>Revenue per carload ($)</v>
      </c>
      <c r="KM243" s="193">
        <f>IFERROR(KM20/KM80*1000,"")</f>
        <v>3093.3977455716586</v>
      </c>
      <c r="KN243" s="193">
        <f>IFERROR(KN20/KN80*1000,"")</f>
        <v>3197.8691019786911</v>
      </c>
      <c r="KO243" s="193">
        <f>IFERROR(KO20/KO80*1000,"")</f>
        <v>3307.0987654320988</v>
      </c>
      <c r="KP243" s="193">
        <f>IFERROR(KP20/KP80*1000,"")</f>
        <v>3281.6455696202534</v>
      </c>
      <c r="KQ243" s="193">
        <f>IFERROR(KQ20/KQ80*1000,"")</f>
        <v>3220.8756841282252</v>
      </c>
      <c r="KS243" s="37" t="str">
        <f t="shared" si="4096"/>
        <v>Revenue per carload ($)</v>
      </c>
      <c r="KT243" s="193">
        <f>IFERROR(KT20/KT80*1000,"")</f>
        <v>3343.1221020092735</v>
      </c>
      <c r="KU243" s="193">
        <f>IFERROR(KU20/KU80*1000,"")</f>
        <v>3243.722304283604</v>
      </c>
      <c r="KV243" s="193">
        <f>IFERROR(KV20/KV80*1000,"")</f>
        <v>3254.2372881355936</v>
      </c>
      <c r="KW243" s="193">
        <f>IFERROR(KW20/KW80*1000,"")</f>
        <v>3367.2839506172841</v>
      </c>
      <c r="KX243" s="193">
        <f>IFERROR(KX20/KX80*1000,"")</f>
        <v>3301.4116749332316</v>
      </c>
      <c r="KZ243" s="37" t="str">
        <f t="shared" si="4101"/>
        <v>Revenue per carload ($)</v>
      </c>
      <c r="LA243" s="193">
        <f>IFERROR(LA20/LA80*1000,"")</f>
        <v>3387.5968992248058</v>
      </c>
      <c r="LB243" s="193">
        <f>IFERROR(LB20/LB80*1000,"")</f>
        <v>3361.6398243045387</v>
      </c>
      <c r="LC243" s="193">
        <f>IFERROR(LC20/LC80*1000,"")</f>
        <v>3329.8507462686566</v>
      </c>
      <c r="LD243" s="193">
        <f>IFERROR(LD20/LD80*1000,"")</f>
        <v>3370.7692307692309</v>
      </c>
      <c r="LE243" s="193">
        <f>IFERROR(LE20/LE80*1000,"")</f>
        <v>3362.1601208459215</v>
      </c>
      <c r="LF243" s="563"/>
      <c r="LG243" s="37" t="str">
        <f t="shared" si="4104"/>
        <v>Revenue per carload ($)</v>
      </c>
      <c r="LH243" s="193">
        <f>IFERROR(LH20/LH80*1000,"")</f>
        <v>3415.8730158730159</v>
      </c>
      <c r="LI243" s="193">
        <f>IFERROR(LI20/LI80*1000,"")</f>
        <v>3368.6567164179105</v>
      </c>
      <c r="LJ243" s="193">
        <f>IFERROR(LJ20/LJ80*1000,"")</f>
        <v>3345.454545454545</v>
      </c>
      <c r="LK243" s="193">
        <f>IFERROR(LK20/LK80*1000,"")</f>
        <v>3400.6309148264986</v>
      </c>
      <c r="LL243" s="193">
        <f>IFERROR(LL20/LL80*1000,"")</f>
        <v>3382.0354664610641</v>
      </c>
      <c r="LM243" s="563"/>
      <c r="LN243" s="37" t="str">
        <f t="shared" si="4106"/>
        <v>Revenue per carload ($)</v>
      </c>
      <c r="LO243" s="193">
        <f>IFERROR(LO20/LO80*1000,"")</f>
        <v>3473.404664855072</v>
      </c>
      <c r="LP243" s="193">
        <f>IFERROR(LP20/LP80*1000,"")</f>
        <v>3439.4275856810641</v>
      </c>
      <c r="LQ243" s="193">
        <f>IFERROR(LQ20/LQ80*1000,"")</f>
        <v>3437.4198543152429</v>
      </c>
      <c r="LR243" s="193">
        <f>IFERROR(LR20/LR80*1000,"")</f>
        <v>3482.3104063901997</v>
      </c>
      <c r="LS243" s="193">
        <f>IFERROR(LS20/LS80*1000,"")</f>
        <v>3457.8640010700633</v>
      </c>
      <c r="LT243" s="563"/>
      <c r="LU243" s="37" t="str">
        <f t="shared" si="4610"/>
        <v>Revenue per carload ($)</v>
      </c>
      <c r="LV243" s="193">
        <f>IFERROR(LV20/LV80*1000,"")</f>
        <v>3568.9890784589693</v>
      </c>
      <c r="LW243" s="193">
        <f>IFERROR(LW20/LW80*1000,"")</f>
        <v>3530.0626348480996</v>
      </c>
      <c r="LX243" s="193">
        <f>IFERROR(LX20/LX80*1000,"")</f>
        <v>3531.3863180592643</v>
      </c>
      <c r="LY243" s="193">
        <f>IFERROR(LY20/LY80*1000,"")</f>
        <v>3577.8905272557099</v>
      </c>
      <c r="LZ243" s="193">
        <f>IFERROR(LZ20/LZ80*1000,"")</f>
        <v>3551.7724375665539</v>
      </c>
      <c r="MA243" s="563"/>
      <c r="MB243" s="37" t="str">
        <f t="shared" si="4612"/>
        <v>Revenue per carload ($)</v>
      </c>
      <c r="MC243" s="193">
        <f>IFERROR(MC20/MC80*1000,"")</f>
        <v>3657.7616960947707</v>
      </c>
      <c r="MD243" s="193">
        <f>IFERROR(MD20/MD80*1000,"")</f>
        <v>3617.4699721388001</v>
      </c>
      <c r="ME243" s="193">
        <f>IFERROR(ME20/ME80*1000,"")</f>
        <v>3618.6381211085695</v>
      </c>
      <c r="MF243" s="193">
        <f>IFERROR(MF20/MF80*1000,"")</f>
        <v>3664.433134895512</v>
      </c>
      <c r="MG243" s="193">
        <f>IFERROR(MG20/MG80*1000,"")</f>
        <v>3639.2406838677211</v>
      </c>
      <c r="MH243" s="563"/>
    </row>
    <row r="244" spans="1:346" s="37" customFormat="1" ht="13.15" x14ac:dyDescent="0.4">
      <c r="A244" s="100"/>
      <c r="B244" s="197" t="s">
        <v>516</v>
      </c>
      <c r="C244" s="186"/>
      <c r="D244" s="186"/>
      <c r="E244" s="186"/>
      <c r="F244" s="186"/>
      <c r="G244" s="186"/>
      <c r="H244" s="186"/>
      <c r="I244" s="186"/>
      <c r="J244" s="186"/>
      <c r="K244" s="186"/>
      <c r="L244" s="186"/>
      <c r="M244" s="186"/>
      <c r="N244" s="193"/>
      <c r="O244" s="198">
        <f>O243/N243-1</f>
        <v>3.9685951535172181E-2</v>
      </c>
      <c r="P244" s="198">
        <f t="shared" ref="P244:BA244" si="4964">P243/O243-1</f>
        <v>9.1287122595618886E-2</v>
      </c>
      <c r="Q244" s="198">
        <f t="shared" si="4964"/>
        <v>1.5995787030109287E-2</v>
      </c>
      <c r="R244" s="198">
        <f t="shared" si="4964"/>
        <v>1.1517350458849274E-2</v>
      </c>
      <c r="S244" s="198">
        <f t="shared" si="4964"/>
        <v>-1.3917525393760566E-2</v>
      </c>
      <c r="T244" s="198">
        <f t="shared" si="4964"/>
        <v>-6.4645533766116703E-4</v>
      </c>
      <c r="U244" s="198">
        <f t="shared" si="4964"/>
        <v>2.4923775161960426E-2</v>
      </c>
      <c r="V244" s="198">
        <f t="shared" si="4964"/>
        <v>-5.7397758560154832E-3</v>
      </c>
      <c r="W244" s="198">
        <f t="shared" si="4964"/>
        <v>-4.4930297130774122E-3</v>
      </c>
      <c r="X244" s="198">
        <f t="shared" si="4964"/>
        <v>6.93395427504504E-2</v>
      </c>
      <c r="Y244" s="198">
        <f t="shared" si="4964"/>
        <v>5.8337024703131846E-2</v>
      </c>
      <c r="Z244" s="198">
        <f t="shared" si="4964"/>
        <v>2.8187711555499595E-2</v>
      </c>
      <c r="AA244" s="198">
        <f t="shared" si="4964"/>
        <v>1.8806748060648859E-2</v>
      </c>
      <c r="AB244" s="198">
        <f t="shared" si="4964"/>
        <v>1.752978371429581E-2</v>
      </c>
      <c r="AC244" s="198">
        <f t="shared" si="4964"/>
        <v>3.9133471952106591E-2</v>
      </c>
      <c r="AD244" s="198">
        <f t="shared" si="4964"/>
        <v>8.6807374917821978E-2</v>
      </c>
      <c r="AE244" s="198">
        <f t="shared" si="4964"/>
        <v>0.13298348623148826</v>
      </c>
      <c r="AF244" s="198">
        <f t="shared" si="4964"/>
        <v>8.9555324867636399E-2</v>
      </c>
      <c r="AG244" s="198">
        <f t="shared" si="4964"/>
        <v>0.16995285783725067</v>
      </c>
      <c r="AH244" s="198">
        <f t="shared" si="4964"/>
        <v>-3.9025029291256619E-2</v>
      </c>
      <c r="AI244" s="198">
        <f t="shared" si="4964"/>
        <v>7.2220346371814736E-2</v>
      </c>
      <c r="AJ244" s="198">
        <f t="shared" si="4964"/>
        <v>6.2094898920581398E-2</v>
      </c>
      <c r="AK244" s="198">
        <f t="shared" si="4964"/>
        <v>5.0630508293933119E-2</v>
      </c>
      <c r="AL244" s="198">
        <f t="shared" si="4964"/>
        <v>2.1260156728680535E-2</v>
      </c>
      <c r="AM244" s="198">
        <f t="shared" si="4964"/>
        <v>1.8456914833909321E-2</v>
      </c>
      <c r="AN244" s="198">
        <f t="shared" si="4964"/>
        <v>-2.0235784194774675E-2</v>
      </c>
      <c r="AO244" s="198">
        <f t="shared" si="4964"/>
        <v>2.5905420917196054E-3</v>
      </c>
      <c r="AP244" s="198">
        <f t="shared" si="4964"/>
        <v>2.6264913447644922E-2</v>
      </c>
      <c r="AQ244" s="198">
        <f t="shared" si="4964"/>
        <v>6.0632270640759378E-2</v>
      </c>
      <c r="AR244" s="198">
        <f t="shared" si="4964"/>
        <v>1.0462647530194769E-2</v>
      </c>
      <c r="AS244" s="198">
        <f t="shared" si="4964"/>
        <v>-4.3342603992128081E-3</v>
      </c>
      <c r="AT244" s="198">
        <f t="shared" si="4964"/>
        <v>5.0513907019174464E-2</v>
      </c>
      <c r="AU244" s="198">
        <f t="shared" si="4964"/>
        <v>9.8404481216828099E-2</v>
      </c>
      <c r="AV244" s="198">
        <f t="shared" si="4964"/>
        <v>2.5004377288409652E-2</v>
      </c>
      <c r="AW244" s="198">
        <f t="shared" si="4964"/>
        <v>1.8400748496147035E-2</v>
      </c>
      <c r="AX244" s="198">
        <f t="shared" si="4964"/>
        <v>5.9114809826910086E-3</v>
      </c>
      <c r="AY244" s="198">
        <f t="shared" si="4964"/>
        <v>2.2420975581413982E-2</v>
      </c>
      <c r="AZ244" s="198">
        <f t="shared" si="4964"/>
        <v>2.715793231527619E-2</v>
      </c>
      <c r="BA244" s="198">
        <f t="shared" si="4964"/>
        <v>2.4626647072326202E-2</v>
      </c>
      <c r="BB244" s="198"/>
      <c r="BC244" s="198"/>
      <c r="BD244" s="198"/>
      <c r="BE244" s="198"/>
      <c r="BF244" s="198"/>
      <c r="BG244" s="198"/>
      <c r="BH244" s="198"/>
      <c r="BI244" s="198"/>
      <c r="BJ244" s="198"/>
      <c r="BK244" s="198"/>
      <c r="BL244" s="198"/>
      <c r="BM244" s="198"/>
      <c r="BO244" s="197" t="str">
        <f t="shared" si="3930"/>
        <v>YoY Change (%)</v>
      </c>
      <c r="BP244" s="193"/>
      <c r="BQ244" s="193"/>
      <c r="BR244" s="193"/>
      <c r="BS244" s="193"/>
      <c r="BT244" s="193"/>
      <c r="BV244" s="197" t="str">
        <f t="shared" si="3931"/>
        <v>YoY Change (%)</v>
      </c>
      <c r="BW244" s="198">
        <f>BW243/BP243-1</f>
        <v>2.6455282682696035E-2</v>
      </c>
      <c r="BX244" s="198">
        <f t="shared" ref="BX244" si="4965">BX243/BQ243-1</f>
        <v>4.2264936070352865E-2</v>
      </c>
      <c r="BY244" s="198">
        <f t="shared" ref="BY244" si="4966">BY243/BR243-1</f>
        <v>6.1177628341807511E-2</v>
      </c>
      <c r="BZ244" s="198">
        <f t="shared" ref="BZ244" si="4967">BZ243/BS243-1</f>
        <v>3.0957426709430358E-2</v>
      </c>
      <c r="CA244" s="198">
        <f t="shared" ref="CA244" si="4968">CA243/BT243-1</f>
        <v>3.9685951535172181E-2</v>
      </c>
      <c r="CC244" s="197" t="str">
        <f t="shared" si="3936"/>
        <v>YoY Change (%)</v>
      </c>
      <c r="CD244" s="198">
        <f>CD243/BW243-1</f>
        <v>9.1496212298998403E-2</v>
      </c>
      <c r="CE244" s="198">
        <f t="shared" ref="CE244" si="4969">CE243/BX243-1</f>
        <v>0.12120978247396397</v>
      </c>
      <c r="CF244" s="198">
        <f t="shared" ref="CF244" si="4970">CF243/BY243-1</f>
        <v>9.9120334188113057E-2</v>
      </c>
      <c r="CG244" s="198">
        <f t="shared" ref="CG244" si="4971">CG243/BZ243-1</f>
        <v>5.1680010266135668E-2</v>
      </c>
      <c r="CH244" s="198">
        <f t="shared" ref="CH244" si="4972">CH243/CA243-1</f>
        <v>9.1287122595618886E-2</v>
      </c>
      <c r="CJ244" s="197" t="str">
        <f t="shared" si="3941"/>
        <v>YoY Change (%)</v>
      </c>
      <c r="CK244" s="198">
        <f>CK243/CD243-1</f>
        <v>4.9790243902438913E-2</v>
      </c>
      <c r="CL244" s="198">
        <f t="shared" ref="CL244" si="4973">CL243/CE243-1</f>
        <v>9.2724745134384889E-3</v>
      </c>
      <c r="CM244" s="198">
        <f t="shared" ref="CM244" si="4974">CM243/CF243-1</f>
        <v>7.8225024607208038E-3</v>
      </c>
      <c r="CN244" s="198">
        <f t="shared" ref="CN244" si="4975">CN243/CG243-1</f>
        <v>-2.2370454730333833E-3</v>
      </c>
      <c r="CO244" s="198">
        <f t="shared" ref="CO244" si="4976">CO243/CH243-1</f>
        <v>1.5995787030109287E-2</v>
      </c>
      <c r="CQ244" s="197" t="str">
        <f t="shared" si="3946"/>
        <v>YoY Change (%)</v>
      </c>
      <c r="CR244" s="198">
        <f>CR243/CK243-1</f>
        <v>-9.3324623035129228E-5</v>
      </c>
      <c r="CS244" s="198">
        <f t="shared" ref="CS244" si="4977">CS243/CL243-1</f>
        <v>1.5496173523318335E-2</v>
      </c>
      <c r="CT244" s="198">
        <f t="shared" ref="CT244" si="4978">CT243/CM243-1</f>
        <v>-1.7719568567026167E-3</v>
      </c>
      <c r="CU244" s="198">
        <f t="shared" ref="CU244" si="4979">CU243/CN243-1</f>
        <v>3.2087105311957131E-2</v>
      </c>
      <c r="CV244" s="198">
        <f t="shared" ref="CV244" si="4980">CV243/CO243-1</f>
        <v>1.1517350458849274E-2</v>
      </c>
      <c r="CX244" s="197" t="str">
        <f t="shared" si="3951"/>
        <v>YoY Change (%)</v>
      </c>
      <c r="CY244" s="198">
        <f>CY243/CR243-1</f>
        <v>-3.1219272369713558E-3</v>
      </c>
      <c r="CZ244" s="198">
        <f t="shared" ref="CZ244" si="4981">CZ243/CS243-1</f>
        <v>-1.0261614794767948E-2</v>
      </c>
      <c r="DA244" s="198">
        <f t="shared" ref="DA244" si="4982">DA243/CT243-1</f>
        <v>-3.6860414218903292E-3</v>
      </c>
      <c r="DB244" s="198">
        <f t="shared" ref="DB244" si="4983">DB243/CU243-1</f>
        <v>-3.7060165725951721E-2</v>
      </c>
      <c r="DC244" s="198">
        <f t="shared" ref="DC244" si="4984">DC243/CV243-1</f>
        <v>-1.3917525393760566E-2</v>
      </c>
      <c r="DE244" s="197" t="str">
        <f t="shared" si="3956"/>
        <v>YoY Change (%)</v>
      </c>
      <c r="DF244" s="198">
        <f>DF243/CY243-1</f>
        <v>-2.0996132576716175E-2</v>
      </c>
      <c r="DG244" s="198">
        <f t="shared" ref="DG244" si="4985">DG243/CZ243-1</f>
        <v>-1.3410356921807143E-2</v>
      </c>
      <c r="DH244" s="198">
        <f t="shared" ref="DH244" si="4986">DH243/DA243-1</f>
        <v>9.7465998677777055E-3</v>
      </c>
      <c r="DI244" s="198">
        <f t="shared" ref="DI244" si="4987">DI243/DB243-1</f>
        <v>2.2547585767713541E-2</v>
      </c>
      <c r="DJ244" s="198">
        <f t="shared" ref="DJ244" si="4988">DJ243/DC243-1</f>
        <v>-6.4645533766116703E-4</v>
      </c>
      <c r="DL244" s="197" t="str">
        <f t="shared" si="3961"/>
        <v>YoY Change (%)</v>
      </c>
      <c r="DM244" s="198">
        <f>DM243/DF243-1</f>
        <v>2.6871195832397499E-2</v>
      </c>
      <c r="DN244" s="198">
        <f t="shared" ref="DN244" si="4989">DN243/DG243-1</f>
        <v>3.263434871191051E-2</v>
      </c>
      <c r="DO244" s="198">
        <f t="shared" ref="DO244" si="4990">DO243/DH243-1</f>
        <v>1.9368082332381187E-2</v>
      </c>
      <c r="DP244" s="198">
        <f t="shared" ref="DP244" si="4991">DP243/DI243-1</f>
        <v>2.0757348490829219E-2</v>
      </c>
      <c r="DQ244" s="198">
        <f t="shared" ref="DQ244" si="4992">DQ243/DJ243-1</f>
        <v>2.4923775161960426E-2</v>
      </c>
      <c r="DS244" s="197" t="str">
        <f t="shared" si="3966"/>
        <v>YoY Change (%)</v>
      </c>
      <c r="DT244" s="198">
        <f>DT243/DM243-1</f>
        <v>8.1209219358775453E-3</v>
      </c>
      <c r="DU244" s="198">
        <f t="shared" ref="DU244" si="4993">DU243/DN243-1</f>
        <v>-1.0886502524206643E-3</v>
      </c>
      <c r="DV244" s="198">
        <f t="shared" ref="DV244" si="4994">DV243/DO243-1</f>
        <v>-6.7251046916034785E-3</v>
      </c>
      <c r="DW244" s="198">
        <f t="shared" ref="DW244" si="4995">DW243/DP243-1</f>
        <v>-2.2909775683243927E-2</v>
      </c>
      <c r="DX244" s="198">
        <f t="shared" ref="DX244" si="4996">DX243/DQ243-1</f>
        <v>-5.7397758560154832E-3</v>
      </c>
      <c r="DZ244" s="197" t="str">
        <f t="shared" si="3971"/>
        <v>YoY Change (%)</v>
      </c>
      <c r="EA244" s="198">
        <f>EA243/DT243-1</f>
        <v>-1.8188978674990697E-2</v>
      </c>
      <c r="EB244" s="198">
        <f t="shared" ref="EB244" si="4997">EB243/DU243-1</f>
        <v>-2.9577312540250533E-2</v>
      </c>
      <c r="EC244" s="198">
        <f t="shared" ref="EC244" si="4998">EC243/DV243-1</f>
        <v>1.5566539843807625E-2</v>
      </c>
      <c r="ED244" s="198">
        <f t="shared" ref="ED244" si="4999">ED243/DW243-1</f>
        <v>2.052698437139111E-2</v>
      </c>
      <c r="EE244" s="198">
        <f t="shared" ref="EE244" si="5000">EE243/DX243-1</f>
        <v>-4.4930297130774122E-3</v>
      </c>
      <c r="EG244" s="197" t="str">
        <f t="shared" si="3976"/>
        <v>YoY Change (%)</v>
      </c>
      <c r="EH244" s="198">
        <f>EH243/EA243-1</f>
        <v>-3.159397107494577E-3</v>
      </c>
      <c r="EI244" s="198">
        <f t="shared" ref="EI244" si="5001">EI243/EB243-1</f>
        <v>9.4007960772324095E-2</v>
      </c>
      <c r="EJ244" s="198">
        <f t="shared" ref="EJ244" si="5002">EJ243/EC243-1</f>
        <v>9.0739094047494362E-2</v>
      </c>
      <c r="EK244" s="198">
        <f t="shared" ref="EK244" si="5003">EK243/ED243-1</f>
        <v>9.4162014571308905E-2</v>
      </c>
      <c r="EL244" s="198">
        <f t="shared" ref="EL244" si="5004">EL243/EE243-1</f>
        <v>6.93395427504504E-2</v>
      </c>
      <c r="EN244" s="197" t="str">
        <f t="shared" si="3981"/>
        <v>YoY Change (%)</v>
      </c>
      <c r="EO244" s="198">
        <f>EO243/EH243-1</f>
        <v>0.11447492904446555</v>
      </c>
      <c r="EP244" s="198">
        <f t="shared" ref="EP244" si="5005">EP243/EI243-1</f>
        <v>5.7471583867836795E-2</v>
      </c>
      <c r="EQ244" s="198">
        <f t="shared" ref="EQ244" si="5006">EQ243/EJ243-1</f>
        <v>3.6030232469708379E-2</v>
      </c>
      <c r="ER244" s="198">
        <f t="shared" ref="ER244" si="5007">ER243/EK243-1</f>
        <v>2.7525839345172054E-2</v>
      </c>
      <c r="ES244" s="198">
        <f t="shared" ref="ES244" si="5008">ES243/EL243-1</f>
        <v>5.8337024703131846E-2</v>
      </c>
      <c r="EU244" s="197" t="str">
        <f t="shared" si="3986"/>
        <v>YoY Change (%)</v>
      </c>
      <c r="EV244" s="198">
        <f>EV243/EO243-1</f>
        <v>4.6667693176277281E-2</v>
      </c>
      <c r="EW244" s="198">
        <f t="shared" ref="EW244" si="5009">EW243/EP243-1</f>
        <v>3.6804117240946566E-2</v>
      </c>
      <c r="EX244" s="198">
        <f t="shared" ref="EX244" si="5010">EX243/EQ243-1</f>
        <v>2.0868670225163699E-2</v>
      </c>
      <c r="EY244" s="198">
        <f t="shared" ref="EY244" si="5011">EY243/ER243-1</f>
        <v>7.6091675616387633E-3</v>
      </c>
      <c r="EZ244" s="198">
        <f t="shared" ref="EZ244" si="5012">EZ243/ES243-1</f>
        <v>2.8187711555499595E-2</v>
      </c>
      <c r="FB244" s="197" t="str">
        <f t="shared" si="3991"/>
        <v>YoY Change (%)</v>
      </c>
      <c r="FC244" s="198">
        <f>FC243/EV243-1</f>
        <v>1.6786941268427613E-2</v>
      </c>
      <c r="FD244" s="198">
        <f t="shared" ref="FD244" si="5013">FD243/EW243-1</f>
        <v>5.1226386349787489E-3</v>
      </c>
      <c r="FE244" s="198">
        <f t="shared" ref="FE244" si="5014">FE243/EX243-1</f>
        <v>9.0982762876612444E-3</v>
      </c>
      <c r="FF244" s="198">
        <f t="shared" ref="FF244" si="5015">FF243/EY243-1</f>
        <v>4.5532292737638924E-2</v>
      </c>
      <c r="FG244" s="198">
        <f t="shared" ref="FG244" si="5016">FG243/EZ243-1</f>
        <v>1.8806748060648859E-2</v>
      </c>
      <c r="FI244" s="197" t="str">
        <f t="shared" si="3996"/>
        <v>YoY Change (%)</v>
      </c>
      <c r="FJ244" s="198">
        <f>FJ243/FC243-1</f>
        <v>2.6449912519744379E-2</v>
      </c>
      <c r="FK244" s="198">
        <f t="shared" ref="FK244" si="5017">FK243/FD243-1</f>
        <v>2.4933214603739762E-2</v>
      </c>
      <c r="FL244" s="198">
        <f t="shared" ref="FL244" si="5018">FL243/FE243-1</f>
        <v>1.6746332181995172E-2</v>
      </c>
      <c r="FM244" s="198">
        <f t="shared" ref="FM244" si="5019">FM243/FF243-1</f>
        <v>1.8913385959442586E-3</v>
      </c>
      <c r="FN244" s="198">
        <f t="shared" ref="FN244" si="5020">FN243/FG243-1</f>
        <v>1.752978371429581E-2</v>
      </c>
      <c r="FP244" s="197" t="str">
        <f t="shared" si="4001"/>
        <v>YoY Change (%)</v>
      </c>
      <c r="FQ244" s="198">
        <f>FQ243/FJ243-1</f>
        <v>4.9371215649742783E-3</v>
      </c>
      <c r="FR244" s="198">
        <f t="shared" ref="FR244" si="5021">FR243/FK243-1</f>
        <v>2.1392243188629312E-2</v>
      </c>
      <c r="FS244" s="198">
        <f t="shared" ref="FS244" si="5022">FS243/FL243-1</f>
        <v>5.8902735070399892E-2</v>
      </c>
      <c r="FT244" s="198">
        <f t="shared" ref="FT244" si="5023">FT243/FM243-1</f>
        <v>7.0434532417678053E-2</v>
      </c>
      <c r="FU244" s="198">
        <f t="shared" ref="FU244" si="5024">FU243/FN243-1</f>
        <v>3.9133471952106591E-2</v>
      </c>
      <c r="FW244" s="197" t="str">
        <f t="shared" si="4006"/>
        <v>YoY Change (%)</v>
      </c>
      <c r="FX244" s="198">
        <f>FX243/FQ243-1</f>
        <v>7.0382204002893634E-2</v>
      </c>
      <c r="FY244" s="198">
        <f t="shared" ref="FY244" si="5025">FY243/FR243-1</f>
        <v>7.8236122738793101E-2</v>
      </c>
      <c r="FZ244" s="198">
        <f t="shared" ref="FZ244" si="5026">FZ243/FS243-1</f>
        <v>8.3043944221287358E-2</v>
      </c>
      <c r="GA244" s="198">
        <f t="shared" ref="GA244" si="5027">GA243/FT243-1</f>
        <v>0.11907446986172587</v>
      </c>
      <c r="GB244" s="198">
        <f t="shared" ref="GB244" si="5028">GB243/FU243-1</f>
        <v>8.6807374917821978E-2</v>
      </c>
      <c r="GD244" s="197" t="str">
        <f t="shared" si="4011"/>
        <v>YoY Change (%)</v>
      </c>
      <c r="GE244" s="198">
        <f>GE243/FX243-1</f>
        <v>0.13941591510098506</v>
      </c>
      <c r="GF244" s="198">
        <f t="shared" ref="GF244" si="5029">GF243/FY243-1</f>
        <v>0.14266517728770811</v>
      </c>
      <c r="GG244" s="198">
        <f t="shared" ref="GG244" si="5030">GG243/FZ243-1</f>
        <v>0.15093206176257112</v>
      </c>
      <c r="GH244" s="198">
        <f t="shared" ref="GH244" si="5031">GH243/GA243-1</f>
        <v>0.10071808653064407</v>
      </c>
      <c r="GI244" s="198">
        <f t="shared" ref="GI244" si="5032">GI243/GB243-1</f>
        <v>0.13298348623148826</v>
      </c>
      <c r="GK244" s="197" t="str">
        <f t="shared" si="4016"/>
        <v>YoY Change (%)</v>
      </c>
      <c r="GL244" s="198">
        <f>GL243/GE243-1</f>
        <v>8.8442768411712613E-2</v>
      </c>
      <c r="GM244" s="198">
        <f t="shared" ref="GM244" si="5033">GM243/GF243-1</f>
        <v>8.1978969935174284E-2</v>
      </c>
      <c r="GN244" s="198">
        <f t="shared" ref="GN244" si="5034">GN243/GG243-1</f>
        <v>8.4462783568812316E-2</v>
      </c>
      <c r="GO244" s="198">
        <f t="shared" ref="GO244" si="5035">GO243/GH243-1</f>
        <v>0.10291552026907214</v>
      </c>
      <c r="GP244" s="198">
        <f t="shared" ref="GP244" si="5036">GP243/GI243-1</f>
        <v>8.9555324867636399E-2</v>
      </c>
      <c r="GR244" s="197" t="str">
        <f t="shared" si="4021"/>
        <v>YoY Change (%)</v>
      </c>
      <c r="GS244" s="198">
        <f>GS243/GL243-1</f>
        <v>0.14918469799269385</v>
      </c>
      <c r="GT244" s="198">
        <f t="shared" ref="GT244" si="5037">GT243/GM243-1</f>
        <v>0.17359030646819806</v>
      </c>
      <c r="GU244" s="198">
        <f t="shared" ref="GU244" si="5038">GU243/GN243-1</f>
        <v>0.20591635140815479</v>
      </c>
      <c r="GV244" s="198">
        <f t="shared" ref="GV244" si="5039">GV243/GO243-1</f>
        <v>0.15500531966341047</v>
      </c>
      <c r="GW244" s="198">
        <f t="shared" ref="GW244" si="5040">GW243/GP243-1</f>
        <v>0.16995285783725067</v>
      </c>
      <c r="GY244" s="197" t="str">
        <f t="shared" si="4026"/>
        <v>YoY Change (%)</v>
      </c>
      <c r="GZ244" s="198">
        <f>GZ243/GS243-1</f>
        <v>3.1565561060474145E-2</v>
      </c>
      <c r="HA244" s="198">
        <f t="shared" ref="HA244" si="5041">HA243/GT243-1</f>
        <v>-4.7495154686054253E-2</v>
      </c>
      <c r="HB244" s="198">
        <f t="shared" ref="HB244" si="5042">HB243/GU243-1</f>
        <v>-8.5095685889649664E-2</v>
      </c>
      <c r="HC244" s="198">
        <f t="shared" ref="HC244" si="5043">HC243/GV243-1</f>
        <v>-5.4548996688096762E-2</v>
      </c>
      <c r="HD244" s="198">
        <f t="shared" ref="HD244" si="5044">HD243/GW243-1</f>
        <v>-3.9025029291256619E-2</v>
      </c>
      <c r="HF244" s="197" t="str">
        <f t="shared" si="4031"/>
        <v>YoY Change (%)</v>
      </c>
      <c r="HG244" s="198">
        <f>HG243/GZ243-1</f>
        <v>4.525034508721304E-2</v>
      </c>
      <c r="HH244" s="198">
        <f t="shared" ref="HH244" si="5045">HH243/HA243-1</f>
        <v>8.9648504651878236E-2</v>
      </c>
      <c r="HI244" s="198">
        <f t="shared" ref="HI244" si="5046">HI243/HB243-1</f>
        <v>7.5579700443791697E-2</v>
      </c>
      <c r="HJ244" s="198">
        <f t="shared" ref="HJ244" si="5047">HJ243/HC243-1</f>
        <v>7.7734349764196686E-2</v>
      </c>
      <c r="HK244" s="198">
        <f t="shared" ref="HK244" si="5048">HK243/HD243-1</f>
        <v>7.2220346371814736E-2</v>
      </c>
      <c r="HM244" s="197" t="str">
        <f t="shared" si="4036"/>
        <v>YoY Change (%)</v>
      </c>
      <c r="HN244" s="198">
        <f>HN243/HG243-1</f>
        <v>4.5565302144249697E-2</v>
      </c>
      <c r="HO244" s="198">
        <f t="shared" ref="HO244" si="5049">HO243/HH243-1</f>
        <v>7.7706267144967311E-2</v>
      </c>
      <c r="HP244" s="198">
        <f t="shared" ref="HP244" si="5050">HP243/HI243-1</f>
        <v>7.2585046195038361E-2</v>
      </c>
      <c r="HQ244" s="198">
        <f t="shared" ref="HQ244" si="5051">HQ243/HJ243-1</f>
        <v>5.3328752481294872E-2</v>
      </c>
      <c r="HR244" s="198">
        <f t="shared" ref="HR244" si="5052">HR243/HK243-1</f>
        <v>6.2094898920581398E-2</v>
      </c>
      <c r="HT244" s="197" t="str">
        <f t="shared" si="4041"/>
        <v>YoY Change (%)</v>
      </c>
      <c r="HU244" s="198">
        <f>HU243/HN243-1</f>
        <v>6.9831807536725465E-2</v>
      </c>
      <c r="HV244" s="198">
        <f t="shared" ref="HV244" si="5053">HV243/HO243-1</f>
        <v>5.6731681506349441E-2</v>
      </c>
      <c r="HW244" s="198">
        <f t="shared" ref="HW244" si="5054">HW243/HP243-1</f>
        <v>3.1254298465965835E-2</v>
      </c>
      <c r="HX244" s="198">
        <f t="shared" ref="HX244" si="5055">HX243/HQ243-1</f>
        <v>4.5050815369878094E-2</v>
      </c>
      <c r="HY244" s="198">
        <f t="shared" ref="HY244" si="5056">HY243/HR243-1</f>
        <v>5.0630508293933119E-2</v>
      </c>
      <c r="IA244" s="197" t="str">
        <f t="shared" si="4046"/>
        <v>YoY Change (%)</v>
      </c>
      <c r="IB244" s="198">
        <f>IB243/HU243-1</f>
        <v>3.2770382322621083E-2</v>
      </c>
      <c r="IC244" s="198">
        <f t="shared" ref="IC244" si="5057">IC243/HV243-1</f>
        <v>8.8567189677650759E-3</v>
      </c>
      <c r="ID244" s="198">
        <f t="shared" ref="ID244" si="5058">ID243/HW243-1</f>
        <v>1.8601697330246525E-2</v>
      </c>
      <c r="IE244" s="198">
        <f t="shared" ref="IE244" si="5059">IE243/HX243-1</f>
        <v>2.5419665902257194E-2</v>
      </c>
      <c r="IF244" s="198">
        <f t="shared" ref="IF244" si="5060">IF243/HY243-1</f>
        <v>2.1260156728680535E-2</v>
      </c>
      <c r="IH244" s="197" t="str">
        <f t="shared" si="4051"/>
        <v>YoY Change (%)</v>
      </c>
      <c r="II244" s="198">
        <f>II243/IB243-1</f>
        <v>1.9341190174380962E-2</v>
      </c>
      <c r="IJ244" s="198">
        <f t="shared" ref="IJ244" si="5061">IJ243/IC243-1</f>
        <v>2.1650717703349365E-2</v>
      </c>
      <c r="IK244" s="198">
        <f t="shared" ref="IK244" si="5062">IK243/ID243-1</f>
        <v>2.958208509486604E-2</v>
      </c>
      <c r="IL244" s="198">
        <f t="shared" ref="IL244" si="5063">IL243/IE243-1</f>
        <v>4.5997446310450663E-3</v>
      </c>
      <c r="IM244" s="198">
        <f t="shared" ref="IM244" si="5064">IM243/IF243-1</f>
        <v>1.8456914833909321E-2</v>
      </c>
      <c r="IO244" s="197" t="str">
        <f t="shared" si="4056"/>
        <v>YoY Change (%)</v>
      </c>
      <c r="IP244" s="198">
        <f>IP243/II243-1</f>
        <v>-3.8038025067682613E-3</v>
      </c>
      <c r="IQ244" s="198">
        <f t="shared" ref="IQ244" si="5065">IQ243/IJ243-1</f>
        <v>-3.3160311699124478E-2</v>
      </c>
      <c r="IR244" s="198">
        <f t="shared" ref="IR244" si="5066">IR243/IK243-1</f>
        <v>-1.9336331661188755E-2</v>
      </c>
      <c r="IS244" s="198">
        <f t="shared" ref="IS244" si="5067">IS243/IL243-1</f>
        <v>-2.4564372405404544E-2</v>
      </c>
      <c r="IT244" s="198">
        <f t="shared" ref="IT244" si="5068">IT243/IM243-1</f>
        <v>-2.0235784194774675E-2</v>
      </c>
      <c r="IV244" s="197" t="str">
        <f t="shared" si="4061"/>
        <v>YoY Change (%)</v>
      </c>
      <c r="IW244" s="198">
        <f>IW243/IP243-1</f>
        <v>-1.5822324730976001E-2</v>
      </c>
      <c r="IX244" s="198">
        <f t="shared" ref="IX244" si="5069">IX243/IQ243-1</f>
        <v>9.9409337769174044E-4</v>
      </c>
      <c r="IY244" s="198">
        <f t="shared" ref="IY244" si="5070">IY243/IR243-1</f>
        <v>4.5566958425558024E-3</v>
      </c>
      <c r="IZ244" s="198">
        <f t="shared" ref="IZ244" si="5071">IZ243/IS243-1</f>
        <v>1.9851088332212052E-2</v>
      </c>
      <c r="JA244" s="198">
        <f t="shared" ref="JA244" si="5072">JA243/IT243-1</f>
        <v>2.5905420917196054E-3</v>
      </c>
      <c r="JC244" s="197" t="str">
        <f t="shared" si="4066"/>
        <v>YoY Change (%)</v>
      </c>
      <c r="JD244" s="198">
        <f>JD243/IW243-1</f>
        <v>2.1105286345793006E-2</v>
      </c>
      <c r="JE244" s="198">
        <f t="shared" ref="JE244" si="5073">JE243/IX243-1</f>
        <v>3.2217458902817242E-2</v>
      </c>
      <c r="JF244" s="198">
        <f t="shared" ref="JF244" si="5074">JF243/IY243-1</f>
        <v>2.1684484877681376E-2</v>
      </c>
      <c r="JG244" s="198">
        <f t="shared" ref="JG244" si="5075">JG243/IZ243-1</f>
        <v>3.0219502610453031E-2</v>
      </c>
      <c r="JH244" s="198">
        <f t="shared" ref="JH244" si="5076">JH243/JA243-1</f>
        <v>2.6264913447644922E-2</v>
      </c>
      <c r="JJ244" s="197" t="str">
        <f t="shared" si="4071"/>
        <v>YoY Change (%)</v>
      </c>
      <c r="JK244" s="198">
        <f>JK243/JD243-1</f>
        <v>5.3261880440914178E-2</v>
      </c>
      <c r="JL244" s="198">
        <f t="shared" ref="JL244" si="5077">JL243/JE243-1</f>
        <v>6.8319742465019262E-2</v>
      </c>
      <c r="JM244" s="198">
        <f t="shared" ref="JM244" si="5078">JM243/JF243-1</f>
        <v>6.7209412058592877E-2</v>
      </c>
      <c r="JN244" s="198">
        <f t="shared" ref="JN244" si="5079">JN243/JG243-1</f>
        <v>5.3836336600044499E-2</v>
      </c>
      <c r="JO244" s="198">
        <f t="shared" ref="JO244" si="5080">JO243/JH243-1</f>
        <v>6.0632270640759378E-2</v>
      </c>
      <c r="JQ244" s="197" t="str">
        <f t="shared" si="4076"/>
        <v>YoY Change (%)</v>
      </c>
      <c r="JR244" s="198">
        <f>JR243/JK243-1</f>
        <v>2.4301646092631524E-2</v>
      </c>
      <c r="JS244" s="198">
        <f t="shared" ref="JS244" si="5081">JS243/JL243-1</f>
        <v>7.7017467173343679E-3</v>
      </c>
      <c r="JT244" s="198">
        <f t="shared" ref="JT244" si="5082">JT243/JM243-1</f>
        <v>8.4656084656085095E-3</v>
      </c>
      <c r="JU244" s="198">
        <f t="shared" ref="JU244" si="5083">JU243/JN243-1</f>
        <v>1.9513535797719417E-3</v>
      </c>
      <c r="JV244" s="198">
        <f t="shared" ref="JV244" si="5084">JV243/JO243-1</f>
        <v>1.0462647530194769E-2</v>
      </c>
      <c r="JX244" s="197" t="str">
        <f t="shared" si="4081"/>
        <v>YoY Change (%)</v>
      </c>
      <c r="JY244" s="198">
        <f>JY243/JR243-1</f>
        <v>8.7832435924708463E-3</v>
      </c>
      <c r="JZ244" s="198">
        <f t="shared" ref="JZ244" si="5085">JZ243/JS243-1</f>
        <v>-6.108539094650145E-3</v>
      </c>
      <c r="KA244" s="198">
        <f t="shared" ref="KA244" si="5086">KA243/JT243-1</f>
        <v>-2.0347889256598584E-2</v>
      </c>
      <c r="KB244" s="198">
        <f t="shared" ref="KB244" si="5087">KB243/JU243-1</f>
        <v>-2.3501384328118435E-3</v>
      </c>
      <c r="KC244" s="198">
        <f t="shared" ref="KC244" si="5088">KC243/JV243-1</f>
        <v>-4.3342603992128081E-3</v>
      </c>
      <c r="KE244" s="197" t="str">
        <f t="shared" si="4086"/>
        <v>YoY Change (%)</v>
      </c>
      <c r="KF244" s="198">
        <f>KF243/JY243-1</f>
        <v>6.2314083706638268E-3</v>
      </c>
      <c r="KG244" s="198">
        <f t="shared" ref="KG244" si="5089">KG243/JZ243-1</f>
        <v>4.6483793750404345E-2</v>
      </c>
      <c r="KH244" s="198">
        <f t="shared" ref="KH244" si="5090">KH243/KA243-1</f>
        <v>7.6747485475599841E-2</v>
      </c>
      <c r="KI244" s="198">
        <f t="shared" ref="KI244" si="5091">KI243/KB243-1</f>
        <v>7.6218518148850389E-2</v>
      </c>
      <c r="KJ244" s="198">
        <f t="shared" ref="KJ244" si="5092">KJ243/KC243-1</f>
        <v>5.0513907019174464E-2</v>
      </c>
      <c r="KL244" s="197" t="str">
        <f t="shared" si="4091"/>
        <v>YoY Change (%)</v>
      </c>
      <c r="KM244" s="198">
        <f>KM243/KF243-1</f>
        <v>7.3671054706114791E-2</v>
      </c>
      <c r="KN244" s="198">
        <f t="shared" ref="KN244" si="5093">KN243/KG243-1</f>
        <v>0.10236580709302223</v>
      </c>
      <c r="KO244" s="198">
        <f t="shared" ref="KO244" si="5094">KO243/KH243-1</f>
        <v>0.1234641739027702</v>
      </c>
      <c r="KP244" s="198">
        <f t="shared" ref="KP244" si="5095">KP243/KI243-1</f>
        <v>9.2752396698535744E-2</v>
      </c>
      <c r="KQ244" s="198">
        <f t="shared" ref="KQ244" si="5096">KQ243/KJ243-1</f>
        <v>9.8404481216828099E-2</v>
      </c>
      <c r="KS244" s="197" t="str">
        <f t="shared" si="4096"/>
        <v>YoY Change (%)</v>
      </c>
      <c r="KT244" s="198">
        <f>KT243/KM243-1</f>
        <v>8.0728175610493835E-2</v>
      </c>
      <c r="KU244" s="198">
        <f t="shared" ref="KU244" si="5097">KU243/KN243-1</f>
        <v>1.4338673924001899E-2</v>
      </c>
      <c r="KV244" s="198">
        <f t="shared" ref="KV244" si="5098">KV243/KO243-1</f>
        <v>-1.5984245118121909E-2</v>
      </c>
      <c r="KW244" s="198">
        <f t="shared" ref="KW244" si="5099">KW243/KP243-1</f>
        <v>2.6096170101313154E-2</v>
      </c>
      <c r="KX244" s="198">
        <f t="shared" ref="KX244" si="5100">KX243/KQ243-1</f>
        <v>2.5004377288409652E-2</v>
      </c>
      <c r="KZ244" s="197" t="str">
        <f t="shared" si="4101"/>
        <v>YoY Change (%)</v>
      </c>
      <c r="LA244" s="198">
        <f>LA243/KT243-1</f>
        <v>1.3303372075103681E-2</v>
      </c>
      <c r="LB244" s="198">
        <f>LB243/KU243-1</f>
        <v>3.6352532356180633E-2</v>
      </c>
      <c r="LC244" s="198">
        <f>LC243/KV243-1</f>
        <v>2.3235385572139222E-2</v>
      </c>
      <c r="LD244" s="198">
        <f t="shared" ref="LD244" si="5101">LD243/KW243-1</f>
        <v>1.0350419516322873E-3</v>
      </c>
      <c r="LE244" s="198">
        <f t="shared" ref="LE244" si="5102">LE243/KX243-1</f>
        <v>1.8400748496147035E-2</v>
      </c>
      <c r="LF244" s="574"/>
      <c r="LG244" s="197" t="str">
        <f t="shared" si="4104"/>
        <v>YoY Change (%)</v>
      </c>
      <c r="LH244" s="198">
        <f>LH243/LA243-1</f>
        <v>8.3469543423777548E-3</v>
      </c>
      <c r="LI244" s="198">
        <f>LI243/LB243-1</f>
        <v>2.0873420354672323E-3</v>
      </c>
      <c r="LJ244" s="198">
        <f>LJ243/LC243-1</f>
        <v>4.6860356138704873E-3</v>
      </c>
      <c r="LK244" s="198">
        <f>LK243/LD243-1</f>
        <v>8.8590117011519975E-3</v>
      </c>
      <c r="LL244" s="198">
        <f t="shared" ref="LL244" si="5103">LL243/LE243-1</f>
        <v>5.9114809826910086E-3</v>
      </c>
      <c r="LM244" s="574"/>
      <c r="LN244" s="197" t="str">
        <f t="shared" si="4106"/>
        <v>YoY Change (%)</v>
      </c>
      <c r="LO244" s="198">
        <f>LO243/LH243-1</f>
        <v>1.6842443707572263E-2</v>
      </c>
      <c r="LP244" s="198">
        <f t="shared" ref="LP244" si="5104">LP243/LI243-1</f>
        <v>2.1008631992163407E-2</v>
      </c>
      <c r="LQ244" s="198">
        <f t="shared" ref="LQ244" si="5105">LQ243/LJ243-1</f>
        <v>2.748963036596952E-2</v>
      </c>
      <c r="LR244" s="198">
        <f t="shared" ref="LR244" si="5106">LR243/LK243-1</f>
        <v>2.4018922843871193E-2</v>
      </c>
      <c r="LS244" s="198">
        <f t="shared" ref="LS244" si="5107">LS243/LL243-1</f>
        <v>2.2420975581413982E-2</v>
      </c>
      <c r="LT244" s="574"/>
      <c r="LU244" s="197" t="str">
        <f t="shared" si="4610"/>
        <v>YoY Change (%)</v>
      </c>
      <c r="LV244" s="198">
        <f>LV243/LO243-1</f>
        <v>2.7518939722471325E-2</v>
      </c>
      <c r="LW244" s="198">
        <f t="shared" ref="LW244" si="5108">LW243/LP243-1</f>
        <v>2.6351782937476198E-2</v>
      </c>
      <c r="LX244" s="198">
        <f t="shared" ref="LX244" si="5109">LX243/LQ243-1</f>
        <v>2.7336335893346941E-2</v>
      </c>
      <c r="LY244" s="198">
        <f t="shared" ref="LY244" si="5110">LY243/LR243-1</f>
        <v>2.7447329419604927E-2</v>
      </c>
      <c r="LZ244" s="198">
        <f t="shared" ref="LZ244" si="5111">LZ243/LS243-1</f>
        <v>2.715793231527619E-2</v>
      </c>
      <c r="MA244" s="574"/>
      <c r="MB244" s="197" t="str">
        <f t="shared" si="4612"/>
        <v>YoY Change (%)</v>
      </c>
      <c r="MC244" s="198">
        <f>MC243/LV243-1</f>
        <v>2.4873322860974323E-2</v>
      </c>
      <c r="MD244" s="198">
        <f t="shared" ref="MD244" si="5112">MD243/LW243-1</f>
        <v>2.4760846005346115E-2</v>
      </c>
      <c r="ME244" s="198">
        <f t="shared" ref="ME244" si="5113">ME243/LX243-1</f>
        <v>2.4707521406849731E-2</v>
      </c>
      <c r="MF244" s="198">
        <f t="shared" ref="MF244" si="5114">MF243/LY243-1</f>
        <v>2.4188165339474876E-2</v>
      </c>
      <c r="MG244" s="198">
        <f t="shared" ref="MG244" si="5115">MG243/LZ243-1</f>
        <v>2.4626647072326202E-2</v>
      </c>
      <c r="MH244" s="574"/>
    </row>
    <row r="245" spans="1:346" s="37" customFormat="1" ht="13.15" x14ac:dyDescent="0.4">
      <c r="A245" s="100"/>
      <c r="C245" s="186"/>
      <c r="D245" s="186"/>
      <c r="E245" s="186"/>
      <c r="F245" s="186"/>
      <c r="G245" s="186"/>
      <c r="H245" s="186"/>
      <c r="I245" s="186"/>
      <c r="J245" s="186"/>
      <c r="K245" s="186"/>
      <c r="L245" s="186"/>
      <c r="M245" s="186"/>
      <c r="N245" s="193"/>
      <c r="O245" s="193"/>
      <c r="P245" s="193"/>
      <c r="Q245" s="193"/>
      <c r="R245" s="193"/>
      <c r="S245" s="193"/>
      <c r="T245" s="193"/>
      <c r="U245" s="193"/>
      <c r="V245" s="193"/>
      <c r="W245" s="193"/>
      <c r="X245" s="193"/>
      <c r="Y245" s="193"/>
      <c r="Z245" s="193"/>
      <c r="AA245" s="193"/>
      <c r="AB245" s="193"/>
      <c r="AC245" s="193"/>
      <c r="AD245" s="193"/>
      <c r="AE245" s="193"/>
      <c r="AF245" s="193"/>
      <c r="AG245" s="193"/>
      <c r="AH245" s="193"/>
      <c r="AI245" s="193"/>
      <c r="AJ245" s="193"/>
      <c r="AK245" s="193"/>
      <c r="AL245" s="193"/>
      <c r="AM245" s="193"/>
      <c r="AN245" s="193"/>
      <c r="AO245" s="193"/>
      <c r="AP245" s="193"/>
      <c r="AQ245" s="193"/>
      <c r="AR245" s="193"/>
      <c r="AS245" s="193"/>
      <c r="AT245" s="193"/>
      <c r="AU245" s="193"/>
      <c r="AV245" s="193"/>
      <c r="AW245" s="193"/>
      <c r="AX245" s="193"/>
      <c r="AY245" s="193"/>
      <c r="AZ245" s="193"/>
      <c r="BA245" s="193"/>
      <c r="BB245" s="193"/>
      <c r="BC245" s="193"/>
      <c r="BD245" s="193"/>
      <c r="BE245" s="193"/>
      <c r="BF245" s="193"/>
      <c r="BG245" s="193"/>
      <c r="BH245" s="193"/>
      <c r="BI245" s="193"/>
      <c r="BJ245" s="193"/>
      <c r="BK245" s="193"/>
      <c r="BL245" s="193"/>
      <c r="BM245" s="193"/>
      <c r="BP245" s="193"/>
      <c r="BQ245" s="193"/>
      <c r="BR245" s="193"/>
      <c r="BS245" s="193"/>
      <c r="BT245" s="193"/>
      <c r="BW245" s="193"/>
      <c r="BX245" s="193"/>
      <c r="BY245" s="193"/>
      <c r="BZ245" s="193"/>
      <c r="CA245" s="193"/>
      <c r="CD245" s="193"/>
      <c r="CE245" s="193"/>
      <c r="CF245" s="193"/>
      <c r="CG245" s="193"/>
      <c r="CH245" s="193"/>
      <c r="CK245" s="193"/>
      <c r="CL245" s="193"/>
      <c r="CM245" s="193"/>
      <c r="CN245" s="193"/>
      <c r="CO245" s="193"/>
      <c r="CR245" s="193"/>
      <c r="CS245" s="193"/>
      <c r="CT245" s="193"/>
      <c r="CU245" s="193"/>
      <c r="CV245" s="193"/>
      <c r="CY245" s="193"/>
      <c r="CZ245" s="193"/>
      <c r="DA245" s="193"/>
      <c r="DB245" s="193"/>
      <c r="DC245" s="193"/>
      <c r="DF245" s="193"/>
      <c r="DG245" s="193"/>
      <c r="DH245" s="193"/>
      <c r="DI245" s="193"/>
      <c r="DJ245" s="193"/>
      <c r="DM245" s="193"/>
      <c r="DN245" s="193"/>
      <c r="DO245" s="193"/>
      <c r="DP245" s="193"/>
      <c r="DQ245" s="193"/>
      <c r="DT245" s="193"/>
      <c r="DU245" s="193"/>
      <c r="DV245" s="193"/>
      <c r="DW245" s="193"/>
      <c r="DX245" s="193"/>
      <c r="EA245" s="193"/>
      <c r="EB245" s="193"/>
      <c r="EC245" s="193"/>
      <c r="ED245" s="193"/>
      <c r="EE245" s="193"/>
      <c r="EH245" s="193"/>
      <c r="EI245" s="193"/>
      <c r="EJ245" s="193"/>
      <c r="EK245" s="193"/>
      <c r="EL245" s="193"/>
      <c r="EO245" s="193"/>
      <c r="EP245" s="193"/>
      <c r="EQ245" s="193"/>
      <c r="ER245" s="193"/>
      <c r="ES245" s="193"/>
      <c r="EV245" s="193"/>
      <c r="EW245" s="193"/>
      <c r="EX245" s="193"/>
      <c r="EY245" s="193"/>
      <c r="EZ245" s="193"/>
      <c r="FC245" s="193"/>
      <c r="FD245" s="193"/>
      <c r="FE245" s="193"/>
      <c r="FF245" s="193"/>
      <c r="FG245" s="193"/>
      <c r="FJ245" s="193"/>
      <c r="FK245" s="193"/>
      <c r="FL245" s="193"/>
      <c r="FM245" s="193"/>
      <c r="FN245" s="193"/>
      <c r="FQ245" s="193"/>
      <c r="FR245" s="193"/>
      <c r="FS245" s="193"/>
      <c r="FT245" s="193"/>
      <c r="FU245" s="193"/>
      <c r="FX245" s="193"/>
      <c r="FY245" s="193"/>
      <c r="FZ245" s="193"/>
      <c r="GA245" s="193"/>
      <c r="GB245" s="193"/>
      <c r="GE245" s="193"/>
      <c r="GF245" s="193"/>
      <c r="GG245" s="193"/>
      <c r="GH245" s="193"/>
      <c r="GI245" s="193"/>
      <c r="GL245" s="193"/>
      <c r="GM245" s="193"/>
      <c r="GN245" s="193"/>
      <c r="GO245" s="193"/>
      <c r="GP245" s="193"/>
      <c r="GS245" s="193"/>
      <c r="GT245" s="193"/>
      <c r="GU245" s="193"/>
      <c r="GV245" s="193"/>
      <c r="GW245" s="193"/>
      <c r="GZ245" s="193"/>
      <c r="HA245" s="193"/>
      <c r="HB245" s="193"/>
      <c r="HC245" s="193"/>
      <c r="HD245" s="193"/>
      <c r="HG245" s="193"/>
      <c r="HH245" s="193"/>
      <c r="HI245" s="193"/>
      <c r="HJ245" s="193"/>
      <c r="HK245" s="193"/>
      <c r="HN245" s="193"/>
      <c r="HO245" s="193"/>
      <c r="HP245" s="193"/>
      <c r="HQ245" s="193"/>
      <c r="HR245" s="193"/>
      <c r="HU245" s="193"/>
      <c r="HV245" s="193"/>
      <c r="HW245" s="193"/>
      <c r="HX245" s="193"/>
      <c r="HY245" s="193"/>
      <c r="IB245" s="193"/>
      <c r="IC245" s="193"/>
      <c r="ID245" s="193"/>
      <c r="IE245" s="193"/>
      <c r="IF245" s="193"/>
      <c r="II245" s="193"/>
      <c r="IJ245" s="193"/>
      <c r="IK245" s="193"/>
      <c r="IL245" s="193"/>
      <c r="IM245" s="193"/>
      <c r="IP245" s="193"/>
      <c r="IQ245" s="193"/>
      <c r="IR245" s="193"/>
      <c r="IS245" s="193"/>
      <c r="IT245" s="193"/>
      <c r="IW245" s="193"/>
      <c r="IX245" s="193"/>
      <c r="IY245" s="193"/>
      <c r="IZ245" s="193"/>
      <c r="JA245" s="193"/>
      <c r="JD245" s="193"/>
      <c r="JE245" s="193"/>
      <c r="JF245" s="193"/>
      <c r="JG245" s="193"/>
      <c r="JH245" s="193"/>
      <c r="JK245" s="193"/>
      <c r="JL245" s="193"/>
      <c r="JM245" s="193"/>
      <c r="JN245" s="193"/>
      <c r="JO245" s="193"/>
      <c r="JR245" s="193"/>
      <c r="JS245" s="193"/>
      <c r="JT245" s="193"/>
      <c r="JU245" s="193"/>
      <c r="JV245" s="193"/>
      <c r="JY245" s="193"/>
      <c r="JZ245" s="193"/>
      <c r="KA245" s="193"/>
      <c r="KB245" s="193"/>
      <c r="KC245" s="193"/>
      <c r="KF245" s="193"/>
      <c r="KG245" s="193"/>
      <c r="KH245" s="193"/>
      <c r="KI245" s="193"/>
      <c r="KJ245" s="193"/>
      <c r="KM245" s="193"/>
      <c r="KN245" s="193"/>
      <c r="KO245" s="193"/>
      <c r="KP245" s="193"/>
      <c r="KQ245" s="193"/>
      <c r="KT245" s="193"/>
      <c r="KU245" s="193"/>
      <c r="KV245" s="193"/>
      <c r="KW245" s="193"/>
      <c r="KX245" s="193"/>
      <c r="LA245" s="193"/>
      <c r="LB245" s="193"/>
      <c r="LC245" s="193"/>
      <c r="LD245" s="193"/>
      <c r="LE245" s="200"/>
      <c r="LF245" s="565"/>
      <c r="LH245" s="193"/>
      <c r="LI245" s="193"/>
      <c r="LJ245" s="193"/>
      <c r="LK245" s="193"/>
      <c r="LL245" s="200"/>
      <c r="LM245" s="565"/>
      <c r="LO245" s="200"/>
      <c r="LP245" s="200"/>
      <c r="LQ245" s="200"/>
      <c r="LR245" s="200"/>
      <c r="LS245" s="200"/>
      <c r="LT245" s="565"/>
      <c r="LV245" s="200"/>
      <c r="LW245" s="200"/>
      <c r="LX245" s="200"/>
      <c r="LY245" s="200"/>
      <c r="LZ245" s="200"/>
      <c r="MA245" s="565"/>
      <c r="MC245" s="200"/>
      <c r="MD245" s="200"/>
      <c r="ME245" s="200"/>
      <c r="MF245" s="200"/>
      <c r="MG245" s="200"/>
      <c r="MH245" s="565"/>
    </row>
    <row r="246" spans="1:346" s="68" customFormat="1" ht="12.75" x14ac:dyDescent="0.35">
      <c r="A246" s="140"/>
      <c r="B246" s="68" t="s">
        <v>525</v>
      </c>
      <c r="C246" s="190"/>
      <c r="D246" s="190"/>
      <c r="E246" s="190"/>
      <c r="F246" s="190"/>
      <c r="G246" s="190"/>
      <c r="H246" s="190"/>
      <c r="I246" s="190"/>
      <c r="J246" s="190"/>
      <c r="K246" s="190"/>
      <c r="L246" s="190"/>
      <c r="M246" s="190"/>
      <c r="N246" s="203">
        <f>(N243*N240)/1000</f>
        <v>2702</v>
      </c>
      <c r="O246" s="203">
        <f>(O243*O240)/1000</f>
        <v>2703</v>
      </c>
      <c r="P246" s="203">
        <f t="shared" ref="P246:AY246" si="5116">(P243*P240)/1000</f>
        <v>2661</v>
      </c>
      <c r="Q246" s="203">
        <f t="shared" si="5116"/>
        <v>2769</v>
      </c>
      <c r="R246" s="203">
        <f t="shared" si="5116"/>
        <v>2909</v>
      </c>
      <c r="S246" s="203">
        <f t="shared" si="5116"/>
        <v>3048</v>
      </c>
      <c r="T246" s="203">
        <f t="shared" si="5116"/>
        <v>3158</v>
      </c>
      <c r="U246" s="203">
        <f t="shared" si="5116"/>
        <v>3181</v>
      </c>
      <c r="V246" s="203">
        <f t="shared" si="5116"/>
        <v>3299</v>
      </c>
      <c r="W246" s="203">
        <f t="shared" si="5116"/>
        <v>3293.0000000000005</v>
      </c>
      <c r="X246" s="203">
        <f t="shared" si="5116"/>
        <v>3973</v>
      </c>
      <c r="Y246" s="203">
        <f t="shared" si="5116"/>
        <v>4382</v>
      </c>
      <c r="Z246" s="203">
        <f t="shared" si="5116"/>
        <v>4254</v>
      </c>
      <c r="AA246" s="203">
        <f t="shared" si="5116"/>
        <v>4351</v>
      </c>
      <c r="AB246" s="203">
        <f t="shared" si="5116"/>
        <v>4547</v>
      </c>
      <c r="AC246" s="203">
        <f t="shared" si="5116"/>
        <v>4830.0000000000009</v>
      </c>
      <c r="AD246" s="203">
        <f t="shared" si="5116"/>
        <v>5072</v>
      </c>
      <c r="AE246" s="203">
        <f t="shared" si="5116"/>
        <v>5595</v>
      </c>
      <c r="AF246" s="203">
        <f t="shared" si="5116"/>
        <v>5829</v>
      </c>
      <c r="AG246" s="203">
        <f t="shared" si="5116"/>
        <v>6249.0000000000009</v>
      </c>
      <c r="AH246" s="203">
        <f t="shared" si="5116"/>
        <v>4874.9999999999991</v>
      </c>
      <c r="AI246" s="203">
        <f t="shared" si="5116"/>
        <v>5785.9999999999991</v>
      </c>
      <c r="AJ246" s="203">
        <f t="shared" si="5116"/>
        <v>6301.9999999999991</v>
      </c>
      <c r="AK246" s="203">
        <f t="shared" si="5116"/>
        <v>6656</v>
      </c>
      <c r="AL246" s="203">
        <f t="shared" si="5116"/>
        <v>7037</v>
      </c>
      <c r="AM246" s="203">
        <f t="shared" si="5116"/>
        <v>7607.9999999999991</v>
      </c>
      <c r="AN246" s="203">
        <f t="shared" si="5116"/>
        <v>7271</v>
      </c>
      <c r="AO246" s="203">
        <f t="shared" si="5116"/>
        <v>7141.9999999999991</v>
      </c>
      <c r="AP246" s="203">
        <f t="shared" si="5116"/>
        <v>7068.0000000000009</v>
      </c>
      <c r="AQ246" s="203">
        <f t="shared" si="5116"/>
        <v>7491</v>
      </c>
      <c r="AR246" s="203">
        <f t="shared" si="5116"/>
        <v>7589.0000000000009</v>
      </c>
      <c r="AS246" s="203">
        <f t="shared" si="5116"/>
        <v>7076</v>
      </c>
      <c r="AT246" s="203">
        <f t="shared" si="5116"/>
        <v>7539</v>
      </c>
      <c r="AU246" s="203">
        <f t="shared" si="5116"/>
        <v>8239</v>
      </c>
      <c r="AV246" s="203">
        <f t="shared" si="5116"/>
        <v>8653</v>
      </c>
      <c r="AW246" s="203">
        <f t="shared" si="5116"/>
        <v>8903</v>
      </c>
      <c r="AX246" s="203">
        <f t="shared" si="5116"/>
        <v>8773</v>
      </c>
      <c r="AY246" s="203">
        <f t="shared" si="5116"/>
        <v>8918.8167499999981</v>
      </c>
      <c r="AZ246" s="203">
        <f t="shared" ref="AZ246:BA246" si="5117">(AZ243*AZ240)/1000</f>
        <v>9416.2161452417167</v>
      </c>
      <c r="BA246" s="203">
        <f t="shared" si="5117"/>
        <v>9894.8866002607974</v>
      </c>
      <c r="BB246" s="203"/>
      <c r="BC246" s="203"/>
      <c r="BD246" s="203"/>
      <c r="BE246" s="203"/>
      <c r="BF246" s="203"/>
      <c r="BG246" s="203"/>
      <c r="BH246" s="203"/>
      <c r="BI246" s="203"/>
      <c r="BJ246" s="203"/>
      <c r="BK246" s="203"/>
      <c r="BL246" s="203"/>
      <c r="BM246" s="203"/>
      <c r="BO246" s="68" t="str">
        <f t="shared" si="3930"/>
        <v>Merchandise Revenue</v>
      </c>
      <c r="BP246" s="204">
        <f>(BP243*BP240)/1000</f>
        <v>699</v>
      </c>
      <c r="BQ246" s="204">
        <f t="shared" ref="BQ246:BS246" si="5118">(BQ243*BQ240)/1000</f>
        <v>687</v>
      </c>
      <c r="BR246" s="204">
        <f t="shared" si="5118"/>
        <v>637</v>
      </c>
      <c r="BS246" s="204">
        <f t="shared" si="5118"/>
        <v>679</v>
      </c>
      <c r="BT246" s="204">
        <f t="shared" ref="BT246" si="5119">(BT243*BT240)/1000</f>
        <v>2702</v>
      </c>
      <c r="BV246" s="68" t="str">
        <f t="shared" si="3931"/>
        <v>Merchandise Revenue</v>
      </c>
      <c r="BW246" s="204">
        <f>(BW243*BW240)/1000</f>
        <v>694</v>
      </c>
      <c r="BX246" s="204">
        <f t="shared" ref="BX246:CA246" si="5120">(BX243*BX240)/1000</f>
        <v>693</v>
      </c>
      <c r="BY246" s="204">
        <f t="shared" si="5120"/>
        <v>647</v>
      </c>
      <c r="BZ246" s="204">
        <f t="shared" si="5120"/>
        <v>668.99999999999989</v>
      </c>
      <c r="CA246" s="204">
        <f t="shared" si="5120"/>
        <v>2703</v>
      </c>
      <c r="CC246" s="68" t="str">
        <f t="shared" si="3936"/>
        <v>Merchandise Revenue</v>
      </c>
      <c r="CD246" s="204">
        <f>(CD243*CD240)/1000</f>
        <v>656</v>
      </c>
      <c r="CE246" s="204">
        <f t="shared" ref="CE246:CH246" si="5121">(CE243*CE240)/1000</f>
        <v>664</v>
      </c>
      <c r="CF246" s="204">
        <f t="shared" si="5121"/>
        <v>657</v>
      </c>
      <c r="CG246" s="204">
        <f t="shared" si="5121"/>
        <v>684.00000000000011</v>
      </c>
      <c r="CH246" s="204">
        <f t="shared" si="5121"/>
        <v>2661</v>
      </c>
      <c r="CJ246" s="68" t="str">
        <f t="shared" si="3941"/>
        <v>Merchandise Revenue</v>
      </c>
      <c r="CK246" s="204">
        <f>(CK243*CK240)/1000</f>
        <v>701</v>
      </c>
      <c r="CL246" s="204">
        <f t="shared" ref="CL246:CO246" si="5122">(CL243*CL240)/1000</f>
        <v>706</v>
      </c>
      <c r="CM246" s="204">
        <f t="shared" si="5122"/>
        <v>660</v>
      </c>
      <c r="CN246" s="204">
        <f t="shared" si="5122"/>
        <v>702.00000000000011</v>
      </c>
      <c r="CO246" s="204">
        <f t="shared" si="5122"/>
        <v>2769</v>
      </c>
      <c r="CQ246" s="68" t="str">
        <f t="shared" si="3946"/>
        <v>Merchandise Revenue</v>
      </c>
      <c r="CR246" s="204">
        <f>(CR243*CR240)/1000</f>
        <v>720</v>
      </c>
      <c r="CS246" s="204">
        <f t="shared" ref="CS246:CV246" si="5123">(CS243*CS240)/1000</f>
        <v>739</v>
      </c>
      <c r="CT246" s="204">
        <f t="shared" si="5123"/>
        <v>693</v>
      </c>
      <c r="CU246" s="204">
        <f t="shared" si="5123"/>
        <v>756.99999999999989</v>
      </c>
      <c r="CV246" s="204">
        <f t="shared" si="5123"/>
        <v>2909</v>
      </c>
      <c r="CX246" s="68" t="str">
        <f t="shared" si="3951"/>
        <v>Merchandise Revenue</v>
      </c>
      <c r="CY246" s="204">
        <f>(CY243*CY240)/1000</f>
        <v>758.00000000000011</v>
      </c>
      <c r="CZ246" s="204">
        <f t="shared" ref="CZ246:DC246" si="5124">(CZ243*CZ240)/1000</f>
        <v>785.99999999999989</v>
      </c>
      <c r="DA246" s="204">
        <f t="shared" si="5124"/>
        <v>733.00000000000011</v>
      </c>
      <c r="DB246" s="204">
        <f t="shared" si="5124"/>
        <v>771</v>
      </c>
      <c r="DC246" s="204">
        <f t="shared" si="5124"/>
        <v>3048</v>
      </c>
      <c r="DE246" s="68" t="str">
        <f t="shared" si="3956"/>
        <v>Merchandise Revenue</v>
      </c>
      <c r="DF246" s="204">
        <f>(DF243*DF240)/1000</f>
        <v>799</v>
      </c>
      <c r="DG246" s="204">
        <f t="shared" ref="DG246:DJ246" si="5125">(DG243*DG240)/1000</f>
        <v>797</v>
      </c>
      <c r="DH246" s="204">
        <f t="shared" si="5125"/>
        <v>767</v>
      </c>
      <c r="DI246" s="204">
        <f t="shared" si="5125"/>
        <v>795</v>
      </c>
      <c r="DJ246" s="204">
        <f t="shared" si="5125"/>
        <v>3158</v>
      </c>
      <c r="DL246" s="68" t="str">
        <f t="shared" si="3961"/>
        <v>Merchandise Revenue</v>
      </c>
      <c r="DM246" s="204">
        <f>(DM243*DM240)/1000</f>
        <v>789.00000000000011</v>
      </c>
      <c r="DN246" s="204">
        <f t="shared" ref="DN246:DQ246" si="5126">(DN243*DN240)/1000</f>
        <v>813.00000000000011</v>
      </c>
      <c r="DO246" s="204">
        <f t="shared" si="5126"/>
        <v>772.00000000000011</v>
      </c>
      <c r="DP246" s="204">
        <f t="shared" si="5126"/>
        <v>807</v>
      </c>
      <c r="DQ246" s="204">
        <f t="shared" si="5126"/>
        <v>3181</v>
      </c>
      <c r="DS246" s="68" t="str">
        <f t="shared" si="3966"/>
        <v>Merchandise Revenue</v>
      </c>
      <c r="DT246" s="204">
        <f>(DT243*DT240)/1000</f>
        <v>826.00000000000011</v>
      </c>
      <c r="DU246" s="204">
        <f t="shared" ref="DU246:DX246" si="5127">(DU243*DU240)/1000</f>
        <v>841</v>
      </c>
      <c r="DV246" s="204">
        <f t="shared" si="5127"/>
        <v>794</v>
      </c>
      <c r="DW246" s="204">
        <f t="shared" si="5127"/>
        <v>838</v>
      </c>
      <c r="DX246" s="204">
        <f t="shared" si="5127"/>
        <v>3299</v>
      </c>
      <c r="DZ246" s="68" t="str">
        <f t="shared" si="3971"/>
        <v>Merchandise Revenue</v>
      </c>
      <c r="EA246" s="204">
        <f>(EA243*EA240)/1000</f>
        <v>831</v>
      </c>
      <c r="EB246" s="204">
        <f t="shared" ref="EB246:EE246" si="5128">(EB243*EB240)/1000</f>
        <v>842.00000000000011</v>
      </c>
      <c r="EC246" s="204">
        <f t="shared" si="5128"/>
        <v>792</v>
      </c>
      <c r="ED246" s="204">
        <f t="shared" si="5128"/>
        <v>835</v>
      </c>
      <c r="EE246" s="204">
        <f t="shared" si="5128"/>
        <v>3293.0000000000005</v>
      </c>
      <c r="EG246" s="68" t="str">
        <f t="shared" si="3976"/>
        <v>Merchandise Revenue</v>
      </c>
      <c r="EH246" s="204">
        <f>(EH243*EH240)/1000</f>
        <v>906</v>
      </c>
      <c r="EI246" s="204">
        <f t="shared" ref="EI246:EL246" si="5129">(EI243*EI240)/1000</f>
        <v>953.00000000000011</v>
      </c>
      <c r="EJ246" s="204">
        <f t="shared" si="5129"/>
        <v>1047</v>
      </c>
      <c r="EK246" s="204">
        <f t="shared" si="5129"/>
        <v>1088</v>
      </c>
      <c r="EL246" s="204">
        <f t="shared" si="5129"/>
        <v>3973</v>
      </c>
      <c r="EN246" s="68" t="str">
        <f t="shared" si="3981"/>
        <v>Merchandise Revenue</v>
      </c>
      <c r="EO246" s="204">
        <f>(EO243*EO240)/1000</f>
        <v>1116</v>
      </c>
      <c r="EP246" s="204">
        <f t="shared" ref="EP246:ES246" si="5130">(EP243*EP240)/1000</f>
        <v>1129.9999999999998</v>
      </c>
      <c r="EQ246" s="204">
        <f t="shared" si="5130"/>
        <v>1066</v>
      </c>
      <c r="ER246" s="204">
        <f t="shared" si="5130"/>
        <v>1070</v>
      </c>
      <c r="ES246" s="204">
        <f t="shared" si="5130"/>
        <v>4382</v>
      </c>
      <c r="EU246" s="68" t="str">
        <f t="shared" si="3986"/>
        <v>Merchandise Revenue</v>
      </c>
      <c r="EV246" s="204">
        <f>(EV243*EV240)/1000</f>
        <v>1084</v>
      </c>
      <c r="EW246" s="204">
        <f t="shared" ref="EW246:EZ246" si="5131">(EW243*EW240)/1000</f>
        <v>1094</v>
      </c>
      <c r="EX246" s="204">
        <f t="shared" si="5131"/>
        <v>1036</v>
      </c>
      <c r="EY246" s="204">
        <f t="shared" si="5131"/>
        <v>1040</v>
      </c>
      <c r="EZ246" s="204">
        <f t="shared" si="5131"/>
        <v>4254</v>
      </c>
      <c r="FB246" s="68" t="str">
        <f t="shared" si="3991"/>
        <v>Merchandise Revenue</v>
      </c>
      <c r="FC246" s="204">
        <f>(FC243*FC240)/1000</f>
        <v>1068</v>
      </c>
      <c r="FD246" s="204">
        <f t="shared" ref="FD246:FG246" si="5132">(FD243*FD240)/1000</f>
        <v>1123.0000000000002</v>
      </c>
      <c r="FE246" s="204">
        <f t="shared" si="5132"/>
        <v>1066.0000000000002</v>
      </c>
      <c r="FF246" s="204">
        <f t="shared" si="5132"/>
        <v>1094</v>
      </c>
      <c r="FG246" s="204">
        <f t="shared" si="5132"/>
        <v>4351</v>
      </c>
      <c r="FI246" s="68" t="str">
        <f t="shared" si="3996"/>
        <v>Merchandise Revenue</v>
      </c>
      <c r="FJ246" s="204">
        <f>(FJ243*FJ240)/1000</f>
        <v>1130</v>
      </c>
      <c r="FK246" s="204">
        <f t="shared" ref="FK246:FN246" si="5133">(FK243*FK240)/1000</f>
        <v>1151</v>
      </c>
      <c r="FL246" s="204">
        <f t="shared" si="5133"/>
        <v>1109.9999999999998</v>
      </c>
      <c r="FM246" s="204">
        <f t="shared" si="5133"/>
        <v>1156</v>
      </c>
      <c r="FN246" s="204">
        <f t="shared" si="5133"/>
        <v>4547</v>
      </c>
      <c r="FP246" s="68" t="str">
        <f t="shared" si="4001"/>
        <v>Merchandise Revenue</v>
      </c>
      <c r="FQ246" s="204">
        <f>(FQ243*FQ240)/1000</f>
        <v>1160</v>
      </c>
      <c r="FR246" s="204">
        <f t="shared" ref="FR246:FU246" si="5134">(FR243*FR240)/1000</f>
        <v>1211</v>
      </c>
      <c r="FS246" s="204">
        <f t="shared" si="5134"/>
        <v>1156</v>
      </c>
      <c r="FT246" s="204">
        <f t="shared" si="5134"/>
        <v>1303</v>
      </c>
      <c r="FU246" s="204">
        <f t="shared" si="5134"/>
        <v>4830.0000000000009</v>
      </c>
      <c r="FW246" s="68" t="str">
        <f t="shared" si="4006"/>
        <v>Merchandise Revenue</v>
      </c>
      <c r="FX246" s="204">
        <f>(FX243*FX240)/1000</f>
        <v>1246</v>
      </c>
      <c r="FY246" s="204">
        <f t="shared" ref="FY246:GB246" si="5135">(FY243*FY240)/1000</f>
        <v>1272</v>
      </c>
      <c r="FZ246" s="204">
        <f t="shared" si="5135"/>
        <v>1249</v>
      </c>
      <c r="GA246" s="204">
        <f t="shared" si="5135"/>
        <v>1305</v>
      </c>
      <c r="GB246" s="204">
        <f t="shared" si="5135"/>
        <v>5072</v>
      </c>
      <c r="GD246" s="68" t="str">
        <f t="shared" si="4011"/>
        <v>Merchandise Revenue</v>
      </c>
      <c r="GE246" s="204">
        <f>(GE243*GE240)/1000</f>
        <v>1380</v>
      </c>
      <c r="GF246" s="204">
        <f t="shared" ref="GF246:GI246" si="5136">(GF243*GF240)/1000</f>
        <v>1430</v>
      </c>
      <c r="GG246" s="204">
        <f t="shared" si="5136"/>
        <v>1403</v>
      </c>
      <c r="GH246" s="204">
        <f t="shared" si="5136"/>
        <v>1382</v>
      </c>
      <c r="GI246" s="204">
        <f t="shared" si="5136"/>
        <v>5595</v>
      </c>
      <c r="GK246" s="68" t="str">
        <f t="shared" si="4016"/>
        <v>Merchandise Revenue</v>
      </c>
      <c r="GL246" s="204">
        <f>(GL243*GL240)/1000</f>
        <v>1412</v>
      </c>
      <c r="GM246" s="204">
        <f t="shared" ref="GM246:GP246" si="5137">(GM243*GM240)/1000</f>
        <v>1490.9999999999998</v>
      </c>
      <c r="GN246" s="204">
        <f t="shared" si="5137"/>
        <v>1456</v>
      </c>
      <c r="GO246" s="204">
        <f t="shared" si="5137"/>
        <v>1470</v>
      </c>
      <c r="GP246" s="204">
        <f t="shared" si="5137"/>
        <v>5829</v>
      </c>
      <c r="GR246" s="68" t="str">
        <f t="shared" si="4021"/>
        <v>Merchandise Revenue</v>
      </c>
      <c r="GS246" s="204">
        <f>(GS243*GS240)/1000</f>
        <v>1544</v>
      </c>
      <c r="GT246" s="204">
        <f t="shared" ref="GT246:GW246" si="5138">(GT243*GT240)/1000</f>
        <v>1637</v>
      </c>
      <c r="GU246" s="204">
        <f t="shared" si="5138"/>
        <v>1652.0000000000002</v>
      </c>
      <c r="GV246" s="204">
        <f t="shared" si="5138"/>
        <v>1416</v>
      </c>
      <c r="GW246" s="204">
        <f t="shared" si="5138"/>
        <v>6249.0000000000009</v>
      </c>
      <c r="GY246" s="68" t="str">
        <f t="shared" si="4026"/>
        <v>Merchandise Revenue</v>
      </c>
      <c r="GZ246" s="204">
        <f>(GZ243*GZ240)/1000</f>
        <v>1170</v>
      </c>
      <c r="HA246" s="204">
        <f t="shared" ref="HA246:HD246" si="5139">(HA243*HA240)/1000</f>
        <v>1174</v>
      </c>
      <c r="HB246" s="204">
        <f t="shared" si="5139"/>
        <v>1243</v>
      </c>
      <c r="HC246" s="204">
        <f t="shared" si="5139"/>
        <v>1288</v>
      </c>
      <c r="HD246" s="204">
        <f t="shared" si="5139"/>
        <v>4874.9999999999991</v>
      </c>
      <c r="HF246" s="68" t="str">
        <f t="shared" si="4031"/>
        <v>Merchandise Revenue</v>
      </c>
      <c r="HG246" s="204">
        <f>(HG243*HG240)/1000</f>
        <v>1367.9999999999998</v>
      </c>
      <c r="HH246" s="204">
        <f t="shared" ref="HH246:HK246" si="5140">(HH243*HH240)/1000</f>
        <v>1456</v>
      </c>
      <c r="HI246" s="204">
        <f t="shared" si="5140"/>
        <v>1428</v>
      </c>
      <c r="HJ246" s="204">
        <f t="shared" si="5140"/>
        <v>1533.9999999999998</v>
      </c>
      <c r="HK246" s="204">
        <f t="shared" si="5140"/>
        <v>5785.9999999999991</v>
      </c>
      <c r="HM246" s="68" t="str">
        <f t="shared" si="4036"/>
        <v>Merchandise Revenue</v>
      </c>
      <c r="HN246" s="204">
        <f>(HN243*HN240)/1000</f>
        <v>1526</v>
      </c>
      <c r="HO246" s="204">
        <f t="shared" ref="HO246:HR246" si="5141">(HO243*HO240)/1000</f>
        <v>1612</v>
      </c>
      <c r="HP246" s="204">
        <f t="shared" si="5141"/>
        <v>1565.0000000000002</v>
      </c>
      <c r="HQ246" s="204">
        <f t="shared" si="5141"/>
        <v>1599</v>
      </c>
      <c r="HR246" s="204">
        <f t="shared" si="5141"/>
        <v>6301.9999999999991</v>
      </c>
      <c r="HT246" s="68" t="str">
        <f t="shared" si="4041"/>
        <v>Merchandise Revenue</v>
      </c>
      <c r="HU246" s="204">
        <f>(HU243*HU240)/1000</f>
        <v>1675</v>
      </c>
      <c r="HV246" s="204">
        <f t="shared" ref="HV246:HY246" si="5142">(HV243*HV240)/1000</f>
        <v>1711</v>
      </c>
      <c r="HW246" s="204">
        <f t="shared" si="5142"/>
        <v>1609</v>
      </c>
      <c r="HX246" s="204">
        <f t="shared" si="5142"/>
        <v>1661</v>
      </c>
      <c r="HY246" s="204">
        <f t="shared" si="5142"/>
        <v>6656</v>
      </c>
      <c r="IA246" s="68" t="str">
        <f t="shared" si="4046"/>
        <v>Merchandise Revenue</v>
      </c>
      <c r="IB246" s="204">
        <f>(IB243*IB240)/1000</f>
        <v>1716.9999999999998</v>
      </c>
      <c r="IC246" s="204">
        <f t="shared" ref="IC246:IF246" si="5143">(IC243*IC240)/1000</f>
        <v>1781.9999999999998</v>
      </c>
      <c r="ID246" s="204">
        <f t="shared" si="5143"/>
        <v>1718.9999999999998</v>
      </c>
      <c r="IE246" s="204">
        <f t="shared" si="5143"/>
        <v>1819</v>
      </c>
      <c r="IF246" s="204">
        <f t="shared" si="5143"/>
        <v>7037</v>
      </c>
      <c r="IH246" s="68" t="str">
        <f t="shared" si="4051"/>
        <v>Merchandise Revenue</v>
      </c>
      <c r="II246" s="204">
        <f>(II243*II240)/1000</f>
        <v>1787</v>
      </c>
      <c r="IJ246" s="204">
        <f t="shared" ref="IJ246:IM246" si="5144">(IJ243*IJ240)/1000</f>
        <v>1970.9999999999998</v>
      </c>
      <c r="IK246" s="204">
        <f t="shared" si="5144"/>
        <v>1926.9999999999998</v>
      </c>
      <c r="IL246" s="204">
        <f t="shared" si="5144"/>
        <v>1922.9999999999998</v>
      </c>
      <c r="IM246" s="204">
        <f t="shared" si="5144"/>
        <v>7607.9999999999991</v>
      </c>
      <c r="IO246" s="68" t="str">
        <f t="shared" si="4056"/>
        <v>Merchandise Revenue</v>
      </c>
      <c r="IP246" s="204">
        <f>(IP243*IP240)/1000</f>
        <v>1809</v>
      </c>
      <c r="IQ246" s="204">
        <f t="shared" ref="IQ246:IT246" si="5145">(IQ243*IQ240)/1000</f>
        <v>1857.9999999999998</v>
      </c>
      <c r="IR246" s="204">
        <f t="shared" si="5145"/>
        <v>1819.0000000000002</v>
      </c>
      <c r="IS246" s="204">
        <f t="shared" si="5145"/>
        <v>1785.0000000000002</v>
      </c>
      <c r="IT246" s="204">
        <f t="shared" si="5145"/>
        <v>7271</v>
      </c>
      <c r="IV246" s="68" t="str">
        <f t="shared" si="4061"/>
        <v>Merchandise Revenue</v>
      </c>
      <c r="IW246" s="204">
        <f>(IW243*IW240)/1000</f>
        <v>1734.0000000000002</v>
      </c>
      <c r="IX246" s="204">
        <f t="shared" ref="IX246:JA246" si="5146">(IX243*IX240)/1000</f>
        <v>1772.0000000000002</v>
      </c>
      <c r="IY246" s="204">
        <f t="shared" si="5146"/>
        <v>1741</v>
      </c>
      <c r="IZ246" s="204">
        <f t="shared" si="5146"/>
        <v>1895.0000000000002</v>
      </c>
      <c r="JA246" s="204">
        <f t="shared" si="5146"/>
        <v>7141.9999999999991</v>
      </c>
      <c r="JC246" s="68" t="str">
        <f t="shared" si="4066"/>
        <v>Merchandise Revenue</v>
      </c>
      <c r="JD246" s="204">
        <f>(JD243*JD240)/1000</f>
        <v>1839</v>
      </c>
      <c r="JE246" s="204">
        <f t="shared" ref="JE246:JH246" si="5147">(JE243*JE240)/1000</f>
        <v>1798</v>
      </c>
      <c r="JF246" s="204">
        <f t="shared" si="5147"/>
        <v>1688</v>
      </c>
      <c r="JG246" s="204">
        <f t="shared" si="5147"/>
        <v>1743.0000000000002</v>
      </c>
      <c r="JH246" s="204">
        <f t="shared" si="5147"/>
        <v>7068.0000000000009</v>
      </c>
      <c r="JJ246" s="68" t="str">
        <f t="shared" si="4071"/>
        <v>Merchandise Revenue</v>
      </c>
      <c r="JK246" s="204">
        <f>(JK243*JK240)/1000</f>
        <v>1779.0000000000002</v>
      </c>
      <c r="JL246" s="204">
        <f t="shared" ref="JL246:JO246" si="5148">(JL243*JL240)/1000</f>
        <v>1907.0000000000002</v>
      </c>
      <c r="JM246" s="204">
        <f t="shared" si="5148"/>
        <v>1890</v>
      </c>
      <c r="JN246" s="204">
        <f t="shared" si="5148"/>
        <v>1915.0000000000002</v>
      </c>
      <c r="JO246" s="204">
        <f t="shared" si="5148"/>
        <v>7491</v>
      </c>
      <c r="JQ246" s="68" t="str">
        <f t="shared" si="4076"/>
        <v>Merchandise Revenue</v>
      </c>
      <c r="JR246" s="204">
        <f>(JR243*JR240)/1000</f>
        <v>1879</v>
      </c>
      <c r="JS246" s="204">
        <f t="shared" ref="JS246:JV246" si="5149">(JS243*JS240)/1000</f>
        <v>1944</v>
      </c>
      <c r="JT246" s="204">
        <f t="shared" si="5149"/>
        <v>1906</v>
      </c>
      <c r="JU246" s="204">
        <f t="shared" si="5149"/>
        <v>1860</v>
      </c>
      <c r="JV246" s="204">
        <f t="shared" si="5149"/>
        <v>7589.0000000000009</v>
      </c>
      <c r="JX246" s="68" t="str">
        <f t="shared" si="4081"/>
        <v>Merchandise Revenue</v>
      </c>
      <c r="JY246" s="204">
        <f>(JY243*JY240)/1000</f>
        <v>1927</v>
      </c>
      <c r="JZ246" s="204">
        <f t="shared" ref="JZ246:KC246" si="5150">(JZ243*JZ240)/1000</f>
        <v>1508</v>
      </c>
      <c r="KA246" s="204">
        <f t="shared" si="5150"/>
        <v>1777</v>
      </c>
      <c r="KB246" s="204">
        <f t="shared" si="5150"/>
        <v>1864</v>
      </c>
      <c r="KC246" s="204">
        <f t="shared" si="5150"/>
        <v>7076</v>
      </c>
      <c r="KE246" s="68" t="str">
        <f t="shared" si="4086"/>
        <v>Merchandise Revenue</v>
      </c>
      <c r="KF246" s="204">
        <f>(KF243*KF240)/1000</f>
        <v>1818</v>
      </c>
      <c r="KG246" s="204">
        <f t="shared" ref="KG246:KJ246" si="5151">(KG243*KG240)/1000</f>
        <v>1903</v>
      </c>
      <c r="KH246" s="204">
        <f t="shared" si="5151"/>
        <v>1881.0000000000002</v>
      </c>
      <c r="KI246" s="204">
        <f t="shared" si="5151"/>
        <v>1936.9999999999998</v>
      </c>
      <c r="KJ246" s="204">
        <f t="shared" si="5151"/>
        <v>7539</v>
      </c>
      <c r="KL246" s="68" t="str">
        <f t="shared" si="4091"/>
        <v>Merchandise Revenue</v>
      </c>
      <c r="KM246" s="204">
        <f>(KM243*KM240)/1000</f>
        <v>1921</v>
      </c>
      <c r="KN246" s="204">
        <f t="shared" ref="KN246:KQ246" si="5152">(KN243*KN240)/1000</f>
        <v>2101</v>
      </c>
      <c r="KO246" s="204">
        <f t="shared" si="5152"/>
        <v>2143</v>
      </c>
      <c r="KP246" s="204">
        <f t="shared" si="5152"/>
        <v>2074.0000000000005</v>
      </c>
      <c r="KQ246" s="204">
        <f t="shared" si="5152"/>
        <v>8239</v>
      </c>
      <c r="KS246" s="68" t="str">
        <f t="shared" si="4096"/>
        <v>Merchandise Revenue</v>
      </c>
      <c r="KT246" s="204">
        <f>(KT243*KT240)/1000</f>
        <v>2163</v>
      </c>
      <c r="KU246" s="204">
        <f t="shared" ref="KU246:KX246" si="5153">(KU243*KU240)/1000</f>
        <v>2196</v>
      </c>
      <c r="KV246" s="204">
        <f t="shared" si="5153"/>
        <v>2112.0000000000005</v>
      </c>
      <c r="KW246" s="204">
        <f t="shared" si="5153"/>
        <v>2182</v>
      </c>
      <c r="KX246" s="204">
        <f t="shared" si="5153"/>
        <v>8653</v>
      </c>
      <c r="KZ246" s="68" t="str">
        <f t="shared" si="4101"/>
        <v>Merchandise Revenue</v>
      </c>
      <c r="LA246" s="204">
        <f>(LA243*LA240)/1000</f>
        <v>2184.9999999999995</v>
      </c>
      <c r="LB246" s="204">
        <f>(LB243*LB240)/1000</f>
        <v>2296</v>
      </c>
      <c r="LC246" s="204">
        <f>(LC243*LC240)/1000</f>
        <v>2231</v>
      </c>
      <c r="LD246" s="204">
        <f t="shared" ref="LD246" si="5154">(LD243*LD240)/1000</f>
        <v>2191</v>
      </c>
      <c r="LE246" s="205">
        <f>SUM(LA246:LD246)</f>
        <v>8903</v>
      </c>
      <c r="LF246" s="563"/>
      <c r="LG246" s="68" t="str">
        <f t="shared" si="4104"/>
        <v>Merchandise Revenue</v>
      </c>
      <c r="LH246" s="204">
        <f>(LH243*LH240)/1000</f>
        <v>2152</v>
      </c>
      <c r="LI246" s="204">
        <f>(LI243*LI240)/1000</f>
        <v>2257</v>
      </c>
      <c r="LJ246" s="204">
        <f>(LJ243*LJ240)/1000</f>
        <v>2207.9999999999995</v>
      </c>
      <c r="LK246" s="204">
        <f>(LK243*LK240)/1000</f>
        <v>2156</v>
      </c>
      <c r="LL246" s="205">
        <f>SUM(LH246:LK246)</f>
        <v>8773</v>
      </c>
      <c r="LM246" s="563"/>
      <c r="LN246" s="68" t="str">
        <f t="shared" si="4106"/>
        <v>Merchandise Revenue</v>
      </c>
      <c r="LO246" s="205">
        <f>(LO240*LO243)/1000</f>
        <v>2147.3976999999995</v>
      </c>
      <c r="LP246" s="205">
        <f t="shared" ref="LP246:LR246" si="5155">(LP240*LP243)/1000</f>
        <v>2255.4906249999995</v>
      </c>
      <c r="LQ246" s="205">
        <f t="shared" si="5155"/>
        <v>2253.3146499999998</v>
      </c>
      <c r="LR246" s="205">
        <f t="shared" si="5155"/>
        <v>2262.6137750000003</v>
      </c>
      <c r="LS246" s="205">
        <f>SUM(LO246:LR246)</f>
        <v>8918.8167499999981</v>
      </c>
      <c r="LT246" s="563"/>
      <c r="LU246" s="68" t="str">
        <f t="shared" si="4610"/>
        <v>Merchandise Revenue</v>
      </c>
      <c r="LV246" s="205">
        <f>(LV240*LV243)/1000</f>
        <v>2269.5490638035935</v>
      </c>
      <c r="LW246" s="205">
        <f t="shared" ref="LW246:LY246" si="5156">(LW240*LW243)/1000</f>
        <v>2381.7051074824999</v>
      </c>
      <c r="LX246" s="205">
        <f t="shared" si="5156"/>
        <v>2377.8045056312494</v>
      </c>
      <c r="LY246" s="205">
        <f t="shared" si="5156"/>
        <v>2387.1574683243753</v>
      </c>
      <c r="LZ246" s="205">
        <f>SUM(LV246:LY246)</f>
        <v>9416.2161452417167</v>
      </c>
      <c r="MA246" s="563"/>
      <c r="MB246" s="68" t="str">
        <f t="shared" si="4612"/>
        <v>Merchandise Revenue</v>
      </c>
      <c r="MC246" s="205">
        <f>(MC240*MC243)/1000</f>
        <v>2389.1413505459718</v>
      </c>
      <c r="MD246" s="205">
        <f t="shared" ref="MD246:MF246" si="5157">(MD240*MD243)/1000</f>
        <v>2505.5253977667621</v>
      </c>
      <c r="ME246" s="205">
        <f t="shared" si="5157"/>
        <v>2497.8989282447415</v>
      </c>
      <c r="MF246" s="205">
        <f t="shared" si="5157"/>
        <v>2502.3209237033225</v>
      </c>
      <c r="MG246" s="205">
        <f>SUM(MC246:MF246)</f>
        <v>9894.8866002607974</v>
      </c>
      <c r="MH246" s="563"/>
    </row>
    <row r="247" spans="1:346" s="37" customFormat="1" ht="13.15" x14ac:dyDescent="0.4">
      <c r="A247" s="100"/>
      <c r="B247" s="197" t="s">
        <v>516</v>
      </c>
      <c r="C247" s="186"/>
      <c r="D247" s="186"/>
      <c r="E247" s="186"/>
      <c r="F247" s="186"/>
      <c r="G247" s="186"/>
      <c r="H247" s="186"/>
      <c r="I247" s="186"/>
      <c r="J247" s="186"/>
      <c r="K247" s="186"/>
      <c r="L247" s="186"/>
      <c r="M247" s="186"/>
      <c r="N247" s="193"/>
      <c r="O247" s="198">
        <f>O246/N246-1</f>
        <v>3.7009622501860129E-4</v>
      </c>
      <c r="P247" s="198">
        <f t="shared" ref="P247:BA247" si="5158">P246/O246-1</f>
        <v>-1.5538290788013276E-2</v>
      </c>
      <c r="Q247" s="198">
        <f t="shared" si="5158"/>
        <v>4.0586245772266105E-2</v>
      </c>
      <c r="R247" s="198">
        <f t="shared" si="5158"/>
        <v>5.0559768869627986E-2</v>
      </c>
      <c r="S247" s="198">
        <f t="shared" si="5158"/>
        <v>4.7782743210725398E-2</v>
      </c>
      <c r="T247" s="198">
        <f t="shared" si="5158"/>
        <v>3.6089238845144367E-2</v>
      </c>
      <c r="U247" s="198">
        <f t="shared" si="5158"/>
        <v>7.2830905636478427E-3</v>
      </c>
      <c r="V247" s="198">
        <f t="shared" si="5158"/>
        <v>3.7095253065073885E-2</v>
      </c>
      <c r="W247" s="198">
        <f t="shared" si="5158"/>
        <v>-1.8187329493785098E-3</v>
      </c>
      <c r="X247" s="198">
        <f t="shared" si="5158"/>
        <v>0.20649863346492547</v>
      </c>
      <c r="Y247" s="198">
        <f t="shared" si="5158"/>
        <v>0.10294487792600049</v>
      </c>
      <c r="Z247" s="198">
        <f t="shared" si="5158"/>
        <v>-2.921040620721127E-2</v>
      </c>
      <c r="AA247" s="198">
        <f t="shared" si="5158"/>
        <v>2.2802068641278872E-2</v>
      </c>
      <c r="AB247" s="198">
        <f t="shared" si="5158"/>
        <v>4.5047115605607813E-2</v>
      </c>
      <c r="AC247" s="198">
        <f t="shared" si="5158"/>
        <v>6.223883879481007E-2</v>
      </c>
      <c r="AD247" s="198">
        <f t="shared" si="5158"/>
        <v>5.010351966873694E-2</v>
      </c>
      <c r="AE247" s="198">
        <f t="shared" si="5158"/>
        <v>0.10311514195583604</v>
      </c>
      <c r="AF247" s="198">
        <f t="shared" si="5158"/>
        <v>4.1823056300268169E-2</v>
      </c>
      <c r="AG247" s="198">
        <f t="shared" si="5158"/>
        <v>7.2053525476068137E-2</v>
      </c>
      <c r="AH247" s="198">
        <f t="shared" si="5158"/>
        <v>-0.21987518002880491</v>
      </c>
      <c r="AI247" s="198">
        <f t="shared" si="5158"/>
        <v>0.18687179487179484</v>
      </c>
      <c r="AJ247" s="198">
        <f t="shared" si="5158"/>
        <v>8.9180781195990377E-2</v>
      </c>
      <c r="AK247" s="198">
        <f t="shared" si="5158"/>
        <v>5.6172643605204797E-2</v>
      </c>
      <c r="AL247" s="198">
        <f t="shared" si="5158"/>
        <v>5.7241586538461453E-2</v>
      </c>
      <c r="AM247" s="198">
        <f t="shared" si="5158"/>
        <v>8.11425323291175E-2</v>
      </c>
      <c r="AN247" s="198">
        <f t="shared" si="5158"/>
        <v>-4.4295478443743264E-2</v>
      </c>
      <c r="AO247" s="198">
        <f t="shared" si="5158"/>
        <v>-1.7741713656993618E-2</v>
      </c>
      <c r="AP247" s="198">
        <f t="shared" si="5158"/>
        <v>-1.0361243349201632E-2</v>
      </c>
      <c r="AQ247" s="198">
        <f t="shared" si="5158"/>
        <v>5.9847198641765464E-2</v>
      </c>
      <c r="AR247" s="198">
        <f t="shared" si="5158"/>
        <v>1.3082365505273197E-2</v>
      </c>
      <c r="AS247" s="198">
        <f t="shared" si="5158"/>
        <v>-6.7597838977467517E-2</v>
      </c>
      <c r="AT247" s="198">
        <f t="shared" si="5158"/>
        <v>6.5432447710570996E-2</v>
      </c>
      <c r="AU247" s="198">
        <f t="shared" si="5158"/>
        <v>9.2850510677808806E-2</v>
      </c>
      <c r="AV247" s="198">
        <f t="shared" si="5158"/>
        <v>5.0248816603956747E-2</v>
      </c>
      <c r="AW247" s="198">
        <f t="shared" si="5158"/>
        <v>2.8891713856465939E-2</v>
      </c>
      <c r="AX247" s="198">
        <f t="shared" si="5158"/>
        <v>-1.4601819611366973E-2</v>
      </c>
      <c r="AY247" s="198">
        <f t="shared" si="5158"/>
        <v>1.6621081728029008E-2</v>
      </c>
      <c r="AZ247" s="198">
        <f t="shared" si="5158"/>
        <v>5.5769661961237116E-2</v>
      </c>
      <c r="BA247" s="198">
        <f t="shared" si="5158"/>
        <v>5.0834692793343184E-2</v>
      </c>
      <c r="BB247" s="198"/>
      <c r="BC247" s="198"/>
      <c r="BD247" s="198"/>
      <c r="BE247" s="198"/>
      <c r="BF247" s="198"/>
      <c r="BG247" s="198"/>
      <c r="BH247" s="198"/>
      <c r="BI247" s="198"/>
      <c r="BJ247" s="198"/>
      <c r="BK247" s="198"/>
      <c r="BL247" s="198"/>
      <c r="BM247" s="198"/>
      <c r="BO247" s="197" t="str">
        <f t="shared" si="3930"/>
        <v>YoY Change (%)</v>
      </c>
      <c r="BP247" s="193"/>
      <c r="BQ247" s="193"/>
      <c r="BR247" s="193"/>
      <c r="BS247" s="193"/>
      <c r="BT247" s="193"/>
      <c r="BV247" s="197" t="str">
        <f t="shared" si="3931"/>
        <v>YoY Change (%)</v>
      </c>
      <c r="BW247" s="198">
        <f>BW246/BP246-1</f>
        <v>-7.1530758226037161E-3</v>
      </c>
      <c r="BX247" s="198">
        <f t="shared" ref="BX247" si="5159">BX246/BQ246-1</f>
        <v>8.733624454148492E-3</v>
      </c>
      <c r="BY247" s="198">
        <f t="shared" ref="BY247" si="5160">BY246/BR246-1</f>
        <v>1.5698587127158659E-2</v>
      </c>
      <c r="BZ247" s="198">
        <f t="shared" ref="BZ247" si="5161">BZ246/BS246-1</f>
        <v>-1.4727540500736547E-2</v>
      </c>
      <c r="CA247" s="198">
        <f t="shared" ref="CA247" si="5162">CA246/BT246-1</f>
        <v>3.7009622501860129E-4</v>
      </c>
      <c r="CC247" s="197" t="str">
        <f t="shared" si="3936"/>
        <v>YoY Change (%)</v>
      </c>
      <c r="CD247" s="198">
        <f>CD246/BW246-1</f>
        <v>-5.4755043227665667E-2</v>
      </c>
      <c r="CE247" s="198">
        <f t="shared" ref="CE247" si="5163">CE246/BX246-1</f>
        <v>-4.1847041847041799E-2</v>
      </c>
      <c r="CF247" s="198">
        <f t="shared" ref="CF247" si="5164">CF246/BY246-1</f>
        <v>1.5455950540958163E-2</v>
      </c>
      <c r="CG247" s="198">
        <f t="shared" ref="CG247" si="5165">CG246/BZ246-1</f>
        <v>2.2421524663677417E-2</v>
      </c>
      <c r="CH247" s="198">
        <f t="shared" ref="CH247" si="5166">CH246/CA246-1</f>
        <v>-1.5538290788013276E-2</v>
      </c>
      <c r="CJ247" s="197" t="str">
        <f t="shared" si="3941"/>
        <v>YoY Change (%)</v>
      </c>
      <c r="CK247" s="198">
        <f>CK246/CD246-1</f>
        <v>6.8597560975609762E-2</v>
      </c>
      <c r="CL247" s="198">
        <f t="shared" ref="CL247" si="5167">CL246/CE246-1</f>
        <v>6.3253012048192669E-2</v>
      </c>
      <c r="CM247" s="198">
        <f t="shared" ref="CM247" si="5168">CM246/CF246-1</f>
        <v>4.5662100456620447E-3</v>
      </c>
      <c r="CN247" s="198">
        <f t="shared" ref="CN247" si="5169">CN246/CG246-1</f>
        <v>2.6315789473684292E-2</v>
      </c>
      <c r="CO247" s="198">
        <f t="shared" ref="CO247" si="5170">CO246/CH246-1</f>
        <v>4.0586245772266105E-2</v>
      </c>
      <c r="CQ247" s="197" t="str">
        <f t="shared" si="3946"/>
        <v>YoY Change (%)</v>
      </c>
      <c r="CR247" s="198">
        <f>CR246/CK246-1</f>
        <v>2.7104136947218249E-2</v>
      </c>
      <c r="CS247" s="198">
        <f t="shared" ref="CS247" si="5171">CS246/CL246-1</f>
        <v>4.6742209631728038E-2</v>
      </c>
      <c r="CT247" s="198">
        <f t="shared" ref="CT247" si="5172">CT246/CM246-1</f>
        <v>5.0000000000000044E-2</v>
      </c>
      <c r="CU247" s="198">
        <f t="shared" ref="CU247" si="5173">CU246/CN246-1</f>
        <v>7.8347578347577995E-2</v>
      </c>
      <c r="CV247" s="198">
        <f t="shared" ref="CV247" si="5174">CV246/CO246-1</f>
        <v>5.0559768869627986E-2</v>
      </c>
      <c r="CX247" s="197" t="str">
        <f t="shared" si="3951"/>
        <v>YoY Change (%)</v>
      </c>
      <c r="CY247" s="198">
        <f>CY246/CR246-1</f>
        <v>5.2777777777778034E-2</v>
      </c>
      <c r="CZ247" s="198">
        <f t="shared" ref="CZ247" si="5175">CZ246/CS246-1</f>
        <v>6.3599458728010649E-2</v>
      </c>
      <c r="DA247" s="198">
        <f t="shared" ref="DA247" si="5176">DA246/CT246-1</f>
        <v>5.7720057720057838E-2</v>
      </c>
      <c r="DB247" s="198">
        <f t="shared" ref="DB247" si="5177">DB246/CU246-1</f>
        <v>1.8494055482166649E-2</v>
      </c>
      <c r="DC247" s="198">
        <f t="shared" ref="DC247" si="5178">DC246/CV246-1</f>
        <v>4.7782743210725398E-2</v>
      </c>
      <c r="DE247" s="197" t="str">
        <f t="shared" si="3956"/>
        <v>YoY Change (%)</v>
      </c>
      <c r="DF247" s="198">
        <f>DF246/CY246-1</f>
        <v>5.40897097625328E-2</v>
      </c>
      <c r="DG247" s="198">
        <f t="shared" ref="DG247" si="5179">DG246/CZ246-1</f>
        <v>1.3994910941475869E-2</v>
      </c>
      <c r="DH247" s="198">
        <f t="shared" ref="DH247" si="5180">DH246/DA246-1</f>
        <v>4.6384720327421469E-2</v>
      </c>
      <c r="DI247" s="198">
        <f t="shared" ref="DI247" si="5181">DI246/DB246-1</f>
        <v>3.112840466926059E-2</v>
      </c>
      <c r="DJ247" s="198">
        <f t="shared" ref="DJ247" si="5182">DJ246/DC246-1</f>
        <v>3.6089238845144367E-2</v>
      </c>
      <c r="DL247" s="197" t="str">
        <f t="shared" si="3961"/>
        <v>YoY Change (%)</v>
      </c>
      <c r="DM247" s="198">
        <f>DM246/DF246-1</f>
        <v>-1.2515644555694427E-2</v>
      </c>
      <c r="DN247" s="198">
        <f t="shared" ref="DN247" si="5183">DN246/DG246-1</f>
        <v>2.0075282308657627E-2</v>
      </c>
      <c r="DO247" s="198">
        <f t="shared" ref="DO247" si="5184">DO246/DH246-1</f>
        <v>6.5189048239897573E-3</v>
      </c>
      <c r="DP247" s="198">
        <f t="shared" ref="DP247" si="5185">DP246/DI246-1</f>
        <v>1.5094339622641506E-2</v>
      </c>
      <c r="DQ247" s="198">
        <f t="shared" ref="DQ247" si="5186">DQ246/DJ246-1</f>
        <v>7.2830905636478427E-3</v>
      </c>
      <c r="DS247" s="197" t="str">
        <f t="shared" si="3966"/>
        <v>YoY Change (%)</v>
      </c>
      <c r="DT247" s="198">
        <f>DT246/DM246-1</f>
        <v>4.6894803548795938E-2</v>
      </c>
      <c r="DU247" s="198">
        <f t="shared" ref="DU247" si="5187">DU246/DN246-1</f>
        <v>3.444034440344379E-2</v>
      </c>
      <c r="DV247" s="198">
        <f t="shared" ref="DV247" si="5188">DV246/DO246-1</f>
        <v>2.849740932642475E-2</v>
      </c>
      <c r="DW247" s="198">
        <f t="shared" ref="DW247" si="5189">DW246/DP246-1</f>
        <v>3.8413878562577386E-2</v>
      </c>
      <c r="DX247" s="198">
        <f t="shared" ref="DX247" si="5190">DX246/DQ246-1</f>
        <v>3.7095253065073885E-2</v>
      </c>
      <c r="DZ247" s="197" t="str">
        <f t="shared" si="3971"/>
        <v>YoY Change (%)</v>
      </c>
      <c r="EA247" s="198">
        <f>EA246/DT246-1</f>
        <v>6.0532687651331241E-3</v>
      </c>
      <c r="EB247" s="198">
        <f t="shared" ref="EB247" si="5191">EB246/DU246-1</f>
        <v>1.1890606420927874E-3</v>
      </c>
      <c r="EC247" s="198">
        <f t="shared" ref="EC247" si="5192">EC246/DV246-1</f>
        <v>-2.5188916876573986E-3</v>
      </c>
      <c r="ED247" s="198">
        <f t="shared" ref="ED247" si="5193">ED246/DW246-1</f>
        <v>-3.5799522673031214E-3</v>
      </c>
      <c r="EE247" s="198">
        <f t="shared" ref="EE247" si="5194">EE246/DX246-1</f>
        <v>-1.8187329493785098E-3</v>
      </c>
      <c r="EG247" s="197" t="str">
        <f t="shared" si="3976"/>
        <v>YoY Change (%)</v>
      </c>
      <c r="EH247" s="198">
        <f>EH246/EA246-1</f>
        <v>9.0252707581227387E-2</v>
      </c>
      <c r="EI247" s="198">
        <f t="shared" ref="EI247" si="5195">EI246/EB246-1</f>
        <v>0.13182897862232767</v>
      </c>
      <c r="EJ247" s="198">
        <f t="shared" ref="EJ247" si="5196">EJ246/EC246-1</f>
        <v>0.32196969696969702</v>
      </c>
      <c r="EK247" s="198">
        <f t="shared" ref="EK247" si="5197">EK246/ED246-1</f>
        <v>0.30299401197604792</v>
      </c>
      <c r="EL247" s="198">
        <f t="shared" ref="EL247" si="5198">EL246/EE246-1</f>
        <v>0.20649863346492547</v>
      </c>
      <c r="EN247" s="197" t="str">
        <f t="shared" si="3981"/>
        <v>YoY Change (%)</v>
      </c>
      <c r="EO247" s="198">
        <f>EO246/EH246-1</f>
        <v>0.23178807947019875</v>
      </c>
      <c r="EP247" s="198">
        <f t="shared" ref="EP247" si="5199">EP246/EI246-1</f>
        <v>0.18572927597061861</v>
      </c>
      <c r="EQ247" s="198">
        <f t="shared" ref="EQ247" si="5200">EQ246/EJ246-1</f>
        <v>1.8147086914995114E-2</v>
      </c>
      <c r="ER247" s="198">
        <f t="shared" ref="ER247" si="5201">ER246/EK246-1</f>
        <v>-1.6544117647058876E-2</v>
      </c>
      <c r="ES247" s="198">
        <f t="shared" ref="ES247" si="5202">ES246/EL246-1</f>
        <v>0.10294487792600049</v>
      </c>
      <c r="EU247" s="197" t="str">
        <f t="shared" si="3986"/>
        <v>YoY Change (%)</v>
      </c>
      <c r="EV247" s="198">
        <f>EV246/EO246-1</f>
        <v>-2.8673835125448077E-2</v>
      </c>
      <c r="EW247" s="198">
        <f t="shared" ref="EW247" si="5203">EW246/EP246-1</f>
        <v>-3.1858407079645823E-2</v>
      </c>
      <c r="EX247" s="198">
        <f t="shared" ref="EX247" si="5204">EX246/EQ246-1</f>
        <v>-2.8142589118198891E-2</v>
      </c>
      <c r="EY247" s="198">
        <f t="shared" ref="EY247" si="5205">EY246/ER246-1</f>
        <v>-2.8037383177570097E-2</v>
      </c>
      <c r="EZ247" s="198">
        <f t="shared" ref="EZ247" si="5206">EZ246/ES246-1</f>
        <v>-2.921040620721127E-2</v>
      </c>
      <c r="FB247" s="197" t="str">
        <f t="shared" si="3991"/>
        <v>YoY Change (%)</v>
      </c>
      <c r="FC247" s="198">
        <f>FC246/EV246-1</f>
        <v>-1.4760147601476037E-2</v>
      </c>
      <c r="FD247" s="198">
        <f t="shared" ref="FD247" si="5207">FD246/EW246-1</f>
        <v>2.6508226691042358E-2</v>
      </c>
      <c r="FE247" s="198">
        <f t="shared" ref="FE247" si="5208">FE246/EX246-1</f>
        <v>2.8957528957529233E-2</v>
      </c>
      <c r="FF247" s="198">
        <f t="shared" ref="FF247" si="5209">FF246/EY246-1</f>
        <v>5.1923076923076961E-2</v>
      </c>
      <c r="FG247" s="198">
        <f t="shared" ref="FG247" si="5210">FG246/EZ246-1</f>
        <v>2.2802068641278872E-2</v>
      </c>
      <c r="FI247" s="197" t="str">
        <f t="shared" si="3996"/>
        <v>YoY Change (%)</v>
      </c>
      <c r="FJ247" s="198">
        <f>FJ246/FC246-1</f>
        <v>5.805243445692887E-2</v>
      </c>
      <c r="FK247" s="198">
        <f t="shared" ref="FK247" si="5211">FK246/FD246-1</f>
        <v>2.4933214603739762E-2</v>
      </c>
      <c r="FL247" s="198">
        <f t="shared" ref="FL247" si="5212">FL246/FE246-1</f>
        <v>4.1275797373357959E-2</v>
      </c>
      <c r="FM247" s="198">
        <f t="shared" ref="FM247" si="5213">FM246/FF246-1</f>
        <v>5.667276051188308E-2</v>
      </c>
      <c r="FN247" s="198">
        <f t="shared" ref="FN247" si="5214">FN246/FG246-1</f>
        <v>4.5047115605607813E-2</v>
      </c>
      <c r="FP247" s="197" t="str">
        <f t="shared" si="4001"/>
        <v>YoY Change (%)</v>
      </c>
      <c r="FQ247" s="198">
        <f>FQ246/FJ246-1</f>
        <v>2.6548672566371723E-2</v>
      </c>
      <c r="FR247" s="198">
        <f t="shared" ref="FR247" si="5215">FR246/FK246-1</f>
        <v>5.2128583840139076E-2</v>
      </c>
      <c r="FS247" s="198">
        <f t="shared" ref="FS247" si="5216">FS246/FL246-1</f>
        <v>4.1441441441441684E-2</v>
      </c>
      <c r="FT247" s="198">
        <f t="shared" ref="FT247" si="5217">FT246/FM246-1</f>
        <v>0.12716262975778547</v>
      </c>
      <c r="FU247" s="198">
        <f t="shared" ref="FU247" si="5218">FU246/FN246-1</f>
        <v>6.223883879481007E-2</v>
      </c>
      <c r="FW247" s="197" t="str">
        <f t="shared" si="4006"/>
        <v>YoY Change (%)</v>
      </c>
      <c r="FX247" s="198">
        <f>FX246/FQ246-1</f>
        <v>7.413793103448274E-2</v>
      </c>
      <c r="FY247" s="198">
        <f t="shared" ref="FY247" si="5219">FY246/FR246-1</f>
        <v>5.0371593724194863E-2</v>
      </c>
      <c r="FZ247" s="198">
        <f t="shared" ref="FZ247" si="5220">FZ246/FS246-1</f>
        <v>8.0449826989619444E-2</v>
      </c>
      <c r="GA247" s="198">
        <f t="shared" ref="GA247" si="5221">GA246/FT246-1</f>
        <v>1.5349194167306734E-3</v>
      </c>
      <c r="GB247" s="198">
        <f t="shared" ref="GB247" si="5222">GB246/FU246-1</f>
        <v>5.010351966873694E-2</v>
      </c>
      <c r="GD247" s="197" t="str">
        <f t="shared" si="4011"/>
        <v>YoY Change (%)</v>
      </c>
      <c r="GE247" s="198">
        <f>GE246/FX246-1</f>
        <v>0.1075441412520064</v>
      </c>
      <c r="GF247" s="198">
        <f t="shared" ref="GF247" si="5223">GF246/FY246-1</f>
        <v>0.12421383647798745</v>
      </c>
      <c r="GG247" s="198">
        <f t="shared" ref="GG247" si="5224">GG246/FZ246-1</f>
        <v>0.1232986389111288</v>
      </c>
      <c r="GH247" s="198">
        <f t="shared" ref="GH247" si="5225">GH246/GA246-1</f>
        <v>5.9003831417624442E-2</v>
      </c>
      <c r="GI247" s="198">
        <f t="shared" ref="GI247" si="5226">GI246/GB246-1</f>
        <v>0.10311514195583604</v>
      </c>
      <c r="GK247" s="197" t="str">
        <f t="shared" si="4016"/>
        <v>YoY Change (%)</v>
      </c>
      <c r="GL247" s="198">
        <f>GL246/GE246-1</f>
        <v>2.3188405797101463E-2</v>
      </c>
      <c r="GM247" s="198">
        <f t="shared" ref="GM247" si="5227">GM246/GF246-1</f>
        <v>4.2657342657342445E-2</v>
      </c>
      <c r="GN247" s="198">
        <f t="shared" ref="GN247" si="5228">GN246/GG246-1</f>
        <v>3.7776193870278085E-2</v>
      </c>
      <c r="GO247" s="198">
        <f t="shared" ref="GO247" si="5229">GO246/GH246-1</f>
        <v>6.3675832127351617E-2</v>
      </c>
      <c r="GP247" s="198">
        <f t="shared" ref="GP247" si="5230">GP246/GI246-1</f>
        <v>4.1823056300268169E-2</v>
      </c>
      <c r="GR247" s="197" t="str">
        <f t="shared" si="4021"/>
        <v>YoY Change (%)</v>
      </c>
      <c r="GS247" s="198">
        <f>GS246/GL246-1</f>
        <v>9.3484419263456076E-2</v>
      </c>
      <c r="GT247" s="198">
        <f t="shared" ref="GT247" si="5231">GT246/GM246-1</f>
        <v>9.7920858484239037E-2</v>
      </c>
      <c r="GU247" s="198">
        <f t="shared" ref="GU247" si="5232">GU246/GN246-1</f>
        <v>0.1346153846153848</v>
      </c>
      <c r="GV247" s="198">
        <f t="shared" ref="GV247" si="5233">GV246/GO246-1</f>
        <v>-3.6734693877551017E-2</v>
      </c>
      <c r="GW247" s="198">
        <f t="shared" ref="GW247" si="5234">GW246/GP246-1</f>
        <v>7.2053525476068137E-2</v>
      </c>
      <c r="GY247" s="197" t="str">
        <f t="shared" si="4026"/>
        <v>YoY Change (%)</v>
      </c>
      <c r="GZ247" s="198">
        <f>GZ246/GS246-1</f>
        <v>-0.24222797927461137</v>
      </c>
      <c r="HA247" s="198">
        <f t="shared" ref="HA247" si="5235">HA246/GT246-1</f>
        <v>-0.28283445326817347</v>
      </c>
      <c r="HB247" s="198">
        <f t="shared" ref="HB247" si="5236">HB246/GU246-1</f>
        <v>-0.24757869249394682</v>
      </c>
      <c r="HC247" s="198">
        <f t="shared" ref="HC247" si="5237">HC246/GV246-1</f>
        <v>-9.0395480225988756E-2</v>
      </c>
      <c r="HD247" s="198">
        <f t="shared" ref="HD247" si="5238">HD246/GW246-1</f>
        <v>-0.21987518002880491</v>
      </c>
      <c r="HF247" s="197" t="str">
        <f t="shared" si="4031"/>
        <v>YoY Change (%)</v>
      </c>
      <c r="HG247" s="198">
        <f>HG246/GZ246-1</f>
        <v>0.16923076923076907</v>
      </c>
      <c r="HH247" s="198">
        <f t="shared" ref="HH247" si="5239">HH246/HA246-1</f>
        <v>0.2402044293015333</v>
      </c>
      <c r="HI247" s="198">
        <f t="shared" ref="HI247" si="5240">HI246/HB246-1</f>
        <v>0.14883346741753822</v>
      </c>
      <c r="HJ247" s="198">
        <f t="shared" ref="HJ247" si="5241">HJ246/HC246-1</f>
        <v>0.19099378881987561</v>
      </c>
      <c r="HK247" s="198">
        <f t="shared" ref="HK247" si="5242">HK246/HD246-1</f>
        <v>0.18687179487179484</v>
      </c>
      <c r="HM247" s="197" t="str">
        <f t="shared" si="4036"/>
        <v>YoY Change (%)</v>
      </c>
      <c r="HN247" s="198">
        <f>HN246/HG246-1</f>
        <v>0.11549707602339199</v>
      </c>
      <c r="HO247" s="198">
        <f t="shared" ref="HO247" si="5243">HO246/HH246-1</f>
        <v>0.10714285714285721</v>
      </c>
      <c r="HP247" s="198">
        <f t="shared" ref="HP247" si="5244">HP246/HI246-1</f>
        <v>9.5938375350140159E-2</v>
      </c>
      <c r="HQ247" s="198">
        <f t="shared" ref="HQ247" si="5245">HQ246/HJ246-1</f>
        <v>4.2372881355932313E-2</v>
      </c>
      <c r="HR247" s="198">
        <f t="shared" ref="HR247" si="5246">HR246/HK246-1</f>
        <v>8.9180781195990377E-2</v>
      </c>
      <c r="HT247" s="197" t="str">
        <f t="shared" si="4041"/>
        <v>YoY Change (%)</v>
      </c>
      <c r="HU247" s="198">
        <f>HU246/HN246-1</f>
        <v>9.7640891218872872E-2</v>
      </c>
      <c r="HV247" s="198">
        <f t="shared" ref="HV247" si="5247">HV246/HO246-1</f>
        <v>6.1414392059553347E-2</v>
      </c>
      <c r="HW247" s="198">
        <f t="shared" ref="HW247" si="5248">HW246/HP246-1</f>
        <v>2.8115015974440771E-2</v>
      </c>
      <c r="HX247" s="198">
        <f t="shared" ref="HX247" si="5249">HX246/HQ246-1</f>
        <v>3.8774233896185173E-2</v>
      </c>
      <c r="HY247" s="198">
        <f t="shared" ref="HY247" si="5250">HY246/HR246-1</f>
        <v>5.6172643605204797E-2</v>
      </c>
      <c r="IA247" s="197" t="str">
        <f t="shared" si="4046"/>
        <v>YoY Change (%)</v>
      </c>
      <c r="IB247" s="198">
        <f>IB246/HU246-1</f>
        <v>2.5074626865671412E-2</v>
      </c>
      <c r="IC247" s="198">
        <f t="shared" ref="IC247" si="5251">IC246/HV246-1</f>
        <v>4.1496201052016124E-2</v>
      </c>
      <c r="ID247" s="198">
        <f t="shared" ref="ID247" si="5252">ID246/HW246-1</f>
        <v>6.8365444375388273E-2</v>
      </c>
      <c r="IE247" s="198">
        <f t="shared" ref="IE247" si="5253">IE246/HX246-1</f>
        <v>9.5123419626730987E-2</v>
      </c>
      <c r="IF247" s="198">
        <f t="shared" ref="IF247" si="5254">IF246/HY246-1</f>
        <v>5.7241586538461453E-2</v>
      </c>
      <c r="IH247" s="197" t="str">
        <f t="shared" si="4051"/>
        <v>YoY Change (%)</v>
      </c>
      <c r="II247" s="198">
        <f>II246/IB246-1</f>
        <v>4.0768782760629119E-2</v>
      </c>
      <c r="IJ247" s="198">
        <f t="shared" ref="IJ247" si="5255">IJ246/IC246-1</f>
        <v>0.10606060606060597</v>
      </c>
      <c r="IK247" s="198">
        <f t="shared" ref="IK247" si="5256">IK246/ID246-1</f>
        <v>0.12100058173356598</v>
      </c>
      <c r="IL247" s="198">
        <f t="shared" ref="IL247" si="5257">IL246/IE246-1</f>
        <v>5.717427157778987E-2</v>
      </c>
      <c r="IM247" s="198">
        <f t="shared" ref="IM247" si="5258">IM246/IF246-1</f>
        <v>8.11425323291175E-2</v>
      </c>
      <c r="IO247" s="197" t="str">
        <f t="shared" si="4056"/>
        <v>YoY Change (%)</v>
      </c>
      <c r="IP247" s="198">
        <f>IP246/II246-1</f>
        <v>1.231113598209288E-2</v>
      </c>
      <c r="IQ247" s="198">
        <f t="shared" ref="IQ247" si="5259">IQ246/IJ246-1</f>
        <v>-5.7331303906646425E-2</v>
      </c>
      <c r="IR247" s="198">
        <f t="shared" ref="IR247" si="5260">IR246/IK246-1</f>
        <v>-5.6045666839646846E-2</v>
      </c>
      <c r="IS247" s="198">
        <f t="shared" ref="IS247" si="5261">IS246/IL246-1</f>
        <v>-7.1762870514820332E-2</v>
      </c>
      <c r="IT247" s="198">
        <f t="shared" ref="IT247" si="5262">IT246/IM246-1</f>
        <v>-4.4295478443743264E-2</v>
      </c>
      <c r="IV247" s="197" t="str">
        <f t="shared" si="4061"/>
        <v>YoY Change (%)</v>
      </c>
      <c r="IW247" s="198">
        <f>IW246/IP246-1</f>
        <v>-4.1459369817578695E-2</v>
      </c>
      <c r="IX247" s="198">
        <f t="shared" ref="IX247" si="5263">IX246/IQ246-1</f>
        <v>-4.6286329386436842E-2</v>
      </c>
      <c r="IY247" s="198">
        <f t="shared" ref="IY247" si="5264">IY246/IR246-1</f>
        <v>-4.2880703683342625E-2</v>
      </c>
      <c r="IZ247" s="198">
        <f t="shared" ref="IZ247" si="5265">IZ246/IS246-1</f>
        <v>6.1624649859943981E-2</v>
      </c>
      <c r="JA247" s="198">
        <f t="shared" ref="JA247" si="5266">JA246/IT246-1</f>
        <v>-1.7741713656993618E-2</v>
      </c>
      <c r="JC247" s="197" t="str">
        <f t="shared" si="4066"/>
        <v>YoY Change (%)</v>
      </c>
      <c r="JD247" s="198">
        <f>JD246/IW246-1</f>
        <v>6.0553633217993008E-2</v>
      </c>
      <c r="JE247" s="198">
        <f t="shared" ref="JE247" si="5267">JE246/IX246-1</f>
        <v>1.46726862302482E-2</v>
      </c>
      <c r="JF247" s="198">
        <f t="shared" ref="JF247" si="5268">JF246/IY246-1</f>
        <v>-3.0442274554853488E-2</v>
      </c>
      <c r="JG247" s="198">
        <f t="shared" ref="JG247" si="5269">JG246/IZ246-1</f>
        <v>-8.0211081794195227E-2</v>
      </c>
      <c r="JH247" s="198">
        <f t="shared" ref="JH247" si="5270">JH246/JA246-1</f>
        <v>-1.0361243349201632E-2</v>
      </c>
      <c r="JJ247" s="197" t="str">
        <f t="shared" si="4071"/>
        <v>YoY Change (%)</v>
      </c>
      <c r="JK247" s="198">
        <f>JK246/JD246-1</f>
        <v>-3.2626427406198921E-2</v>
      </c>
      <c r="JL247" s="198">
        <f t="shared" ref="JL247" si="5271">JL246/JE246-1</f>
        <v>6.0622914349277135E-2</v>
      </c>
      <c r="JM247" s="198">
        <f t="shared" ref="JM247" si="5272">JM246/JF246-1</f>
        <v>0.11966824644549767</v>
      </c>
      <c r="JN247" s="198">
        <f t="shared" ref="JN247" si="5273">JN246/JG246-1</f>
        <v>9.8680436029833674E-2</v>
      </c>
      <c r="JO247" s="198">
        <f t="shared" ref="JO247" si="5274">JO246/JH246-1</f>
        <v>5.9847198641765464E-2</v>
      </c>
      <c r="JQ247" s="197" t="str">
        <f t="shared" si="4076"/>
        <v>YoY Change (%)</v>
      </c>
      <c r="JR247" s="198">
        <f>JR246/JK246-1</f>
        <v>5.6211354693648019E-2</v>
      </c>
      <c r="JS247" s="198">
        <f t="shared" ref="JS247" si="5275">JS246/JL246-1</f>
        <v>1.9402202412165614E-2</v>
      </c>
      <c r="JT247" s="198">
        <f t="shared" ref="JT247" si="5276">JT246/JM246-1</f>
        <v>8.4656084656085095E-3</v>
      </c>
      <c r="JU247" s="198">
        <f t="shared" ref="JU247" si="5277">JU246/JN246-1</f>
        <v>-2.8720626631853929E-2</v>
      </c>
      <c r="JV247" s="198">
        <f t="shared" ref="JV247" si="5278">JV246/JO246-1</f>
        <v>1.3082365505273197E-2</v>
      </c>
      <c r="JX247" s="197" t="str">
        <f t="shared" si="4081"/>
        <v>YoY Change (%)</v>
      </c>
      <c r="JY247" s="198">
        <f>JY246/JR246-1</f>
        <v>2.5545502927088792E-2</v>
      </c>
      <c r="JZ247" s="198">
        <f t="shared" ref="JZ247" si="5279">JZ246/JS246-1</f>
        <v>-0.22427983539094654</v>
      </c>
      <c r="KA247" s="198">
        <f t="shared" ref="KA247" si="5280">KA246/JT246-1</f>
        <v>-6.7681007345225641E-2</v>
      </c>
      <c r="KB247" s="198">
        <f t="shared" ref="KB247" si="5281">KB246/JU246-1</f>
        <v>2.1505376344086446E-3</v>
      </c>
      <c r="KC247" s="198">
        <f t="shared" ref="KC247" si="5282">KC246/JV246-1</f>
        <v>-6.7597838977467517E-2</v>
      </c>
      <c r="KE247" s="197" t="str">
        <f t="shared" si="4086"/>
        <v>YoY Change (%)</v>
      </c>
      <c r="KF247" s="198">
        <f>KF246/JY246-1</f>
        <v>-5.6564608199273447E-2</v>
      </c>
      <c r="KG247" s="198">
        <f t="shared" ref="KG247" si="5283">KG246/JZ246-1</f>
        <v>0.26193633952254647</v>
      </c>
      <c r="KH247" s="198">
        <f t="shared" ref="KH247" si="5284">KH246/KA246-1</f>
        <v>5.8525604952166743E-2</v>
      </c>
      <c r="KI247" s="198">
        <f t="shared" ref="KI247" si="5285">KI246/KB246-1</f>
        <v>3.9163090128755185E-2</v>
      </c>
      <c r="KJ247" s="198">
        <f t="shared" ref="KJ247" si="5286">KJ246/KC246-1</f>
        <v>6.5432447710570996E-2</v>
      </c>
      <c r="KL247" s="197" t="str">
        <f t="shared" si="4091"/>
        <v>YoY Change (%)</v>
      </c>
      <c r="KM247" s="198">
        <f>KM246/KF246-1</f>
        <v>5.6655665566556657E-2</v>
      </c>
      <c r="KN247" s="198">
        <f t="shared" ref="KN247" si="5287">KN246/KG246-1</f>
        <v>0.10404624277456653</v>
      </c>
      <c r="KO247" s="198">
        <f t="shared" ref="KO247" si="5288">KO246/KH246-1</f>
        <v>0.13928761297182346</v>
      </c>
      <c r="KP247" s="198">
        <f t="shared" ref="KP247" si="5289">KP246/KI246-1</f>
        <v>7.0727929788332755E-2</v>
      </c>
      <c r="KQ247" s="198">
        <f t="shared" ref="KQ247" si="5290">KQ246/KJ246-1</f>
        <v>9.2850510677808806E-2</v>
      </c>
      <c r="KS247" s="197" t="str">
        <f t="shared" si="4096"/>
        <v>YoY Change (%)</v>
      </c>
      <c r="KT247" s="198">
        <f>KT246/KM246-1</f>
        <v>0.12597605413846957</v>
      </c>
      <c r="KU247" s="198">
        <f t="shared" ref="KU247" si="5291">KU246/KN246-1</f>
        <v>4.5216563541170762E-2</v>
      </c>
      <c r="KV247" s="198">
        <f t="shared" ref="KV247" si="5292">KV246/KO246-1</f>
        <v>-1.4465702286514004E-2</v>
      </c>
      <c r="KW247" s="198">
        <f t="shared" ref="KW247" si="5293">KW246/KP246-1</f>
        <v>5.2073288331725864E-2</v>
      </c>
      <c r="KX247" s="198">
        <f t="shared" ref="KX247" si="5294">KX246/KQ246-1</f>
        <v>5.0248816603956747E-2</v>
      </c>
      <c r="KZ247" s="197" t="str">
        <f t="shared" si="4101"/>
        <v>YoY Change (%)</v>
      </c>
      <c r="LA247" s="198">
        <f>LA246/KT246-1</f>
        <v>1.0171058714747883E-2</v>
      </c>
      <c r="LB247" s="198">
        <f>LB246/KU246-1</f>
        <v>4.5537340619307809E-2</v>
      </c>
      <c r="LC247" s="198">
        <f>LC246/KV246-1</f>
        <v>5.6344696969696795E-2</v>
      </c>
      <c r="LD247" s="198">
        <f t="shared" ref="LD247" si="5295">LD246/KW246-1</f>
        <v>4.124656278643446E-3</v>
      </c>
      <c r="LE247" s="199">
        <f t="shared" ref="LE247" si="5296">LE246/KX246-1</f>
        <v>2.8891713856465939E-2</v>
      </c>
      <c r="LF247" s="574"/>
      <c r="LG247" s="197" t="str">
        <f t="shared" si="4104"/>
        <v>YoY Change (%)</v>
      </c>
      <c r="LH247" s="198">
        <f>LH246/LA246-1</f>
        <v>-1.5102974828375082E-2</v>
      </c>
      <c r="LI247" s="198">
        <f>LI246/LB246-1</f>
        <v>-1.6986062717770034E-2</v>
      </c>
      <c r="LJ247" s="198">
        <f>LJ246/LC246-1</f>
        <v>-1.0309278350515649E-2</v>
      </c>
      <c r="LK247" s="198">
        <f>LK246/LD246-1</f>
        <v>-1.5974440894568676E-2</v>
      </c>
      <c r="LL247" s="199">
        <f t="shared" ref="LL247" si="5297">LL246/LE246-1</f>
        <v>-1.4601819611366973E-2</v>
      </c>
      <c r="LM247" s="574"/>
      <c r="LN247" s="197" t="str">
        <f t="shared" si="4106"/>
        <v>YoY Change (%)</v>
      </c>
      <c r="LO247" s="199">
        <f>LO246/LH246-1</f>
        <v>-2.1386152416359439E-3</v>
      </c>
      <c r="LP247" s="199">
        <f t="shared" ref="LP247" si="5298">LP246/LI246-1</f>
        <v>-6.6875276916289472E-4</v>
      </c>
      <c r="LQ247" s="199">
        <f t="shared" ref="LQ247" si="5299">LQ246/LJ246-1</f>
        <v>2.0522939311594213E-2</v>
      </c>
      <c r="LR247" s="199">
        <f t="shared" ref="LR247" si="5300">LR246/LK246-1</f>
        <v>4.9449802875695781E-2</v>
      </c>
      <c r="LS247" s="199">
        <f t="shared" ref="LS247" si="5301">LS246/LL246-1</f>
        <v>1.6621081728029008E-2</v>
      </c>
      <c r="LT247" s="574"/>
      <c r="LU247" s="197" t="str">
        <f t="shared" si="4610"/>
        <v>YoY Change (%)</v>
      </c>
      <c r="LV247" s="199">
        <f>LV246/LO246-1</f>
        <v>5.6883437941464665E-2</v>
      </c>
      <c r="LW247" s="199">
        <f t="shared" ref="LW247" si="5302">LW246/LP246-1</f>
        <v>5.5958770603402819E-2</v>
      </c>
      <c r="LX247" s="199">
        <f t="shared" ref="LX247" si="5303">LX246/LQ246-1</f>
        <v>5.5247435430843872E-2</v>
      </c>
      <c r="LY247" s="199">
        <f t="shared" ref="LY247" si="5304">LY246/LR246-1</f>
        <v>5.5044168253759906E-2</v>
      </c>
      <c r="LZ247" s="199">
        <f t="shared" ref="LZ247" si="5305">LZ246/LS246-1</f>
        <v>5.5769661961237116E-2</v>
      </c>
      <c r="MA247" s="574"/>
      <c r="MB247" s="197" t="str">
        <f t="shared" si="4612"/>
        <v>YoY Change (%)</v>
      </c>
      <c r="MC247" s="199">
        <f>MC246/LV246-1</f>
        <v>5.2694294496524519E-2</v>
      </c>
      <c r="MD247" s="199">
        <f t="shared" ref="MD247" si="5306">MD246/LW246-1</f>
        <v>5.1988086138481826E-2</v>
      </c>
      <c r="ME247" s="199">
        <f t="shared" ref="ME247" si="5307">ME246/LX246-1</f>
        <v>5.0506432437602777E-2</v>
      </c>
      <c r="MF247" s="199">
        <f t="shared" ref="MF247" si="5308">MF246/LY246-1</f>
        <v>4.824292360561544E-2</v>
      </c>
      <c r="MG247" s="199">
        <f t="shared" ref="MG247" si="5309">MG246/LZ246-1</f>
        <v>5.0834692793343184E-2</v>
      </c>
      <c r="MH247" s="574"/>
    </row>
    <row r="248" spans="1:346" s="37" customFormat="1" ht="13.15" x14ac:dyDescent="0.4">
      <c r="A248" s="100"/>
      <c r="C248" s="186"/>
      <c r="D248" s="186"/>
      <c r="E248" s="186"/>
      <c r="F248" s="186"/>
      <c r="G248" s="186"/>
      <c r="H248" s="186"/>
      <c r="I248" s="186"/>
      <c r="J248" s="186"/>
      <c r="K248" s="186"/>
      <c r="L248" s="186"/>
      <c r="M248" s="186"/>
      <c r="N248" s="193"/>
      <c r="O248" s="193"/>
      <c r="P248" s="193"/>
      <c r="Q248" s="193"/>
      <c r="R248" s="193"/>
      <c r="S248" s="193"/>
      <c r="T248" s="193"/>
      <c r="U248" s="193"/>
      <c r="V248" s="193"/>
      <c r="W248" s="193"/>
      <c r="X248" s="193"/>
      <c r="Y248" s="193"/>
      <c r="Z248" s="193"/>
      <c r="AA248" s="193"/>
      <c r="AB248" s="193"/>
      <c r="AC248" s="193"/>
      <c r="AD248" s="193"/>
      <c r="AE248" s="193"/>
      <c r="AF248" s="193"/>
      <c r="AG248" s="193"/>
      <c r="AH248" s="193"/>
      <c r="AI248" s="193"/>
      <c r="AJ248" s="193"/>
      <c r="AK248" s="193"/>
      <c r="AL248" s="193"/>
      <c r="AM248" s="193"/>
      <c r="AN248" s="193"/>
      <c r="AO248" s="193"/>
      <c r="AP248" s="193"/>
      <c r="AQ248" s="193"/>
      <c r="AR248" s="193"/>
      <c r="AS248" s="193"/>
      <c r="AT248" s="193"/>
      <c r="AU248" s="193"/>
      <c r="AV248" s="193"/>
      <c r="AW248" s="193"/>
      <c r="AX248" s="193"/>
      <c r="AY248" s="193"/>
      <c r="AZ248" s="193"/>
      <c r="BA248" s="193"/>
      <c r="BB248" s="193"/>
      <c r="BC248" s="193"/>
      <c r="BD248" s="193"/>
      <c r="BE248" s="193"/>
      <c r="BF248" s="193"/>
      <c r="BG248" s="193"/>
      <c r="BH248" s="193"/>
      <c r="BI248" s="193"/>
      <c r="BJ248" s="193"/>
      <c r="BK248" s="193"/>
      <c r="BL248" s="193"/>
      <c r="BM248" s="193"/>
      <c r="BP248" s="193"/>
      <c r="BQ248" s="193"/>
      <c r="BR248" s="193"/>
      <c r="BS248" s="193"/>
      <c r="BT248" s="193"/>
      <c r="BW248" s="193"/>
      <c r="BX248" s="193"/>
      <c r="BY248" s="193"/>
      <c r="BZ248" s="193"/>
      <c r="CA248" s="193"/>
      <c r="CD248" s="193"/>
      <c r="CE248" s="193"/>
      <c r="CF248" s="193"/>
      <c r="CG248" s="193"/>
      <c r="CH248" s="193"/>
      <c r="CK248" s="193"/>
      <c r="CL248" s="193"/>
      <c r="CM248" s="193"/>
      <c r="CN248" s="193"/>
      <c r="CO248" s="193"/>
      <c r="CR248" s="193"/>
      <c r="CS248" s="193"/>
      <c r="CT248" s="193"/>
      <c r="CU248" s="193"/>
      <c r="CV248" s="193"/>
      <c r="CY248" s="193"/>
      <c r="CZ248" s="193"/>
      <c r="DA248" s="193"/>
      <c r="DB248" s="193"/>
      <c r="DC248" s="193"/>
      <c r="DF248" s="193"/>
      <c r="DG248" s="193"/>
      <c r="DH248" s="193"/>
      <c r="DI248" s="193"/>
      <c r="DJ248" s="193"/>
      <c r="DM248" s="193"/>
      <c r="DN248" s="193"/>
      <c r="DO248" s="193"/>
      <c r="DP248" s="193"/>
      <c r="DQ248" s="193"/>
      <c r="DT248" s="193"/>
      <c r="DU248" s="193"/>
      <c r="DV248" s="193"/>
      <c r="DW248" s="193"/>
      <c r="DX248" s="193"/>
      <c r="EA248" s="193"/>
      <c r="EB248" s="193"/>
      <c r="EC248" s="193"/>
      <c r="ED248" s="193"/>
      <c r="EE248" s="193"/>
      <c r="EH248" s="193"/>
      <c r="EI248" s="193"/>
      <c r="EJ248" s="193"/>
      <c r="EK248" s="193"/>
      <c r="EL248" s="193"/>
      <c r="EO248" s="193"/>
      <c r="EP248" s="193"/>
      <c r="EQ248" s="193"/>
      <c r="ER248" s="193"/>
      <c r="ES248" s="193"/>
      <c r="EV248" s="193"/>
      <c r="EW248" s="193"/>
      <c r="EX248" s="193"/>
      <c r="EY248" s="193"/>
      <c r="EZ248" s="193"/>
      <c r="FC248" s="193"/>
      <c r="FD248" s="193"/>
      <c r="FE248" s="193"/>
      <c r="FF248" s="193"/>
      <c r="FG248" s="193"/>
      <c r="FJ248" s="193"/>
      <c r="FK248" s="193"/>
      <c r="FL248" s="193"/>
      <c r="FM248" s="193"/>
      <c r="FN248" s="193"/>
      <c r="FQ248" s="193"/>
      <c r="FR248" s="193"/>
      <c r="FS248" s="193"/>
      <c r="FT248" s="193"/>
      <c r="FU248" s="193"/>
      <c r="FX248" s="193"/>
      <c r="FY248" s="193"/>
      <c r="FZ248" s="193"/>
      <c r="GA248" s="193"/>
      <c r="GB248" s="193"/>
      <c r="GE248" s="193"/>
      <c r="GF248" s="193"/>
      <c r="GG248" s="193"/>
      <c r="GH248" s="193"/>
      <c r="GI248" s="193"/>
      <c r="GL248" s="193"/>
      <c r="GM248" s="193"/>
      <c r="GN248" s="193"/>
      <c r="GO248" s="193"/>
      <c r="GP248" s="193"/>
      <c r="GS248" s="193"/>
      <c r="GT248" s="193"/>
      <c r="GU248" s="193"/>
      <c r="GV248" s="193"/>
      <c r="GW248" s="193"/>
      <c r="GZ248" s="193"/>
      <c r="HA248" s="193"/>
      <c r="HB248" s="193"/>
      <c r="HC248" s="193"/>
      <c r="HD248" s="193"/>
      <c r="HG248" s="193"/>
      <c r="HH248" s="193"/>
      <c r="HI248" s="193"/>
      <c r="HJ248" s="193"/>
      <c r="HK248" s="193"/>
      <c r="HN248" s="193"/>
      <c r="HO248" s="193"/>
      <c r="HP248" s="193"/>
      <c r="HQ248" s="193"/>
      <c r="HR248" s="193"/>
      <c r="HU248" s="193"/>
      <c r="HV248" s="193"/>
      <c r="HW248" s="193"/>
      <c r="HX248" s="193"/>
      <c r="HY248" s="193"/>
      <c r="IB248" s="193"/>
      <c r="IC248" s="193"/>
      <c r="ID248" s="193"/>
      <c r="IE248" s="193"/>
      <c r="IF248" s="193"/>
      <c r="II248" s="193"/>
      <c r="IJ248" s="193"/>
      <c r="IK248" s="193"/>
      <c r="IL248" s="193"/>
      <c r="IM248" s="193"/>
      <c r="IP248" s="193"/>
      <c r="IQ248" s="193"/>
      <c r="IR248" s="193"/>
      <c r="IS248" s="193"/>
      <c r="IT248" s="193"/>
      <c r="IW248" s="193"/>
      <c r="IX248" s="193"/>
      <c r="IY248" s="193"/>
      <c r="IZ248" s="193"/>
      <c r="JA248" s="193"/>
      <c r="JD248" s="193"/>
      <c r="JE248" s="193"/>
      <c r="JF248" s="193"/>
      <c r="JG248" s="193"/>
      <c r="JH248" s="193"/>
      <c r="JK248" s="193"/>
      <c r="JL248" s="193"/>
      <c r="JM248" s="193"/>
      <c r="JN248" s="193"/>
      <c r="JO248" s="193"/>
      <c r="JR248" s="193"/>
      <c r="JS248" s="193"/>
      <c r="JT248" s="193"/>
      <c r="JU248" s="193"/>
      <c r="JV248" s="193"/>
      <c r="JY248" s="193"/>
      <c r="JZ248" s="193"/>
      <c r="KA248" s="193"/>
      <c r="KB248" s="193"/>
      <c r="KC248" s="193"/>
      <c r="KF248" s="193"/>
      <c r="KG248" s="193"/>
      <c r="KH248" s="193"/>
      <c r="KI248" s="193"/>
      <c r="KJ248" s="193"/>
      <c r="KM248" s="193"/>
      <c r="KN248" s="193"/>
      <c r="KO248" s="193"/>
      <c r="KP248" s="193"/>
      <c r="KQ248" s="193"/>
      <c r="KT248" s="193"/>
      <c r="KU248" s="193"/>
      <c r="KV248" s="193"/>
      <c r="KW248" s="193"/>
      <c r="KX248" s="193"/>
      <c r="LA248" s="193"/>
      <c r="LB248" s="193"/>
      <c r="LC248" s="193"/>
      <c r="LD248" s="193"/>
      <c r="LE248" s="193"/>
      <c r="LF248" s="555"/>
      <c r="LH248" s="193"/>
      <c r="LI248" s="193"/>
      <c r="LJ248" s="193"/>
      <c r="LK248" s="193"/>
      <c r="LL248" s="193"/>
      <c r="LM248" s="555"/>
      <c r="LO248" s="192"/>
      <c r="LP248" s="192"/>
      <c r="LQ248" s="192"/>
      <c r="LR248" s="192"/>
      <c r="LS248" s="193"/>
      <c r="LT248" s="555"/>
      <c r="LV248" s="192"/>
      <c r="LW248" s="192"/>
      <c r="LX248" s="192"/>
      <c r="LY248" s="192"/>
      <c r="LZ248" s="193"/>
      <c r="MA248" s="555"/>
      <c r="MC248" s="192"/>
      <c r="MD248" s="192"/>
      <c r="ME248" s="192"/>
      <c r="MF248" s="192"/>
      <c r="MG248" s="193"/>
      <c r="MH248" s="555"/>
    </row>
    <row r="249" spans="1:346" s="37" customFormat="1" ht="13.15" x14ac:dyDescent="0.4">
      <c r="A249" s="100"/>
      <c r="B249" s="206" t="s">
        <v>32</v>
      </c>
      <c r="C249" s="186"/>
      <c r="D249" s="186"/>
      <c r="E249" s="186"/>
      <c r="F249" s="186"/>
      <c r="G249" s="186"/>
      <c r="H249" s="186"/>
      <c r="I249" s="186"/>
      <c r="J249" s="186"/>
      <c r="K249" s="186"/>
      <c r="L249" s="186"/>
      <c r="M249" s="186"/>
      <c r="N249" s="193"/>
      <c r="O249" s="193"/>
      <c r="P249" s="193"/>
      <c r="Q249" s="193"/>
      <c r="R249" s="193"/>
      <c r="S249" s="193"/>
      <c r="T249" s="193"/>
      <c r="U249" s="193"/>
      <c r="V249" s="193"/>
      <c r="W249" s="193"/>
      <c r="X249" s="193"/>
      <c r="Y249" s="193"/>
      <c r="Z249" s="193"/>
      <c r="AA249" s="193"/>
      <c r="AB249" s="193"/>
      <c r="AC249" s="193"/>
      <c r="AD249" s="193"/>
      <c r="AE249" s="193"/>
      <c r="AF249" s="193"/>
      <c r="AG249" s="193"/>
      <c r="AH249" s="193"/>
      <c r="AI249" s="193"/>
      <c r="AJ249" s="193"/>
      <c r="AK249" s="193"/>
      <c r="AL249" s="193"/>
      <c r="AM249" s="193"/>
      <c r="AN249" s="193"/>
      <c r="AO249" s="193"/>
      <c r="AP249" s="193"/>
      <c r="AQ249" s="193"/>
      <c r="AR249" s="193"/>
      <c r="AS249" s="193"/>
      <c r="AT249" s="193"/>
      <c r="AU249" s="193"/>
      <c r="AV249" s="193"/>
      <c r="AW249" s="193"/>
      <c r="AX249" s="193"/>
      <c r="AY249" s="193"/>
      <c r="AZ249" s="193"/>
      <c r="BA249" s="193"/>
      <c r="BB249" s="193"/>
      <c r="BC249" s="193"/>
      <c r="BD249" s="193"/>
      <c r="BE249" s="193"/>
      <c r="BF249" s="193"/>
      <c r="BG249" s="193"/>
      <c r="BH249" s="193"/>
      <c r="BI249" s="193"/>
      <c r="BJ249" s="193"/>
      <c r="BK249" s="193"/>
      <c r="BL249" s="193"/>
      <c r="BM249" s="193"/>
      <c r="BO249" s="206" t="str">
        <f t="shared" si="3930"/>
        <v>Intermodal</v>
      </c>
      <c r="BP249" s="193"/>
      <c r="BQ249" s="193"/>
      <c r="BR249" s="193"/>
      <c r="BS249" s="193"/>
      <c r="BT249" s="193"/>
      <c r="BV249" s="206" t="str">
        <f t="shared" si="3931"/>
        <v>Intermodal</v>
      </c>
      <c r="BW249" s="193"/>
      <c r="BX249" s="193"/>
      <c r="BY249" s="193"/>
      <c r="BZ249" s="193"/>
      <c r="CA249" s="193"/>
      <c r="CC249" s="206" t="str">
        <f t="shared" si="3936"/>
        <v>Intermodal</v>
      </c>
      <c r="CD249" s="193"/>
      <c r="CE249" s="193"/>
      <c r="CF249" s="193"/>
      <c r="CG249" s="193"/>
      <c r="CH249" s="193"/>
      <c r="CJ249" s="206" t="str">
        <f t="shared" si="3941"/>
        <v>Intermodal</v>
      </c>
      <c r="CK249" s="193"/>
      <c r="CL249" s="193"/>
      <c r="CM249" s="193"/>
      <c r="CN249" s="193"/>
      <c r="CO249" s="193"/>
      <c r="CQ249" s="206" t="str">
        <f t="shared" si="3946"/>
        <v>Intermodal</v>
      </c>
      <c r="CR249" s="193"/>
      <c r="CS249" s="193"/>
      <c r="CT249" s="193"/>
      <c r="CU249" s="193"/>
      <c r="CV249" s="193"/>
      <c r="CX249" s="206" t="str">
        <f t="shared" si="3951"/>
        <v>Intermodal</v>
      </c>
      <c r="CY249" s="193"/>
      <c r="CZ249" s="193"/>
      <c r="DA249" s="193"/>
      <c r="DB249" s="193"/>
      <c r="DC249" s="193"/>
      <c r="DE249" s="206" t="str">
        <f t="shared" si="3956"/>
        <v>Intermodal</v>
      </c>
      <c r="DF249" s="193"/>
      <c r="DG249" s="193"/>
      <c r="DH249" s="193"/>
      <c r="DI249" s="193"/>
      <c r="DJ249" s="193"/>
      <c r="DL249" s="206" t="str">
        <f t="shared" si="3961"/>
        <v>Intermodal</v>
      </c>
      <c r="DM249" s="193"/>
      <c r="DN249" s="193"/>
      <c r="DO249" s="193"/>
      <c r="DP249" s="193"/>
      <c r="DQ249" s="193"/>
      <c r="DS249" s="206" t="str">
        <f t="shared" si="3966"/>
        <v>Intermodal</v>
      </c>
      <c r="DT249" s="193"/>
      <c r="DU249" s="193"/>
      <c r="DV249" s="193"/>
      <c r="DW249" s="193"/>
      <c r="DX249" s="193"/>
      <c r="DZ249" s="206" t="str">
        <f t="shared" si="3971"/>
        <v>Intermodal</v>
      </c>
      <c r="EA249" s="193"/>
      <c r="EB249" s="193"/>
      <c r="EC249" s="193"/>
      <c r="ED249" s="193"/>
      <c r="EE249" s="193"/>
      <c r="EG249" s="206" t="str">
        <f t="shared" si="3976"/>
        <v>Intermodal</v>
      </c>
      <c r="EH249" s="193"/>
      <c r="EI249" s="193"/>
      <c r="EJ249" s="193"/>
      <c r="EK249" s="193"/>
      <c r="EL249" s="193"/>
      <c r="EN249" s="206" t="str">
        <f t="shared" si="3981"/>
        <v>Intermodal</v>
      </c>
      <c r="EO249" s="193"/>
      <c r="EP249" s="193"/>
      <c r="EQ249" s="193"/>
      <c r="ER249" s="193"/>
      <c r="ES249" s="193"/>
      <c r="EU249" s="206" t="str">
        <f t="shared" si="3986"/>
        <v>Intermodal</v>
      </c>
      <c r="EV249" s="193"/>
      <c r="EW249" s="193"/>
      <c r="EX249" s="193"/>
      <c r="EY249" s="193"/>
      <c r="EZ249" s="193"/>
      <c r="FB249" s="206" t="str">
        <f t="shared" si="3991"/>
        <v>Intermodal</v>
      </c>
      <c r="FC249" s="193"/>
      <c r="FD249" s="193"/>
      <c r="FE249" s="193"/>
      <c r="FF249" s="193"/>
      <c r="FG249" s="193"/>
      <c r="FI249" s="206" t="str">
        <f t="shared" si="3996"/>
        <v>Intermodal</v>
      </c>
      <c r="FJ249" s="193"/>
      <c r="FK249" s="193"/>
      <c r="FL249" s="193"/>
      <c r="FM249" s="193"/>
      <c r="FN249" s="193"/>
      <c r="FP249" s="206" t="str">
        <f t="shared" si="4001"/>
        <v>Intermodal</v>
      </c>
      <c r="FQ249" s="193"/>
      <c r="FR249" s="193"/>
      <c r="FS249" s="193"/>
      <c r="FT249" s="193"/>
      <c r="FU249" s="193"/>
      <c r="FW249" s="206" t="str">
        <f t="shared" si="4006"/>
        <v>Intermodal</v>
      </c>
      <c r="FX249" s="193"/>
      <c r="FY249" s="193"/>
      <c r="FZ249" s="193"/>
      <c r="GA249" s="193"/>
      <c r="GB249" s="193"/>
      <c r="GD249" s="206" t="str">
        <f t="shared" si="4011"/>
        <v>Intermodal</v>
      </c>
      <c r="GE249" s="193"/>
      <c r="GF249" s="193"/>
      <c r="GG249" s="193"/>
      <c r="GH249" s="193"/>
      <c r="GI249" s="193"/>
      <c r="GK249" s="206" t="str">
        <f t="shared" si="4016"/>
        <v>Intermodal</v>
      </c>
      <c r="GL249" s="193"/>
      <c r="GM249" s="193"/>
      <c r="GN249" s="193"/>
      <c r="GO249" s="193"/>
      <c r="GP249" s="193"/>
      <c r="GR249" s="206" t="str">
        <f t="shared" si="4021"/>
        <v>Intermodal</v>
      </c>
      <c r="GS249" s="193"/>
      <c r="GT249" s="193"/>
      <c r="GU249" s="193"/>
      <c r="GV249" s="193"/>
      <c r="GW249" s="193"/>
      <c r="GY249" s="206" t="str">
        <f t="shared" si="4026"/>
        <v>Intermodal</v>
      </c>
      <c r="GZ249" s="193"/>
      <c r="HA249" s="193"/>
      <c r="HB249" s="193"/>
      <c r="HC249" s="193"/>
      <c r="HD249" s="193"/>
      <c r="HF249" s="206" t="str">
        <f t="shared" si="4031"/>
        <v>Intermodal</v>
      </c>
      <c r="HG249" s="193"/>
      <c r="HH249" s="193"/>
      <c r="HI249" s="193"/>
      <c r="HJ249" s="193"/>
      <c r="HK249" s="193"/>
      <c r="HM249" s="206" t="str">
        <f t="shared" si="4036"/>
        <v>Intermodal</v>
      </c>
      <c r="HN249" s="193"/>
      <c r="HO249" s="193"/>
      <c r="HP249" s="193"/>
      <c r="HQ249" s="193"/>
      <c r="HR249" s="193"/>
      <c r="HT249" s="206" t="str">
        <f t="shared" si="4041"/>
        <v>Intermodal</v>
      </c>
      <c r="HU249" s="193"/>
      <c r="HV249" s="193"/>
      <c r="HW249" s="193"/>
      <c r="HX249" s="193"/>
      <c r="HY249" s="193"/>
      <c r="IA249" s="206" t="str">
        <f t="shared" si="4046"/>
        <v>Intermodal</v>
      </c>
      <c r="IB249" s="193"/>
      <c r="IC249" s="193"/>
      <c r="ID249" s="193"/>
      <c r="IE249" s="193"/>
      <c r="IF249" s="193"/>
      <c r="IH249" s="206" t="str">
        <f t="shared" si="4051"/>
        <v>Intermodal</v>
      </c>
      <c r="II249" s="193"/>
      <c r="IJ249" s="193"/>
      <c r="IK249" s="193"/>
      <c r="IL249" s="193"/>
      <c r="IM249" s="193"/>
      <c r="IO249" s="206" t="str">
        <f t="shared" si="4056"/>
        <v>Intermodal</v>
      </c>
      <c r="IP249" s="193"/>
      <c r="IQ249" s="193"/>
      <c r="IR249" s="193"/>
      <c r="IS249" s="193"/>
      <c r="IT249" s="193"/>
      <c r="IV249" s="206" t="str">
        <f t="shared" si="4061"/>
        <v>Intermodal</v>
      </c>
      <c r="IW249" s="193"/>
      <c r="IX249" s="193"/>
      <c r="IY249" s="193"/>
      <c r="IZ249" s="193"/>
      <c r="JA249" s="193"/>
      <c r="JC249" s="206" t="str">
        <f t="shared" si="4066"/>
        <v>Intermodal</v>
      </c>
      <c r="JD249" s="193"/>
      <c r="JE249" s="193"/>
      <c r="JF249" s="193"/>
      <c r="JG249" s="193"/>
      <c r="JH249" s="193"/>
      <c r="JJ249" s="206" t="str">
        <f t="shared" si="4071"/>
        <v>Intermodal</v>
      </c>
      <c r="JK249" s="193"/>
      <c r="JL249" s="193"/>
      <c r="JM249" s="193"/>
      <c r="JN249" s="193"/>
      <c r="JO249" s="193"/>
      <c r="JQ249" s="206" t="str">
        <f t="shared" si="4076"/>
        <v>Intermodal</v>
      </c>
      <c r="JR249" s="193"/>
      <c r="JS249" s="193"/>
      <c r="JT249" s="193"/>
      <c r="JU249" s="193"/>
      <c r="JV249" s="193"/>
      <c r="JX249" s="206" t="str">
        <f t="shared" si="4081"/>
        <v>Intermodal</v>
      </c>
      <c r="JY249" s="193"/>
      <c r="JZ249" s="193"/>
      <c r="KA249" s="193"/>
      <c r="KB249" s="193"/>
      <c r="KC249" s="193"/>
      <c r="KE249" s="206" t="str">
        <f t="shared" si="4086"/>
        <v>Intermodal</v>
      </c>
      <c r="KF249" s="193"/>
      <c r="KG249" s="193"/>
      <c r="KH249" s="193"/>
      <c r="KI249" s="193"/>
      <c r="KJ249" s="193"/>
      <c r="KL249" s="206" t="str">
        <f t="shared" si="4091"/>
        <v>Intermodal</v>
      </c>
      <c r="KM249" s="193"/>
      <c r="KN249" s="193"/>
      <c r="KO249" s="193"/>
      <c r="KP249" s="193"/>
      <c r="KQ249" s="193"/>
      <c r="KS249" s="206" t="str">
        <f t="shared" si="4096"/>
        <v>Intermodal</v>
      </c>
      <c r="KT249" s="193"/>
      <c r="KU249" s="193"/>
      <c r="KV249" s="193"/>
      <c r="KW249" s="193"/>
      <c r="KX249" s="193"/>
      <c r="KZ249" s="206" t="str">
        <f t="shared" si="4101"/>
        <v>Intermodal</v>
      </c>
      <c r="LA249" s="193"/>
      <c r="LB249" s="193"/>
      <c r="LC249" s="193"/>
      <c r="LD249" s="193"/>
      <c r="LE249" s="193"/>
      <c r="LF249" s="555"/>
      <c r="LG249" s="206" t="str">
        <f t="shared" si="4104"/>
        <v>Intermodal</v>
      </c>
      <c r="LH249" s="198"/>
      <c r="LI249" s="198"/>
      <c r="LJ249" s="198"/>
      <c r="LK249" s="198"/>
      <c r="LL249" s="193"/>
      <c r="LM249" s="555"/>
      <c r="LN249" s="68" t="str">
        <f>$B249</f>
        <v>Intermodal</v>
      </c>
      <c r="LO249" s="198">
        <f>LO250/LK250-1</f>
        <v>-4.3196930946291623E-2</v>
      </c>
      <c r="LP249" s="198">
        <f>LP250/LO250-1</f>
        <v>2.3027986421106261E-2</v>
      </c>
      <c r="LQ249" s="198">
        <f>LQ250/LP250-1</f>
        <v>5.3497942386831365E-2</v>
      </c>
      <c r="LR249" s="198">
        <f>LR250/LQ250-1</f>
        <v>1.8229166666666519E-2</v>
      </c>
      <c r="LS249" s="193"/>
      <c r="LT249" s="555"/>
      <c r="LU249" s="68" t="str">
        <f>$B249</f>
        <v>Intermodal</v>
      </c>
      <c r="LV249" s="198">
        <f>LV250/LR250-1</f>
        <v>-6.1421751309219452E-2</v>
      </c>
      <c r="LW249" s="198">
        <f>LW250/LV250-1</f>
        <v>2.3027986421106261E-2</v>
      </c>
      <c r="LX249" s="198">
        <f>LX250/LW250-1</f>
        <v>5.3497942386831143E-2</v>
      </c>
      <c r="LY249" s="198">
        <f>LY250/LX250-1</f>
        <v>1.8229166666666519E-2</v>
      </c>
      <c r="LZ249" s="193"/>
      <c r="MA249" s="555"/>
      <c r="MB249" s="68" t="str">
        <f>$B249</f>
        <v>Intermodal</v>
      </c>
      <c r="MC249" s="198">
        <f>MC250/LY250-1</f>
        <v>-6.1421751309219563E-2</v>
      </c>
      <c r="MD249" s="198">
        <f>MD250/MC250-1</f>
        <v>2.3027986421106483E-2</v>
      </c>
      <c r="ME249" s="198">
        <f>ME250/MD250-1</f>
        <v>5.3497942386831143E-2</v>
      </c>
      <c r="MF249" s="198">
        <f>MF250/ME250-1</f>
        <v>1.8229166666666519E-2</v>
      </c>
      <c r="MG249" s="193"/>
      <c r="MH249" s="555"/>
    </row>
    <row r="250" spans="1:346" s="37" customFormat="1" ht="13.15" x14ac:dyDescent="0.4">
      <c r="A250" s="100"/>
      <c r="B250" s="37" t="s">
        <v>342</v>
      </c>
      <c r="C250" s="186"/>
      <c r="D250" s="186"/>
      <c r="E250" s="186"/>
      <c r="F250" s="186"/>
      <c r="G250" s="186"/>
      <c r="H250" s="186"/>
      <c r="I250" s="186"/>
      <c r="J250" s="186"/>
      <c r="K250" s="186"/>
      <c r="L250" s="186"/>
      <c r="M250" s="186"/>
      <c r="N250" s="194">
        <f t="shared" ref="N250:AY250" si="5310">N85</f>
        <v>987</v>
      </c>
      <c r="O250" s="194">
        <f t="shared" si="5310"/>
        <v>980</v>
      </c>
      <c r="P250" s="194">
        <f t="shared" si="5310"/>
        <v>1023</v>
      </c>
      <c r="Q250" s="194">
        <f t="shared" si="5310"/>
        <v>1083.6999999999998</v>
      </c>
      <c r="R250" s="194">
        <f t="shared" si="5310"/>
        <v>1141</v>
      </c>
      <c r="S250" s="194">
        <f t="shared" si="5310"/>
        <v>1283</v>
      </c>
      <c r="T250" s="194">
        <f t="shared" si="5310"/>
        <v>972</v>
      </c>
      <c r="U250" s="194">
        <f t="shared" si="5310"/>
        <v>980</v>
      </c>
      <c r="V250" s="194">
        <f t="shared" si="5310"/>
        <v>1030</v>
      </c>
      <c r="W250" s="194">
        <f t="shared" si="5310"/>
        <v>1041</v>
      </c>
      <c r="X250" s="194">
        <f t="shared" si="5310"/>
        <v>1645</v>
      </c>
      <c r="Y250" s="194">
        <f t="shared" si="5310"/>
        <v>2052</v>
      </c>
      <c r="Z250" s="194">
        <f t="shared" si="5310"/>
        <v>2004</v>
      </c>
      <c r="AA250" s="194">
        <f t="shared" si="5310"/>
        <v>2119</v>
      </c>
      <c r="AB250" s="194">
        <f t="shared" si="5310"/>
        <v>2230</v>
      </c>
      <c r="AC250" s="194">
        <f t="shared" si="5310"/>
        <v>2306</v>
      </c>
      <c r="AD250" s="194">
        <f t="shared" si="5310"/>
        <v>2165</v>
      </c>
      <c r="AE250" s="194">
        <f t="shared" si="5310"/>
        <v>2179</v>
      </c>
      <c r="AF250" s="194">
        <f t="shared" si="5310"/>
        <v>2111</v>
      </c>
      <c r="AG250" s="194">
        <f t="shared" si="5310"/>
        <v>2069</v>
      </c>
      <c r="AH250" s="194">
        <f t="shared" si="5310"/>
        <v>1902</v>
      </c>
      <c r="AI250" s="194">
        <f t="shared" si="5310"/>
        <v>2223</v>
      </c>
      <c r="AJ250" s="194">
        <f t="shared" si="5310"/>
        <v>2289</v>
      </c>
      <c r="AK250" s="194">
        <f t="shared" si="5310"/>
        <v>2451</v>
      </c>
      <c r="AL250" s="194">
        <f t="shared" si="5310"/>
        <v>2582</v>
      </c>
      <c r="AM250" s="194">
        <f t="shared" si="5310"/>
        <v>2728</v>
      </c>
      <c r="AN250" s="194">
        <f t="shared" si="5310"/>
        <v>2838</v>
      </c>
      <c r="AO250" s="194">
        <f t="shared" si="5310"/>
        <v>2811</v>
      </c>
      <c r="AP250" s="194">
        <f t="shared" si="5310"/>
        <v>2843</v>
      </c>
      <c r="AQ250" s="194">
        <f t="shared" si="5310"/>
        <v>2895</v>
      </c>
      <c r="AR250" s="194">
        <f t="shared" si="5310"/>
        <v>2670</v>
      </c>
      <c r="AS250" s="194">
        <f t="shared" si="5310"/>
        <v>2720</v>
      </c>
      <c r="AT250" s="194">
        <f t="shared" si="5310"/>
        <v>2976</v>
      </c>
      <c r="AU250" s="194">
        <f t="shared" si="5310"/>
        <v>2963</v>
      </c>
      <c r="AV250" s="194">
        <f t="shared" si="5310"/>
        <v>2766</v>
      </c>
      <c r="AW250" s="194">
        <f t="shared" si="5310"/>
        <v>2893</v>
      </c>
      <c r="AX250" s="194">
        <f t="shared" si="5310"/>
        <v>2995</v>
      </c>
      <c r="AY250" s="194">
        <f t="shared" si="5310"/>
        <v>3141.17</v>
      </c>
      <c r="AZ250" s="194">
        <f t="shared" ref="AZ250:BA250" si="5311">AZ85</f>
        <v>3235.4051000000004</v>
      </c>
      <c r="BA250" s="194">
        <f t="shared" si="5311"/>
        <v>3332.4672529999998</v>
      </c>
      <c r="BB250" s="194"/>
      <c r="BC250" s="194"/>
      <c r="BD250" s="194"/>
      <c r="BE250" s="194"/>
      <c r="BF250" s="194"/>
      <c r="BG250" s="194"/>
      <c r="BH250" s="194"/>
      <c r="BI250" s="194"/>
      <c r="BJ250" s="194"/>
      <c r="BK250" s="194"/>
      <c r="BL250" s="194"/>
      <c r="BM250" s="194"/>
      <c r="BO250" s="37" t="str">
        <f t="shared" si="3930"/>
        <v>Carloads (000s)</v>
      </c>
      <c r="BP250" s="195">
        <f>BP85</f>
        <v>240</v>
      </c>
      <c r="BQ250" s="195">
        <f>BQ85</f>
        <v>245</v>
      </c>
      <c r="BR250" s="195">
        <f>BR85</f>
        <v>243</v>
      </c>
      <c r="BS250" s="195">
        <f>BS85</f>
        <v>259</v>
      </c>
      <c r="BT250" s="195">
        <f>BT85</f>
        <v>987</v>
      </c>
      <c r="BV250" s="37" t="str">
        <f t="shared" si="3931"/>
        <v>Carloads (000s)</v>
      </c>
      <c r="BW250" s="195">
        <f>BW85</f>
        <v>233</v>
      </c>
      <c r="BX250" s="195">
        <f>BX85</f>
        <v>238</v>
      </c>
      <c r="BY250" s="195">
        <f>BY85</f>
        <v>247</v>
      </c>
      <c r="BZ250" s="195">
        <f>BZ85</f>
        <v>262</v>
      </c>
      <c r="CA250" s="195">
        <f>CA85</f>
        <v>980</v>
      </c>
      <c r="CC250" s="37" t="str">
        <f t="shared" si="3936"/>
        <v>Carloads (000s)</v>
      </c>
      <c r="CD250" s="195">
        <f>CD85</f>
        <v>236</v>
      </c>
      <c r="CE250" s="195">
        <f>CE85</f>
        <v>246</v>
      </c>
      <c r="CF250" s="195">
        <f>CF85</f>
        <v>265</v>
      </c>
      <c r="CG250" s="195">
        <f>CG85</f>
        <v>276</v>
      </c>
      <c r="CH250" s="195">
        <f>CH85</f>
        <v>1023</v>
      </c>
      <c r="CJ250" s="37" t="str">
        <f t="shared" si="3941"/>
        <v>Carloads (000s)</v>
      </c>
      <c r="CK250" s="195">
        <f>CK85</f>
        <v>261.29999999999995</v>
      </c>
      <c r="CL250" s="195">
        <f>CL85</f>
        <v>263.39999999999998</v>
      </c>
      <c r="CM250" s="195">
        <f>CM85</f>
        <v>272</v>
      </c>
      <c r="CN250" s="195">
        <f>CN85</f>
        <v>287</v>
      </c>
      <c r="CO250" s="195">
        <f>CO85</f>
        <v>1083.6999999999998</v>
      </c>
      <c r="CQ250" s="37" t="str">
        <f t="shared" si="3946"/>
        <v>Carloads (000s)</v>
      </c>
      <c r="CR250" s="195">
        <f>CR85</f>
        <v>269</v>
      </c>
      <c r="CS250" s="195">
        <f>CS85</f>
        <v>274</v>
      </c>
      <c r="CT250" s="195">
        <f>CT85</f>
        <v>289</v>
      </c>
      <c r="CU250" s="195">
        <f>CU85</f>
        <v>309</v>
      </c>
      <c r="CV250" s="195">
        <f>CV85</f>
        <v>1141</v>
      </c>
      <c r="CX250" s="37" t="str">
        <f t="shared" si="3951"/>
        <v>Carloads (000s)</v>
      </c>
      <c r="CY250" s="195">
        <f>CY85</f>
        <v>302</v>
      </c>
      <c r="CZ250" s="195">
        <f>CZ85</f>
        <v>321</v>
      </c>
      <c r="DA250" s="195">
        <f>DA85</f>
        <v>320</v>
      </c>
      <c r="DB250" s="195">
        <f>DB85</f>
        <v>340</v>
      </c>
      <c r="DC250" s="195">
        <f>DC85</f>
        <v>1283</v>
      </c>
      <c r="DE250" s="37" t="str">
        <f t="shared" si="3956"/>
        <v>Carloads (000s)</v>
      </c>
      <c r="DF250" s="195">
        <f>DF85</f>
        <v>239</v>
      </c>
      <c r="DG250" s="195">
        <f>DG85</f>
        <v>242</v>
      </c>
      <c r="DH250" s="195">
        <f>DH85</f>
        <v>241</v>
      </c>
      <c r="DI250" s="195">
        <f>DI85</f>
        <v>250</v>
      </c>
      <c r="DJ250" s="195">
        <f>DJ85</f>
        <v>972</v>
      </c>
      <c r="DL250" s="37" t="str">
        <f t="shared" si="3961"/>
        <v>Carloads (000s)</v>
      </c>
      <c r="DM250" s="195">
        <f>DM85</f>
        <v>236</v>
      </c>
      <c r="DN250" s="195">
        <f>DN85</f>
        <v>245</v>
      </c>
      <c r="DO250" s="195">
        <f>DO85</f>
        <v>246</v>
      </c>
      <c r="DP250" s="195">
        <f>DP85</f>
        <v>253</v>
      </c>
      <c r="DQ250" s="195">
        <f>DQ85</f>
        <v>980</v>
      </c>
      <c r="DS250" s="37" t="str">
        <f t="shared" si="3966"/>
        <v>Carloads (000s)</v>
      </c>
      <c r="DT250" s="195">
        <f>DT85</f>
        <v>248</v>
      </c>
      <c r="DU250" s="195">
        <f>DU85</f>
        <v>259</v>
      </c>
      <c r="DV250" s="195">
        <f>DV85</f>
        <v>259</v>
      </c>
      <c r="DW250" s="195">
        <f>DW85</f>
        <v>264</v>
      </c>
      <c r="DX250" s="195">
        <f>DX85</f>
        <v>1030</v>
      </c>
      <c r="DZ250" s="37" t="str">
        <f t="shared" si="3971"/>
        <v>Carloads (000s)</v>
      </c>
      <c r="EA250" s="195">
        <f>EA85</f>
        <v>252</v>
      </c>
      <c r="EB250" s="195">
        <f>EB85</f>
        <v>256</v>
      </c>
      <c r="EC250" s="195">
        <f>EC85</f>
        <v>259</v>
      </c>
      <c r="ED250" s="195">
        <f>ED85</f>
        <v>274</v>
      </c>
      <c r="EE250" s="195">
        <f>EE85</f>
        <v>1041</v>
      </c>
      <c r="EG250" s="37" t="str">
        <f t="shared" si="3976"/>
        <v>Carloads (000s)</v>
      </c>
      <c r="EH250" s="195">
        <f>EH85</f>
        <v>276</v>
      </c>
      <c r="EI250" s="195">
        <f>EI85</f>
        <v>346</v>
      </c>
      <c r="EJ250" s="195">
        <f>EJ85</f>
        <v>504</v>
      </c>
      <c r="EK250" s="195">
        <f>EK85</f>
        <v>519</v>
      </c>
      <c r="EL250" s="195">
        <f>EL85</f>
        <v>1645</v>
      </c>
      <c r="EN250" s="37" t="str">
        <f t="shared" si="3981"/>
        <v>Carloads (000s)</v>
      </c>
      <c r="EO250" s="195">
        <f>EO85</f>
        <v>528</v>
      </c>
      <c r="EP250" s="195">
        <f>EP85</f>
        <v>519</v>
      </c>
      <c r="EQ250" s="195">
        <f>EQ85</f>
        <v>508</v>
      </c>
      <c r="ER250" s="195">
        <f>ER85</f>
        <v>497</v>
      </c>
      <c r="ES250" s="195">
        <f>ES85</f>
        <v>2052</v>
      </c>
      <c r="EU250" s="37" t="str">
        <f t="shared" si="3986"/>
        <v>Carloads (000s)</v>
      </c>
      <c r="EV250" s="195">
        <f>EV85</f>
        <v>481</v>
      </c>
      <c r="EW250" s="195">
        <f>EW85</f>
        <v>497</v>
      </c>
      <c r="EX250" s="195">
        <f>EX85</f>
        <v>517</v>
      </c>
      <c r="EY250" s="195">
        <f>EY85</f>
        <v>509</v>
      </c>
      <c r="EZ250" s="195">
        <f>EZ85</f>
        <v>2004</v>
      </c>
      <c r="FB250" s="37" t="str">
        <f t="shared" si="3991"/>
        <v>Carloads (000s)</v>
      </c>
      <c r="FC250" s="195">
        <f>FC85</f>
        <v>481</v>
      </c>
      <c r="FD250" s="195">
        <f>FD85</f>
        <v>537</v>
      </c>
      <c r="FE250" s="195">
        <f>FE85</f>
        <v>566</v>
      </c>
      <c r="FF250" s="195">
        <f>FF85</f>
        <v>535</v>
      </c>
      <c r="FG250" s="195">
        <f>FG85</f>
        <v>2119</v>
      </c>
      <c r="FI250" s="37" t="str">
        <f t="shared" si="3996"/>
        <v>Carloads (000s)</v>
      </c>
      <c r="FJ250" s="195">
        <f>FJ85</f>
        <v>526</v>
      </c>
      <c r="FK250" s="195">
        <f>FK85</f>
        <v>565</v>
      </c>
      <c r="FL250" s="195">
        <f>FL85</f>
        <v>564</v>
      </c>
      <c r="FM250" s="195">
        <f>FM85</f>
        <v>575</v>
      </c>
      <c r="FN250" s="195">
        <f>FN85</f>
        <v>2230</v>
      </c>
      <c r="FP250" s="37" t="str">
        <f t="shared" si="4001"/>
        <v>Carloads (000s)</v>
      </c>
      <c r="FQ250" s="195">
        <f>FQ85</f>
        <v>549</v>
      </c>
      <c r="FR250" s="195">
        <f>FR85</f>
        <v>589</v>
      </c>
      <c r="FS250" s="195">
        <f>FS85</f>
        <v>559</v>
      </c>
      <c r="FT250" s="195">
        <f>FT85</f>
        <v>609</v>
      </c>
      <c r="FU250" s="195">
        <f>FU85</f>
        <v>2306</v>
      </c>
      <c r="FW250" s="37" t="str">
        <f t="shared" si="4006"/>
        <v>Carloads (000s)</v>
      </c>
      <c r="FX250" s="195">
        <f>FX85</f>
        <v>528</v>
      </c>
      <c r="FY250" s="195">
        <f>FY85</f>
        <v>543</v>
      </c>
      <c r="FZ250" s="195">
        <f>FZ85</f>
        <v>544</v>
      </c>
      <c r="GA250" s="195">
        <f>GA85</f>
        <v>550</v>
      </c>
      <c r="GB250" s="195">
        <f>GB85</f>
        <v>2165</v>
      </c>
      <c r="GD250" s="37" t="str">
        <f t="shared" si="4011"/>
        <v>Carloads (000s)</v>
      </c>
      <c r="GE250" s="195">
        <f>GE85</f>
        <v>516</v>
      </c>
      <c r="GF250" s="195">
        <f>GF85</f>
        <v>547</v>
      </c>
      <c r="GG250" s="195">
        <f>GG85</f>
        <v>564</v>
      </c>
      <c r="GH250" s="195">
        <f>GH85</f>
        <v>552</v>
      </c>
      <c r="GI250" s="195">
        <f>GI85</f>
        <v>2179</v>
      </c>
      <c r="GK250" s="37" t="str">
        <f t="shared" si="4016"/>
        <v>Carloads (000s)</v>
      </c>
      <c r="GL250" s="195">
        <f>GL85</f>
        <v>509</v>
      </c>
      <c r="GM250" s="195">
        <f>GM85</f>
        <v>539</v>
      </c>
      <c r="GN250" s="195">
        <f>GN85</f>
        <v>530</v>
      </c>
      <c r="GO250" s="195">
        <f>GO85</f>
        <v>533</v>
      </c>
      <c r="GP250" s="195">
        <f>GP85</f>
        <v>2111</v>
      </c>
      <c r="GR250" s="37" t="str">
        <f t="shared" si="4021"/>
        <v>Carloads (000s)</v>
      </c>
      <c r="GS250" s="195">
        <f>GS85</f>
        <v>508</v>
      </c>
      <c r="GT250" s="195">
        <f>GT85</f>
        <v>530</v>
      </c>
      <c r="GU250" s="195">
        <f>GU85</f>
        <v>532</v>
      </c>
      <c r="GV250" s="195">
        <f>GV85</f>
        <v>499</v>
      </c>
      <c r="GW250" s="195">
        <f>GW85</f>
        <v>2069</v>
      </c>
      <c r="GY250" s="37" t="str">
        <f t="shared" si="4026"/>
        <v>Carloads (000s)</v>
      </c>
      <c r="GZ250" s="195">
        <f>GZ85</f>
        <v>440</v>
      </c>
      <c r="HA250" s="195">
        <f>HA85</f>
        <v>457</v>
      </c>
      <c r="HB250" s="195">
        <f>HB85</f>
        <v>481</v>
      </c>
      <c r="HC250" s="195">
        <f>HC85</f>
        <v>524</v>
      </c>
      <c r="HD250" s="195">
        <f>HD85</f>
        <v>1902</v>
      </c>
      <c r="HF250" s="37" t="str">
        <f t="shared" si="4031"/>
        <v>Carloads (000s)</v>
      </c>
      <c r="HG250" s="195">
        <f>HG85</f>
        <v>500</v>
      </c>
      <c r="HH250" s="195">
        <f>HH85</f>
        <v>538</v>
      </c>
      <c r="HI250" s="195">
        <f>HI85</f>
        <v>574</v>
      </c>
      <c r="HJ250" s="195">
        <f>HJ85</f>
        <v>611</v>
      </c>
      <c r="HK250" s="195">
        <f>HK85</f>
        <v>2223</v>
      </c>
      <c r="HM250" s="37" t="str">
        <f t="shared" si="4036"/>
        <v>Carloads (000s)</v>
      </c>
      <c r="HN250" s="195">
        <f>HN85</f>
        <v>553</v>
      </c>
      <c r="HO250" s="195">
        <f>HO85</f>
        <v>581</v>
      </c>
      <c r="HP250" s="195">
        <f>HP85</f>
        <v>576</v>
      </c>
      <c r="HQ250" s="195">
        <f>HQ85</f>
        <v>579</v>
      </c>
      <c r="HR250" s="195">
        <f>HR85</f>
        <v>2289</v>
      </c>
      <c r="HT250" s="37" t="str">
        <f t="shared" si="4041"/>
        <v>Carloads (000s)</v>
      </c>
      <c r="HU250" s="195">
        <f>HU85</f>
        <v>600</v>
      </c>
      <c r="HV250" s="195">
        <f>HV85</f>
        <v>629</v>
      </c>
      <c r="HW250" s="195">
        <f>HW85</f>
        <v>622</v>
      </c>
      <c r="HX250" s="195">
        <f>HX85</f>
        <v>600</v>
      </c>
      <c r="HY250" s="195">
        <f>HY85</f>
        <v>2451</v>
      </c>
      <c r="IA250" s="37" t="str">
        <f t="shared" si="4046"/>
        <v>Carloads (000s)</v>
      </c>
      <c r="IB250" s="195">
        <f>IB85</f>
        <v>615</v>
      </c>
      <c r="IC250" s="195">
        <f>IC85</f>
        <v>644</v>
      </c>
      <c r="ID250" s="195">
        <f>ID85</f>
        <v>657</v>
      </c>
      <c r="IE250" s="195">
        <f>IE85</f>
        <v>666</v>
      </c>
      <c r="IF250" s="195">
        <f>IF85</f>
        <v>2582</v>
      </c>
      <c r="IH250" s="37" t="str">
        <f t="shared" si="4051"/>
        <v>Carloads (000s)</v>
      </c>
      <c r="II250" s="195">
        <f>II85</f>
        <v>647</v>
      </c>
      <c r="IJ250" s="195">
        <f>IJ85</f>
        <v>691</v>
      </c>
      <c r="IK250" s="195">
        <f>IK85</f>
        <v>691</v>
      </c>
      <c r="IL250" s="195">
        <f>IL85</f>
        <v>699</v>
      </c>
      <c r="IM250" s="195">
        <f>IM85</f>
        <v>2728</v>
      </c>
      <c r="IO250" s="37" t="str">
        <f t="shared" si="4056"/>
        <v>Carloads (000s)</v>
      </c>
      <c r="IP250" s="195">
        <f>IP85</f>
        <v>655</v>
      </c>
      <c r="IQ250" s="195">
        <f>IQ85</f>
        <v>723</v>
      </c>
      <c r="IR250" s="195">
        <f>IR85</f>
        <v>731</v>
      </c>
      <c r="IS250" s="195">
        <f>IS85</f>
        <v>729</v>
      </c>
      <c r="IT250" s="195">
        <f>IT85</f>
        <v>2838</v>
      </c>
      <c r="IV250" s="37" t="str">
        <f t="shared" si="4061"/>
        <v>Carloads (000s)</v>
      </c>
      <c r="IW250" s="195">
        <f>IW85</f>
        <v>678</v>
      </c>
      <c r="IX250" s="195">
        <f>IX85</f>
        <v>694</v>
      </c>
      <c r="IY250" s="195">
        <f>IY85</f>
        <v>681</v>
      </c>
      <c r="IZ250" s="195">
        <f>IZ85</f>
        <v>758</v>
      </c>
      <c r="JA250" s="195">
        <f>JA85</f>
        <v>2811</v>
      </c>
      <c r="JC250" s="37" t="str">
        <f t="shared" si="4066"/>
        <v>Carloads (000s)</v>
      </c>
      <c r="JD250" s="195">
        <f>JD85</f>
        <v>688</v>
      </c>
      <c r="JE250" s="195">
        <f>JE85</f>
        <v>718</v>
      </c>
      <c r="JF250" s="195">
        <f>JF85</f>
        <v>718</v>
      </c>
      <c r="JG250" s="195">
        <f>JG85</f>
        <v>719</v>
      </c>
      <c r="JH250" s="195">
        <f>JH85</f>
        <v>2843</v>
      </c>
      <c r="JJ250" s="37" t="str">
        <f t="shared" si="4071"/>
        <v>Carloads (000s)</v>
      </c>
      <c r="JK250" s="195">
        <f>JK85</f>
        <v>689</v>
      </c>
      <c r="JL250" s="195">
        <f>JL85</f>
        <v>735</v>
      </c>
      <c r="JM250" s="195">
        <f>JM85</f>
        <v>739</v>
      </c>
      <c r="JN250" s="195">
        <f>JN85</f>
        <v>732</v>
      </c>
      <c r="JO250" s="195">
        <f>JO85</f>
        <v>2895</v>
      </c>
      <c r="JQ250" s="37" t="str">
        <f t="shared" si="4076"/>
        <v>Carloads (000s)</v>
      </c>
      <c r="JR250" s="195">
        <f>JR85</f>
        <v>657</v>
      </c>
      <c r="JS250" s="195">
        <f>JS85</f>
        <v>658</v>
      </c>
      <c r="JT250" s="195">
        <f>JT85</f>
        <v>673</v>
      </c>
      <c r="JU250" s="195">
        <f>JU85</f>
        <v>682</v>
      </c>
      <c r="JV250" s="195">
        <f>JV85</f>
        <v>2670</v>
      </c>
      <c r="JX250" s="37" t="str">
        <f t="shared" si="4081"/>
        <v>Carloads (000s)</v>
      </c>
      <c r="JY250" s="195">
        <f>JY85</f>
        <v>660</v>
      </c>
      <c r="JZ250" s="195">
        <f>JZ85</f>
        <v>586</v>
      </c>
      <c r="KA250" s="195">
        <f>KA85</f>
        <v>717</v>
      </c>
      <c r="KB250" s="195">
        <f>KB85</f>
        <v>757</v>
      </c>
      <c r="KC250" s="195">
        <f>KC85</f>
        <v>2720</v>
      </c>
      <c r="KE250" s="37" t="str">
        <f t="shared" si="4086"/>
        <v>Carloads (000s)</v>
      </c>
      <c r="KF250" s="195">
        <f>KF85</f>
        <v>726</v>
      </c>
      <c r="KG250" s="195">
        <f>KG85</f>
        <v>752</v>
      </c>
      <c r="KH250" s="195">
        <f>KH85</f>
        <v>744</v>
      </c>
      <c r="KI250" s="195">
        <f>KI85</f>
        <v>754</v>
      </c>
      <c r="KJ250" s="195">
        <f>KJ85</f>
        <v>2976</v>
      </c>
      <c r="KL250" s="37" t="str">
        <f t="shared" si="4091"/>
        <v>Carloads (000s)</v>
      </c>
      <c r="KM250" s="195">
        <f>KM85</f>
        <v>722</v>
      </c>
      <c r="KN250" s="195">
        <f>KN85</f>
        <v>759</v>
      </c>
      <c r="KO250" s="195">
        <f>KO85</f>
        <v>762</v>
      </c>
      <c r="KP250" s="195">
        <f>KP85</f>
        <v>720</v>
      </c>
      <c r="KQ250" s="195">
        <f>KQ85</f>
        <v>2963</v>
      </c>
      <c r="KS250" s="37" t="str">
        <f t="shared" si="4096"/>
        <v>Carloads (000s)</v>
      </c>
      <c r="KT250" s="195">
        <f>KT85</f>
        <v>654</v>
      </c>
      <c r="KU250" s="195">
        <f>KU85</f>
        <v>684</v>
      </c>
      <c r="KV250" s="195">
        <f>KV85</f>
        <v>708</v>
      </c>
      <c r="KW250" s="195">
        <f>KW85</f>
        <v>720</v>
      </c>
      <c r="KX250" s="195">
        <f>KX85</f>
        <v>2766</v>
      </c>
      <c r="KZ250" s="37" t="str">
        <f t="shared" si="4101"/>
        <v>Carloads (000s)</v>
      </c>
      <c r="LA250" s="195">
        <f>LA85</f>
        <v>701</v>
      </c>
      <c r="LB250" s="195">
        <f>LB85</f>
        <v>716</v>
      </c>
      <c r="LC250" s="195">
        <f>LC85</f>
        <v>730</v>
      </c>
      <c r="LD250" s="195">
        <f>LD85</f>
        <v>746</v>
      </c>
      <c r="LE250" s="196">
        <f>SUM(LA250:LD250)</f>
        <v>2893</v>
      </c>
      <c r="LF250" s="573"/>
      <c r="LG250" s="37" t="str">
        <f t="shared" si="4104"/>
        <v>Carloads (000s)</v>
      </c>
      <c r="LH250" s="195">
        <f>LH85</f>
        <v>716</v>
      </c>
      <c r="LI250" s="195">
        <f>LI85</f>
        <v>729</v>
      </c>
      <c r="LJ250" s="195">
        <f>LJ85</f>
        <v>768</v>
      </c>
      <c r="LK250" s="195">
        <f>LK85</f>
        <v>782</v>
      </c>
      <c r="LL250" s="196">
        <f>SUM(LH250:LK250)</f>
        <v>2995</v>
      </c>
      <c r="LM250" s="573"/>
      <c r="LN250" s="37" t="str">
        <f t="shared" si="4106"/>
        <v>Carloads (000s)</v>
      </c>
      <c r="LO250" s="196">
        <f>(LH250)*(1+LO251)</f>
        <v>748.21999999999991</v>
      </c>
      <c r="LP250" s="196">
        <f t="shared" ref="LP250" si="5312">(LI250)*(1+LP251)</f>
        <v>765.45</v>
      </c>
      <c r="LQ250" s="196">
        <f t="shared" ref="LQ250" si="5313">(LJ250)*(1+LQ251)</f>
        <v>806.40000000000009</v>
      </c>
      <c r="LR250" s="196">
        <f t="shared" ref="LR250" si="5314">(LK250)*(1+LR251)</f>
        <v>821.1</v>
      </c>
      <c r="LS250" s="196">
        <f>SUM(LO250:LR250)</f>
        <v>3141.17</v>
      </c>
      <c r="LT250" s="573"/>
      <c r="LU250" s="37" t="str">
        <f t="shared" si="4610"/>
        <v>Carloads (000s)</v>
      </c>
      <c r="LV250" s="196">
        <f>(LO250)*(1+LV251)</f>
        <v>770.6665999999999</v>
      </c>
      <c r="LW250" s="196">
        <f t="shared" ref="LW250" si="5315">(LP250)*(1+LW251)</f>
        <v>788.41350000000011</v>
      </c>
      <c r="LX250" s="196">
        <f t="shared" ref="LX250" si="5316">(LQ250)*(1+LX251)</f>
        <v>830.5920000000001</v>
      </c>
      <c r="LY250" s="196">
        <f t="shared" ref="LY250" si="5317">(LR250)*(1+LY251)</f>
        <v>845.73300000000006</v>
      </c>
      <c r="LZ250" s="196">
        <f>SUM(LV250:LY250)</f>
        <v>3235.4051000000004</v>
      </c>
      <c r="MA250" s="573"/>
      <c r="MB250" s="37" t="str">
        <f t="shared" si="4612"/>
        <v>Carloads (000s)</v>
      </c>
      <c r="MC250" s="196">
        <f>(LV250)*(1+MC251)</f>
        <v>793.78659799999991</v>
      </c>
      <c r="MD250" s="196">
        <f t="shared" ref="MD250" si="5318">(LW250)*(1+MD251)</f>
        <v>812.06590500000016</v>
      </c>
      <c r="ME250" s="196">
        <f t="shared" ref="ME250" si="5319">(LX250)*(1+ME251)</f>
        <v>855.50976000000014</v>
      </c>
      <c r="MF250" s="196">
        <f t="shared" ref="MF250" si="5320">(LY250)*(1+MF251)</f>
        <v>871.10499000000004</v>
      </c>
      <c r="MG250" s="196">
        <f>SUM(MC250:MF250)</f>
        <v>3332.4672529999998</v>
      </c>
      <c r="MH250" s="573"/>
    </row>
    <row r="251" spans="1:346" s="37" customFormat="1" ht="13.15" x14ac:dyDescent="0.4">
      <c r="A251" s="100"/>
      <c r="B251" s="197" t="s">
        <v>516</v>
      </c>
      <c r="C251" s="186"/>
      <c r="D251" s="186"/>
      <c r="E251" s="186"/>
      <c r="F251" s="186"/>
      <c r="G251" s="186"/>
      <c r="H251" s="186"/>
      <c r="I251" s="186"/>
      <c r="J251" s="186"/>
      <c r="K251" s="186"/>
      <c r="L251" s="186"/>
      <c r="M251" s="186"/>
      <c r="N251" s="193"/>
      <c r="O251" s="198">
        <f>O250/N250-1</f>
        <v>-7.0921985815602939E-3</v>
      </c>
      <c r="P251" s="198">
        <f t="shared" ref="P251:BA251" si="5321">P250/O250-1</f>
        <v>4.3877551020408134E-2</v>
      </c>
      <c r="Q251" s="198">
        <f t="shared" si="5321"/>
        <v>5.9335288367546202E-2</v>
      </c>
      <c r="R251" s="198">
        <f t="shared" si="5321"/>
        <v>5.2874411737565907E-2</v>
      </c>
      <c r="S251" s="198">
        <f t="shared" si="5321"/>
        <v>0.12445223488168278</v>
      </c>
      <c r="T251" s="198">
        <f t="shared" si="5321"/>
        <v>-0.24240062353858149</v>
      </c>
      <c r="U251" s="198">
        <f t="shared" si="5321"/>
        <v>8.2304526748970819E-3</v>
      </c>
      <c r="V251" s="198">
        <f t="shared" si="5321"/>
        <v>5.1020408163265252E-2</v>
      </c>
      <c r="W251" s="198">
        <f t="shared" si="5321"/>
        <v>1.0679611650485477E-2</v>
      </c>
      <c r="X251" s="198">
        <f t="shared" si="5321"/>
        <v>0.58021133525456281</v>
      </c>
      <c r="Y251" s="198">
        <f t="shared" si="5321"/>
        <v>0.24741641337386011</v>
      </c>
      <c r="Z251" s="198">
        <f t="shared" si="5321"/>
        <v>-2.3391812865497075E-2</v>
      </c>
      <c r="AA251" s="198">
        <f t="shared" si="5321"/>
        <v>5.738522954091807E-2</v>
      </c>
      <c r="AB251" s="198">
        <f t="shared" si="5321"/>
        <v>5.2383199622463517E-2</v>
      </c>
      <c r="AC251" s="198">
        <f t="shared" si="5321"/>
        <v>3.4080717488789158E-2</v>
      </c>
      <c r="AD251" s="198">
        <f t="shared" si="5321"/>
        <v>-6.1144839549002628E-2</v>
      </c>
      <c r="AE251" s="198">
        <f t="shared" si="5321"/>
        <v>6.4665127020784308E-3</v>
      </c>
      <c r="AF251" s="198">
        <f t="shared" si="5321"/>
        <v>-3.1206975676915993E-2</v>
      </c>
      <c r="AG251" s="198">
        <f t="shared" si="5321"/>
        <v>-1.9895783988631011E-2</v>
      </c>
      <c r="AH251" s="198">
        <f t="shared" si="5321"/>
        <v>-8.0715321411309771E-2</v>
      </c>
      <c r="AI251" s="198">
        <f t="shared" si="5321"/>
        <v>0.16876971608832814</v>
      </c>
      <c r="AJ251" s="198">
        <f t="shared" si="5321"/>
        <v>2.9689608636977116E-2</v>
      </c>
      <c r="AK251" s="198">
        <f t="shared" si="5321"/>
        <v>7.0773263433813849E-2</v>
      </c>
      <c r="AL251" s="198">
        <f t="shared" si="5321"/>
        <v>5.3447572419420553E-2</v>
      </c>
      <c r="AM251" s="198">
        <f t="shared" si="5321"/>
        <v>5.6545313710302025E-2</v>
      </c>
      <c r="AN251" s="198">
        <f t="shared" si="5321"/>
        <v>4.0322580645161255E-2</v>
      </c>
      <c r="AO251" s="198">
        <f t="shared" si="5321"/>
        <v>-9.5137420718816035E-3</v>
      </c>
      <c r="AP251" s="198">
        <f t="shared" si="5321"/>
        <v>1.1383849163998594E-2</v>
      </c>
      <c r="AQ251" s="198">
        <f t="shared" si="5321"/>
        <v>1.8290538163911352E-2</v>
      </c>
      <c r="AR251" s="198">
        <f t="shared" si="5321"/>
        <v>-7.7720207253886064E-2</v>
      </c>
      <c r="AS251" s="198">
        <f t="shared" si="5321"/>
        <v>1.8726591760299671E-2</v>
      </c>
      <c r="AT251" s="198">
        <f t="shared" si="5321"/>
        <v>9.4117647058823639E-2</v>
      </c>
      <c r="AU251" s="198">
        <f t="shared" si="5321"/>
        <v>-4.368279569892497E-3</v>
      </c>
      <c r="AV251" s="198">
        <f t="shared" si="5321"/>
        <v>-6.6486668916638569E-2</v>
      </c>
      <c r="AW251" s="198">
        <f t="shared" si="5321"/>
        <v>4.5914678235719375E-2</v>
      </c>
      <c r="AX251" s="198">
        <f t="shared" si="5321"/>
        <v>3.5257518147252087E-2</v>
      </c>
      <c r="AY251" s="198">
        <f t="shared" si="5321"/>
        <v>4.8804674457429087E-2</v>
      </c>
      <c r="AZ251" s="198">
        <f t="shared" si="5321"/>
        <v>3.0000000000000027E-2</v>
      </c>
      <c r="BA251" s="198">
        <f t="shared" si="5321"/>
        <v>2.9999999999999805E-2</v>
      </c>
      <c r="BB251" s="198"/>
      <c r="BC251" s="198"/>
      <c r="BD251" s="198"/>
      <c r="BE251" s="198"/>
      <c r="BF251" s="198"/>
      <c r="BG251" s="198"/>
      <c r="BH251" s="198"/>
      <c r="BI251" s="198"/>
      <c r="BJ251" s="198"/>
      <c r="BK251" s="198"/>
      <c r="BL251" s="198"/>
      <c r="BM251" s="198"/>
      <c r="BO251" s="197" t="str">
        <f t="shared" si="3930"/>
        <v>YoY Change (%)</v>
      </c>
      <c r="BP251" s="193"/>
      <c r="BQ251" s="193"/>
      <c r="BR251" s="193"/>
      <c r="BS251" s="193"/>
      <c r="BT251" s="193"/>
      <c r="BV251" s="197" t="str">
        <f t="shared" si="3931"/>
        <v>YoY Change (%)</v>
      </c>
      <c r="BW251" s="198">
        <f>BW250/BP250-1</f>
        <v>-2.9166666666666674E-2</v>
      </c>
      <c r="BX251" s="198">
        <f t="shared" ref="BX251" si="5322">BX250/BQ250-1</f>
        <v>-2.8571428571428581E-2</v>
      </c>
      <c r="BY251" s="198">
        <f t="shared" ref="BY251" si="5323">BY250/BR250-1</f>
        <v>1.6460905349794164E-2</v>
      </c>
      <c r="BZ251" s="198">
        <f t="shared" ref="BZ251" si="5324">BZ250/BS250-1</f>
        <v>1.158301158301156E-2</v>
      </c>
      <c r="CA251" s="198">
        <f t="shared" ref="CA251" si="5325">CA250/BT250-1</f>
        <v>-7.0921985815602939E-3</v>
      </c>
      <c r="CC251" s="197" t="str">
        <f t="shared" si="3936"/>
        <v>YoY Change (%)</v>
      </c>
      <c r="CD251" s="198">
        <f>CD250/BW250-1</f>
        <v>1.2875536480686733E-2</v>
      </c>
      <c r="CE251" s="198">
        <f t="shared" ref="CE251" si="5326">CE250/BX250-1</f>
        <v>3.3613445378151363E-2</v>
      </c>
      <c r="CF251" s="198">
        <f t="shared" ref="CF251" si="5327">CF250/BY250-1</f>
        <v>7.2874493927125528E-2</v>
      </c>
      <c r="CG251" s="198">
        <f t="shared" ref="CG251" si="5328">CG250/BZ250-1</f>
        <v>5.3435114503816772E-2</v>
      </c>
      <c r="CH251" s="198">
        <f t="shared" ref="CH251" si="5329">CH250/CA250-1</f>
        <v>4.3877551020408134E-2</v>
      </c>
      <c r="CJ251" s="197" t="str">
        <f t="shared" si="3941"/>
        <v>YoY Change (%)</v>
      </c>
      <c r="CK251" s="198">
        <f>CK250/CD250-1</f>
        <v>0.10720338983050826</v>
      </c>
      <c r="CL251" s="198">
        <f t="shared" ref="CL251" si="5330">CL250/CE250-1</f>
        <v>7.0731707317073012E-2</v>
      </c>
      <c r="CM251" s="198">
        <f t="shared" ref="CM251" si="5331">CM250/CF250-1</f>
        <v>2.6415094339622636E-2</v>
      </c>
      <c r="CN251" s="198">
        <f t="shared" ref="CN251" si="5332">CN250/CG250-1</f>
        <v>3.9855072463768071E-2</v>
      </c>
      <c r="CO251" s="198">
        <f t="shared" ref="CO251" si="5333">CO250/CH250-1</f>
        <v>5.9335288367546202E-2</v>
      </c>
      <c r="CQ251" s="197" t="str">
        <f t="shared" si="3946"/>
        <v>YoY Change (%)</v>
      </c>
      <c r="CR251" s="198">
        <f>CR250/CK250-1</f>
        <v>2.9468044393417658E-2</v>
      </c>
      <c r="CS251" s="198">
        <f t="shared" ref="CS251" si="5334">CS250/CL250-1</f>
        <v>4.0242976461655422E-2</v>
      </c>
      <c r="CT251" s="198">
        <f t="shared" ref="CT251" si="5335">CT250/CM250-1</f>
        <v>6.25E-2</v>
      </c>
      <c r="CU251" s="198">
        <f t="shared" ref="CU251" si="5336">CU250/CN250-1</f>
        <v>7.6655052264808399E-2</v>
      </c>
      <c r="CV251" s="198">
        <f t="shared" ref="CV251" si="5337">CV250/CO250-1</f>
        <v>5.2874411737565907E-2</v>
      </c>
      <c r="CX251" s="197" t="str">
        <f t="shared" si="3951"/>
        <v>YoY Change (%)</v>
      </c>
      <c r="CY251" s="198">
        <f>CY250/CR250-1</f>
        <v>0.12267657992565062</v>
      </c>
      <c r="CZ251" s="198">
        <f t="shared" ref="CZ251" si="5338">CZ250/CS250-1</f>
        <v>0.17153284671532854</v>
      </c>
      <c r="DA251" s="198">
        <f t="shared" ref="DA251" si="5339">DA250/CT250-1</f>
        <v>0.10726643598615926</v>
      </c>
      <c r="DB251" s="198">
        <f t="shared" ref="DB251" si="5340">DB250/CU250-1</f>
        <v>0.10032362459546929</v>
      </c>
      <c r="DC251" s="198">
        <f t="shared" ref="DC251" si="5341">DC250/CV250-1</f>
        <v>0.12445223488168278</v>
      </c>
      <c r="DE251" s="197" t="str">
        <f t="shared" si="3956"/>
        <v>YoY Change (%)</v>
      </c>
      <c r="DF251" s="198">
        <f>DF250/CY250-1</f>
        <v>-0.20860927152317876</v>
      </c>
      <c r="DG251" s="198">
        <f t="shared" ref="DG251" si="5342">DG250/CZ250-1</f>
        <v>-0.24610591900311529</v>
      </c>
      <c r="DH251" s="198">
        <f t="shared" ref="DH251" si="5343">DH250/DA250-1</f>
        <v>-0.24687499999999996</v>
      </c>
      <c r="DI251" s="198">
        <f t="shared" ref="DI251" si="5344">DI250/DB250-1</f>
        <v>-0.26470588235294112</v>
      </c>
      <c r="DJ251" s="198">
        <f t="shared" ref="DJ251" si="5345">DJ250/DC250-1</f>
        <v>-0.24240062353858149</v>
      </c>
      <c r="DL251" s="197" t="str">
        <f t="shared" si="3961"/>
        <v>YoY Change (%)</v>
      </c>
      <c r="DM251" s="198">
        <f>DM250/DF250-1</f>
        <v>-1.2552301255230103E-2</v>
      </c>
      <c r="DN251" s="198">
        <f t="shared" ref="DN251" si="5346">DN250/DG250-1</f>
        <v>1.2396694214876103E-2</v>
      </c>
      <c r="DO251" s="198">
        <f t="shared" ref="DO251" si="5347">DO250/DH250-1</f>
        <v>2.0746887966804906E-2</v>
      </c>
      <c r="DP251" s="198">
        <f t="shared" ref="DP251" si="5348">DP250/DI250-1</f>
        <v>1.2000000000000011E-2</v>
      </c>
      <c r="DQ251" s="198">
        <f t="shared" ref="DQ251" si="5349">DQ250/DJ250-1</f>
        <v>8.2304526748970819E-3</v>
      </c>
      <c r="DS251" s="197" t="str">
        <f t="shared" si="3966"/>
        <v>YoY Change (%)</v>
      </c>
      <c r="DT251" s="198">
        <f>DT250/DM250-1</f>
        <v>5.0847457627118731E-2</v>
      </c>
      <c r="DU251" s="198">
        <f t="shared" ref="DU251" si="5350">DU250/DN250-1</f>
        <v>5.7142857142857162E-2</v>
      </c>
      <c r="DV251" s="198">
        <f t="shared" ref="DV251" si="5351">DV250/DO250-1</f>
        <v>5.2845528455284452E-2</v>
      </c>
      <c r="DW251" s="198">
        <f t="shared" ref="DW251" si="5352">DW250/DP250-1</f>
        <v>4.3478260869565188E-2</v>
      </c>
      <c r="DX251" s="198">
        <f t="shared" ref="DX251" si="5353">DX250/DQ250-1</f>
        <v>5.1020408163265252E-2</v>
      </c>
      <c r="DZ251" s="197" t="str">
        <f t="shared" si="3971"/>
        <v>YoY Change (%)</v>
      </c>
      <c r="EA251" s="198">
        <f>EA250/DT250-1</f>
        <v>1.6129032258064502E-2</v>
      </c>
      <c r="EB251" s="198">
        <f t="shared" ref="EB251" si="5354">EB250/DU250-1</f>
        <v>-1.158301158301156E-2</v>
      </c>
      <c r="EC251" s="198">
        <f t="shared" ref="EC251" si="5355">EC250/DV250-1</f>
        <v>0</v>
      </c>
      <c r="ED251" s="198">
        <f t="shared" ref="ED251" si="5356">ED250/DW250-1</f>
        <v>3.7878787878787845E-2</v>
      </c>
      <c r="EE251" s="198">
        <f t="shared" ref="EE251" si="5357">EE250/DX250-1</f>
        <v>1.0679611650485477E-2</v>
      </c>
      <c r="EG251" s="197" t="str">
        <f t="shared" si="3976"/>
        <v>YoY Change (%)</v>
      </c>
      <c r="EH251" s="198">
        <f>EH250/EA250-1</f>
        <v>9.5238095238095344E-2</v>
      </c>
      <c r="EI251" s="198">
        <f t="shared" ref="EI251" si="5358">EI250/EB250-1</f>
        <v>0.3515625</v>
      </c>
      <c r="EJ251" s="198">
        <f t="shared" ref="EJ251" si="5359">EJ250/EC250-1</f>
        <v>0.94594594594594605</v>
      </c>
      <c r="EK251" s="198">
        <f t="shared" ref="EK251" si="5360">EK250/ED250-1</f>
        <v>0.8941605839416058</v>
      </c>
      <c r="EL251" s="198">
        <f t="shared" ref="EL251" si="5361">EL250/EE250-1</f>
        <v>0.58021133525456281</v>
      </c>
      <c r="EN251" s="197" t="str">
        <f t="shared" si="3981"/>
        <v>YoY Change (%)</v>
      </c>
      <c r="EO251" s="198">
        <f>EO250/EH250-1</f>
        <v>0.91304347826086962</v>
      </c>
      <c r="EP251" s="198">
        <f t="shared" ref="EP251" si="5362">EP250/EI250-1</f>
        <v>0.5</v>
      </c>
      <c r="EQ251" s="198">
        <f t="shared" ref="EQ251" si="5363">EQ250/EJ250-1</f>
        <v>7.9365079365079083E-3</v>
      </c>
      <c r="ER251" s="198">
        <f t="shared" ref="ER251" si="5364">ER250/EK250-1</f>
        <v>-4.2389210019267876E-2</v>
      </c>
      <c r="ES251" s="198">
        <f t="shared" ref="ES251" si="5365">ES250/EL250-1</f>
        <v>0.24741641337386011</v>
      </c>
      <c r="EU251" s="197" t="str">
        <f t="shared" si="3986"/>
        <v>YoY Change (%)</v>
      </c>
      <c r="EV251" s="198">
        <f>EV250/EO250-1</f>
        <v>-8.9015151515151492E-2</v>
      </c>
      <c r="EW251" s="198">
        <f t="shared" ref="EW251" si="5366">EW250/EP250-1</f>
        <v>-4.2389210019267876E-2</v>
      </c>
      <c r="EX251" s="198">
        <f t="shared" ref="EX251" si="5367">EX250/EQ250-1</f>
        <v>1.7716535433070835E-2</v>
      </c>
      <c r="EY251" s="198">
        <f t="shared" ref="EY251" si="5368">EY250/ER250-1</f>
        <v>2.4144869215291687E-2</v>
      </c>
      <c r="EZ251" s="198">
        <f t="shared" ref="EZ251" si="5369">EZ250/ES250-1</f>
        <v>-2.3391812865497075E-2</v>
      </c>
      <c r="FB251" s="197" t="str">
        <f t="shared" si="3991"/>
        <v>YoY Change (%)</v>
      </c>
      <c r="FC251" s="198">
        <f>FC250/EV250-1</f>
        <v>0</v>
      </c>
      <c r="FD251" s="198">
        <f t="shared" ref="FD251" si="5370">FD250/EW250-1</f>
        <v>8.0482897384305918E-2</v>
      </c>
      <c r="FE251" s="198">
        <f t="shared" ref="FE251" si="5371">FE250/EX250-1</f>
        <v>9.4777562862669251E-2</v>
      </c>
      <c r="FF251" s="198">
        <f t="shared" ref="FF251" si="5372">FF250/EY250-1</f>
        <v>5.1080550098231869E-2</v>
      </c>
      <c r="FG251" s="198">
        <f t="shared" ref="FG251" si="5373">FG250/EZ250-1</f>
        <v>5.738522954091807E-2</v>
      </c>
      <c r="FI251" s="197" t="str">
        <f t="shared" si="3996"/>
        <v>YoY Change (%)</v>
      </c>
      <c r="FJ251" s="198">
        <f>FJ250/FC250-1</f>
        <v>9.3555093555093505E-2</v>
      </c>
      <c r="FK251" s="198">
        <f t="shared" ref="FK251" si="5374">FK250/FD250-1</f>
        <v>5.2141527001862142E-2</v>
      </c>
      <c r="FL251" s="198">
        <f t="shared" ref="FL251" si="5375">FL250/FE250-1</f>
        <v>-3.5335689045936647E-3</v>
      </c>
      <c r="FM251" s="198">
        <f t="shared" ref="FM251" si="5376">FM250/FF250-1</f>
        <v>7.4766355140186924E-2</v>
      </c>
      <c r="FN251" s="198">
        <f t="shared" ref="FN251" si="5377">FN250/FG250-1</f>
        <v>5.2383199622463517E-2</v>
      </c>
      <c r="FP251" s="197" t="str">
        <f t="shared" si="4001"/>
        <v>YoY Change (%)</v>
      </c>
      <c r="FQ251" s="198">
        <f>FQ250/FJ250-1</f>
        <v>4.3726235741444963E-2</v>
      </c>
      <c r="FR251" s="198">
        <f t="shared" ref="FR251" si="5378">FR250/FK250-1</f>
        <v>4.2477876106194801E-2</v>
      </c>
      <c r="FS251" s="198">
        <f t="shared" ref="FS251" si="5379">FS250/FL250-1</f>
        <v>-8.8652482269503396E-3</v>
      </c>
      <c r="FT251" s="198">
        <f t="shared" ref="FT251" si="5380">FT250/FM250-1</f>
        <v>5.913043478260871E-2</v>
      </c>
      <c r="FU251" s="198">
        <f t="shared" ref="FU251" si="5381">FU250/FN250-1</f>
        <v>3.4080717488789158E-2</v>
      </c>
      <c r="FW251" s="197" t="str">
        <f t="shared" si="4006"/>
        <v>YoY Change (%)</v>
      </c>
      <c r="FX251" s="198">
        <f>FX250/FQ250-1</f>
        <v>-3.8251366120218622E-2</v>
      </c>
      <c r="FY251" s="198">
        <f t="shared" ref="FY251" si="5382">FY250/FR250-1</f>
        <v>-7.8098471986417617E-2</v>
      </c>
      <c r="FZ251" s="198">
        <f t="shared" ref="FZ251" si="5383">FZ250/FS250-1</f>
        <v>-2.6833631484794229E-2</v>
      </c>
      <c r="GA251" s="198">
        <f t="shared" ref="GA251" si="5384">GA250/FT250-1</f>
        <v>-9.6880131362889976E-2</v>
      </c>
      <c r="GB251" s="198">
        <f t="shared" ref="GB251" si="5385">GB250/FU250-1</f>
        <v>-6.1144839549002628E-2</v>
      </c>
      <c r="GD251" s="197" t="str">
        <f t="shared" si="4011"/>
        <v>YoY Change (%)</v>
      </c>
      <c r="GE251" s="198">
        <f>GE250/FX250-1</f>
        <v>-2.2727272727272707E-2</v>
      </c>
      <c r="GF251" s="198">
        <f t="shared" ref="GF251" si="5386">GF250/FY250-1</f>
        <v>7.3664825046040328E-3</v>
      </c>
      <c r="GG251" s="198">
        <f t="shared" ref="GG251" si="5387">GG250/FZ250-1</f>
        <v>3.6764705882353033E-2</v>
      </c>
      <c r="GH251" s="198">
        <f t="shared" ref="GH251" si="5388">GH250/GA250-1</f>
        <v>3.6363636363636598E-3</v>
      </c>
      <c r="GI251" s="198">
        <f t="shared" ref="GI251" si="5389">GI250/GB250-1</f>
        <v>6.4665127020784308E-3</v>
      </c>
      <c r="GK251" s="197" t="str">
        <f t="shared" si="4016"/>
        <v>YoY Change (%)</v>
      </c>
      <c r="GL251" s="198">
        <f>GL250/GE250-1</f>
        <v>-1.3565891472868241E-2</v>
      </c>
      <c r="GM251" s="198">
        <f t="shared" ref="GM251" si="5390">GM250/GF250-1</f>
        <v>-1.4625228519195566E-2</v>
      </c>
      <c r="GN251" s="198">
        <f t="shared" ref="GN251" si="5391">GN250/GG250-1</f>
        <v>-6.0283687943262443E-2</v>
      </c>
      <c r="GO251" s="198">
        <f t="shared" ref="GO251" si="5392">GO250/GH250-1</f>
        <v>-3.4420289855072506E-2</v>
      </c>
      <c r="GP251" s="198">
        <f t="shared" ref="GP251" si="5393">GP250/GI250-1</f>
        <v>-3.1206975676915993E-2</v>
      </c>
      <c r="GR251" s="197" t="str">
        <f t="shared" si="4021"/>
        <v>YoY Change (%)</v>
      </c>
      <c r="GS251" s="198">
        <f>GS250/GL250-1</f>
        <v>-1.9646365422396617E-3</v>
      </c>
      <c r="GT251" s="198">
        <f t="shared" ref="GT251" si="5394">GT250/GM250-1</f>
        <v>-1.6697588126159513E-2</v>
      </c>
      <c r="GU251" s="198">
        <f t="shared" ref="GU251" si="5395">GU250/GN250-1</f>
        <v>3.7735849056603765E-3</v>
      </c>
      <c r="GV251" s="198">
        <f t="shared" ref="GV251" si="5396">GV250/GO250-1</f>
        <v>-6.3789868667917471E-2</v>
      </c>
      <c r="GW251" s="198">
        <f t="shared" ref="GW251" si="5397">GW250/GP250-1</f>
        <v>-1.9895783988631011E-2</v>
      </c>
      <c r="GY251" s="197" t="str">
        <f t="shared" si="4026"/>
        <v>YoY Change (%)</v>
      </c>
      <c r="GZ251" s="198">
        <f>GZ250/GS250-1</f>
        <v>-0.13385826771653542</v>
      </c>
      <c r="HA251" s="198">
        <f t="shared" ref="HA251" si="5398">HA250/GT250-1</f>
        <v>-0.13773584905660374</v>
      </c>
      <c r="HB251" s="198">
        <f t="shared" ref="HB251" si="5399">HB250/GU250-1</f>
        <v>-9.5864661654135319E-2</v>
      </c>
      <c r="HC251" s="198">
        <f t="shared" ref="HC251" si="5400">HC250/GV250-1</f>
        <v>5.0100200400801542E-2</v>
      </c>
      <c r="HD251" s="198">
        <f t="shared" ref="HD251" si="5401">HD250/GW250-1</f>
        <v>-8.0715321411309771E-2</v>
      </c>
      <c r="HF251" s="197" t="str">
        <f t="shared" si="4031"/>
        <v>YoY Change (%)</v>
      </c>
      <c r="HG251" s="198">
        <f>HG250/GZ250-1</f>
        <v>0.13636363636363646</v>
      </c>
      <c r="HH251" s="198">
        <f t="shared" ref="HH251" si="5402">HH250/HA250-1</f>
        <v>0.17724288840262581</v>
      </c>
      <c r="HI251" s="198">
        <f t="shared" ref="HI251" si="5403">HI250/HB250-1</f>
        <v>0.1933471933471933</v>
      </c>
      <c r="HJ251" s="198">
        <f t="shared" ref="HJ251" si="5404">HJ250/HC250-1</f>
        <v>0.16603053435114501</v>
      </c>
      <c r="HK251" s="198">
        <f t="shared" ref="HK251" si="5405">HK250/HD250-1</f>
        <v>0.16876971608832814</v>
      </c>
      <c r="HM251" s="197" t="str">
        <f t="shared" si="4036"/>
        <v>YoY Change (%)</v>
      </c>
      <c r="HN251" s="198">
        <f>HN250/HG250-1</f>
        <v>0.10600000000000009</v>
      </c>
      <c r="HO251" s="198">
        <f t="shared" ref="HO251" si="5406">HO250/HH250-1</f>
        <v>7.9925650557620909E-2</v>
      </c>
      <c r="HP251" s="198">
        <f t="shared" ref="HP251" si="5407">HP250/HI250-1</f>
        <v>3.4843205574912606E-3</v>
      </c>
      <c r="HQ251" s="198">
        <f t="shared" ref="HQ251" si="5408">HQ250/HJ250-1</f>
        <v>-5.2373158756137461E-2</v>
      </c>
      <c r="HR251" s="198">
        <f t="shared" ref="HR251" si="5409">HR250/HK250-1</f>
        <v>2.9689608636977116E-2</v>
      </c>
      <c r="HT251" s="197" t="str">
        <f t="shared" si="4041"/>
        <v>YoY Change (%)</v>
      </c>
      <c r="HU251" s="198">
        <f>HU250/HN250-1</f>
        <v>8.4990958408679873E-2</v>
      </c>
      <c r="HV251" s="198">
        <f t="shared" ref="HV251" si="5410">HV250/HO250-1</f>
        <v>8.2616179001721246E-2</v>
      </c>
      <c r="HW251" s="198">
        <f t="shared" ref="HW251" si="5411">HW250/HP250-1</f>
        <v>7.986111111111116E-2</v>
      </c>
      <c r="HX251" s="198">
        <f t="shared" ref="HX251" si="5412">HX250/HQ250-1</f>
        <v>3.6269430051813378E-2</v>
      </c>
      <c r="HY251" s="198">
        <f t="shared" ref="HY251" si="5413">HY250/HR250-1</f>
        <v>7.0773263433813849E-2</v>
      </c>
      <c r="IA251" s="197" t="str">
        <f t="shared" si="4046"/>
        <v>YoY Change (%)</v>
      </c>
      <c r="IB251" s="198">
        <f>IB250/HU250-1</f>
        <v>2.4999999999999911E-2</v>
      </c>
      <c r="IC251" s="198">
        <f t="shared" ref="IC251" si="5414">IC250/HV250-1</f>
        <v>2.3847376788553198E-2</v>
      </c>
      <c r="ID251" s="198">
        <f t="shared" ref="ID251" si="5415">ID250/HW250-1</f>
        <v>5.6270096463022501E-2</v>
      </c>
      <c r="IE251" s="198">
        <f t="shared" ref="IE251" si="5416">IE250/HX250-1</f>
        <v>0.1100000000000001</v>
      </c>
      <c r="IF251" s="198">
        <f t="shared" ref="IF251" si="5417">IF250/HY250-1</f>
        <v>5.3447572419420553E-2</v>
      </c>
      <c r="IH251" s="197" t="str">
        <f t="shared" si="4051"/>
        <v>YoY Change (%)</v>
      </c>
      <c r="II251" s="198">
        <f>II250/IB250-1</f>
        <v>5.2032520325203224E-2</v>
      </c>
      <c r="IJ251" s="198">
        <f t="shared" ref="IJ251" si="5418">IJ250/IC250-1</f>
        <v>7.2981366459627273E-2</v>
      </c>
      <c r="IK251" s="198">
        <f t="shared" ref="IK251" si="5419">IK250/ID250-1</f>
        <v>5.1750380517503913E-2</v>
      </c>
      <c r="IL251" s="198">
        <f t="shared" ref="IL251" si="5420">IL250/IE250-1</f>
        <v>4.9549549549549488E-2</v>
      </c>
      <c r="IM251" s="198">
        <f t="shared" ref="IM251" si="5421">IM250/IF250-1</f>
        <v>5.6545313710302025E-2</v>
      </c>
      <c r="IO251" s="197" t="str">
        <f t="shared" si="4056"/>
        <v>YoY Change (%)</v>
      </c>
      <c r="IP251" s="198">
        <f>IP250/II250-1</f>
        <v>1.2364760432766575E-2</v>
      </c>
      <c r="IQ251" s="198">
        <f t="shared" ref="IQ251" si="5422">IQ250/IJ250-1</f>
        <v>4.6309696092619479E-2</v>
      </c>
      <c r="IR251" s="198">
        <f t="shared" ref="IR251" si="5423">IR250/IK250-1</f>
        <v>5.7887120115774238E-2</v>
      </c>
      <c r="IS251" s="198">
        <f t="shared" ref="IS251" si="5424">IS250/IL250-1</f>
        <v>4.2918454935622297E-2</v>
      </c>
      <c r="IT251" s="198">
        <f t="shared" ref="IT251" si="5425">IT250/IM250-1</f>
        <v>4.0322580645161255E-2</v>
      </c>
      <c r="IV251" s="197" t="str">
        <f t="shared" si="4061"/>
        <v>YoY Change (%)</v>
      </c>
      <c r="IW251" s="198">
        <f>IW250/IP250-1</f>
        <v>3.5114503816793929E-2</v>
      </c>
      <c r="IX251" s="198">
        <f t="shared" ref="IX251" si="5426">IX250/IQ250-1</f>
        <v>-4.0110650069156262E-2</v>
      </c>
      <c r="IY251" s="198">
        <f t="shared" ref="IY251" si="5427">IY250/IR250-1</f>
        <v>-6.8399452804377536E-2</v>
      </c>
      <c r="IZ251" s="198">
        <f t="shared" ref="IZ251" si="5428">IZ250/IS250-1</f>
        <v>3.9780521262002821E-2</v>
      </c>
      <c r="JA251" s="198">
        <f t="shared" ref="JA251" si="5429">JA250/IT250-1</f>
        <v>-9.5137420718816035E-3</v>
      </c>
      <c r="JC251" s="197" t="str">
        <f t="shared" si="4066"/>
        <v>YoY Change (%)</v>
      </c>
      <c r="JD251" s="198">
        <f>JD250/IW250-1</f>
        <v>1.4749262536873253E-2</v>
      </c>
      <c r="JE251" s="198">
        <f t="shared" ref="JE251" si="5430">JE250/IX250-1</f>
        <v>3.4582132564841439E-2</v>
      </c>
      <c r="JF251" s="198">
        <f t="shared" ref="JF251" si="5431">JF250/IY250-1</f>
        <v>5.4331864904552107E-2</v>
      </c>
      <c r="JG251" s="198">
        <f t="shared" ref="JG251" si="5432">JG250/IZ250-1</f>
        <v>-5.1451187335092352E-2</v>
      </c>
      <c r="JH251" s="198">
        <f t="shared" ref="JH251" si="5433">JH250/JA250-1</f>
        <v>1.1383849163998594E-2</v>
      </c>
      <c r="JJ251" s="197" t="str">
        <f t="shared" si="4071"/>
        <v>YoY Change (%)</v>
      </c>
      <c r="JK251" s="198">
        <f>JK250/JD250-1</f>
        <v>1.4534883720929148E-3</v>
      </c>
      <c r="JL251" s="198">
        <f t="shared" ref="JL251" si="5434">JL250/JE250-1</f>
        <v>2.3676880222841312E-2</v>
      </c>
      <c r="JM251" s="198">
        <f t="shared" ref="JM251" si="5435">JM250/JF250-1</f>
        <v>2.9247910863509752E-2</v>
      </c>
      <c r="JN251" s="198">
        <f t="shared" ref="JN251" si="5436">JN250/JG250-1</f>
        <v>1.8080667593880495E-2</v>
      </c>
      <c r="JO251" s="198">
        <f t="shared" ref="JO251" si="5437">JO250/JH250-1</f>
        <v>1.8290538163911352E-2</v>
      </c>
      <c r="JQ251" s="197" t="str">
        <f t="shared" si="4076"/>
        <v>YoY Change (%)</v>
      </c>
      <c r="JR251" s="198">
        <f>JR250/JK250-1</f>
        <v>-4.6444121915820036E-2</v>
      </c>
      <c r="JS251" s="198">
        <f t="shared" ref="JS251" si="5438">JS250/JL250-1</f>
        <v>-0.10476190476190472</v>
      </c>
      <c r="JT251" s="198">
        <f t="shared" ref="JT251" si="5439">JT250/JM250-1</f>
        <v>-8.9309878213802429E-2</v>
      </c>
      <c r="JU251" s="198">
        <f t="shared" ref="JU251" si="5440">JU250/JN250-1</f>
        <v>-6.8306010928961713E-2</v>
      </c>
      <c r="JV251" s="198">
        <f t="shared" ref="JV251" si="5441">JV250/JO250-1</f>
        <v>-7.7720207253886064E-2</v>
      </c>
      <c r="JX251" s="197" t="str">
        <f t="shared" si="4081"/>
        <v>YoY Change (%)</v>
      </c>
      <c r="JY251" s="198">
        <f>JY250/JR250-1</f>
        <v>4.5662100456620447E-3</v>
      </c>
      <c r="JZ251" s="198">
        <f t="shared" ref="JZ251" si="5442">JZ250/JS250-1</f>
        <v>-0.10942249240121582</v>
      </c>
      <c r="KA251" s="198">
        <f t="shared" ref="KA251" si="5443">KA250/JT250-1</f>
        <v>6.537890044576522E-2</v>
      </c>
      <c r="KB251" s="198">
        <f t="shared" ref="KB251" si="5444">KB250/JU250-1</f>
        <v>0.10997067448680342</v>
      </c>
      <c r="KC251" s="198">
        <f t="shared" ref="KC251" si="5445">KC250/JV250-1</f>
        <v>1.8726591760299671E-2</v>
      </c>
      <c r="KE251" s="197" t="str">
        <f t="shared" si="4086"/>
        <v>YoY Change (%)</v>
      </c>
      <c r="KF251" s="198">
        <f>KF250/JY250-1</f>
        <v>0.10000000000000009</v>
      </c>
      <c r="KG251" s="198">
        <f t="shared" ref="KG251" si="5446">KG250/JZ250-1</f>
        <v>0.28327645051194539</v>
      </c>
      <c r="KH251" s="198">
        <f t="shared" ref="KH251" si="5447">KH250/KA250-1</f>
        <v>3.7656903765690419E-2</v>
      </c>
      <c r="KI251" s="198">
        <f t="shared" ref="KI251" si="5448">KI250/KB250-1</f>
        <v>-3.9630118890356947E-3</v>
      </c>
      <c r="KJ251" s="198">
        <f t="shared" ref="KJ251" si="5449">KJ250/KC250-1</f>
        <v>9.4117647058823639E-2</v>
      </c>
      <c r="KL251" s="197" t="str">
        <f t="shared" si="4091"/>
        <v>YoY Change (%)</v>
      </c>
      <c r="KM251" s="198">
        <f>KM250/KF250-1</f>
        <v>-5.5096418732781816E-3</v>
      </c>
      <c r="KN251" s="198">
        <f t="shared" ref="KN251" si="5450">KN250/KG250-1</f>
        <v>9.3085106382979621E-3</v>
      </c>
      <c r="KO251" s="198">
        <f t="shared" ref="KO251" si="5451">KO250/KH250-1</f>
        <v>2.4193548387096753E-2</v>
      </c>
      <c r="KP251" s="198">
        <f t="shared" ref="KP251" si="5452">KP250/KI250-1</f>
        <v>-4.5092838196286511E-2</v>
      </c>
      <c r="KQ251" s="198">
        <f t="shared" ref="KQ251" si="5453">KQ250/KJ250-1</f>
        <v>-4.368279569892497E-3</v>
      </c>
      <c r="KS251" s="197" t="str">
        <f t="shared" si="4096"/>
        <v>YoY Change (%)</v>
      </c>
      <c r="KT251" s="198">
        <f>KT250/KM250-1</f>
        <v>-9.4182825484764532E-2</v>
      </c>
      <c r="KU251" s="198">
        <f t="shared" ref="KU251" si="5454">KU250/KN250-1</f>
        <v>-9.8814229249011842E-2</v>
      </c>
      <c r="KV251" s="198">
        <f t="shared" ref="KV251" si="5455">KV250/KO250-1</f>
        <v>-7.086614173228345E-2</v>
      </c>
      <c r="KW251" s="198">
        <f t="shared" ref="KW251" si="5456">KW250/KP250-1</f>
        <v>0</v>
      </c>
      <c r="KX251" s="198">
        <f t="shared" ref="KX251" si="5457">KX250/KQ250-1</f>
        <v>-6.6486668916638569E-2</v>
      </c>
      <c r="KZ251" s="197" t="str">
        <f t="shared" si="4101"/>
        <v>YoY Change (%)</v>
      </c>
      <c r="LA251" s="198">
        <f>LA250/KT250-1</f>
        <v>7.1865443425076503E-2</v>
      </c>
      <c r="LB251" s="198">
        <f>LB250/KU250-1</f>
        <v>4.6783625730994149E-2</v>
      </c>
      <c r="LC251" s="198">
        <f>LC250/KV250-1</f>
        <v>3.1073446327683607E-2</v>
      </c>
      <c r="LD251" s="198">
        <f t="shared" ref="LD251" si="5458">LD250/KW250-1</f>
        <v>3.6111111111111205E-2</v>
      </c>
      <c r="LE251" s="199">
        <f t="shared" ref="LE251" si="5459">LE250/KX250-1</f>
        <v>4.5914678235719375E-2</v>
      </c>
      <c r="LF251" s="567"/>
      <c r="LG251" s="197" t="str">
        <f t="shared" si="4104"/>
        <v>YoY Change (%)</v>
      </c>
      <c r="LH251" s="198">
        <f>LH250/LA250-1</f>
        <v>2.1398002853067144E-2</v>
      </c>
      <c r="LI251" s="198">
        <f>LI250/LB250-1</f>
        <v>1.8156424581005526E-2</v>
      </c>
      <c r="LJ251" s="198">
        <f>LJ250/LC250-1</f>
        <v>5.2054794520547842E-2</v>
      </c>
      <c r="LK251" s="198">
        <f>LK250/LD250-1</f>
        <v>4.8257372654155528E-2</v>
      </c>
      <c r="LL251" s="199">
        <f t="shared" ref="LL251" si="5460">LL250/LE250-1</f>
        <v>3.5257518147252087E-2</v>
      </c>
      <c r="LM251" s="567"/>
      <c r="LN251" s="197" t="str">
        <f t="shared" si="4106"/>
        <v>YoY Change (%)</v>
      </c>
      <c r="LO251" s="222">
        <v>4.4999999999999998E-2</v>
      </c>
      <c r="LP251" s="222">
        <v>0.05</v>
      </c>
      <c r="LQ251" s="222">
        <v>0.05</v>
      </c>
      <c r="LR251" s="222">
        <v>0.05</v>
      </c>
      <c r="LS251" s="199">
        <f t="shared" ref="LS251" si="5461">LS250/LL250-1</f>
        <v>4.8804674457429087E-2</v>
      </c>
      <c r="LT251" s="567"/>
      <c r="LU251" s="197" t="str">
        <f t="shared" si="4610"/>
        <v>YoY Change (%)</v>
      </c>
      <c r="LV251" s="222">
        <v>0.03</v>
      </c>
      <c r="LW251" s="222">
        <v>0.03</v>
      </c>
      <c r="LX251" s="222">
        <v>0.03</v>
      </c>
      <c r="LY251" s="222">
        <v>0.03</v>
      </c>
      <c r="LZ251" s="199">
        <f t="shared" ref="LZ251" si="5462">LZ250/LS250-1</f>
        <v>3.0000000000000027E-2</v>
      </c>
      <c r="MA251" s="567"/>
      <c r="MB251" s="197" t="str">
        <f t="shared" si="4612"/>
        <v>YoY Change (%)</v>
      </c>
      <c r="MC251" s="222">
        <v>0.03</v>
      </c>
      <c r="MD251" s="222">
        <v>0.03</v>
      </c>
      <c r="ME251" s="222">
        <v>0.03</v>
      </c>
      <c r="MF251" s="222">
        <v>0.03</v>
      </c>
      <c r="MG251" s="199">
        <f t="shared" ref="MG251" si="5463">MG250/LZ250-1</f>
        <v>2.9999999999999805E-2</v>
      </c>
      <c r="MH251" s="567"/>
    </row>
    <row r="252" spans="1:346" s="37" customFormat="1" ht="13.15" x14ac:dyDescent="0.4">
      <c r="A252" s="100"/>
      <c r="C252" s="186"/>
      <c r="D252" s="186"/>
      <c r="E252" s="186"/>
      <c r="F252" s="186"/>
      <c r="G252" s="186"/>
      <c r="H252" s="186"/>
      <c r="I252" s="186"/>
      <c r="J252" s="186"/>
      <c r="K252" s="186"/>
      <c r="L252" s="186"/>
      <c r="M252" s="186"/>
      <c r="N252" s="193"/>
      <c r="O252" s="193"/>
      <c r="P252" s="193"/>
      <c r="Q252" s="193"/>
      <c r="R252" s="193"/>
      <c r="S252" s="193"/>
      <c r="T252" s="193"/>
      <c r="U252" s="193"/>
      <c r="V252" s="193"/>
      <c r="W252" s="193"/>
      <c r="X252" s="193"/>
      <c r="Y252" s="193"/>
      <c r="Z252" s="193"/>
      <c r="AA252" s="193"/>
      <c r="AB252" s="193"/>
      <c r="AC252" s="193"/>
      <c r="AD252" s="193"/>
      <c r="AE252" s="193"/>
      <c r="AF252" s="193"/>
      <c r="AG252" s="193"/>
      <c r="AH252" s="193"/>
      <c r="AI252" s="193"/>
      <c r="AJ252" s="193"/>
      <c r="AK252" s="193"/>
      <c r="AL252" s="193"/>
      <c r="AM252" s="193"/>
      <c r="AN252" s="193"/>
      <c r="AO252" s="193"/>
      <c r="AP252" s="193"/>
      <c r="AQ252" s="193"/>
      <c r="AR252" s="193"/>
      <c r="AS252" s="193"/>
      <c r="AT252" s="193"/>
      <c r="AU252" s="193"/>
      <c r="AV252" s="193"/>
      <c r="AW252" s="193"/>
      <c r="AX252" s="193"/>
      <c r="AY252" s="193"/>
      <c r="AZ252" s="193"/>
      <c r="BA252" s="193"/>
      <c r="BB252" s="193"/>
      <c r="BC252" s="193"/>
      <c r="BD252" s="193"/>
      <c r="BE252" s="193"/>
      <c r="BF252" s="193"/>
      <c r="BG252" s="193"/>
      <c r="BH252" s="193"/>
      <c r="BI252" s="193"/>
      <c r="BJ252" s="193"/>
      <c r="BK252" s="193"/>
      <c r="BL252" s="193"/>
      <c r="BM252" s="193"/>
      <c r="BP252" s="193"/>
      <c r="BQ252" s="193"/>
      <c r="BR252" s="193"/>
      <c r="BS252" s="193"/>
      <c r="BT252" s="193"/>
      <c r="BW252" s="193"/>
      <c r="BX252" s="193"/>
      <c r="BY252" s="193"/>
      <c r="BZ252" s="193"/>
      <c r="CA252" s="193"/>
      <c r="CD252" s="193"/>
      <c r="CE252" s="193"/>
      <c r="CF252" s="193"/>
      <c r="CG252" s="193"/>
      <c r="CH252" s="193"/>
      <c r="CK252" s="193"/>
      <c r="CL252" s="193"/>
      <c r="CM252" s="193"/>
      <c r="CN252" s="193"/>
      <c r="CO252" s="193"/>
      <c r="CR252" s="193"/>
      <c r="CS252" s="193"/>
      <c r="CT252" s="193"/>
      <c r="CU252" s="193"/>
      <c r="CV252" s="193"/>
      <c r="CY252" s="193"/>
      <c r="CZ252" s="193"/>
      <c r="DA252" s="193"/>
      <c r="DB252" s="193"/>
      <c r="DC252" s="193"/>
      <c r="DF252" s="193"/>
      <c r="DG252" s="193"/>
      <c r="DH252" s="193"/>
      <c r="DI252" s="193"/>
      <c r="DJ252" s="193"/>
      <c r="DM252" s="193"/>
      <c r="DN252" s="193"/>
      <c r="DO252" s="193"/>
      <c r="DP252" s="193"/>
      <c r="DQ252" s="193"/>
      <c r="DT252" s="193"/>
      <c r="DU252" s="193"/>
      <c r="DV252" s="193"/>
      <c r="DW252" s="193"/>
      <c r="DX252" s="193"/>
      <c r="EA252" s="193"/>
      <c r="EB252" s="193"/>
      <c r="EC252" s="193"/>
      <c r="ED252" s="193"/>
      <c r="EE252" s="193"/>
      <c r="EH252" s="193"/>
      <c r="EI252" s="193"/>
      <c r="EJ252" s="193"/>
      <c r="EK252" s="193"/>
      <c r="EL252" s="193"/>
      <c r="EO252" s="193"/>
      <c r="EP252" s="193"/>
      <c r="EQ252" s="193"/>
      <c r="ER252" s="193"/>
      <c r="ES252" s="193"/>
      <c r="EV252" s="193"/>
      <c r="EW252" s="193"/>
      <c r="EX252" s="193"/>
      <c r="EY252" s="193"/>
      <c r="EZ252" s="193"/>
      <c r="FC252" s="193"/>
      <c r="FD252" s="193"/>
      <c r="FE252" s="193"/>
      <c r="FF252" s="193"/>
      <c r="FG252" s="193"/>
      <c r="FJ252" s="193"/>
      <c r="FK252" s="193"/>
      <c r="FL252" s="193"/>
      <c r="FM252" s="193"/>
      <c r="FN252" s="193"/>
      <c r="FQ252" s="193"/>
      <c r="FR252" s="193"/>
      <c r="FS252" s="193"/>
      <c r="FT252" s="193"/>
      <c r="FU252" s="193"/>
      <c r="FX252" s="193"/>
      <c r="FY252" s="193"/>
      <c r="FZ252" s="193"/>
      <c r="GA252" s="193"/>
      <c r="GB252" s="193"/>
      <c r="GE252" s="193"/>
      <c r="GF252" s="193"/>
      <c r="GG252" s="193"/>
      <c r="GH252" s="193"/>
      <c r="GI252" s="193"/>
      <c r="GL252" s="193"/>
      <c r="GM252" s="193"/>
      <c r="GN252" s="193"/>
      <c r="GO252" s="193"/>
      <c r="GP252" s="193"/>
      <c r="GS252" s="193"/>
      <c r="GT252" s="193"/>
      <c r="GU252" s="193"/>
      <c r="GV252" s="193"/>
      <c r="GW252" s="193"/>
      <c r="GZ252" s="193"/>
      <c r="HA252" s="193"/>
      <c r="HB252" s="193"/>
      <c r="HC252" s="193"/>
      <c r="HD252" s="193"/>
      <c r="HG252" s="193"/>
      <c r="HH252" s="193"/>
      <c r="HI252" s="193"/>
      <c r="HJ252" s="193"/>
      <c r="HK252" s="193"/>
      <c r="HN252" s="193"/>
      <c r="HO252" s="193"/>
      <c r="HP252" s="193"/>
      <c r="HQ252" s="193"/>
      <c r="HR252" s="193"/>
      <c r="HU252" s="193"/>
      <c r="HV252" s="193"/>
      <c r="HW252" s="193"/>
      <c r="HX252" s="193"/>
      <c r="HY252" s="193"/>
      <c r="IB252" s="193"/>
      <c r="IC252" s="193"/>
      <c r="ID252" s="193"/>
      <c r="IE252" s="193"/>
      <c r="IF252" s="193"/>
      <c r="II252" s="193"/>
      <c r="IJ252" s="193"/>
      <c r="IK252" s="193"/>
      <c r="IL252" s="193"/>
      <c r="IM252" s="193"/>
      <c r="IP252" s="193"/>
      <c r="IQ252" s="193"/>
      <c r="IR252" s="193"/>
      <c r="IS252" s="193"/>
      <c r="IT252" s="193"/>
      <c r="IW252" s="193"/>
      <c r="IX252" s="193"/>
      <c r="IY252" s="193"/>
      <c r="IZ252" s="193"/>
      <c r="JA252" s="193"/>
      <c r="JD252" s="193"/>
      <c r="JE252" s="193"/>
      <c r="JF252" s="193"/>
      <c r="JG252" s="193"/>
      <c r="JH252" s="193"/>
      <c r="JK252" s="193"/>
      <c r="JL252" s="193"/>
      <c r="JM252" s="193"/>
      <c r="JN252" s="193"/>
      <c r="JO252" s="193"/>
      <c r="JR252" s="193"/>
      <c r="JS252" s="193"/>
      <c r="JT252" s="193"/>
      <c r="JU252" s="193"/>
      <c r="JV252" s="193"/>
      <c r="JY252" s="193"/>
      <c r="JZ252" s="193"/>
      <c r="KA252" s="193"/>
      <c r="KB252" s="193"/>
      <c r="KC252" s="193"/>
      <c r="KF252" s="193"/>
      <c r="KG252" s="193"/>
      <c r="KH252" s="193"/>
      <c r="KI252" s="193"/>
      <c r="KJ252" s="193"/>
      <c r="KM252" s="193"/>
      <c r="KN252" s="193"/>
      <c r="KO252" s="193"/>
      <c r="KP252" s="193"/>
      <c r="KQ252" s="193"/>
      <c r="KT252" s="193"/>
      <c r="KU252" s="193"/>
      <c r="KV252" s="193"/>
      <c r="KW252" s="193"/>
      <c r="KX252" s="193"/>
      <c r="LA252" s="193"/>
      <c r="LB252" s="193"/>
      <c r="LC252" s="193"/>
      <c r="LD252" s="193"/>
      <c r="LE252" s="200"/>
      <c r="LF252" s="565"/>
      <c r="LH252" s="198"/>
      <c r="LI252" s="198"/>
      <c r="LJ252" s="198"/>
      <c r="LK252" s="198"/>
      <c r="LL252" s="193"/>
      <c r="LM252" s="555"/>
      <c r="LN252" s="68"/>
      <c r="LO252" s="198"/>
      <c r="LP252" s="198"/>
      <c r="LQ252" s="198"/>
      <c r="LR252" s="198"/>
      <c r="LS252" s="193"/>
      <c r="LT252" s="555"/>
      <c r="LU252" s="68"/>
      <c r="LV252" s="198"/>
      <c r="LW252" s="198"/>
      <c r="LX252" s="198"/>
      <c r="LY252" s="198"/>
      <c r="LZ252" s="200"/>
      <c r="MA252" s="565"/>
      <c r="MB252" s="68"/>
      <c r="MC252" s="198"/>
      <c r="MD252" s="198"/>
      <c r="ME252" s="198"/>
      <c r="MF252" s="198"/>
      <c r="MG252" s="200"/>
      <c r="MH252" s="565"/>
    </row>
    <row r="253" spans="1:346" s="37" customFormat="1" ht="13.15" x14ac:dyDescent="0.4">
      <c r="A253" s="100"/>
      <c r="B253" s="37" t="s">
        <v>517</v>
      </c>
      <c r="C253" s="186"/>
      <c r="D253" s="186"/>
      <c r="E253" s="186"/>
      <c r="F253" s="186"/>
      <c r="G253" s="186"/>
      <c r="H253" s="186"/>
      <c r="I253" s="186"/>
      <c r="J253" s="186"/>
      <c r="K253" s="186"/>
      <c r="L253" s="186"/>
      <c r="M253" s="186"/>
      <c r="N253" s="194">
        <f t="shared" ref="N253:AY253" si="5464">IFERROR(N26/N85*1000,"")</f>
        <v>592.70516717325233</v>
      </c>
      <c r="O253" s="194">
        <f t="shared" si="5464"/>
        <v>650</v>
      </c>
      <c r="P253" s="194">
        <f t="shared" si="5464"/>
        <v>660.80156402737043</v>
      </c>
      <c r="Q253" s="194">
        <f t="shared" si="5464"/>
        <v>681.55393559103084</v>
      </c>
      <c r="R253" s="194">
        <f t="shared" si="5464"/>
        <v>695.0043821209465</v>
      </c>
      <c r="S253" s="194">
        <f t="shared" si="5464"/>
        <v>703.03975058456751</v>
      </c>
      <c r="T253" s="194">
        <f t="shared" si="5464"/>
        <v>727.36625514403295</v>
      </c>
      <c r="U253" s="194">
        <f t="shared" si="5464"/>
        <v>673.46938775510205</v>
      </c>
      <c r="V253" s="194">
        <f t="shared" si="5464"/>
        <v>649.51456310679612</v>
      </c>
      <c r="W253" s="194">
        <f t="shared" si="5464"/>
        <v>622.47838616714705</v>
      </c>
      <c r="X253" s="194">
        <f t="shared" si="5464"/>
        <v>582.97872340425522</v>
      </c>
      <c r="Y253" s="194">
        <f t="shared" si="5464"/>
        <v>569.20077972709544</v>
      </c>
      <c r="Z253" s="194">
        <f t="shared" si="5464"/>
        <v>554.89021956087822</v>
      </c>
      <c r="AA253" s="194">
        <f t="shared" si="5464"/>
        <v>556.86644643699856</v>
      </c>
      <c r="AB253" s="194">
        <f t="shared" si="5464"/>
        <v>563.67713004484312</v>
      </c>
      <c r="AC253" s="194">
        <f t="shared" si="5464"/>
        <v>577.18993928881184</v>
      </c>
      <c r="AD253" s="194">
        <f t="shared" si="5464"/>
        <v>629.09930715935332</v>
      </c>
      <c r="AE253" s="194">
        <f t="shared" si="5464"/>
        <v>648.00367140890319</v>
      </c>
      <c r="AF253" s="194">
        <f t="shared" si="5464"/>
        <v>642.34959734722884</v>
      </c>
      <c r="AG253" s="194">
        <f t="shared" si="5464"/>
        <v>708.55485741904306</v>
      </c>
      <c r="AH253" s="194">
        <f t="shared" si="5464"/>
        <v>633.01787592008407</v>
      </c>
      <c r="AI253" s="194">
        <f t="shared" si="5464"/>
        <v>582.54610886189823</v>
      </c>
      <c r="AJ253" s="194">
        <f t="shared" si="5464"/>
        <v>626.47444298820437</v>
      </c>
      <c r="AK253" s="194">
        <f t="shared" si="5464"/>
        <v>650.34679722562214</v>
      </c>
      <c r="AL253" s="194">
        <f t="shared" si="5464"/>
        <v>657.24244771494966</v>
      </c>
      <c r="AM253" s="194">
        <f t="shared" si="5464"/>
        <v>656.15835777126097</v>
      </c>
      <c r="AN253" s="194">
        <f t="shared" si="5464"/>
        <v>620.85976039464413</v>
      </c>
      <c r="AO253" s="194">
        <f t="shared" si="5464"/>
        <v>614.01636428317329</v>
      </c>
      <c r="AP253" s="194">
        <f t="shared" si="5464"/>
        <v>632.78227224762577</v>
      </c>
      <c r="AQ253" s="194">
        <f t="shared" si="5464"/>
        <v>667.0120898100173</v>
      </c>
      <c r="AR253" s="194">
        <f t="shared" si="5464"/>
        <v>659.17602996254675</v>
      </c>
      <c r="AS253" s="194">
        <f t="shared" si="5464"/>
        <v>625.73529411764707</v>
      </c>
      <c r="AT253" s="194">
        <f t="shared" si="5464"/>
        <v>656.92204301075276</v>
      </c>
      <c r="AU253" s="194">
        <f t="shared" si="5464"/>
        <v>778.26527168410394</v>
      </c>
      <c r="AV253" s="194">
        <f t="shared" si="5464"/>
        <v>744.75777295733917</v>
      </c>
      <c r="AW253" s="194">
        <f t="shared" si="5464"/>
        <v>707.56999654338063</v>
      </c>
      <c r="AX253" s="194">
        <f t="shared" si="5464"/>
        <v>692.15358931552589</v>
      </c>
      <c r="AY253" s="194">
        <f t="shared" si="5464"/>
        <v>717.38384901167399</v>
      </c>
      <c r="AZ253" s="194">
        <f t="shared" ref="AZ253:BA253" si="5465">IFERROR(AZ26/AZ85*1000,"")</f>
        <v>740.79827062846005</v>
      </c>
      <c r="BA253" s="194">
        <f t="shared" si="5465"/>
        <v>764.87421442388518</v>
      </c>
      <c r="BB253" s="194"/>
      <c r="BC253" s="194"/>
      <c r="BD253" s="194"/>
      <c r="BE253" s="194"/>
      <c r="BF253" s="194"/>
      <c r="BG253" s="194"/>
      <c r="BH253" s="194"/>
      <c r="BI253" s="194"/>
      <c r="BJ253" s="194"/>
      <c r="BK253" s="194"/>
      <c r="BL253" s="194"/>
      <c r="BM253" s="194"/>
      <c r="BO253" s="37" t="str">
        <f t="shared" si="3930"/>
        <v>Revenue per carload ($)</v>
      </c>
      <c r="BP253" s="193">
        <f>IFERROR(BP26/BP85*1000,"")</f>
        <v>587.5</v>
      </c>
      <c r="BQ253" s="193">
        <f>IFERROR(BQ26/BQ85*1000,"")</f>
        <v>587.75510204081638</v>
      </c>
      <c r="BR253" s="193">
        <f>IFERROR(BR26/BR85*1000,"")</f>
        <v>604.93827160493834</v>
      </c>
      <c r="BS253" s="193">
        <f>IFERROR(BS26/BS85*1000,"")</f>
        <v>590.73359073359075</v>
      </c>
      <c r="BT253" s="193">
        <f>IFERROR(BT26/BT85*1000,"")</f>
        <v>592.70516717325233</v>
      </c>
      <c r="BV253" s="37" t="str">
        <f t="shared" si="3931"/>
        <v>Revenue per carload ($)</v>
      </c>
      <c r="BW253" s="193">
        <f>IFERROR(BW26/BW85*1000,"")</f>
        <v>618.02575107296138</v>
      </c>
      <c r="BX253" s="193">
        <f>IFERROR(BX26/BX85*1000,"")</f>
        <v>668.06722689075627</v>
      </c>
      <c r="BY253" s="193">
        <f>IFERROR(BY26/BY85*1000,"")</f>
        <v>647.77327935222672</v>
      </c>
      <c r="BZ253" s="193">
        <f>IFERROR(BZ26/BZ85*1000,"")</f>
        <v>664.12213740458014</v>
      </c>
      <c r="CA253" s="193">
        <f>IFERROR(CA26/CA85*1000,"")</f>
        <v>650</v>
      </c>
      <c r="CC253" s="37" t="str">
        <f t="shared" si="3936"/>
        <v>Revenue per carload ($)</v>
      </c>
      <c r="CD253" s="193">
        <f>IFERROR(CD26/CD85*1000,"")</f>
        <v>673.72881355932202</v>
      </c>
      <c r="CE253" s="193">
        <f>IFERROR(CE26/CE85*1000,"")</f>
        <v>658.53658536585374</v>
      </c>
      <c r="CF253" s="193">
        <f>IFERROR(CF26/CF85*1000,"")</f>
        <v>641.5094339622641</v>
      </c>
      <c r="CG253" s="193">
        <f>IFERROR(CG26/CG85*1000,"")</f>
        <v>670.28985507246375</v>
      </c>
      <c r="CH253" s="193">
        <f>IFERROR(CH26/CH85*1000,"")</f>
        <v>660.80156402737043</v>
      </c>
      <c r="CJ253" s="37" t="str">
        <f t="shared" si="3941"/>
        <v>Revenue per carload ($)</v>
      </c>
      <c r="CK253" s="193">
        <f>IFERROR(CK26/CK85*1000,"")</f>
        <v>688.8633754305398</v>
      </c>
      <c r="CL253" s="193">
        <f>IFERROR(CL26/CL85*1000,"")</f>
        <v>686.02885345482161</v>
      </c>
      <c r="CM253" s="193">
        <f>IFERROR(CM26/CM85*1000,"")</f>
        <v>694.48529411764707</v>
      </c>
      <c r="CN253" s="193">
        <f>IFERROR(CN26/CN85*1000,"")</f>
        <v>658.53658536585374</v>
      </c>
      <c r="CO253" s="193">
        <f>IFERROR(CO26/CO85*1000,"")</f>
        <v>681.55393559103084</v>
      </c>
      <c r="CQ253" s="37" t="str">
        <f t="shared" si="3946"/>
        <v>Revenue per carload ($)</v>
      </c>
      <c r="CR253" s="193">
        <f>IFERROR(CR26/CR85*1000,"")</f>
        <v>684.0148698884758</v>
      </c>
      <c r="CS253" s="193">
        <f>IFERROR(CS26/CS85*1000,"")</f>
        <v>686.1313868613139</v>
      </c>
      <c r="CT253" s="193">
        <f>IFERROR(CT26/CT85*1000,"")</f>
        <v>712.80276816609</v>
      </c>
      <c r="CU253" s="193">
        <f>IFERROR(CU26/CU85*1000,"")</f>
        <v>695.79288025889957</v>
      </c>
      <c r="CV253" s="193">
        <f>IFERROR(CV26/CV85*1000,"")</f>
        <v>695.0043821209465</v>
      </c>
      <c r="CX253" s="37" t="str">
        <f t="shared" si="3951"/>
        <v>Revenue per carload ($)</v>
      </c>
      <c r="CY253" s="193">
        <f>IFERROR(CY26/CY85*1000,"")</f>
        <v>695.36423841059604</v>
      </c>
      <c r="CZ253" s="193">
        <f>IFERROR(CZ26/CZ85*1000,"")</f>
        <v>694.70404984423669</v>
      </c>
      <c r="DA253" s="193">
        <f>IFERROR(DA26/DA85*1000,"")</f>
        <v>718.75</v>
      </c>
      <c r="DB253" s="193">
        <f>IFERROR(DB26/DB85*1000,"")</f>
        <v>702.94117647058818</v>
      </c>
      <c r="DC253" s="193">
        <f>IFERROR(DC26/DC85*1000,"")</f>
        <v>703.03975058456751</v>
      </c>
      <c r="DE253" s="37" t="str">
        <f t="shared" si="3956"/>
        <v>Revenue per carload ($)</v>
      </c>
      <c r="DF253" s="193">
        <f>IFERROR(DF26/DF85*1000,"")</f>
        <v>736.40167364016736</v>
      </c>
      <c r="DG253" s="193">
        <f>IFERROR(DG26/DG85*1000,"")</f>
        <v>731.40495867768595</v>
      </c>
      <c r="DH253" s="193">
        <f>IFERROR(DH26/DH85*1000,"")</f>
        <v>717.84232365145226</v>
      </c>
      <c r="DI253" s="193">
        <f>IFERROR(DI26/DI85*1000,"")</f>
        <v>724</v>
      </c>
      <c r="DJ253" s="193">
        <f>IFERROR(DJ26/DJ85*1000,"")</f>
        <v>727.36625514403295</v>
      </c>
      <c r="DL253" s="37" t="str">
        <f t="shared" si="3961"/>
        <v>Revenue per carload ($)</v>
      </c>
      <c r="DM253" s="193">
        <f>IFERROR(DM26/DM85*1000,"")</f>
        <v>682.2033898305084</v>
      </c>
      <c r="DN253" s="193">
        <f>IFERROR(DN26/DN85*1000,"")</f>
        <v>681.63265306122446</v>
      </c>
      <c r="DO253" s="193">
        <f>IFERROR(DO26/DO85*1000,"")</f>
        <v>654.47154471544707</v>
      </c>
      <c r="DP253" s="193">
        <f>IFERROR(DP26/DP85*1000,"")</f>
        <v>675.88932806324112</v>
      </c>
      <c r="DQ253" s="193">
        <f>IFERROR(DQ26/DQ85*1000,"")</f>
        <v>673.46938775510205</v>
      </c>
      <c r="DS253" s="37" t="str">
        <f t="shared" si="3966"/>
        <v>Revenue per carload ($)</v>
      </c>
      <c r="DT253" s="193">
        <f>IFERROR(DT26/DT85*1000,"")</f>
        <v>641.12903225806451</v>
      </c>
      <c r="DU253" s="193">
        <f>IFERROR(DU26/DU85*1000,"")</f>
        <v>633.20463320463318</v>
      </c>
      <c r="DV253" s="193">
        <f>IFERROR(DV26/DV85*1000,"")</f>
        <v>671.81467181467178</v>
      </c>
      <c r="DW253" s="193">
        <f>IFERROR(DW26/DW85*1000,"")</f>
        <v>651.5151515151515</v>
      </c>
      <c r="DX253" s="193">
        <f>IFERROR(DX26/DX85*1000,"")</f>
        <v>649.51456310679612</v>
      </c>
      <c r="DZ253" s="37" t="str">
        <f t="shared" si="3971"/>
        <v>Revenue per carload ($)</v>
      </c>
      <c r="EA253" s="193">
        <f>IFERROR(EA26/EA85*1000,"")</f>
        <v>630.95238095238096</v>
      </c>
      <c r="EB253" s="193">
        <f>IFERROR(EB26/EB85*1000,"")</f>
        <v>617.1875</v>
      </c>
      <c r="EC253" s="193">
        <f>IFERROR(EC26/EC85*1000,"")</f>
        <v>621.62162162162156</v>
      </c>
      <c r="ED253" s="193">
        <f>IFERROR(ED26/ED85*1000,"")</f>
        <v>620.43795620437959</v>
      </c>
      <c r="EE253" s="193">
        <f>IFERROR(EE26/EE85*1000,"")</f>
        <v>622.47838616714705</v>
      </c>
      <c r="EG253" s="37" t="str">
        <f t="shared" si="3976"/>
        <v>Revenue per carload ($)</v>
      </c>
      <c r="EH253" s="193">
        <f>IFERROR(EH26/EH85*1000,"")</f>
        <v>612.31884057971024</v>
      </c>
      <c r="EI253" s="193">
        <f>IFERROR(EI26/EI85*1000,"")</f>
        <v>598.26589595375719</v>
      </c>
      <c r="EJ253" s="193">
        <f>IFERROR(EJ26/EJ85*1000,"")</f>
        <v>571.42857142857144</v>
      </c>
      <c r="EK253" s="193">
        <f>IFERROR(EK26/EK85*1000,"")</f>
        <v>568.40077071290943</v>
      </c>
      <c r="EL253" s="193">
        <f>IFERROR(EL26/EL85*1000,"")</f>
        <v>582.97872340425522</v>
      </c>
      <c r="EN253" s="37" t="str">
        <f t="shared" si="3981"/>
        <v>Revenue per carload ($)</v>
      </c>
      <c r="EO253" s="193">
        <f>IFERROR(EO26/EO85*1000,"")</f>
        <v>545.45454545454538</v>
      </c>
      <c r="EP253" s="193">
        <f>IFERROR(EP26/EP85*1000,"")</f>
        <v>560.69364161849705</v>
      </c>
      <c r="EQ253" s="193">
        <f>IFERROR(EQ26/EQ85*1000,"")</f>
        <v>566.92913385826773</v>
      </c>
      <c r="ER253" s="193">
        <f>IFERROR(ER26/ER85*1000,"")</f>
        <v>605.63380281690138</v>
      </c>
      <c r="ES253" s="193">
        <f>IFERROR(ES26/ES85*1000,"")</f>
        <v>569.20077972709544</v>
      </c>
      <c r="EU253" s="37" t="str">
        <f t="shared" si="3986"/>
        <v>Revenue per carload ($)</v>
      </c>
      <c r="EV253" s="193">
        <f>IFERROR(EV26/EV85*1000,"")</f>
        <v>561.33056133056141</v>
      </c>
      <c r="EW253" s="193">
        <f>IFERROR(EW26/EW85*1000,"")</f>
        <v>545.27162977867204</v>
      </c>
      <c r="EX253" s="193">
        <f>IFERROR(EX26/EX85*1000,"")</f>
        <v>553.19148936170211</v>
      </c>
      <c r="EY253" s="193">
        <f>IFERROR(EY26/EY85*1000,"")</f>
        <v>559.9214145383105</v>
      </c>
      <c r="EZ253" s="193">
        <f>IFERROR(EZ26/EZ85*1000,"")</f>
        <v>554.89021956087822</v>
      </c>
      <c r="FB253" s="37" t="str">
        <f t="shared" si="3991"/>
        <v>Revenue per carload ($)</v>
      </c>
      <c r="FC253" s="193">
        <f>IFERROR(FC26/FC85*1000,"")</f>
        <v>544.69854469854477</v>
      </c>
      <c r="FD253" s="193">
        <f>IFERROR(FD26/FD85*1000,"")</f>
        <v>551.21042830540034</v>
      </c>
      <c r="FE253" s="193">
        <f>IFERROR(FE26/FE85*1000,"")</f>
        <v>553.00353356890469</v>
      </c>
      <c r="FF253" s="193">
        <f>IFERROR(FF26/FF85*1000,"")</f>
        <v>577.57009345794393</v>
      </c>
      <c r="FG253" s="193">
        <f>IFERROR(FG26/FG85*1000,"")</f>
        <v>556.86644643699856</v>
      </c>
      <c r="FI253" s="37" t="str">
        <f t="shared" si="3996"/>
        <v>Revenue per carload ($)</v>
      </c>
      <c r="FJ253" s="193">
        <f>IFERROR(FJ26/FJ85*1000,"")</f>
        <v>574.14448669201522</v>
      </c>
      <c r="FK253" s="193">
        <f>IFERROR(FK26/FK85*1000,"")</f>
        <v>555.75221238938059</v>
      </c>
      <c r="FL253" s="193">
        <f>IFERROR(FL26/FL85*1000,"")</f>
        <v>554.96453900709218</v>
      </c>
      <c r="FM253" s="193">
        <f>IFERROR(FM26/FM85*1000,"")</f>
        <v>570.43478260869563</v>
      </c>
      <c r="FN253" s="193">
        <f>IFERROR(FN26/FN85*1000,"")</f>
        <v>563.67713004484312</v>
      </c>
      <c r="FP253" s="37" t="str">
        <f t="shared" si="4001"/>
        <v>Revenue per carload ($)</v>
      </c>
      <c r="FQ253" s="193">
        <f>IFERROR(FQ26/FQ85*1000,"")</f>
        <v>573.77049180327867</v>
      </c>
      <c r="FR253" s="193">
        <f>IFERROR(FR26/FR85*1000,"")</f>
        <v>548.38709677419354</v>
      </c>
      <c r="FS253" s="193">
        <f>IFERROR(FS26/FS85*1000,"")</f>
        <v>576.02862254025047</v>
      </c>
      <c r="FT253" s="193">
        <f>IFERROR(FT26/FT85*1000,"")</f>
        <v>609.19540229885058</v>
      </c>
      <c r="FU253" s="193">
        <f>IFERROR(FU26/FU85*1000,"")</f>
        <v>577.18993928881184</v>
      </c>
      <c r="FW253" s="37" t="str">
        <f t="shared" si="4006"/>
        <v>Revenue per carload ($)</v>
      </c>
      <c r="FX253" s="193">
        <f>IFERROR(FX26/FX85*1000,"")</f>
        <v>623.10606060606051</v>
      </c>
      <c r="FY253" s="193">
        <f>IFERROR(FY26/FY85*1000,"")</f>
        <v>607.73480662983422</v>
      </c>
      <c r="FZ253" s="193">
        <f>IFERROR(FZ26/FZ85*1000,"")</f>
        <v>619.48529411764707</v>
      </c>
      <c r="GA253" s="193">
        <f>IFERROR(GA26/GA85*1000,"")</f>
        <v>665.45454545454538</v>
      </c>
      <c r="GB253" s="193">
        <f>IFERROR(GB26/GB85*1000,"")</f>
        <v>629.09930715935332</v>
      </c>
      <c r="GD253" s="37" t="str">
        <f t="shared" si="4011"/>
        <v>Revenue per carload ($)</v>
      </c>
      <c r="GE253" s="193">
        <f>IFERROR(GE26/GE85*1000,"")</f>
        <v>647.28682170542641</v>
      </c>
      <c r="GF253" s="193">
        <f>IFERROR(GF26/GF85*1000,"")</f>
        <v>650.82266910420469</v>
      </c>
      <c r="GG253" s="193">
        <f>IFERROR(GG26/GG85*1000,"")</f>
        <v>645.39007092198585</v>
      </c>
      <c r="GH253" s="193">
        <f>IFERROR(GH26/GH85*1000,"")</f>
        <v>648.55072463768113</v>
      </c>
      <c r="GI253" s="193">
        <f>IFERROR(GI26/GI85*1000,"")</f>
        <v>648.00367140890319</v>
      </c>
      <c r="GK253" s="37" t="str">
        <f t="shared" si="4016"/>
        <v>Revenue per carload ($)</v>
      </c>
      <c r="GL253" s="193">
        <f>IFERROR(GL26/GL85*1000,"")</f>
        <v>624.75442043222006</v>
      </c>
      <c r="GM253" s="193">
        <f>IFERROR(GM26/GM85*1000,"")</f>
        <v>636.36363636363637</v>
      </c>
      <c r="GN253" s="193">
        <f>IFERROR(GN26/GN85*1000,"")</f>
        <v>635.84905660377353</v>
      </c>
      <c r="GO253" s="193">
        <f>IFERROR(GO26/GO85*1000,"")</f>
        <v>671.66979362101313</v>
      </c>
      <c r="GP253" s="193">
        <f>IFERROR(GP26/GP85*1000,"")</f>
        <v>642.34959734722884</v>
      </c>
      <c r="GR253" s="37" t="str">
        <f t="shared" si="4021"/>
        <v>Revenue per carload ($)</v>
      </c>
      <c r="GS253" s="193">
        <f>IFERROR(GS26/GS85*1000,"")</f>
        <v>685.03937007874015</v>
      </c>
      <c r="GT253" s="193">
        <f>IFERROR(GT26/GT85*1000,"")</f>
        <v>726.41509433962256</v>
      </c>
      <c r="GU253" s="193">
        <f>IFERROR(GU26/GU85*1000,"")</f>
        <v>750</v>
      </c>
      <c r="GV253" s="193">
        <f>IFERROR(GV26/GV85*1000,"")</f>
        <v>669.33867735470938</v>
      </c>
      <c r="GW253" s="193">
        <f>IFERROR(GW26/GW85*1000,"")</f>
        <v>708.55485741904306</v>
      </c>
      <c r="GY253" s="37" t="str">
        <f t="shared" si="4026"/>
        <v>Revenue per carload ($)</v>
      </c>
      <c r="GZ253" s="193">
        <f>IFERROR(GZ26/GZ85*1000,"")</f>
        <v>613.63636363636363</v>
      </c>
      <c r="HA253" s="193">
        <f>IFERROR(HA26/HA85*1000,"")</f>
        <v>636.7614879649891</v>
      </c>
      <c r="HB253" s="193">
        <f>IFERROR(HB26/HB85*1000,"")</f>
        <v>629.93762993762994</v>
      </c>
      <c r="HC253" s="193">
        <f>IFERROR(HC26/HC85*1000,"")</f>
        <v>648.85496183206101</v>
      </c>
      <c r="HD253" s="193">
        <f>IFERROR(HD26/HD85*1000,"")</f>
        <v>633.01787592008407</v>
      </c>
      <c r="HF253" s="37" t="str">
        <f t="shared" si="4031"/>
        <v>Revenue per carload ($)</v>
      </c>
      <c r="HG253" s="193">
        <f>IFERROR(HG26/HG85*1000,"")</f>
        <v>646</v>
      </c>
      <c r="HH253" s="193">
        <f>IFERROR(HH26/HH85*1000,"")</f>
        <v>565.05576208178445</v>
      </c>
      <c r="HI253" s="193">
        <f>IFERROR(HI26/HI85*1000,"")</f>
        <v>554.00696864111501</v>
      </c>
      <c r="HJ253" s="193">
        <f>IFERROR(HJ26/HJ85*1000,"")</f>
        <v>572.83142389525369</v>
      </c>
      <c r="HK253" s="193">
        <f>IFERROR(HK26/HK85*1000,"")</f>
        <v>582.54610886189823</v>
      </c>
      <c r="HM253" s="37" t="str">
        <f t="shared" si="4036"/>
        <v>Revenue per carload ($)</v>
      </c>
      <c r="HN253" s="193">
        <f>IFERROR(HN26/HN85*1000,"")</f>
        <v>591.32007233273055</v>
      </c>
      <c r="HO253" s="193">
        <f>IFERROR(HO26/HO85*1000,"")</f>
        <v>635.11187607573152</v>
      </c>
      <c r="HP253" s="193">
        <f>IFERROR(HP26/HP85*1000,"")</f>
        <v>630.20833333333337</v>
      </c>
      <c r="HQ253" s="193">
        <f>IFERROR(HQ26/HQ85*1000,"")</f>
        <v>647.66839378238342</v>
      </c>
      <c r="HR253" s="193">
        <f>IFERROR(HR26/HR85*1000,"")</f>
        <v>626.47444298820437</v>
      </c>
      <c r="HT253" s="37" t="str">
        <f t="shared" si="4041"/>
        <v>Revenue per carload ($)</v>
      </c>
      <c r="HU253" s="193">
        <f>IFERROR(HU26/HU85*1000,"")</f>
        <v>648.33333333333337</v>
      </c>
      <c r="HV253" s="193">
        <f>IFERROR(HV26/HV85*1000,"")</f>
        <v>648.64864864864865</v>
      </c>
      <c r="HW253" s="193">
        <f>IFERROR(HW26/HW85*1000,"")</f>
        <v>641.47909967845658</v>
      </c>
      <c r="HX253" s="193">
        <f>IFERROR(HX26/HX85*1000,"")</f>
        <v>663.33333333333337</v>
      </c>
      <c r="HY253" s="193">
        <f>IFERROR(HY26/HY85*1000,"")</f>
        <v>650.34679722562214</v>
      </c>
      <c r="IA253" s="37" t="str">
        <f t="shared" si="4046"/>
        <v>Revenue per carload ($)</v>
      </c>
      <c r="IB253" s="193">
        <f>IFERROR(IB26/IB85*1000,"")</f>
        <v>656.91056910569102</v>
      </c>
      <c r="IC253" s="193">
        <f>IFERROR(IC26/IC85*1000,"")</f>
        <v>659.93788819875772</v>
      </c>
      <c r="ID253" s="193">
        <f>IFERROR(ID26/ID85*1000,"")</f>
        <v>656.01217656012182</v>
      </c>
      <c r="IE253" s="193">
        <f>IFERROR(IE26/IE85*1000,"")</f>
        <v>656.15615615615616</v>
      </c>
      <c r="IF253" s="193">
        <f>IFERROR(IF26/IF85*1000,"")</f>
        <v>657.24244771494966</v>
      </c>
      <c r="IH253" s="37" t="str">
        <f t="shared" si="4051"/>
        <v>Revenue per carload ($)</v>
      </c>
      <c r="II253" s="193">
        <f>IFERROR(II26/II85*1000,"")</f>
        <v>650.6955177743431</v>
      </c>
      <c r="IJ253" s="193">
        <f>IFERROR(IJ26/IJ85*1000,"")</f>
        <v>649.78292329956594</v>
      </c>
      <c r="IK253" s="193">
        <f>IFERROR(IK26/IK85*1000,"")</f>
        <v>658.46599131693199</v>
      </c>
      <c r="IL253" s="193">
        <f>IFERROR(IL26/IL85*1000,"")</f>
        <v>665.23605150214598</v>
      </c>
      <c r="IM253" s="193">
        <f>IFERROR(IM26/IM85*1000,"")</f>
        <v>656.15835777126097</v>
      </c>
      <c r="IO253" s="37" t="str">
        <f t="shared" si="4056"/>
        <v>Revenue per carload ($)</v>
      </c>
      <c r="IP253" s="193">
        <f>IFERROR(IP26/IP85*1000,"")</f>
        <v>633.58778625954199</v>
      </c>
      <c r="IQ253" s="193">
        <f>IFERROR(IQ26/IQ85*1000,"")</f>
        <v>622.40663900414938</v>
      </c>
      <c r="IR253" s="193">
        <f>IFERROR(IR26/IR85*1000,"")</f>
        <v>616.96306429548565</v>
      </c>
      <c r="IS253" s="193">
        <f>IFERROR(IS26/IS85*1000,"")</f>
        <v>611.79698216735255</v>
      </c>
      <c r="IT253" s="193">
        <f>IFERROR(IT26/IT85*1000,"")</f>
        <v>620.85976039464413</v>
      </c>
      <c r="IV253" s="37" t="str">
        <f t="shared" si="4061"/>
        <v>Revenue per carload ($)</v>
      </c>
      <c r="IW253" s="193">
        <f>IFERROR(IW26/IW85*1000,"")</f>
        <v>597.34513274336291</v>
      </c>
      <c r="IX253" s="193">
        <f>IFERROR(IX26/IX85*1000,"")</f>
        <v>603.74639769452449</v>
      </c>
      <c r="IY253" s="193">
        <f>IFERROR(IY26/IY85*1000,"")</f>
        <v>624.08223201174735</v>
      </c>
      <c r="IZ253" s="193">
        <f>IFERROR(IZ26/IZ85*1000,"")</f>
        <v>629.28759894459108</v>
      </c>
      <c r="JA253" s="193">
        <f>IFERROR(JA26/JA85*1000,"")</f>
        <v>614.01636428317329</v>
      </c>
      <c r="JC253" s="37" t="str">
        <f t="shared" si="4066"/>
        <v>Revenue per carload ($)</v>
      </c>
      <c r="JD253" s="193">
        <f>IFERROR(JD26/JD85*1000,"")</f>
        <v>630.81395348837214</v>
      </c>
      <c r="JE253" s="193">
        <f>IFERROR(JE26/JE85*1000,"")</f>
        <v>623.95543175487467</v>
      </c>
      <c r="JF253" s="193">
        <f>IFERROR(JF26/JF85*1000,"")</f>
        <v>621.16991643454037</v>
      </c>
      <c r="JG253" s="193">
        <f>IFERROR(JG26/JG85*1000,"")</f>
        <v>655.076495132128</v>
      </c>
      <c r="JH253" s="193">
        <f>IFERROR(JH26/JH85*1000,"")</f>
        <v>632.78227224762577</v>
      </c>
      <c r="JJ253" s="37" t="str">
        <f t="shared" si="4071"/>
        <v>Revenue per carload ($)</v>
      </c>
      <c r="JK253" s="193">
        <f>IFERROR(JK26/JK85*1000,"")</f>
        <v>651.66908563134973</v>
      </c>
      <c r="JL253" s="193">
        <f>IFERROR(JL26/JL85*1000,"")</f>
        <v>666.66666666666663</v>
      </c>
      <c r="JM253" s="193">
        <f>IFERROR(JM26/JM85*1000,"")</f>
        <v>676.58998646820021</v>
      </c>
      <c r="JN253" s="193">
        <f>IFERROR(JN26/JN85*1000,"")</f>
        <v>672.13114754098353</v>
      </c>
      <c r="JO253" s="193">
        <f>IFERROR(JO26/JO85*1000,"")</f>
        <v>667.0120898100173</v>
      </c>
      <c r="JQ253" s="37" t="str">
        <f t="shared" si="4076"/>
        <v>Revenue per carload ($)</v>
      </c>
      <c r="JR253" s="193">
        <f>IFERROR(JR26/JR85*1000,"")</f>
        <v>651.44596651445966</v>
      </c>
      <c r="JS253" s="193">
        <f>IFERROR(JS26/JS85*1000,"")</f>
        <v>662.613981762918</v>
      </c>
      <c r="JT253" s="193">
        <f>IFERROR(JT26/JT85*1000,"")</f>
        <v>664.19019316493313</v>
      </c>
      <c r="JU253" s="193">
        <f>IFERROR(JU26/JU85*1000,"")</f>
        <v>658.35777126099708</v>
      </c>
      <c r="JV253" s="193">
        <f>IFERROR(JV26/JV85*1000,"")</f>
        <v>659.17602996254675</v>
      </c>
      <c r="JX253" s="37" t="str">
        <f t="shared" si="4081"/>
        <v>Revenue per carload ($)</v>
      </c>
      <c r="JY253" s="193">
        <f>IFERROR(JY26/JY85*1000,"")</f>
        <v>639.39393939393938</v>
      </c>
      <c r="JZ253" s="193">
        <f>IFERROR(JZ26/JZ85*1000,"")</f>
        <v>612.62798634812293</v>
      </c>
      <c r="KA253" s="193">
        <f>IFERROR(KA26/KA85*1000,"")</f>
        <v>620.64156206415623</v>
      </c>
      <c r="KB253" s="193">
        <f>IFERROR(KB26/KB85*1000,"")</f>
        <v>628.79788639365916</v>
      </c>
      <c r="KC253" s="193">
        <f>IFERROR(KC26/KC85*1000,"")</f>
        <v>625.73529411764707</v>
      </c>
      <c r="KE253" s="37" t="str">
        <f t="shared" si="4086"/>
        <v>Revenue per carload ($)</v>
      </c>
      <c r="KF253" s="193">
        <f>IFERROR(KF26/KF85*1000,"")</f>
        <v>528.9256198347108</v>
      </c>
      <c r="KG253" s="193">
        <f>IFERROR(KG26/KG85*1000,"")</f>
        <v>679.52127659574467</v>
      </c>
      <c r="KH253" s="193">
        <f>IFERROR(KH26/KH85*1000,"")</f>
        <v>684.13978494623655</v>
      </c>
      <c r="KI253" s="193">
        <f>IFERROR(KI26/KI85*1000,"")</f>
        <v>730.76923076923072</v>
      </c>
      <c r="KJ253" s="193">
        <f>IFERROR(KJ26/KJ85*1000,"")</f>
        <v>656.92204301075276</v>
      </c>
      <c r="KL253" s="37" t="str">
        <f t="shared" si="4091"/>
        <v>Revenue per carload ($)</v>
      </c>
      <c r="KM253" s="193">
        <f>IFERROR(KM26/KM85*1000,"")</f>
        <v>729.91689750692524</v>
      </c>
      <c r="KN253" s="193">
        <f>IFERROR(KN26/KN85*1000,"")</f>
        <v>793.14888010540187</v>
      </c>
      <c r="KO253" s="193">
        <f>IFERROR(KO26/KO85*1000,"")</f>
        <v>792.65091863517057</v>
      </c>
      <c r="KP253" s="193">
        <f>IFERROR(KP26/KP85*1000,"")</f>
        <v>795.83333333333326</v>
      </c>
      <c r="KQ253" s="193">
        <f>IFERROR(KQ26/KQ85*1000,"")</f>
        <v>778.26527168410394</v>
      </c>
      <c r="KS253" s="37" t="str">
        <f t="shared" si="4096"/>
        <v>Revenue per carload ($)</v>
      </c>
      <c r="KT253" s="193">
        <f>IFERROR(KT26/KT85*1000,"")</f>
        <v>762.99694189602451</v>
      </c>
      <c r="KU253" s="193">
        <f>IFERROR(KU26/KU85*1000,"")</f>
        <v>719.29824561403507</v>
      </c>
      <c r="KV253" s="193">
        <f>IFERROR(KV26/KV85*1000,"")</f>
        <v>730.22598870056504</v>
      </c>
      <c r="KW253" s="193">
        <f>IFERROR(KW26/KW85*1000,"")</f>
        <v>766.66666666666674</v>
      </c>
      <c r="KX253" s="193">
        <f>IFERROR(KX26/KX85*1000,"")</f>
        <v>744.75777295733917</v>
      </c>
      <c r="KZ253" s="37" t="str">
        <f t="shared" si="4101"/>
        <v>Revenue per carload ($)</v>
      </c>
      <c r="LA253" s="193">
        <f>IFERROR(LA26/LA85*1000,"")</f>
        <v>721.8259629101284</v>
      </c>
      <c r="LB253" s="193">
        <f>IFERROR(LB26/LB85*1000,"")</f>
        <v>706.70391061452506</v>
      </c>
      <c r="LC253" s="193">
        <f>IFERROR(LC26/LC85*1000,"")</f>
        <v>697.2602739726027</v>
      </c>
      <c r="LD253" s="193">
        <f>IFERROR(LD26/LD85*1000,"")</f>
        <v>705.09383378016094</v>
      </c>
      <c r="LE253" s="193">
        <f>LE256/LE250*1000</f>
        <v>707.56999654338063</v>
      </c>
      <c r="LF253" s="563"/>
      <c r="LG253" s="37" t="str">
        <f t="shared" si="4104"/>
        <v>Revenue per carload ($)</v>
      </c>
      <c r="LH253" s="193">
        <f>IFERROR(LH26/LH85*1000,"")</f>
        <v>688.54748603351959</v>
      </c>
      <c r="LI253" s="193">
        <f>IFERROR(LI26/LI85*1000,"")</f>
        <v>673.52537722908085</v>
      </c>
      <c r="LJ253" s="193">
        <f>IFERROR(LJ26/LJ85*1000,"")</f>
        <v>686.19791666666663</v>
      </c>
      <c r="LK253" s="193">
        <f>IFERROR(LK26/LK85*1000,"")</f>
        <v>718.6700767263427</v>
      </c>
      <c r="LL253" s="193">
        <f>LL256/LL250*1000</f>
        <v>692.15358931552589</v>
      </c>
      <c r="LM253" s="563"/>
      <c r="LN253" s="37" t="str">
        <f t="shared" si="4106"/>
        <v>Revenue per carload ($)</v>
      </c>
      <c r="LO253" s="193">
        <f>(LH253)*(1+LO254)</f>
        <v>705.76117318435752</v>
      </c>
      <c r="LP253" s="193">
        <f t="shared" ref="LP253" si="5466">(LI253)*(1+LP254)</f>
        <v>700.46639231824406</v>
      </c>
      <c r="LQ253" s="193">
        <f>(LJ253)*(1+LQ254)</f>
        <v>713.64583333333337</v>
      </c>
      <c r="LR253" s="193">
        <f t="shared" ref="LR253" si="5467">(LK253)*(1+LR254)</f>
        <v>747.41687979539643</v>
      </c>
      <c r="LS253" s="193">
        <f>LS256/LS250*1000</f>
        <v>717.38384901167399</v>
      </c>
      <c r="LT253" s="563"/>
      <c r="LU253" s="37" t="str">
        <f t="shared" si="4610"/>
        <v>Revenue per carload ($)</v>
      </c>
      <c r="LV253" s="193">
        <f>(LO253)*(1+LV254)</f>
        <v>726.93400837988827</v>
      </c>
      <c r="LW253" s="193">
        <f t="shared" ref="LW253" si="5468">(LP253)*(1+LW254)</f>
        <v>721.48038408779144</v>
      </c>
      <c r="LX253" s="193">
        <f t="shared" ref="LX253" si="5469">(LQ253)*(1+LX254)</f>
        <v>738.62343750000002</v>
      </c>
      <c r="LY253" s="193">
        <f t="shared" ref="LY253" si="5470">(LR253)*(1+LY254)</f>
        <v>773.57647058823522</v>
      </c>
      <c r="LZ253" s="193">
        <f>LZ256/LZ250*1000</f>
        <v>740.79827062846005</v>
      </c>
      <c r="MA253" s="563"/>
      <c r="MB253" s="37" t="str">
        <f t="shared" si="4612"/>
        <v>Revenue per carload ($)</v>
      </c>
      <c r="MC253" s="193">
        <f>(LV253)*(1+MC254)</f>
        <v>750.55936365223465</v>
      </c>
      <c r="MD253" s="193">
        <f t="shared" ref="MD253" si="5471">(LW253)*(1+MD254)</f>
        <v>744.9284965706446</v>
      </c>
      <c r="ME253" s="193">
        <f t="shared" ref="ME253" si="5472">(LX253)*(1+ME254)</f>
        <v>762.62869921875006</v>
      </c>
      <c r="MF253" s="193">
        <f t="shared" ref="MF253" si="5473">(LY253)*(1+MF254)</f>
        <v>798.7177058823529</v>
      </c>
      <c r="MG253" s="193">
        <f>MG256/MG250*1000</f>
        <v>764.87421442388518</v>
      </c>
      <c r="MH253" s="563"/>
    </row>
    <row r="254" spans="1:346" s="37" customFormat="1" ht="13.15" x14ac:dyDescent="0.4">
      <c r="A254" s="100"/>
      <c r="B254" s="197" t="s">
        <v>516</v>
      </c>
      <c r="C254" s="186"/>
      <c r="D254" s="186"/>
      <c r="E254" s="186"/>
      <c r="F254" s="186"/>
      <c r="G254" s="186"/>
      <c r="H254" s="186"/>
      <c r="I254" s="186"/>
      <c r="J254" s="186"/>
      <c r="K254" s="186"/>
      <c r="L254" s="186"/>
      <c r="M254" s="186"/>
      <c r="N254" s="193"/>
      <c r="O254" s="198">
        <f>O253/N253-1</f>
        <v>9.6666666666666456E-2</v>
      </c>
      <c r="P254" s="198">
        <f t="shared" ref="P254:BA254" si="5474">P253/O253-1</f>
        <v>1.6617790811339184E-2</v>
      </c>
      <c r="Q254" s="198">
        <f t="shared" si="5474"/>
        <v>3.1404846316012813E-2</v>
      </c>
      <c r="R254" s="198">
        <f t="shared" si="5474"/>
        <v>1.9734970084578363E-2</v>
      </c>
      <c r="S254" s="198">
        <f t="shared" si="5474"/>
        <v>1.1561608344251573E-2</v>
      </c>
      <c r="T254" s="198">
        <f t="shared" si="5474"/>
        <v>3.4601890631700938E-2</v>
      </c>
      <c r="U254" s="198">
        <f t="shared" si="5474"/>
        <v>-7.4098663510665963E-2</v>
      </c>
      <c r="V254" s="198">
        <f t="shared" si="5474"/>
        <v>-3.5569285083848157E-2</v>
      </c>
      <c r="W254" s="198">
        <f t="shared" si="5474"/>
        <v>-4.1625205153719813E-2</v>
      </c>
      <c r="X254" s="198">
        <f t="shared" si="5474"/>
        <v>-6.3455476753349394E-2</v>
      </c>
      <c r="Y254" s="198">
        <f t="shared" si="5474"/>
        <v>-2.363369900826684E-2</v>
      </c>
      <c r="Z254" s="198">
        <f t="shared" si="5474"/>
        <v>-2.514149782626518E-2</v>
      </c>
      <c r="AA254" s="198">
        <f t="shared" si="5474"/>
        <v>3.5614736148787962E-3</v>
      </c>
      <c r="AB254" s="198">
        <f t="shared" si="5474"/>
        <v>1.223037166527341E-2</v>
      </c>
      <c r="AC254" s="198">
        <f t="shared" si="5474"/>
        <v>2.397260510266519E-2</v>
      </c>
      <c r="AD254" s="198">
        <f t="shared" si="5474"/>
        <v>8.9934637347459434E-2</v>
      </c>
      <c r="AE254" s="198">
        <f t="shared" si="5474"/>
        <v>3.0049888840143479E-2</v>
      </c>
      <c r="AF254" s="198">
        <f t="shared" si="5474"/>
        <v>-8.7253734988586018E-3</v>
      </c>
      <c r="AG254" s="198">
        <f t="shared" si="5474"/>
        <v>0.10306733334188767</v>
      </c>
      <c r="AH254" s="198">
        <f t="shared" si="5474"/>
        <v>-0.10660710417554309</v>
      </c>
      <c r="AI254" s="198">
        <f t="shared" si="5474"/>
        <v>-7.9731977528795239E-2</v>
      </c>
      <c r="AJ254" s="198">
        <f t="shared" si="5474"/>
        <v>7.5407480125697646E-2</v>
      </c>
      <c r="AK254" s="198">
        <f t="shared" si="5474"/>
        <v>3.8105870885250637E-2</v>
      </c>
      <c r="AL254" s="198">
        <f t="shared" si="5474"/>
        <v>1.0603035978256958E-2</v>
      </c>
      <c r="AM254" s="198">
        <f t="shared" si="5474"/>
        <v>-1.6494521123183725E-3</v>
      </c>
      <c r="AN254" s="198">
        <f t="shared" si="5474"/>
        <v>-5.3795851197436129E-2</v>
      </c>
      <c r="AO254" s="198">
        <f t="shared" si="5474"/>
        <v>-1.1022450717567689E-2</v>
      </c>
      <c r="AP254" s="198">
        <f t="shared" si="5474"/>
        <v>3.0562553469337228E-2</v>
      </c>
      <c r="AQ254" s="198">
        <f t="shared" si="5474"/>
        <v>5.4094147487425914E-2</v>
      </c>
      <c r="AR254" s="198">
        <f t="shared" si="5474"/>
        <v>-1.1748002723162787E-2</v>
      </c>
      <c r="AS254" s="198">
        <f t="shared" si="5474"/>
        <v>-5.0731116310160362E-2</v>
      </c>
      <c r="AT254" s="198">
        <f t="shared" si="5474"/>
        <v>4.984016274338865E-2</v>
      </c>
      <c r="AU254" s="198">
        <f t="shared" si="5474"/>
        <v>0.18471480743319346</v>
      </c>
      <c r="AV254" s="198">
        <f t="shared" si="5474"/>
        <v>-4.3054084443800544E-2</v>
      </c>
      <c r="AW254" s="198">
        <f t="shared" si="5474"/>
        <v>-4.9932713379130744E-2</v>
      </c>
      <c r="AX254" s="198">
        <f t="shared" si="5474"/>
        <v>-2.1787819301506417E-2</v>
      </c>
      <c r="AY254" s="198">
        <f t="shared" si="5474"/>
        <v>3.6451822378178234E-2</v>
      </c>
      <c r="AZ254" s="198">
        <f t="shared" si="5474"/>
        <v>3.2638623867882854E-2</v>
      </c>
      <c r="BA254" s="198">
        <f t="shared" si="5474"/>
        <v>3.2500000000000195E-2</v>
      </c>
      <c r="BB254" s="198"/>
      <c r="BC254" s="198"/>
      <c r="BD254" s="198"/>
      <c r="BE254" s="198"/>
      <c r="BF254" s="198"/>
      <c r="BG254" s="198"/>
      <c r="BH254" s="198"/>
      <c r="BI254" s="198"/>
      <c r="BJ254" s="198"/>
      <c r="BK254" s="198"/>
      <c r="BL254" s="198"/>
      <c r="BM254" s="198"/>
      <c r="BO254" s="197" t="str">
        <f t="shared" si="3930"/>
        <v>YoY Change (%)</v>
      </c>
      <c r="BP254" s="193"/>
      <c r="BQ254" s="193"/>
      <c r="BR254" s="193"/>
      <c r="BS254" s="193"/>
      <c r="BT254" s="193"/>
      <c r="BV254" s="197" t="str">
        <f t="shared" si="3931"/>
        <v>YoY Change (%)</v>
      </c>
      <c r="BW254" s="198">
        <f>BW253/BP253-1</f>
        <v>5.1958725230572655E-2</v>
      </c>
      <c r="BX254" s="198">
        <f t="shared" ref="BX254" si="5475">BX253/BQ253-1</f>
        <v>0.13664215686274495</v>
      </c>
      <c r="BY254" s="198">
        <f t="shared" ref="BY254" si="5476">BY253/BR253-1</f>
        <v>7.0808890357762388E-2</v>
      </c>
      <c r="BZ254" s="198">
        <f t="shared" ref="BZ254" si="5477">BZ253/BS253-1</f>
        <v>0.12423289926657688</v>
      </c>
      <c r="CA254" s="198">
        <f t="shared" ref="CA254" si="5478">CA253/BT253-1</f>
        <v>9.6666666666666456E-2</v>
      </c>
      <c r="CC254" s="197" t="str">
        <f t="shared" si="3936"/>
        <v>YoY Change (%)</v>
      </c>
      <c r="CD254" s="198">
        <f>CD253/BW253-1</f>
        <v>9.0130649717514055E-2</v>
      </c>
      <c r="CE254" s="198">
        <f t="shared" ref="CE254" si="5479">CE253/BX253-1</f>
        <v>-1.4265991716520765E-2</v>
      </c>
      <c r="CF254" s="198">
        <f t="shared" ref="CF254" si="5480">CF253/BY253-1</f>
        <v>-9.6698113207548397E-3</v>
      </c>
      <c r="CG254" s="198">
        <f t="shared" ref="CG254" si="5481">CG253/BZ253-1</f>
        <v>9.2870231550890026E-3</v>
      </c>
      <c r="CH254" s="198">
        <f t="shared" ref="CH254" si="5482">CH253/CA253-1</f>
        <v>1.6617790811339184E-2</v>
      </c>
      <c r="CJ254" s="197" t="str">
        <f t="shared" si="3941"/>
        <v>YoY Change (%)</v>
      </c>
      <c r="CK254" s="198">
        <f>CK253/CD253-1</f>
        <v>2.2463877997530801E-2</v>
      </c>
      <c r="CL254" s="198">
        <f t="shared" ref="CL254" si="5483">CL253/CE253-1</f>
        <v>4.1747518209173329E-2</v>
      </c>
      <c r="CM254" s="198">
        <f t="shared" ref="CM254" si="5484">CM253/CF253-1</f>
        <v>8.2580017301038255E-2</v>
      </c>
      <c r="CN254" s="198">
        <f t="shared" ref="CN254" si="5485">CN253/CG253-1</f>
        <v>-1.7534607778510125E-2</v>
      </c>
      <c r="CO254" s="198">
        <f t="shared" ref="CO254" si="5486">CO253/CH253-1</f>
        <v>3.1404846316012813E-2</v>
      </c>
      <c r="CQ254" s="197" t="str">
        <f t="shared" si="3946"/>
        <v>YoY Change (%)</v>
      </c>
      <c r="CR254" s="198">
        <f>CR253/CK253-1</f>
        <v>-7.0384138785628547E-3</v>
      </c>
      <c r="CS254" s="198">
        <f t="shared" ref="CS254" si="5487">CS253/CL253-1</f>
        <v>1.4945932080845381E-4</v>
      </c>
      <c r="CT254" s="198">
        <f t="shared" ref="CT254" si="5488">CT253/CM253-1</f>
        <v>2.6375611123221177E-2</v>
      </c>
      <c r="CU254" s="198">
        <f t="shared" ref="CU254" si="5489">CU253/CN253-1</f>
        <v>5.6574373726477001E-2</v>
      </c>
      <c r="CV254" s="198">
        <f t="shared" ref="CV254" si="5490">CV253/CO253-1</f>
        <v>1.9734970084578363E-2</v>
      </c>
      <c r="CX254" s="197" t="str">
        <f t="shared" si="3951"/>
        <v>YoY Change (%)</v>
      </c>
      <c r="CY254" s="198">
        <f>CY253/CR253-1</f>
        <v>1.6592283328534574E-2</v>
      </c>
      <c r="CZ254" s="198">
        <f t="shared" ref="CZ254" si="5491">CZ253/CS253-1</f>
        <v>1.2494200304898007E-2</v>
      </c>
      <c r="DA254" s="198">
        <f t="shared" ref="DA254" si="5492">DA253/CT253-1</f>
        <v>8.3434466019416398E-3</v>
      </c>
      <c r="DB254" s="198">
        <f t="shared" ref="DB254" si="5493">DB253/CU253-1</f>
        <v>1.0273597811217616E-2</v>
      </c>
      <c r="DC254" s="198">
        <f t="shared" ref="DC254" si="5494">DC253/CV253-1</f>
        <v>1.1561608344251573E-2</v>
      </c>
      <c r="DE254" s="197" t="str">
        <f t="shared" si="3956"/>
        <v>YoY Change (%)</v>
      </c>
      <c r="DF254" s="198">
        <f>DF253/CY253-1</f>
        <v>5.9015740187288168E-2</v>
      </c>
      <c r="DG254" s="198">
        <f t="shared" ref="DG254" si="5495">DG253/CZ253-1</f>
        <v>5.2829559352184807E-2</v>
      </c>
      <c r="DH254" s="198">
        <f t="shared" ref="DH254" si="5496">DH253/DA253-1</f>
        <v>-1.2628540501533614E-3</v>
      </c>
      <c r="DI254" s="198">
        <f t="shared" ref="DI254" si="5497">DI253/DB253-1</f>
        <v>2.9958158995815998E-2</v>
      </c>
      <c r="DJ254" s="198">
        <f t="shared" ref="DJ254" si="5498">DJ253/DC253-1</f>
        <v>3.4601890631700938E-2</v>
      </c>
      <c r="DL254" s="197" t="str">
        <f t="shared" si="3961"/>
        <v>YoY Change (%)</v>
      </c>
      <c r="DM254" s="198">
        <f>DM253/DF253-1</f>
        <v>-7.3598805855161875E-2</v>
      </c>
      <c r="DN254" s="198">
        <f t="shared" ref="DN254" si="5499">DN253/DG253-1</f>
        <v>-6.8050270955840042E-2</v>
      </c>
      <c r="DO254" s="198">
        <f t="shared" ref="DO254" si="5500">DO253/DH253-1</f>
        <v>-8.8279524413741317E-2</v>
      </c>
      <c r="DP254" s="198">
        <f t="shared" ref="DP254" si="5501">DP253/DI253-1</f>
        <v>-6.6451204332539926E-2</v>
      </c>
      <c r="DQ254" s="198">
        <f t="shared" ref="DQ254" si="5502">DQ253/DJ253-1</f>
        <v>-7.4098663510665963E-2</v>
      </c>
      <c r="DS254" s="197" t="str">
        <f t="shared" si="3966"/>
        <v>YoY Change (%)</v>
      </c>
      <c r="DT254" s="198">
        <f>DT253/DM253-1</f>
        <v>-6.0208375075135101E-2</v>
      </c>
      <c r="DU254" s="198">
        <f t="shared" ref="DU254" si="5503">DU253/DN253-1</f>
        <v>-7.1047094999190818E-2</v>
      </c>
      <c r="DV254" s="198">
        <f t="shared" ref="DV254" si="5504">DV253/DO253-1</f>
        <v>2.6499436437324775E-2</v>
      </c>
      <c r="DW254" s="198">
        <f t="shared" ref="DW254" si="5505">DW253/DP253-1</f>
        <v>-3.6062378167641351E-2</v>
      </c>
      <c r="DX254" s="198">
        <f t="shared" ref="DX254" si="5506">DX253/DQ253-1</f>
        <v>-3.5569285083848157E-2</v>
      </c>
      <c r="DZ254" s="197" t="str">
        <f t="shared" si="3971"/>
        <v>YoY Change (%)</v>
      </c>
      <c r="EA254" s="198">
        <f>EA253/DT253-1</f>
        <v>-1.5873015873015817E-2</v>
      </c>
      <c r="EB254" s="198">
        <f t="shared" ref="EB254" si="5507">EB253/DU253-1</f>
        <v>-2.5295350609756073E-2</v>
      </c>
      <c r="EC254" s="198">
        <f t="shared" ref="EC254" si="5508">EC253/DV253-1</f>
        <v>-7.4712643678160995E-2</v>
      </c>
      <c r="ED254" s="198">
        <f t="shared" ref="ED254" si="5509">ED253/DW253-1</f>
        <v>-4.7699881174673164E-2</v>
      </c>
      <c r="EE254" s="198">
        <f t="shared" ref="EE254" si="5510">EE253/DX253-1</f>
        <v>-4.1625205153719813E-2</v>
      </c>
      <c r="EG254" s="197" t="str">
        <f t="shared" si="3976"/>
        <v>YoY Change (%)</v>
      </c>
      <c r="EH254" s="198">
        <f>EH253/EA253-1</f>
        <v>-2.9532403609515812E-2</v>
      </c>
      <c r="EI254" s="198">
        <f t="shared" ref="EI254" si="5511">EI253/EB253-1</f>
        <v>-3.065778883441872E-2</v>
      </c>
      <c r="EJ254" s="198">
        <f t="shared" ref="EJ254" si="5512">EJ253/EC253-1</f>
        <v>-8.0745341614906763E-2</v>
      </c>
      <c r="EK254" s="198">
        <f t="shared" ref="EK254" si="5513">EK253/ED253-1</f>
        <v>-8.3871698968604802E-2</v>
      </c>
      <c r="EL254" s="198">
        <f t="shared" ref="EL254" si="5514">EL253/EE253-1</f>
        <v>-6.3455476753349394E-2</v>
      </c>
      <c r="EN254" s="197" t="str">
        <f t="shared" si="3981"/>
        <v>YoY Change (%)</v>
      </c>
      <c r="EO254" s="198">
        <f>EO253/EH253-1</f>
        <v>-0.10919849381387869</v>
      </c>
      <c r="EP254" s="198">
        <f t="shared" ref="EP254" si="5515">EP253/EI253-1</f>
        <v>-6.2801932367149815E-2</v>
      </c>
      <c r="EQ254" s="198">
        <f t="shared" ref="EQ254" si="5516">EQ253/EJ253-1</f>
        <v>-7.8740157480314821E-3</v>
      </c>
      <c r="ER254" s="198">
        <f t="shared" ref="ER254" si="5517">ER253/EK253-1</f>
        <v>6.5504893769396055E-2</v>
      </c>
      <c r="ES254" s="198">
        <f t="shared" ref="ES254" si="5518">ES253/EL253-1</f>
        <v>-2.363369900826684E-2</v>
      </c>
      <c r="EU254" s="197" t="str">
        <f t="shared" si="3986"/>
        <v>YoY Change (%)</v>
      </c>
      <c r="EV254" s="198">
        <f>EV253/EO253-1</f>
        <v>2.9106029106029441E-2</v>
      </c>
      <c r="EW254" s="198">
        <f t="shared" ref="EW254" si="5519">EW253/EP253-1</f>
        <v>-2.7505237611234357E-2</v>
      </c>
      <c r="EX254" s="198">
        <f t="shared" ref="EX254" si="5520">EX253/EQ253-1</f>
        <v>-2.4231678486997699E-2</v>
      </c>
      <c r="EY254" s="198">
        <f t="shared" ref="EY254" si="5521">EY253/ER253-1</f>
        <v>-7.5478594599533766E-2</v>
      </c>
      <c r="EZ254" s="198">
        <f t="shared" ref="EZ254" si="5522">EZ253/ES253-1</f>
        <v>-2.514149782626518E-2</v>
      </c>
      <c r="FB254" s="197" t="str">
        <f t="shared" si="3991"/>
        <v>YoY Change (%)</v>
      </c>
      <c r="FC254" s="198">
        <f>FC253/EV253-1</f>
        <v>-2.9629629629629672E-2</v>
      </c>
      <c r="FD254" s="198">
        <f t="shared" ref="FD254" si="5523">FD253/EW253-1</f>
        <v>1.0891449696619704E-2</v>
      </c>
      <c r="FE254" s="198">
        <f t="shared" ref="FE254" si="5524">FE253/EX253-1</f>
        <v>-3.3976624082610041E-4</v>
      </c>
      <c r="FF254" s="198">
        <f t="shared" ref="FF254" si="5525">FF253/EY253-1</f>
        <v>3.1519921298573284E-2</v>
      </c>
      <c r="FG254" s="198">
        <f t="shared" ref="FG254" si="5526">FG253/EZ253-1</f>
        <v>3.5614736148787962E-3</v>
      </c>
      <c r="FI254" s="197" t="str">
        <f t="shared" si="3996"/>
        <v>YoY Change (%)</v>
      </c>
      <c r="FJ254" s="198">
        <f>FJ253/FC253-1</f>
        <v>5.4059153049081266E-2</v>
      </c>
      <c r="FK254" s="198">
        <f t="shared" ref="FK254" si="5527">FK253/FD253-1</f>
        <v>8.2396555847885633E-3</v>
      </c>
      <c r="FL254" s="198">
        <f t="shared" ref="FL254" si="5528">FL253/FE253-1</f>
        <v>3.5460992907798694E-3</v>
      </c>
      <c r="FM254" s="198">
        <f t="shared" ref="FM254" si="5529">FM253/FF253-1</f>
        <v>-1.2354017166174236E-2</v>
      </c>
      <c r="FN254" s="198">
        <f t="shared" ref="FN254" si="5530">FN253/FG253-1</f>
        <v>1.223037166527341E-2</v>
      </c>
      <c r="FP254" s="197" t="str">
        <f t="shared" si="4001"/>
        <v>YoY Change (%)</v>
      </c>
      <c r="FQ254" s="198">
        <f>FQ253/FJ253-1</f>
        <v>-6.5139507111067196E-4</v>
      </c>
      <c r="FR254" s="198">
        <f t="shared" ref="FR254" si="5531">FR253/FK253-1</f>
        <v>-1.3252516950893911E-2</v>
      </c>
      <c r="FS254" s="198">
        <f t="shared" ref="FS254" si="5532">FS253/FL253-1</f>
        <v>3.7955728794572652E-2</v>
      </c>
      <c r="FT254" s="198">
        <f t="shared" ref="FT254" si="5533">FT253/FM253-1</f>
        <v>6.7949257078777636E-2</v>
      </c>
      <c r="FU254" s="198">
        <f t="shared" ref="FU254" si="5534">FU253/FN253-1</f>
        <v>2.397260510266519E-2</v>
      </c>
      <c r="FW254" s="197" t="str">
        <f t="shared" si="4006"/>
        <v>YoY Change (%)</v>
      </c>
      <c r="FX254" s="198">
        <f>FX253/FQ253-1</f>
        <v>8.5984848484848442E-2</v>
      </c>
      <c r="FY254" s="198">
        <f t="shared" ref="FY254" si="5535">FY253/FR253-1</f>
        <v>0.10822229444263898</v>
      </c>
      <c r="FZ254" s="198">
        <f t="shared" ref="FZ254" si="5536">FZ253/FS253-1</f>
        <v>7.5441861527219656E-2</v>
      </c>
      <c r="GA254" s="198">
        <f t="shared" ref="GA254" si="5537">GA253/FT253-1</f>
        <v>9.2349914236706576E-2</v>
      </c>
      <c r="GB254" s="198">
        <f t="shared" ref="GB254" si="5538">GB253/FU253-1</f>
        <v>8.9934637347459434E-2</v>
      </c>
      <c r="GD254" s="197" t="str">
        <f t="shared" si="4011"/>
        <v>YoY Change (%)</v>
      </c>
      <c r="GE254" s="198">
        <f>GE253/FX253-1</f>
        <v>3.8806814165547765E-2</v>
      </c>
      <c r="GF254" s="198">
        <f t="shared" ref="GF254" si="5539">GF253/FY253-1</f>
        <v>7.0899119162373125E-2</v>
      </c>
      <c r="GG254" s="198">
        <f t="shared" ref="GG254" si="5540">GG253/FZ253-1</f>
        <v>4.1816613001662617E-2</v>
      </c>
      <c r="GH254" s="198">
        <f t="shared" ref="GH254" si="5541">GH253/GA253-1</f>
        <v>-2.5401916528074664E-2</v>
      </c>
      <c r="GI254" s="198">
        <f t="shared" ref="GI254" si="5542">GI253/GB253-1</f>
        <v>3.0049888840143479E-2</v>
      </c>
      <c r="GK254" s="197" t="str">
        <f t="shared" si="4016"/>
        <v>YoY Change (%)</v>
      </c>
      <c r="GL254" s="198">
        <f>GL253/GE253-1</f>
        <v>-3.4810536098725975E-2</v>
      </c>
      <c r="GM254" s="198">
        <f t="shared" ref="GM254" si="5543">GM253/GF253-1</f>
        <v>-2.2216547497446282E-2</v>
      </c>
      <c r="GN254" s="198">
        <f t="shared" ref="GN254" si="5544">GN253/GG253-1</f>
        <v>-1.4783329877669615E-2</v>
      </c>
      <c r="GO254" s="198">
        <f t="shared" ref="GO254" si="5545">GO253/GH253-1</f>
        <v>3.5647279549718691E-2</v>
      </c>
      <c r="GP254" s="198">
        <f t="shared" ref="GP254" si="5546">GP253/GI253-1</f>
        <v>-8.7253734988586018E-3</v>
      </c>
      <c r="GR254" s="197" t="str">
        <f t="shared" si="4021"/>
        <v>YoY Change (%)</v>
      </c>
      <c r="GS254" s="198">
        <f>GS253/GL253-1</f>
        <v>9.6493834497102915E-2</v>
      </c>
      <c r="GT254" s="198">
        <f t="shared" ref="GT254" si="5547">GT253/GM253-1</f>
        <v>0.14150943396226401</v>
      </c>
      <c r="GU254" s="198">
        <f t="shared" ref="GU254" si="5548">GU253/GN253-1</f>
        <v>0.17952522255192882</v>
      </c>
      <c r="GV254" s="198">
        <f t="shared" ref="GV254" si="5549">GV253/GO253-1</f>
        <v>-3.4706284076533311E-3</v>
      </c>
      <c r="GW254" s="198">
        <f t="shared" ref="GW254" si="5550">GW253/GP253-1</f>
        <v>0.10306733334188767</v>
      </c>
      <c r="GY254" s="197" t="str">
        <f t="shared" si="4026"/>
        <v>YoY Change (%)</v>
      </c>
      <c r="GZ254" s="198">
        <f>GZ253/GS253-1</f>
        <v>-0.10423197492163006</v>
      </c>
      <c r="HA254" s="198">
        <f t="shared" ref="HA254" si="5551">HA253/GT253-1</f>
        <v>-0.12341925033391099</v>
      </c>
      <c r="HB254" s="198">
        <f t="shared" ref="HB254" si="5552">HB253/GU253-1</f>
        <v>-0.16008316008316004</v>
      </c>
      <c r="HC254" s="198">
        <f t="shared" ref="HC254" si="5553">HC253/GV253-1</f>
        <v>-3.0602916304795058E-2</v>
      </c>
      <c r="HD254" s="198">
        <f t="shared" ref="HD254" si="5554">HD253/GW253-1</f>
        <v>-0.10660710417554309</v>
      </c>
      <c r="HF254" s="197" t="str">
        <f t="shared" si="4031"/>
        <v>YoY Change (%)</v>
      </c>
      <c r="HG254" s="198">
        <f>HG253/GZ253-1</f>
        <v>5.2740740740740755E-2</v>
      </c>
      <c r="HH254" s="198">
        <f t="shared" ref="HH254" si="5555">HH253/HA253-1</f>
        <v>-0.11261002312242108</v>
      </c>
      <c r="HI254" s="198">
        <f t="shared" ref="HI254" si="5556">HI253/HB253-1</f>
        <v>-0.12053679235519366</v>
      </c>
      <c r="HJ254" s="198">
        <f t="shared" ref="HJ254" si="5557">HJ253/HC253-1</f>
        <v>-0.11716568787907955</v>
      </c>
      <c r="HK254" s="198">
        <f t="shared" ref="HK254" si="5558">HK253/HD253-1</f>
        <v>-7.9731977528795239E-2</v>
      </c>
      <c r="HM254" s="197" t="str">
        <f t="shared" si="4036"/>
        <v>YoY Change (%)</v>
      </c>
      <c r="HN254" s="198">
        <f>HN253/HG253-1</f>
        <v>-8.4643850878126092E-2</v>
      </c>
      <c r="HO254" s="198">
        <f t="shared" ref="HO254" si="5559">HO253/HH253-1</f>
        <v>0.12398088594981416</v>
      </c>
      <c r="HP254" s="198">
        <f t="shared" ref="HP254" si="5560">HP253/HI253-1</f>
        <v>0.13754585953878418</v>
      </c>
      <c r="HQ254" s="198">
        <f t="shared" ref="HQ254" si="5561">HQ253/HJ253-1</f>
        <v>0.13064396743153228</v>
      </c>
      <c r="HR254" s="198">
        <f t="shared" ref="HR254" si="5562">HR253/HK253-1</f>
        <v>7.5407480125697646E-2</v>
      </c>
      <c r="HT254" s="197" t="str">
        <f t="shared" si="4041"/>
        <v>YoY Change (%)</v>
      </c>
      <c r="HU254" s="198">
        <f>HU253/HN253-1</f>
        <v>9.6416921508664766E-2</v>
      </c>
      <c r="HV254" s="198">
        <f t="shared" ref="HV254" si="5563">HV253/HO253-1</f>
        <v>2.131399692375302E-2</v>
      </c>
      <c r="HW254" s="198">
        <f t="shared" ref="HW254" si="5564">HW253/HP253-1</f>
        <v>1.7884191225319368E-2</v>
      </c>
      <c r="HX254" s="198">
        <f t="shared" ref="HX254" si="5565">HX253/HQ253-1</f>
        <v>2.4186666666666801E-2</v>
      </c>
      <c r="HY254" s="198">
        <f t="shared" ref="HY254" si="5566">HY253/HR253-1</f>
        <v>3.8105870885250637E-2</v>
      </c>
      <c r="IA254" s="197" t="str">
        <f t="shared" si="4046"/>
        <v>YoY Change (%)</v>
      </c>
      <c r="IB254" s="198">
        <f>IB253/HU253-1</f>
        <v>1.3229669571759972E-2</v>
      </c>
      <c r="IC254" s="198">
        <f t="shared" ref="IC254" si="5567">IC253/HV253-1</f>
        <v>1.7404244306418182E-2</v>
      </c>
      <c r="ID254" s="198">
        <f t="shared" ref="ID254" si="5568">ID253/HW253-1</f>
        <v>2.2655573484701153E-2</v>
      </c>
      <c r="IE254" s="198">
        <f t="shared" ref="IE254" si="5569">IE253/HX253-1</f>
        <v>-1.0819865091221903E-2</v>
      </c>
      <c r="IF254" s="198">
        <f t="shared" ref="IF254" si="5570">IF253/HY253-1</f>
        <v>1.0603035978256958E-2</v>
      </c>
      <c r="IH254" s="197" t="str">
        <f t="shared" si="4051"/>
        <v>YoY Change (%)</v>
      </c>
      <c r="II254" s="198">
        <f>II253/IB253-1</f>
        <v>-9.4610311108390688E-3</v>
      </c>
      <c r="IJ254" s="198">
        <f t="shared" ref="IJ254" si="5571">IJ253/IC253-1</f>
        <v>-1.538775857665764E-2</v>
      </c>
      <c r="IK254" s="198">
        <f t="shared" ref="IK254" si="5572">IK253/ID253-1</f>
        <v>3.7405018450680227E-3</v>
      </c>
      <c r="IL254" s="198">
        <f t="shared" ref="IL254" si="5573">IL253/IE253-1</f>
        <v>1.3838009840799081E-2</v>
      </c>
      <c r="IM254" s="198">
        <f t="shared" ref="IM254" si="5574">IM253/IF253-1</f>
        <v>-1.6494521123183725E-3</v>
      </c>
      <c r="IO254" s="197" t="str">
        <f t="shared" si="4056"/>
        <v>YoY Change (%)</v>
      </c>
      <c r="IP254" s="198">
        <f>IP253/II253-1</f>
        <v>-2.6291454370727663E-2</v>
      </c>
      <c r="IQ254" s="198">
        <f t="shared" ref="IQ254" si="5575">IQ253/IJ253-1</f>
        <v>-4.2131430842166639E-2</v>
      </c>
      <c r="IR254" s="198">
        <f t="shared" ref="IR254" si="5576">IR253/IK253-1</f>
        <v>-6.302971993806461E-2</v>
      </c>
      <c r="IS254" s="198">
        <f t="shared" ref="IS254" si="5577">IS253/IL253-1</f>
        <v>-8.033098809681849E-2</v>
      </c>
      <c r="IT254" s="198">
        <f t="shared" ref="IT254" si="5578">IT253/IM253-1</f>
        <v>-5.3795851197436129E-2</v>
      </c>
      <c r="IV254" s="197" t="str">
        <f t="shared" si="4061"/>
        <v>YoY Change (%)</v>
      </c>
      <c r="IW254" s="198">
        <f>IW253/IP253-1</f>
        <v>-5.7202260368909186E-2</v>
      </c>
      <c r="IX254" s="198">
        <f t="shared" ref="IX254" si="5579">IX253/IQ253-1</f>
        <v>-2.9980787704130707E-2</v>
      </c>
      <c r="IY254" s="198">
        <f t="shared" ref="IY254" si="5580">IY253/IR253-1</f>
        <v>1.1539050112167049E-2</v>
      </c>
      <c r="IZ254" s="198">
        <f t="shared" ref="IZ254" si="5581">IZ253/IS253-1</f>
        <v>2.8588922938580508E-2</v>
      </c>
      <c r="JA254" s="198">
        <f t="shared" ref="JA254" si="5582">JA253/IT253-1</f>
        <v>-1.1022450717567689E-2</v>
      </c>
      <c r="JC254" s="197" t="str">
        <f t="shared" si="4066"/>
        <v>YoY Change (%)</v>
      </c>
      <c r="JD254" s="198">
        <f>JD253/IW253-1</f>
        <v>5.6029285099052473E-2</v>
      </c>
      <c r="JE254" s="198">
        <f t="shared" ref="JE254" si="5583">JE253/IX253-1</f>
        <v>3.3472719899482195E-2</v>
      </c>
      <c r="JF254" s="198">
        <f t="shared" ref="JF254" si="5584">JF253/IY253-1</f>
        <v>-4.6665574307717117E-3</v>
      </c>
      <c r="JG254" s="198">
        <f t="shared" ref="JG254" si="5585">JG253/IZ253-1</f>
        <v>4.0981097086274509E-2</v>
      </c>
      <c r="JH254" s="198">
        <f t="shared" ref="JH254" si="5586">JH253/JA253-1</f>
        <v>3.0562553469337228E-2</v>
      </c>
      <c r="JJ254" s="197" t="str">
        <f t="shared" si="4071"/>
        <v>YoY Change (%)</v>
      </c>
      <c r="JK254" s="198">
        <f>JK253/JD253-1</f>
        <v>3.3060670309605023E-2</v>
      </c>
      <c r="JL254" s="198">
        <f t="shared" ref="JL254" si="5587">JL253/JE253-1</f>
        <v>6.8452380952380931E-2</v>
      </c>
      <c r="JM254" s="198">
        <f t="shared" ref="JM254" si="5588">JM253/JF253-1</f>
        <v>8.9218857139389707E-2</v>
      </c>
      <c r="JN254" s="198">
        <f t="shared" ref="JN254" si="5589">JN253/JG253-1</f>
        <v>2.6034596777000374E-2</v>
      </c>
      <c r="JO254" s="198">
        <f t="shared" ref="JO254" si="5590">JO253/JH253-1</f>
        <v>5.4094147487425914E-2</v>
      </c>
      <c r="JQ254" s="197" t="str">
        <f t="shared" si="4076"/>
        <v>YoY Change (%)</v>
      </c>
      <c r="JR254" s="198">
        <f>JR253/JK253-1</f>
        <v>-3.4238100565087137E-4</v>
      </c>
      <c r="JS254" s="198">
        <f t="shared" ref="JS254" si="5591">JS253/JL253-1</f>
        <v>-6.0790273556229346E-3</v>
      </c>
      <c r="JT254" s="198">
        <f t="shared" ref="JT254" si="5592">JT253/JM253-1</f>
        <v>-1.8326894502228686E-2</v>
      </c>
      <c r="JU254" s="198">
        <f t="shared" ref="JU254" si="5593">JU253/JN253-1</f>
        <v>-2.0492096416565242E-2</v>
      </c>
      <c r="JV254" s="198">
        <f t="shared" ref="JV254" si="5594">JV253/JO253-1</f>
        <v>-1.1748002723162787E-2</v>
      </c>
      <c r="JX254" s="197" t="str">
        <f t="shared" si="4081"/>
        <v>YoY Change (%)</v>
      </c>
      <c r="JY254" s="198">
        <f>JY253/JR253-1</f>
        <v>-1.8500424808836069E-2</v>
      </c>
      <c r="JZ254" s="198">
        <f t="shared" ref="JZ254" si="5595">JZ253/JS253-1</f>
        <v>-7.5437580236089818E-2</v>
      </c>
      <c r="KA254" s="198">
        <f t="shared" ref="KA254" si="5596">KA253/JT253-1</f>
        <v>-6.5566507227791671E-2</v>
      </c>
      <c r="KB254" s="198">
        <f t="shared" ref="KB254" si="5597">KB253/JU253-1</f>
        <v>-4.4899424230566698E-2</v>
      </c>
      <c r="KC254" s="198">
        <f t="shared" ref="KC254" si="5598">KC253/JV253-1</f>
        <v>-5.0731116310160362E-2</v>
      </c>
      <c r="KE254" s="197" t="str">
        <f t="shared" si="4086"/>
        <v>YoY Change (%)</v>
      </c>
      <c r="KF254" s="198">
        <f>KF253/JY253-1</f>
        <v>-0.17277035760448067</v>
      </c>
      <c r="KG254" s="198">
        <f t="shared" ref="KG254" si="5599">KG253/JZ253-1</f>
        <v>0.10919071890001764</v>
      </c>
      <c r="KH254" s="198">
        <f t="shared" ref="KH254" si="5600">KH253/KA253-1</f>
        <v>0.10231061978977873</v>
      </c>
      <c r="KI254" s="198">
        <f t="shared" ref="KI254" si="5601">KI253/KB253-1</f>
        <v>0.16216871363930174</v>
      </c>
      <c r="KJ254" s="198">
        <f t="shared" ref="KJ254" si="5602">KJ253/KC253-1</f>
        <v>4.984016274338865E-2</v>
      </c>
      <c r="KL254" s="197" t="str">
        <f t="shared" si="4091"/>
        <v>YoY Change (%)</v>
      </c>
      <c r="KM254" s="198">
        <f>KM253/KF253-1</f>
        <v>0.37999913434903032</v>
      </c>
      <c r="KN254" s="198">
        <f t="shared" ref="KN254" si="5603">KN253/KG253-1</f>
        <v>0.16721713862869314</v>
      </c>
      <c r="KO254" s="198">
        <f t="shared" ref="KO254" si="5604">KO253/KH253-1</f>
        <v>0.15860959423294085</v>
      </c>
      <c r="KP254" s="198">
        <f t="shared" ref="KP254" si="5605">KP253/KI253-1</f>
        <v>8.9035087719298245E-2</v>
      </c>
      <c r="KQ254" s="198">
        <f t="shared" ref="KQ254" si="5606">KQ253/KJ253-1</f>
        <v>0.18471480743319346</v>
      </c>
      <c r="KS254" s="197" t="str">
        <f t="shared" si="4096"/>
        <v>YoY Change (%)</v>
      </c>
      <c r="KT254" s="198">
        <f>KT253/KM253-1</f>
        <v>4.5320288517893159E-2</v>
      </c>
      <c r="KU254" s="198">
        <f t="shared" ref="KU254" si="5607">KU253/KN253-1</f>
        <v>-9.3110683685959095E-2</v>
      </c>
      <c r="KV254" s="198">
        <f t="shared" ref="KV254" si="5608">KV253/KO253-1</f>
        <v>-7.8754630149287075E-2</v>
      </c>
      <c r="KW254" s="198">
        <f t="shared" ref="KW254" si="5609">KW253/KP253-1</f>
        <v>-3.6649214659685625E-2</v>
      </c>
      <c r="KX254" s="198">
        <f t="shared" ref="KX254" si="5610">KX253/KQ253-1</f>
        <v>-4.3054084443800544E-2</v>
      </c>
      <c r="KZ254" s="197" t="str">
        <f t="shared" si="4101"/>
        <v>YoY Change (%)</v>
      </c>
      <c r="LA254" s="198">
        <f>LA253/KT253-1</f>
        <v>-5.3959559632817733E-2</v>
      </c>
      <c r="LB254" s="198">
        <f>LB253/KU253-1</f>
        <v>-1.7509197438343227E-2</v>
      </c>
      <c r="LC254" s="198">
        <f>LC253/KV253-1</f>
        <v>-4.5144537770594462E-2</v>
      </c>
      <c r="LD254" s="198">
        <f t="shared" ref="LD254" si="5611">LD253/KW253-1</f>
        <v>-8.0312390721529292E-2</v>
      </c>
      <c r="LE254" s="199">
        <f t="shared" ref="LE254" si="5612">LE253/KX253-1</f>
        <v>-4.9932713379130744E-2</v>
      </c>
      <c r="LF254" s="567"/>
      <c r="LG254" s="197" t="str">
        <f t="shared" si="4104"/>
        <v>YoY Change (%)</v>
      </c>
      <c r="LH254" s="198">
        <f>LH253/LA253-1</f>
        <v>-4.6103186344867098E-2</v>
      </c>
      <c r="LI254" s="198">
        <f>LI253/LB253-1</f>
        <v>-4.694828044264443E-2</v>
      </c>
      <c r="LJ254" s="198">
        <f>LJ253/LC253-1</f>
        <v>-1.5865463326784512E-2</v>
      </c>
      <c r="LK254" s="198">
        <f>LK253/LD253-1</f>
        <v>1.9254519463596242E-2</v>
      </c>
      <c r="LL254" s="199">
        <f t="shared" ref="LL254" si="5613">LL253/LE253-1</f>
        <v>-2.1787819301506417E-2</v>
      </c>
      <c r="LM254" s="567"/>
      <c r="LN254" s="197" t="str">
        <f t="shared" si="4106"/>
        <v>YoY Change (%)</v>
      </c>
      <c r="LO254" s="222">
        <v>2.5000000000000001E-2</v>
      </c>
      <c r="LP254" s="222">
        <v>0.04</v>
      </c>
      <c r="LQ254" s="222">
        <v>0.04</v>
      </c>
      <c r="LR254" s="222">
        <v>0.04</v>
      </c>
      <c r="LS254" s="199">
        <f t="shared" ref="LS254" si="5614">LS253/LL253-1</f>
        <v>3.6451822378178234E-2</v>
      </c>
      <c r="LT254" s="567"/>
      <c r="LU254" s="197" t="str">
        <f t="shared" si="4610"/>
        <v>YoY Change (%)</v>
      </c>
      <c r="LV254" s="222">
        <v>0.03</v>
      </c>
      <c r="LW254" s="222">
        <v>0.03</v>
      </c>
      <c r="LX254" s="222">
        <v>3.5000000000000003E-2</v>
      </c>
      <c r="LY254" s="222">
        <v>3.5000000000000003E-2</v>
      </c>
      <c r="LZ254" s="199">
        <f t="shared" ref="LZ254" si="5615">LZ253/LS253-1</f>
        <v>3.2638623867882854E-2</v>
      </c>
      <c r="MA254" s="567"/>
      <c r="MB254" s="197" t="str">
        <f t="shared" si="4612"/>
        <v>YoY Change (%)</v>
      </c>
      <c r="MC254" s="222">
        <v>3.2500000000000001E-2</v>
      </c>
      <c r="MD254" s="222">
        <v>3.2500000000000001E-2</v>
      </c>
      <c r="ME254" s="222">
        <v>3.2500000000000001E-2</v>
      </c>
      <c r="MF254" s="222">
        <v>3.2500000000000001E-2</v>
      </c>
      <c r="MG254" s="199">
        <f t="shared" ref="MG254" si="5616">MG253/LZ253-1</f>
        <v>3.2500000000000195E-2</v>
      </c>
      <c r="MH254" s="567"/>
    </row>
    <row r="255" spans="1:346" s="37" customFormat="1" ht="13.15" x14ac:dyDescent="0.4">
      <c r="A255" s="100"/>
      <c r="C255" s="186"/>
      <c r="D255" s="186"/>
      <c r="E255" s="186"/>
      <c r="F255" s="186"/>
      <c r="G255" s="186"/>
      <c r="H255" s="186"/>
      <c r="I255" s="186"/>
      <c r="J255" s="186"/>
      <c r="K255" s="186"/>
      <c r="L255" s="186"/>
      <c r="M255" s="186"/>
      <c r="N255" s="193"/>
      <c r="O255" s="193"/>
      <c r="P255" s="193"/>
      <c r="Q255" s="193"/>
      <c r="R255" s="193"/>
      <c r="S255" s="193"/>
      <c r="T255" s="193"/>
      <c r="U255" s="193"/>
      <c r="V255" s="193"/>
      <c r="W255" s="193"/>
      <c r="X255" s="193"/>
      <c r="Y255" s="193"/>
      <c r="Z255" s="193"/>
      <c r="AA255" s="193"/>
      <c r="AB255" s="193"/>
      <c r="AC255" s="193"/>
      <c r="AD255" s="193"/>
      <c r="AE255" s="193"/>
      <c r="AF255" s="193"/>
      <c r="AG255" s="193"/>
      <c r="AH255" s="193"/>
      <c r="AI255" s="193"/>
      <c r="AJ255" s="193"/>
      <c r="AK255" s="193"/>
      <c r="AL255" s="193"/>
      <c r="AM255" s="193"/>
      <c r="AN255" s="193"/>
      <c r="AO255" s="193"/>
      <c r="AP255" s="193"/>
      <c r="AQ255" s="193"/>
      <c r="AR255" s="193"/>
      <c r="AS255" s="193"/>
      <c r="AT255" s="193"/>
      <c r="AU255" s="193"/>
      <c r="AV255" s="193"/>
      <c r="AW255" s="193"/>
      <c r="AX255" s="193"/>
      <c r="AY255" s="193"/>
      <c r="AZ255" s="193"/>
      <c r="BA255" s="193"/>
      <c r="BB255" s="193"/>
      <c r="BC255" s="193"/>
      <c r="BD255" s="193"/>
      <c r="BE255" s="193"/>
      <c r="BF255" s="193"/>
      <c r="BG255" s="193"/>
      <c r="BH255" s="193"/>
      <c r="BI255" s="193"/>
      <c r="BJ255" s="193"/>
      <c r="BK255" s="193"/>
      <c r="BL255" s="193"/>
      <c r="BM255" s="193"/>
      <c r="BP255" s="193"/>
      <c r="BQ255" s="193"/>
      <c r="BR255" s="193"/>
      <c r="BS255" s="193"/>
      <c r="BT255" s="193"/>
      <c r="BW255" s="193"/>
      <c r="BX255" s="193"/>
      <c r="BY255" s="193"/>
      <c r="BZ255" s="193"/>
      <c r="CA255" s="193"/>
      <c r="CD255" s="193"/>
      <c r="CE255" s="193"/>
      <c r="CF255" s="193"/>
      <c r="CG255" s="193"/>
      <c r="CH255" s="193"/>
      <c r="CK255" s="193"/>
      <c r="CL255" s="193"/>
      <c r="CM255" s="193"/>
      <c r="CN255" s="193"/>
      <c r="CO255" s="193"/>
      <c r="CR255" s="193"/>
      <c r="CS255" s="193"/>
      <c r="CT255" s="193"/>
      <c r="CU255" s="193"/>
      <c r="CV255" s="193"/>
      <c r="CY255" s="193"/>
      <c r="CZ255" s="193"/>
      <c r="DA255" s="193"/>
      <c r="DB255" s="193"/>
      <c r="DC255" s="193"/>
      <c r="DF255" s="193"/>
      <c r="DG255" s="193"/>
      <c r="DH255" s="193"/>
      <c r="DI255" s="193"/>
      <c r="DJ255" s="193"/>
      <c r="DM255" s="193"/>
      <c r="DN255" s="193"/>
      <c r="DO255" s="193"/>
      <c r="DP255" s="193"/>
      <c r="DQ255" s="193"/>
      <c r="DT255" s="193"/>
      <c r="DU255" s="193"/>
      <c r="DV255" s="193"/>
      <c r="DW255" s="193"/>
      <c r="DX255" s="193"/>
      <c r="EA255" s="193"/>
      <c r="EB255" s="193"/>
      <c r="EC255" s="193"/>
      <c r="ED255" s="193"/>
      <c r="EE255" s="193"/>
      <c r="EH255" s="193"/>
      <c r="EI255" s="193"/>
      <c r="EJ255" s="193"/>
      <c r="EK255" s="193"/>
      <c r="EL255" s="193"/>
      <c r="EO255" s="193"/>
      <c r="EP255" s="193"/>
      <c r="EQ255" s="193"/>
      <c r="ER255" s="193"/>
      <c r="ES255" s="193"/>
      <c r="EV255" s="193"/>
      <c r="EW255" s="193"/>
      <c r="EX255" s="193"/>
      <c r="EY255" s="193"/>
      <c r="EZ255" s="193"/>
      <c r="FC255" s="193"/>
      <c r="FD255" s="193"/>
      <c r="FE255" s="193"/>
      <c r="FF255" s="193"/>
      <c r="FG255" s="193"/>
      <c r="FJ255" s="193"/>
      <c r="FK255" s="193"/>
      <c r="FL255" s="193"/>
      <c r="FM255" s="193"/>
      <c r="FN255" s="193"/>
      <c r="FQ255" s="193"/>
      <c r="FR255" s="193"/>
      <c r="FS255" s="193"/>
      <c r="FT255" s="193"/>
      <c r="FU255" s="193"/>
      <c r="FX255" s="193"/>
      <c r="FY255" s="193"/>
      <c r="FZ255" s="193"/>
      <c r="GA255" s="193"/>
      <c r="GB255" s="193"/>
      <c r="GE255" s="193"/>
      <c r="GF255" s="193"/>
      <c r="GG255" s="193"/>
      <c r="GH255" s="193"/>
      <c r="GI255" s="193"/>
      <c r="GL255" s="193"/>
      <c r="GM255" s="193"/>
      <c r="GN255" s="193"/>
      <c r="GO255" s="193"/>
      <c r="GP255" s="193"/>
      <c r="GS255" s="193"/>
      <c r="GT255" s="193"/>
      <c r="GU255" s="193"/>
      <c r="GV255" s="193"/>
      <c r="GW255" s="193"/>
      <c r="GZ255" s="193"/>
      <c r="HA255" s="193"/>
      <c r="HB255" s="193"/>
      <c r="HC255" s="193"/>
      <c r="HD255" s="193"/>
      <c r="HG255" s="193"/>
      <c r="HH255" s="193"/>
      <c r="HI255" s="193"/>
      <c r="HJ255" s="193"/>
      <c r="HK255" s="193"/>
      <c r="HN255" s="193"/>
      <c r="HO255" s="193"/>
      <c r="HP255" s="193"/>
      <c r="HQ255" s="193"/>
      <c r="HR255" s="193"/>
      <c r="HU255" s="193"/>
      <c r="HV255" s="193"/>
      <c r="HW255" s="193"/>
      <c r="HX255" s="193"/>
      <c r="HY255" s="193"/>
      <c r="IB255" s="193"/>
      <c r="IC255" s="193"/>
      <c r="ID255" s="193"/>
      <c r="IE255" s="193"/>
      <c r="IF255" s="193"/>
      <c r="II255" s="193"/>
      <c r="IJ255" s="193"/>
      <c r="IK255" s="193"/>
      <c r="IL255" s="193"/>
      <c r="IM255" s="193"/>
      <c r="IP255" s="193"/>
      <c r="IQ255" s="193"/>
      <c r="IR255" s="193"/>
      <c r="IS255" s="193"/>
      <c r="IT255" s="193"/>
      <c r="IW255" s="193"/>
      <c r="IX255" s="193"/>
      <c r="IY255" s="193"/>
      <c r="IZ255" s="193"/>
      <c r="JA255" s="193"/>
      <c r="JD255" s="193"/>
      <c r="JE255" s="193"/>
      <c r="JF255" s="193"/>
      <c r="JG255" s="193"/>
      <c r="JH255" s="193"/>
      <c r="JK255" s="193"/>
      <c r="JL255" s="193"/>
      <c r="JM255" s="193"/>
      <c r="JN255" s="193"/>
      <c r="JO255" s="193"/>
      <c r="JR255" s="193"/>
      <c r="JS255" s="193"/>
      <c r="JT255" s="193"/>
      <c r="JU255" s="193"/>
      <c r="JV255" s="193"/>
      <c r="JY255" s="193"/>
      <c r="JZ255" s="193"/>
      <c r="KA255" s="193"/>
      <c r="KB255" s="193"/>
      <c r="KC255" s="193"/>
      <c r="KF255" s="193"/>
      <c r="KG255" s="193"/>
      <c r="KH255" s="193"/>
      <c r="KI255" s="193"/>
      <c r="KJ255" s="193"/>
      <c r="KM255" s="193"/>
      <c r="KN255" s="193"/>
      <c r="KO255" s="193"/>
      <c r="KP255" s="193"/>
      <c r="KQ255" s="193"/>
      <c r="KT255" s="193"/>
      <c r="KU255" s="193"/>
      <c r="KV255" s="193"/>
      <c r="KW255" s="193"/>
      <c r="KX255" s="193"/>
      <c r="LA255" s="193"/>
      <c r="LB255" s="193"/>
      <c r="LC255" s="193"/>
      <c r="LD255" s="193"/>
      <c r="LE255" s="200"/>
      <c r="LF255" s="565"/>
      <c r="LH255" s="193"/>
      <c r="LI255" s="193"/>
      <c r="LJ255" s="193"/>
      <c r="LK255" s="200"/>
      <c r="LL255" s="200"/>
      <c r="LM255" s="565"/>
      <c r="LO255" s="200"/>
      <c r="LP255" s="200"/>
      <c r="LQ255" s="200"/>
      <c r="LR255" s="200"/>
      <c r="LS255" s="200"/>
      <c r="LT255" s="565"/>
      <c r="LV255" s="200"/>
      <c r="LW255" s="200"/>
      <c r="LX255" s="200"/>
      <c r="LY255" s="200"/>
      <c r="LZ255" s="200"/>
      <c r="MA255" s="565"/>
      <c r="MC255" s="200"/>
      <c r="MD255" s="200"/>
      <c r="ME255" s="200"/>
      <c r="MF255" s="200"/>
      <c r="MG255" s="200"/>
      <c r="MH255" s="565"/>
    </row>
    <row r="256" spans="1:346" s="68" customFormat="1" ht="12.75" x14ac:dyDescent="0.35">
      <c r="A256" s="140"/>
      <c r="B256" s="68" t="s">
        <v>520</v>
      </c>
      <c r="C256" s="190"/>
      <c r="D256" s="190"/>
      <c r="E256" s="190"/>
      <c r="F256" s="190"/>
      <c r="G256" s="190"/>
      <c r="H256" s="190"/>
      <c r="I256" s="190"/>
      <c r="J256" s="190"/>
      <c r="K256" s="190"/>
      <c r="L256" s="190"/>
      <c r="M256" s="190"/>
      <c r="N256" s="203">
        <f>(N253*N250)/1000</f>
        <v>585</v>
      </c>
      <c r="O256" s="203">
        <f>(O253*O250)/1000</f>
        <v>637</v>
      </c>
      <c r="P256" s="203">
        <f t="shared" ref="P256:AY256" si="5617">(P253*P250)/1000</f>
        <v>676</v>
      </c>
      <c r="Q256" s="203">
        <f t="shared" si="5617"/>
        <v>738.6</v>
      </c>
      <c r="R256" s="203">
        <f t="shared" si="5617"/>
        <v>793</v>
      </c>
      <c r="S256" s="203">
        <f t="shared" si="5617"/>
        <v>902.00000000000011</v>
      </c>
      <c r="T256" s="203">
        <f t="shared" si="5617"/>
        <v>707</v>
      </c>
      <c r="U256" s="203">
        <f t="shared" si="5617"/>
        <v>660</v>
      </c>
      <c r="V256" s="203">
        <f t="shared" si="5617"/>
        <v>669</v>
      </c>
      <c r="W256" s="203">
        <f t="shared" si="5617"/>
        <v>648.00000000000011</v>
      </c>
      <c r="X256" s="203">
        <f t="shared" si="5617"/>
        <v>958.99999999999989</v>
      </c>
      <c r="Y256" s="203">
        <f t="shared" si="5617"/>
        <v>1167.9999999999998</v>
      </c>
      <c r="Z256" s="203">
        <f t="shared" si="5617"/>
        <v>1112</v>
      </c>
      <c r="AA256" s="203">
        <f t="shared" si="5617"/>
        <v>1180</v>
      </c>
      <c r="AB256" s="203">
        <f t="shared" si="5617"/>
        <v>1257.0000000000002</v>
      </c>
      <c r="AC256" s="203">
        <f t="shared" si="5617"/>
        <v>1331</v>
      </c>
      <c r="AD256" s="203">
        <f t="shared" si="5617"/>
        <v>1362</v>
      </c>
      <c r="AE256" s="203">
        <f t="shared" si="5617"/>
        <v>1412</v>
      </c>
      <c r="AF256" s="203">
        <f t="shared" si="5617"/>
        <v>1356</v>
      </c>
      <c r="AG256" s="203">
        <f t="shared" si="5617"/>
        <v>1466</v>
      </c>
      <c r="AH256" s="203">
        <f t="shared" si="5617"/>
        <v>1204</v>
      </c>
      <c r="AI256" s="203">
        <f t="shared" si="5617"/>
        <v>1294.9999999999998</v>
      </c>
      <c r="AJ256" s="203">
        <f t="shared" si="5617"/>
        <v>1433.9999999999998</v>
      </c>
      <c r="AK256" s="203">
        <f t="shared" si="5617"/>
        <v>1593.9999999999998</v>
      </c>
      <c r="AL256" s="203">
        <f t="shared" si="5617"/>
        <v>1697</v>
      </c>
      <c r="AM256" s="203">
        <f t="shared" si="5617"/>
        <v>1790</v>
      </c>
      <c r="AN256" s="203">
        <f t="shared" si="5617"/>
        <v>1762</v>
      </c>
      <c r="AO256" s="203">
        <f t="shared" si="5617"/>
        <v>1726</v>
      </c>
      <c r="AP256" s="203">
        <f t="shared" si="5617"/>
        <v>1799</v>
      </c>
      <c r="AQ256" s="203">
        <f t="shared" si="5617"/>
        <v>1931</v>
      </c>
      <c r="AR256" s="203">
        <f t="shared" si="5617"/>
        <v>1759.9999999999998</v>
      </c>
      <c r="AS256" s="203">
        <f t="shared" si="5617"/>
        <v>1702</v>
      </c>
      <c r="AT256" s="203">
        <f t="shared" si="5617"/>
        <v>1955.0000000000002</v>
      </c>
      <c r="AU256" s="203">
        <f t="shared" si="5617"/>
        <v>2306</v>
      </c>
      <c r="AV256" s="203">
        <f t="shared" si="5617"/>
        <v>2060.0000000000005</v>
      </c>
      <c r="AW256" s="203">
        <f t="shared" si="5617"/>
        <v>2047.0000000000002</v>
      </c>
      <c r="AX256" s="203">
        <f t="shared" si="5617"/>
        <v>2073</v>
      </c>
      <c r="AY256" s="203">
        <f t="shared" si="5617"/>
        <v>2253.4246250000001</v>
      </c>
      <c r="AZ256" s="203">
        <f t="shared" ref="AZ256:BA256" si="5618">(AZ253*AZ250)/1000</f>
        <v>2396.7825028625002</v>
      </c>
      <c r="BA256" s="203">
        <f t="shared" si="5618"/>
        <v>2548.9182722316978</v>
      </c>
      <c r="BB256" s="203"/>
      <c r="BC256" s="203"/>
      <c r="BD256" s="203"/>
      <c r="BE256" s="203"/>
      <c r="BF256" s="203"/>
      <c r="BG256" s="203"/>
      <c r="BH256" s="203"/>
      <c r="BI256" s="203"/>
      <c r="BJ256" s="203"/>
      <c r="BK256" s="203"/>
      <c r="BL256" s="203"/>
      <c r="BM256" s="203"/>
      <c r="BO256" s="68" t="str">
        <f t="shared" si="3930"/>
        <v>Intermodal Revenue</v>
      </c>
      <c r="BP256" s="204">
        <f>(BP253*BP250)/1000</f>
        <v>141</v>
      </c>
      <c r="BQ256" s="204">
        <f t="shared" ref="BQ256:BS256" si="5619">(BQ253*BQ250)/1000</f>
        <v>144</v>
      </c>
      <c r="BR256" s="204">
        <f t="shared" si="5619"/>
        <v>147.00000000000003</v>
      </c>
      <c r="BS256" s="204">
        <f t="shared" si="5619"/>
        <v>153</v>
      </c>
      <c r="BT256" s="204">
        <f t="shared" ref="BT256" si="5620">(BT253*BT250)/1000</f>
        <v>585</v>
      </c>
      <c r="BV256" s="68" t="str">
        <f t="shared" si="3931"/>
        <v>Intermodal Revenue</v>
      </c>
      <c r="BW256" s="204">
        <f>(BW253*BW250)/1000</f>
        <v>144</v>
      </c>
      <c r="BX256" s="204">
        <f t="shared" ref="BX256:CA256" si="5621">(BX253*BX250)/1000</f>
        <v>159</v>
      </c>
      <c r="BY256" s="204">
        <f t="shared" si="5621"/>
        <v>160</v>
      </c>
      <c r="BZ256" s="204">
        <f t="shared" si="5621"/>
        <v>174</v>
      </c>
      <c r="CA256" s="204">
        <f t="shared" si="5621"/>
        <v>637</v>
      </c>
      <c r="CC256" s="68" t="str">
        <f t="shared" si="3936"/>
        <v>Intermodal Revenue</v>
      </c>
      <c r="CD256" s="204">
        <f>(CD253*CD250)/1000</f>
        <v>159</v>
      </c>
      <c r="CE256" s="204">
        <f t="shared" ref="CE256:CH256" si="5622">(CE253*CE250)/1000</f>
        <v>162.00000000000003</v>
      </c>
      <c r="CF256" s="204">
        <f t="shared" si="5622"/>
        <v>170</v>
      </c>
      <c r="CG256" s="204">
        <f t="shared" si="5622"/>
        <v>185</v>
      </c>
      <c r="CH256" s="204">
        <f t="shared" si="5622"/>
        <v>676</v>
      </c>
      <c r="CJ256" s="68" t="str">
        <f t="shared" si="3941"/>
        <v>Intermodal Revenue</v>
      </c>
      <c r="CK256" s="204">
        <f>(CK253*CK250)/1000</f>
        <v>180.00000000000003</v>
      </c>
      <c r="CL256" s="204">
        <f t="shared" ref="CL256:CO256" si="5623">(CL253*CL250)/1000</f>
        <v>180.7</v>
      </c>
      <c r="CM256" s="204">
        <f t="shared" si="5623"/>
        <v>188.9</v>
      </c>
      <c r="CN256" s="204">
        <f t="shared" si="5623"/>
        <v>189.00000000000003</v>
      </c>
      <c r="CO256" s="204">
        <f t="shared" si="5623"/>
        <v>738.6</v>
      </c>
      <c r="CQ256" s="68" t="str">
        <f t="shared" si="3946"/>
        <v>Intermodal Revenue</v>
      </c>
      <c r="CR256" s="204">
        <f>(CR253*CR250)/1000</f>
        <v>184</v>
      </c>
      <c r="CS256" s="204">
        <f t="shared" ref="CS256:CV256" si="5624">(CS253*CS250)/1000</f>
        <v>188</v>
      </c>
      <c r="CT256" s="204">
        <f t="shared" si="5624"/>
        <v>206</v>
      </c>
      <c r="CU256" s="204">
        <f t="shared" si="5624"/>
        <v>214.99999999999997</v>
      </c>
      <c r="CV256" s="204">
        <f t="shared" si="5624"/>
        <v>793</v>
      </c>
      <c r="CX256" s="68" t="str">
        <f t="shared" si="3951"/>
        <v>Intermodal Revenue</v>
      </c>
      <c r="CY256" s="204">
        <f>(CY253*CY250)/1000</f>
        <v>210</v>
      </c>
      <c r="CZ256" s="204">
        <f t="shared" ref="CZ256:DC256" si="5625">(CZ253*CZ250)/1000</f>
        <v>222.99999999999997</v>
      </c>
      <c r="DA256" s="204">
        <f t="shared" si="5625"/>
        <v>230</v>
      </c>
      <c r="DB256" s="204">
        <f t="shared" si="5625"/>
        <v>238.99999999999997</v>
      </c>
      <c r="DC256" s="204">
        <f t="shared" si="5625"/>
        <v>902.00000000000011</v>
      </c>
      <c r="DE256" s="68" t="str">
        <f t="shared" si="3956"/>
        <v>Intermodal Revenue</v>
      </c>
      <c r="DF256" s="204">
        <f>(DF253*DF250)/1000</f>
        <v>176</v>
      </c>
      <c r="DG256" s="204">
        <f t="shared" ref="DG256:DJ256" si="5626">(DG253*DG250)/1000</f>
        <v>177</v>
      </c>
      <c r="DH256" s="204">
        <f t="shared" si="5626"/>
        <v>173</v>
      </c>
      <c r="DI256" s="204">
        <f t="shared" si="5626"/>
        <v>181</v>
      </c>
      <c r="DJ256" s="204">
        <f t="shared" si="5626"/>
        <v>707</v>
      </c>
      <c r="DL256" s="68" t="str">
        <f t="shared" si="3961"/>
        <v>Intermodal Revenue</v>
      </c>
      <c r="DM256" s="204">
        <f>(DM253*DM250)/1000</f>
        <v>160.99999999999997</v>
      </c>
      <c r="DN256" s="204">
        <f t="shared" ref="DN256:DQ256" si="5627">(DN253*DN250)/1000</f>
        <v>167</v>
      </c>
      <c r="DO256" s="204">
        <f t="shared" si="5627"/>
        <v>160.99999999999997</v>
      </c>
      <c r="DP256" s="204">
        <f t="shared" si="5627"/>
        <v>171</v>
      </c>
      <c r="DQ256" s="204">
        <f t="shared" si="5627"/>
        <v>660</v>
      </c>
      <c r="DS256" s="68" t="str">
        <f t="shared" si="3966"/>
        <v>Intermodal Revenue</v>
      </c>
      <c r="DT256" s="204">
        <f>(DT253*DT250)/1000</f>
        <v>159</v>
      </c>
      <c r="DU256" s="204">
        <f t="shared" ref="DU256:DX256" si="5628">(DU253*DU250)/1000</f>
        <v>164</v>
      </c>
      <c r="DV256" s="204">
        <f t="shared" si="5628"/>
        <v>174</v>
      </c>
      <c r="DW256" s="204">
        <f t="shared" si="5628"/>
        <v>172</v>
      </c>
      <c r="DX256" s="204">
        <f t="shared" si="5628"/>
        <v>669</v>
      </c>
      <c r="DZ256" s="68" t="str">
        <f t="shared" si="3971"/>
        <v>Intermodal Revenue</v>
      </c>
      <c r="EA256" s="204">
        <f>(EA253*EA250)/1000</f>
        <v>159</v>
      </c>
      <c r="EB256" s="204">
        <f t="shared" ref="EB256:EE256" si="5629">(EB253*EB250)/1000</f>
        <v>158</v>
      </c>
      <c r="EC256" s="204">
        <f t="shared" si="5629"/>
        <v>160.99999999999997</v>
      </c>
      <c r="ED256" s="204">
        <f t="shared" si="5629"/>
        <v>170</v>
      </c>
      <c r="EE256" s="204">
        <f t="shared" si="5629"/>
        <v>648.00000000000011</v>
      </c>
      <c r="EG256" s="68" t="str">
        <f t="shared" si="3976"/>
        <v>Intermodal Revenue</v>
      </c>
      <c r="EH256" s="204">
        <f>(EH253*EH250)/1000</f>
        <v>169.00000000000003</v>
      </c>
      <c r="EI256" s="204">
        <f t="shared" ref="EI256:EL256" si="5630">(EI253*EI250)/1000</f>
        <v>207</v>
      </c>
      <c r="EJ256" s="204">
        <f t="shared" si="5630"/>
        <v>288</v>
      </c>
      <c r="EK256" s="204">
        <f t="shared" si="5630"/>
        <v>295</v>
      </c>
      <c r="EL256" s="204">
        <f t="shared" si="5630"/>
        <v>958.99999999999989</v>
      </c>
      <c r="EN256" s="68" t="str">
        <f t="shared" si="3981"/>
        <v>Intermodal Revenue</v>
      </c>
      <c r="EO256" s="204">
        <f>(EO253*EO250)/1000</f>
        <v>287.99999999999994</v>
      </c>
      <c r="EP256" s="204">
        <f t="shared" ref="EP256:ES256" si="5631">(EP253*EP250)/1000</f>
        <v>291</v>
      </c>
      <c r="EQ256" s="204">
        <f t="shared" si="5631"/>
        <v>288</v>
      </c>
      <c r="ER256" s="204">
        <f t="shared" si="5631"/>
        <v>301</v>
      </c>
      <c r="ES256" s="204">
        <f t="shared" si="5631"/>
        <v>1167.9999999999998</v>
      </c>
      <c r="EU256" s="68" t="str">
        <f t="shared" si="3986"/>
        <v>Intermodal Revenue</v>
      </c>
      <c r="EV256" s="204">
        <f>(EV253*EV250)/1000</f>
        <v>270.00000000000006</v>
      </c>
      <c r="EW256" s="204">
        <f t="shared" ref="EW256:EZ256" si="5632">(EW253*EW250)/1000</f>
        <v>271</v>
      </c>
      <c r="EX256" s="204">
        <f t="shared" si="5632"/>
        <v>286</v>
      </c>
      <c r="EY256" s="204">
        <f t="shared" si="5632"/>
        <v>285.00000000000006</v>
      </c>
      <c r="EZ256" s="204">
        <f t="shared" si="5632"/>
        <v>1112</v>
      </c>
      <c r="FB256" s="68" t="str">
        <f t="shared" si="3991"/>
        <v>Intermodal Revenue</v>
      </c>
      <c r="FC256" s="204">
        <f>(FC253*FC250)/1000</f>
        <v>262.00000000000006</v>
      </c>
      <c r="FD256" s="204">
        <f t="shared" ref="FD256:FG256" si="5633">(FD253*FD250)/1000</f>
        <v>296</v>
      </c>
      <c r="FE256" s="204">
        <f t="shared" si="5633"/>
        <v>313.00000000000006</v>
      </c>
      <c r="FF256" s="204">
        <f t="shared" si="5633"/>
        <v>309</v>
      </c>
      <c r="FG256" s="204">
        <f t="shared" si="5633"/>
        <v>1180</v>
      </c>
      <c r="FI256" s="68" t="str">
        <f t="shared" si="3996"/>
        <v>Intermodal Revenue</v>
      </c>
      <c r="FJ256" s="204">
        <f>(FJ253*FJ250)/1000</f>
        <v>302</v>
      </c>
      <c r="FK256" s="204">
        <f t="shared" ref="FK256:FN256" si="5634">(FK253*FK250)/1000</f>
        <v>314.00000000000006</v>
      </c>
      <c r="FL256" s="204">
        <f t="shared" si="5634"/>
        <v>313</v>
      </c>
      <c r="FM256" s="204">
        <f t="shared" si="5634"/>
        <v>328</v>
      </c>
      <c r="FN256" s="204">
        <f t="shared" si="5634"/>
        <v>1257.0000000000002</v>
      </c>
      <c r="FP256" s="68" t="str">
        <f t="shared" si="4001"/>
        <v>Intermodal Revenue</v>
      </c>
      <c r="FQ256" s="204">
        <f>(FQ253*FQ250)/1000</f>
        <v>315</v>
      </c>
      <c r="FR256" s="204">
        <f t="shared" ref="FR256:FU256" si="5635">(FR253*FR250)/1000</f>
        <v>323</v>
      </c>
      <c r="FS256" s="204">
        <f t="shared" si="5635"/>
        <v>322</v>
      </c>
      <c r="FT256" s="204">
        <f t="shared" si="5635"/>
        <v>371</v>
      </c>
      <c r="FU256" s="204">
        <f t="shared" si="5635"/>
        <v>1331</v>
      </c>
      <c r="FW256" s="68" t="str">
        <f t="shared" si="4006"/>
        <v>Intermodal Revenue</v>
      </c>
      <c r="FX256" s="204">
        <f>(FX253*FX250)/1000</f>
        <v>328.99999999999994</v>
      </c>
      <c r="FY256" s="204">
        <f t="shared" ref="FY256:GB256" si="5636">(FY253*FY250)/1000</f>
        <v>330</v>
      </c>
      <c r="FZ256" s="204">
        <f t="shared" si="5636"/>
        <v>337</v>
      </c>
      <c r="GA256" s="204">
        <f t="shared" si="5636"/>
        <v>365.99999999999994</v>
      </c>
      <c r="GB256" s="204">
        <f t="shared" si="5636"/>
        <v>1362</v>
      </c>
      <c r="GD256" s="68" t="str">
        <f t="shared" si="4011"/>
        <v>Intermodal Revenue</v>
      </c>
      <c r="GE256" s="204">
        <f>(GE253*GE250)/1000</f>
        <v>334</v>
      </c>
      <c r="GF256" s="204">
        <f t="shared" ref="GF256:GI256" si="5637">(GF253*GF250)/1000</f>
        <v>355.99999999999994</v>
      </c>
      <c r="GG256" s="204">
        <f t="shared" si="5637"/>
        <v>364</v>
      </c>
      <c r="GH256" s="204">
        <f t="shared" si="5637"/>
        <v>358</v>
      </c>
      <c r="GI256" s="204">
        <f t="shared" si="5637"/>
        <v>1412</v>
      </c>
      <c r="GK256" s="68" t="str">
        <f t="shared" si="4016"/>
        <v>Intermodal Revenue</v>
      </c>
      <c r="GL256" s="204">
        <f>(GL253*GL250)/1000</f>
        <v>318</v>
      </c>
      <c r="GM256" s="204">
        <f t="shared" ref="GM256:GP256" si="5638">(GM253*GM250)/1000</f>
        <v>343</v>
      </c>
      <c r="GN256" s="204">
        <f t="shared" si="5638"/>
        <v>337</v>
      </c>
      <c r="GO256" s="204">
        <f t="shared" si="5638"/>
        <v>358</v>
      </c>
      <c r="GP256" s="204">
        <f t="shared" si="5638"/>
        <v>1356</v>
      </c>
      <c r="GR256" s="68" t="str">
        <f t="shared" si="4021"/>
        <v>Intermodal Revenue</v>
      </c>
      <c r="GS256" s="204">
        <f>(GS253*GS250)/1000</f>
        <v>348</v>
      </c>
      <c r="GT256" s="204">
        <f t="shared" ref="GT256:GW256" si="5639">(GT253*GT250)/1000</f>
        <v>384.99999999999994</v>
      </c>
      <c r="GU256" s="204">
        <f t="shared" si="5639"/>
        <v>399</v>
      </c>
      <c r="GV256" s="204">
        <f t="shared" si="5639"/>
        <v>334</v>
      </c>
      <c r="GW256" s="204">
        <f t="shared" si="5639"/>
        <v>1466</v>
      </c>
      <c r="GY256" s="68" t="str">
        <f t="shared" si="4026"/>
        <v>Intermodal Revenue</v>
      </c>
      <c r="GZ256" s="204">
        <f>(GZ253*GZ250)/1000</f>
        <v>270</v>
      </c>
      <c r="HA256" s="204">
        <f t="shared" ref="HA256:HD256" si="5640">(HA253*HA250)/1000</f>
        <v>291</v>
      </c>
      <c r="HB256" s="204">
        <f t="shared" si="5640"/>
        <v>303</v>
      </c>
      <c r="HC256" s="204">
        <f t="shared" si="5640"/>
        <v>339.99999999999994</v>
      </c>
      <c r="HD256" s="204">
        <f t="shared" si="5640"/>
        <v>1204</v>
      </c>
      <c r="HF256" s="68" t="str">
        <f t="shared" si="4031"/>
        <v>Intermodal Revenue</v>
      </c>
      <c r="HG256" s="204">
        <f>(HG253*HG250)/1000</f>
        <v>323</v>
      </c>
      <c r="HH256" s="204">
        <f t="shared" ref="HH256:HK256" si="5641">(HH253*HH250)/1000</f>
        <v>304.00000000000006</v>
      </c>
      <c r="HI256" s="204">
        <f t="shared" si="5641"/>
        <v>318</v>
      </c>
      <c r="HJ256" s="204">
        <f t="shared" si="5641"/>
        <v>350</v>
      </c>
      <c r="HK256" s="204">
        <f t="shared" si="5641"/>
        <v>1294.9999999999998</v>
      </c>
      <c r="HM256" s="68" t="str">
        <f t="shared" si="4036"/>
        <v>Intermodal Revenue</v>
      </c>
      <c r="HN256" s="204">
        <f>(HN253*HN250)/1000</f>
        <v>327</v>
      </c>
      <c r="HO256" s="204">
        <f t="shared" ref="HO256:HR256" si="5642">(HO253*HO250)/1000</f>
        <v>369</v>
      </c>
      <c r="HP256" s="204">
        <f t="shared" si="5642"/>
        <v>363</v>
      </c>
      <c r="HQ256" s="204">
        <f t="shared" si="5642"/>
        <v>375</v>
      </c>
      <c r="HR256" s="204">
        <f t="shared" si="5642"/>
        <v>1433.9999999999998</v>
      </c>
      <c r="HT256" s="68" t="str">
        <f t="shared" si="4041"/>
        <v>Intermodal Revenue</v>
      </c>
      <c r="HU256" s="204">
        <f>(HU253*HU250)/1000</f>
        <v>389</v>
      </c>
      <c r="HV256" s="204">
        <f t="shared" ref="HV256:HY256" si="5643">(HV253*HV250)/1000</f>
        <v>408</v>
      </c>
      <c r="HW256" s="204">
        <f t="shared" si="5643"/>
        <v>399</v>
      </c>
      <c r="HX256" s="204">
        <f t="shared" si="5643"/>
        <v>398</v>
      </c>
      <c r="HY256" s="204">
        <f t="shared" si="5643"/>
        <v>1593.9999999999998</v>
      </c>
      <c r="IA256" s="68" t="str">
        <f t="shared" si="4046"/>
        <v>Intermodal Revenue</v>
      </c>
      <c r="IB256" s="204">
        <f>(IB253*IB250)/1000</f>
        <v>404</v>
      </c>
      <c r="IC256" s="204">
        <f t="shared" ref="IC256:IF256" si="5644">(IC253*IC250)/1000</f>
        <v>425</v>
      </c>
      <c r="ID256" s="204">
        <f t="shared" si="5644"/>
        <v>431.00000000000006</v>
      </c>
      <c r="IE256" s="204">
        <f t="shared" si="5644"/>
        <v>437</v>
      </c>
      <c r="IF256" s="204">
        <f t="shared" si="5644"/>
        <v>1697</v>
      </c>
      <c r="IH256" s="68" t="str">
        <f t="shared" si="4051"/>
        <v>Intermodal Revenue</v>
      </c>
      <c r="II256" s="204">
        <f>(II253*II250)/1000</f>
        <v>421</v>
      </c>
      <c r="IJ256" s="204">
        <f t="shared" ref="IJ256:IM256" si="5645">(IJ253*IJ250)/1000</f>
        <v>449.00000000000006</v>
      </c>
      <c r="IK256" s="204">
        <f t="shared" si="5645"/>
        <v>455</v>
      </c>
      <c r="IL256" s="204">
        <f t="shared" si="5645"/>
        <v>465.00000000000006</v>
      </c>
      <c r="IM256" s="204">
        <f t="shared" si="5645"/>
        <v>1790</v>
      </c>
      <c r="IO256" s="68" t="str">
        <f t="shared" si="4056"/>
        <v>Intermodal Revenue</v>
      </c>
      <c r="IP256" s="204">
        <f>(IP253*IP250)/1000</f>
        <v>415</v>
      </c>
      <c r="IQ256" s="204">
        <f t="shared" ref="IQ256:IT256" si="5646">(IQ253*IQ250)/1000</f>
        <v>450</v>
      </c>
      <c r="IR256" s="204">
        <f t="shared" si="5646"/>
        <v>451</v>
      </c>
      <c r="IS256" s="204">
        <f t="shared" si="5646"/>
        <v>446</v>
      </c>
      <c r="IT256" s="204">
        <f t="shared" si="5646"/>
        <v>1762</v>
      </c>
      <c r="IV256" s="68" t="str">
        <f t="shared" si="4061"/>
        <v>Intermodal Revenue</v>
      </c>
      <c r="IW256" s="204">
        <f>(IW253*IW250)/1000</f>
        <v>405.00000000000006</v>
      </c>
      <c r="IX256" s="204">
        <f t="shared" ref="IX256:JA256" si="5647">(IX253*IX250)/1000</f>
        <v>419</v>
      </c>
      <c r="IY256" s="204">
        <f t="shared" si="5647"/>
        <v>424.99999999999994</v>
      </c>
      <c r="IZ256" s="204">
        <f t="shared" si="5647"/>
        <v>477.00000000000006</v>
      </c>
      <c r="JA256" s="204">
        <f t="shared" si="5647"/>
        <v>1726</v>
      </c>
      <c r="JC256" s="68" t="str">
        <f t="shared" si="4066"/>
        <v>Intermodal Revenue</v>
      </c>
      <c r="JD256" s="204">
        <f>(JD253*JD250)/1000</f>
        <v>434</v>
      </c>
      <c r="JE256" s="204">
        <f t="shared" ref="JE256:JH256" si="5648">(JE253*JE250)/1000</f>
        <v>448</v>
      </c>
      <c r="JF256" s="204">
        <f t="shared" si="5648"/>
        <v>446</v>
      </c>
      <c r="JG256" s="204">
        <f t="shared" si="5648"/>
        <v>471.00000000000006</v>
      </c>
      <c r="JH256" s="204">
        <f t="shared" si="5648"/>
        <v>1799</v>
      </c>
      <c r="JJ256" s="68" t="str">
        <f t="shared" si="4071"/>
        <v>Intermodal Revenue</v>
      </c>
      <c r="JK256" s="204">
        <f>(JK253*JK250)/1000</f>
        <v>448.99999999999994</v>
      </c>
      <c r="JL256" s="204">
        <f t="shared" ref="JL256:JO256" si="5649">(JL253*JL250)/1000</f>
        <v>490</v>
      </c>
      <c r="JM256" s="204">
        <f t="shared" si="5649"/>
        <v>499.99999999999994</v>
      </c>
      <c r="JN256" s="204">
        <f t="shared" si="5649"/>
        <v>491.99999999999994</v>
      </c>
      <c r="JO256" s="204">
        <f t="shared" si="5649"/>
        <v>1931</v>
      </c>
      <c r="JQ256" s="68" t="str">
        <f t="shared" si="4076"/>
        <v>Intermodal Revenue</v>
      </c>
      <c r="JR256" s="204">
        <f>(JR253*JR250)/1000</f>
        <v>428</v>
      </c>
      <c r="JS256" s="204">
        <f t="shared" ref="JS256:JV256" si="5650">(JS253*JS250)/1000</f>
        <v>436.00000000000006</v>
      </c>
      <c r="JT256" s="204">
        <f t="shared" si="5650"/>
        <v>447</v>
      </c>
      <c r="JU256" s="204">
        <f t="shared" si="5650"/>
        <v>449</v>
      </c>
      <c r="JV256" s="204">
        <f t="shared" si="5650"/>
        <v>1759.9999999999998</v>
      </c>
      <c r="JX256" s="68" t="str">
        <f t="shared" si="4081"/>
        <v>Intermodal Revenue</v>
      </c>
      <c r="JY256" s="204">
        <f>(JY253*JY250)/1000</f>
        <v>422</v>
      </c>
      <c r="JZ256" s="204">
        <f t="shared" ref="JZ256:KC256" si="5651">(JZ253*JZ250)/1000</f>
        <v>359.00000000000006</v>
      </c>
      <c r="KA256" s="204">
        <f t="shared" si="5651"/>
        <v>445</v>
      </c>
      <c r="KB256" s="204">
        <f t="shared" si="5651"/>
        <v>476</v>
      </c>
      <c r="KC256" s="204">
        <f t="shared" si="5651"/>
        <v>1702</v>
      </c>
      <c r="KE256" s="68" t="str">
        <f t="shared" si="4086"/>
        <v>Intermodal Revenue</v>
      </c>
      <c r="KF256" s="204">
        <f>(KF253*KF250)/1000</f>
        <v>384.00000000000006</v>
      </c>
      <c r="KG256" s="204">
        <f t="shared" ref="KG256:KJ256" si="5652">(KG253*KG250)/1000</f>
        <v>511</v>
      </c>
      <c r="KH256" s="204">
        <f t="shared" si="5652"/>
        <v>509</v>
      </c>
      <c r="KI256" s="204">
        <f t="shared" si="5652"/>
        <v>551</v>
      </c>
      <c r="KJ256" s="204">
        <f t="shared" si="5652"/>
        <v>1955.0000000000002</v>
      </c>
      <c r="KL256" s="68" t="str">
        <f t="shared" si="4091"/>
        <v>Intermodal Revenue</v>
      </c>
      <c r="KM256" s="204">
        <f>(KM253*KM250)/1000</f>
        <v>527</v>
      </c>
      <c r="KN256" s="204">
        <f t="shared" ref="KN256:KQ256" si="5653">(KN253*KN250)/1000</f>
        <v>602</v>
      </c>
      <c r="KO256" s="204">
        <f t="shared" si="5653"/>
        <v>604</v>
      </c>
      <c r="KP256" s="204">
        <f t="shared" si="5653"/>
        <v>573</v>
      </c>
      <c r="KQ256" s="204">
        <f t="shared" si="5653"/>
        <v>2306</v>
      </c>
      <c r="KS256" s="68" t="str">
        <f t="shared" si="4096"/>
        <v>Intermodal Revenue</v>
      </c>
      <c r="KT256" s="204">
        <f>(KT253*KT250)/1000</f>
        <v>499</v>
      </c>
      <c r="KU256" s="204">
        <f t="shared" ref="KU256:KX256" si="5654">(KU253*KU250)/1000</f>
        <v>492</v>
      </c>
      <c r="KV256" s="204">
        <f t="shared" si="5654"/>
        <v>517.00000000000011</v>
      </c>
      <c r="KW256" s="204">
        <f t="shared" si="5654"/>
        <v>552</v>
      </c>
      <c r="KX256" s="204">
        <f t="shared" si="5654"/>
        <v>2060.0000000000005</v>
      </c>
      <c r="KZ256" s="68" t="str">
        <f t="shared" si="4101"/>
        <v>Intermodal Revenue</v>
      </c>
      <c r="LA256" s="204">
        <f>(LA253*LA250)/1000</f>
        <v>506</v>
      </c>
      <c r="LB256" s="204">
        <f>(LB253*LB250)/1000</f>
        <v>505.99999999999994</v>
      </c>
      <c r="LC256" s="204">
        <f>(LC253*LC250)/1000</f>
        <v>509</v>
      </c>
      <c r="LD256" s="204">
        <f t="shared" ref="LD256" si="5655">(LD253*LD250)/1000</f>
        <v>526</v>
      </c>
      <c r="LE256" s="205">
        <f>SUM(LA256:LD256)</f>
        <v>2047</v>
      </c>
      <c r="LF256" s="563"/>
      <c r="LG256" s="68" t="str">
        <f t="shared" si="4104"/>
        <v>Intermodal Revenue</v>
      </c>
      <c r="LH256" s="204">
        <f>(LH253*LH250)/1000</f>
        <v>493</v>
      </c>
      <c r="LI256" s="204">
        <f>(LI253*LI250)/1000</f>
        <v>490.99999999999994</v>
      </c>
      <c r="LJ256" s="204">
        <f>(LJ253*LJ250)/1000</f>
        <v>527</v>
      </c>
      <c r="LK256" s="205">
        <f t="shared" ref="LK256" si="5656">(LK250*LK253)/1000</f>
        <v>562</v>
      </c>
      <c r="LL256" s="205">
        <f>SUM(LH256:LK256)</f>
        <v>2073</v>
      </c>
      <c r="LM256" s="563"/>
      <c r="LN256" s="68" t="str">
        <f t="shared" si="4106"/>
        <v>Intermodal Revenue</v>
      </c>
      <c r="LO256" s="205">
        <f>(LO250*LO253)/1000</f>
        <v>528.06462499999986</v>
      </c>
      <c r="LP256" s="205">
        <f t="shared" ref="LP256:LR256" si="5657">(LP250*LP253)/1000</f>
        <v>536.17200000000003</v>
      </c>
      <c r="LQ256" s="205">
        <f t="shared" si="5657"/>
        <v>575.48400000000015</v>
      </c>
      <c r="LR256" s="205">
        <f t="shared" si="5657"/>
        <v>613.70399999999995</v>
      </c>
      <c r="LS256" s="205">
        <f>SUM(LO256:LR256)</f>
        <v>2253.4246250000001</v>
      </c>
      <c r="LT256" s="563"/>
      <c r="LU256" s="68" t="str">
        <f t="shared" si="4610"/>
        <v>Intermodal Revenue</v>
      </c>
      <c r="LV256" s="205">
        <f>(LV250*LV253)/1000</f>
        <v>560.2237606624999</v>
      </c>
      <c r="LW256" s="205">
        <f t="shared" ref="LW256:LY256" si="5658">(LW250*LW253)/1000</f>
        <v>568.82487479999998</v>
      </c>
      <c r="LX256" s="205">
        <f t="shared" si="5658"/>
        <v>613.49471820000008</v>
      </c>
      <c r="LY256" s="205">
        <f t="shared" si="5658"/>
        <v>654.23914919999993</v>
      </c>
      <c r="LZ256" s="205">
        <f>SUM(LV256:LY256)</f>
        <v>2396.7825028625002</v>
      </c>
      <c r="MA256" s="563"/>
      <c r="MB256" s="68" t="str">
        <f t="shared" si="4612"/>
        <v>Intermodal Revenue</v>
      </c>
      <c r="MC256" s="205">
        <f>(MC250*MC253)/1000</f>
        <v>595.78396387055216</v>
      </c>
      <c r="MD256" s="205">
        <f t="shared" ref="MD256:MF256" si="5659">(MD250*MD253)/1000</f>
        <v>604.93103372793007</v>
      </c>
      <c r="ME256" s="205">
        <f t="shared" si="5659"/>
        <v>652.43629543774512</v>
      </c>
      <c r="MF256" s="205">
        <f t="shared" si="5659"/>
        <v>695.76697919546996</v>
      </c>
      <c r="MG256" s="205">
        <f>SUM(MC256:MF256)</f>
        <v>2548.9182722316973</v>
      </c>
      <c r="MH256" s="563"/>
    </row>
    <row r="257" spans="1:346" s="37" customFormat="1" ht="13.15" x14ac:dyDescent="0.4">
      <c r="A257" s="100"/>
      <c r="B257" s="197" t="s">
        <v>516</v>
      </c>
      <c r="C257" s="186"/>
      <c r="D257" s="186"/>
      <c r="E257" s="186"/>
      <c r="F257" s="186"/>
      <c r="G257" s="186"/>
      <c r="H257" s="186"/>
      <c r="I257" s="186"/>
      <c r="J257" s="186"/>
      <c r="K257" s="186"/>
      <c r="L257" s="186"/>
      <c r="M257" s="186"/>
      <c r="N257" s="193"/>
      <c r="O257" s="198">
        <f>O256/N256-1</f>
        <v>8.8888888888888795E-2</v>
      </c>
      <c r="P257" s="198">
        <f t="shared" ref="P257:BA257" si="5660">P256/O256-1</f>
        <v>6.1224489795918435E-2</v>
      </c>
      <c r="Q257" s="198">
        <f t="shared" si="5660"/>
        <v>9.2603550295857984E-2</v>
      </c>
      <c r="R257" s="198">
        <f t="shared" si="5660"/>
        <v>7.3652856756024843E-2</v>
      </c>
      <c r="S257" s="198">
        <f t="shared" si="5660"/>
        <v>0.13745271122320313</v>
      </c>
      <c r="T257" s="198">
        <f t="shared" si="5660"/>
        <v>-0.21618625277161874</v>
      </c>
      <c r="U257" s="198">
        <f t="shared" si="5660"/>
        <v>-6.6478076379066442E-2</v>
      </c>
      <c r="V257" s="198">
        <f t="shared" si="5660"/>
        <v>1.3636363636363669E-2</v>
      </c>
      <c r="W257" s="198">
        <f t="shared" si="5660"/>
        <v>-3.1390134529147851E-2</v>
      </c>
      <c r="X257" s="198">
        <f t="shared" si="5660"/>
        <v>0.47993827160493785</v>
      </c>
      <c r="Y257" s="198">
        <f t="shared" si="5660"/>
        <v>0.21793534932221048</v>
      </c>
      <c r="Z257" s="198">
        <f t="shared" si="5660"/>
        <v>-4.7945205479451913E-2</v>
      </c>
      <c r="AA257" s="198">
        <f t="shared" si="5660"/>
        <v>6.1151079136690711E-2</v>
      </c>
      <c r="AB257" s="198">
        <f t="shared" si="5660"/>
        <v>6.525423728813573E-2</v>
      </c>
      <c r="AC257" s="198">
        <f t="shared" si="5660"/>
        <v>5.8870326173428689E-2</v>
      </c>
      <c r="AD257" s="198">
        <f t="shared" si="5660"/>
        <v>2.3290758827948954E-2</v>
      </c>
      <c r="AE257" s="198">
        <f t="shared" si="5660"/>
        <v>3.6710719530102853E-2</v>
      </c>
      <c r="AF257" s="198">
        <f t="shared" si="5660"/>
        <v>-3.966005665722383E-2</v>
      </c>
      <c r="AG257" s="198">
        <f t="shared" si="5660"/>
        <v>8.1120943952802449E-2</v>
      </c>
      <c r="AH257" s="198">
        <f t="shared" si="5660"/>
        <v>-0.17871759890859484</v>
      </c>
      <c r="AI257" s="198">
        <f t="shared" si="5660"/>
        <v>7.5581395348837122E-2</v>
      </c>
      <c r="AJ257" s="198">
        <f t="shared" si="5660"/>
        <v>0.10733590733590725</v>
      </c>
      <c r="AK257" s="198">
        <f t="shared" si="5660"/>
        <v>0.11157601115760118</v>
      </c>
      <c r="AL257" s="198">
        <f t="shared" si="5660"/>
        <v>6.4617314930991432E-2</v>
      </c>
      <c r="AM257" s="198">
        <f t="shared" si="5660"/>
        <v>5.4802592810842654E-2</v>
      </c>
      <c r="AN257" s="198">
        <f t="shared" si="5660"/>
        <v>-1.5642458100558643E-2</v>
      </c>
      <c r="AO257" s="198">
        <f t="shared" si="5660"/>
        <v>-2.0431328036322416E-2</v>
      </c>
      <c r="AP257" s="198">
        <f t="shared" si="5660"/>
        <v>4.2294322132097273E-2</v>
      </c>
      <c r="AQ257" s="198">
        <f t="shared" si="5660"/>
        <v>7.3374096720400184E-2</v>
      </c>
      <c r="AR257" s="198">
        <f t="shared" si="5660"/>
        <v>-8.8555152770585344E-2</v>
      </c>
      <c r="AS257" s="198">
        <f t="shared" si="5660"/>
        <v>-3.2954545454545348E-2</v>
      </c>
      <c r="AT257" s="198">
        <f t="shared" si="5660"/>
        <v>0.14864864864864868</v>
      </c>
      <c r="AU257" s="198">
        <f t="shared" si="5660"/>
        <v>0.17953964194373384</v>
      </c>
      <c r="AV257" s="198">
        <f t="shared" si="5660"/>
        <v>-0.10667823070251503</v>
      </c>
      <c r="AW257" s="198">
        <f t="shared" si="5660"/>
        <v>-6.3106796116505492E-3</v>
      </c>
      <c r="AX257" s="198">
        <f t="shared" si="5660"/>
        <v>1.2701514411333603E-2</v>
      </c>
      <c r="AY257" s="198">
        <f t="shared" si="5660"/>
        <v>8.7035516160154369E-2</v>
      </c>
      <c r="AZ257" s="198">
        <f t="shared" si="5660"/>
        <v>6.361778258391948E-2</v>
      </c>
      <c r="BA257" s="198">
        <f t="shared" si="5660"/>
        <v>6.347500000000017E-2</v>
      </c>
      <c r="BB257" s="198"/>
      <c r="BC257" s="198"/>
      <c r="BD257" s="198"/>
      <c r="BE257" s="198"/>
      <c r="BF257" s="198"/>
      <c r="BG257" s="198"/>
      <c r="BH257" s="198"/>
      <c r="BI257" s="198"/>
      <c r="BJ257" s="198"/>
      <c r="BK257" s="198"/>
      <c r="BL257" s="198"/>
      <c r="BM257" s="198"/>
      <c r="BO257" s="197" t="str">
        <f t="shared" si="3930"/>
        <v>YoY Change (%)</v>
      </c>
      <c r="BP257" s="193"/>
      <c r="BQ257" s="193"/>
      <c r="BR257" s="193"/>
      <c r="BS257" s="193"/>
      <c r="BT257" s="193"/>
      <c r="BV257" s="197" t="str">
        <f t="shared" si="3931"/>
        <v>YoY Change (%)</v>
      </c>
      <c r="BW257" s="198">
        <f>BW256/BP256-1</f>
        <v>2.1276595744680771E-2</v>
      </c>
      <c r="BX257" s="198">
        <f t="shared" ref="BX257" si="5661">BX256/BQ256-1</f>
        <v>0.10416666666666674</v>
      </c>
      <c r="BY257" s="198">
        <f t="shared" ref="BY257" si="5662">BY256/BR256-1</f>
        <v>8.843537414965974E-2</v>
      </c>
      <c r="BZ257" s="198">
        <f t="shared" ref="BZ257" si="5663">BZ256/BS256-1</f>
        <v>0.13725490196078427</v>
      </c>
      <c r="CA257" s="198">
        <f t="shared" ref="CA257" si="5664">CA256/BT256-1</f>
        <v>8.8888888888888795E-2</v>
      </c>
      <c r="CC257" s="197" t="str">
        <f t="shared" si="3936"/>
        <v>YoY Change (%)</v>
      </c>
      <c r="CD257" s="198">
        <f>CD256/BW256-1</f>
        <v>0.10416666666666674</v>
      </c>
      <c r="CE257" s="198">
        <f t="shared" ref="CE257" si="5665">CE256/BX256-1</f>
        <v>1.8867924528302105E-2</v>
      </c>
      <c r="CF257" s="198">
        <f t="shared" ref="CF257" si="5666">CF256/BY256-1</f>
        <v>6.25E-2</v>
      </c>
      <c r="CG257" s="198">
        <f t="shared" ref="CG257" si="5667">CG256/BZ256-1</f>
        <v>6.321839080459779E-2</v>
      </c>
      <c r="CH257" s="198">
        <f t="shared" ref="CH257" si="5668">CH256/CA256-1</f>
        <v>6.1224489795918435E-2</v>
      </c>
      <c r="CJ257" s="197" t="str">
        <f t="shared" si="3941"/>
        <v>YoY Change (%)</v>
      </c>
      <c r="CK257" s="198">
        <f>CK256/CD256-1</f>
        <v>0.1320754716981134</v>
      </c>
      <c r="CL257" s="198">
        <f t="shared" ref="CL257" si="5669">CL256/CE256-1</f>
        <v>0.11543209876543181</v>
      </c>
      <c r="CM257" s="198">
        <f t="shared" ref="CM257" si="5670">CM256/CF256-1</f>
        <v>0.11117647058823543</v>
      </c>
      <c r="CN257" s="198">
        <f t="shared" ref="CN257" si="5671">CN256/CG256-1</f>
        <v>2.1621621621621845E-2</v>
      </c>
      <c r="CO257" s="198">
        <f t="shared" ref="CO257" si="5672">CO256/CH256-1</f>
        <v>9.2603550295857984E-2</v>
      </c>
      <c r="CQ257" s="197" t="str">
        <f t="shared" si="3946"/>
        <v>YoY Change (%)</v>
      </c>
      <c r="CR257" s="198">
        <f>CR256/CK256-1</f>
        <v>2.2222222222222143E-2</v>
      </c>
      <c r="CS257" s="198">
        <f t="shared" ref="CS257" si="5673">CS256/CL256-1</f>
        <v>4.0398450470392921E-2</v>
      </c>
      <c r="CT257" s="198">
        <f t="shared" ref="CT257" si="5674">CT256/CM256-1</f>
        <v>9.05240868184225E-2</v>
      </c>
      <c r="CU257" s="198">
        <f t="shared" ref="CU257" si="5675">CU256/CN256-1</f>
        <v>0.13756613756613723</v>
      </c>
      <c r="CV257" s="198">
        <f t="shared" ref="CV257" si="5676">CV256/CO256-1</f>
        <v>7.3652856756024843E-2</v>
      </c>
      <c r="CX257" s="197" t="str">
        <f t="shared" si="3951"/>
        <v>YoY Change (%)</v>
      </c>
      <c r="CY257" s="198">
        <f>CY256/CR256-1</f>
        <v>0.14130434782608692</v>
      </c>
      <c r="CZ257" s="198">
        <f t="shared" ref="CZ257" si="5677">CZ256/CS256-1</f>
        <v>0.18617021276595724</v>
      </c>
      <c r="DA257" s="198">
        <f t="shared" ref="DA257" si="5678">DA256/CT256-1</f>
        <v>0.11650485436893199</v>
      </c>
      <c r="DB257" s="198">
        <f t="shared" ref="DB257" si="5679">DB256/CU256-1</f>
        <v>0.1116279069767443</v>
      </c>
      <c r="DC257" s="198">
        <f t="shared" ref="DC257" si="5680">DC256/CV256-1</f>
        <v>0.13745271122320313</v>
      </c>
      <c r="DE257" s="197" t="str">
        <f t="shared" si="3956"/>
        <v>YoY Change (%)</v>
      </c>
      <c r="DF257" s="198">
        <f>DF256/CY256-1</f>
        <v>-0.16190476190476188</v>
      </c>
      <c r="DG257" s="198">
        <f t="shared" ref="DG257" si="5681">DG256/CZ256-1</f>
        <v>-0.20627802690582953</v>
      </c>
      <c r="DH257" s="198">
        <f t="shared" ref="DH257" si="5682">DH256/DA256-1</f>
        <v>-0.24782608695652175</v>
      </c>
      <c r="DI257" s="198">
        <f t="shared" ref="DI257" si="5683">DI256/DB256-1</f>
        <v>-0.24267782426778228</v>
      </c>
      <c r="DJ257" s="198">
        <f t="shared" ref="DJ257" si="5684">DJ256/DC256-1</f>
        <v>-0.21618625277161874</v>
      </c>
      <c r="DL257" s="197" t="str">
        <f t="shared" si="3961"/>
        <v>YoY Change (%)</v>
      </c>
      <c r="DM257" s="198">
        <f>DM256/DF256-1</f>
        <v>-8.5227272727272929E-2</v>
      </c>
      <c r="DN257" s="198">
        <f t="shared" ref="DN257" si="5685">DN256/DG256-1</f>
        <v>-5.6497175141242972E-2</v>
      </c>
      <c r="DO257" s="198">
        <f t="shared" ref="DO257" si="5686">DO256/DH256-1</f>
        <v>-6.936416184971117E-2</v>
      </c>
      <c r="DP257" s="198">
        <f t="shared" ref="DP257" si="5687">DP256/DI256-1</f>
        <v>-5.5248618784530357E-2</v>
      </c>
      <c r="DQ257" s="198">
        <f t="shared" ref="DQ257" si="5688">DQ256/DJ256-1</f>
        <v>-6.6478076379066442E-2</v>
      </c>
      <c r="DS257" s="197" t="str">
        <f t="shared" si="3966"/>
        <v>YoY Change (%)</v>
      </c>
      <c r="DT257" s="198">
        <f>DT256/DM256-1</f>
        <v>-1.2422360248447006E-2</v>
      </c>
      <c r="DU257" s="198">
        <f t="shared" ref="DU257" si="5689">DU256/DN256-1</f>
        <v>-1.7964071856287456E-2</v>
      </c>
      <c r="DV257" s="198">
        <f t="shared" ref="DV257" si="5690">DV256/DO256-1</f>
        <v>8.0745341614907096E-2</v>
      </c>
      <c r="DW257" s="198">
        <f t="shared" ref="DW257" si="5691">DW256/DP256-1</f>
        <v>5.8479532163742132E-3</v>
      </c>
      <c r="DX257" s="198">
        <f t="shared" ref="DX257" si="5692">DX256/DQ256-1</f>
        <v>1.3636363636363669E-2</v>
      </c>
      <c r="DZ257" s="197" t="str">
        <f t="shared" si="3971"/>
        <v>YoY Change (%)</v>
      </c>
      <c r="EA257" s="198">
        <f>EA256/DT256-1</f>
        <v>0</v>
      </c>
      <c r="EB257" s="198">
        <f t="shared" ref="EB257" si="5693">EB256/DU256-1</f>
        <v>-3.6585365853658569E-2</v>
      </c>
      <c r="EC257" s="198">
        <f t="shared" ref="EC257" si="5694">EC256/DV256-1</f>
        <v>-7.4712643678161106E-2</v>
      </c>
      <c r="ED257" s="198">
        <f t="shared" ref="ED257" si="5695">ED256/DW256-1</f>
        <v>-1.1627906976744207E-2</v>
      </c>
      <c r="EE257" s="198">
        <f t="shared" ref="EE257" si="5696">EE256/DX256-1</f>
        <v>-3.1390134529147851E-2</v>
      </c>
      <c r="EG257" s="197" t="str">
        <f t="shared" si="3976"/>
        <v>YoY Change (%)</v>
      </c>
      <c r="EH257" s="198">
        <f>EH256/EA256-1</f>
        <v>6.2893081761006497E-2</v>
      </c>
      <c r="EI257" s="198">
        <f t="shared" ref="EI257" si="5697">EI256/EB256-1</f>
        <v>0.31012658227848111</v>
      </c>
      <c r="EJ257" s="198">
        <f t="shared" ref="EJ257" si="5698">EJ256/EC256-1</f>
        <v>0.78881987577639778</v>
      </c>
      <c r="EK257" s="198">
        <f t="shared" ref="EK257" si="5699">EK256/ED256-1</f>
        <v>0.73529411764705888</v>
      </c>
      <c r="EL257" s="198">
        <f t="shared" ref="EL257" si="5700">EL256/EE256-1</f>
        <v>0.47993827160493785</v>
      </c>
      <c r="EN257" s="197" t="str">
        <f t="shared" si="3981"/>
        <v>YoY Change (%)</v>
      </c>
      <c r="EO257" s="198">
        <f>EO256/EH256-1</f>
        <v>0.7041420118343189</v>
      </c>
      <c r="EP257" s="198">
        <f t="shared" ref="EP257" si="5701">EP256/EI256-1</f>
        <v>0.40579710144927539</v>
      </c>
      <c r="EQ257" s="198">
        <f t="shared" ref="EQ257" si="5702">EQ256/EJ256-1</f>
        <v>0</v>
      </c>
      <c r="ER257" s="198">
        <f t="shared" ref="ER257" si="5703">ER256/EK256-1</f>
        <v>2.0338983050847359E-2</v>
      </c>
      <c r="ES257" s="198">
        <f t="shared" ref="ES257" si="5704">ES256/EL256-1</f>
        <v>0.21793534932221048</v>
      </c>
      <c r="EU257" s="197" t="str">
        <f t="shared" si="3986"/>
        <v>YoY Change (%)</v>
      </c>
      <c r="EV257" s="198">
        <f>EV256/EO256-1</f>
        <v>-6.2499999999999667E-2</v>
      </c>
      <c r="EW257" s="198">
        <f t="shared" ref="EW257" si="5705">EW256/EP256-1</f>
        <v>-6.8728522336769737E-2</v>
      </c>
      <c r="EX257" s="198">
        <f t="shared" ref="EX257" si="5706">EX256/EQ256-1</f>
        <v>-6.9444444444444198E-3</v>
      </c>
      <c r="EY257" s="198">
        <f t="shared" ref="EY257" si="5707">EY256/ER256-1</f>
        <v>-5.3156146179401786E-2</v>
      </c>
      <c r="EZ257" s="198">
        <f t="shared" ref="EZ257" si="5708">EZ256/ES256-1</f>
        <v>-4.7945205479451913E-2</v>
      </c>
      <c r="FB257" s="197" t="str">
        <f t="shared" si="3991"/>
        <v>YoY Change (%)</v>
      </c>
      <c r="FC257" s="198">
        <f>FC256/EV256-1</f>
        <v>-2.9629629629629672E-2</v>
      </c>
      <c r="FD257" s="198">
        <f t="shared" ref="FD257" si="5709">FD256/EW256-1</f>
        <v>9.2250922509225175E-2</v>
      </c>
      <c r="FE257" s="198">
        <f t="shared" ref="FE257" si="5710">FE256/EX256-1</f>
        <v>9.4405594405594595E-2</v>
      </c>
      <c r="FF257" s="198">
        <f t="shared" ref="FF257" si="5711">FF256/EY256-1</f>
        <v>8.4210526315789291E-2</v>
      </c>
      <c r="FG257" s="198">
        <f t="shared" ref="FG257" si="5712">FG256/EZ256-1</f>
        <v>6.1151079136690711E-2</v>
      </c>
      <c r="FI257" s="197" t="str">
        <f t="shared" si="3996"/>
        <v>YoY Change (%)</v>
      </c>
      <c r="FJ257" s="198">
        <f>FJ256/FC256-1</f>
        <v>0.15267175572519065</v>
      </c>
      <c r="FK257" s="198">
        <f t="shared" ref="FK257" si="5713">FK256/FD256-1</f>
        <v>6.0810810810810967E-2</v>
      </c>
      <c r="FL257" s="198">
        <f t="shared" ref="FL257" si="5714">FL256/FE256-1</f>
        <v>0</v>
      </c>
      <c r="FM257" s="198">
        <f t="shared" ref="FM257" si="5715">FM256/FF256-1</f>
        <v>6.1488673139158623E-2</v>
      </c>
      <c r="FN257" s="198">
        <f t="shared" ref="FN257" si="5716">FN256/FG256-1</f>
        <v>6.525423728813573E-2</v>
      </c>
      <c r="FP257" s="197" t="str">
        <f t="shared" si="4001"/>
        <v>YoY Change (%)</v>
      </c>
      <c r="FQ257" s="198">
        <f>FQ256/FJ256-1</f>
        <v>4.3046357615894149E-2</v>
      </c>
      <c r="FR257" s="198">
        <f t="shared" ref="FR257" si="5717">FR256/FK256-1</f>
        <v>2.8662420382165488E-2</v>
      </c>
      <c r="FS257" s="198">
        <f t="shared" ref="FS257" si="5718">FS256/FL256-1</f>
        <v>2.8753993610223683E-2</v>
      </c>
      <c r="FT257" s="198">
        <f t="shared" ref="FT257" si="5719">FT256/FM256-1</f>
        <v>0.13109756097560976</v>
      </c>
      <c r="FU257" s="198">
        <f t="shared" ref="FU257" si="5720">FU256/FN256-1</f>
        <v>5.8870326173428689E-2</v>
      </c>
      <c r="FW257" s="197" t="str">
        <f t="shared" si="4006"/>
        <v>YoY Change (%)</v>
      </c>
      <c r="FX257" s="198">
        <f>FX256/FQ256-1</f>
        <v>4.4444444444444287E-2</v>
      </c>
      <c r="FY257" s="198">
        <f t="shared" ref="FY257" si="5721">FY256/FR256-1</f>
        <v>2.1671826625387025E-2</v>
      </c>
      <c r="FZ257" s="198">
        <f t="shared" ref="FZ257" si="5722">FZ256/FS256-1</f>
        <v>4.658385093167694E-2</v>
      </c>
      <c r="GA257" s="198">
        <f t="shared" ref="GA257" si="5723">GA256/FT256-1</f>
        <v>-1.3477088948787186E-2</v>
      </c>
      <c r="GB257" s="198">
        <f t="shared" ref="GB257" si="5724">GB256/FU256-1</f>
        <v>2.3290758827948954E-2</v>
      </c>
      <c r="GD257" s="197" t="str">
        <f t="shared" si="4011"/>
        <v>YoY Change (%)</v>
      </c>
      <c r="GE257" s="198">
        <f>GE256/FX256-1</f>
        <v>1.5197568389057947E-2</v>
      </c>
      <c r="GF257" s="198">
        <f t="shared" ref="GF257" si="5725">GF256/FY256-1</f>
        <v>7.8787878787878629E-2</v>
      </c>
      <c r="GG257" s="198">
        <f t="shared" ref="GG257" si="5726">GG256/FZ256-1</f>
        <v>8.0118694362017795E-2</v>
      </c>
      <c r="GH257" s="198">
        <f t="shared" ref="GH257" si="5727">GH256/GA256-1</f>
        <v>-2.1857923497267562E-2</v>
      </c>
      <c r="GI257" s="198">
        <f t="shared" ref="GI257" si="5728">GI256/GB256-1</f>
        <v>3.6710719530102853E-2</v>
      </c>
      <c r="GK257" s="197" t="str">
        <f t="shared" si="4016"/>
        <v>YoY Change (%)</v>
      </c>
      <c r="GL257" s="198">
        <f>GL256/GE256-1</f>
        <v>-4.7904191616766512E-2</v>
      </c>
      <c r="GM257" s="198">
        <f t="shared" ref="GM257" si="5729">GM256/GF256-1</f>
        <v>-3.6516853932584081E-2</v>
      </c>
      <c r="GN257" s="198">
        <f t="shared" ref="GN257" si="5730">GN256/GG256-1</f>
        <v>-7.4175824175824134E-2</v>
      </c>
      <c r="GO257" s="198">
        <f t="shared" ref="GO257" si="5731">GO256/GH256-1</f>
        <v>0</v>
      </c>
      <c r="GP257" s="198">
        <f t="shared" ref="GP257" si="5732">GP256/GI256-1</f>
        <v>-3.966005665722383E-2</v>
      </c>
      <c r="GR257" s="197" t="str">
        <f t="shared" si="4021"/>
        <v>YoY Change (%)</v>
      </c>
      <c r="GS257" s="198">
        <f>GS256/GL256-1</f>
        <v>9.4339622641509413E-2</v>
      </c>
      <c r="GT257" s="198">
        <f t="shared" ref="GT257" si="5733">GT256/GM256-1</f>
        <v>0.12244897959183665</v>
      </c>
      <c r="GU257" s="198">
        <f t="shared" ref="GU257" si="5734">GU256/GN256-1</f>
        <v>0.18397626112759635</v>
      </c>
      <c r="GV257" s="198">
        <f t="shared" ref="GV257" si="5735">GV256/GO256-1</f>
        <v>-6.7039106145251437E-2</v>
      </c>
      <c r="GW257" s="198">
        <f t="shared" ref="GW257" si="5736">GW256/GP256-1</f>
        <v>8.1120943952802449E-2</v>
      </c>
      <c r="GY257" s="197" t="str">
        <f t="shared" si="4026"/>
        <v>YoY Change (%)</v>
      </c>
      <c r="GZ257" s="198">
        <f>GZ256/GS256-1</f>
        <v>-0.22413793103448276</v>
      </c>
      <c r="HA257" s="198">
        <f t="shared" ref="HA257" si="5737">HA256/GT256-1</f>
        <v>-0.24415584415584402</v>
      </c>
      <c r="HB257" s="198">
        <f t="shared" ref="HB257" si="5738">HB256/GU256-1</f>
        <v>-0.24060150375939848</v>
      </c>
      <c r="HC257" s="198">
        <f t="shared" ref="HC257" si="5739">HC256/GV256-1</f>
        <v>1.7964071856287234E-2</v>
      </c>
      <c r="HD257" s="198">
        <f t="shared" ref="HD257" si="5740">HD256/GW256-1</f>
        <v>-0.17871759890859484</v>
      </c>
      <c r="HF257" s="197" t="str">
        <f t="shared" si="4031"/>
        <v>YoY Change (%)</v>
      </c>
      <c r="HG257" s="198">
        <f>HG256/GZ256-1</f>
        <v>0.19629629629629619</v>
      </c>
      <c r="HH257" s="198">
        <f t="shared" ref="HH257" si="5741">HH256/HA256-1</f>
        <v>4.4673539518900629E-2</v>
      </c>
      <c r="HI257" s="198">
        <f t="shared" ref="HI257" si="5742">HI256/HB256-1</f>
        <v>4.9504950495049549E-2</v>
      </c>
      <c r="HJ257" s="198">
        <f t="shared" ref="HJ257" si="5743">HJ256/HC256-1</f>
        <v>2.941176470588247E-2</v>
      </c>
      <c r="HK257" s="198">
        <f t="shared" ref="HK257" si="5744">HK256/HD256-1</f>
        <v>7.5581395348837122E-2</v>
      </c>
      <c r="HM257" s="197" t="str">
        <f t="shared" si="4036"/>
        <v>YoY Change (%)</v>
      </c>
      <c r="HN257" s="198">
        <f>HN256/HG256-1</f>
        <v>1.2383900928792491E-2</v>
      </c>
      <c r="HO257" s="198">
        <f t="shared" ref="HO257" si="5745">HO256/HH256-1</f>
        <v>0.21381578947368407</v>
      </c>
      <c r="HP257" s="198">
        <f t="shared" ref="HP257" si="5746">HP256/HI256-1</f>
        <v>0.14150943396226423</v>
      </c>
      <c r="HQ257" s="198">
        <f t="shared" ref="HQ257" si="5747">HQ256/HJ256-1</f>
        <v>7.1428571428571397E-2</v>
      </c>
      <c r="HR257" s="198">
        <f t="shared" ref="HR257" si="5748">HR256/HK256-1</f>
        <v>0.10733590733590725</v>
      </c>
      <c r="HT257" s="197" t="str">
        <f t="shared" si="4041"/>
        <v>YoY Change (%)</v>
      </c>
      <c r="HU257" s="198">
        <f>HU256/HN256-1</f>
        <v>0.18960244648318048</v>
      </c>
      <c r="HV257" s="198">
        <f t="shared" ref="HV257" si="5749">HV256/HO256-1</f>
        <v>0.10569105691056913</v>
      </c>
      <c r="HW257" s="198">
        <f t="shared" ref="HW257" si="5750">HW256/HP256-1</f>
        <v>9.9173553719008156E-2</v>
      </c>
      <c r="HX257" s="198">
        <f t="shared" ref="HX257" si="5751">HX256/HQ256-1</f>
        <v>6.133333333333324E-2</v>
      </c>
      <c r="HY257" s="198">
        <f t="shared" ref="HY257" si="5752">HY256/HR256-1</f>
        <v>0.11157601115760118</v>
      </c>
      <c r="IA257" s="197" t="str">
        <f t="shared" si="4046"/>
        <v>YoY Change (%)</v>
      </c>
      <c r="IB257" s="198">
        <f>IB256/HU256-1</f>
        <v>3.8560411311054033E-2</v>
      </c>
      <c r="IC257" s="198">
        <f t="shared" ref="IC257" si="5753">IC256/HV256-1</f>
        <v>4.1666666666666741E-2</v>
      </c>
      <c r="ID257" s="198">
        <f t="shared" ref="ID257" si="5754">ID256/HW256-1</f>
        <v>8.020050125313305E-2</v>
      </c>
      <c r="IE257" s="198">
        <f t="shared" ref="IE257" si="5755">IE256/HX256-1</f>
        <v>9.7989949748743754E-2</v>
      </c>
      <c r="IF257" s="198">
        <f t="shared" ref="IF257" si="5756">IF256/HY256-1</f>
        <v>6.4617314930991432E-2</v>
      </c>
      <c r="IH257" s="197" t="str">
        <f t="shared" si="4051"/>
        <v>YoY Change (%)</v>
      </c>
      <c r="II257" s="198">
        <f>II256/IB256-1</f>
        <v>4.2079207920792117E-2</v>
      </c>
      <c r="IJ257" s="198">
        <f t="shared" ref="IJ257" si="5757">IJ256/IC256-1</f>
        <v>5.6470588235294272E-2</v>
      </c>
      <c r="IK257" s="198">
        <f t="shared" ref="IK257" si="5758">IK256/ID256-1</f>
        <v>5.5684454756380397E-2</v>
      </c>
      <c r="IL257" s="198">
        <f t="shared" ref="IL257" si="5759">IL256/IE256-1</f>
        <v>6.4073226544622663E-2</v>
      </c>
      <c r="IM257" s="198">
        <f t="shared" ref="IM257" si="5760">IM256/IF256-1</f>
        <v>5.4802592810842654E-2</v>
      </c>
      <c r="IO257" s="197" t="str">
        <f t="shared" si="4056"/>
        <v>YoY Change (%)</v>
      </c>
      <c r="IP257" s="198">
        <f>IP256/II256-1</f>
        <v>-1.4251781472684133E-2</v>
      </c>
      <c r="IQ257" s="198">
        <f t="shared" ref="IQ257" si="5761">IQ256/IJ256-1</f>
        <v>2.2271714922048602E-3</v>
      </c>
      <c r="IR257" s="198">
        <f t="shared" ref="IR257" si="5762">IR256/IK256-1</f>
        <v>-8.79120879120876E-3</v>
      </c>
      <c r="IS257" s="198">
        <f t="shared" ref="IS257" si="5763">IS256/IL256-1</f>
        <v>-4.0860215053763582E-2</v>
      </c>
      <c r="IT257" s="198">
        <f t="shared" ref="IT257" si="5764">IT256/IM256-1</f>
        <v>-1.5642458100558643E-2</v>
      </c>
      <c r="IV257" s="197" t="str">
        <f t="shared" si="4061"/>
        <v>YoY Change (%)</v>
      </c>
      <c r="IW257" s="198">
        <f>IW256/IP256-1</f>
        <v>-2.409638554216853E-2</v>
      </c>
      <c r="IX257" s="198">
        <f t="shared" ref="IX257" si="5765">IX256/IQ256-1</f>
        <v>-6.8888888888888888E-2</v>
      </c>
      <c r="IY257" s="198">
        <f t="shared" ref="IY257" si="5766">IY256/IR256-1</f>
        <v>-5.7649667405765048E-2</v>
      </c>
      <c r="IZ257" s="198">
        <f t="shared" ref="IZ257" si="5767">IZ256/IS256-1</f>
        <v>6.9506726457399193E-2</v>
      </c>
      <c r="JA257" s="198">
        <f t="shared" ref="JA257" si="5768">JA256/IT256-1</f>
        <v>-2.0431328036322416E-2</v>
      </c>
      <c r="JC257" s="197" t="str">
        <f t="shared" si="4066"/>
        <v>YoY Change (%)</v>
      </c>
      <c r="JD257" s="198">
        <f>JD256/IW256-1</f>
        <v>7.1604938271604857E-2</v>
      </c>
      <c r="JE257" s="198">
        <f t="shared" ref="JE257" si="5769">JE256/IX256-1</f>
        <v>6.9212410501193311E-2</v>
      </c>
      <c r="JF257" s="198">
        <f t="shared" ref="JF257" si="5770">JF256/IY256-1</f>
        <v>4.9411764705882488E-2</v>
      </c>
      <c r="JG257" s="198">
        <f t="shared" ref="JG257" si="5771">JG256/IZ256-1</f>
        <v>-1.2578616352201255E-2</v>
      </c>
      <c r="JH257" s="198">
        <f t="shared" ref="JH257" si="5772">JH256/JA256-1</f>
        <v>4.2294322132097273E-2</v>
      </c>
      <c r="JJ257" s="197" t="str">
        <f t="shared" si="4071"/>
        <v>YoY Change (%)</v>
      </c>
      <c r="JK257" s="198">
        <f>JK256/JD256-1</f>
        <v>3.4562211981566726E-2</v>
      </c>
      <c r="JL257" s="198">
        <f t="shared" ref="JL257" si="5773">JL256/JE256-1</f>
        <v>9.375E-2</v>
      </c>
      <c r="JM257" s="198">
        <f t="shared" ref="JM257" si="5774">JM256/JF256-1</f>
        <v>0.12107623318385641</v>
      </c>
      <c r="JN257" s="198">
        <f t="shared" ref="JN257" si="5775">JN256/JG256-1</f>
        <v>4.4585987261146265E-2</v>
      </c>
      <c r="JO257" s="198">
        <f t="shared" ref="JO257" si="5776">JO256/JH256-1</f>
        <v>7.3374096720400184E-2</v>
      </c>
      <c r="JQ257" s="197" t="str">
        <f t="shared" si="4076"/>
        <v>YoY Change (%)</v>
      </c>
      <c r="JR257" s="198">
        <f>JR256/JK256-1</f>
        <v>-4.6770601336302731E-2</v>
      </c>
      <c r="JS257" s="198">
        <f t="shared" ref="JS257" si="5777">JS256/JL256-1</f>
        <v>-0.11020408163265294</v>
      </c>
      <c r="JT257" s="198">
        <f t="shared" ref="JT257" si="5778">JT256/JM256-1</f>
        <v>-0.10599999999999987</v>
      </c>
      <c r="JU257" s="198">
        <f t="shared" ref="JU257" si="5779">JU256/JN256-1</f>
        <v>-8.739837398373973E-2</v>
      </c>
      <c r="JV257" s="198">
        <f t="shared" ref="JV257" si="5780">JV256/JO256-1</f>
        <v>-8.8555152770585344E-2</v>
      </c>
      <c r="JX257" s="197" t="str">
        <f t="shared" si="4081"/>
        <v>YoY Change (%)</v>
      </c>
      <c r="JY257" s="198">
        <f>JY256/JR256-1</f>
        <v>-1.4018691588784993E-2</v>
      </c>
      <c r="JZ257" s="198">
        <f t="shared" ref="JZ257" si="5781">JZ256/JS256-1</f>
        <v>-0.17660550458715596</v>
      </c>
      <c r="KA257" s="198">
        <f t="shared" ref="KA257" si="5782">KA256/JT256-1</f>
        <v>-4.4742729306487261E-3</v>
      </c>
      <c r="KB257" s="198">
        <f t="shared" ref="KB257" si="5783">KB256/JU256-1</f>
        <v>6.0133630289532336E-2</v>
      </c>
      <c r="KC257" s="198">
        <f t="shared" ref="KC257" si="5784">KC256/JV256-1</f>
        <v>-3.2954545454545348E-2</v>
      </c>
      <c r="KE257" s="197" t="str">
        <f t="shared" si="4086"/>
        <v>YoY Change (%)</v>
      </c>
      <c r="KF257" s="198">
        <f>KF256/JY256-1</f>
        <v>-9.0047393364928729E-2</v>
      </c>
      <c r="KG257" s="198">
        <f t="shared" ref="KG257" si="5785">KG256/JZ256-1</f>
        <v>0.42339832869080762</v>
      </c>
      <c r="KH257" s="198">
        <f t="shared" ref="KH257" si="5786">KH256/KA256-1</f>
        <v>0.14382022471910116</v>
      </c>
      <c r="KI257" s="198">
        <f t="shared" ref="KI257" si="5787">KI256/KB256-1</f>
        <v>0.15756302521008414</v>
      </c>
      <c r="KJ257" s="198">
        <f t="shared" ref="KJ257" si="5788">KJ256/KC256-1</f>
        <v>0.14864864864864868</v>
      </c>
      <c r="KL257" s="197" t="str">
        <f t="shared" si="4091"/>
        <v>YoY Change (%)</v>
      </c>
      <c r="KM257" s="198">
        <f>KM256/KF256-1</f>
        <v>0.37239583333333304</v>
      </c>
      <c r="KN257" s="198">
        <f t="shared" ref="KN257" si="5789">KN256/KG256-1</f>
        <v>0.17808219178082196</v>
      </c>
      <c r="KO257" s="198">
        <f t="shared" ref="KO257" si="5790">KO256/KH256-1</f>
        <v>0.18664047151277008</v>
      </c>
      <c r="KP257" s="198">
        <f t="shared" ref="KP257" si="5791">KP256/KI256-1</f>
        <v>3.9927404718693271E-2</v>
      </c>
      <c r="KQ257" s="198">
        <f t="shared" ref="KQ257" si="5792">KQ256/KJ256-1</f>
        <v>0.17953964194373384</v>
      </c>
      <c r="KS257" s="197" t="str">
        <f t="shared" si="4096"/>
        <v>YoY Change (%)</v>
      </c>
      <c r="KT257" s="198">
        <f>KT256/KM256-1</f>
        <v>-5.313092979127132E-2</v>
      </c>
      <c r="KU257" s="198">
        <f t="shared" ref="KU257" si="5793">KU256/KN256-1</f>
        <v>-0.18272425249169433</v>
      </c>
      <c r="KV257" s="198">
        <f t="shared" ref="KV257" si="5794">KV256/KO256-1</f>
        <v>-0.14403973509933754</v>
      </c>
      <c r="KW257" s="198">
        <f t="shared" ref="KW257" si="5795">KW256/KP256-1</f>
        <v>-3.6649214659685847E-2</v>
      </c>
      <c r="KX257" s="198">
        <f t="shared" ref="KX257" si="5796">KX256/KQ256-1</f>
        <v>-0.10667823070251503</v>
      </c>
      <c r="KZ257" s="197" t="str">
        <f t="shared" si="4101"/>
        <v>YoY Change (%)</v>
      </c>
      <c r="LA257" s="198">
        <f>LA256/KT256-1</f>
        <v>1.4028056112224352E-2</v>
      </c>
      <c r="LB257" s="198">
        <f>LB256/KU256-1</f>
        <v>2.8455284552845406E-2</v>
      </c>
      <c r="LC257" s="198">
        <f>LC256/KV256-1</f>
        <v>-1.5473887814313581E-2</v>
      </c>
      <c r="LD257" s="198">
        <f t="shared" ref="LD257" si="5797">LD256/KW256-1</f>
        <v>-4.7101449275362306E-2</v>
      </c>
      <c r="LE257" s="199">
        <f t="shared" ref="LE257" si="5798">LE256/KX256-1</f>
        <v>-6.3106796116506603E-3</v>
      </c>
      <c r="LF257" s="574"/>
      <c r="LG257" s="197" t="str">
        <f t="shared" si="4104"/>
        <v>YoY Change (%)</v>
      </c>
      <c r="LH257" s="198">
        <f>LH256/LA256-1</f>
        <v>-2.5691699604743046E-2</v>
      </c>
      <c r="LI257" s="198">
        <f>LI256/LB256-1</f>
        <v>-2.9644268774703608E-2</v>
      </c>
      <c r="LJ257" s="198">
        <f>LJ256/LC256-1</f>
        <v>3.5363457760314354E-2</v>
      </c>
      <c r="LK257" s="199">
        <f t="shared" ref="LK257" si="5799">LK256/LD256-1</f>
        <v>6.8441064638783189E-2</v>
      </c>
      <c r="LL257" s="199">
        <f t="shared" ref="LL257" si="5800">LL256/LE256-1</f>
        <v>1.2701514411333603E-2</v>
      </c>
      <c r="LM257" s="574"/>
      <c r="LN257" s="197" t="str">
        <f t="shared" si="4106"/>
        <v>YoY Change (%)</v>
      </c>
      <c r="LO257" s="199">
        <f>LO256/LH256-1</f>
        <v>7.1124999999999661E-2</v>
      </c>
      <c r="LP257" s="199">
        <f t="shared" ref="LP257" si="5801">LP256/LI256-1</f>
        <v>9.2000000000000082E-2</v>
      </c>
      <c r="LQ257" s="199">
        <f>LQ256/LJ256-1</f>
        <v>9.2000000000000304E-2</v>
      </c>
      <c r="LR257" s="199">
        <f t="shared" ref="LR257" si="5802">LR256/LK256-1</f>
        <v>9.199999999999986E-2</v>
      </c>
      <c r="LS257" s="199">
        <f t="shared" ref="LS257" si="5803">LS256/LL256-1</f>
        <v>8.7035516160154369E-2</v>
      </c>
      <c r="LT257" s="574"/>
      <c r="LU257" s="197" t="str">
        <f t="shared" si="4610"/>
        <v>YoY Change (%)</v>
      </c>
      <c r="LV257" s="199">
        <f>LV256/LO256-1</f>
        <v>6.0900000000000176E-2</v>
      </c>
      <c r="LW257" s="199">
        <f t="shared" ref="LW257" si="5804">LW256/LP256-1</f>
        <v>6.0899999999999954E-2</v>
      </c>
      <c r="LX257" s="199">
        <f t="shared" ref="LX257" si="5805">LX256/LQ256-1</f>
        <v>6.6049999999999942E-2</v>
      </c>
      <c r="LY257" s="199">
        <f t="shared" ref="LY257" si="5806">LY256/LR256-1</f>
        <v>6.6049999999999942E-2</v>
      </c>
      <c r="LZ257" s="199">
        <f t="shared" ref="LZ257" si="5807">LZ256/LS256-1</f>
        <v>6.361778258391948E-2</v>
      </c>
      <c r="MA257" s="574"/>
      <c r="MB257" s="197" t="str">
        <f t="shared" si="4612"/>
        <v>YoY Change (%)</v>
      </c>
      <c r="MC257" s="199">
        <f>MC256/LV256-1</f>
        <v>6.347500000000017E-2</v>
      </c>
      <c r="MD257" s="199">
        <f t="shared" ref="MD257" si="5808">MD256/LW256-1</f>
        <v>6.347500000000017E-2</v>
      </c>
      <c r="ME257" s="199">
        <f t="shared" ref="ME257" si="5809">ME256/LX256-1</f>
        <v>6.3474999999999948E-2</v>
      </c>
      <c r="MF257" s="199">
        <f t="shared" ref="MF257" si="5810">MF256/LY256-1</f>
        <v>6.3474999999999948E-2</v>
      </c>
      <c r="MG257" s="199">
        <f t="shared" ref="MG257" si="5811">MG256/LZ256-1</f>
        <v>6.3474999999999948E-2</v>
      </c>
      <c r="MH257" s="574"/>
    </row>
    <row r="258" spans="1:346" s="37" customFormat="1" ht="13.15" x14ac:dyDescent="0.4">
      <c r="A258" s="100"/>
      <c r="C258" s="186"/>
      <c r="D258" s="186"/>
      <c r="E258" s="186"/>
      <c r="F258" s="186"/>
      <c r="G258" s="186"/>
      <c r="H258" s="186"/>
      <c r="I258" s="186"/>
      <c r="J258" s="186"/>
      <c r="K258" s="186"/>
      <c r="L258" s="186"/>
      <c r="M258" s="186"/>
      <c r="N258" s="193"/>
      <c r="O258" s="193"/>
      <c r="P258" s="193"/>
      <c r="Q258" s="193"/>
      <c r="R258" s="193"/>
      <c r="S258" s="193"/>
      <c r="T258" s="193"/>
      <c r="U258" s="193"/>
      <c r="V258" s="193"/>
      <c r="W258" s="193"/>
      <c r="X258" s="193"/>
      <c r="Y258" s="193"/>
      <c r="Z258" s="193"/>
      <c r="AA258" s="193"/>
      <c r="AB258" s="193"/>
      <c r="AC258" s="193"/>
      <c r="AD258" s="193"/>
      <c r="AE258" s="193"/>
      <c r="AF258" s="193"/>
      <c r="AG258" s="193"/>
      <c r="AH258" s="193"/>
      <c r="AI258" s="193"/>
      <c r="AJ258" s="193"/>
      <c r="AK258" s="193"/>
      <c r="AL258" s="193"/>
      <c r="AM258" s="193"/>
      <c r="AN258" s="193"/>
      <c r="AO258" s="193"/>
      <c r="AP258" s="193"/>
      <c r="AQ258" s="193"/>
      <c r="AR258" s="193"/>
      <c r="AS258" s="193"/>
      <c r="AT258" s="193"/>
      <c r="AU258" s="193"/>
      <c r="AV258" s="193"/>
      <c r="AW258" s="193"/>
      <c r="AX258" s="193"/>
      <c r="AY258" s="193"/>
      <c r="AZ258" s="193"/>
      <c r="BA258" s="193"/>
      <c r="BB258" s="193"/>
      <c r="BC258" s="193"/>
      <c r="BD258" s="193"/>
      <c r="BE258" s="193"/>
      <c r="BF258" s="193"/>
      <c r="BG258" s="193"/>
      <c r="BH258" s="193"/>
      <c r="BI258" s="193"/>
      <c r="BJ258" s="193"/>
      <c r="BK258" s="193"/>
      <c r="BL258" s="193"/>
      <c r="BM258" s="193"/>
      <c r="BP258" s="193"/>
      <c r="BQ258" s="193"/>
      <c r="BR258" s="193"/>
      <c r="BS258" s="193"/>
      <c r="BT258" s="193"/>
      <c r="BW258" s="193"/>
      <c r="BX258" s="193"/>
      <c r="BY258" s="193"/>
      <c r="BZ258" s="193"/>
      <c r="CA258" s="193"/>
      <c r="CD258" s="193"/>
      <c r="CE258" s="193"/>
      <c r="CF258" s="193"/>
      <c r="CG258" s="193"/>
      <c r="CH258" s="193"/>
      <c r="CK258" s="193"/>
      <c r="CL258" s="193"/>
      <c r="CM258" s="193"/>
      <c r="CN258" s="193"/>
      <c r="CO258" s="193"/>
      <c r="CR258" s="193"/>
      <c r="CS258" s="193"/>
      <c r="CT258" s="193"/>
      <c r="CU258" s="193"/>
      <c r="CV258" s="193"/>
      <c r="CY258" s="193"/>
      <c r="CZ258" s="193"/>
      <c r="DA258" s="193"/>
      <c r="DB258" s="193"/>
      <c r="DC258" s="193"/>
      <c r="DF258" s="193"/>
      <c r="DG258" s="193"/>
      <c r="DH258" s="193"/>
      <c r="DI258" s="193"/>
      <c r="DJ258" s="193"/>
      <c r="DM258" s="193"/>
      <c r="DN258" s="193"/>
      <c r="DO258" s="193"/>
      <c r="DP258" s="193"/>
      <c r="DQ258" s="193"/>
      <c r="DT258" s="193"/>
      <c r="DU258" s="193"/>
      <c r="DV258" s="193"/>
      <c r="DW258" s="193"/>
      <c r="DX258" s="193"/>
      <c r="EA258" s="193"/>
      <c r="EB258" s="193"/>
      <c r="EC258" s="193"/>
      <c r="ED258" s="193"/>
      <c r="EE258" s="193"/>
      <c r="EH258" s="193"/>
      <c r="EI258" s="193"/>
      <c r="EJ258" s="193"/>
      <c r="EK258" s="193"/>
      <c r="EL258" s="193"/>
      <c r="EO258" s="193"/>
      <c r="EP258" s="193"/>
      <c r="EQ258" s="193"/>
      <c r="ER258" s="193"/>
      <c r="ES258" s="193"/>
      <c r="EV258" s="193"/>
      <c r="EW258" s="193"/>
      <c r="EX258" s="193"/>
      <c r="EY258" s="193"/>
      <c r="EZ258" s="193"/>
      <c r="FC258" s="193"/>
      <c r="FD258" s="193"/>
      <c r="FE258" s="193"/>
      <c r="FF258" s="193"/>
      <c r="FG258" s="193"/>
      <c r="FJ258" s="193"/>
      <c r="FK258" s="193"/>
      <c r="FL258" s="193"/>
      <c r="FM258" s="193"/>
      <c r="FN258" s="193"/>
      <c r="FQ258" s="193"/>
      <c r="FR258" s="193"/>
      <c r="FS258" s="193"/>
      <c r="FT258" s="193"/>
      <c r="FU258" s="193"/>
      <c r="FX258" s="193"/>
      <c r="FY258" s="193"/>
      <c r="FZ258" s="193"/>
      <c r="GA258" s="193"/>
      <c r="GB258" s="193"/>
      <c r="GE258" s="193"/>
      <c r="GF258" s="193"/>
      <c r="GG258" s="193"/>
      <c r="GH258" s="193"/>
      <c r="GI258" s="193"/>
      <c r="GL258" s="193"/>
      <c r="GM258" s="193"/>
      <c r="GN258" s="193"/>
      <c r="GO258" s="193"/>
      <c r="GP258" s="193"/>
      <c r="GS258" s="193"/>
      <c r="GT258" s="193"/>
      <c r="GU258" s="193"/>
      <c r="GV258" s="193"/>
      <c r="GW258" s="193"/>
      <c r="GZ258" s="193"/>
      <c r="HA258" s="193"/>
      <c r="HB258" s="193"/>
      <c r="HC258" s="193"/>
      <c r="HD258" s="193"/>
      <c r="HG258" s="193"/>
      <c r="HH258" s="193"/>
      <c r="HI258" s="193"/>
      <c r="HJ258" s="193"/>
      <c r="HK258" s="193"/>
      <c r="HN258" s="193"/>
      <c r="HO258" s="193"/>
      <c r="HP258" s="193"/>
      <c r="HQ258" s="193"/>
      <c r="HR258" s="193"/>
      <c r="HU258" s="193"/>
      <c r="HV258" s="193"/>
      <c r="HW258" s="193"/>
      <c r="HX258" s="193"/>
      <c r="HY258" s="193"/>
      <c r="IB258" s="193"/>
      <c r="IC258" s="193"/>
      <c r="ID258" s="193"/>
      <c r="IE258" s="193"/>
      <c r="IF258" s="193"/>
      <c r="II258" s="193"/>
      <c r="IJ258" s="193"/>
      <c r="IK258" s="193"/>
      <c r="IL258" s="193"/>
      <c r="IM258" s="193"/>
      <c r="IP258" s="193"/>
      <c r="IQ258" s="193"/>
      <c r="IR258" s="193"/>
      <c r="IS258" s="193"/>
      <c r="IT258" s="193"/>
      <c r="IW258" s="193"/>
      <c r="IX258" s="193"/>
      <c r="IY258" s="193"/>
      <c r="IZ258" s="193"/>
      <c r="JA258" s="193"/>
      <c r="JD258" s="193"/>
      <c r="JE258" s="193"/>
      <c r="JF258" s="193"/>
      <c r="JG258" s="193"/>
      <c r="JH258" s="193"/>
      <c r="JK258" s="193"/>
      <c r="JL258" s="193"/>
      <c r="JM258" s="193"/>
      <c r="JN258" s="193"/>
      <c r="JO258" s="193"/>
      <c r="JR258" s="193"/>
      <c r="JS258" s="193"/>
      <c r="JT258" s="193"/>
      <c r="JU258" s="193"/>
      <c r="JV258" s="193"/>
      <c r="JY258" s="193"/>
      <c r="JZ258" s="193"/>
      <c r="KA258" s="193"/>
      <c r="KB258" s="193"/>
      <c r="KC258" s="193"/>
      <c r="KF258" s="193"/>
      <c r="KG258" s="193"/>
      <c r="KH258" s="193"/>
      <c r="KI258" s="193"/>
      <c r="KJ258" s="193"/>
      <c r="KM258" s="193"/>
      <c r="KN258" s="193"/>
      <c r="KO258" s="193"/>
      <c r="KP258" s="193"/>
      <c r="KQ258" s="193"/>
      <c r="KT258" s="193"/>
      <c r="KU258" s="193"/>
      <c r="KV258" s="193"/>
      <c r="KW258" s="193"/>
      <c r="KX258" s="193"/>
      <c r="LA258" s="193"/>
      <c r="LB258" s="193"/>
      <c r="LC258" s="193"/>
      <c r="LD258" s="193"/>
      <c r="LE258" s="193"/>
      <c r="LF258" s="555"/>
      <c r="LH258" s="193"/>
      <c r="LI258" s="193"/>
      <c r="LJ258" s="193"/>
      <c r="LK258" s="192"/>
      <c r="LL258" s="193"/>
      <c r="LM258" s="555"/>
      <c r="LO258" s="192"/>
      <c r="LP258" s="192"/>
      <c r="LQ258" s="192"/>
      <c r="LR258" s="192"/>
      <c r="LS258" s="193"/>
      <c r="LT258" s="555"/>
      <c r="LV258" s="192"/>
      <c r="LW258" s="192"/>
      <c r="LX258" s="192"/>
      <c r="LY258" s="192"/>
      <c r="LZ258" s="193"/>
      <c r="MA258" s="555"/>
      <c r="MC258" s="192"/>
      <c r="MD258" s="192"/>
      <c r="ME258" s="192"/>
      <c r="MF258" s="192"/>
      <c r="MG258" s="193"/>
      <c r="MH258" s="555"/>
    </row>
    <row r="259" spans="1:346" s="37" customFormat="1" ht="13.15" x14ac:dyDescent="0.4">
      <c r="A259" s="100"/>
      <c r="B259" s="206" t="s">
        <v>147</v>
      </c>
      <c r="C259" s="186"/>
      <c r="D259" s="186"/>
      <c r="E259" s="186"/>
      <c r="F259" s="186"/>
      <c r="G259" s="186"/>
      <c r="H259" s="186"/>
      <c r="I259" s="186"/>
      <c r="J259" s="186"/>
      <c r="K259" s="186"/>
      <c r="L259" s="186"/>
      <c r="M259" s="186"/>
      <c r="N259" s="193"/>
      <c r="O259" s="193"/>
      <c r="P259" s="193"/>
      <c r="Q259" s="193"/>
      <c r="R259" s="193"/>
      <c r="S259" s="193"/>
      <c r="T259" s="193"/>
      <c r="U259" s="193"/>
      <c r="V259" s="193"/>
      <c r="W259" s="193"/>
      <c r="X259" s="193"/>
      <c r="Y259" s="193"/>
      <c r="Z259" s="193"/>
      <c r="AA259" s="193"/>
      <c r="AB259" s="193"/>
      <c r="AC259" s="193"/>
      <c r="AD259" s="193"/>
      <c r="AE259" s="193"/>
      <c r="AF259" s="193"/>
      <c r="AG259" s="193"/>
      <c r="AH259" s="193"/>
      <c r="AI259" s="193"/>
      <c r="AJ259" s="193"/>
      <c r="AK259" s="193"/>
      <c r="AL259" s="193"/>
      <c r="AM259" s="193"/>
      <c r="AN259" s="193"/>
      <c r="AO259" s="193"/>
      <c r="AP259" s="193"/>
      <c r="AQ259" s="193"/>
      <c r="AR259" s="193"/>
      <c r="AS259" s="193"/>
      <c r="AT259" s="193"/>
      <c r="AU259" s="193"/>
      <c r="AV259" s="193"/>
      <c r="AW259" s="193"/>
      <c r="AX259" s="193"/>
      <c r="AY259" s="193"/>
      <c r="AZ259" s="193"/>
      <c r="BA259" s="193"/>
      <c r="BB259" s="193"/>
      <c r="BC259" s="193"/>
      <c r="BD259" s="193"/>
      <c r="BE259" s="193"/>
      <c r="BF259" s="193"/>
      <c r="BG259" s="193"/>
      <c r="BH259" s="193"/>
      <c r="BI259" s="193"/>
      <c r="BJ259" s="193"/>
      <c r="BK259" s="193"/>
      <c r="BL259" s="193"/>
      <c r="BM259" s="193"/>
      <c r="BO259" s="206" t="str">
        <f t="shared" si="3930"/>
        <v>Coal</v>
      </c>
      <c r="BP259" s="193"/>
      <c r="BQ259" s="193"/>
      <c r="BR259" s="193"/>
      <c r="BS259" s="193"/>
      <c r="BT259" s="193"/>
      <c r="BV259" s="206" t="str">
        <f t="shared" si="3931"/>
        <v>Coal</v>
      </c>
      <c r="BW259" s="193"/>
      <c r="BX259" s="193"/>
      <c r="BY259" s="193"/>
      <c r="BZ259" s="193"/>
      <c r="CA259" s="193"/>
      <c r="CC259" s="206" t="str">
        <f t="shared" si="3936"/>
        <v>Coal</v>
      </c>
      <c r="CD259" s="193"/>
      <c r="CE259" s="193"/>
      <c r="CF259" s="193"/>
      <c r="CG259" s="193"/>
      <c r="CH259" s="193"/>
      <c r="CJ259" s="206" t="str">
        <f t="shared" si="3941"/>
        <v>Coal</v>
      </c>
      <c r="CK259" s="193"/>
      <c r="CL259" s="193"/>
      <c r="CM259" s="193"/>
      <c r="CN259" s="193"/>
      <c r="CO259" s="193"/>
      <c r="CQ259" s="206" t="str">
        <f t="shared" si="3946"/>
        <v>Coal</v>
      </c>
      <c r="CR259" s="193"/>
      <c r="CS259" s="193"/>
      <c r="CT259" s="193"/>
      <c r="CU259" s="193"/>
      <c r="CV259" s="193"/>
      <c r="CX259" s="206" t="str">
        <f t="shared" si="3951"/>
        <v>Coal</v>
      </c>
      <c r="CY259" s="193"/>
      <c r="CZ259" s="193"/>
      <c r="DA259" s="193"/>
      <c r="DB259" s="193"/>
      <c r="DC259" s="193"/>
      <c r="DE259" s="206" t="str">
        <f t="shared" si="3956"/>
        <v>Coal</v>
      </c>
      <c r="DF259" s="193"/>
      <c r="DG259" s="193"/>
      <c r="DH259" s="193"/>
      <c r="DI259" s="193"/>
      <c r="DJ259" s="193"/>
      <c r="DL259" s="206" t="str">
        <f t="shared" si="3961"/>
        <v>Coal</v>
      </c>
      <c r="DM259" s="193"/>
      <c r="DN259" s="193"/>
      <c r="DO259" s="193"/>
      <c r="DP259" s="193"/>
      <c r="DQ259" s="193"/>
      <c r="DS259" s="206" t="str">
        <f t="shared" si="3966"/>
        <v>Coal</v>
      </c>
      <c r="DT259" s="193"/>
      <c r="DU259" s="193"/>
      <c r="DV259" s="193"/>
      <c r="DW259" s="193"/>
      <c r="DX259" s="193"/>
      <c r="DZ259" s="206" t="str">
        <f t="shared" si="3971"/>
        <v>Coal</v>
      </c>
      <c r="EA259" s="193"/>
      <c r="EB259" s="193"/>
      <c r="EC259" s="193"/>
      <c r="ED259" s="193"/>
      <c r="EE259" s="193"/>
      <c r="EG259" s="206" t="str">
        <f t="shared" si="3976"/>
        <v>Coal</v>
      </c>
      <c r="EH259" s="193"/>
      <c r="EI259" s="193"/>
      <c r="EJ259" s="193"/>
      <c r="EK259" s="193"/>
      <c r="EL259" s="193"/>
      <c r="EN259" s="206" t="str">
        <f t="shared" si="3981"/>
        <v>Coal</v>
      </c>
      <c r="EO259" s="193"/>
      <c r="EP259" s="193"/>
      <c r="EQ259" s="193"/>
      <c r="ER259" s="193"/>
      <c r="ES259" s="193"/>
      <c r="EU259" s="206" t="str">
        <f t="shared" si="3986"/>
        <v>Coal</v>
      </c>
      <c r="EV259" s="193"/>
      <c r="EW259" s="193"/>
      <c r="EX259" s="193"/>
      <c r="EY259" s="193"/>
      <c r="EZ259" s="193"/>
      <c r="FB259" s="206" t="str">
        <f t="shared" si="3991"/>
        <v>Coal</v>
      </c>
      <c r="FC259" s="193"/>
      <c r="FD259" s="193"/>
      <c r="FE259" s="193"/>
      <c r="FF259" s="193"/>
      <c r="FG259" s="193"/>
      <c r="FI259" s="206" t="str">
        <f t="shared" si="3996"/>
        <v>Coal</v>
      </c>
      <c r="FJ259" s="193"/>
      <c r="FK259" s="193"/>
      <c r="FL259" s="193"/>
      <c r="FM259" s="193"/>
      <c r="FN259" s="193"/>
      <c r="FP259" s="206" t="str">
        <f t="shared" si="4001"/>
        <v>Coal</v>
      </c>
      <c r="FQ259" s="193"/>
      <c r="FR259" s="193"/>
      <c r="FS259" s="193"/>
      <c r="FT259" s="193"/>
      <c r="FU259" s="193"/>
      <c r="FW259" s="206" t="str">
        <f t="shared" si="4006"/>
        <v>Coal</v>
      </c>
      <c r="FX259" s="193"/>
      <c r="FY259" s="193"/>
      <c r="FZ259" s="193"/>
      <c r="GA259" s="193"/>
      <c r="GB259" s="193"/>
      <c r="GD259" s="206" t="str">
        <f t="shared" si="4011"/>
        <v>Coal</v>
      </c>
      <c r="GE259" s="193"/>
      <c r="GF259" s="193"/>
      <c r="GG259" s="193"/>
      <c r="GH259" s="193"/>
      <c r="GI259" s="193"/>
      <c r="GK259" s="206" t="str">
        <f t="shared" si="4016"/>
        <v>Coal</v>
      </c>
      <c r="GL259" s="193"/>
      <c r="GM259" s="193"/>
      <c r="GN259" s="193"/>
      <c r="GO259" s="193"/>
      <c r="GP259" s="193"/>
      <c r="GR259" s="206" t="str">
        <f t="shared" si="4021"/>
        <v>Coal</v>
      </c>
      <c r="GS259" s="193"/>
      <c r="GT259" s="193"/>
      <c r="GU259" s="193"/>
      <c r="GV259" s="193"/>
      <c r="GW259" s="193"/>
      <c r="GY259" s="206" t="str">
        <f t="shared" si="4026"/>
        <v>Coal</v>
      </c>
      <c r="GZ259" s="193"/>
      <c r="HA259" s="193"/>
      <c r="HB259" s="193"/>
      <c r="HC259" s="193"/>
      <c r="HD259" s="193"/>
      <c r="HF259" s="206" t="str">
        <f t="shared" si="4031"/>
        <v>Coal</v>
      </c>
      <c r="HG259" s="193"/>
      <c r="HH259" s="193"/>
      <c r="HI259" s="193"/>
      <c r="HJ259" s="193"/>
      <c r="HK259" s="193"/>
      <c r="HM259" s="206" t="str">
        <f t="shared" si="4036"/>
        <v>Coal</v>
      </c>
      <c r="HN259" s="193"/>
      <c r="HO259" s="193"/>
      <c r="HP259" s="193"/>
      <c r="HQ259" s="193"/>
      <c r="HR259" s="193"/>
      <c r="HT259" s="206" t="str">
        <f t="shared" si="4041"/>
        <v>Coal</v>
      </c>
      <c r="HU259" s="193"/>
      <c r="HV259" s="193"/>
      <c r="HW259" s="193"/>
      <c r="HX259" s="193"/>
      <c r="HY259" s="193"/>
      <c r="IA259" s="206" t="str">
        <f t="shared" si="4046"/>
        <v>Coal</v>
      </c>
      <c r="IB259" s="193"/>
      <c r="IC259" s="193"/>
      <c r="ID259" s="193"/>
      <c r="IE259" s="193"/>
      <c r="IF259" s="193"/>
      <c r="IH259" s="206" t="str">
        <f t="shared" si="4051"/>
        <v>Coal</v>
      </c>
      <c r="II259" s="193"/>
      <c r="IJ259" s="193"/>
      <c r="IK259" s="193"/>
      <c r="IL259" s="193"/>
      <c r="IM259" s="193"/>
      <c r="IO259" s="206" t="str">
        <f t="shared" si="4056"/>
        <v>Coal</v>
      </c>
      <c r="IP259" s="193"/>
      <c r="IQ259" s="193"/>
      <c r="IR259" s="193"/>
      <c r="IS259" s="193"/>
      <c r="IT259" s="193"/>
      <c r="IV259" s="206" t="str">
        <f t="shared" si="4061"/>
        <v>Coal</v>
      </c>
      <c r="IW259" s="193"/>
      <c r="IX259" s="193"/>
      <c r="IY259" s="193"/>
      <c r="IZ259" s="193"/>
      <c r="JA259" s="193"/>
      <c r="JC259" s="206" t="str">
        <f t="shared" si="4066"/>
        <v>Coal</v>
      </c>
      <c r="JD259" s="193"/>
      <c r="JE259" s="193"/>
      <c r="JF259" s="193"/>
      <c r="JG259" s="193"/>
      <c r="JH259" s="193"/>
      <c r="JJ259" s="206" t="str">
        <f t="shared" si="4071"/>
        <v>Coal</v>
      </c>
      <c r="JK259" s="193"/>
      <c r="JL259" s="193"/>
      <c r="JM259" s="193"/>
      <c r="JN259" s="193"/>
      <c r="JO259" s="193"/>
      <c r="JQ259" s="206" t="str">
        <f t="shared" si="4076"/>
        <v>Coal</v>
      </c>
      <c r="JR259" s="193"/>
      <c r="JS259" s="193"/>
      <c r="JT259" s="193"/>
      <c r="JU259" s="193"/>
      <c r="JV259" s="193"/>
      <c r="JX259" s="206" t="str">
        <f t="shared" si="4081"/>
        <v>Coal</v>
      </c>
      <c r="JY259" s="193"/>
      <c r="JZ259" s="193"/>
      <c r="KA259" s="193"/>
      <c r="KB259" s="193"/>
      <c r="KC259" s="193"/>
      <c r="KE259" s="206" t="str">
        <f t="shared" si="4086"/>
        <v>Coal</v>
      </c>
      <c r="KF259" s="193"/>
      <c r="KG259" s="193"/>
      <c r="KH259" s="193"/>
      <c r="KI259" s="193"/>
      <c r="KJ259" s="193"/>
      <c r="KL259" s="206" t="str">
        <f t="shared" si="4091"/>
        <v>Coal</v>
      </c>
      <c r="KM259" s="193"/>
      <c r="KN259" s="193"/>
      <c r="KO259" s="193"/>
      <c r="KP259" s="193"/>
      <c r="KQ259" s="193"/>
      <c r="KS259" s="206" t="str">
        <f t="shared" si="4096"/>
        <v>Coal</v>
      </c>
      <c r="KT259" s="193"/>
      <c r="KU259" s="193"/>
      <c r="KV259" s="193"/>
      <c r="KW259" s="193"/>
      <c r="KX259" s="193"/>
      <c r="KZ259" s="206" t="str">
        <f t="shared" si="4101"/>
        <v>Coal</v>
      </c>
      <c r="LA259" s="193"/>
      <c r="LB259" s="193"/>
      <c r="LC259" s="193"/>
      <c r="LD259" s="193"/>
      <c r="LE259" s="193"/>
      <c r="LF259" s="555"/>
      <c r="LG259" s="206" t="str">
        <f t="shared" si="4104"/>
        <v>Coal</v>
      </c>
      <c r="LH259" s="198"/>
      <c r="LI259" s="198"/>
      <c r="LJ259" s="198"/>
      <c r="LK259" s="198"/>
      <c r="LL259" s="193"/>
      <c r="LM259" s="555"/>
      <c r="LN259" s="68" t="str">
        <f>$B259</f>
        <v>Coal</v>
      </c>
      <c r="LO259" s="198">
        <f>LO260/LK260-1</f>
        <v>-2.1215469613259708E-2</v>
      </c>
      <c r="LP259" s="198">
        <f>LP260/LO260-1</f>
        <v>4.2108828177918278E-2</v>
      </c>
      <c r="LQ259" s="198">
        <f>LQ260/LP260-1</f>
        <v>2.1557794388473495E-2</v>
      </c>
      <c r="LR259" s="198">
        <f>LR260/LQ260-1</f>
        <v>-1.6304347826087029E-2</v>
      </c>
      <c r="LS259" s="193"/>
      <c r="LT259" s="555"/>
      <c r="LU259" s="68" t="str">
        <f>$B259</f>
        <v>Coal</v>
      </c>
      <c r="LV259" s="198">
        <f>LV260/LR260-1</f>
        <v>-4.9862821722139739E-2</v>
      </c>
      <c r="LW259" s="198">
        <f>LW260/LV260-1</f>
        <v>4.7345555957706731E-2</v>
      </c>
      <c r="LX259" s="198">
        <f>LX260/LW260-1</f>
        <v>1.6450005416531077E-2</v>
      </c>
      <c r="LY259" s="198">
        <f>LY260/LX260-1</f>
        <v>-1.6304347826087029E-2</v>
      </c>
      <c r="LZ259" s="193"/>
      <c r="MA259" s="555"/>
      <c r="MB259" s="68" t="str">
        <f>$B259</f>
        <v>Coal</v>
      </c>
      <c r="MC259" s="198">
        <f>MC260/LY260-1</f>
        <v>-5.2250101064546417E-2</v>
      </c>
      <c r="MD259" s="198">
        <f>MD260/MC260-1</f>
        <v>4.7345555957706731E-2</v>
      </c>
      <c r="ME259" s="198">
        <f>ME260/MD260-1</f>
        <v>1.6450005416531299E-2</v>
      </c>
      <c r="MF259" s="198">
        <f>MF260/ME260-1</f>
        <v>-1.6304347826087029E-2</v>
      </c>
      <c r="MG259" s="193"/>
      <c r="MH259" s="555"/>
    </row>
    <row r="260" spans="1:346" s="37" customFormat="1" ht="13.15" x14ac:dyDescent="0.4">
      <c r="A260" s="100"/>
      <c r="B260" s="37" t="s">
        <v>342</v>
      </c>
      <c r="C260" s="186"/>
      <c r="D260" s="186"/>
      <c r="E260" s="186"/>
      <c r="F260" s="186"/>
      <c r="G260" s="186"/>
      <c r="H260" s="186"/>
      <c r="I260" s="186"/>
      <c r="J260" s="186"/>
      <c r="K260" s="186"/>
      <c r="L260" s="186"/>
      <c r="M260" s="186"/>
      <c r="N260" s="194">
        <f t="shared" ref="N260:AY260" si="5812">N86</f>
        <v>1907</v>
      </c>
      <c r="O260" s="194">
        <f t="shared" si="5812"/>
        <v>1948</v>
      </c>
      <c r="P260" s="194">
        <f t="shared" si="5812"/>
        <v>1794</v>
      </c>
      <c r="Q260" s="194">
        <f t="shared" si="5812"/>
        <v>1760</v>
      </c>
      <c r="R260" s="194">
        <f t="shared" si="5812"/>
        <v>1566</v>
      </c>
      <c r="S260" s="194">
        <f t="shared" si="5812"/>
        <v>1678</v>
      </c>
      <c r="T260" s="194">
        <f t="shared" si="5812"/>
        <v>1678</v>
      </c>
      <c r="U260" s="194">
        <f t="shared" si="5812"/>
        <v>1711</v>
      </c>
      <c r="V260" s="194">
        <f t="shared" si="5812"/>
        <v>1714</v>
      </c>
      <c r="W260" s="194">
        <f t="shared" si="5812"/>
        <v>1651</v>
      </c>
      <c r="X260" s="194">
        <f t="shared" si="5812"/>
        <v>1614</v>
      </c>
      <c r="Y260" s="194">
        <f t="shared" si="5812"/>
        <v>1660</v>
      </c>
      <c r="Z260" s="194">
        <f t="shared" si="5812"/>
        <v>1722</v>
      </c>
      <c r="AA260" s="194">
        <f t="shared" si="5812"/>
        <v>1574</v>
      </c>
      <c r="AB260" s="194">
        <f t="shared" si="5812"/>
        <v>1570</v>
      </c>
      <c r="AC260" s="194">
        <f t="shared" si="5812"/>
        <v>1659</v>
      </c>
      <c r="AD260" s="194">
        <f t="shared" si="5812"/>
        <v>1726</v>
      </c>
      <c r="AE260" s="194">
        <f t="shared" si="5812"/>
        <v>1798</v>
      </c>
      <c r="AF260" s="194">
        <f t="shared" si="5812"/>
        <v>1771</v>
      </c>
      <c r="AG260" s="194">
        <f t="shared" si="5812"/>
        <v>1779</v>
      </c>
      <c r="AH260" s="194">
        <f t="shared" si="5812"/>
        <v>1506</v>
      </c>
      <c r="AI260" s="194">
        <f t="shared" si="5812"/>
        <v>1573</v>
      </c>
      <c r="AJ260" s="194">
        <f t="shared" si="5812"/>
        <v>1533</v>
      </c>
      <c r="AK260" s="194">
        <f t="shared" si="5812"/>
        <v>1290</v>
      </c>
      <c r="AL260" s="194">
        <f t="shared" si="5812"/>
        <v>1195</v>
      </c>
      <c r="AM260" s="194">
        <f t="shared" si="5812"/>
        <v>1262</v>
      </c>
      <c r="AN260" s="194">
        <f t="shared" si="5812"/>
        <v>1063</v>
      </c>
      <c r="AO260" s="194">
        <f t="shared" si="5812"/>
        <v>838</v>
      </c>
      <c r="AP260" s="194">
        <f t="shared" si="5812"/>
        <v>855</v>
      </c>
      <c r="AQ260" s="194">
        <f t="shared" si="5812"/>
        <v>887</v>
      </c>
      <c r="AR260" s="194">
        <f t="shared" si="5812"/>
        <v>843</v>
      </c>
      <c r="AS260" s="194">
        <f t="shared" si="5812"/>
        <v>637</v>
      </c>
      <c r="AT260" s="194">
        <f t="shared" si="5812"/>
        <v>706</v>
      </c>
      <c r="AU260" s="194">
        <f t="shared" si="5812"/>
        <v>697</v>
      </c>
      <c r="AV260" s="194">
        <f t="shared" si="5812"/>
        <v>755</v>
      </c>
      <c r="AW260" s="194">
        <f t="shared" si="5812"/>
        <v>736</v>
      </c>
      <c r="AX260" s="194">
        <f t="shared" si="5812"/>
        <v>718</v>
      </c>
      <c r="AY260" s="194">
        <f t="shared" si="5812"/>
        <v>735.90499999999997</v>
      </c>
      <c r="AZ260" s="194">
        <f t="shared" ref="AZ260:BA260" si="5813">AZ86</f>
        <v>733.14857499999994</v>
      </c>
      <c r="BA260" s="194">
        <f t="shared" si="5813"/>
        <v>727.64996068749997</v>
      </c>
      <c r="BB260" s="194"/>
      <c r="BC260" s="194"/>
      <c r="BD260" s="194"/>
      <c r="BE260" s="194"/>
      <c r="BF260" s="194"/>
      <c r="BG260" s="194"/>
      <c r="BH260" s="194"/>
      <c r="BI260" s="194"/>
      <c r="BJ260" s="194"/>
      <c r="BK260" s="194"/>
      <c r="BL260" s="194"/>
      <c r="BM260" s="194"/>
      <c r="BO260" s="37" t="str">
        <f t="shared" si="3930"/>
        <v>Carloads (000s)</v>
      </c>
      <c r="BP260" s="195">
        <f>BP86</f>
        <v>486</v>
      </c>
      <c r="BQ260" s="195">
        <f>BQ86</f>
        <v>489</v>
      </c>
      <c r="BR260" s="195">
        <f>BR86</f>
        <v>460</v>
      </c>
      <c r="BS260" s="195">
        <f>BS86</f>
        <v>472</v>
      </c>
      <c r="BT260" s="195">
        <f>BT86</f>
        <v>1907</v>
      </c>
      <c r="BV260" s="37" t="str">
        <f t="shared" si="3931"/>
        <v>Carloads (000s)</v>
      </c>
      <c r="BW260" s="195">
        <f>BW86</f>
        <v>499</v>
      </c>
      <c r="BX260" s="195">
        <f>BX86</f>
        <v>499</v>
      </c>
      <c r="BY260" s="195">
        <f>BY86</f>
        <v>479</v>
      </c>
      <c r="BZ260" s="195">
        <f>BZ86</f>
        <v>471</v>
      </c>
      <c r="CA260" s="195">
        <f>CA86</f>
        <v>1948</v>
      </c>
      <c r="CC260" s="37" t="str">
        <f t="shared" si="3936"/>
        <v>Carloads (000s)</v>
      </c>
      <c r="CD260" s="195">
        <f>CD86</f>
        <v>441</v>
      </c>
      <c r="CE260" s="195">
        <f>CE86</f>
        <v>434</v>
      </c>
      <c r="CF260" s="195">
        <f>CF86</f>
        <v>463</v>
      </c>
      <c r="CG260" s="195">
        <f>CG86</f>
        <v>456</v>
      </c>
      <c r="CH260" s="195">
        <f>CH86</f>
        <v>1794</v>
      </c>
      <c r="CJ260" s="37" t="str">
        <f t="shared" si="3941"/>
        <v>Carloads (000s)</v>
      </c>
      <c r="CK260" s="195">
        <f>CK86</f>
        <v>442</v>
      </c>
      <c r="CL260" s="195">
        <f>CL86</f>
        <v>434</v>
      </c>
      <c r="CM260" s="195">
        <f>CM86</f>
        <v>443</v>
      </c>
      <c r="CN260" s="195">
        <f>CN86</f>
        <v>441</v>
      </c>
      <c r="CO260" s="195">
        <f>CO86</f>
        <v>1760</v>
      </c>
      <c r="CQ260" s="37" t="str">
        <f t="shared" si="3946"/>
        <v>Carloads (000s)</v>
      </c>
      <c r="CR260" s="195">
        <f>CR86</f>
        <v>394</v>
      </c>
      <c r="CS260" s="195">
        <f>CS86</f>
        <v>406</v>
      </c>
      <c r="CT260" s="195">
        <f>CT86</f>
        <v>391</v>
      </c>
      <c r="CU260" s="195">
        <f>CU86</f>
        <v>375</v>
      </c>
      <c r="CV260" s="195">
        <f>CV86</f>
        <v>1566</v>
      </c>
      <c r="CX260" s="37" t="str">
        <f t="shared" si="3951"/>
        <v>Carloads (000s)</v>
      </c>
      <c r="CY260" s="195">
        <f>CY86</f>
        <v>396</v>
      </c>
      <c r="CZ260" s="195">
        <f>CZ86</f>
        <v>421</v>
      </c>
      <c r="DA260" s="195">
        <f>DA86</f>
        <v>430</v>
      </c>
      <c r="DB260" s="195">
        <f>DB86</f>
        <v>431</v>
      </c>
      <c r="DC260" s="195">
        <f>DC86</f>
        <v>1678</v>
      </c>
      <c r="DE260" s="37" t="str">
        <f t="shared" si="3956"/>
        <v>Carloads (000s)</v>
      </c>
      <c r="DF260" s="195">
        <f>DF86</f>
        <v>414</v>
      </c>
      <c r="DG260" s="195">
        <f>DG86</f>
        <v>420</v>
      </c>
      <c r="DH260" s="195">
        <f>DH86</f>
        <v>423</v>
      </c>
      <c r="DI260" s="195">
        <f>DI86</f>
        <v>421</v>
      </c>
      <c r="DJ260" s="195">
        <f>DJ86</f>
        <v>1678</v>
      </c>
      <c r="DL260" s="37" t="str">
        <f t="shared" si="3961"/>
        <v>Carloads (000s)</v>
      </c>
      <c r="DM260" s="195">
        <f>DM86</f>
        <v>402</v>
      </c>
      <c r="DN260" s="195">
        <f>DN86</f>
        <v>434</v>
      </c>
      <c r="DO260" s="195">
        <f>DO86</f>
        <v>433</v>
      </c>
      <c r="DP260" s="195">
        <f>DP86</f>
        <v>442</v>
      </c>
      <c r="DQ260" s="195">
        <f>DQ86</f>
        <v>1711</v>
      </c>
      <c r="DS260" s="37" t="str">
        <f t="shared" si="3966"/>
        <v>Carloads (000s)</v>
      </c>
      <c r="DT260" s="195">
        <f>DT86</f>
        <v>430</v>
      </c>
      <c r="DU260" s="195">
        <f>DU86</f>
        <v>421</v>
      </c>
      <c r="DV260" s="195">
        <f>DV86</f>
        <v>428</v>
      </c>
      <c r="DW260" s="195">
        <f>DW86</f>
        <v>435</v>
      </c>
      <c r="DX260" s="195">
        <f>DX86</f>
        <v>1714</v>
      </c>
      <c r="DZ260" s="37" t="str">
        <f t="shared" si="3971"/>
        <v>Carloads (000s)</v>
      </c>
      <c r="EA260" s="195">
        <f>EA86</f>
        <v>407</v>
      </c>
      <c r="EB260" s="195">
        <f>EB86</f>
        <v>412</v>
      </c>
      <c r="EC260" s="195">
        <f>EC86</f>
        <v>415</v>
      </c>
      <c r="ED260" s="195">
        <f>ED86</f>
        <v>417</v>
      </c>
      <c r="EE260" s="195">
        <f>EE86</f>
        <v>1651</v>
      </c>
      <c r="EG260" s="37" t="str">
        <f t="shared" si="3976"/>
        <v>Carloads (000s)</v>
      </c>
      <c r="EH260" s="195">
        <f>EH86</f>
        <v>396</v>
      </c>
      <c r="EI260" s="195">
        <f>EI86</f>
        <v>377</v>
      </c>
      <c r="EJ260" s="195">
        <f>EJ86</f>
        <v>428</v>
      </c>
      <c r="EK260" s="195">
        <f>EK86</f>
        <v>413</v>
      </c>
      <c r="EL260" s="195">
        <f>EL86</f>
        <v>1614</v>
      </c>
      <c r="EN260" s="37" t="str">
        <f t="shared" si="3981"/>
        <v>Carloads (000s)</v>
      </c>
      <c r="EO260" s="195">
        <f>EO86</f>
        <v>396</v>
      </c>
      <c r="EP260" s="195">
        <f>EP86</f>
        <v>409</v>
      </c>
      <c r="EQ260" s="195">
        <f>EQ86</f>
        <v>433</v>
      </c>
      <c r="ER260" s="195">
        <f>ER86</f>
        <v>422</v>
      </c>
      <c r="ES260" s="195">
        <f>ES86</f>
        <v>1660</v>
      </c>
      <c r="EU260" s="37" t="str">
        <f t="shared" si="3986"/>
        <v>Carloads (000s)</v>
      </c>
      <c r="EV260" s="195">
        <f>EV86</f>
        <v>439</v>
      </c>
      <c r="EW260" s="195">
        <f>EW86</f>
        <v>430</v>
      </c>
      <c r="EX260" s="195">
        <f>EX86</f>
        <v>422</v>
      </c>
      <c r="EY260" s="195">
        <f>EY86</f>
        <v>431</v>
      </c>
      <c r="EZ260" s="195">
        <f>EZ86</f>
        <v>1722</v>
      </c>
      <c r="FB260" s="37" t="str">
        <f t="shared" si="3991"/>
        <v>Carloads (000s)</v>
      </c>
      <c r="FC260" s="195">
        <f>FC86</f>
        <v>393</v>
      </c>
      <c r="FD260" s="195">
        <f>FD86</f>
        <v>391</v>
      </c>
      <c r="FE260" s="195">
        <f>FE86</f>
        <v>395</v>
      </c>
      <c r="FF260" s="195">
        <f>FF86</f>
        <v>395</v>
      </c>
      <c r="FG260" s="195">
        <f>FG86</f>
        <v>1574</v>
      </c>
      <c r="FI260" s="37" t="str">
        <f t="shared" si="3996"/>
        <v>Carloads (000s)</v>
      </c>
      <c r="FJ260" s="195">
        <f>FJ86</f>
        <v>373</v>
      </c>
      <c r="FK260" s="195">
        <f>FK86</f>
        <v>400</v>
      </c>
      <c r="FL260" s="195">
        <f>FL86</f>
        <v>391</v>
      </c>
      <c r="FM260" s="195">
        <f>FM86</f>
        <v>406</v>
      </c>
      <c r="FN260" s="195">
        <f>FN86</f>
        <v>1570</v>
      </c>
      <c r="FP260" s="37" t="str">
        <f t="shared" si="4001"/>
        <v>Carloads (000s)</v>
      </c>
      <c r="FQ260" s="195">
        <f>FQ86</f>
        <v>403</v>
      </c>
      <c r="FR260" s="195">
        <f>FR86</f>
        <v>410</v>
      </c>
      <c r="FS260" s="195">
        <f>FS86</f>
        <v>406</v>
      </c>
      <c r="FT260" s="195">
        <f>FT86</f>
        <v>440</v>
      </c>
      <c r="FU260" s="195">
        <f>FU86</f>
        <v>1659</v>
      </c>
      <c r="FW260" s="37" t="str">
        <f t="shared" si="4006"/>
        <v>Carloads (000s)</v>
      </c>
      <c r="FX260" s="195">
        <f>FX86</f>
        <v>437</v>
      </c>
      <c r="FY260" s="195">
        <f>FY86</f>
        <v>438</v>
      </c>
      <c r="FZ260" s="195">
        <f>FZ86</f>
        <v>422</v>
      </c>
      <c r="GA260" s="195">
        <f>GA86</f>
        <v>429</v>
      </c>
      <c r="GB260" s="195">
        <f>GB86</f>
        <v>1726</v>
      </c>
      <c r="GD260" s="37" t="str">
        <f t="shared" si="4011"/>
        <v>Carloads (000s)</v>
      </c>
      <c r="GE260" s="195">
        <f>GE86</f>
        <v>456</v>
      </c>
      <c r="GF260" s="195">
        <f>GF86</f>
        <v>446</v>
      </c>
      <c r="GG260" s="195">
        <f>GG86</f>
        <v>451</v>
      </c>
      <c r="GH260" s="195">
        <f>GH86</f>
        <v>445</v>
      </c>
      <c r="GI260" s="195">
        <f>GI86</f>
        <v>1798</v>
      </c>
      <c r="GK260" s="37" t="str">
        <f t="shared" si="4016"/>
        <v>Carloads (000s)</v>
      </c>
      <c r="GL260" s="195">
        <f>GL86</f>
        <v>441</v>
      </c>
      <c r="GM260" s="195">
        <f>GM86</f>
        <v>442</v>
      </c>
      <c r="GN260" s="195">
        <f>GN86</f>
        <v>441</v>
      </c>
      <c r="GO260" s="195">
        <f>GO86</f>
        <v>447</v>
      </c>
      <c r="GP260" s="195">
        <f>GP86</f>
        <v>1771</v>
      </c>
      <c r="GR260" s="37" t="str">
        <f t="shared" si="4021"/>
        <v>Carloads (000s)</v>
      </c>
      <c r="GS260" s="195">
        <f>GS86</f>
        <v>440</v>
      </c>
      <c r="GT260" s="195">
        <f>GT86</f>
        <v>450</v>
      </c>
      <c r="GU260" s="195">
        <f>GU86</f>
        <v>440</v>
      </c>
      <c r="GV260" s="195">
        <f>GV86</f>
        <v>449</v>
      </c>
      <c r="GW260" s="195">
        <f>GW86</f>
        <v>1779</v>
      </c>
      <c r="GY260" s="37" t="str">
        <f t="shared" si="4026"/>
        <v>Carloads (000s)</v>
      </c>
      <c r="GZ260" s="195">
        <f>GZ86</f>
        <v>415</v>
      </c>
      <c r="HA260" s="195">
        <f>HA86</f>
        <v>361</v>
      </c>
      <c r="HB260" s="195">
        <f>HB86</f>
        <v>365</v>
      </c>
      <c r="HC260" s="195">
        <f>HC86</f>
        <v>365</v>
      </c>
      <c r="HD260" s="195">
        <f>HD86</f>
        <v>1506</v>
      </c>
      <c r="HF260" s="37" t="str">
        <f t="shared" si="4031"/>
        <v>Carloads (000s)</v>
      </c>
      <c r="HG260" s="195">
        <f>HG86</f>
        <v>373</v>
      </c>
      <c r="HH260" s="195">
        <f>HH86</f>
        <v>401</v>
      </c>
      <c r="HI260" s="195">
        <f>HI86</f>
        <v>392</v>
      </c>
      <c r="HJ260" s="195">
        <f>HJ86</f>
        <v>407</v>
      </c>
      <c r="HK260" s="195">
        <f>HK86</f>
        <v>1573</v>
      </c>
      <c r="HM260" s="37" t="str">
        <f t="shared" si="4036"/>
        <v>Carloads (000s)</v>
      </c>
      <c r="HN260" s="195">
        <f>HN86</f>
        <v>385</v>
      </c>
      <c r="HO260" s="195">
        <f>HO86</f>
        <v>388</v>
      </c>
      <c r="HP260" s="195">
        <f>HP86</f>
        <v>386</v>
      </c>
      <c r="HQ260" s="195">
        <f>HQ86</f>
        <v>374</v>
      </c>
      <c r="HR260" s="195">
        <f>HR86</f>
        <v>1533</v>
      </c>
      <c r="HT260" s="37" t="str">
        <f t="shared" si="4041"/>
        <v>Carloads (000s)</v>
      </c>
      <c r="HU260" s="195">
        <f>HU86</f>
        <v>331</v>
      </c>
      <c r="HV260" s="195">
        <f>HV86</f>
        <v>331</v>
      </c>
      <c r="HW260" s="195">
        <f>HW86</f>
        <v>323</v>
      </c>
      <c r="HX260" s="195">
        <f>HX86</f>
        <v>305</v>
      </c>
      <c r="HY260" s="195">
        <f>HY86</f>
        <v>1290</v>
      </c>
      <c r="IA260" s="37" t="str">
        <f t="shared" si="4046"/>
        <v>Carloads (000s)</v>
      </c>
      <c r="IB260" s="195">
        <f>IB86</f>
        <v>297</v>
      </c>
      <c r="IC260" s="195">
        <f>IC86</f>
        <v>310</v>
      </c>
      <c r="ID260" s="195">
        <f>ID86</f>
        <v>299</v>
      </c>
      <c r="IE260" s="195">
        <f>IE86</f>
        <v>289</v>
      </c>
      <c r="IF260" s="195">
        <f>IF86</f>
        <v>1195</v>
      </c>
      <c r="IH260" s="37" t="str">
        <f t="shared" si="4051"/>
        <v>Carloads (000s)</v>
      </c>
      <c r="II260" s="195">
        <f>II86</f>
        <v>293</v>
      </c>
      <c r="IJ260" s="195">
        <f>IJ86</f>
        <v>330</v>
      </c>
      <c r="IK260" s="195">
        <f>IK86</f>
        <v>319</v>
      </c>
      <c r="IL260" s="195">
        <f>IL86</f>
        <v>320</v>
      </c>
      <c r="IM260" s="195">
        <f>IM86</f>
        <v>1262</v>
      </c>
      <c r="IO260" s="37" t="str">
        <f t="shared" si="4056"/>
        <v>Carloads (000s)</v>
      </c>
      <c r="IP260" s="195">
        <f>IP86</f>
        <v>289</v>
      </c>
      <c r="IQ260" s="195">
        <f>IQ86</f>
        <v>295</v>
      </c>
      <c r="IR260" s="195">
        <f>IR86</f>
        <v>261</v>
      </c>
      <c r="IS260" s="195">
        <f>IS86</f>
        <v>218</v>
      </c>
      <c r="IT260" s="195">
        <f>IT86</f>
        <v>1063</v>
      </c>
      <c r="IV260" s="37" t="str">
        <f t="shared" si="4061"/>
        <v>Carloads (000s)</v>
      </c>
      <c r="IW260" s="195">
        <f>IW86</f>
        <v>200</v>
      </c>
      <c r="IX260" s="195">
        <f>IX86</f>
        <v>195</v>
      </c>
      <c r="IY260" s="195">
        <f>IY86</f>
        <v>207</v>
      </c>
      <c r="IZ260" s="195">
        <f>IZ86</f>
        <v>236</v>
      </c>
      <c r="JA260" s="195">
        <f>JA86</f>
        <v>838</v>
      </c>
      <c r="JC260" s="37" t="str">
        <f t="shared" si="4066"/>
        <v>Carloads (000s)</v>
      </c>
      <c r="JD260" s="195">
        <f>JD86</f>
        <v>205</v>
      </c>
      <c r="JE260" s="195">
        <f>JE86</f>
        <v>208</v>
      </c>
      <c r="JF260" s="195">
        <f>JF86</f>
        <v>218</v>
      </c>
      <c r="JG260" s="195">
        <f>JG86</f>
        <v>224</v>
      </c>
      <c r="JH260" s="195">
        <f>JH86</f>
        <v>855</v>
      </c>
      <c r="JJ260" s="37" t="str">
        <f t="shared" si="4071"/>
        <v>Carloads (000s)</v>
      </c>
      <c r="JK260" s="195">
        <f>JK86</f>
        <v>201</v>
      </c>
      <c r="JL260" s="195">
        <f>JL86</f>
        <v>222</v>
      </c>
      <c r="JM260" s="195">
        <f>JM86</f>
        <v>234</v>
      </c>
      <c r="JN260" s="195">
        <f>JN86</f>
        <v>230</v>
      </c>
      <c r="JO260" s="195">
        <f>JO86</f>
        <v>887</v>
      </c>
      <c r="JQ260" s="37" t="str">
        <f t="shared" si="4076"/>
        <v>Carloads (000s)</v>
      </c>
      <c r="JR260" s="195">
        <f>JR86</f>
        <v>212</v>
      </c>
      <c r="JS260" s="195">
        <f>JS86</f>
        <v>226</v>
      </c>
      <c r="JT260" s="195">
        <f>JT86</f>
        <v>213</v>
      </c>
      <c r="JU260" s="195">
        <f>JU86</f>
        <v>192</v>
      </c>
      <c r="JV260" s="195">
        <f>JV86</f>
        <v>843</v>
      </c>
      <c r="JX260" s="37" t="str">
        <f t="shared" si="4081"/>
        <v>Carloads (000s)</v>
      </c>
      <c r="JY260" s="195">
        <f>JY86</f>
        <v>181</v>
      </c>
      <c r="JZ260" s="195">
        <f>JZ86</f>
        <v>127</v>
      </c>
      <c r="KA260" s="195">
        <f>KA86</f>
        <v>155</v>
      </c>
      <c r="KB260" s="195">
        <f>KB86</f>
        <v>174</v>
      </c>
      <c r="KC260" s="195">
        <f>KC86</f>
        <v>637</v>
      </c>
      <c r="KE260" s="37" t="str">
        <f t="shared" si="4086"/>
        <v>Carloads (000s)</v>
      </c>
      <c r="KF260" s="195">
        <f>KF86</f>
        <v>172</v>
      </c>
      <c r="KG260" s="195">
        <f>KG86</f>
        <v>183</v>
      </c>
      <c r="KH260" s="195">
        <f>KH86</f>
        <v>180</v>
      </c>
      <c r="KI260" s="195">
        <f>KI86</f>
        <v>171</v>
      </c>
      <c r="KJ260" s="195">
        <f>KJ86</f>
        <v>706</v>
      </c>
      <c r="KL260" s="37" t="str">
        <f t="shared" si="4091"/>
        <v>Carloads (000s)</v>
      </c>
      <c r="KM260" s="195">
        <f>KM86</f>
        <v>155</v>
      </c>
      <c r="KN260" s="195">
        <f>KN86</f>
        <v>178</v>
      </c>
      <c r="KO260" s="195">
        <f>KO86</f>
        <v>177</v>
      </c>
      <c r="KP260" s="195">
        <f>KP86</f>
        <v>187</v>
      </c>
      <c r="KQ260" s="195">
        <f>KQ86</f>
        <v>697</v>
      </c>
      <c r="KS260" s="37" t="str">
        <f t="shared" si="4096"/>
        <v>Carloads (000s)</v>
      </c>
      <c r="KT260" s="195">
        <f>KT86</f>
        <v>185</v>
      </c>
      <c r="KU260" s="195">
        <f>KU86</f>
        <v>185</v>
      </c>
      <c r="KV260" s="195">
        <f>KV86</f>
        <v>193</v>
      </c>
      <c r="KW260" s="195">
        <f>KW86</f>
        <v>192</v>
      </c>
      <c r="KX260" s="195">
        <f>KX86</f>
        <v>755</v>
      </c>
      <c r="KZ260" s="37" t="str">
        <f t="shared" si="4101"/>
        <v>Carloads (000s)</v>
      </c>
      <c r="LA260" s="195">
        <f>LA86</f>
        <v>188</v>
      </c>
      <c r="LB260" s="195">
        <f>LB86</f>
        <v>179</v>
      </c>
      <c r="LC260" s="195">
        <f>LC86</f>
        <v>190</v>
      </c>
      <c r="LD260" s="195">
        <f>LD86</f>
        <v>179</v>
      </c>
      <c r="LE260" s="196">
        <f>SUM(LA260:LD260)</f>
        <v>736</v>
      </c>
      <c r="LF260" s="573"/>
      <c r="LG260" s="37" t="str">
        <f t="shared" si="4104"/>
        <v>Carloads (000s)</v>
      </c>
      <c r="LH260" s="195">
        <f>LH86</f>
        <v>172</v>
      </c>
      <c r="LI260" s="195">
        <f>LI86</f>
        <v>181</v>
      </c>
      <c r="LJ260" s="195">
        <f>LJ86</f>
        <v>184</v>
      </c>
      <c r="LK260" s="195">
        <f>LK86</f>
        <v>181</v>
      </c>
      <c r="LL260" s="196">
        <f>SUM(LH260:LK260)</f>
        <v>718</v>
      </c>
      <c r="LM260" s="573"/>
      <c r="LN260" s="37" t="str">
        <f t="shared" si="4106"/>
        <v>Carloads (000s)</v>
      </c>
      <c r="LO260" s="196">
        <f>(LH260)*(1+LO261)</f>
        <v>177.16</v>
      </c>
      <c r="LP260" s="196">
        <f t="shared" ref="LP260" si="5814">(LI260)*(1+LP261)</f>
        <v>184.62</v>
      </c>
      <c r="LQ260" s="196">
        <f>(LJ260)*(1+LQ261)</f>
        <v>188.6</v>
      </c>
      <c r="LR260" s="196">
        <f t="shared" ref="LR260" si="5815">(LK260)*(1+LR261)</f>
        <v>185.52499999999998</v>
      </c>
      <c r="LS260" s="196">
        <f>SUM(LO260:LR260)</f>
        <v>735.90499999999997</v>
      </c>
      <c r="LT260" s="573"/>
      <c r="LU260" s="37" t="str">
        <f t="shared" si="4610"/>
        <v>Carloads (000s)</v>
      </c>
      <c r="LV260" s="196">
        <f>(LO260)*(1+LV261)</f>
        <v>176.27420000000001</v>
      </c>
      <c r="LW260" s="196">
        <f t="shared" ref="LW260" si="5816">(LP260)*(1+LW261)</f>
        <v>184.62</v>
      </c>
      <c r="LX260" s="196">
        <f t="shared" ref="LX260" si="5817">(LQ260)*(1+LX261)</f>
        <v>187.65699999999998</v>
      </c>
      <c r="LY260" s="196">
        <f t="shared" ref="LY260" si="5818">(LR260)*(1+LY261)</f>
        <v>184.59737499999997</v>
      </c>
      <c r="LZ260" s="196">
        <f>SUM(LV260:LY260)</f>
        <v>733.14857499999994</v>
      </c>
      <c r="MA260" s="573"/>
      <c r="MB260" s="37" t="str">
        <f t="shared" si="4612"/>
        <v>Carloads (000s)</v>
      </c>
      <c r="MC260" s="196">
        <f>(LV260)*(1+MC261)</f>
        <v>174.95214350000001</v>
      </c>
      <c r="MD260" s="196">
        <f t="shared" ref="MD260" si="5819">(LW260)*(1+MD261)</f>
        <v>183.23535000000001</v>
      </c>
      <c r="ME260" s="196">
        <f t="shared" ref="ME260" si="5820">(LX260)*(1+ME261)</f>
        <v>186.2495725</v>
      </c>
      <c r="MF260" s="196">
        <f t="shared" ref="MF260" si="5821">(LY260)*(1+MF261)</f>
        <v>183.21289468749998</v>
      </c>
      <c r="MG260" s="196">
        <f>SUM(MC260:MF260)</f>
        <v>727.64996068749997</v>
      </c>
      <c r="MH260" s="573"/>
    </row>
    <row r="261" spans="1:346" s="37" customFormat="1" ht="13.15" x14ac:dyDescent="0.4">
      <c r="A261" s="100"/>
      <c r="B261" s="197" t="s">
        <v>516</v>
      </c>
      <c r="C261" s="186"/>
      <c r="D261" s="186"/>
      <c r="E261" s="186"/>
      <c r="F261" s="186"/>
      <c r="G261" s="186"/>
      <c r="H261" s="186"/>
      <c r="I261" s="186"/>
      <c r="J261" s="186"/>
      <c r="K261" s="186"/>
      <c r="L261" s="186"/>
      <c r="M261" s="186"/>
      <c r="N261" s="193"/>
      <c r="O261" s="198">
        <f>O260/N260-1</f>
        <v>2.1499737808075459E-2</v>
      </c>
      <c r="P261" s="198">
        <f t="shared" ref="P261:BA261" si="5822">P260/O260-1</f>
        <v>-7.9055441478439459E-2</v>
      </c>
      <c r="Q261" s="198">
        <f t="shared" si="5822"/>
        <v>-1.8952062430323324E-2</v>
      </c>
      <c r="R261" s="198">
        <f t="shared" si="5822"/>
        <v>-0.11022727272727273</v>
      </c>
      <c r="S261" s="198">
        <f t="shared" si="5822"/>
        <v>7.1519795657726704E-2</v>
      </c>
      <c r="T261" s="198">
        <f t="shared" si="5822"/>
        <v>0</v>
      </c>
      <c r="U261" s="198">
        <f t="shared" si="5822"/>
        <v>1.966626936829563E-2</v>
      </c>
      <c r="V261" s="198">
        <f t="shared" si="5822"/>
        <v>1.753360607831711E-3</v>
      </c>
      <c r="W261" s="198">
        <f t="shared" si="5822"/>
        <v>-3.6756126021003532E-2</v>
      </c>
      <c r="X261" s="198">
        <f t="shared" si="5822"/>
        <v>-2.2410660205935851E-2</v>
      </c>
      <c r="Y261" s="198">
        <f t="shared" si="5822"/>
        <v>2.8500619578686548E-2</v>
      </c>
      <c r="Z261" s="198">
        <f t="shared" si="5822"/>
        <v>3.7349397590361377E-2</v>
      </c>
      <c r="AA261" s="198">
        <f t="shared" si="5822"/>
        <v>-8.594657375145176E-2</v>
      </c>
      <c r="AB261" s="198">
        <f t="shared" si="5822"/>
        <v>-2.5412960609910717E-3</v>
      </c>
      <c r="AC261" s="198">
        <f t="shared" si="5822"/>
        <v>5.6687898089172073E-2</v>
      </c>
      <c r="AD261" s="198">
        <f t="shared" si="5822"/>
        <v>4.0385774562989862E-2</v>
      </c>
      <c r="AE261" s="198">
        <f t="shared" si="5822"/>
        <v>4.1714947856315243E-2</v>
      </c>
      <c r="AF261" s="198">
        <f t="shared" si="5822"/>
        <v>-1.5016685205784253E-2</v>
      </c>
      <c r="AG261" s="198">
        <f t="shared" si="5822"/>
        <v>4.5172219085263254E-3</v>
      </c>
      <c r="AH261" s="198">
        <f t="shared" si="5822"/>
        <v>-0.15345699831365933</v>
      </c>
      <c r="AI261" s="198">
        <f t="shared" si="5822"/>
        <v>4.4488711819389071E-2</v>
      </c>
      <c r="AJ261" s="198">
        <f t="shared" si="5822"/>
        <v>-2.5429116338207214E-2</v>
      </c>
      <c r="AK261" s="198">
        <f t="shared" si="5822"/>
        <v>-0.15851272015655582</v>
      </c>
      <c r="AL261" s="198">
        <f t="shared" si="5822"/>
        <v>-7.3643410852713198E-2</v>
      </c>
      <c r="AM261" s="198">
        <f t="shared" si="5822"/>
        <v>5.6066945606694452E-2</v>
      </c>
      <c r="AN261" s="198">
        <f t="shared" si="5822"/>
        <v>-0.15768621236133118</v>
      </c>
      <c r="AO261" s="198">
        <f t="shared" si="5822"/>
        <v>-0.21166509877704609</v>
      </c>
      <c r="AP261" s="198">
        <f t="shared" si="5822"/>
        <v>2.028639618138417E-2</v>
      </c>
      <c r="AQ261" s="198">
        <f t="shared" si="5822"/>
        <v>3.7426900584795364E-2</v>
      </c>
      <c r="AR261" s="198">
        <f t="shared" si="5822"/>
        <v>-4.9605411499436314E-2</v>
      </c>
      <c r="AS261" s="198">
        <f t="shared" si="5822"/>
        <v>-0.24436536180308421</v>
      </c>
      <c r="AT261" s="198">
        <f t="shared" si="5822"/>
        <v>0.10832025117739397</v>
      </c>
      <c r="AU261" s="198">
        <f t="shared" si="5822"/>
        <v>-1.2747875354107596E-2</v>
      </c>
      <c r="AV261" s="198">
        <f t="shared" si="5822"/>
        <v>8.3213773314203765E-2</v>
      </c>
      <c r="AW261" s="198">
        <f t="shared" si="5822"/>
        <v>-2.5165562913907258E-2</v>
      </c>
      <c r="AX261" s="198">
        <f t="shared" si="5822"/>
        <v>-2.4456521739130488E-2</v>
      </c>
      <c r="AY261" s="198">
        <f t="shared" si="5822"/>
        <v>2.4937325905292518E-2</v>
      </c>
      <c r="AZ261" s="198">
        <f t="shared" si="5822"/>
        <v>-3.7456261338081331E-3</v>
      </c>
      <c r="BA261" s="198">
        <f t="shared" si="5822"/>
        <v>-7.4999999999999512E-3</v>
      </c>
      <c r="BB261" s="198"/>
      <c r="BC261" s="198"/>
      <c r="BD261" s="198"/>
      <c r="BE261" s="198"/>
      <c r="BF261" s="198"/>
      <c r="BG261" s="198"/>
      <c r="BH261" s="198"/>
      <c r="BI261" s="198"/>
      <c r="BJ261" s="198"/>
      <c r="BK261" s="198"/>
      <c r="BL261" s="198"/>
      <c r="BM261" s="198"/>
      <c r="BO261" s="197" t="str">
        <f t="shared" si="3930"/>
        <v>YoY Change (%)</v>
      </c>
      <c r="BP261" s="193"/>
      <c r="BQ261" s="193"/>
      <c r="BR261" s="193"/>
      <c r="BS261" s="193"/>
      <c r="BT261" s="193"/>
      <c r="BV261" s="197" t="str">
        <f t="shared" si="3931"/>
        <v>YoY Change (%)</v>
      </c>
      <c r="BW261" s="198">
        <f>BW260/BP260-1</f>
        <v>2.6748971193415683E-2</v>
      </c>
      <c r="BX261" s="198">
        <f t="shared" ref="BX261" si="5823">BX260/BQ260-1</f>
        <v>2.0449897750511203E-2</v>
      </c>
      <c r="BY261" s="198">
        <f t="shared" ref="BY261" si="5824">BY260/BR260-1</f>
        <v>4.1304347826087051E-2</v>
      </c>
      <c r="BZ261" s="198">
        <f t="shared" ref="BZ261" si="5825">BZ260/BS260-1</f>
        <v>-2.1186440677966045E-3</v>
      </c>
      <c r="CA261" s="198">
        <f t="shared" ref="CA261" si="5826">CA260/BT260-1</f>
        <v>2.1499737808075459E-2</v>
      </c>
      <c r="CC261" s="197" t="str">
        <f t="shared" si="3936"/>
        <v>YoY Change (%)</v>
      </c>
      <c r="CD261" s="198">
        <f>CD260/BW260-1</f>
        <v>-0.11623246492985972</v>
      </c>
      <c r="CE261" s="198">
        <f t="shared" ref="CE261" si="5827">CE260/BX260-1</f>
        <v>-0.13026052104208419</v>
      </c>
      <c r="CF261" s="198">
        <f t="shared" ref="CF261" si="5828">CF260/BY260-1</f>
        <v>-3.3402922755741082E-2</v>
      </c>
      <c r="CG261" s="198">
        <f t="shared" ref="CG261" si="5829">CG260/BZ260-1</f>
        <v>-3.1847133757961776E-2</v>
      </c>
      <c r="CH261" s="198">
        <f t="shared" ref="CH261" si="5830">CH260/CA260-1</f>
        <v>-7.9055441478439459E-2</v>
      </c>
      <c r="CJ261" s="197" t="str">
        <f t="shared" si="3941"/>
        <v>YoY Change (%)</v>
      </c>
      <c r="CK261" s="198">
        <f>CK260/CD260-1</f>
        <v>2.2675736961450532E-3</v>
      </c>
      <c r="CL261" s="198">
        <f t="shared" ref="CL261" si="5831">CL260/CE260-1</f>
        <v>0</v>
      </c>
      <c r="CM261" s="198">
        <f t="shared" ref="CM261" si="5832">CM260/CF260-1</f>
        <v>-4.3196544276457916E-2</v>
      </c>
      <c r="CN261" s="198">
        <f t="shared" ref="CN261" si="5833">CN260/CG260-1</f>
        <v>-3.289473684210531E-2</v>
      </c>
      <c r="CO261" s="198">
        <f t="shared" ref="CO261" si="5834">CO260/CH260-1</f>
        <v>-1.8952062430323324E-2</v>
      </c>
      <c r="CQ261" s="197" t="str">
        <f t="shared" si="3946"/>
        <v>YoY Change (%)</v>
      </c>
      <c r="CR261" s="198">
        <f>CR260/CK260-1</f>
        <v>-0.10859728506787325</v>
      </c>
      <c r="CS261" s="198">
        <f t="shared" ref="CS261" si="5835">CS260/CL260-1</f>
        <v>-6.4516129032258118E-2</v>
      </c>
      <c r="CT261" s="198">
        <f t="shared" ref="CT261" si="5836">CT260/CM260-1</f>
        <v>-0.11738148984198649</v>
      </c>
      <c r="CU261" s="198">
        <f t="shared" ref="CU261" si="5837">CU260/CN260-1</f>
        <v>-0.14965986394557829</v>
      </c>
      <c r="CV261" s="198">
        <f t="shared" ref="CV261" si="5838">CV260/CO260-1</f>
        <v>-0.11022727272727273</v>
      </c>
      <c r="CX261" s="197" t="str">
        <f t="shared" si="3951"/>
        <v>YoY Change (%)</v>
      </c>
      <c r="CY261" s="198">
        <f>CY260/CR260-1</f>
        <v>5.0761421319795996E-3</v>
      </c>
      <c r="CZ261" s="198">
        <f t="shared" ref="CZ261" si="5839">CZ260/CS260-1</f>
        <v>3.6945812807881673E-2</v>
      </c>
      <c r="DA261" s="198">
        <f t="shared" ref="DA261" si="5840">DA260/CT260-1</f>
        <v>9.9744245524296726E-2</v>
      </c>
      <c r="DB261" s="198">
        <f t="shared" ref="DB261" si="5841">DB260/CU260-1</f>
        <v>0.14933333333333332</v>
      </c>
      <c r="DC261" s="198">
        <f t="shared" ref="DC261" si="5842">DC260/CV260-1</f>
        <v>7.1519795657726704E-2</v>
      </c>
      <c r="DE261" s="197" t="str">
        <f t="shared" si="3956"/>
        <v>YoY Change (%)</v>
      </c>
      <c r="DF261" s="198">
        <f>DF260/CY260-1</f>
        <v>4.5454545454545414E-2</v>
      </c>
      <c r="DG261" s="198">
        <f t="shared" ref="DG261" si="5843">DG260/CZ260-1</f>
        <v>-2.3752969121140222E-3</v>
      </c>
      <c r="DH261" s="198">
        <f t="shared" ref="DH261" si="5844">DH260/DA260-1</f>
        <v>-1.6279069767441867E-2</v>
      </c>
      <c r="DI261" s="198">
        <f t="shared" ref="DI261" si="5845">DI260/DB260-1</f>
        <v>-2.3201856148491906E-2</v>
      </c>
      <c r="DJ261" s="198">
        <f t="shared" ref="DJ261" si="5846">DJ260/DC260-1</f>
        <v>0</v>
      </c>
      <c r="DL261" s="197" t="str">
        <f t="shared" si="3961"/>
        <v>YoY Change (%)</v>
      </c>
      <c r="DM261" s="198">
        <f>DM260/DF260-1</f>
        <v>-2.8985507246376829E-2</v>
      </c>
      <c r="DN261" s="198">
        <f t="shared" ref="DN261" si="5847">DN260/DG260-1</f>
        <v>3.3333333333333437E-2</v>
      </c>
      <c r="DO261" s="198">
        <f t="shared" ref="DO261" si="5848">DO260/DH260-1</f>
        <v>2.3640661938534313E-2</v>
      </c>
      <c r="DP261" s="198">
        <f t="shared" ref="DP261" si="5849">DP260/DI260-1</f>
        <v>4.9881235154394243E-2</v>
      </c>
      <c r="DQ261" s="198">
        <f t="shared" ref="DQ261" si="5850">DQ260/DJ260-1</f>
        <v>1.966626936829563E-2</v>
      </c>
      <c r="DS261" s="197" t="str">
        <f t="shared" si="3966"/>
        <v>YoY Change (%)</v>
      </c>
      <c r="DT261" s="198">
        <f>DT260/DM260-1</f>
        <v>6.9651741293532243E-2</v>
      </c>
      <c r="DU261" s="198">
        <f t="shared" ref="DU261" si="5851">DU260/DN260-1</f>
        <v>-2.9953917050691281E-2</v>
      </c>
      <c r="DV261" s="198">
        <f t="shared" ref="DV261" si="5852">DV260/DO260-1</f>
        <v>-1.1547344110854452E-2</v>
      </c>
      <c r="DW261" s="198">
        <f t="shared" ref="DW261" si="5853">DW260/DP260-1</f>
        <v>-1.5837104072398245E-2</v>
      </c>
      <c r="DX261" s="198">
        <f t="shared" ref="DX261" si="5854">DX260/DQ260-1</f>
        <v>1.753360607831711E-3</v>
      </c>
      <c r="DZ261" s="197" t="str">
        <f t="shared" si="3971"/>
        <v>YoY Change (%)</v>
      </c>
      <c r="EA261" s="198">
        <f>EA260/DT260-1</f>
        <v>-5.3488372093023262E-2</v>
      </c>
      <c r="EB261" s="198">
        <f t="shared" ref="EB261" si="5855">EB260/DU260-1</f>
        <v>-2.1377672209026088E-2</v>
      </c>
      <c r="EC261" s="198">
        <f t="shared" ref="EC261" si="5856">EC260/DV260-1</f>
        <v>-3.0373831775700966E-2</v>
      </c>
      <c r="ED261" s="198">
        <f t="shared" ref="ED261" si="5857">ED260/DW260-1</f>
        <v>-4.1379310344827558E-2</v>
      </c>
      <c r="EE261" s="198">
        <f t="shared" ref="EE261" si="5858">EE260/DX260-1</f>
        <v>-3.6756126021003532E-2</v>
      </c>
      <c r="EG261" s="197" t="str">
        <f t="shared" si="3976"/>
        <v>YoY Change (%)</v>
      </c>
      <c r="EH261" s="198">
        <f>EH260/EA260-1</f>
        <v>-2.7027027027026973E-2</v>
      </c>
      <c r="EI261" s="198">
        <f t="shared" ref="EI261" si="5859">EI260/EB260-1</f>
        <v>-8.4951456310679574E-2</v>
      </c>
      <c r="EJ261" s="198">
        <f t="shared" ref="EJ261" si="5860">EJ260/EC260-1</f>
        <v>3.1325301204819356E-2</v>
      </c>
      <c r="EK261" s="198">
        <f t="shared" ref="EK261" si="5861">EK260/ED260-1</f>
        <v>-9.5923261390887804E-3</v>
      </c>
      <c r="EL261" s="198">
        <f t="shared" ref="EL261" si="5862">EL260/EE260-1</f>
        <v>-2.2410660205935851E-2</v>
      </c>
      <c r="EN261" s="197" t="str">
        <f t="shared" si="3981"/>
        <v>YoY Change (%)</v>
      </c>
      <c r="EO261" s="198">
        <f>EO260/EH260-1</f>
        <v>0</v>
      </c>
      <c r="EP261" s="198">
        <f t="shared" ref="EP261" si="5863">EP260/EI260-1</f>
        <v>8.4880636604774518E-2</v>
      </c>
      <c r="EQ261" s="198">
        <f t="shared" ref="EQ261" si="5864">EQ260/EJ260-1</f>
        <v>1.1682242990654235E-2</v>
      </c>
      <c r="ER261" s="198">
        <f t="shared" ref="ER261" si="5865">ER260/EK260-1</f>
        <v>2.1791767554479424E-2</v>
      </c>
      <c r="ES261" s="198">
        <f t="shared" ref="ES261" si="5866">ES260/EL260-1</f>
        <v>2.8500619578686548E-2</v>
      </c>
      <c r="EU261" s="197" t="str">
        <f t="shared" si="3986"/>
        <v>YoY Change (%)</v>
      </c>
      <c r="EV261" s="198">
        <f>EV260/EO260-1</f>
        <v>0.10858585858585856</v>
      </c>
      <c r="EW261" s="198">
        <f t="shared" ref="EW261" si="5867">EW260/EP260-1</f>
        <v>5.1344743276283689E-2</v>
      </c>
      <c r="EX261" s="198">
        <f t="shared" ref="EX261" si="5868">EX260/EQ260-1</f>
        <v>-2.5404157043879882E-2</v>
      </c>
      <c r="EY261" s="198">
        <f t="shared" ref="EY261" si="5869">EY260/ER260-1</f>
        <v>2.1327014218009532E-2</v>
      </c>
      <c r="EZ261" s="198">
        <f t="shared" ref="EZ261" si="5870">EZ260/ES260-1</f>
        <v>3.7349397590361377E-2</v>
      </c>
      <c r="FB261" s="197" t="str">
        <f t="shared" si="3991"/>
        <v>YoY Change (%)</v>
      </c>
      <c r="FC261" s="198">
        <f>FC260/EV260-1</f>
        <v>-0.10478359908883828</v>
      </c>
      <c r="FD261" s="198">
        <f t="shared" ref="FD261" si="5871">FD260/EW260-1</f>
        <v>-9.0697674418604657E-2</v>
      </c>
      <c r="FE261" s="198">
        <f t="shared" ref="FE261" si="5872">FE260/EX260-1</f>
        <v>-6.3981042654028486E-2</v>
      </c>
      <c r="FF261" s="198">
        <f t="shared" ref="FF261" si="5873">FF260/EY260-1</f>
        <v>-8.3526682134570818E-2</v>
      </c>
      <c r="FG261" s="198">
        <f t="shared" ref="FG261" si="5874">FG260/EZ260-1</f>
        <v>-8.594657375145176E-2</v>
      </c>
      <c r="FI261" s="197" t="str">
        <f t="shared" si="3996"/>
        <v>YoY Change (%)</v>
      </c>
      <c r="FJ261" s="198">
        <f>FJ260/FC260-1</f>
        <v>-5.0890585241730291E-2</v>
      </c>
      <c r="FK261" s="198">
        <f t="shared" ref="FK261" si="5875">FK260/FD260-1</f>
        <v>2.3017902813299296E-2</v>
      </c>
      <c r="FL261" s="198">
        <f t="shared" ref="FL261" si="5876">FL260/FE260-1</f>
        <v>-1.0126582278481067E-2</v>
      </c>
      <c r="FM261" s="198">
        <f t="shared" ref="FM261" si="5877">FM260/FF260-1</f>
        <v>2.7848101265822711E-2</v>
      </c>
      <c r="FN261" s="198">
        <f t="shared" ref="FN261" si="5878">FN260/FG260-1</f>
        <v>-2.5412960609910717E-3</v>
      </c>
      <c r="FP261" s="197" t="str">
        <f t="shared" si="4001"/>
        <v>YoY Change (%)</v>
      </c>
      <c r="FQ261" s="198">
        <f>FQ260/FJ260-1</f>
        <v>8.0428954423592547E-2</v>
      </c>
      <c r="FR261" s="198">
        <f t="shared" ref="FR261" si="5879">FR260/FK260-1</f>
        <v>2.4999999999999911E-2</v>
      </c>
      <c r="FS261" s="198">
        <f t="shared" ref="FS261" si="5880">FS260/FL260-1</f>
        <v>3.8363171355498826E-2</v>
      </c>
      <c r="FT261" s="198">
        <f t="shared" ref="FT261" si="5881">FT260/FM260-1</f>
        <v>8.3743842364532028E-2</v>
      </c>
      <c r="FU261" s="198">
        <f t="shared" ref="FU261" si="5882">FU260/FN260-1</f>
        <v>5.6687898089172073E-2</v>
      </c>
      <c r="FW261" s="197" t="str">
        <f t="shared" si="4006"/>
        <v>YoY Change (%)</v>
      </c>
      <c r="FX261" s="198">
        <f>FX260/FQ260-1</f>
        <v>8.4367245657568146E-2</v>
      </c>
      <c r="FY261" s="198">
        <f t="shared" ref="FY261" si="5883">FY260/FR260-1</f>
        <v>6.8292682926829329E-2</v>
      </c>
      <c r="FZ261" s="198">
        <f t="shared" ref="FZ261" si="5884">FZ260/FS260-1</f>
        <v>3.9408866995073843E-2</v>
      </c>
      <c r="GA261" s="198">
        <f t="shared" ref="GA261" si="5885">GA260/FT260-1</f>
        <v>-2.5000000000000022E-2</v>
      </c>
      <c r="GB261" s="198">
        <f t="shared" ref="GB261" si="5886">GB260/FU260-1</f>
        <v>4.0385774562989862E-2</v>
      </c>
      <c r="GD261" s="197" t="str">
        <f t="shared" si="4011"/>
        <v>YoY Change (%)</v>
      </c>
      <c r="GE261" s="198">
        <f>GE260/FX260-1</f>
        <v>4.3478260869565188E-2</v>
      </c>
      <c r="GF261" s="198">
        <f t="shared" ref="GF261" si="5887">GF260/FY260-1</f>
        <v>1.8264840182648401E-2</v>
      </c>
      <c r="GG261" s="198">
        <f t="shared" ref="GG261" si="5888">GG260/FZ260-1</f>
        <v>6.872037914691953E-2</v>
      </c>
      <c r="GH261" s="198">
        <f t="shared" ref="GH261" si="5889">GH260/GA260-1</f>
        <v>3.7296037296037365E-2</v>
      </c>
      <c r="GI261" s="198">
        <f t="shared" ref="GI261" si="5890">GI260/GB260-1</f>
        <v>4.1714947856315243E-2</v>
      </c>
      <c r="GK261" s="197" t="str">
        <f t="shared" si="4016"/>
        <v>YoY Change (%)</v>
      </c>
      <c r="GL261" s="198">
        <f>GL260/GE260-1</f>
        <v>-3.289473684210531E-2</v>
      </c>
      <c r="GM261" s="198">
        <f t="shared" ref="GM261" si="5891">GM260/GF260-1</f>
        <v>-8.9686098654708779E-3</v>
      </c>
      <c r="GN261" s="198">
        <f t="shared" ref="GN261" si="5892">GN260/GG260-1</f>
        <v>-2.2172949002217335E-2</v>
      </c>
      <c r="GO261" s="198">
        <f t="shared" ref="GO261" si="5893">GO260/GH260-1</f>
        <v>4.4943820224718767E-3</v>
      </c>
      <c r="GP261" s="198">
        <f t="shared" ref="GP261" si="5894">GP260/GI260-1</f>
        <v>-1.5016685205784253E-2</v>
      </c>
      <c r="GR261" s="197" t="str">
        <f t="shared" si="4021"/>
        <v>YoY Change (%)</v>
      </c>
      <c r="GS261" s="198">
        <f>GS260/GL260-1</f>
        <v>-2.2675736961451642E-3</v>
      </c>
      <c r="GT261" s="198">
        <f t="shared" ref="GT261" si="5895">GT260/GM260-1</f>
        <v>1.8099547511312153E-2</v>
      </c>
      <c r="GU261" s="198">
        <f t="shared" ref="GU261" si="5896">GU260/GN260-1</f>
        <v>-2.2675736961451642E-3</v>
      </c>
      <c r="GV261" s="198">
        <f t="shared" ref="GV261" si="5897">GV260/GO260-1</f>
        <v>4.4742729306488371E-3</v>
      </c>
      <c r="GW261" s="198">
        <f t="shared" ref="GW261" si="5898">GW260/GP260-1</f>
        <v>4.5172219085263254E-3</v>
      </c>
      <c r="GY261" s="197" t="str">
        <f t="shared" si="4026"/>
        <v>YoY Change (%)</v>
      </c>
      <c r="GZ261" s="198">
        <f>GZ260/GS260-1</f>
        <v>-5.6818181818181768E-2</v>
      </c>
      <c r="HA261" s="198">
        <f t="shared" ref="HA261" si="5899">HA260/GT260-1</f>
        <v>-0.19777777777777783</v>
      </c>
      <c r="HB261" s="198">
        <f t="shared" ref="HB261" si="5900">HB260/GU260-1</f>
        <v>-0.17045454545454541</v>
      </c>
      <c r="HC261" s="198">
        <f t="shared" ref="HC261" si="5901">HC260/GV260-1</f>
        <v>-0.18708240534521159</v>
      </c>
      <c r="HD261" s="198">
        <f t="shared" ref="HD261" si="5902">HD260/GW260-1</f>
        <v>-0.15345699831365933</v>
      </c>
      <c r="HF261" s="197" t="str">
        <f t="shared" si="4031"/>
        <v>YoY Change (%)</v>
      </c>
      <c r="HG261" s="198">
        <f>HG260/GZ260-1</f>
        <v>-0.10120481927710845</v>
      </c>
      <c r="HH261" s="198">
        <f t="shared" ref="HH261" si="5903">HH260/HA260-1</f>
        <v>0.11080332409972304</v>
      </c>
      <c r="HI261" s="198">
        <f t="shared" ref="HI261" si="5904">HI260/HB260-1</f>
        <v>7.3972602739726057E-2</v>
      </c>
      <c r="HJ261" s="198">
        <f t="shared" ref="HJ261" si="5905">HJ260/HC260-1</f>
        <v>0.1150684931506849</v>
      </c>
      <c r="HK261" s="198">
        <f t="shared" ref="HK261" si="5906">HK260/HD260-1</f>
        <v>4.4488711819389071E-2</v>
      </c>
      <c r="HM261" s="197" t="str">
        <f t="shared" si="4036"/>
        <v>YoY Change (%)</v>
      </c>
      <c r="HN261" s="198">
        <f>HN260/HG260-1</f>
        <v>3.2171581769437019E-2</v>
      </c>
      <c r="HO261" s="198">
        <f t="shared" ref="HO261" si="5907">HO260/HH260-1</f>
        <v>-3.2418952618453845E-2</v>
      </c>
      <c r="HP261" s="198">
        <f t="shared" ref="HP261" si="5908">HP260/HI260-1</f>
        <v>-1.5306122448979553E-2</v>
      </c>
      <c r="HQ261" s="198">
        <f t="shared" ref="HQ261" si="5909">HQ260/HJ260-1</f>
        <v>-8.108108108108103E-2</v>
      </c>
      <c r="HR261" s="198">
        <f t="shared" ref="HR261" si="5910">HR260/HK260-1</f>
        <v>-2.5429116338207214E-2</v>
      </c>
      <c r="HT261" s="197" t="str">
        <f t="shared" si="4041"/>
        <v>YoY Change (%)</v>
      </c>
      <c r="HU261" s="198">
        <f>HU260/HN260-1</f>
        <v>-0.14025974025974031</v>
      </c>
      <c r="HV261" s="198">
        <f t="shared" ref="HV261" si="5911">HV260/HO260-1</f>
        <v>-0.14690721649484539</v>
      </c>
      <c r="HW261" s="198">
        <f t="shared" ref="HW261" si="5912">HW260/HP260-1</f>
        <v>-0.16321243523316065</v>
      </c>
      <c r="HX261" s="198">
        <f t="shared" ref="HX261" si="5913">HX260/HQ260-1</f>
        <v>-0.18449197860962563</v>
      </c>
      <c r="HY261" s="198">
        <f t="shared" ref="HY261" si="5914">HY260/HR260-1</f>
        <v>-0.15851272015655582</v>
      </c>
      <c r="IA261" s="197" t="str">
        <f t="shared" si="4046"/>
        <v>YoY Change (%)</v>
      </c>
      <c r="IB261" s="198">
        <f>IB260/HU260-1</f>
        <v>-0.10271903323262843</v>
      </c>
      <c r="IC261" s="198">
        <f t="shared" ref="IC261" si="5915">IC260/HV260-1</f>
        <v>-6.3444108761329332E-2</v>
      </c>
      <c r="ID261" s="198">
        <f t="shared" ref="ID261" si="5916">ID260/HW260-1</f>
        <v>-7.4303405572755388E-2</v>
      </c>
      <c r="IE261" s="198">
        <f t="shared" ref="IE261" si="5917">IE260/HX260-1</f>
        <v>-5.2459016393442637E-2</v>
      </c>
      <c r="IF261" s="198">
        <f t="shared" ref="IF261" si="5918">IF260/HY260-1</f>
        <v>-7.3643410852713198E-2</v>
      </c>
      <c r="IH261" s="197" t="str">
        <f t="shared" si="4051"/>
        <v>YoY Change (%)</v>
      </c>
      <c r="II261" s="198">
        <f>II260/IB260-1</f>
        <v>-1.3468013468013518E-2</v>
      </c>
      <c r="IJ261" s="198">
        <f t="shared" ref="IJ261" si="5919">IJ260/IC260-1</f>
        <v>6.4516129032258007E-2</v>
      </c>
      <c r="IK261" s="198">
        <f t="shared" ref="IK261" si="5920">IK260/ID260-1</f>
        <v>6.6889632107023367E-2</v>
      </c>
      <c r="IL261" s="198">
        <f t="shared" ref="IL261" si="5921">IL260/IE260-1</f>
        <v>0.10726643598615926</v>
      </c>
      <c r="IM261" s="198">
        <f t="shared" ref="IM261" si="5922">IM260/IF260-1</f>
        <v>5.6066945606694452E-2</v>
      </c>
      <c r="IO261" s="197" t="str">
        <f t="shared" si="4056"/>
        <v>YoY Change (%)</v>
      </c>
      <c r="IP261" s="198">
        <f>IP260/II260-1</f>
        <v>-1.3651877133105783E-2</v>
      </c>
      <c r="IQ261" s="198">
        <f t="shared" ref="IQ261" si="5923">IQ260/IJ260-1</f>
        <v>-0.10606060606060608</v>
      </c>
      <c r="IR261" s="198">
        <f t="shared" ref="IR261" si="5924">IR260/IK260-1</f>
        <v>-0.18181818181818177</v>
      </c>
      <c r="IS261" s="198">
        <f t="shared" ref="IS261" si="5925">IS260/IL260-1</f>
        <v>-0.31874999999999998</v>
      </c>
      <c r="IT261" s="198">
        <f t="shared" ref="IT261" si="5926">IT260/IM260-1</f>
        <v>-0.15768621236133118</v>
      </c>
      <c r="IV261" s="197" t="str">
        <f t="shared" si="4061"/>
        <v>YoY Change (%)</v>
      </c>
      <c r="IW261" s="198">
        <f>IW260/IP260-1</f>
        <v>-0.30795847750865057</v>
      </c>
      <c r="IX261" s="198">
        <f t="shared" ref="IX261" si="5927">IX260/IQ260-1</f>
        <v>-0.33898305084745761</v>
      </c>
      <c r="IY261" s="198">
        <f t="shared" ref="IY261" si="5928">IY260/IR260-1</f>
        <v>-0.2068965517241379</v>
      </c>
      <c r="IZ261" s="198">
        <f t="shared" ref="IZ261" si="5929">IZ260/IS260-1</f>
        <v>8.256880733944949E-2</v>
      </c>
      <c r="JA261" s="198">
        <f t="shared" ref="JA261" si="5930">JA260/IT260-1</f>
        <v>-0.21166509877704609</v>
      </c>
      <c r="JC261" s="197" t="str">
        <f t="shared" si="4066"/>
        <v>YoY Change (%)</v>
      </c>
      <c r="JD261" s="198">
        <f>JD260/IW260-1</f>
        <v>2.4999999999999911E-2</v>
      </c>
      <c r="JE261" s="198">
        <f t="shared" ref="JE261" si="5931">JE260/IX260-1</f>
        <v>6.6666666666666652E-2</v>
      </c>
      <c r="JF261" s="198">
        <f t="shared" ref="JF261" si="5932">JF260/IY260-1</f>
        <v>5.3140096618357502E-2</v>
      </c>
      <c r="JG261" s="198">
        <f t="shared" ref="JG261" si="5933">JG260/IZ260-1</f>
        <v>-5.084745762711862E-2</v>
      </c>
      <c r="JH261" s="198">
        <f t="shared" ref="JH261" si="5934">JH260/JA260-1</f>
        <v>2.028639618138417E-2</v>
      </c>
      <c r="JJ261" s="197" t="str">
        <f t="shared" si="4071"/>
        <v>YoY Change (%)</v>
      </c>
      <c r="JK261" s="198">
        <f>JK260/JD260-1</f>
        <v>-1.9512195121951237E-2</v>
      </c>
      <c r="JL261" s="198">
        <f t="shared" ref="JL261" si="5935">JL260/JE260-1</f>
        <v>6.7307692307692291E-2</v>
      </c>
      <c r="JM261" s="198">
        <f t="shared" ref="JM261" si="5936">JM260/JF260-1</f>
        <v>7.3394495412844041E-2</v>
      </c>
      <c r="JN261" s="198">
        <f t="shared" ref="JN261" si="5937">JN260/JG260-1</f>
        <v>2.6785714285714191E-2</v>
      </c>
      <c r="JO261" s="198">
        <f t="shared" ref="JO261" si="5938">JO260/JH260-1</f>
        <v>3.7426900584795364E-2</v>
      </c>
      <c r="JQ261" s="197" t="str">
        <f t="shared" si="4076"/>
        <v>YoY Change (%)</v>
      </c>
      <c r="JR261" s="198">
        <f>JR260/JK260-1</f>
        <v>5.4726368159204064E-2</v>
      </c>
      <c r="JS261" s="198">
        <f t="shared" ref="JS261" si="5939">JS260/JL260-1</f>
        <v>1.8018018018018056E-2</v>
      </c>
      <c r="JT261" s="198">
        <f t="shared" ref="JT261" si="5940">JT260/JM260-1</f>
        <v>-8.9743589743589758E-2</v>
      </c>
      <c r="JU261" s="198">
        <f t="shared" ref="JU261" si="5941">JU260/JN260-1</f>
        <v>-0.16521739130434787</v>
      </c>
      <c r="JV261" s="198">
        <f t="shared" ref="JV261" si="5942">JV260/JO260-1</f>
        <v>-4.9605411499436314E-2</v>
      </c>
      <c r="JX261" s="197" t="str">
        <f t="shared" si="4081"/>
        <v>YoY Change (%)</v>
      </c>
      <c r="JY261" s="198">
        <f>JY260/JR260-1</f>
        <v>-0.14622641509433965</v>
      </c>
      <c r="JZ261" s="198">
        <f t="shared" ref="JZ261" si="5943">JZ260/JS260-1</f>
        <v>-0.43805309734513276</v>
      </c>
      <c r="KA261" s="198">
        <f t="shared" ref="KA261" si="5944">KA260/JT260-1</f>
        <v>-0.27230046948356812</v>
      </c>
      <c r="KB261" s="198">
        <f t="shared" ref="KB261" si="5945">KB260/JU260-1</f>
        <v>-9.375E-2</v>
      </c>
      <c r="KC261" s="198">
        <f t="shared" ref="KC261" si="5946">KC260/JV260-1</f>
        <v>-0.24436536180308421</v>
      </c>
      <c r="KE261" s="197" t="str">
        <f t="shared" si="4086"/>
        <v>YoY Change (%)</v>
      </c>
      <c r="KF261" s="198">
        <f>KF260/JY260-1</f>
        <v>-4.9723756906077332E-2</v>
      </c>
      <c r="KG261" s="198">
        <f t="shared" ref="KG261" si="5947">KG260/JZ260-1</f>
        <v>0.44094488188976388</v>
      </c>
      <c r="KH261" s="198">
        <f t="shared" ref="KH261" si="5948">KH260/KA260-1</f>
        <v>0.16129032258064524</v>
      </c>
      <c r="KI261" s="198">
        <f t="shared" ref="KI261" si="5949">KI260/KB260-1</f>
        <v>-1.7241379310344862E-2</v>
      </c>
      <c r="KJ261" s="198">
        <f t="shared" ref="KJ261" si="5950">KJ260/KC260-1</f>
        <v>0.10832025117739397</v>
      </c>
      <c r="KL261" s="197" t="str">
        <f t="shared" si="4091"/>
        <v>YoY Change (%)</v>
      </c>
      <c r="KM261" s="198">
        <f>KM260/KF260-1</f>
        <v>-9.8837209302325535E-2</v>
      </c>
      <c r="KN261" s="198">
        <f t="shared" ref="KN261" si="5951">KN260/KG260-1</f>
        <v>-2.732240437158473E-2</v>
      </c>
      <c r="KO261" s="198">
        <f t="shared" ref="KO261" si="5952">KO260/KH260-1</f>
        <v>-1.6666666666666718E-2</v>
      </c>
      <c r="KP261" s="198">
        <f t="shared" ref="KP261" si="5953">KP260/KI260-1</f>
        <v>9.3567251461988299E-2</v>
      </c>
      <c r="KQ261" s="198">
        <f t="shared" ref="KQ261" si="5954">KQ260/KJ260-1</f>
        <v>-1.2747875354107596E-2</v>
      </c>
      <c r="KS261" s="197" t="str">
        <f t="shared" si="4096"/>
        <v>YoY Change (%)</v>
      </c>
      <c r="KT261" s="198">
        <f>KT260/KM260-1</f>
        <v>0.19354838709677424</v>
      </c>
      <c r="KU261" s="198">
        <f t="shared" ref="KU261" si="5955">KU260/KN260-1</f>
        <v>3.9325842696629199E-2</v>
      </c>
      <c r="KV261" s="198">
        <f t="shared" ref="KV261" si="5956">KV260/KO260-1</f>
        <v>9.0395480225988756E-2</v>
      </c>
      <c r="KW261" s="198">
        <f t="shared" ref="KW261" si="5957">KW260/KP260-1</f>
        <v>2.673796791443861E-2</v>
      </c>
      <c r="KX261" s="198">
        <f t="shared" ref="KX261" si="5958">KX260/KQ260-1</f>
        <v>8.3213773314203765E-2</v>
      </c>
      <c r="KZ261" s="197" t="str">
        <f t="shared" si="4101"/>
        <v>YoY Change (%)</v>
      </c>
      <c r="LA261" s="198">
        <f>LA260/KT260-1</f>
        <v>1.6216216216216273E-2</v>
      </c>
      <c r="LB261" s="198">
        <f>LB260/KU260-1</f>
        <v>-3.2432432432432434E-2</v>
      </c>
      <c r="LC261" s="198">
        <f>LC260/KV260-1</f>
        <v>-1.5544041450777257E-2</v>
      </c>
      <c r="LD261" s="198">
        <f t="shared" ref="LD261" si="5959">LD260/KW260-1</f>
        <v>-6.770833333333337E-2</v>
      </c>
      <c r="LE261" s="199">
        <f t="shared" ref="LE261" si="5960">LE260/KX260-1</f>
        <v>-2.5165562913907258E-2</v>
      </c>
      <c r="LF261" s="567"/>
      <c r="LG261" s="197" t="str">
        <f t="shared" si="4104"/>
        <v>YoY Change (%)</v>
      </c>
      <c r="LH261" s="198">
        <f>LH260/LA260-1</f>
        <v>-8.5106382978723416E-2</v>
      </c>
      <c r="LI261" s="198">
        <f>LI260/LB260-1</f>
        <v>1.1173184357541999E-2</v>
      </c>
      <c r="LJ261" s="198">
        <f>LJ260/LC260-1</f>
        <v>-3.157894736842104E-2</v>
      </c>
      <c r="LK261" s="198">
        <f>LK260/LD260-1</f>
        <v>1.1173184357541999E-2</v>
      </c>
      <c r="LL261" s="199">
        <f t="shared" ref="LL261" si="5961">LL260/LE260-1</f>
        <v>-2.4456521739130488E-2</v>
      </c>
      <c r="LM261" s="567"/>
      <c r="LN261" s="197" t="str">
        <f t="shared" si="4106"/>
        <v>YoY Change (%)</v>
      </c>
      <c r="LO261" s="222">
        <v>0.03</v>
      </c>
      <c r="LP261" s="222">
        <v>0.02</v>
      </c>
      <c r="LQ261" s="222">
        <v>2.5000000000000001E-2</v>
      </c>
      <c r="LR261" s="222">
        <v>2.5000000000000001E-2</v>
      </c>
      <c r="LS261" s="199">
        <f t="shared" ref="LS261" si="5962">LS260/LL260-1</f>
        <v>2.4937325905292518E-2</v>
      </c>
      <c r="LT261" s="567"/>
      <c r="LU261" s="197" t="str">
        <f t="shared" si="4610"/>
        <v>YoY Change (%)</v>
      </c>
      <c r="LV261" s="222">
        <v>-5.0000000000000001E-3</v>
      </c>
      <c r="LW261" s="222">
        <v>0</v>
      </c>
      <c r="LX261" s="222">
        <v>-5.0000000000000001E-3</v>
      </c>
      <c r="LY261" s="222">
        <v>-5.0000000000000001E-3</v>
      </c>
      <c r="LZ261" s="199">
        <f t="shared" ref="LZ261" si="5963">LZ260/LS260-1</f>
        <v>-3.7456261338081331E-3</v>
      </c>
      <c r="MA261" s="567"/>
      <c r="MB261" s="197" t="str">
        <f t="shared" si="4612"/>
        <v>YoY Change (%)</v>
      </c>
      <c r="MC261" s="222">
        <v>-7.4999999999999997E-3</v>
      </c>
      <c r="MD261" s="222">
        <v>-7.4999999999999997E-3</v>
      </c>
      <c r="ME261" s="222">
        <v>-7.4999999999999997E-3</v>
      </c>
      <c r="MF261" s="222">
        <v>-7.4999999999999997E-3</v>
      </c>
      <c r="MG261" s="199">
        <f t="shared" ref="MG261" si="5964">MG260/LZ260-1</f>
        <v>-7.4999999999999512E-3</v>
      </c>
      <c r="MH261" s="567"/>
    </row>
    <row r="262" spans="1:346" s="37" customFormat="1" ht="13.15" x14ac:dyDescent="0.4">
      <c r="A262" s="100"/>
      <c r="C262" s="186"/>
      <c r="D262" s="186"/>
      <c r="E262" s="186"/>
      <c r="F262" s="186"/>
      <c r="G262" s="186"/>
      <c r="H262" s="186"/>
      <c r="I262" s="186"/>
      <c r="J262" s="186"/>
      <c r="K262" s="186"/>
      <c r="L262" s="186"/>
      <c r="M262" s="186"/>
      <c r="N262" s="193"/>
      <c r="O262" s="193"/>
      <c r="P262" s="193"/>
      <c r="Q262" s="193"/>
      <c r="R262" s="193"/>
      <c r="S262" s="193"/>
      <c r="T262" s="193"/>
      <c r="U262" s="193"/>
      <c r="V262" s="193"/>
      <c r="W262" s="193"/>
      <c r="X262" s="193"/>
      <c r="Y262" s="193"/>
      <c r="Z262" s="193"/>
      <c r="AA262" s="193"/>
      <c r="AB262" s="193"/>
      <c r="AC262" s="193"/>
      <c r="AD262" s="193"/>
      <c r="AE262" s="193"/>
      <c r="AF262" s="193"/>
      <c r="AG262" s="193"/>
      <c r="AH262" s="193"/>
      <c r="AI262" s="193"/>
      <c r="AJ262" s="193"/>
      <c r="AK262" s="193"/>
      <c r="AL262" s="193"/>
      <c r="AM262" s="193"/>
      <c r="AN262" s="193"/>
      <c r="AO262" s="193"/>
      <c r="AP262" s="193"/>
      <c r="AQ262" s="193"/>
      <c r="AR262" s="193"/>
      <c r="AS262" s="193"/>
      <c r="AT262" s="193"/>
      <c r="AU262" s="193"/>
      <c r="AV262" s="193"/>
      <c r="AW262" s="193"/>
      <c r="AX262" s="193"/>
      <c r="AY262" s="193"/>
      <c r="AZ262" s="193"/>
      <c r="BA262" s="193"/>
      <c r="BB262" s="193"/>
      <c r="BC262" s="193"/>
      <c r="BD262" s="193"/>
      <c r="BE262" s="193"/>
      <c r="BF262" s="193"/>
      <c r="BG262" s="193"/>
      <c r="BH262" s="193"/>
      <c r="BI262" s="193"/>
      <c r="BJ262" s="193"/>
      <c r="BK262" s="193"/>
      <c r="BL262" s="193"/>
      <c r="BM262" s="193"/>
      <c r="BP262" s="193"/>
      <c r="BQ262" s="193"/>
      <c r="BR262" s="193"/>
      <c r="BS262" s="193"/>
      <c r="BT262" s="193"/>
      <c r="BW262" s="193"/>
      <c r="BX262" s="193"/>
      <c r="BY262" s="193"/>
      <c r="BZ262" s="193"/>
      <c r="CA262" s="193"/>
      <c r="CD262" s="193"/>
      <c r="CE262" s="193"/>
      <c r="CF262" s="193"/>
      <c r="CG262" s="193"/>
      <c r="CH262" s="193"/>
      <c r="CK262" s="193"/>
      <c r="CL262" s="193"/>
      <c r="CM262" s="193"/>
      <c r="CN262" s="193"/>
      <c r="CO262" s="193"/>
      <c r="CR262" s="193"/>
      <c r="CS262" s="193"/>
      <c r="CT262" s="193"/>
      <c r="CU262" s="193"/>
      <c r="CV262" s="193"/>
      <c r="CY262" s="193"/>
      <c r="CZ262" s="193"/>
      <c r="DA262" s="193"/>
      <c r="DB262" s="193"/>
      <c r="DC262" s="193"/>
      <c r="DF262" s="193"/>
      <c r="DG262" s="193"/>
      <c r="DH262" s="193"/>
      <c r="DI262" s="193"/>
      <c r="DJ262" s="193"/>
      <c r="DM262" s="193"/>
      <c r="DN262" s="193"/>
      <c r="DO262" s="193"/>
      <c r="DP262" s="193"/>
      <c r="DQ262" s="193"/>
      <c r="DT262" s="193"/>
      <c r="DU262" s="193"/>
      <c r="DV262" s="193"/>
      <c r="DW262" s="193"/>
      <c r="DX262" s="193"/>
      <c r="EA262" s="193"/>
      <c r="EB262" s="193"/>
      <c r="EC262" s="193"/>
      <c r="ED262" s="193"/>
      <c r="EE262" s="193"/>
      <c r="EH262" s="193"/>
      <c r="EI262" s="193"/>
      <c r="EJ262" s="193"/>
      <c r="EK262" s="193"/>
      <c r="EL262" s="193"/>
      <c r="EO262" s="193"/>
      <c r="EP262" s="193"/>
      <c r="EQ262" s="193"/>
      <c r="ER262" s="193"/>
      <c r="ES262" s="193"/>
      <c r="EV262" s="193"/>
      <c r="EW262" s="193"/>
      <c r="EX262" s="193"/>
      <c r="EY262" s="193"/>
      <c r="EZ262" s="193"/>
      <c r="FC262" s="193"/>
      <c r="FD262" s="193"/>
      <c r="FE262" s="193"/>
      <c r="FF262" s="193"/>
      <c r="FG262" s="193"/>
      <c r="FJ262" s="193"/>
      <c r="FK262" s="193"/>
      <c r="FL262" s="193"/>
      <c r="FM262" s="193"/>
      <c r="FN262" s="193"/>
      <c r="FQ262" s="193"/>
      <c r="FR262" s="193"/>
      <c r="FS262" s="193"/>
      <c r="FT262" s="193"/>
      <c r="FU262" s="193"/>
      <c r="FX262" s="193"/>
      <c r="FY262" s="193"/>
      <c r="FZ262" s="193"/>
      <c r="GA262" s="193"/>
      <c r="GB262" s="193"/>
      <c r="GE262" s="193"/>
      <c r="GF262" s="193"/>
      <c r="GG262" s="193"/>
      <c r="GH262" s="193"/>
      <c r="GI262" s="193"/>
      <c r="GL262" s="193"/>
      <c r="GM262" s="193"/>
      <c r="GN262" s="193"/>
      <c r="GO262" s="193"/>
      <c r="GP262" s="193"/>
      <c r="GS262" s="193"/>
      <c r="GT262" s="193"/>
      <c r="GU262" s="193"/>
      <c r="GV262" s="193"/>
      <c r="GW262" s="193"/>
      <c r="GZ262" s="193"/>
      <c r="HA262" s="193"/>
      <c r="HB262" s="193"/>
      <c r="HC262" s="193"/>
      <c r="HD262" s="193"/>
      <c r="HG262" s="193"/>
      <c r="HH262" s="193"/>
      <c r="HI262" s="193"/>
      <c r="HJ262" s="193"/>
      <c r="HK262" s="193"/>
      <c r="HN262" s="193"/>
      <c r="HO262" s="193"/>
      <c r="HP262" s="193"/>
      <c r="HQ262" s="193"/>
      <c r="HR262" s="193"/>
      <c r="HU262" s="193"/>
      <c r="HV262" s="193"/>
      <c r="HW262" s="193"/>
      <c r="HX262" s="193"/>
      <c r="HY262" s="193"/>
      <c r="IB262" s="193"/>
      <c r="IC262" s="193"/>
      <c r="ID262" s="193"/>
      <c r="IE262" s="193"/>
      <c r="IF262" s="193"/>
      <c r="II262" s="193"/>
      <c r="IJ262" s="193"/>
      <c r="IK262" s="193"/>
      <c r="IL262" s="193"/>
      <c r="IM262" s="193"/>
      <c r="IP262" s="193"/>
      <c r="IQ262" s="193"/>
      <c r="IR262" s="193"/>
      <c r="IS262" s="193"/>
      <c r="IT262" s="193"/>
      <c r="IW262" s="193"/>
      <c r="IX262" s="193"/>
      <c r="IY262" s="193"/>
      <c r="IZ262" s="193"/>
      <c r="JA262" s="193"/>
      <c r="JD262" s="193"/>
      <c r="JE262" s="193"/>
      <c r="JF262" s="193"/>
      <c r="JG262" s="193"/>
      <c r="JH262" s="193"/>
      <c r="JK262" s="193"/>
      <c r="JL262" s="193"/>
      <c r="JM262" s="193"/>
      <c r="JN262" s="193"/>
      <c r="JO262" s="193"/>
      <c r="JR262" s="193"/>
      <c r="JS262" s="193"/>
      <c r="JT262" s="193"/>
      <c r="JU262" s="193"/>
      <c r="JV262" s="193"/>
      <c r="JY262" s="193"/>
      <c r="JZ262" s="193"/>
      <c r="KA262" s="193"/>
      <c r="KB262" s="193"/>
      <c r="KC262" s="193"/>
      <c r="KF262" s="193"/>
      <c r="KG262" s="193"/>
      <c r="KH262" s="193"/>
      <c r="KI262" s="193"/>
      <c r="KJ262" s="193"/>
      <c r="KM262" s="193"/>
      <c r="KN262" s="193"/>
      <c r="KO262" s="193"/>
      <c r="KP262" s="193"/>
      <c r="KQ262" s="193"/>
      <c r="KT262" s="193"/>
      <c r="KU262" s="193"/>
      <c r="KV262" s="193"/>
      <c r="KW262" s="193"/>
      <c r="KX262" s="193"/>
      <c r="LA262" s="193"/>
      <c r="LB262" s="193"/>
      <c r="LC262" s="193"/>
      <c r="LD262" s="193"/>
      <c r="LE262" s="200"/>
      <c r="LF262" s="565"/>
      <c r="LH262" s="193"/>
      <c r="LI262" s="193"/>
      <c r="LJ262" s="193"/>
      <c r="LK262" s="193"/>
      <c r="LL262" s="200"/>
      <c r="LM262" s="565"/>
      <c r="LO262" s="200"/>
      <c r="LP262" s="200"/>
      <c r="LQ262" s="200"/>
      <c r="LR262" s="200"/>
      <c r="LS262" s="200"/>
      <c r="LT262" s="565"/>
      <c r="LV262" s="200"/>
      <c r="LW262" s="200"/>
      <c r="LX262" s="200"/>
      <c r="LY262" s="200"/>
      <c r="LZ262" s="200"/>
      <c r="MA262" s="565"/>
      <c r="MC262" s="200"/>
      <c r="MD262" s="200"/>
      <c r="ME262" s="200"/>
      <c r="MF262" s="200"/>
      <c r="MG262" s="200"/>
      <c r="MH262" s="565"/>
    </row>
    <row r="263" spans="1:346" s="37" customFormat="1" ht="13.15" x14ac:dyDescent="0.4">
      <c r="A263" s="100"/>
      <c r="B263" s="37" t="s">
        <v>517</v>
      </c>
      <c r="C263" s="186"/>
      <c r="D263" s="186"/>
      <c r="E263" s="186"/>
      <c r="F263" s="186"/>
      <c r="G263" s="186"/>
      <c r="H263" s="186"/>
      <c r="I263" s="186"/>
      <c r="J263" s="186"/>
      <c r="K263" s="186"/>
      <c r="L263" s="186"/>
      <c r="M263" s="186"/>
      <c r="N263" s="194">
        <f t="shared" ref="N263:AY263" si="5965">IFERROR(N27/N86*1000,"")</f>
        <v>822.23387519664391</v>
      </c>
      <c r="O263" s="194">
        <f t="shared" si="5965"/>
        <v>845.48254620123214</v>
      </c>
      <c r="P263" s="194">
        <f t="shared" si="5965"/>
        <v>876.8115942028985</v>
      </c>
      <c r="Q263" s="194">
        <f t="shared" si="5965"/>
        <v>889.20454545454538</v>
      </c>
      <c r="R263" s="194">
        <f t="shared" si="5965"/>
        <v>870.37037037037032</v>
      </c>
      <c r="S263" s="194">
        <f t="shared" si="5965"/>
        <v>873.06317044100126</v>
      </c>
      <c r="T263" s="194">
        <f t="shared" si="5965"/>
        <v>907.62812872467225</v>
      </c>
      <c r="U263" s="194">
        <f t="shared" si="5965"/>
        <v>925.77440093512564</v>
      </c>
      <c r="V263" s="194">
        <f t="shared" si="5965"/>
        <v>910.15169194865803</v>
      </c>
      <c r="W263" s="194">
        <f t="shared" si="5965"/>
        <v>895.82071471835252</v>
      </c>
      <c r="X263" s="194">
        <f t="shared" si="5965"/>
        <v>914.49814126394051</v>
      </c>
      <c r="Y263" s="194">
        <f t="shared" si="5965"/>
        <v>931.32530120481931</v>
      </c>
      <c r="Z263" s="194">
        <f t="shared" si="5965"/>
        <v>970.38327526132412</v>
      </c>
      <c r="AA263" s="194">
        <f t="shared" si="5965"/>
        <v>971.41041931385007</v>
      </c>
      <c r="AB263" s="194">
        <f t="shared" si="5965"/>
        <v>982.80254777070058</v>
      </c>
      <c r="AC263" s="194">
        <f t="shared" si="5965"/>
        <v>1033.1525015069319</v>
      </c>
      <c r="AD263" s="194">
        <f t="shared" si="5965"/>
        <v>1144.2641946697568</v>
      </c>
      <c r="AE263" s="194">
        <f t="shared" si="5965"/>
        <v>1256.3959955506118</v>
      </c>
      <c r="AF263" s="194">
        <f t="shared" si="5965"/>
        <v>1402.0327498588367</v>
      </c>
      <c r="AG263" s="194">
        <f t="shared" si="5965"/>
        <v>1748.1731309724564</v>
      </c>
      <c r="AH263" s="194">
        <f t="shared" si="5965"/>
        <v>1736.3877822045154</v>
      </c>
      <c r="AI263" s="194">
        <f t="shared" si="5965"/>
        <v>2076.9230769230771</v>
      </c>
      <c r="AJ263" s="194">
        <f t="shared" si="5965"/>
        <v>2419.4390084801043</v>
      </c>
      <c r="AK263" s="194">
        <f t="shared" si="5965"/>
        <v>2472.8682170542634</v>
      </c>
      <c r="AL263" s="194">
        <f t="shared" si="5965"/>
        <v>2422.5941422594142</v>
      </c>
      <c r="AM263" s="194">
        <f t="shared" si="5965"/>
        <v>2257.5277337559428</v>
      </c>
      <c r="AN263" s="194">
        <f t="shared" si="5965"/>
        <v>2163.6876763875821</v>
      </c>
      <c r="AO263" s="194">
        <f t="shared" si="5965"/>
        <v>2187.350835322196</v>
      </c>
      <c r="AP263" s="194">
        <f t="shared" si="5965"/>
        <v>2464.3274853801167</v>
      </c>
      <c r="AQ263" s="194">
        <f t="shared" si="5965"/>
        <v>2532.130777903044</v>
      </c>
      <c r="AR263" s="194">
        <f t="shared" si="5965"/>
        <v>2455.5160142348755</v>
      </c>
      <c r="AS263" s="194">
        <f t="shared" si="5965"/>
        <v>2193.0926216640501</v>
      </c>
      <c r="AT263" s="194">
        <f t="shared" si="5965"/>
        <v>2654.3909348441925</v>
      </c>
      <c r="AU263" s="194">
        <f t="shared" si="5965"/>
        <v>3492.1090387374461</v>
      </c>
      <c r="AV263" s="194">
        <f t="shared" si="5965"/>
        <v>3290.0662251655631</v>
      </c>
      <c r="AW263" s="194">
        <f t="shared" si="5965"/>
        <v>3052.9891304347825</v>
      </c>
      <c r="AX263" s="194">
        <f t="shared" si="5965"/>
        <v>2646.2395543175489</v>
      </c>
      <c r="AY263" s="194">
        <f t="shared" si="5965"/>
        <v>2635.4134025451654</v>
      </c>
      <c r="AZ263" s="194">
        <f t="shared" ref="AZ263:BA263" si="5966">IFERROR(AZ27/AZ86*1000,"")</f>
        <v>2658.1261677825673</v>
      </c>
      <c r="BA263" s="194">
        <f t="shared" si="5966"/>
        <v>2678.2005302270586</v>
      </c>
      <c r="BB263" s="194"/>
      <c r="BC263" s="194"/>
      <c r="BD263" s="194"/>
      <c r="BE263" s="194"/>
      <c r="BF263" s="194"/>
      <c r="BG263" s="194"/>
      <c r="BH263" s="194"/>
      <c r="BI263" s="194"/>
      <c r="BJ263" s="194"/>
      <c r="BK263" s="194"/>
      <c r="BL263" s="194"/>
      <c r="BM263" s="194"/>
      <c r="BO263" s="37" t="str">
        <f t="shared" si="3930"/>
        <v>Revenue per carload ($)</v>
      </c>
      <c r="BP263" s="193">
        <f>IFERROR(BP27/BP86*1000,"")</f>
        <v>810.69958847736621</v>
      </c>
      <c r="BQ263" s="193">
        <f>IFERROR(BQ27/BQ86*1000,"")</f>
        <v>822.08588957055213</v>
      </c>
      <c r="BR263" s="193">
        <f>IFERROR(BR27/BR86*1000,"")</f>
        <v>815.21739130434776</v>
      </c>
      <c r="BS263" s="193">
        <f>IFERROR(BS27/BS86*1000,"")</f>
        <v>841.10169491525426</v>
      </c>
      <c r="BT263" s="193">
        <f>IFERROR(BT27/BT86*1000,"")</f>
        <v>822.23387519664391</v>
      </c>
      <c r="BV263" s="37" t="str">
        <f t="shared" si="3931"/>
        <v>Revenue per carload ($)</v>
      </c>
      <c r="BW263" s="193">
        <f>IFERROR(BW27/BW86*1000,"")</f>
        <v>829.65931863727462</v>
      </c>
      <c r="BX263" s="193">
        <f>IFERROR(BX27/BX86*1000,"")</f>
        <v>821.64328657314638</v>
      </c>
      <c r="BY263" s="193">
        <f>IFERROR(BY27/BY86*1000,"")</f>
        <v>862.21294363256789</v>
      </c>
      <c r="BZ263" s="193">
        <f>IFERROR(BZ27/BZ86*1000,"")</f>
        <v>870.48832271762205</v>
      </c>
      <c r="CA263" s="193">
        <f>IFERROR(CA27/CA86*1000,"")</f>
        <v>845.48254620123214</v>
      </c>
      <c r="CC263" s="37" t="str">
        <f t="shared" si="3936"/>
        <v>Revenue per carload ($)</v>
      </c>
      <c r="CD263" s="193">
        <f>IFERROR(CD27/CD86*1000,"")</f>
        <v>854.87528344671205</v>
      </c>
      <c r="CE263" s="193">
        <f>IFERROR(CE27/CE86*1000,"")</f>
        <v>864.05529953917051</v>
      </c>
      <c r="CF263" s="193">
        <f>IFERROR(CF27/CF86*1000,"")</f>
        <v>902.80777537796973</v>
      </c>
      <c r="CG263" s="193">
        <f>IFERROR(CG27/CG86*1000,"")</f>
        <v>883.77192982456143</v>
      </c>
      <c r="CH263" s="193">
        <f>IFERROR(CH27/CH86*1000,"")</f>
        <v>876.8115942028985</v>
      </c>
      <c r="CJ263" s="37" t="str">
        <f t="shared" si="3941"/>
        <v>Revenue per carload ($)</v>
      </c>
      <c r="CK263" s="193">
        <f>IFERROR(CK27/CK86*1000,"")</f>
        <v>877.82805429864254</v>
      </c>
      <c r="CL263" s="193">
        <f>IFERROR(CL27/CL86*1000,"")</f>
        <v>880.18433179723502</v>
      </c>
      <c r="CM263" s="193">
        <f>IFERROR(CM27/CM86*1000,"")</f>
        <v>898.41986455981942</v>
      </c>
      <c r="CN263" s="193">
        <f>IFERROR(CN27/CN86*1000,"")</f>
        <v>900.22675736961457</v>
      </c>
      <c r="CO263" s="193">
        <f>IFERROR(CO27/CO86*1000,"")</f>
        <v>889.20454545454538</v>
      </c>
      <c r="CQ263" s="37" t="str">
        <f t="shared" si="3946"/>
        <v>Revenue per carload ($)</v>
      </c>
      <c r="CR263" s="193">
        <f>IFERROR(CR27/CR86*1000,"")</f>
        <v>862.94416243654825</v>
      </c>
      <c r="CS263" s="193">
        <f>IFERROR(CS27/CS86*1000,"")</f>
        <v>871.92118226600985</v>
      </c>
      <c r="CT263" s="193">
        <f>IFERROR(CT27/CT86*1000,"")</f>
        <v>869.56521739130437</v>
      </c>
      <c r="CU263" s="193">
        <f>IFERROR(CU27/CU86*1000,"")</f>
        <v>877.33333333333326</v>
      </c>
      <c r="CV263" s="193">
        <f>IFERROR(CV27/CV86*1000,"")</f>
        <v>870.37037037037032</v>
      </c>
      <c r="CX263" s="37" t="str">
        <f t="shared" si="3951"/>
        <v>Revenue per carload ($)</v>
      </c>
      <c r="CY263" s="193">
        <f>IFERROR(CY27/CY86*1000,"")</f>
        <v>856.06060606060612</v>
      </c>
      <c r="CZ263" s="193">
        <f>IFERROR(CZ27/CZ86*1000,"")</f>
        <v>862.23277909738715</v>
      </c>
      <c r="DA263" s="193">
        <f>IFERROR(DA27/DA86*1000,"")</f>
        <v>893.02325581395348</v>
      </c>
      <c r="DB263" s="193">
        <f>IFERROR(DB27/DB86*1000,"")</f>
        <v>879.35034802784219</v>
      </c>
      <c r="DC263" s="193">
        <f>IFERROR(DC27/DC86*1000,"")</f>
        <v>873.06317044100126</v>
      </c>
      <c r="DE263" s="37" t="str">
        <f t="shared" si="3956"/>
        <v>Revenue per carload ($)</v>
      </c>
      <c r="DF263" s="193">
        <f>IFERROR(DF27/DF86*1000,"")</f>
        <v>884.05797101449275</v>
      </c>
      <c r="DG263" s="193">
        <f>IFERROR(DG27/DG86*1000,"")</f>
        <v>902.38095238095241</v>
      </c>
      <c r="DH263" s="193">
        <f>IFERROR(DH27/DH86*1000,"")</f>
        <v>917.25768321512999</v>
      </c>
      <c r="DI263" s="193">
        <f>IFERROR(DI27/DI86*1000,"")</f>
        <v>926.36579572446556</v>
      </c>
      <c r="DJ263" s="193">
        <f>IFERROR(DJ27/DJ86*1000,"")</f>
        <v>907.62812872467225</v>
      </c>
      <c r="DL263" s="37" t="str">
        <f t="shared" si="3961"/>
        <v>Revenue per carload ($)</v>
      </c>
      <c r="DM263" s="193">
        <f>IFERROR(DM27/DM86*1000,"")</f>
        <v>920.39800995024882</v>
      </c>
      <c r="DN263" s="193">
        <f>IFERROR(DN27/DN86*1000,"")</f>
        <v>930.87557603686628</v>
      </c>
      <c r="DO263" s="193">
        <f>IFERROR(DO27/DO86*1000,"")</f>
        <v>933.02540415704379</v>
      </c>
      <c r="DP263" s="193">
        <f>IFERROR(DP27/DP86*1000,"")</f>
        <v>918.55203619909503</v>
      </c>
      <c r="DQ263" s="193">
        <f>IFERROR(DQ27/DQ86*1000,"")</f>
        <v>925.77440093512564</v>
      </c>
      <c r="DS263" s="37" t="str">
        <f t="shared" si="3966"/>
        <v>Revenue per carload ($)</v>
      </c>
      <c r="DT263" s="193">
        <f>IFERROR(DT27/DT86*1000,"")</f>
        <v>904.65116279069764</v>
      </c>
      <c r="DU263" s="193">
        <f>IFERROR(DU27/DU86*1000,"")</f>
        <v>907.36342042755348</v>
      </c>
      <c r="DV263" s="193">
        <f>IFERROR(DV27/DV86*1000,"")</f>
        <v>911.21495327102809</v>
      </c>
      <c r="DW263" s="193">
        <f>IFERROR(DW27/DW86*1000,"")</f>
        <v>917.24137931034477</v>
      </c>
      <c r="DX263" s="193">
        <f>IFERROR(DX27/DX86*1000,"")</f>
        <v>910.15169194865803</v>
      </c>
      <c r="DZ263" s="37" t="str">
        <f t="shared" si="3971"/>
        <v>Revenue per carload ($)</v>
      </c>
      <c r="EA263" s="193">
        <f>IFERROR(EA27/EA86*1000,"")</f>
        <v>850.1228501228502</v>
      </c>
      <c r="EB263" s="193">
        <f>IFERROR(EB27/EB86*1000,"")</f>
        <v>905.33980582524271</v>
      </c>
      <c r="EC263" s="193">
        <f>IFERROR(EC27/EC86*1000,"")</f>
        <v>920.48192771084337</v>
      </c>
      <c r="ED263" s="193">
        <f>IFERROR(ED27/ED86*1000,"")</f>
        <v>906.47482014388493</v>
      </c>
      <c r="EE263" s="193">
        <f>IFERROR(EE27/EE86*1000,"")</f>
        <v>895.82071471835252</v>
      </c>
      <c r="EG263" s="37" t="str">
        <f t="shared" si="3976"/>
        <v>Revenue per carload ($)</v>
      </c>
      <c r="EH263" s="193">
        <f>IFERROR(EH27/EH86*1000,"")</f>
        <v>891.41414141414145</v>
      </c>
      <c r="EI263" s="193">
        <f>IFERROR(EI27/EI86*1000,"")</f>
        <v>912.46684350132625</v>
      </c>
      <c r="EJ263" s="193">
        <f>IFERROR(EJ27/EJ86*1000,"")</f>
        <v>925.23364485981313</v>
      </c>
      <c r="EK263" s="193">
        <f>IFERROR(EK27/EK86*1000,"")</f>
        <v>927.36077481840198</v>
      </c>
      <c r="EL263" s="193">
        <f>IFERROR(EL27/EL86*1000,"")</f>
        <v>914.49814126394051</v>
      </c>
      <c r="EN263" s="37" t="str">
        <f t="shared" si="3981"/>
        <v>Revenue per carload ($)</v>
      </c>
      <c r="EO263" s="193">
        <f>IFERROR(EO27/EO86*1000,"")</f>
        <v>936.86868686868684</v>
      </c>
      <c r="EP263" s="193">
        <f>IFERROR(EP27/EP86*1000,"")</f>
        <v>936.43031784841082</v>
      </c>
      <c r="EQ263" s="193">
        <f>IFERROR(EQ27/EQ86*1000,"")</f>
        <v>916.85912240184757</v>
      </c>
      <c r="ER263" s="193">
        <f>IFERROR(ER27/ER86*1000,"")</f>
        <v>936.01895734597156</v>
      </c>
      <c r="ES263" s="193">
        <f>IFERROR(ES27/ES86*1000,"")</f>
        <v>931.32530120481931</v>
      </c>
      <c r="EU263" s="37" t="str">
        <f t="shared" si="3986"/>
        <v>Revenue per carload ($)</v>
      </c>
      <c r="EV263" s="193">
        <f>IFERROR(EV27/EV86*1000,"")</f>
        <v>947.60820045558091</v>
      </c>
      <c r="EW263" s="193">
        <f>IFERROR(EW27/EW86*1000,"")</f>
        <v>965.11627906976753</v>
      </c>
      <c r="EX263" s="193">
        <f>IFERROR(EX27/EX86*1000,"")</f>
        <v>988.15165876777257</v>
      </c>
      <c r="EY263" s="193">
        <f>IFERROR(EY27/EY86*1000,"")</f>
        <v>981.43851508120645</v>
      </c>
      <c r="EZ263" s="193">
        <f>IFERROR(EZ27/EZ86*1000,"")</f>
        <v>970.38327526132412</v>
      </c>
      <c r="FB263" s="37" t="str">
        <f t="shared" si="3991"/>
        <v>Revenue per carload ($)</v>
      </c>
      <c r="FC263" s="193">
        <f>IFERROR(FC27/FC86*1000,"")</f>
        <v>969.46564885496173</v>
      </c>
      <c r="FD263" s="193">
        <f>IFERROR(FD27/FD86*1000,"")</f>
        <v>971.86700767263426</v>
      </c>
      <c r="FE263" s="193">
        <f>IFERROR(FE27/FE86*1000,"")</f>
        <v>967.08860759493678</v>
      </c>
      <c r="FF263" s="193">
        <f>IFERROR(FF27/FF86*1000,"")</f>
        <v>977.21518987341767</v>
      </c>
      <c r="FG263" s="193">
        <f>IFERROR(FG27/FG86*1000,"")</f>
        <v>971.41041931385007</v>
      </c>
      <c r="FI263" s="37" t="str">
        <f t="shared" si="3996"/>
        <v>Revenue per carload ($)</v>
      </c>
      <c r="FJ263" s="193">
        <f>IFERROR(FJ27/FJ86*1000,"")</f>
        <v>991.95710455764072</v>
      </c>
      <c r="FK263" s="193">
        <f>IFERROR(FK27/FK86*1000,"")</f>
        <v>1002.5</v>
      </c>
      <c r="FL263" s="193">
        <f>IFERROR(FL27/FL86*1000,"")</f>
        <v>982.09718670076734</v>
      </c>
      <c r="FM263" s="193">
        <f>IFERROR(FM27/FM86*1000,"")</f>
        <v>955.66502463054189</v>
      </c>
      <c r="FN263" s="193">
        <f>IFERROR(FN27/FN86*1000,"")</f>
        <v>982.80254777070058</v>
      </c>
      <c r="FP263" s="37" t="str">
        <f t="shared" si="4001"/>
        <v>Revenue per carload ($)</v>
      </c>
      <c r="FQ263" s="193">
        <f>IFERROR(FQ27/FQ86*1000,"")</f>
        <v>1004.9627791563275</v>
      </c>
      <c r="FR263" s="193">
        <f>IFERROR(FR27/FR86*1000,"")</f>
        <v>1039.0243902439024</v>
      </c>
      <c r="FS263" s="193">
        <f>IFERROR(FS27/FS86*1000,"")</f>
        <v>1041.8719211822661</v>
      </c>
      <c r="FT263" s="193">
        <f>IFERROR(FT27/FT86*1000,"")</f>
        <v>1045.4545454545455</v>
      </c>
      <c r="FU263" s="193">
        <f>IFERROR(FU27/FU86*1000,"")</f>
        <v>1033.1525015069319</v>
      </c>
      <c r="FW263" s="37" t="str">
        <f t="shared" si="4006"/>
        <v>Revenue per carload ($)</v>
      </c>
      <c r="FX263" s="193">
        <f>IFERROR(FX27/FX86*1000,"")</f>
        <v>1102.9748283752861</v>
      </c>
      <c r="FY263" s="193">
        <f>IFERROR(FY27/FY86*1000,"")</f>
        <v>1146.1187214611873</v>
      </c>
      <c r="FZ263" s="193">
        <f>IFERROR(FZ27/FZ86*1000,"")</f>
        <v>1163.5071090047393</v>
      </c>
      <c r="GA263" s="193">
        <f>IFERROR(GA27/GA86*1000,"")</f>
        <v>1165.5011655011656</v>
      </c>
      <c r="GB263" s="193">
        <f>IFERROR(GB27/GB86*1000,"")</f>
        <v>1144.2641946697568</v>
      </c>
      <c r="GD263" s="37" t="str">
        <f t="shared" si="4011"/>
        <v>Revenue per carload ($)</v>
      </c>
      <c r="GE263" s="193">
        <f>IFERROR(GE27/GE86*1000,"")</f>
        <v>1210.5263157894738</v>
      </c>
      <c r="GF263" s="193">
        <f>IFERROR(GF27/GF86*1000,"")</f>
        <v>1260.0896860986547</v>
      </c>
      <c r="GG263" s="193">
        <f>IFERROR(GG27/GG86*1000,"")</f>
        <v>1266.0753880266075</v>
      </c>
      <c r="GH263" s="193">
        <f>IFERROR(GH27/GH86*1000,"")</f>
        <v>1289.8876404494381</v>
      </c>
      <c r="GI263" s="193">
        <f>IFERROR(GI27/GI86*1000,"")</f>
        <v>1256.3959955506118</v>
      </c>
      <c r="GK263" s="37" t="str">
        <f t="shared" si="4016"/>
        <v>Revenue per carload ($)</v>
      </c>
      <c r="GL263" s="193">
        <f>IFERROR(GL27/GL86*1000,"")</f>
        <v>1367.3469387755101</v>
      </c>
      <c r="GM263" s="193">
        <f>IFERROR(GM27/GM86*1000,"")</f>
        <v>1373.3031674208146</v>
      </c>
      <c r="GN263" s="193">
        <f>IFERROR(GN27/GN86*1000,"")</f>
        <v>1403.6281179138321</v>
      </c>
      <c r="GO263" s="193">
        <f>IFERROR(GO27/GO86*1000,"")</f>
        <v>1463.0872483221478</v>
      </c>
      <c r="GP263" s="193">
        <f>IFERROR(GP27/GP86*1000,"")</f>
        <v>1402.0327498588367</v>
      </c>
      <c r="GR263" s="37" t="str">
        <f t="shared" si="4021"/>
        <v>Revenue per carload ($)</v>
      </c>
      <c r="GS263" s="193">
        <f>IFERROR(GS27/GS86*1000,"")</f>
        <v>1636.3636363636365</v>
      </c>
      <c r="GT263" s="193">
        <f>IFERROR(GT27/GT86*1000,"")</f>
        <v>1726.6666666666665</v>
      </c>
      <c r="GU263" s="193">
        <f>IFERROR(GU27/GU86*1000,"")</f>
        <v>1822.7272727272727</v>
      </c>
      <c r="GV263" s="193">
        <f>IFERROR(GV27/GV86*1000,"")</f>
        <v>1806.2360801781736</v>
      </c>
      <c r="GW263" s="193">
        <f>IFERROR(GW27/GW86*1000,"")</f>
        <v>1748.1731309724564</v>
      </c>
      <c r="GY263" s="37" t="str">
        <f t="shared" si="4026"/>
        <v>Revenue per carload ($)</v>
      </c>
      <c r="GZ263" s="193">
        <f>IFERROR(GZ27/GZ86*1000,"")</f>
        <v>1718.0722891566265</v>
      </c>
      <c r="HA263" s="193">
        <f>IFERROR(HA27/HA86*1000,"")</f>
        <v>1770.0831024930749</v>
      </c>
      <c r="HB263" s="193">
        <f>IFERROR(HB27/HB86*1000,"")</f>
        <v>1789.041095890411</v>
      </c>
      <c r="HC263" s="193">
        <f>IFERROR(HC27/HC86*1000,"")</f>
        <v>1671.2328767123288</v>
      </c>
      <c r="HD263" s="193">
        <f>IFERROR(HD27/HD86*1000,"")</f>
        <v>1736.3877822045154</v>
      </c>
      <c r="HF263" s="37" t="str">
        <f t="shared" si="4031"/>
        <v>Revenue per carload ($)</v>
      </c>
      <c r="HG263" s="193">
        <f>IFERROR(HG27/HG86*1000,"")</f>
        <v>1973.1903485254691</v>
      </c>
      <c r="HH263" s="193">
        <f>IFERROR(HH27/HH86*1000,"")</f>
        <v>2082.2942643391521</v>
      </c>
      <c r="HI263" s="193">
        <f>IFERROR(HI27/HI86*1000,"")</f>
        <v>2130.1020408163267</v>
      </c>
      <c r="HJ263" s="193">
        <f>IFERROR(HJ27/HJ86*1000,"")</f>
        <v>2115.4791154791151</v>
      </c>
      <c r="HK263" s="193">
        <f>IFERROR(HK27/HK86*1000,"")</f>
        <v>2076.9230769230771</v>
      </c>
      <c r="HM263" s="37" t="str">
        <f t="shared" si="4036"/>
        <v>Revenue per carload ($)</v>
      </c>
      <c r="HN263" s="193">
        <f>IFERROR(HN27/HN86*1000,"")</f>
        <v>2283.1168831168834</v>
      </c>
      <c r="HO263" s="193">
        <f>IFERROR(HO27/HO86*1000,"")</f>
        <v>2469.0721649484535</v>
      </c>
      <c r="HP263" s="193">
        <f>IFERROR(HP27/HP86*1000,"")</f>
        <v>2479.2746113989638</v>
      </c>
      <c r="HQ263" s="193">
        <f>IFERROR(HQ27/HQ86*1000,"")</f>
        <v>2446.524064171123</v>
      </c>
      <c r="HR263" s="193">
        <f>IFERROR(HR27/HR86*1000,"")</f>
        <v>2419.4390084801043</v>
      </c>
      <c r="HT263" s="37" t="str">
        <f t="shared" si="4041"/>
        <v>Revenue per carload ($)</v>
      </c>
      <c r="HU263" s="193">
        <f>IFERROR(HU27/HU86*1000,"")</f>
        <v>2513.595166163142</v>
      </c>
      <c r="HV263" s="193">
        <f>IFERROR(HV27/HV86*1000,"")</f>
        <v>2477.3413897280966</v>
      </c>
      <c r="HW263" s="193">
        <f>IFERROR(HW27/HW86*1000,"")</f>
        <v>2448.9164086687306</v>
      </c>
      <c r="HX263" s="193">
        <f>IFERROR(HX27/HX86*1000,"")</f>
        <v>2449.1803278688526</v>
      </c>
      <c r="HY263" s="193">
        <f>IFERROR(HY27/HY86*1000,"")</f>
        <v>2472.8682170542634</v>
      </c>
      <c r="IA263" s="37" t="str">
        <f t="shared" si="4046"/>
        <v>Revenue per carload ($)</v>
      </c>
      <c r="IB263" s="193">
        <f>IFERROR(IB27/IB86*1000,"")</f>
        <v>2444.4444444444448</v>
      </c>
      <c r="IC263" s="193">
        <f>IFERROR(IC27/IC86*1000,"")</f>
        <v>2483.8709677419356</v>
      </c>
      <c r="ID263" s="193">
        <f>IFERROR(ID27/ID86*1000,"")</f>
        <v>2408.0267558528431</v>
      </c>
      <c r="IE263" s="193">
        <f>IFERROR(IE27/IE86*1000,"")</f>
        <v>2349.4809688581313</v>
      </c>
      <c r="IF263" s="193">
        <f>IFERROR(IF27/IF86*1000,"")</f>
        <v>2422.5941422594142</v>
      </c>
      <c r="IH263" s="37" t="str">
        <f t="shared" si="4051"/>
        <v>Revenue per carload ($)</v>
      </c>
      <c r="II263" s="193">
        <f>IFERROR(II27/II86*1000,"")</f>
        <v>2259.3856655290101</v>
      </c>
      <c r="IJ263" s="193">
        <f>IFERROR(IJ27/IJ86*1000,"")</f>
        <v>2254.5454545454545</v>
      </c>
      <c r="IK263" s="193">
        <f>IFERROR(IK27/IK86*1000,"")</f>
        <v>2260.1880877742947</v>
      </c>
      <c r="IL263" s="193">
        <f>IFERROR(IL27/IL86*1000,"")</f>
        <v>2256.25</v>
      </c>
      <c r="IM263" s="193">
        <f>IFERROR(IM27/IM86*1000,"")</f>
        <v>2257.5277337559428</v>
      </c>
      <c r="IO263" s="37" t="str">
        <f t="shared" si="4056"/>
        <v>Revenue per carload ($)</v>
      </c>
      <c r="IP263" s="193">
        <f>IFERROR(IP27/IP86*1000,"")</f>
        <v>2207.6124567474048</v>
      </c>
      <c r="IQ263" s="193">
        <f>IFERROR(IQ27/IQ86*1000,"")</f>
        <v>2135.593220338983</v>
      </c>
      <c r="IR263" s="193">
        <f>IFERROR(IR27/IR86*1000,"")</f>
        <v>2233.7164750957854</v>
      </c>
      <c r="IS263" s="193">
        <f>IFERROR(IS27/IS86*1000,"")</f>
        <v>2059.6330275229357</v>
      </c>
      <c r="IT263" s="193">
        <f>IFERROR(IT27/IT86*1000,"")</f>
        <v>2163.6876763875821</v>
      </c>
      <c r="IV263" s="37" t="str">
        <f t="shared" si="4061"/>
        <v>Revenue per carload ($)</v>
      </c>
      <c r="IW263" s="193">
        <f>IFERROR(IW27/IW86*1000,"")</f>
        <v>1995</v>
      </c>
      <c r="IX263" s="193">
        <f>IFERROR(IX27/IX86*1000,"")</f>
        <v>2133.3333333333335</v>
      </c>
      <c r="IY263" s="193">
        <f>IFERROR(IY27/IY86*1000,"")</f>
        <v>2256.0386473429949</v>
      </c>
      <c r="IZ263" s="193">
        <f>IFERROR(IZ27/IZ86*1000,"")</f>
        <v>2334.7457627118647</v>
      </c>
      <c r="JA263" s="193">
        <f>IFERROR(JA27/JA86*1000,"")</f>
        <v>2187.350835322196</v>
      </c>
      <c r="JC263" s="37" t="str">
        <f t="shared" si="4066"/>
        <v>Revenue per carload ($)</v>
      </c>
      <c r="JD263" s="193">
        <f>IFERROR(JD27/JD86*1000,"")</f>
        <v>2546.3414634146343</v>
      </c>
      <c r="JE263" s="193">
        <f>IFERROR(JE27/JE86*1000,"")</f>
        <v>2548.0769230769229</v>
      </c>
      <c r="JF263" s="193">
        <f>IFERROR(JF27/JF86*1000,"")</f>
        <v>2357.7981651376144</v>
      </c>
      <c r="JG263" s="193">
        <f>IFERROR(JG27/JG86*1000,"")</f>
        <v>2415.1785714285716</v>
      </c>
      <c r="JH263" s="193">
        <f>IFERROR(JH27/JH86*1000,"")</f>
        <v>2464.3274853801167</v>
      </c>
      <c r="JJ263" s="37" t="str">
        <f t="shared" si="4071"/>
        <v>Revenue per carload ($)</v>
      </c>
      <c r="JK263" s="193">
        <f>IFERROR(JK27/JK86*1000,"")</f>
        <v>2502.4875621890546</v>
      </c>
      <c r="JL263" s="193">
        <f>IFERROR(JL27/JL86*1000,"")</f>
        <v>2563.0630630630631</v>
      </c>
      <c r="JM263" s="193">
        <f>IFERROR(JM27/JM86*1000,"")</f>
        <v>2512.8205128205127</v>
      </c>
      <c r="JN263" s="193">
        <f>IFERROR(JN27/JN86*1000,"")</f>
        <v>2547.8260869565215</v>
      </c>
      <c r="JO263" s="193">
        <f>IFERROR(JO27/JO86*1000,"")</f>
        <v>2532.130777903044</v>
      </c>
      <c r="JQ263" s="37" t="str">
        <f t="shared" si="4076"/>
        <v>Revenue per carload ($)</v>
      </c>
      <c r="JR263" s="193">
        <f>IFERROR(JR27/JR86*1000,"")</f>
        <v>2537.7358490566039</v>
      </c>
      <c r="JS263" s="193">
        <f>IFERROR(JS27/JS86*1000,"")</f>
        <v>2464.6017699115046</v>
      </c>
      <c r="JT263" s="193">
        <f>IFERROR(JT27/JT86*1000,"")</f>
        <v>2422.5352112676055</v>
      </c>
      <c r="JU263" s="193">
        <f>IFERROR(JU27/JU86*1000,"")</f>
        <v>2390.625</v>
      </c>
      <c r="JV263" s="193">
        <f>IFERROR(JV27/JV86*1000,"")</f>
        <v>2455.5160142348755</v>
      </c>
      <c r="JX263" s="37" t="str">
        <f t="shared" si="4081"/>
        <v>Revenue per carload ($)</v>
      </c>
      <c r="JY263" s="193">
        <f>IFERROR(JY27/JY86*1000,"")</f>
        <v>2237.5690607734805</v>
      </c>
      <c r="JZ263" s="193">
        <f>IFERROR(JZ27/JZ86*1000,"")</f>
        <v>2259.8425196850394</v>
      </c>
      <c r="KA263" s="193">
        <f>IFERROR(KA27/KA86*1000,"")</f>
        <v>2129.0322580645161</v>
      </c>
      <c r="KB263" s="193">
        <f>IFERROR(KB27/KB86*1000,"")</f>
        <v>2155.1724137931037</v>
      </c>
      <c r="KC263" s="193">
        <f>IFERROR(KC27/KC86*1000,"")</f>
        <v>2193.0926216640501</v>
      </c>
      <c r="KE263" s="37" t="str">
        <f t="shared" si="4086"/>
        <v>Revenue per carload ($)</v>
      </c>
      <c r="KF263" s="193">
        <f>IFERROR(KF27/KF86*1000,"")</f>
        <v>2720.9302325581393</v>
      </c>
      <c r="KG263" s="193">
        <f>IFERROR(KG27/KG86*1000,"")</f>
        <v>2311.4754098360659</v>
      </c>
      <c r="KH263" s="193">
        <f>IFERROR(KH27/KH86*1000,"")</f>
        <v>2555.5555555555552</v>
      </c>
      <c r="KI263" s="193">
        <f>IFERROR(KI27/KI86*1000,"")</f>
        <v>3058.4795321637425</v>
      </c>
      <c r="KJ263" s="193">
        <f>IFERROR(KJ27/KJ86*1000,"")</f>
        <v>2654.3909348441925</v>
      </c>
      <c r="KL263" s="37" t="str">
        <f t="shared" si="4091"/>
        <v>Revenue per carload ($)</v>
      </c>
      <c r="KM263" s="193">
        <f>IFERROR(KM27/KM86*1000,"")</f>
        <v>3438.7096774193546</v>
      </c>
      <c r="KN263" s="193">
        <f>IFERROR(KN27/KN86*1000,"")</f>
        <v>3657.303370786517</v>
      </c>
      <c r="KO263" s="193">
        <f>IFERROR(KO27/KO86*1000,"")</f>
        <v>3525.4237288135591</v>
      </c>
      <c r="KP263" s="193">
        <f>IFERROR(KP27/KP86*1000,"")</f>
        <v>3347.5935828877004</v>
      </c>
      <c r="KQ263" s="193">
        <f>IFERROR(KQ27/KQ86*1000,"")</f>
        <v>3492.1090387374461</v>
      </c>
      <c r="KS263" s="37" t="str">
        <f t="shared" si="4096"/>
        <v>Revenue per carload ($)</v>
      </c>
      <c r="KT263" s="193">
        <f>IFERROR(KT27/KT86*1000,"")</f>
        <v>3421.6216216216217</v>
      </c>
      <c r="KU263" s="193">
        <f>IFERROR(KU27/KU86*1000,"")</f>
        <v>3443.2432432432433</v>
      </c>
      <c r="KV263" s="193">
        <f>IFERROR(KV27/KV86*1000,"")</f>
        <v>3077.7202072538857</v>
      </c>
      <c r="KW263" s="193">
        <f>IFERROR(KW27/KW86*1000,"")</f>
        <v>3229.1666666666665</v>
      </c>
      <c r="KX263" s="193">
        <f>IFERROR(KX27/KX86*1000,"")</f>
        <v>3290.0662251655631</v>
      </c>
      <c r="KY263" s="522"/>
      <c r="KZ263" s="37" t="str">
        <f t="shared" si="4101"/>
        <v>Revenue per carload ($)</v>
      </c>
      <c r="LA263" s="193">
        <f>IFERROR(LA27/LA86*1000,"")</f>
        <v>3361.7021276595747</v>
      </c>
      <c r="LB263" s="193">
        <f>IFERROR(LB27/LB86*1000,"")</f>
        <v>3145.2513966480446</v>
      </c>
      <c r="LC263" s="193">
        <f>IFERROR(LC27/LC86*1000,"")</f>
        <v>2910.5263157894738</v>
      </c>
      <c r="LD263" s="193">
        <f>IFERROR(LD27/LD86*1000,"")</f>
        <v>2787.7094972067039</v>
      </c>
      <c r="LE263" s="193">
        <f>LE266/LE260*1000</f>
        <v>3052.9891304347825</v>
      </c>
      <c r="LF263" s="563"/>
      <c r="LG263" s="37" t="str">
        <f t="shared" si="4104"/>
        <v>Revenue per carload ($)</v>
      </c>
      <c r="LH263" s="193">
        <f>IFERROR(LH27/LH86*1000,"")</f>
        <v>2680.2325581395348</v>
      </c>
      <c r="LI263" s="193">
        <f>IFERROR(LI27/LI86*1000,"")</f>
        <v>2635.3591160220994</v>
      </c>
      <c r="LJ263" s="193">
        <f>IFERROR(LJ27/LJ86*1000,"")</f>
        <v>2663.0434782608695</v>
      </c>
      <c r="LK263" s="193">
        <f>IFERROR(LK27/LK86*1000,"")</f>
        <v>2607.7348066298341</v>
      </c>
      <c r="LL263" s="193">
        <f>LL266/LL260*1000</f>
        <v>2646.2395543175489</v>
      </c>
      <c r="LM263" s="563"/>
      <c r="LN263" s="37" t="str">
        <f t="shared" si="4106"/>
        <v>Revenue per carload ($)</v>
      </c>
      <c r="LO263" s="193">
        <f>(LH263)*(1+LO264)</f>
        <v>2599.8255813953488</v>
      </c>
      <c r="LP263" s="193">
        <f t="shared" ref="LP263" si="5967">(LI263)*(1+LP264)</f>
        <v>2622.1823204419888</v>
      </c>
      <c r="LQ263" s="193">
        <f>(LJ263)*(1+LQ264)</f>
        <v>2657.717391304348</v>
      </c>
      <c r="LR263" s="193">
        <f t="shared" ref="LR263" si="5968">(LK263)*(1+LR264)</f>
        <v>2659.8895027624308</v>
      </c>
      <c r="LS263" s="193">
        <f>LS266/LS260*1000</f>
        <v>2635.4134025451654</v>
      </c>
      <c r="LT263" s="563"/>
      <c r="LU263" s="37" t="str">
        <f t="shared" si="4610"/>
        <v>Revenue per carload ($)</v>
      </c>
      <c r="LV263" s="193">
        <f>(LO263)*(1+LV264)</f>
        <v>2638.8229651162787</v>
      </c>
      <c r="LW263" s="193">
        <f t="shared" ref="LW263" si="5969">(LP263)*(1+LW264)</f>
        <v>2648.4041436464086</v>
      </c>
      <c r="LX263" s="193">
        <f t="shared" ref="LX263" si="5970">(LQ263)*(1+LX264)</f>
        <v>2671.0059782608696</v>
      </c>
      <c r="LY263" s="193">
        <f t="shared" ref="LY263" si="5971">(LR263)*(1+LY264)</f>
        <v>2673.1889502762428</v>
      </c>
      <c r="LZ263" s="193">
        <f>LZ266/LZ260*1000</f>
        <v>2658.1261677825673</v>
      </c>
      <c r="MA263" s="563"/>
      <c r="MB263" s="37" t="str">
        <f t="shared" si="4612"/>
        <v>Revenue per carload ($)</v>
      </c>
      <c r="MC263" s="193">
        <f>(LV263)*(1+MC264)</f>
        <v>2652.0170799418597</v>
      </c>
      <c r="MD263" s="193">
        <f t="shared" ref="MD263" si="5972">(LW263)*(1+MD264)</f>
        <v>2661.6461643646403</v>
      </c>
      <c r="ME263" s="193">
        <f t="shared" ref="ME263" si="5973">(LX263)*(1+ME264)</f>
        <v>2697.7160380434784</v>
      </c>
      <c r="MF263" s="193">
        <f t="shared" ref="MF263" si="5974">(LY263)*(1+MF264)</f>
        <v>2699.9208397790053</v>
      </c>
      <c r="MG263" s="193">
        <f>MG266/MG260*1000</f>
        <v>2678.2005302270586</v>
      </c>
      <c r="MH263" s="563"/>
    </row>
    <row r="264" spans="1:346" s="37" customFormat="1" ht="13.15" x14ac:dyDescent="0.4">
      <c r="A264" s="100"/>
      <c r="B264" s="197" t="s">
        <v>516</v>
      </c>
      <c r="C264" s="186"/>
      <c r="D264" s="186"/>
      <c r="E264" s="186"/>
      <c r="F264" s="186"/>
      <c r="G264" s="186"/>
      <c r="H264" s="186"/>
      <c r="I264" s="186"/>
      <c r="J264" s="186"/>
      <c r="K264" s="186"/>
      <c r="L264" s="186"/>
      <c r="M264" s="186"/>
      <c r="N264" s="193"/>
      <c r="O264" s="198">
        <f>O263/N263-1</f>
        <v>2.8275009952646535E-2</v>
      </c>
      <c r="P264" s="198">
        <f t="shared" ref="P264:BA264" si="5975">P263/O263-1</f>
        <v>3.7054636009256958E-2</v>
      </c>
      <c r="Q264" s="198">
        <f t="shared" si="5975"/>
        <v>1.4134109691960939E-2</v>
      </c>
      <c r="R264" s="198">
        <f t="shared" si="5975"/>
        <v>-2.1180925334279954E-2</v>
      </c>
      <c r="S264" s="198">
        <f t="shared" si="5975"/>
        <v>3.0938554002992724E-3</v>
      </c>
      <c r="T264" s="198">
        <f t="shared" si="5975"/>
        <v>3.9590443686006838E-2</v>
      </c>
      <c r="U264" s="198">
        <f t="shared" si="5975"/>
        <v>1.9993069447892919E-2</v>
      </c>
      <c r="V264" s="198">
        <f t="shared" si="5975"/>
        <v>-1.6875287295357366E-2</v>
      </c>
      <c r="W264" s="198">
        <f t="shared" si="5975"/>
        <v>-1.574570190560487E-2</v>
      </c>
      <c r="X264" s="198">
        <f t="shared" si="5975"/>
        <v>2.0849514014040338E-2</v>
      </c>
      <c r="Y264" s="198">
        <f t="shared" si="5975"/>
        <v>1.8400430992261851E-2</v>
      </c>
      <c r="Z264" s="198">
        <f t="shared" si="5975"/>
        <v>4.1938057525095607E-2</v>
      </c>
      <c r="AA264" s="198">
        <f t="shared" si="5975"/>
        <v>1.0584931528723196E-3</v>
      </c>
      <c r="AB264" s="198">
        <f t="shared" si="5975"/>
        <v>1.17274101969147E-2</v>
      </c>
      <c r="AC264" s="198">
        <f t="shared" si="5975"/>
        <v>5.1230996348595736E-2</v>
      </c>
      <c r="AD264" s="198">
        <f t="shared" si="5975"/>
        <v>0.10754626543589629</v>
      </c>
      <c r="AE264" s="198">
        <f t="shared" si="5975"/>
        <v>9.7994677630559801E-2</v>
      </c>
      <c r="AF264" s="198">
        <f t="shared" si="5975"/>
        <v>0.11591628342018079</v>
      </c>
      <c r="AG264" s="198">
        <f t="shared" si="5975"/>
        <v>0.24688466168031442</v>
      </c>
      <c r="AH264" s="198">
        <f t="shared" si="5975"/>
        <v>-6.7415226553592111E-3</v>
      </c>
      <c r="AI264" s="198">
        <f t="shared" si="5975"/>
        <v>0.19611707604059436</v>
      </c>
      <c r="AJ264" s="198">
        <f t="shared" si="5975"/>
        <v>0.16491507815708717</v>
      </c>
      <c r="AK264" s="198">
        <f t="shared" si="5975"/>
        <v>2.2083304595358788E-2</v>
      </c>
      <c r="AL264" s="198">
        <f t="shared" si="5975"/>
        <v>-2.0330268490707071E-2</v>
      </c>
      <c r="AM264" s="198">
        <f t="shared" si="5975"/>
        <v>-6.8136220435802475E-2</v>
      </c>
      <c r="AN264" s="198">
        <f t="shared" si="5975"/>
        <v>-4.156762105962486E-2</v>
      </c>
      <c r="AO264" s="198">
        <f t="shared" si="5975"/>
        <v>1.0936494759780313E-2</v>
      </c>
      <c r="AP264" s="198">
        <f t="shared" si="5975"/>
        <v>0.12662653177770733</v>
      </c>
      <c r="AQ264" s="198">
        <f t="shared" si="5975"/>
        <v>2.7513913197485973E-2</v>
      </c>
      <c r="AR264" s="198">
        <f t="shared" si="5975"/>
        <v>-3.0257032668595474E-2</v>
      </c>
      <c r="AS264" s="198">
        <f t="shared" si="5975"/>
        <v>-0.10687097581507532</v>
      </c>
      <c r="AT264" s="198">
        <f t="shared" si="5975"/>
        <v>0.21034146420597777</v>
      </c>
      <c r="AU264" s="198">
        <f t="shared" si="5975"/>
        <v>0.31559710851047873</v>
      </c>
      <c r="AV264" s="198">
        <f t="shared" si="5975"/>
        <v>-5.7856960172392169E-2</v>
      </c>
      <c r="AW264" s="198">
        <f t="shared" si="5975"/>
        <v>-7.205845673177913E-2</v>
      </c>
      <c r="AX264" s="198">
        <f t="shared" si="5975"/>
        <v>-0.13322994571530211</v>
      </c>
      <c r="AY264" s="198">
        <f t="shared" si="5975"/>
        <v>-4.0911457750375524E-3</v>
      </c>
      <c r="AZ264" s="198">
        <f t="shared" si="5975"/>
        <v>8.6182931358955717E-3</v>
      </c>
      <c r="BA264" s="198">
        <f t="shared" si="5975"/>
        <v>7.5520728428166706E-3</v>
      </c>
      <c r="BB264" s="198"/>
      <c r="BC264" s="198"/>
      <c r="BD264" s="198"/>
      <c r="BE264" s="198"/>
      <c r="BF264" s="198"/>
      <c r="BG264" s="198"/>
      <c r="BH264" s="198"/>
      <c r="BI264" s="198"/>
      <c r="BJ264" s="198"/>
      <c r="BK264" s="198"/>
      <c r="BL264" s="198"/>
      <c r="BM264" s="198"/>
      <c r="BO264" s="197" t="str">
        <f t="shared" si="3930"/>
        <v>YoY Change (%)</v>
      </c>
      <c r="BP264" s="193"/>
      <c r="BQ264" s="193"/>
      <c r="BR264" s="193"/>
      <c r="BS264" s="193"/>
      <c r="BT264" s="193"/>
      <c r="BV264" s="197" t="str">
        <f t="shared" si="3931"/>
        <v>YoY Change (%)</v>
      </c>
      <c r="BW264" s="198">
        <f>BW263/BP263-1</f>
        <v>2.3386875273389673E-2</v>
      </c>
      <c r="BX264" s="198">
        <f t="shared" ref="BX264" si="5976">BX263/BQ263-1</f>
        <v>-5.3839021326218539E-4</v>
      </c>
      <c r="BY264" s="198">
        <f t="shared" ref="BY264" si="5977">BY263/BR263-1</f>
        <v>5.7647877522616797E-2</v>
      </c>
      <c r="BZ264" s="198">
        <f t="shared" ref="BZ264" si="5978">BZ263/BS263-1</f>
        <v>3.4938257739842715E-2</v>
      </c>
      <c r="CA264" s="198">
        <f t="shared" ref="CA264" si="5979">CA263/BT263-1</f>
        <v>2.8275009952646535E-2</v>
      </c>
      <c r="CC264" s="197" t="str">
        <f t="shared" si="3936"/>
        <v>YoY Change (%)</v>
      </c>
      <c r="CD264" s="198">
        <f>CD263/BW263-1</f>
        <v>3.0393155651954773E-2</v>
      </c>
      <c r="CE264" s="198">
        <f t="shared" ref="CE264" si="5980">CE263/BX263-1</f>
        <v>5.1618523097673341E-2</v>
      </c>
      <c r="CF264" s="198">
        <f t="shared" ref="CF264" si="5981">CF263/BY263-1</f>
        <v>4.7082141419001244E-2</v>
      </c>
      <c r="CG264" s="198">
        <f t="shared" ref="CG264" si="5982">CG263/BZ263-1</f>
        <v>1.5259948652118105E-2</v>
      </c>
      <c r="CH264" s="198">
        <f t="shared" ref="CH264" si="5983">CH263/CA263-1</f>
        <v>3.7054636009256958E-2</v>
      </c>
      <c r="CJ264" s="197" t="str">
        <f t="shared" si="3941"/>
        <v>YoY Change (%)</v>
      </c>
      <c r="CK264" s="198">
        <f>CK263/CD263-1</f>
        <v>2.6849262455441281E-2</v>
      </c>
      <c r="CL264" s="198">
        <f t="shared" ref="CL264" si="5984">CL263/CE263-1</f>
        <v>1.8666666666666609E-2</v>
      </c>
      <c r="CM264" s="198">
        <f t="shared" ref="CM264" si="5985">CM263/CF263-1</f>
        <v>-4.8602935617311216E-3</v>
      </c>
      <c r="CN264" s="198">
        <f t="shared" ref="CN264" si="5986">CN263/CG263-1</f>
        <v>1.8618861936834374E-2</v>
      </c>
      <c r="CO264" s="198">
        <f t="shared" ref="CO264" si="5987">CO263/CH263-1</f>
        <v>1.4134109691960939E-2</v>
      </c>
      <c r="CQ264" s="197" t="str">
        <f t="shared" si="3946"/>
        <v>YoY Change (%)</v>
      </c>
      <c r="CR264" s="198">
        <f>CR263/CK263-1</f>
        <v>-1.6955361348055864E-2</v>
      </c>
      <c r="CS264" s="198">
        <f t="shared" ref="CS264" si="5988">CS263/CL263-1</f>
        <v>-9.3879761689835695E-3</v>
      </c>
      <c r="CT264" s="198">
        <f t="shared" ref="CT264" si="5989">CT263/CM263-1</f>
        <v>-3.2117107275507983E-2</v>
      </c>
      <c r="CU264" s="198">
        <f t="shared" ref="CU264" si="5990">CU263/CN263-1</f>
        <v>-2.5430730478589569E-2</v>
      </c>
      <c r="CV264" s="198">
        <f t="shared" ref="CV264" si="5991">CV263/CO263-1</f>
        <v>-2.1180925334279954E-2</v>
      </c>
      <c r="CX264" s="197" t="str">
        <f t="shared" si="3951"/>
        <v>YoY Change (%)</v>
      </c>
      <c r="CY264" s="198">
        <f>CY263/CR263-1</f>
        <v>-7.9768270944741149E-3</v>
      </c>
      <c r="CZ264" s="198">
        <f t="shared" ref="CZ264" si="5992">CZ263/CS263-1</f>
        <v>-1.1111558436329938E-2</v>
      </c>
      <c r="DA264" s="198">
        <f t="shared" ref="DA264" si="5993">DA263/CT263-1</f>
        <v>2.6976744186046453E-2</v>
      </c>
      <c r="DB264" s="198">
        <f t="shared" ref="DB264" si="5994">DB263/CU263-1</f>
        <v>2.299028907114975E-3</v>
      </c>
      <c r="DC264" s="198">
        <f t="shared" ref="DC264" si="5995">DC263/CV263-1</f>
        <v>3.0938554002992724E-3</v>
      </c>
      <c r="DE264" s="197" t="str">
        <f t="shared" si="3956"/>
        <v>YoY Change (%)</v>
      </c>
      <c r="DF264" s="198">
        <f>DF263/CY263-1</f>
        <v>3.2704886494805629E-2</v>
      </c>
      <c r="DG264" s="198">
        <f t="shared" ref="DG264" si="5996">DG263/CZ263-1</f>
        <v>4.6563032926669301E-2</v>
      </c>
      <c r="DH264" s="198">
        <f t="shared" ref="DH264" si="5997">DH263/DA263-1</f>
        <v>2.7137509850275743E-2</v>
      </c>
      <c r="DI264" s="198">
        <f t="shared" ref="DI264" si="5998">DI263/DB263-1</f>
        <v>5.3466115982175877E-2</v>
      </c>
      <c r="DJ264" s="198">
        <f t="shared" ref="DJ264" si="5999">DJ263/DC263-1</f>
        <v>3.9590443686006838E-2</v>
      </c>
      <c r="DL264" s="197" t="str">
        <f t="shared" si="3961"/>
        <v>YoY Change (%)</v>
      </c>
      <c r="DM264" s="198">
        <f>DM263/DF263-1</f>
        <v>4.110594568142889E-2</v>
      </c>
      <c r="DN264" s="198">
        <f t="shared" ref="DN264" si="6000">DN263/DG263-1</f>
        <v>3.1577155502595877E-2</v>
      </c>
      <c r="DO264" s="198">
        <f t="shared" ref="DO264" si="6001">DO263/DH263-1</f>
        <v>1.7190066903168821E-2</v>
      </c>
      <c r="DP264" s="198">
        <f t="shared" ref="DP264" si="6002">DP263/DI263-1</f>
        <v>-8.4348532312332747E-3</v>
      </c>
      <c r="DQ264" s="198">
        <f t="shared" ref="DQ264" si="6003">DQ263/DJ263-1</f>
        <v>1.9993069447892919E-2</v>
      </c>
      <c r="DS264" s="197" t="str">
        <f t="shared" si="3966"/>
        <v>YoY Change (%)</v>
      </c>
      <c r="DT264" s="198">
        <f>DT263/DM263-1</f>
        <v>-1.7108736643620448E-2</v>
      </c>
      <c r="DU264" s="198">
        <f t="shared" ref="DU264" si="6004">DU263/DN263-1</f>
        <v>-2.5258107758519222E-2</v>
      </c>
      <c r="DV264" s="198">
        <f t="shared" ref="DV264" si="6005">DV263/DO263-1</f>
        <v>-2.3376052558526705E-2</v>
      </c>
      <c r="DW264" s="198">
        <f t="shared" ref="DW264" si="6006">DW263/DP263-1</f>
        <v>-1.4268727705113449E-3</v>
      </c>
      <c r="DX264" s="198">
        <f t="shared" ref="DX264" si="6007">DX263/DQ263-1</f>
        <v>-1.6875287295357366E-2</v>
      </c>
      <c r="DZ264" s="197" t="str">
        <f t="shared" si="3971"/>
        <v>YoY Change (%)</v>
      </c>
      <c r="EA264" s="198">
        <f>EA263/DT263-1</f>
        <v>-6.0275512717671953E-2</v>
      </c>
      <c r="EB264" s="198">
        <f t="shared" ref="EB264" si="6008">EB263/DU263-1</f>
        <v>-2.2302139988817915E-3</v>
      </c>
      <c r="EC264" s="198">
        <f t="shared" ref="EC264" si="6009">EC263/DV263-1</f>
        <v>1.0169910410874117E-2</v>
      </c>
      <c r="ED264" s="198">
        <f t="shared" ref="ED264" si="6010">ED263/DW263-1</f>
        <v>-1.1737978038621644E-2</v>
      </c>
      <c r="EE264" s="198">
        <f t="shared" ref="EE264" si="6011">EE263/DX263-1</f>
        <v>-1.574570190560487E-2</v>
      </c>
      <c r="EG264" s="197" t="str">
        <f t="shared" si="3976"/>
        <v>YoY Change (%)</v>
      </c>
      <c r="EH264" s="198">
        <f>EH263/EA263-1</f>
        <v>4.8570969813744425E-2</v>
      </c>
      <c r="EI264" s="198">
        <f t="shared" ref="EI264" si="6012">EI263/EB263-1</f>
        <v>7.8722239210360367E-3</v>
      </c>
      <c r="EJ264" s="198">
        <f t="shared" ref="EJ264" si="6013">EJ263/EC263-1</f>
        <v>5.1622058032001483E-3</v>
      </c>
      <c r="EK264" s="198">
        <f t="shared" ref="EK264" si="6014">EK263/ED263-1</f>
        <v>2.3040854759983187E-2</v>
      </c>
      <c r="EL264" s="198">
        <f t="shared" ref="EL264" si="6015">EL263/EE263-1</f>
        <v>2.0849514014040338E-2</v>
      </c>
      <c r="EN264" s="197" t="str">
        <f t="shared" si="3981"/>
        <v>YoY Change (%)</v>
      </c>
      <c r="EO264" s="198">
        <f>EO263/EH263-1</f>
        <v>5.0991501416430607E-2</v>
      </c>
      <c r="EP264" s="198">
        <f t="shared" ref="EP264" si="6016">EP263/EI263-1</f>
        <v>2.6262296014101461E-2</v>
      </c>
      <c r="EQ264" s="198">
        <f t="shared" ref="EQ264" si="6017">EQ263/EJ263-1</f>
        <v>-9.051251545477923E-3</v>
      </c>
      <c r="ER264" s="198">
        <f t="shared" ref="ER264" si="6018">ER263/EK263-1</f>
        <v>9.3363691485279787E-3</v>
      </c>
      <c r="ES264" s="198">
        <f t="shared" ref="ES264" si="6019">ES263/EL263-1</f>
        <v>1.8400430992261851E-2</v>
      </c>
      <c r="EU264" s="197" t="str">
        <f t="shared" si="3986"/>
        <v>YoY Change (%)</v>
      </c>
      <c r="EV264" s="198">
        <f>EV263/EO263-1</f>
        <v>1.1463200486280467E-2</v>
      </c>
      <c r="EW264" s="198">
        <f t="shared" ref="EW264" si="6020">EW263/EP263-1</f>
        <v>3.0633311069281799E-2</v>
      </c>
      <c r="EX264" s="198">
        <f t="shared" ref="EX264" si="6021">EX263/EQ263-1</f>
        <v>7.7757350746714193E-2</v>
      </c>
      <c r="EY264" s="198">
        <f t="shared" ref="EY264" si="6022">EY263/ER263-1</f>
        <v>4.8524185732326863E-2</v>
      </c>
      <c r="EZ264" s="198">
        <f t="shared" ref="EZ264" si="6023">EZ263/ES263-1</f>
        <v>4.1938057525095607E-2</v>
      </c>
      <c r="FB264" s="197" t="str">
        <f t="shared" si="3991"/>
        <v>YoY Change (%)</v>
      </c>
      <c r="FC264" s="198">
        <f>FC263/EV263-1</f>
        <v>2.3065913094538981E-2</v>
      </c>
      <c r="FD264" s="198">
        <f t="shared" ref="FD264" si="6024">FD263/EW263-1</f>
        <v>6.9947308415245768E-3</v>
      </c>
      <c r="FE264" s="198">
        <f t="shared" ref="FE264" si="6025">FE263/EX263-1</f>
        <v>-2.131560574325353E-2</v>
      </c>
      <c r="FF264" s="198">
        <f t="shared" ref="FF264" si="6026">FF263/EY263-1</f>
        <v>-4.3031989705838436E-3</v>
      </c>
      <c r="FG264" s="198">
        <f t="shared" ref="FG264" si="6027">FG263/EZ263-1</f>
        <v>1.0584931528723196E-3</v>
      </c>
      <c r="FI264" s="197" t="str">
        <f t="shared" si="3996"/>
        <v>YoY Change (%)</v>
      </c>
      <c r="FJ264" s="198">
        <f>FJ263/FC263-1</f>
        <v>2.3199848008275126E-2</v>
      </c>
      <c r="FK264" s="198">
        <f t="shared" ref="FK264" si="6028">FK263/FD263-1</f>
        <v>3.1519736842105184E-2</v>
      </c>
      <c r="FL264" s="198">
        <f t="shared" ref="FL264" si="6029">FL263/FE263-1</f>
        <v>1.5519342269117997E-2</v>
      </c>
      <c r="FM264" s="198">
        <f t="shared" ref="FM264" si="6030">FM263/FF263-1</f>
        <v>-2.2052630235585347E-2</v>
      </c>
      <c r="FN264" s="198">
        <f t="shared" ref="FN264" si="6031">FN263/FG263-1</f>
        <v>1.17274101969147E-2</v>
      </c>
      <c r="FP264" s="197" t="str">
        <f t="shared" si="4001"/>
        <v>YoY Change (%)</v>
      </c>
      <c r="FQ264" s="198">
        <f>FQ263/FJ263-1</f>
        <v>1.3111126014351937E-2</v>
      </c>
      <c r="FR264" s="198">
        <f t="shared" ref="FR264" si="6032">FR263/FK263-1</f>
        <v>3.6433306976461299E-2</v>
      </c>
      <c r="FS264" s="198">
        <f t="shared" ref="FS264" si="6033">FS263/FL263-1</f>
        <v>6.0864378078817616E-2</v>
      </c>
      <c r="FT264" s="198">
        <f t="shared" ref="FT264" si="6034">FT263/FM263-1</f>
        <v>9.3955014058106912E-2</v>
      </c>
      <c r="FU264" s="198">
        <f t="shared" ref="FU264" si="6035">FU263/FN263-1</f>
        <v>5.1230996348595736E-2</v>
      </c>
      <c r="FW264" s="197" t="str">
        <f t="shared" si="4006"/>
        <v>YoY Change (%)</v>
      </c>
      <c r="FX264" s="198">
        <f>FX263/FQ263-1</f>
        <v>9.7528039099358699E-2</v>
      </c>
      <c r="FY264" s="198">
        <f t="shared" ref="FY264" si="6036">FY263/FR263-1</f>
        <v>0.10307200891804413</v>
      </c>
      <c r="FZ264" s="198">
        <f t="shared" ref="FZ264" si="6037">FZ263/FS263-1</f>
        <v>0.11674677601873307</v>
      </c>
      <c r="GA264" s="198">
        <f t="shared" ref="GA264" si="6038">GA263/FT263-1</f>
        <v>0.11482720178372352</v>
      </c>
      <c r="GB264" s="198">
        <f t="shared" ref="GB264" si="6039">GB263/FU263-1</f>
        <v>0.10754626543589629</v>
      </c>
      <c r="GD264" s="197" t="str">
        <f t="shared" si="4011"/>
        <v>YoY Change (%)</v>
      </c>
      <c r="GE264" s="198">
        <f>GE263/FX263-1</f>
        <v>9.75103734439835E-2</v>
      </c>
      <c r="GF264" s="198">
        <f t="shared" ref="GF264" si="6040">GF263/FY263-1</f>
        <v>9.9440801815160906E-2</v>
      </c>
      <c r="GG264" s="198">
        <f t="shared" ref="GG264" si="6041">GG263/FZ263-1</f>
        <v>8.8154406817165798E-2</v>
      </c>
      <c r="GH264" s="198">
        <f t="shared" ref="GH264" si="6042">GH263/GA263-1</f>
        <v>0.10672359550561783</v>
      </c>
      <c r="GI264" s="198">
        <f t="shared" ref="GI264" si="6043">GI263/GB263-1</f>
        <v>9.7994677630559801E-2</v>
      </c>
      <c r="GK264" s="197" t="str">
        <f t="shared" si="4016"/>
        <v>YoY Change (%)</v>
      </c>
      <c r="GL264" s="198">
        <f>GL263/GE263-1</f>
        <v>0.12954747116237786</v>
      </c>
      <c r="GM264" s="198">
        <f t="shared" ref="GM264" si="6044">GM263/GF263-1</f>
        <v>8.9845574145343887E-2</v>
      </c>
      <c r="GN264" s="198">
        <f t="shared" ref="GN264" si="6045">GN263/GG263-1</f>
        <v>0.10864497579533849</v>
      </c>
      <c r="GO264" s="198">
        <f t="shared" ref="GO264" si="6046">GO263/GH263-1</f>
        <v>0.13427495732291961</v>
      </c>
      <c r="GP264" s="198">
        <f t="shared" ref="GP264" si="6047">GP263/GI263-1</f>
        <v>0.11591628342018079</v>
      </c>
      <c r="GR264" s="197" t="str">
        <f t="shared" si="4021"/>
        <v>YoY Change (%)</v>
      </c>
      <c r="GS264" s="198">
        <f>GS263/GL263-1</f>
        <v>0.19674355495251028</v>
      </c>
      <c r="GT264" s="198">
        <f t="shared" ref="GT264" si="6048">GT263/GM263-1</f>
        <v>0.25730917078528259</v>
      </c>
      <c r="GU264" s="198">
        <f t="shared" ref="GU264" si="6049">GU263/GN263-1</f>
        <v>0.2985827581142606</v>
      </c>
      <c r="GV264" s="198">
        <f t="shared" ref="GV264" si="6050">GV263/GO263-1</f>
        <v>0.23453750434196241</v>
      </c>
      <c r="GW264" s="198">
        <f t="shared" ref="GW264" si="6051">GW263/GP263-1</f>
        <v>0.24688466168031442</v>
      </c>
      <c r="GY264" s="197" t="str">
        <f t="shared" si="4026"/>
        <v>YoY Change (%)</v>
      </c>
      <c r="GZ264" s="198">
        <f>GZ263/GS263-1</f>
        <v>4.9933065595716197E-2</v>
      </c>
      <c r="HA264" s="198">
        <f t="shared" ref="HA264" si="6052">HA263/GT263-1</f>
        <v>2.5144653953518281E-2</v>
      </c>
      <c r="HB264" s="198">
        <f t="shared" ref="HB264" si="6053">HB263/GU263-1</f>
        <v>-1.8481194274587498E-2</v>
      </c>
      <c r="HC264" s="198">
        <f t="shared" ref="HC264" si="6054">HC263/GV263-1</f>
        <v>-7.4742833978007739E-2</v>
      </c>
      <c r="HD264" s="198">
        <f t="shared" ref="HD264" si="6055">HD263/GW263-1</f>
        <v>-6.7415226553592111E-3</v>
      </c>
      <c r="HF264" s="197" t="str">
        <f t="shared" si="4031"/>
        <v>YoY Change (%)</v>
      </c>
      <c r="HG264" s="198">
        <f>HG263/GZ263-1</f>
        <v>0.14849087607022393</v>
      </c>
      <c r="HH264" s="198">
        <f t="shared" ref="HH264" si="6056">HH263/HA263-1</f>
        <v>0.17638220567517027</v>
      </c>
      <c r="HI264" s="198">
        <f t="shared" ref="HI264" si="6057">HI263/HB263-1</f>
        <v>0.19063896615307696</v>
      </c>
      <c r="HJ264" s="198">
        <f t="shared" ref="HJ264" si="6058">HJ263/HC263-1</f>
        <v>0.26581947073750323</v>
      </c>
      <c r="HK264" s="198">
        <f t="shared" ref="HK264" si="6059">HK263/HD263-1</f>
        <v>0.19611707604059436</v>
      </c>
      <c r="HM264" s="197" t="str">
        <f t="shared" si="4036"/>
        <v>YoY Change (%)</v>
      </c>
      <c r="HN264" s="198">
        <f>HN263/HG263-1</f>
        <v>0.15706874647092062</v>
      </c>
      <c r="HO264" s="198">
        <f t="shared" ref="HO264" si="6060">HO263/HH263-1</f>
        <v>0.18574603370578435</v>
      </c>
      <c r="HP264" s="198">
        <f t="shared" ref="HP264" si="6061">HP263/HI263-1</f>
        <v>0.16392293133939373</v>
      </c>
      <c r="HQ264" s="198">
        <f t="shared" ref="HQ264" si="6062">HQ263/HJ263-1</f>
        <v>0.1564869850379178</v>
      </c>
      <c r="HR264" s="198">
        <f t="shared" ref="HR264" si="6063">HR263/HK263-1</f>
        <v>0.16491507815708717</v>
      </c>
      <c r="HT264" s="197" t="str">
        <f t="shared" si="4041"/>
        <v>YoY Change (%)</v>
      </c>
      <c r="HU264" s="198">
        <f>HU263/HN263-1</f>
        <v>0.10094896356406102</v>
      </c>
      <c r="HV264" s="198">
        <f t="shared" ref="HV264" si="6064">HV263/HO263-1</f>
        <v>3.349122353341949E-3</v>
      </c>
      <c r="HW264" s="198">
        <f t="shared" ref="HW264" si="6065">HW263/HP263-1</f>
        <v>-1.2244792323793163E-2</v>
      </c>
      <c r="HX264" s="198">
        <f t="shared" ref="HX264" si="6066">HX263/HQ263-1</f>
        <v>1.0857296425692553E-3</v>
      </c>
      <c r="HY264" s="198">
        <f t="shared" ref="HY264" si="6067">HY263/HR263-1</f>
        <v>2.2083304595358788E-2</v>
      </c>
      <c r="IA264" s="197" t="str">
        <f t="shared" si="4046"/>
        <v>YoY Change (%)</v>
      </c>
      <c r="IB264" s="198">
        <f>IB263/HU263-1</f>
        <v>-2.7510683760683663E-2</v>
      </c>
      <c r="IC264" s="198">
        <f t="shared" ref="IC264" si="6068">IC263/HV263-1</f>
        <v>2.635719905586198E-3</v>
      </c>
      <c r="ID264" s="198">
        <f t="shared" ref="ID264" si="6069">ID263/HW263-1</f>
        <v>-1.669703901331443E-2</v>
      </c>
      <c r="IE264" s="198">
        <f t="shared" ref="IE264" si="6070">IE263/HX263-1</f>
        <v>-4.0707234937443104E-2</v>
      </c>
      <c r="IF264" s="198">
        <f t="shared" ref="IF264" si="6071">IF263/HY263-1</f>
        <v>-2.0330268490707071E-2</v>
      </c>
      <c r="IH264" s="197" t="str">
        <f t="shared" si="4051"/>
        <v>YoY Change (%)</v>
      </c>
      <c r="II264" s="198">
        <f>II263/IB263-1</f>
        <v>-7.5705864101768716E-2</v>
      </c>
      <c r="IJ264" s="198">
        <f t="shared" ref="IJ264" si="6072">IJ263/IC263-1</f>
        <v>-9.232585596221965E-2</v>
      </c>
      <c r="IK264" s="198">
        <f t="shared" ref="IK264" si="6073">IK263/ID263-1</f>
        <v>-6.1394113549286033E-2</v>
      </c>
      <c r="IL264" s="198">
        <f t="shared" ref="IL264" si="6074">IL263/IE263-1</f>
        <v>-3.9681516936671546E-2</v>
      </c>
      <c r="IM264" s="198">
        <f t="shared" ref="IM264" si="6075">IM263/IF263-1</f>
        <v>-6.8136220435802475E-2</v>
      </c>
      <c r="IO264" s="197" t="str">
        <f t="shared" si="4056"/>
        <v>YoY Change (%)</v>
      </c>
      <c r="IP264" s="198">
        <f>IP263/II263-1</f>
        <v>-2.2914728358021663E-2</v>
      </c>
      <c r="IQ264" s="198">
        <f t="shared" ref="IQ264" si="6076">IQ263/IJ263-1</f>
        <v>-5.2761071623838141E-2</v>
      </c>
      <c r="IR264" s="198">
        <f t="shared" ref="IR264" si="6077">IR263/IK263-1</f>
        <v>-1.1712128216982642E-2</v>
      </c>
      <c r="IS264" s="198">
        <f t="shared" ref="IS264" si="6078">IS263/IL263-1</f>
        <v>-8.714325649952992E-2</v>
      </c>
      <c r="IT264" s="198">
        <f t="shared" ref="IT264" si="6079">IT263/IM263-1</f>
        <v>-4.156762105962486E-2</v>
      </c>
      <c r="IV264" s="197" t="str">
        <f t="shared" si="4061"/>
        <v>YoY Change (%)</v>
      </c>
      <c r="IW264" s="198">
        <f>IW263/IP263-1</f>
        <v>-9.6308777429467085E-2</v>
      </c>
      <c r="IX264" s="198">
        <f t="shared" ref="IX264" si="6080">IX263/IQ263-1</f>
        <v>-1.0582010582009804E-3</v>
      </c>
      <c r="IY264" s="198">
        <f t="shared" ref="IY264" si="6081">IY263/IR263-1</f>
        <v>9.9932880900885923E-3</v>
      </c>
      <c r="IZ264" s="198">
        <f t="shared" ref="IZ264" si="6082">IZ263/IS263-1</f>
        <v>0.13357366652825498</v>
      </c>
      <c r="JA264" s="198">
        <f t="shared" ref="JA264" si="6083">JA263/IT263-1</f>
        <v>1.0936494759780313E-2</v>
      </c>
      <c r="JC264" s="197" t="str">
        <f t="shared" si="4066"/>
        <v>YoY Change (%)</v>
      </c>
      <c r="JD264" s="198">
        <f>JD263/IW263-1</f>
        <v>0.27636163579680906</v>
      </c>
      <c r="JE264" s="198">
        <f t="shared" ref="JE264" si="6084">JE263/IX263-1</f>
        <v>0.19441105769230749</v>
      </c>
      <c r="JF264" s="198">
        <f t="shared" ref="JF264" si="6085">JF263/IY263-1</f>
        <v>4.510539653851442E-2</v>
      </c>
      <c r="JG264" s="198">
        <f t="shared" ref="JG264" si="6086">JG263/IZ263-1</f>
        <v>3.4450350012963371E-2</v>
      </c>
      <c r="JH264" s="198">
        <f t="shared" ref="JH264" si="6087">JH263/JA263-1</f>
        <v>0.12662653177770733</v>
      </c>
      <c r="JJ264" s="197" t="str">
        <f t="shared" si="4071"/>
        <v>YoY Change (%)</v>
      </c>
      <c r="JK264" s="198">
        <f>JK263/JD263-1</f>
        <v>-1.722231753111847E-2</v>
      </c>
      <c r="JL264" s="198">
        <f t="shared" ref="JL264" si="6088">JL263/JE263-1</f>
        <v>5.8813530511645506E-3</v>
      </c>
      <c r="JM264" s="198">
        <f t="shared" ref="JM264" si="6089">JM263/JF263-1</f>
        <v>6.5748777811034609E-2</v>
      </c>
      <c r="JN264" s="198">
        <f t="shared" ref="JN264" si="6090">JN263/JG263-1</f>
        <v>5.492244635538035E-2</v>
      </c>
      <c r="JO264" s="198">
        <f t="shared" ref="JO264" si="6091">JO263/JH263-1</f>
        <v>2.7513913197485973E-2</v>
      </c>
      <c r="JQ264" s="197" t="str">
        <f t="shared" si="4076"/>
        <v>YoY Change (%)</v>
      </c>
      <c r="JR264" s="198">
        <f>JR263/JK263-1</f>
        <v>1.4085299523613148E-2</v>
      </c>
      <c r="JS264" s="198">
        <f t="shared" ref="JS264" si="6092">JS263/JL263-1</f>
        <v>-3.841547817160984E-2</v>
      </c>
      <c r="JT264" s="198">
        <f t="shared" ref="JT264" si="6093">JT263/JM263-1</f>
        <v>-3.5929864903707975E-2</v>
      </c>
      <c r="JU264" s="198">
        <f t="shared" ref="JU264" si="6094">JU263/JN263-1</f>
        <v>-6.170008532423199E-2</v>
      </c>
      <c r="JV264" s="198">
        <f t="shared" ref="JV264" si="6095">JV263/JO263-1</f>
        <v>-3.0257032668595474E-2</v>
      </c>
      <c r="JX264" s="197" t="str">
        <f t="shared" si="4081"/>
        <v>YoY Change (%)</v>
      </c>
      <c r="JY264" s="198">
        <f>JY263/JR263-1</f>
        <v>-0.11828133664688134</v>
      </c>
      <c r="JZ264" s="198">
        <f t="shared" ref="JZ264" si="6096">JZ263/JS263-1</f>
        <v>-8.3080054849517304E-2</v>
      </c>
      <c r="KA264" s="198">
        <f t="shared" ref="KA264" si="6097">KA263/JT263-1</f>
        <v>-0.1211552888222055</v>
      </c>
      <c r="KB264" s="198">
        <f t="shared" ref="KB264" si="6098">KB263/JU263-1</f>
        <v>-9.8489970700923912E-2</v>
      </c>
      <c r="KC264" s="198">
        <f t="shared" ref="KC264" si="6099">KC263/JV263-1</f>
        <v>-0.10687097581507532</v>
      </c>
      <c r="KE264" s="197" t="str">
        <f t="shared" si="4086"/>
        <v>YoY Change (%)</v>
      </c>
      <c r="KF264" s="198">
        <f>KF263/JY263-1</f>
        <v>0.21602067183462537</v>
      </c>
      <c r="KG264" s="198">
        <f t="shared" ref="KG264" si="6100">KG263/JZ263-1</f>
        <v>2.2848003655680627E-2</v>
      </c>
      <c r="KH264" s="198">
        <f t="shared" ref="KH264" si="6101">KH263/KA263-1</f>
        <v>0.20033670033670026</v>
      </c>
      <c r="KI264" s="198">
        <f t="shared" ref="KI264" si="6102">KI263/KB263-1</f>
        <v>0.41913450292397636</v>
      </c>
      <c r="KJ264" s="198">
        <f t="shared" ref="KJ264" si="6103">KJ263/KC263-1</f>
        <v>0.21034146420597777</v>
      </c>
      <c r="KL264" s="197" t="str">
        <f t="shared" si="4091"/>
        <v>YoY Change (%)</v>
      </c>
      <c r="KM264" s="198">
        <f>KM263/KF263-1</f>
        <v>0.26379928315412182</v>
      </c>
      <c r="KN264" s="198">
        <f t="shared" ref="KN264" si="6104">KN263/KG263-1</f>
        <v>0.58223762849629446</v>
      </c>
      <c r="KO264" s="198">
        <f t="shared" ref="KO264" si="6105">KO263/KH263-1</f>
        <v>0.37951363301400165</v>
      </c>
      <c r="KP264" s="198">
        <f t="shared" ref="KP264" si="6106">KP263/KI263-1</f>
        <v>9.4528685800758794E-2</v>
      </c>
      <c r="KQ264" s="198">
        <f t="shared" ref="KQ264" si="6107">KQ263/KJ263-1</f>
        <v>0.31559710851047873</v>
      </c>
      <c r="KS264" s="197" t="str">
        <f t="shared" si="4096"/>
        <v>YoY Change (%)</v>
      </c>
      <c r="KT264" s="198">
        <f>KT263/KM263-1</f>
        <v>-4.9693220424926743E-3</v>
      </c>
      <c r="KU264" s="198">
        <f t="shared" ref="KU264" si="6108">KU263/KN263-1</f>
        <v>-5.8529497239174666E-2</v>
      </c>
      <c r="KV264" s="198">
        <f t="shared" ref="KV264" si="6109">KV263/KO263-1</f>
        <v>-0.12699282582702276</v>
      </c>
      <c r="KW264" s="198">
        <f t="shared" ref="KW264" si="6110">KW263/KP263-1</f>
        <v>-3.5376730564430248E-2</v>
      </c>
      <c r="KX264" s="198">
        <f t="shared" ref="KX264" si="6111">KX263/KQ263-1</f>
        <v>-5.7856960172392169E-2</v>
      </c>
      <c r="KZ264" s="197" t="str">
        <f t="shared" si="4101"/>
        <v>YoY Change (%)</v>
      </c>
      <c r="LA264" s="198">
        <f>LA263/KT263-1</f>
        <v>-1.7512016402809971E-2</v>
      </c>
      <c r="LB264" s="198">
        <f>LB263/KU263-1</f>
        <v>-8.6543942888715475E-2</v>
      </c>
      <c r="LC264" s="198">
        <f>LC263/KV263-1</f>
        <v>-5.432394116604633E-2</v>
      </c>
      <c r="LD264" s="198">
        <f t="shared" ref="LD264" si="6112">LD263/KW263-1</f>
        <v>-0.13670931699405298</v>
      </c>
      <c r="LE264" s="199">
        <f t="shared" ref="LE264" si="6113">LE263/KX263-1</f>
        <v>-7.205845673177913E-2</v>
      </c>
      <c r="LF264" s="567"/>
      <c r="LG264" s="197" t="str">
        <f t="shared" si="4104"/>
        <v>YoY Change (%)</v>
      </c>
      <c r="LH264" s="198">
        <f>LH263/LA263-1</f>
        <v>-0.20271563143950555</v>
      </c>
      <c r="LI264" s="198">
        <f>LI263/LB263-1</f>
        <v>-0.16211495245478547</v>
      </c>
      <c r="LJ264" s="198">
        <f>LJ263/LC263-1</f>
        <v>-8.5030269675288928E-2</v>
      </c>
      <c r="LK264" s="198">
        <f>LK263/LD263-1</f>
        <v>-6.4560059345209808E-2</v>
      </c>
      <c r="LL264" s="199">
        <v>0</v>
      </c>
      <c r="LM264" s="567"/>
      <c r="LN264" s="197" t="str">
        <f t="shared" si="4106"/>
        <v>YoY Change (%)</v>
      </c>
      <c r="LO264" s="222">
        <v>-0.03</v>
      </c>
      <c r="LP264" s="222">
        <v>-5.0000000000000001E-3</v>
      </c>
      <c r="LQ264" s="222">
        <v>-2E-3</v>
      </c>
      <c r="LR264" s="222">
        <v>0.02</v>
      </c>
      <c r="LS264" s="199">
        <f t="shared" ref="LS264" si="6114">LS263/LL263-1</f>
        <v>-4.0911457750375524E-3</v>
      </c>
      <c r="LT264" s="567"/>
      <c r="LU264" s="197" t="str">
        <f t="shared" si="4610"/>
        <v>YoY Change (%)</v>
      </c>
      <c r="LV264" s="222">
        <v>1.4999999999999999E-2</v>
      </c>
      <c r="LW264" s="222">
        <v>0.01</v>
      </c>
      <c r="LX264" s="222">
        <v>5.0000000000000001E-3</v>
      </c>
      <c r="LY264" s="222">
        <v>5.0000000000000001E-3</v>
      </c>
      <c r="LZ264" s="199">
        <f t="shared" ref="LZ264" si="6115">LZ263/LS263-1</f>
        <v>8.6182931358955717E-3</v>
      </c>
      <c r="MA264" s="567"/>
      <c r="MB264" s="197" t="str">
        <f t="shared" si="4612"/>
        <v>YoY Change (%)</v>
      </c>
      <c r="MC264" s="222">
        <v>5.0000000000000001E-3</v>
      </c>
      <c r="MD264" s="222">
        <v>5.0000000000000001E-3</v>
      </c>
      <c r="ME264" s="222">
        <v>0.01</v>
      </c>
      <c r="MF264" s="222">
        <v>0.01</v>
      </c>
      <c r="MG264" s="199">
        <f t="shared" ref="MG264" si="6116">MG263/LZ263-1</f>
        <v>7.5520728428166706E-3</v>
      </c>
      <c r="MH264" s="567"/>
    </row>
    <row r="265" spans="1:346" s="37" customFormat="1" ht="13.15" x14ac:dyDescent="0.4">
      <c r="A265" s="100"/>
      <c r="C265" s="186"/>
      <c r="D265" s="186"/>
      <c r="E265" s="186"/>
      <c r="F265" s="186"/>
      <c r="G265" s="186"/>
      <c r="H265" s="186"/>
      <c r="I265" s="186"/>
      <c r="J265" s="186"/>
      <c r="K265" s="186"/>
      <c r="L265" s="186"/>
      <c r="M265" s="186"/>
      <c r="N265" s="193"/>
      <c r="O265" s="193"/>
      <c r="P265" s="193"/>
      <c r="Q265" s="193"/>
      <c r="R265" s="193"/>
      <c r="S265" s="193"/>
      <c r="T265" s="193"/>
      <c r="U265" s="193"/>
      <c r="V265" s="193"/>
      <c r="W265" s="193"/>
      <c r="X265" s="193"/>
      <c r="Y265" s="193"/>
      <c r="Z265" s="193"/>
      <c r="AA265" s="193"/>
      <c r="AB265" s="193"/>
      <c r="AC265" s="193"/>
      <c r="AD265" s="193"/>
      <c r="AE265" s="193"/>
      <c r="AF265" s="193"/>
      <c r="AG265" s="193"/>
      <c r="AH265" s="193"/>
      <c r="AI265" s="193"/>
      <c r="AJ265" s="193"/>
      <c r="AK265" s="193"/>
      <c r="AL265" s="193"/>
      <c r="AM265" s="193"/>
      <c r="AN265" s="193"/>
      <c r="AO265" s="193"/>
      <c r="AP265" s="193"/>
      <c r="AQ265" s="193"/>
      <c r="AR265" s="193"/>
      <c r="AS265" s="193"/>
      <c r="AT265" s="193"/>
      <c r="AU265" s="193"/>
      <c r="AV265" s="193"/>
      <c r="AW265" s="193"/>
      <c r="AX265" s="193"/>
      <c r="AY265" s="193"/>
      <c r="AZ265" s="193"/>
      <c r="BA265" s="193"/>
      <c r="BB265" s="193"/>
      <c r="BC265" s="193"/>
      <c r="BD265" s="193"/>
      <c r="BE265" s="193"/>
      <c r="BF265" s="193"/>
      <c r="BG265" s="193"/>
      <c r="BH265" s="193"/>
      <c r="BI265" s="193"/>
      <c r="BJ265" s="193"/>
      <c r="BK265" s="193"/>
      <c r="BL265" s="193"/>
      <c r="BM265" s="193"/>
      <c r="BP265" s="193"/>
      <c r="BQ265" s="193"/>
      <c r="BR265" s="193"/>
      <c r="BS265" s="193"/>
      <c r="BT265" s="193"/>
      <c r="BW265" s="193"/>
      <c r="BX265" s="193"/>
      <c r="BY265" s="193"/>
      <c r="BZ265" s="193"/>
      <c r="CA265" s="193"/>
      <c r="CD265" s="193"/>
      <c r="CE265" s="193"/>
      <c r="CF265" s="193"/>
      <c r="CG265" s="193"/>
      <c r="CH265" s="193"/>
      <c r="CK265" s="193"/>
      <c r="CL265" s="193"/>
      <c r="CM265" s="193"/>
      <c r="CN265" s="193"/>
      <c r="CO265" s="193"/>
      <c r="CR265" s="193"/>
      <c r="CS265" s="193"/>
      <c r="CT265" s="193"/>
      <c r="CU265" s="193"/>
      <c r="CV265" s="193"/>
      <c r="CY265" s="193"/>
      <c r="CZ265" s="193"/>
      <c r="DA265" s="193"/>
      <c r="DB265" s="193"/>
      <c r="DC265" s="193"/>
      <c r="DF265" s="193"/>
      <c r="DG265" s="193"/>
      <c r="DH265" s="193"/>
      <c r="DI265" s="193"/>
      <c r="DJ265" s="193"/>
      <c r="DM265" s="193"/>
      <c r="DN265" s="193"/>
      <c r="DO265" s="193"/>
      <c r="DP265" s="193"/>
      <c r="DQ265" s="193"/>
      <c r="DT265" s="193"/>
      <c r="DU265" s="193"/>
      <c r="DV265" s="193"/>
      <c r="DW265" s="193"/>
      <c r="DX265" s="193"/>
      <c r="EA265" s="193"/>
      <c r="EB265" s="193"/>
      <c r="EC265" s="193"/>
      <c r="ED265" s="193"/>
      <c r="EE265" s="193"/>
      <c r="EH265" s="193"/>
      <c r="EI265" s="193"/>
      <c r="EJ265" s="193"/>
      <c r="EK265" s="193"/>
      <c r="EL265" s="193"/>
      <c r="EO265" s="193"/>
      <c r="EP265" s="193"/>
      <c r="EQ265" s="193"/>
      <c r="ER265" s="193"/>
      <c r="ES265" s="193"/>
      <c r="EV265" s="193"/>
      <c r="EW265" s="193"/>
      <c r="EX265" s="193"/>
      <c r="EY265" s="193"/>
      <c r="EZ265" s="193"/>
      <c r="FC265" s="193"/>
      <c r="FD265" s="193"/>
      <c r="FE265" s="193"/>
      <c r="FF265" s="193"/>
      <c r="FG265" s="193"/>
      <c r="FJ265" s="193"/>
      <c r="FK265" s="193"/>
      <c r="FL265" s="193"/>
      <c r="FM265" s="193"/>
      <c r="FN265" s="193"/>
      <c r="FQ265" s="193"/>
      <c r="FR265" s="193"/>
      <c r="FS265" s="193"/>
      <c r="FT265" s="193"/>
      <c r="FU265" s="193"/>
      <c r="FX265" s="193"/>
      <c r="FY265" s="193"/>
      <c r="FZ265" s="193"/>
      <c r="GA265" s="193"/>
      <c r="GB265" s="193"/>
      <c r="GE265" s="193"/>
      <c r="GF265" s="193"/>
      <c r="GG265" s="193"/>
      <c r="GH265" s="193"/>
      <c r="GI265" s="193"/>
      <c r="GL265" s="193"/>
      <c r="GM265" s="193"/>
      <c r="GN265" s="193"/>
      <c r="GO265" s="193"/>
      <c r="GP265" s="193"/>
      <c r="GS265" s="193"/>
      <c r="GT265" s="193"/>
      <c r="GU265" s="193"/>
      <c r="GV265" s="193"/>
      <c r="GW265" s="193"/>
      <c r="GZ265" s="193"/>
      <c r="HA265" s="193"/>
      <c r="HB265" s="193"/>
      <c r="HC265" s="193"/>
      <c r="HD265" s="193"/>
      <c r="HG265" s="193"/>
      <c r="HH265" s="193"/>
      <c r="HI265" s="193"/>
      <c r="HJ265" s="193"/>
      <c r="HK265" s="193"/>
      <c r="HN265" s="193"/>
      <c r="HO265" s="193"/>
      <c r="HP265" s="193"/>
      <c r="HQ265" s="193"/>
      <c r="HR265" s="193"/>
      <c r="HU265" s="193"/>
      <c r="HV265" s="193"/>
      <c r="HW265" s="193"/>
      <c r="HX265" s="193"/>
      <c r="HY265" s="193"/>
      <c r="IB265" s="193"/>
      <c r="IC265" s="193"/>
      <c r="ID265" s="193"/>
      <c r="IE265" s="193"/>
      <c r="IF265" s="193"/>
      <c r="II265" s="193"/>
      <c r="IJ265" s="193"/>
      <c r="IK265" s="193"/>
      <c r="IL265" s="193"/>
      <c r="IM265" s="193"/>
      <c r="IP265" s="193"/>
      <c r="IQ265" s="193"/>
      <c r="IR265" s="193"/>
      <c r="IS265" s="193"/>
      <c r="IT265" s="193"/>
      <c r="IW265" s="193"/>
      <c r="IX265" s="193"/>
      <c r="IY265" s="193"/>
      <c r="IZ265" s="193"/>
      <c r="JA265" s="193"/>
      <c r="JD265" s="193"/>
      <c r="JE265" s="193"/>
      <c r="JF265" s="193"/>
      <c r="JG265" s="193"/>
      <c r="JH265" s="193"/>
      <c r="JK265" s="193"/>
      <c r="JL265" s="193"/>
      <c r="JM265" s="193"/>
      <c r="JN265" s="193"/>
      <c r="JO265" s="193"/>
      <c r="JR265" s="193"/>
      <c r="JS265" s="193"/>
      <c r="JT265" s="193"/>
      <c r="JU265" s="193"/>
      <c r="JV265" s="193"/>
      <c r="JY265" s="193"/>
      <c r="JZ265" s="193"/>
      <c r="KA265" s="193"/>
      <c r="KB265" s="193"/>
      <c r="KC265" s="193"/>
      <c r="KF265" s="193"/>
      <c r="KG265" s="193"/>
      <c r="KH265" s="193"/>
      <c r="KI265" s="193"/>
      <c r="KJ265" s="193"/>
      <c r="KM265" s="193"/>
      <c r="KN265" s="193"/>
      <c r="KO265" s="193"/>
      <c r="KP265" s="193"/>
      <c r="KQ265" s="193"/>
      <c r="KT265" s="193"/>
      <c r="KU265" s="193"/>
      <c r="KV265" s="193"/>
      <c r="KW265" s="193"/>
      <c r="KX265" s="193"/>
      <c r="LA265" s="193"/>
      <c r="LB265" s="193"/>
      <c r="LC265" s="193"/>
      <c r="LD265" s="193"/>
      <c r="LE265" s="200"/>
      <c r="LF265" s="565"/>
      <c r="LH265" s="193"/>
      <c r="LI265" s="193"/>
      <c r="LJ265" s="193"/>
      <c r="LK265" s="193"/>
      <c r="LL265" s="200"/>
      <c r="LM265" s="565"/>
      <c r="LO265" s="200"/>
      <c r="LP265" s="200"/>
      <c r="LQ265" s="200"/>
      <c r="LR265" s="200"/>
      <c r="LS265" s="200"/>
      <c r="LT265" s="565"/>
      <c r="LV265" s="200"/>
      <c r="LW265" s="200"/>
      <c r="LX265" s="200"/>
      <c r="LY265" s="200"/>
      <c r="LZ265" s="200"/>
      <c r="MA265" s="565"/>
      <c r="MC265" s="200"/>
      <c r="MD265" s="200"/>
      <c r="ME265" s="200"/>
      <c r="MF265" s="200"/>
      <c r="MG265" s="200"/>
      <c r="MH265" s="565"/>
    </row>
    <row r="266" spans="1:346" s="68" customFormat="1" ht="12.75" x14ac:dyDescent="0.35">
      <c r="A266" s="140"/>
      <c r="B266" s="68" t="s">
        <v>526</v>
      </c>
      <c r="C266" s="190"/>
      <c r="D266" s="190"/>
      <c r="E266" s="190"/>
      <c r="F266" s="190"/>
      <c r="G266" s="190"/>
      <c r="H266" s="190"/>
      <c r="I266" s="190"/>
      <c r="J266" s="190"/>
      <c r="K266" s="190"/>
      <c r="L266" s="190"/>
      <c r="M266" s="190"/>
      <c r="N266" s="203">
        <f>(N263*N260)/1000</f>
        <v>1568</v>
      </c>
      <c r="O266" s="203">
        <f>(O263*O260)/1000</f>
        <v>1647.0000000000002</v>
      </c>
      <c r="P266" s="203">
        <f t="shared" ref="P266:AY266" si="6117">(P263*P260)/1000</f>
        <v>1573</v>
      </c>
      <c r="Q266" s="203">
        <f t="shared" si="6117"/>
        <v>1564.9999999999998</v>
      </c>
      <c r="R266" s="203">
        <f t="shared" si="6117"/>
        <v>1363</v>
      </c>
      <c r="S266" s="203">
        <f t="shared" si="6117"/>
        <v>1465.0000000000002</v>
      </c>
      <c r="T266" s="203">
        <f t="shared" si="6117"/>
        <v>1523</v>
      </c>
      <c r="U266" s="203">
        <f t="shared" si="6117"/>
        <v>1584</v>
      </c>
      <c r="V266" s="203">
        <f t="shared" si="6117"/>
        <v>1559.9999999999998</v>
      </c>
      <c r="W266" s="203">
        <f t="shared" si="6117"/>
        <v>1479</v>
      </c>
      <c r="X266" s="203">
        <f t="shared" si="6117"/>
        <v>1476</v>
      </c>
      <c r="Y266" s="203">
        <f t="shared" si="6117"/>
        <v>1546</v>
      </c>
      <c r="Z266" s="203">
        <f t="shared" si="6117"/>
        <v>1671.0000000000002</v>
      </c>
      <c r="AA266" s="203">
        <f t="shared" si="6117"/>
        <v>1529</v>
      </c>
      <c r="AB266" s="203">
        <f t="shared" si="6117"/>
        <v>1543</v>
      </c>
      <c r="AC266" s="203">
        <f t="shared" si="6117"/>
        <v>1714</v>
      </c>
      <c r="AD266" s="203">
        <f t="shared" si="6117"/>
        <v>1975.0000000000002</v>
      </c>
      <c r="AE266" s="203">
        <f t="shared" si="6117"/>
        <v>2259</v>
      </c>
      <c r="AF266" s="203">
        <f t="shared" si="6117"/>
        <v>2483</v>
      </c>
      <c r="AG266" s="203">
        <f t="shared" si="6117"/>
        <v>3110</v>
      </c>
      <c r="AH266" s="203">
        <f t="shared" si="6117"/>
        <v>2615</v>
      </c>
      <c r="AI266" s="203">
        <f t="shared" si="6117"/>
        <v>3267.0000000000005</v>
      </c>
      <c r="AJ266" s="203">
        <f t="shared" si="6117"/>
        <v>3709</v>
      </c>
      <c r="AK266" s="203">
        <f t="shared" si="6117"/>
        <v>3189.9999999999995</v>
      </c>
      <c r="AL266" s="203">
        <f t="shared" si="6117"/>
        <v>2895</v>
      </c>
      <c r="AM266" s="203">
        <f t="shared" si="6117"/>
        <v>2849</v>
      </c>
      <c r="AN266" s="203">
        <f t="shared" si="6117"/>
        <v>2299.9999999999995</v>
      </c>
      <c r="AO266" s="203">
        <f t="shared" si="6117"/>
        <v>1833.0000000000002</v>
      </c>
      <c r="AP266" s="203">
        <f t="shared" si="6117"/>
        <v>2107</v>
      </c>
      <c r="AQ266" s="203">
        <f t="shared" si="6117"/>
        <v>2246</v>
      </c>
      <c r="AR266" s="203">
        <f t="shared" si="6117"/>
        <v>2070</v>
      </c>
      <c r="AS266" s="203">
        <f t="shared" si="6117"/>
        <v>1397</v>
      </c>
      <c r="AT266" s="203">
        <f t="shared" si="6117"/>
        <v>1874</v>
      </c>
      <c r="AU266" s="203">
        <f t="shared" si="6117"/>
        <v>2434</v>
      </c>
      <c r="AV266" s="203">
        <f t="shared" si="6117"/>
        <v>2484</v>
      </c>
      <c r="AW266" s="203">
        <f t="shared" si="6117"/>
        <v>2247</v>
      </c>
      <c r="AX266" s="203">
        <f t="shared" si="6117"/>
        <v>1900.0000000000002</v>
      </c>
      <c r="AY266" s="203">
        <f t="shared" si="6117"/>
        <v>1939.4139</v>
      </c>
      <c r="AZ266" s="203">
        <f t="shared" ref="AZ266:BA266" si="6118">(AZ263*AZ260)/1000</f>
        <v>1948.8014120799999</v>
      </c>
      <c r="BA266" s="203">
        <f t="shared" si="6118"/>
        <v>1948.7925105329607</v>
      </c>
      <c r="BB266" s="203"/>
      <c r="BC266" s="203"/>
      <c r="BD266" s="203"/>
      <c r="BE266" s="203"/>
      <c r="BF266" s="203"/>
      <c r="BG266" s="203"/>
      <c r="BH266" s="203"/>
      <c r="BI266" s="203"/>
      <c r="BJ266" s="203"/>
      <c r="BK266" s="203"/>
      <c r="BL266" s="203"/>
      <c r="BM266" s="203"/>
      <c r="BO266" s="68" t="str">
        <f t="shared" si="3930"/>
        <v>Coal Revenue</v>
      </c>
      <c r="BP266" s="204">
        <f>(BP263*BP260)/1000</f>
        <v>394</v>
      </c>
      <c r="BQ266" s="204">
        <f t="shared" ref="BQ266:BS266" si="6119">(BQ263*BQ260)/1000</f>
        <v>402</v>
      </c>
      <c r="BR266" s="204">
        <f t="shared" si="6119"/>
        <v>374.99999999999994</v>
      </c>
      <c r="BS266" s="204">
        <f t="shared" si="6119"/>
        <v>397</v>
      </c>
      <c r="BT266" s="204">
        <f t="shared" ref="BT266" si="6120">(BT263*BT260)/1000</f>
        <v>1568</v>
      </c>
      <c r="BV266" s="68" t="str">
        <f t="shared" si="3931"/>
        <v>Coal Revenue</v>
      </c>
      <c r="BW266" s="204">
        <f>(BW263*BW260)/1000</f>
        <v>414.00000000000006</v>
      </c>
      <c r="BX266" s="204">
        <f t="shared" ref="BX266:CA266" si="6121">(BX263*BX260)/1000</f>
        <v>410.00000000000006</v>
      </c>
      <c r="BY266" s="204">
        <f t="shared" si="6121"/>
        <v>413</v>
      </c>
      <c r="BZ266" s="204">
        <f t="shared" si="6121"/>
        <v>410</v>
      </c>
      <c r="CA266" s="204">
        <f t="shared" si="6121"/>
        <v>1647.0000000000002</v>
      </c>
      <c r="CC266" s="68" t="str">
        <f t="shared" si="3936"/>
        <v>Coal Revenue</v>
      </c>
      <c r="CD266" s="204">
        <f>(CD263*CD260)/1000</f>
        <v>377</v>
      </c>
      <c r="CE266" s="204">
        <f t="shared" ref="CE266:CH266" si="6122">(CE263*CE260)/1000</f>
        <v>375</v>
      </c>
      <c r="CF266" s="204">
        <f t="shared" si="6122"/>
        <v>418</v>
      </c>
      <c r="CG266" s="204">
        <f t="shared" si="6122"/>
        <v>403</v>
      </c>
      <c r="CH266" s="204">
        <f t="shared" si="6122"/>
        <v>1573</v>
      </c>
      <c r="CJ266" s="68" t="str">
        <f t="shared" si="3941"/>
        <v>Coal Revenue</v>
      </c>
      <c r="CK266" s="204">
        <f>(CK263*CK260)/1000</f>
        <v>388</v>
      </c>
      <c r="CL266" s="204">
        <f t="shared" ref="CL266:CO266" si="6123">(CL263*CL260)/1000</f>
        <v>382</v>
      </c>
      <c r="CM266" s="204">
        <f t="shared" si="6123"/>
        <v>398</v>
      </c>
      <c r="CN266" s="204">
        <f t="shared" si="6123"/>
        <v>397</v>
      </c>
      <c r="CO266" s="204">
        <f t="shared" si="6123"/>
        <v>1564.9999999999998</v>
      </c>
      <c r="CQ266" s="68" t="str">
        <f t="shared" si="3946"/>
        <v>Coal Revenue</v>
      </c>
      <c r="CR266" s="204">
        <f>(CR263*CR260)/1000</f>
        <v>340</v>
      </c>
      <c r="CS266" s="204">
        <f t="shared" ref="CS266:CV266" si="6124">(CS263*CS260)/1000</f>
        <v>354</v>
      </c>
      <c r="CT266" s="204">
        <f t="shared" si="6124"/>
        <v>340</v>
      </c>
      <c r="CU266" s="204">
        <f t="shared" si="6124"/>
        <v>329</v>
      </c>
      <c r="CV266" s="204">
        <f t="shared" si="6124"/>
        <v>1363</v>
      </c>
      <c r="CX266" s="68" t="str">
        <f t="shared" si="3951"/>
        <v>Coal Revenue</v>
      </c>
      <c r="CY266" s="204">
        <f>(CY263*CY260)/1000</f>
        <v>339</v>
      </c>
      <c r="CZ266" s="204">
        <f t="shared" ref="CZ266:DC266" si="6125">(CZ263*CZ260)/1000</f>
        <v>363</v>
      </c>
      <c r="DA266" s="204">
        <f t="shared" si="6125"/>
        <v>384</v>
      </c>
      <c r="DB266" s="204">
        <f t="shared" si="6125"/>
        <v>379</v>
      </c>
      <c r="DC266" s="204">
        <f t="shared" si="6125"/>
        <v>1465.0000000000002</v>
      </c>
      <c r="DE266" s="68" t="str">
        <f t="shared" si="3956"/>
        <v>Coal Revenue</v>
      </c>
      <c r="DF266" s="204">
        <f>(DF263*DF260)/1000</f>
        <v>366</v>
      </c>
      <c r="DG266" s="204">
        <f t="shared" ref="DG266:DJ266" si="6126">(DG263*DG260)/1000</f>
        <v>379</v>
      </c>
      <c r="DH266" s="204">
        <f t="shared" si="6126"/>
        <v>388</v>
      </c>
      <c r="DI266" s="204">
        <f t="shared" si="6126"/>
        <v>390</v>
      </c>
      <c r="DJ266" s="204">
        <f t="shared" si="6126"/>
        <v>1523</v>
      </c>
      <c r="DL266" s="68" t="str">
        <f t="shared" si="3961"/>
        <v>Coal Revenue</v>
      </c>
      <c r="DM266" s="204">
        <f>(DM263*DM260)/1000</f>
        <v>370</v>
      </c>
      <c r="DN266" s="204">
        <f t="shared" ref="DN266:DQ266" si="6127">(DN263*DN260)/1000</f>
        <v>403.99999999999994</v>
      </c>
      <c r="DO266" s="204">
        <f t="shared" si="6127"/>
        <v>403.99999999999994</v>
      </c>
      <c r="DP266" s="204">
        <f t="shared" si="6127"/>
        <v>406</v>
      </c>
      <c r="DQ266" s="204">
        <f t="shared" si="6127"/>
        <v>1584</v>
      </c>
      <c r="DS266" s="68" t="str">
        <f t="shared" si="3966"/>
        <v>Coal Revenue</v>
      </c>
      <c r="DT266" s="204">
        <f>(DT263*DT260)/1000</f>
        <v>389</v>
      </c>
      <c r="DU266" s="204">
        <f t="shared" ref="DU266:DX266" si="6128">(DU263*DU260)/1000</f>
        <v>382</v>
      </c>
      <c r="DV266" s="204">
        <f t="shared" si="6128"/>
        <v>390</v>
      </c>
      <c r="DW266" s="204">
        <f t="shared" si="6128"/>
        <v>399</v>
      </c>
      <c r="DX266" s="204">
        <f t="shared" si="6128"/>
        <v>1559.9999999999998</v>
      </c>
      <c r="DZ266" s="68" t="str">
        <f t="shared" si="3971"/>
        <v>Coal Revenue</v>
      </c>
      <c r="EA266" s="204">
        <f>(EA263*EA260)/1000</f>
        <v>346.00000000000006</v>
      </c>
      <c r="EB266" s="204">
        <f t="shared" ref="EB266:EE266" si="6129">(EB263*EB260)/1000</f>
        <v>373</v>
      </c>
      <c r="EC266" s="204">
        <f t="shared" si="6129"/>
        <v>382</v>
      </c>
      <c r="ED266" s="204">
        <f t="shared" si="6129"/>
        <v>378</v>
      </c>
      <c r="EE266" s="204">
        <f t="shared" si="6129"/>
        <v>1479</v>
      </c>
      <c r="EG266" s="68" t="str">
        <f t="shared" si="3976"/>
        <v>Coal Revenue</v>
      </c>
      <c r="EH266" s="204">
        <f>(EH263*EH260)/1000</f>
        <v>353</v>
      </c>
      <c r="EI266" s="204">
        <f t="shared" ref="EI266:EL266" si="6130">(EI263*EI260)/1000</f>
        <v>344</v>
      </c>
      <c r="EJ266" s="204">
        <f t="shared" si="6130"/>
        <v>396</v>
      </c>
      <c r="EK266" s="204">
        <f t="shared" si="6130"/>
        <v>383</v>
      </c>
      <c r="EL266" s="204">
        <f t="shared" si="6130"/>
        <v>1476</v>
      </c>
      <c r="EN266" s="68" t="str">
        <f t="shared" si="3981"/>
        <v>Coal Revenue</v>
      </c>
      <c r="EO266" s="204">
        <f>(EO263*EO260)/1000</f>
        <v>371</v>
      </c>
      <c r="EP266" s="204">
        <f t="shared" ref="EP266:ES266" si="6131">(EP263*EP260)/1000</f>
        <v>383</v>
      </c>
      <c r="EQ266" s="204">
        <f t="shared" si="6131"/>
        <v>397</v>
      </c>
      <c r="ER266" s="204">
        <f t="shared" si="6131"/>
        <v>395</v>
      </c>
      <c r="ES266" s="204">
        <f t="shared" si="6131"/>
        <v>1546</v>
      </c>
      <c r="EU266" s="68" t="str">
        <f t="shared" si="3986"/>
        <v>Coal Revenue</v>
      </c>
      <c r="EV266" s="204">
        <f>(EV263*EV260)/1000</f>
        <v>416</v>
      </c>
      <c r="EW266" s="204">
        <f t="shared" ref="EW266:EZ266" si="6132">(EW263*EW260)/1000</f>
        <v>415.00000000000006</v>
      </c>
      <c r="EX266" s="204">
        <f t="shared" si="6132"/>
        <v>417</v>
      </c>
      <c r="EY266" s="204">
        <f t="shared" si="6132"/>
        <v>423</v>
      </c>
      <c r="EZ266" s="204">
        <f t="shared" si="6132"/>
        <v>1671.0000000000002</v>
      </c>
      <c r="FB266" s="68" t="str">
        <f t="shared" si="3991"/>
        <v>Coal Revenue</v>
      </c>
      <c r="FC266" s="204">
        <f>(FC263*FC260)/1000</f>
        <v>380.99999999999994</v>
      </c>
      <c r="FD266" s="204">
        <f t="shared" ref="FD266:FG266" si="6133">(FD263*FD260)/1000</f>
        <v>380</v>
      </c>
      <c r="FE266" s="204">
        <f t="shared" si="6133"/>
        <v>382</v>
      </c>
      <c r="FF266" s="204">
        <f t="shared" si="6133"/>
        <v>386</v>
      </c>
      <c r="FG266" s="204">
        <f t="shared" si="6133"/>
        <v>1529</v>
      </c>
      <c r="FI266" s="68" t="str">
        <f t="shared" si="3996"/>
        <v>Coal Revenue</v>
      </c>
      <c r="FJ266" s="204">
        <f>(FJ263*FJ260)/1000</f>
        <v>370</v>
      </c>
      <c r="FK266" s="204">
        <f t="shared" ref="FK266:FN266" si="6134">(FK263*FK260)/1000</f>
        <v>401</v>
      </c>
      <c r="FL266" s="204">
        <f t="shared" si="6134"/>
        <v>384.00000000000006</v>
      </c>
      <c r="FM266" s="204">
        <f t="shared" si="6134"/>
        <v>388</v>
      </c>
      <c r="FN266" s="204">
        <f t="shared" si="6134"/>
        <v>1543</v>
      </c>
      <c r="FP266" s="68" t="str">
        <f t="shared" si="4001"/>
        <v>Coal Revenue</v>
      </c>
      <c r="FQ266" s="204">
        <f>(FQ263*FQ260)/1000</f>
        <v>405</v>
      </c>
      <c r="FR266" s="204">
        <f t="shared" ref="FR266:FU266" si="6135">(FR263*FR260)/1000</f>
        <v>426</v>
      </c>
      <c r="FS266" s="204">
        <f t="shared" si="6135"/>
        <v>423</v>
      </c>
      <c r="FT266" s="204">
        <f t="shared" si="6135"/>
        <v>460</v>
      </c>
      <c r="FU266" s="204">
        <f t="shared" si="6135"/>
        <v>1714</v>
      </c>
      <c r="FW266" s="68" t="str">
        <f t="shared" si="4006"/>
        <v>Coal Revenue</v>
      </c>
      <c r="FX266" s="204">
        <f>(FX263*FX260)/1000</f>
        <v>482</v>
      </c>
      <c r="FY266" s="204">
        <f t="shared" ref="FY266:GB266" si="6136">(FY263*FY260)/1000</f>
        <v>502.00000000000006</v>
      </c>
      <c r="FZ266" s="204">
        <f t="shared" si="6136"/>
        <v>491</v>
      </c>
      <c r="GA266" s="204">
        <f t="shared" si="6136"/>
        <v>500.00000000000006</v>
      </c>
      <c r="GB266" s="204">
        <f t="shared" si="6136"/>
        <v>1975.0000000000002</v>
      </c>
      <c r="GD266" s="68" t="str">
        <f t="shared" si="4011"/>
        <v>Coal Revenue</v>
      </c>
      <c r="GE266" s="204">
        <f>(GE263*GE260)/1000</f>
        <v>552</v>
      </c>
      <c r="GF266" s="204">
        <f t="shared" ref="GF266:GI266" si="6137">(GF263*GF260)/1000</f>
        <v>562</v>
      </c>
      <c r="GG266" s="204">
        <f t="shared" si="6137"/>
        <v>571</v>
      </c>
      <c r="GH266" s="204">
        <f t="shared" si="6137"/>
        <v>574</v>
      </c>
      <c r="GI266" s="204">
        <f t="shared" si="6137"/>
        <v>2259</v>
      </c>
      <c r="GK266" s="68" t="str">
        <f t="shared" si="4016"/>
        <v>Coal Revenue</v>
      </c>
      <c r="GL266" s="204">
        <f>(GL263*GL260)/1000</f>
        <v>603</v>
      </c>
      <c r="GM266" s="204">
        <f t="shared" ref="GM266:GP266" si="6138">(GM263*GM260)/1000</f>
        <v>607</v>
      </c>
      <c r="GN266" s="204">
        <f t="shared" si="6138"/>
        <v>618.99999999999989</v>
      </c>
      <c r="GO266" s="204">
        <f t="shared" si="6138"/>
        <v>654.00000000000011</v>
      </c>
      <c r="GP266" s="204">
        <f t="shared" si="6138"/>
        <v>2483</v>
      </c>
      <c r="GR266" s="68" t="str">
        <f t="shared" si="4021"/>
        <v>Coal Revenue</v>
      </c>
      <c r="GS266" s="204">
        <f>(GS263*GS260)/1000</f>
        <v>720</v>
      </c>
      <c r="GT266" s="204">
        <f t="shared" ref="GT266:GW266" si="6139">(GT263*GT260)/1000</f>
        <v>776.99999999999989</v>
      </c>
      <c r="GU266" s="204">
        <f t="shared" si="6139"/>
        <v>802</v>
      </c>
      <c r="GV266" s="204">
        <f t="shared" si="6139"/>
        <v>810.99999999999989</v>
      </c>
      <c r="GW266" s="204">
        <f t="shared" si="6139"/>
        <v>3110</v>
      </c>
      <c r="GY266" s="68" t="str">
        <f t="shared" si="4026"/>
        <v>Coal Revenue</v>
      </c>
      <c r="GZ266" s="204">
        <f>(GZ263*GZ260)/1000</f>
        <v>713</v>
      </c>
      <c r="HA266" s="204">
        <f t="shared" ref="HA266:HD266" si="6140">(HA263*HA260)/1000</f>
        <v>639</v>
      </c>
      <c r="HB266" s="204">
        <f t="shared" si="6140"/>
        <v>653</v>
      </c>
      <c r="HC266" s="204">
        <f t="shared" si="6140"/>
        <v>610</v>
      </c>
      <c r="HD266" s="204">
        <f t="shared" si="6140"/>
        <v>2615</v>
      </c>
      <c r="HF266" s="68" t="str">
        <f t="shared" si="4031"/>
        <v>Coal Revenue</v>
      </c>
      <c r="HG266" s="204">
        <f>(HG263*HG260)/1000</f>
        <v>736</v>
      </c>
      <c r="HH266" s="204">
        <f t="shared" ref="HH266:HK266" si="6141">(HH263*HH260)/1000</f>
        <v>835</v>
      </c>
      <c r="HI266" s="204">
        <f t="shared" si="6141"/>
        <v>835.00000000000011</v>
      </c>
      <c r="HJ266" s="204">
        <f t="shared" si="6141"/>
        <v>860.99999999999989</v>
      </c>
      <c r="HK266" s="204">
        <f t="shared" si="6141"/>
        <v>3267.0000000000005</v>
      </c>
      <c r="HM266" s="68" t="str">
        <f t="shared" si="4036"/>
        <v>Coal Revenue</v>
      </c>
      <c r="HN266" s="204">
        <f>(HN263*HN260)/1000</f>
        <v>879.00000000000011</v>
      </c>
      <c r="HO266" s="204">
        <f t="shared" ref="HO266:HR266" si="6142">(HO263*HO260)/1000</f>
        <v>958</v>
      </c>
      <c r="HP266" s="204">
        <f t="shared" si="6142"/>
        <v>957</v>
      </c>
      <c r="HQ266" s="204">
        <f t="shared" si="6142"/>
        <v>915</v>
      </c>
      <c r="HR266" s="204">
        <f t="shared" si="6142"/>
        <v>3709</v>
      </c>
      <c r="HT266" s="68" t="str">
        <f t="shared" si="4041"/>
        <v>Coal Revenue</v>
      </c>
      <c r="HU266" s="204">
        <f>(HU263*HU260)/1000</f>
        <v>832</v>
      </c>
      <c r="HV266" s="204">
        <f t="shared" ref="HV266:HY266" si="6143">(HV263*HV260)/1000</f>
        <v>820</v>
      </c>
      <c r="HW266" s="204">
        <f t="shared" si="6143"/>
        <v>791</v>
      </c>
      <c r="HX266" s="204">
        <f t="shared" si="6143"/>
        <v>747</v>
      </c>
      <c r="HY266" s="204">
        <f t="shared" si="6143"/>
        <v>3189.9999999999995</v>
      </c>
      <c r="IA266" s="68" t="str">
        <f t="shared" si="4046"/>
        <v>Coal Revenue</v>
      </c>
      <c r="IB266" s="204">
        <f>(IB263*IB260)/1000</f>
        <v>726.00000000000011</v>
      </c>
      <c r="IC266" s="204">
        <f t="shared" ref="IC266:IF266" si="6144">(IC263*IC260)/1000</f>
        <v>770</v>
      </c>
      <c r="ID266" s="204">
        <f t="shared" si="6144"/>
        <v>720.00000000000011</v>
      </c>
      <c r="IE266" s="204">
        <f t="shared" si="6144"/>
        <v>679</v>
      </c>
      <c r="IF266" s="204">
        <f t="shared" si="6144"/>
        <v>2895</v>
      </c>
      <c r="IH266" s="68" t="str">
        <f t="shared" si="4051"/>
        <v>Coal Revenue</v>
      </c>
      <c r="II266" s="204">
        <f>(II263*II260)/1000</f>
        <v>662</v>
      </c>
      <c r="IJ266" s="204">
        <f t="shared" ref="IJ266:IM266" si="6145">(IJ263*IJ260)/1000</f>
        <v>744</v>
      </c>
      <c r="IK266" s="204">
        <f t="shared" si="6145"/>
        <v>721</v>
      </c>
      <c r="IL266" s="204">
        <f t="shared" si="6145"/>
        <v>722</v>
      </c>
      <c r="IM266" s="204">
        <f t="shared" si="6145"/>
        <v>2849</v>
      </c>
      <c r="IO266" s="68" t="str">
        <f t="shared" si="4056"/>
        <v>Coal Revenue</v>
      </c>
      <c r="IP266" s="204">
        <f>(IP263*IP260)/1000</f>
        <v>638</v>
      </c>
      <c r="IQ266" s="204">
        <f t="shared" ref="IQ266:IT266" si="6146">(IQ263*IQ260)/1000</f>
        <v>630</v>
      </c>
      <c r="IR266" s="204">
        <f t="shared" si="6146"/>
        <v>583</v>
      </c>
      <c r="IS266" s="204">
        <f t="shared" si="6146"/>
        <v>449</v>
      </c>
      <c r="IT266" s="204">
        <f t="shared" si="6146"/>
        <v>2299.9999999999995</v>
      </c>
      <c r="IV266" s="68" t="str">
        <f t="shared" si="4061"/>
        <v>Coal Revenue</v>
      </c>
      <c r="IW266" s="204">
        <f>(IW263*IW260)/1000</f>
        <v>399</v>
      </c>
      <c r="IX266" s="204">
        <f t="shared" ref="IX266:JA266" si="6147">(IX263*IX260)/1000</f>
        <v>416.00000000000006</v>
      </c>
      <c r="IY266" s="204">
        <f t="shared" si="6147"/>
        <v>466.99999999999994</v>
      </c>
      <c r="IZ266" s="204">
        <f t="shared" si="6147"/>
        <v>551.00000000000011</v>
      </c>
      <c r="JA266" s="204">
        <f t="shared" si="6147"/>
        <v>1833.0000000000002</v>
      </c>
      <c r="JC266" s="68" t="str">
        <f t="shared" si="4066"/>
        <v>Coal Revenue</v>
      </c>
      <c r="JD266" s="204">
        <f>(JD263*JD260)/1000</f>
        <v>522.00000000000011</v>
      </c>
      <c r="JE266" s="204">
        <f t="shared" ref="JE266:JH266" si="6148">(JE263*JE260)/1000</f>
        <v>530</v>
      </c>
      <c r="JF266" s="204">
        <f t="shared" si="6148"/>
        <v>513.99999999999989</v>
      </c>
      <c r="JG266" s="204">
        <f t="shared" si="6148"/>
        <v>541</v>
      </c>
      <c r="JH266" s="204">
        <f t="shared" si="6148"/>
        <v>2107</v>
      </c>
      <c r="JJ266" s="68" t="str">
        <f t="shared" si="4071"/>
        <v>Coal Revenue</v>
      </c>
      <c r="JK266" s="204">
        <f>(JK263*JK260)/1000</f>
        <v>503</v>
      </c>
      <c r="JL266" s="204">
        <f t="shared" ref="JL266:JO266" si="6149">(JL263*JL260)/1000</f>
        <v>569</v>
      </c>
      <c r="JM266" s="204">
        <f t="shared" si="6149"/>
        <v>588</v>
      </c>
      <c r="JN266" s="204">
        <f t="shared" si="6149"/>
        <v>586</v>
      </c>
      <c r="JO266" s="204">
        <f t="shared" si="6149"/>
        <v>2246</v>
      </c>
      <c r="JQ266" s="68" t="str">
        <f t="shared" si="4076"/>
        <v>Coal Revenue</v>
      </c>
      <c r="JR266" s="204">
        <f>(JR263*JR260)/1000</f>
        <v>538</v>
      </c>
      <c r="JS266" s="204">
        <f t="shared" ref="JS266:JV266" si="6150">(JS263*JS260)/1000</f>
        <v>557</v>
      </c>
      <c r="JT266" s="204">
        <f t="shared" si="6150"/>
        <v>516</v>
      </c>
      <c r="JU266" s="204">
        <f t="shared" si="6150"/>
        <v>459</v>
      </c>
      <c r="JV266" s="204">
        <f t="shared" si="6150"/>
        <v>2070</v>
      </c>
      <c r="JX266" s="68" t="str">
        <f t="shared" si="4081"/>
        <v>Coal Revenue</v>
      </c>
      <c r="JY266" s="204">
        <f>(JY263*JY260)/1000</f>
        <v>404.99999999999994</v>
      </c>
      <c r="JZ266" s="204">
        <f t="shared" ref="JZ266:KC266" si="6151">(JZ263*JZ260)/1000</f>
        <v>287</v>
      </c>
      <c r="KA266" s="204">
        <f t="shared" si="6151"/>
        <v>330</v>
      </c>
      <c r="KB266" s="204">
        <f t="shared" si="6151"/>
        <v>375.00000000000006</v>
      </c>
      <c r="KC266" s="204">
        <f t="shared" si="6151"/>
        <v>1397</v>
      </c>
      <c r="KE266" s="68" t="str">
        <f t="shared" si="4086"/>
        <v>Coal Revenue</v>
      </c>
      <c r="KF266" s="204">
        <f>(KF263*KF260)/1000</f>
        <v>467.99999999999994</v>
      </c>
      <c r="KG266" s="204">
        <f t="shared" ref="KG266:KJ266" si="6152">(KG263*KG260)/1000</f>
        <v>423.00000000000006</v>
      </c>
      <c r="KH266" s="204">
        <f t="shared" si="6152"/>
        <v>459.99999999999994</v>
      </c>
      <c r="KI266" s="204">
        <f t="shared" si="6152"/>
        <v>523</v>
      </c>
      <c r="KJ266" s="204">
        <f t="shared" si="6152"/>
        <v>1874</v>
      </c>
      <c r="KL266" s="68" t="str">
        <f t="shared" si="4091"/>
        <v>Coal Revenue</v>
      </c>
      <c r="KM266" s="204">
        <f>(KM263*KM260)/1000</f>
        <v>533</v>
      </c>
      <c r="KN266" s="204">
        <f t="shared" ref="KN266:KQ266" si="6153">(KN263*KN260)/1000</f>
        <v>651</v>
      </c>
      <c r="KO266" s="204">
        <f t="shared" si="6153"/>
        <v>624</v>
      </c>
      <c r="KP266" s="204">
        <f t="shared" si="6153"/>
        <v>626</v>
      </c>
      <c r="KQ266" s="204">
        <f t="shared" si="6153"/>
        <v>2434</v>
      </c>
      <c r="KS266" s="68" t="str">
        <f t="shared" si="4096"/>
        <v>Coal Revenue</v>
      </c>
      <c r="KT266" s="204">
        <f>(KT263*KT260)/1000</f>
        <v>633</v>
      </c>
      <c r="KU266" s="204">
        <f t="shared" ref="KU266:KX266" si="6154">(KU263*KU260)/1000</f>
        <v>637</v>
      </c>
      <c r="KV266" s="204">
        <f t="shared" si="6154"/>
        <v>594</v>
      </c>
      <c r="KW266" s="204">
        <f t="shared" si="6154"/>
        <v>620</v>
      </c>
      <c r="KX266" s="204">
        <f t="shared" si="6154"/>
        <v>2484</v>
      </c>
      <c r="KZ266" s="68" t="str">
        <f t="shared" si="4101"/>
        <v>Coal Revenue</v>
      </c>
      <c r="LA266" s="204">
        <f>(LA263*LA260)/1000</f>
        <v>632</v>
      </c>
      <c r="LB266" s="204">
        <f>(LB263*LB260)/1000</f>
        <v>563</v>
      </c>
      <c r="LC266" s="204">
        <f>(LC263*LC260)/1000</f>
        <v>553</v>
      </c>
      <c r="LD266" s="204">
        <f t="shared" ref="LD266" si="6155">(LD263*LD260)/1000</f>
        <v>499</v>
      </c>
      <c r="LE266" s="205">
        <f>SUM(LA266:LD266)</f>
        <v>2247</v>
      </c>
      <c r="LF266" s="563"/>
      <c r="LG266" s="68" t="str">
        <f t="shared" si="4104"/>
        <v>Coal Revenue</v>
      </c>
      <c r="LH266" s="204">
        <f>(LH263*LH260)/1000</f>
        <v>461</v>
      </c>
      <c r="LI266" s="204">
        <f>(LI263*LI260)/1000</f>
        <v>477</v>
      </c>
      <c r="LJ266" s="204">
        <f>(LJ263*LJ260)/1000</f>
        <v>490</v>
      </c>
      <c r="LK266" s="204">
        <f>(LK263*LK260)/1000</f>
        <v>472</v>
      </c>
      <c r="LL266" s="205">
        <f>SUM(LH266:LK266)</f>
        <v>1900</v>
      </c>
      <c r="LM266" s="563"/>
      <c r="LN266" s="68" t="str">
        <f t="shared" si="4106"/>
        <v>Coal Revenue</v>
      </c>
      <c r="LO266" s="205">
        <f>(LO260*LO263)/1000</f>
        <v>460.58509999999995</v>
      </c>
      <c r="LP266" s="205">
        <f t="shared" ref="LP266:LR266" si="6156">(LP260*LP263)/1000</f>
        <v>484.10730000000001</v>
      </c>
      <c r="LQ266" s="205">
        <f t="shared" si="6156"/>
        <v>501.24549999999999</v>
      </c>
      <c r="LR266" s="205">
        <f t="shared" si="6156"/>
        <v>493.47599999999989</v>
      </c>
      <c r="LS266" s="205">
        <f>SUM(LO266:LR266)</f>
        <v>1939.4138999999998</v>
      </c>
      <c r="LT266" s="563"/>
      <c r="LU266" s="68" t="str">
        <f t="shared" si="4610"/>
        <v>Coal Revenue</v>
      </c>
      <c r="LV266" s="205">
        <f>(LV260*LV263)/1000</f>
        <v>465.15640711749995</v>
      </c>
      <c r="LW266" s="205">
        <f t="shared" ref="LW266:LY266" si="6157">(LW260*LW263)/1000</f>
        <v>488.94837299999995</v>
      </c>
      <c r="LX266" s="205">
        <f t="shared" si="6157"/>
        <v>501.2329688625</v>
      </c>
      <c r="LY266" s="205">
        <f t="shared" si="6157"/>
        <v>493.46366309999991</v>
      </c>
      <c r="LZ266" s="205">
        <f>SUM(LV266:LY266)</f>
        <v>1948.8014120799999</v>
      </c>
      <c r="MA266" s="563"/>
      <c r="MB266" s="68" t="str">
        <f t="shared" si="4612"/>
        <v>Coal Revenue</v>
      </c>
      <c r="MC266" s="205">
        <f>(MC260*MC263)/1000</f>
        <v>463.97607273443924</v>
      </c>
      <c r="MD266" s="205">
        <f t="shared" ref="MD266:MF266" si="6158">(MD260*MD263)/1000</f>
        <v>487.70766650351243</v>
      </c>
      <c r="ME266" s="205">
        <f t="shared" si="6158"/>
        <v>502.4484588119916</v>
      </c>
      <c r="MF266" s="205">
        <f t="shared" si="6158"/>
        <v>494.66031248301738</v>
      </c>
      <c r="MG266" s="205">
        <f>SUM(MC266:MF266)</f>
        <v>1948.7925105329607</v>
      </c>
      <c r="MH266" s="563"/>
    </row>
    <row r="267" spans="1:346" s="37" customFormat="1" ht="13.15" x14ac:dyDescent="0.4">
      <c r="A267" s="100"/>
      <c r="B267" s="197" t="s">
        <v>516</v>
      </c>
      <c r="C267" s="186"/>
      <c r="D267" s="186"/>
      <c r="E267" s="186"/>
      <c r="F267" s="186"/>
      <c r="G267" s="186"/>
      <c r="H267" s="186"/>
      <c r="I267" s="186"/>
      <c r="J267" s="186"/>
      <c r="K267" s="186"/>
      <c r="L267" s="186"/>
      <c r="M267" s="186"/>
      <c r="N267" s="193"/>
      <c r="O267" s="198">
        <f>O266/N266-1</f>
        <v>5.038265306122458E-2</v>
      </c>
      <c r="P267" s="198">
        <f t="shared" ref="P267:BA267" si="6159">P266/O266-1</f>
        <v>-4.493017607771721E-2</v>
      </c>
      <c r="Q267" s="198">
        <f t="shared" si="6159"/>
        <v>-5.0858232676416204E-3</v>
      </c>
      <c r="R267" s="198">
        <f t="shared" si="6159"/>
        <v>-0.12907348242811489</v>
      </c>
      <c r="S267" s="198">
        <f t="shared" si="6159"/>
        <v>7.4834922964050143E-2</v>
      </c>
      <c r="T267" s="198">
        <f t="shared" si="6159"/>
        <v>3.9590443686006616E-2</v>
      </c>
      <c r="U267" s="198">
        <f t="shared" si="6159"/>
        <v>4.0052527905449775E-2</v>
      </c>
      <c r="V267" s="198">
        <f t="shared" si="6159"/>
        <v>-1.5151515151515249E-2</v>
      </c>
      <c r="W267" s="198">
        <f t="shared" si="6159"/>
        <v>-5.1923076923076739E-2</v>
      </c>
      <c r="X267" s="198">
        <f t="shared" si="6159"/>
        <v>-2.0283975659228792E-3</v>
      </c>
      <c r="Y267" s="198">
        <f t="shared" si="6159"/>
        <v>4.7425474254742639E-2</v>
      </c>
      <c r="Z267" s="198">
        <f t="shared" si="6159"/>
        <v>8.0853816300129555E-2</v>
      </c>
      <c r="AA267" s="198">
        <f t="shared" si="6159"/>
        <v>-8.4979054458408254E-2</v>
      </c>
      <c r="AB267" s="198">
        <f t="shared" si="6159"/>
        <v>9.1563113145847197E-3</v>
      </c>
      <c r="AC267" s="198">
        <f t="shared" si="6159"/>
        <v>0.11082307193778362</v>
      </c>
      <c r="AD267" s="198">
        <f t="shared" si="6159"/>
        <v>0.15227537922987189</v>
      </c>
      <c r="AE267" s="198">
        <f t="shared" si="6159"/>
        <v>0.1437974683544303</v>
      </c>
      <c r="AF267" s="198">
        <f t="shared" si="6159"/>
        <v>9.915891987605141E-2</v>
      </c>
      <c r="AG267" s="198">
        <f t="shared" si="6159"/>
        <v>0.2525171163914619</v>
      </c>
      <c r="AH267" s="198">
        <f t="shared" si="6159"/>
        <v>-0.15916398713826363</v>
      </c>
      <c r="AI267" s="198">
        <f t="shared" si="6159"/>
        <v>0.2493307839388148</v>
      </c>
      <c r="AJ267" s="198">
        <f t="shared" si="6159"/>
        <v>0.13529231711049872</v>
      </c>
      <c r="AK267" s="198">
        <f t="shared" si="6159"/>
        <v>-0.13992990024265317</v>
      </c>
      <c r="AL267" s="198">
        <f t="shared" si="6159"/>
        <v>-9.2476489028213038E-2</v>
      </c>
      <c r="AM267" s="198">
        <f t="shared" si="6159"/>
        <v>-1.5889464594127767E-2</v>
      </c>
      <c r="AN267" s="198">
        <f t="shared" si="6159"/>
        <v>-0.19269919269919289</v>
      </c>
      <c r="AO267" s="198">
        <f t="shared" si="6159"/>
        <v>-0.20304347826086933</v>
      </c>
      <c r="AP267" s="198">
        <f t="shared" si="6159"/>
        <v>0.14948172394980896</v>
      </c>
      <c r="AQ267" s="198">
        <f t="shared" si="6159"/>
        <v>6.5970574276222216E-2</v>
      </c>
      <c r="AR267" s="198">
        <f t="shared" si="6159"/>
        <v>-7.8361531611754187E-2</v>
      </c>
      <c r="AS267" s="198">
        <f t="shared" si="6159"/>
        <v>-0.32512077294685993</v>
      </c>
      <c r="AT267" s="198">
        <f t="shared" si="6159"/>
        <v>0.34144595561918401</v>
      </c>
      <c r="AU267" s="198">
        <f t="shared" si="6159"/>
        <v>0.29882604055496276</v>
      </c>
      <c r="AV267" s="198">
        <f t="shared" si="6159"/>
        <v>2.0542317173377178E-2</v>
      </c>
      <c r="AW267" s="198">
        <f t="shared" si="6159"/>
        <v>-9.5410628019323651E-2</v>
      </c>
      <c r="AX267" s="198">
        <f t="shared" si="6159"/>
        <v>-0.1544281263907431</v>
      </c>
      <c r="AY267" s="198">
        <f t="shared" si="6159"/>
        <v>2.0744157894736714E-2</v>
      </c>
      <c r="AZ267" s="198">
        <f t="shared" si="6159"/>
        <v>4.8403860980885671E-3</v>
      </c>
      <c r="BA267" s="198">
        <f t="shared" si="6159"/>
        <v>-4.56770350432123E-6</v>
      </c>
      <c r="BB267" s="198"/>
      <c r="BC267" s="198"/>
      <c r="BD267" s="198"/>
      <c r="BE267" s="198"/>
      <c r="BF267" s="198"/>
      <c r="BG267" s="198"/>
      <c r="BH267" s="198"/>
      <c r="BI267" s="198"/>
      <c r="BJ267" s="198"/>
      <c r="BK267" s="198"/>
      <c r="BL267" s="198"/>
      <c r="BM267" s="198"/>
      <c r="BO267" s="197" t="str">
        <f t="shared" si="3930"/>
        <v>YoY Change (%)</v>
      </c>
      <c r="BP267" s="193"/>
      <c r="BQ267" s="193"/>
      <c r="BR267" s="193"/>
      <c r="BS267" s="193"/>
      <c r="BT267" s="193"/>
      <c r="BV267" s="197" t="str">
        <f t="shared" si="3931"/>
        <v>YoY Change (%)</v>
      </c>
      <c r="BW267" s="198">
        <f>BW266/BP266-1</f>
        <v>5.0761421319797106E-2</v>
      </c>
      <c r="BX267" s="198">
        <f t="shared" ref="BX267" si="6160">BX266/BQ266-1</f>
        <v>1.9900497512437942E-2</v>
      </c>
      <c r="BY267" s="198">
        <f t="shared" ref="BY267" si="6161">BY266/BR266-1</f>
        <v>0.1013333333333335</v>
      </c>
      <c r="BZ267" s="198">
        <f t="shared" ref="BZ267" si="6162">BZ266/BS266-1</f>
        <v>3.2745591939546514E-2</v>
      </c>
      <c r="CA267" s="198">
        <f t="shared" ref="CA267" si="6163">CA266/BT266-1</f>
        <v>5.038265306122458E-2</v>
      </c>
      <c r="CC267" s="197" t="str">
        <f t="shared" si="3936"/>
        <v>YoY Change (%)</v>
      </c>
      <c r="CD267" s="198">
        <f>CD266/BW266-1</f>
        <v>-8.9371980676328677E-2</v>
      </c>
      <c r="CE267" s="198">
        <f t="shared" ref="CE267" si="6164">CE266/BX266-1</f>
        <v>-8.5365853658536661E-2</v>
      </c>
      <c r="CF267" s="198">
        <f t="shared" ref="CF267" si="6165">CF266/BY266-1</f>
        <v>1.2106537530266248E-2</v>
      </c>
      <c r="CG267" s="198">
        <f t="shared" ref="CG267" si="6166">CG266/BZ266-1</f>
        <v>-1.7073170731707332E-2</v>
      </c>
      <c r="CH267" s="198">
        <f t="shared" ref="CH267" si="6167">CH266/CA266-1</f>
        <v>-4.493017607771721E-2</v>
      </c>
      <c r="CJ267" s="197" t="str">
        <f t="shared" si="3941"/>
        <v>YoY Change (%)</v>
      </c>
      <c r="CK267" s="198">
        <f>CK266/CD266-1</f>
        <v>2.917771883289122E-2</v>
      </c>
      <c r="CL267" s="198">
        <f t="shared" ref="CL267" si="6168">CL266/CE266-1</f>
        <v>1.8666666666666609E-2</v>
      </c>
      <c r="CM267" s="198">
        <f t="shared" ref="CM267" si="6169">CM266/CF266-1</f>
        <v>-4.7846889952153138E-2</v>
      </c>
      <c r="CN267" s="198">
        <f t="shared" ref="CN267" si="6170">CN266/CG266-1</f>
        <v>-1.488833746898266E-2</v>
      </c>
      <c r="CO267" s="198">
        <f t="shared" ref="CO267" si="6171">CO266/CH266-1</f>
        <v>-5.0858232676416204E-3</v>
      </c>
      <c r="CQ267" s="197" t="str">
        <f t="shared" si="3946"/>
        <v>YoY Change (%)</v>
      </c>
      <c r="CR267" s="198">
        <f>CR266/CK266-1</f>
        <v>-0.12371134020618557</v>
      </c>
      <c r="CS267" s="198">
        <f t="shared" ref="CS267" si="6172">CS266/CL266-1</f>
        <v>-7.3298429319371694E-2</v>
      </c>
      <c r="CT267" s="198">
        <f t="shared" ref="CT267" si="6173">CT266/CM266-1</f>
        <v>-0.14572864321608037</v>
      </c>
      <c r="CU267" s="198">
        <f t="shared" ref="CU267" si="6174">CU266/CN266-1</f>
        <v>-0.17128463476070532</v>
      </c>
      <c r="CV267" s="198">
        <f t="shared" ref="CV267" si="6175">CV266/CO266-1</f>
        <v>-0.12907348242811489</v>
      </c>
      <c r="CX267" s="197" t="str">
        <f t="shared" si="3951"/>
        <v>YoY Change (%)</v>
      </c>
      <c r="CY267" s="198">
        <f>CY266/CR266-1</f>
        <v>-2.9411764705882248E-3</v>
      </c>
      <c r="CZ267" s="198">
        <f t="shared" ref="CZ267" si="6176">CZ266/CS266-1</f>
        <v>2.5423728813559254E-2</v>
      </c>
      <c r="DA267" s="198">
        <f t="shared" ref="DA267" si="6177">DA266/CT266-1</f>
        <v>0.12941176470588234</v>
      </c>
      <c r="DB267" s="198">
        <f t="shared" ref="DB267" si="6178">DB266/CU266-1</f>
        <v>0.15197568389057747</v>
      </c>
      <c r="DC267" s="198">
        <f t="shared" ref="DC267" si="6179">DC266/CV266-1</f>
        <v>7.4834922964050143E-2</v>
      </c>
      <c r="DE267" s="197" t="str">
        <f t="shared" si="3956"/>
        <v>YoY Change (%)</v>
      </c>
      <c r="DF267" s="198">
        <f>DF266/CY266-1</f>
        <v>7.9646017699114946E-2</v>
      </c>
      <c r="DG267" s="198">
        <f t="shared" ref="DG267" si="6180">DG266/CZ266-1</f>
        <v>4.4077134986225897E-2</v>
      </c>
      <c r="DH267" s="198">
        <f t="shared" ref="DH267" si="6181">DH266/DA266-1</f>
        <v>1.0416666666666741E-2</v>
      </c>
      <c r="DI267" s="198">
        <f t="shared" ref="DI267" si="6182">DI266/DB266-1</f>
        <v>2.9023746701847042E-2</v>
      </c>
      <c r="DJ267" s="198">
        <f t="shared" ref="DJ267" si="6183">DJ266/DC266-1</f>
        <v>3.9590443686006616E-2</v>
      </c>
      <c r="DL267" s="197" t="str">
        <f t="shared" si="3961"/>
        <v>YoY Change (%)</v>
      </c>
      <c r="DM267" s="198">
        <f>DM266/DF266-1</f>
        <v>1.0928961748633892E-2</v>
      </c>
      <c r="DN267" s="198">
        <f t="shared" ref="DN267" si="6184">DN266/DG266-1</f>
        <v>6.5963060686015762E-2</v>
      </c>
      <c r="DO267" s="198">
        <f t="shared" ref="DO267" si="6185">DO266/DH266-1</f>
        <v>4.1237113402061709E-2</v>
      </c>
      <c r="DP267" s="198">
        <f t="shared" ref="DP267" si="6186">DP266/DI266-1</f>
        <v>4.1025641025641102E-2</v>
      </c>
      <c r="DQ267" s="198">
        <f t="shared" ref="DQ267" si="6187">DQ266/DJ266-1</f>
        <v>4.0052527905449775E-2</v>
      </c>
      <c r="DS267" s="197" t="str">
        <f t="shared" si="3966"/>
        <v>YoY Change (%)</v>
      </c>
      <c r="DT267" s="198">
        <f>DT266/DM266-1</f>
        <v>5.1351351351351271E-2</v>
      </c>
      <c r="DU267" s="198">
        <f t="shared" ref="DU267" si="6188">DU266/DN266-1</f>
        <v>-5.4455445544554282E-2</v>
      </c>
      <c r="DV267" s="198">
        <f t="shared" ref="DV267" si="6189">DV266/DO266-1</f>
        <v>-3.4653465346534462E-2</v>
      </c>
      <c r="DW267" s="198">
        <f t="shared" ref="DW267" si="6190">DW266/DP266-1</f>
        <v>-1.7241379310344862E-2</v>
      </c>
      <c r="DX267" s="198">
        <f t="shared" ref="DX267" si="6191">DX266/DQ266-1</f>
        <v>-1.5151515151515249E-2</v>
      </c>
      <c r="DZ267" s="197" t="str">
        <f t="shared" si="3971"/>
        <v>YoY Change (%)</v>
      </c>
      <c r="EA267" s="198">
        <f>EA266/DT266-1</f>
        <v>-0.11053984575835463</v>
      </c>
      <c r="EB267" s="198">
        <f t="shared" ref="EB267" si="6192">EB266/DU266-1</f>
        <v>-2.3560209424083767E-2</v>
      </c>
      <c r="EC267" s="198">
        <f t="shared" ref="EC267" si="6193">EC266/DV266-1</f>
        <v>-2.0512820512820551E-2</v>
      </c>
      <c r="ED267" s="198">
        <f t="shared" ref="ED267" si="6194">ED266/DW266-1</f>
        <v>-5.2631578947368474E-2</v>
      </c>
      <c r="EE267" s="198">
        <f t="shared" ref="EE267" si="6195">EE266/DX266-1</f>
        <v>-5.1923076923076739E-2</v>
      </c>
      <c r="EG267" s="197" t="str">
        <f t="shared" si="3976"/>
        <v>YoY Change (%)</v>
      </c>
      <c r="EH267" s="198">
        <f>EH266/EA266-1</f>
        <v>2.0231213872832221E-2</v>
      </c>
      <c r="EI267" s="198">
        <f t="shared" ref="EI267" si="6196">EI266/EB266-1</f>
        <v>-7.7747989276139462E-2</v>
      </c>
      <c r="EJ267" s="198">
        <f t="shared" ref="EJ267" si="6197">EJ266/EC266-1</f>
        <v>3.6649214659685958E-2</v>
      </c>
      <c r="EK267" s="198">
        <f t="shared" ref="EK267" si="6198">EK266/ED266-1</f>
        <v>1.3227513227513255E-2</v>
      </c>
      <c r="EL267" s="198">
        <f t="shared" ref="EL267" si="6199">EL266/EE266-1</f>
        <v>-2.0283975659228792E-3</v>
      </c>
      <c r="EN267" s="197" t="str">
        <f t="shared" si="3981"/>
        <v>YoY Change (%)</v>
      </c>
      <c r="EO267" s="198">
        <f>EO266/EH266-1</f>
        <v>5.0991501416430607E-2</v>
      </c>
      <c r="EP267" s="198">
        <f t="shared" ref="EP267" si="6200">EP266/EI266-1</f>
        <v>0.11337209302325579</v>
      </c>
      <c r="EQ267" s="198">
        <f t="shared" ref="EQ267" si="6201">EQ266/EJ266-1</f>
        <v>2.525252525252597E-3</v>
      </c>
      <c r="ER267" s="198">
        <f t="shared" ref="ER267" si="6202">ER266/EK266-1</f>
        <v>3.1331592689294974E-2</v>
      </c>
      <c r="ES267" s="198">
        <f t="shared" ref="ES267" si="6203">ES266/EL266-1</f>
        <v>4.7425474254742639E-2</v>
      </c>
      <c r="EU267" s="197" t="str">
        <f t="shared" si="3986"/>
        <v>YoY Change (%)</v>
      </c>
      <c r="EV267" s="198">
        <f>EV266/EO266-1</f>
        <v>0.12129380053908356</v>
      </c>
      <c r="EW267" s="198">
        <f t="shared" ref="EW267" si="6204">EW266/EP266-1</f>
        <v>8.35509138381203E-2</v>
      </c>
      <c r="EX267" s="198">
        <f t="shared" ref="EX267" si="6205">EX266/EQ266-1</f>
        <v>5.0377833753148638E-2</v>
      </c>
      <c r="EY267" s="198">
        <f t="shared" ref="EY267" si="6206">EY266/ER266-1</f>
        <v>7.0886075949367022E-2</v>
      </c>
      <c r="EZ267" s="198">
        <f t="shared" ref="EZ267" si="6207">EZ266/ES266-1</f>
        <v>8.0853816300129555E-2</v>
      </c>
      <c r="FB267" s="197" t="str">
        <f t="shared" si="3991"/>
        <v>YoY Change (%)</v>
      </c>
      <c r="FC267" s="198">
        <f>FC266/EV266-1</f>
        <v>-8.413461538461553E-2</v>
      </c>
      <c r="FD267" s="198">
        <f t="shared" ref="FD267" si="6208">FD266/EW266-1</f>
        <v>-8.4337349397590522E-2</v>
      </c>
      <c r="FE267" s="198">
        <f t="shared" ref="FE267" si="6209">FE266/EX266-1</f>
        <v>-8.3932853717026412E-2</v>
      </c>
      <c r="FF267" s="198">
        <f t="shared" ref="FF267" si="6210">FF266/EY266-1</f>
        <v>-8.7470449172576847E-2</v>
      </c>
      <c r="FG267" s="198">
        <f t="shared" ref="FG267" si="6211">FG266/EZ266-1</f>
        <v>-8.4979054458408254E-2</v>
      </c>
      <c r="FI267" s="197" t="str">
        <f t="shared" si="3996"/>
        <v>YoY Change (%)</v>
      </c>
      <c r="FJ267" s="198">
        <f>FJ266/FC266-1</f>
        <v>-2.887139107611536E-2</v>
      </c>
      <c r="FK267" s="198">
        <f t="shared" ref="FK267" si="6212">FK266/FD266-1</f>
        <v>5.5263157894736903E-2</v>
      </c>
      <c r="FL267" s="198">
        <f t="shared" ref="FL267" si="6213">FL266/FE266-1</f>
        <v>5.2356020942410098E-3</v>
      </c>
      <c r="FM267" s="198">
        <f t="shared" ref="FM267" si="6214">FM266/FF266-1</f>
        <v>5.1813471502590858E-3</v>
      </c>
      <c r="FN267" s="198">
        <f t="shared" ref="FN267" si="6215">FN266/FG266-1</f>
        <v>9.1563113145847197E-3</v>
      </c>
      <c r="FP267" s="197" t="str">
        <f t="shared" si="4001"/>
        <v>YoY Change (%)</v>
      </c>
      <c r="FQ267" s="198">
        <f>FQ266/FJ266-1</f>
        <v>9.4594594594594517E-2</v>
      </c>
      <c r="FR267" s="198">
        <f t="shared" ref="FR267" si="6216">FR266/FK266-1</f>
        <v>6.2344139650872821E-2</v>
      </c>
      <c r="FS267" s="198">
        <f t="shared" ref="FS267" si="6217">FS266/FL266-1</f>
        <v>0.10156249999999978</v>
      </c>
      <c r="FT267" s="198">
        <f t="shared" ref="FT267" si="6218">FT266/FM266-1</f>
        <v>0.18556701030927836</v>
      </c>
      <c r="FU267" s="198">
        <f t="shared" ref="FU267" si="6219">FU266/FN266-1</f>
        <v>0.11082307193778362</v>
      </c>
      <c r="FW267" s="197" t="str">
        <f t="shared" si="4006"/>
        <v>YoY Change (%)</v>
      </c>
      <c r="FX267" s="198">
        <f>FX266/FQ266-1</f>
        <v>0.19012345679012355</v>
      </c>
      <c r="FY267" s="198">
        <f t="shared" ref="FY267" si="6220">FY266/FR266-1</f>
        <v>0.17840375586854473</v>
      </c>
      <c r="FZ267" s="198">
        <f t="shared" ref="FZ267" si="6221">FZ266/FS266-1</f>
        <v>0.16075650118203311</v>
      </c>
      <c r="GA267" s="198">
        <f t="shared" ref="GA267" si="6222">GA266/FT266-1</f>
        <v>8.6956521739130599E-2</v>
      </c>
      <c r="GB267" s="198">
        <f t="shared" ref="GB267" si="6223">GB266/FU266-1</f>
        <v>0.15227537922987189</v>
      </c>
      <c r="GD267" s="197" t="str">
        <f t="shared" si="4011"/>
        <v>YoY Change (%)</v>
      </c>
      <c r="GE267" s="198">
        <f>GE266/FX266-1</f>
        <v>0.14522821576763478</v>
      </c>
      <c r="GF267" s="198">
        <f t="shared" ref="GF267" si="6224">GF266/FY266-1</f>
        <v>0.1195219123505975</v>
      </c>
      <c r="GG267" s="198">
        <f t="shared" ref="GG267" si="6225">GG266/FZ266-1</f>
        <v>0.16293279022403251</v>
      </c>
      <c r="GH267" s="198">
        <f t="shared" ref="GH267" si="6226">GH266/GA266-1</f>
        <v>0.14799999999999991</v>
      </c>
      <c r="GI267" s="198">
        <f t="shared" ref="GI267" si="6227">GI266/GB266-1</f>
        <v>0.1437974683544303</v>
      </c>
      <c r="GK267" s="197" t="str">
        <f t="shared" si="4016"/>
        <v>YoY Change (%)</v>
      </c>
      <c r="GL267" s="198">
        <f>GL266/GE266-1</f>
        <v>9.2391304347826164E-2</v>
      </c>
      <c r="GM267" s="198">
        <f t="shared" ref="GM267" si="6228">GM266/GF266-1</f>
        <v>8.0071174377224219E-2</v>
      </c>
      <c r="GN267" s="198">
        <f t="shared" ref="GN267" si="6229">GN266/GG266-1</f>
        <v>8.4063047285463988E-2</v>
      </c>
      <c r="GO267" s="198">
        <f t="shared" ref="GO267" si="6230">GO266/GH266-1</f>
        <v>0.13937282229965176</v>
      </c>
      <c r="GP267" s="198">
        <f t="shared" ref="GP267" si="6231">GP266/GI266-1</f>
        <v>9.915891987605141E-2</v>
      </c>
      <c r="GR267" s="197" t="str">
        <f t="shared" si="4021"/>
        <v>YoY Change (%)</v>
      </c>
      <c r="GS267" s="198">
        <f>GS266/GL266-1</f>
        <v>0.19402985074626855</v>
      </c>
      <c r="GT267" s="198">
        <f t="shared" ref="GT267" si="6232">GT266/GM266-1</f>
        <v>0.28006589785831948</v>
      </c>
      <c r="GU267" s="198">
        <f t="shared" ref="GU267" si="6233">GU266/GN266-1</f>
        <v>0.29563812600969319</v>
      </c>
      <c r="GV267" s="198">
        <f t="shared" ref="GV267" si="6234">GV266/GO266-1</f>
        <v>0.24006116207951034</v>
      </c>
      <c r="GW267" s="198">
        <f t="shared" ref="GW267" si="6235">GW266/GP266-1</f>
        <v>0.2525171163914619</v>
      </c>
      <c r="GY267" s="197" t="str">
        <f t="shared" si="4026"/>
        <v>YoY Change (%)</v>
      </c>
      <c r="GZ267" s="198">
        <f>GZ266/GS266-1</f>
        <v>-9.7222222222221877E-3</v>
      </c>
      <c r="HA267" s="198">
        <f t="shared" ref="HA267" si="6236">HA266/GT266-1</f>
        <v>-0.17760617760617747</v>
      </c>
      <c r="HB267" s="198">
        <f t="shared" ref="HB267" si="6237">HB266/GU266-1</f>
        <v>-0.18578553615960103</v>
      </c>
      <c r="HC267" s="198">
        <f t="shared" ref="HC267" si="6238">HC266/GV266-1</f>
        <v>-0.24784217016029586</v>
      </c>
      <c r="HD267" s="198">
        <f t="shared" ref="HD267" si="6239">HD266/GW266-1</f>
        <v>-0.15916398713826363</v>
      </c>
      <c r="HF267" s="197" t="str">
        <f t="shared" si="4031"/>
        <v>YoY Change (%)</v>
      </c>
      <c r="HG267" s="198">
        <f>HG266/GZ266-1</f>
        <v>3.2258064516129004E-2</v>
      </c>
      <c r="HH267" s="198">
        <f t="shared" ref="HH267" si="6240">HH266/HA266-1</f>
        <v>0.30672926447574334</v>
      </c>
      <c r="HI267" s="198">
        <f t="shared" ref="HI267" si="6241">HI266/HB266-1</f>
        <v>0.27871362940275679</v>
      </c>
      <c r="HJ267" s="198">
        <f t="shared" ref="HJ267" si="6242">HJ266/HC266-1</f>
        <v>0.41147540983606534</v>
      </c>
      <c r="HK267" s="198">
        <f t="shared" ref="HK267" si="6243">HK266/HD266-1</f>
        <v>0.2493307839388148</v>
      </c>
      <c r="HM267" s="197" t="str">
        <f t="shared" si="4036"/>
        <v>YoY Change (%)</v>
      </c>
      <c r="HN267" s="198">
        <f>HN266/HG266-1</f>
        <v>0.19429347826086962</v>
      </c>
      <c r="HO267" s="198">
        <f t="shared" ref="HO267" si="6244">HO266/HH266-1</f>
        <v>0.14730538922155678</v>
      </c>
      <c r="HP267" s="198">
        <f t="shared" ref="HP267" si="6245">HP266/HI266-1</f>
        <v>0.14610778443113759</v>
      </c>
      <c r="HQ267" s="198">
        <f t="shared" ref="HQ267" si="6246">HQ266/HJ266-1</f>
        <v>6.2717770034843356E-2</v>
      </c>
      <c r="HR267" s="198">
        <f t="shared" ref="HR267" si="6247">HR266/HK266-1</f>
        <v>0.13529231711049872</v>
      </c>
      <c r="HT267" s="197" t="str">
        <f t="shared" si="4041"/>
        <v>YoY Change (%)</v>
      </c>
      <c r="HU267" s="198">
        <f>HU266/HN266-1</f>
        <v>-5.3469852104664484E-2</v>
      </c>
      <c r="HV267" s="198">
        <f t="shared" ref="HV267" si="6248">HV266/HO266-1</f>
        <v>-0.14405010438413357</v>
      </c>
      <c r="HW267" s="198">
        <f t="shared" ref="HW267" si="6249">HW266/HP266-1</f>
        <v>-0.17345872518286309</v>
      </c>
      <c r="HX267" s="198">
        <f t="shared" ref="HX267" si="6250">HX266/HQ266-1</f>
        <v>-0.18360655737704923</v>
      </c>
      <c r="HY267" s="198">
        <f t="shared" ref="HY267" si="6251">HY266/HR266-1</f>
        <v>-0.13992990024265317</v>
      </c>
      <c r="IA267" s="197" t="str">
        <f t="shared" si="4046"/>
        <v>YoY Change (%)</v>
      </c>
      <c r="IB267" s="198">
        <f>IB266/HU266-1</f>
        <v>-0.12740384615384603</v>
      </c>
      <c r="IC267" s="198">
        <f t="shared" ref="IC267" si="6252">IC266/HV266-1</f>
        <v>-6.0975609756097615E-2</v>
      </c>
      <c r="ID267" s="198">
        <f t="shared" ref="ID267" si="6253">ID266/HW266-1</f>
        <v>-8.9759797724399348E-2</v>
      </c>
      <c r="IE267" s="198">
        <f t="shared" ref="IE267" si="6254">IE266/HX266-1</f>
        <v>-9.1030789825970571E-2</v>
      </c>
      <c r="IF267" s="198">
        <f t="shared" ref="IF267" si="6255">IF266/HY266-1</f>
        <v>-9.2476489028213038E-2</v>
      </c>
      <c r="IH267" s="197" t="str">
        <f t="shared" si="4051"/>
        <v>YoY Change (%)</v>
      </c>
      <c r="II267" s="198">
        <f>II266/IB266-1</f>
        <v>-8.8154269972451904E-2</v>
      </c>
      <c r="IJ267" s="198">
        <f t="shared" ref="IJ267" si="6256">IJ266/IC266-1</f>
        <v>-3.3766233766233777E-2</v>
      </c>
      <c r="IK267" s="198">
        <f t="shared" ref="IK267" si="6257">IK266/ID266-1</f>
        <v>1.3888888888886619E-3</v>
      </c>
      <c r="IL267" s="198">
        <f t="shared" ref="IL267" si="6258">IL266/IE266-1</f>
        <v>6.3328424153166418E-2</v>
      </c>
      <c r="IM267" s="198">
        <f t="shared" ref="IM267" si="6259">IM266/IF266-1</f>
        <v>-1.5889464594127767E-2</v>
      </c>
      <c r="IO267" s="197" t="str">
        <f t="shared" si="4056"/>
        <v>YoY Change (%)</v>
      </c>
      <c r="IP267" s="198">
        <f>IP266/II266-1</f>
        <v>-3.6253776435045348E-2</v>
      </c>
      <c r="IQ267" s="198">
        <f t="shared" ref="IQ267" si="6260">IQ266/IJ266-1</f>
        <v>-0.15322580645161288</v>
      </c>
      <c r="IR267" s="198">
        <f t="shared" ref="IR267" si="6261">IR266/IK266-1</f>
        <v>-0.19140083217753123</v>
      </c>
      <c r="IS267" s="198">
        <f t="shared" ref="IS267" si="6262">IS266/IL266-1</f>
        <v>-0.37811634349030476</v>
      </c>
      <c r="IT267" s="198">
        <f t="shared" ref="IT267" si="6263">IT266/IM266-1</f>
        <v>-0.19269919269919289</v>
      </c>
      <c r="IV267" s="197" t="str">
        <f t="shared" si="4061"/>
        <v>YoY Change (%)</v>
      </c>
      <c r="IW267" s="198">
        <f>IW266/IP266-1</f>
        <v>-0.37460815047021945</v>
      </c>
      <c r="IX267" s="198">
        <f t="shared" ref="IX267" si="6264">IX266/IQ266-1</f>
        <v>-0.33968253968253959</v>
      </c>
      <c r="IY267" s="198">
        <f t="shared" ref="IY267" si="6265">IY266/IR266-1</f>
        <v>-0.19897084048027458</v>
      </c>
      <c r="IZ267" s="198">
        <f t="shared" ref="IZ267" si="6266">IZ266/IS266-1</f>
        <v>0.22717149220489996</v>
      </c>
      <c r="JA267" s="198">
        <f t="shared" ref="JA267" si="6267">JA266/IT266-1</f>
        <v>-0.20304347826086933</v>
      </c>
      <c r="JC267" s="197" t="str">
        <f t="shared" si="4066"/>
        <v>YoY Change (%)</v>
      </c>
      <c r="JD267" s="198">
        <f>JD266/IW266-1</f>
        <v>0.30827067669172958</v>
      </c>
      <c r="JE267" s="198">
        <f t="shared" ref="JE267" si="6268">JE266/IX266-1</f>
        <v>0.27403846153846145</v>
      </c>
      <c r="JF267" s="198">
        <f t="shared" ref="JF267" si="6269">JF266/IY266-1</f>
        <v>0.10064239828693777</v>
      </c>
      <c r="JG267" s="198">
        <f t="shared" ref="JG267" si="6270">JG266/IZ266-1</f>
        <v>-1.8148820326678972E-2</v>
      </c>
      <c r="JH267" s="198">
        <f t="shared" ref="JH267" si="6271">JH266/JA266-1</f>
        <v>0.14948172394980896</v>
      </c>
      <c r="JJ267" s="197" t="str">
        <f t="shared" si="4071"/>
        <v>YoY Change (%)</v>
      </c>
      <c r="JK267" s="198">
        <f>JK266/JD266-1</f>
        <v>-3.6398467432950388E-2</v>
      </c>
      <c r="JL267" s="198">
        <f t="shared" ref="JL267" si="6272">JL266/JE266-1</f>
        <v>7.3584905660377453E-2</v>
      </c>
      <c r="JM267" s="198">
        <f t="shared" ref="JM267" si="6273">JM266/JF266-1</f>
        <v>0.14396887159533089</v>
      </c>
      <c r="JN267" s="198">
        <f t="shared" ref="JN267" si="6274">JN266/JG266-1</f>
        <v>8.3179297597042456E-2</v>
      </c>
      <c r="JO267" s="198">
        <f t="shared" ref="JO267" si="6275">JO266/JH266-1</f>
        <v>6.5970574276222216E-2</v>
      </c>
      <c r="JQ267" s="197" t="str">
        <f t="shared" si="4076"/>
        <v>YoY Change (%)</v>
      </c>
      <c r="JR267" s="198">
        <f>JR266/JK266-1</f>
        <v>6.9582504970178816E-2</v>
      </c>
      <c r="JS267" s="198">
        <f t="shared" ref="JS267" si="6276">JS266/JL266-1</f>
        <v>-2.1089630931458658E-2</v>
      </c>
      <c r="JT267" s="198">
        <f t="shared" ref="JT267" si="6277">JT266/JM266-1</f>
        <v>-0.12244897959183676</v>
      </c>
      <c r="JU267" s="198">
        <f t="shared" ref="JU267" si="6278">JU266/JN266-1</f>
        <v>-0.21672354948805461</v>
      </c>
      <c r="JV267" s="198">
        <f t="shared" ref="JV267" si="6279">JV266/JO266-1</f>
        <v>-7.8361531611754187E-2</v>
      </c>
      <c r="JX267" s="197" t="str">
        <f t="shared" si="4081"/>
        <v>YoY Change (%)</v>
      </c>
      <c r="JY267" s="198">
        <f>JY266/JR266-1</f>
        <v>-0.24721189591078074</v>
      </c>
      <c r="JZ267" s="198">
        <f t="shared" ref="JZ267" si="6280">JZ266/JS266-1</f>
        <v>-0.48473967684021546</v>
      </c>
      <c r="KA267" s="198">
        <f t="shared" ref="KA267" si="6281">KA266/JT266-1</f>
        <v>-0.36046511627906974</v>
      </c>
      <c r="KB267" s="198">
        <f t="shared" ref="KB267" si="6282">KB266/JU266-1</f>
        <v>-0.18300653594771232</v>
      </c>
      <c r="KC267" s="198">
        <f t="shared" ref="KC267" si="6283">KC266/JV266-1</f>
        <v>-0.32512077294685993</v>
      </c>
      <c r="KE267" s="197" t="str">
        <f t="shared" si="4086"/>
        <v>YoY Change (%)</v>
      </c>
      <c r="KF267" s="198">
        <f>KF266/JY266-1</f>
        <v>0.15555555555555567</v>
      </c>
      <c r="KG267" s="198">
        <f t="shared" ref="KG267" si="6284">KG266/JZ266-1</f>
        <v>0.47386759581881543</v>
      </c>
      <c r="KH267" s="198">
        <f t="shared" ref="KH267" si="6285">KH266/KA266-1</f>
        <v>0.39393939393939381</v>
      </c>
      <c r="KI267" s="198">
        <f t="shared" ref="KI267" si="6286">KI266/KB266-1</f>
        <v>0.3946666666666665</v>
      </c>
      <c r="KJ267" s="198">
        <f t="shared" ref="KJ267" si="6287">KJ266/KC266-1</f>
        <v>0.34144595561918401</v>
      </c>
      <c r="KL267" s="197" t="str">
        <f t="shared" si="4091"/>
        <v>YoY Change (%)</v>
      </c>
      <c r="KM267" s="198">
        <f>KM266/KF266-1</f>
        <v>0.13888888888888906</v>
      </c>
      <c r="KN267" s="198">
        <f t="shared" ref="KN267" si="6288">KN266/KG266-1</f>
        <v>0.53900709219858145</v>
      </c>
      <c r="KO267" s="198">
        <f t="shared" ref="KO267" si="6289">KO266/KH266-1</f>
        <v>0.35652173913043494</v>
      </c>
      <c r="KP267" s="198">
        <f t="shared" ref="KP267" si="6290">KP266/KI266-1</f>
        <v>0.19694072657743789</v>
      </c>
      <c r="KQ267" s="198">
        <f t="shared" ref="KQ267" si="6291">KQ266/KJ266-1</f>
        <v>0.29882604055496276</v>
      </c>
      <c r="KS267" s="197" t="str">
        <f t="shared" si="4096"/>
        <v>YoY Change (%)</v>
      </c>
      <c r="KT267" s="198">
        <f>KT266/KM266-1</f>
        <v>0.18761726078799246</v>
      </c>
      <c r="KU267" s="198">
        <f t="shared" ref="KU267" si="6292">KU266/KN266-1</f>
        <v>-2.1505376344086002E-2</v>
      </c>
      <c r="KV267" s="198">
        <f t="shared" ref="KV267" si="6293">KV266/KO266-1</f>
        <v>-4.8076923076923128E-2</v>
      </c>
      <c r="KW267" s="198">
        <f t="shared" ref="KW267" si="6294">KW266/KP266-1</f>
        <v>-9.5846645367412275E-3</v>
      </c>
      <c r="KX267" s="198">
        <f t="shared" ref="KX267" si="6295">KX266/KQ266-1</f>
        <v>2.0542317173377178E-2</v>
      </c>
      <c r="KZ267" s="197" t="str">
        <f t="shared" si="4101"/>
        <v>YoY Change (%)</v>
      </c>
      <c r="LA267" s="198">
        <f>LA266/KT266-1</f>
        <v>-1.5797788309637184E-3</v>
      </c>
      <c r="LB267" s="198">
        <f>LB266/KU266-1</f>
        <v>-0.1161695447409733</v>
      </c>
      <c r="LC267" s="198">
        <f>LC266/KV266-1</f>
        <v>-6.9023569023568987E-2</v>
      </c>
      <c r="LD267" s="198">
        <f t="shared" ref="LD267" si="6296">LD266/KW266-1</f>
        <v>-0.19516129032258067</v>
      </c>
      <c r="LE267" s="199">
        <f t="shared" ref="LE267" si="6297">LE266/KX266-1</f>
        <v>-9.5410628019323651E-2</v>
      </c>
      <c r="LF267" s="574"/>
      <c r="LG267" s="197" t="str">
        <f t="shared" si="4104"/>
        <v>YoY Change (%)</v>
      </c>
      <c r="LH267" s="198">
        <f>LH266/LA266-1</f>
        <v>-0.27056962025316456</v>
      </c>
      <c r="LI267" s="198">
        <f>LI266/LB266-1</f>
        <v>-0.15275310834813494</v>
      </c>
      <c r="LJ267" s="198">
        <f>LJ266/LC266-1</f>
        <v>-0.11392405063291144</v>
      </c>
      <c r="LK267" s="198">
        <f>LK266/LD266-1</f>
        <v>-5.4108216432865786E-2</v>
      </c>
      <c r="LL267" s="199">
        <f t="shared" ref="LL267" si="6298">LL266/LE266-1</f>
        <v>-0.15442812639074321</v>
      </c>
      <c r="LM267" s="574"/>
      <c r="LN267" s="197" t="str">
        <f t="shared" si="4106"/>
        <v>YoY Change (%)</v>
      </c>
      <c r="LO267" s="199">
        <f>LO266/LH266-1</f>
        <v>-9.0000000000012292E-4</v>
      </c>
      <c r="LP267" s="199">
        <f t="shared" ref="LP267" si="6299">LP266/LI266-1</f>
        <v>1.4899999999999913E-2</v>
      </c>
      <c r="LQ267" s="199">
        <f>LQ266/LJ266-1</f>
        <v>2.2950000000000026E-2</v>
      </c>
      <c r="LR267" s="199">
        <f t="shared" ref="LR267" si="6300">LR266/LK266-1</f>
        <v>4.5499999999999652E-2</v>
      </c>
      <c r="LS267" s="199">
        <f t="shared" ref="LS267" si="6301">LS266/LL266-1</f>
        <v>2.0744157894736714E-2</v>
      </c>
      <c r="LT267" s="574"/>
      <c r="LU267" s="197" t="str">
        <f t="shared" si="4610"/>
        <v>YoY Change (%)</v>
      </c>
      <c r="LV267" s="199">
        <f>LV266/LO266-1</f>
        <v>9.9249999999999616E-3</v>
      </c>
      <c r="LW267" s="199">
        <f t="shared" ref="LW267" si="6302">LW266/LP266-1</f>
        <v>9.9999999999997868E-3</v>
      </c>
      <c r="LX267" s="199">
        <f t="shared" ref="LX267" si="6303">LX266/LQ266-1</f>
        <v>-2.4999999999941735E-5</v>
      </c>
      <c r="LY267" s="199">
        <f t="shared" ref="LY267" si="6304">LY266/LR266-1</f>
        <v>-2.4999999999941735E-5</v>
      </c>
      <c r="LZ267" s="199">
        <f t="shared" ref="LZ267" si="6305">LZ266/LS266-1</f>
        <v>4.8403860980887892E-3</v>
      </c>
      <c r="MA267" s="574"/>
      <c r="MB267" s="197" t="str">
        <f t="shared" si="4612"/>
        <v>YoY Change (%)</v>
      </c>
      <c r="MC267" s="199">
        <f>MC266/LV266-1</f>
        <v>-2.5375000000000814E-3</v>
      </c>
      <c r="MD267" s="199">
        <f t="shared" ref="MD267" si="6306">MD266/LW266-1</f>
        <v>-2.5375000000000814E-3</v>
      </c>
      <c r="ME267" s="199">
        <f t="shared" ref="ME267" si="6307">ME266/LX266-1</f>
        <v>2.4250000000001215E-3</v>
      </c>
      <c r="MF267" s="199">
        <f t="shared" ref="MF267" si="6308">MF266/LY266-1</f>
        <v>2.4249999999998995E-3</v>
      </c>
      <c r="MG267" s="199">
        <f t="shared" ref="MG267" si="6309">MG266/LZ266-1</f>
        <v>-4.56770350432123E-6</v>
      </c>
      <c r="MH267" s="574"/>
    </row>
    <row r="268" spans="1:346" s="37" customFormat="1" ht="13.15" x14ac:dyDescent="0.4">
      <c r="A268" s="100"/>
      <c r="C268" s="186"/>
      <c r="D268" s="186"/>
      <c r="E268" s="186"/>
      <c r="F268" s="186"/>
      <c r="G268" s="186"/>
      <c r="H268" s="186"/>
      <c r="I268" s="186"/>
      <c r="J268" s="186"/>
      <c r="K268" s="186"/>
      <c r="L268" s="186"/>
      <c r="M268" s="186"/>
      <c r="N268" s="193"/>
      <c r="O268" s="193"/>
      <c r="P268" s="193"/>
      <c r="Q268" s="193"/>
      <c r="R268" s="193"/>
      <c r="S268" s="193"/>
      <c r="T268" s="193"/>
      <c r="U268" s="193"/>
      <c r="V268" s="193"/>
      <c r="W268" s="193"/>
      <c r="X268" s="193"/>
      <c r="Y268" s="193"/>
      <c r="Z268" s="193"/>
      <c r="AA268" s="193"/>
      <c r="AB268" s="193"/>
      <c r="AC268" s="193"/>
      <c r="AD268" s="193"/>
      <c r="AE268" s="193"/>
      <c r="AF268" s="193"/>
      <c r="AG268" s="193"/>
      <c r="AH268" s="193"/>
      <c r="AI268" s="193"/>
      <c r="AJ268" s="193"/>
      <c r="AK268" s="193"/>
      <c r="AL268" s="193"/>
      <c r="AM268" s="193"/>
      <c r="AN268" s="193"/>
      <c r="AO268" s="193"/>
      <c r="AP268" s="193"/>
      <c r="AQ268" s="193"/>
      <c r="AR268" s="193"/>
      <c r="AS268" s="193"/>
      <c r="AT268" s="193"/>
      <c r="AU268" s="193"/>
      <c r="AV268" s="193"/>
      <c r="AW268" s="193"/>
      <c r="AX268" s="193"/>
      <c r="AY268" s="193"/>
      <c r="AZ268" s="193"/>
      <c r="BA268" s="193"/>
      <c r="BB268" s="193"/>
      <c r="BC268" s="193"/>
      <c r="BD268" s="193"/>
      <c r="BE268" s="193"/>
      <c r="BF268" s="193"/>
      <c r="BG268" s="193"/>
      <c r="BH268" s="193"/>
      <c r="BI268" s="193"/>
      <c r="BJ268" s="193"/>
      <c r="BK268" s="193"/>
      <c r="BL268" s="193"/>
      <c r="BM268" s="193"/>
      <c r="BP268" s="193"/>
      <c r="BQ268" s="193"/>
      <c r="BR268" s="193"/>
      <c r="BS268" s="193"/>
      <c r="BT268" s="193"/>
      <c r="BW268" s="193"/>
      <c r="BX268" s="193"/>
      <c r="BY268" s="193"/>
      <c r="BZ268" s="193"/>
      <c r="CA268" s="193"/>
      <c r="CD268" s="193"/>
      <c r="CE268" s="193"/>
      <c r="CF268" s="193"/>
      <c r="CG268" s="193"/>
      <c r="CH268" s="193"/>
      <c r="CK268" s="193"/>
      <c r="CL268" s="193"/>
      <c r="CM268" s="193"/>
      <c r="CN268" s="193"/>
      <c r="CO268" s="193"/>
      <c r="CR268" s="193"/>
      <c r="CS268" s="193"/>
      <c r="CT268" s="193"/>
      <c r="CU268" s="193"/>
      <c r="CV268" s="193"/>
      <c r="CY268" s="193"/>
      <c r="CZ268" s="193"/>
      <c r="DA268" s="193"/>
      <c r="DB268" s="193"/>
      <c r="DC268" s="193"/>
      <c r="DF268" s="193"/>
      <c r="DG268" s="193"/>
      <c r="DH268" s="193"/>
      <c r="DI268" s="193"/>
      <c r="DJ268" s="193"/>
      <c r="DM268" s="193"/>
      <c r="DN268" s="193"/>
      <c r="DO268" s="193"/>
      <c r="DP268" s="193"/>
      <c r="DQ268" s="193"/>
      <c r="DT268" s="193"/>
      <c r="DU268" s="193"/>
      <c r="DV268" s="193"/>
      <c r="DW268" s="193"/>
      <c r="DX268" s="193"/>
      <c r="EA268" s="193"/>
      <c r="EB268" s="193"/>
      <c r="EC268" s="193"/>
      <c r="ED268" s="193"/>
      <c r="EE268" s="193"/>
      <c r="EH268" s="193"/>
      <c r="EI268" s="193"/>
      <c r="EJ268" s="193"/>
      <c r="EK268" s="193"/>
      <c r="EL268" s="193"/>
      <c r="EO268" s="193"/>
      <c r="EP268" s="193"/>
      <c r="EQ268" s="193"/>
      <c r="ER268" s="193"/>
      <c r="ES268" s="193"/>
      <c r="EV268" s="193"/>
      <c r="EW268" s="193"/>
      <c r="EX268" s="193"/>
      <c r="EY268" s="193"/>
      <c r="EZ268" s="193"/>
      <c r="FC268" s="193"/>
      <c r="FD268" s="193"/>
      <c r="FE268" s="193"/>
      <c r="FF268" s="193"/>
      <c r="FG268" s="193"/>
      <c r="FJ268" s="193"/>
      <c r="FK268" s="193"/>
      <c r="FL268" s="193"/>
      <c r="FM268" s="193"/>
      <c r="FN268" s="193"/>
      <c r="FQ268" s="193"/>
      <c r="FR268" s="193"/>
      <c r="FS268" s="193"/>
      <c r="FT268" s="193"/>
      <c r="FU268" s="193"/>
      <c r="FX268" s="193"/>
      <c r="FY268" s="193"/>
      <c r="FZ268" s="193"/>
      <c r="GA268" s="193"/>
      <c r="GB268" s="193"/>
      <c r="GE268" s="193"/>
      <c r="GF268" s="193"/>
      <c r="GG268" s="193"/>
      <c r="GH268" s="193"/>
      <c r="GI268" s="193"/>
      <c r="GL268" s="193"/>
      <c r="GM268" s="193"/>
      <c r="GN268" s="193"/>
      <c r="GO268" s="193"/>
      <c r="GP268" s="193"/>
      <c r="GS268" s="193"/>
      <c r="GT268" s="193"/>
      <c r="GU268" s="193"/>
      <c r="GV268" s="193"/>
      <c r="GW268" s="193"/>
      <c r="GZ268" s="193"/>
      <c r="HA268" s="193"/>
      <c r="HB268" s="193"/>
      <c r="HC268" s="193"/>
      <c r="HD268" s="193"/>
      <c r="HG268" s="193"/>
      <c r="HH268" s="193"/>
      <c r="HI268" s="193"/>
      <c r="HJ268" s="193"/>
      <c r="HK268" s="193"/>
      <c r="HN268" s="193"/>
      <c r="HO268" s="193"/>
      <c r="HP268" s="193"/>
      <c r="HQ268" s="193"/>
      <c r="HR268" s="193"/>
      <c r="HU268" s="193"/>
      <c r="HV268" s="193"/>
      <c r="HW268" s="193"/>
      <c r="HX268" s="193"/>
      <c r="HY268" s="193"/>
      <c r="IB268" s="193"/>
      <c r="IC268" s="193"/>
      <c r="ID268" s="193"/>
      <c r="IE268" s="193"/>
      <c r="IF268" s="193"/>
      <c r="II268" s="193"/>
      <c r="IJ268" s="193"/>
      <c r="IK268" s="193"/>
      <c r="IL268" s="193"/>
      <c r="IM268" s="193"/>
      <c r="IP268" s="193"/>
      <c r="IQ268" s="193"/>
      <c r="IR268" s="193"/>
      <c r="IS268" s="193"/>
      <c r="IT268" s="193"/>
      <c r="IW268" s="193"/>
      <c r="IX268" s="193"/>
      <c r="IY268" s="193"/>
      <c r="IZ268" s="193"/>
      <c r="JA268" s="193"/>
      <c r="JD268" s="193"/>
      <c r="JE268" s="193"/>
      <c r="JF268" s="193"/>
      <c r="JG268" s="193"/>
      <c r="JH268" s="193"/>
      <c r="JK268" s="193"/>
      <c r="JL268" s="193"/>
      <c r="JM268" s="193"/>
      <c r="JN268" s="193"/>
      <c r="JO268" s="193"/>
      <c r="JR268" s="193"/>
      <c r="JS268" s="193"/>
      <c r="JT268" s="193"/>
      <c r="JU268" s="193"/>
      <c r="JV268" s="193"/>
      <c r="JY268" s="193"/>
      <c r="JZ268" s="193"/>
      <c r="KA268" s="193"/>
      <c r="KB268" s="193"/>
      <c r="KC268" s="193"/>
      <c r="KF268" s="193"/>
      <c r="KG268" s="193"/>
      <c r="KH268" s="193"/>
      <c r="KI268" s="193"/>
      <c r="KJ268" s="193"/>
      <c r="KM268" s="193"/>
      <c r="KN268" s="193"/>
      <c r="KO268" s="193"/>
      <c r="KP268" s="193"/>
      <c r="KQ268" s="193"/>
      <c r="KT268" s="193"/>
      <c r="KU268" s="193"/>
      <c r="KV268" s="193"/>
      <c r="KW268" s="193"/>
      <c r="KX268" s="193"/>
      <c r="LA268" s="193"/>
      <c r="LB268" s="193"/>
      <c r="LC268" s="193"/>
      <c r="LD268" s="193"/>
      <c r="LE268" s="193"/>
      <c r="LF268" s="555"/>
      <c r="LH268" s="193"/>
      <c r="LI268" s="193"/>
      <c r="LJ268" s="193"/>
      <c r="LK268" s="193"/>
      <c r="LL268" s="193"/>
      <c r="LM268" s="555"/>
      <c r="LO268" s="192"/>
      <c r="LP268" s="192"/>
      <c r="LQ268" s="192"/>
      <c r="LR268" s="192"/>
      <c r="LS268" s="193"/>
      <c r="LT268" s="555"/>
      <c r="LV268" s="192"/>
      <c r="LW268" s="192"/>
      <c r="LX268" s="192"/>
      <c r="LY268" s="192"/>
      <c r="LZ268" s="193"/>
      <c r="MA268" s="555"/>
      <c r="MC268" s="192"/>
      <c r="MD268" s="192"/>
      <c r="ME268" s="192"/>
      <c r="MF268" s="192"/>
      <c r="MG268" s="193"/>
      <c r="MH268" s="555"/>
    </row>
    <row r="269" spans="1:346" s="37" customFormat="1" ht="13.15" x14ac:dyDescent="0.4">
      <c r="A269" s="100"/>
      <c r="B269" s="206" t="s">
        <v>428</v>
      </c>
      <c r="C269" s="186"/>
      <c r="D269" s="186"/>
      <c r="E269" s="186"/>
      <c r="F269" s="186"/>
      <c r="G269" s="186"/>
      <c r="H269" s="186"/>
      <c r="I269" s="186"/>
      <c r="J269" s="186"/>
      <c r="K269" s="186"/>
      <c r="L269" s="186"/>
      <c r="M269" s="186"/>
      <c r="N269" s="193"/>
      <c r="O269" s="193"/>
      <c r="P269" s="193"/>
      <c r="Q269" s="193"/>
      <c r="R269" s="193"/>
      <c r="S269" s="193"/>
      <c r="T269" s="193"/>
      <c r="U269" s="193"/>
      <c r="V269" s="193"/>
      <c r="W269" s="193"/>
      <c r="X269" s="193"/>
      <c r="Y269" s="193"/>
      <c r="Z269" s="193"/>
      <c r="AA269" s="193"/>
      <c r="AB269" s="193"/>
      <c r="AC269" s="193"/>
      <c r="AD269" s="193"/>
      <c r="AE269" s="193"/>
      <c r="AF269" s="193"/>
      <c r="AG269" s="193"/>
      <c r="AH269" s="193"/>
      <c r="AI269" s="193"/>
      <c r="AJ269" s="193"/>
      <c r="AK269" s="193"/>
      <c r="AL269" s="193"/>
      <c r="AM269" s="193"/>
      <c r="AN269" s="193"/>
      <c r="AO269" s="193"/>
      <c r="AP269" s="193"/>
      <c r="AQ269" s="193"/>
      <c r="AR269" s="193"/>
      <c r="AS269" s="193"/>
      <c r="AT269" s="193"/>
      <c r="AU269" s="193"/>
      <c r="AV269" s="193"/>
      <c r="AW269" s="193"/>
      <c r="AX269" s="193"/>
      <c r="AY269" s="193"/>
      <c r="AZ269" s="193"/>
      <c r="BA269" s="193"/>
      <c r="BB269" s="193"/>
      <c r="BC269" s="193"/>
      <c r="BD269" s="193"/>
      <c r="BE269" s="193"/>
      <c r="BF269" s="193"/>
      <c r="BG269" s="193"/>
      <c r="BH269" s="193"/>
      <c r="BI269" s="193"/>
      <c r="BJ269" s="193"/>
      <c r="BK269" s="193"/>
      <c r="BL269" s="193"/>
      <c r="BM269" s="193"/>
      <c r="BO269" s="206" t="str">
        <f t="shared" ref="BO269:BO277" si="6310">$B269</f>
        <v>Total Volume</v>
      </c>
      <c r="BP269" s="193"/>
      <c r="BQ269" s="193"/>
      <c r="BR269" s="193"/>
      <c r="BS269" s="193"/>
      <c r="BT269" s="193"/>
      <c r="BV269" s="206" t="str">
        <f t="shared" ref="BV269:BV277" si="6311">$B269</f>
        <v>Total Volume</v>
      </c>
      <c r="BW269" s="193"/>
      <c r="BX269" s="193"/>
      <c r="BY269" s="193"/>
      <c r="BZ269" s="193"/>
      <c r="CA269" s="193"/>
      <c r="CC269" s="206" t="str">
        <f t="shared" ref="CC269:CC277" si="6312">$B269</f>
        <v>Total Volume</v>
      </c>
      <c r="CD269" s="193"/>
      <c r="CE269" s="193"/>
      <c r="CF269" s="193"/>
      <c r="CG269" s="193"/>
      <c r="CH269" s="193"/>
      <c r="CJ269" s="206" t="str">
        <f t="shared" ref="CJ269:CJ277" si="6313">$B269</f>
        <v>Total Volume</v>
      </c>
      <c r="CK269" s="193"/>
      <c r="CL269" s="193"/>
      <c r="CM269" s="193"/>
      <c r="CN269" s="193"/>
      <c r="CO269" s="193"/>
      <c r="CQ269" s="206" t="str">
        <f t="shared" ref="CQ269:CQ277" si="6314">$B269</f>
        <v>Total Volume</v>
      </c>
      <c r="CR269" s="193"/>
      <c r="CS269" s="193"/>
      <c r="CT269" s="193"/>
      <c r="CU269" s="193"/>
      <c r="CV269" s="193"/>
      <c r="CX269" s="206" t="str">
        <f t="shared" ref="CX269:CX277" si="6315">$B269</f>
        <v>Total Volume</v>
      </c>
      <c r="CY269" s="193"/>
      <c r="CZ269" s="193"/>
      <c r="DA269" s="193"/>
      <c r="DB269" s="193"/>
      <c r="DC269" s="193"/>
      <c r="DE269" s="206" t="str">
        <f t="shared" ref="DE269:DE277" si="6316">$B269</f>
        <v>Total Volume</v>
      </c>
      <c r="DF269" s="193"/>
      <c r="DG269" s="193"/>
      <c r="DH269" s="193"/>
      <c r="DI269" s="193"/>
      <c r="DJ269" s="193"/>
      <c r="DL269" s="206" t="str">
        <f t="shared" ref="DL269:DL277" si="6317">$B269</f>
        <v>Total Volume</v>
      </c>
      <c r="DM269" s="193"/>
      <c r="DN269" s="193"/>
      <c r="DO269" s="193"/>
      <c r="DP269" s="193"/>
      <c r="DQ269" s="193"/>
      <c r="DS269" s="206" t="str">
        <f t="shared" ref="DS269:DS277" si="6318">$B269</f>
        <v>Total Volume</v>
      </c>
      <c r="DT269" s="193"/>
      <c r="DU269" s="193"/>
      <c r="DV269" s="193"/>
      <c r="DW269" s="193"/>
      <c r="DX269" s="193"/>
      <c r="DZ269" s="206" t="str">
        <f t="shared" ref="DZ269:DZ277" si="6319">$B269</f>
        <v>Total Volume</v>
      </c>
      <c r="EA269" s="193"/>
      <c r="EB269" s="193"/>
      <c r="EC269" s="193"/>
      <c r="ED269" s="193"/>
      <c r="EE269" s="193"/>
      <c r="EG269" s="206" t="str">
        <f t="shared" ref="EG269:EG277" si="6320">$B269</f>
        <v>Total Volume</v>
      </c>
      <c r="EH269" s="193"/>
      <c r="EI269" s="193"/>
      <c r="EJ269" s="193"/>
      <c r="EK269" s="193"/>
      <c r="EL269" s="193"/>
      <c r="EN269" s="206" t="str">
        <f t="shared" ref="EN269:EN277" si="6321">$B269</f>
        <v>Total Volume</v>
      </c>
      <c r="EO269" s="193"/>
      <c r="EP269" s="193"/>
      <c r="EQ269" s="193"/>
      <c r="ER269" s="193"/>
      <c r="ES269" s="193"/>
      <c r="EU269" s="206" t="str">
        <f t="shared" ref="EU269:EU277" si="6322">$B269</f>
        <v>Total Volume</v>
      </c>
      <c r="EV269" s="193"/>
      <c r="EW269" s="193"/>
      <c r="EX269" s="193"/>
      <c r="EY269" s="193"/>
      <c r="EZ269" s="193"/>
      <c r="FB269" s="206" t="str">
        <f t="shared" ref="FB269:FB277" si="6323">$B269</f>
        <v>Total Volume</v>
      </c>
      <c r="FC269" s="193"/>
      <c r="FD269" s="193"/>
      <c r="FE269" s="193"/>
      <c r="FF269" s="193"/>
      <c r="FG269" s="193"/>
      <c r="FI269" s="206" t="str">
        <f t="shared" ref="FI269:FI277" si="6324">$B269</f>
        <v>Total Volume</v>
      </c>
      <c r="FJ269" s="193"/>
      <c r="FK269" s="193"/>
      <c r="FL269" s="193"/>
      <c r="FM269" s="193"/>
      <c r="FN269" s="193"/>
      <c r="FP269" s="206" t="str">
        <f t="shared" ref="FP269:FP277" si="6325">$B269</f>
        <v>Total Volume</v>
      </c>
      <c r="FQ269" s="193"/>
      <c r="FR269" s="193"/>
      <c r="FS269" s="193"/>
      <c r="FT269" s="193"/>
      <c r="FU269" s="193"/>
      <c r="FW269" s="206" t="str">
        <f t="shared" ref="FW269:FW277" si="6326">$B269</f>
        <v>Total Volume</v>
      </c>
      <c r="FX269" s="193"/>
      <c r="FY269" s="193"/>
      <c r="FZ269" s="193"/>
      <c r="GA269" s="193"/>
      <c r="GB269" s="193"/>
      <c r="GD269" s="206" t="str">
        <f t="shared" ref="GD269:GD277" si="6327">$B269</f>
        <v>Total Volume</v>
      </c>
      <c r="GE269" s="193"/>
      <c r="GF269" s="193"/>
      <c r="GG269" s="193"/>
      <c r="GH269" s="193"/>
      <c r="GI269" s="193"/>
      <c r="GK269" s="206" t="str">
        <f t="shared" ref="GK269:GK277" si="6328">$B269</f>
        <v>Total Volume</v>
      </c>
      <c r="GL269" s="193"/>
      <c r="GM269" s="193"/>
      <c r="GN269" s="193"/>
      <c r="GO269" s="193"/>
      <c r="GP269" s="193"/>
      <c r="GR269" s="206" t="str">
        <f t="shared" ref="GR269:GR277" si="6329">$B269</f>
        <v>Total Volume</v>
      </c>
      <c r="GS269" s="193"/>
      <c r="GT269" s="193"/>
      <c r="GU269" s="193"/>
      <c r="GV269" s="193"/>
      <c r="GW269" s="193"/>
      <c r="GY269" s="206" t="str">
        <f t="shared" ref="GY269:GY277" si="6330">$B269</f>
        <v>Total Volume</v>
      </c>
      <c r="GZ269" s="193"/>
      <c r="HA269" s="193"/>
      <c r="HB269" s="193"/>
      <c r="HC269" s="193"/>
      <c r="HD269" s="193"/>
      <c r="HF269" s="206" t="str">
        <f t="shared" ref="HF269:HF277" si="6331">$B269</f>
        <v>Total Volume</v>
      </c>
      <c r="HG269" s="193"/>
      <c r="HH269" s="193"/>
      <c r="HI269" s="193"/>
      <c r="HJ269" s="193"/>
      <c r="HK269" s="193"/>
      <c r="HM269" s="206" t="str">
        <f t="shared" ref="HM269:HM277" si="6332">$B269</f>
        <v>Total Volume</v>
      </c>
      <c r="HN269" s="193"/>
      <c r="HO269" s="193"/>
      <c r="HP269" s="193"/>
      <c r="HQ269" s="193"/>
      <c r="HR269" s="193"/>
      <c r="HT269" s="206" t="str">
        <f t="shared" ref="HT269:HT277" si="6333">$B269</f>
        <v>Total Volume</v>
      </c>
      <c r="HU269" s="193"/>
      <c r="HV269" s="193"/>
      <c r="HW269" s="193"/>
      <c r="HX269" s="193"/>
      <c r="HY269" s="193"/>
      <c r="IA269" s="206" t="str">
        <f t="shared" ref="IA269:IA277" si="6334">$B269</f>
        <v>Total Volume</v>
      </c>
      <c r="IB269" s="193"/>
      <c r="IC269" s="193"/>
      <c r="ID269" s="193"/>
      <c r="IE269" s="193"/>
      <c r="IF269" s="193"/>
      <c r="IH269" s="206" t="str">
        <f t="shared" ref="IH269:IH277" si="6335">$B269</f>
        <v>Total Volume</v>
      </c>
      <c r="II269" s="193"/>
      <c r="IJ269" s="193"/>
      <c r="IK269" s="193"/>
      <c r="IL269" s="193"/>
      <c r="IM269" s="193"/>
      <c r="IO269" s="206" t="str">
        <f t="shared" ref="IO269:IO277" si="6336">$B269</f>
        <v>Total Volume</v>
      </c>
      <c r="IP269" s="193"/>
      <c r="IQ269" s="193"/>
      <c r="IR269" s="193"/>
      <c r="IS269" s="193"/>
      <c r="IT269" s="193"/>
      <c r="IV269" s="206" t="str">
        <f t="shared" ref="IV269:IV277" si="6337">$B269</f>
        <v>Total Volume</v>
      </c>
      <c r="IW269" s="193"/>
      <c r="IX269" s="193"/>
      <c r="IY269" s="193"/>
      <c r="IZ269" s="193"/>
      <c r="JA269" s="193"/>
      <c r="JC269" s="206" t="str">
        <f t="shared" ref="JC269:JC277" si="6338">$B269</f>
        <v>Total Volume</v>
      </c>
      <c r="JD269" s="193"/>
      <c r="JE269" s="193"/>
      <c r="JF269" s="193"/>
      <c r="JG269" s="193"/>
      <c r="JH269" s="193"/>
      <c r="JJ269" s="206" t="str">
        <f t="shared" ref="JJ269:JJ277" si="6339">$B269</f>
        <v>Total Volume</v>
      </c>
      <c r="JK269" s="193"/>
      <c r="JL269" s="193"/>
      <c r="JM269" s="193"/>
      <c r="JN269" s="193"/>
      <c r="JO269" s="193"/>
      <c r="JQ269" s="206" t="str">
        <f t="shared" ref="JQ269:JQ277" si="6340">$B269</f>
        <v>Total Volume</v>
      </c>
      <c r="JR269" s="193"/>
      <c r="JS269" s="193"/>
      <c r="JT269" s="193"/>
      <c r="JU269" s="193"/>
      <c r="JV269" s="193"/>
      <c r="JX269" s="206" t="str">
        <f t="shared" ref="JX269:JX277" si="6341">$B269</f>
        <v>Total Volume</v>
      </c>
      <c r="JY269" s="193"/>
      <c r="JZ269" s="193"/>
      <c r="KA269" s="193"/>
      <c r="KB269" s="193"/>
      <c r="KC269" s="193"/>
      <c r="KE269" s="206" t="str">
        <f t="shared" ref="KE269:KE277" si="6342">$B269</f>
        <v>Total Volume</v>
      </c>
      <c r="KF269" s="193"/>
      <c r="KG269" s="193"/>
      <c r="KH269" s="193"/>
      <c r="KI269" s="193"/>
      <c r="KJ269" s="193"/>
      <c r="KL269" s="206" t="str">
        <f t="shared" ref="KL269:KL277" si="6343">$B269</f>
        <v>Total Volume</v>
      </c>
      <c r="KM269" s="193"/>
      <c r="KN269" s="193"/>
      <c r="KO269" s="193"/>
      <c r="KP269" s="193"/>
      <c r="KQ269" s="193"/>
      <c r="KS269" s="206" t="str">
        <f t="shared" ref="KS269:KS277" si="6344">$B269</f>
        <v>Total Volume</v>
      </c>
      <c r="KT269" s="193"/>
      <c r="KU269" s="193"/>
      <c r="KV269" s="193"/>
      <c r="KW269" s="193"/>
      <c r="KX269" s="193"/>
      <c r="KZ269" s="206" t="str">
        <f t="shared" ref="KZ269:KZ277" si="6345">$B269</f>
        <v>Total Volume</v>
      </c>
      <c r="LA269" s="193"/>
      <c r="LB269" s="193"/>
      <c r="LC269" s="193"/>
      <c r="LD269" s="193"/>
      <c r="LE269" s="193"/>
      <c r="LF269" s="564"/>
      <c r="LG269" s="206" t="str">
        <f t="shared" ref="LG269:LG277" si="6346">$B269</f>
        <v>Total Volume</v>
      </c>
      <c r="LH269" s="193"/>
      <c r="LI269" s="193"/>
      <c r="LJ269" s="193"/>
      <c r="LK269" s="193"/>
      <c r="LL269" s="193"/>
      <c r="LM269" s="564"/>
      <c r="LN269" s="206" t="str">
        <f t="shared" ref="LN269:LN277" si="6347">$B269</f>
        <v>Total Volume</v>
      </c>
      <c r="LO269" s="193"/>
      <c r="LP269" s="193"/>
      <c r="LQ269" s="193"/>
      <c r="LR269" s="193"/>
      <c r="LS269" s="193"/>
      <c r="LT269" s="564"/>
      <c r="LU269" s="206" t="str">
        <f t="shared" ref="LU269:LU277" si="6348">$B269</f>
        <v>Total Volume</v>
      </c>
      <c r="LV269" s="193"/>
      <c r="LW269" s="193"/>
      <c r="LX269" s="193"/>
      <c r="LY269" s="193"/>
      <c r="LZ269" s="193"/>
      <c r="MA269" s="564"/>
      <c r="MB269" s="206" t="str">
        <f t="shared" ref="MB269:MB277" si="6349">$B269</f>
        <v>Total Volume</v>
      </c>
      <c r="MC269" s="193"/>
      <c r="MD269" s="193"/>
      <c r="ME269" s="193"/>
      <c r="MF269" s="193"/>
      <c r="MG269" s="193"/>
      <c r="MH269" s="564"/>
    </row>
    <row r="270" spans="1:346" s="37" customFormat="1" ht="13.15" x14ac:dyDescent="0.4">
      <c r="A270" s="100"/>
      <c r="B270" s="37" t="s">
        <v>342</v>
      </c>
      <c r="C270" s="186"/>
      <c r="D270" s="186"/>
      <c r="E270" s="186"/>
      <c r="F270" s="186"/>
      <c r="G270" s="186"/>
      <c r="H270" s="186"/>
      <c r="I270" s="186"/>
      <c r="J270" s="186"/>
      <c r="K270" s="186"/>
      <c r="L270" s="186"/>
      <c r="M270" s="186"/>
      <c r="N270" s="194">
        <f>SUM(N240,N250,N260)</f>
        <v>5750</v>
      </c>
      <c r="O270" s="194">
        <f>SUM(O240,O250,O260)</f>
        <v>5676</v>
      </c>
      <c r="P270" s="194">
        <f t="shared" ref="P270:AY270" si="6350">SUM(P240,P250,P260)</f>
        <v>5296</v>
      </c>
      <c r="Q270" s="194">
        <f t="shared" si="6350"/>
        <v>5382.7</v>
      </c>
      <c r="R270" s="194">
        <f t="shared" si="6350"/>
        <v>5344</v>
      </c>
      <c r="S270" s="194">
        <f t="shared" si="6350"/>
        <v>5763</v>
      </c>
      <c r="T270" s="194">
        <f t="shared" si="6350"/>
        <v>5555</v>
      </c>
      <c r="U270" s="194">
        <f t="shared" si="6350"/>
        <v>5546</v>
      </c>
      <c r="V270" s="194">
        <f t="shared" si="6350"/>
        <v>5722</v>
      </c>
      <c r="W270" s="194">
        <f t="shared" si="6350"/>
        <v>5678</v>
      </c>
      <c r="X270" s="194">
        <f t="shared" si="6350"/>
        <v>6628</v>
      </c>
      <c r="Y270" s="194">
        <f t="shared" si="6350"/>
        <v>7223</v>
      </c>
      <c r="Z270" s="194">
        <f t="shared" si="6350"/>
        <v>7041</v>
      </c>
      <c r="AA270" s="194">
        <f t="shared" si="6350"/>
        <v>7021</v>
      </c>
      <c r="AB270" s="194">
        <f t="shared" si="6350"/>
        <v>7218</v>
      </c>
      <c r="AC270" s="194">
        <f t="shared" si="6350"/>
        <v>7459</v>
      </c>
      <c r="AD270" s="194">
        <f t="shared" si="6350"/>
        <v>7267</v>
      </c>
      <c r="AE270" s="194">
        <f t="shared" si="6350"/>
        <v>7264</v>
      </c>
      <c r="AF270" s="194">
        <f t="shared" si="6350"/>
        <v>7025</v>
      </c>
      <c r="AG270" s="194">
        <f t="shared" si="6350"/>
        <v>6728</v>
      </c>
      <c r="AH270" s="194">
        <f t="shared" si="6350"/>
        <v>5746</v>
      </c>
      <c r="AI270" s="194">
        <f t="shared" si="6350"/>
        <v>6384</v>
      </c>
      <c r="AJ270" s="194">
        <f t="shared" si="6350"/>
        <v>6476</v>
      </c>
      <c r="AK270" s="194">
        <f t="shared" si="6350"/>
        <v>6409</v>
      </c>
      <c r="AL270" s="194">
        <f t="shared" si="6350"/>
        <v>6539</v>
      </c>
      <c r="AM270" s="194">
        <f t="shared" si="6350"/>
        <v>6922</v>
      </c>
      <c r="AN270" s="194">
        <f t="shared" si="6350"/>
        <v>6761</v>
      </c>
      <c r="AO270" s="194">
        <f t="shared" si="6350"/>
        <v>6451</v>
      </c>
      <c r="AP270" s="194">
        <f t="shared" si="6350"/>
        <v>6400</v>
      </c>
      <c r="AQ270" s="194">
        <f t="shared" si="6350"/>
        <v>6482</v>
      </c>
      <c r="AR270" s="194">
        <f t="shared" si="6350"/>
        <v>6220</v>
      </c>
      <c r="AS270" s="194">
        <f t="shared" si="6350"/>
        <v>5892</v>
      </c>
      <c r="AT270" s="194">
        <f t="shared" si="6350"/>
        <v>6253</v>
      </c>
      <c r="AU270" s="194">
        <f t="shared" si="6350"/>
        <v>6218</v>
      </c>
      <c r="AV270" s="194">
        <f t="shared" si="6350"/>
        <v>6142</v>
      </c>
      <c r="AW270" s="194">
        <f t="shared" si="6350"/>
        <v>6277</v>
      </c>
      <c r="AX270" s="194">
        <f t="shared" si="6350"/>
        <v>6307</v>
      </c>
      <c r="AY270" s="194">
        <f t="shared" si="6350"/>
        <v>6456.36</v>
      </c>
      <c r="AZ270" s="194">
        <f t="shared" ref="AZ270:BA270" si="6351">SUM(AZ240,AZ250,AZ260)</f>
        <v>6619.6852750000007</v>
      </c>
      <c r="BA270" s="194">
        <f t="shared" si="6351"/>
        <v>6779.0598338125001</v>
      </c>
      <c r="BB270" s="194"/>
      <c r="BC270" s="194"/>
      <c r="BD270" s="194"/>
      <c r="BE270" s="194"/>
      <c r="BF270" s="194"/>
      <c r="BG270" s="194"/>
      <c r="BH270" s="194"/>
      <c r="BI270" s="194"/>
      <c r="BJ270" s="194"/>
      <c r="BK270" s="194"/>
      <c r="BL270" s="194"/>
      <c r="BM270" s="194"/>
      <c r="BO270" s="37" t="str">
        <f t="shared" si="6310"/>
        <v>Carloads (000s)</v>
      </c>
      <c r="BP270" s="207">
        <f>SUM(BP240,BP250,BP260)</f>
        <v>1459</v>
      </c>
      <c r="BQ270" s="207">
        <f t="shared" ref="BQ270:BT270" si="6352">SUM(BQ240,BQ250,BQ260)</f>
        <v>1480</v>
      </c>
      <c r="BR270" s="207">
        <f t="shared" si="6352"/>
        <v>1403</v>
      </c>
      <c r="BS270" s="207">
        <f t="shared" si="6352"/>
        <v>1408</v>
      </c>
      <c r="BT270" s="207">
        <f t="shared" si="6352"/>
        <v>5750</v>
      </c>
      <c r="BV270" s="37" t="str">
        <f t="shared" si="6311"/>
        <v>Carloads (000s)</v>
      </c>
      <c r="BW270" s="207">
        <f>SUM(BW240,BW250,BW260)</f>
        <v>1441</v>
      </c>
      <c r="BX270" s="207">
        <f t="shared" ref="BX270:CA270" si="6353">SUM(BX240,BX250,BX260)</f>
        <v>1459</v>
      </c>
      <c r="BY270" s="207">
        <f t="shared" si="6353"/>
        <v>1396</v>
      </c>
      <c r="BZ270" s="207">
        <f t="shared" si="6353"/>
        <v>1380</v>
      </c>
      <c r="CA270" s="207">
        <f t="shared" si="6353"/>
        <v>5676</v>
      </c>
      <c r="CC270" s="37" t="str">
        <f t="shared" si="6312"/>
        <v>Carloads (000s)</v>
      </c>
      <c r="CD270" s="207">
        <f>SUM(CD240,CD250,CD260)</f>
        <v>1291</v>
      </c>
      <c r="CE270" s="207">
        <f t="shared" ref="CE270:CH270" si="6354">SUM(CE240,CE250,CE260)</f>
        <v>1297</v>
      </c>
      <c r="CF270" s="207">
        <f t="shared" si="6354"/>
        <v>1347</v>
      </c>
      <c r="CG270" s="207">
        <f t="shared" si="6354"/>
        <v>1361</v>
      </c>
      <c r="CH270" s="207">
        <f t="shared" si="6354"/>
        <v>5296</v>
      </c>
      <c r="CJ270" s="37" t="str">
        <f t="shared" si="6313"/>
        <v>Carloads (000s)</v>
      </c>
      <c r="CK270" s="207">
        <f>SUM(CK240,CK250,CK260)</f>
        <v>1328.3</v>
      </c>
      <c r="CL270" s="207">
        <f t="shared" ref="CL270:CO270" si="6355">SUM(CL240,CL250,CL260)</f>
        <v>1347.4</v>
      </c>
      <c r="CM270" s="207">
        <f t="shared" si="6355"/>
        <v>1332</v>
      </c>
      <c r="CN270" s="207">
        <f t="shared" si="6355"/>
        <v>1375</v>
      </c>
      <c r="CO270" s="207">
        <f t="shared" si="6355"/>
        <v>5382.7</v>
      </c>
      <c r="CQ270" s="37" t="str">
        <f t="shared" si="6314"/>
        <v>Carloads (000s)</v>
      </c>
      <c r="CR270" s="207">
        <f>SUM(CR240,CR250,CR260)</f>
        <v>1305</v>
      </c>
      <c r="CS270" s="207">
        <f t="shared" ref="CS270:CV270" si="6356">SUM(CS240,CS250,CS260)</f>
        <v>1350</v>
      </c>
      <c r="CT270" s="207">
        <f t="shared" si="6356"/>
        <v>1329</v>
      </c>
      <c r="CU270" s="207">
        <f t="shared" si="6356"/>
        <v>1360</v>
      </c>
      <c r="CV270" s="207">
        <f t="shared" si="6356"/>
        <v>5344</v>
      </c>
      <c r="CX270" s="37" t="str">
        <f t="shared" si="6315"/>
        <v>Carloads (000s)</v>
      </c>
      <c r="CY270" s="207">
        <f>SUM(CY240,CY250,CY260)</f>
        <v>1376</v>
      </c>
      <c r="CZ270" s="207">
        <f t="shared" ref="CZ270:DC270" si="6357">SUM(CZ240,CZ250,CZ260)</f>
        <v>1462</v>
      </c>
      <c r="DA270" s="207">
        <f t="shared" si="6357"/>
        <v>1439</v>
      </c>
      <c r="DB270" s="207">
        <f t="shared" si="6357"/>
        <v>1486</v>
      </c>
      <c r="DC270" s="207">
        <f t="shared" si="6357"/>
        <v>5763</v>
      </c>
      <c r="DE270" s="37" t="str">
        <f t="shared" si="6316"/>
        <v>Carloads (000s)</v>
      </c>
      <c r="DF270" s="207">
        <f>SUM(DF240,DF250,DF260)</f>
        <v>1383</v>
      </c>
      <c r="DG270" s="207">
        <f t="shared" ref="DG270:DJ270" si="6358">SUM(DG240,DG250,DG260)</f>
        <v>1402</v>
      </c>
      <c r="DH270" s="207">
        <f t="shared" si="6358"/>
        <v>1378</v>
      </c>
      <c r="DI270" s="207">
        <f t="shared" si="6358"/>
        <v>1392</v>
      </c>
      <c r="DJ270" s="207">
        <f t="shared" si="6358"/>
        <v>5555</v>
      </c>
      <c r="DL270" s="37" t="str">
        <f t="shared" si="6317"/>
        <v>Carloads (000s)</v>
      </c>
      <c r="DM270" s="207">
        <f>SUM(DM240,DM250,DM260)</f>
        <v>1340</v>
      </c>
      <c r="DN270" s="207">
        <f t="shared" ref="DN270:DQ270" si="6359">SUM(DN240,DN250,DN260)</f>
        <v>1410</v>
      </c>
      <c r="DO270" s="207">
        <f t="shared" si="6359"/>
        <v>1384</v>
      </c>
      <c r="DP270" s="207">
        <f t="shared" si="6359"/>
        <v>1412</v>
      </c>
      <c r="DQ270" s="207">
        <f t="shared" si="6359"/>
        <v>5546</v>
      </c>
      <c r="DS270" s="37" t="str">
        <f t="shared" si="6318"/>
        <v>Carloads (000s)</v>
      </c>
      <c r="DT270" s="207">
        <f>SUM(DT240,DT250,DT260)</f>
        <v>1407</v>
      </c>
      <c r="DU270" s="207">
        <f t="shared" ref="DU270:DX270" si="6360">SUM(DU240,DU250,DU260)</f>
        <v>1437</v>
      </c>
      <c r="DV270" s="207">
        <f t="shared" si="6360"/>
        <v>1417</v>
      </c>
      <c r="DW270" s="207">
        <f t="shared" si="6360"/>
        <v>1461</v>
      </c>
      <c r="DX270" s="207">
        <f t="shared" si="6360"/>
        <v>5722</v>
      </c>
      <c r="DZ270" s="37" t="str">
        <f t="shared" si="6319"/>
        <v>Carloads (000s)</v>
      </c>
      <c r="EA270" s="207">
        <f>SUM(EA240,EA250,EA260)</f>
        <v>1406</v>
      </c>
      <c r="EB270" s="207">
        <f t="shared" ref="EB270:EE270" si="6361">SUM(EB240,EB250,EB260)</f>
        <v>1449</v>
      </c>
      <c r="EC270" s="207">
        <f t="shared" si="6361"/>
        <v>1391</v>
      </c>
      <c r="ED270" s="207">
        <f t="shared" si="6361"/>
        <v>1435</v>
      </c>
      <c r="EE270" s="207">
        <f t="shared" si="6361"/>
        <v>5678</v>
      </c>
      <c r="EG270" s="37" t="str">
        <f t="shared" si="6320"/>
        <v>Carloads (000s)</v>
      </c>
      <c r="EH270" s="207">
        <f>SUM(EH240,EH250,EH260)</f>
        <v>1489</v>
      </c>
      <c r="EI270" s="207">
        <f t="shared" ref="EI270:EL270" si="6362">SUM(EI240,EI250,EI260)</f>
        <v>1531</v>
      </c>
      <c r="EJ270" s="207">
        <f t="shared" si="6362"/>
        <v>1801</v>
      </c>
      <c r="EK270" s="207">
        <f t="shared" si="6362"/>
        <v>1818</v>
      </c>
      <c r="EL270" s="207">
        <f t="shared" si="6362"/>
        <v>6628</v>
      </c>
      <c r="EN270" s="37" t="str">
        <f t="shared" si="6321"/>
        <v>Carloads (000s)</v>
      </c>
      <c r="EO270" s="207">
        <f>SUM(EO240,EO250,EO260)</f>
        <v>1827</v>
      </c>
      <c r="EP270" s="207">
        <f t="shared" ref="EP270:ES270" si="6363">SUM(EP240,EP250,EP260)</f>
        <v>1834</v>
      </c>
      <c r="EQ270" s="207">
        <f t="shared" si="6363"/>
        <v>1795</v>
      </c>
      <c r="ER270" s="207">
        <f t="shared" si="6363"/>
        <v>1767</v>
      </c>
      <c r="ES270" s="207">
        <f t="shared" si="6363"/>
        <v>7223</v>
      </c>
      <c r="EU270" s="37" t="str">
        <f t="shared" si="6322"/>
        <v>Carloads (000s)</v>
      </c>
      <c r="EV270" s="207">
        <f>SUM(EV240,EV250,EV260)</f>
        <v>1758</v>
      </c>
      <c r="EW270" s="207">
        <f t="shared" ref="EW270:EZ270" si="6364">SUM(EW240,EW250,EW260)</f>
        <v>1773</v>
      </c>
      <c r="EX270" s="207">
        <f t="shared" si="6364"/>
        <v>1752</v>
      </c>
      <c r="EY270" s="207">
        <f t="shared" si="6364"/>
        <v>1758</v>
      </c>
      <c r="EZ270" s="207">
        <f t="shared" si="6364"/>
        <v>7041</v>
      </c>
      <c r="FB270" s="37" t="str">
        <f t="shared" si="6323"/>
        <v>Carloads (000s)</v>
      </c>
      <c r="FC270" s="207">
        <f>SUM(FC240,FC250,FC260)</f>
        <v>1686</v>
      </c>
      <c r="FD270" s="207">
        <f t="shared" ref="FD270:FG270" si="6365">SUM(FD240,FD250,FD260)</f>
        <v>1792</v>
      </c>
      <c r="FE270" s="207">
        <f t="shared" si="6365"/>
        <v>1790</v>
      </c>
      <c r="FF270" s="207">
        <f t="shared" si="6365"/>
        <v>1753</v>
      </c>
      <c r="FG270" s="207">
        <f t="shared" si="6365"/>
        <v>7021</v>
      </c>
      <c r="FI270" s="37" t="str">
        <f t="shared" si="6324"/>
        <v>Carloads (000s)</v>
      </c>
      <c r="FJ270" s="207">
        <f>SUM(FJ240,FJ250,FJ260)</f>
        <v>1736</v>
      </c>
      <c r="FK270" s="207">
        <f t="shared" ref="FK270:FN270" si="6366">SUM(FK240,FK250,FK260)</f>
        <v>1829</v>
      </c>
      <c r="FL270" s="207">
        <f t="shared" si="6366"/>
        <v>1804</v>
      </c>
      <c r="FM270" s="207">
        <f t="shared" si="6366"/>
        <v>1849</v>
      </c>
      <c r="FN270" s="207">
        <f t="shared" si="6366"/>
        <v>7218</v>
      </c>
      <c r="FP270" s="37" t="str">
        <f t="shared" si="6325"/>
        <v>Carloads (000s)</v>
      </c>
      <c r="FQ270" s="207">
        <f>SUM(FQ240,FQ250,FQ260)</f>
        <v>1807</v>
      </c>
      <c r="FR270" s="207">
        <f t="shared" ref="FR270:FU270" si="6367">SUM(FR240,FR250,FR260)</f>
        <v>1889</v>
      </c>
      <c r="FS270" s="207">
        <f t="shared" si="6367"/>
        <v>1800</v>
      </c>
      <c r="FT270" s="207">
        <f t="shared" si="6367"/>
        <v>1963</v>
      </c>
      <c r="FU270" s="207">
        <f t="shared" si="6367"/>
        <v>7459</v>
      </c>
      <c r="FW270" s="37" t="str">
        <f t="shared" si="6326"/>
        <v>Carloads (000s)</v>
      </c>
      <c r="FX270" s="207">
        <f>SUM(FX240,FX250,FX260)</f>
        <v>1823</v>
      </c>
      <c r="FY270" s="207">
        <f t="shared" ref="FY270:GB270" si="6368">SUM(FY240,FY250,FY260)</f>
        <v>1848</v>
      </c>
      <c r="FZ270" s="207">
        <f t="shared" si="6368"/>
        <v>1799</v>
      </c>
      <c r="GA270" s="207">
        <f t="shared" si="6368"/>
        <v>1797</v>
      </c>
      <c r="GB270" s="207">
        <f t="shared" si="6368"/>
        <v>7267</v>
      </c>
      <c r="GD270" s="37" t="str">
        <f t="shared" si="6327"/>
        <v>Carloads (000s)</v>
      </c>
      <c r="GE270" s="207">
        <f>SUM(GE240,GE250,GE260)</f>
        <v>1806</v>
      </c>
      <c r="GF270" s="207">
        <f t="shared" ref="GF270:GI270" si="6369">SUM(GF240,GF250,GF260)</f>
        <v>1846</v>
      </c>
      <c r="GG270" s="207">
        <f t="shared" si="6369"/>
        <v>1828</v>
      </c>
      <c r="GH270" s="207">
        <f t="shared" si="6369"/>
        <v>1784</v>
      </c>
      <c r="GI270" s="207">
        <f t="shared" si="6369"/>
        <v>7264</v>
      </c>
      <c r="GK270" s="37" t="str">
        <f t="shared" si="6328"/>
        <v>Carloads (000s)</v>
      </c>
      <c r="GL270" s="207">
        <f>SUM(GL240,GL250,GL260)</f>
        <v>1734</v>
      </c>
      <c r="GM270" s="207">
        <f t="shared" ref="GM270:GP270" si="6370">SUM(GM240,GM250,GM260)</f>
        <v>1803</v>
      </c>
      <c r="GN270" s="207">
        <f t="shared" si="6370"/>
        <v>1749</v>
      </c>
      <c r="GO270" s="207">
        <f t="shared" si="6370"/>
        <v>1739</v>
      </c>
      <c r="GP270" s="207">
        <f t="shared" si="6370"/>
        <v>7025</v>
      </c>
      <c r="GR270" s="37" t="str">
        <f t="shared" si="6329"/>
        <v>Carloads (000s)</v>
      </c>
      <c r="GS270" s="207">
        <f>SUM(GS240,GS250,GS260)</f>
        <v>1694</v>
      </c>
      <c r="GT270" s="207">
        <f t="shared" ref="GT270:GW270" si="6371">SUM(GT240,GT250,GT260)</f>
        <v>1749</v>
      </c>
      <c r="GU270" s="207">
        <f t="shared" si="6371"/>
        <v>1704</v>
      </c>
      <c r="GV270" s="207">
        <f t="shared" si="6371"/>
        <v>1581</v>
      </c>
      <c r="GW270" s="207">
        <f t="shared" si="6371"/>
        <v>6728</v>
      </c>
      <c r="GY270" s="37" t="str">
        <f t="shared" si="6330"/>
        <v>Carloads (000s)</v>
      </c>
      <c r="GZ270" s="207">
        <f>SUM(GZ240,GZ250,GZ260)</f>
        <v>1403</v>
      </c>
      <c r="HA270" s="207">
        <f t="shared" ref="HA270:HD270" si="6372">SUM(HA240,HA250,HA260)</f>
        <v>1397</v>
      </c>
      <c r="HB270" s="207">
        <f t="shared" si="6372"/>
        <v>1448</v>
      </c>
      <c r="HC270" s="207">
        <f t="shared" si="6372"/>
        <v>1498</v>
      </c>
      <c r="HD270" s="207">
        <f t="shared" si="6372"/>
        <v>5746</v>
      </c>
      <c r="HF270" s="37" t="str">
        <f t="shared" si="6331"/>
        <v>Carloads (000s)</v>
      </c>
      <c r="HG270" s="207">
        <f>SUM(HG240,HG250,HG260)</f>
        <v>1486</v>
      </c>
      <c r="HH270" s="207">
        <f t="shared" ref="HH270:HK270" si="6373">SUM(HH240,HH250,HH260)</f>
        <v>1598</v>
      </c>
      <c r="HI270" s="207">
        <f t="shared" si="6373"/>
        <v>1609</v>
      </c>
      <c r="HJ270" s="207">
        <f t="shared" si="6373"/>
        <v>1691</v>
      </c>
      <c r="HK270" s="207">
        <f t="shared" si="6373"/>
        <v>6384</v>
      </c>
      <c r="HM270" s="37" t="str">
        <f t="shared" si="6332"/>
        <v>Carloads (000s)</v>
      </c>
      <c r="HN270" s="207">
        <f>SUM(HN240,HN250,HN260)</f>
        <v>1592</v>
      </c>
      <c r="HO270" s="207">
        <f t="shared" ref="HO270:HR270" si="6374">SUM(HO240,HO250,HO260)</f>
        <v>1646</v>
      </c>
      <c r="HP270" s="207">
        <f t="shared" si="6374"/>
        <v>1619</v>
      </c>
      <c r="HQ270" s="207">
        <f t="shared" si="6374"/>
        <v>1619</v>
      </c>
      <c r="HR270" s="207">
        <f t="shared" si="6374"/>
        <v>6476</v>
      </c>
      <c r="HT270" s="37" t="str">
        <f t="shared" si="6333"/>
        <v>Carloads (000s)</v>
      </c>
      <c r="HU270" s="207">
        <f>SUM(HU240,HU250,HU260)</f>
        <v>1602</v>
      </c>
      <c r="HV270" s="207">
        <f t="shared" ref="HV270:HY270" si="6375">SUM(HV240,HV250,HV260)</f>
        <v>1640</v>
      </c>
      <c r="HW270" s="207">
        <f t="shared" si="6375"/>
        <v>1600</v>
      </c>
      <c r="HX270" s="207">
        <f t="shared" si="6375"/>
        <v>1567</v>
      </c>
      <c r="HY270" s="207">
        <f t="shared" si="6375"/>
        <v>6409</v>
      </c>
      <c r="IA270" s="37" t="str">
        <f t="shared" si="6334"/>
        <v>Carloads (000s)</v>
      </c>
      <c r="IB270" s="207">
        <f>SUM(IB240,IB250,IB260)</f>
        <v>1578</v>
      </c>
      <c r="IC270" s="207">
        <f t="shared" ref="IC270:IF270" si="6376">SUM(IC240,IC250,IC260)</f>
        <v>1656</v>
      </c>
      <c r="ID270" s="207">
        <f t="shared" si="6376"/>
        <v>1643</v>
      </c>
      <c r="IE270" s="207">
        <f t="shared" si="6376"/>
        <v>1662</v>
      </c>
      <c r="IF270" s="207">
        <f t="shared" si="6376"/>
        <v>6539</v>
      </c>
      <c r="IH270" s="37" t="str">
        <f t="shared" si="6335"/>
        <v>Carloads (000s)</v>
      </c>
      <c r="II270" s="207">
        <f>SUM(II240,II250,II260)</f>
        <v>1620</v>
      </c>
      <c r="IJ270" s="207">
        <f t="shared" ref="IJ270:IM270" si="6377">SUM(IJ240,IJ250,IJ260)</f>
        <v>1781</v>
      </c>
      <c r="IK270" s="207">
        <f t="shared" si="6377"/>
        <v>1758</v>
      </c>
      <c r="IL270" s="207">
        <f t="shared" si="6377"/>
        <v>1763</v>
      </c>
      <c r="IM270" s="207">
        <f t="shared" si="6377"/>
        <v>6922</v>
      </c>
      <c r="IO270" s="37" t="str">
        <f t="shared" si="6336"/>
        <v>Carloads (000s)</v>
      </c>
      <c r="IP270" s="207">
        <f>SUM(IP240,IP250,IP260)</f>
        <v>1635</v>
      </c>
      <c r="IQ270" s="207">
        <f t="shared" ref="IQ270:IT270" si="6378">SUM(IQ240,IQ250,IQ260)</f>
        <v>1759</v>
      </c>
      <c r="IR270" s="207">
        <f t="shared" si="6378"/>
        <v>1712</v>
      </c>
      <c r="IS270" s="207">
        <f t="shared" si="6378"/>
        <v>1655</v>
      </c>
      <c r="IT270" s="207">
        <f t="shared" si="6378"/>
        <v>6761</v>
      </c>
      <c r="IV270" s="37" t="str">
        <f t="shared" si="6337"/>
        <v>Carloads (000s)</v>
      </c>
      <c r="IW270" s="207">
        <f>SUM(IW240,IW250,IW260)</f>
        <v>1551</v>
      </c>
      <c r="IX270" s="207">
        <f t="shared" ref="IX270:JA270" si="6379">SUM(IX240,IX250,IX260)</f>
        <v>1595</v>
      </c>
      <c r="IY270" s="207">
        <f t="shared" si="6379"/>
        <v>1574</v>
      </c>
      <c r="IZ270" s="207">
        <f t="shared" si="6379"/>
        <v>1731</v>
      </c>
      <c r="JA270" s="207">
        <f t="shared" si="6379"/>
        <v>6451</v>
      </c>
      <c r="JC270" s="37" t="str">
        <f t="shared" si="6338"/>
        <v>Carloads (000s)</v>
      </c>
      <c r="JD270" s="207">
        <f>SUM(JD240,JD250,JD260)</f>
        <v>1592</v>
      </c>
      <c r="JE270" s="207">
        <f t="shared" ref="JE270:JH270" si="6380">SUM(JE240,JE250,JE260)</f>
        <v>1620</v>
      </c>
      <c r="JF270" s="207">
        <f t="shared" si="6380"/>
        <v>1587</v>
      </c>
      <c r="JG270" s="207">
        <f t="shared" si="6380"/>
        <v>1601</v>
      </c>
      <c r="JH270" s="207">
        <f t="shared" si="6380"/>
        <v>6400</v>
      </c>
      <c r="JJ270" s="37" t="str">
        <f t="shared" si="6339"/>
        <v>Carloads (000s)</v>
      </c>
      <c r="JK270" s="207">
        <f>SUM(JK240,JK250,JK260)</f>
        <v>1532</v>
      </c>
      <c r="JL270" s="207">
        <f t="shared" ref="JL270:JO270" si="6381">SUM(JL240,JL250,JL260)</f>
        <v>1646</v>
      </c>
      <c r="JM270" s="207">
        <f t="shared" si="6381"/>
        <v>1656</v>
      </c>
      <c r="JN270" s="207">
        <f t="shared" si="6381"/>
        <v>1648</v>
      </c>
      <c r="JO270" s="207">
        <f t="shared" si="6381"/>
        <v>6482</v>
      </c>
      <c r="JQ270" s="37" t="str">
        <f t="shared" si="6340"/>
        <v>Carloads (000s)</v>
      </c>
      <c r="JR270" s="207">
        <f>SUM(JR240,JR250,JR260)</f>
        <v>1531</v>
      </c>
      <c r="JS270" s="207">
        <f t="shared" ref="JS270:JV270" si="6382">SUM(JS240,JS250,JS260)</f>
        <v>1581</v>
      </c>
      <c r="JT270" s="207">
        <f t="shared" si="6382"/>
        <v>1569</v>
      </c>
      <c r="JU270" s="207">
        <f t="shared" si="6382"/>
        <v>1539</v>
      </c>
      <c r="JV270" s="207">
        <f t="shared" si="6382"/>
        <v>6220</v>
      </c>
      <c r="JX270" s="37" t="str">
        <f t="shared" si="6341"/>
        <v>Carloads (000s)</v>
      </c>
      <c r="JY270" s="207">
        <f>SUM(JY240,JY250,JY260)</f>
        <v>1514</v>
      </c>
      <c r="JZ270" s="207">
        <f t="shared" ref="JZ270:KC270" si="6383">SUM(JZ240,JZ250,JZ260)</f>
        <v>1257</v>
      </c>
      <c r="KA270" s="207">
        <f t="shared" si="6383"/>
        <v>1522</v>
      </c>
      <c r="KB270" s="207">
        <f t="shared" si="6383"/>
        <v>1599</v>
      </c>
      <c r="KC270" s="207">
        <f t="shared" si="6383"/>
        <v>5892</v>
      </c>
      <c r="KE270" s="37" t="str">
        <f t="shared" si="6342"/>
        <v>Carloads (000s)</v>
      </c>
      <c r="KF270" s="207">
        <f>SUM(KF240,KF250,KF260)</f>
        <v>1529</v>
      </c>
      <c r="KG270" s="207">
        <f t="shared" ref="KG270:KJ270" si="6384">SUM(KG240,KG250,KG260)</f>
        <v>1591</v>
      </c>
      <c r="KH270" s="207">
        <f t="shared" si="6384"/>
        <v>1563</v>
      </c>
      <c r="KI270" s="207">
        <f t="shared" si="6384"/>
        <v>1570</v>
      </c>
      <c r="KJ270" s="207">
        <f t="shared" si="6384"/>
        <v>6253</v>
      </c>
      <c r="KL270" s="37" t="str">
        <f t="shared" si="6343"/>
        <v>Carloads (000s)</v>
      </c>
      <c r="KM270" s="207">
        <f>SUM(KM240,KM250,KM260)</f>
        <v>1498</v>
      </c>
      <c r="KN270" s="207">
        <f t="shared" ref="KN270:KQ270" si="6385">SUM(KN240,KN250,KN260)</f>
        <v>1594</v>
      </c>
      <c r="KO270" s="207">
        <f t="shared" si="6385"/>
        <v>1587</v>
      </c>
      <c r="KP270" s="207">
        <f t="shared" si="6385"/>
        <v>1539</v>
      </c>
      <c r="KQ270" s="207">
        <f t="shared" si="6385"/>
        <v>6218</v>
      </c>
      <c r="KS270" s="37" t="str">
        <f t="shared" si="6344"/>
        <v>Carloads (000s)</v>
      </c>
      <c r="KT270" s="207">
        <f>SUM(KT240,KT250,KT260)</f>
        <v>1486</v>
      </c>
      <c r="KU270" s="207">
        <f t="shared" ref="KU270:KX270" si="6386">SUM(KU240,KU250,KU260)</f>
        <v>1546</v>
      </c>
      <c r="KV270" s="207">
        <f t="shared" si="6386"/>
        <v>1550</v>
      </c>
      <c r="KW270" s="207">
        <f t="shared" si="6386"/>
        <v>1560</v>
      </c>
      <c r="KX270" s="207">
        <f t="shared" si="6386"/>
        <v>6142</v>
      </c>
      <c r="KZ270" s="37" t="str">
        <f t="shared" si="6345"/>
        <v>Carloads (000s)</v>
      </c>
      <c r="LA270" s="207">
        <f>SUM(LA240,LA250,LA260)</f>
        <v>1534</v>
      </c>
      <c r="LB270" s="207">
        <f>SUM(LB240,LB250,LB260)</f>
        <v>1578</v>
      </c>
      <c r="LC270" s="207">
        <f>SUM(LC240,LC250,LC260)</f>
        <v>1590</v>
      </c>
      <c r="LD270" s="207">
        <f t="shared" ref="LD270" si="6387">SUM(LD240,LD250,LD260)</f>
        <v>1575</v>
      </c>
      <c r="LE270" s="207">
        <f t="shared" ref="LE270" si="6388">SUM(LE240,LE250,LE260)</f>
        <v>6277</v>
      </c>
      <c r="LF270" s="575"/>
      <c r="LG270" s="37" t="str">
        <f t="shared" si="6346"/>
        <v>Carloads (000s)</v>
      </c>
      <c r="LH270" s="207">
        <f>SUM(LH240,LH250,LH260)</f>
        <v>1518</v>
      </c>
      <c r="LI270" s="207">
        <f>SUM(LI240,LI250,LI260)</f>
        <v>1580</v>
      </c>
      <c r="LJ270" s="207">
        <f>SUM(LJ240,LJ250,LJ260)</f>
        <v>1612</v>
      </c>
      <c r="LK270" s="207">
        <f>SUM(LK240,LK250,LK260)</f>
        <v>1597</v>
      </c>
      <c r="LL270" s="207">
        <f t="shared" ref="LL270" si="6389">SUM(LL240,LL250,LL260)</f>
        <v>6307</v>
      </c>
      <c r="LM270" s="575"/>
      <c r="LN270" s="37" t="str">
        <f t="shared" si="6347"/>
        <v>Carloads (000s)</v>
      </c>
      <c r="LO270" s="207">
        <f>SUM(LO240,LO250,LO260)</f>
        <v>1543.6200000000001</v>
      </c>
      <c r="LP270" s="207">
        <f t="shared" ref="LP270:LS270" si="6390">SUM(LP240,LP250,LP260)</f>
        <v>1605.8449999999998</v>
      </c>
      <c r="LQ270" s="207">
        <f t="shared" si="6390"/>
        <v>1650.5250000000001</v>
      </c>
      <c r="LR270" s="207">
        <f t="shared" si="6390"/>
        <v>1656.37</v>
      </c>
      <c r="LS270" s="207">
        <f t="shared" si="6390"/>
        <v>6456.36</v>
      </c>
      <c r="LT270" s="575"/>
      <c r="LU270" s="37" t="str">
        <f t="shared" si="6348"/>
        <v>Carloads (000s)</v>
      </c>
      <c r="LV270" s="207">
        <f>SUM(LV240,LV250,LV260)</f>
        <v>1582.8488999999997</v>
      </c>
      <c r="LW270" s="207">
        <f t="shared" ref="LW270:LZ270" si="6391">SUM(LW240,LW250,LW260)</f>
        <v>1647.7255250000003</v>
      </c>
      <c r="LX270" s="207">
        <f t="shared" si="6391"/>
        <v>1691.5835749999999</v>
      </c>
      <c r="LY270" s="207">
        <f t="shared" si="6391"/>
        <v>1697.5272750000001</v>
      </c>
      <c r="LZ270" s="207">
        <f t="shared" si="6391"/>
        <v>6619.6852750000007</v>
      </c>
      <c r="MA270" s="575"/>
      <c r="MB270" s="37" t="str">
        <f t="shared" si="6349"/>
        <v>Carloads (000s)</v>
      </c>
      <c r="MC270" s="207">
        <f>SUM(MC240,MC250,MC260)</f>
        <v>1621.9090541249998</v>
      </c>
      <c r="MD270" s="207">
        <f t="shared" ref="MD270:MG270" si="6392">SUM(MD240,MD250,MD260)</f>
        <v>1687.9194155</v>
      </c>
      <c r="ME270" s="207">
        <f t="shared" si="6392"/>
        <v>1732.0463533749999</v>
      </c>
      <c r="MF270" s="207">
        <f t="shared" si="6392"/>
        <v>1737.1850108125</v>
      </c>
      <c r="MG270" s="207">
        <f t="shared" si="6392"/>
        <v>6779.0598338125001</v>
      </c>
      <c r="MH270" s="575"/>
    </row>
    <row r="271" spans="1:346" s="37" customFormat="1" ht="13.15" x14ac:dyDescent="0.4">
      <c r="A271" s="100"/>
      <c r="B271" s="197" t="s">
        <v>516</v>
      </c>
      <c r="C271" s="186"/>
      <c r="D271" s="186"/>
      <c r="E271" s="186"/>
      <c r="F271" s="186"/>
      <c r="G271" s="186"/>
      <c r="H271" s="186"/>
      <c r="I271" s="186"/>
      <c r="J271" s="186"/>
      <c r="K271" s="186"/>
      <c r="L271" s="186"/>
      <c r="M271" s="186"/>
      <c r="N271" s="193"/>
      <c r="O271" s="198">
        <f>O270/N270-1</f>
        <v>-1.2869565217391354E-2</v>
      </c>
      <c r="P271" s="198">
        <f t="shared" ref="P271:BA271" si="6393">P270/O270-1</f>
        <v>-6.6948555320648362E-2</v>
      </c>
      <c r="Q271" s="198">
        <f t="shared" si="6393"/>
        <v>1.6370845921450217E-2</v>
      </c>
      <c r="R271" s="198">
        <f t="shared" si="6393"/>
        <v>-7.1897003362624279E-3</v>
      </c>
      <c r="S271" s="198">
        <f t="shared" si="6393"/>
        <v>7.8405688622754433E-2</v>
      </c>
      <c r="T271" s="198">
        <f t="shared" si="6393"/>
        <v>-3.6092313031407253E-2</v>
      </c>
      <c r="U271" s="198">
        <f t="shared" si="6393"/>
        <v>-1.6201620162016317E-3</v>
      </c>
      <c r="V271" s="198">
        <f t="shared" si="6393"/>
        <v>3.1734583483591816E-2</v>
      </c>
      <c r="W271" s="198">
        <f t="shared" si="6393"/>
        <v>-7.6896190143306287E-3</v>
      </c>
      <c r="X271" s="198">
        <f t="shared" si="6393"/>
        <v>0.16731243395561823</v>
      </c>
      <c r="Y271" s="198">
        <f t="shared" si="6393"/>
        <v>8.9770669885334886E-2</v>
      </c>
      <c r="Z271" s="198">
        <f t="shared" si="6393"/>
        <v>-2.5197286446074996E-2</v>
      </c>
      <c r="AA271" s="198">
        <f t="shared" si="6393"/>
        <v>-2.8405056099986004E-3</v>
      </c>
      <c r="AB271" s="198">
        <f t="shared" si="6393"/>
        <v>2.8058681099558447E-2</v>
      </c>
      <c r="AC271" s="198">
        <f t="shared" si="6393"/>
        <v>3.3388750346356355E-2</v>
      </c>
      <c r="AD271" s="198">
        <f t="shared" si="6393"/>
        <v>-2.5740715913661338E-2</v>
      </c>
      <c r="AE271" s="198">
        <f t="shared" si="6393"/>
        <v>-4.1282509976603432E-4</v>
      </c>
      <c r="AF271" s="198">
        <f t="shared" si="6393"/>
        <v>-3.2901982378854666E-2</v>
      </c>
      <c r="AG271" s="198">
        <f t="shared" si="6393"/>
        <v>-4.2277580071174325E-2</v>
      </c>
      <c r="AH271" s="198">
        <f t="shared" si="6393"/>
        <v>-0.14595719381688466</v>
      </c>
      <c r="AI271" s="198">
        <f t="shared" si="6393"/>
        <v>0.11103376261747311</v>
      </c>
      <c r="AJ271" s="198">
        <f t="shared" si="6393"/>
        <v>1.4411027568922208E-2</v>
      </c>
      <c r="AK271" s="198">
        <f t="shared" si="6393"/>
        <v>-1.0345892526250733E-2</v>
      </c>
      <c r="AL271" s="198">
        <f t="shared" si="6393"/>
        <v>2.0283975659229236E-2</v>
      </c>
      <c r="AM271" s="198">
        <f t="shared" si="6393"/>
        <v>5.8571647040831953E-2</v>
      </c>
      <c r="AN271" s="198">
        <f t="shared" si="6393"/>
        <v>-2.3259173649234355E-2</v>
      </c>
      <c r="AO271" s="198">
        <f t="shared" si="6393"/>
        <v>-4.5851205442981824E-2</v>
      </c>
      <c r="AP271" s="198">
        <f t="shared" si="6393"/>
        <v>-7.9057510463493852E-3</v>
      </c>
      <c r="AQ271" s="198">
        <f t="shared" si="6393"/>
        <v>1.2812499999999893E-2</v>
      </c>
      <c r="AR271" s="198">
        <f t="shared" si="6393"/>
        <v>-4.0419623572971353E-2</v>
      </c>
      <c r="AS271" s="198">
        <f t="shared" si="6393"/>
        <v>-5.2733118971061144E-2</v>
      </c>
      <c r="AT271" s="198">
        <f t="shared" si="6393"/>
        <v>6.1269517990495626E-2</v>
      </c>
      <c r="AU271" s="198">
        <f t="shared" si="6393"/>
        <v>-5.5973132896209865E-3</v>
      </c>
      <c r="AV271" s="198">
        <f t="shared" si="6393"/>
        <v>-1.2222579607590878E-2</v>
      </c>
      <c r="AW271" s="198">
        <f t="shared" si="6393"/>
        <v>2.1979811136437544E-2</v>
      </c>
      <c r="AX271" s="198">
        <f t="shared" si="6393"/>
        <v>4.7793531942010858E-3</v>
      </c>
      <c r="AY271" s="198">
        <f t="shared" si="6393"/>
        <v>2.3681623592833212E-2</v>
      </c>
      <c r="AZ271" s="198">
        <f t="shared" si="6393"/>
        <v>2.5296804236442982E-2</v>
      </c>
      <c r="BA271" s="198">
        <f t="shared" si="6393"/>
        <v>2.4075851372329593E-2</v>
      </c>
      <c r="BB271" s="198"/>
      <c r="BC271" s="198"/>
      <c r="BD271" s="198"/>
      <c r="BE271" s="198"/>
      <c r="BF271" s="198"/>
      <c r="BG271" s="198"/>
      <c r="BH271" s="198"/>
      <c r="BI271" s="198"/>
      <c r="BJ271" s="198"/>
      <c r="BK271" s="198"/>
      <c r="BL271" s="198"/>
      <c r="BM271" s="198"/>
      <c r="BO271" s="197" t="str">
        <f t="shared" si="6310"/>
        <v>YoY Change (%)</v>
      </c>
      <c r="BP271" s="193"/>
      <c r="BQ271" s="193"/>
      <c r="BR271" s="193"/>
      <c r="BS271" s="193"/>
      <c r="BT271" s="193"/>
      <c r="BV271" s="197" t="str">
        <f t="shared" si="6311"/>
        <v>YoY Change (%)</v>
      </c>
      <c r="BW271" s="198">
        <f>BW270/BP270-1</f>
        <v>-1.2337217272104128E-2</v>
      </c>
      <c r="BX271" s="198">
        <f t="shared" ref="BX271" si="6394">BX270/BQ270-1</f>
        <v>-1.4189189189189211E-2</v>
      </c>
      <c r="BY271" s="198">
        <f t="shared" ref="BY271" si="6395">BY270/BR270-1</f>
        <v>-4.9893086243762985E-3</v>
      </c>
      <c r="BZ271" s="198">
        <f t="shared" ref="BZ271" si="6396">BZ270/BS270-1</f>
        <v>-1.9886363636363646E-2</v>
      </c>
      <c r="CA271" s="198">
        <f t="shared" ref="CA271" si="6397">CA270/BT270-1</f>
        <v>-1.2869565217391354E-2</v>
      </c>
      <c r="CC271" s="197" t="str">
        <f t="shared" si="6312"/>
        <v>YoY Change (%)</v>
      </c>
      <c r="CD271" s="198">
        <f>CD270/BW270-1</f>
        <v>-0.10409437890353923</v>
      </c>
      <c r="CE271" s="198">
        <f t="shared" ref="CE271" si="6398">CE270/BX270-1</f>
        <v>-0.1110349554489376</v>
      </c>
      <c r="CF271" s="198">
        <f t="shared" ref="CF271" si="6399">CF270/BY270-1</f>
        <v>-3.5100286532951275E-2</v>
      </c>
      <c r="CG271" s="198">
        <f t="shared" ref="CG271" si="6400">CG270/BZ270-1</f>
        <v>-1.376811594202898E-2</v>
      </c>
      <c r="CH271" s="198">
        <f t="shared" ref="CH271" si="6401">CH270/CA270-1</f>
        <v>-6.6948555320648362E-2</v>
      </c>
      <c r="CJ271" s="197" t="str">
        <f t="shared" si="6313"/>
        <v>YoY Change (%)</v>
      </c>
      <c r="CK271" s="198">
        <f>CK270/CD270-1</f>
        <v>2.8892331525948833E-2</v>
      </c>
      <c r="CL271" s="198">
        <f t="shared" ref="CL271" si="6402">CL270/CE270-1</f>
        <v>3.8858905165767288E-2</v>
      </c>
      <c r="CM271" s="198">
        <f t="shared" ref="CM271" si="6403">CM270/CF270-1</f>
        <v>-1.1135857461024523E-2</v>
      </c>
      <c r="CN271" s="198">
        <f t="shared" ref="CN271" si="6404">CN270/CG270-1</f>
        <v>1.0286554004408588E-2</v>
      </c>
      <c r="CO271" s="198">
        <f t="shared" ref="CO271" si="6405">CO270/CH270-1</f>
        <v>1.6370845921450217E-2</v>
      </c>
      <c r="CQ271" s="197" t="str">
        <f t="shared" si="6314"/>
        <v>YoY Change (%)</v>
      </c>
      <c r="CR271" s="198">
        <f>CR270/CK270-1</f>
        <v>-1.7541218098321099E-2</v>
      </c>
      <c r="CS271" s="198">
        <f t="shared" ref="CS271" si="6406">CS270/CL270-1</f>
        <v>1.9296422740091579E-3</v>
      </c>
      <c r="CT271" s="198">
        <f t="shared" ref="CT271" si="6407">CT270/CM270-1</f>
        <v>-2.2522522522522292E-3</v>
      </c>
      <c r="CU271" s="198">
        <f t="shared" ref="CU271" si="6408">CU270/CN270-1</f>
        <v>-1.0909090909090868E-2</v>
      </c>
      <c r="CV271" s="198">
        <f t="shared" ref="CV271" si="6409">CV270/CO270-1</f>
        <v>-7.1897003362624279E-3</v>
      </c>
      <c r="CX271" s="197" t="str">
        <f t="shared" si="6315"/>
        <v>YoY Change (%)</v>
      </c>
      <c r="CY271" s="198">
        <f>CY270/CR270-1</f>
        <v>5.4406130268199293E-2</v>
      </c>
      <c r="CZ271" s="198">
        <f t="shared" ref="CZ271" si="6410">CZ270/CS270-1</f>
        <v>8.2962962962962905E-2</v>
      </c>
      <c r="DA271" s="198">
        <f t="shared" ref="DA271" si="6411">DA270/CT270-1</f>
        <v>8.2768999247554653E-2</v>
      </c>
      <c r="DB271" s="198">
        <f t="shared" ref="DB271" si="6412">DB270/CU270-1</f>
        <v>9.2647058823529305E-2</v>
      </c>
      <c r="DC271" s="198">
        <f t="shared" ref="DC271" si="6413">DC270/CV270-1</f>
        <v>7.8405688622754433E-2</v>
      </c>
      <c r="DE271" s="197" t="str">
        <f t="shared" si="6316"/>
        <v>YoY Change (%)</v>
      </c>
      <c r="DF271" s="198">
        <f>DF270/CY270-1</f>
        <v>5.0872093023255349E-3</v>
      </c>
      <c r="DG271" s="198">
        <f t="shared" ref="DG271" si="6414">DG270/CZ270-1</f>
        <v>-4.1039671682626566E-2</v>
      </c>
      <c r="DH271" s="198">
        <f t="shared" ref="DH271" si="6415">DH270/DA270-1</f>
        <v>-4.2390548992355837E-2</v>
      </c>
      <c r="DI271" s="198">
        <f t="shared" ref="DI271" si="6416">DI270/DB270-1</f>
        <v>-6.3257065948855939E-2</v>
      </c>
      <c r="DJ271" s="198">
        <f t="shared" ref="DJ271" si="6417">DJ270/DC270-1</f>
        <v>-3.6092313031407253E-2</v>
      </c>
      <c r="DL271" s="197" t="str">
        <f t="shared" si="6317"/>
        <v>YoY Change (%)</v>
      </c>
      <c r="DM271" s="198">
        <f>DM270/DF270-1</f>
        <v>-3.1091829356471479E-2</v>
      </c>
      <c r="DN271" s="198">
        <f t="shared" ref="DN271" si="6418">DN270/DG270-1</f>
        <v>5.7061340941511052E-3</v>
      </c>
      <c r="DO271" s="198">
        <f t="shared" ref="DO271" si="6419">DO270/DH270-1</f>
        <v>4.3541364296080243E-3</v>
      </c>
      <c r="DP271" s="198">
        <f t="shared" ref="DP271" si="6420">DP270/DI270-1</f>
        <v>1.4367816091954033E-2</v>
      </c>
      <c r="DQ271" s="198">
        <f t="shared" ref="DQ271" si="6421">DQ270/DJ270-1</f>
        <v>-1.6201620162016317E-3</v>
      </c>
      <c r="DS271" s="197" t="str">
        <f t="shared" si="6318"/>
        <v>YoY Change (%)</v>
      </c>
      <c r="DT271" s="198">
        <f>DT270/DM270-1</f>
        <v>5.0000000000000044E-2</v>
      </c>
      <c r="DU271" s="198">
        <f t="shared" ref="DU271" si="6422">DU270/DN270-1</f>
        <v>1.9148936170212849E-2</v>
      </c>
      <c r="DV271" s="198">
        <f t="shared" ref="DV271" si="6423">DV270/DO270-1</f>
        <v>2.3843930635838229E-2</v>
      </c>
      <c r="DW271" s="198">
        <f t="shared" ref="DW271" si="6424">DW270/DP270-1</f>
        <v>3.4702549575070796E-2</v>
      </c>
      <c r="DX271" s="198">
        <f t="shared" ref="DX271" si="6425">DX270/DQ270-1</f>
        <v>3.1734583483591816E-2</v>
      </c>
      <c r="DZ271" s="197" t="str">
        <f t="shared" si="6319"/>
        <v>YoY Change (%)</v>
      </c>
      <c r="EA271" s="198">
        <f>EA270/DT270-1</f>
        <v>-7.1073205401561701E-4</v>
      </c>
      <c r="EB271" s="198">
        <f t="shared" ref="EB271" si="6426">EB270/DU270-1</f>
        <v>8.3507306889352151E-3</v>
      </c>
      <c r="EC271" s="198">
        <f t="shared" ref="EC271" si="6427">EC270/DV270-1</f>
        <v>-1.834862385321101E-2</v>
      </c>
      <c r="ED271" s="198">
        <f t="shared" ref="ED271" si="6428">ED270/DW270-1</f>
        <v>-1.7796030116358663E-2</v>
      </c>
      <c r="EE271" s="198">
        <f t="shared" ref="EE271" si="6429">EE270/DX270-1</f>
        <v>-7.6896190143306287E-3</v>
      </c>
      <c r="EG271" s="197" t="str">
        <f t="shared" si="6320"/>
        <v>YoY Change (%)</v>
      </c>
      <c r="EH271" s="198">
        <f>EH270/EA270-1</f>
        <v>5.9032716927453821E-2</v>
      </c>
      <c r="EI271" s="198">
        <f t="shared" ref="EI271" si="6430">EI270/EB270-1</f>
        <v>5.659075224292609E-2</v>
      </c>
      <c r="EJ271" s="198">
        <f t="shared" ref="EJ271" si="6431">EJ270/EC270-1</f>
        <v>0.29475197699496758</v>
      </c>
      <c r="EK271" s="198">
        <f t="shared" ref="EK271" si="6432">EK270/ED270-1</f>
        <v>0.26689895470383274</v>
      </c>
      <c r="EL271" s="198">
        <f t="shared" ref="EL271" si="6433">EL270/EE270-1</f>
        <v>0.16731243395561823</v>
      </c>
      <c r="EN271" s="197" t="str">
        <f t="shared" si="6321"/>
        <v>YoY Change (%)</v>
      </c>
      <c r="EO271" s="198">
        <f>EO270/EH270-1</f>
        <v>0.22699798522498327</v>
      </c>
      <c r="EP271" s="198">
        <f t="shared" ref="EP271" si="6434">EP270/EI270-1</f>
        <v>0.19790986283474843</v>
      </c>
      <c r="EQ271" s="198">
        <f t="shared" ref="EQ271" si="6435">EQ270/EJ270-1</f>
        <v>-3.331482509716821E-3</v>
      </c>
      <c r="ER271" s="198">
        <f t="shared" ref="ER271" si="6436">ER270/EK270-1</f>
        <v>-2.8052805280528004E-2</v>
      </c>
      <c r="ES271" s="198">
        <f t="shared" ref="ES271" si="6437">ES270/EL270-1</f>
        <v>8.9770669885334886E-2</v>
      </c>
      <c r="EU271" s="197" t="str">
        <f t="shared" si="6322"/>
        <v>YoY Change (%)</v>
      </c>
      <c r="EV271" s="198">
        <f>EV270/EO270-1</f>
        <v>-3.77668308702791E-2</v>
      </c>
      <c r="EW271" s="198">
        <f t="shared" ref="EW271" si="6438">EW270/EP270-1</f>
        <v>-3.3260632497273734E-2</v>
      </c>
      <c r="EX271" s="198">
        <f t="shared" ref="EX271" si="6439">EX270/EQ270-1</f>
        <v>-2.395543175487469E-2</v>
      </c>
      <c r="EY271" s="198">
        <f t="shared" ref="EY271" si="6440">EY270/ER270-1</f>
        <v>-5.0933786078098953E-3</v>
      </c>
      <c r="EZ271" s="198">
        <f t="shared" ref="EZ271" si="6441">EZ270/ES270-1</f>
        <v>-2.5197286446074996E-2</v>
      </c>
      <c r="FB271" s="197" t="str">
        <f t="shared" si="6323"/>
        <v>YoY Change (%)</v>
      </c>
      <c r="FC271" s="198">
        <f>FC270/EV270-1</f>
        <v>-4.095563139931746E-2</v>
      </c>
      <c r="FD271" s="198">
        <f t="shared" ref="FD271" si="6442">FD270/EW270-1</f>
        <v>1.0716300056401673E-2</v>
      </c>
      <c r="FE271" s="198">
        <f t="shared" ref="FE271" si="6443">FE270/EX270-1</f>
        <v>2.1689497716894879E-2</v>
      </c>
      <c r="FF271" s="198">
        <f t="shared" ref="FF271" si="6444">FF270/EY270-1</f>
        <v>-2.8441410693970104E-3</v>
      </c>
      <c r="FG271" s="198">
        <f t="shared" ref="FG271" si="6445">FG270/EZ270-1</f>
        <v>-2.8405056099986004E-3</v>
      </c>
      <c r="FI271" s="197" t="str">
        <f t="shared" si="6324"/>
        <v>YoY Change (%)</v>
      </c>
      <c r="FJ271" s="198">
        <f>FJ270/FC270-1</f>
        <v>2.9655990510083052E-2</v>
      </c>
      <c r="FK271" s="198">
        <f t="shared" ref="FK271" si="6446">FK270/FD270-1</f>
        <v>2.0647321428571397E-2</v>
      </c>
      <c r="FL271" s="198">
        <f t="shared" ref="FL271" si="6447">FL270/FE270-1</f>
        <v>7.8212290502792658E-3</v>
      </c>
      <c r="FM271" s="198">
        <f t="shared" ref="FM271" si="6448">FM270/FF270-1</f>
        <v>5.4763262977752358E-2</v>
      </c>
      <c r="FN271" s="198">
        <f t="shared" ref="FN271" si="6449">FN270/FG270-1</f>
        <v>2.8058681099558447E-2</v>
      </c>
      <c r="FP271" s="197" t="str">
        <f t="shared" si="6325"/>
        <v>YoY Change (%)</v>
      </c>
      <c r="FQ271" s="198">
        <f>FQ270/FJ270-1</f>
        <v>4.0898617511520685E-2</v>
      </c>
      <c r="FR271" s="198">
        <f t="shared" ref="FR271" si="6450">FR270/FK270-1</f>
        <v>3.2804811372334708E-2</v>
      </c>
      <c r="FS271" s="198">
        <f t="shared" ref="FS271" si="6451">FS270/FL270-1</f>
        <v>-2.2172949002217113E-3</v>
      </c>
      <c r="FT271" s="198">
        <f t="shared" ref="FT271" si="6452">FT270/FM270-1</f>
        <v>6.1654948620876171E-2</v>
      </c>
      <c r="FU271" s="198">
        <f t="shared" ref="FU271" si="6453">FU270/FN270-1</f>
        <v>3.3388750346356355E-2</v>
      </c>
      <c r="FW271" s="197" t="str">
        <f t="shared" si="6326"/>
        <v>YoY Change (%)</v>
      </c>
      <c r="FX271" s="198">
        <f>FX270/FQ270-1</f>
        <v>8.8544548976203785E-3</v>
      </c>
      <c r="FY271" s="198">
        <f t="shared" ref="FY271" si="6454">FY270/FR270-1</f>
        <v>-2.1704605611434613E-2</v>
      </c>
      <c r="FZ271" s="198">
        <f t="shared" ref="FZ271" si="6455">FZ270/FS270-1</f>
        <v>-5.5555555555553138E-4</v>
      </c>
      <c r="GA271" s="198">
        <f t="shared" ref="GA271" si="6456">GA270/FT270-1</f>
        <v>-8.4564442180336208E-2</v>
      </c>
      <c r="GB271" s="198">
        <f t="shared" ref="GB271" si="6457">GB270/FU270-1</f>
        <v>-2.5740715913661338E-2</v>
      </c>
      <c r="GD271" s="197" t="str">
        <f t="shared" si="6327"/>
        <v>YoY Change (%)</v>
      </c>
      <c r="GE271" s="198">
        <f>GE270/FX270-1</f>
        <v>-9.3252879868348515E-3</v>
      </c>
      <c r="GF271" s="198">
        <f t="shared" ref="GF271" si="6458">GF270/FY270-1</f>
        <v>-1.0822510822511289E-3</v>
      </c>
      <c r="GG271" s="198">
        <f t="shared" ref="GG271" si="6459">GG270/FZ270-1</f>
        <v>1.6120066703724234E-2</v>
      </c>
      <c r="GH271" s="198">
        <f t="shared" ref="GH271" si="6460">GH270/GA270-1</f>
        <v>-7.2342793544797335E-3</v>
      </c>
      <c r="GI271" s="198">
        <f t="shared" ref="GI271" si="6461">GI270/GB270-1</f>
        <v>-4.1282509976603432E-4</v>
      </c>
      <c r="GK271" s="197" t="str">
        <f t="shared" si="6328"/>
        <v>YoY Change (%)</v>
      </c>
      <c r="GL271" s="198">
        <f>GL270/GE270-1</f>
        <v>-3.9867109634551534E-2</v>
      </c>
      <c r="GM271" s="198">
        <f t="shared" ref="GM271" si="6462">GM270/GF270-1</f>
        <v>-2.329360780065004E-2</v>
      </c>
      <c r="GN271" s="198">
        <f t="shared" ref="GN271" si="6463">GN270/GG270-1</f>
        <v>-4.3216630196936556E-2</v>
      </c>
      <c r="GO271" s="198">
        <f t="shared" ref="GO271" si="6464">GO270/GH270-1</f>
        <v>-2.5224215246636761E-2</v>
      </c>
      <c r="GP271" s="198">
        <f t="shared" ref="GP271" si="6465">GP270/GI270-1</f>
        <v>-3.2901982378854666E-2</v>
      </c>
      <c r="GR271" s="197" t="str">
        <f t="shared" si="6329"/>
        <v>YoY Change (%)</v>
      </c>
      <c r="GS271" s="198">
        <f>GS270/GL270-1</f>
        <v>-2.3068050749711633E-2</v>
      </c>
      <c r="GT271" s="198">
        <f t="shared" ref="GT271" si="6466">GT270/GM270-1</f>
        <v>-2.9950083194675514E-2</v>
      </c>
      <c r="GU271" s="198">
        <f t="shared" ref="GU271" si="6467">GU270/GN270-1</f>
        <v>-2.5728987993138941E-2</v>
      </c>
      <c r="GV271" s="198">
        <f t="shared" ref="GV271" si="6468">GV270/GO270-1</f>
        <v>-9.0856814261069618E-2</v>
      </c>
      <c r="GW271" s="198">
        <f t="shared" ref="GW271" si="6469">GW270/GP270-1</f>
        <v>-4.2277580071174325E-2</v>
      </c>
      <c r="GY271" s="197" t="str">
        <f t="shared" si="6330"/>
        <v>YoY Change (%)</v>
      </c>
      <c r="GZ271" s="198">
        <f>GZ270/GS270-1</f>
        <v>-0.17178276269185355</v>
      </c>
      <c r="HA271" s="198">
        <f t="shared" ref="HA271" si="6470">HA270/GT270-1</f>
        <v>-0.20125786163522008</v>
      </c>
      <c r="HB271" s="198">
        <f t="shared" ref="HB271" si="6471">HB270/GU270-1</f>
        <v>-0.15023474178403751</v>
      </c>
      <c r="HC271" s="198">
        <f t="shared" ref="HC271" si="6472">HC270/GV270-1</f>
        <v>-5.2498418722327633E-2</v>
      </c>
      <c r="HD271" s="198">
        <f t="shared" ref="HD271" si="6473">HD270/GW270-1</f>
        <v>-0.14595719381688466</v>
      </c>
      <c r="HF271" s="197" t="str">
        <f t="shared" si="6331"/>
        <v>YoY Change (%)</v>
      </c>
      <c r="HG271" s="198">
        <f>HG270/GZ270-1</f>
        <v>5.9158945117605111E-2</v>
      </c>
      <c r="HH271" s="198">
        <f t="shared" ref="HH271" si="6474">HH270/HA270-1</f>
        <v>0.14387974230493916</v>
      </c>
      <c r="HI271" s="198">
        <f t="shared" ref="HI271" si="6475">HI270/HB270-1</f>
        <v>0.11118784530386749</v>
      </c>
      <c r="HJ271" s="198">
        <f t="shared" ref="HJ271" si="6476">HJ270/HC270-1</f>
        <v>0.1288384512683578</v>
      </c>
      <c r="HK271" s="198">
        <f t="shared" ref="HK271" si="6477">HK270/HD270-1</f>
        <v>0.11103376261747311</v>
      </c>
      <c r="HM271" s="197" t="str">
        <f t="shared" si="6332"/>
        <v>YoY Change (%)</v>
      </c>
      <c r="HN271" s="198">
        <f>HN270/HG270-1</f>
        <v>7.1332436069986516E-2</v>
      </c>
      <c r="HO271" s="198">
        <f t="shared" ref="HO271" si="6478">HO270/HH270-1</f>
        <v>3.0037546933667114E-2</v>
      </c>
      <c r="HP271" s="198">
        <f t="shared" ref="HP271" si="6479">HP270/HI270-1</f>
        <v>6.2150403977625501E-3</v>
      </c>
      <c r="HQ271" s="198">
        <f t="shared" ref="HQ271" si="6480">HQ270/HJ270-1</f>
        <v>-4.2578356002365481E-2</v>
      </c>
      <c r="HR271" s="198">
        <f t="shared" ref="HR271" si="6481">HR270/HK270-1</f>
        <v>1.4411027568922208E-2</v>
      </c>
      <c r="HT271" s="197" t="str">
        <f t="shared" si="6333"/>
        <v>YoY Change (%)</v>
      </c>
      <c r="HU271" s="198">
        <f>HU270/HN270-1</f>
        <v>6.2814070351759899E-3</v>
      </c>
      <c r="HV271" s="198">
        <f t="shared" ref="HV271" si="6482">HV270/HO270-1</f>
        <v>-3.6452004860266785E-3</v>
      </c>
      <c r="HW271" s="198">
        <f t="shared" ref="HW271" si="6483">HW270/HP270-1</f>
        <v>-1.1735639283508292E-2</v>
      </c>
      <c r="HX271" s="198">
        <f t="shared" ref="HX271" si="6484">HX270/HQ270-1</f>
        <v>-3.2118591723286016E-2</v>
      </c>
      <c r="HY271" s="198">
        <f t="shared" ref="HY271" si="6485">HY270/HR270-1</f>
        <v>-1.0345892526250733E-2</v>
      </c>
      <c r="IA271" s="197" t="str">
        <f t="shared" si="6334"/>
        <v>YoY Change (%)</v>
      </c>
      <c r="IB271" s="198">
        <f>IB270/HU270-1</f>
        <v>-1.4981273408239737E-2</v>
      </c>
      <c r="IC271" s="198">
        <f t="shared" ref="IC271" si="6486">IC270/HV270-1</f>
        <v>9.7560975609756184E-3</v>
      </c>
      <c r="ID271" s="198">
        <f t="shared" ref="ID271" si="6487">ID270/HW270-1</f>
        <v>2.6874999999999982E-2</v>
      </c>
      <c r="IE271" s="198">
        <f t="shared" ref="IE271" si="6488">IE270/HX270-1</f>
        <v>6.0625398851308132E-2</v>
      </c>
      <c r="IF271" s="198">
        <f t="shared" ref="IF271" si="6489">IF270/HY270-1</f>
        <v>2.0283975659229236E-2</v>
      </c>
      <c r="IH271" s="197" t="str">
        <f t="shared" si="6335"/>
        <v>YoY Change (%)</v>
      </c>
      <c r="II271" s="198">
        <f>II270/IB270-1</f>
        <v>2.6615969581748944E-2</v>
      </c>
      <c r="IJ271" s="198">
        <f t="shared" ref="IJ271" si="6490">IJ270/IC270-1</f>
        <v>7.5483091787439616E-2</v>
      </c>
      <c r="IK271" s="198">
        <f t="shared" ref="IK271" si="6491">IK270/ID270-1</f>
        <v>6.9993913572732769E-2</v>
      </c>
      <c r="IL271" s="198">
        <f t="shared" ref="IL271" si="6492">IL270/IE270-1</f>
        <v>6.0770156438026524E-2</v>
      </c>
      <c r="IM271" s="198">
        <f t="shared" ref="IM271" si="6493">IM270/IF270-1</f>
        <v>5.8571647040831953E-2</v>
      </c>
      <c r="IO271" s="197" t="str">
        <f t="shared" si="6336"/>
        <v>YoY Change (%)</v>
      </c>
      <c r="IP271" s="198">
        <f>IP270/II270-1</f>
        <v>9.2592592592593004E-3</v>
      </c>
      <c r="IQ271" s="198">
        <f t="shared" ref="IQ271" si="6494">IQ270/IJ270-1</f>
        <v>-1.2352610892756855E-2</v>
      </c>
      <c r="IR271" s="198">
        <f t="shared" ref="IR271" si="6495">IR270/IK270-1</f>
        <v>-2.6166097838452806E-2</v>
      </c>
      <c r="IS271" s="198">
        <f t="shared" ref="IS271" si="6496">IS270/IL270-1</f>
        <v>-6.1259217243335273E-2</v>
      </c>
      <c r="IT271" s="198">
        <f t="shared" ref="IT271" si="6497">IT270/IM270-1</f>
        <v>-2.3259173649234355E-2</v>
      </c>
      <c r="IV271" s="197" t="str">
        <f t="shared" si="6337"/>
        <v>YoY Change (%)</v>
      </c>
      <c r="IW271" s="198">
        <f>IW270/IP270-1</f>
        <v>-5.1376146788990829E-2</v>
      </c>
      <c r="IX271" s="198">
        <f t="shared" ref="IX271" si="6498">IX270/IQ270-1</f>
        <v>-9.3234792495736185E-2</v>
      </c>
      <c r="IY271" s="198">
        <f t="shared" ref="IY271" si="6499">IY270/IR270-1</f>
        <v>-8.0607476635514042E-2</v>
      </c>
      <c r="IZ271" s="198">
        <f t="shared" ref="IZ271" si="6500">IZ270/IS270-1</f>
        <v>4.5921450151057419E-2</v>
      </c>
      <c r="JA271" s="198">
        <f t="shared" ref="JA271" si="6501">JA270/IT270-1</f>
        <v>-4.5851205442981824E-2</v>
      </c>
      <c r="JC271" s="197" t="str">
        <f t="shared" si="6338"/>
        <v>YoY Change (%)</v>
      </c>
      <c r="JD271" s="198">
        <f>JD270/IW270-1</f>
        <v>2.6434558349452075E-2</v>
      </c>
      <c r="JE271" s="198">
        <f t="shared" ref="JE271" si="6502">JE270/IX270-1</f>
        <v>1.5673981191222541E-2</v>
      </c>
      <c r="JF271" s="198">
        <f t="shared" ref="JF271" si="6503">JF270/IY270-1</f>
        <v>8.2592121982210109E-3</v>
      </c>
      <c r="JG271" s="198">
        <f t="shared" ref="JG271" si="6504">JG270/IZ270-1</f>
        <v>-7.5101097631426916E-2</v>
      </c>
      <c r="JH271" s="198">
        <f t="shared" ref="JH271" si="6505">JH270/JA270-1</f>
        <v>-7.9057510463493852E-3</v>
      </c>
      <c r="JJ271" s="197" t="str">
        <f t="shared" si="6339"/>
        <v>YoY Change (%)</v>
      </c>
      <c r="JK271" s="198">
        <f>JK270/JD270-1</f>
        <v>-3.7688442211055273E-2</v>
      </c>
      <c r="JL271" s="198">
        <f t="shared" ref="JL271" si="6506">JL270/JE270-1</f>
        <v>1.6049382716049276E-2</v>
      </c>
      <c r="JM271" s="198">
        <f t="shared" ref="JM271" si="6507">JM270/JF270-1</f>
        <v>4.3478260869565188E-2</v>
      </c>
      <c r="JN271" s="198">
        <f t="shared" ref="JN271" si="6508">JN270/JG270-1</f>
        <v>2.9356652092442204E-2</v>
      </c>
      <c r="JO271" s="198">
        <f t="shared" ref="JO271" si="6509">JO270/JH270-1</f>
        <v>1.2812499999999893E-2</v>
      </c>
      <c r="JQ271" s="197" t="str">
        <f t="shared" si="6340"/>
        <v>YoY Change (%)</v>
      </c>
      <c r="JR271" s="198">
        <f>JR270/JK270-1</f>
        <v>-6.5274151436034433E-4</v>
      </c>
      <c r="JS271" s="198">
        <f t="shared" ref="JS271" si="6510">JS270/JL270-1</f>
        <v>-3.9489671931956294E-2</v>
      </c>
      <c r="JT271" s="198">
        <f t="shared" ref="JT271" si="6511">JT270/JM270-1</f>
        <v>-5.2536231884057982E-2</v>
      </c>
      <c r="JU271" s="198">
        <f t="shared" ref="JU271" si="6512">JU270/JN270-1</f>
        <v>-6.614077669902918E-2</v>
      </c>
      <c r="JV271" s="198">
        <f t="shared" ref="JV271" si="6513">JV270/JO270-1</f>
        <v>-4.0419623572971353E-2</v>
      </c>
      <c r="JX271" s="197" t="str">
        <f t="shared" si="6341"/>
        <v>YoY Change (%)</v>
      </c>
      <c r="JY271" s="198">
        <f>JY270/JR270-1</f>
        <v>-1.1103853690398457E-2</v>
      </c>
      <c r="JZ271" s="198">
        <f t="shared" ref="JZ271" si="6514">JZ270/JS270-1</f>
        <v>-0.20493358633776093</v>
      </c>
      <c r="KA271" s="198">
        <f t="shared" ref="KA271" si="6515">KA270/JT270-1</f>
        <v>-2.9955385595920925E-2</v>
      </c>
      <c r="KB271" s="198">
        <f t="shared" ref="KB271" si="6516">KB270/JU270-1</f>
        <v>3.8986354775828458E-2</v>
      </c>
      <c r="KC271" s="198">
        <f t="shared" ref="KC271" si="6517">KC270/JV270-1</f>
        <v>-5.2733118971061144E-2</v>
      </c>
      <c r="KE271" s="197" t="str">
        <f t="shared" si="6342"/>
        <v>YoY Change (%)</v>
      </c>
      <c r="KF271" s="198">
        <f>KF270/JY270-1</f>
        <v>9.9075297225892367E-3</v>
      </c>
      <c r="KG271" s="198">
        <f t="shared" ref="KG271" si="6518">KG270/JZ270-1</f>
        <v>0.26571201272871914</v>
      </c>
      <c r="KH271" s="198">
        <f t="shared" ref="KH271" si="6519">KH270/KA270-1</f>
        <v>2.6938239159001398E-2</v>
      </c>
      <c r="KI271" s="198">
        <f t="shared" ref="KI271" si="6520">KI270/KB270-1</f>
        <v>-1.8136335209505972E-2</v>
      </c>
      <c r="KJ271" s="198">
        <f t="shared" ref="KJ271" si="6521">KJ270/KC270-1</f>
        <v>6.1269517990495626E-2</v>
      </c>
      <c r="KL271" s="197" t="str">
        <f t="shared" si="6343"/>
        <v>YoY Change (%)</v>
      </c>
      <c r="KM271" s="198">
        <f>KM270/KF270-1</f>
        <v>-2.0274689339437546E-2</v>
      </c>
      <c r="KN271" s="198">
        <f t="shared" ref="KN271" si="6522">KN270/KG270-1</f>
        <v>1.8856065367693908E-3</v>
      </c>
      <c r="KO271" s="198">
        <f t="shared" ref="KO271" si="6523">KO270/KH270-1</f>
        <v>1.5355086372360827E-2</v>
      </c>
      <c r="KP271" s="198">
        <f t="shared" ref="KP271" si="6524">KP270/KI270-1</f>
        <v>-1.9745222929936301E-2</v>
      </c>
      <c r="KQ271" s="198">
        <f t="shared" ref="KQ271" si="6525">KQ270/KJ270-1</f>
        <v>-5.5973132896209865E-3</v>
      </c>
      <c r="KS271" s="197" t="str">
        <f t="shared" si="6344"/>
        <v>YoY Change (%)</v>
      </c>
      <c r="KT271" s="198">
        <f>KT270/KM270-1</f>
        <v>-8.0106809078771546E-3</v>
      </c>
      <c r="KU271" s="198">
        <f t="shared" ref="KU271" si="6526">KU270/KN270-1</f>
        <v>-3.0112923462986219E-2</v>
      </c>
      <c r="KV271" s="198">
        <f t="shared" ref="KV271" si="6527">KV270/KO270-1</f>
        <v>-2.3314429741650877E-2</v>
      </c>
      <c r="KW271" s="198">
        <f t="shared" ref="KW271" si="6528">KW270/KP270-1</f>
        <v>1.3645224171539905E-2</v>
      </c>
      <c r="KX271" s="198">
        <f t="shared" ref="KX271" si="6529">KX270/KQ270-1</f>
        <v>-1.2222579607590878E-2</v>
      </c>
      <c r="KZ271" s="197" t="str">
        <f t="shared" si="6345"/>
        <v>YoY Change (%)</v>
      </c>
      <c r="LA271" s="198">
        <f>LA270/KT270-1</f>
        <v>3.2301480484522305E-2</v>
      </c>
      <c r="LB271" s="198">
        <f>LB270/KU270-1</f>
        <v>2.0698576972833171E-2</v>
      </c>
      <c r="LC271" s="198">
        <f>LC270/KV270-1</f>
        <v>2.5806451612903292E-2</v>
      </c>
      <c r="LD271" s="198">
        <f t="shared" ref="LD271" si="6530">LD270/KW270-1</f>
        <v>9.6153846153845812E-3</v>
      </c>
      <c r="LE271" s="198">
        <f t="shared" ref="LE271" si="6531">LE270/KX270-1</f>
        <v>2.1979811136437544E-2</v>
      </c>
      <c r="LF271" s="574"/>
      <c r="LG271" s="197" t="str">
        <f t="shared" si="6346"/>
        <v>YoY Change (%)</v>
      </c>
      <c r="LH271" s="198">
        <f>LH270/LA270-1</f>
        <v>-1.0430247718383301E-2</v>
      </c>
      <c r="LI271" s="198">
        <f>LI270/LB270-1</f>
        <v>1.2674271229404788E-3</v>
      </c>
      <c r="LJ271" s="198">
        <f>LJ270/LC270-1</f>
        <v>1.3836477987421381E-2</v>
      </c>
      <c r="LK271" s="198">
        <f>LK270/LD270-1</f>
        <v>1.3968253968253963E-2</v>
      </c>
      <c r="LL271" s="198">
        <f t="shared" ref="LL271" si="6532">LL270/LE270-1</f>
        <v>4.7793531942010858E-3</v>
      </c>
      <c r="LM271" s="574"/>
      <c r="LN271" s="197" t="str">
        <f t="shared" si="6347"/>
        <v>YoY Change (%)</v>
      </c>
      <c r="LO271" s="198">
        <f>LO270/LH270-1</f>
        <v>1.6877470355731283E-2</v>
      </c>
      <c r="LP271" s="198">
        <f t="shared" ref="LP271" si="6533">LP270/LI270-1</f>
        <v>1.6357594936708741E-2</v>
      </c>
      <c r="LQ271" s="198">
        <f>LQ270/LJ270-1</f>
        <v>2.3898883374689817E-2</v>
      </c>
      <c r="LR271" s="198">
        <f t="shared" ref="LR271" si="6534">LR270/LK270-1</f>
        <v>3.7175954915466436E-2</v>
      </c>
      <c r="LS271" s="198">
        <f t="shared" ref="LS271" si="6535">LS270/LL270-1</f>
        <v>2.3681623592833212E-2</v>
      </c>
      <c r="LT271" s="574"/>
      <c r="LU271" s="197" t="str">
        <f t="shared" si="6348"/>
        <v>YoY Change (%)</v>
      </c>
      <c r="LV271" s="198">
        <f>LV270/LO270-1</f>
        <v>2.5413573288762592E-2</v>
      </c>
      <c r="LW271" s="198">
        <f t="shared" ref="LW271" si="6536">LW270/LP270-1</f>
        <v>2.6080054426174781E-2</v>
      </c>
      <c r="LX271" s="198">
        <f t="shared" ref="LX271" si="6537">LX270/LQ270-1</f>
        <v>2.4876069735387141E-2</v>
      </c>
      <c r="LY271" s="198">
        <f t="shared" ref="LY271" si="6538">LY270/LR270-1</f>
        <v>2.4847875172817835E-2</v>
      </c>
      <c r="LZ271" s="198">
        <f t="shared" ref="LZ271" si="6539">LZ270/LS270-1</f>
        <v>2.5296804236442982E-2</v>
      </c>
      <c r="MA271" s="574"/>
      <c r="MB271" s="197" t="str">
        <f t="shared" si="6349"/>
        <v>YoY Change (%)</v>
      </c>
      <c r="MC271" s="198">
        <f>MC270/LV270-1</f>
        <v>2.4677121186362116E-2</v>
      </c>
      <c r="MD271" s="198">
        <f t="shared" ref="MD271" si="6540">MD270/LW270-1</f>
        <v>2.4393559418823596E-2</v>
      </c>
      <c r="ME271" s="198">
        <f t="shared" ref="ME271" si="6541">ME270/LX270-1</f>
        <v>2.3920058679335332E-2</v>
      </c>
      <c r="MF271" s="198">
        <f t="shared" ref="MF271" si="6542">MF270/LY270-1</f>
        <v>2.336206103816485E-2</v>
      </c>
      <c r="MG271" s="198">
        <f t="shared" ref="MG271" si="6543">MG270/LZ270-1</f>
        <v>2.4075851372329593E-2</v>
      </c>
      <c r="MH271" s="574"/>
    </row>
    <row r="272" spans="1:346" s="37" customFormat="1" ht="13.15" x14ac:dyDescent="0.4">
      <c r="A272" s="100"/>
      <c r="C272" s="186"/>
      <c r="D272" s="186"/>
      <c r="E272" s="186"/>
      <c r="F272" s="186"/>
      <c r="G272" s="186"/>
      <c r="H272" s="186"/>
      <c r="I272" s="186"/>
      <c r="J272" s="186"/>
      <c r="K272" s="186"/>
      <c r="L272" s="186"/>
      <c r="M272" s="186"/>
      <c r="N272" s="193"/>
      <c r="O272" s="193"/>
      <c r="P272" s="193"/>
      <c r="Q272" s="193"/>
      <c r="R272" s="193"/>
      <c r="S272" s="193"/>
      <c r="T272" s="193"/>
      <c r="U272" s="193"/>
      <c r="V272" s="193"/>
      <c r="W272" s="193"/>
      <c r="X272" s="193"/>
      <c r="Y272" s="193"/>
      <c r="Z272" s="193"/>
      <c r="AA272" s="193"/>
      <c r="AB272" s="193"/>
      <c r="AC272" s="193"/>
      <c r="AD272" s="193"/>
      <c r="AE272" s="193"/>
      <c r="AF272" s="193"/>
      <c r="AG272" s="193"/>
      <c r="AH272" s="193"/>
      <c r="AI272" s="193"/>
      <c r="AJ272" s="193"/>
      <c r="AK272" s="193"/>
      <c r="AL272" s="193"/>
      <c r="AM272" s="193"/>
      <c r="AN272" s="193"/>
      <c r="AO272" s="193"/>
      <c r="AP272" s="193"/>
      <c r="AQ272" s="193"/>
      <c r="AR272" s="193"/>
      <c r="AS272" s="193"/>
      <c r="AT272" s="193"/>
      <c r="AU272" s="193"/>
      <c r="AV272" s="193"/>
      <c r="AW272" s="193"/>
      <c r="AX272" s="193"/>
      <c r="AY272" s="193"/>
      <c r="AZ272" s="193"/>
      <c r="BA272" s="193"/>
      <c r="BB272" s="193"/>
      <c r="BC272" s="193"/>
      <c r="BD272" s="193"/>
      <c r="BE272" s="193"/>
      <c r="BF272" s="193"/>
      <c r="BG272" s="193"/>
      <c r="BH272" s="193"/>
      <c r="BI272" s="193"/>
      <c r="BJ272" s="193"/>
      <c r="BK272" s="193"/>
      <c r="BL272" s="193"/>
      <c r="BM272" s="193"/>
      <c r="BP272" s="193"/>
      <c r="BQ272" s="193"/>
      <c r="BR272" s="193"/>
      <c r="BS272" s="193"/>
      <c r="BT272" s="193"/>
      <c r="BW272" s="193"/>
      <c r="BX272" s="193"/>
      <c r="BY272" s="193"/>
      <c r="BZ272" s="193"/>
      <c r="CA272" s="193"/>
      <c r="CD272" s="193"/>
      <c r="CE272" s="193"/>
      <c r="CF272" s="193"/>
      <c r="CG272" s="193"/>
      <c r="CH272" s="193"/>
      <c r="CK272" s="193"/>
      <c r="CL272" s="193"/>
      <c r="CM272" s="193"/>
      <c r="CN272" s="193"/>
      <c r="CO272" s="193"/>
      <c r="CR272" s="193"/>
      <c r="CS272" s="193"/>
      <c r="CT272" s="193"/>
      <c r="CU272" s="193"/>
      <c r="CV272" s="193"/>
      <c r="CY272" s="193"/>
      <c r="CZ272" s="193"/>
      <c r="DA272" s="193"/>
      <c r="DB272" s="193"/>
      <c r="DC272" s="193"/>
      <c r="DF272" s="193"/>
      <c r="DG272" s="193"/>
      <c r="DH272" s="193"/>
      <c r="DI272" s="193"/>
      <c r="DJ272" s="193"/>
      <c r="DM272" s="193"/>
      <c r="DN272" s="193"/>
      <c r="DO272" s="193"/>
      <c r="DP272" s="193"/>
      <c r="DQ272" s="193"/>
      <c r="DT272" s="193"/>
      <c r="DU272" s="193"/>
      <c r="DV272" s="193"/>
      <c r="DW272" s="193"/>
      <c r="DX272" s="193"/>
      <c r="EA272" s="193"/>
      <c r="EB272" s="193"/>
      <c r="EC272" s="193"/>
      <c r="ED272" s="193"/>
      <c r="EE272" s="193"/>
      <c r="EH272" s="193"/>
      <c r="EI272" s="193"/>
      <c r="EJ272" s="193"/>
      <c r="EK272" s="193"/>
      <c r="EL272" s="193"/>
      <c r="EO272" s="193"/>
      <c r="EP272" s="193"/>
      <c r="EQ272" s="193"/>
      <c r="ER272" s="193"/>
      <c r="ES272" s="193"/>
      <c r="EV272" s="193"/>
      <c r="EW272" s="193"/>
      <c r="EX272" s="193"/>
      <c r="EY272" s="193"/>
      <c r="EZ272" s="193"/>
      <c r="FC272" s="193"/>
      <c r="FD272" s="193"/>
      <c r="FE272" s="193"/>
      <c r="FF272" s="193"/>
      <c r="FG272" s="193"/>
      <c r="FJ272" s="193"/>
      <c r="FK272" s="193"/>
      <c r="FL272" s="193"/>
      <c r="FM272" s="193"/>
      <c r="FN272" s="193"/>
      <c r="FQ272" s="193"/>
      <c r="FR272" s="193"/>
      <c r="FS272" s="193"/>
      <c r="FT272" s="193"/>
      <c r="FU272" s="193"/>
      <c r="FX272" s="193"/>
      <c r="FY272" s="193"/>
      <c r="FZ272" s="193"/>
      <c r="GA272" s="193"/>
      <c r="GB272" s="193"/>
      <c r="GE272" s="193"/>
      <c r="GF272" s="193"/>
      <c r="GG272" s="193"/>
      <c r="GH272" s="193"/>
      <c r="GI272" s="193"/>
      <c r="GL272" s="193"/>
      <c r="GM272" s="193"/>
      <c r="GN272" s="193"/>
      <c r="GO272" s="193"/>
      <c r="GP272" s="193"/>
      <c r="GS272" s="193"/>
      <c r="GT272" s="193"/>
      <c r="GU272" s="193"/>
      <c r="GV272" s="193"/>
      <c r="GW272" s="193"/>
      <c r="GZ272" s="193"/>
      <c r="HA272" s="193"/>
      <c r="HB272" s="193"/>
      <c r="HC272" s="193"/>
      <c r="HD272" s="193"/>
      <c r="HG272" s="193"/>
      <c r="HH272" s="193"/>
      <c r="HI272" s="193"/>
      <c r="HJ272" s="193"/>
      <c r="HK272" s="193"/>
      <c r="HN272" s="193"/>
      <c r="HO272" s="193"/>
      <c r="HP272" s="193"/>
      <c r="HQ272" s="193"/>
      <c r="HR272" s="193"/>
      <c r="HU272" s="193"/>
      <c r="HV272" s="193"/>
      <c r="HW272" s="193"/>
      <c r="HX272" s="193"/>
      <c r="HY272" s="193"/>
      <c r="IB272" s="193"/>
      <c r="IC272" s="193"/>
      <c r="ID272" s="193"/>
      <c r="IE272" s="193"/>
      <c r="IF272" s="193"/>
      <c r="II272" s="193"/>
      <c r="IJ272" s="193"/>
      <c r="IK272" s="193"/>
      <c r="IL272" s="193"/>
      <c r="IM272" s="193"/>
      <c r="IP272" s="193"/>
      <c r="IQ272" s="193"/>
      <c r="IR272" s="193"/>
      <c r="IS272" s="193"/>
      <c r="IT272" s="193"/>
      <c r="IW272" s="193"/>
      <c r="IX272" s="193"/>
      <c r="IY272" s="193"/>
      <c r="IZ272" s="193"/>
      <c r="JA272" s="193"/>
      <c r="JD272" s="193"/>
      <c r="JE272" s="193"/>
      <c r="JF272" s="193"/>
      <c r="JG272" s="193"/>
      <c r="JH272" s="193"/>
      <c r="JK272" s="193"/>
      <c r="JL272" s="193"/>
      <c r="JM272" s="193"/>
      <c r="JN272" s="193"/>
      <c r="JO272" s="193"/>
      <c r="JR272" s="193"/>
      <c r="JS272" s="193"/>
      <c r="JT272" s="193"/>
      <c r="JU272" s="193"/>
      <c r="JV272" s="193"/>
      <c r="JY272" s="193"/>
      <c r="JZ272" s="193"/>
      <c r="KA272" s="193"/>
      <c r="KB272" s="193"/>
      <c r="KC272" s="193"/>
      <c r="KF272" s="193"/>
      <c r="KG272" s="193"/>
      <c r="KH272" s="193"/>
      <c r="KI272" s="193"/>
      <c r="KJ272" s="193"/>
      <c r="KM272" s="193"/>
      <c r="KN272" s="193"/>
      <c r="KO272" s="193"/>
      <c r="KP272" s="193"/>
      <c r="KQ272" s="193"/>
      <c r="KT272" s="193"/>
      <c r="KU272" s="193"/>
      <c r="KV272" s="193"/>
      <c r="KW272" s="193"/>
      <c r="KX272" s="193"/>
      <c r="LA272" s="193"/>
      <c r="LB272" s="193"/>
      <c r="LC272" s="193"/>
      <c r="LD272" s="193"/>
      <c r="LE272" s="193"/>
      <c r="LF272" s="564"/>
      <c r="LH272" s="193"/>
      <c r="LI272" s="193"/>
      <c r="LJ272" s="193"/>
      <c r="LK272" s="193"/>
      <c r="LL272" s="193"/>
      <c r="LM272" s="564"/>
      <c r="LO272" s="193"/>
      <c r="LP272" s="193"/>
      <c r="LQ272" s="193"/>
      <c r="LR272" s="193"/>
      <c r="LS272" s="193"/>
      <c r="LT272" s="564"/>
      <c r="LV272" s="193"/>
      <c r="LW272" s="193"/>
      <c r="LX272" s="193"/>
      <c r="LY272" s="193"/>
      <c r="LZ272" s="193"/>
      <c r="MA272" s="564"/>
      <c r="MC272" s="193"/>
      <c r="MD272" s="193"/>
      <c r="ME272" s="193"/>
      <c r="MF272" s="193"/>
      <c r="MG272" s="193"/>
      <c r="MH272" s="564"/>
    </row>
    <row r="273" spans="1:346" s="37" customFormat="1" ht="13.15" x14ac:dyDescent="0.4">
      <c r="A273" s="100"/>
      <c r="B273" s="37" t="s">
        <v>517</v>
      </c>
      <c r="C273" s="186"/>
      <c r="D273" s="186"/>
      <c r="E273" s="186"/>
      <c r="F273" s="186"/>
      <c r="G273" s="186"/>
      <c r="H273" s="186"/>
      <c r="I273" s="186"/>
      <c r="J273" s="186"/>
      <c r="K273" s="186"/>
      <c r="L273" s="186"/>
      <c r="M273" s="186"/>
      <c r="N273" s="194">
        <f t="shared" ref="N273:AY273" si="6544">IFERROR(N31/N90*1000,"")</f>
        <v>844.34782608695662</v>
      </c>
      <c r="O273" s="194">
        <f t="shared" si="6544"/>
        <v>878.61169837914019</v>
      </c>
      <c r="P273" s="194">
        <f t="shared" si="6544"/>
        <v>927.1148036253777</v>
      </c>
      <c r="Q273" s="194">
        <f t="shared" si="6544"/>
        <v>942.38950712467727</v>
      </c>
      <c r="R273" s="194">
        <f t="shared" si="6544"/>
        <v>947.79191616766468</v>
      </c>
      <c r="S273" s="194">
        <f t="shared" si="6544"/>
        <v>939.61478396668394</v>
      </c>
      <c r="T273" s="194">
        <f t="shared" si="6544"/>
        <v>969.93699369936996</v>
      </c>
      <c r="U273" s="194">
        <f t="shared" si="6544"/>
        <v>978.18247385503071</v>
      </c>
      <c r="V273" s="194">
        <f t="shared" si="6544"/>
        <v>966.09577070954208</v>
      </c>
      <c r="W273" s="194">
        <f t="shared" si="6544"/>
        <v>952.55538112680972</v>
      </c>
      <c r="X273" s="194">
        <f t="shared" si="6544"/>
        <v>963.27137546468396</v>
      </c>
      <c r="Y273" s="194">
        <f t="shared" si="6544"/>
        <v>980.18584312653729</v>
      </c>
      <c r="Z273" s="194">
        <f t="shared" si="6544"/>
        <v>998.1736442821018</v>
      </c>
      <c r="AA273" s="194">
        <f t="shared" si="6544"/>
        <v>1005.3589056550558</v>
      </c>
      <c r="AB273" s="194">
        <f t="shared" si="6544"/>
        <v>1016.6140326788411</v>
      </c>
      <c r="AC273" s="194">
        <f t="shared" si="6544"/>
        <v>1054.5816733067729</v>
      </c>
      <c r="AD273" s="194">
        <f t="shared" si="6544"/>
        <v>1156.0544217687075</v>
      </c>
      <c r="AE273" s="194">
        <f t="shared" si="6544"/>
        <v>1275.4824680619733</v>
      </c>
      <c r="AF273" s="194">
        <f t="shared" si="6544"/>
        <v>1375.4918493535695</v>
      </c>
      <c r="AG273" s="194">
        <f t="shared" si="6544"/>
        <v>1611.0134739308728</v>
      </c>
      <c r="AH273" s="194">
        <f t="shared" si="6544"/>
        <v>1520.1104781633005</v>
      </c>
      <c r="AI273" s="194">
        <f t="shared" si="6544"/>
        <v>1620.9273182957393</v>
      </c>
      <c r="AJ273" s="194">
        <f t="shared" si="6544"/>
        <v>1767.2946263125386</v>
      </c>
      <c r="AK273" s="194">
        <f t="shared" si="6544"/>
        <v>1784.9898580121703</v>
      </c>
      <c r="AL273" s="194">
        <f t="shared" si="6544"/>
        <v>1778.4064841718916</v>
      </c>
      <c r="AM273" s="194">
        <f t="shared" si="6544"/>
        <v>1769.2863334296446</v>
      </c>
      <c r="AN273" s="194">
        <f t="shared" si="6544"/>
        <v>1676.2313267268157</v>
      </c>
      <c r="AO273" s="194">
        <f t="shared" si="6544"/>
        <v>1658.8125871957834</v>
      </c>
      <c r="AP273" s="194">
        <f t="shared" si="6544"/>
        <v>1714.6875</v>
      </c>
      <c r="AQ273" s="194">
        <f t="shared" si="6544"/>
        <v>1800.0617093489664</v>
      </c>
      <c r="AR273" s="194">
        <f t="shared" si="6544"/>
        <v>1835.8520900321544</v>
      </c>
      <c r="AS273" s="194">
        <f t="shared" si="6544"/>
        <v>1726.9178547182619</v>
      </c>
      <c r="AT273" s="194">
        <f t="shared" si="6544"/>
        <v>1818.0073564688951</v>
      </c>
      <c r="AU273" s="194">
        <f t="shared" si="6544"/>
        <v>2087.3271148279191</v>
      </c>
      <c r="AV273" s="194">
        <f t="shared" si="6544"/>
        <v>2148.6486486486488</v>
      </c>
      <c r="AW273" s="194">
        <f t="shared" si="6544"/>
        <v>2102.4374701290426</v>
      </c>
      <c r="AX273" s="194">
        <f t="shared" si="6544"/>
        <v>2020.9291263675282</v>
      </c>
      <c r="AY273" s="194">
        <f t="shared" si="6544"/>
        <v>2030.8122959376487</v>
      </c>
      <c r="AZ273" s="194">
        <f t="shared" ref="AZ273:BA273" si="6545">IFERROR(AZ31/AZ90*1000,"")</f>
        <v>2078.9205964454586</v>
      </c>
      <c r="BA273" s="194">
        <f t="shared" si="6545"/>
        <v>2123.0963785329432</v>
      </c>
      <c r="BB273" s="194"/>
      <c r="BC273" s="194"/>
      <c r="BD273" s="194"/>
      <c r="BE273" s="194"/>
      <c r="BF273" s="194"/>
      <c r="BG273" s="194"/>
      <c r="BH273" s="194"/>
      <c r="BI273" s="194"/>
      <c r="BJ273" s="194"/>
      <c r="BK273" s="194"/>
      <c r="BL273" s="194"/>
      <c r="BM273" s="194"/>
      <c r="BO273" s="37" t="str">
        <f t="shared" si="6310"/>
        <v>Revenue per carload ($)</v>
      </c>
      <c r="BP273" s="193">
        <f>IFERROR(BP31/BP90*1000,"")</f>
        <v>845.78478409869774</v>
      </c>
      <c r="BQ273" s="193">
        <f>IFERROR(BQ31/BQ90*1000,"")</f>
        <v>833.10810810810813</v>
      </c>
      <c r="BR273" s="193">
        <f>IFERROR(BR31/BR90*1000,"")</f>
        <v>826.08695652173913</v>
      </c>
      <c r="BS273" s="193">
        <f>IFERROR(BS31/BS90*1000,"")</f>
        <v>872.86931818181824</v>
      </c>
      <c r="BT273" s="193">
        <f>IFERROR(BT31/BT90*1000,"")</f>
        <v>844.34782608695662</v>
      </c>
      <c r="BV273" s="37" t="str">
        <f t="shared" si="6311"/>
        <v>Revenue per carload ($)</v>
      </c>
      <c r="BW273" s="193">
        <f>IFERROR(BW31/BW90*1000,"")</f>
        <v>868.8410825815406</v>
      </c>
      <c r="BX273" s="193">
        <f>IFERROR(BX31/BX90*1000,"")</f>
        <v>864.97601096641529</v>
      </c>
      <c r="BY273" s="193">
        <f>IFERROR(BY31/BY90*1000,"")</f>
        <v>873.92550143266476</v>
      </c>
      <c r="BZ273" s="193">
        <f>IFERROR(BZ31/BZ90*1000,"")</f>
        <v>907.97101449275362</v>
      </c>
      <c r="CA273" s="193">
        <f>IFERROR(CA31/CA90*1000,"")</f>
        <v>878.61169837914019</v>
      </c>
      <c r="CC273" s="37" t="str">
        <f t="shared" si="6312"/>
        <v>Revenue per carload ($)</v>
      </c>
      <c r="CD273" s="193">
        <f>IFERROR(CD31/CD90*1000,"")</f>
        <v>923.31525948876833</v>
      </c>
      <c r="CE273" s="193">
        <f>IFERROR(CE31/CE90*1000,"")</f>
        <v>925.98303777949104</v>
      </c>
      <c r="CF273" s="193">
        <f>IFERROR(CF31/CF90*1000,"")</f>
        <v>924.27616926503345</v>
      </c>
      <c r="CG273" s="193">
        <f>IFERROR(CG31/CG90*1000,"")</f>
        <v>934.60690668626012</v>
      </c>
      <c r="CH273" s="193">
        <f>IFERROR(CH31/CH90*1000,"")</f>
        <v>927.1148036253777</v>
      </c>
      <c r="CJ273" s="37" t="str">
        <f t="shared" si="6313"/>
        <v>Revenue per carload ($)</v>
      </c>
      <c r="CK273" s="193">
        <f>IFERROR(CK31/CK90*1000,"")</f>
        <v>955.35647067680497</v>
      </c>
      <c r="CL273" s="193">
        <f>IFERROR(CL31/CL90*1000,"")</f>
        <v>941.5912127059521</v>
      </c>
      <c r="CM273" s="193">
        <f>IFERROR(CM31/CM90*1000,"")</f>
        <v>936.1111111111112</v>
      </c>
      <c r="CN273" s="193">
        <f>IFERROR(CN31/CN90*1000,"")</f>
        <v>936.72727272727275</v>
      </c>
      <c r="CO273" s="193">
        <f>IFERROR(CO31/CO90*1000,"")</f>
        <v>942.38950712467727</v>
      </c>
      <c r="CQ273" s="37" t="str">
        <f t="shared" si="6314"/>
        <v>Revenue per carload ($)</v>
      </c>
      <c r="CR273" s="193">
        <f>IFERROR(CR31/CR90*1000,"")</f>
        <v>953.25670498084287</v>
      </c>
      <c r="CS273" s="193">
        <f>IFERROR(CS31/CS90*1000,"")</f>
        <v>948.88888888888891</v>
      </c>
      <c r="CT273" s="193">
        <f>IFERROR(CT31/CT90*1000,"")</f>
        <v>932.27990970654628</v>
      </c>
      <c r="CU273" s="193">
        <f>IFERROR(CU31/CU90*1000,"")</f>
        <v>956.61764705882354</v>
      </c>
      <c r="CV273" s="193">
        <f>IFERROR(CV31/CV90*1000,"")</f>
        <v>947.79191616766468</v>
      </c>
      <c r="CX273" s="37" t="str">
        <f t="shared" si="6315"/>
        <v>Revenue per carload ($)</v>
      </c>
      <c r="CY273" s="193">
        <f>IFERROR(CY31/CY90*1000,"")</f>
        <v>949.85465116279067</v>
      </c>
      <c r="CZ273" s="193">
        <f>IFERROR(CZ31/CZ90*1000,"")</f>
        <v>938.44049247606017</v>
      </c>
      <c r="DA273" s="193">
        <f>IFERROR(DA31/DA90*1000,"")</f>
        <v>936.0667129951355</v>
      </c>
      <c r="DB273" s="193">
        <f>IFERROR(DB31/DB90*1000,"")</f>
        <v>934.72409152086129</v>
      </c>
      <c r="DC273" s="193">
        <f>IFERROR(DC31/DC90*1000,"")</f>
        <v>939.61478396668394</v>
      </c>
      <c r="DE273" s="37" t="str">
        <f t="shared" si="6316"/>
        <v>Revenue per carload ($)</v>
      </c>
      <c r="DF273" s="193">
        <f>IFERROR(DF31/DF90*1000,"")</f>
        <v>969.6312364425163</v>
      </c>
      <c r="DG273" s="193">
        <f>IFERROR(DG31/DG90*1000,"")</f>
        <v>965.04992867332385</v>
      </c>
      <c r="DH273" s="193">
        <f>IFERROR(DH31/DH90*1000,"")</f>
        <v>963.71552975326563</v>
      </c>
      <c r="DI273" s="193">
        <f>IFERROR(DI31/DI90*1000,"")</f>
        <v>981.32183908045977</v>
      </c>
      <c r="DJ273" s="193">
        <f>IFERROR(DJ31/DJ90*1000,"")</f>
        <v>969.93699369936996</v>
      </c>
      <c r="DL273" s="37" t="str">
        <f t="shared" si="6317"/>
        <v>Revenue per carload ($)</v>
      </c>
      <c r="DM273" s="193">
        <f>IFERROR(DM31/DM90*1000,"")</f>
        <v>985.07462686567158</v>
      </c>
      <c r="DN273" s="193">
        <f>IFERROR(DN31/DN90*1000,"")</f>
        <v>981.56028368794318</v>
      </c>
      <c r="DO273" s="193">
        <f>IFERROR(DO31/DO90*1000,"")</f>
        <v>966.04046242774564</v>
      </c>
      <c r="DP273" s="193">
        <f>IFERROR(DP31/DP90*1000,"")</f>
        <v>980.16997167138811</v>
      </c>
      <c r="DQ273" s="193">
        <f>IFERROR(DQ31/DQ90*1000,"")</f>
        <v>978.18247385503071</v>
      </c>
      <c r="DS273" s="37" t="str">
        <f t="shared" si="6318"/>
        <v>Revenue per carload ($)</v>
      </c>
      <c r="DT273" s="193">
        <f>IFERROR(DT31/DT90*1000,"")</f>
        <v>976.54584221748394</v>
      </c>
      <c r="DU273" s="193">
        <f>IFERROR(DU31/DU90*1000,"")</f>
        <v>965.20528879610299</v>
      </c>
      <c r="DV273" s="193">
        <f>IFERROR(DV31/DV90*1000,"")</f>
        <v>958.36273817925201</v>
      </c>
      <c r="DW273" s="193">
        <f>IFERROR(DW31/DW90*1000,"")</f>
        <v>964.40793976728264</v>
      </c>
      <c r="DX273" s="193">
        <f>IFERROR(DX31/DX90*1000,"")</f>
        <v>966.09577070954208</v>
      </c>
      <c r="DZ273" s="37" t="str">
        <f t="shared" si="6319"/>
        <v>Revenue per carload ($)</v>
      </c>
      <c r="EA273" s="193">
        <f>IFERROR(EA31/EA90*1000,"")</f>
        <v>950.21337126600281</v>
      </c>
      <c r="EB273" s="193">
        <f>IFERROR(EB31/EB90*1000,"")</f>
        <v>947.55003450655624</v>
      </c>
      <c r="EC273" s="193">
        <f>IFERROR(EC31/EC90*1000,"")</f>
        <v>956.27644569816641</v>
      </c>
      <c r="ED273" s="193">
        <f>IFERROR(ED31/ED90*1000,"")</f>
        <v>958.98838004101162</v>
      </c>
      <c r="EE273" s="193">
        <f>IFERROR(EE31/EE90*1000,"")</f>
        <v>952.55538112680972</v>
      </c>
      <c r="EG273" s="37" t="str">
        <f t="shared" si="6320"/>
        <v>Revenue per carload ($)</v>
      </c>
      <c r="EH273" s="193">
        <f>IFERROR(EH31/EH90*1000,"")</f>
        <v>959.03290799194087</v>
      </c>
      <c r="EI273" s="193">
        <f>IFERROR(EI31/EI90*1000,"")</f>
        <v>975.76530612244892</v>
      </c>
      <c r="EJ273" s="193">
        <f>IFERROR(EJ31/EJ90*1000,"")</f>
        <v>956.94822888283386</v>
      </c>
      <c r="EK273" s="193">
        <f>IFERROR(EK31/EK90*1000,"")</f>
        <v>968.00433839479399</v>
      </c>
      <c r="EL273" s="193">
        <f>IFERROR(EL31/EL90*1000,"")</f>
        <v>963.27137546468396</v>
      </c>
      <c r="EN273" s="37" t="str">
        <f t="shared" si="6321"/>
        <v>Revenue per carload ($)</v>
      </c>
      <c r="EO273" s="193">
        <f>IFERROR(EO31/EO90*1000,"")</f>
        <v>971.30481862479701</v>
      </c>
      <c r="EP273" s="193">
        <f>IFERROR(EP31/EP90*1000,"")</f>
        <v>981.17267348036569</v>
      </c>
      <c r="EQ273" s="193">
        <f>IFERROR(EQ31/EQ90*1000,"")</f>
        <v>971.99341021416808</v>
      </c>
      <c r="ER273" s="193">
        <f>IFERROR(ER31/ER90*1000,"")</f>
        <v>996.64991624790628</v>
      </c>
      <c r="ES273" s="193">
        <f>IFERROR(ES31/ES90*1000,"")</f>
        <v>980.18584312653729</v>
      </c>
      <c r="EU273" s="37" t="str">
        <f t="shared" si="6322"/>
        <v>Revenue per carload ($)</v>
      </c>
      <c r="EV273" s="193">
        <f>IFERROR(EV31/EV90*1000,"")</f>
        <v>1006.2041737168641</v>
      </c>
      <c r="EW273" s="193">
        <f>IFERROR(EW31/EW90*1000,"")</f>
        <v>1002.2259321090708</v>
      </c>
      <c r="EX273" s="193">
        <f>IFERROR(EX31/EX90*1000,"")</f>
        <v>990.41713641488161</v>
      </c>
      <c r="EY273" s="193">
        <f>IFERROR(EY31/EY90*1000,"")</f>
        <v>993.79932356257052</v>
      </c>
      <c r="EZ273" s="193">
        <f>IFERROR(EZ31/EZ90*1000,"")</f>
        <v>998.1736442821018</v>
      </c>
      <c r="FB273" s="37" t="str">
        <f t="shared" si="6323"/>
        <v>Revenue per carload ($)</v>
      </c>
      <c r="FC273" s="193">
        <f>IFERROR(FC31/FC90*1000,"")</f>
        <v>1017.0789163722025</v>
      </c>
      <c r="FD273" s="193">
        <f>IFERROR(FD31/FD90*1000,"")</f>
        <v>1004.4198895027625</v>
      </c>
      <c r="FE273" s="193">
        <f>IFERROR(FE31/FE90*1000,"")</f>
        <v>982.33995584988963</v>
      </c>
      <c r="FF273" s="193">
        <f>IFERROR(FF31/FF90*1000,"")</f>
        <v>1018.6335403726707</v>
      </c>
      <c r="FG273" s="193">
        <f>IFERROR(FG31/FG90*1000,"")</f>
        <v>1005.3589056550558</v>
      </c>
      <c r="FI273" s="37" t="str">
        <f t="shared" si="6324"/>
        <v>Revenue per carload ($)</v>
      </c>
      <c r="FJ273" s="193">
        <f>IFERROR(FJ31/FJ90*1000,"")</f>
        <v>1038.3295194508009</v>
      </c>
      <c r="FK273" s="193">
        <f>IFERROR(FK31/FK90*1000,"")</f>
        <v>1018.408229561451</v>
      </c>
      <c r="FL273" s="193">
        <f>IFERROR(FL31/FL90*1000,"")</f>
        <v>1000</v>
      </c>
      <c r="FM273" s="193">
        <f>IFERROR(FM31/FM90*1000,"")</f>
        <v>1010.7123727905731</v>
      </c>
      <c r="FN273" s="193">
        <f>IFERROR(FN31/FN90*1000,"")</f>
        <v>1016.6140326788411</v>
      </c>
      <c r="FP273" s="37" t="str">
        <f t="shared" si="6325"/>
        <v>Revenue per carload ($)</v>
      </c>
      <c r="FQ273" s="193">
        <f>IFERROR(FQ31/FQ90*1000,"")</f>
        <v>1040.0219298245615</v>
      </c>
      <c r="FR273" s="193">
        <f>IFERROR(FR31/FR90*1000,"")</f>
        <v>1036.7261280167891</v>
      </c>
      <c r="FS273" s="193">
        <f>IFERROR(FS31/FS90*1000,"")</f>
        <v>1054.4854155200881</v>
      </c>
      <c r="FT273" s="193">
        <f>IFERROR(FT31/FT90*1000,"")</f>
        <v>1085.2244074634391</v>
      </c>
      <c r="FU273" s="193">
        <f>IFERROR(FU31/FU90*1000,"")</f>
        <v>1054.5816733067729</v>
      </c>
      <c r="FW273" s="37" t="str">
        <f t="shared" si="6326"/>
        <v>Revenue per carload ($)</v>
      </c>
      <c r="FX273" s="193">
        <f>IFERROR(FX31/FX90*1000,"")</f>
        <v>1128.524945770065</v>
      </c>
      <c r="FY273" s="193">
        <f>IFERROR(FY31/FY90*1000,"")</f>
        <v>1137.5066880684858</v>
      </c>
      <c r="FZ273" s="193">
        <f>IFERROR(FZ31/FZ90*1000,"")</f>
        <v>1153.3809785596482</v>
      </c>
      <c r="GA273" s="193">
        <f>IFERROR(GA31/GA90*1000,"")</f>
        <v>1205.7205720572058</v>
      </c>
      <c r="GB273" s="193">
        <f>IFERROR(GB31/GB90*1000,"")</f>
        <v>1156.0544217687075</v>
      </c>
      <c r="GD273" s="37" t="str">
        <f t="shared" si="6327"/>
        <v>Revenue per carload ($)</v>
      </c>
      <c r="GE273" s="193">
        <f>IFERROR(GE31/GE90*1000,"")</f>
        <v>1255.750273822563</v>
      </c>
      <c r="GF273" s="193">
        <f>IFERROR(GF31/GF90*1000,"")</f>
        <v>1272.192513368984</v>
      </c>
      <c r="GG273" s="193">
        <f>IFERROR(GG31/GG90*1000,"")</f>
        <v>1279.1576673866089</v>
      </c>
      <c r="GH273" s="193">
        <f>IFERROR(GH31/GH90*1000,"")</f>
        <v>1295.0276243093924</v>
      </c>
      <c r="GI273" s="193">
        <f>IFERROR(GI31/GI90*1000,"")</f>
        <v>1275.4824680619733</v>
      </c>
      <c r="GK273" s="37" t="str">
        <f t="shared" si="6328"/>
        <v>Revenue per carload ($)</v>
      </c>
      <c r="GL273" s="193">
        <f>IFERROR(GL31/GL90*1000,"")</f>
        <v>1346.4387464387464</v>
      </c>
      <c r="GM273" s="193">
        <f>IFERROR(GM31/GM90*1000,"")</f>
        <v>1353.0377668308702</v>
      </c>
      <c r="GN273" s="193">
        <f>IFERROR(GN31/GN90*1000,"")</f>
        <v>1377.3265651438239</v>
      </c>
      <c r="GO273" s="193">
        <f>IFERROR(GO31/GO90*1000,"")</f>
        <v>1425.894378194208</v>
      </c>
      <c r="GP273" s="193">
        <f>IFERROR(GP31/GP90*1000,"")</f>
        <v>1375.4918493535695</v>
      </c>
      <c r="GR273" s="37" t="str">
        <f t="shared" si="6329"/>
        <v>Revenue per carload ($)</v>
      </c>
      <c r="GS273" s="193">
        <f>IFERROR(GS31/GS90*1000,"")</f>
        <v>1545.7192778101339</v>
      </c>
      <c r="GT273" s="193">
        <f>IFERROR(GT31/GT90*1000,"")</f>
        <v>1602.4774774774776</v>
      </c>
      <c r="GU273" s="193">
        <f>IFERROR(GU31/GU90*1000,"")</f>
        <v>1674.9422632794458</v>
      </c>
      <c r="GV273" s="193">
        <f>IFERROR(GV31/GV90*1000,"")</f>
        <v>1621.3349968808484</v>
      </c>
      <c r="GW273" s="193">
        <f>IFERROR(GW31/GW90*1000,"")</f>
        <v>1611.0134739308728</v>
      </c>
      <c r="GY273" s="37" t="str">
        <f t="shared" si="6330"/>
        <v>Revenue per carload ($)</v>
      </c>
      <c r="GZ273" s="193">
        <f>IFERROR(GZ31/GZ90*1000,"")</f>
        <v>1539.1120507399578</v>
      </c>
      <c r="HA273" s="193">
        <f>IFERROR(HA31/HA90*1000,"")</f>
        <v>1507.4415308291991</v>
      </c>
      <c r="HB273" s="193">
        <f>IFERROR(HB31/HB90*1000,"")</f>
        <v>1519.4539249146758</v>
      </c>
      <c r="HC273" s="193">
        <f>IFERROR(HC31/HC90*1000,"")</f>
        <v>1514.6862483311081</v>
      </c>
      <c r="HD273" s="193">
        <f>IFERROR(HD31/HD90*1000,"")</f>
        <v>1520.1104781633005</v>
      </c>
      <c r="HF273" s="37" t="str">
        <f t="shared" si="6331"/>
        <v>Revenue per carload ($)</v>
      </c>
      <c r="HG273" s="193">
        <f>IFERROR(HG31/HG90*1000,"")</f>
        <v>1633.2436069986541</v>
      </c>
      <c r="HH273" s="193">
        <f>IFERROR(HH31/HH90*1000,"")</f>
        <v>1623.9048811013768</v>
      </c>
      <c r="HI273" s="193">
        <f>IFERROR(HI31/HI90*1000,"")</f>
        <v>1604.1019266625233</v>
      </c>
      <c r="HJ273" s="193">
        <f>IFERROR(HJ31/HJ90*1000,"")</f>
        <v>1623.2998225901833</v>
      </c>
      <c r="HK273" s="193">
        <f>IFERROR(HK31/HK90*1000,"")</f>
        <v>1620.9273182957393</v>
      </c>
      <c r="HM273" s="37" t="str">
        <f t="shared" si="6332"/>
        <v>Revenue per carload ($)</v>
      </c>
      <c r="HN273" s="193">
        <f>IFERROR(HN31/HN90*1000,"")</f>
        <v>1716.0804020100502</v>
      </c>
      <c r="HO273" s="193">
        <f>IFERROR(HO31/HO90*1000,"")</f>
        <v>1785.5407047387605</v>
      </c>
      <c r="HP273" s="193">
        <f>IFERROR(HP31/HP90*1000,"")</f>
        <v>1781.964175416924</v>
      </c>
      <c r="HQ273" s="193">
        <f>IFERROR(HQ31/HQ90*1000,"")</f>
        <v>1784.4348363187153</v>
      </c>
      <c r="HR273" s="193">
        <f>IFERROR(HR31/HR90*1000,"")</f>
        <v>1767.2946263125386</v>
      </c>
      <c r="HT273" s="37" t="str">
        <f t="shared" si="6333"/>
        <v>Revenue per carload ($)</v>
      </c>
      <c r="HU273" s="193">
        <f>IFERROR(HU31/HU90*1000,"")</f>
        <v>1807.7403245942571</v>
      </c>
      <c r="HV273" s="193">
        <f>IFERROR(HV31/HV90*1000,"")</f>
        <v>1792.0731707317073</v>
      </c>
      <c r="HW273" s="193">
        <f>IFERROR(HW31/HW90*1000,"")</f>
        <v>1749.375</v>
      </c>
      <c r="HX273" s="193">
        <f>IFERROR(HX31/HX90*1000,"")</f>
        <v>1790.6828334396937</v>
      </c>
      <c r="HY273" s="193">
        <f>IFERROR(HY31/HY90*1000,"")</f>
        <v>1784.9898580121703</v>
      </c>
      <c r="IA273" s="37" t="str">
        <f t="shared" si="6334"/>
        <v>Revenue per carload ($)</v>
      </c>
      <c r="IB273" s="193">
        <f>IFERROR(IB31/IB90*1000,"")</f>
        <v>1804.1825095057034</v>
      </c>
      <c r="IC273" s="193">
        <f>IFERROR(IC31/IC90*1000,"")</f>
        <v>1797.7053140096618</v>
      </c>
      <c r="ID273" s="193">
        <f>IFERROR(ID31/ID90*1000,"")</f>
        <v>1746.8046256847231</v>
      </c>
      <c r="IE273" s="193">
        <f>IFERROR(IE31/IE90*1000,"")</f>
        <v>1765.9446450060168</v>
      </c>
      <c r="IF273" s="193">
        <f>IFERROR(IF31/IF90*1000,"")</f>
        <v>1778.4064841718916</v>
      </c>
      <c r="IH273" s="37" t="str">
        <f t="shared" si="6335"/>
        <v>Revenue per carload ($)</v>
      </c>
      <c r="II273" s="193">
        <f>IFERROR(II31/II90*1000,"")</f>
        <v>1771.6049382716051</v>
      </c>
      <c r="IJ273" s="193">
        <f>IFERROR(IJ31/IJ90*1000,"")</f>
        <v>1776.5300393037619</v>
      </c>
      <c r="IK273" s="193">
        <f>IFERROR(IK31/IK90*1000,"")</f>
        <v>1765.0739476678043</v>
      </c>
      <c r="IL273" s="193">
        <f>IFERROR(IL31/IL90*1000,"")</f>
        <v>1764.0385706182644</v>
      </c>
      <c r="IM273" s="193">
        <f>IFERROR(IM31/IM90*1000,"")</f>
        <v>1769.2863334296446</v>
      </c>
      <c r="IO273" s="37" t="str">
        <f t="shared" si="6336"/>
        <v>Revenue per carload ($)</v>
      </c>
      <c r="IP273" s="193">
        <f>IFERROR(IP31/IP90*1000,"")</f>
        <v>1750.4587155963302</v>
      </c>
      <c r="IQ273" s="193">
        <f>IFERROR(IQ31/IQ90*1000,"")</f>
        <v>1670.2671972711769</v>
      </c>
      <c r="IR273" s="193">
        <f>IFERROR(IR31/IR90*1000,"")</f>
        <v>1666.4719626168226</v>
      </c>
      <c r="IS273" s="193">
        <f>IFERROR(IS31/IS90*1000,"")</f>
        <v>1619.3353474320243</v>
      </c>
      <c r="IT273" s="193">
        <f>IFERROR(IT31/IT90*1000,"")</f>
        <v>1676.2313267268157</v>
      </c>
      <c r="IV273" s="37" t="str">
        <f t="shared" si="6337"/>
        <v>Revenue per carload ($)</v>
      </c>
      <c r="IW273" s="193">
        <f>IFERROR(IW31/IW90*1000,"")</f>
        <v>1636.3636363636365</v>
      </c>
      <c r="IX273" s="193">
        <f>IFERROR(IX31/IX90*1000,"")</f>
        <v>1634.4827586206895</v>
      </c>
      <c r="IY273" s="193">
        <f>IFERROR(IY31/IY90*1000,"")</f>
        <v>1672.8081321473951</v>
      </c>
      <c r="IZ273" s="193">
        <f>IFERROR(IZ31/IZ90*1000,"")</f>
        <v>1688.6192952050837</v>
      </c>
      <c r="JA273" s="193">
        <f>IFERROR(JA31/JA90*1000,"")</f>
        <v>1658.8125871957834</v>
      </c>
      <c r="JC273" s="37" t="str">
        <f t="shared" si="6338"/>
        <v>Revenue per carload ($)</v>
      </c>
      <c r="JD273" s="193">
        <f>IFERROR(JD31/JD90*1000,"")</f>
        <v>1755.6532663316582</v>
      </c>
      <c r="JE273" s="193">
        <f>IFERROR(JE31/JE90*1000,"")</f>
        <v>1713.5802469135804</v>
      </c>
      <c r="JF273" s="193">
        <f>IFERROR(JF31/JF90*1000,"")</f>
        <v>1668.5570258349087</v>
      </c>
      <c r="JG273" s="193">
        <f>IFERROR(JG31/JG90*1000,"")</f>
        <v>1720.7995003123049</v>
      </c>
      <c r="JH273" s="193">
        <f>IFERROR(JH31/JH90*1000,"")</f>
        <v>1714.6875</v>
      </c>
      <c r="JJ273" s="37" t="str">
        <f t="shared" si="6339"/>
        <v>Revenue per carload ($)</v>
      </c>
      <c r="JK273" s="193">
        <f>IFERROR(JK31/JK90*1000,"")</f>
        <v>1782.6370757180157</v>
      </c>
      <c r="JL273" s="193">
        <f>IFERROR(JL31/JL90*1000,"")</f>
        <v>1801.944106925881</v>
      </c>
      <c r="JM273" s="193">
        <f>IFERROR(JM31/JM90*1000,"")</f>
        <v>1798.3091787439614</v>
      </c>
      <c r="JN273" s="193">
        <f>IFERROR(JN31/JN90*1000,"")</f>
        <v>1816.1407766990292</v>
      </c>
      <c r="JO273" s="193">
        <f>IFERROR(JO31/JO90*1000,"")</f>
        <v>1800.0617093489664</v>
      </c>
      <c r="JQ273" s="37" t="str">
        <f t="shared" si="6340"/>
        <v>Revenue per carload ($)</v>
      </c>
      <c r="JR273" s="193">
        <f>IFERROR(JR31/JR90*1000,"")</f>
        <v>1858.2625734813846</v>
      </c>
      <c r="JS273" s="193">
        <f>IFERROR(JS31/JS90*1000,"")</f>
        <v>1857.6850094876661</v>
      </c>
      <c r="JT273" s="193">
        <f>IFERROR(JT31/JT90*1000,"")</f>
        <v>1828.55321861058</v>
      </c>
      <c r="JU273" s="193">
        <f>IFERROR(JU31/JU90*1000,"")</f>
        <v>1798.5705003248861</v>
      </c>
      <c r="JV273" s="193">
        <f>IFERROR(JV31/JV90*1000,"")</f>
        <v>1835.8520900321544</v>
      </c>
      <c r="JX273" s="37" t="str">
        <f t="shared" si="6341"/>
        <v>Revenue per carload ($)</v>
      </c>
      <c r="JY273" s="193">
        <f>IFERROR(JY31/JY90*1000,"")</f>
        <v>1819.0224570673713</v>
      </c>
      <c r="JZ273" s="193">
        <f>IFERROR(JZ31/JZ90*1000,"")</f>
        <v>1713.6038186157518</v>
      </c>
      <c r="KA273" s="193">
        <f>IFERROR(KA31/KA90*1000,"")</f>
        <v>1676.7411300919844</v>
      </c>
      <c r="KB273" s="193">
        <f>IFERROR(KB31/KB90*1000,"")</f>
        <v>1697.936210131332</v>
      </c>
      <c r="KC273" s="193">
        <f>IFERROR(KC31/KC90*1000,"")</f>
        <v>1726.9178547182619</v>
      </c>
      <c r="KE273" s="37" t="str">
        <f t="shared" si="6342"/>
        <v>Revenue per carload ($)</v>
      </c>
      <c r="KF273" s="193">
        <f>IFERROR(KF31/KF90*1000,"")</f>
        <v>1746.2393721386527</v>
      </c>
      <c r="KG273" s="193">
        <f>IFERROR(KG31/KG90*1000,"")</f>
        <v>1783.1552482715274</v>
      </c>
      <c r="KH273" s="193">
        <f>IFERROR(KH31/KH90*1000,"")</f>
        <v>1823.4165067178503</v>
      </c>
      <c r="KI273" s="193">
        <f>IFERROR(KI31/KI90*1000,"")</f>
        <v>1917.8343949044586</v>
      </c>
      <c r="KJ273" s="193">
        <f>IFERROR(KJ31/KJ90*1000,"")</f>
        <v>1818.0073564688951</v>
      </c>
      <c r="KL273" s="37" t="str">
        <f t="shared" si="6343"/>
        <v>Revenue per carload ($)</v>
      </c>
      <c r="KM273" s="193">
        <f>IFERROR(KM31/KM90*1000,"")</f>
        <v>1989.9866488651537</v>
      </c>
      <c r="KN273" s="193">
        <f>IFERROR(KN31/KN90*1000,"")</f>
        <v>2104.1405269761608</v>
      </c>
      <c r="KO273" s="193">
        <f>IFERROR(KO31/KO90*1000,"")</f>
        <v>2124.133585381222</v>
      </c>
      <c r="KP273" s="193">
        <f>IFERROR(KP31/KP90*1000,"")</f>
        <v>2126.7056530214427</v>
      </c>
      <c r="KQ273" s="193">
        <f>IFERROR(KQ31/KQ90*1000,"")</f>
        <v>2087.3271148279191</v>
      </c>
      <c r="KS273" s="37" t="str">
        <f t="shared" si="6344"/>
        <v>Revenue per carload ($)</v>
      </c>
      <c r="KT273" s="193">
        <f>IFERROR(KT31/KT90*1000,"")</f>
        <v>2217.3620457604306</v>
      </c>
      <c r="KU273" s="193">
        <f>IFERROR(KU31/KU90*1000,"")</f>
        <v>2150.711513583441</v>
      </c>
      <c r="KV273" s="193">
        <f>IFERROR(KV31/KV90*1000,"")</f>
        <v>2079.3548387096776</v>
      </c>
      <c r="KW273" s="193">
        <f>IFERROR(KW31/KW90*1000,"")</f>
        <v>2150</v>
      </c>
      <c r="KX273" s="193">
        <f>IFERROR(KX31/KX90*1000,"")</f>
        <v>2148.6486486486488</v>
      </c>
      <c r="KZ273" s="37" t="str">
        <f t="shared" si="6345"/>
        <v>Revenue per carload ($)</v>
      </c>
      <c r="LA273" s="193">
        <f>IFERROR(LA31/LA90*1000,"")</f>
        <v>2166.232073011734</v>
      </c>
      <c r="LB273" s="193">
        <f>IFERROR(LB31/LB90*1000,"")</f>
        <v>2132.4461343472749</v>
      </c>
      <c r="LC273" s="193">
        <f>IFERROR(LC31/LC90*1000,"")</f>
        <v>2071.0691823899369</v>
      </c>
      <c r="LD273" s="193">
        <f>IFERROR(LD31/LD90*1000,"")</f>
        <v>2041.9047619047622</v>
      </c>
      <c r="LE273" s="193">
        <f>IFERROR(LE31/LE90*1000,"")</f>
        <v>2102.4374701290426</v>
      </c>
      <c r="LF273" s="563"/>
      <c r="LG273" s="37" t="str">
        <f t="shared" si="6346"/>
        <v>Revenue per carload ($)</v>
      </c>
      <c r="LH273" s="193">
        <f>IFERROR(LH31/LH90*1000,"")</f>
        <v>2046.113306982872</v>
      </c>
      <c r="LI273" s="193">
        <f>IFERROR(LI31/LI90*1000,"")</f>
        <v>2041.1392405063293</v>
      </c>
      <c r="LJ273" s="193">
        <f>IFERROR(LJ31/LJ90*1000,"")</f>
        <v>2000.6203473945407</v>
      </c>
      <c r="LK273" s="193">
        <f>IFERROR(LK31/LK90*1000,"")</f>
        <v>1997.4953036944269</v>
      </c>
      <c r="LL273" s="193">
        <f>IFERROR(LL31/LL90*1000,"")</f>
        <v>2020.9291263675282</v>
      </c>
      <c r="LM273" s="563"/>
      <c r="LN273" s="37" t="str">
        <f t="shared" si="6347"/>
        <v>Revenue per carload ($)</v>
      </c>
      <c r="LO273" s="193">
        <f>IFERROR(LO31/LO90*1000,"")</f>
        <v>2031.6188083854834</v>
      </c>
      <c r="LP273" s="193">
        <f>IFERROR(LP31/LP90*1000,"")</f>
        <v>2039.9041781741078</v>
      </c>
      <c r="LQ273" s="193">
        <f>IFERROR(LQ31/LQ90*1000,"")</f>
        <v>2017.5666227412487</v>
      </c>
      <c r="LR273" s="193">
        <f>IFERROR(LR31/LR90*1000,"")</f>
        <v>2034.4450666215885</v>
      </c>
      <c r="LS273" s="193">
        <f>IFERROR(LS31/LS90*1000,"")</f>
        <v>2030.8122959376487</v>
      </c>
      <c r="LT273" s="563"/>
      <c r="LU273" s="37" t="str">
        <f t="shared" si="6348"/>
        <v>Revenue per carload ($)</v>
      </c>
      <c r="LV273" s="193">
        <f>IFERROR(LV31/LV90*1000,"")</f>
        <v>2081.644831407214</v>
      </c>
      <c r="LW273" s="193">
        <f>IFERROR(LW31/LW90*1000,"")</f>
        <v>2087.409767644705</v>
      </c>
      <c r="LX273" s="193">
        <f>IFERROR(LX31/LX90*1000,"")</f>
        <v>2064.6524619357037</v>
      </c>
      <c r="LY273" s="193">
        <f>IFERROR(LY31/LY90*1000,"")</f>
        <v>2082.3584590853634</v>
      </c>
      <c r="LZ273" s="193">
        <f>IFERROR(LZ31/LZ90*1000,"")</f>
        <v>2078.9205964454586</v>
      </c>
      <c r="MA273" s="563"/>
      <c r="MB273" s="37" t="str">
        <f t="shared" si="6349"/>
        <v>Revenue per carload ($)</v>
      </c>
      <c r="MC273" s="193">
        <f>IFERROR(MC31/MC90*1000,"")</f>
        <v>2126.4456094991115</v>
      </c>
      <c r="MD273" s="193">
        <f>IFERROR(MD31/MD90*1000,"")</f>
        <v>2131.715569449947</v>
      </c>
      <c r="ME273" s="193">
        <f>IFERROR(ME31/ME90*1000,"")</f>
        <v>2108.9410657958447</v>
      </c>
      <c r="MF273" s="193">
        <f>IFERROR(MF31/MF90*1000,"")</f>
        <v>2125.7080808305336</v>
      </c>
      <c r="MG273" s="193">
        <f>IFERROR(MG31/MG90*1000,"")</f>
        <v>2123.0963785329432</v>
      </c>
      <c r="MH273" s="563"/>
    </row>
    <row r="274" spans="1:346" s="37" customFormat="1" ht="13.15" x14ac:dyDescent="0.4">
      <c r="A274" s="100"/>
      <c r="B274" s="197" t="s">
        <v>516</v>
      </c>
      <c r="C274" s="186"/>
      <c r="D274" s="186"/>
      <c r="E274" s="186"/>
      <c r="F274" s="186"/>
      <c r="G274" s="186"/>
      <c r="H274" s="186"/>
      <c r="I274" s="186"/>
      <c r="J274" s="186"/>
      <c r="K274" s="186"/>
      <c r="L274" s="186"/>
      <c r="M274" s="186"/>
      <c r="N274" s="193"/>
      <c r="O274" s="198">
        <f>O273/N273-1</f>
        <v>4.0580281293523202E-2</v>
      </c>
      <c r="P274" s="198">
        <f t="shared" ref="P274:BA274" si="6546">P273/O273-1</f>
        <v>5.520425614149671E-2</v>
      </c>
      <c r="Q274" s="198">
        <f t="shared" si="6546"/>
        <v>1.6475525403725211E-2</v>
      </c>
      <c r="R274" s="198">
        <f t="shared" si="6546"/>
        <v>5.7326710475276155E-3</v>
      </c>
      <c r="S274" s="198">
        <f t="shared" si="6546"/>
        <v>-8.6275606084977863E-3</v>
      </c>
      <c r="T274" s="198">
        <f t="shared" si="6546"/>
        <v>3.2270894679495843E-2</v>
      </c>
      <c r="U274" s="198">
        <f t="shared" si="6546"/>
        <v>8.501047190923483E-3</v>
      </c>
      <c r="V274" s="198">
        <f t="shared" si="6546"/>
        <v>-1.2356286754816592E-2</v>
      </c>
      <c r="W274" s="198">
        <f t="shared" si="6546"/>
        <v>-1.4015576916135086E-2</v>
      </c>
      <c r="X274" s="198">
        <f t="shared" si="6546"/>
        <v>1.1249733663986961E-2</v>
      </c>
      <c r="Y274" s="198">
        <f t="shared" si="6546"/>
        <v>1.7559400281871529E-2</v>
      </c>
      <c r="Z274" s="198">
        <f t="shared" si="6546"/>
        <v>1.8351419051501727E-2</v>
      </c>
      <c r="AA274" s="198">
        <f t="shared" si="6546"/>
        <v>7.1984082269791472E-3</v>
      </c>
      <c r="AB274" s="198">
        <f t="shared" si="6546"/>
        <v>1.1195133360311749E-2</v>
      </c>
      <c r="AC274" s="198">
        <f t="shared" si="6546"/>
        <v>3.7347153794331067E-2</v>
      </c>
      <c r="AD274" s="198">
        <f t="shared" si="6546"/>
        <v>9.6220853282756202E-2</v>
      </c>
      <c r="AE274" s="198">
        <f t="shared" si="6546"/>
        <v>0.10330659529898845</v>
      </c>
      <c r="AF274" s="198">
        <f t="shared" si="6546"/>
        <v>7.8409059940710124E-2</v>
      </c>
      <c r="AG274" s="198">
        <f t="shared" si="6546"/>
        <v>0.17122720479077347</v>
      </c>
      <c r="AH274" s="198">
        <f t="shared" si="6546"/>
        <v>-5.6425968645543945E-2</v>
      </c>
      <c r="AI274" s="198">
        <f t="shared" si="6546"/>
        <v>6.6322048022622981E-2</v>
      </c>
      <c r="AJ274" s="198">
        <f t="shared" si="6546"/>
        <v>9.0298501582841917E-2</v>
      </c>
      <c r="AK274" s="198">
        <f t="shared" si="6546"/>
        <v>1.0012609915842186E-2</v>
      </c>
      <c r="AL274" s="198">
        <f t="shared" si="6546"/>
        <v>-3.68818557188344E-3</v>
      </c>
      <c r="AM274" s="198">
        <f t="shared" si="6546"/>
        <v>-5.1282711930134006E-3</v>
      </c>
      <c r="AN274" s="198">
        <f t="shared" si="6546"/>
        <v>-5.2594656356412361E-2</v>
      </c>
      <c r="AO274" s="198">
        <f t="shared" si="6546"/>
        <v>-1.0391608397539054E-2</v>
      </c>
      <c r="AP274" s="198">
        <f t="shared" si="6546"/>
        <v>3.3683680263526972E-2</v>
      </c>
      <c r="AQ274" s="198">
        <f t="shared" si="6546"/>
        <v>4.9789952600089782E-2</v>
      </c>
      <c r="AR274" s="198">
        <f t="shared" si="6546"/>
        <v>1.9882863180358701E-2</v>
      </c>
      <c r="AS274" s="198">
        <f t="shared" si="6546"/>
        <v>-5.9337152434750129E-2</v>
      </c>
      <c r="AT274" s="198">
        <f t="shared" si="6546"/>
        <v>5.274686430611597E-2</v>
      </c>
      <c r="AU274" s="198">
        <f t="shared" si="6546"/>
        <v>0.14814008172228865</v>
      </c>
      <c r="AV274" s="198">
        <f t="shared" si="6546"/>
        <v>2.9378018129077477E-2</v>
      </c>
      <c r="AW274" s="198">
        <f t="shared" si="6546"/>
        <v>-2.1507089373904775E-2</v>
      </c>
      <c r="AX274" s="198">
        <f t="shared" si="6546"/>
        <v>-3.8768498430781673E-2</v>
      </c>
      <c r="AY274" s="198">
        <f t="shared" si="6546"/>
        <v>4.8904087932488682E-3</v>
      </c>
      <c r="AZ274" s="198">
        <f t="shared" si="6546"/>
        <v>2.3689191071003313E-2</v>
      </c>
      <c r="BA274" s="198">
        <f t="shared" si="6546"/>
        <v>2.1249384013519501E-2</v>
      </c>
      <c r="BB274" s="198"/>
      <c r="BC274" s="198"/>
      <c r="BD274" s="198"/>
      <c r="BE274" s="198"/>
      <c r="BF274" s="198"/>
      <c r="BG274" s="198"/>
      <c r="BH274" s="198"/>
      <c r="BI274" s="198"/>
      <c r="BJ274" s="198"/>
      <c r="BK274" s="198"/>
      <c r="BL274" s="198"/>
      <c r="BM274" s="198"/>
      <c r="BO274" s="197" t="str">
        <f t="shared" si="6310"/>
        <v>YoY Change (%)</v>
      </c>
      <c r="BP274" s="193"/>
      <c r="BQ274" s="193"/>
      <c r="BR274" s="193"/>
      <c r="BS274" s="193"/>
      <c r="BT274" s="193"/>
      <c r="BV274" s="197" t="str">
        <f t="shared" si="6311"/>
        <v>YoY Change (%)</v>
      </c>
      <c r="BW274" s="198">
        <f>BW273/BP273-1</f>
        <v>2.7260242695678949E-2</v>
      </c>
      <c r="BX274" s="198">
        <f t="shared" ref="BX274" si="6547">BX273/BQ273-1</f>
        <v>3.8251821760173943E-2</v>
      </c>
      <c r="BY274" s="198">
        <f t="shared" ref="BY274" si="6548">BY273/BR273-1</f>
        <v>5.7909817523752016E-2</v>
      </c>
      <c r="BZ274" s="198">
        <f t="shared" ref="BZ274" si="6549">BZ273/BS273-1</f>
        <v>4.0214148418061146E-2</v>
      </c>
      <c r="CA274" s="198">
        <f t="shared" ref="CA274" si="6550">CA273/BT273-1</f>
        <v>4.0580281293523202E-2</v>
      </c>
      <c r="CC274" s="197" t="str">
        <f t="shared" si="6312"/>
        <v>YoY Change (%)</v>
      </c>
      <c r="CD274" s="198">
        <f>CD273/BW273-1</f>
        <v>6.2697515114469082E-2</v>
      </c>
      <c r="CE274" s="198">
        <f t="shared" ref="CE274" si="6551">CE273/BX273-1</f>
        <v>7.0530310713373678E-2</v>
      </c>
      <c r="CF274" s="198">
        <f t="shared" ref="CF274" si="6552">CF273/BY273-1</f>
        <v>5.7614370732775866E-2</v>
      </c>
      <c r="CG274" s="198">
        <f t="shared" ref="CG274" si="6553">CG273/BZ273-1</f>
        <v>2.9335619494843534E-2</v>
      </c>
      <c r="CH274" s="198">
        <f t="shared" ref="CH274" si="6554">CH273/CA273-1</f>
        <v>5.520425614149671E-2</v>
      </c>
      <c r="CJ274" s="197" t="str">
        <f t="shared" si="6313"/>
        <v>YoY Change (%)</v>
      </c>
      <c r="CK274" s="198">
        <f>CK273/CD273-1</f>
        <v>3.4702352050130392E-2</v>
      </c>
      <c r="CL274" s="198">
        <f t="shared" ref="CL274" si="6555">CL273/CE273-1</f>
        <v>1.6855789241981611E-2</v>
      </c>
      <c r="CM274" s="198">
        <f t="shared" ref="CM274" si="6556">CM273/CF273-1</f>
        <v>1.2804551539491449E-2</v>
      </c>
      <c r="CN274" s="198">
        <f t="shared" ref="CN274" si="6557">CN273/CG273-1</f>
        <v>2.2687249857060721E-3</v>
      </c>
      <c r="CO274" s="198">
        <f t="shared" ref="CO274" si="6558">CO273/CH273-1</f>
        <v>1.6475525403725211E-2</v>
      </c>
      <c r="CQ274" s="197" t="str">
        <f t="shared" si="6314"/>
        <v>YoY Change (%)</v>
      </c>
      <c r="CR274" s="198">
        <f>CR273/CK273-1</f>
        <v>-2.1978871347095863E-3</v>
      </c>
      <c r="CS274" s="198">
        <f t="shared" ref="CS274" si="6559">CS273/CL273-1</f>
        <v>7.7503656411201938E-3</v>
      </c>
      <c r="CT274" s="198">
        <f t="shared" ref="CT274" si="6560">CT273/CM273-1</f>
        <v>-4.0926780582889455E-3</v>
      </c>
      <c r="CU274" s="198">
        <f t="shared" ref="CU274" si="6561">CU273/CN273-1</f>
        <v>2.1233901169163349E-2</v>
      </c>
      <c r="CV274" s="198">
        <f t="shared" ref="CV274" si="6562">CV273/CO273-1</f>
        <v>5.7326710475276155E-3</v>
      </c>
      <c r="CX274" s="197" t="str">
        <f t="shared" si="6315"/>
        <v>YoY Change (%)</v>
      </c>
      <c r="CY274" s="198">
        <f>CY273/CR273-1</f>
        <v>-3.568874785014553E-3</v>
      </c>
      <c r="CZ274" s="198">
        <f t="shared" ref="CZ274" si="6563">CZ273/CS273-1</f>
        <v>-1.1011190598999798E-2</v>
      </c>
      <c r="DA274" s="198">
        <f t="shared" ref="DA274" si="6564">DA273/CT273-1</f>
        <v>4.0618737453874676E-3</v>
      </c>
      <c r="DB274" s="198">
        <f t="shared" ref="DB274" si="6565">DB273/CU273-1</f>
        <v>-2.2886422391720673E-2</v>
      </c>
      <c r="DC274" s="198">
        <f t="shared" ref="DC274" si="6566">DC273/CV273-1</f>
        <v>-8.6275606084977863E-3</v>
      </c>
      <c r="DE274" s="197" t="str">
        <f t="shared" si="6316"/>
        <v>YoY Change (%)</v>
      </c>
      <c r="DF274" s="198">
        <f>DF273/CY273-1</f>
        <v>2.0820643722190058E-2</v>
      </c>
      <c r="DG274" s="198">
        <f t="shared" ref="DG274" si="6567">DG273/CZ273-1</f>
        <v>2.8354953148979289E-2</v>
      </c>
      <c r="DH274" s="198">
        <f t="shared" ref="DH274" si="6568">DH273/DA273-1</f>
        <v>2.9537228890088585E-2</v>
      </c>
      <c r="DI274" s="198">
        <f t="shared" ref="DI274" si="6569">DI273/DB273-1</f>
        <v>4.9851873919052103E-2</v>
      </c>
      <c r="DJ274" s="198">
        <f t="shared" ref="DJ274" si="6570">DJ273/DC273-1</f>
        <v>3.2270894679495843E-2</v>
      </c>
      <c r="DL274" s="197" t="str">
        <f t="shared" si="6317"/>
        <v>YoY Change (%)</v>
      </c>
      <c r="DM274" s="198">
        <f>DM273/DF273-1</f>
        <v>1.5927076029249587E-2</v>
      </c>
      <c r="DN274" s="198">
        <f t="shared" ref="DN274" si="6571">DN273/DG273-1</f>
        <v>1.7108291005540455E-2</v>
      </c>
      <c r="DO274" s="198">
        <f t="shared" ref="DO274" si="6572">DO273/DH273-1</f>
        <v>2.4124677902359615E-3</v>
      </c>
      <c r="DP274" s="198">
        <f t="shared" ref="DP274" si="6573">DP273/DI273-1</f>
        <v>-1.1737916789368308E-3</v>
      </c>
      <c r="DQ274" s="198">
        <f t="shared" ref="DQ274" si="6574">DQ273/DJ273-1</f>
        <v>8.501047190923483E-3</v>
      </c>
      <c r="DS274" s="197" t="str">
        <f t="shared" si="6318"/>
        <v>YoY Change (%)</v>
      </c>
      <c r="DT274" s="198">
        <f>DT273/DM273-1</f>
        <v>-8.6580086580086979E-3</v>
      </c>
      <c r="DU274" s="198">
        <f t="shared" ref="DU274" si="6575">DU273/DN273-1</f>
        <v>-1.66622419057042E-2</v>
      </c>
      <c r="DV274" s="198">
        <f t="shared" ref="DV274" si="6576">DV273/DO273-1</f>
        <v>-7.9476218099590046E-3</v>
      </c>
      <c r="DW274" s="198">
        <f t="shared" ref="DW274" si="6577">DW273/DP273-1</f>
        <v>-1.608091694262781E-2</v>
      </c>
      <c r="DX274" s="198">
        <f t="shared" ref="DX274" si="6578">DX273/DQ273-1</f>
        <v>-1.2356286754816592E-2</v>
      </c>
      <c r="DZ274" s="197" t="str">
        <f t="shared" si="6319"/>
        <v>YoY Change (%)</v>
      </c>
      <c r="EA274" s="198">
        <f>EA273/DT273-1</f>
        <v>-2.6964910210141135E-2</v>
      </c>
      <c r="EB274" s="198">
        <f t="shared" ref="EB274" si="6579">EB273/DU273-1</f>
        <v>-1.8291709022407066E-2</v>
      </c>
      <c r="EC274" s="198">
        <f t="shared" ref="EC274" si="6580">EC273/DV273-1</f>
        <v>-2.1769340542697746E-3</v>
      </c>
      <c r="ED274" s="198">
        <f t="shared" ref="ED274" si="6581">ED273/DW273-1</f>
        <v>-5.6195718666302019E-3</v>
      </c>
      <c r="EE274" s="198">
        <f t="shared" ref="EE274" si="6582">EE273/DX273-1</f>
        <v>-1.4015576916135086E-2</v>
      </c>
      <c r="EG274" s="197" t="str">
        <f t="shared" si="6320"/>
        <v>YoY Change (%)</v>
      </c>
      <c r="EH274" s="198">
        <f>EH273/EA273-1</f>
        <v>9.2816382010993959E-3</v>
      </c>
      <c r="EI274" s="198">
        <f t="shared" ref="EI274" si="6583">EI273/EB273-1</f>
        <v>2.9777078347726471E-2</v>
      </c>
      <c r="EJ274" s="198">
        <f t="shared" ref="EJ274" si="6584">EJ273/EC273-1</f>
        <v>7.0249893499885196E-4</v>
      </c>
      <c r="EK274" s="198">
        <f t="shared" ref="EK274" si="6585">EK273/ED273-1</f>
        <v>9.4015303432526398E-3</v>
      </c>
      <c r="EL274" s="198">
        <f t="shared" ref="EL274" si="6586">EL273/EE273-1</f>
        <v>1.1249733663986961E-2</v>
      </c>
      <c r="EN274" s="197" t="str">
        <f t="shared" si="6321"/>
        <v>YoY Change (%)</v>
      </c>
      <c r="EO274" s="198">
        <f>EO273/EH273-1</f>
        <v>1.279613090498799E-2</v>
      </c>
      <c r="EP274" s="198">
        <f t="shared" ref="EP274" si="6587">EP273/EI273-1</f>
        <v>5.5416679851068018E-3</v>
      </c>
      <c r="EQ274" s="198">
        <f t="shared" ref="EQ274" si="6588">EQ273/EJ273-1</f>
        <v>1.5722043133825858E-2</v>
      </c>
      <c r="ER274" s="198">
        <f t="shared" ref="ER274" si="6589">ER273/EK273-1</f>
        <v>2.9592406476828703E-2</v>
      </c>
      <c r="ES274" s="198">
        <f t="shared" ref="ES274" si="6590">ES273/EL273-1</f>
        <v>1.7559400281871529E-2</v>
      </c>
      <c r="EU274" s="197" t="str">
        <f t="shared" si="6322"/>
        <v>YoY Change (%)</v>
      </c>
      <c r="EV274" s="198">
        <f>EV273/EO273-1</f>
        <v>3.5930383977172742E-2</v>
      </c>
      <c r="EW274" s="198">
        <f t="shared" ref="EW274" si="6591">EW273/EP273-1</f>
        <v>2.1457241113356673E-2</v>
      </c>
      <c r="EX274" s="198">
        <f t="shared" ref="EX274" si="6592">EX273/EQ273-1</f>
        <v>1.8954579328530619E-2</v>
      </c>
      <c r="EY274" s="198">
        <f t="shared" ref="EY274" si="6593">EY273/ER273-1</f>
        <v>-2.860174509488167E-3</v>
      </c>
      <c r="EZ274" s="198">
        <f t="shared" ref="EZ274" si="6594">EZ273/ES273-1</f>
        <v>1.8351419051501727E-2</v>
      </c>
      <c r="FB274" s="197" t="str">
        <f t="shared" si="6323"/>
        <v>YoY Change (%)</v>
      </c>
      <c r="FC274" s="198">
        <f>FC273/EV273-1</f>
        <v>1.0807689869907433E-2</v>
      </c>
      <c r="FD274" s="198">
        <f t="shared" ref="FD274" si="6595">FD273/EW273-1</f>
        <v>2.1890846399024166E-3</v>
      </c>
      <c r="FE274" s="198">
        <f t="shared" ref="FE274" si="6596">FE273/EX273-1</f>
        <v>-8.1553319990300688E-3</v>
      </c>
      <c r="FF274" s="198">
        <f t="shared" ref="FF274" si="6597">FF273/EY273-1</f>
        <v>2.4989166546294905E-2</v>
      </c>
      <c r="FG274" s="198">
        <f t="shared" ref="FG274" si="6598">FG273/EZ273-1</f>
        <v>7.1984082269791472E-3</v>
      </c>
      <c r="FI274" s="197" t="str">
        <f t="shared" si="6324"/>
        <v>YoY Change (%)</v>
      </c>
      <c r="FJ274" s="198">
        <f>FJ273/FC273-1</f>
        <v>2.089376029383927E-2</v>
      </c>
      <c r="FK274" s="198">
        <f t="shared" ref="FK274" si="6599">FK273/FD273-1</f>
        <v>1.3926785206945125E-2</v>
      </c>
      <c r="FL274" s="198">
        <f t="shared" ref="FL274" si="6600">FL273/FE273-1</f>
        <v>1.7977528089887729E-2</v>
      </c>
      <c r="FM274" s="198">
        <f t="shared" ref="FM274" si="6601">FM273/FF273-1</f>
        <v>-7.7762681751080143E-3</v>
      </c>
      <c r="FN274" s="198">
        <f t="shared" ref="FN274" si="6602">FN273/FG273-1</f>
        <v>1.1195133360311749E-2</v>
      </c>
      <c r="FP274" s="197" t="str">
        <f t="shared" si="6325"/>
        <v>YoY Change (%)</v>
      </c>
      <c r="FQ274" s="198">
        <f>FQ273/FJ273-1</f>
        <v>1.6299357208449106E-3</v>
      </c>
      <c r="FR274" s="198">
        <f t="shared" ref="FR274" si="6603">FR273/FK273-1</f>
        <v>1.7986793432753556E-2</v>
      </c>
      <c r="FS274" s="198">
        <f t="shared" ref="FS274" si="6604">FS273/FL273-1</f>
        <v>5.448541552008801E-2</v>
      </c>
      <c r="FT274" s="198">
        <f t="shared" ref="FT274" si="6605">FT273/FM273-1</f>
        <v>7.3722293976810072E-2</v>
      </c>
      <c r="FU274" s="198">
        <f t="shared" ref="FU274" si="6606">FU273/FN273-1</f>
        <v>3.7347153794331067E-2</v>
      </c>
      <c r="FW274" s="197" t="str">
        <f t="shared" si="6326"/>
        <v>YoY Change (%)</v>
      </c>
      <c r="FX274" s="198">
        <f>FX273/FQ273-1</f>
        <v>8.5097259401475167E-2</v>
      </c>
      <c r="FY274" s="198">
        <f t="shared" ref="FY274" si="6607">FY273/FR273-1</f>
        <v>9.7210398511403895E-2</v>
      </c>
      <c r="FZ274" s="198">
        <f t="shared" ref="FZ274" si="6608">FZ273/FS273-1</f>
        <v>9.3785614844927201E-2</v>
      </c>
      <c r="GA274" s="198">
        <f t="shared" ref="GA274" si="6609">GA273/FT273-1</f>
        <v>0.11103340817353136</v>
      </c>
      <c r="GB274" s="198">
        <f t="shared" ref="GB274" si="6610">GB273/FU273-1</f>
        <v>9.6220853282756202E-2</v>
      </c>
      <c r="GD274" s="197" t="str">
        <f t="shared" si="6327"/>
        <v>YoY Change (%)</v>
      </c>
      <c r="GE274" s="198">
        <f>GE273/FX273-1</f>
        <v>0.11273594662604824</v>
      </c>
      <c r="GF274" s="198">
        <f t="shared" ref="GF274" si="6611">GF273/FY273-1</f>
        <v>0.11840442497019343</v>
      </c>
      <c r="GG274" s="198">
        <f t="shared" ref="GG274" si="6612">GG273/FZ273-1</f>
        <v>0.1090504275387234</v>
      </c>
      <c r="GH274" s="198">
        <f t="shared" ref="GH274" si="6613">GH273/GA273-1</f>
        <v>7.4069443884341002E-2</v>
      </c>
      <c r="GI274" s="198">
        <f t="shared" ref="GI274" si="6614">GI273/GB273-1</f>
        <v>0.10330659529898845</v>
      </c>
      <c r="GK274" s="197" t="str">
        <f t="shared" si="6328"/>
        <v>YoY Change (%)</v>
      </c>
      <c r="GL274" s="198">
        <f>GL273/GE273-1</f>
        <v>7.2218556911099352E-2</v>
      </c>
      <c r="GM274" s="198">
        <f t="shared" ref="GM274" si="6615">GM273/GF273-1</f>
        <v>6.3547971405517822E-2</v>
      </c>
      <c r="GN274" s="198">
        <f t="shared" ref="GN274" si="6616">GN273/GG273-1</f>
        <v>7.6744955106104795E-2</v>
      </c>
      <c r="GO274" s="198">
        <f t="shared" ref="GO274" si="6617">GO273/GH273-1</f>
        <v>0.10105325278648292</v>
      </c>
      <c r="GP274" s="198">
        <f t="shared" ref="GP274" si="6618">GP273/GI273-1</f>
        <v>7.8409059940710124E-2</v>
      </c>
      <c r="GR274" s="197" t="str">
        <f t="shared" si="6329"/>
        <v>YoY Change (%)</v>
      </c>
      <c r="GS274" s="198">
        <f>GS273/GL273-1</f>
        <v>0.14800564221615953</v>
      </c>
      <c r="GT274" s="198">
        <f t="shared" ref="GT274" si="6619">GT273/GM273-1</f>
        <v>0.18435532012595135</v>
      </c>
      <c r="GU274" s="198">
        <f t="shared" ref="GU274" si="6620">GU273/GN273-1</f>
        <v>0.21608215921148965</v>
      </c>
      <c r="GV274" s="198">
        <f t="shared" ref="GV274" si="6621">GV273/GO273-1</f>
        <v>0.13706528455084577</v>
      </c>
      <c r="GW274" s="198">
        <f t="shared" ref="GW274" si="6622">GW273/GP273-1</f>
        <v>0.17122720479077347</v>
      </c>
      <c r="GY274" s="197" t="str">
        <f t="shared" si="6330"/>
        <v>YoY Change (%)</v>
      </c>
      <c r="GZ274" s="198">
        <f>GZ273/GS273-1</f>
        <v>-4.274532358512606E-3</v>
      </c>
      <c r="HA274" s="198">
        <f t="shared" ref="HA274" si="6623">HA273/GT273-1</f>
        <v>-5.9305636418602425E-2</v>
      </c>
      <c r="HB274" s="198">
        <f t="shared" ref="HB274" si="6624">HB273/GU273-1</f>
        <v>-9.2832058616953317E-2</v>
      </c>
      <c r="HC274" s="198">
        <f t="shared" ref="HC274" si="6625">HC273/GV273-1</f>
        <v>-6.5778354723060262E-2</v>
      </c>
      <c r="HD274" s="198">
        <f t="shared" ref="HD274" si="6626">HD273/GW273-1</f>
        <v>-5.6425968645543945E-2</v>
      </c>
      <c r="HF274" s="197" t="str">
        <f t="shared" si="6331"/>
        <v>YoY Change (%)</v>
      </c>
      <c r="HG274" s="198">
        <f>HG273/GZ273-1</f>
        <v>6.1159651250499047E-2</v>
      </c>
      <c r="HH274" s="198">
        <f t="shared" ref="HH274" si="6627">HH273/HA273-1</f>
        <v>7.725895027458507E-2</v>
      </c>
      <c r="HI274" s="198">
        <f t="shared" ref="HI274" si="6628">HI273/HB273-1</f>
        <v>5.5709489020932867E-2</v>
      </c>
      <c r="HJ274" s="198">
        <f t="shared" ref="HJ274" si="6629">HJ273/HC273-1</f>
        <v>7.1706978510398756E-2</v>
      </c>
      <c r="HK274" s="198">
        <f t="shared" ref="HK274" si="6630">HK273/HD273-1</f>
        <v>6.6322048022622981E-2</v>
      </c>
      <c r="HM274" s="197" t="str">
        <f t="shared" si="6332"/>
        <v>YoY Change (%)</v>
      </c>
      <c r="HN274" s="198">
        <f>HN273/HG273-1</f>
        <v>5.0719191341959124E-2</v>
      </c>
      <c r="HO274" s="198">
        <f t="shared" ref="HO274" si="6631">HO273/HH273-1</f>
        <v>9.9535277908493036E-2</v>
      </c>
      <c r="HP274" s="198">
        <f t="shared" ref="HP274" si="6632">HP273/HI273-1</f>
        <v>0.1108796428693648</v>
      </c>
      <c r="HQ274" s="198">
        <f t="shared" ref="HQ274" si="6633">HQ273/HJ273-1</f>
        <v>9.926386455917946E-2</v>
      </c>
      <c r="HR274" s="198">
        <f t="shared" ref="HR274" si="6634">HR273/HK273-1</f>
        <v>9.0298501582841917E-2</v>
      </c>
      <c r="HT274" s="197" t="str">
        <f t="shared" si="6333"/>
        <v>YoY Change (%)</v>
      </c>
      <c r="HU274" s="198">
        <f>HU273/HN273-1</f>
        <v>5.3412370700606671E-2</v>
      </c>
      <c r="HV274" s="198">
        <f t="shared" ref="HV274" si="6635">HV273/HO273-1</f>
        <v>3.6585365853658569E-3</v>
      </c>
      <c r="HW274" s="198">
        <f t="shared" ref="HW274" si="6636">HW273/HP273-1</f>
        <v>-1.8288344887348318E-2</v>
      </c>
      <c r="HX274" s="198">
        <f t="shared" ref="HX274" si="6637">HX273/HQ273-1</f>
        <v>3.501387102410547E-3</v>
      </c>
      <c r="HY274" s="198">
        <f t="shared" ref="HY274" si="6638">HY273/HR273-1</f>
        <v>1.0012609915842186E-2</v>
      </c>
      <c r="IA274" s="197" t="str">
        <f t="shared" si="6334"/>
        <v>YoY Change (%)</v>
      </c>
      <c r="IB274" s="198">
        <f>IB273/HU273-1</f>
        <v>-1.9681007499526837E-3</v>
      </c>
      <c r="IC274" s="198">
        <f t="shared" ref="IC274" si="6639">IC273/HV273-1</f>
        <v>3.1428087702773944E-3</v>
      </c>
      <c r="ID274" s="198">
        <f t="shared" ref="ID274" si="6640">ID273/HW273-1</f>
        <v>-1.4693100766142164E-3</v>
      </c>
      <c r="IE274" s="198">
        <f t="shared" ref="IE274" si="6641">IE273/HX273-1</f>
        <v>-1.3814946997709132E-2</v>
      </c>
      <c r="IF274" s="198">
        <f t="shared" ref="IF274" si="6642">IF273/HY273-1</f>
        <v>-3.68818557188344E-3</v>
      </c>
      <c r="IH274" s="197" t="str">
        <f t="shared" si="6335"/>
        <v>YoY Change (%)</v>
      </c>
      <c r="II274" s="198">
        <f>II273/IB273-1</f>
        <v>-1.8056693855780459E-2</v>
      </c>
      <c r="IJ274" s="198">
        <f t="shared" ref="IJ274" si="6643">IJ273/IC273-1</f>
        <v>-1.1779057747050792E-2</v>
      </c>
      <c r="IK274" s="198">
        <f t="shared" ref="IK274" si="6644">IK273/ID273-1</f>
        <v>1.0458709414007838E-2</v>
      </c>
      <c r="IL274" s="198">
        <f t="shared" ref="IL274" si="6645">IL273/IE273-1</f>
        <v>-1.07935115245128E-3</v>
      </c>
      <c r="IM274" s="198">
        <f t="shared" ref="IM274" si="6646">IM273/IF273-1</f>
        <v>-5.1282711930134006E-3</v>
      </c>
      <c r="IO274" s="197" t="str">
        <f t="shared" si="6336"/>
        <v>YoY Change (%)</v>
      </c>
      <c r="IP274" s="198">
        <f>IP273/II273-1</f>
        <v>-1.1936195377681313E-2</v>
      </c>
      <c r="IQ274" s="198">
        <f t="shared" ref="IQ274" si="6647">IQ273/IJ273-1</f>
        <v>-5.9814829854625162E-2</v>
      </c>
      <c r="IR274" s="198">
        <f t="shared" ref="IR274" si="6648">IR273/IK273-1</f>
        <v>-5.5862806870649706E-2</v>
      </c>
      <c r="IS274" s="198">
        <f t="shared" ref="IS274" si="6649">IS273/IL273-1</f>
        <v>-8.2029512050592057E-2</v>
      </c>
      <c r="IT274" s="198">
        <f t="shared" ref="IT274" si="6650">IT273/IM273-1</f>
        <v>-5.2594656356412361E-2</v>
      </c>
      <c r="IV274" s="197" t="str">
        <f t="shared" si="6337"/>
        <v>YoY Change (%)</v>
      </c>
      <c r="IW274" s="198">
        <f>IW273/IP273-1</f>
        <v>-6.5180102915951887E-2</v>
      </c>
      <c r="IX274" s="198">
        <f t="shared" ref="IX274" si="6651">IX273/IQ273-1</f>
        <v>-2.142437970939659E-2</v>
      </c>
      <c r="IY274" s="198">
        <f t="shared" ref="IY274" si="6652">IY273/IR273-1</f>
        <v>3.8021458942656405E-3</v>
      </c>
      <c r="IZ274" s="198">
        <f t="shared" ref="IZ274" si="6653">IZ273/IS273-1</f>
        <v>4.2785422971796105E-2</v>
      </c>
      <c r="JA274" s="198">
        <f t="shared" ref="JA274" si="6654">JA273/IT273-1</f>
        <v>-1.0391608397539054E-2</v>
      </c>
      <c r="JC274" s="197" t="str">
        <f t="shared" si="6338"/>
        <v>YoY Change (%)</v>
      </c>
      <c r="JD274" s="198">
        <f>JD273/IW273-1</f>
        <v>7.2899218313791092E-2</v>
      </c>
      <c r="JE274" s="198">
        <f t="shared" ref="JE274" si="6655">JE273/IX273-1</f>
        <v>4.8392978069490278E-2</v>
      </c>
      <c r="JF274" s="198">
        <f t="shared" ref="JF274" si="6656">JF273/IY273-1</f>
        <v>-2.5412994059451632E-3</v>
      </c>
      <c r="JG274" s="198">
        <f t="shared" ref="JG274" si="6657">JG273/IZ273-1</f>
        <v>1.905711085891193E-2</v>
      </c>
      <c r="JH274" s="198">
        <f t="shared" ref="JH274" si="6658">JH273/JA273-1</f>
        <v>3.3683680263526972E-2</v>
      </c>
      <c r="JJ274" s="197" t="str">
        <f t="shared" si="6339"/>
        <v>YoY Change (%)</v>
      </c>
      <c r="JK274" s="198">
        <f>JK273/JD273-1</f>
        <v>1.5369668888401078E-2</v>
      </c>
      <c r="JL274" s="198">
        <f t="shared" ref="JL274" si="6659">JL273/JE273-1</f>
        <v>5.1566805914959213E-2</v>
      </c>
      <c r="JM274" s="198">
        <f t="shared" ref="JM274" si="6660">JM273/JF273-1</f>
        <v>7.7763091641490423E-2</v>
      </c>
      <c r="JN274" s="198">
        <f t="shared" ref="JN274" si="6661">JN273/JG273-1</f>
        <v>5.5405220869381377E-2</v>
      </c>
      <c r="JO274" s="198">
        <f t="shared" ref="JO274" si="6662">JO273/JH273-1</f>
        <v>4.9789952600089782E-2</v>
      </c>
      <c r="JQ274" s="197" t="str">
        <f t="shared" si="6340"/>
        <v>YoY Change (%)</v>
      </c>
      <c r="JR274" s="198">
        <f>JR273/JK273-1</f>
        <v>4.2423384318374557E-2</v>
      </c>
      <c r="JS274" s="198">
        <f t="shared" ref="JS274" si="6663">JS273/JL273-1</f>
        <v>3.0933757793896843E-2</v>
      </c>
      <c r="JT274" s="198">
        <f t="shared" ref="JT274" si="6664">JT273/JM273-1</f>
        <v>1.6818042316695925E-2</v>
      </c>
      <c r="JU274" s="198">
        <f t="shared" ref="JU274" si="6665">JU273/JN273-1</f>
        <v>-9.6745123503467756E-3</v>
      </c>
      <c r="JV274" s="198">
        <f t="shared" ref="JV274" si="6666">JV273/JO273-1</f>
        <v>1.9882863180358701E-2</v>
      </c>
      <c r="JX274" s="197" t="str">
        <f t="shared" si="6341"/>
        <v>YoY Change (%)</v>
      </c>
      <c r="JY274" s="198">
        <f>JY273/JR273-1</f>
        <v>-2.1116561767962838E-2</v>
      </c>
      <c r="JZ274" s="198">
        <f t="shared" ref="JZ274" si="6667">JZ273/JS273-1</f>
        <v>-7.7559537885085628E-2</v>
      </c>
      <c r="KA274" s="198">
        <f t="shared" ref="KA274" si="6668">KA273/JT273-1</f>
        <v>-8.3023062699782657E-2</v>
      </c>
      <c r="KB274" s="198">
        <f t="shared" ref="KB274" si="6669">KB273/JU273-1</f>
        <v>-5.5952374497066359E-2</v>
      </c>
      <c r="KC274" s="198">
        <f t="shared" ref="KC274" si="6670">KC273/JV273-1</f>
        <v>-5.9337152434750129E-2</v>
      </c>
      <c r="KE274" s="197" t="str">
        <f t="shared" si="6342"/>
        <v>YoY Change (%)</v>
      </c>
      <c r="KF274" s="198">
        <f>KF273/JY273-1</f>
        <v>-4.0012197016005779E-2</v>
      </c>
      <c r="KG274" s="198">
        <f t="shared" ref="KG274" si="6671">KG273/JZ273-1</f>
        <v>4.0587812013607172E-2</v>
      </c>
      <c r="KH274" s="198">
        <f t="shared" ref="KH274" si="6672">KH273/KA273-1</f>
        <v>8.7476458943796187E-2</v>
      </c>
      <c r="KI274" s="198">
        <f t="shared" ref="KI274" si="6673">KI273/KB273-1</f>
        <v>0.12950909666748789</v>
      </c>
      <c r="KJ274" s="198">
        <f t="shared" ref="KJ274" si="6674">KJ273/KC273-1</f>
        <v>5.274686430611597E-2</v>
      </c>
      <c r="KL274" s="197" t="str">
        <f t="shared" si="6343"/>
        <v>YoY Change (%)</v>
      </c>
      <c r="KM274" s="198">
        <f>KM273/KF273-1</f>
        <v>0.13958411464974541</v>
      </c>
      <c r="KN274" s="198">
        <f t="shared" ref="KN274" si="6675">KN273/KG273-1</f>
        <v>0.18000972097958123</v>
      </c>
      <c r="KO274" s="198">
        <f t="shared" ref="KO274" si="6676">KO273/KH273-1</f>
        <v>0.16491957682485969</v>
      </c>
      <c r="KP274" s="198">
        <f t="shared" ref="KP274" si="6677">KP273/KI273-1</f>
        <v>0.1089099552453221</v>
      </c>
      <c r="KQ274" s="198">
        <f t="shared" ref="KQ274" si="6678">KQ273/KJ273-1</f>
        <v>0.14814008172228865</v>
      </c>
      <c r="KS274" s="197" t="str">
        <f t="shared" si="6344"/>
        <v>YoY Change (%)</v>
      </c>
      <c r="KT274" s="198">
        <f>KT273/KM273-1</f>
        <v>0.11425975999635174</v>
      </c>
      <c r="KU274" s="198">
        <f t="shared" ref="KU274" si="6679">KU273/KN273-1</f>
        <v>2.2133021064998371E-2</v>
      </c>
      <c r="KV274" s="198">
        <f t="shared" ref="KV274" si="6680">KV273/KO273-1</f>
        <v>-2.1080946593812211E-2</v>
      </c>
      <c r="KW274" s="198">
        <f t="shared" ref="KW274" si="6681">KW273/KP273-1</f>
        <v>1.0953253895508608E-2</v>
      </c>
      <c r="KX274" s="198">
        <f t="shared" ref="KX274" si="6682">KX273/KQ273-1</f>
        <v>2.9378018129077477E-2</v>
      </c>
      <c r="KZ274" s="197" t="str">
        <f t="shared" si="6345"/>
        <v>YoY Change (%)</v>
      </c>
      <c r="LA274" s="198">
        <f>LA273/KT273-1</f>
        <v>-2.3058919424753688E-2</v>
      </c>
      <c r="LB274" s="198">
        <f>LB273/KU273-1</f>
        <v>-8.4927146764248729E-3</v>
      </c>
      <c r="LC274" s="198">
        <f>LC273/KV273-1</f>
        <v>-3.9847245720130431E-3</v>
      </c>
      <c r="LD274" s="198">
        <f t="shared" ref="LD274" si="6683">LD273/KW273-1</f>
        <v>-5.0276854928017589E-2</v>
      </c>
      <c r="LE274" s="198">
        <f t="shared" ref="LE274" si="6684">LE273/KX273-1</f>
        <v>-2.1507089373904775E-2</v>
      </c>
      <c r="LF274" s="574"/>
      <c r="LG274" s="197" t="str">
        <f t="shared" si="6346"/>
        <v>YoY Change (%)</v>
      </c>
      <c r="LH274" s="198">
        <f>LH273/LA273-1</f>
        <v>-5.5450552840287215E-2</v>
      </c>
      <c r="LI274" s="198">
        <f>LI273/LB273-1</f>
        <v>-4.2817913367314109E-2</v>
      </c>
      <c r="LJ274" s="198">
        <f>LJ273/LC273-1</f>
        <v>-3.4015684070051622E-2</v>
      </c>
      <c r="LK274" s="198">
        <f>LK273/LD273-1</f>
        <v>-2.1749035037710862E-2</v>
      </c>
      <c r="LL274" s="198">
        <f t="shared" ref="LL274" si="6685">LL273/LE273-1</f>
        <v>-3.8768498430781673E-2</v>
      </c>
      <c r="LM274" s="574"/>
      <c r="LN274" s="197" t="str">
        <f t="shared" si="6347"/>
        <v>YoY Change (%)</v>
      </c>
      <c r="LO274" s="198">
        <f>LO273/LH273-1</f>
        <v>-7.083917859251776E-3</v>
      </c>
      <c r="LP274" s="198">
        <f t="shared" ref="LP274" si="6686">LP273/LI273-1</f>
        <v>-6.0508480152254851E-4</v>
      </c>
      <c r="LQ274" s="198">
        <f>LQ273/LJ273-1</f>
        <v>8.4705103438429408E-3</v>
      </c>
      <c r="LR274" s="198">
        <f t="shared" ref="LR274" si="6687">LR273/LK273-1</f>
        <v>1.8498047459146516E-2</v>
      </c>
      <c r="LS274" s="198">
        <f t="shared" ref="LS274" si="6688">LS273/LL273-1</f>
        <v>4.8904087932488682E-3</v>
      </c>
      <c r="LT274" s="574"/>
      <c r="LU274" s="197" t="str">
        <f t="shared" si="6348"/>
        <v>YoY Change (%)</v>
      </c>
      <c r="LV274" s="198">
        <f>LV273/LO273-1</f>
        <v>2.4623725088214865E-2</v>
      </c>
      <c r="LW274" s="198">
        <f t="shared" ref="LW274" si="6689">LW273/LP273-1</f>
        <v>2.3288147540890369E-2</v>
      </c>
      <c r="LX274" s="198">
        <f t="shared" ref="LX274" si="6690">LX273/LQ273-1</f>
        <v>2.3337935245221209E-2</v>
      </c>
      <c r="LY274" s="198">
        <f t="shared" ref="LY274" si="6691">LY273/LR273-1</f>
        <v>2.3551086854038283E-2</v>
      </c>
      <c r="LZ274" s="198">
        <f t="shared" ref="LZ274" si="6692">LZ273/LS273-1</f>
        <v>2.3689191071003313E-2</v>
      </c>
      <c r="MA274" s="574"/>
      <c r="MB274" s="197" t="str">
        <f t="shared" si="6349"/>
        <v>YoY Change (%)</v>
      </c>
      <c r="MC274" s="198">
        <f>MC273/LV273-1</f>
        <v>2.1521816505850166E-2</v>
      </c>
      <c r="MD274" s="198">
        <f t="shared" ref="MD274" si="6693">MD273/LW273-1</f>
        <v>2.1225253657423337E-2</v>
      </c>
      <c r="ME274" s="198">
        <f t="shared" ref="ME274" si="6694">ME273/LX273-1</f>
        <v>2.1450875959345916E-2</v>
      </c>
      <c r="MF274" s="198">
        <f t="shared" ref="MF274" si="6695">MF273/LY273-1</f>
        <v>2.0817559799099383E-2</v>
      </c>
      <c r="MG274" s="198">
        <f t="shared" ref="MG274" si="6696">MG273/LZ273-1</f>
        <v>2.1249384013519501E-2</v>
      </c>
      <c r="MH274" s="574"/>
    </row>
    <row r="275" spans="1:346" s="37" customFormat="1" ht="13.15" x14ac:dyDescent="0.4">
      <c r="A275" s="100"/>
      <c r="C275" s="186"/>
      <c r="D275" s="186"/>
      <c r="E275" s="186"/>
      <c r="F275" s="186"/>
      <c r="G275" s="186"/>
      <c r="H275" s="186"/>
      <c r="I275" s="186"/>
      <c r="J275" s="186"/>
      <c r="K275" s="186"/>
      <c r="L275" s="186"/>
      <c r="M275" s="186"/>
      <c r="N275" s="193"/>
      <c r="O275" s="193"/>
      <c r="P275" s="193"/>
      <c r="Q275" s="193"/>
      <c r="R275" s="193"/>
      <c r="S275" s="193"/>
      <c r="T275" s="193"/>
      <c r="U275" s="193"/>
      <c r="V275" s="193"/>
      <c r="W275" s="193"/>
      <c r="X275" s="193"/>
      <c r="Y275" s="193"/>
      <c r="Z275" s="193"/>
      <c r="AA275" s="193"/>
      <c r="AB275" s="193"/>
      <c r="AC275" s="193"/>
      <c r="AD275" s="193"/>
      <c r="AE275" s="193"/>
      <c r="AF275" s="193"/>
      <c r="AG275" s="193"/>
      <c r="AH275" s="193"/>
      <c r="AI275" s="193"/>
      <c r="AJ275" s="193"/>
      <c r="AK275" s="193"/>
      <c r="AL275" s="193"/>
      <c r="AM275" s="193"/>
      <c r="AN275" s="193"/>
      <c r="AO275" s="193"/>
      <c r="AP275" s="193"/>
      <c r="AQ275" s="193"/>
      <c r="AR275" s="193"/>
      <c r="AS275" s="193"/>
      <c r="AT275" s="193"/>
      <c r="AU275" s="193"/>
      <c r="AV275" s="193"/>
      <c r="AW275" s="193"/>
      <c r="AX275" s="193"/>
      <c r="AY275" s="193"/>
      <c r="AZ275" s="193"/>
      <c r="BA275" s="193"/>
      <c r="BB275" s="193"/>
      <c r="BC275" s="193"/>
      <c r="BD275" s="193"/>
      <c r="BE275" s="193"/>
      <c r="BF275" s="193"/>
      <c r="BG275" s="193"/>
      <c r="BH275" s="193"/>
      <c r="BI275" s="193"/>
      <c r="BJ275" s="193"/>
      <c r="BK275" s="193"/>
      <c r="BL275" s="193"/>
      <c r="BM275" s="193"/>
      <c r="BP275" s="193"/>
      <c r="BQ275" s="193"/>
      <c r="BR275" s="193"/>
      <c r="BS275" s="193"/>
      <c r="BT275" s="193"/>
      <c r="BW275" s="193"/>
      <c r="BX275" s="193"/>
      <c r="BY275" s="193"/>
      <c r="BZ275" s="193"/>
      <c r="CA275" s="193"/>
      <c r="CD275" s="193"/>
      <c r="CE275" s="193"/>
      <c r="CF275" s="193"/>
      <c r="CG275" s="193"/>
      <c r="CH275" s="193"/>
      <c r="CK275" s="193"/>
      <c r="CL275" s="193"/>
      <c r="CM275" s="193"/>
      <c r="CN275" s="193"/>
      <c r="CO275" s="193"/>
      <c r="CR275" s="193"/>
      <c r="CS275" s="193"/>
      <c r="CT275" s="193"/>
      <c r="CU275" s="193"/>
      <c r="CV275" s="193"/>
      <c r="CY275" s="193"/>
      <c r="CZ275" s="193"/>
      <c r="DA275" s="193"/>
      <c r="DB275" s="193"/>
      <c r="DC275" s="193"/>
      <c r="DF275" s="193"/>
      <c r="DG275" s="193"/>
      <c r="DH275" s="193"/>
      <c r="DI275" s="193"/>
      <c r="DJ275" s="193"/>
      <c r="DM275" s="193"/>
      <c r="DN275" s="193"/>
      <c r="DO275" s="193"/>
      <c r="DP275" s="193"/>
      <c r="DQ275" s="193"/>
      <c r="DT275" s="193"/>
      <c r="DU275" s="193"/>
      <c r="DV275" s="193"/>
      <c r="DW275" s="193"/>
      <c r="DX275" s="193"/>
      <c r="EA275" s="193"/>
      <c r="EB275" s="193"/>
      <c r="EC275" s="193"/>
      <c r="ED275" s="193"/>
      <c r="EE275" s="193"/>
      <c r="EH275" s="193"/>
      <c r="EI275" s="193"/>
      <c r="EJ275" s="193"/>
      <c r="EK275" s="193"/>
      <c r="EL275" s="193"/>
      <c r="EO275" s="193"/>
      <c r="EP275" s="193"/>
      <c r="EQ275" s="193"/>
      <c r="ER275" s="193"/>
      <c r="ES275" s="193"/>
      <c r="EV275" s="193"/>
      <c r="EW275" s="193"/>
      <c r="EX275" s="193"/>
      <c r="EY275" s="193"/>
      <c r="EZ275" s="193"/>
      <c r="FC275" s="193"/>
      <c r="FD275" s="193"/>
      <c r="FE275" s="193"/>
      <c r="FF275" s="193"/>
      <c r="FG275" s="193"/>
      <c r="FJ275" s="193"/>
      <c r="FK275" s="193"/>
      <c r="FL275" s="193"/>
      <c r="FM275" s="193"/>
      <c r="FN275" s="193"/>
      <c r="FQ275" s="193"/>
      <c r="FR275" s="193"/>
      <c r="FS275" s="193"/>
      <c r="FT275" s="193"/>
      <c r="FU275" s="193"/>
      <c r="FX275" s="193"/>
      <c r="FY275" s="193"/>
      <c r="FZ275" s="193"/>
      <c r="GA275" s="193"/>
      <c r="GB275" s="193"/>
      <c r="GE275" s="193"/>
      <c r="GF275" s="193"/>
      <c r="GG275" s="193"/>
      <c r="GH275" s="193"/>
      <c r="GI275" s="193"/>
      <c r="GL275" s="193"/>
      <c r="GM275" s="193"/>
      <c r="GN275" s="193"/>
      <c r="GO275" s="193"/>
      <c r="GP275" s="193"/>
      <c r="GS275" s="193"/>
      <c r="GT275" s="193"/>
      <c r="GU275" s="193"/>
      <c r="GV275" s="193"/>
      <c r="GW275" s="193"/>
      <c r="GZ275" s="193"/>
      <c r="HA275" s="193"/>
      <c r="HB275" s="193"/>
      <c r="HC275" s="193"/>
      <c r="HD275" s="193"/>
      <c r="HG275" s="193"/>
      <c r="HH275" s="193"/>
      <c r="HI275" s="193"/>
      <c r="HJ275" s="193"/>
      <c r="HK275" s="193"/>
      <c r="HN275" s="193"/>
      <c r="HO275" s="193"/>
      <c r="HP275" s="193"/>
      <c r="HQ275" s="193"/>
      <c r="HR275" s="193"/>
      <c r="HU275" s="193"/>
      <c r="HV275" s="193"/>
      <c r="HW275" s="193"/>
      <c r="HX275" s="193"/>
      <c r="HY275" s="193"/>
      <c r="IB275" s="193"/>
      <c r="IC275" s="193"/>
      <c r="ID275" s="193"/>
      <c r="IE275" s="193"/>
      <c r="IF275" s="193"/>
      <c r="II275" s="193"/>
      <c r="IJ275" s="193"/>
      <c r="IK275" s="193"/>
      <c r="IL275" s="193"/>
      <c r="IM275" s="193"/>
      <c r="IP275" s="193"/>
      <c r="IQ275" s="193"/>
      <c r="IR275" s="193"/>
      <c r="IS275" s="193"/>
      <c r="IT275" s="193"/>
      <c r="IW275" s="193"/>
      <c r="IX275" s="193"/>
      <c r="IY275" s="193"/>
      <c r="IZ275" s="193"/>
      <c r="JA275" s="193"/>
      <c r="JD275" s="193"/>
      <c r="JE275" s="193"/>
      <c r="JF275" s="193"/>
      <c r="JG275" s="193"/>
      <c r="JH275" s="193"/>
      <c r="JK275" s="193"/>
      <c r="JL275" s="193"/>
      <c r="JM275" s="193"/>
      <c r="JN275" s="193"/>
      <c r="JO275" s="193"/>
      <c r="JR275" s="193"/>
      <c r="JS275" s="193"/>
      <c r="JT275" s="193"/>
      <c r="JU275" s="193"/>
      <c r="JV275" s="193"/>
      <c r="JY275" s="193"/>
      <c r="JZ275" s="193"/>
      <c r="KA275" s="193"/>
      <c r="KB275" s="193"/>
      <c r="KC275" s="193"/>
      <c r="KF275" s="193"/>
      <c r="KG275" s="193"/>
      <c r="KH275" s="193"/>
      <c r="KI275" s="193"/>
      <c r="KJ275" s="193"/>
      <c r="KM275" s="193"/>
      <c r="KN275" s="193"/>
      <c r="KO275" s="193"/>
      <c r="KP275" s="193"/>
      <c r="KQ275" s="193"/>
      <c r="KT275" s="193"/>
      <c r="KU275" s="193"/>
      <c r="KV275" s="193"/>
      <c r="KW275" s="193"/>
      <c r="KX275" s="193"/>
      <c r="LA275" s="193"/>
      <c r="LB275" s="193"/>
      <c r="LC275" s="193"/>
      <c r="LD275" s="193"/>
      <c r="LE275" s="193"/>
      <c r="LF275" s="564"/>
      <c r="LH275" s="193"/>
      <c r="LI275" s="193"/>
      <c r="LJ275" s="193"/>
      <c r="LK275" s="193"/>
      <c r="LL275" s="193"/>
      <c r="LM275" s="564"/>
      <c r="LO275" s="193"/>
      <c r="LP275" s="193"/>
      <c r="LQ275" s="193"/>
      <c r="LR275" s="193"/>
      <c r="LS275" s="193"/>
      <c r="LT275" s="564"/>
      <c r="LV275" s="193"/>
      <c r="LW275" s="193"/>
      <c r="LX275" s="193"/>
      <c r="LY275" s="193"/>
      <c r="LZ275" s="193"/>
      <c r="MA275" s="564"/>
      <c r="MC275" s="193"/>
      <c r="MD275" s="193"/>
      <c r="ME275" s="193"/>
      <c r="MF275" s="193"/>
      <c r="MG275" s="193"/>
      <c r="MH275" s="564"/>
    </row>
    <row r="276" spans="1:346" s="68" customFormat="1" ht="12.75" x14ac:dyDescent="0.35">
      <c r="A276" s="140"/>
      <c r="B276" s="68" t="s">
        <v>527</v>
      </c>
      <c r="C276" s="190"/>
      <c r="D276" s="190"/>
      <c r="E276" s="190"/>
      <c r="F276" s="190"/>
      <c r="G276" s="190"/>
      <c r="H276" s="190"/>
      <c r="I276" s="190"/>
      <c r="J276" s="190"/>
      <c r="K276" s="190"/>
      <c r="L276" s="190"/>
      <c r="M276" s="190"/>
      <c r="N276" s="203">
        <f>(N273*N270)/1000</f>
        <v>4855.0000000000009</v>
      </c>
      <c r="O276" s="203">
        <f>(O273*O270)/1000</f>
        <v>4987</v>
      </c>
      <c r="P276" s="203">
        <f t="shared" ref="P276:AY276" si="6697">(P273*P270)/1000</f>
        <v>4910</v>
      </c>
      <c r="Q276" s="203">
        <f t="shared" si="6697"/>
        <v>5072.6000000000004</v>
      </c>
      <c r="R276" s="203">
        <f t="shared" si="6697"/>
        <v>5065</v>
      </c>
      <c r="S276" s="203">
        <f t="shared" si="6697"/>
        <v>5415</v>
      </c>
      <c r="T276" s="203">
        <f t="shared" si="6697"/>
        <v>5388</v>
      </c>
      <c r="U276" s="203">
        <f t="shared" si="6697"/>
        <v>5425</v>
      </c>
      <c r="V276" s="203">
        <f t="shared" si="6697"/>
        <v>5528</v>
      </c>
      <c r="W276" s="203">
        <f t="shared" si="6697"/>
        <v>5408.6094540380254</v>
      </c>
      <c r="X276" s="203">
        <f t="shared" si="6697"/>
        <v>6384.5626765799252</v>
      </c>
      <c r="Y276" s="203">
        <f t="shared" si="6697"/>
        <v>7079.8823449029796</v>
      </c>
      <c r="Z276" s="203">
        <f t="shared" si="6697"/>
        <v>7028.1406293902792</v>
      </c>
      <c r="AA276" s="203">
        <f t="shared" si="6697"/>
        <v>7058.6248766041463</v>
      </c>
      <c r="AB276" s="203">
        <f t="shared" si="6697"/>
        <v>7337.9200878758747</v>
      </c>
      <c r="AC276" s="203">
        <f t="shared" si="6697"/>
        <v>7866.1247011952191</v>
      </c>
      <c r="AD276" s="203">
        <f t="shared" si="6697"/>
        <v>8401.0474829931973</v>
      </c>
      <c r="AE276" s="203">
        <f t="shared" si="6697"/>
        <v>9265.1046480021741</v>
      </c>
      <c r="AF276" s="203">
        <f t="shared" si="6697"/>
        <v>9662.8302417088271</v>
      </c>
      <c r="AG276" s="203">
        <f t="shared" si="6697"/>
        <v>10838.898652606911</v>
      </c>
      <c r="AH276" s="203">
        <f t="shared" si="6697"/>
        <v>8734.5548075263232</v>
      </c>
      <c r="AI276" s="203">
        <f t="shared" si="6697"/>
        <v>10348</v>
      </c>
      <c r="AJ276" s="203">
        <f t="shared" si="6697"/>
        <v>11445</v>
      </c>
      <c r="AK276" s="203">
        <f t="shared" si="6697"/>
        <v>11440</v>
      </c>
      <c r="AL276" s="203">
        <f t="shared" si="6697"/>
        <v>11629</v>
      </c>
      <c r="AM276" s="203">
        <f t="shared" si="6697"/>
        <v>12247</v>
      </c>
      <c r="AN276" s="203">
        <f t="shared" si="6697"/>
        <v>11333.000000000002</v>
      </c>
      <c r="AO276" s="203">
        <f t="shared" si="6697"/>
        <v>10700.999999999998</v>
      </c>
      <c r="AP276" s="203">
        <f t="shared" si="6697"/>
        <v>10974</v>
      </c>
      <c r="AQ276" s="203">
        <f t="shared" si="6697"/>
        <v>11668</v>
      </c>
      <c r="AR276" s="203">
        <f t="shared" si="6697"/>
        <v>11419</v>
      </c>
      <c r="AS276" s="203">
        <f t="shared" si="6697"/>
        <v>10174.999999999998</v>
      </c>
      <c r="AT276" s="203">
        <f t="shared" si="6697"/>
        <v>11368</v>
      </c>
      <c r="AU276" s="203">
        <f t="shared" si="6697"/>
        <v>12979.000000000002</v>
      </c>
      <c r="AV276" s="203">
        <f t="shared" si="6697"/>
        <v>13197</v>
      </c>
      <c r="AW276" s="203">
        <f t="shared" si="6697"/>
        <v>13197</v>
      </c>
      <c r="AX276" s="203">
        <f t="shared" si="6697"/>
        <v>12746</v>
      </c>
      <c r="AY276" s="203">
        <f t="shared" si="6697"/>
        <v>13111.655274999997</v>
      </c>
      <c r="AZ276" s="203">
        <f t="shared" ref="AZ276:BA276" si="6698">(AZ273*AZ270)/1000</f>
        <v>13761.800060184221</v>
      </c>
      <c r="BA276" s="203">
        <f t="shared" si="6698"/>
        <v>14392.597383025455</v>
      </c>
      <c r="BB276" s="203"/>
      <c r="BC276" s="203"/>
      <c r="BD276" s="203"/>
      <c r="BE276" s="203"/>
      <c r="BF276" s="203"/>
      <c r="BG276" s="203"/>
      <c r="BH276" s="203"/>
      <c r="BI276" s="203"/>
      <c r="BJ276" s="203"/>
      <c r="BK276" s="203"/>
      <c r="BL276" s="203"/>
      <c r="BM276" s="203"/>
      <c r="BO276" s="68" t="str">
        <f t="shared" si="6310"/>
        <v>Freight Revenue (Ex-Truck &amp; Other)</v>
      </c>
      <c r="BP276" s="204">
        <f>(BP273*BP270)/1000</f>
        <v>1234</v>
      </c>
      <c r="BQ276" s="204">
        <f t="shared" ref="BQ276:BS276" si="6699">(BQ273*BQ270)/1000</f>
        <v>1233</v>
      </c>
      <c r="BR276" s="204">
        <f t="shared" si="6699"/>
        <v>1159</v>
      </c>
      <c r="BS276" s="204">
        <f t="shared" si="6699"/>
        <v>1229</v>
      </c>
      <c r="BT276" s="204">
        <f t="shared" ref="BT276" si="6700">(BT273*BT270)/1000</f>
        <v>4855.0000000000009</v>
      </c>
      <c r="BV276" s="68" t="str">
        <f t="shared" si="6311"/>
        <v>Freight Revenue (Ex-Truck &amp; Other)</v>
      </c>
      <c r="BW276" s="204">
        <f>(BW273*BW270)/1000</f>
        <v>1252</v>
      </c>
      <c r="BX276" s="204">
        <f t="shared" ref="BX276:CA276" si="6701">(BX273*BX270)/1000</f>
        <v>1262</v>
      </c>
      <c r="BY276" s="204">
        <f t="shared" si="6701"/>
        <v>1220</v>
      </c>
      <c r="BZ276" s="204">
        <f t="shared" si="6701"/>
        <v>1253</v>
      </c>
      <c r="CA276" s="204">
        <f t="shared" si="6701"/>
        <v>4987</v>
      </c>
      <c r="CC276" s="68" t="str">
        <f t="shared" si="6312"/>
        <v>Freight Revenue (Ex-Truck &amp; Other)</v>
      </c>
      <c r="CD276" s="204">
        <f>(CD273*CD270)/1000</f>
        <v>1192</v>
      </c>
      <c r="CE276" s="204">
        <f t="shared" ref="CE276:CH276" si="6702">(CE273*CE270)/1000</f>
        <v>1200.9999999999998</v>
      </c>
      <c r="CF276" s="204">
        <f t="shared" si="6702"/>
        <v>1245</v>
      </c>
      <c r="CG276" s="204">
        <f t="shared" si="6702"/>
        <v>1272</v>
      </c>
      <c r="CH276" s="204">
        <f t="shared" si="6702"/>
        <v>4910</v>
      </c>
      <c r="CJ276" s="68" t="str">
        <f t="shared" si="6313"/>
        <v>Freight Revenue (Ex-Truck &amp; Other)</v>
      </c>
      <c r="CK276" s="204">
        <f>(CK273*CK270)/1000</f>
        <v>1269</v>
      </c>
      <c r="CL276" s="204">
        <f t="shared" ref="CL276:CO276" si="6703">(CL273*CL270)/1000</f>
        <v>1268.7</v>
      </c>
      <c r="CM276" s="204">
        <f t="shared" si="6703"/>
        <v>1246.9000000000003</v>
      </c>
      <c r="CN276" s="204">
        <f t="shared" si="6703"/>
        <v>1288</v>
      </c>
      <c r="CO276" s="204">
        <f t="shared" si="6703"/>
        <v>5072.6000000000004</v>
      </c>
      <c r="CQ276" s="68" t="str">
        <f t="shared" si="6314"/>
        <v>Freight Revenue (Ex-Truck &amp; Other)</v>
      </c>
      <c r="CR276" s="204">
        <f>(CR273*CR270)/1000</f>
        <v>1244</v>
      </c>
      <c r="CS276" s="204">
        <f t="shared" ref="CS276:CV276" si="6704">(CS273*CS270)/1000</f>
        <v>1281</v>
      </c>
      <c r="CT276" s="204">
        <f t="shared" si="6704"/>
        <v>1239</v>
      </c>
      <c r="CU276" s="204">
        <f t="shared" si="6704"/>
        <v>1301</v>
      </c>
      <c r="CV276" s="204">
        <f t="shared" si="6704"/>
        <v>5065</v>
      </c>
      <c r="CX276" s="68" t="str">
        <f t="shared" si="6315"/>
        <v>Freight Revenue (Ex-Truck &amp; Other)</v>
      </c>
      <c r="CY276" s="204">
        <f>(CY273*CY270)/1000</f>
        <v>1307</v>
      </c>
      <c r="CZ276" s="204">
        <f t="shared" ref="CZ276:DC276" si="6705">(CZ273*CZ270)/1000</f>
        <v>1372</v>
      </c>
      <c r="DA276" s="204">
        <f t="shared" si="6705"/>
        <v>1347</v>
      </c>
      <c r="DB276" s="204">
        <f t="shared" si="6705"/>
        <v>1388.9999999999998</v>
      </c>
      <c r="DC276" s="204">
        <f t="shared" si="6705"/>
        <v>5415</v>
      </c>
      <c r="DE276" s="68" t="str">
        <f t="shared" si="6316"/>
        <v>Freight Revenue (Ex-Truck &amp; Other)</v>
      </c>
      <c r="DF276" s="204">
        <f>(DF273*DF270)/1000</f>
        <v>1341</v>
      </c>
      <c r="DG276" s="204">
        <f t="shared" ref="DG276:DJ276" si="6706">(DG273*DG270)/1000</f>
        <v>1353</v>
      </c>
      <c r="DH276" s="204">
        <f t="shared" si="6706"/>
        <v>1328</v>
      </c>
      <c r="DI276" s="204">
        <f t="shared" si="6706"/>
        <v>1366</v>
      </c>
      <c r="DJ276" s="204">
        <f t="shared" si="6706"/>
        <v>5388</v>
      </c>
      <c r="DL276" s="68" t="str">
        <f t="shared" si="6317"/>
        <v>Freight Revenue (Ex-Truck &amp; Other)</v>
      </c>
      <c r="DM276" s="204">
        <f>(DM273*DM270)/1000</f>
        <v>1320</v>
      </c>
      <c r="DN276" s="204">
        <f t="shared" ref="DN276:DQ276" si="6707">(DN273*DN270)/1000</f>
        <v>1384</v>
      </c>
      <c r="DO276" s="204">
        <f t="shared" si="6707"/>
        <v>1337</v>
      </c>
      <c r="DP276" s="204">
        <f t="shared" si="6707"/>
        <v>1384</v>
      </c>
      <c r="DQ276" s="204">
        <f t="shared" si="6707"/>
        <v>5425</v>
      </c>
      <c r="DS276" s="68" t="str">
        <f t="shared" si="6318"/>
        <v>Freight Revenue (Ex-Truck &amp; Other)</v>
      </c>
      <c r="DT276" s="204">
        <f>(DT273*DT270)/1000</f>
        <v>1374</v>
      </c>
      <c r="DU276" s="204">
        <f t="shared" ref="DU276:DX276" si="6708">(DU273*DU270)/1000</f>
        <v>1387</v>
      </c>
      <c r="DV276" s="204">
        <f t="shared" si="6708"/>
        <v>1358</v>
      </c>
      <c r="DW276" s="204">
        <f t="shared" si="6708"/>
        <v>1409</v>
      </c>
      <c r="DX276" s="204">
        <f t="shared" si="6708"/>
        <v>5528</v>
      </c>
      <c r="DZ276" s="68" t="str">
        <f t="shared" si="6319"/>
        <v>Freight Revenue (Ex-Truck &amp; Other)</v>
      </c>
      <c r="EA276" s="204">
        <f>(EA273*EA270)/1000</f>
        <v>1336</v>
      </c>
      <c r="EB276" s="204">
        <f t="shared" ref="EB276:EE276" si="6709">(EB273*EB270)/1000</f>
        <v>1373</v>
      </c>
      <c r="EC276" s="204">
        <f t="shared" si="6709"/>
        <v>1330.1805359661496</v>
      </c>
      <c r="ED276" s="204">
        <f t="shared" si="6709"/>
        <v>1376.1483253588515</v>
      </c>
      <c r="EE276" s="204">
        <f t="shared" si="6709"/>
        <v>5408.6094540380254</v>
      </c>
      <c r="EG276" s="68" t="str">
        <f t="shared" si="6320"/>
        <v>Freight Revenue (Ex-Truck &amp; Other)</v>
      </c>
      <c r="EH276" s="204">
        <f>(EH273*EH270)/1000</f>
        <v>1428</v>
      </c>
      <c r="EI276" s="204">
        <f t="shared" ref="EI276:EL276" si="6710">(EI273*EI270)/1000</f>
        <v>1493.8966836734694</v>
      </c>
      <c r="EJ276" s="204">
        <f t="shared" si="6710"/>
        <v>1723.4637602179837</v>
      </c>
      <c r="EK276" s="204">
        <f t="shared" si="6710"/>
        <v>1759.8318872017355</v>
      </c>
      <c r="EL276" s="204">
        <f t="shared" si="6710"/>
        <v>6384.5626765799252</v>
      </c>
      <c r="EN276" s="68" t="str">
        <f t="shared" si="6321"/>
        <v>Freight Revenue (Ex-Truck &amp; Other)</v>
      </c>
      <c r="EO276" s="204">
        <f>(EO273*EO270)/1000</f>
        <v>1774.573903627504</v>
      </c>
      <c r="EP276" s="204">
        <f t="shared" ref="EP276:ES276" si="6711">(EP273*EP270)/1000</f>
        <v>1799.4706831629908</v>
      </c>
      <c r="EQ276" s="204">
        <f t="shared" si="6711"/>
        <v>1744.7281713344316</v>
      </c>
      <c r="ER276" s="204">
        <f t="shared" si="6711"/>
        <v>1761.0804020100504</v>
      </c>
      <c r="ES276" s="204">
        <f t="shared" si="6711"/>
        <v>7079.8823449029796</v>
      </c>
      <c r="EU276" s="68" t="str">
        <f t="shared" si="6322"/>
        <v>Freight Revenue (Ex-Truck &amp; Other)</v>
      </c>
      <c r="EV276" s="204">
        <f>(EV273*EV270)/1000</f>
        <v>1768.9069373942471</v>
      </c>
      <c r="EW276" s="204">
        <f t="shared" ref="EW276:EZ276" si="6712">(EW273*EW270)/1000</f>
        <v>1776.9465776293825</v>
      </c>
      <c r="EX276" s="204">
        <f t="shared" si="6712"/>
        <v>1735.2108229988726</v>
      </c>
      <c r="EY276" s="204">
        <f t="shared" si="6712"/>
        <v>1747.0992108229991</v>
      </c>
      <c r="EZ276" s="204">
        <f t="shared" si="6712"/>
        <v>7028.1406293902792</v>
      </c>
      <c r="FB276" s="68" t="str">
        <f t="shared" si="6323"/>
        <v>Freight Revenue (Ex-Truck &amp; Other)</v>
      </c>
      <c r="FC276" s="204">
        <f>(FC273*FC270)/1000</f>
        <v>1714.7950530035332</v>
      </c>
      <c r="FD276" s="204">
        <f t="shared" ref="FD276:FG276" si="6713">(FD273*FD270)/1000</f>
        <v>1799.9204419889506</v>
      </c>
      <c r="FE276" s="204">
        <f t="shared" si="6713"/>
        <v>1758.3885209713023</v>
      </c>
      <c r="FF276" s="204">
        <f t="shared" si="6713"/>
        <v>1785.6645962732919</v>
      </c>
      <c r="FG276" s="204">
        <f t="shared" si="6713"/>
        <v>7058.6248766041463</v>
      </c>
      <c r="FI276" s="68" t="str">
        <f t="shared" si="6324"/>
        <v>Freight Revenue (Ex-Truck &amp; Other)</v>
      </c>
      <c r="FJ276" s="204">
        <f>(FJ273*FJ270)/1000</f>
        <v>1802.5400457665903</v>
      </c>
      <c r="FK276" s="204">
        <f t="shared" ref="FK276:FN276" si="6714">(FK273*FK270)/1000</f>
        <v>1862.6686518678937</v>
      </c>
      <c r="FL276" s="204">
        <f t="shared" si="6714"/>
        <v>1804</v>
      </c>
      <c r="FM276" s="204">
        <f t="shared" si="6714"/>
        <v>1868.8071772897697</v>
      </c>
      <c r="FN276" s="204">
        <f t="shared" si="6714"/>
        <v>7337.9200878758747</v>
      </c>
      <c r="FP276" s="68" t="str">
        <f t="shared" si="6325"/>
        <v>Freight Revenue (Ex-Truck &amp; Other)</v>
      </c>
      <c r="FQ276" s="204">
        <f>(FQ273*FQ270)/1000</f>
        <v>1879.3196271929828</v>
      </c>
      <c r="FR276" s="204">
        <f t="shared" ref="FR276:FU276" si="6715">(FR273*FR270)/1000</f>
        <v>1958.3756558237146</v>
      </c>
      <c r="FS276" s="204">
        <f t="shared" si="6715"/>
        <v>1898.0737479361585</v>
      </c>
      <c r="FT276" s="204">
        <f t="shared" si="6715"/>
        <v>2130.2955118507311</v>
      </c>
      <c r="FU276" s="204">
        <f t="shared" si="6715"/>
        <v>7866.1247011952191</v>
      </c>
      <c r="FW276" s="68" t="str">
        <f t="shared" si="6326"/>
        <v>Freight Revenue (Ex-Truck &amp; Other)</v>
      </c>
      <c r="FX276" s="204">
        <f>(FX273*FX270)/1000</f>
        <v>2057.3009761388284</v>
      </c>
      <c r="FY276" s="204">
        <f t="shared" ref="FY276:GB276" si="6716">(FY273*FY270)/1000</f>
        <v>2102.1123595505619</v>
      </c>
      <c r="FZ276" s="204">
        <f t="shared" si="6716"/>
        <v>2074.9323804288069</v>
      </c>
      <c r="GA276" s="204">
        <f t="shared" si="6716"/>
        <v>2166.6798679867989</v>
      </c>
      <c r="GB276" s="204">
        <f t="shared" si="6716"/>
        <v>8401.0474829931973</v>
      </c>
      <c r="GD276" s="68" t="str">
        <f t="shared" si="6327"/>
        <v>Freight Revenue (Ex-Truck &amp; Other)</v>
      </c>
      <c r="GE276" s="204">
        <f>(GE273*GE270)/1000</f>
        <v>2267.8849945235488</v>
      </c>
      <c r="GF276" s="204">
        <f t="shared" ref="GF276:GI276" si="6717">(GF273*GF270)/1000</f>
        <v>2348.4673796791444</v>
      </c>
      <c r="GG276" s="204">
        <f t="shared" si="6717"/>
        <v>2338.3002159827211</v>
      </c>
      <c r="GH276" s="204">
        <f t="shared" si="6717"/>
        <v>2310.3292817679558</v>
      </c>
      <c r="GI276" s="204">
        <f t="shared" si="6717"/>
        <v>9265.1046480021741</v>
      </c>
      <c r="GK276" s="68" t="str">
        <f t="shared" si="6328"/>
        <v>Freight Revenue (Ex-Truck &amp; Other)</v>
      </c>
      <c r="GL276" s="204">
        <f>(GL273*GL270)/1000</f>
        <v>2334.7247863247867</v>
      </c>
      <c r="GM276" s="204">
        <f t="shared" ref="GM276:GP276" si="6718">(GM273*GM270)/1000</f>
        <v>2439.5270935960589</v>
      </c>
      <c r="GN276" s="204">
        <f t="shared" si="6718"/>
        <v>2408.9441624365481</v>
      </c>
      <c r="GO276" s="204">
        <f t="shared" si="6718"/>
        <v>2479.6303236797276</v>
      </c>
      <c r="GP276" s="204">
        <f t="shared" si="6718"/>
        <v>9662.8302417088271</v>
      </c>
      <c r="GR276" s="68" t="str">
        <f t="shared" si="6329"/>
        <v>Freight Revenue (Ex-Truck &amp; Other)</v>
      </c>
      <c r="GS276" s="204">
        <f>(GS273*GS270)/1000</f>
        <v>2618.4484566103665</v>
      </c>
      <c r="GT276" s="204">
        <f t="shared" ref="GT276:GW276" si="6719">(GT273*GT270)/1000</f>
        <v>2802.7331081081084</v>
      </c>
      <c r="GU276" s="204">
        <f t="shared" si="6719"/>
        <v>2854.1016166281756</v>
      </c>
      <c r="GV276" s="204">
        <f t="shared" si="6719"/>
        <v>2563.3306300686213</v>
      </c>
      <c r="GW276" s="204">
        <f t="shared" si="6719"/>
        <v>10838.898652606911</v>
      </c>
      <c r="GY276" s="68" t="str">
        <f t="shared" si="6330"/>
        <v>Freight Revenue (Ex-Truck &amp; Other)</v>
      </c>
      <c r="GZ276" s="204">
        <f>(GZ273*GZ270)/1000</f>
        <v>2159.3742071881607</v>
      </c>
      <c r="HA276" s="204">
        <f t="shared" ref="HA276:HD276" si="6720">(HA273*HA270)/1000</f>
        <v>2105.8958185683914</v>
      </c>
      <c r="HB276" s="204">
        <f t="shared" si="6720"/>
        <v>2200.1692832764502</v>
      </c>
      <c r="HC276" s="204">
        <f t="shared" si="6720"/>
        <v>2269</v>
      </c>
      <c r="HD276" s="204">
        <f t="shared" si="6720"/>
        <v>8734.5548075263232</v>
      </c>
      <c r="HF276" s="68" t="str">
        <f t="shared" si="6331"/>
        <v>Freight Revenue (Ex-Truck &amp; Other)</v>
      </c>
      <c r="HG276" s="204">
        <f>(HG273*HG270)/1000</f>
        <v>2427</v>
      </c>
      <c r="HH276" s="204">
        <f t="shared" ref="HH276:HK276" si="6721">(HH273*HH270)/1000</f>
        <v>2595</v>
      </c>
      <c r="HI276" s="204">
        <f t="shared" si="6721"/>
        <v>2581</v>
      </c>
      <c r="HJ276" s="204">
        <f t="shared" si="6721"/>
        <v>2745</v>
      </c>
      <c r="HK276" s="204">
        <f t="shared" si="6721"/>
        <v>10348</v>
      </c>
      <c r="HM276" s="68" t="str">
        <f t="shared" si="6332"/>
        <v>Freight Revenue (Ex-Truck &amp; Other)</v>
      </c>
      <c r="HN276" s="204">
        <f>(HN273*HN270)/1000</f>
        <v>2732</v>
      </c>
      <c r="HO276" s="204">
        <f t="shared" ref="HO276:HR276" si="6722">(HO273*HO270)/1000</f>
        <v>2939</v>
      </c>
      <c r="HP276" s="204">
        <f t="shared" si="6722"/>
        <v>2885</v>
      </c>
      <c r="HQ276" s="204">
        <f t="shared" si="6722"/>
        <v>2889</v>
      </c>
      <c r="HR276" s="204">
        <f t="shared" si="6722"/>
        <v>11445</v>
      </c>
      <c r="HT276" s="68" t="str">
        <f t="shared" si="6333"/>
        <v>Freight Revenue (Ex-Truck &amp; Other)</v>
      </c>
      <c r="HU276" s="204">
        <f>(HU273*HU270)/1000</f>
        <v>2896</v>
      </c>
      <c r="HV276" s="204">
        <f t="shared" ref="HV276:HY276" si="6723">(HV273*HV270)/1000</f>
        <v>2939</v>
      </c>
      <c r="HW276" s="204">
        <f t="shared" si="6723"/>
        <v>2799</v>
      </c>
      <c r="HX276" s="204">
        <f t="shared" si="6723"/>
        <v>2806</v>
      </c>
      <c r="HY276" s="204">
        <f t="shared" si="6723"/>
        <v>11440</v>
      </c>
      <c r="IA276" s="68" t="str">
        <f t="shared" si="6334"/>
        <v>Freight Revenue (Ex-Truck &amp; Other)</v>
      </c>
      <c r="IB276" s="204">
        <f>(IB273*IB270)/1000</f>
        <v>2847</v>
      </c>
      <c r="IC276" s="204">
        <f t="shared" ref="IC276:IF276" si="6724">(IC273*IC270)/1000</f>
        <v>2977</v>
      </c>
      <c r="ID276" s="204">
        <f t="shared" si="6724"/>
        <v>2870</v>
      </c>
      <c r="IE276" s="204">
        <f t="shared" si="6724"/>
        <v>2935</v>
      </c>
      <c r="IF276" s="204">
        <f t="shared" si="6724"/>
        <v>11629</v>
      </c>
      <c r="IH276" s="68" t="str">
        <f t="shared" si="6335"/>
        <v>Freight Revenue (Ex-Truck &amp; Other)</v>
      </c>
      <c r="II276" s="204">
        <f>(II273*II270)/1000</f>
        <v>2870</v>
      </c>
      <c r="IJ276" s="204">
        <f t="shared" ref="IJ276:IM276" si="6725">(IJ273*IJ270)/1000</f>
        <v>3164</v>
      </c>
      <c r="IK276" s="204">
        <f t="shared" si="6725"/>
        <v>3103</v>
      </c>
      <c r="IL276" s="204">
        <f t="shared" si="6725"/>
        <v>3110</v>
      </c>
      <c r="IM276" s="204">
        <f t="shared" si="6725"/>
        <v>12247</v>
      </c>
      <c r="IO276" s="68" t="str">
        <f t="shared" si="6336"/>
        <v>Freight Revenue (Ex-Truck &amp; Other)</v>
      </c>
      <c r="IP276" s="204">
        <f>(IP273*IP270)/1000</f>
        <v>2862</v>
      </c>
      <c r="IQ276" s="204">
        <f t="shared" ref="IQ276:IT276" si="6726">(IQ273*IQ270)/1000</f>
        <v>2938</v>
      </c>
      <c r="IR276" s="204">
        <f t="shared" si="6726"/>
        <v>2853</v>
      </c>
      <c r="IS276" s="204">
        <f t="shared" si="6726"/>
        <v>2680</v>
      </c>
      <c r="IT276" s="204">
        <f t="shared" si="6726"/>
        <v>11333.000000000002</v>
      </c>
      <c r="IV276" s="68" t="str">
        <f t="shared" si="6337"/>
        <v>Freight Revenue (Ex-Truck &amp; Other)</v>
      </c>
      <c r="IW276" s="204">
        <f>(IW273*IW270)/1000</f>
        <v>2538</v>
      </c>
      <c r="IX276" s="204">
        <f t="shared" ref="IX276:JA276" si="6727">(IX273*IX270)/1000</f>
        <v>2607</v>
      </c>
      <c r="IY276" s="204">
        <f t="shared" si="6727"/>
        <v>2633</v>
      </c>
      <c r="IZ276" s="204">
        <f t="shared" si="6727"/>
        <v>2923</v>
      </c>
      <c r="JA276" s="204">
        <f t="shared" si="6727"/>
        <v>10700.999999999998</v>
      </c>
      <c r="JC276" s="68" t="str">
        <f t="shared" si="6338"/>
        <v>Freight Revenue (Ex-Truck &amp; Other)</v>
      </c>
      <c r="JD276" s="204">
        <f>(JD273*JD270)/1000</f>
        <v>2795</v>
      </c>
      <c r="JE276" s="204">
        <f t="shared" ref="JE276:JH276" si="6728">(JE273*JE270)/1000</f>
        <v>2776</v>
      </c>
      <c r="JF276" s="204">
        <f t="shared" si="6728"/>
        <v>2648</v>
      </c>
      <c r="JG276" s="204">
        <f t="shared" si="6728"/>
        <v>2755</v>
      </c>
      <c r="JH276" s="204">
        <f t="shared" si="6728"/>
        <v>10974</v>
      </c>
      <c r="JJ276" s="68" t="str">
        <f t="shared" si="6339"/>
        <v>Freight Revenue (Ex-Truck &amp; Other)</v>
      </c>
      <c r="JK276" s="204">
        <f>(JK273*JK270)/1000</f>
        <v>2731</v>
      </c>
      <c r="JL276" s="204">
        <f t="shared" ref="JL276:JO276" si="6729">(JL273*JL270)/1000</f>
        <v>2966</v>
      </c>
      <c r="JM276" s="204">
        <f t="shared" si="6729"/>
        <v>2978</v>
      </c>
      <c r="JN276" s="204">
        <f t="shared" si="6729"/>
        <v>2993</v>
      </c>
      <c r="JO276" s="204">
        <f t="shared" si="6729"/>
        <v>11668</v>
      </c>
      <c r="JQ276" s="68" t="str">
        <f t="shared" si="6340"/>
        <v>Freight Revenue (Ex-Truck &amp; Other)</v>
      </c>
      <c r="JR276" s="204">
        <f>(JR273*JR270)/1000</f>
        <v>2845</v>
      </c>
      <c r="JS276" s="204">
        <f t="shared" ref="JS276:JV276" si="6730">(JS273*JS270)/1000</f>
        <v>2937</v>
      </c>
      <c r="JT276" s="204">
        <f t="shared" si="6730"/>
        <v>2869</v>
      </c>
      <c r="JU276" s="204">
        <f t="shared" si="6730"/>
        <v>2767.9999999999995</v>
      </c>
      <c r="JV276" s="204">
        <f t="shared" si="6730"/>
        <v>11419</v>
      </c>
      <c r="JX276" s="68" t="str">
        <f t="shared" si="6341"/>
        <v>Freight Revenue (Ex-Truck &amp; Other)</v>
      </c>
      <c r="JY276" s="204">
        <f>(JY273*JY270)/1000</f>
        <v>2754</v>
      </c>
      <c r="JZ276" s="204">
        <f t="shared" ref="JZ276:KC276" si="6731">(JZ273*JZ270)/1000</f>
        <v>2154</v>
      </c>
      <c r="KA276" s="204">
        <f t="shared" si="6731"/>
        <v>2552</v>
      </c>
      <c r="KB276" s="204">
        <f t="shared" si="6731"/>
        <v>2715</v>
      </c>
      <c r="KC276" s="204">
        <f t="shared" si="6731"/>
        <v>10174.999999999998</v>
      </c>
      <c r="KE276" s="68" t="str">
        <f t="shared" si="6342"/>
        <v>Freight Revenue (Ex-Truck &amp; Other)</v>
      </c>
      <c r="KF276" s="204">
        <f>(KF273*KF270)/1000</f>
        <v>2670</v>
      </c>
      <c r="KG276" s="204">
        <f t="shared" ref="KG276:KJ276" si="6732">(KG273*KG270)/1000</f>
        <v>2837</v>
      </c>
      <c r="KH276" s="204">
        <f t="shared" si="6732"/>
        <v>2850</v>
      </c>
      <c r="KI276" s="204">
        <f t="shared" si="6732"/>
        <v>3011</v>
      </c>
      <c r="KJ276" s="204">
        <f t="shared" si="6732"/>
        <v>11368</v>
      </c>
      <c r="KL276" s="68" t="str">
        <f t="shared" si="6343"/>
        <v>Freight Revenue (Ex-Truck &amp; Other)</v>
      </c>
      <c r="KM276" s="204">
        <f>(KM273*KM270)/1000</f>
        <v>2981.0000000000005</v>
      </c>
      <c r="KN276" s="204">
        <f t="shared" ref="KN276:KQ276" si="6733">(KN273*KN270)/1000</f>
        <v>3354.0000000000005</v>
      </c>
      <c r="KO276" s="204">
        <f t="shared" si="6733"/>
        <v>3370.9999999999995</v>
      </c>
      <c r="KP276" s="204">
        <f t="shared" si="6733"/>
        <v>3273.0000000000005</v>
      </c>
      <c r="KQ276" s="204">
        <f t="shared" si="6733"/>
        <v>12979.000000000002</v>
      </c>
      <c r="KS276" s="68" t="str">
        <f t="shared" si="6344"/>
        <v>Freight Revenue (Ex-Truck &amp; Other)</v>
      </c>
      <c r="KT276" s="204">
        <f>(KT273*KT270)/1000</f>
        <v>3295</v>
      </c>
      <c r="KU276" s="204">
        <f t="shared" ref="KU276:KX276" si="6734">(KU273*KU270)/1000</f>
        <v>3325</v>
      </c>
      <c r="KV276" s="204">
        <f t="shared" si="6734"/>
        <v>3223</v>
      </c>
      <c r="KW276" s="204">
        <f t="shared" si="6734"/>
        <v>3354</v>
      </c>
      <c r="KX276" s="204">
        <f t="shared" si="6734"/>
        <v>13197</v>
      </c>
      <c r="KZ276" s="68" t="str">
        <f t="shared" si="6345"/>
        <v>Freight Revenue (Ex-Truck &amp; Other)</v>
      </c>
      <c r="LA276" s="204">
        <f>(LA273*LA270)/1000</f>
        <v>3323</v>
      </c>
      <c r="LB276" s="204">
        <f>(LB273*LB270)/1000</f>
        <v>3365</v>
      </c>
      <c r="LC276" s="204">
        <f>(LC273*LC270)/1000</f>
        <v>3292.9999999999995</v>
      </c>
      <c r="LD276" s="204">
        <f t="shared" ref="LD276" si="6735">(LD273*LD270)/1000</f>
        <v>3216.0000000000005</v>
      </c>
      <c r="LE276" s="204">
        <f t="shared" ref="LE276" si="6736">(LE273*LE270)/1000</f>
        <v>13197</v>
      </c>
      <c r="LF276" s="564"/>
      <c r="LG276" s="68" t="str">
        <f t="shared" si="6346"/>
        <v>Freight Revenue (Ex-Truck &amp; Other)</v>
      </c>
      <c r="LH276" s="204">
        <f>(LH273*LH270)/1000</f>
        <v>3105.9999999999995</v>
      </c>
      <c r="LI276" s="204">
        <f>(LI273*LI270)/1000</f>
        <v>3225.0000000000005</v>
      </c>
      <c r="LJ276" s="204">
        <f>(LJ273*LJ270)/1000</f>
        <v>3224.9999999999995</v>
      </c>
      <c r="LK276" s="204">
        <f>(LK273*LK270)/1000</f>
        <v>3189.9999999999995</v>
      </c>
      <c r="LL276" s="204">
        <f t="shared" ref="LL276" si="6737">(LL273*LL270)/1000</f>
        <v>12746</v>
      </c>
      <c r="LM276" s="564"/>
      <c r="LN276" s="68" t="str">
        <f t="shared" si="6347"/>
        <v>Freight Revenue (Ex-Truck &amp; Other)</v>
      </c>
      <c r="LO276" s="204">
        <f>(LO273*LO270)/1000</f>
        <v>3136.0474250000002</v>
      </c>
      <c r="LP276" s="204">
        <f t="shared" ref="LP276:LS276" si="6738">(LP273*LP270)/1000</f>
        <v>3275.7699249999996</v>
      </c>
      <c r="LQ276" s="204">
        <f t="shared" si="6738"/>
        <v>3330.0441499999997</v>
      </c>
      <c r="LR276" s="204">
        <f t="shared" si="6738"/>
        <v>3369.7937750000006</v>
      </c>
      <c r="LS276" s="204">
        <f t="shared" si="6738"/>
        <v>13111.655274999997</v>
      </c>
      <c r="LT276" s="564"/>
      <c r="LU276" s="68" t="str">
        <f t="shared" si="6348"/>
        <v>Freight Revenue (Ex-Truck &amp; Other)</v>
      </c>
      <c r="LV276" s="204">
        <f>(LV273*LV270)/1000</f>
        <v>3294.9292315835933</v>
      </c>
      <c r="LW276" s="204">
        <f t="shared" ref="LW276:LZ276" si="6739">(LW273*LW270)/1000</f>
        <v>3439.4783552824997</v>
      </c>
      <c r="LX276" s="204">
        <f t="shared" si="6739"/>
        <v>3492.532192693749</v>
      </c>
      <c r="LY276" s="204">
        <f t="shared" si="6739"/>
        <v>3534.8602806243762</v>
      </c>
      <c r="LZ276" s="204">
        <f t="shared" si="6739"/>
        <v>13761.800060184221</v>
      </c>
      <c r="MA276" s="564"/>
      <c r="MB276" s="68" t="str">
        <f t="shared" si="6349"/>
        <v>Freight Revenue (Ex-Truck &amp; Other)</v>
      </c>
      <c r="MC276" s="204">
        <f>(MC273*MC270)/1000</f>
        <v>3448.9013871509624</v>
      </c>
      <c r="MD276" s="204">
        <f t="shared" ref="MD276:MG276" si="6740">(MD273*MD270)/1000</f>
        <v>3598.1640979982044</v>
      </c>
      <c r="ME276" s="204">
        <f t="shared" si="6740"/>
        <v>3652.7836824944784</v>
      </c>
      <c r="MF276" s="204">
        <f t="shared" si="6740"/>
        <v>3692.7482153818091</v>
      </c>
      <c r="MG276" s="204">
        <f t="shared" si="6740"/>
        <v>14392.597383025455</v>
      </c>
      <c r="MH276" s="564"/>
    </row>
    <row r="277" spans="1:346" s="37" customFormat="1" ht="13.15" x14ac:dyDescent="0.4">
      <c r="A277" s="100"/>
      <c r="B277" s="197" t="s">
        <v>516</v>
      </c>
      <c r="C277" s="186"/>
      <c r="D277" s="186"/>
      <c r="E277" s="186"/>
      <c r="F277" s="186"/>
      <c r="G277" s="186"/>
      <c r="H277" s="186"/>
      <c r="I277" s="186"/>
      <c r="J277" s="186"/>
      <c r="K277" s="186"/>
      <c r="L277" s="186"/>
      <c r="M277" s="186"/>
      <c r="N277" s="186"/>
      <c r="O277" s="198">
        <f>O276/N276-1</f>
        <v>2.7188465499484948E-2</v>
      </c>
      <c r="P277" s="198">
        <f t="shared" ref="P277:BA277" si="6741">P276/O276-1</f>
        <v>-1.5440144375375997E-2</v>
      </c>
      <c r="Q277" s="198">
        <f t="shared" si="6741"/>
        <v>3.3116089613034694E-2</v>
      </c>
      <c r="R277" s="198">
        <f t="shared" si="6741"/>
        <v>-1.4982454756929942E-3</v>
      </c>
      <c r="S277" s="198">
        <f t="shared" si="6741"/>
        <v>6.9101678183613124E-2</v>
      </c>
      <c r="T277" s="198">
        <f t="shared" si="6741"/>
        <v>-4.9861495844875092E-3</v>
      </c>
      <c r="U277" s="198">
        <f t="shared" si="6741"/>
        <v>6.8671121009651337E-3</v>
      </c>
      <c r="V277" s="198">
        <f t="shared" si="6741"/>
        <v>1.8986175115207393E-2</v>
      </c>
      <c r="W277" s="198">
        <f t="shared" si="6741"/>
        <v>-2.1597421483714685E-2</v>
      </c>
      <c r="X277" s="198">
        <f t="shared" si="6741"/>
        <v>0.18044438794027928</v>
      </c>
      <c r="Y277" s="198">
        <f t="shared" si="6741"/>
        <v>0.10890638929329488</v>
      </c>
      <c r="Z277" s="198">
        <f t="shared" si="6741"/>
        <v>-7.3082733571061542E-3</v>
      </c>
      <c r="AA277" s="198">
        <f t="shared" si="6741"/>
        <v>4.3374554980286639E-3</v>
      </c>
      <c r="AB277" s="198">
        <f t="shared" si="6741"/>
        <v>3.956793513669421E-2</v>
      </c>
      <c r="AC277" s="198">
        <f t="shared" si="6741"/>
        <v>7.1982878934873318E-2</v>
      </c>
      <c r="AD277" s="198">
        <f t="shared" si="6741"/>
        <v>6.8003343719773346E-2</v>
      </c>
      <c r="AE277" s="198">
        <f t="shared" si="6741"/>
        <v>0.10285112264371143</v>
      </c>
      <c r="AF277" s="198">
        <f t="shared" si="6741"/>
        <v>4.2927264053343794E-2</v>
      </c>
      <c r="AG277" s="198">
        <f t="shared" si="6741"/>
        <v>0.12171055285869348</v>
      </c>
      <c r="AH277" s="198">
        <f t="shared" si="6741"/>
        <v>-0.19414738642052554</v>
      </c>
      <c r="AI277" s="198">
        <f t="shared" si="6741"/>
        <v>0.18471979717654485</v>
      </c>
      <c r="AJ277" s="198">
        <f t="shared" si="6741"/>
        <v>0.10601082334750678</v>
      </c>
      <c r="AK277" s="198">
        <f t="shared" si="6741"/>
        <v>-4.3687199650499497E-4</v>
      </c>
      <c r="AL277" s="198">
        <f t="shared" si="6741"/>
        <v>1.6520979020979043E-2</v>
      </c>
      <c r="AM277" s="198">
        <f t="shared" si="6741"/>
        <v>5.3143004557571594E-2</v>
      </c>
      <c r="AN277" s="198">
        <f t="shared" si="6741"/>
        <v>-7.4630521760430946E-2</v>
      </c>
      <c r="AO277" s="198">
        <f t="shared" si="6741"/>
        <v>-5.5766346069002326E-2</v>
      </c>
      <c r="AP277" s="198">
        <f t="shared" si="6741"/>
        <v>2.5511634426689245E-2</v>
      </c>
      <c r="AQ277" s="198">
        <f t="shared" si="6741"/>
        <v>6.3240386367778401E-2</v>
      </c>
      <c r="AR277" s="198">
        <f t="shared" si="6741"/>
        <v>-2.1340418237915659E-2</v>
      </c>
      <c r="AS277" s="198">
        <f t="shared" si="6741"/>
        <v>-0.10894123828706559</v>
      </c>
      <c r="AT277" s="198">
        <f t="shared" si="6741"/>
        <v>0.1172481572481574</v>
      </c>
      <c r="AU277" s="198">
        <f t="shared" si="6741"/>
        <v>0.14171358198451811</v>
      </c>
      <c r="AV277" s="198">
        <f t="shared" si="6741"/>
        <v>1.6796363356190724E-2</v>
      </c>
      <c r="AW277" s="198">
        <f t="shared" si="6741"/>
        <v>0</v>
      </c>
      <c r="AX277" s="198">
        <f t="shared" si="6741"/>
        <v>-3.4174433583390118E-2</v>
      </c>
      <c r="AY277" s="198">
        <f t="shared" si="6741"/>
        <v>2.8687845206339047E-2</v>
      </c>
      <c r="AZ277" s="198">
        <f t="shared" si="6741"/>
        <v>4.958525613648912E-2</v>
      </c>
      <c r="BA277" s="198">
        <f t="shared" si="6741"/>
        <v>4.5836832397112337E-2</v>
      </c>
      <c r="BB277" s="198"/>
      <c r="BC277" s="198"/>
      <c r="BD277" s="198"/>
      <c r="BE277" s="198"/>
      <c r="BF277" s="198"/>
      <c r="BG277" s="198"/>
      <c r="BH277" s="198"/>
      <c r="BI277" s="198"/>
      <c r="BJ277" s="198"/>
      <c r="BK277" s="198"/>
      <c r="BL277" s="198"/>
      <c r="BM277" s="198"/>
      <c r="BO277" s="197" t="str">
        <f t="shared" si="6310"/>
        <v>YoY Change (%)</v>
      </c>
      <c r="BP277" s="186"/>
      <c r="BQ277" s="186"/>
      <c r="BR277" s="186"/>
      <c r="BS277" s="186"/>
      <c r="BT277" s="186"/>
      <c r="BV277" s="197" t="str">
        <f t="shared" si="6311"/>
        <v>YoY Change (%)</v>
      </c>
      <c r="BW277" s="198">
        <f>BW276/BP276-1</f>
        <v>1.4586709886547755E-2</v>
      </c>
      <c r="BX277" s="198">
        <f t="shared" ref="BX277" si="6742">BX276/BQ276-1</f>
        <v>2.3519870235198637E-2</v>
      </c>
      <c r="BY277" s="198">
        <f t="shared" ref="BY277" si="6743">BY276/BR276-1</f>
        <v>5.2631578947368363E-2</v>
      </c>
      <c r="BZ277" s="198">
        <f t="shared" ref="BZ277" si="6744">BZ276/BS276-1</f>
        <v>1.9528071602929131E-2</v>
      </c>
      <c r="CA277" s="198">
        <f t="shared" ref="CA277" si="6745">CA276/BT276-1</f>
        <v>2.7188465499484948E-2</v>
      </c>
      <c r="CC277" s="197" t="str">
        <f t="shared" si="6312"/>
        <v>YoY Change (%)</v>
      </c>
      <c r="CD277" s="198">
        <f>CD276/BW276-1</f>
        <v>-4.7923322683706027E-2</v>
      </c>
      <c r="CE277" s="198">
        <f t="shared" ref="CE277" si="6746">CE276/BX276-1</f>
        <v>-4.8335974643423318E-2</v>
      </c>
      <c r="CF277" s="198">
        <f t="shared" ref="CF277" si="6747">CF276/BY276-1</f>
        <v>2.0491803278688492E-2</v>
      </c>
      <c r="CG277" s="198">
        <f t="shared" ref="CG277" si="6748">CG276/BZ276-1</f>
        <v>1.5163607342378205E-2</v>
      </c>
      <c r="CH277" s="198">
        <f t="shared" ref="CH277" si="6749">CH276/CA276-1</f>
        <v>-1.5440144375375997E-2</v>
      </c>
      <c r="CJ277" s="197" t="str">
        <f t="shared" si="6313"/>
        <v>YoY Change (%)</v>
      </c>
      <c r="CK277" s="198">
        <f>CK276/CD276-1</f>
        <v>6.4597315436241587E-2</v>
      </c>
      <c r="CL277" s="198">
        <f t="shared" ref="CL277" si="6750">CL276/CE276-1</f>
        <v>5.6369691923397358E-2</v>
      </c>
      <c r="CM277" s="198">
        <f t="shared" ref="CM277" si="6751">CM276/CF276-1</f>
        <v>1.5261044176708705E-3</v>
      </c>
      <c r="CN277" s="198">
        <f t="shared" ref="CN277" si="6752">CN276/CG276-1</f>
        <v>1.2578616352201255E-2</v>
      </c>
      <c r="CO277" s="198">
        <f t="shared" ref="CO277" si="6753">CO276/CH276-1</f>
        <v>3.3116089613034694E-2</v>
      </c>
      <c r="CQ277" s="197" t="str">
        <f t="shared" si="6314"/>
        <v>YoY Change (%)</v>
      </c>
      <c r="CR277" s="198">
        <f>CR276/CK276-1</f>
        <v>-1.9700551615445261E-2</v>
      </c>
      <c r="CS277" s="198">
        <f t="shared" ref="CS277" si="6754">CS276/CL276-1</f>
        <v>9.6949633483092157E-3</v>
      </c>
      <c r="CT277" s="198">
        <f t="shared" ref="CT277" si="6755">CT276/CM276-1</f>
        <v>-6.3357125671668069E-3</v>
      </c>
      <c r="CU277" s="198">
        <f t="shared" ref="CU277" si="6756">CU276/CN276-1</f>
        <v>1.0093167701863415E-2</v>
      </c>
      <c r="CV277" s="198">
        <f t="shared" ref="CV277" si="6757">CV276/CO276-1</f>
        <v>-1.4982454756929942E-3</v>
      </c>
      <c r="CX277" s="197" t="str">
        <f t="shared" si="6315"/>
        <v>YoY Change (%)</v>
      </c>
      <c r="CY277" s="198">
        <f>CY276/CR276-1</f>
        <v>5.0643086816720251E-2</v>
      </c>
      <c r="CZ277" s="198">
        <f t="shared" ref="CZ277" si="6758">CZ276/CS276-1</f>
        <v>7.1038251366120297E-2</v>
      </c>
      <c r="DA277" s="198">
        <f t="shared" ref="DA277" si="6759">DA276/CT276-1</f>
        <v>8.7167070217917697E-2</v>
      </c>
      <c r="DB277" s="198">
        <f t="shared" ref="DB277" si="6760">DB276/CU276-1</f>
        <v>6.7640276710222658E-2</v>
      </c>
      <c r="DC277" s="198">
        <f t="shared" ref="DC277" si="6761">DC276/CV276-1</f>
        <v>6.9101678183613124E-2</v>
      </c>
      <c r="DE277" s="197" t="str">
        <f t="shared" si="6316"/>
        <v>YoY Change (%)</v>
      </c>
      <c r="DF277" s="198">
        <f>DF276/CY276-1</f>
        <v>2.601377199693955E-2</v>
      </c>
      <c r="DG277" s="198">
        <f t="shared" ref="DG277" si="6762">DG276/CZ276-1</f>
        <v>-1.3848396501457749E-2</v>
      </c>
      <c r="DH277" s="198">
        <f t="shared" ref="DH277" si="6763">DH276/DA276-1</f>
        <v>-1.410541945063104E-2</v>
      </c>
      <c r="DI277" s="198">
        <f t="shared" ref="DI277" si="6764">DI276/DB276-1</f>
        <v>-1.6558675305975323E-2</v>
      </c>
      <c r="DJ277" s="198">
        <f t="shared" ref="DJ277" si="6765">DJ276/DC276-1</f>
        <v>-4.9861495844875092E-3</v>
      </c>
      <c r="DL277" s="197" t="str">
        <f t="shared" si="6317"/>
        <v>YoY Change (%)</v>
      </c>
      <c r="DM277" s="198">
        <f>DM276/DF276-1</f>
        <v>-1.5659955257270708E-2</v>
      </c>
      <c r="DN277" s="198">
        <f t="shared" ref="DN277" si="6766">DN276/DG276-1</f>
        <v>2.2912047302291239E-2</v>
      </c>
      <c r="DO277" s="198">
        <f t="shared" ref="DO277" si="6767">DO276/DH276-1</f>
        <v>6.777108433734913E-3</v>
      </c>
      <c r="DP277" s="198">
        <f t="shared" ref="DP277" si="6768">DP276/DI276-1</f>
        <v>1.3177159590043841E-2</v>
      </c>
      <c r="DQ277" s="198">
        <f t="shared" ref="DQ277" si="6769">DQ276/DJ276-1</f>
        <v>6.8671121009651337E-3</v>
      </c>
      <c r="DS277" s="197" t="str">
        <f t="shared" si="6318"/>
        <v>YoY Change (%)</v>
      </c>
      <c r="DT277" s="198">
        <f>DT276/DM276-1</f>
        <v>4.0909090909091006E-2</v>
      </c>
      <c r="DU277" s="198">
        <f t="shared" ref="DU277" si="6770">DU276/DN276-1</f>
        <v>2.1676300578035157E-3</v>
      </c>
      <c r="DV277" s="198">
        <f t="shared" ref="DV277" si="6771">DV276/DO276-1</f>
        <v>1.5706806282722585E-2</v>
      </c>
      <c r="DW277" s="198">
        <f t="shared" ref="DW277" si="6772">DW276/DP276-1</f>
        <v>1.8063583815028927E-2</v>
      </c>
      <c r="DX277" s="198">
        <f t="shared" ref="DX277" si="6773">DX276/DQ276-1</f>
        <v>1.8986175115207393E-2</v>
      </c>
      <c r="DZ277" s="197" t="str">
        <f t="shared" si="6319"/>
        <v>YoY Change (%)</v>
      </c>
      <c r="EA277" s="198">
        <f>EA276/DT276-1</f>
        <v>-2.7656477438136817E-2</v>
      </c>
      <c r="EB277" s="198">
        <f t="shared" ref="EB277" si="6774">EB276/DU276-1</f>
        <v>-1.0093727469358327E-2</v>
      </c>
      <c r="EC277" s="198">
        <f t="shared" ref="EC277" si="6775">EC276/DV276-1</f>
        <v>-2.0485614163365584E-2</v>
      </c>
      <c r="ED277" s="198">
        <f t="shared" ref="ED277" si="6776">ED276/DW276-1</f>
        <v>-2.3315595912809406E-2</v>
      </c>
      <c r="EE277" s="198">
        <f t="shared" ref="EE277" si="6777">EE276/DX276-1</f>
        <v>-2.1597421483714685E-2</v>
      </c>
      <c r="EG277" s="197" t="str">
        <f t="shared" si="6320"/>
        <v>YoY Change (%)</v>
      </c>
      <c r="EH277" s="198">
        <f>EH276/EA276-1</f>
        <v>6.8862275449101729E-2</v>
      </c>
      <c r="EI277" s="198">
        <f t="shared" ref="EI277" si="6778">EI276/EB276-1</f>
        <v>8.8052937853947189E-2</v>
      </c>
      <c r="EJ277" s="198">
        <f t="shared" ref="EJ277" si="6779">EJ276/EC276-1</f>
        <v>0.29566153887989399</v>
      </c>
      <c r="EK277" s="198">
        <f t="shared" ref="EK277" si="6780">EK276/ED276-1</f>
        <v>0.27880974366831635</v>
      </c>
      <c r="EL277" s="198">
        <f t="shared" ref="EL277" si="6781">EL276/EE276-1</f>
        <v>0.18044438794027928</v>
      </c>
      <c r="EN277" s="197" t="str">
        <f t="shared" si="6321"/>
        <v>YoY Change (%)</v>
      </c>
      <c r="EO277" s="198">
        <f>EO276/EH276-1</f>
        <v>0.24269881206407851</v>
      </c>
      <c r="EP277" s="198">
        <f t="shared" ref="EP277" si="6782">EP276/EI276-1</f>
        <v>0.20454828157066363</v>
      </c>
      <c r="EQ277" s="198">
        <f t="shared" ref="EQ277" si="6783">EQ276/EJ276-1</f>
        <v>1.2338182912391638E-2</v>
      </c>
      <c r="ER277" s="198">
        <f t="shared" ref="ER277" si="6784">ER276/EK276-1</f>
        <v>7.0945117962373239E-4</v>
      </c>
      <c r="ES277" s="198">
        <f t="shared" ref="ES277" si="6785">ES276/EL276-1</f>
        <v>0.10890638929329488</v>
      </c>
      <c r="EU277" s="197" t="str">
        <f t="shared" si="6322"/>
        <v>YoY Change (%)</v>
      </c>
      <c r="EV277" s="198">
        <f>EV276/EO276-1</f>
        <v>-3.1934236278764461E-3</v>
      </c>
      <c r="EW277" s="198">
        <f t="shared" ref="EW277" si="6786">EW276/EP276-1</f>
        <v>-1.25170727949937E-2</v>
      </c>
      <c r="EX277" s="198">
        <f t="shared" ref="EX277" si="6787">EX276/EQ276-1</f>
        <v>-5.4549175578908482E-3</v>
      </c>
      <c r="EY277" s="198">
        <f t="shared" ref="EY277" si="6788">EY276/ER276-1</f>
        <v>-7.9389851656367361E-3</v>
      </c>
      <c r="EZ277" s="198">
        <f t="shared" ref="EZ277" si="6789">EZ276/ES276-1</f>
        <v>-7.3082733571061542E-3</v>
      </c>
      <c r="FB277" s="197" t="str">
        <f t="shared" si="6323"/>
        <v>YoY Change (%)</v>
      </c>
      <c r="FC277" s="198">
        <f>FC276/EV276-1</f>
        <v>-3.0590577292000098E-2</v>
      </c>
      <c r="FD277" s="198">
        <f t="shared" ref="FD277" si="6790">FD276/EW276-1</f>
        <v>1.2928843584154137E-2</v>
      </c>
      <c r="FE277" s="198">
        <f t="shared" ref="FE277" si="6791">FE276/EX276-1</f>
        <v>1.3357280663091498E-2</v>
      </c>
      <c r="FF277" s="198">
        <f t="shared" ref="FF277" si="6792">FF276/EY276-1</f>
        <v>2.20739527620335E-2</v>
      </c>
      <c r="FG277" s="198">
        <f t="shared" ref="FG277" si="6793">FG276/EZ276-1</f>
        <v>4.3374554980286639E-3</v>
      </c>
      <c r="FI277" s="197" t="str">
        <f t="shared" si="6324"/>
        <v>YoY Change (%)</v>
      </c>
      <c r="FJ277" s="198">
        <f>FJ276/FC276-1</f>
        <v>5.1169375960916197E-2</v>
      </c>
      <c r="FK277" s="198">
        <f t="shared" ref="FK277" si="6794">FK276/FD276-1</f>
        <v>3.4861657446150662E-2</v>
      </c>
      <c r="FL277" s="198">
        <f t="shared" ref="FL277" si="6795">FL276/FE276-1</f>
        <v>2.5939363505115942E-2</v>
      </c>
      <c r="FM277" s="198">
        <f t="shared" ref="FM277" si="6796">FM276/FF276-1</f>
        <v>4.6561140983585325E-2</v>
      </c>
      <c r="FN277" s="198">
        <f t="shared" ref="FN277" si="6797">FN276/FG276-1</f>
        <v>3.956793513669421E-2</v>
      </c>
      <c r="FP277" s="197" t="str">
        <f t="shared" si="6325"/>
        <v>YoY Change (%)</v>
      </c>
      <c r="FQ277" s="198">
        <f>FQ276/FJ276-1</f>
        <v>4.2595215349980897E-2</v>
      </c>
      <c r="FR277" s="198">
        <f t="shared" ref="FR277" si="6798">FR276/FK276-1</f>
        <v>5.1381658170842837E-2</v>
      </c>
      <c r="FS277" s="198">
        <f t="shared" ref="FS277" si="6799">FS276/FL276-1</f>
        <v>5.214731038589715E-2</v>
      </c>
      <c r="FT277" s="198">
        <f t="shared" ref="FT277" si="6800">FT276/FM276-1</f>
        <v>0.13992258684503978</v>
      </c>
      <c r="FU277" s="198">
        <f t="shared" ref="FU277" si="6801">FU276/FN276-1</f>
        <v>7.1982878934873318E-2</v>
      </c>
      <c r="FW277" s="197" t="str">
        <f t="shared" si="6326"/>
        <v>YoY Change (%)</v>
      </c>
      <c r="FX277" s="198">
        <f>FX276/FQ276-1</f>
        <v>9.4705204144376776E-2</v>
      </c>
      <c r="FY277" s="198">
        <f t="shared" ref="FY277" si="6802">FY276/FR276-1</f>
        <v>7.3395879538948883E-2</v>
      </c>
      <c r="FZ277" s="198">
        <f t="shared" ref="FZ277" si="6803">FZ276/FS276-1</f>
        <v>9.3177956170013454E-2</v>
      </c>
      <c r="GA277" s="198">
        <f t="shared" ref="GA277" si="6804">GA276/FT276-1</f>
        <v>1.7079487767618806E-2</v>
      </c>
      <c r="GB277" s="198">
        <f t="shared" ref="GB277" si="6805">GB276/FU276-1</f>
        <v>6.8003343719773346E-2</v>
      </c>
      <c r="GD277" s="197" t="str">
        <f t="shared" si="6327"/>
        <v>YoY Change (%)</v>
      </c>
      <c r="GE277" s="198">
        <f>GE276/FX276-1</f>
        <v>0.10235936347045693</v>
      </c>
      <c r="GF277" s="198">
        <f t="shared" ref="GF277" si="6806">GF276/FY276-1</f>
        <v>0.11719403057087496</v>
      </c>
      <c r="GG277" s="198">
        <f t="shared" ref="GG277" si="6807">GG276/FZ276-1</f>
        <v>0.12692839440844161</v>
      </c>
      <c r="GH277" s="198">
        <f t="shared" ref="GH277" si="6808">GH276/GA276-1</f>
        <v>6.629932548117079E-2</v>
      </c>
      <c r="GI277" s="198">
        <f t="shared" ref="GI277" si="6809">GI276/GB276-1</f>
        <v>0.10285112264371143</v>
      </c>
      <c r="GK277" s="197" t="str">
        <f t="shared" si="6328"/>
        <v>YoY Change (%)</v>
      </c>
      <c r="GL277" s="198">
        <f>GL276/GE276-1</f>
        <v>2.9472302150524099E-2</v>
      </c>
      <c r="GM277" s="198">
        <f t="shared" ref="GM277" si="6810">GM276/GF276-1</f>
        <v>3.8774102082420825E-2</v>
      </c>
      <c r="GN277" s="198">
        <f t="shared" ref="GN277" si="6811">GN276/GG276-1</f>
        <v>3.021166656486729E-2</v>
      </c>
      <c r="GO277" s="198">
        <f t="shared" ref="GO277" si="6812">GO276/GH276-1</f>
        <v>7.3280048540187215E-2</v>
      </c>
      <c r="GP277" s="198">
        <f t="shared" ref="GP277" si="6813">GP276/GI276-1</f>
        <v>4.2927264053343794E-2</v>
      </c>
      <c r="GR277" s="197" t="str">
        <f t="shared" si="6329"/>
        <v>YoY Change (%)</v>
      </c>
      <c r="GS277" s="198">
        <f>GS276/GL276-1</f>
        <v>0.12152338980056165</v>
      </c>
      <c r="GT277" s="198">
        <f t="shared" ref="GT277" si="6814">GT276/GM276-1</f>
        <v>0.14888377975612266</v>
      </c>
      <c r="GU277" s="198">
        <f t="shared" ref="GU277" si="6815">GU276/GN276-1</f>
        <v>0.18479359593846656</v>
      </c>
      <c r="GV277" s="198">
        <f t="shared" ref="GV277" si="6816">GV276/GO276-1</f>
        <v>3.3755155189699293E-2</v>
      </c>
      <c r="GW277" s="198">
        <f t="shared" ref="GW277" si="6817">GW276/GP276-1</f>
        <v>0.12171055285869348</v>
      </c>
      <c r="GY277" s="197" t="str">
        <f t="shared" si="6330"/>
        <v>YoY Change (%)</v>
      </c>
      <c r="GZ277" s="198">
        <f>GZ276/GS276-1</f>
        <v>-0.17532300407260515</v>
      </c>
      <c r="HA277" s="198">
        <f t="shared" ref="HA277" si="6818">HA276/GT276-1</f>
        <v>-0.24862777248529877</v>
      </c>
      <c r="HB277" s="198">
        <f t="shared" ref="HB277" si="6819">HB276/GU276-1</f>
        <v>-0.22912020004539235</v>
      </c>
      <c r="HC277" s="198">
        <f t="shared" ref="HC277" si="6820">HC276/GV276-1</f>
        <v>-0.11482351383627087</v>
      </c>
      <c r="HD277" s="198">
        <f t="shared" ref="HD277" si="6821">HD276/GW276-1</f>
        <v>-0.19414738642052554</v>
      </c>
      <c r="HF277" s="197" t="str">
        <f t="shared" si="6331"/>
        <v>YoY Change (%)</v>
      </c>
      <c r="HG277" s="198">
        <f>HG276/GZ276-1</f>
        <v>0.12393673681984452</v>
      </c>
      <c r="HH277" s="198">
        <f t="shared" ref="HH277" si="6822">HH276/HA276-1</f>
        <v>0.23225469043578162</v>
      </c>
      <c r="HI277" s="198">
        <f t="shared" ref="HI277" si="6823">HI276/HB276-1</f>
        <v>0.17309155237201757</v>
      </c>
      <c r="HJ277" s="198">
        <f t="shared" ref="HJ277" si="6824">HJ276/HC276-1</f>
        <v>0.20978404583516963</v>
      </c>
      <c r="HK277" s="198">
        <f t="shared" ref="HK277" si="6825">HK276/HD276-1</f>
        <v>0.18471979717654485</v>
      </c>
      <c r="HM277" s="197" t="str">
        <f t="shared" si="6332"/>
        <v>YoY Change (%)</v>
      </c>
      <c r="HN277" s="198">
        <f>HN276/HG276-1</f>
        <v>0.1256695508858674</v>
      </c>
      <c r="HO277" s="198">
        <f t="shared" ref="HO277" si="6826">HO276/HH276-1</f>
        <v>0.13256262042389211</v>
      </c>
      <c r="HP277" s="198">
        <f t="shared" ref="HP277" si="6827">HP276/HI276-1</f>
        <v>0.11778380472685002</v>
      </c>
      <c r="HQ277" s="198">
        <f t="shared" ref="HQ277" si="6828">HQ276/HJ276-1</f>
        <v>5.2459016393442637E-2</v>
      </c>
      <c r="HR277" s="198">
        <f t="shared" ref="HR277" si="6829">HR276/HK276-1</f>
        <v>0.10601082334750678</v>
      </c>
      <c r="HT277" s="197" t="str">
        <f t="shared" si="6333"/>
        <v>YoY Change (%)</v>
      </c>
      <c r="HU277" s="198">
        <f>HU276/HN276-1</f>
        <v>6.0029282576866683E-2</v>
      </c>
      <c r="HV277" s="198">
        <f t="shared" ref="HV277" si="6830">HV276/HO276-1</f>
        <v>0</v>
      </c>
      <c r="HW277" s="198">
        <f t="shared" ref="HW277" si="6831">HW276/HP276-1</f>
        <v>-2.9809358752166393E-2</v>
      </c>
      <c r="HX277" s="198">
        <f t="shared" ref="HX277" si="6832">HX276/HQ276-1</f>
        <v>-2.8729664243682951E-2</v>
      </c>
      <c r="HY277" s="198">
        <f t="shared" ref="HY277" si="6833">HY276/HR276-1</f>
        <v>-4.3687199650499497E-4</v>
      </c>
      <c r="IA277" s="197" t="str">
        <f t="shared" si="6334"/>
        <v>YoY Change (%)</v>
      </c>
      <c r="IB277" s="198">
        <f>IB276/HU276-1</f>
        <v>-1.6919889502762464E-2</v>
      </c>
      <c r="IC277" s="198">
        <f t="shared" ref="IC277" si="6834">IC276/HV276-1</f>
        <v>1.2929567880231474E-2</v>
      </c>
      <c r="ID277" s="198">
        <f t="shared" ref="ID277" si="6835">ID276/HW276-1</f>
        <v>2.5366202215076905E-2</v>
      </c>
      <c r="IE277" s="198">
        <f t="shared" ref="IE277" si="6836">IE276/HX276-1</f>
        <v>4.5972915181753393E-2</v>
      </c>
      <c r="IF277" s="198">
        <f t="shared" ref="IF277" si="6837">IF276/HY276-1</f>
        <v>1.6520979020979043E-2</v>
      </c>
      <c r="IH277" s="197" t="str">
        <f t="shared" si="6335"/>
        <v>YoY Change (%)</v>
      </c>
      <c r="II277" s="198">
        <f>II276/IB276-1</f>
        <v>8.0786793115559252E-3</v>
      </c>
      <c r="IJ277" s="198">
        <f t="shared" ref="IJ277" si="6838">IJ276/IC276-1</f>
        <v>6.2814914343298556E-2</v>
      </c>
      <c r="IK277" s="198">
        <f t="shared" ref="IK277" si="6839">IK276/ID276-1</f>
        <v>8.1184668989547015E-2</v>
      </c>
      <c r="IL277" s="198">
        <f t="shared" ref="IL277" si="6840">IL276/IE276-1</f>
        <v>5.9625212947189032E-2</v>
      </c>
      <c r="IM277" s="198">
        <f t="shared" ref="IM277" si="6841">IM276/IF276-1</f>
        <v>5.3143004557571594E-2</v>
      </c>
      <c r="IO277" s="197" t="str">
        <f t="shared" si="6336"/>
        <v>YoY Change (%)</v>
      </c>
      <c r="IP277" s="198">
        <f>IP276/II276-1</f>
        <v>-2.7874564459929863E-3</v>
      </c>
      <c r="IQ277" s="198">
        <f t="shared" ref="IQ277" si="6842">IQ276/IJ276-1</f>
        <v>-7.1428571428571397E-2</v>
      </c>
      <c r="IR277" s="198">
        <f t="shared" ref="IR277" si="6843">IR276/IK276-1</f>
        <v>-8.0567193038994511E-2</v>
      </c>
      <c r="IS277" s="198">
        <f t="shared" ref="IS277" si="6844">IS276/IL276-1</f>
        <v>-0.13826366559485526</v>
      </c>
      <c r="IT277" s="198">
        <f t="shared" ref="IT277" si="6845">IT276/IM276-1</f>
        <v>-7.4630521760430946E-2</v>
      </c>
      <c r="IV277" s="197" t="str">
        <f t="shared" si="6337"/>
        <v>YoY Change (%)</v>
      </c>
      <c r="IW277" s="198">
        <f>IW276/IP276-1</f>
        <v>-0.1132075471698113</v>
      </c>
      <c r="IX277" s="198">
        <f t="shared" ref="IX277" si="6846">IX276/IQ276-1</f>
        <v>-0.11266167460857723</v>
      </c>
      <c r="IY277" s="198">
        <f t="shared" ref="IY277" si="6847">IY276/IR276-1</f>
        <v>-7.7111812127585E-2</v>
      </c>
      <c r="IZ277" s="198">
        <f t="shared" ref="IZ277" si="6848">IZ276/IS276-1</f>
        <v>9.0671641791044699E-2</v>
      </c>
      <c r="JA277" s="198">
        <f t="shared" ref="JA277" si="6849">JA276/IT276-1</f>
        <v>-5.5766346069002326E-2</v>
      </c>
      <c r="JC277" s="197" t="str">
        <f t="shared" si="6338"/>
        <v>YoY Change (%)</v>
      </c>
      <c r="JD277" s="198">
        <f>JD276/IW276-1</f>
        <v>0.10126083530338859</v>
      </c>
      <c r="JE277" s="198">
        <f t="shared" ref="JE277" si="6850">JE276/IX276-1</f>
        <v>6.4825469888760923E-2</v>
      </c>
      <c r="JF277" s="198">
        <f t="shared" ref="JF277" si="6851">JF276/IY276-1</f>
        <v>5.6969236612229857E-3</v>
      </c>
      <c r="JG277" s="198">
        <f t="shared" ref="JG277" si="6852">JG276/IZ276-1</f>
        <v>-5.7475196715703003E-2</v>
      </c>
      <c r="JH277" s="198">
        <f t="shared" ref="JH277" si="6853">JH276/JA276-1</f>
        <v>2.5511634426689245E-2</v>
      </c>
      <c r="JJ277" s="197" t="str">
        <f t="shared" si="6339"/>
        <v>YoY Change (%)</v>
      </c>
      <c r="JK277" s="198">
        <f>JK276/JD276-1</f>
        <v>-2.2898032200357799E-2</v>
      </c>
      <c r="JL277" s="198">
        <f t="shared" ref="JL277" si="6854">JL276/JE276-1</f>
        <v>6.8443804034582056E-2</v>
      </c>
      <c r="JM277" s="198">
        <f t="shared" ref="JM277" si="6855">JM276/JF276-1</f>
        <v>0.12462235649546827</v>
      </c>
      <c r="JN277" s="198">
        <f t="shared" ref="JN277" si="6856">JN276/JG276-1</f>
        <v>8.6388384754990888E-2</v>
      </c>
      <c r="JO277" s="198">
        <f t="shared" ref="JO277" si="6857">JO276/JH276-1</f>
        <v>6.3240386367778401E-2</v>
      </c>
      <c r="JQ277" s="197" t="str">
        <f t="shared" si="6340"/>
        <v>YoY Change (%)</v>
      </c>
      <c r="JR277" s="198">
        <f>JR276/JK276-1</f>
        <v>4.1742951299890141E-2</v>
      </c>
      <c r="JS277" s="198">
        <f t="shared" ref="JS277" si="6858">JS276/JL276-1</f>
        <v>-9.7774780849628762E-3</v>
      </c>
      <c r="JT277" s="198">
        <f t="shared" ref="JT277" si="6859">JT276/JM276-1</f>
        <v>-3.6601746138347879E-2</v>
      </c>
      <c r="JU277" s="198">
        <f t="shared" ref="JU277" si="6860">JU276/JN276-1</f>
        <v>-7.5175409288339656E-2</v>
      </c>
      <c r="JV277" s="198">
        <f t="shared" ref="JV277" si="6861">JV276/JO276-1</f>
        <v>-2.1340418237915659E-2</v>
      </c>
      <c r="JX277" s="197" t="str">
        <f t="shared" si="6341"/>
        <v>YoY Change (%)</v>
      </c>
      <c r="JY277" s="198">
        <f>JY276/JR276-1</f>
        <v>-3.198594024604573E-2</v>
      </c>
      <c r="JZ277" s="198">
        <f t="shared" ref="JZ277" si="6862">JZ276/JS276-1</f>
        <v>-0.26659856996935649</v>
      </c>
      <c r="KA277" s="198">
        <f t="shared" ref="KA277" si="6863">KA276/JT276-1</f>
        <v>-0.11049146043917746</v>
      </c>
      <c r="KB277" s="198">
        <f t="shared" ref="KB277" si="6864">KB276/JU276-1</f>
        <v>-1.9147398843930463E-2</v>
      </c>
      <c r="KC277" s="198">
        <f t="shared" ref="KC277" si="6865">KC276/JV276-1</f>
        <v>-0.10894123828706559</v>
      </c>
      <c r="KE277" s="197" t="str">
        <f t="shared" si="6342"/>
        <v>YoY Change (%)</v>
      </c>
      <c r="KF277" s="198">
        <f>KF276/JY276-1</f>
        <v>-3.0501089324618702E-2</v>
      </c>
      <c r="KG277" s="198">
        <f t="shared" ref="KG277" si="6866">KG276/JZ276-1</f>
        <v>0.31708449396471683</v>
      </c>
      <c r="KH277" s="198">
        <f t="shared" ref="KH277" si="6867">KH276/KA276-1</f>
        <v>0.11677115987460818</v>
      </c>
      <c r="KI277" s="198">
        <f t="shared" ref="KI277" si="6868">KI276/KB276-1</f>
        <v>0.10902394106813995</v>
      </c>
      <c r="KJ277" s="198">
        <f t="shared" ref="KJ277" si="6869">KJ276/KC276-1</f>
        <v>0.1172481572481574</v>
      </c>
      <c r="KL277" s="197" t="str">
        <f t="shared" si="6343"/>
        <v>YoY Change (%)</v>
      </c>
      <c r="KM277" s="198">
        <f>KM276/KF276-1</f>
        <v>0.11647940074906393</v>
      </c>
      <c r="KN277" s="198">
        <f t="shared" ref="KN277" si="6870">KN276/KG276-1</f>
        <v>0.18223475502291175</v>
      </c>
      <c r="KO277" s="198">
        <f t="shared" ref="KO277" si="6871">KO276/KH276-1</f>
        <v>0.18280701754385942</v>
      </c>
      <c r="KP277" s="198">
        <f t="shared" ref="KP277" si="6872">KP276/KI276-1</f>
        <v>8.7014280969777591E-2</v>
      </c>
      <c r="KQ277" s="198">
        <f t="shared" ref="KQ277" si="6873">KQ276/KJ276-1</f>
        <v>0.14171358198451811</v>
      </c>
      <c r="KS277" s="197" t="str">
        <f t="shared" si="6344"/>
        <v>YoY Change (%)</v>
      </c>
      <c r="KT277" s="198">
        <f>KT276/KM276-1</f>
        <v>0.10533378061053322</v>
      </c>
      <c r="KU277" s="198">
        <f t="shared" ref="KU277" si="6874">KU276/KN276-1</f>
        <v>-8.646392367322786E-3</v>
      </c>
      <c r="KV277" s="198">
        <f t="shared" ref="KV277" si="6875">KV276/KO276-1</f>
        <v>-4.3903886087214294E-2</v>
      </c>
      <c r="KW277" s="198">
        <f t="shared" ref="KW277" si="6876">KW276/KP276-1</f>
        <v>2.4747937671860454E-2</v>
      </c>
      <c r="KX277" s="198">
        <f t="shared" ref="KX277" si="6877">KX276/KQ276-1</f>
        <v>1.6796363356190724E-2</v>
      </c>
      <c r="KZ277" s="197" t="str">
        <f t="shared" si="6345"/>
        <v>YoY Change (%)</v>
      </c>
      <c r="LA277" s="198">
        <f>LA276/KT276-1</f>
        <v>8.4977238239756225E-3</v>
      </c>
      <c r="LB277" s="198">
        <f>LB276/KU276-1</f>
        <v>1.2030075187969835E-2</v>
      </c>
      <c r="LC277" s="198">
        <f>LC276/KV276-1</f>
        <v>2.1718895439031716E-2</v>
      </c>
      <c r="LD277" s="198">
        <f t="shared" ref="LD277" si="6878">LD276/KW276-1</f>
        <v>-4.1144901610017715E-2</v>
      </c>
      <c r="LE277" s="198">
        <f t="shared" ref="LE277" si="6879">LE276/KX276-1</f>
        <v>0</v>
      </c>
      <c r="LF277" s="574"/>
      <c r="LG277" s="197" t="str">
        <f t="shared" si="6346"/>
        <v>YoY Change (%)</v>
      </c>
      <c r="LH277" s="198">
        <f>LH276/LA276-1</f>
        <v>-6.5302437556425064E-2</v>
      </c>
      <c r="LI277" s="198">
        <f>LI276/LB276-1</f>
        <v>-4.1604754829123181E-2</v>
      </c>
      <c r="LJ277" s="198">
        <f>LJ276/LC276-1</f>
        <v>-2.0649863346492547E-2</v>
      </c>
      <c r="LK277" s="198">
        <f>LK276/LD276-1</f>
        <v>-8.0845771144281153E-3</v>
      </c>
      <c r="LL277" s="198">
        <f t="shared" ref="LL277" si="6880">LL276/LE276-1</f>
        <v>-3.4174433583390118E-2</v>
      </c>
      <c r="LM277" s="574"/>
      <c r="LN277" s="197" t="str">
        <f t="shared" si="6347"/>
        <v>YoY Change (%)</v>
      </c>
      <c r="LO277" s="198">
        <f>LO276/LH276-1</f>
        <v>9.6739938828076522E-3</v>
      </c>
      <c r="LP277" s="198">
        <f t="shared" ref="LP277" si="6881">LP276/LI276-1</f>
        <v>1.5742612403100598E-2</v>
      </c>
      <c r="LQ277" s="198">
        <f>LQ276/LJ276-1</f>
        <v>3.2571829457364476E-2</v>
      </c>
      <c r="LR277" s="198">
        <f t="shared" ref="LR277" si="6882">LR276/LK276-1</f>
        <v>5.6361684952978441E-2</v>
      </c>
      <c r="LS277" s="198">
        <f t="shared" ref="LS277" si="6883">LS276/LL276-1</f>
        <v>2.8687845206339047E-2</v>
      </c>
      <c r="LT277" s="574"/>
      <c r="LU277" s="197" t="str">
        <f t="shared" si="6348"/>
        <v>YoY Change (%)</v>
      </c>
      <c r="LV277" s="198">
        <f>LV276/LO276-1</f>
        <v>5.0663075219148812E-2</v>
      </c>
      <c r="LW277" s="198">
        <f t="shared" ref="LW277" si="6884">LW276/LP276-1</f>
        <v>4.9975558122416164E-2</v>
      </c>
      <c r="LX277" s="198">
        <f t="shared" ref="LX277" si="6885">LX276/LQ276-1</f>
        <v>4.8794561085248489E-2</v>
      </c>
      <c r="LY277" s="198">
        <f t="shared" ref="LY277" si="6886">LY276/LR276-1</f>
        <v>4.8984156493189435E-2</v>
      </c>
      <c r="LZ277" s="198">
        <f t="shared" ref="LZ277" si="6887">LZ276/LS276-1</f>
        <v>4.958525613648912E-2</v>
      </c>
      <c r="MA277" s="574"/>
      <c r="MB277" s="197" t="str">
        <f t="shared" si="6349"/>
        <v>YoY Change (%)</v>
      </c>
      <c r="MC277" s="198">
        <f>MC276/LV276-1</f>
        <v>4.6730034166277967E-2</v>
      </c>
      <c r="MD277" s="198">
        <f t="shared" ref="MD277" si="6888">MD276/LW276-1</f>
        <v>4.6136572562519129E-2</v>
      </c>
      <c r="ME277" s="198">
        <f t="shared" ref="ME277" si="6889">ME276/LX276-1</f>
        <v>4.5884040850352026E-2</v>
      </c>
      <c r="MF277" s="198">
        <f t="shared" ref="MF277" si="6890">MF276/LY276-1</f>
        <v>4.4665961939956755E-2</v>
      </c>
      <c r="MG277" s="198">
        <f t="shared" ref="MG277" si="6891">MG276/LZ276-1</f>
        <v>4.5836832397112337E-2</v>
      </c>
      <c r="MH277" s="574"/>
    </row>
    <row r="278" spans="1:346" s="37" customFormat="1" ht="13.15" x14ac:dyDescent="0.4">
      <c r="A278" s="35"/>
      <c r="B278" s="72"/>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c r="AA278" s="73"/>
      <c r="AB278" s="73"/>
      <c r="AC278" s="73"/>
      <c r="AD278" s="73"/>
      <c r="AE278" s="73"/>
      <c r="AF278" s="73"/>
      <c r="AG278" s="73"/>
      <c r="AH278" s="73"/>
      <c r="AI278" s="73"/>
      <c r="AJ278" s="73"/>
      <c r="AK278" s="73"/>
      <c r="AL278" s="73"/>
      <c r="AM278" s="73"/>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O278" s="72"/>
      <c r="BP278" s="73"/>
      <c r="BQ278" s="73"/>
      <c r="BR278" s="73"/>
      <c r="BS278" s="73"/>
      <c r="BT278" s="73"/>
      <c r="BV278" s="72"/>
      <c r="BW278" s="73"/>
      <c r="BX278" s="73"/>
      <c r="BY278" s="73"/>
      <c r="BZ278" s="73"/>
      <c r="CA278" s="73"/>
      <c r="CC278" s="72"/>
      <c r="CD278" s="73"/>
      <c r="CE278" s="73"/>
      <c r="CF278" s="73"/>
      <c r="CG278" s="73"/>
      <c r="CH278" s="73"/>
      <c r="CJ278" s="72"/>
      <c r="CK278" s="73"/>
      <c r="CL278" s="73"/>
      <c r="CM278" s="73"/>
      <c r="CN278" s="73"/>
      <c r="CO278" s="73"/>
      <c r="CQ278" s="72"/>
      <c r="CR278" s="73"/>
      <c r="CS278" s="73"/>
      <c r="CT278" s="73"/>
      <c r="CU278" s="73"/>
      <c r="CV278" s="73"/>
      <c r="CX278" s="72"/>
      <c r="CY278" s="73"/>
      <c r="CZ278" s="73"/>
      <c r="DA278" s="73"/>
      <c r="DB278" s="73"/>
      <c r="DC278" s="73"/>
      <c r="DE278" s="72"/>
      <c r="DF278" s="73"/>
      <c r="DG278" s="73"/>
      <c r="DH278" s="73"/>
      <c r="DI278" s="73"/>
      <c r="DJ278" s="73"/>
      <c r="DL278" s="72"/>
      <c r="DM278" s="73"/>
      <c r="DN278" s="73"/>
      <c r="DO278" s="73"/>
      <c r="DP278" s="73"/>
      <c r="DQ278" s="73"/>
      <c r="DS278" s="72"/>
      <c r="DT278" s="73"/>
      <c r="DU278" s="73"/>
      <c r="DV278" s="73"/>
      <c r="DW278" s="73"/>
      <c r="DX278" s="73"/>
      <c r="DZ278" s="72"/>
      <c r="EA278" s="73"/>
      <c r="EB278" s="73"/>
      <c r="EC278" s="73"/>
      <c r="ED278" s="73"/>
      <c r="EE278" s="73"/>
      <c r="EG278" s="72"/>
      <c r="EH278" s="73"/>
      <c r="EI278" s="73"/>
      <c r="EJ278" s="73"/>
      <c r="EK278" s="73"/>
      <c r="EL278" s="73"/>
      <c r="EN278" s="72"/>
      <c r="EO278" s="73"/>
      <c r="EP278" s="73"/>
      <c r="EQ278" s="73"/>
      <c r="ER278" s="73"/>
      <c r="ES278" s="73"/>
      <c r="EU278" s="72"/>
      <c r="EV278" s="73"/>
      <c r="EW278" s="73"/>
      <c r="EX278" s="73"/>
      <c r="EY278" s="73"/>
      <c r="EZ278" s="73"/>
      <c r="FB278" s="72"/>
      <c r="FC278" s="73"/>
      <c r="FD278" s="73"/>
      <c r="FE278" s="73"/>
      <c r="FF278" s="73"/>
      <c r="FG278" s="73"/>
      <c r="FI278" s="72"/>
      <c r="FJ278" s="73"/>
      <c r="FK278" s="73"/>
      <c r="FL278" s="73"/>
      <c r="FM278" s="73"/>
      <c r="FN278" s="73"/>
      <c r="FP278" s="72"/>
      <c r="FQ278" s="73"/>
      <c r="FR278" s="73"/>
      <c r="FS278" s="73"/>
      <c r="FT278" s="73"/>
      <c r="FU278" s="73"/>
      <c r="FW278" s="72"/>
      <c r="FX278" s="73"/>
      <c r="FY278" s="73"/>
      <c r="FZ278" s="73"/>
      <c r="GA278" s="73"/>
      <c r="GB278" s="73"/>
      <c r="GD278" s="72"/>
      <c r="GE278" s="73"/>
      <c r="GF278" s="73"/>
      <c r="GG278" s="73"/>
      <c r="GH278" s="73"/>
      <c r="GI278" s="73"/>
      <c r="GK278" s="72"/>
      <c r="GL278" s="73"/>
      <c r="GM278" s="73"/>
      <c r="GN278" s="73"/>
      <c r="GO278" s="73"/>
      <c r="GP278" s="73"/>
      <c r="GR278" s="72"/>
      <c r="GS278" s="73"/>
      <c r="GT278" s="73"/>
      <c r="GU278" s="73"/>
      <c r="GV278" s="73"/>
      <c r="GW278" s="73"/>
      <c r="GY278" s="72"/>
      <c r="GZ278" s="73"/>
      <c r="HA278" s="73"/>
      <c r="HB278" s="73"/>
      <c r="HC278" s="73"/>
      <c r="HD278" s="73"/>
      <c r="HF278" s="72"/>
      <c r="HG278" s="73"/>
      <c r="HH278" s="73"/>
      <c r="HI278" s="73"/>
      <c r="HJ278" s="73"/>
      <c r="HK278" s="73"/>
      <c r="HM278" s="72"/>
      <c r="HN278" s="73"/>
      <c r="HO278" s="73"/>
      <c r="HP278" s="73"/>
      <c r="HQ278" s="73"/>
      <c r="HR278" s="73"/>
      <c r="HT278" s="72"/>
      <c r="HU278" s="73"/>
      <c r="HV278" s="73"/>
      <c r="HW278" s="73"/>
      <c r="HX278" s="73"/>
      <c r="HY278" s="73"/>
      <c r="IA278" s="72"/>
      <c r="IB278" s="73"/>
      <c r="IC278" s="73"/>
      <c r="ID278" s="73"/>
      <c r="IE278" s="73"/>
      <c r="IF278" s="73"/>
      <c r="IH278" s="72"/>
      <c r="II278" s="73"/>
      <c r="IJ278" s="73"/>
      <c r="IK278" s="73"/>
      <c r="IL278" s="73"/>
      <c r="IM278" s="73"/>
      <c r="IO278" s="72"/>
      <c r="IP278" s="73"/>
      <c r="IQ278" s="73"/>
      <c r="IR278" s="73"/>
      <c r="IS278" s="73"/>
      <c r="IT278" s="73"/>
      <c r="IV278" s="72"/>
      <c r="IW278" s="73"/>
      <c r="IX278" s="73"/>
      <c r="IY278" s="73"/>
      <c r="IZ278" s="73"/>
      <c r="JA278" s="73"/>
      <c r="JC278" s="72"/>
      <c r="JD278" s="73"/>
      <c r="JE278" s="73"/>
      <c r="JF278" s="73"/>
      <c r="JG278" s="73"/>
      <c r="JH278" s="73"/>
      <c r="JJ278" s="72"/>
      <c r="JK278" s="73"/>
      <c r="JL278" s="73"/>
      <c r="JM278" s="73"/>
      <c r="JN278" s="73"/>
      <c r="JO278" s="73"/>
      <c r="JQ278" s="72"/>
      <c r="JR278" s="73"/>
      <c r="JS278" s="73"/>
      <c r="JT278" s="73"/>
      <c r="JU278" s="73"/>
      <c r="JV278" s="73"/>
      <c r="JX278" s="72"/>
      <c r="JY278" s="73"/>
      <c r="JZ278" s="73"/>
      <c r="KA278" s="73"/>
      <c r="KB278" s="73"/>
      <c r="KC278" s="73"/>
      <c r="KE278" s="72"/>
      <c r="KF278" s="73"/>
      <c r="KG278" s="73"/>
      <c r="KH278" s="73"/>
      <c r="KI278" s="73"/>
      <c r="KJ278" s="73"/>
      <c r="KL278" s="72"/>
      <c r="KM278" s="73"/>
      <c r="KN278" s="73"/>
      <c r="KO278" s="73"/>
      <c r="KP278" s="73"/>
      <c r="KQ278" s="73"/>
      <c r="KS278" s="72"/>
      <c r="KT278" s="73"/>
      <c r="KU278" s="73"/>
      <c r="KV278" s="73"/>
      <c r="KW278" s="73"/>
      <c r="KX278" s="73"/>
      <c r="KZ278" s="72"/>
      <c r="LA278" s="73"/>
      <c r="LB278" s="73"/>
      <c r="LC278" s="73"/>
      <c r="LD278" s="209"/>
      <c r="LE278" s="209"/>
      <c r="LF278" s="565"/>
      <c r="LG278" s="72"/>
      <c r="LH278" s="209"/>
      <c r="LI278" s="209"/>
      <c r="LJ278" s="209"/>
      <c r="LK278" s="209"/>
      <c r="LL278" s="209"/>
      <c r="LM278" s="565"/>
      <c r="LN278" s="72"/>
      <c r="LO278" s="209"/>
      <c r="LP278" s="209"/>
      <c r="LQ278" s="209"/>
      <c r="LR278" s="209"/>
      <c r="LS278" s="209"/>
      <c r="LT278" s="565"/>
      <c r="LU278" s="72"/>
      <c r="LV278" s="209"/>
      <c r="LW278" s="209"/>
      <c r="LX278" s="209"/>
      <c r="LY278" s="209"/>
      <c r="LZ278" s="209"/>
      <c r="MA278" s="565"/>
      <c r="MB278" s="72"/>
      <c r="MC278" s="209"/>
      <c r="MD278" s="209"/>
      <c r="ME278" s="209"/>
      <c r="MF278" s="209"/>
      <c r="MG278" s="209"/>
      <c r="MH278" s="565"/>
    </row>
    <row r="279" spans="1:346" s="37" customFormat="1" ht="13.15" x14ac:dyDescent="0.4">
      <c r="A279" s="35"/>
      <c r="B279" s="36" t="s">
        <v>30</v>
      </c>
      <c r="BO279" s="36" t="s">
        <v>30</v>
      </c>
      <c r="BV279" s="36" t="s">
        <v>30</v>
      </c>
      <c r="CC279" s="36" t="s">
        <v>30</v>
      </c>
      <c r="CJ279" s="36" t="s">
        <v>30</v>
      </c>
      <c r="CQ279" s="36" t="s">
        <v>30</v>
      </c>
      <c r="CX279" s="36" t="s">
        <v>30</v>
      </c>
      <c r="DE279" s="36" t="s">
        <v>30</v>
      </c>
      <c r="DL279" s="36" t="s">
        <v>30</v>
      </c>
      <c r="DS279" s="36" t="s">
        <v>30</v>
      </c>
      <c r="DZ279" s="36" t="s">
        <v>30</v>
      </c>
      <c r="EG279" s="36" t="s">
        <v>30</v>
      </c>
      <c r="EN279" s="36" t="s">
        <v>30</v>
      </c>
      <c r="EU279" s="36" t="s">
        <v>30</v>
      </c>
      <c r="FB279" s="36" t="s">
        <v>30</v>
      </c>
      <c r="FI279" s="36" t="s">
        <v>30</v>
      </c>
      <c r="FP279" s="36" t="s">
        <v>30</v>
      </c>
      <c r="FW279" s="36" t="s">
        <v>30</v>
      </c>
      <c r="GD279" s="36" t="s">
        <v>30</v>
      </c>
      <c r="GK279" s="36" t="s">
        <v>30</v>
      </c>
      <c r="GR279" s="36" t="s">
        <v>30</v>
      </c>
      <c r="GY279" s="36" t="s">
        <v>30</v>
      </c>
      <c r="HF279" s="36" t="s">
        <v>30</v>
      </c>
      <c r="HM279" s="36" t="s">
        <v>30</v>
      </c>
      <c r="HT279" s="36" t="s">
        <v>30</v>
      </c>
      <c r="IA279" s="36" t="s">
        <v>30</v>
      </c>
      <c r="IH279" s="36" t="s">
        <v>30</v>
      </c>
      <c r="IO279" s="36" t="s">
        <v>30</v>
      </c>
      <c r="IV279" s="36" t="s">
        <v>30</v>
      </c>
      <c r="JC279" s="36" t="s">
        <v>30</v>
      </c>
      <c r="JJ279" s="36" t="s">
        <v>30</v>
      </c>
      <c r="JQ279" s="36" t="s">
        <v>30</v>
      </c>
      <c r="JX279" s="36" t="s">
        <v>30</v>
      </c>
      <c r="KE279" s="36" t="s">
        <v>30</v>
      </c>
      <c r="KL279" s="36" t="s">
        <v>30</v>
      </c>
      <c r="KS279" s="36" t="s">
        <v>30</v>
      </c>
      <c r="KZ279" s="36" t="s">
        <v>30</v>
      </c>
      <c r="LF279" s="565"/>
      <c r="LG279" s="36" t="s">
        <v>30</v>
      </c>
      <c r="LM279" s="565"/>
      <c r="LN279" s="36" t="s">
        <v>30</v>
      </c>
      <c r="LT279" s="565"/>
      <c r="LU279" s="36" t="s">
        <v>30</v>
      </c>
      <c r="MA279" s="565"/>
      <c r="MB279" s="36" t="s">
        <v>30</v>
      </c>
      <c r="MH279" s="565"/>
    </row>
    <row r="280" spans="1:346" s="37" customFormat="1" ht="13.5" thickBot="1" x14ac:dyDescent="0.45">
      <c r="A280" s="35"/>
      <c r="B280" s="36"/>
      <c r="BO280" s="36"/>
      <c r="BV280" s="36"/>
      <c r="CC280" s="36"/>
      <c r="CJ280" s="36"/>
      <c r="CQ280" s="36"/>
      <c r="CX280" s="36"/>
      <c r="DE280" s="36"/>
      <c r="DL280" s="36"/>
      <c r="DS280" s="36"/>
      <c r="DZ280" s="36"/>
      <c r="EG280" s="36"/>
      <c r="EN280" s="36"/>
      <c r="EU280" s="36"/>
      <c r="FB280" s="36"/>
      <c r="FI280" s="36"/>
      <c r="FP280" s="36"/>
      <c r="FW280" s="36"/>
      <c r="GD280" s="36"/>
      <c r="GK280" s="36"/>
      <c r="GR280" s="36"/>
      <c r="GY280" s="36"/>
      <c r="HF280" s="36"/>
      <c r="HM280" s="36"/>
      <c r="HT280" s="36"/>
      <c r="IA280" s="36"/>
      <c r="IH280" s="36"/>
      <c r="IO280" s="36"/>
      <c r="IV280" s="36"/>
      <c r="JC280" s="36"/>
      <c r="JJ280" s="36"/>
      <c r="JQ280" s="36"/>
      <c r="JX280" s="36"/>
      <c r="KE280" s="36"/>
      <c r="KL280" s="36"/>
      <c r="KS280" s="36"/>
      <c r="KZ280" s="36"/>
      <c r="LF280" s="565"/>
      <c r="LG280" s="36"/>
      <c r="LM280" s="565"/>
      <c r="LN280" s="36"/>
      <c r="LT280" s="565"/>
      <c r="LU280" s="36"/>
      <c r="MA280" s="565"/>
      <c r="MB280" s="36"/>
      <c r="MH280" s="565"/>
    </row>
    <row r="281" spans="1:346" s="37" customFormat="1" ht="13.5" thickBot="1" x14ac:dyDescent="0.45">
      <c r="A281" s="97"/>
      <c r="B281" s="98" t="s">
        <v>296</v>
      </c>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c r="AA281" s="99"/>
      <c r="AB281" s="99"/>
      <c r="AC281" s="99"/>
      <c r="AD281" s="99"/>
      <c r="AE281" s="99"/>
      <c r="AF281" s="99"/>
      <c r="AG281" s="99"/>
      <c r="AH281" s="99"/>
      <c r="AI281" s="99"/>
      <c r="AJ281" s="99"/>
      <c r="AK281" s="99"/>
      <c r="AL281" s="99"/>
      <c r="AM281" s="99"/>
      <c r="AN281" s="99"/>
      <c r="AO281" s="99"/>
      <c r="AP281" s="99"/>
      <c r="AQ281" s="99"/>
      <c r="AR281" s="99"/>
      <c r="AS281" s="99"/>
      <c r="AT281" s="99"/>
      <c r="AU281" s="99"/>
      <c r="AV281" s="99"/>
      <c r="AW281" s="99"/>
      <c r="AX281" s="99"/>
      <c r="AY281" s="99"/>
      <c r="AZ281" s="99"/>
      <c r="BA281" s="99"/>
      <c r="BB281" s="99"/>
      <c r="BC281" s="99"/>
      <c r="BD281" s="99"/>
      <c r="BE281" s="99"/>
      <c r="BF281" s="99"/>
      <c r="BG281" s="99"/>
      <c r="BH281" s="99"/>
      <c r="BI281" s="99"/>
      <c r="BJ281" s="99"/>
      <c r="BK281" s="99"/>
      <c r="BL281" s="99"/>
      <c r="BM281" s="99"/>
      <c r="BO281" s="98" t="s">
        <v>296</v>
      </c>
      <c r="BP281" s="99"/>
      <c r="BQ281" s="99"/>
      <c r="BR281" s="99"/>
      <c r="BS281" s="99"/>
      <c r="BT281" s="99"/>
      <c r="BV281" s="98" t="s">
        <v>296</v>
      </c>
      <c r="BW281" s="99"/>
      <c r="BX281" s="99"/>
      <c r="BY281" s="99"/>
      <c r="BZ281" s="99"/>
      <c r="CA281" s="99"/>
      <c r="CC281" s="98" t="s">
        <v>296</v>
      </c>
      <c r="CD281" s="99"/>
      <c r="CE281" s="99"/>
      <c r="CF281" s="99"/>
      <c r="CG281" s="99"/>
      <c r="CH281" s="99"/>
      <c r="CJ281" s="98" t="s">
        <v>296</v>
      </c>
      <c r="CK281" s="99"/>
      <c r="CL281" s="99"/>
      <c r="CM281" s="99"/>
      <c r="CN281" s="99"/>
      <c r="CO281" s="99"/>
      <c r="CQ281" s="98" t="s">
        <v>296</v>
      </c>
      <c r="CR281" s="99"/>
      <c r="CS281" s="99"/>
      <c r="CT281" s="99"/>
      <c r="CU281" s="99"/>
      <c r="CV281" s="99"/>
      <c r="CX281" s="98" t="s">
        <v>296</v>
      </c>
      <c r="CY281" s="99"/>
      <c r="CZ281" s="99"/>
      <c r="DA281" s="99"/>
      <c r="DB281" s="99"/>
      <c r="DC281" s="99"/>
      <c r="DE281" s="98" t="s">
        <v>296</v>
      </c>
      <c r="DF281" s="99"/>
      <c r="DG281" s="99"/>
      <c r="DH281" s="99"/>
      <c r="DI281" s="99"/>
      <c r="DJ281" s="99"/>
      <c r="DL281" s="98" t="s">
        <v>296</v>
      </c>
      <c r="DM281" s="99"/>
      <c r="DN281" s="99"/>
      <c r="DO281" s="99"/>
      <c r="DP281" s="99"/>
      <c r="DQ281" s="99"/>
      <c r="DS281" s="98" t="s">
        <v>296</v>
      </c>
      <c r="DT281" s="99"/>
      <c r="DU281" s="99"/>
      <c r="DV281" s="99"/>
      <c r="DW281" s="99"/>
      <c r="DX281" s="99"/>
      <c r="DZ281" s="98" t="s">
        <v>296</v>
      </c>
      <c r="EA281" s="99"/>
      <c r="EB281" s="99"/>
      <c r="EC281" s="99"/>
      <c r="ED281" s="99"/>
      <c r="EE281" s="99"/>
      <c r="EG281" s="98" t="s">
        <v>296</v>
      </c>
      <c r="EH281" s="99"/>
      <c r="EI281" s="99"/>
      <c r="EJ281" s="99"/>
      <c r="EK281" s="99"/>
      <c r="EL281" s="99"/>
      <c r="EN281" s="98" t="s">
        <v>296</v>
      </c>
      <c r="EO281" s="99"/>
      <c r="EP281" s="99"/>
      <c r="EQ281" s="99"/>
      <c r="ER281" s="99"/>
      <c r="ES281" s="99"/>
      <c r="EU281" s="98" t="s">
        <v>296</v>
      </c>
      <c r="EV281" s="99"/>
      <c r="EW281" s="99"/>
      <c r="EX281" s="99"/>
      <c r="EY281" s="99"/>
      <c r="EZ281" s="99"/>
      <c r="FB281" s="98" t="s">
        <v>296</v>
      </c>
      <c r="FC281" s="99"/>
      <c r="FD281" s="99"/>
      <c r="FE281" s="99"/>
      <c r="FF281" s="99"/>
      <c r="FG281" s="99"/>
      <c r="FI281" s="98" t="s">
        <v>296</v>
      </c>
      <c r="FJ281" s="99"/>
      <c r="FK281" s="99"/>
      <c r="FL281" s="99"/>
      <c r="FM281" s="99"/>
      <c r="FN281" s="99"/>
      <c r="FP281" s="98" t="s">
        <v>296</v>
      </c>
      <c r="FQ281" s="99"/>
      <c r="FR281" s="99"/>
      <c r="FS281" s="99"/>
      <c r="FT281" s="99"/>
      <c r="FU281" s="99"/>
      <c r="FW281" s="98" t="s">
        <v>296</v>
      </c>
      <c r="FX281" s="99"/>
      <c r="FY281" s="99"/>
      <c r="FZ281" s="99"/>
      <c r="GA281" s="99"/>
      <c r="GB281" s="99"/>
      <c r="GD281" s="98" t="s">
        <v>296</v>
      </c>
      <c r="GE281" s="99"/>
      <c r="GF281" s="99"/>
      <c r="GG281" s="99"/>
      <c r="GH281" s="99"/>
      <c r="GI281" s="99"/>
      <c r="GK281" s="98" t="s">
        <v>296</v>
      </c>
      <c r="GL281" s="99"/>
      <c r="GM281" s="99"/>
      <c r="GN281" s="99"/>
      <c r="GO281" s="99"/>
      <c r="GP281" s="99"/>
      <c r="GR281" s="98" t="s">
        <v>296</v>
      </c>
      <c r="GS281" s="99"/>
      <c r="GT281" s="99"/>
      <c r="GU281" s="99"/>
      <c r="GV281" s="99"/>
      <c r="GW281" s="99"/>
      <c r="GY281" s="98" t="s">
        <v>296</v>
      </c>
      <c r="GZ281" s="99"/>
      <c r="HA281" s="99"/>
      <c r="HB281" s="99"/>
      <c r="HC281" s="99"/>
      <c r="HD281" s="99"/>
      <c r="HF281" s="98" t="s">
        <v>296</v>
      </c>
      <c r="HG281" s="99"/>
      <c r="HH281" s="99"/>
      <c r="HI281" s="99"/>
      <c r="HJ281" s="99"/>
      <c r="HK281" s="99"/>
      <c r="HM281" s="98" t="s">
        <v>296</v>
      </c>
      <c r="HN281" s="99"/>
      <c r="HO281" s="99"/>
      <c r="HP281" s="99"/>
      <c r="HQ281" s="99"/>
      <c r="HR281" s="99"/>
      <c r="HT281" s="98" t="s">
        <v>296</v>
      </c>
      <c r="HU281" s="99"/>
      <c r="HV281" s="99"/>
      <c r="HW281" s="99"/>
      <c r="HX281" s="99"/>
      <c r="HY281" s="99"/>
      <c r="IA281" s="98" t="s">
        <v>296</v>
      </c>
      <c r="IB281" s="99"/>
      <c r="IC281" s="99"/>
      <c r="ID281" s="99"/>
      <c r="IE281" s="99"/>
      <c r="IF281" s="99"/>
      <c r="IH281" s="98" t="s">
        <v>296</v>
      </c>
      <c r="II281" s="99"/>
      <c r="IJ281" s="99"/>
      <c r="IK281" s="99"/>
      <c r="IL281" s="99"/>
      <c r="IM281" s="99"/>
      <c r="IO281" s="98" t="s">
        <v>296</v>
      </c>
      <c r="IP281" s="99"/>
      <c r="IQ281" s="99"/>
      <c r="IR281" s="99"/>
      <c r="IS281" s="99"/>
      <c r="IT281" s="99"/>
      <c r="IV281" s="98" t="s">
        <v>296</v>
      </c>
      <c r="IW281" s="99"/>
      <c r="IX281" s="99"/>
      <c r="IY281" s="99"/>
      <c r="IZ281" s="99"/>
      <c r="JA281" s="99"/>
      <c r="JC281" s="98" t="s">
        <v>296</v>
      </c>
      <c r="JD281" s="99"/>
      <c r="JE281" s="99"/>
      <c r="JF281" s="99"/>
      <c r="JG281" s="99"/>
      <c r="JH281" s="99"/>
      <c r="JJ281" s="98" t="s">
        <v>296</v>
      </c>
      <c r="JK281" s="99"/>
      <c r="JL281" s="99"/>
      <c r="JM281" s="99"/>
      <c r="JN281" s="99"/>
      <c r="JO281" s="99"/>
      <c r="JQ281" s="98" t="s">
        <v>296</v>
      </c>
      <c r="JR281" s="99"/>
      <c r="JS281" s="99"/>
      <c r="JT281" s="99"/>
      <c r="JU281" s="99"/>
      <c r="JV281" s="99"/>
      <c r="JX281" s="98" t="s">
        <v>296</v>
      </c>
      <c r="JY281" s="99"/>
      <c r="JZ281" s="99"/>
      <c r="KA281" s="99"/>
      <c r="KB281" s="99"/>
      <c r="KC281" s="99"/>
      <c r="KE281" s="98" t="s">
        <v>296</v>
      </c>
      <c r="KF281" s="99"/>
      <c r="KG281" s="99"/>
      <c r="KH281" s="99"/>
      <c r="KI281" s="99"/>
      <c r="KJ281" s="99"/>
      <c r="KL281" s="98" t="s">
        <v>296</v>
      </c>
      <c r="KM281" s="99"/>
      <c r="KN281" s="99"/>
      <c r="KO281" s="99"/>
      <c r="KP281" s="99"/>
      <c r="KQ281" s="99"/>
      <c r="KS281" s="98" t="s">
        <v>296</v>
      </c>
      <c r="KT281" s="99"/>
      <c r="KU281" s="99"/>
      <c r="KV281" s="99"/>
      <c r="KW281" s="99"/>
      <c r="KX281" s="99"/>
      <c r="KZ281" s="98" t="s">
        <v>296</v>
      </c>
      <c r="LA281" s="99"/>
      <c r="LB281" s="99"/>
      <c r="LC281" s="99"/>
      <c r="LD281" s="99"/>
      <c r="LE281" s="99"/>
      <c r="LF281" s="565"/>
      <c r="LG281" s="98" t="s">
        <v>296</v>
      </c>
      <c r="LH281" s="99"/>
      <c r="LI281" s="99"/>
      <c r="LJ281" s="99"/>
      <c r="LK281" s="99"/>
      <c r="LL281" s="99"/>
      <c r="LM281" s="565"/>
      <c r="LN281" s="98" t="s">
        <v>296</v>
      </c>
      <c r="LO281" s="99"/>
      <c r="LP281" s="99"/>
      <c r="LQ281" s="99"/>
      <c r="LR281" s="99"/>
      <c r="LS281" s="99"/>
      <c r="LT281" s="565"/>
      <c r="LU281" s="98" t="s">
        <v>296</v>
      </c>
      <c r="LV281" s="99"/>
      <c r="LW281" s="99"/>
      <c r="LX281" s="99"/>
      <c r="LY281" s="99"/>
      <c r="LZ281" s="99"/>
      <c r="MA281" s="565"/>
      <c r="MB281" s="98" t="s">
        <v>296</v>
      </c>
      <c r="MC281" s="99"/>
      <c r="MD281" s="99"/>
      <c r="ME281" s="99"/>
      <c r="MF281" s="99"/>
      <c r="MG281" s="99"/>
      <c r="MH281" s="565"/>
    </row>
    <row r="282" spans="1:346" s="37" customFormat="1" ht="13.15" x14ac:dyDescent="0.4">
      <c r="A282" s="100"/>
      <c r="B282" s="113"/>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c r="BE282" s="104"/>
      <c r="BF282" s="104"/>
      <c r="BG282" s="104"/>
      <c r="BH282" s="104"/>
      <c r="BI282" s="104"/>
      <c r="BJ282" s="104"/>
      <c r="BK282" s="104"/>
      <c r="BL282" s="104"/>
      <c r="BM282" s="104"/>
      <c r="BO282" s="113"/>
      <c r="BP282" s="104"/>
      <c r="BQ282" s="104"/>
      <c r="BR282" s="104"/>
      <c r="BS282" s="104"/>
      <c r="BT282" s="104"/>
      <c r="BV282" s="113"/>
      <c r="BW282" s="104"/>
      <c r="BX282" s="104"/>
      <c r="BY282" s="104"/>
      <c r="BZ282" s="104"/>
      <c r="CA282" s="104"/>
      <c r="CC282" s="113"/>
      <c r="CD282" s="104"/>
      <c r="CE282" s="104"/>
      <c r="CF282" s="104"/>
      <c r="CG282" s="104"/>
      <c r="CH282" s="104"/>
      <c r="CJ282" s="113"/>
      <c r="CK282" s="104"/>
      <c r="CL282" s="104"/>
      <c r="CM282" s="104"/>
      <c r="CN282" s="104"/>
      <c r="CO282" s="104"/>
      <c r="CQ282" s="113"/>
      <c r="CR282" s="104"/>
      <c r="CS282" s="104"/>
      <c r="CT282" s="104"/>
      <c r="CU282" s="104"/>
      <c r="CV282" s="104"/>
      <c r="CX282" s="113"/>
      <c r="CY282" s="104"/>
      <c r="CZ282" s="104"/>
      <c r="DA282" s="104"/>
      <c r="DB282" s="104"/>
      <c r="DC282" s="104"/>
      <c r="DE282" s="113"/>
      <c r="DF282" s="104"/>
      <c r="DG282" s="104"/>
      <c r="DH282" s="104"/>
      <c r="DI282" s="104"/>
      <c r="DJ282" s="104"/>
      <c r="DL282" s="113"/>
      <c r="DM282" s="104"/>
      <c r="DN282" s="104"/>
      <c r="DO282" s="104"/>
      <c r="DP282" s="104"/>
      <c r="DQ282" s="104"/>
      <c r="DS282" s="113"/>
      <c r="DT282" s="104"/>
      <c r="DU282" s="104"/>
      <c r="DV282" s="104"/>
      <c r="DW282" s="104"/>
      <c r="DX282" s="104"/>
      <c r="DZ282" s="113"/>
      <c r="EA282" s="104"/>
      <c r="EB282" s="104"/>
      <c r="EC282" s="104"/>
      <c r="ED282" s="104"/>
      <c r="EE282" s="104"/>
      <c r="EG282" s="113"/>
      <c r="EH282" s="104"/>
      <c r="EI282" s="104"/>
      <c r="EJ282" s="104"/>
      <c r="EK282" s="104"/>
      <c r="EL282" s="104"/>
      <c r="EN282" s="113"/>
      <c r="EO282" s="104"/>
      <c r="EP282" s="104"/>
      <c r="EQ282" s="104"/>
      <c r="ER282" s="104"/>
      <c r="ES282" s="104"/>
      <c r="EU282" s="113"/>
      <c r="EV282" s="104"/>
      <c r="EW282" s="104"/>
      <c r="EX282" s="104"/>
      <c r="EY282" s="104"/>
      <c r="EZ282" s="104"/>
      <c r="FB282" s="113"/>
      <c r="FC282" s="104"/>
      <c r="FD282" s="104"/>
      <c r="FE282" s="104"/>
      <c r="FF282" s="104"/>
      <c r="FG282" s="104"/>
      <c r="FI282" s="113"/>
      <c r="FJ282" s="104"/>
      <c r="FK282" s="104"/>
      <c r="FL282" s="104"/>
      <c r="FM282" s="104"/>
      <c r="FN282" s="104"/>
      <c r="FP282" s="113"/>
      <c r="FQ282" s="104"/>
      <c r="FR282" s="104"/>
      <c r="FS282" s="104"/>
      <c r="FT282" s="104"/>
      <c r="FU282" s="104"/>
      <c r="FW282" s="113"/>
      <c r="FX282" s="104"/>
      <c r="FY282" s="104"/>
      <c r="FZ282" s="104"/>
      <c r="GA282" s="104"/>
      <c r="GB282" s="104"/>
      <c r="GD282" s="113"/>
      <c r="GE282" s="104"/>
      <c r="GF282" s="104"/>
      <c r="GG282" s="104"/>
      <c r="GH282" s="104"/>
      <c r="GI282" s="104"/>
      <c r="GK282" s="113"/>
      <c r="GL282" s="104"/>
      <c r="GM282" s="104"/>
      <c r="GN282" s="104"/>
      <c r="GO282" s="104"/>
      <c r="GP282" s="104"/>
      <c r="GR282" s="113"/>
      <c r="GS282" s="104"/>
      <c r="GT282" s="104"/>
      <c r="GU282" s="104"/>
      <c r="GV282" s="104"/>
      <c r="GW282" s="104"/>
      <c r="GY282" s="113"/>
      <c r="GZ282" s="104"/>
      <c r="HA282" s="104"/>
      <c r="HB282" s="104"/>
      <c r="HC282" s="104"/>
      <c r="HD282" s="104"/>
      <c r="HF282" s="113"/>
      <c r="HG282" s="104"/>
      <c r="HH282" s="104"/>
      <c r="HI282" s="104"/>
      <c r="HJ282" s="104"/>
      <c r="HK282" s="104"/>
      <c r="HM282" s="113"/>
      <c r="HN282" s="104"/>
      <c r="HO282" s="104"/>
      <c r="HP282" s="104"/>
      <c r="HQ282" s="104"/>
      <c r="HR282" s="104"/>
      <c r="HT282" s="113"/>
      <c r="HU282" s="104"/>
      <c r="HV282" s="104"/>
      <c r="HW282" s="104"/>
      <c r="HX282" s="104"/>
      <c r="HY282" s="104"/>
      <c r="IA282" s="113"/>
      <c r="IB282" s="104"/>
      <c r="IC282" s="104"/>
      <c r="ID282" s="104"/>
      <c r="IE282" s="104"/>
      <c r="IF282" s="104"/>
      <c r="IH282" s="113"/>
      <c r="II282" s="104"/>
      <c r="IJ282" s="104"/>
      <c r="IK282" s="104"/>
      <c r="IL282" s="104"/>
      <c r="IM282" s="104"/>
      <c r="IO282" s="113"/>
      <c r="IP282" s="104"/>
      <c r="IQ282" s="104"/>
      <c r="IR282" s="104"/>
      <c r="IS282" s="104"/>
      <c r="IT282" s="104"/>
      <c r="IV282" s="113"/>
      <c r="IW282" s="104"/>
      <c r="IX282" s="104"/>
      <c r="IY282" s="104"/>
      <c r="IZ282" s="104"/>
      <c r="JA282" s="104"/>
      <c r="JC282" s="113"/>
      <c r="JD282" s="104"/>
      <c r="JE282" s="104"/>
      <c r="JF282" s="104"/>
      <c r="JG282" s="104"/>
      <c r="JH282" s="104"/>
      <c r="JJ282" s="113"/>
      <c r="JK282" s="104"/>
      <c r="JL282" s="104"/>
      <c r="JM282" s="104"/>
      <c r="JN282" s="104"/>
      <c r="JO282" s="104"/>
      <c r="JQ282" s="113"/>
      <c r="JR282" s="104"/>
      <c r="JS282" s="104"/>
      <c r="JT282" s="104"/>
      <c r="JU282" s="104"/>
      <c r="JV282" s="104"/>
      <c r="JX282" s="113"/>
      <c r="JY282" s="104"/>
      <c r="JZ282" s="104"/>
      <c r="KA282" s="104"/>
      <c r="KB282" s="104"/>
      <c r="KC282" s="104"/>
      <c r="KE282" s="113"/>
      <c r="KF282" s="104"/>
      <c r="KG282" s="104"/>
      <c r="KH282" s="104"/>
      <c r="KI282" s="104"/>
      <c r="KJ282" s="104"/>
      <c r="KL282" s="113"/>
      <c r="KM282" s="104"/>
      <c r="KN282" s="104"/>
      <c r="KO282" s="104"/>
      <c r="KP282" s="104"/>
      <c r="KQ282" s="104"/>
      <c r="KS282" s="113"/>
      <c r="KT282" s="104"/>
      <c r="KU282" s="104"/>
      <c r="KV282" s="104"/>
      <c r="KW282" s="104"/>
      <c r="KX282" s="104"/>
      <c r="KZ282" s="113"/>
      <c r="LA282" s="104"/>
      <c r="LB282" s="104"/>
      <c r="LC282" s="104"/>
      <c r="LD282" s="104"/>
      <c r="LE282" s="104"/>
      <c r="LF282" s="555"/>
      <c r="LG282" s="113"/>
      <c r="LH282" s="104"/>
      <c r="LI282" s="104"/>
      <c r="LJ282" s="104"/>
      <c r="LK282" s="104"/>
      <c r="LL282" s="104"/>
      <c r="LM282" s="555"/>
      <c r="LN282" s="113"/>
      <c r="LO282" s="104"/>
      <c r="LP282" s="104"/>
      <c r="LQ282" s="104"/>
      <c r="LR282" s="104"/>
      <c r="LS282" s="104"/>
      <c r="LT282" s="555"/>
      <c r="LU282" s="113"/>
      <c r="LV282" s="104"/>
      <c r="LW282" s="104"/>
      <c r="LX282" s="104"/>
      <c r="LY282" s="104"/>
      <c r="LZ282" s="104"/>
      <c r="MA282" s="555"/>
      <c r="MB282" s="113"/>
      <c r="MC282" s="104"/>
      <c r="MD282" s="104"/>
      <c r="ME282" s="104"/>
      <c r="MF282" s="104"/>
      <c r="MG282" s="104"/>
      <c r="MH282" s="555"/>
    </row>
    <row r="283" spans="1:346" s="37" customFormat="1" ht="13.15" hidden="1" outlineLevel="1" x14ac:dyDescent="0.4">
      <c r="A283" s="100"/>
      <c r="B283" s="147" t="s">
        <v>330</v>
      </c>
      <c r="C283" s="109"/>
      <c r="D283" s="109"/>
      <c r="E283" s="109"/>
      <c r="F283" s="109">
        <v>84.972999999999999</v>
      </c>
      <c r="G283" s="109">
        <v>89.263000000000005</v>
      </c>
      <c r="H283" s="109">
        <v>87.772999999999996</v>
      </c>
      <c r="I283" s="109">
        <v>112.46200000000002</v>
      </c>
      <c r="J283" s="109">
        <v>99.35</v>
      </c>
      <c r="K283" s="109">
        <v>103.80399999999999</v>
      </c>
      <c r="L283" s="109">
        <v>120.015</v>
      </c>
      <c r="M283" s="109">
        <v>115.7</v>
      </c>
      <c r="N283" s="108">
        <f t="shared" ref="N283:N290" si="6892">BT283</f>
        <v>117.30000000000001</v>
      </c>
      <c r="O283" s="108">
        <f t="shared" ref="O283:O290" si="6893">CA283</f>
        <v>116.4</v>
      </c>
      <c r="P283" s="108">
        <f t="shared" ref="P283:P290" si="6894">CH283</f>
        <v>107.29999999999998</v>
      </c>
      <c r="Q283" s="108">
        <f t="shared" ref="Q283:Q290" si="6895">CO283</f>
        <v>106.6</v>
      </c>
      <c r="R283" s="108">
        <f t="shared" ref="R283:R290" si="6896">CV283</f>
        <v>97.3</v>
      </c>
      <c r="S283" s="108">
        <f t="shared" ref="S283:S290" si="6897">DC283</f>
        <v>103.1</v>
      </c>
      <c r="T283" s="108">
        <f t="shared" ref="T283:T290" si="6898">DJ283</f>
        <v>97.3</v>
      </c>
      <c r="U283" s="108">
        <f t="shared" ref="U283:U290" si="6899">DQ283</f>
        <v>102.9</v>
      </c>
      <c r="V283" s="108">
        <f t="shared" ref="V283:V290" si="6900">DX283</f>
        <v>107</v>
      </c>
      <c r="W283" s="108">
        <f t="shared" ref="W283:W290" si="6901">EE283</f>
        <v>109</v>
      </c>
      <c r="X283" s="108">
        <f t="shared" ref="X283:X290" si="6902">EL283</f>
        <v>117.30000000000001</v>
      </c>
      <c r="Y283" s="108">
        <f t="shared" ref="Y283:Y290" si="6903">ES283</f>
        <v>126.80000000000001</v>
      </c>
      <c r="Z283" s="108">
        <f t="shared" ref="Z283:Z290" si="6904">EZ283</f>
        <v>137.19999999999999</v>
      </c>
      <c r="AA283" s="108">
        <f t="shared" ref="AA283:AA290" si="6905">FG283</f>
        <v>133.4</v>
      </c>
      <c r="AB283" s="108">
        <f t="shared" ref="AB283:AB290" si="6906">FN283</f>
        <v>134.30000000000001</v>
      </c>
      <c r="AC283" s="108">
        <f t="shared" ref="AC283:AC290" si="6907">FU283</f>
        <v>141</v>
      </c>
      <c r="AD283" s="108">
        <f t="shared" ref="AD283:AD290" si="6908">GB283</f>
        <v>148.4</v>
      </c>
      <c r="AE283" s="108">
        <f t="shared" ref="AE283:AE290" si="6909">GI283</f>
        <v>160.30000000000001</v>
      </c>
      <c r="AF283" s="108">
        <f t="shared" ref="AF283:AF290" si="6910">GP283</f>
        <v>154.9</v>
      </c>
      <c r="AG283" s="108">
        <f t="shared" ref="AG283:AG290" si="6911">GW283</f>
        <v>148.80000000000001</v>
      </c>
      <c r="AH283" s="108">
        <f t="shared" ref="AH283:AH290" si="6912">HD283</f>
        <v>129.80000000000001</v>
      </c>
      <c r="AI283" s="108">
        <f t="shared" ref="AI283:AI290" si="6913">HK283</f>
        <v>111.2</v>
      </c>
      <c r="AJ283" s="108">
        <f t="shared" ref="AJ283:AJ290" si="6914">HR283</f>
        <v>100.2</v>
      </c>
      <c r="AK283" s="108">
        <f t="shared" ref="AK283:AK290" si="6915">HY283</f>
        <v>71.099999999999994</v>
      </c>
      <c r="AL283" s="108">
        <f t="shared" ref="AL283:AL290" si="6916">IF283</f>
        <v>66.099999999999994</v>
      </c>
      <c r="AM283" s="108">
        <f t="shared" ref="AM283:AM290" si="6917">IM283</f>
        <v>77.800000000000011</v>
      </c>
      <c r="AN283" s="108">
        <f t="shared" ref="AN283:AN290" si="6918">IT283</f>
        <v>66.099999999999994</v>
      </c>
      <c r="AO283" s="108">
        <f t="shared" ref="AO283:AO290" si="6919">JA283</f>
        <v>50.599999999999994</v>
      </c>
      <c r="AP283" s="108">
        <f t="shared" ref="AP283:AP290" si="6920">JH283</f>
        <v>0</v>
      </c>
      <c r="AQ283" s="108">
        <f t="shared" ref="AQ283:AQ290" si="6921">JO283</f>
        <v>0</v>
      </c>
      <c r="AR283" s="108">
        <f t="shared" ref="AR283:AR290" si="6922">JV283</f>
        <v>0</v>
      </c>
      <c r="AS283" s="108">
        <f t="shared" ref="AS283:AS290" si="6923">KC283</f>
        <v>0</v>
      </c>
      <c r="AT283" s="108">
        <f t="shared" ref="AT283:AT290" si="6924">KJ283</f>
        <v>0</v>
      </c>
      <c r="AU283" s="108">
        <f t="shared" ref="AU283:AU290" si="6925">KQ283</f>
        <v>0</v>
      </c>
      <c r="AV283" s="108">
        <f t="shared" ref="AV283:AV290" si="6926">KX283</f>
        <v>0</v>
      </c>
      <c r="AW283" s="108">
        <f t="shared" ref="AW283:AW290" si="6927">LE283</f>
        <v>0</v>
      </c>
      <c r="AX283" s="108">
        <f t="shared" ref="AX283:AX290" si="6928">LL283</f>
        <v>0</v>
      </c>
      <c r="AY283" s="108">
        <f t="shared" ref="AY283:AY290" si="6929">LS283</f>
        <v>0</v>
      </c>
      <c r="AZ283" s="108">
        <f t="shared" ref="AZ283:AZ290" si="6930">LZ283</f>
        <v>0</v>
      </c>
      <c r="BA283" s="108">
        <f t="shared" ref="BA283:BA290" si="6931">MG283</f>
        <v>0</v>
      </c>
      <c r="BB283" s="108"/>
      <c r="BC283" s="108"/>
      <c r="BD283" s="108"/>
      <c r="BE283" s="108"/>
      <c r="BF283" s="108"/>
      <c r="BG283" s="108"/>
      <c r="BH283" s="108"/>
      <c r="BI283" s="108"/>
      <c r="BJ283" s="108"/>
      <c r="BK283" s="108"/>
      <c r="BL283" s="108"/>
      <c r="BM283" s="108"/>
      <c r="BO283" s="147" t="s">
        <v>330</v>
      </c>
      <c r="BP283" s="109">
        <v>29.3</v>
      </c>
      <c r="BQ283" s="109">
        <v>29.2</v>
      </c>
      <c r="BR283" s="109">
        <v>29.4</v>
      </c>
      <c r="BS283" s="109">
        <v>29.4</v>
      </c>
      <c r="BT283" s="109">
        <v>117.30000000000001</v>
      </c>
      <c r="BV283" s="147" t="s">
        <v>330</v>
      </c>
      <c r="BW283" s="109">
        <v>30.7</v>
      </c>
      <c r="BX283" s="109">
        <v>29.3</v>
      </c>
      <c r="BY283" s="109">
        <v>27.8</v>
      </c>
      <c r="BZ283" s="109">
        <v>28.6</v>
      </c>
      <c r="CA283" s="109">
        <v>116.4</v>
      </c>
      <c r="CC283" s="147" t="s">
        <v>330</v>
      </c>
      <c r="CD283" s="109">
        <v>26.4</v>
      </c>
      <c r="CE283" s="109">
        <v>26.2</v>
      </c>
      <c r="CF283" s="109">
        <v>27.6</v>
      </c>
      <c r="CG283" s="109">
        <v>27.1</v>
      </c>
      <c r="CH283" s="109">
        <v>107.29999999999998</v>
      </c>
      <c r="CJ283" s="147" t="s">
        <v>330</v>
      </c>
      <c r="CK283" s="109">
        <v>26.2</v>
      </c>
      <c r="CL283" s="109">
        <v>25.9</v>
      </c>
      <c r="CM283" s="109">
        <v>27.6</v>
      </c>
      <c r="CN283" s="109">
        <v>26.9</v>
      </c>
      <c r="CO283" s="109">
        <v>106.6</v>
      </c>
      <c r="CQ283" s="147" t="s">
        <v>330</v>
      </c>
      <c r="CR283" s="109">
        <v>24.7</v>
      </c>
      <c r="CS283" s="109">
        <v>25.3</v>
      </c>
      <c r="CT283" s="109">
        <v>24.1</v>
      </c>
      <c r="CU283" s="109">
        <v>23.2</v>
      </c>
      <c r="CV283" s="109">
        <v>97.3</v>
      </c>
      <c r="CX283" s="147" t="s">
        <v>330</v>
      </c>
      <c r="CY283" s="109">
        <v>24.9</v>
      </c>
      <c r="CZ283" s="109">
        <v>26</v>
      </c>
      <c r="DA283" s="109">
        <v>26.1</v>
      </c>
      <c r="DB283" s="109">
        <v>26.1</v>
      </c>
      <c r="DC283" s="109">
        <v>103.1</v>
      </c>
      <c r="DE283" s="147" t="s">
        <v>330</v>
      </c>
      <c r="DF283" s="109">
        <v>23.8</v>
      </c>
      <c r="DG283" s="109">
        <v>24</v>
      </c>
      <c r="DH283" s="109">
        <v>24.8</v>
      </c>
      <c r="DI283" s="109">
        <v>24.7</v>
      </c>
      <c r="DJ283" s="109">
        <v>97.3</v>
      </c>
      <c r="DL283" s="147" t="s">
        <v>330</v>
      </c>
      <c r="DM283" s="109">
        <v>24.1</v>
      </c>
      <c r="DN283" s="109">
        <v>26.1</v>
      </c>
      <c r="DO283" s="109">
        <v>25.8</v>
      </c>
      <c r="DP283" s="109">
        <v>26.9</v>
      </c>
      <c r="DQ283" s="109">
        <v>102.9</v>
      </c>
      <c r="DS283" s="147" t="s">
        <v>330</v>
      </c>
      <c r="DT283" s="109">
        <v>27.1</v>
      </c>
      <c r="DU283" s="109">
        <v>25.6</v>
      </c>
      <c r="DV283" s="109">
        <v>26.3</v>
      </c>
      <c r="DW283" s="109">
        <v>28</v>
      </c>
      <c r="DX283" s="109">
        <v>107</v>
      </c>
      <c r="DZ283" s="147" t="s">
        <v>330</v>
      </c>
      <c r="EA283" s="109">
        <v>26.8</v>
      </c>
      <c r="EB283" s="109">
        <v>26.2</v>
      </c>
      <c r="EC283" s="109">
        <v>27.3</v>
      </c>
      <c r="ED283" s="109">
        <v>28.7</v>
      </c>
      <c r="EE283" s="109">
        <v>109</v>
      </c>
      <c r="EG283" s="147" t="s">
        <v>330</v>
      </c>
      <c r="EH283" s="109">
        <v>28.4</v>
      </c>
      <c r="EI283" s="109">
        <v>26.8</v>
      </c>
      <c r="EJ283" s="109">
        <v>32</v>
      </c>
      <c r="EK283" s="109">
        <v>30.1</v>
      </c>
      <c r="EL283" s="109">
        <v>117.30000000000001</v>
      </c>
      <c r="EN283" s="147" t="s">
        <v>330</v>
      </c>
      <c r="EO283" s="109">
        <v>29.4</v>
      </c>
      <c r="EP283" s="109">
        <v>31.8</v>
      </c>
      <c r="EQ283" s="109">
        <v>33.700000000000003</v>
      </c>
      <c r="ER283" s="109">
        <v>31.9</v>
      </c>
      <c r="ES283" s="109">
        <v>126.80000000000001</v>
      </c>
      <c r="EU283" s="147" t="s">
        <v>330</v>
      </c>
      <c r="EV283" s="109">
        <v>35.1</v>
      </c>
      <c r="EW283" s="109">
        <v>33.9</v>
      </c>
      <c r="EX283" s="109">
        <v>33.299999999999997</v>
      </c>
      <c r="EY283" s="109">
        <v>34.9</v>
      </c>
      <c r="EZ283" s="109">
        <v>137.19999999999999</v>
      </c>
      <c r="FB283" s="147" t="s">
        <v>330</v>
      </c>
      <c r="FC283" s="109">
        <v>32.9</v>
      </c>
      <c r="FD283" s="109">
        <v>32.4</v>
      </c>
      <c r="FE283" s="109">
        <v>34.1</v>
      </c>
      <c r="FF283" s="109">
        <v>34</v>
      </c>
      <c r="FG283" s="109">
        <v>133.4</v>
      </c>
      <c r="FI283" s="147" t="s">
        <v>330</v>
      </c>
      <c r="FJ283" s="109">
        <v>32.4</v>
      </c>
      <c r="FK283" s="109">
        <v>33.9</v>
      </c>
      <c r="FL283" s="109">
        <v>32.6</v>
      </c>
      <c r="FM283" s="109">
        <v>35.4</v>
      </c>
      <c r="FN283" s="109">
        <v>134.30000000000001</v>
      </c>
      <c r="FP283" s="147" t="s">
        <v>330</v>
      </c>
      <c r="FQ283" s="109">
        <v>33.6</v>
      </c>
      <c r="FR283" s="109">
        <v>34.6</v>
      </c>
      <c r="FS283" s="109">
        <v>34.799999999999997</v>
      </c>
      <c r="FT283" s="109">
        <v>38</v>
      </c>
      <c r="FU283" s="109">
        <v>141</v>
      </c>
      <c r="FW283" s="147" t="s">
        <v>330</v>
      </c>
      <c r="FX283" s="109">
        <v>36.799999999999997</v>
      </c>
      <c r="FY283" s="109">
        <v>36.5</v>
      </c>
      <c r="FZ283" s="109">
        <v>37</v>
      </c>
      <c r="GA283" s="109">
        <v>38.1</v>
      </c>
      <c r="GB283" s="109">
        <v>148.4</v>
      </c>
      <c r="GD283" s="147" t="s">
        <v>330</v>
      </c>
      <c r="GE283" s="109">
        <v>40.4</v>
      </c>
      <c r="GF283" s="109">
        <v>40.4</v>
      </c>
      <c r="GG283" s="109">
        <v>40</v>
      </c>
      <c r="GH283" s="109">
        <v>39.5</v>
      </c>
      <c r="GI283" s="109">
        <v>160.30000000000001</v>
      </c>
      <c r="GK283" s="147" t="s">
        <v>330</v>
      </c>
      <c r="GL283" s="109">
        <v>39.200000000000003</v>
      </c>
      <c r="GM283" s="109">
        <v>39</v>
      </c>
      <c r="GN283" s="109">
        <v>38.799999999999997</v>
      </c>
      <c r="GO283" s="109">
        <v>37.9</v>
      </c>
      <c r="GP283" s="109">
        <v>154.9</v>
      </c>
      <c r="GR283" s="147" t="s">
        <v>330</v>
      </c>
      <c r="GS283" s="109">
        <v>36.700000000000003</v>
      </c>
      <c r="GT283" s="109">
        <v>36.5</v>
      </c>
      <c r="GU283" s="109">
        <v>37.200000000000003</v>
      </c>
      <c r="GV283" s="109">
        <v>38.4</v>
      </c>
      <c r="GW283" s="109">
        <v>148.80000000000001</v>
      </c>
      <c r="GY283" s="147" t="s">
        <v>330</v>
      </c>
      <c r="GZ283" s="109">
        <v>37</v>
      </c>
      <c r="HA283" s="109">
        <v>32.6</v>
      </c>
      <c r="HB283" s="109">
        <v>31.4</v>
      </c>
      <c r="HC283" s="109">
        <v>28.8</v>
      </c>
      <c r="HD283" s="109">
        <v>129.80000000000001</v>
      </c>
      <c r="HF283" s="147" t="s">
        <v>330</v>
      </c>
      <c r="HG283" s="109">
        <v>27.5</v>
      </c>
      <c r="HH283" s="109">
        <v>27.7</v>
      </c>
      <c r="HI283" s="109">
        <v>27.7</v>
      </c>
      <c r="HJ283" s="109">
        <v>28.3</v>
      </c>
      <c r="HK283" s="109">
        <v>111.2</v>
      </c>
      <c r="HM283" s="147" t="s">
        <v>330</v>
      </c>
      <c r="HN283" s="109">
        <v>25.6</v>
      </c>
      <c r="HO283" s="109">
        <v>24.7</v>
      </c>
      <c r="HP283" s="109">
        <v>26.7</v>
      </c>
      <c r="HQ283" s="109">
        <v>23.2</v>
      </c>
      <c r="HR283" s="109">
        <v>100.2</v>
      </c>
      <c r="HT283" s="147" t="s">
        <v>330</v>
      </c>
      <c r="HU283" s="109">
        <v>18.8</v>
      </c>
      <c r="HV283" s="109">
        <v>15.6</v>
      </c>
      <c r="HW283" s="109">
        <v>18.7</v>
      </c>
      <c r="HX283" s="109">
        <v>18</v>
      </c>
      <c r="HY283" s="109">
        <v>71.099999999999994</v>
      </c>
      <c r="IA283" s="147" t="s">
        <v>330</v>
      </c>
      <c r="IB283" s="109">
        <v>16.2</v>
      </c>
      <c r="IC283" s="109">
        <v>17</v>
      </c>
      <c r="ID283" s="109">
        <v>17.3</v>
      </c>
      <c r="IE283" s="109">
        <v>15.6</v>
      </c>
      <c r="IF283" s="109">
        <v>66.099999999999994</v>
      </c>
      <c r="IH283" s="147" t="s">
        <v>330</v>
      </c>
      <c r="II283" s="109">
        <v>17.7</v>
      </c>
      <c r="IJ283" s="109">
        <v>21</v>
      </c>
      <c r="IK283" s="109">
        <v>20.100000000000001</v>
      </c>
      <c r="IL283" s="109">
        <v>19</v>
      </c>
      <c r="IM283" s="109">
        <v>77.800000000000011</v>
      </c>
      <c r="IO283" s="147" t="s">
        <v>330</v>
      </c>
      <c r="IP283" s="109">
        <v>17.600000000000001</v>
      </c>
      <c r="IQ283" s="109">
        <v>18.2</v>
      </c>
      <c r="IR283" s="109">
        <v>16.8</v>
      </c>
      <c r="IS283" s="109">
        <v>13.5</v>
      </c>
      <c r="IT283" s="109">
        <v>66.099999999999994</v>
      </c>
      <c r="IV283" s="147" t="s">
        <v>330</v>
      </c>
      <c r="IW283" s="109">
        <v>12.3</v>
      </c>
      <c r="IX283" s="109">
        <v>11.1</v>
      </c>
      <c r="IY283" s="109">
        <v>13.2</v>
      </c>
      <c r="IZ283" s="109">
        <v>14</v>
      </c>
      <c r="JA283" s="109">
        <v>50.599999999999994</v>
      </c>
      <c r="JC283" s="147" t="s">
        <v>330</v>
      </c>
      <c r="JD283" s="109">
        <v>11</v>
      </c>
      <c r="JE283" s="109">
        <v>11</v>
      </c>
      <c r="JF283" s="109">
        <v>11.7</v>
      </c>
      <c r="JG283" s="109"/>
      <c r="JH283" s="109"/>
      <c r="JJ283" s="147" t="s">
        <v>330</v>
      </c>
      <c r="JK283" s="109"/>
      <c r="JL283" s="109"/>
      <c r="JM283" s="109"/>
      <c r="JN283" s="109"/>
      <c r="JO283" s="109"/>
      <c r="JQ283" s="147" t="s">
        <v>330</v>
      </c>
      <c r="JR283" s="109"/>
      <c r="JS283" s="109"/>
      <c r="JT283" s="109"/>
      <c r="JU283" s="109"/>
      <c r="JV283" s="109"/>
      <c r="JX283" s="147" t="s">
        <v>330</v>
      </c>
      <c r="JY283" s="109"/>
      <c r="JZ283" s="109"/>
      <c r="KA283" s="109"/>
      <c r="KB283" s="109"/>
      <c r="KC283" s="109"/>
      <c r="KE283" s="147" t="s">
        <v>330</v>
      </c>
      <c r="KF283" s="109"/>
      <c r="KG283" s="109"/>
      <c r="KH283" s="109"/>
      <c r="KI283" s="109"/>
      <c r="KJ283" s="109"/>
      <c r="KL283" s="147" t="s">
        <v>330</v>
      </c>
      <c r="KM283" s="109"/>
      <c r="KN283" s="109"/>
      <c r="KO283" s="109"/>
      <c r="KP283" s="109"/>
      <c r="KQ283" s="109"/>
      <c r="KS283" s="147" t="s">
        <v>330</v>
      </c>
      <c r="KT283" s="109"/>
      <c r="KU283" s="109"/>
      <c r="KV283" s="109"/>
      <c r="KW283" s="109"/>
      <c r="KX283" s="109"/>
      <c r="KZ283" s="147" t="s">
        <v>330</v>
      </c>
      <c r="LA283" s="109"/>
      <c r="LB283" s="109"/>
      <c r="LC283" s="109"/>
      <c r="LD283" s="109"/>
      <c r="LE283" s="109"/>
      <c r="LF283" s="555"/>
      <c r="LG283" s="147" t="s">
        <v>330</v>
      </c>
      <c r="LH283" s="109"/>
      <c r="LI283" s="109"/>
      <c r="LJ283" s="109"/>
      <c r="LK283" s="109"/>
      <c r="LL283" s="109"/>
      <c r="LM283" s="555"/>
      <c r="LN283" s="147" t="s">
        <v>330</v>
      </c>
      <c r="LO283" s="109"/>
      <c r="LP283" s="109"/>
      <c r="LQ283" s="109"/>
      <c r="LR283" s="109"/>
      <c r="LS283" s="109"/>
      <c r="LT283" s="555"/>
      <c r="LU283" s="147" t="s">
        <v>330</v>
      </c>
      <c r="LV283" s="109"/>
      <c r="LW283" s="109"/>
      <c r="LX283" s="109"/>
      <c r="LY283" s="109"/>
      <c r="LZ283" s="109"/>
      <c r="MA283" s="555"/>
      <c r="MB283" s="147" t="s">
        <v>330</v>
      </c>
      <c r="MC283" s="109"/>
      <c r="MD283" s="109"/>
      <c r="ME283" s="109"/>
      <c r="MF283" s="109"/>
      <c r="MG283" s="109"/>
      <c r="MH283" s="555"/>
    </row>
    <row r="284" spans="1:346" s="37" customFormat="1" ht="13.15" hidden="1" outlineLevel="1" x14ac:dyDescent="0.4">
      <c r="A284" s="100"/>
      <c r="B284" s="147" t="s">
        <v>331</v>
      </c>
      <c r="C284" s="109"/>
      <c r="D284" s="109"/>
      <c r="E284" s="109"/>
      <c r="F284" s="109">
        <v>51.027000000000001</v>
      </c>
      <c r="G284" s="109">
        <v>38.937000000000005</v>
      </c>
      <c r="H284" s="109">
        <v>38.526999999999994</v>
      </c>
      <c r="I284" s="109">
        <v>38.738</v>
      </c>
      <c r="J284" s="109">
        <v>37.25</v>
      </c>
      <c r="K284" s="109">
        <v>38.495999999999995</v>
      </c>
      <c r="L284" s="109">
        <v>34.484999999999999</v>
      </c>
      <c r="M284" s="109">
        <v>32.1</v>
      </c>
      <c r="N284" s="108">
        <f t="shared" si="6892"/>
        <v>32.4</v>
      </c>
      <c r="O284" s="108">
        <f t="shared" si="6893"/>
        <v>31.900000000000002</v>
      </c>
      <c r="P284" s="108">
        <f t="shared" si="6894"/>
        <v>29.1</v>
      </c>
      <c r="Q284" s="108">
        <f t="shared" si="6895"/>
        <v>27.6</v>
      </c>
      <c r="R284" s="108">
        <f t="shared" si="6896"/>
        <v>30.2</v>
      </c>
      <c r="S284" s="108">
        <f t="shared" si="6897"/>
        <v>35</v>
      </c>
      <c r="T284" s="108">
        <f t="shared" si="6898"/>
        <v>38.5</v>
      </c>
      <c r="U284" s="108">
        <f t="shared" si="6899"/>
        <v>38.299999999999997</v>
      </c>
      <c r="V284" s="108">
        <f t="shared" si="6900"/>
        <v>37.4</v>
      </c>
      <c r="W284" s="108">
        <f t="shared" si="6901"/>
        <v>36.1</v>
      </c>
      <c r="X284" s="108">
        <f t="shared" si="6902"/>
        <v>29.799999999999997</v>
      </c>
      <c r="Y284" s="108">
        <f t="shared" si="6903"/>
        <v>31.1</v>
      </c>
      <c r="Z284" s="108">
        <f t="shared" si="6904"/>
        <v>30.6</v>
      </c>
      <c r="AA284" s="108">
        <f t="shared" si="6905"/>
        <v>24.6</v>
      </c>
      <c r="AB284" s="108">
        <f t="shared" si="6906"/>
        <v>23.700000000000003</v>
      </c>
      <c r="AC284" s="108">
        <f t="shared" si="6907"/>
        <v>21.6</v>
      </c>
      <c r="AD284" s="108">
        <f t="shared" si="6908"/>
        <v>22.8</v>
      </c>
      <c r="AE284" s="108">
        <f t="shared" si="6909"/>
        <v>20.399999999999999</v>
      </c>
      <c r="AF284" s="108">
        <f t="shared" si="6910"/>
        <v>18.5</v>
      </c>
      <c r="AG284" s="108">
        <f t="shared" si="6911"/>
        <v>17</v>
      </c>
      <c r="AH284" s="108">
        <f t="shared" si="6912"/>
        <v>13.5</v>
      </c>
      <c r="AI284" s="108">
        <f t="shared" si="6913"/>
        <v>33.1</v>
      </c>
      <c r="AJ284" s="108">
        <f t="shared" si="6914"/>
        <v>30.599999999999998</v>
      </c>
      <c r="AK284" s="108">
        <f t="shared" si="6915"/>
        <v>25.6</v>
      </c>
      <c r="AL284" s="108">
        <f t="shared" si="6916"/>
        <v>24.1</v>
      </c>
      <c r="AM284" s="108">
        <f t="shared" si="6917"/>
        <v>26.1</v>
      </c>
      <c r="AN284" s="108">
        <f t="shared" si="6918"/>
        <v>24.299999999999997</v>
      </c>
      <c r="AO284" s="108">
        <f t="shared" si="6919"/>
        <v>19.3</v>
      </c>
      <c r="AP284" s="108">
        <f t="shared" si="6920"/>
        <v>0</v>
      </c>
      <c r="AQ284" s="108">
        <f t="shared" si="6921"/>
        <v>0</v>
      </c>
      <c r="AR284" s="108">
        <f t="shared" si="6922"/>
        <v>0</v>
      </c>
      <c r="AS284" s="108">
        <f t="shared" si="6923"/>
        <v>0</v>
      </c>
      <c r="AT284" s="108">
        <f t="shared" si="6924"/>
        <v>0</v>
      </c>
      <c r="AU284" s="108">
        <f t="shared" si="6925"/>
        <v>0</v>
      </c>
      <c r="AV284" s="108">
        <f t="shared" si="6926"/>
        <v>0</v>
      </c>
      <c r="AW284" s="108">
        <f t="shared" si="6927"/>
        <v>0</v>
      </c>
      <c r="AX284" s="108">
        <f t="shared" si="6928"/>
        <v>0</v>
      </c>
      <c r="AY284" s="108">
        <f t="shared" si="6929"/>
        <v>0</v>
      </c>
      <c r="AZ284" s="108">
        <f t="shared" si="6930"/>
        <v>0</v>
      </c>
      <c r="BA284" s="108">
        <f t="shared" si="6931"/>
        <v>0</v>
      </c>
      <c r="BB284" s="108"/>
      <c r="BC284" s="108"/>
      <c r="BD284" s="108"/>
      <c r="BE284" s="108"/>
      <c r="BF284" s="108"/>
      <c r="BG284" s="108"/>
      <c r="BH284" s="108"/>
      <c r="BI284" s="108"/>
      <c r="BJ284" s="108"/>
      <c r="BK284" s="108"/>
      <c r="BL284" s="108"/>
      <c r="BM284" s="108"/>
      <c r="BO284" s="147" t="s">
        <v>331</v>
      </c>
      <c r="BP284" s="109">
        <v>7</v>
      </c>
      <c r="BQ284" s="109">
        <v>9.3000000000000007</v>
      </c>
      <c r="BR284" s="109">
        <v>8.1</v>
      </c>
      <c r="BS284" s="109">
        <v>8</v>
      </c>
      <c r="BT284" s="109">
        <v>32.4</v>
      </c>
      <c r="BV284" s="147" t="s">
        <v>331</v>
      </c>
      <c r="BW284" s="109">
        <v>7</v>
      </c>
      <c r="BX284" s="109">
        <v>8.4</v>
      </c>
      <c r="BY284" s="109">
        <v>8.3000000000000007</v>
      </c>
      <c r="BZ284" s="109">
        <v>8.1999999999999993</v>
      </c>
      <c r="CA284" s="109">
        <v>31.900000000000002</v>
      </c>
      <c r="CC284" s="147" t="s">
        <v>331</v>
      </c>
      <c r="CD284" s="109">
        <v>6.5</v>
      </c>
      <c r="CE284" s="109">
        <v>7.7</v>
      </c>
      <c r="CF284" s="109">
        <v>7.5</v>
      </c>
      <c r="CG284" s="109">
        <v>7.4</v>
      </c>
      <c r="CH284" s="109">
        <v>29.1</v>
      </c>
      <c r="CJ284" s="147" t="s">
        <v>331</v>
      </c>
      <c r="CK284" s="109">
        <v>6</v>
      </c>
      <c r="CL284" s="109">
        <v>6.9</v>
      </c>
      <c r="CM284" s="109">
        <v>7.1</v>
      </c>
      <c r="CN284" s="109">
        <v>7.6</v>
      </c>
      <c r="CO284" s="109">
        <v>27.6</v>
      </c>
      <c r="CQ284" s="147" t="s">
        <v>331</v>
      </c>
      <c r="CR284" s="109">
        <v>6.4</v>
      </c>
      <c r="CS284" s="109">
        <v>8</v>
      </c>
      <c r="CT284" s="109">
        <v>8.1</v>
      </c>
      <c r="CU284" s="109">
        <v>7.7</v>
      </c>
      <c r="CV284" s="109">
        <v>30.2</v>
      </c>
      <c r="CX284" s="147" t="s">
        <v>331</v>
      </c>
      <c r="CY284" s="109">
        <v>7</v>
      </c>
      <c r="CZ284" s="109">
        <v>9.4</v>
      </c>
      <c r="DA284" s="109">
        <v>9.4</v>
      </c>
      <c r="DB284" s="109">
        <v>9.1999999999999993</v>
      </c>
      <c r="DC284" s="109">
        <v>35</v>
      </c>
      <c r="DE284" s="147" t="s">
        <v>331</v>
      </c>
      <c r="DF284" s="109">
        <v>8.8000000000000007</v>
      </c>
      <c r="DG284" s="109">
        <v>9.6999999999999993</v>
      </c>
      <c r="DH284" s="109">
        <v>10.199999999999999</v>
      </c>
      <c r="DI284" s="109">
        <v>9.8000000000000007</v>
      </c>
      <c r="DJ284" s="109">
        <v>38.5</v>
      </c>
      <c r="DL284" s="147" t="s">
        <v>331</v>
      </c>
      <c r="DM284" s="109">
        <v>8.3000000000000007</v>
      </c>
      <c r="DN284" s="109">
        <v>9.6999999999999993</v>
      </c>
      <c r="DO284" s="109">
        <v>10.3</v>
      </c>
      <c r="DP284" s="109">
        <v>10</v>
      </c>
      <c r="DQ284" s="109">
        <v>38.299999999999997</v>
      </c>
      <c r="DS284" s="147" t="s">
        <v>331</v>
      </c>
      <c r="DT284" s="109">
        <v>8.4</v>
      </c>
      <c r="DU284" s="109">
        <v>9.6</v>
      </c>
      <c r="DV284" s="109">
        <v>10.199999999999999</v>
      </c>
      <c r="DW284" s="109">
        <v>9.1999999999999993</v>
      </c>
      <c r="DX284" s="109">
        <v>37.4</v>
      </c>
      <c r="DZ284" s="147" t="s">
        <v>331</v>
      </c>
      <c r="EA284" s="109">
        <v>8.4</v>
      </c>
      <c r="EB284" s="109">
        <v>9.9</v>
      </c>
      <c r="EC284" s="109">
        <v>9.6999999999999993</v>
      </c>
      <c r="ED284" s="109">
        <v>8.1</v>
      </c>
      <c r="EE284" s="109">
        <v>36.1</v>
      </c>
      <c r="EG284" s="147" t="s">
        <v>331</v>
      </c>
      <c r="EH284" s="109">
        <v>6.7</v>
      </c>
      <c r="EI284" s="109">
        <v>8.6999999999999993</v>
      </c>
      <c r="EJ284" s="109">
        <v>6.9</v>
      </c>
      <c r="EK284" s="109">
        <v>7.5</v>
      </c>
      <c r="EL284" s="109">
        <v>29.799999999999997</v>
      </c>
      <c r="EN284" s="147" t="s">
        <v>331</v>
      </c>
      <c r="EO284" s="109">
        <v>6.1</v>
      </c>
      <c r="EP284" s="109">
        <v>7.9</v>
      </c>
      <c r="EQ284" s="109">
        <v>8.5</v>
      </c>
      <c r="ER284" s="109">
        <v>8.6</v>
      </c>
      <c r="ES284" s="109">
        <v>31.1</v>
      </c>
      <c r="EU284" s="147" t="s">
        <v>331</v>
      </c>
      <c r="EV284" s="109">
        <v>6.8</v>
      </c>
      <c r="EW284" s="109">
        <v>7.8</v>
      </c>
      <c r="EX284" s="109">
        <v>8.1</v>
      </c>
      <c r="EY284" s="109">
        <v>7.9</v>
      </c>
      <c r="EZ284" s="109">
        <v>30.6</v>
      </c>
      <c r="FB284" s="147" t="s">
        <v>331</v>
      </c>
      <c r="FC284" s="109">
        <v>5.2</v>
      </c>
      <c r="FD284" s="109">
        <v>6.7</v>
      </c>
      <c r="FE284" s="109">
        <v>6.2</v>
      </c>
      <c r="FF284" s="109">
        <v>6.5</v>
      </c>
      <c r="FG284" s="109">
        <v>24.6</v>
      </c>
      <c r="FI284" s="147" t="s">
        <v>331</v>
      </c>
      <c r="FJ284" s="109">
        <v>4.9000000000000004</v>
      </c>
      <c r="FK284" s="109">
        <v>6.7</v>
      </c>
      <c r="FL284" s="109">
        <v>7</v>
      </c>
      <c r="FM284" s="109">
        <v>5.0999999999999996</v>
      </c>
      <c r="FN284" s="109">
        <v>23.700000000000003</v>
      </c>
      <c r="FP284" s="147" t="s">
        <v>331</v>
      </c>
      <c r="FQ284" s="109">
        <v>5.8</v>
      </c>
      <c r="FR284" s="109">
        <v>5</v>
      </c>
      <c r="FS284" s="109">
        <v>5.0999999999999996</v>
      </c>
      <c r="FT284" s="109">
        <v>5.7</v>
      </c>
      <c r="FU284" s="109">
        <v>21.6</v>
      </c>
      <c r="FW284" s="147" t="s">
        <v>331</v>
      </c>
      <c r="FX284" s="109">
        <v>5.7</v>
      </c>
      <c r="FY284" s="109">
        <v>6.7</v>
      </c>
      <c r="FZ284" s="109">
        <v>5.2</v>
      </c>
      <c r="GA284" s="109">
        <v>5.2</v>
      </c>
      <c r="GB284" s="109">
        <v>22.8</v>
      </c>
      <c r="GD284" s="147" t="s">
        <v>331</v>
      </c>
      <c r="GE284" s="109">
        <v>5.0999999999999996</v>
      </c>
      <c r="GF284" s="109">
        <v>5.0999999999999996</v>
      </c>
      <c r="GG284" s="109">
        <v>5.3</v>
      </c>
      <c r="GH284" s="109">
        <v>4.9000000000000004</v>
      </c>
      <c r="GI284" s="109">
        <v>20.399999999999999</v>
      </c>
      <c r="GK284" s="147" t="s">
        <v>331</v>
      </c>
      <c r="GL284" s="109">
        <v>4.0999999999999996</v>
      </c>
      <c r="GM284" s="109">
        <v>4.9000000000000004</v>
      </c>
      <c r="GN284" s="109">
        <v>4.8</v>
      </c>
      <c r="GO284" s="109">
        <v>4.7</v>
      </c>
      <c r="GP284" s="109">
        <v>18.5</v>
      </c>
      <c r="GR284" s="147" t="s">
        <v>331</v>
      </c>
      <c r="GS284" s="109">
        <v>3.9</v>
      </c>
      <c r="GT284" s="109">
        <v>4.5999999999999996</v>
      </c>
      <c r="GU284" s="109">
        <v>4.4000000000000004</v>
      </c>
      <c r="GV284" s="109">
        <v>4.0999999999999996</v>
      </c>
      <c r="GW284" s="109">
        <v>17</v>
      </c>
      <c r="GY284" s="147" t="s">
        <v>331</v>
      </c>
      <c r="GZ284" s="109">
        <v>2.7</v>
      </c>
      <c r="HA284" s="109">
        <v>3</v>
      </c>
      <c r="HB284" s="109">
        <v>3.9</v>
      </c>
      <c r="HC284" s="109">
        <v>3.9</v>
      </c>
      <c r="HD284" s="109">
        <v>13.5</v>
      </c>
      <c r="HF284" s="147" t="s">
        <v>331</v>
      </c>
      <c r="HG284" s="109">
        <v>6.5</v>
      </c>
      <c r="HH284" s="109">
        <v>8.8000000000000007</v>
      </c>
      <c r="HI284" s="109">
        <v>9</v>
      </c>
      <c r="HJ284" s="109">
        <v>8.8000000000000007</v>
      </c>
      <c r="HK284" s="109">
        <v>33.1</v>
      </c>
      <c r="HM284" s="147" t="s">
        <v>331</v>
      </c>
      <c r="HN284" s="109">
        <v>6.5</v>
      </c>
      <c r="HO284" s="109">
        <v>8.1</v>
      </c>
      <c r="HP284" s="109">
        <v>7.8</v>
      </c>
      <c r="HQ284" s="109">
        <v>8.1999999999999993</v>
      </c>
      <c r="HR284" s="109">
        <v>30.599999999999998</v>
      </c>
      <c r="HT284" s="147" t="s">
        <v>331</v>
      </c>
      <c r="HU284" s="109">
        <v>5.7</v>
      </c>
      <c r="HV284" s="109">
        <v>6.7</v>
      </c>
      <c r="HW284" s="109">
        <v>6.6</v>
      </c>
      <c r="HX284" s="109">
        <v>6.6</v>
      </c>
      <c r="HY284" s="109">
        <v>25.6</v>
      </c>
      <c r="IA284" s="147" t="s">
        <v>331</v>
      </c>
      <c r="IB284" s="109">
        <v>4.7</v>
      </c>
      <c r="IC284" s="109">
        <v>6.4</v>
      </c>
      <c r="ID284" s="109">
        <v>6.3</v>
      </c>
      <c r="IE284" s="109">
        <v>6.7</v>
      </c>
      <c r="IF284" s="109">
        <v>24.1</v>
      </c>
      <c r="IH284" s="147" t="s">
        <v>331</v>
      </c>
      <c r="II284" s="109">
        <v>4.8</v>
      </c>
      <c r="IJ284" s="109">
        <v>6.2</v>
      </c>
      <c r="IK284" s="109">
        <v>7.3</v>
      </c>
      <c r="IL284" s="109">
        <v>7.8</v>
      </c>
      <c r="IM284" s="109">
        <v>26.1</v>
      </c>
      <c r="IO284" s="147" t="s">
        <v>331</v>
      </c>
      <c r="IP284" s="109">
        <v>5.3</v>
      </c>
      <c r="IQ284" s="109">
        <v>7.1</v>
      </c>
      <c r="IR284" s="109">
        <v>6.5</v>
      </c>
      <c r="IS284" s="109">
        <v>5.4</v>
      </c>
      <c r="IT284" s="109">
        <v>24.299999999999997</v>
      </c>
      <c r="IV284" s="147" t="s">
        <v>331</v>
      </c>
      <c r="IW284" s="109">
        <v>4.5999999999999996</v>
      </c>
      <c r="IX284" s="109">
        <v>4.7</v>
      </c>
      <c r="IY284" s="109">
        <v>5</v>
      </c>
      <c r="IZ284" s="109">
        <v>5</v>
      </c>
      <c r="JA284" s="109">
        <v>19.3</v>
      </c>
      <c r="JC284" s="147" t="s">
        <v>331</v>
      </c>
      <c r="JD284" s="109">
        <v>3.5</v>
      </c>
      <c r="JE284" s="109">
        <v>4.4000000000000004</v>
      </c>
      <c r="JF284" s="109">
        <v>4.4000000000000004</v>
      </c>
      <c r="JG284" s="109"/>
      <c r="JH284" s="109"/>
      <c r="JJ284" s="147" t="s">
        <v>331</v>
      </c>
      <c r="JK284" s="109"/>
      <c r="JL284" s="109"/>
      <c r="JM284" s="109"/>
      <c r="JN284" s="109"/>
      <c r="JO284" s="109"/>
      <c r="JQ284" s="147" t="s">
        <v>331</v>
      </c>
      <c r="JR284" s="109"/>
      <c r="JS284" s="109"/>
      <c r="JT284" s="109"/>
      <c r="JU284" s="109"/>
      <c r="JV284" s="109"/>
      <c r="JX284" s="147" t="s">
        <v>331</v>
      </c>
      <c r="JY284" s="109"/>
      <c r="JZ284" s="109"/>
      <c r="KA284" s="109"/>
      <c r="KB284" s="109"/>
      <c r="KC284" s="109"/>
      <c r="KE284" s="147" t="s">
        <v>331</v>
      </c>
      <c r="KF284" s="109"/>
      <c r="KG284" s="109"/>
      <c r="KH284" s="109"/>
      <c r="KI284" s="109"/>
      <c r="KJ284" s="109"/>
      <c r="KL284" s="147" t="s">
        <v>331</v>
      </c>
      <c r="KM284" s="109"/>
      <c r="KN284" s="109"/>
      <c r="KO284" s="109"/>
      <c r="KP284" s="109"/>
      <c r="KQ284" s="109"/>
      <c r="KS284" s="147" t="s">
        <v>331</v>
      </c>
      <c r="KT284" s="109"/>
      <c r="KU284" s="109"/>
      <c r="KV284" s="109"/>
      <c r="KW284" s="109"/>
      <c r="KX284" s="109"/>
      <c r="KZ284" s="147" t="s">
        <v>331</v>
      </c>
      <c r="LA284" s="109"/>
      <c r="LB284" s="109"/>
      <c r="LC284" s="109"/>
      <c r="LD284" s="109"/>
      <c r="LE284" s="109"/>
      <c r="LF284" s="555"/>
      <c r="LG284" s="147" t="s">
        <v>331</v>
      </c>
      <c r="LH284" s="109"/>
      <c r="LI284" s="109"/>
      <c r="LJ284" s="109"/>
      <c r="LK284" s="109"/>
      <c r="LL284" s="109"/>
      <c r="LM284" s="555"/>
      <c r="LN284" s="147" t="s">
        <v>331</v>
      </c>
      <c r="LO284" s="109"/>
      <c r="LP284" s="109"/>
      <c r="LQ284" s="109"/>
      <c r="LR284" s="109"/>
      <c r="LS284" s="109"/>
      <c r="LT284" s="555"/>
      <c r="LU284" s="147" t="s">
        <v>331</v>
      </c>
      <c r="LV284" s="109"/>
      <c r="LW284" s="109"/>
      <c r="LX284" s="109"/>
      <c r="LY284" s="109"/>
      <c r="LZ284" s="109"/>
      <c r="MA284" s="555"/>
      <c r="MB284" s="147" t="s">
        <v>331</v>
      </c>
      <c r="MC284" s="109"/>
      <c r="MD284" s="109"/>
      <c r="ME284" s="109"/>
      <c r="MF284" s="109"/>
      <c r="MG284" s="109"/>
      <c r="MH284" s="555"/>
    </row>
    <row r="285" spans="1:346" s="70" customFormat="1" ht="13.15" collapsed="1" x14ac:dyDescent="0.4">
      <c r="A285" s="148"/>
      <c r="B285" s="149" t="s">
        <v>297</v>
      </c>
      <c r="E285" s="70">
        <v>129</v>
      </c>
      <c r="F285" s="70">
        <f t="shared" ref="F285:M285" si="6932">SUM(F283:F284)</f>
        <v>136</v>
      </c>
      <c r="G285" s="70">
        <f t="shared" si="6932"/>
        <v>128.20000000000002</v>
      </c>
      <c r="H285" s="70">
        <f t="shared" si="6932"/>
        <v>126.29999999999998</v>
      </c>
      <c r="I285" s="70">
        <f t="shared" si="6932"/>
        <v>151.20000000000002</v>
      </c>
      <c r="J285" s="70">
        <f t="shared" si="6932"/>
        <v>136.6</v>
      </c>
      <c r="K285" s="70">
        <f t="shared" si="6932"/>
        <v>142.29999999999998</v>
      </c>
      <c r="L285" s="70">
        <f t="shared" si="6932"/>
        <v>154.5</v>
      </c>
      <c r="M285" s="70">
        <f t="shared" si="6932"/>
        <v>147.80000000000001</v>
      </c>
      <c r="N285" s="130">
        <f t="shared" si="6892"/>
        <v>149.70000000000002</v>
      </c>
      <c r="O285" s="130">
        <f t="shared" si="6893"/>
        <v>148.30000000000001</v>
      </c>
      <c r="P285" s="130">
        <f t="shared" si="6894"/>
        <v>136.39999999999998</v>
      </c>
      <c r="Q285" s="130">
        <f t="shared" si="6895"/>
        <v>134.19999999999999</v>
      </c>
      <c r="R285" s="130">
        <f t="shared" si="6896"/>
        <v>127.5</v>
      </c>
      <c r="S285" s="130">
        <f t="shared" si="6897"/>
        <v>138.1</v>
      </c>
      <c r="T285" s="130">
        <f t="shared" si="6898"/>
        <v>135.80000000000001</v>
      </c>
      <c r="U285" s="130">
        <f t="shared" si="6899"/>
        <v>141.19999999999999</v>
      </c>
      <c r="V285" s="130">
        <f t="shared" si="6900"/>
        <v>144.4</v>
      </c>
      <c r="W285" s="130">
        <f t="shared" si="6901"/>
        <v>145.1</v>
      </c>
      <c r="X285" s="130">
        <f t="shared" si="6902"/>
        <v>147.10000000000002</v>
      </c>
      <c r="Y285" s="130">
        <f t="shared" si="6903"/>
        <v>157.9</v>
      </c>
      <c r="Z285" s="130">
        <f t="shared" si="6904"/>
        <v>167.79999999999998</v>
      </c>
      <c r="AA285" s="130">
        <f t="shared" si="6905"/>
        <v>158</v>
      </c>
      <c r="AB285" s="130">
        <f t="shared" si="6906"/>
        <v>158</v>
      </c>
      <c r="AC285" s="130">
        <f t="shared" si="6907"/>
        <v>162.6</v>
      </c>
      <c r="AD285" s="130">
        <f t="shared" si="6908"/>
        <v>171.20000000000002</v>
      </c>
      <c r="AE285" s="130">
        <f t="shared" si="6909"/>
        <v>180.70000000000002</v>
      </c>
      <c r="AF285" s="130">
        <f t="shared" si="6910"/>
        <v>173.39999999999998</v>
      </c>
      <c r="AG285" s="130">
        <f t="shared" si="6911"/>
        <v>165.8</v>
      </c>
      <c r="AH285" s="130">
        <f t="shared" si="6912"/>
        <v>143.30000000000001</v>
      </c>
      <c r="AI285" s="130">
        <f t="shared" si="6913"/>
        <v>136.19999999999999</v>
      </c>
      <c r="AJ285" s="130">
        <f t="shared" si="6914"/>
        <v>122.9</v>
      </c>
      <c r="AK285" s="130">
        <f t="shared" si="6915"/>
        <v>96.699999999999989</v>
      </c>
      <c r="AL285" s="130">
        <f t="shared" si="6916"/>
        <v>90.2</v>
      </c>
      <c r="AM285" s="130">
        <f t="shared" si="6917"/>
        <v>103.89999999999999</v>
      </c>
      <c r="AN285" s="130">
        <f t="shared" si="6918"/>
        <v>90.4</v>
      </c>
      <c r="AO285" s="130">
        <f t="shared" si="6919"/>
        <v>69.900000000000006</v>
      </c>
      <c r="AP285" s="130">
        <f t="shared" si="6920"/>
        <v>61.1</v>
      </c>
      <c r="AQ285" s="130">
        <f t="shared" si="6921"/>
        <v>57.3</v>
      </c>
      <c r="AR285" s="130">
        <f t="shared" si="6922"/>
        <v>56.599999999999994</v>
      </c>
      <c r="AS285" s="130">
        <f t="shared" si="6923"/>
        <v>42</v>
      </c>
      <c r="AT285" s="130">
        <f t="shared" si="6924"/>
        <v>46.599999999999994</v>
      </c>
      <c r="AU285" s="130">
        <f t="shared" si="6925"/>
        <v>45.7</v>
      </c>
      <c r="AV285" s="130">
        <f t="shared" si="6926"/>
        <v>45</v>
      </c>
      <c r="AW285" s="130">
        <f t="shared" si="6927"/>
        <v>38.9</v>
      </c>
      <c r="AX285" s="130">
        <f t="shared" si="6928"/>
        <v>40.599999999999994</v>
      </c>
      <c r="AY285" s="130">
        <f t="shared" si="6929"/>
        <v>41.510249999999999</v>
      </c>
      <c r="AZ285" s="130">
        <f t="shared" si="6930"/>
        <v>40.527374474999995</v>
      </c>
      <c r="BA285" s="130">
        <f t="shared" si="6931"/>
        <v>40.223419166437495</v>
      </c>
      <c r="BB285" s="130"/>
      <c r="BC285" s="130"/>
      <c r="BD285" s="130"/>
      <c r="BE285" s="130"/>
      <c r="BF285" s="130"/>
      <c r="BG285" s="130"/>
      <c r="BH285" s="130"/>
      <c r="BI285" s="130"/>
      <c r="BJ285" s="130"/>
      <c r="BK285" s="130"/>
      <c r="BL285" s="130"/>
      <c r="BM285" s="130"/>
      <c r="BO285" s="149" t="s">
        <v>297</v>
      </c>
      <c r="BP285" s="70">
        <f>SUM(BP283:BP284)</f>
        <v>36.299999999999997</v>
      </c>
      <c r="BQ285" s="70">
        <f>SUM(BQ283:BQ284)</f>
        <v>38.5</v>
      </c>
      <c r="BR285" s="70">
        <f>SUM(BR283:BR284)</f>
        <v>37.5</v>
      </c>
      <c r="BS285" s="70">
        <f>SUM(BS283:BS284)</f>
        <v>37.4</v>
      </c>
      <c r="BT285" s="70">
        <f>SUM(BT283:BT284)</f>
        <v>149.70000000000002</v>
      </c>
      <c r="BV285" s="149" t="s">
        <v>297</v>
      </c>
      <c r="BW285" s="70">
        <f>SUM(BW283:BW284)</f>
        <v>37.700000000000003</v>
      </c>
      <c r="BX285" s="70">
        <f>SUM(BX283:BX284)</f>
        <v>37.700000000000003</v>
      </c>
      <c r="BY285" s="70">
        <f>SUM(BY283:BY284)</f>
        <v>36.1</v>
      </c>
      <c r="BZ285" s="70">
        <f>SUM(BZ283:BZ284)</f>
        <v>36.799999999999997</v>
      </c>
      <c r="CA285" s="70">
        <f>SUM(CA283:CA284)</f>
        <v>148.30000000000001</v>
      </c>
      <c r="CC285" s="149" t="s">
        <v>297</v>
      </c>
      <c r="CD285" s="70">
        <f>SUM(CD283:CD284)</f>
        <v>32.9</v>
      </c>
      <c r="CE285" s="70">
        <f>SUM(CE283:CE284)</f>
        <v>33.9</v>
      </c>
      <c r="CF285" s="70">
        <f>SUM(CF283:CF284)</f>
        <v>35.1</v>
      </c>
      <c r="CG285" s="70">
        <f>SUM(CG283:CG284)</f>
        <v>34.5</v>
      </c>
      <c r="CH285" s="70">
        <f>SUM(CH283:CH284)</f>
        <v>136.39999999999998</v>
      </c>
      <c r="CJ285" s="149" t="s">
        <v>297</v>
      </c>
      <c r="CK285" s="70">
        <f>SUM(CK283:CK284)</f>
        <v>32.200000000000003</v>
      </c>
      <c r="CL285" s="70">
        <f>SUM(CL283:CL284)</f>
        <v>32.799999999999997</v>
      </c>
      <c r="CM285" s="70">
        <f>SUM(CM283:CM284)</f>
        <v>34.700000000000003</v>
      </c>
      <c r="CN285" s="70">
        <f>SUM(CN283:CN284)</f>
        <v>34.5</v>
      </c>
      <c r="CO285" s="70">
        <f>SUM(CO283:CO284)</f>
        <v>134.19999999999999</v>
      </c>
      <c r="CQ285" s="149" t="s">
        <v>297</v>
      </c>
      <c r="CR285" s="70">
        <f>SUM(CR283:CR284)</f>
        <v>31.1</v>
      </c>
      <c r="CS285" s="70">
        <f>SUM(CS283:CS284)</f>
        <v>33.299999999999997</v>
      </c>
      <c r="CT285" s="70">
        <f>SUM(CT283:CT284)</f>
        <v>32.200000000000003</v>
      </c>
      <c r="CU285" s="70">
        <f>SUM(CU283:CU284)</f>
        <v>30.9</v>
      </c>
      <c r="CV285" s="70">
        <f>SUM(CV283:CV284)</f>
        <v>127.5</v>
      </c>
      <c r="CX285" s="149" t="s">
        <v>297</v>
      </c>
      <c r="CY285" s="70">
        <f>SUM(CY283:CY284)</f>
        <v>31.9</v>
      </c>
      <c r="CZ285" s="70">
        <f>SUM(CZ283:CZ284)</f>
        <v>35.4</v>
      </c>
      <c r="DA285" s="70">
        <f>SUM(DA283:DA284)</f>
        <v>35.5</v>
      </c>
      <c r="DB285" s="70">
        <f>SUM(DB283:DB284)</f>
        <v>35.299999999999997</v>
      </c>
      <c r="DC285" s="70">
        <f>SUM(DC283:DC284)</f>
        <v>138.1</v>
      </c>
      <c r="DE285" s="149" t="s">
        <v>297</v>
      </c>
      <c r="DF285" s="70">
        <f>SUM(DF283:DF284)</f>
        <v>32.6</v>
      </c>
      <c r="DG285" s="70">
        <f>SUM(DG283:DG284)</f>
        <v>33.700000000000003</v>
      </c>
      <c r="DH285" s="70">
        <f>SUM(DH283:DH284)</f>
        <v>35</v>
      </c>
      <c r="DI285" s="70">
        <f>SUM(DI283:DI284)</f>
        <v>34.5</v>
      </c>
      <c r="DJ285" s="70">
        <f>SUM(DJ283:DJ284)</f>
        <v>135.80000000000001</v>
      </c>
      <c r="DL285" s="149" t="s">
        <v>297</v>
      </c>
      <c r="DM285" s="70">
        <f>SUM(DM283:DM284)</f>
        <v>32.400000000000006</v>
      </c>
      <c r="DN285" s="70">
        <f>SUM(DN283:DN284)</f>
        <v>35.799999999999997</v>
      </c>
      <c r="DO285" s="70">
        <f>SUM(DO283:DO284)</f>
        <v>36.1</v>
      </c>
      <c r="DP285" s="70">
        <f>SUM(DP283:DP284)</f>
        <v>36.9</v>
      </c>
      <c r="DQ285" s="70">
        <f>SUM(DQ283:DQ284)</f>
        <v>141.19999999999999</v>
      </c>
      <c r="DS285" s="149" t="s">
        <v>297</v>
      </c>
      <c r="DT285" s="70">
        <f>SUM(DT283:DT284)</f>
        <v>35.5</v>
      </c>
      <c r="DU285" s="70">
        <f>SUM(DU283:DU284)</f>
        <v>35.200000000000003</v>
      </c>
      <c r="DV285" s="70">
        <f>SUM(DV283:DV284)</f>
        <v>36.5</v>
      </c>
      <c r="DW285" s="70">
        <f>SUM(DW283:DW284)</f>
        <v>37.200000000000003</v>
      </c>
      <c r="DX285" s="70">
        <f>SUM(DX283:DX284)</f>
        <v>144.4</v>
      </c>
      <c r="DZ285" s="149" t="s">
        <v>297</v>
      </c>
      <c r="EA285" s="70">
        <f>SUM(EA283:EA284)</f>
        <v>35.200000000000003</v>
      </c>
      <c r="EB285" s="70">
        <f>SUM(EB283:EB284)</f>
        <v>36.1</v>
      </c>
      <c r="EC285" s="70">
        <f>SUM(EC283:EC284)</f>
        <v>37</v>
      </c>
      <c r="ED285" s="70">
        <f>SUM(ED283:ED284)</f>
        <v>36.799999999999997</v>
      </c>
      <c r="EE285" s="70">
        <f>SUM(EE283:EE284)</f>
        <v>145.1</v>
      </c>
      <c r="EG285" s="149" t="s">
        <v>297</v>
      </c>
      <c r="EH285" s="70">
        <f>SUM(EH283:EH284)</f>
        <v>35.1</v>
      </c>
      <c r="EI285" s="70">
        <f>SUM(EI283:EI284)</f>
        <v>35.5</v>
      </c>
      <c r="EJ285" s="70">
        <f>SUM(EJ283:EJ284)</f>
        <v>38.9</v>
      </c>
      <c r="EK285" s="70">
        <f>SUM(EK283:EK284)</f>
        <v>37.6</v>
      </c>
      <c r="EL285" s="70">
        <f>SUM(EL283:EL284)</f>
        <v>147.10000000000002</v>
      </c>
      <c r="EN285" s="149" t="s">
        <v>297</v>
      </c>
      <c r="EO285" s="70">
        <f>SUM(EO283:EO284)</f>
        <v>35.5</v>
      </c>
      <c r="EP285" s="70">
        <f>SUM(EP283:EP284)</f>
        <v>39.700000000000003</v>
      </c>
      <c r="EQ285" s="70">
        <f>SUM(EQ283:EQ284)</f>
        <v>42.2</v>
      </c>
      <c r="ER285" s="70">
        <f>SUM(ER283:ER284)</f>
        <v>40.5</v>
      </c>
      <c r="ES285" s="70">
        <f>SUM(ES283:ES284)</f>
        <v>157.9</v>
      </c>
      <c r="EU285" s="149" t="s">
        <v>297</v>
      </c>
      <c r="EV285" s="70">
        <f>SUM(EV283:EV284)</f>
        <v>41.9</v>
      </c>
      <c r="EW285" s="70">
        <f>SUM(EW283:EW284)</f>
        <v>41.699999999999996</v>
      </c>
      <c r="EX285" s="70">
        <f>SUM(EX283:EX284)</f>
        <v>41.4</v>
      </c>
      <c r="EY285" s="70">
        <f>SUM(EY283:EY284)</f>
        <v>42.8</v>
      </c>
      <c r="EZ285" s="70">
        <f>SUM(EZ283:EZ284)</f>
        <v>167.79999999999998</v>
      </c>
      <c r="FB285" s="149" t="s">
        <v>297</v>
      </c>
      <c r="FC285" s="70">
        <f>SUM(FC283:FC284)</f>
        <v>38.1</v>
      </c>
      <c r="FD285" s="70">
        <f>SUM(FD283:FD284)</f>
        <v>39.1</v>
      </c>
      <c r="FE285" s="70">
        <f>SUM(FE283:FE284)</f>
        <v>40.300000000000004</v>
      </c>
      <c r="FF285" s="70">
        <f>SUM(FF283:FF284)</f>
        <v>40.5</v>
      </c>
      <c r="FG285" s="70">
        <f>SUM(FG283:FG284)</f>
        <v>158</v>
      </c>
      <c r="FI285" s="149" t="s">
        <v>297</v>
      </c>
      <c r="FJ285" s="70">
        <f>SUM(FJ283:FJ284)</f>
        <v>37.299999999999997</v>
      </c>
      <c r="FK285" s="70">
        <f>SUM(FK283:FK284)</f>
        <v>40.6</v>
      </c>
      <c r="FL285" s="70">
        <f>SUM(FL283:FL284)</f>
        <v>39.6</v>
      </c>
      <c r="FM285" s="70">
        <f>SUM(FM283:FM284)</f>
        <v>40.5</v>
      </c>
      <c r="FN285" s="70">
        <f>SUM(FN283:FN284)</f>
        <v>158</v>
      </c>
      <c r="FP285" s="149" t="s">
        <v>297</v>
      </c>
      <c r="FQ285" s="70">
        <f>SUM(FQ283:FQ284)</f>
        <v>39.4</v>
      </c>
      <c r="FR285" s="70">
        <f>SUM(FR283:FR284)</f>
        <v>39.6</v>
      </c>
      <c r="FS285" s="70">
        <f>SUM(FS283:FS284)</f>
        <v>39.9</v>
      </c>
      <c r="FT285" s="70">
        <f>SUM(FT283:FT284)</f>
        <v>43.7</v>
      </c>
      <c r="FU285" s="70">
        <f>SUM(FU283:FU284)</f>
        <v>162.6</v>
      </c>
      <c r="FW285" s="149" t="s">
        <v>297</v>
      </c>
      <c r="FX285" s="70">
        <f>SUM(FX283:FX284)</f>
        <v>42.5</v>
      </c>
      <c r="FY285" s="70">
        <f>SUM(FY283:FY284)</f>
        <v>43.2</v>
      </c>
      <c r="FZ285" s="70">
        <f>SUM(FZ283:FZ284)</f>
        <v>42.2</v>
      </c>
      <c r="GA285" s="70">
        <f>SUM(GA283:GA284)</f>
        <v>43.300000000000004</v>
      </c>
      <c r="GB285" s="70">
        <f>SUM(GB283:GB284)</f>
        <v>171.20000000000002</v>
      </c>
      <c r="GD285" s="149" t="s">
        <v>297</v>
      </c>
      <c r="GE285" s="70">
        <f>SUM(GE283:GE284)</f>
        <v>45.5</v>
      </c>
      <c r="GF285" s="70">
        <f>SUM(GF283:GF284)</f>
        <v>45.5</v>
      </c>
      <c r="GG285" s="70">
        <f>SUM(GG283:GG284)</f>
        <v>45.3</v>
      </c>
      <c r="GH285" s="70">
        <f>SUM(GH283:GH284)</f>
        <v>44.4</v>
      </c>
      <c r="GI285" s="70">
        <f>SUM(GI283:GI284)</f>
        <v>180.70000000000002</v>
      </c>
      <c r="GK285" s="149" t="s">
        <v>297</v>
      </c>
      <c r="GL285" s="70">
        <v>43.3</v>
      </c>
      <c r="GM285" s="70">
        <v>43.9</v>
      </c>
      <c r="GN285" s="70">
        <v>43.6</v>
      </c>
      <c r="GO285" s="70">
        <v>42.6</v>
      </c>
      <c r="GP285" s="70">
        <f>SUM(GL285:GO285)</f>
        <v>173.39999999999998</v>
      </c>
      <c r="GR285" s="149" t="s">
        <v>297</v>
      </c>
      <c r="GS285" s="70">
        <v>40.6</v>
      </c>
      <c r="GT285" s="70">
        <v>41.1</v>
      </c>
      <c r="GU285" s="70">
        <v>41.6</v>
      </c>
      <c r="GV285" s="70">
        <v>42.5</v>
      </c>
      <c r="GW285" s="70">
        <f>SUM(GS285:GV285)</f>
        <v>165.8</v>
      </c>
      <c r="GY285" s="149" t="s">
        <v>297</v>
      </c>
      <c r="GZ285" s="70">
        <v>39.700000000000003</v>
      </c>
      <c r="HA285" s="70">
        <v>35.6</v>
      </c>
      <c r="HB285" s="70">
        <v>35.299999999999997</v>
      </c>
      <c r="HC285" s="70">
        <v>32.700000000000003</v>
      </c>
      <c r="HD285" s="70">
        <f>SUM(GZ285:HC285)</f>
        <v>143.30000000000001</v>
      </c>
      <c r="HF285" s="149" t="s">
        <v>297</v>
      </c>
      <c r="HG285" s="70">
        <v>32.299999999999997</v>
      </c>
      <c r="HH285" s="70">
        <v>34.4</v>
      </c>
      <c r="HI285" s="70">
        <v>34.4</v>
      </c>
      <c r="HJ285" s="70">
        <v>35.1</v>
      </c>
      <c r="HK285" s="70">
        <f>SUM(HG285:HJ285)</f>
        <v>136.19999999999999</v>
      </c>
      <c r="HM285" s="149" t="s">
        <v>297</v>
      </c>
      <c r="HN285" s="70">
        <v>30.6</v>
      </c>
      <c r="HO285" s="70">
        <v>30.8</v>
      </c>
      <c r="HP285" s="70">
        <v>32.200000000000003</v>
      </c>
      <c r="HQ285" s="70">
        <v>29.3</v>
      </c>
      <c r="HR285" s="70">
        <f>SUM(HN285:HQ285)</f>
        <v>122.9</v>
      </c>
      <c r="HT285" s="149" t="s">
        <v>297</v>
      </c>
      <c r="HU285" s="70">
        <v>24.5</v>
      </c>
      <c r="HV285" s="70">
        <v>22.3</v>
      </c>
      <c r="HW285" s="70">
        <v>25.3</v>
      </c>
      <c r="HX285" s="70">
        <v>24.6</v>
      </c>
      <c r="HY285" s="70">
        <f>SUM(HU285:HX285)</f>
        <v>96.699999999999989</v>
      </c>
      <c r="IA285" s="149" t="s">
        <v>297</v>
      </c>
      <c r="IB285" s="70">
        <v>20.9</v>
      </c>
      <c r="IC285" s="70">
        <v>23.4</v>
      </c>
      <c r="ID285" s="70">
        <v>23.6</v>
      </c>
      <c r="IE285" s="70">
        <v>22.3</v>
      </c>
      <c r="IF285" s="70">
        <f>SUM(IB285:IE285)</f>
        <v>90.2</v>
      </c>
      <c r="IH285" s="149" t="s">
        <v>297</v>
      </c>
      <c r="II285" s="70">
        <v>22.5</v>
      </c>
      <c r="IJ285" s="70">
        <v>27.2</v>
      </c>
      <c r="IK285" s="70">
        <v>27.4</v>
      </c>
      <c r="IL285" s="70">
        <v>26.8</v>
      </c>
      <c r="IM285" s="70">
        <f>SUM(II285:IL285)</f>
        <v>103.89999999999999</v>
      </c>
      <c r="IO285" s="149" t="s">
        <v>297</v>
      </c>
      <c r="IP285" s="70">
        <v>22.9</v>
      </c>
      <c r="IQ285" s="70">
        <v>25.3</v>
      </c>
      <c r="IR285" s="70">
        <v>23.3</v>
      </c>
      <c r="IS285" s="70">
        <v>18.899999999999999</v>
      </c>
      <c r="IT285" s="70">
        <f>SUM(IP285:IS285)</f>
        <v>90.4</v>
      </c>
      <c r="IV285" s="149" t="s">
        <v>297</v>
      </c>
      <c r="IW285" s="70">
        <v>16.899999999999999</v>
      </c>
      <c r="IX285" s="70">
        <v>15.8</v>
      </c>
      <c r="IY285" s="70">
        <v>18.2</v>
      </c>
      <c r="IZ285" s="70">
        <v>19</v>
      </c>
      <c r="JA285" s="70">
        <f>SUM(IW285:IZ285)</f>
        <v>69.900000000000006</v>
      </c>
      <c r="JC285" s="149" t="s">
        <v>297</v>
      </c>
      <c r="JD285" s="70">
        <v>14.5</v>
      </c>
      <c r="JE285" s="70">
        <v>15.4</v>
      </c>
      <c r="JF285" s="70">
        <v>16.100000000000001</v>
      </c>
      <c r="JG285" s="70">
        <v>15.1</v>
      </c>
      <c r="JH285" s="70">
        <f>SUM(JD285:JG285)</f>
        <v>61.1</v>
      </c>
      <c r="JJ285" s="149" t="s">
        <v>297</v>
      </c>
      <c r="JK285" s="70">
        <v>12.3</v>
      </c>
      <c r="JL285" s="70">
        <v>13.7</v>
      </c>
      <c r="JM285" s="70">
        <v>15.8</v>
      </c>
      <c r="JN285" s="70">
        <v>15.5</v>
      </c>
      <c r="JO285" s="70">
        <f>SUM(JK285:JN285)</f>
        <v>57.3</v>
      </c>
      <c r="JQ285" s="149" t="s">
        <v>297</v>
      </c>
      <c r="JR285" s="70">
        <v>13.2</v>
      </c>
      <c r="JS285" s="70">
        <v>14.8</v>
      </c>
      <c r="JT285" s="70">
        <v>15.3</v>
      </c>
      <c r="JU285" s="70">
        <v>13.3</v>
      </c>
      <c r="JV285" s="70">
        <f>SUM(JR285:JU285)</f>
        <v>56.599999999999994</v>
      </c>
      <c r="JX285" s="149" t="s">
        <v>297</v>
      </c>
      <c r="JY285" s="70">
        <v>11.1</v>
      </c>
      <c r="JZ285" s="70">
        <v>8.1999999999999993</v>
      </c>
      <c r="KA285" s="70">
        <v>10.3</v>
      </c>
      <c r="KB285" s="70">
        <v>12.4</v>
      </c>
      <c r="KC285" s="70">
        <f>SUM(JY285:KB285)</f>
        <v>42</v>
      </c>
      <c r="KE285" s="149" t="s">
        <v>297</v>
      </c>
      <c r="KF285" s="70">
        <v>11.3</v>
      </c>
      <c r="KG285" s="70">
        <v>11.5</v>
      </c>
      <c r="KH285" s="70">
        <v>12.6</v>
      </c>
      <c r="KI285" s="70">
        <v>11.2</v>
      </c>
      <c r="KJ285" s="70">
        <f>SUM(KF285:KI285)</f>
        <v>46.599999999999994</v>
      </c>
      <c r="KL285" s="149" t="s">
        <v>297</v>
      </c>
      <c r="KM285" s="70">
        <v>9.8000000000000007</v>
      </c>
      <c r="KN285" s="70">
        <v>11.6</v>
      </c>
      <c r="KO285" s="70">
        <v>11.8</v>
      </c>
      <c r="KP285" s="70">
        <v>12.5</v>
      </c>
      <c r="KQ285" s="70">
        <f>SUM(KM285:KP285)</f>
        <v>45.7</v>
      </c>
      <c r="KS285" s="149" t="s">
        <v>297</v>
      </c>
      <c r="KT285" s="70">
        <v>11.5</v>
      </c>
      <c r="KU285" s="70">
        <v>11</v>
      </c>
      <c r="KV285" s="70">
        <v>11.6</v>
      </c>
      <c r="KW285" s="58">
        <v>10.9</v>
      </c>
      <c r="KX285" s="70">
        <f>SUM(KT285:KW285)</f>
        <v>45</v>
      </c>
      <c r="KZ285" s="149" t="s">
        <v>297</v>
      </c>
      <c r="LA285" s="70">
        <v>9.6</v>
      </c>
      <c r="LB285" s="70">
        <v>9.5</v>
      </c>
      <c r="LC285" s="58">
        <v>10.199999999999999</v>
      </c>
      <c r="LD285" s="58">
        <v>9.6</v>
      </c>
      <c r="LE285" s="70">
        <f>SUM(LA285:LD285)</f>
        <v>38.9</v>
      </c>
      <c r="LF285" s="558"/>
      <c r="LG285" s="149" t="s">
        <v>297</v>
      </c>
      <c r="LH285" s="58">
        <v>9.1999999999999993</v>
      </c>
      <c r="LI285" s="58">
        <v>10.199999999999999</v>
      </c>
      <c r="LJ285" s="58">
        <v>11</v>
      </c>
      <c r="LK285" s="58">
        <v>10.199999999999999</v>
      </c>
      <c r="LL285" s="70">
        <f>SUM(LH285:LK285)</f>
        <v>40.599999999999994</v>
      </c>
      <c r="LM285" s="558"/>
      <c r="LN285" s="149" t="s">
        <v>297</v>
      </c>
      <c r="LO285" s="58">
        <f t="shared" ref="LO285:LR285" si="6933">LO289-LO288</f>
        <v>9.9909999999999997</v>
      </c>
      <c r="LP285" s="58">
        <f t="shared" si="6933"/>
        <v>10.352999999999998</v>
      </c>
      <c r="LQ285" s="58">
        <f t="shared" si="6933"/>
        <v>10.71125</v>
      </c>
      <c r="LR285" s="58">
        <f t="shared" si="6933"/>
        <v>10.454999999999998</v>
      </c>
      <c r="LS285" s="70">
        <f>SUM(LO285:LR285)</f>
        <v>41.510249999999999</v>
      </c>
      <c r="LT285" s="558"/>
      <c r="LU285" s="149" t="s">
        <v>297</v>
      </c>
      <c r="LV285" s="58">
        <f t="shared" ref="LV285:LY285" si="6934">LV289-LV288</f>
        <v>9.7422241000000014</v>
      </c>
      <c r="LW285" s="58">
        <f t="shared" si="6934"/>
        <v>10.145939999999998</v>
      </c>
      <c r="LX285" s="58">
        <f t="shared" si="6934"/>
        <v>10.444539874999998</v>
      </c>
      <c r="LY285" s="58">
        <f t="shared" si="6934"/>
        <v>10.194670499999999</v>
      </c>
      <c r="LZ285" s="70">
        <f>SUM(LV285:LY285)</f>
        <v>40.527374474999995</v>
      </c>
      <c r="MA285" s="558"/>
      <c r="MB285" s="149" t="s">
        <v>297</v>
      </c>
      <c r="MC285" s="58">
        <f t="shared" ref="MC285:MF285" si="6935">MC289-MC288</f>
        <v>9.6691574192500021</v>
      </c>
      <c r="MD285" s="58">
        <f t="shared" si="6935"/>
        <v>10.069845449999999</v>
      </c>
      <c r="ME285" s="58">
        <f t="shared" si="6935"/>
        <v>10.366205825937499</v>
      </c>
      <c r="MF285" s="58">
        <f t="shared" si="6935"/>
        <v>10.118210471249999</v>
      </c>
      <c r="MG285" s="70">
        <f>SUM(MC285:MF285)</f>
        <v>40.223419166437495</v>
      </c>
      <c r="MH285" s="558"/>
    </row>
    <row r="286" spans="1:346" s="37" customFormat="1" ht="13.15" hidden="1" outlineLevel="1" x14ac:dyDescent="0.4">
      <c r="A286" s="100"/>
      <c r="B286" s="147" t="s">
        <v>332</v>
      </c>
      <c r="C286" s="109"/>
      <c r="D286" s="109"/>
      <c r="E286" s="109"/>
      <c r="F286" s="109"/>
      <c r="G286" s="109"/>
      <c r="H286" s="109"/>
      <c r="I286" s="109"/>
      <c r="J286" s="109"/>
      <c r="K286" s="109"/>
      <c r="L286" s="109"/>
      <c r="M286" s="109"/>
      <c r="N286" s="108">
        <f t="shared" si="6892"/>
        <v>0</v>
      </c>
      <c r="O286" s="108">
        <f t="shared" si="6893"/>
        <v>0</v>
      </c>
      <c r="P286" s="108">
        <f t="shared" si="6894"/>
        <v>0</v>
      </c>
      <c r="Q286" s="108">
        <f t="shared" si="6895"/>
        <v>0</v>
      </c>
      <c r="R286" s="108">
        <f t="shared" si="6896"/>
        <v>0</v>
      </c>
      <c r="S286" s="108">
        <f t="shared" si="6897"/>
        <v>0</v>
      </c>
      <c r="T286" s="108">
        <f t="shared" si="6898"/>
        <v>0</v>
      </c>
      <c r="U286" s="108">
        <f t="shared" si="6899"/>
        <v>0</v>
      </c>
      <c r="V286" s="108">
        <f t="shared" si="6900"/>
        <v>0</v>
      </c>
      <c r="W286" s="108">
        <f t="shared" si="6901"/>
        <v>0</v>
      </c>
      <c r="X286" s="108">
        <f t="shared" si="6902"/>
        <v>0</v>
      </c>
      <c r="Y286" s="108">
        <f t="shared" si="6903"/>
        <v>0</v>
      </c>
      <c r="Z286" s="108">
        <f t="shared" si="6904"/>
        <v>0</v>
      </c>
      <c r="AA286" s="108">
        <f t="shared" si="6905"/>
        <v>0</v>
      </c>
      <c r="AB286" s="108">
        <f t="shared" si="6906"/>
        <v>0</v>
      </c>
      <c r="AC286" s="108">
        <f t="shared" si="6907"/>
        <v>0</v>
      </c>
      <c r="AD286" s="108">
        <f t="shared" si="6908"/>
        <v>0</v>
      </c>
      <c r="AE286" s="108">
        <f t="shared" si="6909"/>
        <v>0</v>
      </c>
      <c r="AF286" s="108">
        <f t="shared" si="6910"/>
        <v>0</v>
      </c>
      <c r="AG286" s="108">
        <f t="shared" si="6911"/>
        <v>0</v>
      </c>
      <c r="AH286" s="108">
        <f t="shared" si="6912"/>
        <v>0</v>
      </c>
      <c r="AI286" s="108">
        <f t="shared" si="6913"/>
        <v>22.4</v>
      </c>
      <c r="AJ286" s="108">
        <f t="shared" si="6914"/>
        <v>25.200000000000003</v>
      </c>
      <c r="AK286" s="108">
        <f t="shared" si="6915"/>
        <v>23.8</v>
      </c>
      <c r="AL286" s="108">
        <f t="shared" si="6916"/>
        <v>24.9</v>
      </c>
      <c r="AM286" s="108">
        <f t="shared" si="6917"/>
        <v>23.4</v>
      </c>
      <c r="AN286" s="108">
        <f t="shared" si="6918"/>
        <v>18.8</v>
      </c>
      <c r="AO286" s="108">
        <f t="shared" si="6919"/>
        <v>17.5</v>
      </c>
      <c r="AP286" s="108">
        <f t="shared" si="6920"/>
        <v>0</v>
      </c>
      <c r="AQ286" s="108">
        <f t="shared" si="6921"/>
        <v>0</v>
      </c>
      <c r="AR286" s="108">
        <f t="shared" si="6922"/>
        <v>0</v>
      </c>
      <c r="AS286" s="108">
        <f t="shared" si="6923"/>
        <v>0</v>
      </c>
      <c r="AT286" s="108">
        <f t="shared" si="6924"/>
        <v>0</v>
      </c>
      <c r="AU286" s="108">
        <f t="shared" si="6925"/>
        <v>0</v>
      </c>
      <c r="AV286" s="108">
        <f t="shared" si="6926"/>
        <v>0</v>
      </c>
      <c r="AW286" s="108">
        <f t="shared" si="6927"/>
        <v>0</v>
      </c>
      <c r="AX286" s="108">
        <f t="shared" si="6928"/>
        <v>0</v>
      </c>
      <c r="AY286" s="108">
        <f t="shared" si="6929"/>
        <v>0</v>
      </c>
      <c r="AZ286" s="108">
        <f t="shared" si="6930"/>
        <v>0</v>
      </c>
      <c r="BA286" s="108">
        <f t="shared" si="6931"/>
        <v>0</v>
      </c>
      <c r="BB286" s="108"/>
      <c r="BC286" s="108"/>
      <c r="BD286" s="108"/>
      <c r="BE286" s="108"/>
      <c r="BF286" s="108"/>
      <c r="BG286" s="108"/>
      <c r="BH286" s="108"/>
      <c r="BI286" s="108"/>
      <c r="BJ286" s="108"/>
      <c r="BK286" s="108"/>
      <c r="BL286" s="108"/>
      <c r="BM286" s="108"/>
      <c r="BO286" s="147" t="s">
        <v>332</v>
      </c>
      <c r="BP286" s="109"/>
      <c r="BQ286" s="109"/>
      <c r="BR286" s="109"/>
      <c r="BS286" s="109"/>
      <c r="BT286" s="109"/>
      <c r="BV286" s="147" t="s">
        <v>332</v>
      </c>
      <c r="BW286" s="109"/>
      <c r="BX286" s="109"/>
      <c r="BY286" s="109"/>
      <c r="BZ286" s="109"/>
      <c r="CA286" s="109"/>
      <c r="CC286" s="147" t="s">
        <v>332</v>
      </c>
      <c r="CD286" s="109"/>
      <c r="CE286" s="109"/>
      <c r="CF286" s="109"/>
      <c r="CG286" s="109"/>
      <c r="CH286" s="109"/>
      <c r="CJ286" s="147" t="s">
        <v>332</v>
      </c>
      <c r="CK286" s="109"/>
      <c r="CL286" s="109"/>
      <c r="CM286" s="109"/>
      <c r="CN286" s="109"/>
      <c r="CO286" s="109"/>
      <c r="CQ286" s="147" t="s">
        <v>332</v>
      </c>
      <c r="CR286" s="109"/>
      <c r="CS286" s="109"/>
      <c r="CT286" s="109"/>
      <c r="CU286" s="109"/>
      <c r="CV286" s="109"/>
      <c r="CX286" s="147" t="s">
        <v>332</v>
      </c>
      <c r="CY286" s="109"/>
      <c r="CZ286" s="109"/>
      <c r="DA286" s="109"/>
      <c r="DB286" s="109"/>
      <c r="DC286" s="109"/>
      <c r="DE286" s="147" t="s">
        <v>332</v>
      </c>
      <c r="DF286" s="109"/>
      <c r="DG286" s="109"/>
      <c r="DH286" s="109"/>
      <c r="DI286" s="109"/>
      <c r="DJ286" s="109"/>
      <c r="DL286" s="147" t="s">
        <v>332</v>
      </c>
      <c r="DM286" s="109"/>
      <c r="DN286" s="109"/>
      <c r="DO286" s="109"/>
      <c r="DP286" s="109"/>
      <c r="DQ286" s="109"/>
      <c r="DS286" s="147" t="s">
        <v>332</v>
      </c>
      <c r="DT286" s="109"/>
      <c r="DU286" s="109"/>
      <c r="DV286" s="109"/>
      <c r="DW286" s="109"/>
      <c r="DX286" s="109"/>
      <c r="DZ286" s="147" t="s">
        <v>332</v>
      </c>
      <c r="EA286" s="109"/>
      <c r="EB286" s="109"/>
      <c r="EC286" s="109"/>
      <c r="ED286" s="109"/>
      <c r="EE286" s="109"/>
      <c r="EG286" s="147" t="s">
        <v>332</v>
      </c>
      <c r="EH286" s="109"/>
      <c r="EI286" s="109"/>
      <c r="EJ286" s="109"/>
      <c r="EK286" s="109"/>
      <c r="EL286" s="109"/>
      <c r="EN286" s="147" t="s">
        <v>332</v>
      </c>
      <c r="EO286" s="109"/>
      <c r="EP286" s="109"/>
      <c r="EQ286" s="109"/>
      <c r="ER286" s="109"/>
      <c r="ES286" s="109"/>
      <c r="EU286" s="147" t="s">
        <v>332</v>
      </c>
      <c r="EV286" s="109"/>
      <c r="EW286" s="109"/>
      <c r="EX286" s="109"/>
      <c r="EY286" s="109"/>
      <c r="EZ286" s="109"/>
      <c r="FB286" s="147" t="s">
        <v>332</v>
      </c>
      <c r="FC286" s="109"/>
      <c r="FD286" s="109"/>
      <c r="FE286" s="109"/>
      <c r="FF286" s="109"/>
      <c r="FG286" s="109"/>
      <c r="FI286" s="147" t="s">
        <v>332</v>
      </c>
      <c r="FJ286" s="109"/>
      <c r="FK286" s="109"/>
      <c r="FL286" s="109"/>
      <c r="FM286" s="109"/>
      <c r="FN286" s="109"/>
      <c r="FP286" s="147" t="s">
        <v>332</v>
      </c>
      <c r="FQ286" s="109"/>
      <c r="FR286" s="109"/>
      <c r="FS286" s="109"/>
      <c r="FT286" s="109"/>
      <c r="FU286" s="109"/>
      <c r="FW286" s="147" t="s">
        <v>332</v>
      </c>
      <c r="FX286" s="109"/>
      <c r="FY286" s="109"/>
      <c r="FZ286" s="109"/>
      <c r="GA286" s="109"/>
      <c r="GB286" s="109"/>
      <c r="GD286" s="147" t="s">
        <v>332</v>
      </c>
      <c r="GE286" s="109"/>
      <c r="GF286" s="109"/>
      <c r="GG286" s="109"/>
      <c r="GH286" s="109"/>
      <c r="GI286" s="109"/>
      <c r="GK286" s="147" t="s">
        <v>332</v>
      </c>
      <c r="GL286" s="109"/>
      <c r="GM286" s="109"/>
      <c r="GN286" s="109"/>
      <c r="GO286" s="109"/>
      <c r="GP286" s="109"/>
      <c r="GR286" s="147" t="s">
        <v>332</v>
      </c>
      <c r="GS286" s="109"/>
      <c r="GT286" s="109"/>
      <c r="GU286" s="109"/>
      <c r="GV286" s="109"/>
      <c r="GW286" s="109"/>
      <c r="GY286" s="147" t="s">
        <v>332</v>
      </c>
      <c r="GZ286" s="109"/>
      <c r="HA286" s="109"/>
      <c r="HB286" s="109"/>
      <c r="HC286" s="109"/>
      <c r="HD286" s="109"/>
      <c r="HF286" s="147" t="s">
        <v>332</v>
      </c>
      <c r="HG286" s="109">
        <v>5.6</v>
      </c>
      <c r="HH286" s="109">
        <v>5.9</v>
      </c>
      <c r="HI286" s="109">
        <v>4.9000000000000004</v>
      </c>
      <c r="HJ286" s="109">
        <v>6</v>
      </c>
      <c r="HK286" s="109">
        <v>22.4</v>
      </c>
      <c r="HM286" s="147" t="s">
        <v>332</v>
      </c>
      <c r="HN286" s="109">
        <v>6.7</v>
      </c>
      <c r="HO286" s="109">
        <v>6.6</v>
      </c>
      <c r="HP286" s="109">
        <v>5.9</v>
      </c>
      <c r="HQ286" s="109">
        <v>6</v>
      </c>
      <c r="HR286" s="109">
        <v>25.200000000000003</v>
      </c>
      <c r="HT286" s="147" t="s">
        <v>332</v>
      </c>
      <c r="HU286" s="109">
        <v>6.3</v>
      </c>
      <c r="HV286" s="109">
        <v>5.9</v>
      </c>
      <c r="HW286" s="109">
        <v>6.4</v>
      </c>
      <c r="HX286" s="109">
        <v>5.2</v>
      </c>
      <c r="HY286" s="109">
        <v>23.8</v>
      </c>
      <c r="IA286" s="147" t="s">
        <v>332</v>
      </c>
      <c r="IB286" s="109">
        <v>7</v>
      </c>
      <c r="IC286" s="109">
        <v>6.4</v>
      </c>
      <c r="ID286" s="109">
        <v>5.8</v>
      </c>
      <c r="IE286" s="109">
        <v>5.7</v>
      </c>
      <c r="IF286" s="109">
        <v>24.9</v>
      </c>
      <c r="IH286" s="147" t="s">
        <v>332</v>
      </c>
      <c r="II286" s="109">
        <v>6.2</v>
      </c>
      <c r="IJ286" s="109">
        <v>5.8</v>
      </c>
      <c r="IK286" s="109">
        <v>5.5</v>
      </c>
      <c r="IL286" s="109">
        <v>5.9</v>
      </c>
      <c r="IM286" s="109">
        <v>23.4</v>
      </c>
      <c r="IO286" s="147" t="s">
        <v>332</v>
      </c>
      <c r="IP286" s="109">
        <v>5.8</v>
      </c>
      <c r="IQ286" s="109">
        <v>5.2</v>
      </c>
      <c r="IR286" s="109">
        <v>4.3</v>
      </c>
      <c r="IS286" s="109">
        <v>3.5</v>
      </c>
      <c r="IT286" s="109">
        <v>18.8</v>
      </c>
      <c r="IV286" s="147" t="s">
        <v>332</v>
      </c>
      <c r="IW286" s="109">
        <v>4.3</v>
      </c>
      <c r="IX286" s="109">
        <v>4.5</v>
      </c>
      <c r="IY286" s="109">
        <v>4</v>
      </c>
      <c r="IZ286" s="109">
        <v>4.7</v>
      </c>
      <c r="JA286" s="109">
        <v>17.5</v>
      </c>
      <c r="JC286" s="147" t="s">
        <v>332</v>
      </c>
      <c r="JD286" s="109">
        <v>5.3</v>
      </c>
      <c r="JE286" s="109">
        <v>6</v>
      </c>
      <c r="JF286" s="109">
        <v>5</v>
      </c>
      <c r="JG286" s="109"/>
      <c r="JH286" s="109"/>
      <c r="JJ286" s="147" t="s">
        <v>332</v>
      </c>
      <c r="JK286" s="109"/>
      <c r="JL286" s="109"/>
      <c r="JM286" s="109"/>
      <c r="JN286" s="109"/>
      <c r="JO286" s="109"/>
      <c r="JQ286" s="147" t="s">
        <v>332</v>
      </c>
      <c r="JR286" s="109"/>
      <c r="JS286" s="109"/>
      <c r="JT286" s="109"/>
      <c r="JU286" s="109"/>
      <c r="JV286" s="109"/>
      <c r="JX286" s="147" t="s">
        <v>332</v>
      </c>
      <c r="JY286" s="109"/>
      <c r="JZ286" s="109"/>
      <c r="KA286" s="109"/>
      <c r="KB286" s="109"/>
      <c r="KC286" s="109"/>
      <c r="KE286" s="147" t="s">
        <v>332</v>
      </c>
      <c r="KF286" s="109"/>
      <c r="KG286" s="109"/>
      <c r="KH286" s="109"/>
      <c r="KI286" s="109"/>
      <c r="KJ286" s="109"/>
      <c r="KL286" s="147" t="s">
        <v>332</v>
      </c>
      <c r="KM286" s="109"/>
      <c r="KN286" s="109"/>
      <c r="KO286" s="109"/>
      <c r="KP286" s="109"/>
      <c r="KQ286" s="109"/>
      <c r="KS286" s="147" t="s">
        <v>332</v>
      </c>
      <c r="KT286" s="109"/>
      <c r="KU286" s="109"/>
      <c r="KV286" s="109"/>
      <c r="KW286" s="109"/>
      <c r="KX286" s="109"/>
      <c r="KZ286" s="147" t="s">
        <v>332</v>
      </c>
      <c r="LA286" s="109"/>
      <c r="LB286" s="109"/>
      <c r="LC286" s="108"/>
      <c r="LD286" s="108"/>
      <c r="LE286" s="109"/>
      <c r="LF286" s="555"/>
      <c r="LG286" s="147" t="s">
        <v>332</v>
      </c>
      <c r="LH286" s="108"/>
      <c r="LI286" s="108"/>
      <c r="LJ286" s="108"/>
      <c r="LK286" s="108"/>
      <c r="LL286" s="109"/>
      <c r="LM286" s="555"/>
      <c r="LN286" s="147" t="s">
        <v>332</v>
      </c>
      <c r="LO286" s="108"/>
      <c r="LP286" s="108"/>
      <c r="LQ286" s="108"/>
      <c r="LR286" s="108"/>
      <c r="LS286" s="109"/>
      <c r="LT286" s="555"/>
      <c r="LU286" s="147" t="s">
        <v>332</v>
      </c>
      <c r="LV286" s="108"/>
      <c r="LW286" s="108"/>
      <c r="LX286" s="108"/>
      <c r="LY286" s="108"/>
      <c r="LZ286" s="109"/>
      <c r="MA286" s="555"/>
      <c r="MB286" s="147" t="s">
        <v>332</v>
      </c>
      <c r="MC286" s="108"/>
      <c r="MD286" s="108"/>
      <c r="ME286" s="108"/>
      <c r="MF286" s="108"/>
      <c r="MG286" s="109"/>
      <c r="MH286" s="555"/>
    </row>
    <row r="287" spans="1:346" s="37" customFormat="1" ht="13.15" hidden="1" outlineLevel="1" x14ac:dyDescent="0.4">
      <c r="A287" s="100"/>
      <c r="B287" s="147" t="s">
        <v>333</v>
      </c>
      <c r="C287" s="109"/>
      <c r="D287" s="109"/>
      <c r="E287" s="109"/>
      <c r="F287" s="109"/>
      <c r="G287" s="109"/>
      <c r="H287" s="109"/>
      <c r="I287" s="109"/>
      <c r="J287" s="109"/>
      <c r="K287" s="109"/>
      <c r="L287" s="109"/>
      <c r="M287" s="109"/>
      <c r="N287" s="108">
        <f t="shared" si="6892"/>
        <v>0</v>
      </c>
      <c r="O287" s="108">
        <f t="shared" si="6893"/>
        <v>0</v>
      </c>
      <c r="P287" s="108">
        <f t="shared" si="6894"/>
        <v>0</v>
      </c>
      <c r="Q287" s="108">
        <f t="shared" si="6895"/>
        <v>0</v>
      </c>
      <c r="R287" s="108">
        <f t="shared" si="6896"/>
        <v>0</v>
      </c>
      <c r="S287" s="108">
        <f t="shared" si="6897"/>
        <v>0</v>
      </c>
      <c r="T287" s="108">
        <f t="shared" si="6898"/>
        <v>0</v>
      </c>
      <c r="U287" s="108">
        <f t="shared" si="6899"/>
        <v>0</v>
      </c>
      <c r="V287" s="108">
        <f t="shared" si="6900"/>
        <v>0</v>
      </c>
      <c r="W287" s="108">
        <f t="shared" si="6901"/>
        <v>0</v>
      </c>
      <c r="X287" s="108">
        <f t="shared" si="6902"/>
        <v>0</v>
      </c>
      <c r="Y287" s="108">
        <f t="shared" si="6903"/>
        <v>0</v>
      </c>
      <c r="Z287" s="108">
        <f t="shared" si="6904"/>
        <v>0</v>
      </c>
      <c r="AA287" s="108">
        <f t="shared" si="6905"/>
        <v>0</v>
      </c>
      <c r="AB287" s="108">
        <f t="shared" si="6906"/>
        <v>0</v>
      </c>
      <c r="AC287" s="108">
        <f t="shared" si="6907"/>
        <v>0</v>
      </c>
      <c r="AD287" s="108">
        <f t="shared" si="6908"/>
        <v>0</v>
      </c>
      <c r="AE287" s="108">
        <f t="shared" si="6909"/>
        <v>0</v>
      </c>
      <c r="AF287" s="108">
        <f t="shared" si="6910"/>
        <v>0</v>
      </c>
      <c r="AG287" s="108">
        <f t="shared" si="6911"/>
        <v>0</v>
      </c>
      <c r="AH287" s="108">
        <f t="shared" si="6912"/>
        <v>0</v>
      </c>
      <c r="AI287" s="108">
        <f t="shared" si="6913"/>
        <v>7.8000000000000007</v>
      </c>
      <c r="AJ287" s="108">
        <f t="shared" si="6914"/>
        <v>15.1</v>
      </c>
      <c r="AK287" s="108">
        <f t="shared" si="6915"/>
        <v>24</v>
      </c>
      <c r="AL287" s="108">
        <f t="shared" si="6916"/>
        <v>19.099999999999998</v>
      </c>
      <c r="AM287" s="108">
        <f t="shared" si="6917"/>
        <v>15.6</v>
      </c>
      <c r="AN287" s="108">
        <f t="shared" si="6918"/>
        <v>12</v>
      </c>
      <c r="AO287" s="108">
        <f t="shared" si="6919"/>
        <v>8.1999999999999993</v>
      </c>
      <c r="AP287" s="108">
        <f t="shared" si="6920"/>
        <v>0</v>
      </c>
      <c r="AQ287" s="108">
        <f t="shared" si="6921"/>
        <v>0</v>
      </c>
      <c r="AR287" s="108">
        <f t="shared" si="6922"/>
        <v>0</v>
      </c>
      <c r="AS287" s="108">
        <f t="shared" si="6923"/>
        <v>0</v>
      </c>
      <c r="AT287" s="108">
        <f t="shared" si="6924"/>
        <v>0</v>
      </c>
      <c r="AU287" s="108">
        <f t="shared" si="6925"/>
        <v>0</v>
      </c>
      <c r="AV287" s="108">
        <f t="shared" si="6926"/>
        <v>0</v>
      </c>
      <c r="AW287" s="108">
        <f t="shared" si="6927"/>
        <v>0</v>
      </c>
      <c r="AX287" s="108">
        <f t="shared" si="6928"/>
        <v>0</v>
      </c>
      <c r="AY287" s="108">
        <f t="shared" si="6929"/>
        <v>0</v>
      </c>
      <c r="AZ287" s="108">
        <f t="shared" si="6930"/>
        <v>0</v>
      </c>
      <c r="BA287" s="108">
        <f t="shared" si="6931"/>
        <v>0</v>
      </c>
      <c r="BB287" s="108"/>
      <c r="BC287" s="108"/>
      <c r="BD287" s="108"/>
      <c r="BE287" s="108"/>
      <c r="BF287" s="108"/>
      <c r="BG287" s="108"/>
      <c r="BH287" s="108"/>
      <c r="BI287" s="108"/>
      <c r="BJ287" s="108"/>
      <c r="BK287" s="108"/>
      <c r="BL287" s="108"/>
      <c r="BM287" s="108"/>
      <c r="BO287" s="147" t="s">
        <v>333</v>
      </c>
      <c r="BP287" s="109"/>
      <c r="BQ287" s="109"/>
      <c r="BR287" s="109"/>
      <c r="BS287" s="109"/>
      <c r="BT287" s="109"/>
      <c r="BV287" s="147" t="s">
        <v>333</v>
      </c>
      <c r="BW287" s="109"/>
      <c r="BX287" s="109"/>
      <c r="BY287" s="109"/>
      <c r="BZ287" s="109"/>
      <c r="CA287" s="109"/>
      <c r="CC287" s="147" t="s">
        <v>333</v>
      </c>
      <c r="CD287" s="109"/>
      <c r="CE287" s="109"/>
      <c r="CF287" s="109"/>
      <c r="CG287" s="109"/>
      <c r="CH287" s="109"/>
      <c r="CJ287" s="147" t="s">
        <v>333</v>
      </c>
      <c r="CK287" s="109"/>
      <c r="CL287" s="109"/>
      <c r="CM287" s="109"/>
      <c r="CN287" s="109"/>
      <c r="CO287" s="109"/>
      <c r="CQ287" s="147" t="s">
        <v>333</v>
      </c>
      <c r="CR287" s="109"/>
      <c r="CS287" s="109"/>
      <c r="CT287" s="109"/>
      <c r="CU287" s="109"/>
      <c r="CV287" s="109"/>
      <c r="CX287" s="147" t="s">
        <v>333</v>
      </c>
      <c r="CY287" s="109"/>
      <c r="CZ287" s="109"/>
      <c r="DA287" s="109"/>
      <c r="DB287" s="109"/>
      <c r="DC287" s="109"/>
      <c r="DE287" s="147" t="s">
        <v>333</v>
      </c>
      <c r="DF287" s="109"/>
      <c r="DG287" s="109"/>
      <c r="DH287" s="109"/>
      <c r="DI287" s="109"/>
      <c r="DJ287" s="109"/>
      <c r="DL287" s="147" t="s">
        <v>333</v>
      </c>
      <c r="DM287" s="109"/>
      <c r="DN287" s="109"/>
      <c r="DO287" s="109"/>
      <c r="DP287" s="109"/>
      <c r="DQ287" s="109"/>
      <c r="DS287" s="147" t="s">
        <v>333</v>
      </c>
      <c r="DT287" s="109"/>
      <c r="DU287" s="109"/>
      <c r="DV287" s="109"/>
      <c r="DW287" s="109"/>
      <c r="DX287" s="109"/>
      <c r="DZ287" s="147" t="s">
        <v>333</v>
      </c>
      <c r="EA287" s="109"/>
      <c r="EB287" s="109"/>
      <c r="EC287" s="109"/>
      <c r="ED287" s="109"/>
      <c r="EE287" s="109"/>
      <c r="EG287" s="147" t="s">
        <v>333</v>
      </c>
      <c r="EH287" s="109"/>
      <c r="EI287" s="109"/>
      <c r="EJ287" s="109"/>
      <c r="EK287" s="109"/>
      <c r="EL287" s="109"/>
      <c r="EN287" s="147" t="s">
        <v>333</v>
      </c>
      <c r="EO287" s="109"/>
      <c r="EP287" s="109"/>
      <c r="EQ287" s="109"/>
      <c r="ER287" s="109"/>
      <c r="ES287" s="109"/>
      <c r="EU287" s="147" t="s">
        <v>333</v>
      </c>
      <c r="EV287" s="109"/>
      <c r="EW287" s="109"/>
      <c r="EX287" s="109"/>
      <c r="EY287" s="109"/>
      <c r="EZ287" s="109"/>
      <c r="FB287" s="147" t="s">
        <v>333</v>
      </c>
      <c r="FC287" s="109"/>
      <c r="FD287" s="109"/>
      <c r="FE287" s="109"/>
      <c r="FF287" s="109"/>
      <c r="FG287" s="109"/>
      <c r="FI287" s="147" t="s">
        <v>333</v>
      </c>
      <c r="FJ287" s="109"/>
      <c r="FK287" s="109"/>
      <c r="FL287" s="109"/>
      <c r="FM287" s="109"/>
      <c r="FN287" s="109"/>
      <c r="FP287" s="147" t="s">
        <v>333</v>
      </c>
      <c r="FQ287" s="109"/>
      <c r="FR287" s="109"/>
      <c r="FS287" s="109"/>
      <c r="FT287" s="109"/>
      <c r="FU287" s="109"/>
      <c r="FW287" s="147" t="s">
        <v>333</v>
      </c>
      <c r="FX287" s="109"/>
      <c r="FY287" s="109"/>
      <c r="FZ287" s="109"/>
      <c r="GA287" s="109"/>
      <c r="GB287" s="109"/>
      <c r="GD287" s="147" t="s">
        <v>333</v>
      </c>
      <c r="GE287" s="109"/>
      <c r="GF287" s="109"/>
      <c r="GG287" s="109"/>
      <c r="GH287" s="109"/>
      <c r="GI287" s="109"/>
      <c r="GK287" s="147" t="s">
        <v>333</v>
      </c>
      <c r="GL287" s="109"/>
      <c r="GM287" s="109"/>
      <c r="GN287" s="109"/>
      <c r="GO287" s="109"/>
      <c r="GP287" s="109"/>
      <c r="GR287" s="147" t="s">
        <v>333</v>
      </c>
      <c r="GS287" s="109"/>
      <c r="GT287" s="109"/>
      <c r="GU287" s="109"/>
      <c r="GV287" s="109"/>
      <c r="GW287" s="109"/>
      <c r="GY287" s="147" t="s">
        <v>333</v>
      </c>
      <c r="GZ287" s="109"/>
      <c r="HA287" s="109"/>
      <c r="HB287" s="109"/>
      <c r="HC287" s="109"/>
      <c r="HD287" s="109"/>
      <c r="HF287" s="147" t="s">
        <v>333</v>
      </c>
      <c r="HG287" s="109">
        <v>1.8</v>
      </c>
      <c r="HH287" s="109">
        <v>2.1</v>
      </c>
      <c r="HI287" s="109">
        <v>1.7</v>
      </c>
      <c r="HJ287" s="109">
        <v>2.2000000000000002</v>
      </c>
      <c r="HK287" s="109">
        <v>7.8000000000000007</v>
      </c>
      <c r="HM287" s="147" t="s">
        <v>333</v>
      </c>
      <c r="HN287" s="109">
        <v>4</v>
      </c>
      <c r="HO287" s="109">
        <v>3.8</v>
      </c>
      <c r="HP287" s="109">
        <v>2.9</v>
      </c>
      <c r="HQ287" s="109">
        <v>4.4000000000000004</v>
      </c>
      <c r="HR287" s="109">
        <v>15.1</v>
      </c>
      <c r="HT287" s="147" t="s">
        <v>333</v>
      </c>
      <c r="HU287" s="109">
        <v>6.2</v>
      </c>
      <c r="HV287" s="109">
        <v>8.8000000000000007</v>
      </c>
      <c r="HW287" s="109">
        <v>4.5999999999999996</v>
      </c>
      <c r="HX287" s="109">
        <v>4.4000000000000004</v>
      </c>
      <c r="HY287" s="109">
        <v>24</v>
      </c>
      <c r="IA287" s="147" t="s">
        <v>333</v>
      </c>
      <c r="IB287" s="109">
        <v>5.3</v>
      </c>
      <c r="IC287" s="109">
        <v>5.0999999999999996</v>
      </c>
      <c r="ID287" s="109">
        <v>4.2</v>
      </c>
      <c r="IE287" s="109">
        <v>4.5</v>
      </c>
      <c r="IF287" s="109">
        <v>19.099999999999998</v>
      </c>
      <c r="IH287" s="147" t="s">
        <v>333</v>
      </c>
      <c r="II287" s="109">
        <v>4.3</v>
      </c>
      <c r="IJ287" s="109">
        <v>4.5</v>
      </c>
      <c r="IK287" s="109">
        <v>3.2</v>
      </c>
      <c r="IL287" s="109">
        <v>3.6</v>
      </c>
      <c r="IM287" s="109">
        <v>15.6</v>
      </c>
      <c r="IO287" s="147" t="s">
        <v>333</v>
      </c>
      <c r="IP287" s="109">
        <v>4</v>
      </c>
      <c r="IQ287" s="109">
        <v>3.2</v>
      </c>
      <c r="IR287" s="109">
        <v>2.2999999999999998</v>
      </c>
      <c r="IS287" s="109">
        <v>2.5</v>
      </c>
      <c r="IT287" s="109">
        <v>12</v>
      </c>
      <c r="IV287" s="147" t="s">
        <v>333</v>
      </c>
      <c r="IW287" s="109">
        <v>1.5</v>
      </c>
      <c r="IX287" s="109">
        <v>1.8</v>
      </c>
      <c r="IY287" s="109">
        <v>1.5</v>
      </c>
      <c r="IZ287" s="109">
        <v>3.4</v>
      </c>
      <c r="JA287" s="109">
        <v>8.1999999999999993</v>
      </c>
      <c r="JC287" s="147" t="s">
        <v>333</v>
      </c>
      <c r="JD287" s="109">
        <v>3.4</v>
      </c>
      <c r="JE287" s="109">
        <v>2.2000000000000002</v>
      </c>
      <c r="JF287" s="109">
        <v>3.8</v>
      </c>
      <c r="JG287" s="109"/>
      <c r="JH287" s="109"/>
      <c r="JJ287" s="147" t="s">
        <v>333</v>
      </c>
      <c r="JK287" s="109"/>
      <c r="JL287" s="109"/>
      <c r="JM287" s="109"/>
      <c r="JN287" s="109"/>
      <c r="JO287" s="109"/>
      <c r="JQ287" s="147" t="s">
        <v>333</v>
      </c>
      <c r="JR287" s="109"/>
      <c r="JS287" s="109"/>
      <c r="JT287" s="109"/>
      <c r="JU287" s="109"/>
      <c r="JV287" s="109"/>
      <c r="JX287" s="147" t="s">
        <v>333</v>
      </c>
      <c r="JY287" s="109"/>
      <c r="JZ287" s="109"/>
      <c r="KA287" s="109"/>
      <c r="KB287" s="109"/>
      <c r="KC287" s="109"/>
      <c r="KE287" s="147" t="s">
        <v>333</v>
      </c>
      <c r="KF287" s="109"/>
      <c r="KG287" s="109"/>
      <c r="KH287" s="109"/>
      <c r="KI287" s="109"/>
      <c r="KJ287" s="109"/>
      <c r="KL287" s="147" t="s">
        <v>333</v>
      </c>
      <c r="KM287" s="109"/>
      <c r="KN287" s="109"/>
      <c r="KO287" s="109"/>
      <c r="KP287" s="109"/>
      <c r="KQ287" s="109"/>
      <c r="KS287" s="147" t="s">
        <v>333</v>
      </c>
      <c r="KT287" s="109"/>
      <c r="KU287" s="109"/>
      <c r="KV287" s="109"/>
      <c r="KW287" s="109"/>
      <c r="KX287" s="109"/>
      <c r="KZ287" s="147" t="s">
        <v>333</v>
      </c>
      <c r="LA287" s="109"/>
      <c r="LB287" s="109"/>
      <c r="LC287" s="108"/>
      <c r="LD287" s="108"/>
      <c r="LE287" s="109"/>
      <c r="LF287" s="555"/>
      <c r="LG287" s="147" t="s">
        <v>333</v>
      </c>
      <c r="LH287" s="108"/>
      <c r="LI287" s="108"/>
      <c r="LJ287" s="108"/>
      <c r="LK287" s="108"/>
      <c r="LL287" s="109"/>
      <c r="LM287" s="555"/>
      <c r="LN287" s="147" t="s">
        <v>333</v>
      </c>
      <c r="LO287" s="108"/>
      <c r="LP287" s="108"/>
      <c r="LQ287" s="108"/>
      <c r="LR287" s="108"/>
      <c r="LS287" s="109"/>
      <c r="LT287" s="555"/>
      <c r="LU287" s="147" t="s">
        <v>333</v>
      </c>
      <c r="LV287" s="108"/>
      <c r="LW287" s="108"/>
      <c r="LX287" s="108"/>
      <c r="LY287" s="108"/>
      <c r="LZ287" s="109"/>
      <c r="MA287" s="555"/>
      <c r="MB287" s="147" t="s">
        <v>333</v>
      </c>
      <c r="MC287" s="108"/>
      <c r="MD287" s="108"/>
      <c r="ME287" s="108"/>
      <c r="MF287" s="108"/>
      <c r="MG287" s="109"/>
      <c r="MH287" s="555"/>
    </row>
    <row r="288" spans="1:346" s="70" customFormat="1" ht="13.15" collapsed="1" x14ac:dyDescent="0.4">
      <c r="A288" s="148"/>
      <c r="B288" s="149" t="s">
        <v>298</v>
      </c>
      <c r="E288" s="70">
        <v>31.2</v>
      </c>
      <c r="F288" s="70">
        <v>29.7</v>
      </c>
      <c r="G288" s="70">
        <v>30.7</v>
      </c>
      <c r="H288" s="70">
        <v>19.7</v>
      </c>
      <c r="I288" s="70">
        <v>21.8</v>
      </c>
      <c r="J288" s="70">
        <v>25</v>
      </c>
      <c r="K288" s="70">
        <v>25.6</v>
      </c>
      <c r="L288" s="70">
        <v>23.5</v>
      </c>
      <c r="M288" s="70">
        <v>26.5</v>
      </c>
      <c r="N288" s="130">
        <f t="shared" si="6892"/>
        <v>28</v>
      </c>
      <c r="O288" s="130">
        <f t="shared" si="6893"/>
        <v>29</v>
      </c>
      <c r="P288" s="130">
        <f t="shared" si="6894"/>
        <v>29.7</v>
      </c>
      <c r="Q288" s="130">
        <f t="shared" si="6895"/>
        <v>27.700000000000003</v>
      </c>
      <c r="R288" s="130">
        <f t="shared" si="6896"/>
        <v>16.7</v>
      </c>
      <c r="S288" s="130">
        <f t="shared" si="6897"/>
        <v>15.8</v>
      </c>
      <c r="T288" s="130">
        <f t="shared" si="6898"/>
        <v>22.7</v>
      </c>
      <c r="U288" s="130">
        <f t="shared" si="6899"/>
        <v>22.4</v>
      </c>
      <c r="V288" s="130">
        <f t="shared" si="6900"/>
        <v>21.2</v>
      </c>
      <c r="W288" s="130">
        <f t="shared" si="6901"/>
        <v>16.099999999999998</v>
      </c>
      <c r="X288" s="130">
        <f t="shared" si="6902"/>
        <v>10.8</v>
      </c>
      <c r="Y288" s="130">
        <f t="shared" si="6903"/>
        <v>12.8</v>
      </c>
      <c r="Z288" s="130">
        <f t="shared" si="6904"/>
        <v>12.7</v>
      </c>
      <c r="AA288" s="130">
        <f t="shared" si="6905"/>
        <v>9.3000000000000007</v>
      </c>
      <c r="AB288" s="130">
        <f t="shared" si="6906"/>
        <v>8.6999999999999993</v>
      </c>
      <c r="AC288" s="130">
        <f t="shared" si="6907"/>
        <v>13.600000000000001</v>
      </c>
      <c r="AD288" s="130">
        <f t="shared" si="6908"/>
        <v>12.4</v>
      </c>
      <c r="AE288" s="130">
        <f t="shared" si="6909"/>
        <v>13.3</v>
      </c>
      <c r="AF288" s="130">
        <f t="shared" si="6910"/>
        <v>19.900000000000002</v>
      </c>
      <c r="AG288" s="130">
        <f t="shared" si="6911"/>
        <v>30</v>
      </c>
      <c r="AH288" s="130">
        <f t="shared" si="6912"/>
        <v>22.5</v>
      </c>
      <c r="AI288" s="130">
        <f t="shared" si="6913"/>
        <v>30.2</v>
      </c>
      <c r="AJ288" s="130">
        <f t="shared" si="6914"/>
        <v>40.300000000000004</v>
      </c>
      <c r="AK288" s="130">
        <f t="shared" si="6915"/>
        <v>47.800000000000004</v>
      </c>
      <c r="AL288" s="130">
        <f t="shared" si="6916"/>
        <v>44</v>
      </c>
      <c r="AM288" s="130">
        <f t="shared" si="6917"/>
        <v>39</v>
      </c>
      <c r="AN288" s="130">
        <f t="shared" si="6918"/>
        <v>30.800000000000004</v>
      </c>
      <c r="AO288" s="130">
        <f t="shared" si="6919"/>
        <v>25.700000000000003</v>
      </c>
      <c r="AP288" s="130">
        <f t="shared" si="6920"/>
        <v>36.200000000000003</v>
      </c>
      <c r="AQ288" s="130">
        <f t="shared" si="6921"/>
        <v>43.1</v>
      </c>
      <c r="AR288" s="130">
        <f t="shared" si="6922"/>
        <v>38.200000000000003</v>
      </c>
      <c r="AS288" s="130">
        <f t="shared" si="6923"/>
        <v>29.5</v>
      </c>
      <c r="AT288" s="130">
        <f t="shared" si="6924"/>
        <v>32.4</v>
      </c>
      <c r="AU288" s="130">
        <f t="shared" si="6925"/>
        <v>32.4</v>
      </c>
      <c r="AV288" s="130">
        <f t="shared" si="6926"/>
        <v>40</v>
      </c>
      <c r="AW288" s="130">
        <f t="shared" si="6927"/>
        <v>43.8</v>
      </c>
      <c r="AX288" s="130">
        <f t="shared" si="6928"/>
        <v>40.399999999999991</v>
      </c>
      <c r="AY288" s="130">
        <f t="shared" si="6929"/>
        <v>41.510249999999999</v>
      </c>
      <c r="AZ288" s="130">
        <f t="shared" si="6930"/>
        <v>42.181553024999992</v>
      </c>
      <c r="BA288" s="130">
        <f t="shared" si="6931"/>
        <v>41.865191377312499</v>
      </c>
      <c r="BB288" s="130"/>
      <c r="BC288" s="130"/>
      <c r="BD288" s="130"/>
      <c r="BE288" s="130"/>
      <c r="BF288" s="130"/>
      <c r="BG288" s="130"/>
      <c r="BH288" s="130"/>
      <c r="BI288" s="130"/>
      <c r="BJ288" s="130"/>
      <c r="BK288" s="130"/>
      <c r="BL288" s="130"/>
      <c r="BM288" s="130"/>
      <c r="BO288" s="149" t="s">
        <v>298</v>
      </c>
      <c r="BP288" s="70">
        <v>8.1999999999999993</v>
      </c>
      <c r="BQ288" s="70">
        <v>6.9</v>
      </c>
      <c r="BR288" s="70">
        <v>6.4</v>
      </c>
      <c r="BS288" s="70">
        <v>6.5</v>
      </c>
      <c r="BT288" s="70">
        <v>28</v>
      </c>
      <c r="BV288" s="149" t="s">
        <v>298</v>
      </c>
      <c r="BW288" s="70">
        <v>7.5</v>
      </c>
      <c r="BX288" s="70">
        <v>6.8</v>
      </c>
      <c r="BY288" s="70">
        <v>7.7</v>
      </c>
      <c r="BZ288" s="70">
        <v>7</v>
      </c>
      <c r="CA288" s="70">
        <v>29</v>
      </c>
      <c r="CC288" s="149" t="s">
        <v>298</v>
      </c>
      <c r="CD288" s="70">
        <v>7.8</v>
      </c>
      <c r="CE288" s="70">
        <v>6.5</v>
      </c>
      <c r="CF288" s="70">
        <v>7.7</v>
      </c>
      <c r="CG288" s="70">
        <v>7.7</v>
      </c>
      <c r="CH288" s="70">
        <v>29.7</v>
      </c>
      <c r="CJ288" s="149" t="s">
        <v>298</v>
      </c>
      <c r="CK288" s="70">
        <v>8.5</v>
      </c>
      <c r="CL288" s="70">
        <v>6.8</v>
      </c>
      <c r="CM288" s="70">
        <v>5.9</v>
      </c>
      <c r="CN288" s="70">
        <v>6.5</v>
      </c>
      <c r="CO288" s="70">
        <v>27.700000000000003</v>
      </c>
      <c r="CQ288" s="149" t="s">
        <v>298</v>
      </c>
      <c r="CR288" s="70">
        <v>5.4</v>
      </c>
      <c r="CS288" s="70">
        <v>4.4000000000000004</v>
      </c>
      <c r="CT288" s="70">
        <v>3.7</v>
      </c>
      <c r="CU288" s="70">
        <v>3.2</v>
      </c>
      <c r="CV288" s="70">
        <v>16.7</v>
      </c>
      <c r="CX288" s="149" t="s">
        <v>298</v>
      </c>
      <c r="CY288" s="70">
        <v>4.2</v>
      </c>
      <c r="CZ288" s="70">
        <v>3.2</v>
      </c>
      <c r="DA288" s="70">
        <v>4</v>
      </c>
      <c r="DB288" s="70">
        <v>4.4000000000000004</v>
      </c>
      <c r="DC288" s="70">
        <v>15.8</v>
      </c>
      <c r="DE288" s="149" t="s">
        <v>298</v>
      </c>
      <c r="DF288" s="70">
        <v>5.8</v>
      </c>
      <c r="DG288" s="70">
        <v>5.9</v>
      </c>
      <c r="DH288" s="70">
        <v>5.2</v>
      </c>
      <c r="DI288" s="70">
        <v>5.8</v>
      </c>
      <c r="DJ288" s="70">
        <v>22.7</v>
      </c>
      <c r="DL288" s="149" t="s">
        <v>298</v>
      </c>
      <c r="DM288" s="70">
        <v>5.8</v>
      </c>
      <c r="DN288" s="70">
        <v>6</v>
      </c>
      <c r="DO288" s="70">
        <v>5.2</v>
      </c>
      <c r="DP288" s="70">
        <v>5.4</v>
      </c>
      <c r="DQ288" s="70">
        <v>22.4</v>
      </c>
      <c r="DS288" s="149" t="s">
        <v>298</v>
      </c>
      <c r="DT288" s="70">
        <v>6</v>
      </c>
      <c r="DU288" s="70">
        <v>5.4</v>
      </c>
      <c r="DV288" s="70">
        <v>4.8</v>
      </c>
      <c r="DW288" s="70">
        <v>5</v>
      </c>
      <c r="DX288" s="70">
        <v>21.2</v>
      </c>
      <c r="DZ288" s="149" t="s">
        <v>298</v>
      </c>
      <c r="EA288" s="70">
        <v>4.5</v>
      </c>
      <c r="EB288" s="70">
        <v>4.2</v>
      </c>
      <c r="EC288" s="70">
        <v>3.5</v>
      </c>
      <c r="ED288" s="70">
        <v>3.9</v>
      </c>
      <c r="EE288" s="70">
        <v>16.099999999999998</v>
      </c>
      <c r="EG288" s="149" t="s">
        <v>298</v>
      </c>
      <c r="EH288" s="70">
        <v>3.9</v>
      </c>
      <c r="EI288" s="70">
        <v>1.9</v>
      </c>
      <c r="EJ288" s="70">
        <v>2.2999999999999998</v>
      </c>
      <c r="EK288" s="70">
        <v>2.7</v>
      </c>
      <c r="EL288" s="70">
        <v>10.8</v>
      </c>
      <c r="EN288" s="149" t="s">
        <v>298</v>
      </c>
      <c r="EO288" s="70">
        <v>4</v>
      </c>
      <c r="EP288" s="70">
        <v>2.7</v>
      </c>
      <c r="EQ288" s="70">
        <v>2.8</v>
      </c>
      <c r="ER288" s="70">
        <v>3.3</v>
      </c>
      <c r="ES288" s="70">
        <v>12.8</v>
      </c>
      <c r="EU288" s="149" t="s">
        <v>298</v>
      </c>
      <c r="EV288" s="70">
        <v>4</v>
      </c>
      <c r="EW288" s="70">
        <v>3.2</v>
      </c>
      <c r="EX288" s="70">
        <v>2.9</v>
      </c>
      <c r="EY288" s="70">
        <v>2.6</v>
      </c>
      <c r="EZ288" s="70">
        <v>12.7</v>
      </c>
      <c r="FB288" s="149" t="s">
        <v>298</v>
      </c>
      <c r="FC288" s="70">
        <v>3.5</v>
      </c>
      <c r="FD288" s="70">
        <v>2.4</v>
      </c>
      <c r="FE288" s="70">
        <v>1.8</v>
      </c>
      <c r="FF288" s="70">
        <v>1.6</v>
      </c>
      <c r="FG288" s="70">
        <v>9.3000000000000007</v>
      </c>
      <c r="FI288" s="149" t="s">
        <v>298</v>
      </c>
      <c r="FJ288" s="70">
        <v>2.2000000000000002</v>
      </c>
      <c r="FK288" s="70">
        <v>2</v>
      </c>
      <c r="FL288" s="70">
        <v>2</v>
      </c>
      <c r="FM288" s="70">
        <v>2.5</v>
      </c>
      <c r="FN288" s="70">
        <v>8.6999999999999993</v>
      </c>
      <c r="FP288" s="149" t="s">
        <v>298</v>
      </c>
      <c r="FQ288" s="70">
        <v>3.3</v>
      </c>
      <c r="FR288" s="70">
        <v>4</v>
      </c>
      <c r="FS288" s="70">
        <v>3.1</v>
      </c>
      <c r="FT288" s="70">
        <v>3.2</v>
      </c>
      <c r="FU288" s="70">
        <v>13.600000000000001</v>
      </c>
      <c r="FW288" s="149" t="s">
        <v>298</v>
      </c>
      <c r="FX288" s="70">
        <v>3.8</v>
      </c>
      <c r="FY288" s="70">
        <v>3.4</v>
      </c>
      <c r="FZ288" s="70">
        <v>2.8</v>
      </c>
      <c r="GA288" s="70">
        <v>2.4</v>
      </c>
      <c r="GB288" s="70">
        <v>12.4</v>
      </c>
      <c r="GD288" s="149" t="s">
        <v>298</v>
      </c>
      <c r="GE288" s="70">
        <v>3.2</v>
      </c>
      <c r="GF288" s="70">
        <v>3.2</v>
      </c>
      <c r="GG288" s="70">
        <v>3.1</v>
      </c>
      <c r="GH288" s="70">
        <v>3.8</v>
      </c>
      <c r="GI288" s="70">
        <v>13.3</v>
      </c>
      <c r="GK288" s="149" t="s">
        <v>298</v>
      </c>
      <c r="GL288" s="70">
        <v>4.7</v>
      </c>
      <c r="GM288" s="70">
        <v>4.2</v>
      </c>
      <c r="GN288" s="70">
        <v>4.7</v>
      </c>
      <c r="GO288" s="70">
        <v>6.3</v>
      </c>
      <c r="GP288" s="70">
        <f>SUM(GL288:GO288)</f>
        <v>19.900000000000002</v>
      </c>
      <c r="GR288" s="149" t="s">
        <v>298</v>
      </c>
      <c r="GS288" s="70">
        <v>7.6</v>
      </c>
      <c r="GT288" s="70">
        <v>8.4</v>
      </c>
      <c r="GU288" s="70">
        <v>6.9</v>
      </c>
      <c r="GV288" s="70">
        <v>7.1</v>
      </c>
      <c r="GW288" s="70">
        <f>SUM(GS288:GV288)</f>
        <v>30</v>
      </c>
      <c r="GY288" s="149" t="s">
        <v>298</v>
      </c>
      <c r="GZ288" s="70">
        <v>6.1</v>
      </c>
      <c r="HA288" s="70">
        <v>4.8</v>
      </c>
      <c r="HB288" s="70">
        <v>5.5</v>
      </c>
      <c r="HC288" s="70">
        <v>6.1</v>
      </c>
      <c r="HD288" s="70">
        <f>SUM(GZ288:HC288)</f>
        <v>22.5</v>
      </c>
      <c r="HF288" s="149" t="s">
        <v>298</v>
      </c>
      <c r="HG288" s="70">
        <v>7.4</v>
      </c>
      <c r="HH288" s="70">
        <v>8</v>
      </c>
      <c r="HI288" s="70">
        <v>6.6</v>
      </c>
      <c r="HJ288" s="70">
        <v>8.1999999999999993</v>
      </c>
      <c r="HK288" s="70">
        <f>SUM(HG288:HJ288)</f>
        <v>30.2</v>
      </c>
      <c r="HM288" s="149" t="s">
        <v>298</v>
      </c>
      <c r="HN288" s="70">
        <v>10.7</v>
      </c>
      <c r="HO288" s="70">
        <v>10.4</v>
      </c>
      <c r="HP288" s="70">
        <v>8.8000000000000007</v>
      </c>
      <c r="HQ288" s="70">
        <v>10.4</v>
      </c>
      <c r="HR288" s="70">
        <f>SUM(HN288:HQ288)</f>
        <v>40.300000000000004</v>
      </c>
      <c r="HT288" s="149" t="s">
        <v>298</v>
      </c>
      <c r="HU288" s="70">
        <v>12.5</v>
      </c>
      <c r="HV288" s="70">
        <v>14.7</v>
      </c>
      <c r="HW288" s="70">
        <v>11</v>
      </c>
      <c r="HX288" s="70">
        <v>9.6</v>
      </c>
      <c r="HY288" s="70">
        <f>SUM(HU288:HX288)</f>
        <v>47.800000000000004</v>
      </c>
      <c r="IA288" s="149" t="s">
        <v>298</v>
      </c>
      <c r="IB288" s="70">
        <v>12.3</v>
      </c>
      <c r="IC288" s="70">
        <v>11.5</v>
      </c>
      <c r="ID288" s="70">
        <v>10</v>
      </c>
      <c r="IE288" s="70">
        <v>10.199999999999999</v>
      </c>
      <c r="IF288" s="70">
        <f>SUM(IB288:IE288)</f>
        <v>44</v>
      </c>
      <c r="IH288" s="149" t="s">
        <v>298</v>
      </c>
      <c r="II288" s="70">
        <v>10.5</v>
      </c>
      <c r="IJ288" s="70">
        <v>10.3</v>
      </c>
      <c r="IK288" s="70">
        <v>8.6999999999999993</v>
      </c>
      <c r="IL288" s="70">
        <v>9.5</v>
      </c>
      <c r="IM288" s="70">
        <f>SUM(II288:IL288)</f>
        <v>39</v>
      </c>
      <c r="IO288" s="149" t="s">
        <v>298</v>
      </c>
      <c r="IP288" s="70">
        <v>9.8000000000000007</v>
      </c>
      <c r="IQ288" s="70">
        <v>8.4</v>
      </c>
      <c r="IR288" s="70">
        <v>6.6</v>
      </c>
      <c r="IS288" s="70">
        <v>6</v>
      </c>
      <c r="IT288" s="70">
        <f>SUM(IP288:IS288)</f>
        <v>30.800000000000004</v>
      </c>
      <c r="IV288" s="149" t="s">
        <v>298</v>
      </c>
      <c r="IW288" s="70">
        <v>5.8</v>
      </c>
      <c r="IX288" s="70">
        <v>6.3</v>
      </c>
      <c r="IY288" s="70">
        <v>5.5</v>
      </c>
      <c r="IZ288" s="70">
        <v>8.1</v>
      </c>
      <c r="JA288" s="70">
        <f>SUM(IW288:IZ288)</f>
        <v>25.700000000000003</v>
      </c>
      <c r="JC288" s="149" t="s">
        <v>298</v>
      </c>
      <c r="JD288" s="70">
        <v>8.6999999999999993</v>
      </c>
      <c r="JE288" s="70">
        <v>8.1999999999999993</v>
      </c>
      <c r="JF288" s="70">
        <v>8.8000000000000007</v>
      </c>
      <c r="JG288" s="70">
        <v>10.5</v>
      </c>
      <c r="JH288" s="70">
        <f>SUM(JD288:JG288)</f>
        <v>36.200000000000003</v>
      </c>
      <c r="JJ288" s="149" t="s">
        <v>298</v>
      </c>
      <c r="JK288" s="70">
        <v>10.6</v>
      </c>
      <c r="JL288" s="70">
        <v>11.4</v>
      </c>
      <c r="JM288" s="70">
        <v>10.7</v>
      </c>
      <c r="JN288" s="70">
        <v>10.4</v>
      </c>
      <c r="JO288" s="70">
        <f>SUM(JK288:JN288)</f>
        <v>43.1</v>
      </c>
      <c r="JQ288" s="149" t="s">
        <v>298</v>
      </c>
      <c r="JR288" s="70">
        <v>10.5</v>
      </c>
      <c r="JS288" s="70">
        <v>10.6</v>
      </c>
      <c r="JT288" s="70">
        <v>8.8000000000000007</v>
      </c>
      <c r="JU288" s="70">
        <v>8.3000000000000007</v>
      </c>
      <c r="JV288" s="70">
        <f>SUM(JR288:JU288)</f>
        <v>38.200000000000003</v>
      </c>
      <c r="JX288" s="149" t="s">
        <v>298</v>
      </c>
      <c r="JY288" s="70">
        <v>9.1</v>
      </c>
      <c r="JZ288" s="70">
        <v>6</v>
      </c>
      <c r="KA288" s="70">
        <v>7.2</v>
      </c>
      <c r="KB288" s="70">
        <v>7.2</v>
      </c>
      <c r="KC288" s="70">
        <f>SUM(JY288:KB288)</f>
        <v>29.5</v>
      </c>
      <c r="KE288" s="149" t="s">
        <v>298</v>
      </c>
      <c r="KF288" s="70">
        <v>7.9</v>
      </c>
      <c r="KG288" s="70">
        <v>9</v>
      </c>
      <c r="KH288" s="70">
        <v>7.7</v>
      </c>
      <c r="KI288" s="70">
        <v>7.8</v>
      </c>
      <c r="KJ288" s="70">
        <f>SUM(KF288:KI288)</f>
        <v>32.4</v>
      </c>
      <c r="KL288" s="149" t="s">
        <v>298</v>
      </c>
      <c r="KM288" s="70">
        <v>7.5</v>
      </c>
      <c r="KN288" s="70">
        <v>8.4</v>
      </c>
      <c r="KO288" s="70">
        <v>8</v>
      </c>
      <c r="KP288" s="70">
        <v>8.5</v>
      </c>
      <c r="KQ288" s="70">
        <f>SUM(KM288:KP288)</f>
        <v>32.4</v>
      </c>
      <c r="KS288" s="149" t="s">
        <v>298</v>
      </c>
      <c r="KT288" s="70">
        <v>9.3000000000000007</v>
      </c>
      <c r="KU288" s="70">
        <v>9.8000000000000007</v>
      </c>
      <c r="KV288" s="70">
        <v>10.1</v>
      </c>
      <c r="KW288" s="58">
        <v>10.8</v>
      </c>
      <c r="KX288" s="70">
        <f>SUM(KT288:KW288)</f>
        <v>40</v>
      </c>
      <c r="KZ288" s="149" t="s">
        <v>298</v>
      </c>
      <c r="LA288" s="70">
        <v>11.6</v>
      </c>
      <c r="LB288" s="70">
        <v>10.6</v>
      </c>
      <c r="LC288" s="58">
        <v>11.1</v>
      </c>
      <c r="LD288" s="58">
        <v>10.5</v>
      </c>
      <c r="LE288" s="70">
        <f>SUM(LA288:LD288)</f>
        <v>43.8</v>
      </c>
      <c r="LF288" s="558"/>
      <c r="LG288" s="149" t="s">
        <v>298</v>
      </c>
      <c r="LH288" s="58">
        <v>10.199999999999999</v>
      </c>
      <c r="LI288" s="58">
        <v>10.1</v>
      </c>
      <c r="LJ288" s="58">
        <v>9.9</v>
      </c>
      <c r="LK288" s="58">
        <v>10.199999999999999</v>
      </c>
      <c r="LL288" s="70">
        <f>SUM(LH288:LK288)</f>
        <v>40.399999999999991</v>
      </c>
      <c r="LM288" s="558"/>
      <c r="LN288" s="149" t="s">
        <v>298</v>
      </c>
      <c r="LO288" s="58">
        <f t="shared" ref="LO288" si="6936">LO289*LO290</f>
        <v>9.9909999999999997</v>
      </c>
      <c r="LP288" s="58">
        <f t="shared" ref="LP288" si="6937">LP289*LP290</f>
        <v>10.352999999999998</v>
      </c>
      <c r="LQ288" s="58">
        <f t="shared" ref="LQ288" si="6938">LQ289*LQ290</f>
        <v>10.71125</v>
      </c>
      <c r="LR288" s="58">
        <f t="shared" ref="LR288" si="6939">LR289*LR290</f>
        <v>10.454999999999998</v>
      </c>
      <c r="LS288" s="70">
        <f>SUM(LO288:LR288)</f>
        <v>41.510249999999999</v>
      </c>
      <c r="LT288" s="558"/>
      <c r="LU288" s="149" t="s">
        <v>298</v>
      </c>
      <c r="LV288" s="58">
        <f t="shared" ref="LV288:LY288" si="6940">LV289*LV290</f>
        <v>10.1398659</v>
      </c>
      <c r="LW288" s="58">
        <f t="shared" si="6940"/>
        <v>10.560059999999998</v>
      </c>
      <c r="LX288" s="58">
        <f t="shared" si="6940"/>
        <v>10.870847624999998</v>
      </c>
      <c r="LY288" s="58">
        <f t="shared" si="6940"/>
        <v>10.610779499999998</v>
      </c>
      <c r="LZ288" s="70">
        <f>SUM(LV288:LY288)</f>
        <v>42.181553024999992</v>
      </c>
      <c r="MA288" s="558"/>
      <c r="MB288" s="149" t="s">
        <v>298</v>
      </c>
      <c r="MC288" s="58">
        <f t="shared" ref="MC288:MF288" si="6941">MC289*MC290</f>
        <v>10.063816905750002</v>
      </c>
      <c r="MD288" s="58">
        <f t="shared" si="6941"/>
        <v>10.480859549999998</v>
      </c>
      <c r="ME288" s="58">
        <f t="shared" si="6941"/>
        <v>10.789316267812499</v>
      </c>
      <c r="MF288" s="58">
        <f t="shared" si="6941"/>
        <v>10.53119865375</v>
      </c>
      <c r="MG288" s="70">
        <f>SUM(MC288:MF288)</f>
        <v>41.865191377312499</v>
      </c>
      <c r="MH288" s="558"/>
    </row>
    <row r="289" spans="1:346" s="153" customFormat="1" ht="13.15" thickBot="1" x14ac:dyDescent="0.4">
      <c r="A289" s="150"/>
      <c r="B289" s="151" t="s">
        <v>13</v>
      </c>
      <c r="C289" s="152"/>
      <c r="D289" s="152"/>
      <c r="E289" s="152">
        <f t="shared" ref="E289:M289" si="6942">E288+E285</f>
        <v>160.19999999999999</v>
      </c>
      <c r="F289" s="152">
        <f t="shared" si="6942"/>
        <v>165.7</v>
      </c>
      <c r="G289" s="152">
        <f t="shared" si="6942"/>
        <v>158.9</v>
      </c>
      <c r="H289" s="152">
        <f t="shared" si="6942"/>
        <v>145.99999999999997</v>
      </c>
      <c r="I289" s="152">
        <f t="shared" si="6942"/>
        <v>173.00000000000003</v>
      </c>
      <c r="J289" s="152">
        <f t="shared" si="6942"/>
        <v>161.6</v>
      </c>
      <c r="K289" s="152">
        <f t="shared" si="6942"/>
        <v>167.89999999999998</v>
      </c>
      <c r="L289" s="152">
        <f t="shared" si="6942"/>
        <v>178</v>
      </c>
      <c r="M289" s="152">
        <f t="shared" si="6942"/>
        <v>174.3</v>
      </c>
      <c r="N289" s="132">
        <f t="shared" si="6892"/>
        <v>177.70000000000002</v>
      </c>
      <c r="O289" s="132">
        <f t="shared" si="6893"/>
        <v>177.3</v>
      </c>
      <c r="P289" s="132">
        <f t="shared" si="6894"/>
        <v>166.09999999999997</v>
      </c>
      <c r="Q289" s="132">
        <f t="shared" si="6895"/>
        <v>161.89999999999998</v>
      </c>
      <c r="R289" s="132">
        <f t="shared" si="6896"/>
        <v>144.19999999999999</v>
      </c>
      <c r="S289" s="132">
        <f t="shared" si="6897"/>
        <v>153.9</v>
      </c>
      <c r="T289" s="132">
        <f t="shared" si="6898"/>
        <v>158.5</v>
      </c>
      <c r="U289" s="132">
        <f t="shared" si="6899"/>
        <v>163.6</v>
      </c>
      <c r="V289" s="132">
        <f t="shared" si="6900"/>
        <v>165.6</v>
      </c>
      <c r="W289" s="132">
        <f t="shared" si="6901"/>
        <v>161.19999999999999</v>
      </c>
      <c r="X289" s="132">
        <f t="shared" si="6902"/>
        <v>157.90000000000003</v>
      </c>
      <c r="Y289" s="132">
        <f t="shared" si="6903"/>
        <v>170.70000000000002</v>
      </c>
      <c r="Z289" s="132">
        <f t="shared" si="6904"/>
        <v>180.49999999999997</v>
      </c>
      <c r="AA289" s="132">
        <f t="shared" si="6905"/>
        <v>167.3</v>
      </c>
      <c r="AB289" s="132">
        <f t="shared" si="6906"/>
        <v>166.7</v>
      </c>
      <c r="AC289" s="132">
        <f t="shared" si="6907"/>
        <v>176.2</v>
      </c>
      <c r="AD289" s="132">
        <f t="shared" si="6908"/>
        <v>183.60000000000002</v>
      </c>
      <c r="AE289" s="132">
        <f t="shared" si="6909"/>
        <v>194.00000000000003</v>
      </c>
      <c r="AF289" s="132">
        <f t="shared" si="6910"/>
        <v>193.29999999999998</v>
      </c>
      <c r="AG289" s="132">
        <f t="shared" si="6911"/>
        <v>195.8</v>
      </c>
      <c r="AH289" s="132">
        <f t="shared" si="6912"/>
        <v>165.8</v>
      </c>
      <c r="AI289" s="132">
        <f t="shared" si="6913"/>
        <v>166.39999999999998</v>
      </c>
      <c r="AJ289" s="132">
        <f t="shared" si="6914"/>
        <v>163.20000000000002</v>
      </c>
      <c r="AK289" s="132">
        <f t="shared" si="6915"/>
        <v>144.5</v>
      </c>
      <c r="AL289" s="132">
        <f t="shared" si="6916"/>
        <v>134.19999999999999</v>
      </c>
      <c r="AM289" s="132">
        <f t="shared" si="6917"/>
        <v>142.89999999999998</v>
      </c>
      <c r="AN289" s="132">
        <f t="shared" si="6918"/>
        <v>121.20000000000002</v>
      </c>
      <c r="AO289" s="132">
        <f t="shared" si="6919"/>
        <v>95.600000000000009</v>
      </c>
      <c r="AP289" s="132">
        <f t="shared" si="6920"/>
        <v>97.300000000000011</v>
      </c>
      <c r="AQ289" s="132">
        <f t="shared" si="6921"/>
        <v>100.4</v>
      </c>
      <c r="AR289" s="132">
        <f t="shared" si="6922"/>
        <v>94.8</v>
      </c>
      <c r="AS289" s="132">
        <f t="shared" si="6923"/>
        <v>71.5</v>
      </c>
      <c r="AT289" s="132">
        <f t="shared" si="6924"/>
        <v>79</v>
      </c>
      <c r="AU289" s="132">
        <f t="shared" si="6925"/>
        <v>78.099999999999994</v>
      </c>
      <c r="AV289" s="132">
        <f t="shared" si="6926"/>
        <v>85</v>
      </c>
      <c r="AW289" s="132">
        <f t="shared" si="6927"/>
        <v>82.699999999999989</v>
      </c>
      <c r="AX289" s="132">
        <f t="shared" si="6928"/>
        <v>80.999999999999986</v>
      </c>
      <c r="AY289" s="132">
        <f t="shared" si="6929"/>
        <v>83.020499999999998</v>
      </c>
      <c r="AZ289" s="132">
        <f t="shared" si="6930"/>
        <v>82.708927499999987</v>
      </c>
      <c r="BA289" s="132">
        <f t="shared" si="6931"/>
        <v>82.088610543749994</v>
      </c>
      <c r="BB289" s="132"/>
      <c r="BC289" s="132"/>
      <c r="BD289" s="132"/>
      <c r="BE289" s="132"/>
      <c r="BF289" s="132"/>
      <c r="BG289" s="132"/>
      <c r="BH289" s="132"/>
      <c r="BI289" s="132"/>
      <c r="BJ289" s="132"/>
      <c r="BK289" s="132"/>
      <c r="BL289" s="132"/>
      <c r="BM289" s="132"/>
      <c r="BO289" s="151" t="s">
        <v>13</v>
      </c>
      <c r="BP289" s="152">
        <f>BP288+BP285</f>
        <v>44.5</v>
      </c>
      <c r="BQ289" s="152">
        <f>BQ288+BQ285</f>
        <v>45.4</v>
      </c>
      <c r="BR289" s="152">
        <f>BR288+BR285</f>
        <v>43.9</v>
      </c>
      <c r="BS289" s="152">
        <f>BS288+BS285</f>
        <v>43.9</v>
      </c>
      <c r="BT289" s="152">
        <f>BT288+BT285</f>
        <v>177.70000000000002</v>
      </c>
      <c r="BV289" s="151" t="s">
        <v>13</v>
      </c>
      <c r="BW289" s="152">
        <f>BW288+BW285</f>
        <v>45.2</v>
      </c>
      <c r="BX289" s="152">
        <f>BX288+BX285</f>
        <v>44.5</v>
      </c>
      <c r="BY289" s="152">
        <f>BY288+BY285</f>
        <v>43.800000000000004</v>
      </c>
      <c r="BZ289" s="152">
        <f>BZ288+BZ285</f>
        <v>43.8</v>
      </c>
      <c r="CA289" s="152">
        <f>CA288+CA285</f>
        <v>177.3</v>
      </c>
      <c r="CC289" s="151" t="s">
        <v>13</v>
      </c>
      <c r="CD289" s="152">
        <f>CD288+CD285</f>
        <v>40.699999999999996</v>
      </c>
      <c r="CE289" s="152">
        <f>CE288+CE285</f>
        <v>40.4</v>
      </c>
      <c r="CF289" s="152">
        <f>CF288+CF285</f>
        <v>42.800000000000004</v>
      </c>
      <c r="CG289" s="152">
        <f>CG288+CG285</f>
        <v>42.2</v>
      </c>
      <c r="CH289" s="152">
        <f>CH288+CH285</f>
        <v>166.09999999999997</v>
      </c>
      <c r="CJ289" s="151" t="s">
        <v>13</v>
      </c>
      <c r="CK289" s="152">
        <f>CK288+CK285</f>
        <v>40.700000000000003</v>
      </c>
      <c r="CL289" s="152">
        <f>CL288+CL285</f>
        <v>39.599999999999994</v>
      </c>
      <c r="CM289" s="152">
        <f>CM288+CM285</f>
        <v>40.6</v>
      </c>
      <c r="CN289" s="152">
        <f>CN288+CN285</f>
        <v>41</v>
      </c>
      <c r="CO289" s="152">
        <f>CO288+CO285</f>
        <v>161.89999999999998</v>
      </c>
      <c r="CQ289" s="151" t="s">
        <v>13</v>
      </c>
      <c r="CR289" s="152">
        <f>CR288+CR285</f>
        <v>36.5</v>
      </c>
      <c r="CS289" s="152">
        <f>CS288+CS285</f>
        <v>37.699999999999996</v>
      </c>
      <c r="CT289" s="152">
        <f>CT288+CT285</f>
        <v>35.900000000000006</v>
      </c>
      <c r="CU289" s="152">
        <f>CU288+CU285</f>
        <v>34.1</v>
      </c>
      <c r="CV289" s="152">
        <f>CV288+CV285</f>
        <v>144.19999999999999</v>
      </c>
      <c r="CX289" s="151" t="s">
        <v>13</v>
      </c>
      <c r="CY289" s="152">
        <f>CY288+CY285</f>
        <v>36.1</v>
      </c>
      <c r="CZ289" s="152">
        <f>CZ288+CZ285</f>
        <v>38.6</v>
      </c>
      <c r="DA289" s="152">
        <f>DA288+DA285</f>
        <v>39.5</v>
      </c>
      <c r="DB289" s="152">
        <f>DB288+DB285</f>
        <v>39.699999999999996</v>
      </c>
      <c r="DC289" s="152">
        <f>DC288+DC285</f>
        <v>153.9</v>
      </c>
      <c r="DE289" s="151" t="s">
        <v>13</v>
      </c>
      <c r="DF289" s="152">
        <f>DF288+DF285</f>
        <v>38.4</v>
      </c>
      <c r="DG289" s="152">
        <f>DG288+DG285</f>
        <v>39.6</v>
      </c>
      <c r="DH289" s="152">
        <f>DH288+DH285</f>
        <v>40.200000000000003</v>
      </c>
      <c r="DI289" s="152">
        <f>DI288+DI285</f>
        <v>40.299999999999997</v>
      </c>
      <c r="DJ289" s="152">
        <f>DJ288+DJ285</f>
        <v>158.5</v>
      </c>
      <c r="DL289" s="151" t="s">
        <v>13</v>
      </c>
      <c r="DM289" s="152">
        <f>DM288+DM285</f>
        <v>38.200000000000003</v>
      </c>
      <c r="DN289" s="152">
        <f>DN288+DN285</f>
        <v>41.8</v>
      </c>
      <c r="DO289" s="152">
        <f>DO288+DO285</f>
        <v>41.300000000000004</v>
      </c>
      <c r="DP289" s="152">
        <f>DP288+DP285</f>
        <v>42.3</v>
      </c>
      <c r="DQ289" s="152">
        <f>DQ288+DQ285</f>
        <v>163.6</v>
      </c>
      <c r="DS289" s="151" t="s">
        <v>13</v>
      </c>
      <c r="DT289" s="152">
        <f>DT288+DT285</f>
        <v>41.5</v>
      </c>
      <c r="DU289" s="152">
        <f>DU288+DU285</f>
        <v>40.6</v>
      </c>
      <c r="DV289" s="152">
        <f>DV288+DV285</f>
        <v>41.3</v>
      </c>
      <c r="DW289" s="152">
        <f>DW288+DW285</f>
        <v>42.2</v>
      </c>
      <c r="DX289" s="152">
        <f>DX288+DX285</f>
        <v>165.6</v>
      </c>
      <c r="DZ289" s="151" t="s">
        <v>13</v>
      </c>
      <c r="EA289" s="152">
        <f>EA288+EA285</f>
        <v>39.700000000000003</v>
      </c>
      <c r="EB289" s="152">
        <f>EB288+EB285</f>
        <v>40.300000000000004</v>
      </c>
      <c r="EC289" s="152">
        <f>EC288+EC285</f>
        <v>40.5</v>
      </c>
      <c r="ED289" s="152">
        <f>ED288+ED285</f>
        <v>40.699999999999996</v>
      </c>
      <c r="EE289" s="152">
        <f>EE288+EE285</f>
        <v>161.19999999999999</v>
      </c>
      <c r="EG289" s="151" t="s">
        <v>13</v>
      </c>
      <c r="EH289" s="152">
        <f>EH288+EH285</f>
        <v>39</v>
      </c>
      <c r="EI289" s="152">
        <f>EI288+EI285</f>
        <v>37.4</v>
      </c>
      <c r="EJ289" s="152">
        <f>EJ288+EJ285</f>
        <v>41.199999999999996</v>
      </c>
      <c r="EK289" s="152">
        <f>EK288+EK285</f>
        <v>40.300000000000004</v>
      </c>
      <c r="EL289" s="152">
        <f>EL288+EL285</f>
        <v>157.90000000000003</v>
      </c>
      <c r="EN289" s="151" t="s">
        <v>13</v>
      </c>
      <c r="EO289" s="152">
        <f>EO288+EO285</f>
        <v>39.5</v>
      </c>
      <c r="EP289" s="152">
        <f>EP288+EP285</f>
        <v>42.400000000000006</v>
      </c>
      <c r="EQ289" s="152">
        <f>EQ288+EQ285</f>
        <v>45</v>
      </c>
      <c r="ER289" s="152">
        <f>ER288+ER285</f>
        <v>43.8</v>
      </c>
      <c r="ES289" s="152">
        <f>ES288+ES285</f>
        <v>170.70000000000002</v>
      </c>
      <c r="EU289" s="151" t="s">
        <v>13</v>
      </c>
      <c r="EV289" s="152">
        <f>EV288+EV285</f>
        <v>45.9</v>
      </c>
      <c r="EW289" s="152">
        <f>EW288+EW285</f>
        <v>44.9</v>
      </c>
      <c r="EX289" s="152">
        <f>EX288+EX285</f>
        <v>44.3</v>
      </c>
      <c r="EY289" s="152">
        <f>EY288+EY285</f>
        <v>45.4</v>
      </c>
      <c r="EZ289" s="152">
        <f>EZ288+EZ285</f>
        <v>180.49999999999997</v>
      </c>
      <c r="FB289" s="151" t="s">
        <v>13</v>
      </c>
      <c r="FC289" s="152">
        <f>FC288+FC285</f>
        <v>41.6</v>
      </c>
      <c r="FD289" s="152">
        <f>FD288+FD285</f>
        <v>41.5</v>
      </c>
      <c r="FE289" s="152">
        <f>FE288+FE285</f>
        <v>42.1</v>
      </c>
      <c r="FF289" s="152">
        <f>FF288+FF285</f>
        <v>42.1</v>
      </c>
      <c r="FG289" s="152">
        <f>FG288+FG285</f>
        <v>167.3</v>
      </c>
      <c r="FI289" s="151" t="s">
        <v>13</v>
      </c>
      <c r="FJ289" s="152">
        <f>FJ288+FJ285</f>
        <v>39.5</v>
      </c>
      <c r="FK289" s="152">
        <f>FK288+FK285</f>
        <v>42.6</v>
      </c>
      <c r="FL289" s="152">
        <f>FL288+FL285</f>
        <v>41.6</v>
      </c>
      <c r="FM289" s="152">
        <f>FM288+FM285</f>
        <v>43</v>
      </c>
      <c r="FN289" s="152">
        <f>FN288+FN285</f>
        <v>166.7</v>
      </c>
      <c r="FP289" s="151" t="s">
        <v>13</v>
      </c>
      <c r="FQ289" s="152">
        <f>FQ288+FQ285</f>
        <v>42.699999999999996</v>
      </c>
      <c r="FR289" s="152">
        <f>FR288+FR285</f>
        <v>43.6</v>
      </c>
      <c r="FS289" s="152">
        <f>FS288+FS285</f>
        <v>43</v>
      </c>
      <c r="FT289" s="152">
        <f>FT288+FT285</f>
        <v>46.900000000000006</v>
      </c>
      <c r="FU289" s="152">
        <f>FU288+FU285</f>
        <v>176.2</v>
      </c>
      <c r="FW289" s="151" t="s">
        <v>13</v>
      </c>
      <c r="FX289" s="152">
        <f>FX288+FX285</f>
        <v>46.3</v>
      </c>
      <c r="FY289" s="152">
        <f>FY288+FY285</f>
        <v>46.6</v>
      </c>
      <c r="FZ289" s="152">
        <f>FZ288+FZ285</f>
        <v>45</v>
      </c>
      <c r="GA289" s="152">
        <f>GA288+GA285</f>
        <v>45.7</v>
      </c>
      <c r="GB289" s="152">
        <f>GB288+GB285</f>
        <v>183.60000000000002</v>
      </c>
      <c r="GD289" s="151" t="s">
        <v>13</v>
      </c>
      <c r="GE289" s="152">
        <f>GE288+GE285</f>
        <v>48.7</v>
      </c>
      <c r="GF289" s="152">
        <f>GF288+GF285</f>
        <v>48.7</v>
      </c>
      <c r="GG289" s="152">
        <f>GG288+GG285</f>
        <v>48.4</v>
      </c>
      <c r="GH289" s="152">
        <f>GH288+GH285</f>
        <v>48.199999999999996</v>
      </c>
      <c r="GI289" s="152">
        <f>GI288+GI285</f>
        <v>194.00000000000003</v>
      </c>
      <c r="GK289" s="151" t="s">
        <v>13</v>
      </c>
      <c r="GL289" s="152">
        <f>GL288+GL285</f>
        <v>48</v>
      </c>
      <c r="GM289" s="152">
        <f>GM288+GM285</f>
        <v>48.1</v>
      </c>
      <c r="GN289" s="152">
        <f>GN288+GN285</f>
        <v>48.300000000000004</v>
      </c>
      <c r="GO289" s="152">
        <f>GO288+GO285</f>
        <v>48.9</v>
      </c>
      <c r="GP289" s="152">
        <f>GP288+GP285</f>
        <v>193.29999999999998</v>
      </c>
      <c r="GR289" s="151" t="s">
        <v>13</v>
      </c>
      <c r="GS289" s="152">
        <f>GS288+GS285</f>
        <v>48.2</v>
      </c>
      <c r="GT289" s="152">
        <f>GT288+GT285</f>
        <v>49.5</v>
      </c>
      <c r="GU289" s="152">
        <f>GU288+GU285</f>
        <v>48.5</v>
      </c>
      <c r="GV289" s="152">
        <f>GV288+GV285</f>
        <v>49.6</v>
      </c>
      <c r="GW289" s="152">
        <f>GW288+GW285</f>
        <v>195.8</v>
      </c>
      <c r="GY289" s="151" t="s">
        <v>13</v>
      </c>
      <c r="GZ289" s="152">
        <f>GZ288+GZ285</f>
        <v>45.800000000000004</v>
      </c>
      <c r="HA289" s="152">
        <f>HA288+HA285</f>
        <v>40.4</v>
      </c>
      <c r="HB289" s="152">
        <f>HB288+HB285</f>
        <v>40.799999999999997</v>
      </c>
      <c r="HC289" s="152">
        <f>HC288+HC285</f>
        <v>38.800000000000004</v>
      </c>
      <c r="HD289" s="152">
        <f>HD288+HD285</f>
        <v>165.8</v>
      </c>
      <c r="HF289" s="151" t="s">
        <v>13</v>
      </c>
      <c r="HG289" s="152">
        <f>HG288+HG285</f>
        <v>39.699999999999996</v>
      </c>
      <c r="HH289" s="152">
        <f>HH288+HH285</f>
        <v>42.4</v>
      </c>
      <c r="HI289" s="152">
        <f>HI288+HI285</f>
        <v>41</v>
      </c>
      <c r="HJ289" s="152">
        <f>HJ288+HJ285</f>
        <v>43.3</v>
      </c>
      <c r="HK289" s="152">
        <f>HK288+HK285</f>
        <v>166.39999999999998</v>
      </c>
      <c r="HM289" s="151" t="s">
        <v>13</v>
      </c>
      <c r="HN289" s="152">
        <f>HN288+HN285</f>
        <v>41.3</v>
      </c>
      <c r="HO289" s="152">
        <f>HO288+HO285</f>
        <v>41.2</v>
      </c>
      <c r="HP289" s="152">
        <f>HP288+HP285</f>
        <v>41</v>
      </c>
      <c r="HQ289" s="152">
        <f>HQ288+HQ285</f>
        <v>39.700000000000003</v>
      </c>
      <c r="HR289" s="152">
        <f>HR288+HR285</f>
        <v>163.20000000000002</v>
      </c>
      <c r="HT289" s="151" t="s">
        <v>13</v>
      </c>
      <c r="HU289" s="152">
        <f>HU288+HU285</f>
        <v>37</v>
      </c>
      <c r="HV289" s="152">
        <f>HV288+HV285</f>
        <v>37</v>
      </c>
      <c r="HW289" s="152">
        <f>HW288+HW285</f>
        <v>36.299999999999997</v>
      </c>
      <c r="HX289" s="152">
        <f>HX288+HX285</f>
        <v>34.200000000000003</v>
      </c>
      <c r="HY289" s="152">
        <f>HY288+HY285</f>
        <v>144.5</v>
      </c>
      <c r="IA289" s="151" t="s">
        <v>13</v>
      </c>
      <c r="IB289" s="152">
        <f>IB288+IB285</f>
        <v>33.200000000000003</v>
      </c>
      <c r="IC289" s="152">
        <f>IC288+IC285</f>
        <v>34.9</v>
      </c>
      <c r="ID289" s="152">
        <f>ID288+ID285</f>
        <v>33.6</v>
      </c>
      <c r="IE289" s="152">
        <f>IE288+IE285</f>
        <v>32.5</v>
      </c>
      <c r="IF289" s="152">
        <f>IF288+IF285</f>
        <v>134.19999999999999</v>
      </c>
      <c r="IH289" s="151" t="s">
        <v>13</v>
      </c>
      <c r="II289" s="152">
        <f>II288+II285</f>
        <v>33</v>
      </c>
      <c r="IJ289" s="152">
        <f>IJ288+IJ285</f>
        <v>37.5</v>
      </c>
      <c r="IK289" s="152">
        <f>IK288+IK285</f>
        <v>36.099999999999994</v>
      </c>
      <c r="IL289" s="152">
        <f>IL288+IL285</f>
        <v>36.299999999999997</v>
      </c>
      <c r="IM289" s="152">
        <f>IM288+IM285</f>
        <v>142.89999999999998</v>
      </c>
      <c r="IO289" s="151" t="s">
        <v>13</v>
      </c>
      <c r="IP289" s="152">
        <f>IP288+IP285</f>
        <v>32.700000000000003</v>
      </c>
      <c r="IQ289" s="152">
        <f>IQ288+IQ285</f>
        <v>33.700000000000003</v>
      </c>
      <c r="IR289" s="152">
        <f>IR288+IR285</f>
        <v>29.9</v>
      </c>
      <c r="IS289" s="152">
        <f>IS288+IS285</f>
        <v>24.9</v>
      </c>
      <c r="IT289" s="152">
        <f>IT288+IT285</f>
        <v>121.20000000000002</v>
      </c>
      <c r="IV289" s="151" t="s">
        <v>13</v>
      </c>
      <c r="IW289" s="152">
        <f>IW288+IW285</f>
        <v>22.7</v>
      </c>
      <c r="IX289" s="152">
        <f>IX288+IX285</f>
        <v>22.1</v>
      </c>
      <c r="IY289" s="152">
        <f>IY288+IY285</f>
        <v>23.7</v>
      </c>
      <c r="IZ289" s="152">
        <f>IZ288+IZ285</f>
        <v>27.1</v>
      </c>
      <c r="JA289" s="152">
        <f>JA288+JA285</f>
        <v>95.600000000000009</v>
      </c>
      <c r="JC289" s="151" t="s">
        <v>13</v>
      </c>
      <c r="JD289" s="152">
        <f>JD288+JD285</f>
        <v>23.2</v>
      </c>
      <c r="JE289" s="152">
        <f>JE288+JE285</f>
        <v>23.6</v>
      </c>
      <c r="JF289" s="152">
        <f>JF288+JF285</f>
        <v>24.900000000000002</v>
      </c>
      <c r="JG289" s="152">
        <f>JG288+JG285</f>
        <v>25.6</v>
      </c>
      <c r="JH289" s="152">
        <f>JH288+JH285</f>
        <v>97.300000000000011</v>
      </c>
      <c r="JJ289" s="151" t="s">
        <v>13</v>
      </c>
      <c r="JK289" s="152">
        <f>JK288+JK285</f>
        <v>22.9</v>
      </c>
      <c r="JL289" s="152">
        <f>JL288+JL285</f>
        <v>25.1</v>
      </c>
      <c r="JM289" s="152">
        <f>JM288+JM285</f>
        <v>26.5</v>
      </c>
      <c r="JN289" s="152">
        <f>JN288+JN285</f>
        <v>25.9</v>
      </c>
      <c r="JO289" s="152">
        <f>JO288+JO285</f>
        <v>100.4</v>
      </c>
      <c r="JQ289" s="151" t="s">
        <v>13</v>
      </c>
      <c r="JR289" s="152">
        <f>JR288+JR285</f>
        <v>23.7</v>
      </c>
      <c r="JS289" s="152">
        <f>JS288+JS285</f>
        <v>25.4</v>
      </c>
      <c r="JT289" s="152">
        <f>JT288+JT285</f>
        <v>24.1</v>
      </c>
      <c r="JU289" s="152">
        <f>JU288+JU285</f>
        <v>21.6</v>
      </c>
      <c r="JV289" s="152">
        <f>JV288+JV285</f>
        <v>94.8</v>
      </c>
      <c r="JX289" s="151" t="s">
        <v>13</v>
      </c>
      <c r="JY289" s="152">
        <f>JY288+JY285</f>
        <v>20.2</v>
      </c>
      <c r="JZ289" s="152">
        <f>JZ288+JZ285</f>
        <v>14.2</v>
      </c>
      <c r="KA289" s="152">
        <f>KA288+KA285</f>
        <v>17.5</v>
      </c>
      <c r="KB289" s="152">
        <f>KB288+KB285</f>
        <v>19.600000000000001</v>
      </c>
      <c r="KC289" s="152">
        <f>KC288+KC285</f>
        <v>71.5</v>
      </c>
      <c r="KE289" s="151" t="s">
        <v>13</v>
      </c>
      <c r="KF289" s="152">
        <f>KF288+KF285</f>
        <v>19.200000000000003</v>
      </c>
      <c r="KG289" s="152">
        <f>KG288+KG285</f>
        <v>20.5</v>
      </c>
      <c r="KH289" s="152">
        <f>KH288+KH285</f>
        <v>20.3</v>
      </c>
      <c r="KI289" s="152">
        <f>KI288+KI285</f>
        <v>19</v>
      </c>
      <c r="KJ289" s="152">
        <f>KJ288+KJ285</f>
        <v>79</v>
      </c>
      <c r="KL289" s="151" t="s">
        <v>13</v>
      </c>
      <c r="KM289" s="152">
        <f>KM288+KM285</f>
        <v>17.3</v>
      </c>
      <c r="KN289" s="152">
        <f>KN288+KN285</f>
        <v>20</v>
      </c>
      <c r="KO289" s="152">
        <f>KO288+KO285</f>
        <v>19.8</v>
      </c>
      <c r="KP289" s="152">
        <f>KP288+KP285</f>
        <v>21</v>
      </c>
      <c r="KQ289" s="152">
        <f>KQ288+KQ285</f>
        <v>78.099999999999994</v>
      </c>
      <c r="KS289" s="151" t="s">
        <v>13</v>
      </c>
      <c r="KT289" s="152">
        <f>KT288+KT285</f>
        <v>20.8</v>
      </c>
      <c r="KU289" s="152">
        <f>KU288+KU285</f>
        <v>20.8</v>
      </c>
      <c r="KV289" s="152">
        <f>KV288+KV285</f>
        <v>21.7</v>
      </c>
      <c r="KW289" s="132">
        <f>KW288+KW285</f>
        <v>21.700000000000003</v>
      </c>
      <c r="KX289" s="152">
        <f>KX288+KX285</f>
        <v>85</v>
      </c>
      <c r="KZ289" s="151" t="s">
        <v>13</v>
      </c>
      <c r="LA289" s="152">
        <f>LA288+LA285</f>
        <v>21.2</v>
      </c>
      <c r="LB289" s="152">
        <f>LB288+LB285</f>
        <v>20.100000000000001</v>
      </c>
      <c r="LC289" s="152">
        <f>LC288+LC285</f>
        <v>21.299999999999997</v>
      </c>
      <c r="LD289" s="152">
        <f>LD288+LD285</f>
        <v>20.100000000000001</v>
      </c>
      <c r="LE289" s="152">
        <f>SUM(LE285:LE288)</f>
        <v>82.699999999999989</v>
      </c>
      <c r="LF289" s="558"/>
      <c r="LG289" s="151" t="s">
        <v>13</v>
      </c>
      <c r="LH289" s="152">
        <f>LH288+LH285</f>
        <v>19.399999999999999</v>
      </c>
      <c r="LI289" s="152">
        <f>LI288+LI285</f>
        <v>20.299999999999997</v>
      </c>
      <c r="LJ289" s="152">
        <f>LJ288+LJ285</f>
        <v>20.9</v>
      </c>
      <c r="LK289" s="152">
        <f>LK288+LK285</f>
        <v>20.399999999999999</v>
      </c>
      <c r="LL289" s="152">
        <f>SUM(LL285:LL288)</f>
        <v>80.999999999999986</v>
      </c>
      <c r="LM289" s="558"/>
      <c r="LN289" s="151" t="s">
        <v>13</v>
      </c>
      <c r="LO289" s="131">
        <f t="shared" ref="LO289:LR289" si="6943">LO86*LO297/1000</f>
        <v>19.981999999999999</v>
      </c>
      <c r="LP289" s="131">
        <f t="shared" si="6943"/>
        <v>20.705999999999996</v>
      </c>
      <c r="LQ289" s="131">
        <f t="shared" si="6943"/>
        <v>21.422499999999999</v>
      </c>
      <c r="LR289" s="131">
        <f t="shared" si="6943"/>
        <v>20.909999999999997</v>
      </c>
      <c r="LS289" s="152">
        <f>SUM(LS285:LS288)</f>
        <v>83.020499999999998</v>
      </c>
      <c r="LT289" s="558"/>
      <c r="LU289" s="151" t="s">
        <v>13</v>
      </c>
      <c r="LV289" s="131">
        <f t="shared" ref="LV289:LY289" si="6944">LV86*LV297/1000</f>
        <v>19.882090000000002</v>
      </c>
      <c r="LW289" s="131">
        <f t="shared" si="6944"/>
        <v>20.705999999999996</v>
      </c>
      <c r="LX289" s="131">
        <f t="shared" si="6944"/>
        <v>21.315387499999996</v>
      </c>
      <c r="LY289" s="131">
        <f t="shared" si="6944"/>
        <v>20.805449999999997</v>
      </c>
      <c r="LZ289" s="152">
        <f>SUM(LZ285:LZ288)</f>
        <v>82.708927499999987</v>
      </c>
      <c r="MA289" s="558"/>
      <c r="MB289" s="151" t="s">
        <v>13</v>
      </c>
      <c r="MC289" s="131">
        <f t="shared" ref="MC289:MF289" si="6945">MC86*MC297/1000</f>
        <v>19.732974325000004</v>
      </c>
      <c r="MD289" s="131">
        <f t="shared" si="6945"/>
        <v>20.550704999999997</v>
      </c>
      <c r="ME289" s="131">
        <f t="shared" si="6945"/>
        <v>21.155522093749997</v>
      </c>
      <c r="MF289" s="131">
        <f t="shared" si="6945"/>
        <v>20.649409124999998</v>
      </c>
      <c r="MG289" s="152">
        <f>SUM(MG285:MG288)</f>
        <v>82.088610543749994</v>
      </c>
      <c r="MH289" s="558"/>
    </row>
    <row r="290" spans="1:346" s="37" customFormat="1" ht="13.5" thickTop="1" x14ac:dyDescent="0.4">
      <c r="A290" s="100"/>
      <c r="B290" s="154" t="s">
        <v>299</v>
      </c>
      <c r="C290" s="155"/>
      <c r="D290" s="155"/>
      <c r="E290" s="155"/>
      <c r="F290" s="155"/>
      <c r="G290" s="155"/>
      <c r="H290" s="155"/>
      <c r="I290" s="155"/>
      <c r="J290" s="155"/>
      <c r="K290" s="155"/>
      <c r="L290" s="155"/>
      <c r="M290" s="155"/>
      <c r="N290" s="156">
        <f t="shared" si="6892"/>
        <v>0</v>
      </c>
      <c r="O290" s="156">
        <f t="shared" si="6893"/>
        <v>0.16356457980823463</v>
      </c>
      <c r="P290" s="156">
        <f t="shared" si="6894"/>
        <v>0.17880794701986757</v>
      </c>
      <c r="Q290" s="156">
        <f t="shared" si="6895"/>
        <v>0.17109326744904266</v>
      </c>
      <c r="R290" s="156">
        <f t="shared" si="6896"/>
        <v>0.1158113730929265</v>
      </c>
      <c r="S290" s="156">
        <f t="shared" si="6897"/>
        <v>0.10266406757634827</v>
      </c>
      <c r="T290" s="156">
        <f t="shared" si="6898"/>
        <v>0.14321766561514196</v>
      </c>
      <c r="U290" s="156">
        <f t="shared" si="6899"/>
        <v>0.13691931540342298</v>
      </c>
      <c r="V290" s="156">
        <f t="shared" si="6900"/>
        <v>0.1280193236714976</v>
      </c>
      <c r="W290" s="156">
        <f t="shared" si="6901"/>
        <v>9.987593052109181E-2</v>
      </c>
      <c r="X290" s="156">
        <f t="shared" si="6902"/>
        <v>6.8397720075997454E-2</v>
      </c>
      <c r="Y290" s="156">
        <f t="shared" si="6903"/>
        <v>7.4985354422964265E-2</v>
      </c>
      <c r="Z290" s="156">
        <f t="shared" si="6904"/>
        <v>7.0360110803324105E-2</v>
      </c>
      <c r="AA290" s="156">
        <f t="shared" si="6905"/>
        <v>5.5588762701733414E-2</v>
      </c>
      <c r="AB290" s="156">
        <f t="shared" si="6906"/>
        <v>5.2189562087582485E-2</v>
      </c>
      <c r="AC290" s="156">
        <f t="shared" si="6907"/>
        <v>7.7185017026106709E-2</v>
      </c>
      <c r="AD290" s="156">
        <f t="shared" si="6908"/>
        <v>6.7538126361655765E-2</v>
      </c>
      <c r="AE290" s="156">
        <f t="shared" si="6909"/>
        <v>6.8556701030927827E-2</v>
      </c>
      <c r="AF290" s="156">
        <f t="shared" si="6910"/>
        <v>0.10294878427315056</v>
      </c>
      <c r="AG290" s="156">
        <f t="shared" si="6911"/>
        <v>0.15321756894790603</v>
      </c>
      <c r="AH290" s="156">
        <f t="shared" si="6912"/>
        <v>0.13570566948130278</v>
      </c>
      <c r="AI290" s="156">
        <f t="shared" si="6913"/>
        <v>0.18149038461538464</v>
      </c>
      <c r="AJ290" s="156">
        <f t="shared" si="6914"/>
        <v>0.24693627450980393</v>
      </c>
      <c r="AK290" s="156">
        <f t="shared" si="6915"/>
        <v>0.33079584775086507</v>
      </c>
      <c r="AL290" s="156">
        <f t="shared" si="6916"/>
        <v>0.32786885245901642</v>
      </c>
      <c r="AM290" s="156">
        <f t="shared" si="6917"/>
        <v>0.27291812456263126</v>
      </c>
      <c r="AN290" s="156">
        <f t="shared" si="6918"/>
        <v>0.25412541254125415</v>
      </c>
      <c r="AO290" s="156">
        <f t="shared" si="6919"/>
        <v>0.26882845188284521</v>
      </c>
      <c r="AP290" s="156">
        <f t="shared" si="6920"/>
        <v>0.37204522096608428</v>
      </c>
      <c r="AQ290" s="156">
        <f t="shared" si="6921"/>
        <v>0.42928286852589642</v>
      </c>
      <c r="AR290" s="156">
        <f t="shared" si="6922"/>
        <v>0.40295358649789031</v>
      </c>
      <c r="AS290" s="156">
        <f t="shared" si="6923"/>
        <v>0.41258741258741261</v>
      </c>
      <c r="AT290" s="156">
        <f t="shared" si="6924"/>
        <v>0.41012658227848098</v>
      </c>
      <c r="AU290" s="156">
        <f t="shared" si="6925"/>
        <v>0.41485275288092188</v>
      </c>
      <c r="AV290" s="156">
        <f t="shared" si="6926"/>
        <v>0.47058823529411764</v>
      </c>
      <c r="AW290" s="156">
        <f t="shared" si="6927"/>
        <v>0.52962515114873043</v>
      </c>
      <c r="AX290" s="156">
        <f t="shared" si="6928"/>
        <v>0.49876543209876539</v>
      </c>
      <c r="AY290" s="156">
        <f t="shared" si="6929"/>
        <v>0.5</v>
      </c>
      <c r="AZ290" s="156">
        <f t="shared" si="6930"/>
        <v>0.51</v>
      </c>
      <c r="BA290" s="156">
        <f t="shared" si="6931"/>
        <v>0.51</v>
      </c>
      <c r="BB290" s="156"/>
      <c r="BC290" s="156"/>
      <c r="BD290" s="156"/>
      <c r="BE290" s="156"/>
      <c r="BF290" s="156"/>
      <c r="BG290" s="156"/>
      <c r="BH290" s="156"/>
      <c r="BI290" s="156"/>
      <c r="BJ290" s="156"/>
      <c r="BK290" s="156"/>
      <c r="BL290" s="156"/>
      <c r="BM290" s="156"/>
      <c r="BO290" s="154" t="s">
        <v>299</v>
      </c>
      <c r="BP290" s="155"/>
      <c r="BQ290" s="155"/>
      <c r="BR290" s="155"/>
      <c r="BS290" s="155"/>
      <c r="BT290" s="155"/>
      <c r="BV290" s="154" t="s">
        <v>299</v>
      </c>
      <c r="BW290" s="155">
        <f>BW288/BW289</f>
        <v>0.16592920353982299</v>
      </c>
      <c r="BX290" s="155">
        <f>BX288/BX289</f>
        <v>0.15280898876404495</v>
      </c>
      <c r="BY290" s="155">
        <f>BY288/BY289</f>
        <v>0.17579908675799086</v>
      </c>
      <c r="BZ290" s="155">
        <f>BZ288/BZ289</f>
        <v>0.15981735159817353</v>
      </c>
      <c r="CA290" s="155">
        <f>CA288/CA289</f>
        <v>0.16356457980823463</v>
      </c>
      <c r="CC290" s="154" t="s">
        <v>299</v>
      </c>
      <c r="CD290" s="155">
        <f>CD288/CD289</f>
        <v>0.19164619164619165</v>
      </c>
      <c r="CE290" s="155">
        <f>CE288/CE289</f>
        <v>0.1608910891089109</v>
      </c>
      <c r="CF290" s="155">
        <f>CF288/CF289</f>
        <v>0.17990654205607476</v>
      </c>
      <c r="CG290" s="155">
        <f>CG288/CG289</f>
        <v>0.18246445497630331</v>
      </c>
      <c r="CH290" s="155">
        <f>CH288/CH289</f>
        <v>0.17880794701986757</v>
      </c>
      <c r="CJ290" s="154" t="s">
        <v>299</v>
      </c>
      <c r="CK290" s="155">
        <f>CK288/CK289</f>
        <v>0.20884520884520882</v>
      </c>
      <c r="CL290" s="155">
        <f>CL288/CL289</f>
        <v>0.17171717171717174</v>
      </c>
      <c r="CM290" s="155">
        <f>CM288/CM289</f>
        <v>0.14532019704433499</v>
      </c>
      <c r="CN290" s="155">
        <f>CN288/CN289</f>
        <v>0.15853658536585366</v>
      </c>
      <c r="CO290" s="155">
        <f>CO288/CO289</f>
        <v>0.17109326744904266</v>
      </c>
      <c r="CQ290" s="154" t="s">
        <v>299</v>
      </c>
      <c r="CR290" s="155">
        <f>CR288/CR289</f>
        <v>0.14794520547945206</v>
      </c>
      <c r="CS290" s="155">
        <f>CS288/CS289</f>
        <v>0.116710875331565</v>
      </c>
      <c r="CT290" s="155">
        <f>CT288/CT289</f>
        <v>0.10306406685236767</v>
      </c>
      <c r="CU290" s="155">
        <f>CU288/CU289</f>
        <v>9.3841642228739003E-2</v>
      </c>
      <c r="CV290" s="155">
        <f>CV288/CV289</f>
        <v>0.1158113730929265</v>
      </c>
      <c r="CX290" s="154" t="s">
        <v>299</v>
      </c>
      <c r="CY290" s="155">
        <f>CY288/CY289</f>
        <v>0.11634349030470914</v>
      </c>
      <c r="CZ290" s="155">
        <f>CZ288/CZ289</f>
        <v>8.2901554404145081E-2</v>
      </c>
      <c r="DA290" s="155">
        <f>DA288/DA289</f>
        <v>0.10126582278481013</v>
      </c>
      <c r="DB290" s="155">
        <f>DB288/DB289</f>
        <v>0.11083123425692697</v>
      </c>
      <c r="DC290" s="155">
        <f>DC288/DC289</f>
        <v>0.10266406757634827</v>
      </c>
      <c r="DE290" s="154" t="s">
        <v>299</v>
      </c>
      <c r="DF290" s="155">
        <f>DF288/DF289</f>
        <v>0.15104166666666666</v>
      </c>
      <c r="DG290" s="155">
        <f>DG288/DG289</f>
        <v>0.14898989898989901</v>
      </c>
      <c r="DH290" s="155">
        <f>DH288/DH289</f>
        <v>0.12935323383084577</v>
      </c>
      <c r="DI290" s="155">
        <f>DI288/DI289</f>
        <v>0.14392059553349876</v>
      </c>
      <c r="DJ290" s="155">
        <f>DJ288/DJ289</f>
        <v>0.14321766561514196</v>
      </c>
      <c r="DL290" s="154" t="s">
        <v>299</v>
      </c>
      <c r="DM290" s="155">
        <f>DM288/DM289</f>
        <v>0.15183246073298429</v>
      </c>
      <c r="DN290" s="155">
        <f>DN288/DN289</f>
        <v>0.14354066985645933</v>
      </c>
      <c r="DO290" s="155">
        <f>DO288/DO289</f>
        <v>0.12590799031476996</v>
      </c>
      <c r="DP290" s="155">
        <f>DP288/DP289</f>
        <v>0.12765957446808512</v>
      </c>
      <c r="DQ290" s="155">
        <f>DQ288/DQ289</f>
        <v>0.13691931540342298</v>
      </c>
      <c r="DS290" s="154" t="s">
        <v>299</v>
      </c>
      <c r="DT290" s="155">
        <f>DT288/DT289</f>
        <v>0.14457831325301204</v>
      </c>
      <c r="DU290" s="155">
        <f>DU288/DU289</f>
        <v>0.13300492610837439</v>
      </c>
      <c r="DV290" s="155">
        <f>DV288/DV289</f>
        <v>0.11622276029055691</v>
      </c>
      <c r="DW290" s="155">
        <f>DW288/DW289</f>
        <v>0.11848341232227487</v>
      </c>
      <c r="DX290" s="155">
        <f>DX288/DX289</f>
        <v>0.1280193236714976</v>
      </c>
      <c r="DZ290" s="154" t="s">
        <v>299</v>
      </c>
      <c r="EA290" s="155">
        <f>EA288/EA289</f>
        <v>0.11335012594458438</v>
      </c>
      <c r="EB290" s="155">
        <f>EB288/EB289</f>
        <v>0.10421836228287841</v>
      </c>
      <c r="EC290" s="155">
        <f>EC288/EC289</f>
        <v>8.6419753086419748E-2</v>
      </c>
      <c r="ED290" s="155">
        <f>ED288/ED289</f>
        <v>9.5823095823095825E-2</v>
      </c>
      <c r="EE290" s="155">
        <f>EE288/EE289</f>
        <v>9.987593052109181E-2</v>
      </c>
      <c r="EG290" s="154" t="s">
        <v>299</v>
      </c>
      <c r="EH290" s="155">
        <f>EH288/EH289</f>
        <v>9.9999999999999992E-2</v>
      </c>
      <c r="EI290" s="155">
        <f>EI288/EI289</f>
        <v>5.0802139037433157E-2</v>
      </c>
      <c r="EJ290" s="155">
        <f>EJ288/EJ289</f>
        <v>5.5825242718446605E-2</v>
      </c>
      <c r="EK290" s="155">
        <f>EK288/EK289</f>
        <v>6.699751861042183E-2</v>
      </c>
      <c r="EL290" s="155">
        <f>EL288/EL289</f>
        <v>6.8397720075997454E-2</v>
      </c>
      <c r="EN290" s="154" t="s">
        <v>299</v>
      </c>
      <c r="EO290" s="155">
        <f>EO288/EO289</f>
        <v>0.10126582278481013</v>
      </c>
      <c r="EP290" s="155">
        <f>EP288/EP289</f>
        <v>6.3679245283018868E-2</v>
      </c>
      <c r="EQ290" s="155">
        <f>EQ288/EQ289</f>
        <v>6.222222222222222E-2</v>
      </c>
      <c r="ER290" s="155">
        <f>ER288/ER289</f>
        <v>7.5342465753424653E-2</v>
      </c>
      <c r="ES290" s="155">
        <f>ES288/ES289</f>
        <v>7.4985354422964265E-2</v>
      </c>
      <c r="EU290" s="154" t="s">
        <v>299</v>
      </c>
      <c r="EV290" s="155">
        <f>EV288/EV289</f>
        <v>8.714596949891068E-2</v>
      </c>
      <c r="EW290" s="155">
        <f>EW288/EW289</f>
        <v>7.1269487750556804E-2</v>
      </c>
      <c r="EX290" s="155">
        <f>EX288/EX289</f>
        <v>6.5462753950338598E-2</v>
      </c>
      <c r="EY290" s="155">
        <f>EY288/EY289</f>
        <v>5.7268722466960353E-2</v>
      </c>
      <c r="EZ290" s="155">
        <f>EZ288/EZ289</f>
        <v>7.0360110803324105E-2</v>
      </c>
      <c r="FB290" s="154" t="s">
        <v>299</v>
      </c>
      <c r="FC290" s="155">
        <f>FC288/FC289</f>
        <v>8.4134615384615377E-2</v>
      </c>
      <c r="FD290" s="155">
        <f>FD288/FD289</f>
        <v>5.7831325301204814E-2</v>
      </c>
      <c r="FE290" s="155">
        <f>FE288/FE289</f>
        <v>4.2755344418052253E-2</v>
      </c>
      <c r="FF290" s="155">
        <f>FF288/FF289</f>
        <v>3.800475059382423E-2</v>
      </c>
      <c r="FG290" s="155">
        <f>FG288/FG289</f>
        <v>5.5588762701733414E-2</v>
      </c>
      <c r="FI290" s="154" t="s">
        <v>299</v>
      </c>
      <c r="FJ290" s="155">
        <f>FJ288/FJ289</f>
        <v>5.5696202531645575E-2</v>
      </c>
      <c r="FK290" s="155">
        <f>FK288/FK289</f>
        <v>4.6948356807511735E-2</v>
      </c>
      <c r="FL290" s="155">
        <f>FL288/FL289</f>
        <v>4.8076923076923073E-2</v>
      </c>
      <c r="FM290" s="155">
        <f>FM288/FM289</f>
        <v>5.8139534883720929E-2</v>
      </c>
      <c r="FN290" s="155">
        <f>FN288/FN289</f>
        <v>5.2189562087582485E-2</v>
      </c>
      <c r="FP290" s="154" t="s">
        <v>299</v>
      </c>
      <c r="FQ290" s="155">
        <f>FQ288/FQ289</f>
        <v>7.7283372365339581E-2</v>
      </c>
      <c r="FR290" s="155">
        <f>FR288/FR289</f>
        <v>9.1743119266055037E-2</v>
      </c>
      <c r="FS290" s="155">
        <f>FS288/FS289</f>
        <v>7.2093023255813959E-2</v>
      </c>
      <c r="FT290" s="155">
        <f>FT288/FT289</f>
        <v>6.8230277185501065E-2</v>
      </c>
      <c r="FU290" s="155">
        <f>FU288/FU289</f>
        <v>7.7185017026106709E-2</v>
      </c>
      <c r="FW290" s="154" t="s">
        <v>299</v>
      </c>
      <c r="FX290" s="155">
        <f>FX288/FX289</f>
        <v>8.2073434125269976E-2</v>
      </c>
      <c r="FY290" s="155">
        <f>FY288/FY289</f>
        <v>7.2961373390557929E-2</v>
      </c>
      <c r="FZ290" s="155">
        <f>FZ288/FZ289</f>
        <v>6.222222222222222E-2</v>
      </c>
      <c r="GA290" s="155">
        <f>GA288/GA289</f>
        <v>5.2516411378555797E-2</v>
      </c>
      <c r="GB290" s="155">
        <f>GB288/GB289</f>
        <v>6.7538126361655765E-2</v>
      </c>
      <c r="GD290" s="154" t="s">
        <v>299</v>
      </c>
      <c r="GE290" s="155">
        <f>GE288/GE289</f>
        <v>6.5708418891170434E-2</v>
      </c>
      <c r="GF290" s="155">
        <f>GF288/GF289</f>
        <v>6.5708418891170434E-2</v>
      </c>
      <c r="GG290" s="155">
        <f>GG288/GG289</f>
        <v>6.4049586776859513E-2</v>
      </c>
      <c r="GH290" s="155">
        <f>GH288/GH289</f>
        <v>7.8838174273858919E-2</v>
      </c>
      <c r="GI290" s="155">
        <f>GI288/GI289</f>
        <v>6.8556701030927827E-2</v>
      </c>
      <c r="GK290" s="154" t="s">
        <v>299</v>
      </c>
      <c r="GL290" s="155">
        <f>GL288/GL289</f>
        <v>9.7916666666666666E-2</v>
      </c>
      <c r="GM290" s="155">
        <f>GM288/GM289</f>
        <v>8.7318087318087323E-2</v>
      </c>
      <c r="GN290" s="155">
        <f>GN288/GN289</f>
        <v>9.7308488612836433E-2</v>
      </c>
      <c r="GO290" s="155">
        <f>GO288/GO289</f>
        <v>0.12883435582822086</v>
      </c>
      <c r="GP290" s="155">
        <f>GP288/GP289</f>
        <v>0.10294878427315056</v>
      </c>
      <c r="GR290" s="154" t="s">
        <v>299</v>
      </c>
      <c r="GS290" s="155">
        <f>GS288/GS289</f>
        <v>0.15767634854771784</v>
      </c>
      <c r="GT290" s="155">
        <f>GT288/GT289</f>
        <v>0.16969696969696971</v>
      </c>
      <c r="GU290" s="155">
        <f>GU288/GU289</f>
        <v>0.1422680412371134</v>
      </c>
      <c r="GV290" s="155">
        <f>GV288/GV289</f>
        <v>0.14314516129032256</v>
      </c>
      <c r="GW290" s="155">
        <f>GW288/GW289</f>
        <v>0.15321756894790603</v>
      </c>
      <c r="GY290" s="154" t="s">
        <v>299</v>
      </c>
      <c r="GZ290" s="155">
        <f>GZ288/GZ289</f>
        <v>0.13318777292576417</v>
      </c>
      <c r="HA290" s="155">
        <f>HA288/HA289</f>
        <v>0.11881188118811881</v>
      </c>
      <c r="HB290" s="155">
        <f>HB288/HB289</f>
        <v>0.13480392156862747</v>
      </c>
      <c r="HC290" s="155">
        <f>HC288/HC289</f>
        <v>0.15721649484536079</v>
      </c>
      <c r="HD290" s="155">
        <f>HD288/HD289</f>
        <v>0.13570566948130278</v>
      </c>
      <c r="HF290" s="154" t="s">
        <v>299</v>
      </c>
      <c r="HG290" s="155">
        <f>HG288/HG289</f>
        <v>0.18639798488664991</v>
      </c>
      <c r="HH290" s="155">
        <f>HH288/HH289</f>
        <v>0.18867924528301888</v>
      </c>
      <c r="HI290" s="155">
        <f>HI288/HI289</f>
        <v>0.16097560975609757</v>
      </c>
      <c r="HJ290" s="155">
        <f>HJ288/HJ289</f>
        <v>0.18937644341801385</v>
      </c>
      <c r="HK290" s="155">
        <f>HK288/HK289</f>
        <v>0.18149038461538464</v>
      </c>
      <c r="HM290" s="154" t="s">
        <v>299</v>
      </c>
      <c r="HN290" s="155">
        <f>HN288/HN289</f>
        <v>0.25907990314769974</v>
      </c>
      <c r="HO290" s="155">
        <f>HO288/HO289</f>
        <v>0.25242718446601942</v>
      </c>
      <c r="HP290" s="155">
        <f>HP288/HP289</f>
        <v>0.21463414634146344</v>
      </c>
      <c r="HQ290" s="155">
        <f>HQ288/HQ289</f>
        <v>0.26196473551637278</v>
      </c>
      <c r="HR290" s="155">
        <f>HR288/HR289</f>
        <v>0.24693627450980393</v>
      </c>
      <c r="HT290" s="154" t="s">
        <v>299</v>
      </c>
      <c r="HU290" s="155">
        <f>HU288/HU289</f>
        <v>0.33783783783783783</v>
      </c>
      <c r="HV290" s="155">
        <f>HV288/HV289</f>
        <v>0.39729729729729729</v>
      </c>
      <c r="HW290" s="155">
        <f>HW288/HW289</f>
        <v>0.30303030303030304</v>
      </c>
      <c r="HX290" s="155">
        <f>HX288/HX289</f>
        <v>0.2807017543859649</v>
      </c>
      <c r="HY290" s="155">
        <f>HY288/HY289</f>
        <v>0.33079584775086507</v>
      </c>
      <c r="IA290" s="154" t="s">
        <v>299</v>
      </c>
      <c r="IB290" s="155">
        <f>IB288/IB289</f>
        <v>0.37048192771084337</v>
      </c>
      <c r="IC290" s="155">
        <f>IC288/IC289</f>
        <v>0.32951289398280803</v>
      </c>
      <c r="ID290" s="155">
        <f>ID288/ID289</f>
        <v>0.29761904761904762</v>
      </c>
      <c r="IE290" s="155">
        <f>IE288/IE289</f>
        <v>0.31384615384615383</v>
      </c>
      <c r="IF290" s="155">
        <f>IF288/IF289</f>
        <v>0.32786885245901642</v>
      </c>
      <c r="IH290" s="154" t="s">
        <v>299</v>
      </c>
      <c r="II290" s="155">
        <f>II288/II289</f>
        <v>0.31818181818181818</v>
      </c>
      <c r="IJ290" s="155">
        <f>IJ288/IJ289</f>
        <v>0.27466666666666667</v>
      </c>
      <c r="IK290" s="155">
        <f>IK288/IK289</f>
        <v>0.24099722991689754</v>
      </c>
      <c r="IL290" s="155">
        <f>IL288/IL289</f>
        <v>0.26170798898071629</v>
      </c>
      <c r="IM290" s="155">
        <f>IM288/IM289</f>
        <v>0.27291812456263126</v>
      </c>
      <c r="IO290" s="154" t="s">
        <v>299</v>
      </c>
      <c r="IP290" s="155">
        <f>IP288/IP289</f>
        <v>0.29969418960244648</v>
      </c>
      <c r="IQ290" s="155">
        <f>IQ288/IQ289</f>
        <v>0.24925816023738873</v>
      </c>
      <c r="IR290" s="155">
        <f>IR288/IR289</f>
        <v>0.22073578595317725</v>
      </c>
      <c r="IS290" s="155">
        <f>IS288/IS289</f>
        <v>0.24096385542168677</v>
      </c>
      <c r="IT290" s="155">
        <f>IT288/IT289</f>
        <v>0.25412541254125415</v>
      </c>
      <c r="IV290" s="154" t="s">
        <v>299</v>
      </c>
      <c r="IW290" s="155">
        <f>IW288/IW289</f>
        <v>0.25550660792951541</v>
      </c>
      <c r="IX290" s="155">
        <f>IX288/IX289</f>
        <v>0.28506787330316741</v>
      </c>
      <c r="IY290" s="155">
        <f>IY288/IY289</f>
        <v>0.2320675105485232</v>
      </c>
      <c r="IZ290" s="155">
        <f>IZ288/IZ289</f>
        <v>0.29889298892988925</v>
      </c>
      <c r="JA290" s="155">
        <f>JA288/JA289</f>
        <v>0.26882845188284521</v>
      </c>
      <c r="JC290" s="154" t="s">
        <v>299</v>
      </c>
      <c r="JD290" s="155">
        <f>JD288/JD289</f>
        <v>0.375</v>
      </c>
      <c r="JE290" s="155">
        <f>JE288/JE289</f>
        <v>0.34745762711864403</v>
      </c>
      <c r="JF290" s="155">
        <f>JF288/JF289</f>
        <v>0.3534136546184739</v>
      </c>
      <c r="JG290" s="155">
        <f>JG288/JG289</f>
        <v>0.41015625</v>
      </c>
      <c r="JH290" s="155">
        <f>JH288/JH289</f>
        <v>0.37204522096608428</v>
      </c>
      <c r="JJ290" s="154" t="s">
        <v>299</v>
      </c>
      <c r="JK290" s="155">
        <f>JK288/JK289</f>
        <v>0.46288209606986902</v>
      </c>
      <c r="JL290" s="155">
        <f>JL288/JL289</f>
        <v>0.4541832669322709</v>
      </c>
      <c r="JM290" s="155">
        <f>JM288/JM289</f>
        <v>0.40377358490566034</v>
      </c>
      <c r="JN290" s="155">
        <f>JN288/JN289</f>
        <v>0.40154440154440157</v>
      </c>
      <c r="JO290" s="155">
        <f>JO288/JO289</f>
        <v>0.42928286852589642</v>
      </c>
      <c r="JQ290" s="154" t="s">
        <v>299</v>
      </c>
      <c r="JR290" s="155">
        <f>JR288/JR289</f>
        <v>0.44303797468354433</v>
      </c>
      <c r="JS290" s="155">
        <f>JS288/JS289</f>
        <v>0.41732283464566933</v>
      </c>
      <c r="JT290" s="155">
        <f>JT288/JT289</f>
        <v>0.36514522821576767</v>
      </c>
      <c r="JU290" s="155">
        <f>JU288/JU289</f>
        <v>0.38425925925925924</v>
      </c>
      <c r="JV290" s="155">
        <f>JV288/JV289</f>
        <v>0.40295358649789031</v>
      </c>
      <c r="JX290" s="154" t="s">
        <v>299</v>
      </c>
      <c r="JY290" s="155">
        <f>JY288/JY289</f>
        <v>0.45049504950495051</v>
      </c>
      <c r="JZ290" s="155">
        <f>JZ288/JZ289</f>
        <v>0.42253521126760568</v>
      </c>
      <c r="KA290" s="155">
        <f>KA288/KA289</f>
        <v>0.41142857142857142</v>
      </c>
      <c r="KB290" s="155">
        <f>KB288/KB289</f>
        <v>0.36734693877551017</v>
      </c>
      <c r="KC290" s="155">
        <f>KC288/KC289</f>
        <v>0.41258741258741261</v>
      </c>
      <c r="KE290" s="154" t="s">
        <v>299</v>
      </c>
      <c r="KF290" s="155">
        <f>KF288/KF289</f>
        <v>0.41145833333333331</v>
      </c>
      <c r="KG290" s="155">
        <f>KG288/KG289</f>
        <v>0.43902439024390244</v>
      </c>
      <c r="KH290" s="155">
        <f>KH288/KH289</f>
        <v>0.37931034482758619</v>
      </c>
      <c r="KI290" s="155">
        <f>KI288/KI289</f>
        <v>0.41052631578947368</v>
      </c>
      <c r="KJ290" s="155">
        <f>KJ288/KJ289</f>
        <v>0.41012658227848098</v>
      </c>
      <c r="KL290" s="154" t="s">
        <v>299</v>
      </c>
      <c r="KM290" s="155">
        <f>KM288/KM289</f>
        <v>0.43352601156069365</v>
      </c>
      <c r="KN290" s="155">
        <f>KN288/KN289</f>
        <v>0.42000000000000004</v>
      </c>
      <c r="KO290" s="155">
        <f>KO288/KO289</f>
        <v>0.40404040404040403</v>
      </c>
      <c r="KP290" s="155">
        <f>KP288/KP289</f>
        <v>0.40476190476190477</v>
      </c>
      <c r="KQ290" s="155">
        <f>KQ288/KQ289</f>
        <v>0.41485275288092188</v>
      </c>
      <c r="KS290" s="154" t="s">
        <v>299</v>
      </c>
      <c r="KT290" s="155">
        <f>KT288/KT289</f>
        <v>0.44711538461538464</v>
      </c>
      <c r="KU290" s="155">
        <f>KU288/KU289</f>
        <v>0.47115384615384615</v>
      </c>
      <c r="KV290" s="155">
        <f>KV288/KV289</f>
        <v>0.46543778801843316</v>
      </c>
      <c r="KW290" s="155">
        <f>KW288/KW289</f>
        <v>0.49769585253456217</v>
      </c>
      <c r="KX290" s="155">
        <f>KX288/KX289</f>
        <v>0.47058823529411764</v>
      </c>
      <c r="KZ290" s="154" t="s">
        <v>299</v>
      </c>
      <c r="LA290" s="155">
        <f>LA288/LA289</f>
        <v>0.54716981132075471</v>
      </c>
      <c r="LB290" s="155">
        <f>LB288/LB289</f>
        <v>0.52736318407960192</v>
      </c>
      <c r="LC290" s="155">
        <f>LC288/LC289</f>
        <v>0.52112676056338036</v>
      </c>
      <c r="LD290" s="155">
        <f>LD288/LD289</f>
        <v>0.52238805970149249</v>
      </c>
      <c r="LE290" s="155">
        <f>LE288/LE289</f>
        <v>0.52962515114873043</v>
      </c>
      <c r="LF290" s="555"/>
      <c r="LG290" s="154" t="s">
        <v>299</v>
      </c>
      <c r="LH290" s="155">
        <f>LH288/LH289</f>
        <v>0.52577319587628868</v>
      </c>
      <c r="LI290" s="155">
        <f>LI288/LI289</f>
        <v>0.49753694581280794</v>
      </c>
      <c r="LJ290" s="155">
        <f>LJ288/LJ289</f>
        <v>0.47368421052631582</v>
      </c>
      <c r="LK290" s="155">
        <f>LK288/LK289</f>
        <v>0.5</v>
      </c>
      <c r="LL290" s="155">
        <f>LL288/LL289</f>
        <v>0.49876543209876539</v>
      </c>
      <c r="LM290" s="555"/>
      <c r="LN290" s="154" t="s">
        <v>299</v>
      </c>
      <c r="LO290" s="638">
        <v>0.5</v>
      </c>
      <c r="LP290" s="638">
        <v>0.5</v>
      </c>
      <c r="LQ290" s="638">
        <v>0.5</v>
      </c>
      <c r="LR290" s="638">
        <v>0.5</v>
      </c>
      <c r="LS290" s="155">
        <f>LS288/LS289</f>
        <v>0.5</v>
      </c>
      <c r="LT290" s="555"/>
      <c r="LU290" s="154" t="s">
        <v>299</v>
      </c>
      <c r="LV290" s="638">
        <v>0.51</v>
      </c>
      <c r="LW290" s="638">
        <v>0.51</v>
      </c>
      <c r="LX290" s="638">
        <v>0.51</v>
      </c>
      <c r="LY290" s="638">
        <v>0.51</v>
      </c>
      <c r="LZ290" s="155">
        <f>LZ288/LZ289</f>
        <v>0.51</v>
      </c>
      <c r="MA290" s="555"/>
      <c r="MB290" s="154" t="s">
        <v>299</v>
      </c>
      <c r="MC290" s="638">
        <v>0.51</v>
      </c>
      <c r="MD290" s="638">
        <v>0.51</v>
      </c>
      <c r="ME290" s="638">
        <v>0.51</v>
      </c>
      <c r="MF290" s="638">
        <v>0.51</v>
      </c>
      <c r="MG290" s="155">
        <f>MG288/MG289</f>
        <v>0.51</v>
      </c>
      <c r="MH290" s="555"/>
    </row>
    <row r="291" spans="1:346" s="37" customFormat="1" ht="13.15" x14ac:dyDescent="0.4">
      <c r="A291" s="100"/>
      <c r="B291" s="157"/>
      <c r="C291" s="158"/>
      <c r="D291" s="158"/>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c r="AA291" s="158"/>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AY291" s="158"/>
      <c r="AZ291" s="158"/>
      <c r="BA291" s="158"/>
      <c r="BB291" s="158"/>
      <c r="BC291" s="158"/>
      <c r="BD291" s="158"/>
      <c r="BE291" s="158"/>
      <c r="BF291" s="158"/>
      <c r="BG291" s="158"/>
      <c r="BH291" s="158"/>
      <c r="BI291" s="158"/>
      <c r="BJ291" s="158"/>
      <c r="BK291" s="158"/>
      <c r="BL291" s="158"/>
      <c r="BM291" s="158"/>
      <c r="BO291" s="157"/>
      <c r="BP291" s="158"/>
      <c r="BQ291" s="158"/>
      <c r="BR291" s="158"/>
      <c r="BS291" s="158"/>
      <c r="BT291" s="158"/>
      <c r="BV291" s="157"/>
      <c r="BW291" s="158"/>
      <c r="BX291" s="158"/>
      <c r="BY291" s="158"/>
      <c r="BZ291" s="158"/>
      <c r="CA291" s="158"/>
      <c r="CC291" s="157"/>
      <c r="CD291" s="158"/>
      <c r="CE291" s="158"/>
      <c r="CF291" s="158"/>
      <c r="CG291" s="158"/>
      <c r="CH291" s="158"/>
      <c r="CJ291" s="157"/>
      <c r="CK291" s="158"/>
      <c r="CL291" s="158"/>
      <c r="CM291" s="158"/>
      <c r="CN291" s="158"/>
      <c r="CO291" s="158"/>
      <c r="CQ291" s="157"/>
      <c r="CR291" s="158"/>
      <c r="CS291" s="158"/>
      <c r="CT291" s="158"/>
      <c r="CU291" s="158"/>
      <c r="CV291" s="158"/>
      <c r="CX291" s="157"/>
      <c r="CY291" s="158"/>
      <c r="CZ291" s="158"/>
      <c r="DA291" s="158"/>
      <c r="DB291" s="158"/>
      <c r="DC291" s="158"/>
      <c r="DE291" s="157"/>
      <c r="DF291" s="158"/>
      <c r="DG291" s="158"/>
      <c r="DH291" s="158"/>
      <c r="DI291" s="158"/>
      <c r="DJ291" s="158"/>
      <c r="DL291" s="157"/>
      <c r="DM291" s="158"/>
      <c r="DN291" s="158"/>
      <c r="DO291" s="158"/>
      <c r="DP291" s="158"/>
      <c r="DQ291" s="158"/>
      <c r="DS291" s="157"/>
      <c r="DT291" s="158"/>
      <c r="DU291" s="158"/>
      <c r="DV291" s="158"/>
      <c r="DW291" s="158"/>
      <c r="DX291" s="158"/>
      <c r="DZ291" s="157"/>
      <c r="EA291" s="158"/>
      <c r="EB291" s="158"/>
      <c r="EC291" s="158"/>
      <c r="ED291" s="158"/>
      <c r="EE291" s="158"/>
      <c r="EG291" s="157"/>
      <c r="EH291" s="158"/>
      <c r="EI291" s="158"/>
      <c r="EJ291" s="158"/>
      <c r="EK291" s="158"/>
      <c r="EL291" s="158"/>
      <c r="EN291" s="157"/>
      <c r="EO291" s="158"/>
      <c r="EP291" s="158"/>
      <c r="EQ291" s="158"/>
      <c r="ER291" s="158"/>
      <c r="ES291" s="158"/>
      <c r="EU291" s="157"/>
      <c r="EV291" s="158"/>
      <c r="EW291" s="158"/>
      <c r="EX291" s="158"/>
      <c r="EY291" s="158"/>
      <c r="EZ291" s="158"/>
      <c r="FB291" s="157"/>
      <c r="FC291" s="158"/>
      <c r="FD291" s="158"/>
      <c r="FE291" s="158"/>
      <c r="FF291" s="158"/>
      <c r="FG291" s="158"/>
      <c r="FI291" s="157"/>
      <c r="FJ291" s="158"/>
      <c r="FK291" s="158"/>
      <c r="FL291" s="158"/>
      <c r="FM291" s="158"/>
      <c r="FN291" s="158"/>
      <c r="FP291" s="157"/>
      <c r="FQ291" s="158"/>
      <c r="FR291" s="158"/>
      <c r="FS291" s="158"/>
      <c r="FT291" s="158"/>
      <c r="FU291" s="158"/>
      <c r="FW291" s="157"/>
      <c r="FX291" s="158"/>
      <c r="FY291" s="158"/>
      <c r="FZ291" s="158"/>
      <c r="GA291" s="158"/>
      <c r="GB291" s="158"/>
      <c r="GD291" s="157"/>
      <c r="GE291" s="158"/>
      <c r="GF291" s="158"/>
      <c r="GG291" s="158"/>
      <c r="GH291" s="158"/>
      <c r="GI291" s="158"/>
      <c r="GK291" s="157"/>
      <c r="GL291" s="158"/>
      <c r="GM291" s="158"/>
      <c r="GN291" s="158"/>
      <c r="GO291" s="158"/>
      <c r="GP291" s="158"/>
      <c r="GR291" s="157"/>
      <c r="GS291" s="158"/>
      <c r="GT291" s="158"/>
      <c r="GU291" s="158"/>
      <c r="GV291" s="158"/>
      <c r="GW291" s="158"/>
      <c r="GY291" s="157"/>
      <c r="GZ291" s="158"/>
      <c r="HA291" s="158"/>
      <c r="HB291" s="158"/>
      <c r="HC291" s="158"/>
      <c r="HD291" s="158"/>
      <c r="HF291" s="157"/>
      <c r="HG291" s="158"/>
      <c r="HH291" s="158"/>
      <c r="HI291" s="158"/>
      <c r="HJ291" s="158"/>
      <c r="HK291" s="158"/>
      <c r="HM291" s="157"/>
      <c r="HN291" s="158"/>
      <c r="HO291" s="158"/>
      <c r="HP291" s="158"/>
      <c r="HQ291" s="158"/>
      <c r="HR291" s="158"/>
      <c r="HT291" s="157"/>
      <c r="HU291" s="158"/>
      <c r="HV291" s="158"/>
      <c r="HW291" s="158"/>
      <c r="HX291" s="158"/>
      <c r="HY291" s="158"/>
      <c r="IA291" s="157"/>
      <c r="IB291" s="158"/>
      <c r="IC291" s="158"/>
      <c r="ID291" s="158"/>
      <c r="IE291" s="158"/>
      <c r="IF291" s="158"/>
      <c r="IH291" s="157"/>
      <c r="II291" s="158"/>
      <c r="IJ291" s="158"/>
      <c r="IK291" s="158"/>
      <c r="IL291" s="158"/>
      <c r="IM291" s="158"/>
      <c r="IO291" s="157"/>
      <c r="IP291" s="158"/>
      <c r="IQ291" s="158"/>
      <c r="IR291" s="158"/>
      <c r="IS291" s="158"/>
      <c r="IT291" s="158"/>
      <c r="IV291" s="157"/>
      <c r="IW291" s="158"/>
      <c r="IX291" s="158"/>
      <c r="IY291" s="158"/>
      <c r="IZ291" s="158"/>
      <c r="JA291" s="158"/>
      <c r="JC291" s="157"/>
      <c r="JD291" s="158"/>
      <c r="JE291" s="158"/>
      <c r="JF291" s="158"/>
      <c r="JG291" s="158"/>
      <c r="JH291" s="158"/>
      <c r="JJ291" s="157"/>
      <c r="JK291" s="158"/>
      <c r="JL291" s="158"/>
      <c r="JM291" s="158"/>
      <c r="JN291" s="158"/>
      <c r="JO291" s="158"/>
      <c r="JQ291" s="157"/>
      <c r="JR291" s="158"/>
      <c r="JS291" s="158"/>
      <c r="JT291" s="158"/>
      <c r="JU291" s="158"/>
      <c r="JV291" s="158"/>
      <c r="JX291" s="157"/>
      <c r="JY291" s="158"/>
      <c r="JZ291" s="158"/>
      <c r="KA291" s="158"/>
      <c r="KB291" s="158"/>
      <c r="KC291" s="158"/>
      <c r="KE291" s="157"/>
      <c r="KF291" s="158"/>
      <c r="KG291" s="158"/>
      <c r="KH291" s="158"/>
      <c r="KI291" s="158"/>
      <c r="KJ291" s="158"/>
      <c r="KL291" s="157"/>
      <c r="KM291" s="158"/>
      <c r="KN291" s="158"/>
      <c r="KO291" s="158"/>
      <c r="KP291" s="158"/>
      <c r="KQ291" s="158"/>
      <c r="KS291" s="157"/>
      <c r="KT291" s="158"/>
      <c r="KU291" s="158"/>
      <c r="KV291" s="158"/>
      <c r="KW291" s="104"/>
      <c r="KX291" s="158"/>
      <c r="KZ291" s="157"/>
      <c r="LA291" s="158"/>
      <c r="LB291" s="158"/>
      <c r="LC291" s="104"/>
      <c r="LD291" s="104"/>
      <c r="LE291" s="158"/>
      <c r="LF291" s="555"/>
      <c r="LG291" s="157"/>
      <c r="LH291" s="104"/>
      <c r="LI291" s="104"/>
      <c r="LJ291" s="104"/>
      <c r="LK291" s="104"/>
      <c r="LL291" s="158"/>
      <c r="LM291" s="555"/>
      <c r="LN291" s="157"/>
      <c r="LO291" s="104"/>
      <c r="LP291" s="104"/>
      <c r="LQ291" s="104"/>
      <c r="LR291" s="104"/>
      <c r="LS291" s="158"/>
      <c r="LT291" s="555"/>
      <c r="LU291" s="157"/>
      <c r="LV291" s="104"/>
      <c r="LW291" s="104"/>
      <c r="LX291" s="104"/>
      <c r="LY291" s="104"/>
      <c r="LZ291" s="158"/>
      <c r="MA291" s="555"/>
      <c r="MB291" s="157"/>
      <c r="MC291" s="104"/>
      <c r="MD291" s="104"/>
      <c r="ME291" s="104"/>
      <c r="MF291" s="104"/>
      <c r="MG291" s="158"/>
      <c r="MH291" s="555"/>
    </row>
    <row r="292" spans="1:346" s="37" customFormat="1" ht="13.15" x14ac:dyDescent="0.4">
      <c r="A292" s="100"/>
      <c r="B292" s="159" t="s">
        <v>3</v>
      </c>
      <c r="C292" s="158"/>
      <c r="D292" s="158"/>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c r="AA292" s="158"/>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AY292" s="158"/>
      <c r="AZ292" s="158"/>
      <c r="BA292" s="158"/>
      <c r="BB292" s="158"/>
      <c r="BC292" s="158"/>
      <c r="BD292" s="158"/>
      <c r="BE292" s="158"/>
      <c r="BF292" s="158"/>
      <c r="BG292" s="158"/>
      <c r="BH292" s="158"/>
      <c r="BI292" s="158"/>
      <c r="BJ292" s="158"/>
      <c r="BK292" s="158"/>
      <c r="BL292" s="158"/>
      <c r="BM292" s="158"/>
      <c r="BO292" s="159" t="s">
        <v>3</v>
      </c>
      <c r="BP292" s="158"/>
      <c r="BQ292" s="158"/>
      <c r="BR292" s="158"/>
      <c r="BS292" s="158"/>
      <c r="BT292" s="158"/>
      <c r="BV292" s="159" t="s">
        <v>3</v>
      </c>
      <c r="BW292" s="158"/>
      <c r="BX292" s="158"/>
      <c r="BY292" s="158"/>
      <c r="BZ292" s="158"/>
      <c r="CA292" s="158"/>
      <c r="CC292" s="159" t="s">
        <v>3</v>
      </c>
      <c r="CD292" s="158"/>
      <c r="CE292" s="158"/>
      <c r="CF292" s="158"/>
      <c r="CG292" s="158"/>
      <c r="CH292" s="158"/>
      <c r="CJ292" s="159" t="s">
        <v>3</v>
      </c>
      <c r="CK292" s="158"/>
      <c r="CL292" s="158"/>
      <c r="CM292" s="158"/>
      <c r="CN292" s="158"/>
      <c r="CO292" s="158"/>
      <c r="CQ292" s="159" t="s">
        <v>3</v>
      </c>
      <c r="CR292" s="158"/>
      <c r="CS292" s="158"/>
      <c r="CT292" s="158"/>
      <c r="CU292" s="158"/>
      <c r="CV292" s="158"/>
      <c r="CX292" s="159" t="s">
        <v>3</v>
      </c>
      <c r="CY292" s="158"/>
      <c r="CZ292" s="158"/>
      <c r="DA292" s="158"/>
      <c r="DB292" s="158"/>
      <c r="DC292" s="158"/>
      <c r="DE292" s="159" t="s">
        <v>3</v>
      </c>
      <c r="DF292" s="158"/>
      <c r="DG292" s="158"/>
      <c r="DH292" s="158"/>
      <c r="DI292" s="158"/>
      <c r="DJ292" s="158"/>
      <c r="DL292" s="159" t="s">
        <v>3</v>
      </c>
      <c r="DM292" s="158"/>
      <c r="DN292" s="158"/>
      <c r="DO292" s="158"/>
      <c r="DP292" s="158"/>
      <c r="DQ292" s="158"/>
      <c r="DS292" s="159" t="s">
        <v>3</v>
      </c>
      <c r="DT292" s="158"/>
      <c r="DU292" s="158"/>
      <c r="DV292" s="158"/>
      <c r="DW292" s="158"/>
      <c r="DX292" s="158"/>
      <c r="DZ292" s="159" t="s">
        <v>3</v>
      </c>
      <c r="EA292" s="158"/>
      <c r="EB292" s="158"/>
      <c r="EC292" s="158"/>
      <c r="ED292" s="158"/>
      <c r="EE292" s="158"/>
      <c r="EG292" s="159" t="s">
        <v>3</v>
      </c>
      <c r="EH292" s="158"/>
      <c r="EI292" s="158"/>
      <c r="EJ292" s="158"/>
      <c r="EK292" s="158"/>
      <c r="EL292" s="158"/>
      <c r="EN292" s="159" t="s">
        <v>3</v>
      </c>
      <c r="EO292" s="158"/>
      <c r="EP292" s="158"/>
      <c r="EQ292" s="158"/>
      <c r="ER292" s="158"/>
      <c r="ES292" s="158"/>
      <c r="EU292" s="159" t="s">
        <v>3</v>
      </c>
      <c r="EV292" s="158"/>
      <c r="EW292" s="158"/>
      <c r="EX292" s="158"/>
      <c r="EY292" s="158"/>
      <c r="EZ292" s="158"/>
      <c r="FB292" s="159" t="s">
        <v>3</v>
      </c>
      <c r="FC292" s="158"/>
      <c r="FD292" s="158"/>
      <c r="FE292" s="158"/>
      <c r="FF292" s="158"/>
      <c r="FG292" s="158"/>
      <c r="FI292" s="159" t="s">
        <v>3</v>
      </c>
      <c r="FJ292" s="158"/>
      <c r="FK292" s="158"/>
      <c r="FL292" s="158"/>
      <c r="FM292" s="158"/>
      <c r="FN292" s="158"/>
      <c r="FP292" s="159" t="s">
        <v>3</v>
      </c>
      <c r="FQ292" s="158"/>
      <c r="FR292" s="158"/>
      <c r="FS292" s="158"/>
      <c r="FT292" s="158"/>
      <c r="FU292" s="158"/>
      <c r="FW292" s="159" t="s">
        <v>3</v>
      </c>
      <c r="FX292" s="158"/>
      <c r="FY292" s="158"/>
      <c r="FZ292" s="158"/>
      <c r="GA292" s="158"/>
      <c r="GB292" s="158"/>
      <c r="GD292" s="159" t="s">
        <v>3</v>
      </c>
      <c r="GE292" s="158"/>
      <c r="GF292" s="158"/>
      <c r="GG292" s="158"/>
      <c r="GH292" s="158"/>
      <c r="GI292" s="158"/>
      <c r="GK292" s="159" t="s">
        <v>3</v>
      </c>
      <c r="GL292" s="158"/>
      <c r="GM292" s="158"/>
      <c r="GN292" s="158"/>
      <c r="GO292" s="158"/>
      <c r="GP292" s="158"/>
      <c r="GR292" s="159" t="s">
        <v>3</v>
      </c>
      <c r="GS292" s="158"/>
      <c r="GT292" s="158"/>
      <c r="GU292" s="158"/>
      <c r="GV292" s="158"/>
      <c r="GW292" s="158"/>
      <c r="GY292" s="159" t="s">
        <v>3</v>
      </c>
      <c r="GZ292" s="158"/>
      <c r="HA292" s="158"/>
      <c r="HB292" s="158"/>
      <c r="HC292" s="158"/>
      <c r="HD292" s="158"/>
      <c r="HF292" s="159" t="s">
        <v>3</v>
      </c>
      <c r="HG292" s="158"/>
      <c r="HH292" s="158"/>
      <c r="HI292" s="158"/>
      <c r="HJ292" s="158"/>
      <c r="HK292" s="158"/>
      <c r="HM292" s="159" t="s">
        <v>3</v>
      </c>
      <c r="HN292" s="158"/>
      <c r="HO292" s="158"/>
      <c r="HP292" s="158"/>
      <c r="HQ292" s="158"/>
      <c r="HR292" s="158"/>
      <c r="HT292" s="159" t="s">
        <v>3</v>
      </c>
      <c r="HU292" s="158"/>
      <c r="HV292" s="158"/>
      <c r="HW292" s="158"/>
      <c r="HX292" s="158"/>
      <c r="HY292" s="158"/>
      <c r="IA292" s="159" t="s">
        <v>3</v>
      </c>
      <c r="IB292" s="158"/>
      <c r="IC292" s="158"/>
      <c r="ID292" s="158"/>
      <c r="IE292" s="158"/>
      <c r="IF292" s="158"/>
      <c r="IH292" s="159" t="s">
        <v>3</v>
      </c>
      <c r="II292" s="158"/>
      <c r="IJ292" s="158"/>
      <c r="IK292" s="158"/>
      <c r="IL292" s="158"/>
      <c r="IM292" s="158"/>
      <c r="IO292" s="159" t="s">
        <v>3</v>
      </c>
      <c r="IP292" s="158"/>
      <c r="IQ292" s="158"/>
      <c r="IR292" s="158"/>
      <c r="IS292" s="158"/>
      <c r="IT292" s="158"/>
      <c r="IV292" s="159" t="s">
        <v>3</v>
      </c>
      <c r="IW292" s="158"/>
      <c r="IX292" s="158"/>
      <c r="IY292" s="158"/>
      <c r="IZ292" s="158"/>
      <c r="JA292" s="158"/>
      <c r="JC292" s="159" t="s">
        <v>3</v>
      </c>
      <c r="JD292" s="158"/>
      <c r="JE292" s="158"/>
      <c r="JF292" s="158"/>
      <c r="JG292" s="158"/>
      <c r="JH292" s="158"/>
      <c r="JJ292" s="159" t="s">
        <v>3</v>
      </c>
      <c r="JK292" s="158"/>
      <c r="JL292" s="158"/>
      <c r="JM292" s="158"/>
      <c r="JN292" s="158"/>
      <c r="JO292" s="158"/>
      <c r="JQ292" s="159" t="s">
        <v>3</v>
      </c>
      <c r="JR292" s="158"/>
      <c r="JS292" s="158"/>
      <c r="JT292" s="158"/>
      <c r="JU292" s="158"/>
      <c r="JV292" s="158"/>
      <c r="JX292" s="159" t="s">
        <v>3</v>
      </c>
      <c r="JY292" s="158"/>
      <c r="JZ292" s="158"/>
      <c r="KA292" s="158"/>
      <c r="KB292" s="158"/>
      <c r="KC292" s="158"/>
      <c r="KE292" s="159" t="s">
        <v>3</v>
      </c>
      <c r="KF292" s="158"/>
      <c r="KG292" s="158"/>
      <c r="KH292" s="158"/>
      <c r="KI292" s="158"/>
      <c r="KJ292" s="158"/>
      <c r="KL292" s="159" t="s">
        <v>3</v>
      </c>
      <c r="KM292" s="158"/>
      <c r="KN292" s="158"/>
      <c r="KO292" s="158"/>
      <c r="KP292" s="158"/>
      <c r="KQ292" s="158"/>
      <c r="KS292" s="159" t="s">
        <v>3</v>
      </c>
      <c r="KT292" s="158"/>
      <c r="KU292" s="158"/>
      <c r="KV292" s="158"/>
      <c r="KW292" s="104"/>
      <c r="KX292" s="158"/>
      <c r="KZ292" s="159" t="s">
        <v>3</v>
      </c>
      <c r="LA292" s="158"/>
      <c r="LB292" s="158"/>
      <c r="LC292" s="104"/>
      <c r="LD292" s="104"/>
      <c r="LE292" s="158"/>
      <c r="LF292" s="555"/>
      <c r="LG292" s="159" t="s">
        <v>3</v>
      </c>
      <c r="LH292" s="104"/>
      <c r="LI292" s="104"/>
      <c r="LJ292" s="104"/>
      <c r="LK292" s="104"/>
      <c r="LL292" s="158"/>
      <c r="LM292" s="555"/>
      <c r="LN292" s="159" t="s">
        <v>3</v>
      </c>
      <c r="LO292" s="104"/>
      <c r="LP292" s="104"/>
      <c r="LQ292" s="104"/>
      <c r="LR292" s="104"/>
      <c r="LS292" s="158"/>
      <c r="LT292" s="555"/>
      <c r="LU292" s="159" t="s">
        <v>3</v>
      </c>
      <c r="LV292" s="104"/>
      <c r="LW292" s="104"/>
      <c r="LX292" s="104"/>
      <c r="LY292" s="104"/>
      <c r="LZ292" s="158"/>
      <c r="MA292" s="555"/>
      <c r="MB292" s="159" t="s">
        <v>3</v>
      </c>
      <c r="MC292" s="104"/>
      <c r="MD292" s="104"/>
      <c r="ME292" s="104"/>
      <c r="MF292" s="104"/>
      <c r="MG292" s="158"/>
      <c r="MH292" s="555"/>
    </row>
    <row r="293" spans="1:346" s="70" customFormat="1" ht="13.15" x14ac:dyDescent="0.4">
      <c r="A293" s="148"/>
      <c r="B293" s="160" t="s">
        <v>297</v>
      </c>
      <c r="C293" s="161"/>
      <c r="D293" s="161"/>
      <c r="E293" s="161"/>
      <c r="F293" s="161"/>
      <c r="G293" s="161"/>
      <c r="H293" s="161"/>
      <c r="I293" s="161"/>
      <c r="J293" s="161"/>
      <c r="K293" s="161"/>
      <c r="L293" s="161"/>
      <c r="M293" s="161"/>
      <c r="N293" s="119">
        <f>BT293</f>
        <v>1.2855209742895779E-2</v>
      </c>
      <c r="O293" s="119">
        <f>CA293</f>
        <v>-9.352037408149716E-3</v>
      </c>
      <c r="P293" s="119">
        <f>CH293</f>
        <v>-8.024275118004065E-2</v>
      </c>
      <c r="Q293" s="119">
        <f>CO293</f>
        <v>-1.6129032258064391E-2</v>
      </c>
      <c r="R293" s="119">
        <f>CV293</f>
        <v>-4.9925484351713734E-2</v>
      </c>
      <c r="S293" s="119">
        <f>DC293</f>
        <v>8.3137254901960667E-2</v>
      </c>
      <c r="T293" s="119">
        <f>DJ293</f>
        <v>-1.6654598117306185E-2</v>
      </c>
      <c r="U293" s="119">
        <f>DQ293</f>
        <v>3.9764359351988077E-2</v>
      </c>
      <c r="V293" s="119">
        <f>DX293</f>
        <v>2.2662889518413776E-2</v>
      </c>
      <c r="W293" s="119">
        <f>EE293</f>
        <v>4.8476454293628901E-3</v>
      </c>
      <c r="X293" s="119">
        <f>EL293</f>
        <v>1.3783597518952639E-2</v>
      </c>
      <c r="Y293" s="119">
        <f>ES293</f>
        <v>7.3419442556084125E-2</v>
      </c>
      <c r="Z293" s="119">
        <f>EZ293</f>
        <v>6.2697910069664298E-2</v>
      </c>
      <c r="AA293" s="119">
        <f>FG293</f>
        <v>-5.8402860548271707E-2</v>
      </c>
      <c r="AB293" s="119">
        <f>FN293</f>
        <v>0</v>
      </c>
      <c r="AC293" s="119">
        <f>FU293</f>
        <v>2.9113924050632844E-2</v>
      </c>
      <c r="AD293" s="119">
        <f>GB293</f>
        <v>5.2890528905289225E-2</v>
      </c>
      <c r="AE293" s="119">
        <f>GI293</f>
        <v>5.5490654205607504E-2</v>
      </c>
      <c r="AF293" s="119">
        <f>GP293</f>
        <v>-4.0398450470393144E-2</v>
      </c>
      <c r="AG293" s="119">
        <f>GW293</f>
        <v>-4.3829296424451991E-2</v>
      </c>
      <c r="AH293" s="119">
        <f>HD293</f>
        <v>-0.1357056694813028</v>
      </c>
      <c r="AI293" s="119">
        <f>HK293</f>
        <v>-4.9546406140963173E-2</v>
      </c>
      <c r="AJ293" s="119">
        <f>HR293</f>
        <v>-9.7650513950073292E-2</v>
      </c>
      <c r="AK293" s="119">
        <f>HY293</f>
        <v>-0.21318144833197739</v>
      </c>
      <c r="AL293" s="119">
        <f>IF293</f>
        <v>-6.7218200620475566E-2</v>
      </c>
      <c r="AM293" s="119">
        <f>IM293</f>
        <v>0.15188470066518844</v>
      </c>
      <c r="AN293" s="119">
        <f>IT293</f>
        <v>-0.12993262752646761</v>
      </c>
      <c r="AO293" s="119">
        <f>JA293</f>
        <v>-0.22676991150442471</v>
      </c>
      <c r="AP293" s="119">
        <f>JH293</f>
        <v>-0.12589413447782549</v>
      </c>
      <c r="AQ293" s="119">
        <f>JO293</f>
        <v>-6.219312602291327E-2</v>
      </c>
      <c r="AR293" s="119">
        <f>JV293</f>
        <v>-1.221640488656206E-2</v>
      </c>
      <c r="AS293" s="119">
        <f>KC293</f>
        <v>-0.25795053003533563</v>
      </c>
      <c r="AT293" s="119">
        <f>KJ293</f>
        <v>0.10952380952380936</v>
      </c>
      <c r="AU293" s="119">
        <f>KQ293</f>
        <v>-1.9313304721029878E-2</v>
      </c>
      <c r="AV293" s="119">
        <f>KX293</f>
        <v>-1.5317286652078876E-2</v>
      </c>
      <c r="AW293" s="119">
        <f>LE293</f>
        <v>-0.13555555555555554</v>
      </c>
      <c r="AX293" s="119">
        <f>LL293</f>
        <v>4.3701799485861059E-2</v>
      </c>
      <c r="AY293" s="119">
        <f>LS293</f>
        <v>2.241995073891645E-2</v>
      </c>
      <c r="AZ293" s="119">
        <f>LZ293</f>
        <v>-2.3677899434477179E-2</v>
      </c>
      <c r="BA293" s="119">
        <f>MG293</f>
        <v>-7.4999999999999512E-3</v>
      </c>
      <c r="BB293" s="119"/>
      <c r="BC293" s="119"/>
      <c r="BD293" s="119"/>
      <c r="BE293" s="119"/>
      <c r="BF293" s="119"/>
      <c r="BG293" s="119"/>
      <c r="BH293" s="119"/>
      <c r="BI293" s="119"/>
      <c r="BJ293" s="119"/>
      <c r="BK293" s="119"/>
      <c r="BL293" s="119"/>
      <c r="BM293" s="119"/>
      <c r="BO293" s="160" t="s">
        <v>297</v>
      </c>
      <c r="BP293" s="161">
        <f>BP285/I285-1</f>
        <v>-0.759920634920635</v>
      </c>
      <c r="BQ293" s="161">
        <f>BQ285/J285-1</f>
        <v>-0.71815519765739388</v>
      </c>
      <c r="BR293" s="161">
        <f>BR285/K285-1</f>
        <v>-0.73647224174279691</v>
      </c>
      <c r="BS293" s="161">
        <f>BS285/L285-1</f>
        <v>-0.75792880258899675</v>
      </c>
      <c r="BT293" s="161">
        <f>BT285/M285-1</f>
        <v>1.2855209742895779E-2</v>
      </c>
      <c r="BV293" s="160" t="s">
        <v>297</v>
      </c>
      <c r="BW293" s="161">
        <f>BW285/BP285-1</f>
        <v>3.8567493112947826E-2</v>
      </c>
      <c r="BX293" s="161">
        <f>BX285/BQ285-1</f>
        <v>-2.0779220779220675E-2</v>
      </c>
      <c r="BY293" s="161">
        <f>BY285/BR285-1</f>
        <v>-3.7333333333333329E-2</v>
      </c>
      <c r="BZ293" s="161">
        <f>BZ285/BS285-1</f>
        <v>-1.6042780748663166E-2</v>
      </c>
      <c r="CA293" s="161">
        <f>CA285/BT285-1</f>
        <v>-9.352037408149716E-3</v>
      </c>
      <c r="CC293" s="160" t="s">
        <v>297</v>
      </c>
      <c r="CD293" s="161">
        <f>CD285/BW285-1</f>
        <v>-0.12732095490716189</v>
      </c>
      <c r="CE293" s="161">
        <f>CE285/BX285-1</f>
        <v>-0.10079575596816992</v>
      </c>
      <c r="CF293" s="161">
        <f>CF285/BY285-1</f>
        <v>-2.7700831024930705E-2</v>
      </c>
      <c r="CG293" s="161">
        <f>CG285/BZ285-1</f>
        <v>-6.2499999999999889E-2</v>
      </c>
      <c r="CH293" s="161">
        <f>CH285/CA285-1</f>
        <v>-8.024275118004065E-2</v>
      </c>
      <c r="CJ293" s="160" t="s">
        <v>297</v>
      </c>
      <c r="CK293" s="161">
        <f>CK285/CD285-1</f>
        <v>-2.1276595744680771E-2</v>
      </c>
      <c r="CL293" s="161">
        <f>CL285/CE285-1</f>
        <v>-3.2448377581120957E-2</v>
      </c>
      <c r="CM293" s="161">
        <f>CM285/CF285-1</f>
        <v>-1.1396011396011319E-2</v>
      </c>
      <c r="CN293" s="161">
        <f>CN285/CG285-1</f>
        <v>0</v>
      </c>
      <c r="CO293" s="161">
        <f>CO285/CH285-1</f>
        <v>-1.6129032258064391E-2</v>
      </c>
      <c r="CQ293" s="160" t="s">
        <v>297</v>
      </c>
      <c r="CR293" s="161">
        <f>CR285/CK285-1</f>
        <v>-3.4161490683229823E-2</v>
      </c>
      <c r="CS293" s="161">
        <f>CS285/CL285-1</f>
        <v>1.5243902439024293E-2</v>
      </c>
      <c r="CT293" s="161">
        <f>CT285/CM285-1</f>
        <v>-7.2046109510086498E-2</v>
      </c>
      <c r="CU293" s="161">
        <f>CU285/CN285-1</f>
        <v>-0.10434782608695659</v>
      </c>
      <c r="CV293" s="161">
        <f>CV285/CO285-1</f>
        <v>-4.9925484351713734E-2</v>
      </c>
      <c r="CX293" s="160" t="s">
        <v>297</v>
      </c>
      <c r="CY293" s="161">
        <f>CY285/CR285-1</f>
        <v>2.5723472668810254E-2</v>
      </c>
      <c r="CZ293" s="161">
        <f>CZ285/CS285-1</f>
        <v>6.3063063063063085E-2</v>
      </c>
      <c r="DA293" s="161">
        <f>DA285/CT285-1</f>
        <v>0.10248447204968936</v>
      </c>
      <c r="DB293" s="161">
        <f>DB285/CU285-1</f>
        <v>0.14239482200647235</v>
      </c>
      <c r="DC293" s="161">
        <f>DC285/CV285-1</f>
        <v>8.3137254901960667E-2</v>
      </c>
      <c r="DE293" s="160" t="s">
        <v>297</v>
      </c>
      <c r="DF293" s="161">
        <f>DF285/CY285-1</f>
        <v>2.1943573667711602E-2</v>
      </c>
      <c r="DG293" s="161">
        <f>DG285/CZ285-1</f>
        <v>-4.8022598870056332E-2</v>
      </c>
      <c r="DH293" s="161">
        <f>DH285/DA285-1</f>
        <v>-1.4084507042253502E-2</v>
      </c>
      <c r="DI293" s="161">
        <f>DI285/DB285-1</f>
        <v>-2.2662889518413554E-2</v>
      </c>
      <c r="DJ293" s="161">
        <f>DJ285/DC285-1</f>
        <v>-1.6654598117306185E-2</v>
      </c>
      <c r="DL293" s="160" t="s">
        <v>297</v>
      </c>
      <c r="DM293" s="161">
        <f>DM285/DF285-1</f>
        <v>-6.1349693251532278E-3</v>
      </c>
      <c r="DN293" s="161">
        <f>DN285/DG285-1</f>
        <v>6.2314540059347001E-2</v>
      </c>
      <c r="DO293" s="161">
        <f>DO285/DH285-1</f>
        <v>3.1428571428571361E-2</v>
      </c>
      <c r="DP293" s="161">
        <f>DP285/DI285-1</f>
        <v>6.956521739130439E-2</v>
      </c>
      <c r="DQ293" s="161">
        <f>DQ285/DJ285-1</f>
        <v>3.9764359351988077E-2</v>
      </c>
      <c r="DS293" s="160" t="s">
        <v>297</v>
      </c>
      <c r="DT293" s="161">
        <f>DT285/DM285-1</f>
        <v>9.5679012345678771E-2</v>
      </c>
      <c r="DU293" s="161">
        <f>DU285/DN285-1</f>
        <v>-1.6759776536312665E-2</v>
      </c>
      <c r="DV293" s="161">
        <f>DV285/DO285-1</f>
        <v>1.1080332409972193E-2</v>
      </c>
      <c r="DW293" s="161">
        <f>DW285/DP285-1</f>
        <v>8.1300813008131634E-3</v>
      </c>
      <c r="DX293" s="161">
        <f>DX285/DQ285-1</f>
        <v>2.2662889518413776E-2</v>
      </c>
      <c r="DZ293" s="160" t="s">
        <v>297</v>
      </c>
      <c r="EA293" s="161">
        <f>EA285/DT285-1</f>
        <v>-8.4507042253519904E-3</v>
      </c>
      <c r="EB293" s="161">
        <f>EB285/DU285-1</f>
        <v>2.5568181818181879E-2</v>
      </c>
      <c r="EC293" s="161">
        <f>EC285/DV285-1</f>
        <v>1.3698630136986356E-2</v>
      </c>
      <c r="ED293" s="161">
        <f>ED285/DW285-1</f>
        <v>-1.0752688172043112E-2</v>
      </c>
      <c r="EE293" s="161">
        <f>EE285/DX285-1</f>
        <v>4.8476454293628901E-3</v>
      </c>
      <c r="EG293" s="160" t="s">
        <v>297</v>
      </c>
      <c r="EH293" s="161">
        <f>EH285/EA285-1</f>
        <v>-2.8409090909091717E-3</v>
      </c>
      <c r="EI293" s="161">
        <f>EI285/EB285-1</f>
        <v>-1.6620498614958512E-2</v>
      </c>
      <c r="EJ293" s="161">
        <f>EJ285/EC285-1</f>
        <v>5.1351351351351271E-2</v>
      </c>
      <c r="EK293" s="161">
        <f>EK285/ED285-1</f>
        <v>2.1739130434782705E-2</v>
      </c>
      <c r="EL293" s="161">
        <f>EL285/EE285-1</f>
        <v>1.3783597518952639E-2</v>
      </c>
      <c r="EN293" s="160" t="s">
        <v>297</v>
      </c>
      <c r="EO293" s="161">
        <f>EO285/EH285-1</f>
        <v>1.139601139601143E-2</v>
      </c>
      <c r="EP293" s="161">
        <f>EP285/EI285-1</f>
        <v>0.11830985915492964</v>
      </c>
      <c r="EQ293" s="161">
        <f>EQ285/EJ285-1</f>
        <v>8.4832904884318827E-2</v>
      </c>
      <c r="ER293" s="161">
        <f>ER285/EK285-1</f>
        <v>7.7127659574468099E-2</v>
      </c>
      <c r="ES293" s="161">
        <f>ES285/EL285-1</f>
        <v>7.3419442556084125E-2</v>
      </c>
      <c r="EU293" s="160" t="s">
        <v>297</v>
      </c>
      <c r="EV293" s="161">
        <f>EV285/EO285-1</f>
        <v>0.18028169014084505</v>
      </c>
      <c r="EW293" s="161">
        <f>EW285/EP285-1</f>
        <v>5.0377833753148415E-2</v>
      </c>
      <c r="EX293" s="161">
        <f>EX285/EQ285-1</f>
        <v>-1.8957345971564066E-2</v>
      </c>
      <c r="EY293" s="161">
        <f>EY285/ER285-1</f>
        <v>5.679012345679002E-2</v>
      </c>
      <c r="EZ293" s="161">
        <f>EZ285/ES285-1</f>
        <v>6.2697910069664298E-2</v>
      </c>
      <c r="FB293" s="160" t="s">
        <v>297</v>
      </c>
      <c r="FC293" s="161">
        <f>FC285/EV285-1</f>
        <v>-9.0692124105011818E-2</v>
      </c>
      <c r="FD293" s="161">
        <f>FD285/EW285-1</f>
        <v>-6.2350119904076573E-2</v>
      </c>
      <c r="FE293" s="161">
        <f>FE285/EX285-1</f>
        <v>-2.657004830917864E-2</v>
      </c>
      <c r="FF293" s="161">
        <f>FF285/EY285-1</f>
        <v>-5.3738317757009324E-2</v>
      </c>
      <c r="FG293" s="161">
        <f>FG285/EZ285-1</f>
        <v>-5.8402860548271707E-2</v>
      </c>
      <c r="FI293" s="160" t="s">
        <v>297</v>
      </c>
      <c r="FJ293" s="161">
        <f>FJ285/FC285-1</f>
        <v>-2.09973753280841E-2</v>
      </c>
      <c r="FK293" s="161">
        <f>FK285/FD285-1</f>
        <v>3.8363171355498826E-2</v>
      </c>
      <c r="FL293" s="161">
        <f>FL285/FE285-1</f>
        <v>-1.7369727047146455E-2</v>
      </c>
      <c r="FM293" s="161">
        <f>FM285/FF285-1</f>
        <v>0</v>
      </c>
      <c r="FN293" s="161">
        <f>FN285/FG285-1</f>
        <v>0</v>
      </c>
      <c r="FP293" s="160" t="s">
        <v>297</v>
      </c>
      <c r="FQ293" s="161">
        <f>FQ285/FJ285-1</f>
        <v>5.6300268096514783E-2</v>
      </c>
      <c r="FR293" s="161">
        <f>FR285/FK285-1</f>
        <v>-2.4630541871921152E-2</v>
      </c>
      <c r="FS293" s="161">
        <f>FS285/FL285-1</f>
        <v>7.575757575757569E-3</v>
      </c>
      <c r="FT293" s="161">
        <f>FT285/FM285-1</f>
        <v>7.9012345679012386E-2</v>
      </c>
      <c r="FU293" s="161">
        <f>FU285/FN285-1</f>
        <v>2.9113924050632844E-2</v>
      </c>
      <c r="FW293" s="160" t="s">
        <v>297</v>
      </c>
      <c r="FX293" s="161">
        <f>FX285/FQ285-1</f>
        <v>7.8680203045685237E-2</v>
      </c>
      <c r="FY293" s="161">
        <f>FY285/FR285-1</f>
        <v>9.090909090909105E-2</v>
      </c>
      <c r="FZ293" s="161">
        <f>FZ285/FS285-1</f>
        <v>5.7644110275689275E-2</v>
      </c>
      <c r="GA293" s="161">
        <f>GA285/FT285-1</f>
        <v>-9.1533180778031742E-3</v>
      </c>
      <c r="GB293" s="161">
        <f>GB285/FU285-1</f>
        <v>5.2890528905289225E-2</v>
      </c>
      <c r="GD293" s="160" t="s">
        <v>297</v>
      </c>
      <c r="GE293" s="161">
        <f>GE285/FX285-1</f>
        <v>7.0588235294117618E-2</v>
      </c>
      <c r="GF293" s="161">
        <f>GF285/FY285-1</f>
        <v>5.32407407407407E-2</v>
      </c>
      <c r="GG293" s="161">
        <f>GG285/FZ285-1</f>
        <v>7.3459715639810241E-2</v>
      </c>
      <c r="GH293" s="161">
        <f>GH285/GA285-1</f>
        <v>2.5404157043879882E-2</v>
      </c>
      <c r="GI293" s="161">
        <f>GI285/GB285-1</f>
        <v>5.5490654205607504E-2</v>
      </c>
      <c r="GK293" s="160" t="s">
        <v>297</v>
      </c>
      <c r="GL293" s="161">
        <f>GL285/GE285-1</f>
        <v>-4.8351648351648402E-2</v>
      </c>
      <c r="GM293" s="161">
        <f>GM285/GF285-1</f>
        <v>-3.5164835164835151E-2</v>
      </c>
      <c r="GN293" s="161">
        <f>GN285/GG285-1</f>
        <v>-3.7527593818984406E-2</v>
      </c>
      <c r="GO293" s="161">
        <f>GO285/GH285-1</f>
        <v>-4.054054054054046E-2</v>
      </c>
      <c r="GP293" s="161">
        <f>GP285/GI285-1</f>
        <v>-4.0398450470393144E-2</v>
      </c>
      <c r="GR293" s="160" t="s">
        <v>297</v>
      </c>
      <c r="GS293" s="161">
        <f>GS285/GL285-1</f>
        <v>-6.2355658198614217E-2</v>
      </c>
      <c r="GT293" s="161">
        <f>GT285/GM285-1</f>
        <v>-6.3781321184510187E-2</v>
      </c>
      <c r="GU293" s="161">
        <f>GU285/GN285-1</f>
        <v>-4.587155963302747E-2</v>
      </c>
      <c r="GV293" s="161">
        <f>GV285/GO285-1</f>
        <v>-2.3474178403756207E-3</v>
      </c>
      <c r="GW293" s="161">
        <f>GW285/GP285-1</f>
        <v>-4.3829296424451991E-2</v>
      </c>
      <c r="GY293" s="160" t="s">
        <v>297</v>
      </c>
      <c r="GZ293" s="161">
        <f>GZ285/GS285-1</f>
        <v>-2.2167487684728981E-2</v>
      </c>
      <c r="HA293" s="161">
        <f>HA285/GT285-1</f>
        <v>-0.13381995133819946</v>
      </c>
      <c r="HB293" s="161">
        <f>HB285/GU285-1</f>
        <v>-0.15144230769230782</v>
      </c>
      <c r="HC293" s="161">
        <f>HC285/GV285-1</f>
        <v>-0.23058823529411754</v>
      </c>
      <c r="HD293" s="161">
        <f>HD285/GW285-1</f>
        <v>-0.1357056694813028</v>
      </c>
      <c r="HF293" s="160" t="s">
        <v>297</v>
      </c>
      <c r="HG293" s="161">
        <f>HG285/GZ285-1</f>
        <v>-0.18639798488665005</v>
      </c>
      <c r="HH293" s="161">
        <f>HH285/HA285-1</f>
        <v>-3.3707865168539408E-2</v>
      </c>
      <c r="HI293" s="161">
        <f>HI285/HB285-1</f>
        <v>-2.5495750708215303E-2</v>
      </c>
      <c r="HJ293" s="161">
        <f>HJ285/HC285-1</f>
        <v>7.3394495412844041E-2</v>
      </c>
      <c r="HK293" s="161">
        <f>HK285/HD285-1</f>
        <v>-4.9546406140963173E-2</v>
      </c>
      <c r="HM293" s="160" t="s">
        <v>297</v>
      </c>
      <c r="HN293" s="161">
        <f>HN285/HG285-1</f>
        <v>-5.2631578947368252E-2</v>
      </c>
      <c r="HO293" s="161">
        <f>HO285/HH285-1</f>
        <v>-0.10465116279069764</v>
      </c>
      <c r="HP293" s="161">
        <f>HP285/HI285-1</f>
        <v>-6.3953488372092915E-2</v>
      </c>
      <c r="HQ293" s="161">
        <f>HQ285/HJ285-1</f>
        <v>-0.16524216524216528</v>
      </c>
      <c r="HR293" s="161">
        <f>HR285/HK285-1</f>
        <v>-9.7650513950073292E-2</v>
      </c>
      <c r="HT293" s="160" t="s">
        <v>297</v>
      </c>
      <c r="HU293" s="161">
        <f>HU285/HN285-1</f>
        <v>-0.19934640522875824</v>
      </c>
      <c r="HV293" s="161">
        <f>HV285/HO285-1</f>
        <v>-0.27597402597402598</v>
      </c>
      <c r="HW293" s="161">
        <f>HW285/HP285-1</f>
        <v>-0.2142857142857143</v>
      </c>
      <c r="HX293" s="161">
        <f>HX285/HQ285-1</f>
        <v>-0.16040955631399312</v>
      </c>
      <c r="HY293" s="161">
        <f>HY285/HR285-1</f>
        <v>-0.21318144833197739</v>
      </c>
      <c r="IA293" s="160" t="s">
        <v>297</v>
      </c>
      <c r="IB293" s="161">
        <f>IB285/HU285-1</f>
        <v>-0.14693877551020418</v>
      </c>
      <c r="IC293" s="161">
        <f>IC285/HV285-1</f>
        <v>4.9327354260089606E-2</v>
      </c>
      <c r="ID293" s="161">
        <f>ID285/HW285-1</f>
        <v>-6.7193675889328008E-2</v>
      </c>
      <c r="IE293" s="161">
        <f>IE285/HX285-1</f>
        <v>-9.3495934959349603E-2</v>
      </c>
      <c r="IF293" s="161">
        <f>IF285/HY285-1</f>
        <v>-6.7218200620475566E-2</v>
      </c>
      <c r="IH293" s="160" t="s">
        <v>297</v>
      </c>
      <c r="II293" s="161">
        <f>II285/IB285-1</f>
        <v>7.6555023923445153E-2</v>
      </c>
      <c r="IJ293" s="161">
        <f>IJ285/IC285-1</f>
        <v>0.16239316239316248</v>
      </c>
      <c r="IK293" s="161">
        <f>IK285/ID285-1</f>
        <v>0.16101694915254217</v>
      </c>
      <c r="IL293" s="161">
        <f>IL285/IE285-1</f>
        <v>0.20179372197309409</v>
      </c>
      <c r="IM293" s="161">
        <f>IM285/IF285-1</f>
        <v>0.15188470066518844</v>
      </c>
      <c r="IO293" s="160" t="s">
        <v>297</v>
      </c>
      <c r="IP293" s="161">
        <f>IP285/II285-1</f>
        <v>1.777777777777767E-2</v>
      </c>
      <c r="IQ293" s="161">
        <f>IQ285/IJ285-1</f>
        <v>-6.9852941176470562E-2</v>
      </c>
      <c r="IR293" s="161">
        <f>IR285/IK285-1</f>
        <v>-0.14963503649635035</v>
      </c>
      <c r="IS293" s="161">
        <f>IS285/IL285-1</f>
        <v>-0.29477611940298509</v>
      </c>
      <c r="IT293" s="161">
        <f>IT285/IM285-1</f>
        <v>-0.12993262752646761</v>
      </c>
      <c r="IV293" s="160" t="s">
        <v>297</v>
      </c>
      <c r="IW293" s="161">
        <f>IW285/IP285-1</f>
        <v>-0.2620087336244542</v>
      </c>
      <c r="IX293" s="161">
        <f>IX285/IQ285-1</f>
        <v>-0.375494071146245</v>
      </c>
      <c r="IY293" s="161">
        <f>IY285/IR285-1</f>
        <v>-0.21888412017167391</v>
      </c>
      <c r="IZ293" s="161">
        <f>IZ285/IS285-1</f>
        <v>5.2910052910053462E-3</v>
      </c>
      <c r="JA293" s="161">
        <f>JA285/IT285-1</f>
        <v>-0.22676991150442471</v>
      </c>
      <c r="JC293" s="160" t="s">
        <v>297</v>
      </c>
      <c r="JD293" s="161">
        <f>JD285/IW285-1</f>
        <v>-0.14201183431952658</v>
      </c>
      <c r="JE293" s="161">
        <f>JE285/IX285-1</f>
        <v>-2.5316455696202556E-2</v>
      </c>
      <c r="JF293" s="161">
        <f>JF285/IY285-1</f>
        <v>-0.11538461538461531</v>
      </c>
      <c r="JG293" s="161">
        <f>JG285/IZ285-1</f>
        <v>-0.20526315789473681</v>
      </c>
      <c r="JH293" s="161">
        <f>JH285/JA285-1</f>
        <v>-0.12589413447782549</v>
      </c>
      <c r="JJ293" s="160" t="s">
        <v>297</v>
      </c>
      <c r="JK293" s="161">
        <f>JK285/JD285-1</f>
        <v>-0.15172413793103445</v>
      </c>
      <c r="JL293" s="161">
        <f>JL285/JE285-1</f>
        <v>-0.11038961038961048</v>
      </c>
      <c r="JM293" s="161">
        <f>JM285/JF285-1</f>
        <v>-1.8633540372670843E-2</v>
      </c>
      <c r="JN293" s="161">
        <f>JN285/JG285-1</f>
        <v>2.6490066225165476E-2</v>
      </c>
      <c r="JO293" s="161">
        <f>JO285/JH285-1</f>
        <v>-6.219312602291327E-2</v>
      </c>
      <c r="JQ293" s="160" t="s">
        <v>297</v>
      </c>
      <c r="JR293" s="161">
        <f>JR285/JK285-1</f>
        <v>7.3170731707316916E-2</v>
      </c>
      <c r="JS293" s="161">
        <f>JS285/JL285-1</f>
        <v>8.0291970802919721E-2</v>
      </c>
      <c r="JT293" s="161">
        <f>JT285/JM285-1</f>
        <v>-3.1645569620253111E-2</v>
      </c>
      <c r="JU293" s="161">
        <f>JU285/JN285-1</f>
        <v>-0.14193548387096766</v>
      </c>
      <c r="JV293" s="161">
        <f>JV285/JO285-1</f>
        <v>-1.221640488656206E-2</v>
      </c>
      <c r="JX293" s="160" t="s">
        <v>297</v>
      </c>
      <c r="JY293" s="161">
        <f>JY285/JR285-1</f>
        <v>-0.15909090909090906</v>
      </c>
      <c r="JZ293" s="161">
        <f>JZ285/JS285-1</f>
        <v>-0.44594594594594605</v>
      </c>
      <c r="KA293" s="161">
        <f>KA285/JT285-1</f>
        <v>-0.32679738562091498</v>
      </c>
      <c r="KB293" s="161">
        <f>KB285/JU285-1</f>
        <v>-6.7669172932330879E-2</v>
      </c>
      <c r="KC293" s="161">
        <f>KC285/JV285-1</f>
        <v>-0.25795053003533563</v>
      </c>
      <c r="KE293" s="160" t="s">
        <v>297</v>
      </c>
      <c r="KF293" s="161">
        <f>KF285/JY285-1</f>
        <v>1.8018018018018056E-2</v>
      </c>
      <c r="KG293" s="161">
        <f>KG285/JZ285-1</f>
        <v>0.40243902439024404</v>
      </c>
      <c r="KH293" s="161">
        <f>KH285/KA285-1</f>
        <v>0.22330097087378631</v>
      </c>
      <c r="KI293" s="161">
        <f>KI285/KB285-1</f>
        <v>-9.6774193548387233E-2</v>
      </c>
      <c r="KJ293" s="161">
        <f>KJ285/KC285-1</f>
        <v>0.10952380952380936</v>
      </c>
      <c r="KL293" s="160" t="s">
        <v>297</v>
      </c>
      <c r="KM293" s="161">
        <f>KM285/KF285-1</f>
        <v>-0.13274336283185839</v>
      </c>
      <c r="KN293" s="161">
        <f>KN285/KG285-1</f>
        <v>8.6956521739129933E-3</v>
      </c>
      <c r="KO293" s="161">
        <f>KO285/KH285-1</f>
        <v>-6.3492063492063378E-2</v>
      </c>
      <c r="KP293" s="161">
        <f>KP285/KI285-1</f>
        <v>0.1160714285714286</v>
      </c>
      <c r="KQ293" s="161">
        <f>KQ285/KJ285-1</f>
        <v>-1.9313304721029878E-2</v>
      </c>
      <c r="KS293" s="160" t="s">
        <v>297</v>
      </c>
      <c r="KT293" s="161">
        <f>KT285/KM285-1</f>
        <v>0.1734693877551019</v>
      </c>
      <c r="KU293" s="161">
        <f>KU285/KN285-1</f>
        <v>-5.1724137931034475E-2</v>
      </c>
      <c r="KV293" s="161">
        <f>KV285/KO285-1</f>
        <v>-1.6949152542372947E-2</v>
      </c>
      <c r="KW293" s="161">
        <f>KW285/KP285-1</f>
        <v>-0.128</v>
      </c>
      <c r="KX293" s="161">
        <f>KX285/KQ285-1</f>
        <v>-1.5317286652078876E-2</v>
      </c>
      <c r="KZ293" s="160" t="s">
        <v>297</v>
      </c>
      <c r="LA293" s="161">
        <f>LA285/KT285-1</f>
        <v>-0.16521739130434787</v>
      </c>
      <c r="LB293" s="161">
        <f>LB285/KU285-1</f>
        <v>-0.13636363636363635</v>
      </c>
      <c r="LC293" s="161">
        <f>LC285/KV285-1</f>
        <v>-0.12068965517241381</v>
      </c>
      <c r="LD293" s="161">
        <f>LD285/KW285-1</f>
        <v>-0.11926605504587162</v>
      </c>
      <c r="LE293" s="161">
        <f>LE285/KX285-1</f>
        <v>-0.13555555555555554</v>
      </c>
      <c r="LF293" s="557"/>
      <c r="LG293" s="160" t="s">
        <v>297</v>
      </c>
      <c r="LH293" s="161">
        <f t="shared" ref="LH293:LK293" si="6946">LH285/LA285-1</f>
        <v>-4.1666666666666741E-2</v>
      </c>
      <c r="LI293" s="161">
        <f t="shared" si="6946"/>
        <v>7.3684210526315796E-2</v>
      </c>
      <c r="LJ293" s="161">
        <f>LJ285/LC285-1</f>
        <v>7.8431372549019773E-2</v>
      </c>
      <c r="LK293" s="161">
        <f t="shared" si="6946"/>
        <v>6.25E-2</v>
      </c>
      <c r="LL293" s="161">
        <f>LL285/LE285-1</f>
        <v>4.3701799485861059E-2</v>
      </c>
      <c r="LM293" s="557"/>
      <c r="LN293" s="160" t="s">
        <v>297</v>
      </c>
      <c r="LO293" s="161">
        <f t="shared" ref="LO293" si="6947">LO285/LH285-1</f>
        <v>8.5978260869565171E-2</v>
      </c>
      <c r="LP293" s="161">
        <f t="shared" ref="LP293" si="6948">LP285/LI285-1</f>
        <v>1.4999999999999902E-2</v>
      </c>
      <c r="LQ293" s="161">
        <f>LQ285/LJ285-1</f>
        <v>-2.6249999999999996E-2</v>
      </c>
      <c r="LR293" s="161">
        <f t="shared" ref="LR293" si="6949">LR285/LK285-1</f>
        <v>2.4999999999999911E-2</v>
      </c>
      <c r="LS293" s="161">
        <f>LS285/LL285-1</f>
        <v>2.241995073891645E-2</v>
      </c>
      <c r="LT293" s="557"/>
      <c r="LU293" s="160" t="s">
        <v>297</v>
      </c>
      <c r="LV293" s="161">
        <f t="shared" ref="LV293" si="6950">LV285/LO285-1</f>
        <v>-2.4899999999999811E-2</v>
      </c>
      <c r="LW293" s="161">
        <f t="shared" ref="LW293" si="6951">LW285/LP285-1</f>
        <v>-2.0000000000000018E-2</v>
      </c>
      <c r="LX293" s="161">
        <f t="shared" ref="LX293" si="6952">LX285/LQ285-1</f>
        <v>-2.4900000000000144E-2</v>
      </c>
      <c r="LY293" s="161">
        <f t="shared" ref="LY293" si="6953">LY285/LR285-1</f>
        <v>-2.4899999999999922E-2</v>
      </c>
      <c r="LZ293" s="161">
        <f>LZ285/LS285-1</f>
        <v>-2.3677899434477179E-2</v>
      </c>
      <c r="MA293" s="557"/>
      <c r="MB293" s="160" t="s">
        <v>297</v>
      </c>
      <c r="MC293" s="161">
        <f t="shared" ref="MC293" si="6954">MC285/LV285-1</f>
        <v>-7.4999999999999512E-3</v>
      </c>
      <c r="MD293" s="161">
        <f t="shared" ref="MD293" si="6955">MD285/LW285-1</f>
        <v>-7.4999999999998401E-3</v>
      </c>
      <c r="ME293" s="161">
        <f t="shared" ref="ME293" si="6956">ME285/LX285-1</f>
        <v>-7.4999999999999512E-3</v>
      </c>
      <c r="MF293" s="161">
        <f t="shared" ref="MF293" si="6957">MF285/LY285-1</f>
        <v>-7.5000000000000622E-3</v>
      </c>
      <c r="MG293" s="161">
        <f>MG285/LZ285-1</f>
        <v>-7.4999999999999512E-3</v>
      </c>
      <c r="MH293" s="557"/>
    </row>
    <row r="294" spans="1:346" s="70" customFormat="1" ht="13.15" x14ac:dyDescent="0.4">
      <c r="A294" s="148"/>
      <c r="B294" s="160" t="s">
        <v>298</v>
      </c>
      <c r="C294" s="161"/>
      <c r="D294" s="161"/>
      <c r="E294" s="161"/>
      <c r="F294" s="161"/>
      <c r="G294" s="161"/>
      <c r="H294" s="161"/>
      <c r="I294" s="161"/>
      <c r="J294" s="161"/>
      <c r="K294" s="161"/>
      <c r="L294" s="161"/>
      <c r="M294" s="161"/>
      <c r="N294" s="119">
        <f>BT294</f>
        <v>5.6603773584905648E-2</v>
      </c>
      <c r="O294" s="119">
        <f>CA294</f>
        <v>3.5714285714285809E-2</v>
      </c>
      <c r="P294" s="119">
        <f>CH294</f>
        <v>2.4137931034482696E-2</v>
      </c>
      <c r="Q294" s="119">
        <f>CO294</f>
        <v>-6.7340067340067256E-2</v>
      </c>
      <c r="R294" s="119">
        <f>CV294</f>
        <v>-0.39711191335740081</v>
      </c>
      <c r="S294" s="119">
        <f>DC294</f>
        <v>-5.3892215568862145E-2</v>
      </c>
      <c r="T294" s="119">
        <f>DJ294</f>
        <v>0.43670886075949356</v>
      </c>
      <c r="U294" s="119">
        <f>DQ294</f>
        <v>-1.3215859030836996E-2</v>
      </c>
      <c r="V294" s="119">
        <f>DX294</f>
        <v>-5.3571428571428492E-2</v>
      </c>
      <c r="W294" s="119">
        <f>EE294</f>
        <v>-0.24056603773584917</v>
      </c>
      <c r="X294" s="119">
        <f>EL294</f>
        <v>-0.32919254658385078</v>
      </c>
      <c r="Y294" s="119">
        <f>ES294</f>
        <v>0.18518518518518512</v>
      </c>
      <c r="Z294" s="119">
        <f>EZ294</f>
        <v>-7.812500000000111E-3</v>
      </c>
      <c r="AA294" s="119">
        <f>FG294</f>
        <v>-0.26771653543307072</v>
      </c>
      <c r="AB294" s="119">
        <f>FN294</f>
        <v>-6.4516129032258229E-2</v>
      </c>
      <c r="AC294" s="119">
        <f>FU294</f>
        <v>0.56321839080459801</v>
      </c>
      <c r="AD294" s="119">
        <f>GB294</f>
        <v>-8.8235294117647078E-2</v>
      </c>
      <c r="AE294" s="119">
        <f>GI294</f>
        <v>7.2580645161290258E-2</v>
      </c>
      <c r="AF294" s="119">
        <f>GP294</f>
        <v>0.49624060150375948</v>
      </c>
      <c r="AG294" s="119">
        <f>GW294</f>
        <v>0.50753768844221092</v>
      </c>
      <c r="AH294" s="119">
        <f>HD294</f>
        <v>-0.25</v>
      </c>
      <c r="AI294" s="119">
        <f>HK294</f>
        <v>0.34222222222222221</v>
      </c>
      <c r="AJ294" s="119">
        <f>HR294</f>
        <v>0.3344370860927155</v>
      </c>
      <c r="AK294" s="119">
        <f>HY294</f>
        <v>0.18610421836228297</v>
      </c>
      <c r="AL294" s="119">
        <f>IF294</f>
        <v>-7.9497907949790836E-2</v>
      </c>
      <c r="AM294" s="119">
        <f>IM294</f>
        <v>-0.11363636363636365</v>
      </c>
      <c r="AN294" s="119">
        <f>IT294</f>
        <v>-0.21025641025641018</v>
      </c>
      <c r="AO294" s="119">
        <f>JA294</f>
        <v>-0.16558441558441561</v>
      </c>
      <c r="AP294" s="119">
        <f>JH294</f>
        <v>0.40856031128404657</v>
      </c>
      <c r="AQ294" s="119">
        <f>JO294</f>
        <v>0.19060773480662974</v>
      </c>
      <c r="AR294" s="119">
        <f>JV294</f>
        <v>-0.11368909512761016</v>
      </c>
      <c r="AS294" s="119">
        <f>KC294</f>
        <v>-0.22774869109947649</v>
      </c>
      <c r="AT294" s="119">
        <f>KJ294</f>
        <v>9.8305084745762716E-2</v>
      </c>
      <c r="AU294" s="119">
        <f>KQ294</f>
        <v>0</v>
      </c>
      <c r="AV294" s="119">
        <f>KX294</f>
        <v>0.23456790123456805</v>
      </c>
      <c r="AW294" s="119">
        <f>LE294</f>
        <v>9.4999999999999973E-2</v>
      </c>
      <c r="AX294" s="119">
        <f>LL294</f>
        <v>-7.762557077625587E-2</v>
      </c>
      <c r="AY294" s="119">
        <f>LS294</f>
        <v>2.7481435643564645E-2</v>
      </c>
      <c r="AZ294" s="119">
        <f>LZ294</f>
        <v>1.6171982221258485E-2</v>
      </c>
      <c r="BA294" s="119">
        <f>MG294</f>
        <v>-7.4999999999998401E-3</v>
      </c>
      <c r="BB294" s="119"/>
      <c r="BC294" s="119"/>
      <c r="BD294" s="119"/>
      <c r="BE294" s="119"/>
      <c r="BF294" s="119"/>
      <c r="BG294" s="119"/>
      <c r="BH294" s="119"/>
      <c r="BI294" s="119"/>
      <c r="BJ294" s="119"/>
      <c r="BK294" s="119"/>
      <c r="BL294" s="119"/>
      <c r="BM294" s="119"/>
      <c r="BO294" s="160" t="s">
        <v>298</v>
      </c>
      <c r="BP294" s="161">
        <f t="shared" ref="BP294:BT295" si="6958">BP288/I288-1</f>
        <v>-0.62385321100917435</v>
      </c>
      <c r="BQ294" s="161">
        <f t="shared" si="6958"/>
        <v>-0.72399999999999998</v>
      </c>
      <c r="BR294" s="161">
        <f t="shared" si="6958"/>
        <v>-0.75</v>
      </c>
      <c r="BS294" s="161">
        <f t="shared" si="6958"/>
        <v>-0.72340425531914887</v>
      </c>
      <c r="BT294" s="161">
        <f t="shared" si="6958"/>
        <v>5.6603773584905648E-2</v>
      </c>
      <c r="BV294" s="160" t="s">
        <v>298</v>
      </c>
      <c r="BW294" s="161">
        <f t="shared" ref="BW294:CA295" si="6959">BW288/BP288-1</f>
        <v>-8.536585365853655E-2</v>
      </c>
      <c r="BX294" s="161">
        <f t="shared" si="6959"/>
        <v>-1.449275362318847E-2</v>
      </c>
      <c r="BY294" s="161">
        <f t="shared" si="6959"/>
        <v>0.203125</v>
      </c>
      <c r="BZ294" s="161">
        <f t="shared" si="6959"/>
        <v>7.6923076923076872E-2</v>
      </c>
      <c r="CA294" s="161">
        <f t="shared" si="6959"/>
        <v>3.5714285714285809E-2</v>
      </c>
      <c r="CC294" s="160" t="s">
        <v>298</v>
      </c>
      <c r="CD294" s="161">
        <f t="shared" ref="CD294:CH295" si="6960">CD288/BW288-1</f>
        <v>4.0000000000000036E-2</v>
      </c>
      <c r="CE294" s="161">
        <f t="shared" si="6960"/>
        <v>-4.4117647058823484E-2</v>
      </c>
      <c r="CF294" s="161">
        <f t="shared" si="6960"/>
        <v>0</v>
      </c>
      <c r="CG294" s="161">
        <f t="shared" si="6960"/>
        <v>0.10000000000000009</v>
      </c>
      <c r="CH294" s="161">
        <f t="shared" si="6960"/>
        <v>2.4137931034482696E-2</v>
      </c>
      <c r="CJ294" s="160" t="s">
        <v>298</v>
      </c>
      <c r="CK294" s="161">
        <f t="shared" ref="CK294:CO295" si="6961">CK288/CD288-1</f>
        <v>8.9743589743589869E-2</v>
      </c>
      <c r="CL294" s="161">
        <f t="shared" si="6961"/>
        <v>4.6153846153846212E-2</v>
      </c>
      <c r="CM294" s="161">
        <f t="shared" si="6961"/>
        <v>-0.23376623376623373</v>
      </c>
      <c r="CN294" s="161">
        <f t="shared" si="6961"/>
        <v>-0.1558441558441559</v>
      </c>
      <c r="CO294" s="161">
        <f t="shared" si="6961"/>
        <v>-6.7340067340067256E-2</v>
      </c>
      <c r="CQ294" s="160" t="s">
        <v>298</v>
      </c>
      <c r="CR294" s="161">
        <f t="shared" ref="CR294:CV295" si="6962">CR288/CK288-1</f>
        <v>-0.3647058823529411</v>
      </c>
      <c r="CS294" s="161">
        <f t="shared" si="6962"/>
        <v>-0.3529411764705882</v>
      </c>
      <c r="CT294" s="161">
        <f t="shared" si="6962"/>
        <v>-0.3728813559322034</v>
      </c>
      <c r="CU294" s="161">
        <f t="shared" si="6962"/>
        <v>-0.50769230769230766</v>
      </c>
      <c r="CV294" s="161">
        <f t="shared" si="6962"/>
        <v>-0.39711191335740081</v>
      </c>
      <c r="CX294" s="160" t="s">
        <v>298</v>
      </c>
      <c r="CY294" s="161">
        <f t="shared" ref="CY294:DC295" si="6963">CY288/CR288-1</f>
        <v>-0.22222222222222221</v>
      </c>
      <c r="CZ294" s="161">
        <f t="shared" si="6963"/>
        <v>-0.27272727272727271</v>
      </c>
      <c r="DA294" s="161">
        <f t="shared" si="6963"/>
        <v>8.1081081081080919E-2</v>
      </c>
      <c r="DB294" s="161">
        <f t="shared" si="6963"/>
        <v>0.375</v>
      </c>
      <c r="DC294" s="161">
        <f t="shared" si="6963"/>
        <v>-5.3892215568862145E-2</v>
      </c>
      <c r="DE294" s="160" t="s">
        <v>298</v>
      </c>
      <c r="DF294" s="161">
        <f t="shared" ref="DF294:DJ295" si="6964">DF288/CY288-1</f>
        <v>0.38095238095238093</v>
      </c>
      <c r="DG294" s="161">
        <f t="shared" si="6964"/>
        <v>0.84375</v>
      </c>
      <c r="DH294" s="161">
        <f t="shared" si="6964"/>
        <v>0.30000000000000004</v>
      </c>
      <c r="DI294" s="161">
        <f t="shared" si="6964"/>
        <v>0.31818181818181812</v>
      </c>
      <c r="DJ294" s="161">
        <f t="shared" si="6964"/>
        <v>0.43670886075949356</v>
      </c>
      <c r="DL294" s="160" t="s">
        <v>298</v>
      </c>
      <c r="DM294" s="161">
        <f t="shared" ref="DM294:DQ295" si="6965">DM288/DF288-1</f>
        <v>0</v>
      </c>
      <c r="DN294" s="161">
        <f t="shared" si="6965"/>
        <v>1.6949152542372836E-2</v>
      </c>
      <c r="DO294" s="161">
        <f t="shared" si="6965"/>
        <v>0</v>
      </c>
      <c r="DP294" s="161">
        <f t="shared" si="6965"/>
        <v>-6.8965517241379226E-2</v>
      </c>
      <c r="DQ294" s="161">
        <f t="shared" si="6965"/>
        <v>-1.3215859030836996E-2</v>
      </c>
      <c r="DS294" s="160" t="s">
        <v>298</v>
      </c>
      <c r="DT294" s="161">
        <f t="shared" ref="DT294:DX295" si="6966">DT288/DM288-1</f>
        <v>3.4482758620689724E-2</v>
      </c>
      <c r="DU294" s="161">
        <f t="shared" si="6966"/>
        <v>-9.9999999999999978E-2</v>
      </c>
      <c r="DV294" s="161">
        <f t="shared" si="6966"/>
        <v>-7.6923076923076983E-2</v>
      </c>
      <c r="DW294" s="161">
        <f t="shared" si="6966"/>
        <v>-7.4074074074074181E-2</v>
      </c>
      <c r="DX294" s="161">
        <f t="shared" si="6966"/>
        <v>-5.3571428571428492E-2</v>
      </c>
      <c r="DZ294" s="160" t="s">
        <v>298</v>
      </c>
      <c r="EA294" s="161">
        <f t="shared" ref="EA294:EE295" si="6967">EA288/DT288-1</f>
        <v>-0.25</v>
      </c>
      <c r="EB294" s="161">
        <f t="shared" si="6967"/>
        <v>-0.22222222222222221</v>
      </c>
      <c r="EC294" s="161">
        <f t="shared" si="6967"/>
        <v>-0.27083333333333326</v>
      </c>
      <c r="ED294" s="161">
        <f t="shared" si="6967"/>
        <v>-0.21999999999999997</v>
      </c>
      <c r="EE294" s="161">
        <f t="shared" si="6967"/>
        <v>-0.24056603773584917</v>
      </c>
      <c r="EG294" s="160" t="s">
        <v>298</v>
      </c>
      <c r="EH294" s="161">
        <f t="shared" ref="EH294:EL295" si="6968">EH288/EA288-1</f>
        <v>-0.1333333333333333</v>
      </c>
      <c r="EI294" s="161">
        <f t="shared" si="6968"/>
        <v>-0.54761904761904767</v>
      </c>
      <c r="EJ294" s="161">
        <f t="shared" si="6968"/>
        <v>-0.34285714285714286</v>
      </c>
      <c r="EK294" s="161">
        <f t="shared" si="6968"/>
        <v>-0.3076923076923076</v>
      </c>
      <c r="EL294" s="161">
        <f t="shared" si="6968"/>
        <v>-0.32919254658385078</v>
      </c>
      <c r="EN294" s="160" t="s">
        <v>298</v>
      </c>
      <c r="EO294" s="161">
        <f t="shared" ref="EO294:ES295" si="6969">EO288/EH288-1</f>
        <v>2.5641025641025772E-2</v>
      </c>
      <c r="EP294" s="161">
        <f t="shared" si="6969"/>
        <v>0.42105263157894757</v>
      </c>
      <c r="EQ294" s="161">
        <f t="shared" si="6969"/>
        <v>0.21739130434782616</v>
      </c>
      <c r="ER294" s="161">
        <f t="shared" si="6969"/>
        <v>0.2222222222222221</v>
      </c>
      <c r="ES294" s="161">
        <f t="shared" si="6969"/>
        <v>0.18518518518518512</v>
      </c>
      <c r="EU294" s="160" t="s">
        <v>298</v>
      </c>
      <c r="EV294" s="161">
        <f t="shared" ref="EV294:EZ295" si="6970">EV288/EO288-1</f>
        <v>0</v>
      </c>
      <c r="EW294" s="161">
        <f t="shared" si="6970"/>
        <v>0.18518518518518512</v>
      </c>
      <c r="EX294" s="161">
        <f t="shared" si="6970"/>
        <v>3.5714285714285809E-2</v>
      </c>
      <c r="EY294" s="161">
        <f t="shared" si="6970"/>
        <v>-0.21212121212121204</v>
      </c>
      <c r="EZ294" s="161">
        <f t="shared" si="6970"/>
        <v>-7.812500000000111E-3</v>
      </c>
      <c r="FB294" s="160" t="s">
        <v>298</v>
      </c>
      <c r="FC294" s="161">
        <f t="shared" ref="FC294:FG295" si="6971">FC288/EV288-1</f>
        <v>-0.125</v>
      </c>
      <c r="FD294" s="161">
        <f t="shared" si="6971"/>
        <v>-0.25000000000000011</v>
      </c>
      <c r="FE294" s="161">
        <f t="shared" si="6971"/>
        <v>-0.37931034482758619</v>
      </c>
      <c r="FF294" s="161">
        <f t="shared" si="6971"/>
        <v>-0.38461538461538458</v>
      </c>
      <c r="FG294" s="161">
        <f t="shared" si="6971"/>
        <v>-0.26771653543307072</v>
      </c>
      <c r="FI294" s="160" t="s">
        <v>298</v>
      </c>
      <c r="FJ294" s="161">
        <f t="shared" ref="FJ294:FN295" si="6972">FJ288/FC288-1</f>
        <v>-0.37142857142857133</v>
      </c>
      <c r="FK294" s="161">
        <f t="shared" si="6972"/>
        <v>-0.16666666666666663</v>
      </c>
      <c r="FL294" s="161">
        <f t="shared" si="6972"/>
        <v>0.11111111111111116</v>
      </c>
      <c r="FM294" s="161">
        <f t="shared" si="6972"/>
        <v>0.5625</v>
      </c>
      <c r="FN294" s="161">
        <f t="shared" si="6972"/>
        <v>-6.4516129032258229E-2</v>
      </c>
      <c r="FP294" s="160" t="s">
        <v>298</v>
      </c>
      <c r="FQ294" s="161">
        <f t="shared" ref="FQ294:FU295" si="6973">FQ288/FJ288-1</f>
        <v>0.49999999999999978</v>
      </c>
      <c r="FR294" s="161">
        <f t="shared" si="6973"/>
        <v>1</v>
      </c>
      <c r="FS294" s="161">
        <f t="shared" si="6973"/>
        <v>0.55000000000000004</v>
      </c>
      <c r="FT294" s="161">
        <f t="shared" si="6973"/>
        <v>0.28000000000000003</v>
      </c>
      <c r="FU294" s="161">
        <f t="shared" si="6973"/>
        <v>0.56321839080459801</v>
      </c>
      <c r="FW294" s="160" t="s">
        <v>298</v>
      </c>
      <c r="FX294" s="161">
        <f t="shared" ref="FX294:GB295" si="6974">FX288/FQ288-1</f>
        <v>0.1515151515151516</v>
      </c>
      <c r="FY294" s="161">
        <f t="shared" si="6974"/>
        <v>-0.15000000000000002</v>
      </c>
      <c r="FZ294" s="161">
        <f t="shared" si="6974"/>
        <v>-9.6774193548387233E-2</v>
      </c>
      <c r="GA294" s="161">
        <f t="shared" si="6974"/>
        <v>-0.25000000000000011</v>
      </c>
      <c r="GB294" s="161">
        <f t="shared" si="6974"/>
        <v>-8.8235294117647078E-2</v>
      </c>
      <c r="GD294" s="160" t="s">
        <v>298</v>
      </c>
      <c r="GE294" s="161">
        <f t="shared" ref="GE294:GI295" si="6975">GE288/FX288-1</f>
        <v>-0.1578947368421052</v>
      </c>
      <c r="GF294" s="161">
        <f t="shared" si="6975"/>
        <v>-5.8823529411764608E-2</v>
      </c>
      <c r="GG294" s="161">
        <f t="shared" si="6975"/>
        <v>0.10714285714285721</v>
      </c>
      <c r="GH294" s="161">
        <f t="shared" si="6975"/>
        <v>0.58333333333333326</v>
      </c>
      <c r="GI294" s="161">
        <f t="shared" si="6975"/>
        <v>7.2580645161290258E-2</v>
      </c>
      <c r="GK294" s="160" t="s">
        <v>298</v>
      </c>
      <c r="GL294" s="161">
        <f t="shared" ref="GL294:GP295" si="6976">GL288/GE288-1</f>
        <v>0.46875</v>
      </c>
      <c r="GM294" s="161">
        <f t="shared" si="6976"/>
        <v>0.3125</v>
      </c>
      <c r="GN294" s="161">
        <f t="shared" si="6976"/>
        <v>0.5161290322580645</v>
      </c>
      <c r="GO294" s="161">
        <f t="shared" si="6976"/>
        <v>0.65789473684210531</v>
      </c>
      <c r="GP294" s="161">
        <f t="shared" si="6976"/>
        <v>0.49624060150375948</v>
      </c>
      <c r="GR294" s="160" t="s">
        <v>298</v>
      </c>
      <c r="GS294" s="161">
        <f t="shared" ref="GS294:GW295" si="6977">GS288/GL288-1</f>
        <v>0.61702127659574457</v>
      </c>
      <c r="GT294" s="161">
        <f t="shared" si="6977"/>
        <v>1</v>
      </c>
      <c r="GU294" s="161">
        <f t="shared" si="6977"/>
        <v>0.46808510638297873</v>
      </c>
      <c r="GV294" s="161">
        <f t="shared" si="6977"/>
        <v>0.12698412698412698</v>
      </c>
      <c r="GW294" s="161">
        <f t="shared" si="6977"/>
        <v>0.50753768844221092</v>
      </c>
      <c r="GY294" s="160" t="s">
        <v>298</v>
      </c>
      <c r="GZ294" s="161">
        <f t="shared" ref="GZ294:HD295" si="6978">GZ288/GS288-1</f>
        <v>-0.19736842105263164</v>
      </c>
      <c r="HA294" s="161">
        <f t="shared" si="6978"/>
        <v>-0.4285714285714286</v>
      </c>
      <c r="HB294" s="161">
        <f t="shared" si="6978"/>
        <v>-0.20289855072463769</v>
      </c>
      <c r="HC294" s="161">
        <f t="shared" si="6978"/>
        <v>-0.14084507042253525</v>
      </c>
      <c r="HD294" s="161">
        <f t="shared" si="6978"/>
        <v>-0.25</v>
      </c>
      <c r="HF294" s="160" t="s">
        <v>298</v>
      </c>
      <c r="HG294" s="161">
        <f t="shared" ref="HG294:HK295" si="6979">HG288/GZ288-1</f>
        <v>0.21311475409836089</v>
      </c>
      <c r="HH294" s="161">
        <f t="shared" si="6979"/>
        <v>0.66666666666666674</v>
      </c>
      <c r="HI294" s="161">
        <f t="shared" si="6979"/>
        <v>0.19999999999999996</v>
      </c>
      <c r="HJ294" s="161">
        <f t="shared" si="6979"/>
        <v>0.34426229508196715</v>
      </c>
      <c r="HK294" s="161">
        <f t="shared" si="6979"/>
        <v>0.34222222222222221</v>
      </c>
      <c r="HM294" s="160" t="s">
        <v>298</v>
      </c>
      <c r="HN294" s="161">
        <f t="shared" ref="HN294:HR295" si="6980">HN288/HG288-1</f>
        <v>0.44594594594594583</v>
      </c>
      <c r="HO294" s="161">
        <f t="shared" si="6980"/>
        <v>0.30000000000000004</v>
      </c>
      <c r="HP294" s="161">
        <f t="shared" si="6980"/>
        <v>0.33333333333333348</v>
      </c>
      <c r="HQ294" s="161">
        <f t="shared" si="6980"/>
        <v>0.26829268292682951</v>
      </c>
      <c r="HR294" s="161">
        <f t="shared" si="6980"/>
        <v>0.3344370860927155</v>
      </c>
      <c r="HT294" s="160" t="s">
        <v>298</v>
      </c>
      <c r="HU294" s="161">
        <f t="shared" ref="HU294:HY295" si="6981">HU288/HN288-1</f>
        <v>0.16822429906542058</v>
      </c>
      <c r="HV294" s="161">
        <f t="shared" si="6981"/>
        <v>0.41346153846153832</v>
      </c>
      <c r="HW294" s="161">
        <f t="shared" si="6981"/>
        <v>0.25</v>
      </c>
      <c r="HX294" s="161">
        <f t="shared" si="6981"/>
        <v>-7.6923076923076983E-2</v>
      </c>
      <c r="HY294" s="161">
        <f t="shared" si="6981"/>
        <v>0.18610421836228297</v>
      </c>
      <c r="IA294" s="160" t="s">
        <v>298</v>
      </c>
      <c r="IB294" s="161">
        <f t="shared" ref="IB294:IF295" si="6982">IB288/HU288-1</f>
        <v>-1.5999999999999903E-2</v>
      </c>
      <c r="IC294" s="161">
        <f t="shared" si="6982"/>
        <v>-0.21768707482993188</v>
      </c>
      <c r="ID294" s="161">
        <f t="shared" si="6982"/>
        <v>-9.0909090909090939E-2</v>
      </c>
      <c r="IE294" s="161">
        <f t="shared" si="6982"/>
        <v>6.25E-2</v>
      </c>
      <c r="IF294" s="161">
        <f t="shared" si="6982"/>
        <v>-7.9497907949790836E-2</v>
      </c>
      <c r="IH294" s="160" t="s">
        <v>298</v>
      </c>
      <c r="II294" s="161">
        <f t="shared" ref="II294:IM295" si="6983">II288/IB288-1</f>
        <v>-0.14634146341463417</v>
      </c>
      <c r="IJ294" s="161">
        <f t="shared" si="6983"/>
        <v>-0.10434782608695647</v>
      </c>
      <c r="IK294" s="161">
        <f t="shared" si="6983"/>
        <v>-0.13000000000000012</v>
      </c>
      <c r="IL294" s="161">
        <f t="shared" si="6983"/>
        <v>-6.8627450980392135E-2</v>
      </c>
      <c r="IM294" s="161">
        <f t="shared" si="6983"/>
        <v>-0.11363636363636365</v>
      </c>
      <c r="IO294" s="160" t="s">
        <v>298</v>
      </c>
      <c r="IP294" s="161">
        <f t="shared" ref="IP294:IT295" si="6984">IP288/II288-1</f>
        <v>-6.6666666666666652E-2</v>
      </c>
      <c r="IQ294" s="161">
        <f t="shared" si="6984"/>
        <v>-0.18446601941747576</v>
      </c>
      <c r="IR294" s="161">
        <f t="shared" si="6984"/>
        <v>-0.24137931034482751</v>
      </c>
      <c r="IS294" s="161">
        <f t="shared" si="6984"/>
        <v>-0.36842105263157898</v>
      </c>
      <c r="IT294" s="161">
        <f t="shared" si="6984"/>
        <v>-0.21025641025641018</v>
      </c>
      <c r="IV294" s="160" t="s">
        <v>298</v>
      </c>
      <c r="IW294" s="161">
        <f t="shared" ref="IW294:JA295" si="6985">IW288/IP288-1</f>
        <v>-0.40816326530612246</v>
      </c>
      <c r="IX294" s="161">
        <f t="shared" si="6985"/>
        <v>-0.25</v>
      </c>
      <c r="IY294" s="161">
        <f t="shared" si="6985"/>
        <v>-0.16666666666666663</v>
      </c>
      <c r="IZ294" s="161">
        <f t="shared" si="6985"/>
        <v>0.34999999999999987</v>
      </c>
      <c r="JA294" s="161">
        <f t="shared" si="6985"/>
        <v>-0.16558441558441561</v>
      </c>
      <c r="JC294" s="160" t="s">
        <v>298</v>
      </c>
      <c r="JD294" s="161">
        <f t="shared" ref="JD294:JH295" si="6986">JD288/IW288-1</f>
        <v>0.5</v>
      </c>
      <c r="JE294" s="161">
        <f t="shared" si="6986"/>
        <v>0.3015873015873014</v>
      </c>
      <c r="JF294" s="161">
        <f t="shared" si="6986"/>
        <v>0.60000000000000009</v>
      </c>
      <c r="JG294" s="161">
        <f t="shared" si="6986"/>
        <v>0.29629629629629628</v>
      </c>
      <c r="JH294" s="161">
        <f t="shared" si="6986"/>
        <v>0.40856031128404657</v>
      </c>
      <c r="JJ294" s="160" t="s">
        <v>298</v>
      </c>
      <c r="JK294" s="161">
        <f t="shared" ref="JK294:JO295" si="6987">JK288/JD288-1</f>
        <v>0.21839080459770122</v>
      </c>
      <c r="JL294" s="161">
        <f t="shared" si="6987"/>
        <v>0.39024390243902451</v>
      </c>
      <c r="JM294" s="161">
        <f t="shared" si="6987"/>
        <v>0.21590909090909083</v>
      </c>
      <c r="JN294" s="161">
        <f t="shared" si="6987"/>
        <v>-9.52380952380949E-3</v>
      </c>
      <c r="JO294" s="161">
        <f t="shared" si="6987"/>
        <v>0.19060773480662974</v>
      </c>
      <c r="JQ294" s="160" t="s">
        <v>298</v>
      </c>
      <c r="JR294" s="161">
        <f t="shared" ref="JR294:JV295" si="6988">JR288/JK288-1</f>
        <v>-9.4339622641509413E-3</v>
      </c>
      <c r="JS294" s="161">
        <f t="shared" si="6988"/>
        <v>-7.0175438596491335E-2</v>
      </c>
      <c r="JT294" s="161">
        <f t="shared" si="6988"/>
        <v>-0.17757009345794383</v>
      </c>
      <c r="JU294" s="161">
        <f t="shared" si="6988"/>
        <v>-0.20192307692307687</v>
      </c>
      <c r="JV294" s="161">
        <f t="shared" si="6988"/>
        <v>-0.11368909512761016</v>
      </c>
      <c r="JX294" s="160" t="s">
        <v>298</v>
      </c>
      <c r="JY294" s="161">
        <f t="shared" ref="JY294:KC295" si="6989">JY288/JR288-1</f>
        <v>-0.13333333333333341</v>
      </c>
      <c r="JZ294" s="161">
        <f t="shared" si="6989"/>
        <v>-0.43396226415094341</v>
      </c>
      <c r="KA294" s="161">
        <f t="shared" si="6989"/>
        <v>-0.18181818181818188</v>
      </c>
      <c r="KB294" s="161">
        <f t="shared" si="6989"/>
        <v>-0.1325301204819278</v>
      </c>
      <c r="KC294" s="161">
        <f t="shared" si="6989"/>
        <v>-0.22774869109947649</v>
      </c>
      <c r="KE294" s="160" t="s">
        <v>298</v>
      </c>
      <c r="KF294" s="161">
        <f t="shared" ref="KF294:KJ295" si="6990">KF288/JY288-1</f>
        <v>-0.13186813186813184</v>
      </c>
      <c r="KG294" s="161">
        <f t="shared" si="6990"/>
        <v>0.5</v>
      </c>
      <c r="KH294" s="161">
        <f t="shared" si="6990"/>
        <v>6.944444444444442E-2</v>
      </c>
      <c r="KI294" s="161">
        <f t="shared" si="6990"/>
        <v>8.3333333333333259E-2</v>
      </c>
      <c r="KJ294" s="161">
        <f t="shared" si="6990"/>
        <v>9.8305084745762716E-2</v>
      </c>
      <c r="KL294" s="160" t="s">
        <v>298</v>
      </c>
      <c r="KM294" s="161">
        <f t="shared" ref="KM294:KQ295" si="6991">KM288/KF288-1</f>
        <v>-5.0632911392405111E-2</v>
      </c>
      <c r="KN294" s="161">
        <f t="shared" si="6991"/>
        <v>-6.6666666666666652E-2</v>
      </c>
      <c r="KO294" s="161">
        <f t="shared" si="6991"/>
        <v>3.8961038961038863E-2</v>
      </c>
      <c r="KP294" s="161">
        <f t="shared" si="6991"/>
        <v>8.9743589743589869E-2</v>
      </c>
      <c r="KQ294" s="161">
        <f t="shared" si="6991"/>
        <v>0</v>
      </c>
      <c r="KS294" s="160" t="s">
        <v>298</v>
      </c>
      <c r="KT294" s="161">
        <f t="shared" ref="KT294:KX295" si="6992">KT288/KM288-1</f>
        <v>0.24</v>
      </c>
      <c r="KU294" s="161">
        <f t="shared" si="6992"/>
        <v>0.16666666666666674</v>
      </c>
      <c r="KV294" s="161">
        <f t="shared" si="6992"/>
        <v>0.26249999999999996</v>
      </c>
      <c r="KW294" s="161">
        <f t="shared" si="6992"/>
        <v>0.2705882352941178</v>
      </c>
      <c r="KX294" s="161">
        <f t="shared" si="6992"/>
        <v>0.23456790123456805</v>
      </c>
      <c r="KZ294" s="160" t="s">
        <v>298</v>
      </c>
      <c r="LA294" s="161">
        <f t="shared" ref="LA294:LC295" si="6993">LA288/KT288-1</f>
        <v>0.24731182795698903</v>
      </c>
      <c r="LB294" s="161">
        <f t="shared" si="6993"/>
        <v>8.1632653061224358E-2</v>
      </c>
      <c r="LC294" s="161">
        <f t="shared" si="6993"/>
        <v>9.9009900990099098E-2</v>
      </c>
      <c r="LD294" s="161">
        <f>LD288/KW288-1</f>
        <v>-2.777777777777779E-2</v>
      </c>
      <c r="LE294" s="161">
        <f t="shared" ref="LE294:LE295" si="6994">LE288/KX288-1</f>
        <v>9.4999999999999973E-2</v>
      </c>
      <c r="LF294" s="557"/>
      <c r="LG294" s="160" t="s">
        <v>298</v>
      </c>
      <c r="LH294" s="161">
        <f t="shared" ref="LH294:LH295" si="6995">LH288/LA288-1</f>
        <v>-0.12068965517241381</v>
      </c>
      <c r="LI294" s="161">
        <f t="shared" ref="LI294:LI295" si="6996">LI288/LB288-1</f>
        <v>-4.7169811320754707E-2</v>
      </c>
      <c r="LJ294" s="161">
        <f>LJ288/LC288-1</f>
        <v>-0.108108108108108</v>
      </c>
      <c r="LK294" s="161">
        <f t="shared" ref="LK294:LL295" si="6997">LK288/LD288-1</f>
        <v>-2.8571428571428692E-2</v>
      </c>
      <c r="LL294" s="161">
        <f t="shared" si="6997"/>
        <v>-7.762557077625587E-2</v>
      </c>
      <c r="LM294" s="557"/>
      <c r="LN294" s="160" t="s">
        <v>298</v>
      </c>
      <c r="LO294" s="161">
        <f t="shared" ref="LO294:LO295" si="6998">LO288/LH288-1</f>
        <v>-2.0490196078431389E-2</v>
      </c>
      <c r="LP294" s="161">
        <f t="shared" ref="LP294:LP295" si="6999">LP288/LI288-1</f>
        <v>2.504950495049485E-2</v>
      </c>
      <c r="LQ294" s="161">
        <f>LQ288/LJ288-1</f>
        <v>8.1944444444444375E-2</v>
      </c>
      <c r="LR294" s="161">
        <f t="shared" ref="LR294:LR295" si="7000">LR288/LK288-1</f>
        <v>2.4999999999999911E-2</v>
      </c>
      <c r="LS294" s="161">
        <f t="shared" ref="LS294:LS295" si="7001">LS288/LL288-1</f>
        <v>2.7481435643564645E-2</v>
      </c>
      <c r="LT294" s="557"/>
      <c r="LU294" s="160" t="s">
        <v>298</v>
      </c>
      <c r="LV294" s="161">
        <f t="shared" ref="LV294:LV295" si="7002">LV288/LO288-1</f>
        <v>1.4900000000000135E-2</v>
      </c>
      <c r="LW294" s="161">
        <f t="shared" ref="LW294:LW295" si="7003">LW288/LP288-1</f>
        <v>2.0000000000000018E-2</v>
      </c>
      <c r="LX294" s="161">
        <f t="shared" ref="LX294:LX295" si="7004">LX288/LQ288-1</f>
        <v>1.4899999999999913E-2</v>
      </c>
      <c r="LY294" s="161">
        <f t="shared" ref="LY294:LY295" si="7005">LY288/LR288-1</f>
        <v>1.4899999999999913E-2</v>
      </c>
      <c r="LZ294" s="161">
        <f t="shared" ref="LZ294:LZ295" si="7006">LZ288/LS288-1</f>
        <v>1.6171982221258485E-2</v>
      </c>
      <c r="MA294" s="557"/>
      <c r="MB294" s="160" t="s">
        <v>298</v>
      </c>
      <c r="MC294" s="161">
        <f t="shared" ref="MC294:MC295" si="7007">MC288/LV288-1</f>
        <v>-7.4999999999998401E-3</v>
      </c>
      <c r="MD294" s="161">
        <f t="shared" ref="MD294:MD295" si="7008">MD288/LW288-1</f>
        <v>-7.5000000000000622E-3</v>
      </c>
      <c r="ME294" s="161">
        <f t="shared" ref="ME294:ME295" si="7009">ME288/LX288-1</f>
        <v>-7.4999999999999512E-3</v>
      </c>
      <c r="MF294" s="161">
        <f t="shared" ref="MF294:MF295" si="7010">MF288/LY288-1</f>
        <v>-7.4999999999998401E-3</v>
      </c>
      <c r="MG294" s="161">
        <f t="shared" ref="MG294:MG295" si="7011">MG288/LZ288-1</f>
        <v>-7.4999999999998401E-3</v>
      </c>
      <c r="MH294" s="557"/>
    </row>
    <row r="295" spans="1:346" s="153" customFormat="1" ht="13.15" thickBot="1" x14ac:dyDescent="0.4">
      <c r="A295" s="150"/>
      <c r="B295" s="162" t="s">
        <v>13</v>
      </c>
      <c r="C295" s="163"/>
      <c r="D295" s="163"/>
      <c r="E295" s="163"/>
      <c r="F295" s="163"/>
      <c r="G295" s="163"/>
      <c r="H295" s="163"/>
      <c r="I295" s="163"/>
      <c r="J295" s="163"/>
      <c r="K295" s="163"/>
      <c r="L295" s="163"/>
      <c r="M295" s="163"/>
      <c r="N295" s="121">
        <f>BT295</f>
        <v>1.9506597819850757E-2</v>
      </c>
      <c r="O295" s="121">
        <f>CA295</f>
        <v>-2.2509848058526183E-3</v>
      </c>
      <c r="P295" s="121">
        <f>CH295</f>
        <v>-6.3169768753525313E-2</v>
      </c>
      <c r="Q295" s="121">
        <f>CO295</f>
        <v>-2.5285972305839843E-2</v>
      </c>
      <c r="R295" s="121">
        <f>CV295</f>
        <v>-0.10932674490426186</v>
      </c>
      <c r="S295" s="121">
        <f>DC295</f>
        <v>6.7267683772538334E-2</v>
      </c>
      <c r="T295" s="121">
        <f>DJ295</f>
        <v>2.9889538661468373E-2</v>
      </c>
      <c r="U295" s="121">
        <f>DQ295</f>
        <v>3.2176656151419625E-2</v>
      </c>
      <c r="V295" s="121">
        <f>DX295</f>
        <v>1.2224938875305513E-2</v>
      </c>
      <c r="W295" s="121">
        <f>EE295</f>
        <v>-2.6570048309178751E-2</v>
      </c>
      <c r="X295" s="121">
        <f>EL295</f>
        <v>-2.0471464019850782E-2</v>
      </c>
      <c r="Y295" s="121">
        <f>ES295</f>
        <v>8.1063964534515476E-2</v>
      </c>
      <c r="Z295" s="121">
        <f>EZ295</f>
        <v>5.7410661980081823E-2</v>
      </c>
      <c r="AA295" s="121">
        <f>FG295</f>
        <v>-7.3130193905816987E-2</v>
      </c>
      <c r="AB295" s="121">
        <f>FN295</f>
        <v>-3.5863717872087753E-3</v>
      </c>
      <c r="AC295" s="121">
        <f>FU295</f>
        <v>5.6988602279544054E-2</v>
      </c>
      <c r="AD295" s="121">
        <f>GB295</f>
        <v>4.1997729852440546E-2</v>
      </c>
      <c r="AE295" s="121">
        <f>GI295</f>
        <v>5.6644880174292034E-2</v>
      </c>
      <c r="AF295" s="121">
        <f>GP295</f>
        <v>-3.6082474226806216E-3</v>
      </c>
      <c r="AG295" s="121">
        <f>GW295</f>
        <v>1.2933264355923679E-2</v>
      </c>
      <c r="AH295" s="121">
        <f>HD295</f>
        <v>-0.15321756894790606</v>
      </c>
      <c r="AI295" s="121">
        <f>HK295</f>
        <v>3.6188178528344661E-3</v>
      </c>
      <c r="AJ295" s="121">
        <f>HR295</f>
        <v>-1.923076923076894E-2</v>
      </c>
      <c r="AK295" s="121">
        <f>HY295</f>
        <v>-0.11458333333333348</v>
      </c>
      <c r="AL295" s="121">
        <f>IF295</f>
        <v>-7.1280276816609089E-2</v>
      </c>
      <c r="AM295" s="121">
        <f>IM295</f>
        <v>6.4828614008941798E-2</v>
      </c>
      <c r="AN295" s="121">
        <f>IT295</f>
        <v>-0.15185444366689971</v>
      </c>
      <c r="AO295" s="121">
        <f>JA295</f>
        <v>-0.21122112211221122</v>
      </c>
      <c r="AP295" s="121">
        <f>JH295</f>
        <v>1.778242677824271E-2</v>
      </c>
      <c r="AQ295" s="121">
        <f>JO295</f>
        <v>3.1860226104830414E-2</v>
      </c>
      <c r="AR295" s="121">
        <f>JV295</f>
        <v>-5.5776892430278946E-2</v>
      </c>
      <c r="AS295" s="121">
        <f>KC295</f>
        <v>-0.24578059071729952</v>
      </c>
      <c r="AT295" s="121">
        <f>KJ295</f>
        <v>0.10489510489510478</v>
      </c>
      <c r="AU295" s="121">
        <f>KQ295</f>
        <v>-1.13924050632912E-2</v>
      </c>
      <c r="AV295" s="121">
        <f>KX295</f>
        <v>8.834827144686308E-2</v>
      </c>
      <c r="AW295" s="121">
        <f>LE295</f>
        <v>-2.7058823529411913E-2</v>
      </c>
      <c r="AX295" s="121">
        <f>LL295</f>
        <v>-2.0556227327690468E-2</v>
      </c>
      <c r="AY295" s="121">
        <f>LS295</f>
        <v>2.4944444444444658E-2</v>
      </c>
      <c r="AZ295" s="121">
        <f>LZ295</f>
        <v>-3.7529586066092913E-3</v>
      </c>
      <c r="BA295" s="121">
        <f>MG295</f>
        <v>-7.4999999999999512E-3</v>
      </c>
      <c r="BB295" s="121"/>
      <c r="BC295" s="121"/>
      <c r="BD295" s="121"/>
      <c r="BE295" s="121"/>
      <c r="BF295" s="121"/>
      <c r="BG295" s="121"/>
      <c r="BH295" s="121"/>
      <c r="BI295" s="121"/>
      <c r="BJ295" s="121"/>
      <c r="BK295" s="121"/>
      <c r="BL295" s="121"/>
      <c r="BM295" s="121"/>
      <c r="BO295" s="162" t="s">
        <v>13</v>
      </c>
      <c r="BP295" s="163">
        <f t="shared" si="6958"/>
        <v>-0.74277456647398843</v>
      </c>
      <c r="BQ295" s="163">
        <f t="shared" si="6958"/>
        <v>-0.71905940594059403</v>
      </c>
      <c r="BR295" s="163">
        <f t="shared" si="6958"/>
        <v>-0.73853484216795717</v>
      </c>
      <c r="BS295" s="163">
        <f t="shared" si="6958"/>
        <v>-0.75337078651685396</v>
      </c>
      <c r="BT295" s="163">
        <f t="shared" si="6958"/>
        <v>1.9506597819850757E-2</v>
      </c>
      <c r="BV295" s="162" t="s">
        <v>13</v>
      </c>
      <c r="BW295" s="163">
        <f t="shared" si="6959"/>
        <v>1.5730337078651679E-2</v>
      </c>
      <c r="BX295" s="163">
        <f t="shared" si="6959"/>
        <v>-1.9823788546255439E-2</v>
      </c>
      <c r="BY295" s="163">
        <f t="shared" si="6959"/>
        <v>-2.2779043280181099E-3</v>
      </c>
      <c r="BZ295" s="163">
        <f t="shared" si="6959"/>
        <v>-2.277904328018221E-3</v>
      </c>
      <c r="CA295" s="163">
        <f t="shared" si="6959"/>
        <v>-2.2509848058526183E-3</v>
      </c>
      <c r="CC295" s="162" t="s">
        <v>13</v>
      </c>
      <c r="CD295" s="163">
        <f t="shared" si="6960"/>
        <v>-9.9557522123893905E-2</v>
      </c>
      <c r="CE295" s="163">
        <f t="shared" si="6960"/>
        <v>-9.2134831460674138E-2</v>
      </c>
      <c r="CF295" s="163">
        <f t="shared" si="6960"/>
        <v>-2.2831050228310446E-2</v>
      </c>
      <c r="CG295" s="163">
        <f t="shared" si="6960"/>
        <v>-3.6529680365296691E-2</v>
      </c>
      <c r="CH295" s="163">
        <f t="shared" si="6960"/>
        <v>-6.3169768753525313E-2</v>
      </c>
      <c r="CJ295" s="162" t="s">
        <v>13</v>
      </c>
      <c r="CK295" s="163">
        <f t="shared" si="6961"/>
        <v>0</v>
      </c>
      <c r="CL295" s="163">
        <f t="shared" si="6961"/>
        <v>-1.9801980198019931E-2</v>
      </c>
      <c r="CM295" s="163">
        <f t="shared" si="6961"/>
        <v>-5.1401869158878566E-2</v>
      </c>
      <c r="CN295" s="163">
        <f t="shared" si="6961"/>
        <v>-2.8436018957346043E-2</v>
      </c>
      <c r="CO295" s="163">
        <f t="shared" si="6961"/>
        <v>-2.5285972305839843E-2</v>
      </c>
      <c r="CQ295" s="162" t="s">
        <v>13</v>
      </c>
      <c r="CR295" s="163">
        <f t="shared" si="6962"/>
        <v>-0.10319410319410327</v>
      </c>
      <c r="CS295" s="163">
        <f t="shared" si="6962"/>
        <v>-4.79797979797979E-2</v>
      </c>
      <c r="CT295" s="163">
        <f t="shared" si="6962"/>
        <v>-0.11576354679802947</v>
      </c>
      <c r="CU295" s="163">
        <f t="shared" si="6962"/>
        <v>-0.1682926829268292</v>
      </c>
      <c r="CV295" s="163">
        <f t="shared" si="6962"/>
        <v>-0.10932674490426186</v>
      </c>
      <c r="CX295" s="162" t="s">
        <v>13</v>
      </c>
      <c r="CY295" s="163">
        <f t="shared" si="6963"/>
        <v>-1.0958904109588996E-2</v>
      </c>
      <c r="CZ295" s="163">
        <f t="shared" si="6963"/>
        <v>2.3872679045092937E-2</v>
      </c>
      <c r="DA295" s="163">
        <f t="shared" si="6963"/>
        <v>0.10027855153203324</v>
      </c>
      <c r="DB295" s="163">
        <f t="shared" si="6963"/>
        <v>0.16422287390029311</v>
      </c>
      <c r="DC295" s="163">
        <f t="shared" si="6963"/>
        <v>6.7267683772538334E-2</v>
      </c>
      <c r="DE295" s="162" t="s">
        <v>13</v>
      </c>
      <c r="DF295" s="163">
        <f t="shared" si="6964"/>
        <v>6.3711911357340556E-2</v>
      </c>
      <c r="DG295" s="163">
        <f t="shared" si="6964"/>
        <v>2.5906735751295429E-2</v>
      </c>
      <c r="DH295" s="163">
        <f t="shared" si="6964"/>
        <v>1.7721518987341867E-2</v>
      </c>
      <c r="DI295" s="163">
        <f t="shared" si="6964"/>
        <v>1.5113350125944613E-2</v>
      </c>
      <c r="DJ295" s="163">
        <f t="shared" si="6964"/>
        <v>2.9889538661468373E-2</v>
      </c>
      <c r="DL295" s="162" t="s">
        <v>13</v>
      </c>
      <c r="DM295" s="163">
        <f t="shared" si="6965"/>
        <v>-5.2083333333332593E-3</v>
      </c>
      <c r="DN295" s="163">
        <f t="shared" si="6965"/>
        <v>5.5555555555555358E-2</v>
      </c>
      <c r="DO295" s="163">
        <f t="shared" si="6965"/>
        <v>2.7363184079602032E-2</v>
      </c>
      <c r="DP295" s="163">
        <f t="shared" si="6965"/>
        <v>4.9627791563275458E-2</v>
      </c>
      <c r="DQ295" s="163">
        <f t="shared" si="6965"/>
        <v>3.2176656151419625E-2</v>
      </c>
      <c r="DS295" s="162" t="s">
        <v>13</v>
      </c>
      <c r="DT295" s="163">
        <f t="shared" si="6966"/>
        <v>8.6387434554973774E-2</v>
      </c>
      <c r="DU295" s="163">
        <f t="shared" si="6966"/>
        <v>-2.8708133971291794E-2</v>
      </c>
      <c r="DV295" s="163">
        <f t="shared" si="6966"/>
        <v>0</v>
      </c>
      <c r="DW295" s="163">
        <f t="shared" si="6966"/>
        <v>-2.3640661938533203E-3</v>
      </c>
      <c r="DX295" s="163">
        <f t="shared" si="6966"/>
        <v>1.2224938875305513E-2</v>
      </c>
      <c r="DZ295" s="162" t="s">
        <v>13</v>
      </c>
      <c r="EA295" s="163">
        <f t="shared" si="6967"/>
        <v>-4.337349397590351E-2</v>
      </c>
      <c r="EB295" s="163">
        <f t="shared" si="6967"/>
        <v>-7.3891625615762901E-3</v>
      </c>
      <c r="EC295" s="163">
        <f t="shared" si="6967"/>
        <v>-1.937046004842613E-2</v>
      </c>
      <c r="ED295" s="163">
        <f t="shared" si="6967"/>
        <v>-3.5545023696682665E-2</v>
      </c>
      <c r="EE295" s="163">
        <f t="shared" si="6967"/>
        <v>-2.6570048309178751E-2</v>
      </c>
      <c r="EG295" s="162" t="s">
        <v>13</v>
      </c>
      <c r="EH295" s="163">
        <f t="shared" si="6968"/>
        <v>-1.7632241813602123E-2</v>
      </c>
      <c r="EI295" s="163">
        <f t="shared" si="6968"/>
        <v>-7.1960297766749504E-2</v>
      </c>
      <c r="EJ295" s="163">
        <f t="shared" si="6968"/>
        <v>1.7283950617283939E-2</v>
      </c>
      <c r="EK295" s="163">
        <f t="shared" si="6968"/>
        <v>-9.8280098280095762E-3</v>
      </c>
      <c r="EL295" s="163">
        <f t="shared" si="6968"/>
        <v>-2.0471464019850782E-2</v>
      </c>
      <c r="EN295" s="162" t="s">
        <v>13</v>
      </c>
      <c r="EO295" s="163">
        <f t="shared" si="6969"/>
        <v>1.2820512820512775E-2</v>
      </c>
      <c r="EP295" s="163">
        <f t="shared" si="6969"/>
        <v>0.1336898395721926</v>
      </c>
      <c r="EQ295" s="163">
        <f t="shared" si="6969"/>
        <v>9.2233009708738045E-2</v>
      </c>
      <c r="ER295" s="163">
        <f t="shared" si="6969"/>
        <v>8.684863523573183E-2</v>
      </c>
      <c r="ES295" s="163">
        <f t="shared" si="6969"/>
        <v>8.1063964534515476E-2</v>
      </c>
      <c r="EU295" s="162" t="s">
        <v>13</v>
      </c>
      <c r="EV295" s="163">
        <f t="shared" si="6970"/>
        <v>0.16202531645569618</v>
      </c>
      <c r="EW295" s="163">
        <f t="shared" si="6970"/>
        <v>5.89622641509433E-2</v>
      </c>
      <c r="EX295" s="163">
        <f t="shared" si="6970"/>
        <v>-1.5555555555555656E-2</v>
      </c>
      <c r="EY295" s="163">
        <f t="shared" si="6970"/>
        <v>3.6529680365296802E-2</v>
      </c>
      <c r="EZ295" s="163">
        <f t="shared" si="6970"/>
        <v>5.7410661980081823E-2</v>
      </c>
      <c r="FB295" s="162" t="s">
        <v>13</v>
      </c>
      <c r="FC295" s="163">
        <f t="shared" si="6971"/>
        <v>-9.3681917211328902E-2</v>
      </c>
      <c r="FD295" s="163">
        <f t="shared" si="6971"/>
        <v>-7.572383073496658E-2</v>
      </c>
      <c r="FE295" s="163">
        <f t="shared" si="6971"/>
        <v>-4.9661399548532659E-2</v>
      </c>
      <c r="FF295" s="163">
        <f t="shared" si="6971"/>
        <v>-7.2687224669603423E-2</v>
      </c>
      <c r="FG295" s="163">
        <f t="shared" si="6971"/>
        <v>-7.3130193905816987E-2</v>
      </c>
      <c r="FI295" s="162" t="s">
        <v>13</v>
      </c>
      <c r="FJ295" s="163">
        <f t="shared" si="6972"/>
        <v>-5.0480769230769273E-2</v>
      </c>
      <c r="FK295" s="163">
        <f t="shared" si="6972"/>
        <v>2.6506024096385472E-2</v>
      </c>
      <c r="FL295" s="163">
        <f t="shared" si="6972"/>
        <v>-1.1876484560570111E-2</v>
      </c>
      <c r="FM295" s="163">
        <f t="shared" si="6972"/>
        <v>2.1377672209026199E-2</v>
      </c>
      <c r="FN295" s="163">
        <f t="shared" si="6972"/>
        <v>-3.5863717872087753E-3</v>
      </c>
      <c r="FP295" s="162" t="s">
        <v>13</v>
      </c>
      <c r="FQ295" s="163">
        <f t="shared" si="6973"/>
        <v>8.1012658227848089E-2</v>
      </c>
      <c r="FR295" s="163">
        <f t="shared" si="6973"/>
        <v>2.3474178403755763E-2</v>
      </c>
      <c r="FS295" s="163">
        <f t="shared" si="6973"/>
        <v>3.3653846153846034E-2</v>
      </c>
      <c r="FT295" s="163">
        <f t="shared" si="6973"/>
        <v>9.0697674418604768E-2</v>
      </c>
      <c r="FU295" s="163">
        <f t="shared" si="6973"/>
        <v>5.6988602279544054E-2</v>
      </c>
      <c r="FW295" s="162" t="s">
        <v>13</v>
      </c>
      <c r="FX295" s="163">
        <f t="shared" si="6974"/>
        <v>8.4309133489461452E-2</v>
      </c>
      <c r="FY295" s="163">
        <f t="shared" si="6974"/>
        <v>6.8807339449541205E-2</v>
      </c>
      <c r="FZ295" s="163">
        <f t="shared" si="6974"/>
        <v>4.6511627906976827E-2</v>
      </c>
      <c r="GA295" s="163">
        <f t="shared" si="6974"/>
        <v>-2.558635394456299E-2</v>
      </c>
      <c r="GB295" s="163">
        <f t="shared" si="6974"/>
        <v>4.1997729852440546E-2</v>
      </c>
      <c r="GD295" s="162" t="s">
        <v>13</v>
      </c>
      <c r="GE295" s="163">
        <f t="shared" si="6975"/>
        <v>5.1835853131749543E-2</v>
      </c>
      <c r="GF295" s="163">
        <f t="shared" si="6975"/>
        <v>4.5064377682403567E-2</v>
      </c>
      <c r="GG295" s="163">
        <f t="shared" si="6975"/>
        <v>7.5555555555555598E-2</v>
      </c>
      <c r="GH295" s="163">
        <f t="shared" si="6975"/>
        <v>5.4704595185995464E-2</v>
      </c>
      <c r="GI295" s="163">
        <f t="shared" si="6975"/>
        <v>5.6644880174292034E-2</v>
      </c>
      <c r="GK295" s="162" t="s">
        <v>13</v>
      </c>
      <c r="GL295" s="163">
        <f t="shared" si="6976"/>
        <v>-1.4373716632443578E-2</v>
      </c>
      <c r="GM295" s="163">
        <f t="shared" si="6976"/>
        <v>-1.2320328542094527E-2</v>
      </c>
      <c r="GN295" s="163">
        <f t="shared" si="6976"/>
        <v>-2.0661157024792765E-3</v>
      </c>
      <c r="GO295" s="163">
        <f t="shared" si="6976"/>
        <v>1.4522821576763656E-2</v>
      </c>
      <c r="GP295" s="163">
        <f t="shared" si="6976"/>
        <v>-3.6082474226806216E-3</v>
      </c>
      <c r="GR295" s="162" t="s">
        <v>13</v>
      </c>
      <c r="GS295" s="163">
        <f t="shared" si="6977"/>
        <v>4.1666666666666519E-3</v>
      </c>
      <c r="GT295" s="163">
        <f t="shared" si="6977"/>
        <v>2.9106029106028997E-2</v>
      </c>
      <c r="GU295" s="163">
        <f t="shared" si="6977"/>
        <v>4.1407867494822614E-3</v>
      </c>
      <c r="GV295" s="163">
        <f t="shared" si="6977"/>
        <v>1.4314928425357865E-2</v>
      </c>
      <c r="GW295" s="163">
        <f t="shared" si="6977"/>
        <v>1.2933264355923679E-2</v>
      </c>
      <c r="GY295" s="162" t="s">
        <v>13</v>
      </c>
      <c r="GZ295" s="163">
        <f t="shared" si="6978"/>
        <v>-4.9792531120331884E-2</v>
      </c>
      <c r="HA295" s="163">
        <f t="shared" si="6978"/>
        <v>-0.18383838383838391</v>
      </c>
      <c r="HB295" s="163">
        <f t="shared" si="6978"/>
        <v>-0.15876288659793825</v>
      </c>
      <c r="HC295" s="163">
        <f t="shared" si="6978"/>
        <v>-0.21774193548387089</v>
      </c>
      <c r="HD295" s="163">
        <f t="shared" si="6978"/>
        <v>-0.15321756894790606</v>
      </c>
      <c r="HF295" s="162" t="s">
        <v>13</v>
      </c>
      <c r="HG295" s="163">
        <f t="shared" si="6979"/>
        <v>-0.13318777292576434</v>
      </c>
      <c r="HH295" s="163">
        <f t="shared" si="6979"/>
        <v>4.9504950495049549E-2</v>
      </c>
      <c r="HI295" s="163">
        <f t="shared" si="6979"/>
        <v>4.9019607843137081E-3</v>
      </c>
      <c r="HJ295" s="163">
        <f t="shared" si="6979"/>
        <v>0.11597938144329878</v>
      </c>
      <c r="HK295" s="163">
        <f t="shared" si="6979"/>
        <v>3.6188178528344661E-3</v>
      </c>
      <c r="HM295" s="162" t="s">
        <v>13</v>
      </c>
      <c r="HN295" s="163">
        <f t="shared" si="6980"/>
        <v>4.0302267002518821E-2</v>
      </c>
      <c r="HO295" s="163">
        <f t="shared" si="6980"/>
        <v>-2.8301886792452713E-2</v>
      </c>
      <c r="HP295" s="163">
        <f t="shared" si="6980"/>
        <v>0</v>
      </c>
      <c r="HQ295" s="163">
        <f t="shared" si="6980"/>
        <v>-8.3140877598152252E-2</v>
      </c>
      <c r="HR295" s="163">
        <f t="shared" si="6980"/>
        <v>-1.923076923076894E-2</v>
      </c>
      <c r="HT295" s="162" t="s">
        <v>13</v>
      </c>
      <c r="HU295" s="163">
        <f t="shared" si="6981"/>
        <v>-0.10411622276029053</v>
      </c>
      <c r="HV295" s="163">
        <f t="shared" si="6981"/>
        <v>-0.1019417475728156</v>
      </c>
      <c r="HW295" s="163">
        <f t="shared" si="6981"/>
        <v>-0.11463414634146352</v>
      </c>
      <c r="HX295" s="163">
        <f t="shared" si="6981"/>
        <v>-0.1385390428211587</v>
      </c>
      <c r="HY295" s="163">
        <f t="shared" si="6981"/>
        <v>-0.11458333333333348</v>
      </c>
      <c r="IA295" s="162" t="s">
        <v>13</v>
      </c>
      <c r="IB295" s="163">
        <f t="shared" si="6982"/>
        <v>-0.10270270270270265</v>
      </c>
      <c r="IC295" s="163">
        <f t="shared" si="6982"/>
        <v>-5.6756756756756843E-2</v>
      </c>
      <c r="ID295" s="163">
        <f t="shared" si="6982"/>
        <v>-7.4380165289256062E-2</v>
      </c>
      <c r="IE295" s="163">
        <f t="shared" si="6982"/>
        <v>-4.9707602339181367E-2</v>
      </c>
      <c r="IF295" s="163">
        <f t="shared" si="6982"/>
        <v>-7.1280276816609089E-2</v>
      </c>
      <c r="IH295" s="162" t="s">
        <v>13</v>
      </c>
      <c r="II295" s="163">
        <f t="shared" si="6983"/>
        <v>-6.0240963855422436E-3</v>
      </c>
      <c r="IJ295" s="163">
        <f t="shared" si="6983"/>
        <v>7.4498567335243626E-2</v>
      </c>
      <c r="IK295" s="163">
        <f t="shared" si="6983"/>
        <v>7.440476190476164E-2</v>
      </c>
      <c r="IL295" s="163">
        <f t="shared" si="6983"/>
        <v>0.11692307692307691</v>
      </c>
      <c r="IM295" s="163">
        <f t="shared" si="6983"/>
        <v>6.4828614008941798E-2</v>
      </c>
      <c r="IO295" s="162" t="s">
        <v>13</v>
      </c>
      <c r="IP295" s="163">
        <f t="shared" si="6984"/>
        <v>-9.0909090909090384E-3</v>
      </c>
      <c r="IQ295" s="163">
        <f t="shared" si="6984"/>
        <v>-0.10133333333333328</v>
      </c>
      <c r="IR295" s="163">
        <f t="shared" si="6984"/>
        <v>-0.17174515235457055</v>
      </c>
      <c r="IS295" s="163">
        <f t="shared" si="6984"/>
        <v>-0.31404958677685946</v>
      </c>
      <c r="IT295" s="163">
        <f t="shared" si="6984"/>
        <v>-0.15185444366689971</v>
      </c>
      <c r="IV295" s="162" t="s">
        <v>13</v>
      </c>
      <c r="IW295" s="163">
        <f t="shared" si="6985"/>
        <v>-0.30581039755351691</v>
      </c>
      <c r="IX295" s="163">
        <f t="shared" si="6985"/>
        <v>-0.34421364985163205</v>
      </c>
      <c r="IY295" s="163">
        <f t="shared" si="6985"/>
        <v>-0.20735785953177255</v>
      </c>
      <c r="IZ295" s="163">
        <f t="shared" si="6985"/>
        <v>8.8353413654618684E-2</v>
      </c>
      <c r="JA295" s="163">
        <f t="shared" si="6985"/>
        <v>-0.21122112211221122</v>
      </c>
      <c r="JC295" s="162" t="s">
        <v>13</v>
      </c>
      <c r="JD295" s="163">
        <f t="shared" si="6986"/>
        <v>2.2026431718061623E-2</v>
      </c>
      <c r="JE295" s="163">
        <f t="shared" si="6986"/>
        <v>6.7873303167420795E-2</v>
      </c>
      <c r="JF295" s="163">
        <f t="shared" si="6986"/>
        <v>5.0632911392405111E-2</v>
      </c>
      <c r="JG295" s="163">
        <f t="shared" si="6986"/>
        <v>-5.5350553505535083E-2</v>
      </c>
      <c r="JH295" s="163">
        <f t="shared" si="6986"/>
        <v>1.778242677824271E-2</v>
      </c>
      <c r="JJ295" s="162" t="s">
        <v>13</v>
      </c>
      <c r="JK295" s="163">
        <f t="shared" si="6987"/>
        <v>-1.2931034482758674E-2</v>
      </c>
      <c r="JL295" s="163">
        <f t="shared" si="6987"/>
        <v>6.3559322033898358E-2</v>
      </c>
      <c r="JM295" s="163">
        <f t="shared" si="6987"/>
        <v>6.425702811244971E-2</v>
      </c>
      <c r="JN295" s="163">
        <f t="shared" si="6987"/>
        <v>1.1718749999999778E-2</v>
      </c>
      <c r="JO295" s="163">
        <f t="shared" si="6987"/>
        <v>3.1860226104830414E-2</v>
      </c>
      <c r="JQ295" s="162" t="s">
        <v>13</v>
      </c>
      <c r="JR295" s="163">
        <f t="shared" si="6988"/>
        <v>3.4934497816593968E-2</v>
      </c>
      <c r="JS295" s="163">
        <f t="shared" si="6988"/>
        <v>1.195219123505975E-2</v>
      </c>
      <c r="JT295" s="163">
        <f t="shared" si="6988"/>
        <v>-9.0566037735849036E-2</v>
      </c>
      <c r="JU295" s="163">
        <f t="shared" si="6988"/>
        <v>-0.16602316602316591</v>
      </c>
      <c r="JV295" s="163">
        <f t="shared" si="6988"/>
        <v>-5.5776892430278946E-2</v>
      </c>
      <c r="JX295" s="162" t="s">
        <v>13</v>
      </c>
      <c r="JY295" s="163">
        <f t="shared" si="6989"/>
        <v>-0.14767932489451474</v>
      </c>
      <c r="JZ295" s="163">
        <f t="shared" si="6989"/>
        <v>-0.44094488188976377</v>
      </c>
      <c r="KA295" s="163">
        <f t="shared" si="6989"/>
        <v>-0.27385892116182575</v>
      </c>
      <c r="KB295" s="163">
        <f t="shared" si="6989"/>
        <v>-9.259259259259256E-2</v>
      </c>
      <c r="KC295" s="163">
        <f t="shared" si="6989"/>
        <v>-0.24578059071729952</v>
      </c>
      <c r="KE295" s="162" t="s">
        <v>13</v>
      </c>
      <c r="KF295" s="163">
        <f t="shared" si="6990"/>
        <v>-4.9504950495049327E-2</v>
      </c>
      <c r="KG295" s="163">
        <f t="shared" si="6990"/>
        <v>0.44366197183098599</v>
      </c>
      <c r="KH295" s="163">
        <f t="shared" si="6990"/>
        <v>0.16000000000000014</v>
      </c>
      <c r="KI295" s="163">
        <f t="shared" si="6990"/>
        <v>-3.0612244897959218E-2</v>
      </c>
      <c r="KJ295" s="163">
        <f t="shared" si="6990"/>
        <v>0.10489510489510478</v>
      </c>
      <c r="KL295" s="162" t="s">
        <v>13</v>
      </c>
      <c r="KM295" s="163">
        <f t="shared" si="6991"/>
        <v>-9.8958333333333481E-2</v>
      </c>
      <c r="KN295" s="163">
        <f t="shared" si="6991"/>
        <v>-2.4390243902439046E-2</v>
      </c>
      <c r="KO295" s="163">
        <f t="shared" si="6991"/>
        <v>-2.4630541871921152E-2</v>
      </c>
      <c r="KP295" s="163">
        <f t="shared" si="6991"/>
        <v>0.10526315789473695</v>
      </c>
      <c r="KQ295" s="163">
        <f t="shared" si="6991"/>
        <v>-1.13924050632912E-2</v>
      </c>
      <c r="KS295" s="162" t="s">
        <v>13</v>
      </c>
      <c r="KT295" s="163">
        <f t="shared" si="6992"/>
        <v>0.20231213872832376</v>
      </c>
      <c r="KU295" s="163">
        <f t="shared" si="6992"/>
        <v>4.0000000000000036E-2</v>
      </c>
      <c r="KV295" s="163">
        <f t="shared" si="6992"/>
        <v>9.59595959595958E-2</v>
      </c>
      <c r="KW295" s="163">
        <f t="shared" si="6992"/>
        <v>3.3333333333333437E-2</v>
      </c>
      <c r="KX295" s="163">
        <f t="shared" si="6992"/>
        <v>8.834827144686308E-2</v>
      </c>
      <c r="KZ295" s="162" t="s">
        <v>13</v>
      </c>
      <c r="LA295" s="163">
        <f t="shared" si="6993"/>
        <v>1.9230769230769162E-2</v>
      </c>
      <c r="LB295" s="163">
        <f t="shared" si="6993"/>
        <v>-3.3653846153846145E-2</v>
      </c>
      <c r="LC295" s="163">
        <f t="shared" si="6993"/>
        <v>-1.8433179723502446E-2</v>
      </c>
      <c r="LD295" s="163">
        <f>LD289/KW289-1</f>
        <v>-7.373271889400923E-2</v>
      </c>
      <c r="LE295" s="163">
        <f t="shared" si="6994"/>
        <v>-2.7058823529411913E-2</v>
      </c>
      <c r="LF295" s="557"/>
      <c r="LG295" s="162" t="s">
        <v>13</v>
      </c>
      <c r="LH295" s="163">
        <f t="shared" si="6995"/>
        <v>-8.4905660377358472E-2</v>
      </c>
      <c r="LI295" s="163">
        <f t="shared" si="6996"/>
        <v>9.9502487562186381E-3</v>
      </c>
      <c r="LJ295" s="163">
        <f>LJ289/LC289-1</f>
        <v>-1.8779342723004633E-2</v>
      </c>
      <c r="LK295" s="163">
        <f t="shared" si="6997"/>
        <v>1.4925373134328179E-2</v>
      </c>
      <c r="LL295" s="163">
        <f t="shared" si="6997"/>
        <v>-2.0556227327690468E-2</v>
      </c>
      <c r="LM295" s="557"/>
      <c r="LN295" s="162" t="s">
        <v>13</v>
      </c>
      <c r="LO295" s="163">
        <f t="shared" si="6998"/>
        <v>3.0000000000000027E-2</v>
      </c>
      <c r="LP295" s="163">
        <f t="shared" si="6999"/>
        <v>2.0000000000000018E-2</v>
      </c>
      <c r="LQ295" s="163">
        <f>LQ289/LJ289-1</f>
        <v>2.5000000000000133E-2</v>
      </c>
      <c r="LR295" s="163">
        <f t="shared" si="7000"/>
        <v>2.4999999999999911E-2</v>
      </c>
      <c r="LS295" s="163">
        <f t="shared" si="7001"/>
        <v>2.4944444444444658E-2</v>
      </c>
      <c r="LT295" s="557"/>
      <c r="LU295" s="162" t="s">
        <v>13</v>
      </c>
      <c r="LV295" s="163">
        <f t="shared" si="7002"/>
        <v>-4.9999999999998934E-3</v>
      </c>
      <c r="LW295" s="163">
        <f t="shared" si="7003"/>
        <v>0</v>
      </c>
      <c r="LX295" s="163">
        <f t="shared" si="7004"/>
        <v>-5.0000000000001155E-3</v>
      </c>
      <c r="LY295" s="163">
        <f t="shared" si="7005"/>
        <v>-5.0000000000000044E-3</v>
      </c>
      <c r="LZ295" s="163">
        <f t="shared" si="7006"/>
        <v>-3.7529586066092913E-3</v>
      </c>
      <c r="MA295" s="557"/>
      <c r="MB295" s="162" t="s">
        <v>13</v>
      </c>
      <c r="MC295" s="163">
        <f t="shared" si="7007"/>
        <v>-7.4999999999998401E-3</v>
      </c>
      <c r="MD295" s="163">
        <f t="shared" si="7008"/>
        <v>-7.4999999999999512E-3</v>
      </c>
      <c r="ME295" s="163">
        <f t="shared" si="7009"/>
        <v>-7.4999999999999512E-3</v>
      </c>
      <c r="MF295" s="163">
        <f t="shared" si="7010"/>
        <v>-7.4999999999999512E-3</v>
      </c>
      <c r="MG295" s="163">
        <f t="shared" si="7011"/>
        <v>-7.4999999999999512E-3</v>
      </c>
      <c r="MH295" s="557"/>
    </row>
    <row r="296" spans="1:346" s="37" customFormat="1" ht="13.5" thickTop="1" x14ac:dyDescent="0.4">
      <c r="A296" s="100"/>
      <c r="B296" s="113"/>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c r="BE296" s="104"/>
      <c r="BF296" s="104"/>
      <c r="BG296" s="104"/>
      <c r="BH296" s="104"/>
      <c r="BI296" s="104"/>
      <c r="BJ296" s="104"/>
      <c r="BK296" s="104"/>
      <c r="BL296" s="104"/>
      <c r="BM296" s="104"/>
      <c r="BO296" s="113"/>
      <c r="BP296" s="158"/>
      <c r="BQ296" s="158"/>
      <c r="BR296" s="158"/>
      <c r="BS296" s="158"/>
      <c r="BT296" s="158"/>
      <c r="BV296" s="113"/>
      <c r="BW296" s="158"/>
      <c r="BX296" s="158"/>
      <c r="BY296" s="158"/>
      <c r="BZ296" s="158"/>
      <c r="CA296" s="158"/>
      <c r="CC296" s="113"/>
      <c r="CD296" s="158"/>
      <c r="CE296" s="158"/>
      <c r="CF296" s="158"/>
      <c r="CG296" s="158"/>
      <c r="CH296" s="158"/>
      <c r="CJ296" s="113"/>
      <c r="CK296" s="158"/>
      <c r="CL296" s="158"/>
      <c r="CM296" s="158"/>
      <c r="CN296" s="158"/>
      <c r="CO296" s="158"/>
      <c r="CQ296" s="113"/>
      <c r="CR296" s="158"/>
      <c r="CS296" s="158"/>
      <c r="CT296" s="158"/>
      <c r="CU296" s="158"/>
      <c r="CV296" s="158"/>
      <c r="CX296" s="113"/>
      <c r="CY296" s="158"/>
      <c r="CZ296" s="158"/>
      <c r="DA296" s="158"/>
      <c r="DB296" s="158"/>
      <c r="DC296" s="158"/>
      <c r="DE296" s="113"/>
      <c r="DF296" s="158"/>
      <c r="DG296" s="158"/>
      <c r="DH296" s="158"/>
      <c r="DI296" s="158"/>
      <c r="DJ296" s="158"/>
      <c r="DL296" s="113"/>
      <c r="DM296" s="158"/>
      <c r="DN296" s="158"/>
      <c r="DO296" s="158"/>
      <c r="DP296" s="158"/>
      <c r="DQ296" s="158"/>
      <c r="DS296" s="113"/>
      <c r="DT296" s="158"/>
      <c r="DU296" s="158"/>
      <c r="DV296" s="158"/>
      <c r="DW296" s="158"/>
      <c r="DX296" s="158"/>
      <c r="DZ296" s="113"/>
      <c r="EA296" s="158"/>
      <c r="EB296" s="158"/>
      <c r="EC296" s="158"/>
      <c r="ED296" s="158"/>
      <c r="EE296" s="158"/>
      <c r="EG296" s="113"/>
      <c r="EH296" s="158"/>
      <c r="EI296" s="158"/>
      <c r="EJ296" s="158"/>
      <c r="EK296" s="158"/>
      <c r="EL296" s="158"/>
      <c r="EN296" s="113"/>
      <c r="EO296" s="158"/>
      <c r="EP296" s="158"/>
      <c r="EQ296" s="158"/>
      <c r="ER296" s="158"/>
      <c r="ES296" s="158"/>
      <c r="EU296" s="113"/>
      <c r="EV296" s="158"/>
      <c r="EW296" s="158"/>
      <c r="EX296" s="158"/>
      <c r="EY296" s="158"/>
      <c r="EZ296" s="158"/>
      <c r="FB296" s="113"/>
      <c r="FC296" s="158"/>
      <c r="FD296" s="158"/>
      <c r="FE296" s="158"/>
      <c r="FF296" s="158"/>
      <c r="FG296" s="158"/>
      <c r="FI296" s="113"/>
      <c r="FJ296" s="158"/>
      <c r="FK296" s="158"/>
      <c r="FL296" s="158"/>
      <c r="FM296" s="158"/>
      <c r="FN296" s="158"/>
      <c r="FP296" s="113"/>
      <c r="FQ296" s="158"/>
      <c r="FR296" s="158"/>
      <c r="FS296" s="158"/>
      <c r="FT296" s="158"/>
      <c r="FU296" s="158"/>
      <c r="FW296" s="113"/>
      <c r="FX296" s="158"/>
      <c r="FY296" s="158"/>
      <c r="FZ296" s="158"/>
      <c r="GA296" s="158"/>
      <c r="GB296" s="158"/>
      <c r="GD296" s="113"/>
      <c r="GE296" s="158"/>
      <c r="GF296" s="158"/>
      <c r="GG296" s="158"/>
      <c r="GH296" s="158"/>
      <c r="GI296" s="158"/>
      <c r="GK296" s="113"/>
      <c r="GL296" s="158"/>
      <c r="GM296" s="158"/>
      <c r="GN296" s="158"/>
      <c r="GO296" s="158"/>
      <c r="GP296" s="158"/>
      <c r="GR296" s="113"/>
      <c r="GS296" s="158"/>
      <c r="GT296" s="158"/>
      <c r="GU296" s="158"/>
      <c r="GV296" s="158"/>
      <c r="GW296" s="158"/>
      <c r="GY296" s="113"/>
      <c r="GZ296" s="158"/>
      <c r="HA296" s="158"/>
      <c r="HB296" s="158"/>
      <c r="HC296" s="158"/>
      <c r="HD296" s="158"/>
      <c r="HF296" s="113"/>
      <c r="HG296" s="158"/>
      <c r="HH296" s="158"/>
      <c r="HI296" s="158"/>
      <c r="HJ296" s="158"/>
      <c r="HK296" s="158"/>
      <c r="HM296" s="113"/>
      <c r="HN296" s="158"/>
      <c r="HO296" s="158"/>
      <c r="HP296" s="158"/>
      <c r="HQ296" s="158"/>
      <c r="HR296" s="158"/>
      <c r="HT296" s="113"/>
      <c r="HU296" s="158"/>
      <c r="HV296" s="158"/>
      <c r="HW296" s="158"/>
      <c r="HX296" s="158"/>
      <c r="HY296" s="158"/>
      <c r="IA296" s="113"/>
      <c r="IB296" s="158"/>
      <c r="IC296" s="158"/>
      <c r="ID296" s="158"/>
      <c r="IE296" s="158"/>
      <c r="IF296" s="158"/>
      <c r="IH296" s="113"/>
      <c r="II296" s="158"/>
      <c r="IJ296" s="158"/>
      <c r="IK296" s="158"/>
      <c r="IL296" s="158"/>
      <c r="IM296" s="158"/>
      <c r="IO296" s="113"/>
      <c r="IP296" s="158"/>
      <c r="IQ296" s="158"/>
      <c r="IR296" s="158"/>
      <c r="IS296" s="158"/>
      <c r="IT296" s="158"/>
      <c r="IV296" s="113"/>
      <c r="IW296" s="158"/>
      <c r="IX296" s="158"/>
      <c r="IY296" s="158"/>
      <c r="IZ296" s="158"/>
      <c r="JA296" s="158"/>
      <c r="JC296" s="113"/>
      <c r="JD296" s="158"/>
      <c r="JE296" s="158"/>
      <c r="JF296" s="158"/>
      <c r="JG296" s="158"/>
      <c r="JH296" s="158"/>
      <c r="JJ296" s="113"/>
      <c r="JK296" s="158"/>
      <c r="JL296" s="158"/>
      <c r="JM296" s="158"/>
      <c r="JN296" s="158"/>
      <c r="JO296" s="158"/>
      <c r="JQ296" s="113"/>
      <c r="JR296" s="158"/>
      <c r="JS296" s="158"/>
      <c r="JT296" s="158"/>
      <c r="JU296" s="158"/>
      <c r="JV296" s="158"/>
      <c r="JX296" s="113"/>
      <c r="JY296" s="158"/>
      <c r="JZ296" s="158"/>
      <c r="KA296" s="158"/>
      <c r="KB296" s="158"/>
      <c r="KC296" s="158"/>
      <c r="KE296" s="113"/>
      <c r="KF296" s="158"/>
      <c r="KG296" s="158"/>
      <c r="KH296" s="158"/>
      <c r="KI296" s="158"/>
      <c r="KJ296" s="158"/>
      <c r="KL296" s="113"/>
      <c r="KM296" s="158"/>
      <c r="KN296" s="158"/>
      <c r="KO296" s="158"/>
      <c r="KP296" s="158"/>
      <c r="KQ296" s="158"/>
      <c r="KS296" s="113"/>
      <c r="KT296" s="158"/>
      <c r="KU296" s="158"/>
      <c r="KV296" s="104"/>
      <c r="KW296" s="158"/>
      <c r="KX296" s="158"/>
      <c r="KZ296" s="113"/>
      <c r="LA296" s="158"/>
      <c r="LB296" s="158"/>
      <c r="LC296" s="104"/>
      <c r="LE296" s="158"/>
      <c r="LF296" s="555"/>
      <c r="LG296" s="113"/>
      <c r="LH296" s="104"/>
      <c r="LI296" s="104"/>
      <c r="LJ296" s="104"/>
      <c r="LK296" s="104"/>
      <c r="LL296" s="158"/>
      <c r="LM296" s="555"/>
      <c r="LN296" s="113"/>
      <c r="LO296" s="104"/>
      <c r="LP296" s="104"/>
      <c r="LQ296" s="104"/>
      <c r="LR296" s="104"/>
      <c r="LS296" s="158"/>
      <c r="LT296" s="555"/>
      <c r="LU296" s="113"/>
      <c r="LV296" s="104"/>
      <c r="LW296" s="104"/>
      <c r="LX296" s="104"/>
      <c r="LY296" s="104"/>
      <c r="LZ296" s="158"/>
      <c r="MA296" s="555"/>
      <c r="MB296" s="113"/>
      <c r="MC296" s="104"/>
      <c r="MD296" s="104"/>
      <c r="ME296" s="104"/>
      <c r="MF296" s="104"/>
      <c r="MG296" s="158"/>
      <c r="MH296" s="555"/>
    </row>
    <row r="297" spans="1:346" s="68" customFormat="1" ht="13.15" x14ac:dyDescent="0.4">
      <c r="A297" s="140"/>
      <c r="B297" s="164" t="s">
        <v>440</v>
      </c>
      <c r="C297" s="165"/>
      <c r="D297" s="165"/>
      <c r="E297" s="165"/>
      <c r="F297" s="165"/>
      <c r="G297" s="165"/>
      <c r="H297" s="165"/>
      <c r="I297" s="165"/>
      <c r="J297" s="165"/>
      <c r="K297" s="165"/>
      <c r="L297" s="165"/>
      <c r="M297" s="165"/>
      <c r="N297" s="166">
        <f>BT297</f>
        <v>93.183009963293145</v>
      </c>
      <c r="O297" s="166">
        <f>CA297</f>
        <v>91.016427104722794</v>
      </c>
      <c r="P297" s="166">
        <f>CH297</f>
        <v>92.586399108138224</v>
      </c>
      <c r="Q297" s="166">
        <f>CO297</f>
        <v>91.988636363636346</v>
      </c>
      <c r="R297" s="166">
        <f>CV297</f>
        <v>92.081736909323112</v>
      </c>
      <c r="S297" s="166">
        <f>DC297</f>
        <v>91.716328963051254</v>
      </c>
      <c r="T297" s="166">
        <f>DJ297</f>
        <v>94.457687723480333</v>
      </c>
      <c r="U297" s="166">
        <f>DQ297</f>
        <v>95.616598480420805</v>
      </c>
      <c r="V297" s="166">
        <f>DX297</f>
        <v>96.616102683780625</v>
      </c>
      <c r="W297" s="166">
        <f>EE297</f>
        <v>97.637795275590548</v>
      </c>
      <c r="X297" s="166">
        <f>EL297</f>
        <v>97.831474597273868</v>
      </c>
      <c r="Y297" s="166">
        <f>ES297</f>
        <v>102.83132530120484</v>
      </c>
      <c r="Z297" s="166">
        <f>EZ297</f>
        <v>104.81997677119627</v>
      </c>
      <c r="AA297" s="166">
        <f>FG297</f>
        <v>106.28970775095299</v>
      </c>
      <c r="AB297" s="166">
        <f>FN297</f>
        <v>106.17834394904459</v>
      </c>
      <c r="AC297" s="166">
        <f>FU297</f>
        <v>106.20855937311633</v>
      </c>
      <c r="AD297" s="166">
        <f>GB297</f>
        <v>106.37311703360372</v>
      </c>
      <c r="AE297" s="166">
        <f>GI297</f>
        <v>107.89766407119022</v>
      </c>
      <c r="AF297" s="166">
        <f>GP297</f>
        <v>109.14737436476565</v>
      </c>
      <c r="AG297" s="166">
        <f>GW297</f>
        <v>110.06183249016301</v>
      </c>
      <c r="AH297" s="166">
        <f>HD297</f>
        <v>110.0929614873838</v>
      </c>
      <c r="AI297" s="166">
        <f>HK297</f>
        <v>105.78512396694212</v>
      </c>
      <c r="AJ297" s="166">
        <f>HR297</f>
        <v>106.45792563600784</v>
      </c>
      <c r="AK297" s="166">
        <f>HY297</f>
        <v>112.01550387596899</v>
      </c>
      <c r="AL297" s="166">
        <f>IF297</f>
        <v>112.30125523012552</v>
      </c>
      <c r="AM297" s="166">
        <f>IM297</f>
        <v>113.23296354992074</v>
      </c>
      <c r="AN297" s="166">
        <f>IT297</f>
        <v>114.01693320790218</v>
      </c>
      <c r="AO297" s="166">
        <f>JA297</f>
        <v>114.08114558472555</v>
      </c>
      <c r="AP297" s="166">
        <f>JH297</f>
        <v>113.8011695906433</v>
      </c>
      <c r="AQ297" s="166">
        <f>JO297</f>
        <v>113.19052987598647</v>
      </c>
      <c r="AR297" s="166">
        <f>JV297</f>
        <v>112.45551601423487</v>
      </c>
      <c r="AS297" s="166">
        <f>KC297</f>
        <v>112.24489795918367</v>
      </c>
      <c r="AT297" s="166">
        <f>KJ297</f>
        <v>111.89801699716713</v>
      </c>
      <c r="AU297" s="166">
        <f>KQ297</f>
        <v>112.05164992826398</v>
      </c>
      <c r="AV297" s="166">
        <f>KX297</f>
        <v>112.58278145695364</v>
      </c>
      <c r="AW297" s="166">
        <f>LE297</f>
        <v>112.3641304347826</v>
      </c>
      <c r="AX297" s="166">
        <f>LL297</f>
        <v>112.81337047353759</v>
      </c>
      <c r="AY297" s="166">
        <f>LS297</f>
        <v>112.81415400085609</v>
      </c>
      <c r="AZ297" s="166">
        <f>LZ297</f>
        <v>112.81332368408408</v>
      </c>
      <c r="BA297" s="166">
        <f>MG297</f>
        <v>112.81332368408408</v>
      </c>
      <c r="BB297" s="166"/>
      <c r="BC297" s="166"/>
      <c r="BD297" s="166"/>
      <c r="BE297" s="166"/>
      <c r="BF297" s="166"/>
      <c r="BG297" s="166"/>
      <c r="BH297" s="166"/>
      <c r="BI297" s="166"/>
      <c r="BJ297" s="166"/>
      <c r="BK297" s="166"/>
      <c r="BL297" s="166"/>
      <c r="BM297" s="166"/>
      <c r="BO297" s="164" t="s">
        <v>440</v>
      </c>
      <c r="BP297" s="165">
        <f>+BP289*1000/BP86</f>
        <v>91.563786008230451</v>
      </c>
      <c r="BQ297" s="165">
        <f>+BQ289*1000/BQ86</f>
        <v>92.842535787321069</v>
      </c>
      <c r="BR297" s="165">
        <f>+BR289*1000/BR86</f>
        <v>95.434782608695656</v>
      </c>
      <c r="BS297" s="165">
        <f>+BS289*1000/BS86</f>
        <v>93.008474576271183</v>
      </c>
      <c r="BT297" s="165">
        <f>+BT289*1000/BT86</f>
        <v>93.183009963293145</v>
      </c>
      <c r="BV297" s="164" t="s">
        <v>440</v>
      </c>
      <c r="BW297" s="165">
        <f>+BW289*1000/BW86</f>
        <v>90.581162324649299</v>
      </c>
      <c r="BX297" s="165">
        <f>+BX289*1000/BX86</f>
        <v>89.178356713426851</v>
      </c>
      <c r="BY297" s="165">
        <f>+BY289*1000/BY86</f>
        <v>91.440501043841351</v>
      </c>
      <c r="BZ297" s="165">
        <f>+BZ289*1000/BZ86</f>
        <v>92.99363057324841</v>
      </c>
      <c r="CA297" s="165">
        <f>+CA289*1000/CA86</f>
        <v>91.016427104722794</v>
      </c>
      <c r="CC297" s="164" t="s">
        <v>440</v>
      </c>
      <c r="CD297" s="165">
        <f>+CD289*1000/CD86</f>
        <v>92.290249433106553</v>
      </c>
      <c r="CE297" s="165">
        <f>+CE289*1000/CE86</f>
        <v>93.087557603686633</v>
      </c>
      <c r="CF297" s="165">
        <f>+CF289*1000/CF86</f>
        <v>92.440604751619887</v>
      </c>
      <c r="CG297" s="165">
        <f>+CG289*1000/CG86</f>
        <v>92.543859649122808</v>
      </c>
      <c r="CH297" s="165">
        <f>+CH289*1000/CH86</f>
        <v>92.586399108138224</v>
      </c>
      <c r="CJ297" s="164" t="s">
        <v>440</v>
      </c>
      <c r="CK297" s="165">
        <f>+CK289*1000/CK86</f>
        <v>92.081447963800912</v>
      </c>
      <c r="CL297" s="165">
        <f>+CL289*1000/CL86</f>
        <v>91.244239631336384</v>
      </c>
      <c r="CM297" s="165">
        <f>+CM289*1000/CM86</f>
        <v>91.647855530474047</v>
      </c>
      <c r="CN297" s="165">
        <f>+CN289*1000/CN86</f>
        <v>92.97052154195012</v>
      </c>
      <c r="CO297" s="165">
        <f>+CO289*1000/CO86</f>
        <v>91.988636363636346</v>
      </c>
      <c r="CQ297" s="164" t="s">
        <v>440</v>
      </c>
      <c r="CR297" s="165">
        <f>+CR289*1000/CR86</f>
        <v>92.639593908629436</v>
      </c>
      <c r="CS297" s="165">
        <f>+CS289*1000/CS86</f>
        <v>92.857142857142833</v>
      </c>
      <c r="CT297" s="165">
        <f>+CT289*1000/CT86</f>
        <v>91.815856777493622</v>
      </c>
      <c r="CU297" s="165">
        <f>+CU289*1000/CU86</f>
        <v>90.933333333333337</v>
      </c>
      <c r="CV297" s="165">
        <f>+CV289*1000/CV86</f>
        <v>92.081736909323112</v>
      </c>
      <c r="CX297" s="164" t="s">
        <v>440</v>
      </c>
      <c r="CY297" s="165">
        <f>+CY289*1000/CY86</f>
        <v>91.161616161616166</v>
      </c>
      <c r="CZ297" s="165">
        <f>+CZ289*1000/CZ86</f>
        <v>91.686460807600952</v>
      </c>
      <c r="DA297" s="165">
        <f>+DA289*1000/DA86</f>
        <v>91.860465116279073</v>
      </c>
      <c r="DB297" s="165">
        <f>+DB289*1000/DB86</f>
        <v>92.111368909512748</v>
      </c>
      <c r="DC297" s="165">
        <f>+DC289*1000/DC86</f>
        <v>91.716328963051254</v>
      </c>
      <c r="DE297" s="164" t="s">
        <v>440</v>
      </c>
      <c r="DF297" s="165">
        <f>+DF289*1000/DF86</f>
        <v>92.753623188405797</v>
      </c>
      <c r="DG297" s="165">
        <f>+DG289*1000/DG86</f>
        <v>94.285714285714292</v>
      </c>
      <c r="DH297" s="165">
        <f>+DH289*1000/DH86</f>
        <v>95.035460992907801</v>
      </c>
      <c r="DI297" s="165">
        <f>+DI289*1000/DI86</f>
        <v>95.72446555819478</v>
      </c>
      <c r="DJ297" s="165">
        <f>+DJ289*1000/DJ86</f>
        <v>94.457687723480333</v>
      </c>
      <c r="DL297" s="164" t="s">
        <v>440</v>
      </c>
      <c r="DM297" s="165">
        <f>+DM289*1000/DM86</f>
        <v>95.024875621890544</v>
      </c>
      <c r="DN297" s="165">
        <f>+DN289*1000/DN86</f>
        <v>96.313364055299544</v>
      </c>
      <c r="DO297" s="165">
        <f>+DO289*1000/DO86</f>
        <v>95.381062355658216</v>
      </c>
      <c r="DP297" s="165">
        <f>+DP289*1000/DP86</f>
        <v>95.701357466063342</v>
      </c>
      <c r="DQ297" s="165">
        <f>+DQ289*1000/DQ86</f>
        <v>95.616598480420805</v>
      </c>
      <c r="DS297" s="164" t="s">
        <v>440</v>
      </c>
      <c r="DT297" s="165">
        <f>+DT289*1000/DT86</f>
        <v>96.511627906976742</v>
      </c>
      <c r="DU297" s="165">
        <f>+DU289*1000/DU86</f>
        <v>96.437054631828985</v>
      </c>
      <c r="DV297" s="165">
        <f>+DV289*1000/DV86</f>
        <v>96.495327102803742</v>
      </c>
      <c r="DW297" s="165">
        <f>+DW289*1000/DW86</f>
        <v>97.011494252873561</v>
      </c>
      <c r="DX297" s="165">
        <f>+DX289*1000/DX86</f>
        <v>96.616102683780625</v>
      </c>
      <c r="DZ297" s="164" t="s">
        <v>440</v>
      </c>
      <c r="EA297" s="165">
        <f>+EA289*1000/EA86</f>
        <v>97.54299754299754</v>
      </c>
      <c r="EB297" s="165">
        <f>+EB289*1000/EB86</f>
        <v>97.815533980582543</v>
      </c>
      <c r="EC297" s="165">
        <f>+EC289*1000/EC86</f>
        <v>97.590361445783131</v>
      </c>
      <c r="ED297" s="165">
        <f>+ED289*1000/ED86</f>
        <v>97.601918465227797</v>
      </c>
      <c r="EE297" s="165">
        <f>+EE289*1000/EE86</f>
        <v>97.637795275590548</v>
      </c>
      <c r="EG297" s="164" t="s">
        <v>440</v>
      </c>
      <c r="EH297" s="165">
        <f>+EH289*1000/EH86</f>
        <v>98.484848484848484</v>
      </c>
      <c r="EI297" s="165">
        <f>+EI289*1000/EI86</f>
        <v>99.204244031830243</v>
      </c>
      <c r="EJ297" s="165">
        <f>+EJ289*1000/EJ86</f>
        <v>96.261682242990631</v>
      </c>
      <c r="EK297" s="165">
        <f>+EK289*1000/EK86</f>
        <v>97.578692493946747</v>
      </c>
      <c r="EL297" s="165">
        <f>+EL289*1000/EL86</f>
        <v>97.831474597273868</v>
      </c>
      <c r="EN297" s="164" t="s">
        <v>440</v>
      </c>
      <c r="EO297" s="165">
        <f>+EO289*1000/EO86</f>
        <v>99.747474747474755</v>
      </c>
      <c r="EP297" s="165">
        <f>+EP289*1000/EP86</f>
        <v>103.66748166259171</v>
      </c>
      <c r="EQ297" s="165">
        <f>+EQ289*1000/EQ86</f>
        <v>103.92609699769054</v>
      </c>
      <c r="ER297" s="165">
        <f>+ER289*1000/ER86</f>
        <v>103.7914691943128</v>
      </c>
      <c r="ES297" s="165">
        <f>+ES289*1000/ES86</f>
        <v>102.83132530120484</v>
      </c>
      <c r="EU297" s="164" t="s">
        <v>440</v>
      </c>
      <c r="EV297" s="165">
        <f>+EV289*1000/EV86</f>
        <v>104.55580865603645</v>
      </c>
      <c r="EW297" s="165">
        <f>+EW289*1000/EW86</f>
        <v>104.41860465116279</v>
      </c>
      <c r="EX297" s="165">
        <f>+EX289*1000/EX86</f>
        <v>104.97630331753554</v>
      </c>
      <c r="EY297" s="165">
        <f>+EY289*1000/EY86</f>
        <v>105.33642691415314</v>
      </c>
      <c r="EZ297" s="165">
        <f>+EZ289*1000/EZ86</f>
        <v>104.81997677119627</v>
      </c>
      <c r="FB297" s="164" t="s">
        <v>440</v>
      </c>
      <c r="FC297" s="165">
        <f>+FC289*1000/FC86</f>
        <v>105.85241730279898</v>
      </c>
      <c r="FD297" s="165">
        <f>+FD289*1000/FD86</f>
        <v>106.13810741687979</v>
      </c>
      <c r="FE297" s="165">
        <f>+FE289*1000/FE86</f>
        <v>106.58227848101266</v>
      </c>
      <c r="FF297" s="165">
        <f>+FF289*1000/FF86</f>
        <v>106.58227848101266</v>
      </c>
      <c r="FG297" s="165">
        <f>+FG289*1000/FG86</f>
        <v>106.28970775095299</v>
      </c>
      <c r="FI297" s="164" t="s">
        <v>440</v>
      </c>
      <c r="FJ297" s="165">
        <f>+FJ289*1000/FJ86</f>
        <v>105.89812332439678</v>
      </c>
      <c r="FK297" s="165">
        <f>+FK289*1000/FK86</f>
        <v>106.5</v>
      </c>
      <c r="FL297" s="165">
        <f>+FL289*1000/FL86</f>
        <v>106.39386189258312</v>
      </c>
      <c r="FM297" s="165">
        <f>+FM289*1000/FM86</f>
        <v>105.91133004926108</v>
      </c>
      <c r="FN297" s="165">
        <f>+FN289*1000/FN86</f>
        <v>106.17834394904459</v>
      </c>
      <c r="FP297" s="164" t="s">
        <v>440</v>
      </c>
      <c r="FQ297" s="165">
        <f>+FQ289*1000/FQ86</f>
        <v>105.95533498759303</v>
      </c>
      <c r="FR297" s="165">
        <f>+FR289*1000/FR86</f>
        <v>106.34146341463415</v>
      </c>
      <c r="FS297" s="165">
        <f>+FS289*1000/FS86</f>
        <v>105.91133004926108</v>
      </c>
      <c r="FT297" s="165">
        <f>+FT289*1000/FT86</f>
        <v>106.59090909090911</v>
      </c>
      <c r="FU297" s="165">
        <f>+FU289*1000/FU86</f>
        <v>106.20855937311633</v>
      </c>
      <c r="FW297" s="164" t="s">
        <v>440</v>
      </c>
      <c r="FX297" s="165">
        <f>+FX289*1000/FX86</f>
        <v>105.94965675057209</v>
      </c>
      <c r="FY297" s="165">
        <f>+FY289*1000/FY86</f>
        <v>106.39269406392694</v>
      </c>
      <c r="FZ297" s="165">
        <f>+FZ289*1000/FZ86</f>
        <v>106.63507109004739</v>
      </c>
      <c r="GA297" s="165">
        <f>+GA289*1000/GA86</f>
        <v>106.52680652680652</v>
      </c>
      <c r="GB297" s="165">
        <f>+GB289*1000/GB86</f>
        <v>106.37311703360372</v>
      </c>
      <c r="GD297" s="164" t="s">
        <v>440</v>
      </c>
      <c r="GE297" s="165">
        <f>+GE289*1000/GE86</f>
        <v>106.79824561403508</v>
      </c>
      <c r="GF297" s="165">
        <f>+GF289*1000/GF86</f>
        <v>109.19282511210763</v>
      </c>
      <c r="GG297" s="165">
        <f>+GG289*1000/GG86</f>
        <v>107.3170731707317</v>
      </c>
      <c r="GH297" s="165">
        <f>+GH289*1000/GH86</f>
        <v>108.31460674157302</v>
      </c>
      <c r="GI297" s="165">
        <f>+GI289*1000/GI86</f>
        <v>107.89766407119022</v>
      </c>
      <c r="GK297" s="164" t="s">
        <v>440</v>
      </c>
      <c r="GL297" s="165">
        <f>+GL289*1000/GL86</f>
        <v>108.84353741496598</v>
      </c>
      <c r="GM297" s="165">
        <f>+GM289*1000/GM86</f>
        <v>108.82352941176471</v>
      </c>
      <c r="GN297" s="165">
        <f>+GN289*1000/GN86</f>
        <v>109.52380952380955</v>
      </c>
      <c r="GO297" s="165">
        <f>+GO289*1000/GO86</f>
        <v>109.39597315436242</v>
      </c>
      <c r="GP297" s="165">
        <f>+GP289*1000/GP86</f>
        <v>109.14737436476565</v>
      </c>
      <c r="GR297" s="164" t="s">
        <v>440</v>
      </c>
      <c r="GS297" s="165">
        <f>+GS289*1000/GS86</f>
        <v>109.54545454545455</v>
      </c>
      <c r="GT297" s="165">
        <f>+GT289*1000/GT86</f>
        <v>110</v>
      </c>
      <c r="GU297" s="165">
        <f>+GU289*1000/GU86</f>
        <v>110.22727272727273</v>
      </c>
      <c r="GV297" s="165">
        <f>+GV289*1000/GV86</f>
        <v>110.46770601336303</v>
      </c>
      <c r="GW297" s="165">
        <f>+GW289*1000/GW86</f>
        <v>110.06183249016301</v>
      </c>
      <c r="GY297" s="164" t="s">
        <v>440</v>
      </c>
      <c r="GZ297" s="165">
        <f>+GZ289*1000/GZ86</f>
        <v>110.36144578313255</v>
      </c>
      <c r="HA297" s="165">
        <f>+HA289*1000/HA86</f>
        <v>111.91135734072022</v>
      </c>
      <c r="HB297" s="165">
        <f>+HB289*1000/HB86</f>
        <v>111.78082191780823</v>
      </c>
      <c r="HC297" s="165">
        <f>+HC289*1000/HC86</f>
        <v>106.30136986301372</v>
      </c>
      <c r="HD297" s="165">
        <f>+HD289*1000/HD86</f>
        <v>110.0929614873838</v>
      </c>
      <c r="HF297" s="164" t="s">
        <v>440</v>
      </c>
      <c r="HG297" s="165">
        <f>+HG289*1000/HG86</f>
        <v>106.43431635388738</v>
      </c>
      <c r="HH297" s="165">
        <f>+HH289*1000/HH86</f>
        <v>105.7356608478803</v>
      </c>
      <c r="HI297" s="165">
        <f>+HI289*1000/HI86</f>
        <v>104.59183673469387</v>
      </c>
      <c r="HJ297" s="165">
        <f>+HJ289*1000/HJ86</f>
        <v>106.38820638820638</v>
      </c>
      <c r="HK297" s="165">
        <f>+HK289*1000/HK86</f>
        <v>105.78512396694212</v>
      </c>
      <c r="HM297" s="164" t="s">
        <v>440</v>
      </c>
      <c r="HN297" s="165">
        <f>+HN289*1000/HN86</f>
        <v>107.27272727272727</v>
      </c>
      <c r="HO297" s="165">
        <f>+HO289*1000/HO86</f>
        <v>106.18556701030928</v>
      </c>
      <c r="HP297" s="165">
        <f>+HP289*1000/HP86</f>
        <v>106.21761658031087</v>
      </c>
      <c r="HQ297" s="165">
        <f>+HQ289*1000/HQ86</f>
        <v>106.14973262032086</v>
      </c>
      <c r="HR297" s="165">
        <f>+HR289*1000/HR86</f>
        <v>106.45792563600784</v>
      </c>
      <c r="HT297" s="164" t="s">
        <v>440</v>
      </c>
      <c r="HU297" s="165">
        <f>+HU289*1000/HU86</f>
        <v>111.78247734138972</v>
      </c>
      <c r="HV297" s="165">
        <f>+HV289*1000/HV86</f>
        <v>111.78247734138972</v>
      </c>
      <c r="HW297" s="165">
        <f>+HW289*1000/HW86</f>
        <v>112.38390092879257</v>
      </c>
      <c r="HX297" s="165">
        <f>+HX289*1000/HX86</f>
        <v>112.1311475409836</v>
      </c>
      <c r="HY297" s="165">
        <f>+HY289*1000/HY86</f>
        <v>112.01550387596899</v>
      </c>
      <c r="IA297" s="164" t="s">
        <v>440</v>
      </c>
      <c r="IB297" s="165">
        <f>+IB289*1000/IB86</f>
        <v>111.78451178451178</v>
      </c>
      <c r="IC297" s="165">
        <f>+IC289*1000/IC86</f>
        <v>112.58064516129032</v>
      </c>
      <c r="ID297" s="165">
        <f>+ID289*1000/ID86</f>
        <v>112.37458193979933</v>
      </c>
      <c r="IE297" s="165">
        <f>+IE289*1000/IE86</f>
        <v>112.45674740484429</v>
      </c>
      <c r="IF297" s="165">
        <f>+IF289*1000/IF86</f>
        <v>112.30125523012552</v>
      </c>
      <c r="IH297" s="164" t="s">
        <v>440</v>
      </c>
      <c r="II297" s="165">
        <f>+II289*1000/II86</f>
        <v>112.62798634812286</v>
      </c>
      <c r="IJ297" s="165">
        <f>+IJ289*1000/IJ86</f>
        <v>113.63636363636364</v>
      </c>
      <c r="IK297" s="165">
        <f>+IK289*1000/IK86</f>
        <v>113.16614420062693</v>
      </c>
      <c r="IL297" s="165">
        <f>+IL289*1000/IL86</f>
        <v>113.4375</v>
      </c>
      <c r="IM297" s="165">
        <f>+IM289*1000/IM86</f>
        <v>113.23296354992074</v>
      </c>
      <c r="IO297" s="164" t="s">
        <v>440</v>
      </c>
      <c r="IP297" s="165">
        <f>+IP289*1000/IP86</f>
        <v>113.14878892733566</v>
      </c>
      <c r="IQ297" s="165">
        <f>+IQ289*1000/IQ86</f>
        <v>114.23728813559322</v>
      </c>
      <c r="IR297" s="165">
        <f>+IR289*1000/IR86</f>
        <v>114.55938697318008</v>
      </c>
      <c r="IS297" s="165">
        <f>+IS289*1000/IS86</f>
        <v>114.22018348623853</v>
      </c>
      <c r="IT297" s="165">
        <f>+IT289*1000/IT86</f>
        <v>114.01693320790218</v>
      </c>
      <c r="IV297" s="164" t="s">
        <v>440</v>
      </c>
      <c r="IW297" s="165">
        <f>+IW289*1000/IW86</f>
        <v>113.5</v>
      </c>
      <c r="IX297" s="165">
        <f>+IX289*1000/IX86</f>
        <v>113.33333333333333</v>
      </c>
      <c r="IY297" s="165">
        <f>+IY289*1000/IY86</f>
        <v>114.49275362318841</v>
      </c>
      <c r="IZ297" s="165">
        <f>+IZ289*1000/IZ86</f>
        <v>114.83050847457628</v>
      </c>
      <c r="JA297" s="165">
        <f>+JA289*1000/JA86</f>
        <v>114.08114558472555</v>
      </c>
      <c r="JC297" s="164" t="s">
        <v>440</v>
      </c>
      <c r="JD297" s="165">
        <f>+JD289*1000/JD86</f>
        <v>113.17073170731707</v>
      </c>
      <c r="JE297" s="165">
        <f>+JE289*1000/JE86</f>
        <v>113.46153846153847</v>
      </c>
      <c r="JF297" s="165">
        <f>+JF289*1000/JF86</f>
        <v>114.22018348623855</v>
      </c>
      <c r="JG297" s="165">
        <f>+JG289*1000/JG86</f>
        <v>114.28571428571429</v>
      </c>
      <c r="JH297" s="165">
        <f>+JH289*1000/JH86</f>
        <v>113.8011695906433</v>
      </c>
      <c r="JJ297" s="164" t="s">
        <v>440</v>
      </c>
      <c r="JK297" s="165">
        <f>+JK289*1000/JK86</f>
        <v>113.93034825870647</v>
      </c>
      <c r="JL297" s="165">
        <f>+JL289*1000/JL86</f>
        <v>113.06306306306307</v>
      </c>
      <c r="JM297" s="165">
        <f>+JM289*1000/JM86</f>
        <v>113.24786324786325</v>
      </c>
      <c r="JN297" s="165">
        <f>+JN289*1000/JN86</f>
        <v>112.60869565217391</v>
      </c>
      <c r="JO297" s="165">
        <f>+JO289*1000/JO86</f>
        <v>113.19052987598647</v>
      </c>
      <c r="JQ297" s="164" t="s">
        <v>440</v>
      </c>
      <c r="JR297" s="165">
        <f>+JR289*1000/JR86</f>
        <v>111.79245283018868</v>
      </c>
      <c r="JS297" s="165">
        <f>+JS289*1000/JS86</f>
        <v>112.38938053097345</v>
      </c>
      <c r="JT297" s="165">
        <f>+JT289*1000/JT86</f>
        <v>113.14553990610328</v>
      </c>
      <c r="JU297" s="165">
        <f>+JU289*1000/JU86</f>
        <v>112.5</v>
      </c>
      <c r="JV297" s="165">
        <f>+JV289*1000/JV86</f>
        <v>112.45551601423487</v>
      </c>
      <c r="JX297" s="164" t="s">
        <v>440</v>
      </c>
      <c r="JY297" s="165">
        <f>+JY289*1000/JY86</f>
        <v>111.60220994475138</v>
      </c>
      <c r="JZ297" s="165">
        <f>+JZ289*1000/JZ86</f>
        <v>111.81102362204724</v>
      </c>
      <c r="KA297" s="165">
        <f>+KA289*1000/KA86</f>
        <v>112.90322580645162</v>
      </c>
      <c r="KB297" s="165">
        <f>+KB289*1000/KB86</f>
        <v>112.64367816091954</v>
      </c>
      <c r="KC297" s="165">
        <f>+KC289*1000/KC86</f>
        <v>112.24489795918367</v>
      </c>
      <c r="KE297" s="164" t="s">
        <v>440</v>
      </c>
      <c r="KF297" s="165">
        <f>+KF289*1000/KF86</f>
        <v>111.62790697674421</v>
      </c>
      <c r="KG297" s="165">
        <f>+KG289*1000/KG86</f>
        <v>112.02185792349727</v>
      </c>
      <c r="KH297" s="165">
        <f>+KH289*1000/KH86</f>
        <v>112.77777777777777</v>
      </c>
      <c r="KI297" s="165">
        <f>+KI289*1000/KI86</f>
        <v>111.11111111111111</v>
      </c>
      <c r="KJ297" s="165">
        <f>+KJ289*1000/KJ86</f>
        <v>111.89801699716713</v>
      </c>
      <c r="KL297" s="164" t="s">
        <v>440</v>
      </c>
      <c r="KM297" s="165">
        <f>+KM289*1000/KM86</f>
        <v>111.61290322580645</v>
      </c>
      <c r="KN297" s="165">
        <f>+KN289*1000/KN86</f>
        <v>112.35955056179775</v>
      </c>
      <c r="KO297" s="165">
        <f>+KO289*1000/KO86</f>
        <v>111.86440677966101</v>
      </c>
      <c r="KP297" s="165">
        <f>+KP289*1000/KP86</f>
        <v>112.29946524064171</v>
      </c>
      <c r="KQ297" s="165">
        <f>+KQ289*1000/KQ86</f>
        <v>112.05164992826398</v>
      </c>
      <c r="KS297" s="164" t="s">
        <v>440</v>
      </c>
      <c r="KT297" s="165">
        <f>+KT289*1000/KT86</f>
        <v>112.43243243243244</v>
      </c>
      <c r="KU297" s="165">
        <f>+KU289*1000/KU86</f>
        <v>112.43243243243244</v>
      </c>
      <c r="KV297" s="165">
        <f>+KV289*1000/KV86</f>
        <v>112.43523316062176</v>
      </c>
      <c r="KW297" s="165">
        <f>+KW289*1000/KW86</f>
        <v>113.02083333333336</v>
      </c>
      <c r="KX297" s="165">
        <f>+KX289*1000/KX86</f>
        <v>112.58278145695364</v>
      </c>
      <c r="KZ297" s="164" t="s">
        <v>440</v>
      </c>
      <c r="LA297" s="165">
        <f>+LA289*1000/LA86</f>
        <v>112.76595744680851</v>
      </c>
      <c r="LB297" s="165">
        <f>+LB289*1000/LB86</f>
        <v>112.29050279329608</v>
      </c>
      <c r="LC297" s="165">
        <f>+LC289*1000/LC86</f>
        <v>112.10526315789471</v>
      </c>
      <c r="LD297" s="165">
        <f>+LD289*1000/LD86</f>
        <v>112.29050279329608</v>
      </c>
      <c r="LE297" s="165">
        <f>+LE289*1000/LE86</f>
        <v>112.3641304347826</v>
      </c>
      <c r="LF297" s="555"/>
      <c r="LG297" s="164" t="s">
        <v>440</v>
      </c>
      <c r="LH297" s="165">
        <f>+LH289*1000/LH86</f>
        <v>112.79069767441861</v>
      </c>
      <c r="LI297" s="165">
        <f>+LI289*1000/LI86</f>
        <v>112.15469613259667</v>
      </c>
      <c r="LJ297" s="165">
        <f>+LJ289*1000/LJ86</f>
        <v>113.58695652173913</v>
      </c>
      <c r="LK297" s="165">
        <f>+LK289*1000/LK86</f>
        <v>112.70718232044199</v>
      </c>
      <c r="LL297" s="165">
        <f>+LL289*1000/LL86</f>
        <v>112.81337047353759</v>
      </c>
      <c r="LM297" s="555"/>
      <c r="LN297" s="164" t="s">
        <v>440</v>
      </c>
      <c r="LO297" s="637">
        <f t="shared" ref="LO297" si="7012">LH297</f>
        <v>112.79069767441861</v>
      </c>
      <c r="LP297" s="637">
        <f t="shared" ref="LP297" si="7013">LI297</f>
        <v>112.15469613259667</v>
      </c>
      <c r="LQ297" s="637">
        <f>LJ297</f>
        <v>113.58695652173913</v>
      </c>
      <c r="LR297" s="637">
        <f t="shared" ref="LR297" si="7014">LK297</f>
        <v>112.70718232044199</v>
      </c>
      <c r="LS297" s="165">
        <f>+LS289*1000/LS86</f>
        <v>112.81415400085609</v>
      </c>
      <c r="LT297" s="555"/>
      <c r="LU297" s="164" t="s">
        <v>440</v>
      </c>
      <c r="LV297" s="637">
        <f t="shared" ref="LV297" si="7015">LO297</f>
        <v>112.79069767441861</v>
      </c>
      <c r="LW297" s="637">
        <f t="shared" ref="LW297" si="7016">LP297</f>
        <v>112.15469613259667</v>
      </c>
      <c r="LX297" s="637">
        <f t="shared" ref="LX297" si="7017">LQ297</f>
        <v>113.58695652173913</v>
      </c>
      <c r="LY297" s="637">
        <f t="shared" ref="LY297" si="7018">LR297</f>
        <v>112.70718232044199</v>
      </c>
      <c r="LZ297" s="165">
        <f>+LZ289*1000/LZ86</f>
        <v>112.81332368408408</v>
      </c>
      <c r="MA297" s="555"/>
      <c r="MB297" s="164" t="s">
        <v>440</v>
      </c>
      <c r="MC297" s="637">
        <f t="shared" ref="MC297" si="7019">LV297</f>
        <v>112.79069767441861</v>
      </c>
      <c r="MD297" s="637">
        <f t="shared" ref="MD297" si="7020">LW297</f>
        <v>112.15469613259667</v>
      </c>
      <c r="ME297" s="637">
        <f t="shared" ref="ME297" si="7021">LX297</f>
        <v>113.58695652173913</v>
      </c>
      <c r="MF297" s="637">
        <f t="shared" ref="MF297" si="7022">LY297</f>
        <v>112.70718232044199</v>
      </c>
      <c r="MG297" s="165">
        <f>+MG289*1000/MG86</f>
        <v>112.81332368408408</v>
      </c>
      <c r="MH297" s="555"/>
    </row>
    <row r="298" spans="1:346" s="68" customFormat="1" ht="13.5" thickBot="1" x14ac:dyDescent="0.45">
      <c r="A298" s="140"/>
      <c r="B298" s="164"/>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c r="AE298" s="165"/>
      <c r="AF298" s="165"/>
      <c r="AG298" s="165"/>
      <c r="AH298" s="165"/>
      <c r="AI298" s="165"/>
      <c r="AJ298" s="165"/>
      <c r="AK298" s="165"/>
      <c r="AL298" s="165"/>
      <c r="AM298" s="165"/>
      <c r="AN298" s="165"/>
      <c r="AO298" s="165"/>
      <c r="AP298" s="165"/>
      <c r="AQ298" s="165"/>
      <c r="AR298" s="165"/>
      <c r="AS298" s="165"/>
      <c r="AT298" s="165"/>
      <c r="AU298" s="165"/>
      <c r="AV298" s="165"/>
      <c r="AW298" s="165"/>
      <c r="AX298" s="165"/>
      <c r="AY298" s="165"/>
      <c r="AZ298" s="165"/>
      <c r="BA298" s="165"/>
      <c r="BB298" s="165"/>
      <c r="BC298" s="165"/>
      <c r="BD298" s="165"/>
      <c r="BE298" s="165"/>
      <c r="BF298" s="165"/>
      <c r="BG298" s="165"/>
      <c r="BH298" s="165"/>
      <c r="BI298" s="165"/>
      <c r="BJ298" s="165"/>
      <c r="BK298" s="165"/>
      <c r="BL298" s="165"/>
      <c r="BM298" s="165"/>
      <c r="BO298" s="164"/>
      <c r="BP298" s="165"/>
      <c r="BQ298" s="165"/>
      <c r="BR298" s="165"/>
      <c r="BS298" s="165"/>
      <c r="BT298" s="165"/>
      <c r="BV298" s="164"/>
      <c r="BW298" s="165"/>
      <c r="BX298" s="165"/>
      <c r="BY298" s="165"/>
      <c r="BZ298" s="165"/>
      <c r="CA298" s="165"/>
      <c r="CC298" s="164"/>
      <c r="CD298" s="165"/>
      <c r="CE298" s="165"/>
      <c r="CF298" s="165"/>
      <c r="CG298" s="165"/>
      <c r="CH298" s="165"/>
      <c r="CJ298" s="164"/>
      <c r="CK298" s="165"/>
      <c r="CL298" s="165"/>
      <c r="CM298" s="165"/>
      <c r="CN298" s="165"/>
      <c r="CO298" s="165"/>
      <c r="CQ298" s="164"/>
      <c r="CR298" s="165"/>
      <c r="CS298" s="165"/>
      <c r="CT298" s="165"/>
      <c r="CU298" s="165"/>
      <c r="CV298" s="165"/>
      <c r="CX298" s="164"/>
      <c r="CY298" s="165"/>
      <c r="CZ298" s="165"/>
      <c r="DA298" s="165"/>
      <c r="DB298" s="165"/>
      <c r="DC298" s="165"/>
      <c r="DE298" s="164"/>
      <c r="DF298" s="165"/>
      <c r="DG298" s="165"/>
      <c r="DH298" s="165"/>
      <c r="DI298" s="165"/>
      <c r="DJ298" s="165"/>
      <c r="DL298" s="164"/>
      <c r="DM298" s="165"/>
      <c r="DN298" s="165"/>
      <c r="DO298" s="165"/>
      <c r="DP298" s="165"/>
      <c r="DQ298" s="165"/>
      <c r="DS298" s="164"/>
      <c r="DT298" s="165"/>
      <c r="DU298" s="165"/>
      <c r="DV298" s="165"/>
      <c r="DW298" s="165"/>
      <c r="DX298" s="165"/>
      <c r="DZ298" s="164"/>
      <c r="EA298" s="165"/>
      <c r="EB298" s="165"/>
      <c r="EC298" s="165"/>
      <c r="ED298" s="165"/>
      <c r="EE298" s="165"/>
      <c r="EG298" s="164"/>
      <c r="EH298" s="165"/>
      <c r="EI298" s="165"/>
      <c r="EJ298" s="165"/>
      <c r="EK298" s="165"/>
      <c r="EL298" s="165"/>
      <c r="EN298" s="164"/>
      <c r="EO298" s="165"/>
      <c r="EP298" s="165"/>
      <c r="EQ298" s="165"/>
      <c r="ER298" s="165"/>
      <c r="ES298" s="165"/>
      <c r="EU298" s="164"/>
      <c r="EV298" s="165"/>
      <c r="EW298" s="165"/>
      <c r="EX298" s="165"/>
      <c r="EY298" s="165"/>
      <c r="EZ298" s="165"/>
      <c r="FB298" s="164"/>
      <c r="FC298" s="165"/>
      <c r="FD298" s="165"/>
      <c r="FE298" s="165"/>
      <c r="FF298" s="165"/>
      <c r="FG298" s="165"/>
      <c r="FI298" s="164"/>
      <c r="FJ298" s="165"/>
      <c r="FK298" s="165"/>
      <c r="FL298" s="165"/>
      <c r="FM298" s="165"/>
      <c r="FN298" s="165"/>
      <c r="FP298" s="164"/>
      <c r="FQ298" s="165"/>
      <c r="FR298" s="165"/>
      <c r="FS298" s="165"/>
      <c r="FT298" s="165"/>
      <c r="FU298" s="165"/>
      <c r="FW298" s="164"/>
      <c r="FX298" s="165"/>
      <c r="FY298" s="165"/>
      <c r="FZ298" s="165"/>
      <c r="GA298" s="165"/>
      <c r="GB298" s="165"/>
      <c r="GD298" s="164"/>
      <c r="GE298" s="165"/>
      <c r="GF298" s="165"/>
      <c r="GG298" s="165"/>
      <c r="GH298" s="165"/>
      <c r="GI298" s="165"/>
      <c r="GK298" s="164"/>
      <c r="GL298" s="165"/>
      <c r="GM298" s="165"/>
      <c r="GN298" s="165"/>
      <c r="GO298" s="165"/>
      <c r="GP298" s="165"/>
      <c r="GR298" s="164"/>
      <c r="GS298" s="165"/>
      <c r="GT298" s="165"/>
      <c r="GU298" s="165"/>
      <c r="GV298" s="165"/>
      <c r="GW298" s="165"/>
      <c r="GY298" s="164"/>
      <c r="GZ298" s="165"/>
      <c r="HA298" s="165"/>
      <c r="HB298" s="165"/>
      <c r="HC298" s="165"/>
      <c r="HD298" s="165"/>
      <c r="HF298" s="164"/>
      <c r="HG298" s="165"/>
      <c r="HH298" s="165"/>
      <c r="HI298" s="165"/>
      <c r="HJ298" s="165"/>
      <c r="HK298" s="165"/>
      <c r="HM298" s="164"/>
      <c r="HN298" s="165"/>
      <c r="HO298" s="165"/>
      <c r="HP298" s="165"/>
      <c r="HQ298" s="165"/>
      <c r="HR298" s="165"/>
      <c r="HT298" s="164"/>
      <c r="HU298" s="165"/>
      <c r="HV298" s="165"/>
      <c r="HW298" s="165"/>
      <c r="HX298" s="165"/>
      <c r="HY298" s="165"/>
      <c r="IA298" s="164"/>
      <c r="IB298" s="165"/>
      <c r="IC298" s="165"/>
      <c r="ID298" s="165"/>
      <c r="IE298" s="165"/>
      <c r="IF298" s="165"/>
      <c r="IH298" s="164"/>
      <c r="II298" s="165"/>
      <c r="IJ298" s="165"/>
      <c r="IK298" s="165"/>
      <c r="IL298" s="165"/>
      <c r="IM298" s="165"/>
      <c r="IO298" s="164"/>
      <c r="IP298" s="165"/>
      <c r="IQ298" s="165"/>
      <c r="IR298" s="165"/>
      <c r="IS298" s="165"/>
      <c r="IT298" s="165"/>
      <c r="IV298" s="164"/>
      <c r="IW298" s="165"/>
      <c r="IX298" s="165"/>
      <c r="IY298" s="165"/>
      <c r="IZ298" s="165"/>
      <c r="JA298" s="165"/>
      <c r="JC298" s="164"/>
      <c r="JD298" s="165"/>
      <c r="JE298" s="165"/>
      <c r="JF298" s="165"/>
      <c r="JG298" s="165"/>
      <c r="JH298" s="165"/>
      <c r="JJ298" s="164"/>
      <c r="JK298" s="165"/>
      <c r="JL298" s="165"/>
      <c r="JM298" s="165"/>
      <c r="JN298" s="165"/>
      <c r="JO298" s="165"/>
      <c r="JQ298" s="164"/>
      <c r="JR298" s="165"/>
      <c r="JS298" s="165"/>
      <c r="JT298" s="165"/>
      <c r="JU298" s="165"/>
      <c r="JV298" s="165"/>
      <c r="JX298" s="164"/>
      <c r="JY298" s="165"/>
      <c r="JZ298" s="165"/>
      <c r="KA298" s="165"/>
      <c r="KB298" s="165"/>
      <c r="KC298" s="165"/>
      <c r="KE298" s="164"/>
      <c r="KF298" s="165"/>
      <c r="KG298" s="165"/>
      <c r="KH298" s="165"/>
      <c r="KI298" s="165"/>
      <c r="KJ298" s="165"/>
      <c r="KL298" s="164"/>
      <c r="KM298" s="165"/>
      <c r="KN298" s="165"/>
      <c r="KO298" s="165"/>
      <c r="KP298" s="165"/>
      <c r="KQ298" s="165"/>
      <c r="KS298" s="164"/>
      <c r="KT298" s="165"/>
      <c r="KU298" s="165"/>
      <c r="KV298" s="165"/>
      <c r="KW298" s="165"/>
      <c r="KX298" s="165"/>
      <c r="KZ298" s="164"/>
      <c r="LA298" s="165"/>
      <c r="LB298" s="165"/>
      <c r="LC298" s="167"/>
      <c r="LD298" s="167"/>
      <c r="LE298" s="165"/>
      <c r="LF298" s="555"/>
      <c r="LG298" s="164"/>
      <c r="LH298" s="167"/>
      <c r="LI298" s="167"/>
      <c r="LJ298" s="167"/>
      <c r="LK298" s="167"/>
      <c r="LL298" s="165"/>
      <c r="LM298" s="555"/>
      <c r="LN298" s="164"/>
      <c r="LO298" s="167"/>
      <c r="LP298" s="167"/>
      <c r="LQ298" s="167"/>
      <c r="LR298" s="167"/>
      <c r="LS298" s="165"/>
      <c r="LT298" s="555"/>
      <c r="LU298" s="164"/>
      <c r="LV298" s="167"/>
      <c r="LW298" s="167"/>
      <c r="LX298" s="167"/>
      <c r="LY298" s="167"/>
      <c r="LZ298" s="165"/>
      <c r="MA298" s="555"/>
      <c r="MB298" s="164"/>
      <c r="MC298" s="167"/>
      <c r="MD298" s="167"/>
      <c r="ME298" s="167"/>
      <c r="MF298" s="167"/>
      <c r="MG298" s="165"/>
      <c r="MH298" s="555"/>
    </row>
    <row r="299" spans="1:346" s="37" customFormat="1" ht="13.5" thickBot="1" x14ac:dyDescent="0.45">
      <c r="A299" s="97"/>
      <c r="B299" s="98" t="s">
        <v>236</v>
      </c>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c r="AA299" s="99"/>
      <c r="AB299" s="99"/>
      <c r="AC299" s="99"/>
      <c r="AD299" s="99"/>
      <c r="AE299" s="99"/>
      <c r="AF299" s="99"/>
      <c r="AG299" s="99"/>
      <c r="AH299" s="99"/>
      <c r="AI299" s="99"/>
      <c r="AJ299" s="99"/>
      <c r="AK299" s="99"/>
      <c r="AL299" s="99"/>
      <c r="AM299" s="99"/>
      <c r="AN299" s="99"/>
      <c r="AO299" s="99"/>
      <c r="AP299" s="99"/>
      <c r="AQ299" s="99"/>
      <c r="AR299" s="99"/>
      <c r="AS299" s="99"/>
      <c r="AT299" s="99"/>
      <c r="AU299" s="99"/>
      <c r="AV299" s="99"/>
      <c r="AW299" s="99"/>
      <c r="AX299" s="99"/>
      <c r="AY299" s="99"/>
      <c r="AZ299" s="99"/>
      <c r="BA299" s="99"/>
      <c r="BB299" s="99"/>
      <c r="BC299" s="99"/>
      <c r="BD299" s="99"/>
      <c r="BE299" s="99"/>
      <c r="BF299" s="99"/>
      <c r="BG299" s="99"/>
      <c r="BH299" s="99"/>
      <c r="BI299" s="99"/>
      <c r="BJ299" s="99"/>
      <c r="BK299" s="99"/>
      <c r="BL299" s="99"/>
      <c r="BM299" s="99"/>
      <c r="BO299" s="98" t="s">
        <v>236</v>
      </c>
      <c r="BP299" s="99"/>
      <c r="BQ299" s="99"/>
      <c r="BR299" s="99"/>
      <c r="BS299" s="99"/>
      <c r="BT299" s="99"/>
      <c r="BV299" s="98" t="s">
        <v>236</v>
      </c>
      <c r="BW299" s="99"/>
      <c r="BX299" s="99"/>
      <c r="BY299" s="99"/>
      <c r="BZ299" s="99"/>
      <c r="CA299" s="99"/>
      <c r="CC299" s="98" t="s">
        <v>236</v>
      </c>
      <c r="CD299" s="99"/>
      <c r="CE299" s="99"/>
      <c r="CF299" s="99"/>
      <c r="CG299" s="99"/>
      <c r="CH299" s="99"/>
      <c r="CJ299" s="98" t="s">
        <v>236</v>
      </c>
      <c r="CK299" s="99"/>
      <c r="CL299" s="99"/>
      <c r="CM299" s="99"/>
      <c r="CN299" s="99"/>
      <c r="CO299" s="99"/>
      <c r="CQ299" s="98" t="s">
        <v>236</v>
      </c>
      <c r="CR299" s="99"/>
      <c r="CS299" s="99"/>
      <c r="CT299" s="99"/>
      <c r="CU299" s="99"/>
      <c r="CV299" s="99"/>
      <c r="CX299" s="98" t="s">
        <v>236</v>
      </c>
      <c r="CY299" s="99"/>
      <c r="CZ299" s="99"/>
      <c r="DA299" s="99"/>
      <c r="DB299" s="99"/>
      <c r="DC299" s="99"/>
      <c r="DE299" s="98" t="s">
        <v>236</v>
      </c>
      <c r="DF299" s="99"/>
      <c r="DG299" s="99"/>
      <c r="DH299" s="99"/>
      <c r="DI299" s="99"/>
      <c r="DJ299" s="99"/>
      <c r="DL299" s="98" t="s">
        <v>236</v>
      </c>
      <c r="DM299" s="99"/>
      <c r="DN299" s="99"/>
      <c r="DO299" s="99"/>
      <c r="DP299" s="99"/>
      <c r="DQ299" s="99"/>
      <c r="DS299" s="98" t="s">
        <v>236</v>
      </c>
      <c r="DT299" s="99"/>
      <c r="DU299" s="99"/>
      <c r="DV299" s="99"/>
      <c r="DW299" s="99"/>
      <c r="DX299" s="99"/>
      <c r="DZ299" s="98" t="s">
        <v>236</v>
      </c>
      <c r="EA299" s="99"/>
      <c r="EB299" s="99"/>
      <c r="EC299" s="99"/>
      <c r="ED299" s="99"/>
      <c r="EE299" s="99"/>
      <c r="EG299" s="98" t="s">
        <v>236</v>
      </c>
      <c r="EH299" s="99"/>
      <c r="EI299" s="99"/>
      <c r="EJ299" s="99"/>
      <c r="EK299" s="99"/>
      <c r="EL299" s="99"/>
      <c r="EN299" s="98" t="s">
        <v>236</v>
      </c>
      <c r="EO299" s="99"/>
      <c r="EP299" s="99"/>
      <c r="EQ299" s="99"/>
      <c r="ER299" s="99"/>
      <c r="ES299" s="99"/>
      <c r="EU299" s="98" t="s">
        <v>236</v>
      </c>
      <c r="EV299" s="99"/>
      <c r="EW299" s="99"/>
      <c r="EX299" s="99"/>
      <c r="EY299" s="99"/>
      <c r="EZ299" s="99"/>
      <c r="FB299" s="98" t="s">
        <v>236</v>
      </c>
      <c r="FC299" s="99"/>
      <c r="FD299" s="99"/>
      <c r="FE299" s="99"/>
      <c r="FF299" s="99"/>
      <c r="FG299" s="99"/>
      <c r="FI299" s="98" t="s">
        <v>236</v>
      </c>
      <c r="FJ299" s="99"/>
      <c r="FK299" s="99"/>
      <c r="FL299" s="99"/>
      <c r="FM299" s="99"/>
      <c r="FN299" s="99"/>
      <c r="FP299" s="98" t="s">
        <v>236</v>
      </c>
      <c r="FQ299" s="99"/>
      <c r="FR299" s="99"/>
      <c r="FS299" s="99"/>
      <c r="FT299" s="99"/>
      <c r="FU299" s="99"/>
      <c r="FW299" s="98" t="s">
        <v>236</v>
      </c>
      <c r="FX299" s="99"/>
      <c r="FY299" s="99"/>
      <c r="FZ299" s="99"/>
      <c r="GA299" s="99"/>
      <c r="GB299" s="99"/>
      <c r="GD299" s="98" t="s">
        <v>236</v>
      </c>
      <c r="GE299" s="99"/>
      <c r="GF299" s="99"/>
      <c r="GG299" s="99"/>
      <c r="GH299" s="99"/>
      <c r="GI299" s="99"/>
      <c r="GK299" s="98" t="s">
        <v>236</v>
      </c>
      <c r="GL299" s="99"/>
      <c r="GM299" s="99"/>
      <c r="GN299" s="99"/>
      <c r="GO299" s="99"/>
      <c r="GP299" s="99"/>
      <c r="GR299" s="98" t="s">
        <v>236</v>
      </c>
      <c r="GS299" s="99"/>
      <c r="GT299" s="99"/>
      <c r="GU299" s="99"/>
      <c r="GV299" s="99"/>
      <c r="GW299" s="99"/>
      <c r="GY299" s="98" t="s">
        <v>236</v>
      </c>
      <c r="GZ299" s="99"/>
      <c r="HA299" s="99"/>
      <c r="HB299" s="99"/>
      <c r="HC299" s="99"/>
      <c r="HD299" s="99"/>
      <c r="HF299" s="98" t="s">
        <v>236</v>
      </c>
      <c r="HG299" s="99"/>
      <c r="HH299" s="99"/>
      <c r="HI299" s="99"/>
      <c r="HJ299" s="99"/>
      <c r="HK299" s="99"/>
      <c r="HM299" s="98" t="s">
        <v>236</v>
      </c>
      <c r="HN299" s="99"/>
      <c r="HO299" s="99"/>
      <c r="HP299" s="99"/>
      <c r="HQ299" s="99"/>
      <c r="HR299" s="99"/>
      <c r="HT299" s="98" t="s">
        <v>236</v>
      </c>
      <c r="HU299" s="99"/>
      <c r="HV299" s="99"/>
      <c r="HW299" s="99"/>
      <c r="HX299" s="99"/>
      <c r="HY299" s="99"/>
      <c r="IA299" s="98" t="s">
        <v>236</v>
      </c>
      <c r="IB299" s="99"/>
      <c r="IC299" s="99"/>
      <c r="ID299" s="99"/>
      <c r="IE299" s="99"/>
      <c r="IF299" s="99"/>
      <c r="IH299" s="98" t="s">
        <v>236</v>
      </c>
      <c r="II299" s="99"/>
      <c r="IJ299" s="99"/>
      <c r="IK299" s="99"/>
      <c r="IL299" s="99"/>
      <c r="IM299" s="99"/>
      <c r="IO299" s="98" t="s">
        <v>236</v>
      </c>
      <c r="IP299" s="99"/>
      <c r="IQ299" s="99"/>
      <c r="IR299" s="99"/>
      <c r="IS299" s="99"/>
      <c r="IT299" s="99"/>
      <c r="IV299" s="98" t="s">
        <v>236</v>
      </c>
      <c r="IW299" s="99"/>
      <c r="IX299" s="99"/>
      <c r="IY299" s="99"/>
      <c r="IZ299" s="99"/>
      <c r="JA299" s="99"/>
      <c r="JC299" s="98" t="s">
        <v>236</v>
      </c>
      <c r="JD299" s="99"/>
      <c r="JE299" s="99"/>
      <c r="JF299" s="99"/>
      <c r="JG299" s="99"/>
      <c r="JH299" s="99"/>
      <c r="JJ299" s="98" t="s">
        <v>236</v>
      </c>
      <c r="JK299" s="99"/>
      <c r="JL299" s="99"/>
      <c r="JM299" s="99"/>
      <c r="JN299" s="99"/>
      <c r="JO299" s="99"/>
      <c r="JQ299" s="98" t="s">
        <v>236</v>
      </c>
      <c r="JR299" s="99"/>
      <c r="JS299" s="99"/>
      <c r="JT299" s="99"/>
      <c r="JU299" s="99"/>
      <c r="JV299" s="99"/>
      <c r="JX299" s="98" t="s">
        <v>236</v>
      </c>
      <c r="JY299" s="99"/>
      <c r="JZ299" s="99"/>
      <c r="KA299" s="99"/>
      <c r="KB299" s="99"/>
      <c r="KC299" s="99"/>
      <c r="KE299" s="98" t="s">
        <v>236</v>
      </c>
      <c r="KF299" s="99"/>
      <c r="KG299" s="99"/>
      <c r="KH299" s="99"/>
      <c r="KI299" s="99"/>
      <c r="KJ299" s="99"/>
      <c r="KL299" s="98" t="s">
        <v>236</v>
      </c>
      <c r="KM299" s="99"/>
      <c r="KN299" s="99"/>
      <c r="KO299" s="99"/>
      <c r="KP299" s="99"/>
      <c r="KQ299" s="99"/>
      <c r="KS299" s="98" t="s">
        <v>236</v>
      </c>
      <c r="KT299" s="99"/>
      <c r="KU299" s="99"/>
      <c r="KV299" s="99"/>
      <c r="KW299" s="99"/>
      <c r="KX299" s="99"/>
      <c r="KZ299" s="98" t="s">
        <v>236</v>
      </c>
      <c r="LA299" s="99"/>
      <c r="LB299" s="99"/>
      <c r="LC299" s="99"/>
      <c r="LD299" s="99"/>
      <c r="LE299" s="99"/>
      <c r="LF299" s="565"/>
      <c r="LG299" s="98" t="s">
        <v>236</v>
      </c>
      <c r="LH299" s="99"/>
      <c r="LI299" s="99"/>
      <c r="LJ299" s="99"/>
      <c r="LK299" s="99"/>
      <c r="LL299" s="99"/>
      <c r="LM299" s="565"/>
      <c r="LN299" s="98" t="s">
        <v>236</v>
      </c>
      <c r="LO299" s="99"/>
      <c r="LP299" s="99"/>
      <c r="LQ299" s="99"/>
      <c r="LR299" s="99"/>
      <c r="LS299" s="99"/>
      <c r="LT299" s="565"/>
      <c r="LU299" s="98" t="s">
        <v>236</v>
      </c>
      <c r="LV299" s="99"/>
      <c r="LW299" s="99"/>
      <c r="LX299" s="99"/>
      <c r="LY299" s="99"/>
      <c r="LZ299" s="99"/>
      <c r="MA299" s="565"/>
      <c r="MB299" s="98" t="s">
        <v>236</v>
      </c>
      <c r="MC299" s="99"/>
      <c r="MD299" s="99"/>
      <c r="ME299" s="99"/>
      <c r="MF299" s="99"/>
      <c r="MG299" s="99"/>
      <c r="MH299" s="565"/>
    </row>
    <row r="300" spans="1:346" s="37" customFormat="1" ht="13.15" x14ac:dyDescent="0.4">
      <c r="A300" s="100"/>
      <c r="B300" s="113"/>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c r="BE300" s="104"/>
      <c r="BF300" s="104"/>
      <c r="BG300" s="104"/>
      <c r="BH300" s="104"/>
      <c r="BI300" s="104"/>
      <c r="BJ300" s="104"/>
      <c r="BK300" s="104"/>
      <c r="BL300" s="104"/>
      <c r="BM300" s="104"/>
      <c r="BO300" s="113"/>
      <c r="BP300" s="104"/>
      <c r="BQ300" s="104"/>
      <c r="BR300" s="104"/>
      <c r="BS300" s="104"/>
      <c r="BT300" s="104"/>
      <c r="BV300" s="113"/>
      <c r="BW300" s="104"/>
      <c r="BX300" s="104"/>
      <c r="BY300" s="104"/>
      <c r="BZ300" s="104"/>
      <c r="CA300" s="104"/>
      <c r="CC300" s="113"/>
      <c r="CD300" s="104"/>
      <c r="CE300" s="104"/>
      <c r="CF300" s="104"/>
      <c r="CG300" s="104"/>
      <c r="CH300" s="104"/>
      <c r="CJ300" s="113"/>
      <c r="CK300" s="104"/>
      <c r="CL300" s="104"/>
      <c r="CM300" s="104"/>
      <c r="CN300" s="104"/>
      <c r="CO300" s="104"/>
      <c r="CQ300" s="113"/>
      <c r="CR300" s="104"/>
      <c r="CS300" s="104"/>
      <c r="CT300" s="104"/>
      <c r="CU300" s="104"/>
      <c r="CV300" s="104"/>
      <c r="CX300" s="113"/>
      <c r="CY300" s="104"/>
      <c r="CZ300" s="104"/>
      <c r="DA300" s="104"/>
      <c r="DB300" s="104"/>
      <c r="DC300" s="104"/>
      <c r="DE300" s="113"/>
      <c r="DF300" s="104"/>
      <c r="DG300" s="104"/>
      <c r="DH300" s="104"/>
      <c r="DI300" s="104"/>
      <c r="DJ300" s="104"/>
      <c r="DL300" s="113"/>
      <c r="DM300" s="104"/>
      <c r="DN300" s="104"/>
      <c r="DO300" s="104"/>
      <c r="DP300" s="104"/>
      <c r="DQ300" s="104"/>
      <c r="DS300" s="113"/>
      <c r="DT300" s="104"/>
      <c r="DU300" s="104"/>
      <c r="DV300" s="104"/>
      <c r="DW300" s="104"/>
      <c r="DX300" s="104"/>
      <c r="DZ300" s="113"/>
      <c r="EA300" s="104"/>
      <c r="EB300" s="104"/>
      <c r="EC300" s="104"/>
      <c r="ED300" s="104"/>
      <c r="EE300" s="104"/>
      <c r="EG300" s="113"/>
      <c r="EH300" s="104"/>
      <c r="EI300" s="104"/>
      <c r="EJ300" s="104"/>
      <c r="EK300" s="104"/>
      <c r="EL300" s="104"/>
      <c r="EN300" s="113"/>
      <c r="EO300" s="104"/>
      <c r="EP300" s="104"/>
      <c r="EQ300" s="104"/>
      <c r="ER300" s="104"/>
      <c r="ES300" s="104"/>
      <c r="EU300" s="113"/>
      <c r="EV300" s="104"/>
      <c r="EW300" s="104"/>
      <c r="EX300" s="104"/>
      <c r="EY300" s="104"/>
      <c r="EZ300" s="104"/>
      <c r="FB300" s="113"/>
      <c r="FC300" s="104"/>
      <c r="FD300" s="104"/>
      <c r="FE300" s="104"/>
      <c r="FF300" s="104"/>
      <c r="FG300" s="104"/>
      <c r="FI300" s="113"/>
      <c r="FJ300" s="104"/>
      <c r="FK300" s="104"/>
      <c r="FL300" s="104"/>
      <c r="FM300" s="104"/>
      <c r="FN300" s="104"/>
      <c r="FP300" s="113"/>
      <c r="FQ300" s="104"/>
      <c r="FR300" s="104"/>
      <c r="FS300" s="104"/>
      <c r="FT300" s="104"/>
      <c r="FU300" s="104"/>
      <c r="FW300" s="113"/>
      <c r="FX300" s="104"/>
      <c r="FY300" s="104"/>
      <c r="FZ300" s="104"/>
      <c r="GA300" s="104"/>
      <c r="GB300" s="104"/>
      <c r="GD300" s="113"/>
      <c r="GE300" s="104"/>
      <c r="GF300" s="104"/>
      <c r="GG300" s="104"/>
      <c r="GH300" s="104"/>
      <c r="GI300" s="104"/>
      <c r="GK300" s="113"/>
      <c r="GL300" s="104"/>
      <c r="GM300" s="104"/>
      <c r="GN300" s="104"/>
      <c r="GO300" s="104"/>
      <c r="GP300" s="104"/>
      <c r="GR300" s="113"/>
      <c r="GS300" s="104"/>
      <c r="GT300" s="104"/>
      <c r="GU300" s="104"/>
      <c r="GV300" s="104"/>
      <c r="GW300" s="104"/>
      <c r="GY300" s="113"/>
      <c r="GZ300" s="104"/>
      <c r="HA300" s="104"/>
      <c r="HB300" s="104"/>
      <c r="HC300" s="104"/>
      <c r="HD300" s="104"/>
      <c r="HF300" s="113"/>
      <c r="HG300" s="104"/>
      <c r="HH300" s="104"/>
      <c r="HI300" s="104"/>
      <c r="HJ300" s="104"/>
      <c r="HK300" s="104"/>
      <c r="HM300" s="113"/>
      <c r="HN300" s="104"/>
      <c r="HO300" s="104"/>
      <c r="HP300" s="104"/>
      <c r="HQ300" s="104"/>
      <c r="HR300" s="104"/>
      <c r="HT300" s="113"/>
      <c r="HU300" s="104"/>
      <c r="HV300" s="104"/>
      <c r="HW300" s="104"/>
      <c r="HX300" s="104"/>
      <c r="HY300" s="104"/>
      <c r="IA300" s="113"/>
      <c r="IB300" s="104"/>
      <c r="IC300" s="104"/>
      <c r="ID300" s="104"/>
      <c r="IE300" s="104"/>
      <c r="IF300" s="104"/>
      <c r="IH300" s="113"/>
      <c r="II300" s="104"/>
      <c r="IJ300" s="104"/>
      <c r="IK300" s="104"/>
      <c r="IL300" s="104"/>
      <c r="IM300" s="104"/>
      <c r="IO300" s="113"/>
      <c r="IP300" s="104"/>
      <c r="IQ300" s="104"/>
      <c r="IR300" s="104"/>
      <c r="IS300" s="104"/>
      <c r="IT300" s="104"/>
      <c r="IV300" s="113"/>
      <c r="IW300" s="104"/>
      <c r="IX300" s="104"/>
      <c r="IY300" s="104"/>
      <c r="IZ300" s="104"/>
      <c r="JA300" s="104"/>
      <c r="JC300" s="113"/>
      <c r="JD300" s="104"/>
      <c r="JE300" s="104"/>
      <c r="JF300" s="104"/>
      <c r="JG300" s="104"/>
      <c r="JH300" s="104"/>
      <c r="JJ300" s="113"/>
      <c r="JK300" s="104"/>
      <c r="JL300" s="104"/>
      <c r="JM300" s="104"/>
      <c r="JN300" s="104"/>
      <c r="JO300" s="104"/>
      <c r="JQ300" s="113"/>
      <c r="JR300" s="104"/>
      <c r="JS300" s="104"/>
      <c r="JT300" s="104"/>
      <c r="JU300" s="104"/>
      <c r="JV300" s="104"/>
      <c r="JX300" s="113"/>
      <c r="JY300" s="104"/>
      <c r="JZ300" s="104"/>
      <c r="KA300" s="104"/>
      <c r="KB300" s="104"/>
      <c r="KC300" s="104"/>
      <c r="KE300" s="113"/>
      <c r="KF300" s="104"/>
      <c r="KG300" s="104"/>
      <c r="KH300" s="104"/>
      <c r="KI300" s="104"/>
      <c r="KJ300" s="104"/>
      <c r="KL300" s="113"/>
      <c r="KM300" s="104"/>
      <c r="KN300" s="104"/>
      <c r="KO300" s="104"/>
      <c r="KP300" s="104"/>
      <c r="KQ300" s="104"/>
      <c r="KS300" s="113"/>
      <c r="KT300" s="104"/>
      <c r="KU300" s="104"/>
      <c r="KV300" s="104"/>
      <c r="KW300" s="104"/>
      <c r="KX300" s="104"/>
      <c r="KZ300" s="113"/>
      <c r="LA300" s="104"/>
      <c r="LB300" s="104"/>
      <c r="LC300" s="104"/>
      <c r="LD300" s="104"/>
      <c r="LE300" s="104"/>
      <c r="LF300" s="555"/>
      <c r="LG300" s="113"/>
      <c r="LH300" s="104"/>
      <c r="LI300" s="104"/>
      <c r="LJ300" s="104"/>
      <c r="LK300" s="104"/>
      <c r="LL300" s="104"/>
      <c r="LM300" s="555"/>
      <c r="LN300" s="113"/>
      <c r="LO300" s="104"/>
      <c r="LP300" s="104"/>
      <c r="LQ300" s="104"/>
      <c r="LR300" s="104"/>
      <c r="LS300" s="104"/>
      <c r="LT300" s="555"/>
      <c r="LU300" s="113"/>
      <c r="LV300" s="104"/>
      <c r="LW300" s="104"/>
      <c r="LX300" s="104"/>
      <c r="LY300" s="104"/>
      <c r="LZ300" s="104"/>
      <c r="MA300" s="555"/>
      <c r="MB300" s="113"/>
      <c r="MC300" s="104"/>
      <c r="MD300" s="104"/>
      <c r="ME300" s="104"/>
      <c r="MF300" s="104"/>
      <c r="MG300" s="104"/>
      <c r="MH300" s="555"/>
    </row>
    <row r="301" spans="1:346" s="53" customFormat="1" ht="13.15" x14ac:dyDescent="0.4">
      <c r="A301" s="100"/>
      <c r="B301" s="168" t="s">
        <v>237</v>
      </c>
      <c r="C301" s="169"/>
      <c r="D301" s="169"/>
      <c r="E301" s="169"/>
      <c r="F301" s="169"/>
      <c r="G301" s="169"/>
      <c r="H301" s="169"/>
      <c r="I301" s="169"/>
      <c r="J301" s="169">
        <v>76.599999999999994</v>
      </c>
      <c r="K301" s="169">
        <v>76.400000000000006</v>
      </c>
      <c r="L301" s="169">
        <v>81.7</v>
      </c>
      <c r="M301" s="169">
        <v>83.6</v>
      </c>
      <c r="N301" s="169">
        <f>BT301</f>
        <v>86.999999999999986</v>
      </c>
      <c r="O301" s="169">
        <f>CA301</f>
        <v>81</v>
      </c>
      <c r="P301" s="169">
        <f>CH301</f>
        <v>79.599999999999994</v>
      </c>
      <c r="Q301" s="169">
        <f>CO301</f>
        <v>78</v>
      </c>
      <c r="R301" s="169">
        <f>CV301</f>
        <v>87</v>
      </c>
      <c r="S301" s="169">
        <f>DC301</f>
        <v>89.9</v>
      </c>
      <c r="T301" s="169">
        <f>DJ301</f>
        <v>94.4</v>
      </c>
      <c r="U301" s="169">
        <f>DQ301</f>
        <v>91.9</v>
      </c>
      <c r="V301" s="169">
        <f>DX301</f>
        <v>97.5</v>
      </c>
      <c r="W301" s="169">
        <f>EE301</f>
        <v>100.8</v>
      </c>
      <c r="X301" s="169">
        <f>EL301</f>
        <v>125.1</v>
      </c>
      <c r="Y301" s="169">
        <f>ES301</f>
        <v>139.69999999999999</v>
      </c>
      <c r="Z301" s="169">
        <f>EZ301</f>
        <v>134.30000000000001</v>
      </c>
      <c r="AA301" s="169">
        <f>FG301</f>
        <v>134.80000000000001</v>
      </c>
      <c r="AB301" s="169">
        <f>FN301</f>
        <v>141.1</v>
      </c>
      <c r="AC301" s="169">
        <f>FU301</f>
        <v>145</v>
      </c>
      <c r="AD301" s="169">
        <f>GB301</f>
        <v>136.80000000000001</v>
      </c>
      <c r="AE301" s="169">
        <f>GI301</f>
        <v>139.19999999999999</v>
      </c>
      <c r="AF301" s="169">
        <f>GP301</f>
        <v>135.30000000000001</v>
      </c>
      <c r="AG301" s="169">
        <f>GW301</f>
        <v>131.9</v>
      </c>
      <c r="AH301" s="169">
        <f>HD301</f>
        <v>116.9</v>
      </c>
      <c r="AI301" s="169">
        <f>HK301</f>
        <v>129.30000000000001</v>
      </c>
      <c r="AJ301" s="169">
        <f>HR301</f>
        <v>130.6</v>
      </c>
      <c r="AK301" s="169">
        <f>HY301</f>
        <v>131.19999999999999</v>
      </c>
      <c r="AL301" s="169">
        <f>IF301</f>
        <v>137</v>
      </c>
      <c r="AM301" s="169">
        <f>IM301</f>
        <v>148.6</v>
      </c>
      <c r="AN301" s="169">
        <f>IT301</f>
        <v>144.9</v>
      </c>
      <c r="AO301" s="169">
        <f>JA301</f>
        <v>134.6</v>
      </c>
      <c r="AP301" s="169">
        <f>JH301</f>
        <v>124</v>
      </c>
      <c r="AQ301" s="169">
        <f>JO301</f>
        <v>128.1</v>
      </c>
      <c r="AR301" s="169">
        <f>JV301</f>
        <v>127.99999999999999</v>
      </c>
      <c r="AS301" s="169">
        <f>KC301</f>
        <v>124.4</v>
      </c>
      <c r="AT301" s="169">
        <f>KJ301</f>
        <v>126.30000000000001</v>
      </c>
      <c r="AU301" s="169">
        <f>KQ301</f>
        <v>126</v>
      </c>
      <c r="AV301" s="169">
        <f>KX301</f>
        <v>128</v>
      </c>
      <c r="AW301" s="169">
        <f>LE301</f>
        <v>129.80000000000001</v>
      </c>
      <c r="AX301" s="169">
        <f>LL301</f>
        <v>130.19999999999999</v>
      </c>
      <c r="AY301" s="169">
        <f>LS301</f>
        <v>129.4620090072294</v>
      </c>
      <c r="AZ301" s="169">
        <f>LZ301</f>
        <v>133.06841287038878</v>
      </c>
      <c r="BA301" s="169">
        <f>MG301</f>
        <v>136.47266370299079</v>
      </c>
      <c r="BB301" s="169"/>
      <c r="BC301" s="169"/>
      <c r="BD301" s="169"/>
      <c r="BE301" s="169"/>
      <c r="BF301" s="169"/>
      <c r="BG301" s="169"/>
      <c r="BH301" s="169"/>
      <c r="BI301" s="169"/>
      <c r="BJ301" s="169"/>
      <c r="BK301" s="169"/>
      <c r="BL301" s="169"/>
      <c r="BM301" s="169"/>
      <c r="BO301" s="168" t="s">
        <v>237</v>
      </c>
      <c r="BP301" s="169">
        <v>25</v>
      </c>
      <c r="BQ301" s="169">
        <v>21.8</v>
      </c>
      <c r="BR301" s="169">
        <v>19.399999999999999</v>
      </c>
      <c r="BS301" s="169">
        <v>20.8</v>
      </c>
      <c r="BT301" s="169">
        <v>86.999999999999986</v>
      </c>
      <c r="BV301" s="168" t="s">
        <v>237</v>
      </c>
      <c r="BW301" s="169">
        <v>21</v>
      </c>
      <c r="BX301" s="169">
        <v>21.1</v>
      </c>
      <c r="BY301" s="169">
        <v>18.899999999999999</v>
      </c>
      <c r="BZ301" s="169">
        <v>20</v>
      </c>
      <c r="CA301" s="169">
        <v>81</v>
      </c>
      <c r="CC301" s="168" t="s">
        <v>237</v>
      </c>
      <c r="CD301" s="169">
        <v>20.3</v>
      </c>
      <c r="CE301" s="169">
        <v>20</v>
      </c>
      <c r="CF301" s="169">
        <v>19.100000000000001</v>
      </c>
      <c r="CG301" s="169">
        <v>20.2</v>
      </c>
      <c r="CH301" s="169">
        <v>79.599999999999994</v>
      </c>
      <c r="CJ301" s="168" t="s">
        <v>237</v>
      </c>
      <c r="CK301" s="169">
        <v>19.899999999999999</v>
      </c>
      <c r="CL301" s="169">
        <v>19</v>
      </c>
      <c r="CM301" s="169">
        <v>18.899999999999999</v>
      </c>
      <c r="CN301" s="169">
        <v>20.2</v>
      </c>
      <c r="CO301" s="169">
        <v>78</v>
      </c>
      <c r="CQ301" s="168" t="s">
        <v>237</v>
      </c>
      <c r="CR301" s="169">
        <v>21.5</v>
      </c>
      <c r="CS301" s="169">
        <v>21.8</v>
      </c>
      <c r="CT301" s="169">
        <v>20.8</v>
      </c>
      <c r="CU301" s="169">
        <v>22.9</v>
      </c>
      <c r="CV301" s="169">
        <v>87</v>
      </c>
      <c r="CX301" s="168" t="s">
        <v>237</v>
      </c>
      <c r="CY301" s="169">
        <v>22.3</v>
      </c>
      <c r="CZ301" s="169">
        <v>23</v>
      </c>
      <c r="DA301" s="169">
        <v>21.7</v>
      </c>
      <c r="DB301" s="169">
        <v>22.9</v>
      </c>
      <c r="DC301" s="169">
        <v>89.9</v>
      </c>
      <c r="DE301" s="168" t="s">
        <v>237</v>
      </c>
      <c r="DF301" s="169">
        <v>24.4</v>
      </c>
      <c r="DG301" s="169">
        <v>23.7</v>
      </c>
      <c r="DH301" s="169">
        <v>22.7</v>
      </c>
      <c r="DI301" s="169">
        <v>23.6</v>
      </c>
      <c r="DJ301" s="169">
        <v>94.4</v>
      </c>
      <c r="DL301" s="168" t="s">
        <v>237</v>
      </c>
      <c r="DM301" s="169">
        <v>23.6</v>
      </c>
      <c r="DN301" s="169">
        <v>23.4</v>
      </c>
      <c r="DO301" s="169">
        <v>21.8</v>
      </c>
      <c r="DP301" s="169">
        <v>23.1</v>
      </c>
      <c r="DQ301" s="169">
        <v>91.9</v>
      </c>
      <c r="DS301" s="168" t="s">
        <v>237</v>
      </c>
      <c r="DT301" s="169">
        <v>24.3</v>
      </c>
      <c r="DU301" s="169">
        <v>24.7</v>
      </c>
      <c r="DV301" s="169">
        <v>23.3</v>
      </c>
      <c r="DW301" s="169">
        <v>25.2</v>
      </c>
      <c r="DX301" s="169">
        <v>97.5</v>
      </c>
      <c r="DZ301" s="168" t="s">
        <v>237</v>
      </c>
      <c r="EA301" s="169">
        <v>25.6</v>
      </c>
      <c r="EB301" s="169">
        <v>25.4</v>
      </c>
      <c r="EC301" s="169">
        <v>24.5</v>
      </c>
      <c r="ED301" s="169">
        <v>25.3</v>
      </c>
      <c r="EE301" s="169">
        <v>100.8</v>
      </c>
      <c r="EG301" s="168" t="s">
        <v>237</v>
      </c>
      <c r="EH301" s="169">
        <v>27.4</v>
      </c>
      <c r="EI301" s="169">
        <v>28.7</v>
      </c>
      <c r="EJ301" s="169">
        <v>33.700000000000003</v>
      </c>
      <c r="EK301" s="169">
        <v>35.299999999999997</v>
      </c>
      <c r="EL301" s="169">
        <v>125.1</v>
      </c>
      <c r="EN301" s="168" t="s">
        <v>237</v>
      </c>
      <c r="EO301" s="169">
        <v>36.4</v>
      </c>
      <c r="EP301" s="169">
        <v>35.5</v>
      </c>
      <c r="EQ301" s="169">
        <v>34.1</v>
      </c>
      <c r="ER301" s="169">
        <v>33.700000000000003</v>
      </c>
      <c r="ES301" s="169">
        <v>139.69999999999999</v>
      </c>
      <c r="EU301" s="168" t="s">
        <v>237</v>
      </c>
      <c r="EV301" s="169">
        <v>35</v>
      </c>
      <c r="EW301" s="169">
        <v>34.1</v>
      </c>
      <c r="EX301" s="169">
        <v>32.700000000000003</v>
      </c>
      <c r="EY301" s="169">
        <v>32.5</v>
      </c>
      <c r="EZ301" s="169">
        <v>134.30000000000001</v>
      </c>
      <c r="FB301" s="168" t="s">
        <v>237</v>
      </c>
      <c r="FC301" s="169">
        <v>33.299999999999997</v>
      </c>
      <c r="FD301" s="169">
        <v>34.6</v>
      </c>
      <c r="FE301" s="169">
        <v>33.200000000000003</v>
      </c>
      <c r="FF301" s="169">
        <v>33.700000000000003</v>
      </c>
      <c r="FG301" s="169">
        <v>134.80000000000001</v>
      </c>
      <c r="FI301" s="168" t="s">
        <v>237</v>
      </c>
      <c r="FJ301" s="169">
        <v>35</v>
      </c>
      <c r="FK301" s="169">
        <v>34.6</v>
      </c>
      <c r="FL301" s="169">
        <v>35.4</v>
      </c>
      <c r="FM301" s="169">
        <v>36.1</v>
      </c>
      <c r="FN301" s="169">
        <v>141.1</v>
      </c>
      <c r="FP301" s="168" t="s">
        <v>237</v>
      </c>
      <c r="FQ301" s="169">
        <v>36</v>
      </c>
      <c r="FR301" s="169">
        <v>34.9</v>
      </c>
      <c r="FS301" s="169">
        <v>34.9</v>
      </c>
      <c r="FT301" s="169">
        <v>39.200000000000003</v>
      </c>
      <c r="FU301" s="169">
        <v>145</v>
      </c>
      <c r="FW301" s="168" t="s">
        <v>237</v>
      </c>
      <c r="FX301" s="169">
        <v>34.200000000000003</v>
      </c>
      <c r="FY301" s="169">
        <v>34.700000000000003</v>
      </c>
      <c r="FZ301" s="169">
        <v>33.5</v>
      </c>
      <c r="GA301" s="169">
        <v>34.1</v>
      </c>
      <c r="GB301" s="169">
        <v>136.80000000000001</v>
      </c>
      <c r="GD301" s="168" t="s">
        <v>237</v>
      </c>
      <c r="GE301" s="169">
        <v>35.1</v>
      </c>
      <c r="GF301" s="169">
        <v>35.4</v>
      </c>
      <c r="GG301" s="169">
        <v>34.6</v>
      </c>
      <c r="GH301" s="169">
        <v>34</v>
      </c>
      <c r="GI301" s="169">
        <v>139.19999999999999</v>
      </c>
      <c r="GK301" s="168" t="s">
        <v>237</v>
      </c>
      <c r="GL301" s="169">
        <v>33.799999999999997</v>
      </c>
      <c r="GM301" s="169">
        <v>35</v>
      </c>
      <c r="GN301" s="169">
        <v>33.5</v>
      </c>
      <c r="GO301" s="169">
        <v>32.9</v>
      </c>
      <c r="GP301" s="169">
        <v>135.30000000000001</v>
      </c>
      <c r="GR301" s="168" t="s">
        <v>237</v>
      </c>
      <c r="GS301" s="169">
        <v>33.9</v>
      </c>
      <c r="GT301" s="169">
        <v>34.9</v>
      </c>
      <c r="GU301" s="169">
        <v>33.799999999999997</v>
      </c>
      <c r="GV301" s="169">
        <v>29.5</v>
      </c>
      <c r="GW301" s="169">
        <v>131.9</v>
      </c>
      <c r="GY301" s="168" t="s">
        <v>237</v>
      </c>
      <c r="GZ301" s="169">
        <v>29.6</v>
      </c>
      <c r="HA301" s="169">
        <v>29</v>
      </c>
      <c r="HB301" s="169">
        <v>29.6</v>
      </c>
      <c r="HC301" s="169">
        <v>29.5</v>
      </c>
      <c r="HD301" s="169">
        <v>116.9</v>
      </c>
      <c r="HF301" s="168" t="s">
        <v>237</v>
      </c>
      <c r="HG301" s="169">
        <v>31.4</v>
      </c>
      <c r="HH301" s="169">
        <v>32.299999999999997</v>
      </c>
      <c r="HI301" s="169">
        <v>31.5</v>
      </c>
      <c r="HJ301" s="169">
        <v>34</v>
      </c>
      <c r="HK301" s="169">
        <v>129.30000000000001</v>
      </c>
      <c r="HM301" s="168" t="s">
        <v>237</v>
      </c>
      <c r="HN301" s="169">
        <v>32.6</v>
      </c>
      <c r="HO301" s="169">
        <v>33.5</v>
      </c>
      <c r="HP301" s="169">
        <v>31.7</v>
      </c>
      <c r="HQ301" s="169">
        <v>32.700000000000003</v>
      </c>
      <c r="HR301" s="169">
        <v>130.6</v>
      </c>
      <c r="HT301" s="168" t="s">
        <v>237</v>
      </c>
      <c r="HU301" s="169">
        <v>33.799999999999997</v>
      </c>
      <c r="HV301" s="169">
        <v>33.299999999999997</v>
      </c>
      <c r="HW301" s="169">
        <v>31.7</v>
      </c>
      <c r="HX301" s="169">
        <v>32.4</v>
      </c>
      <c r="HY301" s="169">
        <v>131.19999999999999</v>
      </c>
      <c r="IA301" s="168" t="s">
        <v>237</v>
      </c>
      <c r="IB301" s="169">
        <v>33.299999999999997</v>
      </c>
      <c r="IC301" s="169">
        <v>34.1</v>
      </c>
      <c r="ID301" s="169">
        <v>33.200000000000003</v>
      </c>
      <c r="IE301" s="169">
        <v>36.4</v>
      </c>
      <c r="IF301" s="169">
        <v>137</v>
      </c>
      <c r="IH301" s="168" t="s">
        <v>237</v>
      </c>
      <c r="II301" s="169">
        <v>35.299999999999997</v>
      </c>
      <c r="IJ301" s="169">
        <v>38</v>
      </c>
      <c r="IK301" s="169">
        <v>37.4</v>
      </c>
      <c r="IL301" s="169">
        <v>37.9</v>
      </c>
      <c r="IM301" s="169">
        <v>148.6</v>
      </c>
      <c r="IO301" s="168" t="s">
        <v>237</v>
      </c>
      <c r="IP301" s="169">
        <v>36.1</v>
      </c>
      <c r="IQ301" s="169">
        <v>36.799999999999997</v>
      </c>
      <c r="IR301" s="169">
        <v>36.200000000000003</v>
      </c>
      <c r="IS301" s="169">
        <v>35.799999999999997</v>
      </c>
      <c r="IT301" s="169">
        <v>144.9</v>
      </c>
      <c r="IV301" s="168" t="s">
        <v>237</v>
      </c>
      <c r="IW301" s="169">
        <v>33.799999999999997</v>
      </c>
      <c r="IX301" s="169">
        <v>33.4</v>
      </c>
      <c r="IY301" s="169">
        <v>32.299999999999997</v>
      </c>
      <c r="IZ301" s="169">
        <v>35.200000000000003</v>
      </c>
      <c r="JA301" s="169">
        <v>134.6</v>
      </c>
      <c r="JC301" s="168" t="s">
        <v>237</v>
      </c>
      <c r="JD301" s="169">
        <v>31.8</v>
      </c>
      <c r="JE301" s="169">
        <v>31.2</v>
      </c>
      <c r="JF301" s="169">
        <v>29.7</v>
      </c>
      <c r="JG301" s="169">
        <v>31.3</v>
      </c>
      <c r="JH301" s="169">
        <v>124</v>
      </c>
      <c r="JJ301" s="168" t="s">
        <v>237</v>
      </c>
      <c r="JK301" s="169">
        <v>31.4</v>
      </c>
      <c r="JL301" s="169">
        <v>32.799999999999997</v>
      </c>
      <c r="JM301" s="169">
        <v>32</v>
      </c>
      <c r="JN301" s="169">
        <v>31.9</v>
      </c>
      <c r="JO301" s="169">
        <v>128.1</v>
      </c>
      <c r="JQ301" s="168" t="s">
        <v>237</v>
      </c>
      <c r="JR301" s="169">
        <v>31.6</v>
      </c>
      <c r="JS301" s="169">
        <v>33</v>
      </c>
      <c r="JT301" s="169">
        <v>32.1</v>
      </c>
      <c r="JU301" s="169">
        <v>31.3</v>
      </c>
      <c r="JV301" s="169">
        <f>+SUM(JR301:JU301)</f>
        <v>127.99999999999999</v>
      </c>
      <c r="JX301" s="168" t="s">
        <v>237</v>
      </c>
      <c r="JY301" s="169">
        <v>33.1</v>
      </c>
      <c r="JZ301" s="169">
        <v>27.8</v>
      </c>
      <c r="KA301" s="169">
        <v>31</v>
      </c>
      <c r="KB301" s="169">
        <v>32.5</v>
      </c>
      <c r="KC301" s="169">
        <f>+SUM(JY301:KB301)</f>
        <v>124.4</v>
      </c>
      <c r="KE301" s="168" t="s">
        <v>237</v>
      </c>
      <c r="KF301" s="169">
        <v>31.3</v>
      </c>
      <c r="KG301" s="169">
        <v>32.1</v>
      </c>
      <c r="KH301" s="169">
        <v>30.8</v>
      </c>
      <c r="KI301" s="169">
        <v>32.1</v>
      </c>
      <c r="KJ301" s="169">
        <f>+SUM(KF301:KI301)</f>
        <v>126.30000000000001</v>
      </c>
      <c r="KL301" s="168" t="s">
        <v>237</v>
      </c>
      <c r="KM301" s="169">
        <v>31.2</v>
      </c>
      <c r="KN301" s="169">
        <v>32.1</v>
      </c>
      <c r="KO301" s="169">
        <v>31.7</v>
      </c>
      <c r="KP301" s="169">
        <v>31</v>
      </c>
      <c r="KQ301" s="169">
        <f>+SUM(KM301:KP301)</f>
        <v>126</v>
      </c>
      <c r="KS301" s="168" t="s">
        <v>237</v>
      </c>
      <c r="KT301" s="169">
        <v>32.299999999999997</v>
      </c>
      <c r="KU301" s="169">
        <v>32.299999999999997</v>
      </c>
      <c r="KV301" s="169">
        <v>31.3</v>
      </c>
      <c r="KW301" s="169">
        <v>32.1</v>
      </c>
      <c r="KX301" s="169">
        <f>+SUM(KT301:KW301)</f>
        <v>128</v>
      </c>
      <c r="KZ301" s="168" t="s">
        <v>237</v>
      </c>
      <c r="LA301" s="169">
        <v>32</v>
      </c>
      <c r="LB301" s="169">
        <v>32.700000000000003</v>
      </c>
      <c r="LC301" s="169">
        <v>32.5</v>
      </c>
      <c r="LD301" s="169">
        <v>32.6</v>
      </c>
      <c r="LE301" s="169">
        <f>+SUM(LA301:LD301)</f>
        <v>129.80000000000001</v>
      </c>
      <c r="LF301" s="555"/>
      <c r="LG301" s="168" t="s">
        <v>237</v>
      </c>
      <c r="LH301" s="169">
        <v>32.299999999999997</v>
      </c>
      <c r="LI301" s="169">
        <v>33.200000000000003</v>
      </c>
      <c r="LJ301" s="169">
        <v>32.799999999999997</v>
      </c>
      <c r="LK301" s="169">
        <v>31.9</v>
      </c>
      <c r="LL301" s="169">
        <f>+SUM(LH301:LK301)</f>
        <v>130.19999999999999</v>
      </c>
      <c r="LM301" s="555"/>
      <c r="LN301" s="168" t="s">
        <v>237</v>
      </c>
      <c r="LO301" s="169">
        <f t="shared" ref="LO301" si="7023">LH301*(1+LO103)</f>
        <v>31.697066666666665</v>
      </c>
      <c r="LP301" s="169">
        <f t="shared" ref="LP301" si="7024">LI301*(1+LP103)</f>
        <v>32.495119402985075</v>
      </c>
      <c r="LQ301" s="169">
        <f>LJ301*(1+LQ103)</f>
        <v>32.577606060606065</v>
      </c>
      <c r="LR301" s="169">
        <f t="shared" ref="LR301" si="7025">LK301*(1+LR103)</f>
        <v>32.692216876971607</v>
      </c>
      <c r="LS301" s="169">
        <f>+SUM(LO301:LR301)</f>
        <v>129.4620090072294</v>
      </c>
      <c r="LT301" s="555"/>
      <c r="LU301" s="168" t="s">
        <v>237</v>
      </c>
      <c r="LV301" s="169">
        <f t="shared" ref="LV301" si="7026">LO301*(1+LV103)</f>
        <v>32.60290734920634</v>
      </c>
      <c r="LW301" s="169">
        <f t="shared" ref="LW301" si="7027">LP301*(1+LW103)</f>
        <v>33.432500343283593</v>
      </c>
      <c r="LX301" s="169">
        <f t="shared" ref="LX301" si="7028">LQ301*(1+LX103)</f>
        <v>33.462687969696965</v>
      </c>
      <c r="LY301" s="169">
        <f t="shared" ref="LY301" si="7029">LR301*(1+LY103)</f>
        <v>33.570317208201892</v>
      </c>
      <c r="LZ301" s="169">
        <f>+SUM(LV301:LY301)</f>
        <v>133.06841287038878</v>
      </c>
      <c r="MA301" s="555"/>
      <c r="MB301" s="168" t="s">
        <v>237</v>
      </c>
      <c r="MC301" s="169">
        <f t="shared" ref="MC301" si="7030">LV301*(1+MC103)</f>
        <v>33.487938250456345</v>
      </c>
      <c r="MD301" s="169">
        <f t="shared" ref="MD301" si="7031">LW301*(1+MD103)</f>
        <v>34.320780490447767</v>
      </c>
      <c r="ME301" s="169">
        <f t="shared" ref="ME301" si="7032">LX301*(1+ME103)</f>
        <v>34.305173158636357</v>
      </c>
      <c r="MF301" s="169">
        <f t="shared" ref="MF301" si="7033">LY301*(1+MF103)</f>
        <v>34.35877180345031</v>
      </c>
      <c r="MG301" s="169">
        <f>+SUM(MC301:MF301)</f>
        <v>136.47266370299079</v>
      </c>
      <c r="MH301" s="555"/>
    </row>
    <row r="302" spans="1:346" s="53" customFormat="1" ht="13.15" x14ac:dyDescent="0.4">
      <c r="A302" s="100"/>
      <c r="B302" s="168" t="s">
        <v>147</v>
      </c>
      <c r="C302" s="169"/>
      <c r="D302" s="169"/>
      <c r="E302" s="169"/>
      <c r="F302" s="169"/>
      <c r="G302" s="169"/>
      <c r="H302" s="169"/>
      <c r="I302" s="169"/>
      <c r="J302" s="169">
        <v>58.5</v>
      </c>
      <c r="K302" s="169">
        <v>57.4</v>
      </c>
      <c r="L302" s="169">
        <v>63.1</v>
      </c>
      <c r="M302" s="169">
        <v>62.9</v>
      </c>
      <c r="N302" s="169">
        <f>BT302</f>
        <v>66.099999999999994</v>
      </c>
      <c r="O302" s="169">
        <f>CA302</f>
        <v>68.199999999999989</v>
      </c>
      <c r="P302" s="169">
        <f>CH302</f>
        <v>66.800000000000011</v>
      </c>
      <c r="Q302" s="169">
        <f>CO302</f>
        <v>66.400000000000006</v>
      </c>
      <c r="R302" s="169">
        <f>CV302</f>
        <v>58.100000000000009</v>
      </c>
      <c r="S302" s="169">
        <f>DC302</f>
        <v>63.7</v>
      </c>
      <c r="T302" s="169">
        <f>DJ302</f>
        <v>65.400000000000006</v>
      </c>
      <c r="U302" s="169">
        <f>DQ302</f>
        <v>68.3</v>
      </c>
      <c r="V302" s="169">
        <f>DX302</f>
        <v>68</v>
      </c>
      <c r="W302" s="169">
        <f>EE302</f>
        <v>67.2</v>
      </c>
      <c r="X302" s="169">
        <f>EL302</f>
        <v>67.199999999999989</v>
      </c>
      <c r="Y302" s="169">
        <f>ES302</f>
        <v>77.5</v>
      </c>
      <c r="Z302" s="169">
        <f>EZ302</f>
        <v>79.8</v>
      </c>
      <c r="AA302" s="169">
        <f>FG302</f>
        <v>72.399999999999991</v>
      </c>
      <c r="AB302" s="169">
        <f>FN302</f>
        <v>70.5</v>
      </c>
      <c r="AC302" s="169">
        <f>FU302</f>
        <v>77.699999999999989</v>
      </c>
      <c r="AD302" s="169">
        <f>GB302</f>
        <v>81.2</v>
      </c>
      <c r="AE302" s="169">
        <f>GI302</f>
        <v>84.7</v>
      </c>
      <c r="AF302" s="169">
        <f>GP302</f>
        <v>85.6</v>
      </c>
      <c r="AG302" s="169">
        <f>GW302</f>
        <v>89.5</v>
      </c>
      <c r="AH302" s="169">
        <f>HD302</f>
        <v>75.2</v>
      </c>
      <c r="AI302" s="169">
        <f>HK302</f>
        <v>79.5</v>
      </c>
      <c r="AJ302" s="169">
        <f>HR302</f>
        <v>76.5</v>
      </c>
      <c r="AK302" s="169">
        <f>HY302</f>
        <v>67.2</v>
      </c>
      <c r="AL302" s="169">
        <f>IF302</f>
        <v>64.599999999999994</v>
      </c>
      <c r="AM302" s="169">
        <f>IM302</f>
        <v>69.5</v>
      </c>
      <c r="AN302" s="169">
        <f>IT302</f>
        <v>56.5</v>
      </c>
      <c r="AO302" s="169">
        <f>JA302</f>
        <v>45.1</v>
      </c>
      <c r="AP302" s="169">
        <f>JH302</f>
        <v>43.3</v>
      </c>
      <c r="AQ302" s="169">
        <f>JO302</f>
        <v>45.5</v>
      </c>
      <c r="AR302" s="169">
        <f>JV302</f>
        <v>41.1</v>
      </c>
      <c r="AS302" s="169">
        <f>KC302</f>
        <v>30.1</v>
      </c>
      <c r="AT302" s="169">
        <f>KJ302</f>
        <v>35.4</v>
      </c>
      <c r="AU302" s="169">
        <f>KQ302</f>
        <v>33.799999999999997</v>
      </c>
      <c r="AV302" s="169">
        <f>KX302</f>
        <v>37.4</v>
      </c>
      <c r="AW302" s="169">
        <f>LE302</f>
        <v>35.700000000000003</v>
      </c>
      <c r="AX302" s="169">
        <f>LL302</f>
        <v>36.6</v>
      </c>
      <c r="AY302" s="169">
        <f>LS302</f>
        <v>37.5105</v>
      </c>
      <c r="AZ302" s="169">
        <f>LZ302</f>
        <v>37.370377499999996</v>
      </c>
      <c r="BA302" s="169">
        <f>MG302</f>
        <v>37.09009966875</v>
      </c>
      <c r="BB302" s="169"/>
      <c r="BC302" s="169"/>
      <c r="BD302" s="169"/>
      <c r="BE302" s="169"/>
      <c r="BF302" s="169"/>
      <c r="BG302" s="169"/>
      <c r="BH302" s="169"/>
      <c r="BI302" s="169"/>
      <c r="BJ302" s="169"/>
      <c r="BK302" s="169"/>
      <c r="BL302" s="169"/>
      <c r="BM302" s="169"/>
      <c r="BO302" s="168" t="s">
        <v>147</v>
      </c>
      <c r="BP302" s="169">
        <v>16.8</v>
      </c>
      <c r="BQ302" s="169">
        <v>16.399999999999999</v>
      </c>
      <c r="BR302" s="169">
        <v>16.8</v>
      </c>
      <c r="BS302" s="169">
        <v>16.100000000000001</v>
      </c>
      <c r="BT302" s="169">
        <v>66.099999999999994</v>
      </c>
      <c r="BV302" s="168" t="s">
        <v>147</v>
      </c>
      <c r="BW302" s="169">
        <v>16.7</v>
      </c>
      <c r="BX302" s="169">
        <v>17.100000000000001</v>
      </c>
      <c r="BY302" s="169">
        <v>17.5</v>
      </c>
      <c r="BZ302" s="169">
        <v>16.899999999999999</v>
      </c>
      <c r="CA302" s="169">
        <v>68.199999999999989</v>
      </c>
      <c r="CC302" s="168" t="s">
        <v>147</v>
      </c>
      <c r="CD302" s="169">
        <v>16.5</v>
      </c>
      <c r="CE302" s="169">
        <v>16.2</v>
      </c>
      <c r="CF302" s="169">
        <v>17.100000000000001</v>
      </c>
      <c r="CG302" s="169">
        <v>17</v>
      </c>
      <c r="CH302" s="169">
        <v>66.800000000000011</v>
      </c>
      <c r="CJ302" s="168" t="s">
        <v>147</v>
      </c>
      <c r="CK302" s="169">
        <v>16.8</v>
      </c>
      <c r="CL302" s="169">
        <v>16.100000000000001</v>
      </c>
      <c r="CM302" s="169">
        <v>16.5</v>
      </c>
      <c r="CN302" s="169">
        <v>17</v>
      </c>
      <c r="CO302" s="169">
        <v>66.400000000000006</v>
      </c>
      <c r="CQ302" s="168" t="s">
        <v>147</v>
      </c>
      <c r="CR302" s="169">
        <v>14.5</v>
      </c>
      <c r="CS302" s="169">
        <v>15.1</v>
      </c>
      <c r="CT302" s="169">
        <v>14.3</v>
      </c>
      <c r="CU302" s="169">
        <v>14.2</v>
      </c>
      <c r="CV302" s="169">
        <v>58.100000000000009</v>
      </c>
      <c r="CX302" s="168" t="s">
        <v>147</v>
      </c>
      <c r="CY302" s="169">
        <v>14.9</v>
      </c>
      <c r="CZ302" s="169">
        <v>15.8</v>
      </c>
      <c r="DA302" s="169">
        <v>16.5</v>
      </c>
      <c r="DB302" s="169">
        <v>16.5</v>
      </c>
      <c r="DC302" s="169">
        <v>63.7</v>
      </c>
      <c r="DE302" s="168" t="s">
        <v>147</v>
      </c>
      <c r="DF302" s="169">
        <v>15.7</v>
      </c>
      <c r="DG302" s="169">
        <v>16.100000000000001</v>
      </c>
      <c r="DH302" s="169">
        <v>16.7</v>
      </c>
      <c r="DI302" s="169">
        <v>16.899999999999999</v>
      </c>
      <c r="DJ302" s="169">
        <v>65.400000000000006</v>
      </c>
      <c r="DL302" s="168" t="s">
        <v>147</v>
      </c>
      <c r="DM302" s="169">
        <v>16</v>
      </c>
      <c r="DN302" s="169">
        <v>17.3</v>
      </c>
      <c r="DO302" s="169">
        <v>17.399999999999999</v>
      </c>
      <c r="DP302" s="169">
        <v>17.600000000000001</v>
      </c>
      <c r="DQ302" s="169">
        <v>68.3</v>
      </c>
      <c r="DS302" s="168" t="s">
        <v>147</v>
      </c>
      <c r="DT302" s="169">
        <v>17</v>
      </c>
      <c r="DU302" s="169">
        <v>16.600000000000001</v>
      </c>
      <c r="DV302" s="169">
        <v>17</v>
      </c>
      <c r="DW302" s="169">
        <v>17.399999999999999</v>
      </c>
      <c r="DX302" s="169">
        <v>68</v>
      </c>
      <c r="DZ302" s="168" t="s">
        <v>147</v>
      </c>
      <c r="EA302" s="169">
        <v>16.399999999999999</v>
      </c>
      <c r="EB302" s="169">
        <v>16.600000000000001</v>
      </c>
      <c r="EC302" s="169">
        <v>17.100000000000001</v>
      </c>
      <c r="ED302" s="169">
        <v>17.100000000000001</v>
      </c>
      <c r="EE302" s="169">
        <v>67.2</v>
      </c>
      <c r="EG302" s="168" t="s">
        <v>147</v>
      </c>
      <c r="EH302" s="169">
        <v>16.899999999999999</v>
      </c>
      <c r="EI302" s="169">
        <v>15.7</v>
      </c>
      <c r="EJ302" s="169">
        <v>17.399999999999999</v>
      </c>
      <c r="EK302" s="169">
        <v>17.2</v>
      </c>
      <c r="EL302" s="169">
        <v>67.199999999999989</v>
      </c>
      <c r="EN302" s="168" t="s">
        <v>147</v>
      </c>
      <c r="EO302" s="169">
        <v>18.3</v>
      </c>
      <c r="EP302" s="169">
        <v>18.899999999999999</v>
      </c>
      <c r="EQ302" s="169">
        <v>20.5</v>
      </c>
      <c r="ER302" s="169">
        <v>19.8</v>
      </c>
      <c r="ES302" s="169">
        <v>77.5</v>
      </c>
      <c r="EU302" s="168" t="s">
        <v>147</v>
      </c>
      <c r="EV302" s="169">
        <v>19.8</v>
      </c>
      <c r="EW302" s="169">
        <v>19.899999999999999</v>
      </c>
      <c r="EX302" s="169">
        <v>19.8</v>
      </c>
      <c r="EY302" s="169">
        <v>20.3</v>
      </c>
      <c r="EZ302" s="169">
        <v>79.8</v>
      </c>
      <c r="FB302" s="168" t="s">
        <v>147</v>
      </c>
      <c r="FC302" s="169">
        <v>18.2</v>
      </c>
      <c r="FD302" s="169">
        <v>17.899999999999999</v>
      </c>
      <c r="FE302" s="169">
        <v>18.3</v>
      </c>
      <c r="FF302" s="169">
        <v>18</v>
      </c>
      <c r="FG302" s="169">
        <v>72.399999999999991</v>
      </c>
      <c r="FI302" s="168" t="s">
        <v>147</v>
      </c>
      <c r="FJ302" s="169">
        <v>16.899999999999999</v>
      </c>
      <c r="FK302" s="169">
        <v>18.399999999999999</v>
      </c>
      <c r="FL302" s="169">
        <v>17.5</v>
      </c>
      <c r="FM302" s="169">
        <v>17.7</v>
      </c>
      <c r="FN302" s="169">
        <v>70.5</v>
      </c>
      <c r="FP302" s="168" t="s">
        <v>147</v>
      </c>
      <c r="FQ302" s="169">
        <v>18.7</v>
      </c>
      <c r="FR302" s="169">
        <v>19.100000000000001</v>
      </c>
      <c r="FS302" s="169">
        <v>18.5</v>
      </c>
      <c r="FT302" s="169">
        <v>21.4</v>
      </c>
      <c r="FU302" s="169">
        <v>77.699999999999989</v>
      </c>
      <c r="FW302" s="168" t="s">
        <v>147</v>
      </c>
      <c r="FX302" s="169">
        <v>20.8</v>
      </c>
      <c r="FY302" s="169">
        <v>20.399999999999999</v>
      </c>
      <c r="FZ302" s="169">
        <v>20.100000000000001</v>
      </c>
      <c r="GA302" s="169">
        <v>20.100000000000001</v>
      </c>
      <c r="GB302" s="169">
        <v>81.2</v>
      </c>
      <c r="GD302" s="168" t="s">
        <v>147</v>
      </c>
      <c r="GE302" s="169">
        <v>21.4</v>
      </c>
      <c r="GF302" s="169">
        <v>21</v>
      </c>
      <c r="GG302" s="169">
        <v>21.3</v>
      </c>
      <c r="GH302" s="169">
        <v>21.1</v>
      </c>
      <c r="GI302" s="169">
        <v>84.7</v>
      </c>
      <c r="GK302" s="168" t="s">
        <v>147</v>
      </c>
      <c r="GL302" s="169">
        <v>21.3</v>
      </c>
      <c r="GM302" s="169">
        <v>22</v>
      </c>
      <c r="GN302" s="169">
        <v>21.2</v>
      </c>
      <c r="GO302" s="169">
        <v>21.3</v>
      </c>
      <c r="GP302" s="169">
        <v>85.6</v>
      </c>
      <c r="GR302" s="168" t="s">
        <v>147</v>
      </c>
      <c r="GS302" s="169">
        <v>22.1</v>
      </c>
      <c r="GT302" s="169">
        <v>22.9</v>
      </c>
      <c r="GU302" s="169">
        <v>22.2</v>
      </c>
      <c r="GV302" s="169">
        <v>22.6</v>
      </c>
      <c r="GW302" s="169">
        <v>89.5</v>
      </c>
      <c r="GY302" s="168" t="s">
        <v>147</v>
      </c>
      <c r="GZ302" s="169">
        <v>19</v>
      </c>
      <c r="HA302" s="169">
        <v>18.399999999999999</v>
      </c>
      <c r="HB302" s="169">
        <v>19.2</v>
      </c>
      <c r="HC302" s="169">
        <v>17.100000000000001</v>
      </c>
      <c r="HD302" s="169">
        <v>75.2</v>
      </c>
      <c r="HF302" s="168" t="s">
        <v>147</v>
      </c>
      <c r="HG302" s="169">
        <v>19.100000000000001</v>
      </c>
      <c r="HH302" s="169">
        <v>20.3</v>
      </c>
      <c r="HI302" s="169">
        <v>19.8</v>
      </c>
      <c r="HJ302" s="169">
        <v>20.2</v>
      </c>
      <c r="HK302" s="169">
        <v>79.5</v>
      </c>
      <c r="HM302" s="168" t="s">
        <v>147</v>
      </c>
      <c r="HN302" s="169">
        <v>19.399999999999999</v>
      </c>
      <c r="HO302" s="169">
        <v>19.2</v>
      </c>
      <c r="HP302" s="169">
        <v>19.2</v>
      </c>
      <c r="HQ302" s="169">
        <v>18.600000000000001</v>
      </c>
      <c r="HR302" s="169">
        <v>76.5</v>
      </c>
      <c r="HT302" s="168" t="s">
        <v>147</v>
      </c>
      <c r="HU302" s="169">
        <v>17.399999999999999</v>
      </c>
      <c r="HV302" s="169">
        <v>16.899999999999999</v>
      </c>
      <c r="HW302" s="169">
        <v>16.899999999999999</v>
      </c>
      <c r="HX302" s="169">
        <v>15.9</v>
      </c>
      <c r="HY302" s="169">
        <v>67.2</v>
      </c>
      <c r="IA302" s="168" t="s">
        <v>147</v>
      </c>
      <c r="IB302" s="169">
        <v>16.3</v>
      </c>
      <c r="IC302" s="169">
        <v>16.899999999999999</v>
      </c>
      <c r="ID302" s="169">
        <v>16.3</v>
      </c>
      <c r="IE302" s="169">
        <v>15.2</v>
      </c>
      <c r="IF302" s="169">
        <v>64.599999999999994</v>
      </c>
      <c r="IH302" s="168" t="s">
        <v>147</v>
      </c>
      <c r="II302" s="169">
        <v>16.3</v>
      </c>
      <c r="IJ302" s="169">
        <v>18</v>
      </c>
      <c r="IK302" s="169">
        <v>17.399999999999999</v>
      </c>
      <c r="IL302" s="169">
        <v>17.899999999999999</v>
      </c>
      <c r="IM302" s="169">
        <v>69.5</v>
      </c>
      <c r="IO302" s="168" t="s">
        <v>147</v>
      </c>
      <c r="IP302" s="169">
        <v>16.100000000000001</v>
      </c>
      <c r="IQ302" s="169">
        <v>15.8</v>
      </c>
      <c r="IR302" s="169">
        <v>13.3</v>
      </c>
      <c r="IS302" s="169">
        <v>11.2</v>
      </c>
      <c r="IT302" s="169">
        <v>56.5</v>
      </c>
      <c r="IV302" s="168" t="s">
        <v>147</v>
      </c>
      <c r="IW302" s="169">
        <v>9.6999999999999993</v>
      </c>
      <c r="IX302" s="169">
        <v>10.4</v>
      </c>
      <c r="IY302" s="169">
        <v>11.5</v>
      </c>
      <c r="IZ302" s="169">
        <v>13.5</v>
      </c>
      <c r="JA302" s="169">
        <v>45.1</v>
      </c>
      <c r="JC302" s="168" t="s">
        <v>147</v>
      </c>
      <c r="JD302" s="169">
        <v>10.6</v>
      </c>
      <c r="JE302" s="169">
        <v>10.6</v>
      </c>
      <c r="JF302" s="169">
        <v>10.9</v>
      </c>
      <c r="JG302" s="169">
        <v>11.2</v>
      </c>
      <c r="JH302" s="169">
        <v>43.3</v>
      </c>
      <c r="JJ302" s="168" t="s">
        <v>147</v>
      </c>
      <c r="JK302" s="169">
        <v>10.3</v>
      </c>
      <c r="JL302" s="169">
        <v>11.8</v>
      </c>
      <c r="JM302" s="169">
        <v>12</v>
      </c>
      <c r="JN302" s="169">
        <v>11.4</v>
      </c>
      <c r="JO302" s="169">
        <v>45.5</v>
      </c>
      <c r="JQ302" s="168" t="s">
        <v>147</v>
      </c>
      <c r="JR302" s="169">
        <v>10.5</v>
      </c>
      <c r="JS302" s="169">
        <v>10.9</v>
      </c>
      <c r="JT302" s="169">
        <v>10.3</v>
      </c>
      <c r="JU302" s="169">
        <v>9.4</v>
      </c>
      <c r="JV302" s="169">
        <f>+SUM(JR302:JU302)</f>
        <v>41.1</v>
      </c>
      <c r="JX302" s="168" t="s">
        <v>147</v>
      </c>
      <c r="JY302" s="169">
        <v>8.6</v>
      </c>
      <c r="JZ302" s="169">
        <v>6</v>
      </c>
      <c r="KA302" s="169">
        <v>7.1</v>
      </c>
      <c r="KB302" s="169">
        <v>8.4</v>
      </c>
      <c r="KC302" s="169">
        <f>+SUM(JY302:KB302)</f>
        <v>30.1</v>
      </c>
      <c r="KE302" s="168" t="s">
        <v>147</v>
      </c>
      <c r="KF302" s="169">
        <v>8.8000000000000007</v>
      </c>
      <c r="KG302" s="169">
        <v>9.1999999999999993</v>
      </c>
      <c r="KH302" s="169">
        <v>8.9</v>
      </c>
      <c r="KI302" s="169">
        <v>8.5</v>
      </c>
      <c r="KJ302" s="169">
        <f>+SUM(KF302:KI302)</f>
        <v>35.4</v>
      </c>
      <c r="KL302" s="168" t="s">
        <v>147</v>
      </c>
      <c r="KM302" s="169">
        <v>7.6</v>
      </c>
      <c r="KN302" s="169">
        <v>8.4</v>
      </c>
      <c r="KO302" s="169">
        <v>8.6</v>
      </c>
      <c r="KP302" s="169">
        <v>9.1999999999999993</v>
      </c>
      <c r="KQ302" s="169">
        <f>+SUM(KM302:KP302)</f>
        <v>33.799999999999997</v>
      </c>
      <c r="KS302" s="168" t="s">
        <v>147</v>
      </c>
      <c r="KT302" s="169">
        <v>9.1999999999999993</v>
      </c>
      <c r="KU302" s="169">
        <v>9.1999999999999993</v>
      </c>
      <c r="KV302" s="169">
        <v>9.4</v>
      </c>
      <c r="KW302" s="169">
        <v>9.6</v>
      </c>
      <c r="KX302" s="169">
        <f>+SUM(KT302:KW302)</f>
        <v>37.4</v>
      </c>
      <c r="KZ302" s="168" t="s">
        <v>147</v>
      </c>
      <c r="LA302" s="169">
        <v>9.4</v>
      </c>
      <c r="LB302" s="169">
        <v>8.8000000000000007</v>
      </c>
      <c r="LC302" s="169">
        <v>9.1</v>
      </c>
      <c r="LD302" s="169">
        <v>8.4</v>
      </c>
      <c r="LE302" s="169">
        <f>+SUM(LA302:LD302)</f>
        <v>35.700000000000003</v>
      </c>
      <c r="LF302" s="555"/>
      <c r="LG302" s="168" t="s">
        <v>147</v>
      </c>
      <c r="LH302" s="169">
        <v>8.4</v>
      </c>
      <c r="LI302" s="169">
        <v>9.3000000000000007</v>
      </c>
      <c r="LJ302" s="169">
        <v>9.9</v>
      </c>
      <c r="LK302" s="169">
        <v>9</v>
      </c>
      <c r="LL302" s="169">
        <f>+SUM(LH302:LK302)</f>
        <v>36.6</v>
      </c>
      <c r="LM302" s="555"/>
      <c r="LN302" s="168" t="s">
        <v>147</v>
      </c>
      <c r="LO302" s="169">
        <f t="shared" ref="LO302" si="7034">LH302*(1+LO106)</f>
        <v>8.652000000000001</v>
      </c>
      <c r="LP302" s="169">
        <f t="shared" ref="LP302" si="7035">LI302*(1+LP106)</f>
        <v>9.4860000000000007</v>
      </c>
      <c r="LQ302" s="169">
        <f>LJ302*(1+LQ106)</f>
        <v>10.147499999999999</v>
      </c>
      <c r="LR302" s="169">
        <f t="shared" ref="LR302" si="7036">LK302*(1+LR106)</f>
        <v>9.2249999999999996</v>
      </c>
      <c r="LS302" s="169">
        <f>+SUM(LO302:LR302)</f>
        <v>37.5105</v>
      </c>
      <c r="LT302" s="555"/>
      <c r="LU302" s="168" t="s">
        <v>147</v>
      </c>
      <c r="LV302" s="169">
        <f t="shared" ref="LV302" si="7037">LO302*(1+LV106)</f>
        <v>8.6087400000000027</v>
      </c>
      <c r="LW302" s="169">
        <f t="shared" ref="LW302" si="7038">LP302*(1+LW106)</f>
        <v>9.4860000000000007</v>
      </c>
      <c r="LX302" s="169">
        <f t="shared" ref="LX302" si="7039">LQ302*(1+LX106)</f>
        <v>10.096762499999999</v>
      </c>
      <c r="LY302" s="169">
        <f t="shared" ref="LY302" si="7040">LR302*(1+LY106)</f>
        <v>9.1788749999999997</v>
      </c>
      <c r="LZ302" s="169">
        <f>+SUM(LV302:LY302)</f>
        <v>37.370377499999996</v>
      </c>
      <c r="MA302" s="555"/>
      <c r="MB302" s="168" t="s">
        <v>147</v>
      </c>
      <c r="MC302" s="169">
        <f t="shared" ref="MC302" si="7041">LV302*(1+MC106)</f>
        <v>8.5441744500000016</v>
      </c>
      <c r="MD302" s="169">
        <f t="shared" ref="MD302" si="7042">LW302*(1+MD106)</f>
        <v>9.4148550000000011</v>
      </c>
      <c r="ME302" s="169">
        <f t="shared" ref="ME302" si="7043">LX302*(1+ME106)</f>
        <v>10.021036781249999</v>
      </c>
      <c r="MF302" s="169">
        <f t="shared" ref="MF302" si="7044">LY302*(1+MF106)</f>
        <v>9.1100334375000003</v>
      </c>
      <c r="MG302" s="169">
        <f>+SUM(MC302:MF302)</f>
        <v>37.09009966875</v>
      </c>
      <c r="MH302" s="555"/>
    </row>
    <row r="303" spans="1:346" s="53" customFormat="1" ht="13.15" x14ac:dyDescent="0.4">
      <c r="A303" s="100"/>
      <c r="B303" s="168" t="s">
        <v>32</v>
      </c>
      <c r="C303" s="169"/>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c r="AA303" s="169"/>
      <c r="AB303" s="169"/>
      <c r="AC303" s="169"/>
      <c r="AD303" s="169"/>
      <c r="AE303" s="169"/>
      <c r="AF303" s="169"/>
      <c r="AG303" s="169"/>
      <c r="AH303" s="169"/>
      <c r="AI303" s="169"/>
      <c r="AJ303" s="169"/>
      <c r="AK303" s="169"/>
      <c r="AL303" s="169"/>
      <c r="AM303" s="169"/>
      <c r="AN303" s="169"/>
      <c r="AO303" s="169"/>
      <c r="AP303" s="169"/>
      <c r="AQ303" s="169"/>
      <c r="AR303" s="169"/>
      <c r="AS303" s="169"/>
      <c r="AT303" s="169"/>
      <c r="AU303" s="169"/>
      <c r="AV303" s="169"/>
      <c r="AW303" s="169"/>
      <c r="AX303" s="169"/>
      <c r="AY303" s="169"/>
      <c r="AZ303" s="169"/>
      <c r="BA303" s="169"/>
      <c r="BB303" s="169"/>
      <c r="BC303" s="169"/>
      <c r="BD303" s="169"/>
      <c r="BE303" s="169"/>
      <c r="BF303" s="169"/>
      <c r="BG303" s="169"/>
      <c r="BH303" s="169"/>
      <c r="BI303" s="169"/>
      <c r="BJ303" s="169"/>
      <c r="BK303" s="169"/>
      <c r="BL303" s="169"/>
      <c r="BM303" s="169"/>
      <c r="BO303" s="168" t="s">
        <v>32</v>
      </c>
      <c r="BP303" s="169"/>
      <c r="BQ303" s="169"/>
      <c r="BR303" s="169"/>
      <c r="BS303" s="169"/>
      <c r="BT303" s="169"/>
      <c r="BV303" s="168" t="s">
        <v>32</v>
      </c>
      <c r="BW303" s="169"/>
      <c r="BX303" s="169"/>
      <c r="BY303" s="169"/>
      <c r="BZ303" s="169"/>
      <c r="CA303" s="169"/>
      <c r="CC303" s="168" t="s">
        <v>32</v>
      </c>
      <c r="CD303" s="169"/>
      <c r="CE303" s="169"/>
      <c r="CF303" s="169"/>
      <c r="CG303" s="169"/>
      <c r="CH303" s="169"/>
      <c r="CJ303" s="168" t="s">
        <v>32</v>
      </c>
      <c r="CK303" s="169"/>
      <c r="CL303" s="169"/>
      <c r="CM303" s="169"/>
      <c r="CN303" s="169"/>
      <c r="CO303" s="169"/>
      <c r="CQ303" s="168" t="s">
        <v>32</v>
      </c>
      <c r="CR303" s="169"/>
      <c r="CS303" s="169"/>
      <c r="CT303" s="169"/>
      <c r="CU303" s="169"/>
      <c r="CV303" s="169"/>
      <c r="CX303" s="168" t="s">
        <v>32</v>
      </c>
      <c r="CY303" s="169"/>
      <c r="CZ303" s="169"/>
      <c r="DA303" s="169"/>
      <c r="DB303" s="169"/>
      <c r="DC303" s="169"/>
      <c r="DE303" s="168" t="s">
        <v>32</v>
      </c>
      <c r="DF303" s="169"/>
      <c r="DG303" s="169"/>
      <c r="DH303" s="169"/>
      <c r="DI303" s="169"/>
      <c r="DJ303" s="169"/>
      <c r="DL303" s="168" t="s">
        <v>32</v>
      </c>
      <c r="DM303" s="169"/>
      <c r="DN303" s="169"/>
      <c r="DO303" s="169"/>
      <c r="DP303" s="169"/>
      <c r="DQ303" s="169"/>
      <c r="DS303" s="168" t="s">
        <v>32</v>
      </c>
      <c r="DT303" s="169"/>
      <c r="DU303" s="169"/>
      <c r="DV303" s="169"/>
      <c r="DW303" s="169"/>
      <c r="DX303" s="169"/>
      <c r="DZ303" s="168" t="s">
        <v>32</v>
      </c>
      <c r="EA303" s="169"/>
      <c r="EB303" s="169"/>
      <c r="EC303" s="169"/>
      <c r="ED303" s="169"/>
      <c r="EE303" s="169"/>
      <c r="EG303" s="168" t="s">
        <v>32</v>
      </c>
      <c r="EH303" s="169"/>
      <c r="EI303" s="169"/>
      <c r="EJ303" s="169"/>
      <c r="EK303" s="169"/>
      <c r="EL303" s="169">
        <v>0</v>
      </c>
      <c r="EN303" s="168" t="s">
        <v>32</v>
      </c>
      <c r="EO303" s="169">
        <v>5.8</v>
      </c>
      <c r="EP303" s="169">
        <v>5.5</v>
      </c>
      <c r="EQ303" s="169">
        <v>5.0999999999999996</v>
      </c>
      <c r="ER303" s="169">
        <v>5.0999999999999996</v>
      </c>
      <c r="ES303" s="169">
        <v>21.5</v>
      </c>
      <c r="EU303" s="168" t="s">
        <v>32</v>
      </c>
      <c r="EV303" s="169">
        <v>4.8</v>
      </c>
      <c r="EW303" s="169">
        <v>5.2</v>
      </c>
      <c r="EX303" s="169">
        <v>5.2</v>
      </c>
      <c r="EY303" s="169">
        <v>5.2</v>
      </c>
      <c r="EZ303" s="169">
        <v>20.399999999999999</v>
      </c>
      <c r="FB303" s="168" t="s">
        <v>32</v>
      </c>
      <c r="FC303" s="169">
        <v>4.9000000000000004</v>
      </c>
      <c r="FD303" s="169">
        <v>5.4</v>
      </c>
      <c r="FE303" s="169">
        <v>5.4</v>
      </c>
      <c r="FF303" s="169">
        <v>5.3</v>
      </c>
      <c r="FG303" s="169">
        <v>21</v>
      </c>
      <c r="FI303" s="168" t="s">
        <v>32</v>
      </c>
      <c r="FJ303" s="169">
        <v>5.0999999999999996</v>
      </c>
      <c r="FK303" s="169">
        <v>5.5</v>
      </c>
      <c r="FL303" s="169">
        <v>5.4</v>
      </c>
      <c r="FM303" s="169">
        <v>5.6</v>
      </c>
      <c r="FN303" s="169">
        <v>21.6</v>
      </c>
      <c r="FP303" s="168" t="s">
        <v>32</v>
      </c>
      <c r="FQ303" s="169">
        <v>5.4</v>
      </c>
      <c r="FR303" s="169">
        <v>5.8</v>
      </c>
      <c r="FS303" s="169">
        <v>5.2</v>
      </c>
      <c r="FT303" s="169">
        <v>6</v>
      </c>
      <c r="FU303" s="169">
        <v>22.4</v>
      </c>
      <c r="FW303" s="168" t="s">
        <v>32</v>
      </c>
      <c r="FX303" s="169">
        <v>5</v>
      </c>
      <c r="FY303" s="169">
        <v>5.2</v>
      </c>
      <c r="FZ303" s="169">
        <v>5.0999999999999996</v>
      </c>
      <c r="GA303" s="169">
        <v>5.5</v>
      </c>
      <c r="GB303" s="169">
        <v>20.8</v>
      </c>
      <c r="GD303" s="168" t="s">
        <v>32</v>
      </c>
      <c r="GE303" s="169">
        <v>5.0999999999999996</v>
      </c>
      <c r="GF303" s="169">
        <v>5.3</v>
      </c>
      <c r="GG303" s="169">
        <v>5.4</v>
      </c>
      <c r="GH303" s="169">
        <v>5.2</v>
      </c>
      <c r="GI303" s="169">
        <v>20.9</v>
      </c>
      <c r="GK303" s="168" t="s">
        <v>32</v>
      </c>
      <c r="GL303" s="169">
        <v>4.9000000000000004</v>
      </c>
      <c r="GM303" s="169">
        <v>5.0999999999999996</v>
      </c>
      <c r="GN303" s="169">
        <v>4.9000000000000004</v>
      </c>
      <c r="GO303" s="169">
        <v>4.8</v>
      </c>
      <c r="GP303" s="169">
        <v>19.600000000000001</v>
      </c>
      <c r="GR303" s="168" t="s">
        <v>32</v>
      </c>
      <c r="GS303" s="169">
        <v>4.5999999999999996</v>
      </c>
      <c r="GT303" s="169">
        <v>4.9000000000000004</v>
      </c>
      <c r="GU303" s="169">
        <v>4.9000000000000004</v>
      </c>
      <c r="GV303" s="169">
        <v>4.5</v>
      </c>
      <c r="GW303" s="169">
        <v>18.8</v>
      </c>
      <c r="GY303" s="168" t="s">
        <v>32</v>
      </c>
      <c r="GZ303" s="169">
        <v>4.4000000000000004</v>
      </c>
      <c r="HA303" s="169">
        <v>4.2</v>
      </c>
      <c r="HB303" s="169">
        <v>4.4000000000000004</v>
      </c>
      <c r="HC303" s="169">
        <v>4.7</v>
      </c>
      <c r="HD303" s="169">
        <v>17.3</v>
      </c>
      <c r="HF303" s="168" t="s">
        <v>32</v>
      </c>
      <c r="HG303" s="169">
        <v>4.5</v>
      </c>
      <c r="HH303" s="169">
        <v>5.2</v>
      </c>
      <c r="HI303" s="169">
        <v>5.2</v>
      </c>
      <c r="HJ303" s="169">
        <v>5.6</v>
      </c>
      <c r="HK303" s="169">
        <v>20.399999999999999</v>
      </c>
      <c r="HM303" s="168" t="s">
        <v>32</v>
      </c>
      <c r="HN303" s="169">
        <v>5.2</v>
      </c>
      <c r="HO303" s="169">
        <v>5.6</v>
      </c>
      <c r="HP303" s="169">
        <v>5.3</v>
      </c>
      <c r="HQ303" s="169">
        <v>5.5</v>
      </c>
      <c r="HR303" s="169">
        <v>21.6</v>
      </c>
      <c r="HT303" s="168" t="s">
        <v>32</v>
      </c>
      <c r="HU303" s="169">
        <v>5.8</v>
      </c>
      <c r="HV303" s="169">
        <v>6.1</v>
      </c>
      <c r="HW303" s="169">
        <v>6</v>
      </c>
      <c r="HX303" s="169">
        <v>5.8</v>
      </c>
      <c r="HY303" s="169">
        <v>23.6</v>
      </c>
      <c r="IA303" s="168" t="s">
        <v>32</v>
      </c>
      <c r="IB303" s="169">
        <v>5.9</v>
      </c>
      <c r="IC303" s="169">
        <v>6.3</v>
      </c>
      <c r="ID303" s="169">
        <v>6.4</v>
      </c>
      <c r="IE303" s="169">
        <v>6.4</v>
      </c>
      <c r="IF303" s="169">
        <v>25</v>
      </c>
      <c r="IH303" s="168" t="s">
        <v>32</v>
      </c>
      <c r="II303" s="169">
        <v>6.4</v>
      </c>
      <c r="IJ303" s="169">
        <v>6.9</v>
      </c>
      <c r="IK303" s="169">
        <v>6.8</v>
      </c>
      <c r="IL303" s="169">
        <v>7</v>
      </c>
      <c r="IM303" s="169">
        <v>27.1</v>
      </c>
      <c r="IO303" s="168" t="s">
        <v>32</v>
      </c>
      <c r="IP303" s="169">
        <v>6.7</v>
      </c>
      <c r="IQ303" s="169">
        <v>7.4</v>
      </c>
      <c r="IR303" s="169">
        <v>7.1</v>
      </c>
      <c r="IS303" s="169">
        <v>7.1</v>
      </c>
      <c r="IT303" s="169">
        <v>28.2</v>
      </c>
      <c r="IV303" s="168" t="s">
        <v>32</v>
      </c>
      <c r="IW303" s="169">
        <v>6.6</v>
      </c>
      <c r="IX303" s="169">
        <v>6.9</v>
      </c>
      <c r="IY303" s="169">
        <v>6.7</v>
      </c>
      <c r="IZ303" s="169">
        <v>7.6</v>
      </c>
      <c r="JA303" s="169">
        <v>27.8</v>
      </c>
      <c r="JC303" s="168" t="s">
        <v>32</v>
      </c>
      <c r="JD303" s="169">
        <v>7</v>
      </c>
      <c r="JE303" s="169">
        <v>7.3</v>
      </c>
      <c r="JF303" s="169">
        <v>7.2</v>
      </c>
      <c r="JG303" s="169">
        <v>7.3</v>
      </c>
      <c r="JH303" s="169">
        <v>28.8</v>
      </c>
      <c r="JJ303" s="168" t="s">
        <v>32</v>
      </c>
      <c r="JK303" s="169">
        <v>7.1</v>
      </c>
      <c r="JL303" s="169">
        <v>7.7</v>
      </c>
      <c r="JM303" s="169">
        <v>7.3</v>
      </c>
      <c r="JN303" s="169">
        <v>7.3</v>
      </c>
      <c r="JO303" s="169">
        <v>29.3</v>
      </c>
      <c r="JQ303" s="168" t="s">
        <v>32</v>
      </c>
      <c r="JR303" s="169">
        <v>6.5</v>
      </c>
      <c r="JS303" s="169">
        <v>6.8</v>
      </c>
      <c r="JT303" s="169">
        <v>6.7</v>
      </c>
      <c r="JU303" s="169">
        <v>6.9</v>
      </c>
      <c r="JV303" s="169">
        <f>+SUM(JR303:JU303)</f>
        <v>26.9</v>
      </c>
      <c r="JX303" s="168" t="s">
        <v>32</v>
      </c>
      <c r="JY303" s="169">
        <v>6.8</v>
      </c>
      <c r="JZ303" s="169">
        <v>6.1</v>
      </c>
      <c r="KA303" s="169">
        <v>7.4</v>
      </c>
      <c r="KB303" s="169">
        <v>7.8</v>
      </c>
      <c r="KC303" s="169">
        <f>+SUM(JY303:KB303)</f>
        <v>28.099999999999998</v>
      </c>
      <c r="KE303" s="168" t="s">
        <v>32</v>
      </c>
      <c r="KF303" s="169">
        <v>7.7</v>
      </c>
      <c r="KG303" s="169">
        <v>8.1</v>
      </c>
      <c r="KH303" s="169">
        <v>7.8</v>
      </c>
      <c r="KI303" s="169">
        <v>7.9</v>
      </c>
      <c r="KJ303" s="169">
        <f>+SUM(KF303:KI303)</f>
        <v>31.5</v>
      </c>
      <c r="KL303" s="168" t="s">
        <v>32</v>
      </c>
      <c r="KM303" s="169">
        <v>7.6</v>
      </c>
      <c r="KN303" s="169">
        <v>7.7</v>
      </c>
      <c r="KO303" s="169">
        <v>7.6</v>
      </c>
      <c r="KP303" s="169">
        <v>7.1</v>
      </c>
      <c r="KQ303" s="169">
        <f>+SUM(KM303:KP303)</f>
        <v>30</v>
      </c>
      <c r="KS303" s="168" t="s">
        <v>32</v>
      </c>
      <c r="KT303" s="169">
        <v>6.9</v>
      </c>
      <c r="KU303" s="169">
        <v>7</v>
      </c>
      <c r="KV303" s="169">
        <v>7.1</v>
      </c>
      <c r="KW303" s="169">
        <v>7.3</v>
      </c>
      <c r="KX303" s="169">
        <f>+SUM(KT303:KW303)</f>
        <v>28.3</v>
      </c>
      <c r="KZ303" s="168" t="s">
        <v>32</v>
      </c>
      <c r="LA303" s="169">
        <v>7.1</v>
      </c>
      <c r="LB303" s="169">
        <v>7.2</v>
      </c>
      <c r="LC303" s="169">
        <v>7.2</v>
      </c>
      <c r="LD303" s="169">
        <v>7.3</v>
      </c>
      <c r="LE303" s="169">
        <f>+SUM(LA303:LD303)</f>
        <v>28.8</v>
      </c>
      <c r="LF303" s="555"/>
      <c r="LG303" s="168" t="s">
        <v>32</v>
      </c>
      <c r="LH303" s="169">
        <v>7.1</v>
      </c>
      <c r="LI303" s="169">
        <v>7.5</v>
      </c>
      <c r="LJ303" s="169">
        <v>7.7</v>
      </c>
      <c r="LK303" s="169">
        <v>7.5</v>
      </c>
      <c r="LL303" s="169">
        <f>+SUM(LH303:LK303)</f>
        <v>29.8</v>
      </c>
      <c r="LM303" s="555"/>
      <c r="LN303" s="168" t="s">
        <v>32</v>
      </c>
      <c r="LO303" s="169">
        <f t="shared" ref="LO303" si="7045">LH303*(1+LO105)</f>
        <v>7.4194999999999993</v>
      </c>
      <c r="LP303" s="169">
        <f t="shared" ref="LP303" si="7046">LI303*(1+LP105)</f>
        <v>7.875</v>
      </c>
      <c r="LQ303" s="169">
        <f>LJ303*(1+LQ105)</f>
        <v>8.0850000000000009</v>
      </c>
      <c r="LR303" s="169">
        <f t="shared" ref="LR303" si="7047">LK303*(1+LR105)</f>
        <v>7.875</v>
      </c>
      <c r="LS303" s="169">
        <f>+SUM(LO303:LR303)</f>
        <v>31.2545</v>
      </c>
      <c r="LT303" s="555"/>
      <c r="LU303" s="168" t="s">
        <v>32</v>
      </c>
      <c r="LV303" s="169">
        <f t="shared" ref="LV303" si="7048">LO303*(1+LV105)</f>
        <v>7.6420849999999998</v>
      </c>
      <c r="LW303" s="169">
        <f t="shared" ref="LW303" si="7049">LP303*(1+LW105)</f>
        <v>8.1112500000000001</v>
      </c>
      <c r="LX303" s="169">
        <f t="shared" ref="LX303" si="7050">LQ303*(1+LX105)</f>
        <v>8.3275500000000005</v>
      </c>
      <c r="LY303" s="169">
        <f t="shared" ref="LY303" si="7051">LR303*(1+LY105)</f>
        <v>8.1112500000000001</v>
      </c>
      <c r="LZ303" s="169">
        <f>+SUM(LV303:LY303)</f>
        <v>32.192135</v>
      </c>
      <c r="MA303" s="555"/>
      <c r="MB303" s="168" t="s">
        <v>32</v>
      </c>
      <c r="MC303" s="169">
        <f t="shared" ref="MC303" si="7052">LV303*(1+MC105)</f>
        <v>7.8713475500000003</v>
      </c>
      <c r="MD303" s="169">
        <f t="shared" ref="MD303" si="7053">LW303*(1+MD105)</f>
        <v>8.3545875000000009</v>
      </c>
      <c r="ME303" s="169">
        <f t="shared" ref="ME303" si="7054">LX303*(1+ME105)</f>
        <v>8.5773765000000015</v>
      </c>
      <c r="MF303" s="169">
        <f t="shared" ref="MF303" si="7055">LY303*(1+MF105)</f>
        <v>8.3545875000000009</v>
      </c>
      <c r="MG303" s="169">
        <f>+SUM(MC303:MF303)</f>
        <v>33.157899050000005</v>
      </c>
      <c r="MH303" s="555"/>
    </row>
    <row r="304" spans="1:346" s="37" customFormat="1" ht="13.15" x14ac:dyDescent="0.4">
      <c r="A304" s="100"/>
      <c r="B304" s="113"/>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c r="BE304" s="104"/>
      <c r="BF304" s="104"/>
      <c r="BG304" s="104"/>
      <c r="BH304" s="104"/>
      <c r="BI304" s="104"/>
      <c r="BJ304" s="104"/>
      <c r="BK304" s="104"/>
      <c r="BL304" s="104"/>
      <c r="BM304" s="104"/>
      <c r="BO304" s="113"/>
      <c r="BP304" s="103"/>
      <c r="BQ304" s="103"/>
      <c r="BR304" s="103"/>
      <c r="BS304" s="103"/>
      <c r="BT304" s="103"/>
      <c r="BV304" s="113"/>
      <c r="BW304" s="103"/>
      <c r="BX304" s="103"/>
      <c r="BY304" s="103"/>
      <c r="BZ304" s="103"/>
      <c r="CA304" s="103"/>
      <c r="CC304" s="113"/>
      <c r="CD304" s="103"/>
      <c r="CE304" s="103"/>
      <c r="CF304" s="103"/>
      <c r="CG304" s="103"/>
      <c r="CH304" s="103"/>
      <c r="CJ304" s="113"/>
      <c r="CK304" s="103"/>
      <c r="CL304" s="103"/>
      <c r="CM304" s="103"/>
      <c r="CN304" s="103"/>
      <c r="CO304" s="103"/>
      <c r="CQ304" s="113"/>
      <c r="CR304" s="103"/>
      <c r="CS304" s="103"/>
      <c r="CT304" s="103"/>
      <c r="CU304" s="103"/>
      <c r="CV304" s="103"/>
      <c r="CX304" s="113"/>
      <c r="CY304" s="103"/>
      <c r="CZ304" s="103"/>
      <c r="DA304" s="103"/>
      <c r="DB304" s="103"/>
      <c r="DC304" s="103"/>
      <c r="DE304" s="113"/>
      <c r="DF304" s="103"/>
      <c r="DG304" s="103"/>
      <c r="DH304" s="103"/>
      <c r="DI304" s="103"/>
      <c r="DJ304" s="103"/>
      <c r="DL304" s="113"/>
      <c r="DM304" s="103"/>
      <c r="DN304" s="103"/>
      <c r="DO304" s="103"/>
      <c r="DP304" s="103"/>
      <c r="DQ304" s="103"/>
      <c r="DS304" s="113"/>
      <c r="DT304" s="103"/>
      <c r="DU304" s="103"/>
      <c r="DV304" s="103"/>
      <c r="DW304" s="103"/>
      <c r="DX304" s="103"/>
      <c r="DZ304" s="113"/>
      <c r="EA304" s="103"/>
      <c r="EB304" s="103"/>
      <c r="EC304" s="103"/>
      <c r="ED304" s="103"/>
      <c r="EE304" s="103"/>
      <c r="EG304" s="113"/>
      <c r="EH304" s="103"/>
      <c r="EI304" s="103"/>
      <c r="EJ304" s="103"/>
      <c r="EK304" s="103"/>
      <c r="EL304" s="103"/>
      <c r="EN304" s="113"/>
      <c r="EO304" s="103"/>
      <c r="EP304" s="103"/>
      <c r="EQ304" s="103"/>
      <c r="ER304" s="103"/>
      <c r="ES304" s="103"/>
      <c r="EU304" s="113"/>
      <c r="EV304" s="103"/>
      <c r="EW304" s="103"/>
      <c r="EX304" s="103"/>
      <c r="EY304" s="103"/>
      <c r="EZ304" s="103"/>
      <c r="FB304" s="113"/>
      <c r="FC304" s="103"/>
      <c r="FD304" s="103"/>
      <c r="FE304" s="103"/>
      <c r="FF304" s="103"/>
      <c r="FG304" s="103"/>
      <c r="FI304" s="113"/>
      <c r="FJ304" s="103"/>
      <c r="FK304" s="103"/>
      <c r="FL304" s="103"/>
      <c r="FM304" s="103"/>
      <c r="FN304" s="103"/>
      <c r="FP304" s="113"/>
      <c r="FQ304" s="103"/>
      <c r="FR304" s="103"/>
      <c r="FS304" s="103"/>
      <c r="FT304" s="103"/>
      <c r="FU304" s="103"/>
      <c r="FW304" s="113"/>
      <c r="FX304" s="103"/>
      <c r="FY304" s="103"/>
      <c r="FZ304" s="103"/>
      <c r="GA304" s="103"/>
      <c r="GB304" s="103"/>
      <c r="GD304" s="113"/>
      <c r="GE304" s="103"/>
      <c r="GF304" s="103"/>
      <c r="GG304" s="103"/>
      <c r="GH304" s="103"/>
      <c r="GI304" s="103"/>
      <c r="GK304" s="113"/>
      <c r="GL304" s="103"/>
      <c r="GM304" s="103"/>
      <c r="GN304" s="103"/>
      <c r="GO304" s="103"/>
      <c r="GP304" s="103"/>
      <c r="GR304" s="113"/>
      <c r="GS304" s="103"/>
      <c r="GT304" s="103"/>
      <c r="GU304" s="103"/>
      <c r="GV304" s="103"/>
      <c r="GW304" s="103"/>
      <c r="GY304" s="113"/>
      <c r="GZ304" s="103"/>
      <c r="HA304" s="103"/>
      <c r="HB304" s="103"/>
      <c r="HC304" s="103"/>
      <c r="HD304" s="103"/>
      <c r="HF304" s="113"/>
      <c r="HG304" s="103"/>
      <c r="HH304" s="103"/>
      <c r="HI304" s="103"/>
      <c r="HJ304" s="103"/>
      <c r="HK304" s="103"/>
      <c r="HM304" s="113"/>
      <c r="HN304" s="103"/>
      <c r="HO304" s="103"/>
      <c r="HP304" s="103"/>
      <c r="HQ304" s="103"/>
      <c r="HR304" s="103"/>
      <c r="HT304" s="113"/>
      <c r="HU304" s="103"/>
      <c r="HV304" s="103"/>
      <c r="HW304" s="103"/>
      <c r="HX304" s="103"/>
      <c r="HY304" s="103"/>
      <c r="IA304" s="113"/>
      <c r="IB304" s="103"/>
      <c r="IC304" s="103"/>
      <c r="ID304" s="103"/>
      <c r="IE304" s="103"/>
      <c r="IF304" s="103"/>
      <c r="IH304" s="113"/>
      <c r="II304" s="103"/>
      <c r="IJ304" s="103"/>
      <c r="IK304" s="103"/>
      <c r="IL304" s="103"/>
      <c r="IM304" s="103"/>
      <c r="IO304" s="113"/>
      <c r="IP304" s="103"/>
      <c r="IQ304" s="103"/>
      <c r="IR304" s="103"/>
      <c r="IS304" s="103"/>
      <c r="IT304" s="103"/>
      <c r="IV304" s="113"/>
      <c r="IW304" s="103"/>
      <c r="IX304" s="103"/>
      <c r="IY304" s="103"/>
      <c r="IZ304" s="103"/>
      <c r="JA304" s="103"/>
      <c r="JC304" s="113"/>
      <c r="JD304" s="103"/>
      <c r="JE304" s="103"/>
      <c r="JF304" s="103"/>
      <c r="JG304" s="103"/>
      <c r="JH304" s="103"/>
      <c r="JJ304" s="113"/>
      <c r="JK304" s="103"/>
      <c r="JL304" s="103"/>
      <c r="JM304" s="103"/>
      <c r="JN304" s="103"/>
      <c r="JO304" s="103"/>
      <c r="JQ304" s="113"/>
      <c r="JR304" s="103"/>
      <c r="JS304" s="103"/>
      <c r="JT304" s="103"/>
      <c r="JU304" s="103"/>
      <c r="JV304" s="103"/>
      <c r="JX304" s="113"/>
      <c r="JY304" s="103"/>
      <c r="JZ304" s="103"/>
      <c r="KA304" s="103"/>
      <c r="KB304" s="103"/>
      <c r="KC304" s="103"/>
      <c r="KE304" s="113"/>
      <c r="KF304" s="103"/>
      <c r="KG304" s="103"/>
      <c r="KH304" s="103"/>
      <c r="KI304" s="103"/>
      <c r="KJ304" s="103"/>
      <c r="KL304" s="113"/>
      <c r="KM304" s="103"/>
      <c r="KN304" s="103"/>
      <c r="KO304" s="103"/>
      <c r="KP304" s="103"/>
      <c r="KQ304" s="103"/>
      <c r="KS304" s="113"/>
      <c r="KT304" s="103"/>
      <c r="KU304" s="103"/>
      <c r="KV304" s="104"/>
      <c r="KW304" s="104"/>
      <c r="KX304" s="103"/>
      <c r="KZ304" s="113"/>
      <c r="LA304" s="103"/>
      <c r="LB304" s="104"/>
      <c r="LC304" s="104"/>
      <c r="LD304" s="104"/>
      <c r="LE304" s="103"/>
      <c r="LF304" s="555"/>
      <c r="LG304" s="113"/>
      <c r="LH304" s="104"/>
      <c r="LI304" s="104"/>
      <c r="LJ304" s="104"/>
      <c r="LK304" s="104"/>
      <c r="LL304" s="103"/>
      <c r="LM304" s="555"/>
      <c r="LN304" s="113"/>
      <c r="LO304" s="104"/>
      <c r="LP304" s="104"/>
      <c r="LQ304" s="104"/>
      <c r="LR304" s="104"/>
      <c r="LS304" s="103"/>
      <c r="LT304" s="555"/>
      <c r="LU304" s="113"/>
      <c r="LV304" s="104"/>
      <c r="LW304" s="104"/>
      <c r="LX304" s="104"/>
      <c r="LY304" s="104"/>
      <c r="LZ304" s="103"/>
      <c r="MA304" s="555"/>
      <c r="MB304" s="113"/>
      <c r="MC304" s="104"/>
      <c r="MD304" s="104"/>
      <c r="ME304" s="104"/>
      <c r="MF304" s="104"/>
      <c r="MG304" s="103"/>
      <c r="MH304" s="555"/>
    </row>
    <row r="305" spans="1:346" s="53" customFormat="1" ht="13.5" thickBot="1" x14ac:dyDescent="0.45">
      <c r="A305" s="100"/>
      <c r="B305" s="170" t="s">
        <v>243</v>
      </c>
      <c r="C305" s="171"/>
      <c r="D305" s="171"/>
      <c r="E305" s="171"/>
      <c r="F305" s="171"/>
      <c r="G305" s="171"/>
      <c r="H305" s="171"/>
      <c r="I305" s="171"/>
      <c r="J305" s="171">
        <f>+J301+J302+J303</f>
        <v>135.1</v>
      </c>
      <c r="K305" s="171">
        <f>+K301+K302+K303</f>
        <v>133.80000000000001</v>
      </c>
      <c r="L305" s="171">
        <f>+L301+L302+L303</f>
        <v>144.80000000000001</v>
      </c>
      <c r="M305" s="171">
        <f>+M301+M302+M303</f>
        <v>146.5</v>
      </c>
      <c r="N305" s="171">
        <f>BT305</f>
        <v>153.09999999999997</v>
      </c>
      <c r="O305" s="171">
        <f>CA305</f>
        <v>149.19999999999999</v>
      </c>
      <c r="P305" s="171">
        <f>CH305</f>
        <v>146.4</v>
      </c>
      <c r="Q305" s="171">
        <f>CO305</f>
        <v>144.4</v>
      </c>
      <c r="R305" s="171">
        <f>CV305</f>
        <v>145.10000000000002</v>
      </c>
      <c r="S305" s="171">
        <f>DC305</f>
        <v>153.60000000000002</v>
      </c>
      <c r="T305" s="171">
        <f>DJ305</f>
        <v>159.80000000000001</v>
      </c>
      <c r="U305" s="171">
        <f>DQ305</f>
        <v>160.19999999999999</v>
      </c>
      <c r="V305" s="171">
        <f>DX305</f>
        <v>165.5</v>
      </c>
      <c r="W305" s="171">
        <f>EE305</f>
        <v>168</v>
      </c>
      <c r="X305" s="171">
        <f>EL305</f>
        <v>192.29999999999998</v>
      </c>
      <c r="Y305" s="171">
        <f>ES305</f>
        <v>238.7</v>
      </c>
      <c r="Z305" s="171">
        <f>EZ305</f>
        <v>234.50000000000003</v>
      </c>
      <c r="AA305" s="171">
        <f>FG305</f>
        <v>228.2</v>
      </c>
      <c r="AB305" s="171">
        <f>FN305</f>
        <v>233.2</v>
      </c>
      <c r="AC305" s="171">
        <f>FU305</f>
        <v>245.1</v>
      </c>
      <c r="AD305" s="171">
        <f>GB305</f>
        <v>238.8</v>
      </c>
      <c r="AE305" s="171">
        <f>GI305</f>
        <v>244.79999999999998</v>
      </c>
      <c r="AF305" s="171">
        <f>GP305</f>
        <v>240.5</v>
      </c>
      <c r="AG305" s="171">
        <f>GW305</f>
        <v>240.20000000000002</v>
      </c>
      <c r="AH305" s="171">
        <f>HD305</f>
        <v>209.40000000000003</v>
      </c>
      <c r="AI305" s="171">
        <f>HK305</f>
        <v>229.20000000000002</v>
      </c>
      <c r="AJ305" s="171">
        <f>HR305</f>
        <v>228.7</v>
      </c>
      <c r="AK305" s="171">
        <f>HY305</f>
        <v>221.99999999999997</v>
      </c>
      <c r="AL305" s="171">
        <f>IF305</f>
        <v>226.6</v>
      </c>
      <c r="AM305" s="171">
        <f>IM305</f>
        <v>245.2</v>
      </c>
      <c r="AN305" s="171">
        <f>IT305</f>
        <v>229.6</v>
      </c>
      <c r="AO305" s="171">
        <f>JA305</f>
        <v>207.5</v>
      </c>
      <c r="AP305" s="171">
        <f>JH305</f>
        <v>196.10000000000002</v>
      </c>
      <c r="AQ305" s="171">
        <f>JO305</f>
        <v>202.9</v>
      </c>
      <c r="AR305" s="171">
        <f>JV305</f>
        <v>196</v>
      </c>
      <c r="AS305" s="171">
        <f>KC305</f>
        <v>182.6</v>
      </c>
      <c r="AT305" s="171">
        <f>KJ305</f>
        <v>193.20000000000002</v>
      </c>
      <c r="AU305" s="171">
        <f>KQ305</f>
        <v>189.8</v>
      </c>
      <c r="AV305" s="171">
        <f>KX305</f>
        <v>193.70000000000002</v>
      </c>
      <c r="AW305" s="171">
        <f>LE305</f>
        <v>194.3</v>
      </c>
      <c r="AX305" s="171">
        <f>LL305</f>
        <v>196.6</v>
      </c>
      <c r="AY305" s="171">
        <f>LS305</f>
        <v>198.22700900722941</v>
      </c>
      <c r="AZ305" s="171">
        <f>LZ305</f>
        <v>202.63092537038878</v>
      </c>
      <c r="BA305" s="171">
        <f>MG305</f>
        <v>206.7206624217408</v>
      </c>
      <c r="BB305" s="171"/>
      <c r="BC305" s="171"/>
      <c r="BD305" s="171"/>
      <c r="BE305" s="171"/>
      <c r="BF305" s="171"/>
      <c r="BG305" s="171"/>
      <c r="BH305" s="171"/>
      <c r="BI305" s="171"/>
      <c r="BJ305" s="171"/>
      <c r="BK305" s="171"/>
      <c r="BL305" s="171"/>
      <c r="BM305" s="171"/>
      <c r="BO305" s="170" t="s">
        <v>243</v>
      </c>
      <c r="BP305" s="171">
        <f>+BP301+BP302+BP303</f>
        <v>41.8</v>
      </c>
      <c r="BQ305" s="171">
        <f>+BQ301+BQ302+BQ303</f>
        <v>38.200000000000003</v>
      </c>
      <c r="BR305" s="171">
        <f>+BR301+BR302+BR303</f>
        <v>36.200000000000003</v>
      </c>
      <c r="BS305" s="171">
        <f>+BS301+BS302+BS303</f>
        <v>36.900000000000006</v>
      </c>
      <c r="BT305" s="171">
        <f>+BT301+BT302+BT303</f>
        <v>153.09999999999997</v>
      </c>
      <c r="BV305" s="170" t="s">
        <v>243</v>
      </c>
      <c r="BW305" s="171">
        <f>+BW301+BW302+BW303</f>
        <v>37.700000000000003</v>
      </c>
      <c r="BX305" s="171">
        <f>+BX301+BX302+BX303</f>
        <v>38.200000000000003</v>
      </c>
      <c r="BY305" s="171">
        <f>+BY301+BY302+BY303</f>
        <v>36.4</v>
      </c>
      <c r="BZ305" s="171">
        <f>+BZ301+BZ302+BZ303</f>
        <v>36.9</v>
      </c>
      <c r="CA305" s="171">
        <f>+CA301+CA302+CA303</f>
        <v>149.19999999999999</v>
      </c>
      <c r="CC305" s="170" t="s">
        <v>243</v>
      </c>
      <c r="CD305" s="171">
        <f>+CD301+CD302+CD303</f>
        <v>36.799999999999997</v>
      </c>
      <c r="CE305" s="171">
        <f>+CE301+CE302+CE303</f>
        <v>36.200000000000003</v>
      </c>
      <c r="CF305" s="171">
        <f>+CF301+CF302+CF303</f>
        <v>36.200000000000003</v>
      </c>
      <c r="CG305" s="171">
        <f>+CG301+CG302+CG303</f>
        <v>37.200000000000003</v>
      </c>
      <c r="CH305" s="171">
        <f>+CH301+CH302+CH303</f>
        <v>146.4</v>
      </c>
      <c r="CJ305" s="170" t="s">
        <v>243</v>
      </c>
      <c r="CK305" s="171">
        <f>+CK301+CK302+CK303</f>
        <v>36.700000000000003</v>
      </c>
      <c r="CL305" s="171">
        <f>+CL301+CL302+CL303</f>
        <v>35.1</v>
      </c>
      <c r="CM305" s="171">
        <f>+CM301+CM302+CM303</f>
        <v>35.4</v>
      </c>
      <c r="CN305" s="171">
        <f>+CN301+CN302+CN303</f>
        <v>37.200000000000003</v>
      </c>
      <c r="CO305" s="171">
        <f>+CO301+CO302+CO303</f>
        <v>144.4</v>
      </c>
      <c r="CQ305" s="170" t="s">
        <v>243</v>
      </c>
      <c r="CR305" s="171">
        <f>+CR301+CR302+CR303</f>
        <v>36</v>
      </c>
      <c r="CS305" s="171">
        <f>+CS301+CS302+CS303</f>
        <v>36.9</v>
      </c>
      <c r="CT305" s="171">
        <f>+CT301+CT302+CT303</f>
        <v>35.1</v>
      </c>
      <c r="CU305" s="171">
        <f>+CU301+CU302+CU303</f>
        <v>37.099999999999994</v>
      </c>
      <c r="CV305" s="171">
        <f>+CV301+CV302+CV303</f>
        <v>145.10000000000002</v>
      </c>
      <c r="CX305" s="170" t="s">
        <v>243</v>
      </c>
      <c r="CY305" s="171">
        <f>+CY301+CY302+CY303</f>
        <v>37.200000000000003</v>
      </c>
      <c r="CZ305" s="171">
        <f>+CZ301+CZ302+CZ303</f>
        <v>38.799999999999997</v>
      </c>
      <c r="DA305" s="171">
        <f>+DA301+DA302+DA303</f>
        <v>38.200000000000003</v>
      </c>
      <c r="DB305" s="171">
        <f>+DB301+DB302+DB303</f>
        <v>39.4</v>
      </c>
      <c r="DC305" s="171">
        <f>+DC301+DC302+DC303</f>
        <v>153.60000000000002</v>
      </c>
      <c r="DE305" s="170" t="s">
        <v>243</v>
      </c>
      <c r="DF305" s="171">
        <f>+DF301+DF302+DF303</f>
        <v>40.099999999999994</v>
      </c>
      <c r="DG305" s="171">
        <f>+DG301+DG302+DG303</f>
        <v>39.799999999999997</v>
      </c>
      <c r="DH305" s="171">
        <f>+DH301+DH302+DH303</f>
        <v>39.4</v>
      </c>
      <c r="DI305" s="171">
        <f>+DI301+DI302+DI303</f>
        <v>40.5</v>
      </c>
      <c r="DJ305" s="171">
        <f>+DJ301+DJ302+DJ303</f>
        <v>159.80000000000001</v>
      </c>
      <c r="DL305" s="170" t="s">
        <v>243</v>
      </c>
      <c r="DM305" s="171">
        <f>+DM301+DM302+DM303</f>
        <v>39.6</v>
      </c>
      <c r="DN305" s="171">
        <f>+DN301+DN302+DN303</f>
        <v>40.700000000000003</v>
      </c>
      <c r="DO305" s="171">
        <f>+DO301+DO302+DO303</f>
        <v>39.200000000000003</v>
      </c>
      <c r="DP305" s="171">
        <f>+DP301+DP302+DP303</f>
        <v>40.700000000000003</v>
      </c>
      <c r="DQ305" s="171">
        <f>+DQ301+DQ302+DQ303</f>
        <v>160.19999999999999</v>
      </c>
      <c r="DS305" s="170" t="s">
        <v>243</v>
      </c>
      <c r="DT305" s="171">
        <f>+DT301+DT302+DT303</f>
        <v>41.3</v>
      </c>
      <c r="DU305" s="171">
        <f>+DU301+DU302+DU303</f>
        <v>41.3</v>
      </c>
      <c r="DV305" s="171">
        <f>+DV301+DV302+DV303</f>
        <v>40.299999999999997</v>
      </c>
      <c r="DW305" s="171">
        <f>+DW301+DW302+DW303</f>
        <v>42.599999999999994</v>
      </c>
      <c r="DX305" s="171">
        <f>+DX301+DX302+DX303</f>
        <v>165.5</v>
      </c>
      <c r="DZ305" s="170" t="s">
        <v>243</v>
      </c>
      <c r="EA305" s="171">
        <f>+EA301+EA302+EA303</f>
        <v>42</v>
      </c>
      <c r="EB305" s="171">
        <f>+EB301+EB302+EB303</f>
        <v>42</v>
      </c>
      <c r="EC305" s="171">
        <f>+EC301+EC302+EC303</f>
        <v>41.6</v>
      </c>
      <c r="ED305" s="171">
        <f>+ED301+ED302+ED303</f>
        <v>42.400000000000006</v>
      </c>
      <c r="EE305" s="171">
        <f>+EE301+EE302+EE303</f>
        <v>168</v>
      </c>
      <c r="EG305" s="170" t="s">
        <v>243</v>
      </c>
      <c r="EH305" s="171">
        <f>+EH301+EH302+EH303</f>
        <v>44.3</v>
      </c>
      <c r="EI305" s="171">
        <f>+EI301+EI302+EI303</f>
        <v>44.4</v>
      </c>
      <c r="EJ305" s="171">
        <f>+EJ301+EJ302+EJ303</f>
        <v>51.1</v>
      </c>
      <c r="EK305" s="171">
        <f>+EK301+EK302+EK303</f>
        <v>52.5</v>
      </c>
      <c r="EL305" s="171">
        <f>+EL301+EL302+EL303</f>
        <v>192.29999999999998</v>
      </c>
      <c r="EN305" s="170" t="s">
        <v>243</v>
      </c>
      <c r="EO305" s="171">
        <f>+EO301+EO302+EO303</f>
        <v>60.5</v>
      </c>
      <c r="EP305" s="171">
        <f>+EP301+EP302+EP303</f>
        <v>59.9</v>
      </c>
      <c r="EQ305" s="171">
        <f>+EQ301+EQ302+EQ303</f>
        <v>59.7</v>
      </c>
      <c r="ER305" s="171">
        <f>+ER301+ER302+ER303</f>
        <v>58.6</v>
      </c>
      <c r="ES305" s="171">
        <f>+ES301+ES302+ES303</f>
        <v>238.7</v>
      </c>
      <c r="EU305" s="170" t="s">
        <v>243</v>
      </c>
      <c r="EV305" s="171">
        <f>+EV301+EV302+EV303</f>
        <v>59.599999999999994</v>
      </c>
      <c r="EW305" s="171">
        <f>+EW301+EW302+EW303</f>
        <v>59.2</v>
      </c>
      <c r="EX305" s="171">
        <f>+EX301+EX302+EX303</f>
        <v>57.7</v>
      </c>
      <c r="EY305" s="171">
        <f>+EY301+EY302+EY303</f>
        <v>58</v>
      </c>
      <c r="EZ305" s="171">
        <f>+EZ301+EZ302+EZ303</f>
        <v>234.50000000000003</v>
      </c>
      <c r="FB305" s="170" t="s">
        <v>243</v>
      </c>
      <c r="FC305" s="171">
        <f>+FC301+FC302+FC303</f>
        <v>56.4</v>
      </c>
      <c r="FD305" s="171">
        <f>+FD301+FD302+FD303</f>
        <v>57.9</v>
      </c>
      <c r="FE305" s="171">
        <f>+FE301+FE302+FE303</f>
        <v>56.9</v>
      </c>
      <c r="FF305" s="171">
        <f>+FF301+FF302+FF303</f>
        <v>57</v>
      </c>
      <c r="FG305" s="171">
        <f>+FG301+FG302+FG303</f>
        <v>228.2</v>
      </c>
      <c r="FI305" s="170" t="s">
        <v>243</v>
      </c>
      <c r="FJ305" s="171">
        <f>+FJ301+FJ302+FJ303</f>
        <v>57</v>
      </c>
      <c r="FK305" s="171">
        <f>+FK301+FK302+FK303</f>
        <v>58.5</v>
      </c>
      <c r="FL305" s="171">
        <f>+FL301+FL302+FL303</f>
        <v>58.3</v>
      </c>
      <c r="FM305" s="171">
        <f>+FM301+FM302+FM303</f>
        <v>59.4</v>
      </c>
      <c r="FN305" s="171">
        <f>+FN301+FN302+FN303</f>
        <v>233.2</v>
      </c>
      <c r="FP305" s="170" t="s">
        <v>243</v>
      </c>
      <c r="FQ305" s="171">
        <f>+FQ301+FQ302+FQ303</f>
        <v>60.1</v>
      </c>
      <c r="FR305" s="171">
        <f>+FR301+FR302+FR303</f>
        <v>59.8</v>
      </c>
      <c r="FS305" s="171">
        <f>+FS301+FS302+FS303</f>
        <v>58.6</v>
      </c>
      <c r="FT305" s="171">
        <f>+FT301+FT302+FT303</f>
        <v>66.599999999999994</v>
      </c>
      <c r="FU305" s="171">
        <f>+FU301+FU302+FU303</f>
        <v>245.1</v>
      </c>
      <c r="FW305" s="170" t="s">
        <v>243</v>
      </c>
      <c r="FX305" s="171">
        <f>+FX301+FX302+FX303</f>
        <v>60</v>
      </c>
      <c r="FY305" s="171">
        <f>+FY301+FY302+FY303</f>
        <v>60.300000000000004</v>
      </c>
      <c r="FZ305" s="171">
        <f>+FZ301+FZ302+FZ303</f>
        <v>58.7</v>
      </c>
      <c r="GA305" s="171">
        <f>+GA301+GA302+GA303</f>
        <v>59.7</v>
      </c>
      <c r="GB305" s="171">
        <f>+GB301+GB302+GB303</f>
        <v>238.8</v>
      </c>
      <c r="GD305" s="170" t="s">
        <v>243</v>
      </c>
      <c r="GE305" s="171">
        <f>+GE301+GE302+GE303</f>
        <v>61.6</v>
      </c>
      <c r="GF305" s="171">
        <f>+GF301+GF302+GF303</f>
        <v>61.699999999999996</v>
      </c>
      <c r="GG305" s="171">
        <f>+GG301+GG302+GG303</f>
        <v>61.300000000000004</v>
      </c>
      <c r="GH305" s="171">
        <f>+GH301+GH302+GH303</f>
        <v>60.300000000000004</v>
      </c>
      <c r="GI305" s="171">
        <f>+GI301+GI302+GI303</f>
        <v>244.79999999999998</v>
      </c>
      <c r="GK305" s="170" t="s">
        <v>243</v>
      </c>
      <c r="GL305" s="171">
        <f>+GL301+GL302+GL303</f>
        <v>59.999999999999993</v>
      </c>
      <c r="GM305" s="171">
        <f>+GM301+GM302+GM303</f>
        <v>62.1</v>
      </c>
      <c r="GN305" s="171">
        <f>+GN301+GN302+GN303</f>
        <v>59.6</v>
      </c>
      <c r="GO305" s="171">
        <f>+GO301+GO302+GO303</f>
        <v>59</v>
      </c>
      <c r="GP305" s="171">
        <f>+GP301+GP302+GP303</f>
        <v>240.5</v>
      </c>
      <c r="GR305" s="170" t="s">
        <v>243</v>
      </c>
      <c r="GS305" s="171">
        <f>+GS301+GS302+GS303</f>
        <v>60.6</v>
      </c>
      <c r="GT305" s="171">
        <f>+GT301+GT302+GT303</f>
        <v>62.699999999999996</v>
      </c>
      <c r="GU305" s="171">
        <f>+GU301+GU302+GU303</f>
        <v>60.9</v>
      </c>
      <c r="GV305" s="171">
        <f>+GV301+GV302+GV303</f>
        <v>56.6</v>
      </c>
      <c r="GW305" s="171">
        <f>+GW301+GW302+GW303</f>
        <v>240.20000000000002</v>
      </c>
      <c r="GY305" s="170" t="s">
        <v>243</v>
      </c>
      <c r="GZ305" s="171">
        <f>+GZ301+GZ302+GZ303</f>
        <v>53</v>
      </c>
      <c r="HA305" s="171">
        <f>+HA301+HA302+HA303</f>
        <v>51.6</v>
      </c>
      <c r="HB305" s="171">
        <f>+HB301+HB302+HB303</f>
        <v>53.199999999999996</v>
      </c>
      <c r="HC305" s="171">
        <f>+HC301+HC302+HC303</f>
        <v>51.300000000000004</v>
      </c>
      <c r="HD305" s="171">
        <f>+HD301+HD302+HD303</f>
        <v>209.40000000000003</v>
      </c>
      <c r="HF305" s="170" t="s">
        <v>243</v>
      </c>
      <c r="HG305" s="171">
        <f>+HG301+HG302+HG303</f>
        <v>55</v>
      </c>
      <c r="HH305" s="171">
        <f>+HH301+HH302+HH303</f>
        <v>57.8</v>
      </c>
      <c r="HI305" s="171">
        <f>+HI301+HI302+HI303</f>
        <v>56.5</v>
      </c>
      <c r="HJ305" s="171">
        <f>+HJ301+HJ302+HJ303</f>
        <v>59.800000000000004</v>
      </c>
      <c r="HK305" s="171">
        <f>+HK301+HK302+HK303</f>
        <v>229.20000000000002</v>
      </c>
      <c r="HM305" s="170" t="s">
        <v>243</v>
      </c>
      <c r="HN305" s="171">
        <f>+HN301+HN302+HN303</f>
        <v>57.2</v>
      </c>
      <c r="HO305" s="171">
        <f>+HO301+HO302+HO303</f>
        <v>58.300000000000004</v>
      </c>
      <c r="HP305" s="171">
        <f>+HP301+HP302+HP303</f>
        <v>56.199999999999996</v>
      </c>
      <c r="HQ305" s="171">
        <f>+HQ301+HQ302+HQ303</f>
        <v>56.800000000000004</v>
      </c>
      <c r="HR305" s="171">
        <f>+HR301+HR302+HR303</f>
        <v>228.7</v>
      </c>
      <c r="HT305" s="170" t="s">
        <v>243</v>
      </c>
      <c r="HU305" s="171">
        <f>+HU301+HU302+HU303</f>
        <v>56.999999999999993</v>
      </c>
      <c r="HV305" s="171">
        <f>+HV301+HV302+HV303</f>
        <v>56.3</v>
      </c>
      <c r="HW305" s="171">
        <f>+HW301+HW302+HW303</f>
        <v>54.599999999999994</v>
      </c>
      <c r="HX305" s="171">
        <f>+HX301+HX302+HX303</f>
        <v>54.099999999999994</v>
      </c>
      <c r="HY305" s="171">
        <f>+HY301+HY302+HY303</f>
        <v>221.99999999999997</v>
      </c>
      <c r="IA305" s="170" t="s">
        <v>243</v>
      </c>
      <c r="IB305" s="171">
        <f>+IB301+IB302+IB303</f>
        <v>55.499999999999993</v>
      </c>
      <c r="IC305" s="171">
        <f>+IC301+IC302+IC303</f>
        <v>57.3</v>
      </c>
      <c r="ID305" s="171">
        <f>+ID301+ID302+ID303</f>
        <v>55.9</v>
      </c>
      <c r="IE305" s="171">
        <f>+IE301+IE302+IE303</f>
        <v>57.999999999999993</v>
      </c>
      <c r="IF305" s="171">
        <f>+IF301+IF302+IF303</f>
        <v>226.6</v>
      </c>
      <c r="IH305" s="170" t="s">
        <v>243</v>
      </c>
      <c r="II305" s="171">
        <f>+II301+II302+II303</f>
        <v>57.999999999999993</v>
      </c>
      <c r="IJ305" s="171">
        <f>+IJ301+IJ302+IJ303</f>
        <v>62.9</v>
      </c>
      <c r="IK305" s="171">
        <f>+IK301+IK302+IK303</f>
        <v>61.599999999999994</v>
      </c>
      <c r="IL305" s="171">
        <f>+IL301+IL302+IL303</f>
        <v>62.8</v>
      </c>
      <c r="IM305" s="171">
        <f>+IM301+IM302+IM303</f>
        <v>245.2</v>
      </c>
      <c r="IO305" s="170" t="s">
        <v>243</v>
      </c>
      <c r="IP305" s="171">
        <f>+IP301+IP302+IP303</f>
        <v>58.900000000000006</v>
      </c>
      <c r="IQ305" s="171">
        <f>+IQ301+IQ302+IQ303</f>
        <v>59.999999999999993</v>
      </c>
      <c r="IR305" s="171">
        <f>+IR301+IR302+IR303</f>
        <v>56.6</v>
      </c>
      <c r="IS305" s="171">
        <f>+IS301+IS302+IS303</f>
        <v>54.1</v>
      </c>
      <c r="IT305" s="171">
        <f>+IT301+IT302+IT303</f>
        <v>229.6</v>
      </c>
      <c r="IV305" s="170" t="s">
        <v>243</v>
      </c>
      <c r="IW305" s="171">
        <f>+IW301+IW302+IW303</f>
        <v>50.1</v>
      </c>
      <c r="IX305" s="171">
        <f>+IX301+IX302+IX303</f>
        <v>50.699999999999996</v>
      </c>
      <c r="IY305" s="171">
        <f>+IY301+IY302+IY303</f>
        <v>50.5</v>
      </c>
      <c r="IZ305" s="171">
        <f>+IZ301+IZ302+IZ303</f>
        <v>56.300000000000004</v>
      </c>
      <c r="JA305" s="171">
        <f>+JA301+JA302+JA303</f>
        <v>207.5</v>
      </c>
      <c r="JC305" s="170" t="s">
        <v>243</v>
      </c>
      <c r="JD305" s="171">
        <f>+JD301+JD302+JD303</f>
        <v>49.4</v>
      </c>
      <c r="JE305" s="171">
        <f>+JE301+JE302+JE303</f>
        <v>49.099999999999994</v>
      </c>
      <c r="JF305" s="171">
        <f>+JF301+JF302+JF303</f>
        <v>47.800000000000004</v>
      </c>
      <c r="JG305" s="171">
        <f>+JG301+JG302+JG303</f>
        <v>49.8</v>
      </c>
      <c r="JH305" s="171">
        <f>+JH301+JH302+JH303</f>
        <v>196.10000000000002</v>
      </c>
      <c r="JJ305" s="170" t="s">
        <v>243</v>
      </c>
      <c r="JK305" s="171">
        <f>+JK301+JK302+JK303</f>
        <v>48.800000000000004</v>
      </c>
      <c r="JL305" s="171">
        <f>+JL301+JL302+JL303</f>
        <v>52.3</v>
      </c>
      <c r="JM305" s="171">
        <f>+JM301+JM302+JM303</f>
        <v>51.3</v>
      </c>
      <c r="JN305" s="171">
        <f>+JN301+JN302+JN303</f>
        <v>50.599999999999994</v>
      </c>
      <c r="JO305" s="171">
        <f>+JO301+JO302+JO303</f>
        <v>202.9</v>
      </c>
      <c r="JQ305" s="170" t="s">
        <v>243</v>
      </c>
      <c r="JR305" s="171">
        <f>+JR301+JR302+JR303</f>
        <v>48.6</v>
      </c>
      <c r="JS305" s="171">
        <f>+JS301+JS302+JS303</f>
        <v>50.699999999999996</v>
      </c>
      <c r="JT305" s="171">
        <f>+JT301+JT302+JT303</f>
        <v>49.100000000000009</v>
      </c>
      <c r="JU305" s="171">
        <f>+JU301+JU302+JU303</f>
        <v>47.6</v>
      </c>
      <c r="JV305" s="171">
        <f>+JV301+JV302+JV303</f>
        <v>196</v>
      </c>
      <c r="JX305" s="170" t="s">
        <v>243</v>
      </c>
      <c r="JY305" s="171">
        <f>+JY301+JY302+JY303</f>
        <v>48.5</v>
      </c>
      <c r="JZ305" s="171">
        <f>+JZ301+JZ302+JZ303</f>
        <v>39.9</v>
      </c>
      <c r="KA305" s="171">
        <f>+KA301+KA302+KA303</f>
        <v>45.5</v>
      </c>
      <c r="KB305" s="171">
        <f>+KB301+KB302+KB303</f>
        <v>48.699999999999996</v>
      </c>
      <c r="KC305" s="171">
        <f>+KC301+KC302+KC303</f>
        <v>182.6</v>
      </c>
      <c r="KE305" s="170" t="s">
        <v>243</v>
      </c>
      <c r="KF305" s="171">
        <f>+KF301+KF302+KF303</f>
        <v>47.800000000000004</v>
      </c>
      <c r="KG305" s="171">
        <f>+KG301+KG302+KG303</f>
        <v>49.4</v>
      </c>
      <c r="KH305" s="171">
        <f>+KH301+KH302+KH303</f>
        <v>47.5</v>
      </c>
      <c r="KI305" s="171">
        <f>+KI301+KI302+KI303</f>
        <v>48.5</v>
      </c>
      <c r="KJ305" s="171">
        <f>+KJ301+KJ302+KJ303</f>
        <v>193.20000000000002</v>
      </c>
      <c r="KL305" s="170" t="s">
        <v>243</v>
      </c>
      <c r="KM305" s="171">
        <f>+KM301+KM302+KM303</f>
        <v>46.4</v>
      </c>
      <c r="KN305" s="171">
        <f>+KN301+KN302+KN303</f>
        <v>48.2</v>
      </c>
      <c r="KO305" s="171">
        <f>+KO301+KO302+KO303</f>
        <v>47.9</v>
      </c>
      <c r="KP305" s="171">
        <f>+KP301+KP302+KP303</f>
        <v>47.300000000000004</v>
      </c>
      <c r="KQ305" s="171">
        <f>+KQ301+KQ302+KQ303</f>
        <v>189.8</v>
      </c>
      <c r="KS305" s="170" t="s">
        <v>243</v>
      </c>
      <c r="KT305" s="171">
        <f>+KT301+KT302+KT303</f>
        <v>48.4</v>
      </c>
      <c r="KU305" s="171">
        <f>+KU301+KU302+KU303</f>
        <v>48.5</v>
      </c>
      <c r="KV305" s="171">
        <f>+KV301+KV302+KV303</f>
        <v>47.800000000000004</v>
      </c>
      <c r="KW305" s="171">
        <f>+KW301+KW302+KW303</f>
        <v>49</v>
      </c>
      <c r="KX305" s="171">
        <f>+KX301+KX302+KX303</f>
        <v>193.70000000000002</v>
      </c>
      <c r="KZ305" s="170" t="s">
        <v>243</v>
      </c>
      <c r="LA305" s="171">
        <f>+LA301+LA302+LA303</f>
        <v>48.5</v>
      </c>
      <c r="LB305" s="171">
        <f>+LB301+LB302+LB303</f>
        <v>48.7</v>
      </c>
      <c r="LC305" s="171">
        <f>SUM(LC301:LC303)</f>
        <v>48.800000000000004</v>
      </c>
      <c r="LD305" s="171">
        <f>SUM(LD301:LD303)</f>
        <v>48.3</v>
      </c>
      <c r="LE305" s="171">
        <f>+LE301+LE302+LE303</f>
        <v>194.3</v>
      </c>
      <c r="LF305" s="555"/>
      <c r="LG305" s="170" t="s">
        <v>243</v>
      </c>
      <c r="LH305" s="171">
        <f t="shared" ref="LH305:LK305" si="7056">SUM(LH301:LH303)</f>
        <v>47.8</v>
      </c>
      <c r="LI305" s="171">
        <f t="shared" si="7056"/>
        <v>50</v>
      </c>
      <c r="LJ305" s="171">
        <f t="shared" si="7056"/>
        <v>50.4</v>
      </c>
      <c r="LK305" s="171">
        <f t="shared" si="7056"/>
        <v>48.4</v>
      </c>
      <c r="LL305" s="171">
        <f>+LL301+LL302+LL303</f>
        <v>196.6</v>
      </c>
      <c r="LM305" s="555"/>
      <c r="LN305" s="170" t="s">
        <v>243</v>
      </c>
      <c r="LO305" s="171">
        <f t="shared" ref="LO305:LR305" si="7057">SUM(LO301:LO303)</f>
        <v>47.768566666666665</v>
      </c>
      <c r="LP305" s="171">
        <f t="shared" si="7057"/>
        <v>49.856119402985072</v>
      </c>
      <c r="LQ305" s="171">
        <f t="shared" si="7057"/>
        <v>50.810106060606067</v>
      </c>
      <c r="LR305" s="171">
        <f t="shared" si="7057"/>
        <v>49.792216876971608</v>
      </c>
      <c r="LS305" s="171">
        <f>+LS301+LS302+LS303</f>
        <v>198.22700900722941</v>
      </c>
      <c r="LT305" s="555"/>
      <c r="LU305" s="170" t="s">
        <v>243</v>
      </c>
      <c r="LV305" s="171">
        <f t="shared" ref="LV305:LY305" si="7058">SUM(LV301:LV303)</f>
        <v>48.853732349206346</v>
      </c>
      <c r="LW305" s="171">
        <f t="shared" si="7058"/>
        <v>51.029750343283595</v>
      </c>
      <c r="LX305" s="171">
        <f t="shared" si="7058"/>
        <v>51.887000469696964</v>
      </c>
      <c r="LY305" s="171">
        <f t="shared" si="7058"/>
        <v>50.860442208201889</v>
      </c>
      <c r="LZ305" s="171">
        <f>+LZ301+LZ302+LZ303</f>
        <v>202.63092537038878</v>
      </c>
      <c r="MA305" s="555"/>
      <c r="MB305" s="170" t="s">
        <v>243</v>
      </c>
      <c r="MC305" s="171">
        <f t="shared" ref="MC305:MF305" si="7059">SUM(MC301:MC303)</f>
        <v>49.903460250456348</v>
      </c>
      <c r="MD305" s="171">
        <f t="shared" si="7059"/>
        <v>52.090222990447771</v>
      </c>
      <c r="ME305" s="171">
        <f t="shared" si="7059"/>
        <v>52.903586439886354</v>
      </c>
      <c r="MF305" s="171">
        <f t="shared" si="7059"/>
        <v>51.823392740950311</v>
      </c>
      <c r="MG305" s="171">
        <f>+MG301+MG302+MG303</f>
        <v>206.7206624217408</v>
      </c>
      <c r="MH305" s="555"/>
    </row>
    <row r="306" spans="1:346" s="37" customFormat="1" ht="13.15" x14ac:dyDescent="0.4">
      <c r="A306" s="100"/>
      <c r="B306" s="65" t="s">
        <v>3</v>
      </c>
      <c r="C306" s="66"/>
      <c r="D306" s="66"/>
      <c r="E306" s="66"/>
      <c r="F306" s="66"/>
      <c r="G306" s="66"/>
      <c r="H306" s="66"/>
      <c r="I306" s="66"/>
      <c r="J306" s="66" t="s">
        <v>80</v>
      </c>
      <c r="K306" s="66" t="s">
        <v>80</v>
      </c>
      <c r="L306" s="66" t="s">
        <v>80</v>
      </c>
      <c r="M306" s="66" t="s">
        <v>80</v>
      </c>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O306" s="65" t="s">
        <v>3</v>
      </c>
      <c r="BP306" s="66" t="s">
        <v>80</v>
      </c>
      <c r="BQ306" s="66" t="s">
        <v>80</v>
      </c>
      <c r="BR306" s="66" t="s">
        <v>80</v>
      </c>
      <c r="BS306" s="66" t="s">
        <v>80</v>
      </c>
      <c r="BT306" s="66" t="s">
        <v>80</v>
      </c>
      <c r="BV306" s="65" t="s">
        <v>3</v>
      </c>
      <c r="BW306" s="66" t="s">
        <v>80</v>
      </c>
      <c r="BX306" s="66" t="s">
        <v>80</v>
      </c>
      <c r="BY306" s="66" t="s">
        <v>80</v>
      </c>
      <c r="BZ306" s="66" t="s">
        <v>80</v>
      </c>
      <c r="CA306" s="66" t="s">
        <v>80</v>
      </c>
      <c r="CC306" s="65" t="s">
        <v>3</v>
      </c>
      <c r="CD306" s="66" t="s">
        <v>80</v>
      </c>
      <c r="CE306" s="66" t="s">
        <v>80</v>
      </c>
      <c r="CF306" s="66" t="s">
        <v>80</v>
      </c>
      <c r="CG306" s="66" t="s">
        <v>80</v>
      </c>
      <c r="CH306" s="66" t="s">
        <v>80</v>
      </c>
      <c r="CJ306" s="65" t="s">
        <v>3</v>
      </c>
      <c r="CK306" s="66" t="s">
        <v>80</v>
      </c>
      <c r="CL306" s="66" t="s">
        <v>80</v>
      </c>
      <c r="CM306" s="66" t="s">
        <v>80</v>
      </c>
      <c r="CN306" s="66" t="s">
        <v>80</v>
      </c>
      <c r="CO306" s="66" t="s">
        <v>80</v>
      </c>
      <c r="CQ306" s="65" t="s">
        <v>3</v>
      </c>
      <c r="CR306" s="66" t="s">
        <v>80</v>
      </c>
      <c r="CS306" s="66" t="s">
        <v>80</v>
      </c>
      <c r="CT306" s="66" t="s">
        <v>80</v>
      </c>
      <c r="CU306" s="66" t="s">
        <v>80</v>
      </c>
      <c r="CV306" s="66" t="s">
        <v>80</v>
      </c>
      <c r="CX306" s="65" t="s">
        <v>3</v>
      </c>
      <c r="CY306" s="66" t="s">
        <v>80</v>
      </c>
      <c r="CZ306" s="66" t="s">
        <v>80</v>
      </c>
      <c r="DA306" s="66" t="s">
        <v>80</v>
      </c>
      <c r="DB306" s="66" t="s">
        <v>80</v>
      </c>
      <c r="DC306" s="66" t="s">
        <v>80</v>
      </c>
      <c r="DE306" s="65" t="s">
        <v>3</v>
      </c>
      <c r="DF306" s="66" t="s">
        <v>80</v>
      </c>
      <c r="DG306" s="66" t="s">
        <v>80</v>
      </c>
      <c r="DH306" s="66" t="s">
        <v>80</v>
      </c>
      <c r="DI306" s="66" t="s">
        <v>80</v>
      </c>
      <c r="DJ306" s="66" t="s">
        <v>80</v>
      </c>
      <c r="DL306" s="65" t="s">
        <v>3</v>
      </c>
      <c r="DM306" s="66" t="s">
        <v>80</v>
      </c>
      <c r="DN306" s="66" t="s">
        <v>80</v>
      </c>
      <c r="DO306" s="66" t="s">
        <v>80</v>
      </c>
      <c r="DP306" s="66" t="s">
        <v>80</v>
      </c>
      <c r="DQ306" s="66" t="s">
        <v>80</v>
      </c>
      <c r="DS306" s="65" t="s">
        <v>3</v>
      </c>
      <c r="DT306" s="66" t="s">
        <v>80</v>
      </c>
      <c r="DU306" s="66" t="s">
        <v>80</v>
      </c>
      <c r="DV306" s="66" t="s">
        <v>80</v>
      </c>
      <c r="DW306" s="66" t="s">
        <v>80</v>
      </c>
      <c r="DX306" s="66" t="s">
        <v>80</v>
      </c>
      <c r="DZ306" s="65" t="s">
        <v>3</v>
      </c>
      <c r="EA306" s="66" t="s">
        <v>80</v>
      </c>
      <c r="EB306" s="66" t="s">
        <v>80</v>
      </c>
      <c r="EC306" s="66" t="s">
        <v>80</v>
      </c>
      <c r="ED306" s="66" t="s">
        <v>80</v>
      </c>
      <c r="EE306" s="66" t="s">
        <v>80</v>
      </c>
      <c r="EG306" s="65" t="s">
        <v>3</v>
      </c>
      <c r="EH306" s="66" t="s">
        <v>80</v>
      </c>
      <c r="EI306" s="66" t="s">
        <v>80</v>
      </c>
      <c r="EJ306" s="66" t="s">
        <v>80</v>
      </c>
      <c r="EK306" s="66" t="s">
        <v>80</v>
      </c>
      <c r="EL306" s="66" t="s">
        <v>80</v>
      </c>
      <c r="EN306" s="65" t="s">
        <v>3</v>
      </c>
      <c r="EO306" s="66" t="s">
        <v>80</v>
      </c>
      <c r="EP306" s="66" t="s">
        <v>80</v>
      </c>
      <c r="EQ306" s="66" t="s">
        <v>80</v>
      </c>
      <c r="ER306" s="66" t="s">
        <v>80</v>
      </c>
      <c r="ES306" s="66" t="s">
        <v>80</v>
      </c>
      <c r="EU306" s="65" t="s">
        <v>3</v>
      </c>
      <c r="EV306" s="66" t="s">
        <v>80</v>
      </c>
      <c r="EW306" s="66" t="s">
        <v>80</v>
      </c>
      <c r="EX306" s="66" t="s">
        <v>80</v>
      </c>
      <c r="EY306" s="66" t="s">
        <v>80</v>
      </c>
      <c r="EZ306" s="66" t="s">
        <v>80</v>
      </c>
      <c r="FB306" s="65" t="s">
        <v>3</v>
      </c>
      <c r="FC306" s="66" t="s">
        <v>80</v>
      </c>
      <c r="FD306" s="66" t="s">
        <v>80</v>
      </c>
      <c r="FE306" s="66" t="s">
        <v>80</v>
      </c>
      <c r="FF306" s="66" t="s">
        <v>80</v>
      </c>
      <c r="FG306" s="66" t="s">
        <v>80</v>
      </c>
      <c r="FI306" s="65" t="s">
        <v>3</v>
      </c>
      <c r="FJ306" s="66" t="s">
        <v>80</v>
      </c>
      <c r="FK306" s="66" t="s">
        <v>80</v>
      </c>
      <c r="FL306" s="66" t="s">
        <v>80</v>
      </c>
      <c r="FM306" s="66" t="s">
        <v>80</v>
      </c>
      <c r="FN306" s="66" t="s">
        <v>80</v>
      </c>
      <c r="FP306" s="65" t="s">
        <v>3</v>
      </c>
      <c r="FQ306" s="66" t="s">
        <v>80</v>
      </c>
      <c r="FR306" s="66" t="s">
        <v>80</v>
      </c>
      <c r="FS306" s="66" t="s">
        <v>80</v>
      </c>
      <c r="FT306" s="66" t="s">
        <v>80</v>
      </c>
      <c r="FU306" s="66" t="s">
        <v>80</v>
      </c>
      <c r="FW306" s="65" t="s">
        <v>3</v>
      </c>
      <c r="FX306" s="66" t="s">
        <v>80</v>
      </c>
      <c r="FY306" s="66" t="s">
        <v>80</v>
      </c>
      <c r="FZ306" s="66" t="s">
        <v>80</v>
      </c>
      <c r="GA306" s="66" t="s">
        <v>80</v>
      </c>
      <c r="GB306" s="66" t="s">
        <v>80</v>
      </c>
      <c r="GD306" s="65" t="s">
        <v>3</v>
      </c>
      <c r="GE306" s="66">
        <f>IFERROR(GE305/FX305-1,"NM")</f>
        <v>2.6666666666666616E-2</v>
      </c>
      <c r="GF306" s="66">
        <f>IFERROR(GF305/FY305-1,"NM")</f>
        <v>2.3217247097844007E-2</v>
      </c>
      <c r="GG306" s="66">
        <f>IFERROR(GG305/FZ305-1,"NM")</f>
        <v>4.4293015332197649E-2</v>
      </c>
      <c r="GH306" s="66">
        <f>IFERROR(GH305/GA305-1,"NM")</f>
        <v>1.0050251256281451E-2</v>
      </c>
      <c r="GI306" s="66">
        <f>IFERROR(GI305/GB305-1,"NM")</f>
        <v>2.5125628140703293E-2</v>
      </c>
      <c r="GK306" s="65" t="s">
        <v>3</v>
      </c>
      <c r="GL306" s="66">
        <f>IFERROR(GL305/GE305-1,"NM")</f>
        <v>-2.5974025974026094E-2</v>
      </c>
      <c r="GM306" s="66">
        <f>IFERROR(GM305/GF305-1,"NM")</f>
        <v>6.482982171799101E-3</v>
      </c>
      <c r="GN306" s="66">
        <f>IFERROR(GN305/GG305-1,"NM")</f>
        <v>-2.7732463295269238E-2</v>
      </c>
      <c r="GO306" s="66">
        <f>IFERROR(GO305/GH305-1,"NM")</f>
        <v>-2.1558872305141086E-2</v>
      </c>
      <c r="GP306" s="66">
        <f>IFERROR(GP305/GI305-1,"NM")</f>
        <v>-1.7565359477124121E-2</v>
      </c>
      <c r="GR306" s="65" t="s">
        <v>3</v>
      </c>
      <c r="GS306" s="66">
        <f>IFERROR(GS305/GL305-1,"NM")</f>
        <v>1.0000000000000231E-2</v>
      </c>
      <c r="GT306" s="66">
        <f>IFERROR(GT305/GM305-1,"NM")</f>
        <v>9.6618357487920914E-3</v>
      </c>
      <c r="GU306" s="66">
        <f>IFERROR(GU305/GN305-1,"NM")</f>
        <v>2.1812080536912637E-2</v>
      </c>
      <c r="GV306" s="66">
        <f>IFERROR(GV305/GO305-1,"NM")</f>
        <v>-4.067796610169494E-2</v>
      </c>
      <c r="GW306" s="66">
        <f>IFERROR(GW305/GP305-1,"NM")</f>
        <v>-1.247401247401192E-3</v>
      </c>
      <c r="GY306" s="65" t="s">
        <v>3</v>
      </c>
      <c r="GZ306" s="66">
        <f>IFERROR(GZ305/GS305-1,"NM")</f>
        <v>-0.12541254125412549</v>
      </c>
      <c r="HA306" s="66">
        <f>IFERROR(HA305/GT305-1,"NM")</f>
        <v>-0.17703349282296643</v>
      </c>
      <c r="HB306" s="66">
        <f>IFERROR(HB305/GU305-1,"NM")</f>
        <v>-0.12643678160919547</v>
      </c>
      <c r="HC306" s="66">
        <f>IFERROR(HC305/GV305-1,"NM")</f>
        <v>-9.3639575971731448E-2</v>
      </c>
      <c r="HD306" s="66">
        <f>IFERROR(HD305/GW305-1,"NM")</f>
        <v>-0.12822647793505404</v>
      </c>
      <c r="HF306" s="65" t="s">
        <v>3</v>
      </c>
      <c r="HG306" s="66">
        <f>IFERROR(HG305/GZ305-1,"NM")</f>
        <v>3.7735849056603765E-2</v>
      </c>
      <c r="HH306" s="66">
        <f>IFERROR(HH305/HA305-1,"NM")</f>
        <v>0.12015503875968991</v>
      </c>
      <c r="HI306" s="66">
        <f>IFERROR(HI305/HB305-1,"NM")</f>
        <v>6.2030075187970102E-2</v>
      </c>
      <c r="HJ306" s="66">
        <f>IFERROR(HJ305/HC305-1,"NM")</f>
        <v>0.165692007797271</v>
      </c>
      <c r="HK306" s="66">
        <f>IFERROR(HK305/HD305-1,"NM")</f>
        <v>9.4555873925501244E-2</v>
      </c>
      <c r="HM306" s="65" t="s">
        <v>3</v>
      </c>
      <c r="HN306" s="66">
        <f>IFERROR(HN305/HG305-1,"NM")</f>
        <v>4.0000000000000036E-2</v>
      </c>
      <c r="HO306" s="66">
        <f>IFERROR(HO305/HH305-1,"NM")</f>
        <v>8.65051903114189E-3</v>
      </c>
      <c r="HP306" s="66">
        <f>IFERROR(HP305/HI305-1,"NM")</f>
        <v>-5.3097345132744334E-3</v>
      </c>
      <c r="HQ306" s="66">
        <f>IFERROR(HQ305/HJ305-1,"NM")</f>
        <v>-5.0167224080267525E-2</v>
      </c>
      <c r="HR306" s="66">
        <f>IFERROR(HR305/HK305-1,"NM")</f>
        <v>-2.1815008726004947E-3</v>
      </c>
      <c r="HT306" s="65" t="s">
        <v>3</v>
      </c>
      <c r="HU306" s="66">
        <f>IFERROR(HU305/HN305-1,"NM")</f>
        <v>-3.4965034965036557E-3</v>
      </c>
      <c r="HV306" s="66">
        <f>IFERROR(HV305/HO305-1,"NM")</f>
        <v>-3.4305317324185403E-2</v>
      </c>
      <c r="HW306" s="66">
        <f>IFERROR(HW305/HP305-1,"NM")</f>
        <v>-2.8469750889679735E-2</v>
      </c>
      <c r="HX306" s="66">
        <f>IFERROR(HX305/HQ305-1,"NM")</f>
        <v>-4.7535211267605848E-2</v>
      </c>
      <c r="HY306" s="66">
        <f>IFERROR(HY305/HR305-1,"NM")</f>
        <v>-2.9296020988194171E-2</v>
      </c>
      <c r="IA306" s="65" t="s">
        <v>3</v>
      </c>
      <c r="IB306" s="66">
        <f>IFERROR(IB305/HU305-1,"NM")</f>
        <v>-2.6315789473684181E-2</v>
      </c>
      <c r="IC306" s="66">
        <f>IFERROR(IC305/HV305-1,"NM")</f>
        <v>1.7761989342806483E-2</v>
      </c>
      <c r="ID306" s="66">
        <f>IFERROR(ID305/HW305-1,"NM")</f>
        <v>2.3809523809523947E-2</v>
      </c>
      <c r="IE306" s="66">
        <f>IFERROR(IE305/HX305-1,"NM")</f>
        <v>7.2088724584103536E-2</v>
      </c>
      <c r="IF306" s="66">
        <f>IFERROR(IF305/HY305-1,"NM")</f>
        <v>2.0720720720720731E-2</v>
      </c>
      <c r="IH306" s="65" t="s">
        <v>3</v>
      </c>
      <c r="II306" s="66">
        <f>IFERROR(II305/IB305-1,"NM")</f>
        <v>4.5045045045045029E-2</v>
      </c>
      <c r="IJ306" s="66">
        <f>IFERROR(IJ305/IC305-1,"NM")</f>
        <v>9.7731239092495592E-2</v>
      </c>
      <c r="IK306" s="66">
        <f>IFERROR(IK305/ID305-1,"NM")</f>
        <v>0.10196779964221814</v>
      </c>
      <c r="IL306" s="66">
        <f>IFERROR(IL305/IE305-1,"NM")</f>
        <v>8.2758620689655338E-2</v>
      </c>
      <c r="IM306" s="66">
        <f>IFERROR(IM305/IF305-1,"NM")</f>
        <v>8.2082965578111233E-2</v>
      </c>
      <c r="IO306" s="65" t="s">
        <v>3</v>
      </c>
      <c r="IP306" s="66">
        <f>IFERROR(IP305/II305-1,"NM")</f>
        <v>1.5517241379310542E-2</v>
      </c>
      <c r="IQ306" s="66">
        <f>IFERROR(IQ305/IJ305-1,"NM")</f>
        <v>-4.6104928457869732E-2</v>
      </c>
      <c r="IR306" s="66">
        <f>IFERROR(IR305/IK305-1,"NM")</f>
        <v>-8.1168831168831113E-2</v>
      </c>
      <c r="IS306" s="66">
        <f>IFERROR(IS305/IL305-1,"NM")</f>
        <v>-0.13853503184713367</v>
      </c>
      <c r="IT306" s="66">
        <f>IFERROR(IT305/IM305-1,"NM")</f>
        <v>-6.3621533442088096E-2</v>
      </c>
      <c r="IV306" s="65" t="s">
        <v>3</v>
      </c>
      <c r="IW306" s="66">
        <f>IFERROR(IW305/IP305-1,"NM")</f>
        <v>-0.1494057724957556</v>
      </c>
      <c r="IX306" s="66">
        <f>IFERROR(IX305/IQ305-1,"NM")</f>
        <v>-0.15499999999999992</v>
      </c>
      <c r="IY306" s="66">
        <f>IFERROR(IY305/IR305-1,"NM")</f>
        <v>-0.107773851590106</v>
      </c>
      <c r="IZ306" s="66">
        <f>IFERROR(IZ305/IS305-1,"NM")</f>
        <v>4.0665434380776411E-2</v>
      </c>
      <c r="JA306" s="66">
        <f>IFERROR(JA305/IT305-1,"NM")</f>
        <v>-9.6254355400696823E-2</v>
      </c>
      <c r="JC306" s="65" t="s">
        <v>3</v>
      </c>
      <c r="JD306" s="66">
        <f>IFERROR(JD305/IW305-1,"NM")</f>
        <v>-1.3972055888223589E-2</v>
      </c>
      <c r="JE306" s="66">
        <f>IFERROR(JE305/IX305-1,"NM")</f>
        <v>-3.1558185404339301E-2</v>
      </c>
      <c r="JF306" s="66">
        <f>IFERROR(JF305/IY305-1,"NM")</f>
        <v>-5.3465346534653402E-2</v>
      </c>
      <c r="JG306" s="66">
        <f>IFERROR(JG305/IZ305-1,"NM")</f>
        <v>-0.1154529307282417</v>
      </c>
      <c r="JH306" s="66">
        <f>IFERROR(JH305/JA305-1,"NM")</f>
        <v>-5.4939759036144453E-2</v>
      </c>
      <c r="JJ306" s="65" t="s">
        <v>3</v>
      </c>
      <c r="JK306" s="66">
        <f>IFERROR(JK305/JD305-1,"NM")</f>
        <v>-1.2145748987854144E-2</v>
      </c>
      <c r="JL306" s="66">
        <f>IFERROR(JL305/JE305-1,"NM")</f>
        <v>6.5173116089613181E-2</v>
      </c>
      <c r="JM306" s="66">
        <f>IFERROR(JM305/JF305-1,"NM")</f>
        <v>7.3221757322175618E-2</v>
      </c>
      <c r="JN306" s="66">
        <f>IFERROR(JN305/JG305-1,"NM")</f>
        <v>1.6064257028112428E-2</v>
      </c>
      <c r="JO306" s="66">
        <f>IFERROR(JO305/JH305-1,"NM")</f>
        <v>3.4676185619581856E-2</v>
      </c>
      <c r="JQ306" s="65" t="s">
        <v>3</v>
      </c>
      <c r="JR306" s="66">
        <f>IFERROR(JR305/JK305-1,"NM")</f>
        <v>-4.098360655737765E-3</v>
      </c>
      <c r="JS306" s="66">
        <f>IFERROR(JS305/JL305-1,"NM")</f>
        <v>-3.0592734225621476E-2</v>
      </c>
      <c r="JT306" s="66">
        <f>IFERROR(JT305/JM305-1,"NM")</f>
        <v>-4.2884990253411082E-2</v>
      </c>
      <c r="JU306" s="66">
        <f>IFERROR(JU305/JN305-1,"NM")</f>
        <v>-5.9288537549406994E-2</v>
      </c>
      <c r="JV306" s="66">
        <f>IFERROR(JV305/JO305-1,"NM")</f>
        <v>-3.4006899950714709E-2</v>
      </c>
      <c r="JX306" s="65" t="s">
        <v>3</v>
      </c>
      <c r="JY306" s="66">
        <f>IFERROR(JY305/JR305-1,"NM")</f>
        <v>-2.057613168724326E-3</v>
      </c>
      <c r="JZ306" s="66">
        <f>IFERROR(JZ305/JS305-1,"NM")</f>
        <v>-0.21301775147928992</v>
      </c>
      <c r="KA306" s="66">
        <f>IFERROR(KA305/JT305-1,"NM")</f>
        <v>-7.3319755600814829E-2</v>
      </c>
      <c r="KB306" s="66">
        <f>IFERROR(KB305/JU305-1,"NM")</f>
        <v>2.3109243697478909E-2</v>
      </c>
      <c r="KC306" s="66">
        <f>IFERROR(KC305/JV305-1,"NM")</f>
        <v>-6.8367346938775553E-2</v>
      </c>
      <c r="KE306" s="65" t="s">
        <v>3</v>
      </c>
      <c r="KF306" s="66">
        <f>IFERROR(KF305/JY305-1,"NM")</f>
        <v>-1.4432989690721598E-2</v>
      </c>
      <c r="KG306" s="66">
        <f>IFERROR(KG305/JZ305-1,"NM")</f>
        <v>0.23809523809523814</v>
      </c>
      <c r="KH306" s="66">
        <f>IFERROR(KH305/KA305-1,"NM")</f>
        <v>4.3956043956044022E-2</v>
      </c>
      <c r="KI306" s="66">
        <f>IFERROR(KI305/KB305-1,"NM")</f>
        <v>-4.1067761806981018E-3</v>
      </c>
      <c r="KJ306" s="66">
        <f>IFERROR(KJ305/KC305-1,"NM")</f>
        <v>5.8050383351588408E-2</v>
      </c>
      <c r="KL306" s="65" t="s">
        <v>3</v>
      </c>
      <c r="KM306" s="66">
        <f>IFERROR(KM305/KF305-1,"NM")</f>
        <v>-2.9288702928870425E-2</v>
      </c>
      <c r="KN306" s="66">
        <f>IFERROR(KN305/KG305-1,"NM")</f>
        <v>-2.4291497975708398E-2</v>
      </c>
      <c r="KO306" s="66">
        <f>IFERROR(KO305/KH305-1,"NM")</f>
        <v>8.4210526315788847E-3</v>
      </c>
      <c r="KP306" s="66">
        <f>IFERROR(KP305/KI305-1,"NM")</f>
        <v>-2.4742268041237025E-2</v>
      </c>
      <c r="KQ306" s="66">
        <f>IFERROR(KQ305/KJ305-1,"NM")</f>
        <v>-1.7598343685300222E-2</v>
      </c>
      <c r="KS306" s="65" t="s">
        <v>3</v>
      </c>
      <c r="KT306" s="66">
        <f>IFERROR(KT305/KM305-1,"NM")</f>
        <v>4.31034482758621E-2</v>
      </c>
      <c r="KU306" s="66">
        <f>IFERROR(KU305/KN305-1,"NM")</f>
        <v>6.2240663900414717E-3</v>
      </c>
      <c r="KV306" s="66">
        <f>IFERROR(KV305/KO305-1,"NM")</f>
        <v>-2.0876826722336927E-3</v>
      </c>
      <c r="KW306" s="66">
        <f>IFERROR(KW305/KP305-1,"NM")</f>
        <v>3.5940803382663811E-2</v>
      </c>
      <c r="KX306" s="66">
        <f>IFERROR(KX305/KQ305-1,"NM")</f>
        <v>2.0547945205479534E-2</v>
      </c>
      <c r="KZ306" s="65" t="s">
        <v>3</v>
      </c>
      <c r="LA306" s="66">
        <f>IFERROR(LA305/KT305-1,"NM")</f>
        <v>2.0661157024792765E-3</v>
      </c>
      <c r="LB306" s="66">
        <f>IFERROR(LB305/KU305-1,"NM")</f>
        <v>4.1237113402061709E-3</v>
      </c>
      <c r="LC306" s="66">
        <f>IFERROR(LC305/KV305-1,"NM")</f>
        <v>2.0920502092050208E-2</v>
      </c>
      <c r="LD306" s="66">
        <f>IFERROR(LD305/KW305-1,"NM")</f>
        <v>-1.4285714285714346E-2</v>
      </c>
      <c r="LE306" s="66">
        <f>IFERROR(LE305/KX305-1,"NM")</f>
        <v>3.0975735673721694E-3</v>
      </c>
      <c r="LF306" s="566"/>
      <c r="LG306" s="65" t="s">
        <v>3</v>
      </c>
      <c r="LH306" s="66">
        <f t="shared" ref="LH306:LK306" si="7060">IFERROR(LH305/LA305-1,"NM")</f>
        <v>-1.4432989690721709E-2</v>
      </c>
      <c r="LI306" s="66">
        <f t="shared" si="7060"/>
        <v>2.6694045174537884E-2</v>
      </c>
      <c r="LJ306" s="66">
        <f>IFERROR(LJ305/LC305-1,"NM")</f>
        <v>3.2786885245901454E-2</v>
      </c>
      <c r="LK306" s="66">
        <f t="shared" si="7060"/>
        <v>2.0703933747412417E-3</v>
      </c>
      <c r="LL306" s="66">
        <f>IFERROR(LL305/LE305-1,"NM")</f>
        <v>1.1837364899639713E-2</v>
      </c>
      <c r="LM306" s="566"/>
      <c r="LN306" s="65" t="s">
        <v>3</v>
      </c>
      <c r="LO306" s="66">
        <f t="shared" ref="LO306" si="7061">IFERROR(LO305/LH305-1,"NM")</f>
        <v>-6.5760111576007585E-4</v>
      </c>
      <c r="LP306" s="66">
        <f t="shared" ref="LP306" si="7062">IFERROR(LP305/LI305-1,"NM")</f>
        <v>-2.8776119402985634E-3</v>
      </c>
      <c r="LQ306" s="66">
        <f>IFERROR(LQ305/LJ305-1,"NM")</f>
        <v>8.1370250120251786E-3</v>
      </c>
      <c r="LR306" s="66">
        <f t="shared" ref="LR306" si="7063">IFERROR(LR305/LK305-1,"NM")</f>
        <v>2.8764811507677956E-2</v>
      </c>
      <c r="LS306" s="66">
        <f>IFERROR(LS305/LL305-1,"NM")</f>
        <v>8.2757324884508154E-3</v>
      </c>
      <c r="LT306" s="566"/>
      <c r="LU306" s="65" t="s">
        <v>3</v>
      </c>
      <c r="LV306" s="66">
        <f t="shared" ref="LV306" si="7064">IFERROR(LV305/LO305-1,"NM")</f>
        <v>2.27171497548182E-2</v>
      </c>
      <c r="LW306" s="66">
        <f t="shared" ref="LW306" si="7065">IFERROR(LW305/LP305-1,"NM")</f>
        <v>2.354035882360006E-2</v>
      </c>
      <c r="LX306" s="66">
        <f t="shared" ref="LX306" si="7066">IFERROR(LX305/LQ305-1,"NM")</f>
        <v>2.119449244617555E-2</v>
      </c>
      <c r="LY306" s="66">
        <f t="shared" ref="LY306" si="7067">IFERROR(LY305/LR305-1,"NM")</f>
        <v>2.1453660797423169E-2</v>
      </c>
      <c r="LZ306" s="66">
        <f>IFERROR(LZ305/LS305-1,"NM")</f>
        <v>2.2216530356863551E-2</v>
      </c>
      <c r="MA306" s="566"/>
      <c r="MB306" s="65" t="s">
        <v>3</v>
      </c>
      <c r="MC306" s="66">
        <f t="shared" ref="MC306" si="7068">IFERROR(MC305/LV305-1,"NM")</f>
        <v>2.1487158724057043E-2</v>
      </c>
      <c r="MD306" s="66">
        <f t="shared" ref="MD306" si="7069">IFERROR(MD305/LW305-1,"NM")</f>
        <v>2.0781458659512086E-2</v>
      </c>
      <c r="ME306" s="66">
        <f t="shared" ref="ME306" si="7070">IFERROR(ME305/LX305-1,"NM")</f>
        <v>1.9592305606162208E-2</v>
      </c>
      <c r="MF306" s="66">
        <f t="shared" ref="MF306" si="7071">IFERROR(MF305/LY305-1,"NM")</f>
        <v>1.8933192299164459E-2</v>
      </c>
      <c r="MG306" s="66">
        <f>IFERROR(MG305/LZ305-1,"NM")</f>
        <v>2.0183183015506589E-2</v>
      </c>
      <c r="MH306" s="566"/>
    </row>
    <row r="307" spans="1:346" s="37" customFormat="1" ht="13.15" x14ac:dyDescent="0.4">
      <c r="A307" s="100"/>
      <c r="B307" s="65" t="s">
        <v>289</v>
      </c>
      <c r="C307" s="66"/>
      <c r="D307" s="66"/>
      <c r="E307" s="66"/>
      <c r="F307" s="66"/>
      <c r="G307" s="66"/>
      <c r="H307" s="66"/>
      <c r="I307" s="66"/>
      <c r="J307" s="66" t="e">
        <f>J305/Expense!J136</f>
        <v>#DIV/0!</v>
      </c>
      <c r="K307" s="66" t="e">
        <f>K305/Expense!K136</f>
        <v>#DIV/0!</v>
      </c>
      <c r="L307" s="66" t="e">
        <f>L305/Expense!L136</f>
        <v>#DIV/0!</v>
      </c>
      <c r="M307" s="66" t="e">
        <f>M305/Expense!M136</f>
        <v>#DIV/0!</v>
      </c>
      <c r="N307" s="66" t="e">
        <f>BT307</f>
        <v>#DIV/0!</v>
      </c>
      <c r="O307" s="66" t="e">
        <f>CA307</f>
        <v>#DIV/0!</v>
      </c>
      <c r="P307" s="66" t="e">
        <f>CH307</f>
        <v>#DIV/0!</v>
      </c>
      <c r="Q307" s="66" t="e">
        <f>CO307</f>
        <v>#DIV/0!</v>
      </c>
      <c r="R307" s="66" t="e">
        <f>CV307</f>
        <v>#DIV/0!</v>
      </c>
      <c r="S307" s="66" t="e">
        <f>DC307</f>
        <v>#DIV/0!</v>
      </c>
      <c r="T307" s="66" t="e">
        <f>DJ307</f>
        <v>#DIV/0!</v>
      </c>
      <c r="U307" s="66" t="e">
        <f>DQ307</f>
        <v>#DIV/0!</v>
      </c>
      <c r="V307" s="66" t="e">
        <f>DX307</f>
        <v>#DIV/0!</v>
      </c>
      <c r="W307" s="66" t="e">
        <f>EE307</f>
        <v>#DIV/0!</v>
      </c>
      <c r="X307" s="66" t="e">
        <f>EL307</f>
        <v>#DIV/0!</v>
      </c>
      <c r="Y307" s="66" t="e">
        <f>ES307</f>
        <v>#DIV/0!</v>
      </c>
      <c r="Z307" s="66" t="e">
        <f>EZ307</f>
        <v>#DIV/0!</v>
      </c>
      <c r="AA307" s="66" t="e">
        <f>FG307</f>
        <v>#DIV/0!</v>
      </c>
      <c r="AB307" s="66" t="e">
        <f>FN307</f>
        <v>#DIV/0!</v>
      </c>
      <c r="AC307" s="66" t="e">
        <f>FU307</f>
        <v>#DIV/0!</v>
      </c>
      <c r="AD307" s="66">
        <f>GB307</f>
        <v>0.51498813888289852</v>
      </c>
      <c r="AE307" s="66">
        <f>GI307</f>
        <v>0.51602023608768965</v>
      </c>
      <c r="AF307" s="66">
        <f>GP307</f>
        <v>0.52487996508075074</v>
      </c>
      <c r="AG307" s="66">
        <f>GW307</f>
        <v>0.53425266903914592</v>
      </c>
      <c r="AH307" s="66">
        <f>HD307</f>
        <v>0.54888597640891224</v>
      </c>
      <c r="AI307" s="66">
        <f>HK307</f>
        <v>0.54845656855707114</v>
      </c>
      <c r="AJ307" s="66">
        <f>HR307</f>
        <v>0.5436177798906584</v>
      </c>
      <c r="AK307" s="66">
        <f>HY307</f>
        <v>0.54292002934702854</v>
      </c>
      <c r="AL307" s="66">
        <f>IF307</f>
        <v>0.54314477468839883</v>
      </c>
      <c r="AM307" s="66">
        <f>IM307</f>
        <v>0.54989908051132541</v>
      </c>
      <c r="AN307" s="66">
        <f>IT307</f>
        <v>0.5388406477352734</v>
      </c>
      <c r="AO307" s="66">
        <f>JA307</f>
        <v>0.52018049636500374</v>
      </c>
      <c r="AP307" s="66">
        <f>JH307</f>
        <v>0.49012746813296681</v>
      </c>
      <c r="AQ307" s="66">
        <f>JO307</f>
        <v>0.50384901912093372</v>
      </c>
      <c r="AR307" s="66">
        <f>JV307</f>
        <v>0.50476435745557557</v>
      </c>
      <c r="AS307" s="66">
        <f>KC307</f>
        <v>0.50962880267931898</v>
      </c>
      <c r="AT307" s="66">
        <f>KJ307</f>
        <v>0.5138297872340426</v>
      </c>
      <c r="AU307" s="66">
        <f>KQ307</f>
        <v>0.5054593874833555</v>
      </c>
      <c r="AV307" s="66">
        <f>KX307</f>
        <v>0.50799895095725156</v>
      </c>
      <c r="AW307" s="66">
        <f>LE307</f>
        <v>0.50598958333333333</v>
      </c>
      <c r="AX307" s="66">
        <f>LL307</f>
        <v>0.50814163866632212</v>
      </c>
      <c r="AY307" s="66">
        <f>LS307</f>
        <v>0.5005832845146112</v>
      </c>
      <c r="AZ307" s="66">
        <f>LZ307</f>
        <v>0.49907468910979397</v>
      </c>
      <c r="BA307" s="66">
        <f>MG307</f>
        <v>0.49717291421631071</v>
      </c>
      <c r="BB307" s="66"/>
      <c r="BC307" s="66"/>
      <c r="BD307" s="66"/>
      <c r="BE307" s="66"/>
      <c r="BF307" s="66"/>
      <c r="BG307" s="66"/>
      <c r="BH307" s="66"/>
      <c r="BI307" s="66"/>
      <c r="BJ307" s="66"/>
      <c r="BK307" s="66"/>
      <c r="BL307" s="66"/>
      <c r="BM307" s="66"/>
      <c r="BO307" s="65" t="s">
        <v>289</v>
      </c>
      <c r="BP307" s="66" t="e">
        <f>BP305/Expense!BP136</f>
        <v>#DIV/0!</v>
      </c>
      <c r="BQ307" s="66" t="e">
        <f>BQ305/Expense!BQ136</f>
        <v>#DIV/0!</v>
      </c>
      <c r="BR307" s="66" t="e">
        <f>BR305/Expense!BR136</f>
        <v>#DIV/0!</v>
      </c>
      <c r="BS307" s="66" t="e">
        <f>BS305/Expense!BS136</f>
        <v>#DIV/0!</v>
      </c>
      <c r="BT307" s="66" t="e">
        <f>BT305/Expense!BT136</f>
        <v>#DIV/0!</v>
      </c>
      <c r="BV307" s="65" t="s">
        <v>289</v>
      </c>
      <c r="BW307" s="66" t="e">
        <f>BW305/Expense!BW136</f>
        <v>#DIV/0!</v>
      </c>
      <c r="BX307" s="66" t="e">
        <f>BX305/Expense!BX136</f>
        <v>#DIV/0!</v>
      </c>
      <c r="BY307" s="66" t="e">
        <f>BY305/Expense!BY136</f>
        <v>#DIV/0!</v>
      </c>
      <c r="BZ307" s="66" t="e">
        <f>BZ305/Expense!BZ136</f>
        <v>#DIV/0!</v>
      </c>
      <c r="CA307" s="66" t="e">
        <f>CA305/Expense!CA136</f>
        <v>#DIV/0!</v>
      </c>
      <c r="CC307" s="65" t="s">
        <v>289</v>
      </c>
      <c r="CD307" s="66" t="e">
        <f>CD305/Expense!CD136</f>
        <v>#DIV/0!</v>
      </c>
      <c r="CE307" s="66" t="e">
        <f>CE305/Expense!CE136</f>
        <v>#DIV/0!</v>
      </c>
      <c r="CF307" s="66" t="e">
        <f>CF305/Expense!CF136</f>
        <v>#DIV/0!</v>
      </c>
      <c r="CG307" s="66" t="e">
        <f>CG305/Expense!CG136</f>
        <v>#DIV/0!</v>
      </c>
      <c r="CH307" s="66" t="e">
        <f>CH305/Expense!CH136</f>
        <v>#DIV/0!</v>
      </c>
      <c r="CJ307" s="65" t="s">
        <v>289</v>
      </c>
      <c r="CK307" s="66" t="e">
        <f>CK305/Expense!CK136</f>
        <v>#DIV/0!</v>
      </c>
      <c r="CL307" s="66" t="e">
        <f>CL305/Expense!CL136</f>
        <v>#DIV/0!</v>
      </c>
      <c r="CM307" s="66" t="e">
        <f>CM305/Expense!CM136</f>
        <v>#DIV/0!</v>
      </c>
      <c r="CN307" s="66" t="e">
        <f>CN305/Expense!CN136</f>
        <v>#DIV/0!</v>
      </c>
      <c r="CO307" s="66" t="e">
        <f>CO305/Expense!CO136</f>
        <v>#DIV/0!</v>
      </c>
      <c r="CQ307" s="65" t="s">
        <v>289</v>
      </c>
      <c r="CR307" s="66" t="e">
        <f>CR305/Expense!CR136</f>
        <v>#DIV/0!</v>
      </c>
      <c r="CS307" s="66" t="e">
        <f>CS305/Expense!CS136</f>
        <v>#DIV/0!</v>
      </c>
      <c r="CT307" s="66" t="e">
        <f>CT305/Expense!CT136</f>
        <v>#DIV/0!</v>
      </c>
      <c r="CU307" s="66" t="e">
        <f>CU305/Expense!CU136</f>
        <v>#DIV/0!</v>
      </c>
      <c r="CV307" s="66" t="e">
        <f>CV305/Expense!CV136</f>
        <v>#DIV/0!</v>
      </c>
      <c r="CX307" s="65" t="s">
        <v>289</v>
      </c>
      <c r="CY307" s="66" t="e">
        <f>CY305/Expense!CY136</f>
        <v>#DIV/0!</v>
      </c>
      <c r="CZ307" s="66" t="e">
        <f>CZ305/Expense!CZ136</f>
        <v>#DIV/0!</v>
      </c>
      <c r="DA307" s="66" t="e">
        <f>DA305/Expense!DA136</f>
        <v>#DIV/0!</v>
      </c>
      <c r="DB307" s="66" t="e">
        <f>DB305/Expense!DB136</f>
        <v>#DIV/0!</v>
      </c>
      <c r="DC307" s="66" t="e">
        <f>DC305/Expense!DC136</f>
        <v>#DIV/0!</v>
      </c>
      <c r="DE307" s="65" t="s">
        <v>289</v>
      </c>
      <c r="DF307" s="66" t="e">
        <f>DF305/Expense!DF136</f>
        <v>#DIV/0!</v>
      </c>
      <c r="DG307" s="66" t="e">
        <f>DG305/Expense!DG136</f>
        <v>#DIV/0!</v>
      </c>
      <c r="DH307" s="66" t="e">
        <f>DH305/Expense!DH136</f>
        <v>#DIV/0!</v>
      </c>
      <c r="DI307" s="66" t="e">
        <f>DI305/Expense!DI136</f>
        <v>#DIV/0!</v>
      </c>
      <c r="DJ307" s="66" t="e">
        <f>DJ305/Expense!DJ136</f>
        <v>#DIV/0!</v>
      </c>
      <c r="DL307" s="65" t="s">
        <v>289</v>
      </c>
      <c r="DM307" s="66" t="e">
        <f>DM305/Expense!DM136</f>
        <v>#DIV/0!</v>
      </c>
      <c r="DN307" s="66" t="e">
        <f>DN305/Expense!DN136</f>
        <v>#DIV/0!</v>
      </c>
      <c r="DO307" s="66" t="e">
        <f>DO305/Expense!DO136</f>
        <v>#DIV/0!</v>
      </c>
      <c r="DP307" s="66" t="e">
        <f>DP305/Expense!DP136</f>
        <v>#DIV/0!</v>
      </c>
      <c r="DQ307" s="66" t="e">
        <f>DQ305/Expense!DQ136</f>
        <v>#DIV/0!</v>
      </c>
      <c r="DS307" s="65" t="s">
        <v>289</v>
      </c>
      <c r="DT307" s="66" t="e">
        <f>DT305/Expense!DT136</f>
        <v>#DIV/0!</v>
      </c>
      <c r="DU307" s="66" t="e">
        <f>DU305/Expense!DU136</f>
        <v>#DIV/0!</v>
      </c>
      <c r="DV307" s="66" t="e">
        <f>DV305/Expense!DV136</f>
        <v>#DIV/0!</v>
      </c>
      <c r="DW307" s="66" t="e">
        <f>DW305/Expense!DW136</f>
        <v>#DIV/0!</v>
      </c>
      <c r="DX307" s="66" t="e">
        <f>DX305/Expense!DX136</f>
        <v>#DIV/0!</v>
      </c>
      <c r="DZ307" s="65" t="s">
        <v>289</v>
      </c>
      <c r="EA307" s="66" t="e">
        <f>EA305/Expense!EA136</f>
        <v>#DIV/0!</v>
      </c>
      <c r="EB307" s="66" t="e">
        <f>EB305/Expense!EB136</f>
        <v>#DIV/0!</v>
      </c>
      <c r="EC307" s="66" t="e">
        <f>EC305/Expense!EC136</f>
        <v>#DIV/0!</v>
      </c>
      <c r="ED307" s="66" t="e">
        <f>ED305/Expense!ED136</f>
        <v>#DIV/0!</v>
      </c>
      <c r="EE307" s="66" t="e">
        <f>EE305/Expense!EE136</f>
        <v>#DIV/0!</v>
      </c>
      <c r="EG307" s="65" t="s">
        <v>289</v>
      </c>
      <c r="EH307" s="66" t="e">
        <f>EH305/Expense!EH136</f>
        <v>#DIV/0!</v>
      </c>
      <c r="EI307" s="66" t="e">
        <f>EI305/Expense!EI136</f>
        <v>#DIV/0!</v>
      </c>
      <c r="EJ307" s="66" t="e">
        <f>EJ305/Expense!EJ136</f>
        <v>#DIV/0!</v>
      </c>
      <c r="EK307" s="66" t="e">
        <f>EK305/Expense!EK136</f>
        <v>#DIV/0!</v>
      </c>
      <c r="EL307" s="66" t="e">
        <f>EL305/Expense!EL136</f>
        <v>#DIV/0!</v>
      </c>
      <c r="EN307" s="65" t="s">
        <v>289</v>
      </c>
      <c r="EO307" s="66" t="e">
        <f>EO305/Expense!EO136</f>
        <v>#DIV/0!</v>
      </c>
      <c r="EP307" s="66" t="e">
        <f>EP305/Expense!EP136</f>
        <v>#DIV/0!</v>
      </c>
      <c r="EQ307" s="66" t="e">
        <f>EQ305/Expense!EQ136</f>
        <v>#DIV/0!</v>
      </c>
      <c r="ER307" s="66" t="e">
        <f>ER305/Expense!ER136</f>
        <v>#DIV/0!</v>
      </c>
      <c r="ES307" s="66" t="e">
        <f>ES305/Expense!ES136</f>
        <v>#DIV/0!</v>
      </c>
      <c r="EU307" s="65" t="s">
        <v>289</v>
      </c>
      <c r="EV307" s="66" t="e">
        <f>EV305/Expense!EV136</f>
        <v>#DIV/0!</v>
      </c>
      <c r="EW307" s="66" t="e">
        <f>EW305/Expense!EW136</f>
        <v>#DIV/0!</v>
      </c>
      <c r="EX307" s="66" t="e">
        <f>EX305/Expense!EX136</f>
        <v>#DIV/0!</v>
      </c>
      <c r="EY307" s="66" t="e">
        <f>EY305/Expense!EY136</f>
        <v>#DIV/0!</v>
      </c>
      <c r="EZ307" s="66" t="e">
        <f>EZ305/Expense!EZ136</f>
        <v>#DIV/0!</v>
      </c>
      <c r="FB307" s="65" t="s">
        <v>289</v>
      </c>
      <c r="FC307" s="66" t="e">
        <f>FC305/Expense!FC136</f>
        <v>#DIV/0!</v>
      </c>
      <c r="FD307" s="66" t="e">
        <f>FD305/Expense!FD136</f>
        <v>#DIV/0!</v>
      </c>
      <c r="FE307" s="66" t="e">
        <f>FE305/Expense!FE136</f>
        <v>#DIV/0!</v>
      </c>
      <c r="FF307" s="66" t="e">
        <f>FF305/Expense!FF136</f>
        <v>#DIV/0!</v>
      </c>
      <c r="FG307" s="66" t="e">
        <f>FG305/Expense!FG136</f>
        <v>#DIV/0!</v>
      </c>
      <c r="FI307" s="65" t="s">
        <v>289</v>
      </c>
      <c r="FJ307" s="66" t="e">
        <f>FJ305/Expense!FJ136</f>
        <v>#DIV/0!</v>
      </c>
      <c r="FK307" s="66" t="e">
        <f>FK305/Expense!FK136</f>
        <v>#DIV/0!</v>
      </c>
      <c r="FL307" s="66" t="e">
        <f>FL305/Expense!FL136</f>
        <v>#DIV/0!</v>
      </c>
      <c r="FM307" s="66" t="e">
        <f>FM305/Expense!FM136</f>
        <v>#DIV/0!</v>
      </c>
      <c r="FN307" s="66" t="e">
        <f>FN305/Expense!FN136</f>
        <v>#DIV/0!</v>
      </c>
      <c r="FP307" s="65" t="s">
        <v>289</v>
      </c>
      <c r="FQ307" s="66" t="e">
        <f>FQ305/Expense!FQ136</f>
        <v>#DIV/0!</v>
      </c>
      <c r="FR307" s="66" t="e">
        <f>FR305/Expense!FR136</f>
        <v>#DIV/0!</v>
      </c>
      <c r="FS307" s="66" t="e">
        <f>FS305/Expense!FS136</f>
        <v>#DIV/0!</v>
      </c>
      <c r="FT307" s="66" t="e">
        <f>FT305/Expense!FT136</f>
        <v>#DIV/0!</v>
      </c>
      <c r="FU307" s="66" t="e">
        <f>FU305/Expense!FU136</f>
        <v>#DIV/0!</v>
      </c>
      <c r="FW307" s="65" t="s">
        <v>289</v>
      </c>
      <c r="FX307" s="66">
        <f>FX305/Expense!FX136</f>
        <v>0.51413881748071977</v>
      </c>
      <c r="FY307" s="66">
        <f>FY305/Expense!FY136</f>
        <v>0.51450511945392496</v>
      </c>
      <c r="FZ307" s="66">
        <f>FZ305/Expense!FZ136</f>
        <v>0.51627088830255063</v>
      </c>
      <c r="GA307" s="66">
        <f>GA305/Expense!GA136</f>
        <v>0.5133276010318143</v>
      </c>
      <c r="GB307" s="66">
        <f>GB305/Expense!GB136</f>
        <v>0.51498813888289852</v>
      </c>
      <c r="GD307" s="65" t="s">
        <v>289</v>
      </c>
      <c r="GE307" s="66">
        <f>GE305/Expense!GE136</f>
        <v>0.5172124265323258</v>
      </c>
      <c r="GF307" s="66">
        <f>GF305/Expense!GF136</f>
        <v>0.51805205709487823</v>
      </c>
      <c r="GG307" s="66">
        <f>GG305/Expense!GG136</f>
        <v>0.52572898799313905</v>
      </c>
      <c r="GH307" s="66">
        <f>GH305/Expense!GH136</f>
        <v>0.51494449188727587</v>
      </c>
      <c r="GI307" s="66">
        <f>GI305/Expense!GI136</f>
        <v>0.51602023608768965</v>
      </c>
      <c r="GK307" s="65" t="s">
        <v>289</v>
      </c>
      <c r="GL307" s="66">
        <f>GL305/Expense!GL136</f>
        <v>0.52631578947368418</v>
      </c>
      <c r="GM307" s="66">
        <f>GM305/Expense!GM136</f>
        <v>0.52360876897133224</v>
      </c>
      <c r="GN307" s="66">
        <f>GN305/Expense!GN136</f>
        <v>0.52650176678445226</v>
      </c>
      <c r="GO307" s="66">
        <f>GO305/Expense!GO136</f>
        <v>0.52397868561278871</v>
      </c>
      <c r="GP307" s="66">
        <f>GP305/Expense!GP136</f>
        <v>0.52487996508075074</v>
      </c>
      <c r="GR307" s="65" t="s">
        <v>289</v>
      </c>
      <c r="GS307" s="66">
        <f>GS305/Expense!GS136</f>
        <v>0.533920704845815</v>
      </c>
      <c r="GT307" s="66">
        <f>GT305/Expense!GT136</f>
        <v>0.53958691910499135</v>
      </c>
      <c r="GU307" s="66">
        <f>GU305/Expense!GU136</f>
        <v>0.53751103265666378</v>
      </c>
      <c r="GV307" s="66">
        <f>GV305/Expense!GV136</f>
        <v>0.5314553990610329</v>
      </c>
      <c r="GW307" s="66">
        <f>GW305/Expense!GW136</f>
        <v>0.53425266903914592</v>
      </c>
      <c r="GY307" s="65" t="s">
        <v>289</v>
      </c>
      <c r="GZ307" s="66">
        <f>GZ305/Expense!GZ136</f>
        <v>0.52841475573280161</v>
      </c>
      <c r="HA307" s="66">
        <f>HA305/Expense!HA136</f>
        <v>0.54661016949152541</v>
      </c>
      <c r="HB307" s="66">
        <f>HB305/Expense!HB136</f>
        <v>0.55474452554744513</v>
      </c>
      <c r="HC307" s="66">
        <f>HC305/Expense!HC136</f>
        <v>0.53773584905660377</v>
      </c>
      <c r="HD307" s="66">
        <f>HD305/Expense!HD136</f>
        <v>0.54888597640891224</v>
      </c>
      <c r="HF307" s="65" t="s">
        <v>289</v>
      </c>
      <c r="HG307" s="66">
        <f>HG305/Expense!HG136</f>
        <v>0.55165496489468402</v>
      </c>
      <c r="HH307" s="66">
        <f>HH305/Expense!HH136</f>
        <v>0.55047619047619045</v>
      </c>
      <c r="HI307" s="66">
        <f>HI305/Expense!HI136</f>
        <v>0.54854368932038833</v>
      </c>
      <c r="HJ307" s="66">
        <f>HJ305/Expense!HJ136</f>
        <v>0.54264972776769516</v>
      </c>
      <c r="HK307" s="66">
        <f>HK305/Expense!HK136</f>
        <v>0.54845656855707114</v>
      </c>
      <c r="HM307" s="65" t="s">
        <v>289</v>
      </c>
      <c r="HN307" s="66">
        <f>HN305/Expense!HN136</f>
        <v>0.54736842105263162</v>
      </c>
      <c r="HO307" s="66">
        <f>HO305/Expense!HO136</f>
        <v>0.54384328358208955</v>
      </c>
      <c r="HP307" s="66">
        <f>HP305/Expense!HP136</f>
        <v>0.5435203094777562</v>
      </c>
      <c r="HQ307" s="66">
        <f>HQ305/Expense!HQ136</f>
        <v>0.53787878787878796</v>
      </c>
      <c r="HR307" s="66">
        <f>HR305/Expense!HR136</f>
        <v>0.5436177798906584</v>
      </c>
      <c r="HT307" s="65" t="s">
        <v>289</v>
      </c>
      <c r="HU307" s="66">
        <f>HU305/Expense!HU136</f>
        <v>0.54650047938638535</v>
      </c>
      <c r="HV307" s="66">
        <f>HV305/Expense!HV136</f>
        <v>0.5429122468659594</v>
      </c>
      <c r="HW307" s="66">
        <f>HW305/Expense!HW136</f>
        <v>0.5443668993020937</v>
      </c>
      <c r="HX307" s="66">
        <f>HX305/Expense!HX136</f>
        <v>0.5377733598409542</v>
      </c>
      <c r="HY307" s="66">
        <f>HY305/Expense!HY136</f>
        <v>0.54292002934702854</v>
      </c>
      <c r="IA307" s="65" t="s">
        <v>289</v>
      </c>
      <c r="IB307" s="66">
        <f>IB305/Expense!IB136</f>
        <v>0.54305283757338541</v>
      </c>
      <c r="IC307" s="66">
        <f>IC305/Expense!IC136</f>
        <v>0.543127962085308</v>
      </c>
      <c r="ID307" s="66">
        <f>ID305/Expense!ID136</f>
        <v>0.54430379746835444</v>
      </c>
      <c r="IE307" s="66">
        <f>IE305/Expense!IE136</f>
        <v>0.54307116104868913</v>
      </c>
      <c r="IF307" s="66">
        <f>IF305/Expense!IF136</f>
        <v>0.54314477468839883</v>
      </c>
      <c r="IH307" s="65" t="s">
        <v>289</v>
      </c>
      <c r="II307" s="66">
        <f>II305/Expense!II136</f>
        <v>0.55343511450381677</v>
      </c>
      <c r="IJ307" s="66">
        <f>IJ305/Expense!IJ136</f>
        <v>0.55078809106830118</v>
      </c>
      <c r="IK307" s="66">
        <f>IK305/Expense!IK136</f>
        <v>0.54804270462633442</v>
      </c>
      <c r="IL307" s="66">
        <f>IL305/Expense!IL136</f>
        <v>0.54847161572052394</v>
      </c>
      <c r="IM307" s="66">
        <f>IM305/Expense!IM136</f>
        <v>0.54989908051132541</v>
      </c>
      <c r="IO307" s="65" t="s">
        <v>289</v>
      </c>
      <c r="IP307" s="66">
        <f>IP305/Expense!IP136</f>
        <v>0.54892823858341111</v>
      </c>
      <c r="IQ307" s="66">
        <f>IQ305/Expense!IQ136</f>
        <v>0.54054054054054046</v>
      </c>
      <c r="IR307" s="66">
        <f>IR305/Expense!IR136</f>
        <v>0.53649289099526065</v>
      </c>
      <c r="IS307" s="66">
        <f>IS305/Expense!IS136</f>
        <v>0.5283203125</v>
      </c>
      <c r="IT307" s="66">
        <f>IT305/Expense!IT136</f>
        <v>0.5388406477352734</v>
      </c>
      <c r="IV307" s="65" t="s">
        <v>289</v>
      </c>
      <c r="IW307" s="66">
        <f>IW305/Expense!IW136</f>
        <v>0.52241918665276332</v>
      </c>
      <c r="IX307" s="66">
        <f>IX305/Expense!IX136</f>
        <v>0.52106885919835555</v>
      </c>
      <c r="IY307" s="66">
        <f>IY305/Expense!IY136</f>
        <v>0.52115583075335392</v>
      </c>
      <c r="IZ307" s="66">
        <f>IZ305/Expense!IZ136</f>
        <v>0.5227483751160632</v>
      </c>
      <c r="JA307" s="66">
        <f>JA305/Expense!JA136</f>
        <v>0.52018049636500374</v>
      </c>
      <c r="JC307" s="65" t="s">
        <v>289</v>
      </c>
      <c r="JD307" s="66">
        <f>JD305/Expense!JD136</f>
        <v>0.48622047244094491</v>
      </c>
      <c r="JE307" s="66">
        <f>JE305/Expense!JE136</f>
        <v>0.48662041625371649</v>
      </c>
      <c r="JF307" s="66">
        <f>JF305/Expense!JF136</f>
        <v>0.4927835051546392</v>
      </c>
      <c r="JG307" s="66">
        <f>JG305/Expense!JG136</f>
        <v>0.49502982107355864</v>
      </c>
      <c r="JH307" s="66">
        <f>JH305/Expense!JH136</f>
        <v>0.49012746813296681</v>
      </c>
      <c r="JJ307" s="65" t="s">
        <v>289</v>
      </c>
      <c r="JK307" s="66">
        <f>JK305/Expense!JK136</f>
        <v>0.5067497403946003</v>
      </c>
      <c r="JL307" s="66">
        <f>JL305/Expense!JL136</f>
        <v>0.50531400966183571</v>
      </c>
      <c r="JM307" s="66">
        <f>JM305/Expense!JM136</f>
        <v>0.50244857982370228</v>
      </c>
      <c r="JN307" s="66">
        <f>JN305/Expense!JN136</f>
        <v>0.50148662041625358</v>
      </c>
      <c r="JO307" s="66">
        <f>JO305/Expense!JO136</f>
        <v>0.50384901912093372</v>
      </c>
      <c r="JQ307" s="65" t="s">
        <v>289</v>
      </c>
      <c r="JR307" s="66">
        <f>JR305/Expense!JR136</f>
        <v>0.50258531540847984</v>
      </c>
      <c r="JS307" s="66">
        <f>JS305/Expense!JS136</f>
        <v>0.50750750750750739</v>
      </c>
      <c r="JT307" s="66">
        <f>JT305/Expense!JT136</f>
        <v>0.50566426364572614</v>
      </c>
      <c r="JU307" s="66">
        <f>JU305/Expense!JU136</f>
        <v>0.50263991552270326</v>
      </c>
      <c r="JV307" s="66">
        <f>JV305/Expense!JV136</f>
        <v>0.50476435745557557</v>
      </c>
      <c r="JX307" s="65" t="s">
        <v>289</v>
      </c>
      <c r="JY307" s="66">
        <f>JY305/Expense!JY136</f>
        <v>0.50891920251836309</v>
      </c>
      <c r="JZ307" s="66">
        <f>JZ305/Expense!JZ136</f>
        <v>0.51818181818181819</v>
      </c>
      <c r="KA307" s="66">
        <f>KA305/Expense!KA136</f>
        <v>0.50387596899224807</v>
      </c>
      <c r="KB307" s="66">
        <f>KB305/Expense!KB136</f>
        <v>0.50888192267502608</v>
      </c>
      <c r="KC307" s="66">
        <f>KC305/Expense!KC136</f>
        <v>0.50962880267931898</v>
      </c>
      <c r="KE307" s="65" t="s">
        <v>289</v>
      </c>
      <c r="KF307" s="66">
        <f>KF305/Expense!KF136</f>
        <v>0.51177730192719484</v>
      </c>
      <c r="KG307" s="66">
        <f>KG305/Expense!KG136</f>
        <v>0.51458333333333328</v>
      </c>
      <c r="KH307" s="66">
        <f>KH305/Expense!KH136</f>
        <v>0.51130247578040899</v>
      </c>
      <c r="KI307" s="66">
        <f>KI305/Expense!KI136</f>
        <v>0.5176093916755603</v>
      </c>
      <c r="KJ307" s="66">
        <f>KJ305/Expense!KJ136</f>
        <v>0.5138297872340426</v>
      </c>
      <c r="KL307" s="65" t="s">
        <v>289</v>
      </c>
      <c r="KM307" s="66">
        <f>KM305/Expense!KM136</f>
        <v>0.50765864332603938</v>
      </c>
      <c r="KN307" s="66">
        <f>KN305/Expense!KN136</f>
        <v>0.50736842105263158</v>
      </c>
      <c r="KO307" s="66">
        <f>KO305/Expense!KO136</f>
        <v>0.50262329485834212</v>
      </c>
      <c r="KP307" s="66">
        <f>KP305/Expense!KP136</f>
        <v>0.50426439232409392</v>
      </c>
      <c r="KQ307" s="66">
        <f>KQ305/Expense!KQ136</f>
        <v>0.5054593874833555</v>
      </c>
      <c r="KS307" s="65" t="s">
        <v>289</v>
      </c>
      <c r="KT307" s="66">
        <f>KT305/Expense!KT136</f>
        <v>0.51271186440677963</v>
      </c>
      <c r="KU307" s="66">
        <f>KU305/Expense!KU136</f>
        <v>0.50679205851619646</v>
      </c>
      <c r="KV307" s="66">
        <f>KV305/Expense!KV136</f>
        <v>0.50582010582010584</v>
      </c>
      <c r="KW307" s="66">
        <f>KW305/Expense!KW136</f>
        <v>0.50672182006204758</v>
      </c>
      <c r="KX307" s="66">
        <f>KX305/Expense!KX136</f>
        <v>0.50799895095725156</v>
      </c>
      <c r="KZ307" s="65" t="s">
        <v>289</v>
      </c>
      <c r="LA307" s="66">
        <f>LA305/Expense!LA136</f>
        <v>0.50626304801670152</v>
      </c>
      <c r="LB307" s="66">
        <f>LB305/Expense!LB136</f>
        <v>0.50309917355371903</v>
      </c>
      <c r="LC307" s="66">
        <f>LC305/Expense!LC136</f>
        <v>0.50992685475444099</v>
      </c>
      <c r="LD307" s="66">
        <f>LD305/Expense!LD136</f>
        <v>0.50470219435736674</v>
      </c>
      <c r="LE307" s="66">
        <f>LE305/Expense!LE136</f>
        <v>0.50598958333333333</v>
      </c>
      <c r="LF307" s="566"/>
      <c r="LG307" s="65" t="s">
        <v>289</v>
      </c>
      <c r="LH307" s="66">
        <f>LH305/Expense!LH136</f>
        <v>0.50905218317358891</v>
      </c>
      <c r="LI307" s="66">
        <f>LI305/Expense!LI136</f>
        <v>0.50200803212851408</v>
      </c>
      <c r="LJ307" s="66">
        <f>LJ305/Expense!LJ136</f>
        <v>0.51012145748987858</v>
      </c>
      <c r="LK307" s="66">
        <f>LK305/Expense!LK136</f>
        <v>0.51162790697674421</v>
      </c>
      <c r="LL307" s="66">
        <f>LL305/Expense!LL136</f>
        <v>0.50814163866632212</v>
      </c>
      <c r="LM307" s="566"/>
      <c r="LN307" s="65" t="s">
        <v>289</v>
      </c>
      <c r="LO307" s="66">
        <f>LO305/Expense!LO136</f>
        <v>0.50027406911866257</v>
      </c>
      <c r="LP307" s="66">
        <f>LP305/Expense!LP136</f>
        <v>0.49250721430610905</v>
      </c>
      <c r="LQ307" s="66">
        <f>LQ305/Expense!LQ136</f>
        <v>0.50226866822399829</v>
      </c>
      <c r="LR307" s="66">
        <f>LR305/Expense!LR136</f>
        <v>0.50747877907167349</v>
      </c>
      <c r="LS307" s="66">
        <f>LS305/Expense!LS136</f>
        <v>0.5005832845146112</v>
      </c>
      <c r="LT307" s="566"/>
      <c r="LU307" s="65" t="s">
        <v>289</v>
      </c>
      <c r="LV307" s="66">
        <f>LV305/Expense!LV136</f>
        <v>0.49895855037721737</v>
      </c>
      <c r="LW307" s="66">
        <f>LW305/Expense!LW136</f>
        <v>0.4912881881677354</v>
      </c>
      <c r="LX307" s="66">
        <f>LX305/Expense!LX136</f>
        <v>0.50046441015161158</v>
      </c>
      <c r="LY307" s="66">
        <f>LY305/Expense!LY136</f>
        <v>0.50579804985433263</v>
      </c>
      <c r="LZ307" s="66">
        <f>LZ305/Expense!LZ136</f>
        <v>0.49907468910979397</v>
      </c>
      <c r="MA307" s="566"/>
      <c r="MB307" s="65" t="s">
        <v>289</v>
      </c>
      <c r="MC307" s="66">
        <f>MC305/Expense!MC136</f>
        <v>0.49740522297969858</v>
      </c>
      <c r="MD307" s="66">
        <f>MD305/Expense!MD136</f>
        <v>0.48955586329981238</v>
      </c>
      <c r="ME307" s="66">
        <f>ME305/Expense!ME136</f>
        <v>0.49834912158910311</v>
      </c>
      <c r="MF307" s="66">
        <f>MF305/Expense!MF136</f>
        <v>0.50360907563246748</v>
      </c>
      <c r="MG307" s="66">
        <f>MG305/Expense!MG136</f>
        <v>0.49717291421631071</v>
      </c>
      <c r="MH307" s="566"/>
    </row>
    <row r="308" spans="1:346" s="37" customFormat="1" ht="13.15" x14ac:dyDescent="0.4">
      <c r="A308" s="100"/>
      <c r="B308" s="65"/>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O308" s="65"/>
      <c r="BP308" s="66"/>
      <c r="BQ308" s="66"/>
      <c r="BR308" s="66"/>
      <c r="BS308" s="66"/>
      <c r="BT308" s="66"/>
      <c r="BV308" s="65"/>
      <c r="BW308" s="66"/>
      <c r="BX308" s="66"/>
      <c r="BY308" s="66"/>
      <c r="BZ308" s="66"/>
      <c r="CA308" s="66"/>
      <c r="CC308" s="65"/>
      <c r="CD308" s="66"/>
      <c r="CE308" s="66"/>
      <c r="CF308" s="66"/>
      <c r="CG308" s="66"/>
      <c r="CH308" s="66"/>
      <c r="CJ308" s="65"/>
      <c r="CK308" s="66"/>
      <c r="CL308" s="66"/>
      <c r="CM308" s="66"/>
      <c r="CN308" s="66"/>
      <c r="CO308" s="66"/>
      <c r="CQ308" s="65"/>
      <c r="CR308" s="66"/>
      <c r="CS308" s="66"/>
      <c r="CT308" s="66"/>
      <c r="CU308" s="66"/>
      <c r="CV308" s="66"/>
      <c r="CX308" s="65"/>
      <c r="CY308" s="66"/>
      <c r="CZ308" s="66"/>
      <c r="DA308" s="66"/>
      <c r="DB308" s="66"/>
      <c r="DC308" s="66"/>
      <c r="DE308" s="65"/>
      <c r="DF308" s="66"/>
      <c r="DG308" s="66"/>
      <c r="DH308" s="66"/>
      <c r="DI308" s="66"/>
      <c r="DJ308" s="66"/>
      <c r="DL308" s="65"/>
      <c r="DM308" s="66"/>
      <c r="DN308" s="66"/>
      <c r="DO308" s="66"/>
      <c r="DP308" s="66"/>
      <c r="DQ308" s="66"/>
      <c r="DS308" s="65"/>
      <c r="DT308" s="66"/>
      <c r="DU308" s="66"/>
      <c r="DV308" s="66"/>
      <c r="DW308" s="66"/>
      <c r="DX308" s="66"/>
      <c r="DZ308" s="65"/>
      <c r="EA308" s="66"/>
      <c r="EB308" s="66"/>
      <c r="EC308" s="66"/>
      <c r="ED308" s="66"/>
      <c r="EE308" s="66"/>
      <c r="EG308" s="65"/>
      <c r="EH308" s="66"/>
      <c r="EI308" s="66"/>
      <c r="EJ308" s="66"/>
      <c r="EK308" s="66"/>
      <c r="EL308" s="66"/>
      <c r="EN308" s="65"/>
      <c r="EO308" s="66"/>
      <c r="EP308" s="66"/>
      <c r="EQ308" s="66"/>
      <c r="ER308" s="66"/>
      <c r="ES308" s="66"/>
      <c r="EU308" s="65"/>
      <c r="EV308" s="66"/>
      <c r="EW308" s="66"/>
      <c r="EX308" s="66"/>
      <c r="EY308" s="66"/>
      <c r="EZ308" s="66"/>
      <c r="FB308" s="65"/>
      <c r="FC308" s="66"/>
      <c r="FD308" s="66"/>
      <c r="FE308" s="66"/>
      <c r="FF308" s="66"/>
      <c r="FG308" s="66"/>
      <c r="FI308" s="65"/>
      <c r="FJ308" s="66"/>
      <c r="FK308" s="66"/>
      <c r="FL308" s="66"/>
      <c r="FM308" s="66"/>
      <c r="FN308" s="66"/>
      <c r="FP308" s="65"/>
      <c r="FQ308" s="66"/>
      <c r="FR308" s="66"/>
      <c r="FS308" s="66"/>
      <c r="FT308" s="66"/>
      <c r="FU308" s="66"/>
      <c r="FW308" s="65"/>
      <c r="FX308" s="66"/>
      <c r="FY308" s="66"/>
      <c r="FZ308" s="66"/>
      <c r="GA308" s="66"/>
      <c r="GB308" s="66"/>
      <c r="GD308" s="65"/>
      <c r="GE308" s="66"/>
      <c r="GF308" s="66"/>
      <c r="GG308" s="66"/>
      <c r="GH308" s="66"/>
      <c r="GI308" s="66"/>
      <c r="GK308" s="65"/>
      <c r="GL308" s="66"/>
      <c r="GM308" s="66"/>
      <c r="GN308" s="66"/>
      <c r="GO308" s="66"/>
      <c r="GP308" s="66"/>
      <c r="GR308" s="65"/>
      <c r="GS308" s="66"/>
      <c r="GT308" s="66"/>
      <c r="GU308" s="66"/>
      <c r="GV308" s="66"/>
      <c r="GW308" s="66"/>
      <c r="GY308" s="65"/>
      <c r="GZ308" s="66"/>
      <c r="HA308" s="66"/>
      <c r="HB308" s="66"/>
      <c r="HC308" s="66"/>
      <c r="HD308" s="66"/>
      <c r="HF308" s="65"/>
      <c r="HG308" s="66"/>
      <c r="HH308" s="66"/>
      <c r="HI308" s="66"/>
      <c r="HJ308" s="66"/>
      <c r="HK308" s="66"/>
      <c r="HM308" s="65"/>
      <c r="HN308" s="66"/>
      <c r="HO308" s="66"/>
      <c r="HP308" s="66"/>
      <c r="HQ308" s="66"/>
      <c r="HR308" s="66"/>
      <c r="HT308" s="65"/>
      <c r="HU308" s="66"/>
      <c r="HV308" s="66"/>
      <c r="HW308" s="66"/>
      <c r="HX308" s="66"/>
      <c r="HY308" s="66"/>
      <c r="IA308" s="65"/>
      <c r="IB308" s="66"/>
      <c r="IC308" s="66"/>
      <c r="ID308" s="66"/>
      <c r="IE308" s="66"/>
      <c r="IF308" s="66"/>
      <c r="IH308" s="65"/>
      <c r="II308" s="66"/>
      <c r="IJ308" s="66"/>
      <c r="IK308" s="66"/>
      <c r="IL308" s="66"/>
      <c r="IM308" s="66"/>
      <c r="IO308" s="65"/>
      <c r="IP308" s="66"/>
      <c r="IQ308" s="66"/>
      <c r="IR308" s="66"/>
      <c r="IS308" s="66"/>
      <c r="IT308" s="66"/>
      <c r="IV308" s="65"/>
      <c r="IW308" s="66"/>
      <c r="IX308" s="66"/>
      <c r="IY308" s="66"/>
      <c r="IZ308" s="66"/>
      <c r="JA308" s="66"/>
      <c r="JC308" s="65"/>
      <c r="JD308" s="66"/>
      <c r="JE308" s="66"/>
      <c r="JF308" s="66"/>
      <c r="JG308" s="66"/>
      <c r="JH308" s="66"/>
      <c r="JJ308" s="65"/>
      <c r="JK308" s="66"/>
      <c r="JL308" s="66"/>
      <c r="JM308" s="66"/>
      <c r="JN308" s="66"/>
      <c r="JO308" s="66"/>
      <c r="JQ308" s="65"/>
      <c r="JR308" s="66"/>
      <c r="JS308" s="66"/>
      <c r="JT308" s="66"/>
      <c r="JU308" s="66"/>
      <c r="JV308" s="66"/>
      <c r="JX308" s="65"/>
      <c r="JY308" s="66"/>
      <c r="JZ308" s="66"/>
      <c r="KA308" s="66"/>
      <c r="KB308" s="66"/>
      <c r="KC308" s="66"/>
      <c r="KE308" s="65"/>
      <c r="KF308" s="66"/>
      <c r="KG308" s="66"/>
      <c r="KH308" s="66"/>
      <c r="KI308" s="66"/>
      <c r="KJ308" s="66"/>
      <c r="KL308" s="65"/>
      <c r="KM308" s="66"/>
      <c r="KN308" s="66"/>
      <c r="KO308" s="66"/>
      <c r="KP308" s="66"/>
      <c r="KQ308" s="66"/>
      <c r="KS308" s="65"/>
      <c r="KT308" s="66"/>
      <c r="KU308" s="66"/>
      <c r="KV308" s="66"/>
      <c r="KW308" s="66"/>
      <c r="KX308" s="66"/>
      <c r="KZ308" s="65"/>
      <c r="LA308" s="66"/>
      <c r="LB308" s="67"/>
      <c r="LC308" s="67"/>
      <c r="LD308" s="67"/>
      <c r="LE308" s="66"/>
      <c r="LF308" s="566"/>
      <c r="LG308" s="65"/>
      <c r="LH308" s="67"/>
      <c r="LI308" s="67"/>
      <c r="LJ308" s="67"/>
      <c r="LK308" s="67"/>
      <c r="LL308" s="66"/>
      <c r="LM308" s="566"/>
      <c r="LN308" s="65"/>
      <c r="LO308" s="67"/>
      <c r="LP308" s="67"/>
      <c r="LQ308" s="67"/>
      <c r="LR308" s="67"/>
      <c r="LS308" s="66"/>
      <c r="LT308" s="566"/>
      <c r="LU308" s="65"/>
      <c r="LV308" s="67"/>
      <c r="LW308" s="67"/>
      <c r="LX308" s="67"/>
      <c r="LY308" s="67"/>
      <c r="LZ308" s="66"/>
      <c r="MA308" s="566"/>
      <c r="MB308" s="65"/>
      <c r="MC308" s="67"/>
      <c r="MD308" s="67"/>
      <c r="ME308" s="67"/>
      <c r="MF308" s="67"/>
      <c r="MG308" s="66"/>
      <c r="MH308" s="566"/>
    </row>
    <row r="309" spans="1:346" s="37" customFormat="1" ht="13.15" x14ac:dyDescent="0.4">
      <c r="A309" s="100"/>
      <c r="B309" s="172" t="s">
        <v>284</v>
      </c>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c r="AA309" s="173"/>
      <c r="AB309" s="173"/>
      <c r="AC309" s="173"/>
      <c r="AD309" s="173"/>
      <c r="AE309" s="173"/>
      <c r="AF309" s="173"/>
      <c r="AG309" s="173"/>
      <c r="AH309" s="173"/>
      <c r="AI309" s="173"/>
      <c r="AJ309" s="173"/>
      <c r="AK309" s="173"/>
      <c r="AL309" s="173"/>
      <c r="AM309" s="173"/>
      <c r="AN309" s="173"/>
      <c r="AO309" s="173"/>
      <c r="AP309" s="173"/>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O309" s="174" t="s">
        <v>284</v>
      </c>
      <c r="BP309" s="175"/>
      <c r="BQ309" s="175"/>
      <c r="BR309" s="175"/>
      <c r="BS309" s="175"/>
      <c r="BT309" s="175"/>
      <c r="BV309" s="174" t="s">
        <v>284</v>
      </c>
      <c r="BW309" s="175"/>
      <c r="BX309" s="175"/>
      <c r="BY309" s="175"/>
      <c r="BZ309" s="175"/>
      <c r="CA309" s="175"/>
      <c r="CC309" s="174" t="s">
        <v>284</v>
      </c>
      <c r="CD309" s="175"/>
      <c r="CE309" s="175"/>
      <c r="CF309" s="175"/>
      <c r="CG309" s="175"/>
      <c r="CH309" s="175"/>
      <c r="CJ309" s="174" t="s">
        <v>284</v>
      </c>
      <c r="CK309" s="175"/>
      <c r="CL309" s="175"/>
      <c r="CM309" s="175"/>
      <c r="CN309" s="175"/>
      <c r="CO309" s="175"/>
      <c r="CQ309" s="174" t="s">
        <v>284</v>
      </c>
      <c r="CR309" s="175"/>
      <c r="CS309" s="175"/>
      <c r="CT309" s="175"/>
      <c r="CU309" s="175"/>
      <c r="CV309" s="175"/>
      <c r="CX309" s="174" t="s">
        <v>284</v>
      </c>
      <c r="CY309" s="175"/>
      <c r="CZ309" s="175"/>
      <c r="DA309" s="175"/>
      <c r="DB309" s="175"/>
      <c r="DC309" s="175"/>
      <c r="DE309" s="174" t="s">
        <v>284</v>
      </c>
      <c r="DF309" s="175"/>
      <c r="DG309" s="175"/>
      <c r="DH309" s="175"/>
      <c r="DI309" s="175"/>
      <c r="DJ309" s="175"/>
      <c r="DL309" s="174" t="s">
        <v>284</v>
      </c>
      <c r="DM309" s="175"/>
      <c r="DN309" s="175"/>
      <c r="DO309" s="175"/>
      <c r="DP309" s="175"/>
      <c r="DQ309" s="175"/>
      <c r="DS309" s="174" t="s">
        <v>284</v>
      </c>
      <c r="DT309" s="175"/>
      <c r="DU309" s="175"/>
      <c r="DV309" s="175"/>
      <c r="DW309" s="175"/>
      <c r="DX309" s="175"/>
      <c r="DZ309" s="174" t="s">
        <v>284</v>
      </c>
      <c r="EA309" s="175"/>
      <c r="EB309" s="175"/>
      <c r="EC309" s="175"/>
      <c r="ED309" s="175"/>
      <c r="EE309" s="175"/>
      <c r="EG309" s="174" t="s">
        <v>284</v>
      </c>
      <c r="EH309" s="175"/>
      <c r="EI309" s="175"/>
      <c r="EJ309" s="175"/>
      <c r="EK309" s="175"/>
      <c r="EL309" s="175"/>
      <c r="EN309" s="174" t="s">
        <v>284</v>
      </c>
      <c r="EO309" s="175"/>
      <c r="EP309" s="175"/>
      <c r="EQ309" s="175"/>
      <c r="ER309" s="175"/>
      <c r="ES309" s="175"/>
      <c r="EU309" s="174" t="s">
        <v>284</v>
      </c>
      <c r="EV309" s="175"/>
      <c r="EW309" s="175"/>
      <c r="EX309" s="175"/>
      <c r="EY309" s="175"/>
      <c r="EZ309" s="175"/>
      <c r="FB309" s="174" t="s">
        <v>284</v>
      </c>
      <c r="FC309" s="175"/>
      <c r="FD309" s="175"/>
      <c r="FE309" s="175"/>
      <c r="FF309" s="175"/>
      <c r="FG309" s="175"/>
      <c r="FI309" s="174" t="s">
        <v>284</v>
      </c>
      <c r="FJ309" s="175"/>
      <c r="FK309" s="175"/>
      <c r="FL309" s="175"/>
      <c r="FM309" s="175"/>
      <c r="FN309" s="175"/>
      <c r="FP309" s="174" t="s">
        <v>284</v>
      </c>
      <c r="FQ309" s="175"/>
      <c r="FR309" s="175"/>
      <c r="FS309" s="175"/>
      <c r="FT309" s="175"/>
      <c r="FU309" s="175"/>
      <c r="FW309" s="174" t="s">
        <v>284</v>
      </c>
      <c r="FX309" s="175"/>
      <c r="FY309" s="175"/>
      <c r="FZ309" s="175"/>
      <c r="GA309" s="175"/>
      <c r="GB309" s="175"/>
      <c r="GD309" s="174" t="s">
        <v>284</v>
      </c>
      <c r="GE309" s="175"/>
      <c r="GF309" s="175"/>
      <c r="GG309" s="175"/>
      <c r="GH309" s="175"/>
      <c r="GI309" s="175"/>
      <c r="GK309" s="174" t="s">
        <v>284</v>
      </c>
      <c r="GL309" s="175"/>
      <c r="GM309" s="175"/>
      <c r="GN309" s="175"/>
      <c r="GO309" s="175"/>
      <c r="GP309" s="175"/>
      <c r="GR309" s="174" t="s">
        <v>284</v>
      </c>
      <c r="GS309" s="175"/>
      <c r="GT309" s="175"/>
      <c r="GU309" s="175"/>
      <c r="GV309" s="175"/>
      <c r="GW309" s="175"/>
      <c r="GY309" s="174" t="s">
        <v>284</v>
      </c>
      <c r="GZ309" s="175"/>
      <c r="HA309" s="175"/>
      <c r="HB309" s="175"/>
      <c r="HC309" s="175"/>
      <c r="HD309" s="175"/>
      <c r="HF309" s="174" t="s">
        <v>284</v>
      </c>
      <c r="HG309" s="175"/>
      <c r="HH309" s="175"/>
      <c r="HI309" s="175"/>
      <c r="HJ309" s="175"/>
      <c r="HK309" s="175"/>
      <c r="HM309" s="174" t="s">
        <v>284</v>
      </c>
      <c r="HN309" s="175"/>
      <c r="HO309" s="175"/>
      <c r="HP309" s="175"/>
      <c r="HQ309" s="175"/>
      <c r="HR309" s="175"/>
      <c r="HT309" s="174" t="s">
        <v>284</v>
      </c>
      <c r="HU309" s="175"/>
      <c r="HV309" s="175"/>
      <c r="HW309" s="175"/>
      <c r="HX309" s="175"/>
      <c r="HY309" s="175"/>
      <c r="IA309" s="174" t="s">
        <v>284</v>
      </c>
      <c r="IB309" s="175"/>
      <c r="IC309" s="175"/>
      <c r="ID309" s="175"/>
      <c r="IE309" s="175"/>
      <c r="IF309" s="175"/>
      <c r="IH309" s="174" t="s">
        <v>284</v>
      </c>
      <c r="II309" s="175"/>
      <c r="IJ309" s="175"/>
      <c r="IK309" s="175"/>
      <c r="IL309" s="175"/>
      <c r="IM309" s="175"/>
      <c r="IO309" s="174" t="s">
        <v>284</v>
      </c>
      <c r="IP309" s="175"/>
      <c r="IQ309" s="175"/>
      <c r="IR309" s="175"/>
      <c r="IS309" s="175"/>
      <c r="IT309" s="175"/>
      <c r="IV309" s="174" t="s">
        <v>284</v>
      </c>
      <c r="IW309" s="175"/>
      <c r="IX309" s="175"/>
      <c r="IY309" s="175"/>
      <c r="IZ309" s="175"/>
      <c r="JA309" s="175"/>
      <c r="JC309" s="174" t="s">
        <v>284</v>
      </c>
      <c r="JD309" s="175"/>
      <c r="JE309" s="175"/>
      <c r="JF309" s="175"/>
      <c r="JG309" s="175"/>
      <c r="JH309" s="175"/>
      <c r="JJ309" s="174" t="s">
        <v>284</v>
      </c>
      <c r="JK309" s="175"/>
      <c r="JL309" s="175"/>
      <c r="JM309" s="175"/>
      <c r="JN309" s="175"/>
      <c r="JO309" s="175"/>
      <c r="JQ309" s="174" t="s">
        <v>284</v>
      </c>
      <c r="JR309" s="175"/>
      <c r="JS309" s="175"/>
      <c r="JT309" s="175"/>
      <c r="JU309" s="175"/>
      <c r="JV309" s="175"/>
      <c r="JX309" s="174" t="s">
        <v>284</v>
      </c>
      <c r="JY309" s="175"/>
      <c r="JZ309" s="175"/>
      <c r="KA309" s="175"/>
      <c r="KB309" s="175"/>
      <c r="KC309" s="175"/>
      <c r="KE309" s="174" t="s">
        <v>284</v>
      </c>
      <c r="KF309" s="175"/>
      <c r="KG309" s="175"/>
      <c r="KH309" s="175"/>
      <c r="KI309" s="175"/>
      <c r="KJ309" s="175"/>
      <c r="KL309" s="174" t="s">
        <v>284</v>
      </c>
      <c r="KM309" s="175"/>
      <c r="KN309" s="175"/>
      <c r="KO309" s="175"/>
      <c r="KP309" s="175"/>
      <c r="KQ309" s="175"/>
      <c r="KS309" s="174" t="s">
        <v>284</v>
      </c>
      <c r="KT309" s="175"/>
      <c r="KU309" s="175"/>
      <c r="KV309" s="173"/>
      <c r="KW309" s="173"/>
      <c r="KX309" s="175"/>
      <c r="KZ309" s="220" t="s">
        <v>284</v>
      </c>
      <c r="LA309" s="175"/>
      <c r="LB309" s="175"/>
      <c r="LC309" s="175"/>
      <c r="LD309" s="173"/>
      <c r="LE309" s="175"/>
      <c r="LF309" s="555"/>
      <c r="LG309" s="172" t="s">
        <v>284</v>
      </c>
      <c r="LH309" s="175"/>
      <c r="LI309" s="175"/>
      <c r="LJ309" s="175"/>
      <c r="LK309" s="175"/>
      <c r="LL309" s="175"/>
      <c r="LM309" s="555"/>
      <c r="LN309" s="172" t="s">
        <v>284</v>
      </c>
      <c r="LO309" s="175"/>
      <c r="LP309" s="175"/>
      <c r="LQ309" s="175"/>
      <c r="LR309" s="175"/>
      <c r="LS309" s="175"/>
      <c r="LT309" s="555"/>
      <c r="LU309" s="172" t="s">
        <v>284</v>
      </c>
      <c r="LV309" s="175"/>
      <c r="LW309" s="175"/>
      <c r="LX309" s="175"/>
      <c r="LY309" s="175"/>
      <c r="LZ309" s="175"/>
      <c r="MA309" s="555"/>
      <c r="MB309" s="172" t="s">
        <v>284</v>
      </c>
      <c r="MC309" s="175"/>
      <c r="MD309" s="175"/>
      <c r="ME309" s="175"/>
      <c r="MF309" s="175"/>
      <c r="MG309" s="175"/>
      <c r="MH309" s="555"/>
    </row>
    <row r="310" spans="1:346" s="37" customFormat="1" ht="13.15" x14ac:dyDescent="0.4">
      <c r="A310" s="100"/>
      <c r="B310" s="157" t="s">
        <v>285</v>
      </c>
      <c r="C310" s="158"/>
      <c r="D310" s="158"/>
      <c r="E310" s="158"/>
      <c r="F310" s="158"/>
      <c r="G310" s="158"/>
      <c r="H310" s="158"/>
      <c r="I310" s="158"/>
      <c r="J310" s="158">
        <f>+J301/J80*1000000</f>
        <v>24813.735017816649</v>
      </c>
      <c r="K310" s="158">
        <f>+K301/K80*1000000</f>
        <v>26182.316655243318</v>
      </c>
      <c r="L310" s="158">
        <f>+L301/L80*1000000</f>
        <v>26981.505944517834</v>
      </c>
      <c r="M310" s="158">
        <f>+M301/M80*1000000</f>
        <v>27581.656219069613</v>
      </c>
      <c r="N310" s="158">
        <f>BT310</f>
        <v>30462.184873949576</v>
      </c>
      <c r="O310" s="158">
        <f>CA310</f>
        <v>29475.982532751092</v>
      </c>
      <c r="P310" s="158">
        <f>CH310</f>
        <v>32109.721661960466</v>
      </c>
      <c r="Q310" s="158">
        <f>CO310</f>
        <v>30720.756203229619</v>
      </c>
      <c r="R310" s="158">
        <f>CV310</f>
        <v>32992.036405005689</v>
      </c>
      <c r="S310" s="158">
        <f>DC310</f>
        <v>32084.225553176304</v>
      </c>
      <c r="T310" s="158">
        <f>DJ310</f>
        <v>32495.697074010328</v>
      </c>
      <c r="U310" s="158">
        <f>DQ310</f>
        <v>32189.141856392296</v>
      </c>
      <c r="V310" s="158">
        <f>DX310</f>
        <v>32740.094022834113</v>
      </c>
      <c r="W310" s="158">
        <f>EE310</f>
        <v>33757.535164099128</v>
      </c>
      <c r="X310" s="158">
        <f>EL310</f>
        <v>37132.680320569896</v>
      </c>
      <c r="Y310" s="158">
        <f>ES310</f>
        <v>39789.233836513813</v>
      </c>
      <c r="Z310" s="158">
        <f>EZ310</f>
        <v>40512.820512820515</v>
      </c>
      <c r="AA310" s="158">
        <f>FG310</f>
        <v>40504.807692307695</v>
      </c>
      <c r="AB310" s="158">
        <f>FN310</f>
        <v>41281.451141018137</v>
      </c>
      <c r="AC310" s="158">
        <f>FU310</f>
        <v>41499.713795077274</v>
      </c>
      <c r="AD310" s="158">
        <f>GB310</f>
        <v>40521.327014218012</v>
      </c>
      <c r="AE310" s="158">
        <f>GI310</f>
        <v>42348.646181928809</v>
      </c>
      <c r="AF310" s="158">
        <f>GP310</f>
        <v>43048.04327076042</v>
      </c>
      <c r="AG310" s="158">
        <f>GW310</f>
        <v>45798.611111111117</v>
      </c>
      <c r="AH310" s="158">
        <f>HD310</f>
        <v>50000</v>
      </c>
      <c r="AI310" s="158">
        <f>HK310</f>
        <v>49961.36012364761</v>
      </c>
      <c r="AJ310" s="158">
        <f>HR310</f>
        <v>49208.741522230594</v>
      </c>
      <c r="AK310" s="158">
        <f>HY310</f>
        <v>49175.412293853071</v>
      </c>
      <c r="AL310" s="158">
        <f>IF310</f>
        <v>49601.737871107893</v>
      </c>
      <c r="AM310" s="158">
        <f>IM310</f>
        <v>50682.128240109138</v>
      </c>
      <c r="AN310" s="158">
        <f>IT310</f>
        <v>50664.335664335667</v>
      </c>
      <c r="AO310" s="158">
        <f>JA310</f>
        <v>48037.116345467519</v>
      </c>
      <c r="AP310" s="158">
        <f>JH310</f>
        <v>45891.9319022946</v>
      </c>
      <c r="AQ310" s="158">
        <f>JO310</f>
        <v>47444.444444444445</v>
      </c>
      <c r="AR310" s="158">
        <f>JV310</f>
        <v>47284.817140746207</v>
      </c>
      <c r="AS310" s="158">
        <f>KC310</f>
        <v>49072.978303747535</v>
      </c>
      <c r="AT310" s="158">
        <f>KJ310</f>
        <v>49124.854142357064</v>
      </c>
      <c r="AU310" s="158">
        <f>KQ310</f>
        <v>49257.232212666146</v>
      </c>
      <c r="AV310" s="158">
        <f>KX310</f>
        <v>48836.322014498284</v>
      </c>
      <c r="AW310" s="158">
        <f>LE310</f>
        <v>49018.126888217528</v>
      </c>
      <c r="AX310" s="158">
        <f>LL310</f>
        <v>50192.75250578257</v>
      </c>
      <c r="AY310" s="158">
        <f>LS310</f>
        <v>50192.983329577539</v>
      </c>
      <c r="AZ310" s="158">
        <f>LZ310</f>
        <v>50193.062038258984</v>
      </c>
      <c r="BA310" s="158">
        <f>MG310</f>
        <v>50193.285688653712</v>
      </c>
      <c r="BB310" s="158"/>
      <c r="BC310" s="158"/>
      <c r="BD310" s="158"/>
      <c r="BE310" s="158"/>
      <c r="BF310" s="158"/>
      <c r="BG310" s="158"/>
      <c r="BH310" s="158"/>
      <c r="BI310" s="158"/>
      <c r="BJ310" s="158"/>
      <c r="BK310" s="158"/>
      <c r="BL310" s="158"/>
      <c r="BM310" s="158"/>
      <c r="BO310" s="159" t="s">
        <v>285</v>
      </c>
      <c r="BP310" s="158">
        <f>+BP301/BP80*1000000</f>
        <v>34106.412005457023</v>
      </c>
      <c r="BQ310" s="158">
        <f>+BQ301/BQ80*1000000</f>
        <v>29222.520107238604</v>
      </c>
      <c r="BR310" s="158">
        <f>+BR301/BR80*1000000</f>
        <v>27714.285714285714</v>
      </c>
      <c r="BS310" s="158">
        <f>+BS301/BS80*1000000</f>
        <v>30723.781388478586</v>
      </c>
      <c r="BT310" s="158">
        <f>+BT301/BT80*1000000</f>
        <v>30462.184873949576</v>
      </c>
      <c r="BV310" s="159" t="s">
        <v>285</v>
      </c>
      <c r="BW310" s="158">
        <f>+BW301/BW80*1000000</f>
        <v>29619.181946403383</v>
      </c>
      <c r="BX310" s="158">
        <f>+BX301/BX80*1000000</f>
        <v>29224.376731301942</v>
      </c>
      <c r="BY310" s="158">
        <f>+BY301/BY80*1000000</f>
        <v>28208.955223880595</v>
      </c>
      <c r="BZ310" s="158">
        <f>+BZ301/BZ80*1000000</f>
        <v>30911.901081916538</v>
      </c>
      <c r="CA310" s="158">
        <f>+CA301/CA80*1000000</f>
        <v>29475.982532751092</v>
      </c>
      <c r="CC310" s="159" t="s">
        <v>285</v>
      </c>
      <c r="CD310" s="158">
        <f>+CD301/CD80*1000000</f>
        <v>33061.889250814333</v>
      </c>
      <c r="CE310" s="158">
        <f>+CE301/CE80*1000000</f>
        <v>32414.910858995136</v>
      </c>
      <c r="CF310" s="158">
        <f>+CF301/CF80*1000000</f>
        <v>30856.219709208406</v>
      </c>
      <c r="CG310" s="158">
        <f>+CG301/CG80*1000000</f>
        <v>32114.467408585057</v>
      </c>
      <c r="CH310" s="158">
        <f>+CH301/CH80*1000000</f>
        <v>32109.721661960466</v>
      </c>
      <c r="CJ310" s="159" t="s">
        <v>285</v>
      </c>
      <c r="CK310" s="158">
        <f>+CK301/CK80*1000000</f>
        <v>31840</v>
      </c>
      <c r="CL310" s="158">
        <f>+CL301/CL80*1000000</f>
        <v>29230.76923076923</v>
      </c>
      <c r="CM310" s="158">
        <f>+CM301/CM80*1000000</f>
        <v>30632.090761750402</v>
      </c>
      <c r="CN310" s="158">
        <f>+CN301/CN80*1000000</f>
        <v>31221.020092735704</v>
      </c>
      <c r="CO310" s="158">
        <f>+CO301/CO80*1000000</f>
        <v>30720.756203229619</v>
      </c>
      <c r="CQ310" s="159" t="s">
        <v>285</v>
      </c>
      <c r="CR310" s="158">
        <f>+CR301/CR80*1000000</f>
        <v>33489.096573208721</v>
      </c>
      <c r="CS310" s="158">
        <f>+CS301/CS80*1000000</f>
        <v>32537.313432835821</v>
      </c>
      <c r="CT310" s="158">
        <f>+CT301/CT80*1000000</f>
        <v>32049.30662557781</v>
      </c>
      <c r="CU310" s="158">
        <f>+CU301/CU80*1000000</f>
        <v>33875.73964497041</v>
      </c>
      <c r="CV310" s="158">
        <f>+CV301/CV80*1000000</f>
        <v>32992.036405005689</v>
      </c>
      <c r="CX310" s="159" t="s">
        <v>285</v>
      </c>
      <c r="CY310" s="158">
        <f>+CY301/CY80*1000000</f>
        <v>32890.855457227139</v>
      </c>
      <c r="CZ310" s="158">
        <f>+CZ301/CZ80*1000000</f>
        <v>31944.444444444442</v>
      </c>
      <c r="DA310" s="158">
        <f>+DA301/DA80*1000000</f>
        <v>31494.920174165454</v>
      </c>
      <c r="DB310" s="158">
        <f>+DB301/DB80*1000000</f>
        <v>32027.972027972028</v>
      </c>
      <c r="DC310" s="158">
        <f>+DC301/DC80*1000000</f>
        <v>32084.225553176304</v>
      </c>
      <c r="DE310" s="159" t="s">
        <v>285</v>
      </c>
      <c r="DF310" s="158">
        <f>+DF301/DF80*1000000</f>
        <v>33424.657534246573</v>
      </c>
      <c r="DG310" s="158">
        <f>+DG301/DG80*1000000</f>
        <v>32027.027027027027</v>
      </c>
      <c r="DH310" s="158">
        <f>+DH301/DH80*1000000</f>
        <v>31792.717086834731</v>
      </c>
      <c r="DI310" s="158">
        <f>+DI301/DI80*1000000</f>
        <v>32732.316227461859</v>
      </c>
      <c r="DJ310" s="158">
        <f>+DJ301/DJ80*1000000</f>
        <v>32495.697074010328</v>
      </c>
      <c r="DL310" s="159" t="s">
        <v>285</v>
      </c>
      <c r="DM310" s="158">
        <f>+DM301/DM80*1000000</f>
        <v>33618.233618233622</v>
      </c>
      <c r="DN310" s="158">
        <f>+DN301/DN80*1000000</f>
        <v>32010.9439124487</v>
      </c>
      <c r="DO310" s="158">
        <f>+DO301/DO80*1000000</f>
        <v>30921.985815602839</v>
      </c>
      <c r="DP310" s="158">
        <f>+DP301/DP80*1000000</f>
        <v>32217.573221757328</v>
      </c>
      <c r="DQ310" s="158">
        <f>+DQ301/DQ80*1000000</f>
        <v>32189.141856392296</v>
      </c>
      <c r="DS310" s="159" t="s">
        <v>285</v>
      </c>
      <c r="DT310" s="158">
        <f>+DT301/DT80*1000000</f>
        <v>33333.333333333336</v>
      </c>
      <c r="DU310" s="158">
        <f>+DU301/DU80*1000000</f>
        <v>32628.797886393662</v>
      </c>
      <c r="DV310" s="158">
        <f>+DV301/DV80*1000000</f>
        <v>31917.808219178085</v>
      </c>
      <c r="DW310" s="158">
        <f>+DW301/DW80*1000000</f>
        <v>33070.86614173228</v>
      </c>
      <c r="DX310" s="158">
        <f>+DX301/DX80*1000000</f>
        <v>32740.094022834113</v>
      </c>
      <c r="DZ310" s="159" t="s">
        <v>285</v>
      </c>
      <c r="EA310" s="158">
        <f>+EA301/EA80*1000000</f>
        <v>34270.414993306564</v>
      </c>
      <c r="EB310" s="158">
        <f>+EB301/EB80*1000000</f>
        <v>32522.407170294489</v>
      </c>
      <c r="EC310" s="158">
        <f>+EC301/EC80*1000000</f>
        <v>34170.153417015339</v>
      </c>
      <c r="ED310" s="158">
        <f>+ED301/ED80*1000000</f>
        <v>34005.37634408602</v>
      </c>
      <c r="EE310" s="158">
        <f>+EE301/EE80*1000000</f>
        <v>33757.535164099128</v>
      </c>
      <c r="EG310" s="159" t="s">
        <v>285</v>
      </c>
      <c r="EH310" s="158">
        <f>+EH301/EH80*1000000</f>
        <v>33537.331701346389</v>
      </c>
      <c r="EI310" s="158">
        <f>+EI301/EI80*1000000</f>
        <v>35519.801980198019</v>
      </c>
      <c r="EJ310" s="158">
        <f>+EJ301/EJ80*1000000</f>
        <v>38780.207134637523</v>
      </c>
      <c r="EK310" s="158">
        <f>+EK301/EK80*1000000</f>
        <v>39841.986455981933</v>
      </c>
      <c r="EL310" s="158">
        <f>+EL301/EL80*1000000</f>
        <v>37132.680320569896</v>
      </c>
      <c r="EN310" s="159" t="s">
        <v>285</v>
      </c>
      <c r="EO310" s="158">
        <f>+EO301/EO80*1000000</f>
        <v>40310.077519379847</v>
      </c>
      <c r="EP310" s="158">
        <f>+EP301/EP80*1000000</f>
        <v>39183.222958057391</v>
      </c>
      <c r="EQ310" s="158">
        <f>+EQ301/EQ80*1000000</f>
        <v>39929.742388758787</v>
      </c>
      <c r="ER310" s="158">
        <f>+ER301/ER80*1000000</f>
        <v>39740.566037735851</v>
      </c>
      <c r="ES310" s="158">
        <f>+ES301/ES80*1000000</f>
        <v>39789.233836513813</v>
      </c>
      <c r="EU310" s="159" t="s">
        <v>285</v>
      </c>
      <c r="EV310" s="158">
        <f>+EV301/EV80*1000000</f>
        <v>41766.109785202862</v>
      </c>
      <c r="EW310" s="158">
        <f>+EW301/EW80*1000000</f>
        <v>40307.32860520095</v>
      </c>
      <c r="EX310" s="158">
        <f>+EX301/EX80*1000000</f>
        <v>40221.402214022142</v>
      </c>
      <c r="EY310" s="158">
        <f>+EY301/EY80*1000000</f>
        <v>39731.051344743282</v>
      </c>
      <c r="EZ310" s="158">
        <f>+EZ301/EZ80*1000000</f>
        <v>40512.820512820515</v>
      </c>
      <c r="FB310" s="159" t="s">
        <v>285</v>
      </c>
      <c r="FC310" s="158">
        <f>+FC301/FC80*1000000</f>
        <v>41009.852216748761</v>
      </c>
      <c r="FD310" s="158">
        <f>+FD301/FD80*1000000</f>
        <v>40046.296296296292</v>
      </c>
      <c r="FE310" s="158">
        <f>+FE301/FE80*1000000</f>
        <v>40048.250904704466</v>
      </c>
      <c r="FF310" s="158">
        <f>+FF301/FF80*1000000</f>
        <v>40947.752126366955</v>
      </c>
      <c r="FG310" s="158">
        <f>+FG301/FG80*1000000</f>
        <v>40504.807692307695</v>
      </c>
      <c r="FI310" s="159" t="s">
        <v>285</v>
      </c>
      <c r="FJ310" s="158">
        <f>+FJ301/FJ80*1000000</f>
        <v>41816.009557945035</v>
      </c>
      <c r="FK310" s="158">
        <f>+FK301/FK80*1000000</f>
        <v>40046.296296296292</v>
      </c>
      <c r="FL310" s="158">
        <f>+FL301/FL80*1000000</f>
        <v>41696.11307420495</v>
      </c>
      <c r="FM310" s="158">
        <f>+FM301/FM80*1000000</f>
        <v>41589.861751152079</v>
      </c>
      <c r="FN310" s="158">
        <f>+FN301/FN80*1000000</f>
        <v>41281.451141018137</v>
      </c>
      <c r="FP310" s="159" t="s">
        <v>285</v>
      </c>
      <c r="FQ310" s="158">
        <f>+FQ301/FQ80*1000000</f>
        <v>42105.263157894733</v>
      </c>
      <c r="FR310" s="158">
        <f>+FR301/FR80*1000000</f>
        <v>39213.483146067418</v>
      </c>
      <c r="FS310" s="158">
        <f>+FS301/FS80*1000000</f>
        <v>41796.407185628741</v>
      </c>
      <c r="FT310" s="158">
        <f>+FT301/FT80*1000000</f>
        <v>42888.402625820578</v>
      </c>
      <c r="FU310" s="158">
        <f>+FU301/FU80*1000000</f>
        <v>41499.713795077274</v>
      </c>
      <c r="FW310" s="159" t="s">
        <v>285</v>
      </c>
      <c r="FX310" s="158">
        <f>+FX301/FX80*1000000</f>
        <v>39860.139860139861</v>
      </c>
      <c r="FY310" s="158">
        <f>+FY301/FY80*1000000</f>
        <v>40023.068050749709</v>
      </c>
      <c r="FZ310" s="158">
        <f>+FZ301/FZ80*1000000</f>
        <v>40216.08643457383</v>
      </c>
      <c r="GA310" s="158">
        <f>+GA301/GA80*1000000</f>
        <v>41687.041564792176</v>
      </c>
      <c r="GB310" s="158">
        <f>+GB301/GB80*1000000</f>
        <v>40521.327014218012</v>
      </c>
      <c r="GD310" s="159" t="s">
        <v>285</v>
      </c>
      <c r="GE310" s="158">
        <f>+GE301/GE80*1000000</f>
        <v>42086.330935251797</v>
      </c>
      <c r="GF310" s="158">
        <f>+GF301/GF80*1000000</f>
        <v>41500.586166471272</v>
      </c>
      <c r="GG310" s="158">
        <f>+GG301/GG80*1000000</f>
        <v>42558.425584255841</v>
      </c>
      <c r="GH310" s="158">
        <f>+GH301/GH80*1000000</f>
        <v>43202.033036848792</v>
      </c>
      <c r="GI310" s="158">
        <f>+GI301/GI80*1000000</f>
        <v>42348.646181928809</v>
      </c>
      <c r="GK310" s="159" t="s">
        <v>285</v>
      </c>
      <c r="GL310" s="158">
        <f>+GL301/GL80*1000000</f>
        <v>43112.244897959179</v>
      </c>
      <c r="GM310" s="158">
        <f>+GM301/GM80*1000000</f>
        <v>42579.075425790754</v>
      </c>
      <c r="GN310" s="158">
        <f>+GN301/GN80*1000000</f>
        <v>43059.125964010287</v>
      </c>
      <c r="GO310" s="158">
        <f>+GO301/GO80*1000000</f>
        <v>43346.508563899864</v>
      </c>
      <c r="GP310" s="158">
        <f>+GP301/GP80*1000000</f>
        <v>43048.04327076042</v>
      </c>
      <c r="GR310" s="159" t="s">
        <v>285</v>
      </c>
      <c r="GS310" s="158">
        <f>+GS301/GS80*1000000</f>
        <v>45442.359249329762</v>
      </c>
      <c r="GT310" s="158">
        <f>+GT301/GT80*1000000</f>
        <v>45383.615084525351</v>
      </c>
      <c r="GU310" s="158">
        <f>+GU301/GU80*1000000</f>
        <v>46174.863387978141</v>
      </c>
      <c r="GV310" s="158">
        <f>+GV301/GV80*1000000</f>
        <v>46603.475513428115</v>
      </c>
      <c r="GW310" s="158">
        <f>+GW301/GW80*1000000</f>
        <v>45798.611111111117</v>
      </c>
      <c r="GY310" s="159" t="s">
        <v>285</v>
      </c>
      <c r="GZ310" s="158">
        <f>+GZ301/GZ80*1000000</f>
        <v>54014.598540145984</v>
      </c>
      <c r="HA310" s="158">
        <f>+HA301/HA80*1000000</f>
        <v>50086.355785837652</v>
      </c>
      <c r="HB310" s="158">
        <f>+HB301/HB80*1000000</f>
        <v>49169.435215946847</v>
      </c>
      <c r="HC310" s="158">
        <f>+HC301/HC80*1000000</f>
        <v>48440.065681444998</v>
      </c>
      <c r="HD310" s="158">
        <f>+HD301/HD80*1000000</f>
        <v>50000</v>
      </c>
      <c r="HF310" s="159" t="s">
        <v>285</v>
      </c>
      <c r="HG310" s="158">
        <f>+HG301/HG80*1000000</f>
        <v>51223.49102773246</v>
      </c>
      <c r="HH310" s="158">
        <f>+HH301/HH80*1000000</f>
        <v>49013.657056145676</v>
      </c>
      <c r="HI310" s="158">
        <f>+HI301/HI80*1000000</f>
        <v>48989.113530326598</v>
      </c>
      <c r="HJ310" s="158">
        <f>+HJ301/HJ80*1000000</f>
        <v>50520.059435364041</v>
      </c>
      <c r="HK310" s="158">
        <f>+HK301/HK80*1000000</f>
        <v>49961.36012364761</v>
      </c>
      <c r="HM310" s="159" t="s">
        <v>285</v>
      </c>
      <c r="HN310" s="158">
        <f>+HN301/HN80*1000000</f>
        <v>49847.09480122324</v>
      </c>
      <c r="HO310" s="158">
        <f>+HO301/HO80*1000000</f>
        <v>49483.01329394387</v>
      </c>
      <c r="HP310" s="158">
        <f>+HP301/HP80*1000000</f>
        <v>48249.619482496193</v>
      </c>
      <c r="HQ310" s="158">
        <f>+HQ301/HQ80*1000000</f>
        <v>49099.099099099105</v>
      </c>
      <c r="HR310" s="158">
        <f>+HR301/HR80*1000000</f>
        <v>49208.741522230594</v>
      </c>
      <c r="HT310" s="159" t="s">
        <v>285</v>
      </c>
      <c r="HU310" s="158">
        <f>+HU301/HU80*1000000</f>
        <v>50372.578241430696</v>
      </c>
      <c r="HV310" s="158">
        <f>+HV301/HV80*1000000</f>
        <v>48970.588235294112</v>
      </c>
      <c r="HW310" s="158">
        <f>+HW301/HW80*1000000</f>
        <v>48396.946564885497</v>
      </c>
      <c r="HX310" s="158">
        <f>+HX301/HX80*1000000</f>
        <v>48942.598187311174</v>
      </c>
      <c r="HY310" s="158">
        <f>+HY301/HY80*1000000</f>
        <v>49175.412293853071</v>
      </c>
      <c r="IA310" s="159" t="s">
        <v>285</v>
      </c>
      <c r="IB310" s="158">
        <f>+IB301/IB80*1000000</f>
        <v>49999.999999999993</v>
      </c>
      <c r="IC310" s="158">
        <f>+IC301/IC80*1000000</f>
        <v>48575.498575498576</v>
      </c>
      <c r="ID310" s="158">
        <f>+ID301/ID80*1000000</f>
        <v>48326.055312954879</v>
      </c>
      <c r="IE310" s="158">
        <f>+IE301/IE80*1000000</f>
        <v>51485.148514851484</v>
      </c>
      <c r="IF310" s="158">
        <f>+IF301/IF80*1000000</f>
        <v>49601.737871107893</v>
      </c>
      <c r="IH310" s="159" t="s">
        <v>285</v>
      </c>
      <c r="II310" s="158">
        <f>+II301/II80*1000000</f>
        <v>51911.76470588235</v>
      </c>
      <c r="IJ310" s="158">
        <f>+IJ301/IJ80*1000000</f>
        <v>50000</v>
      </c>
      <c r="IK310" s="158">
        <f>+IK301/IK80*1000000</f>
        <v>49999.999999999993</v>
      </c>
      <c r="IL310" s="158">
        <f>+IL301/IL80*1000000</f>
        <v>50940.860215053763</v>
      </c>
      <c r="IM310" s="158">
        <f>+IM301/IM80*1000000</f>
        <v>50682.128240109138</v>
      </c>
      <c r="IO310" s="159" t="s">
        <v>285</v>
      </c>
      <c r="IP310" s="158">
        <f>+IP301/IP80*1000000</f>
        <v>52243.125904486253</v>
      </c>
      <c r="IQ310" s="158">
        <f>+IQ301/IQ80*1000000</f>
        <v>49662.618083670714</v>
      </c>
      <c r="IR310" s="158">
        <f>+IR301/IR80*1000000</f>
        <v>50277.777777777781</v>
      </c>
      <c r="IS310" s="158">
        <f>+IS301/IS80*1000000</f>
        <v>50564.971751412428</v>
      </c>
      <c r="IT310" s="158">
        <f>+IT301/IT80*1000000</f>
        <v>50664.335664335667</v>
      </c>
      <c r="IV310" s="159" t="s">
        <v>285</v>
      </c>
      <c r="IW310" s="158">
        <f>+IW301/IW80*1000000</f>
        <v>50222.882615156013</v>
      </c>
      <c r="IX310" s="158">
        <f>+IX301/IX80*1000000</f>
        <v>47308.781869688384</v>
      </c>
      <c r="IY310" s="158">
        <f>+IY301/IY80*1000000</f>
        <v>47084.548104956266</v>
      </c>
      <c r="IZ310" s="158">
        <f>+IZ301/IZ80*1000000</f>
        <v>47761.194029850747</v>
      </c>
      <c r="JA310" s="158">
        <f>+JA301/JA80*1000000</f>
        <v>48037.116345467519</v>
      </c>
      <c r="JC310" s="159" t="s">
        <v>285</v>
      </c>
      <c r="JD310" s="158">
        <f>+JD301/JD80*1000000</f>
        <v>45493.562231759657</v>
      </c>
      <c r="JE310" s="158">
        <f>+JE301/JE80*1000000</f>
        <v>44956.772334293943</v>
      </c>
      <c r="JF310" s="158">
        <f>+JF301/JF80*1000000</f>
        <v>45622.1198156682</v>
      </c>
      <c r="JG310" s="158">
        <f>+JG301/JG80*1000000</f>
        <v>47568.389057750755</v>
      </c>
      <c r="JH310" s="158">
        <f>+JH301/JH80*1000000</f>
        <v>45891.9319022946</v>
      </c>
      <c r="JJ310" s="159" t="s">
        <v>285</v>
      </c>
      <c r="JK310" s="158">
        <f>+JK301/JK80*1000000</f>
        <v>48909.657320872269</v>
      </c>
      <c r="JL310" s="158">
        <f>+JL301/JL80*1000000</f>
        <v>47605.224963715526</v>
      </c>
      <c r="JM310" s="158">
        <f>+JM301/JM80*1000000</f>
        <v>46852.12298682284</v>
      </c>
      <c r="JN310" s="158">
        <f>+JN301/JN80*1000000</f>
        <v>46501.457725947519</v>
      </c>
      <c r="JO310" s="158">
        <f>+JO301/JO80*1000000</f>
        <v>47444.444444444445</v>
      </c>
      <c r="JQ310" s="159" t="s">
        <v>285</v>
      </c>
      <c r="JR310" s="158">
        <f>+JR301/JR80*1000000</f>
        <v>47734.138972809669</v>
      </c>
      <c r="JS310" s="158">
        <f>+JS301/JS80*1000000</f>
        <v>47345.767575322818</v>
      </c>
      <c r="JT310" s="158">
        <f>+JT301/JT80*1000000</f>
        <v>46998.535871156659</v>
      </c>
      <c r="JU310" s="158">
        <f>+JU301/JU80*1000000</f>
        <v>47067.669172932336</v>
      </c>
      <c r="JV310" s="158">
        <f>+JV301/JV80*1000000</f>
        <v>47284.817140746207</v>
      </c>
      <c r="JX310" s="159" t="s">
        <v>285</v>
      </c>
      <c r="JY310" s="158">
        <f>+JY301/JY80*1000000</f>
        <v>49182.763744427932</v>
      </c>
      <c r="JZ310" s="158">
        <f>+JZ301/JZ80*1000000</f>
        <v>51102.941176470587</v>
      </c>
      <c r="KA310" s="158">
        <f>+KA301/KA80*1000000</f>
        <v>47692.307692307695</v>
      </c>
      <c r="KB310" s="158">
        <f>+KB301/KB80*1000000</f>
        <v>48652.694610778446</v>
      </c>
      <c r="KC310" s="158">
        <f>+KC301/KC80*1000000</f>
        <v>49072.978303747535</v>
      </c>
      <c r="KE310" s="159" t="s">
        <v>285</v>
      </c>
      <c r="KF310" s="158">
        <f>+KF301/KF80*1000000</f>
        <v>49603.803486529316</v>
      </c>
      <c r="KG310" s="158">
        <f>+KG301/KG80*1000000</f>
        <v>48932.926829268297</v>
      </c>
      <c r="KH310" s="158">
        <f>+KH301/KH80*1000000</f>
        <v>48200.312989045386</v>
      </c>
      <c r="KI310" s="158">
        <f>+KI301/KI80*1000000</f>
        <v>49767.441860465122</v>
      </c>
      <c r="KJ310" s="158">
        <f>+KJ301/KJ80*1000000</f>
        <v>49124.854142357064</v>
      </c>
      <c r="KL310" s="159" t="s">
        <v>285</v>
      </c>
      <c r="KM310" s="158">
        <f>+KM301/KM80*1000000</f>
        <v>50241.545893719805</v>
      </c>
      <c r="KN310" s="158">
        <f>+KN301/KN80*1000000</f>
        <v>48858.447488584476</v>
      </c>
      <c r="KO310" s="158">
        <f>+KO301/KO80*1000000</f>
        <v>48919.753086419747</v>
      </c>
      <c r="KP310" s="158">
        <f>+KP301/KP80*1000000</f>
        <v>49050.6329113924</v>
      </c>
      <c r="KQ310" s="158">
        <f>+KQ301/KQ80*1000000</f>
        <v>49257.232212666146</v>
      </c>
      <c r="KS310" s="159" t="s">
        <v>285</v>
      </c>
      <c r="KT310" s="158">
        <f>+KT301/KT80*1000000</f>
        <v>49922.720247295205</v>
      </c>
      <c r="KU310" s="158">
        <f>+KU301/KU80*1000000</f>
        <v>47710.48744460856</v>
      </c>
      <c r="KV310" s="158">
        <f>+KV301/KV80*1000000</f>
        <v>48228.043143297378</v>
      </c>
      <c r="KW310" s="158">
        <f>+KW301/KW80*1000000</f>
        <v>49537.037037037036</v>
      </c>
      <c r="KX310" s="158">
        <f>+KX301/KX80*1000000</f>
        <v>48836.322014498284</v>
      </c>
      <c r="KZ310" s="159" t="s">
        <v>285</v>
      </c>
      <c r="LA310" s="158">
        <f>+LA301/LA80*1000000</f>
        <v>49612.403100775191</v>
      </c>
      <c r="LB310" s="158">
        <f>+LB301/LB80*1000000</f>
        <v>47877.013177159599</v>
      </c>
      <c r="LC310" s="176">
        <f t="shared" ref="LC310:LE310" si="7072">+LC301/LC80*1000000</f>
        <v>48507.462686567167</v>
      </c>
      <c r="LD310" s="176">
        <f t="shared" si="7072"/>
        <v>50153.846153846156</v>
      </c>
      <c r="LE310" s="158">
        <f t="shared" si="7072"/>
        <v>49018.126888217528</v>
      </c>
      <c r="LF310" s="568"/>
      <c r="LG310" s="157" t="s">
        <v>285</v>
      </c>
      <c r="LH310" s="176">
        <f t="shared" ref="LH310:LL310" si="7073">+LH301/LH80*1000000</f>
        <v>51269.841269841265</v>
      </c>
      <c r="LI310" s="176">
        <f t="shared" si="7073"/>
        <v>49552.238805970148</v>
      </c>
      <c r="LJ310" s="176">
        <f>+LJ301/LJ80*1000000</f>
        <v>49696.969696969689</v>
      </c>
      <c r="LK310" s="176">
        <f t="shared" si="7073"/>
        <v>50315.457413249205</v>
      </c>
      <c r="LL310" s="158">
        <f t="shared" si="7073"/>
        <v>50192.75250578257</v>
      </c>
      <c r="LM310" s="568"/>
      <c r="LN310" s="157" t="s">
        <v>285</v>
      </c>
      <c r="LO310" s="176">
        <f t="shared" ref="LO310:LS310" si="7074">+LO301/LO80*1000000</f>
        <v>51269.841269841265</v>
      </c>
      <c r="LP310" s="176">
        <f t="shared" si="7074"/>
        <v>49552.238805970148</v>
      </c>
      <c r="LQ310" s="176">
        <f t="shared" si="7074"/>
        <v>49696.969696969696</v>
      </c>
      <c r="LR310" s="176">
        <f t="shared" si="7074"/>
        <v>50315.457413249205</v>
      </c>
      <c r="LS310" s="158">
        <f t="shared" si="7074"/>
        <v>50192.983329577539</v>
      </c>
      <c r="LT310" s="568"/>
      <c r="LU310" s="157" t="s">
        <v>285</v>
      </c>
      <c r="LV310" s="176">
        <f t="shared" ref="LV310:LZ310" si="7075">+LV301/LV80*1000000</f>
        <v>51269.841269841265</v>
      </c>
      <c r="LW310" s="176">
        <f t="shared" si="7075"/>
        <v>49552.238805970163</v>
      </c>
      <c r="LX310" s="176">
        <f t="shared" si="7075"/>
        <v>49696.969696969689</v>
      </c>
      <c r="LY310" s="176">
        <f t="shared" si="7075"/>
        <v>50315.457413249205</v>
      </c>
      <c r="LZ310" s="158">
        <f t="shared" si="7075"/>
        <v>50193.062038258984</v>
      </c>
      <c r="MA310" s="568"/>
      <c r="MB310" s="157" t="s">
        <v>285</v>
      </c>
      <c r="MC310" s="176">
        <f t="shared" ref="MC310:MG310" si="7076">+MC301/MC80*1000000</f>
        <v>51269.841269841272</v>
      </c>
      <c r="MD310" s="176">
        <f t="shared" si="7076"/>
        <v>49552.238805970163</v>
      </c>
      <c r="ME310" s="176">
        <f t="shared" si="7076"/>
        <v>49696.969696969689</v>
      </c>
      <c r="MF310" s="176">
        <f t="shared" si="7076"/>
        <v>50315.457413249205</v>
      </c>
      <c r="MG310" s="158">
        <f t="shared" si="7076"/>
        <v>50193.285688653712</v>
      </c>
      <c r="MH310" s="568"/>
    </row>
    <row r="311" spans="1:346" s="37" customFormat="1" ht="13.15" x14ac:dyDescent="0.4">
      <c r="A311" s="100"/>
      <c r="B311" s="157" t="s">
        <v>287</v>
      </c>
      <c r="C311" s="158"/>
      <c r="D311" s="158"/>
      <c r="E311" s="158"/>
      <c r="F311" s="158"/>
      <c r="G311" s="158"/>
      <c r="H311" s="158"/>
      <c r="I311" s="158"/>
      <c r="J311" s="158">
        <f>+J302/J86*1000000</f>
        <v>30757.097791798107</v>
      </c>
      <c r="K311" s="158">
        <f>+K302/K86*1000000</f>
        <v>29587.628865979379</v>
      </c>
      <c r="L311" s="158">
        <f>+L302/L86*1000000</f>
        <v>31455.633100697905</v>
      </c>
      <c r="M311" s="158">
        <f>+M302/M86*1000000</f>
        <v>32573.79596064215</v>
      </c>
      <c r="N311" s="158">
        <f>BT311</f>
        <v>34661.772417409535</v>
      </c>
      <c r="O311" s="158">
        <f>CA311</f>
        <v>35010.266940451744</v>
      </c>
      <c r="P311" s="158">
        <f>CH311</f>
        <v>37235.228539576368</v>
      </c>
      <c r="Q311" s="158">
        <f>CO311</f>
        <v>37727.272727272728</v>
      </c>
      <c r="R311" s="158">
        <f>CV311</f>
        <v>37100.893997445724</v>
      </c>
      <c r="S311" s="158">
        <f>DC311</f>
        <v>37961.859356376634</v>
      </c>
      <c r="T311" s="158">
        <f>DJ311</f>
        <v>38974.970202622171</v>
      </c>
      <c r="U311" s="158">
        <f>DQ311</f>
        <v>39918.176504967851</v>
      </c>
      <c r="V311" s="158">
        <f>DX311</f>
        <v>39673.278879813304</v>
      </c>
      <c r="W311" s="158">
        <f>EE311</f>
        <v>40702.604482132047</v>
      </c>
      <c r="X311" s="158">
        <f>EL311</f>
        <v>41635.687732341998</v>
      </c>
      <c r="Y311" s="158">
        <f>ES311</f>
        <v>46686.746987951803</v>
      </c>
      <c r="Z311" s="158">
        <f>EZ311</f>
        <v>46341.463414634149</v>
      </c>
      <c r="AA311" s="158">
        <f>FG311</f>
        <v>45997.458703939003</v>
      </c>
      <c r="AB311" s="158">
        <f>FN311</f>
        <v>44904.458598726109</v>
      </c>
      <c r="AC311" s="158">
        <f>FU311</f>
        <v>46835.443037974677</v>
      </c>
      <c r="AD311" s="158">
        <f>GB311</f>
        <v>47045.191193511011</v>
      </c>
      <c r="AE311" s="158">
        <f>GI311</f>
        <v>47107.897664071192</v>
      </c>
      <c r="AF311" s="158">
        <f>GP311</f>
        <v>48334.274421230941</v>
      </c>
      <c r="AG311" s="158">
        <f>GW311</f>
        <v>50309.162450815063</v>
      </c>
      <c r="AH311" s="158">
        <f>HD311</f>
        <v>49933.598937583003</v>
      </c>
      <c r="AI311" s="158">
        <f>HK311</f>
        <v>50540.368722186904</v>
      </c>
      <c r="AJ311" s="158">
        <f>HR311</f>
        <v>49902.152641878667</v>
      </c>
      <c r="AK311" s="158">
        <f>HY311</f>
        <v>52093.023255813954</v>
      </c>
      <c r="AL311" s="158">
        <f>IF311</f>
        <v>54058.57740585773</v>
      </c>
      <c r="AM311" s="158">
        <f>IM311</f>
        <v>55071.315372424724</v>
      </c>
      <c r="AN311" s="158">
        <f>IT311</f>
        <v>53151.45813734713</v>
      </c>
      <c r="AO311" s="158">
        <f>JA311</f>
        <v>53818.615751789977</v>
      </c>
      <c r="AP311" s="158">
        <f>JH311</f>
        <v>50643.274853801166</v>
      </c>
      <c r="AQ311" s="158">
        <f>JO311</f>
        <v>51296.505073280721</v>
      </c>
      <c r="AR311" s="158">
        <f>JV311</f>
        <v>48754.448398576511</v>
      </c>
      <c r="AS311" s="158">
        <f>KC311</f>
        <v>47252.747252747256</v>
      </c>
      <c r="AT311" s="158">
        <f>KJ311</f>
        <v>50141.643059490088</v>
      </c>
      <c r="AU311" s="158">
        <f>KQ311</f>
        <v>48493.543758967004</v>
      </c>
      <c r="AV311" s="158">
        <f>KX311</f>
        <v>49536.423841059601</v>
      </c>
      <c r="AW311" s="158">
        <f>LE311</f>
        <v>48505.434782608703</v>
      </c>
      <c r="AX311" s="158">
        <f>LL311</f>
        <v>50974.930362116989</v>
      </c>
      <c r="AY311" s="158">
        <f>LS311</f>
        <v>50971.932518463662</v>
      </c>
      <c r="AZ311" s="158">
        <f>LZ311</f>
        <v>50972.447842512687</v>
      </c>
      <c r="BA311" s="158">
        <f>MG311</f>
        <v>50972.447842512687</v>
      </c>
      <c r="BB311" s="158"/>
      <c r="BC311" s="158"/>
      <c r="BD311" s="158"/>
      <c r="BE311" s="158"/>
      <c r="BF311" s="158"/>
      <c r="BG311" s="158"/>
      <c r="BH311" s="158"/>
      <c r="BI311" s="158"/>
      <c r="BJ311" s="158"/>
      <c r="BK311" s="158"/>
      <c r="BL311" s="158"/>
      <c r="BM311" s="158"/>
      <c r="BO311" s="159" t="s">
        <v>287</v>
      </c>
      <c r="BP311" s="158">
        <f>+BP302/BP86*1000000</f>
        <v>34567.901234567908</v>
      </c>
      <c r="BQ311" s="158">
        <f>+BQ302/BQ86*1000000</f>
        <v>33537.832310838443</v>
      </c>
      <c r="BR311" s="158">
        <f>+BR302/BR86*1000000</f>
        <v>36521.739130434784</v>
      </c>
      <c r="BS311" s="158">
        <f>+BS302/BS86*1000000</f>
        <v>34110.169491525427</v>
      </c>
      <c r="BT311" s="158">
        <f>+BT302/BT86*1000000</f>
        <v>34661.772417409535</v>
      </c>
      <c r="BV311" s="159" t="s">
        <v>287</v>
      </c>
      <c r="BW311" s="158">
        <f>+BW302/BW86*1000000</f>
        <v>33466.933867735468</v>
      </c>
      <c r="BX311" s="158">
        <f>+BX302/BX86*1000000</f>
        <v>34268.537074148298</v>
      </c>
      <c r="BY311" s="158">
        <f>+BY302/BY86*1000000</f>
        <v>36534.446764091859</v>
      </c>
      <c r="BZ311" s="158">
        <f>+BZ302/BZ86*1000000</f>
        <v>35881.104033970274</v>
      </c>
      <c r="CA311" s="158">
        <f>+CA302/CA86*1000000</f>
        <v>35010.266940451744</v>
      </c>
      <c r="CC311" s="159" t="s">
        <v>287</v>
      </c>
      <c r="CD311" s="158">
        <f>+CD302/CD86*1000000</f>
        <v>37414.965986394556</v>
      </c>
      <c r="CE311" s="158">
        <f>+CE302/CE86*1000000</f>
        <v>37327.188940092165</v>
      </c>
      <c r="CF311" s="158">
        <f>+CF302/CF86*1000000</f>
        <v>36933.045356371491</v>
      </c>
      <c r="CG311" s="158">
        <f>+CG302/CG86*1000000</f>
        <v>37280.701754385962</v>
      </c>
      <c r="CH311" s="158">
        <f>+CH302/CH86*1000000</f>
        <v>37235.228539576368</v>
      </c>
      <c r="CJ311" s="159" t="s">
        <v>287</v>
      </c>
      <c r="CK311" s="158">
        <f>+CK302/CK86*1000000</f>
        <v>38009.049773755658</v>
      </c>
      <c r="CL311" s="158">
        <f>+CL302/CL86*1000000</f>
        <v>37096.774193548394</v>
      </c>
      <c r="CM311" s="158">
        <f>+CM302/CM86*1000000</f>
        <v>37246.049661399549</v>
      </c>
      <c r="CN311" s="158">
        <f>+CN302/CN86*1000000</f>
        <v>38548.752834467115</v>
      </c>
      <c r="CO311" s="158">
        <f>+CO302/CO86*1000000</f>
        <v>37727.272727272728</v>
      </c>
      <c r="CQ311" s="159" t="s">
        <v>287</v>
      </c>
      <c r="CR311" s="158">
        <f>+CR302/CR86*1000000</f>
        <v>36802.030456852794</v>
      </c>
      <c r="CS311" s="158">
        <f>+CS302/CS86*1000000</f>
        <v>37192.118226600986</v>
      </c>
      <c r="CT311" s="158">
        <f>+CT302/CT86*1000000</f>
        <v>36572.890025575449</v>
      </c>
      <c r="CU311" s="158">
        <f>+CU302/CU86*1000000</f>
        <v>37866.666666666664</v>
      </c>
      <c r="CV311" s="158">
        <f>+CV302/CV86*1000000</f>
        <v>37100.893997445724</v>
      </c>
      <c r="CX311" s="159" t="s">
        <v>287</v>
      </c>
      <c r="CY311" s="158">
        <f>+CY302/CY86*1000000</f>
        <v>37626.262626262629</v>
      </c>
      <c r="CZ311" s="158">
        <f>+CZ302/CZ86*1000000</f>
        <v>37529.691211401427</v>
      </c>
      <c r="DA311" s="158">
        <f>+DA302/DA86*1000000</f>
        <v>38372.093023255817</v>
      </c>
      <c r="DB311" s="158">
        <f>+DB302/DB86*1000000</f>
        <v>38283.062645011596</v>
      </c>
      <c r="DC311" s="158">
        <f>+DC302/DC86*1000000</f>
        <v>37961.859356376634</v>
      </c>
      <c r="DE311" s="159" t="s">
        <v>287</v>
      </c>
      <c r="DF311" s="158">
        <f>+DF302/DF86*1000000</f>
        <v>37922.705314009661</v>
      </c>
      <c r="DG311" s="158">
        <f>+DG302/DG86*1000000</f>
        <v>38333.333333333336</v>
      </c>
      <c r="DH311" s="158">
        <f>+DH302/DH86*1000000</f>
        <v>39479.905437352245</v>
      </c>
      <c r="DI311" s="158">
        <f>+DI302/DI86*1000000</f>
        <v>40142.517814726838</v>
      </c>
      <c r="DJ311" s="158">
        <f>+DJ302/DJ86*1000000</f>
        <v>38974.970202622171</v>
      </c>
      <c r="DL311" s="159" t="s">
        <v>287</v>
      </c>
      <c r="DM311" s="158">
        <f>+DM302/DM86*1000000</f>
        <v>39800.995024875621</v>
      </c>
      <c r="DN311" s="158">
        <f>+DN302/DN86*1000000</f>
        <v>39861.751152073739</v>
      </c>
      <c r="DO311" s="158">
        <f>+DO302/DO86*1000000</f>
        <v>40184.757505773669</v>
      </c>
      <c r="DP311" s="158">
        <f>+DP302/DP86*1000000</f>
        <v>39819.004524886885</v>
      </c>
      <c r="DQ311" s="158">
        <f>+DQ302/DQ86*1000000</f>
        <v>39918.176504967851</v>
      </c>
      <c r="DS311" s="159" t="s">
        <v>287</v>
      </c>
      <c r="DT311" s="158">
        <f>+DT302/DT86*1000000</f>
        <v>39534.883720930229</v>
      </c>
      <c r="DU311" s="158">
        <f>+DU302/DU86*1000000</f>
        <v>39429.928741092641</v>
      </c>
      <c r="DV311" s="158">
        <f>+DV302/DV86*1000000</f>
        <v>39719.626168224298</v>
      </c>
      <c r="DW311" s="158">
        <f>+DW302/DW86*1000000</f>
        <v>39999.999999999993</v>
      </c>
      <c r="DX311" s="158">
        <f>+DX302/DX86*1000000</f>
        <v>39673.278879813304</v>
      </c>
      <c r="DZ311" s="159" t="s">
        <v>287</v>
      </c>
      <c r="EA311" s="158">
        <f>+EA302/EA86*1000000</f>
        <v>40294.840294840287</v>
      </c>
      <c r="EB311" s="158">
        <f>+EB302/EB86*1000000</f>
        <v>40291.262135922327</v>
      </c>
      <c r="EC311" s="158">
        <f>+EC302/EC86*1000000</f>
        <v>41204.819277108436</v>
      </c>
      <c r="ED311" s="158">
        <f>+ED302/ED86*1000000</f>
        <v>41007.194244604318</v>
      </c>
      <c r="EE311" s="158">
        <f>+EE302/EE86*1000000</f>
        <v>40702.604482132047</v>
      </c>
      <c r="EG311" s="159" t="s">
        <v>287</v>
      </c>
      <c r="EH311" s="158">
        <f>+EH302/EH86*1000000</f>
        <v>42676.767676767675</v>
      </c>
      <c r="EI311" s="158">
        <f>+EI302/EI86*1000000</f>
        <v>41644.562334217502</v>
      </c>
      <c r="EJ311" s="158">
        <f>+EJ302/EJ86*1000000</f>
        <v>40654.20560747663</v>
      </c>
      <c r="EK311" s="158">
        <f>+EK302/EK86*1000000</f>
        <v>41646.489104116226</v>
      </c>
      <c r="EL311" s="158">
        <f>+EL302/EL86*1000000</f>
        <v>41635.687732341998</v>
      </c>
      <c r="EN311" s="159" t="s">
        <v>287</v>
      </c>
      <c r="EO311" s="158">
        <f>+EO302/EO86*1000000</f>
        <v>46212.121212121208</v>
      </c>
      <c r="EP311" s="158">
        <f>+EP302/EP86*1000000</f>
        <v>46210.268948655248</v>
      </c>
      <c r="EQ311" s="158">
        <f>+EQ302/EQ86*1000000</f>
        <v>47344.110854503466</v>
      </c>
      <c r="ER311" s="158">
        <f>+ER302/ER86*1000000</f>
        <v>46919.431279620854</v>
      </c>
      <c r="ES311" s="158">
        <f>+ES302/ES86*1000000</f>
        <v>46686.746987951803</v>
      </c>
      <c r="EU311" s="159" t="s">
        <v>287</v>
      </c>
      <c r="EV311" s="158">
        <f>+EV302/EV86*1000000</f>
        <v>45102.505694760817</v>
      </c>
      <c r="EW311" s="158">
        <f>+EW302/EW86*1000000</f>
        <v>46279.069767441862</v>
      </c>
      <c r="EX311" s="158">
        <f>+EX302/EX86*1000000</f>
        <v>46919.431279620854</v>
      </c>
      <c r="EY311" s="158">
        <f>+EY302/EY86*1000000</f>
        <v>47099.767981438512</v>
      </c>
      <c r="EZ311" s="158">
        <f>+EZ302/EZ86*1000000</f>
        <v>46341.463414634149</v>
      </c>
      <c r="FB311" s="159" t="s">
        <v>287</v>
      </c>
      <c r="FC311" s="158">
        <f>+FC302/FC86*1000000</f>
        <v>46310.432569974553</v>
      </c>
      <c r="FD311" s="158">
        <f>+FD302/FD86*1000000</f>
        <v>45780.051150895139</v>
      </c>
      <c r="FE311" s="158">
        <f>+FE302/FE86*1000000</f>
        <v>46329.113924050631</v>
      </c>
      <c r="FF311" s="158">
        <f>+FF302/FF86*1000000</f>
        <v>45569.620253164554</v>
      </c>
      <c r="FG311" s="158">
        <f>+FG302/FG86*1000000</f>
        <v>45997.458703939003</v>
      </c>
      <c r="FI311" s="159" t="s">
        <v>287</v>
      </c>
      <c r="FJ311" s="158">
        <f>+FJ302/FJ86*1000000</f>
        <v>45308.310991957107</v>
      </c>
      <c r="FK311" s="158">
        <f>+FK302/FK86*1000000</f>
        <v>46000</v>
      </c>
      <c r="FL311" s="158">
        <f>+FL302/FL86*1000000</f>
        <v>44757.03324808184</v>
      </c>
      <c r="FM311" s="158">
        <f>+FM302/FM86*1000000</f>
        <v>43596.059113300493</v>
      </c>
      <c r="FN311" s="158">
        <f>+FN302/FN86*1000000</f>
        <v>44904.458598726109</v>
      </c>
      <c r="FP311" s="159" t="s">
        <v>287</v>
      </c>
      <c r="FQ311" s="158">
        <f>+FQ302/FQ86*1000000</f>
        <v>46401.985111662529</v>
      </c>
      <c r="FR311" s="158">
        <f>+FR302/FR86*1000000</f>
        <v>46585.365853658543</v>
      </c>
      <c r="FS311" s="158">
        <f>+FS302/FS86*1000000</f>
        <v>45566.502463054188</v>
      </c>
      <c r="FT311" s="158">
        <f>+FT302/FT86*1000000</f>
        <v>48636.363636363632</v>
      </c>
      <c r="FU311" s="158">
        <f>+FU302/FU86*1000000</f>
        <v>46835.443037974677</v>
      </c>
      <c r="FW311" s="159" t="s">
        <v>287</v>
      </c>
      <c r="FX311" s="158">
        <f>+FX302/FX86*1000000</f>
        <v>47597.254004576665</v>
      </c>
      <c r="FY311" s="158">
        <f>+FY302/FY86*1000000</f>
        <v>46575.34246575342</v>
      </c>
      <c r="FZ311" s="158">
        <f>+FZ302/FZ86*1000000</f>
        <v>47630.331753554507</v>
      </c>
      <c r="GA311" s="158">
        <f>+GA302/GA86*1000000</f>
        <v>46853.146853146856</v>
      </c>
      <c r="GB311" s="158">
        <f>+GB302/GB86*1000000</f>
        <v>47045.191193511011</v>
      </c>
      <c r="GD311" s="159" t="s">
        <v>287</v>
      </c>
      <c r="GE311" s="158">
        <f>+GE302/GE86*1000000</f>
        <v>46929.824561403511</v>
      </c>
      <c r="GF311" s="158">
        <f>+GF302/GF86*1000000</f>
        <v>47085.201793721972</v>
      </c>
      <c r="GG311" s="158">
        <f>+GG302/GG86*1000000</f>
        <v>47228.381374722841</v>
      </c>
      <c r="GH311" s="158">
        <f>+GH302/GH86*1000000</f>
        <v>47415.730337078654</v>
      </c>
      <c r="GI311" s="158">
        <f>+GI302/GI86*1000000</f>
        <v>47107.897664071192</v>
      </c>
      <c r="GK311" s="159" t="s">
        <v>287</v>
      </c>
      <c r="GL311" s="158">
        <f>+GL302/GL86*1000000</f>
        <v>48299.319727891154</v>
      </c>
      <c r="GM311" s="158">
        <f>+GM302/GM86*1000000</f>
        <v>49773.755656108595</v>
      </c>
      <c r="GN311" s="158">
        <f>+GN302/GN86*1000000</f>
        <v>48072.562358276642</v>
      </c>
      <c r="GO311" s="158">
        <f>+GO302/GO86*1000000</f>
        <v>47651.006711409398</v>
      </c>
      <c r="GP311" s="158">
        <f>+GP302/GP86*1000000</f>
        <v>48334.274421230941</v>
      </c>
      <c r="GR311" s="159" t="s">
        <v>287</v>
      </c>
      <c r="GS311" s="158">
        <f>+GS302/GS86*1000000</f>
        <v>50227.272727272728</v>
      </c>
      <c r="GT311" s="158">
        <f>+GT302/GT86*1000000</f>
        <v>50888.888888888883</v>
      </c>
      <c r="GU311" s="158">
        <f>+GU302/GU86*1000000</f>
        <v>50454.545454545456</v>
      </c>
      <c r="GV311" s="158">
        <f>+GV302/GV86*1000000</f>
        <v>50334.075723830734</v>
      </c>
      <c r="GW311" s="158">
        <f>+GW302/GW86*1000000</f>
        <v>50309.162450815063</v>
      </c>
      <c r="GY311" s="159" t="s">
        <v>287</v>
      </c>
      <c r="GZ311" s="158">
        <f>+GZ302/GZ86*1000000</f>
        <v>45783.132530120478</v>
      </c>
      <c r="HA311" s="158">
        <f>+HA302/HA86*1000000</f>
        <v>50969.529085872571</v>
      </c>
      <c r="HB311" s="158">
        <f>+HB302/HB86*1000000</f>
        <v>52602.739726027394</v>
      </c>
      <c r="HC311" s="158">
        <f>+HC302/HC86*1000000</f>
        <v>46849.315068493153</v>
      </c>
      <c r="HD311" s="158">
        <f>+HD302/HD86*1000000</f>
        <v>49933.598937583003</v>
      </c>
      <c r="HF311" s="159" t="s">
        <v>287</v>
      </c>
      <c r="HG311" s="158">
        <f>+HG302/HG86*1000000</f>
        <v>51206.434316353887</v>
      </c>
      <c r="HH311" s="158">
        <f>+HH302/HH86*1000000</f>
        <v>50623.44139650873</v>
      </c>
      <c r="HI311" s="158">
        <f>+HI302/HI86*1000000</f>
        <v>50510.204081632655</v>
      </c>
      <c r="HJ311" s="158">
        <f>+HJ302/HJ86*1000000</f>
        <v>49631.449631449628</v>
      </c>
      <c r="HK311" s="158">
        <f>+HK302/HK86*1000000</f>
        <v>50540.368722186904</v>
      </c>
      <c r="HM311" s="159" t="s">
        <v>287</v>
      </c>
      <c r="HN311" s="158">
        <f>+HN302/HN86*1000000</f>
        <v>50389.610389610389</v>
      </c>
      <c r="HO311" s="158">
        <f>+HO302/HO86*1000000</f>
        <v>49484.536082474224</v>
      </c>
      <c r="HP311" s="158">
        <f>+HP302/HP86*1000000</f>
        <v>49740.932642487045</v>
      </c>
      <c r="HQ311" s="158">
        <f>+HQ302/HQ86*1000000</f>
        <v>49732.620320855618</v>
      </c>
      <c r="HR311" s="158">
        <f>+HR302/HR86*1000000</f>
        <v>49902.152641878667</v>
      </c>
      <c r="HT311" s="159" t="s">
        <v>287</v>
      </c>
      <c r="HU311" s="158">
        <f>+HU302/HU86*1000000</f>
        <v>52567.975830815703</v>
      </c>
      <c r="HV311" s="158">
        <f>+HV302/HV86*1000000</f>
        <v>51057.401812688811</v>
      </c>
      <c r="HW311" s="158">
        <f>+HW302/HW86*1000000</f>
        <v>52321.981424148602</v>
      </c>
      <c r="HX311" s="158">
        <f>+HX302/HX86*1000000</f>
        <v>52131.147540983606</v>
      </c>
      <c r="HY311" s="158">
        <f>+HY302/HY86*1000000</f>
        <v>52093.023255813954</v>
      </c>
      <c r="IA311" s="159" t="s">
        <v>287</v>
      </c>
      <c r="IB311" s="158">
        <f>+IB302/IB86*1000000</f>
        <v>54882.154882154886</v>
      </c>
      <c r="IC311" s="158">
        <f>+IC302/IC86*1000000</f>
        <v>54516.129032258061</v>
      </c>
      <c r="ID311" s="158">
        <f>+ID302/ID86*1000000</f>
        <v>54515.050167224086</v>
      </c>
      <c r="IE311" s="158">
        <f>+IE302/IE86*1000000</f>
        <v>52595.155709342558</v>
      </c>
      <c r="IF311" s="158">
        <f>+IF302/IF86*1000000</f>
        <v>54058.57740585773</v>
      </c>
      <c r="IH311" s="159" t="s">
        <v>287</v>
      </c>
      <c r="II311" s="158">
        <f>+II302/II86*1000000</f>
        <v>55631.399317406147</v>
      </c>
      <c r="IJ311" s="158">
        <f>+IJ302/IJ86*1000000</f>
        <v>54545.454545454544</v>
      </c>
      <c r="IK311" s="158">
        <f>+IK302/IK86*1000000</f>
        <v>54545.454545454544</v>
      </c>
      <c r="IL311" s="158">
        <f>+IL302/IL86*1000000</f>
        <v>55937.499999999993</v>
      </c>
      <c r="IM311" s="158">
        <f>+IM302/IM86*1000000</f>
        <v>55071.315372424724</v>
      </c>
      <c r="IO311" s="159" t="s">
        <v>287</v>
      </c>
      <c r="IP311" s="158">
        <f>+IP302/IP86*1000000</f>
        <v>55709.342560553639</v>
      </c>
      <c r="IQ311" s="158">
        <f>+IQ302/IQ86*1000000</f>
        <v>53559.322033898308</v>
      </c>
      <c r="IR311" s="158">
        <f>+IR302/IR86*1000000</f>
        <v>50957.854406130275</v>
      </c>
      <c r="IS311" s="158">
        <f>+IS302/IS86*1000000</f>
        <v>51376.146788990824</v>
      </c>
      <c r="IT311" s="158">
        <f>+IT302/IT86*1000000</f>
        <v>53151.45813734713</v>
      </c>
      <c r="IV311" s="159" t="s">
        <v>287</v>
      </c>
      <c r="IW311" s="158">
        <f>+IW302/IW86*1000000</f>
        <v>48499.999999999993</v>
      </c>
      <c r="IX311" s="158">
        <f>+IX302/IX86*1000000</f>
        <v>53333.333333333336</v>
      </c>
      <c r="IY311" s="158">
        <f>+IY302/IY86*1000000</f>
        <v>55555.555555555555</v>
      </c>
      <c r="IZ311" s="158">
        <f>+IZ302/IZ86*1000000</f>
        <v>57203.389830508473</v>
      </c>
      <c r="JA311" s="158">
        <f>+JA302/JA86*1000000</f>
        <v>53818.615751789977</v>
      </c>
      <c r="JC311" s="159" t="s">
        <v>287</v>
      </c>
      <c r="JD311" s="158">
        <f>+JD302/JD86*1000000</f>
        <v>51707.317073170729</v>
      </c>
      <c r="JE311" s="158">
        <f>+JE302/JE86*1000000</f>
        <v>50961.538461538461</v>
      </c>
      <c r="JF311" s="158">
        <f>+JF302/JF86*1000000</f>
        <v>50000</v>
      </c>
      <c r="JG311" s="158">
        <f>+JG302/JG86*1000000</f>
        <v>49999.999999999993</v>
      </c>
      <c r="JH311" s="158">
        <f>+JH302/JH86*1000000</f>
        <v>50643.274853801166</v>
      </c>
      <c r="JJ311" s="159" t="s">
        <v>287</v>
      </c>
      <c r="JK311" s="158">
        <f>+JK302/JK86*1000000</f>
        <v>51243.781094527367</v>
      </c>
      <c r="JL311" s="158">
        <f>+JL302/JL86*1000000</f>
        <v>53153.153153153158</v>
      </c>
      <c r="JM311" s="158">
        <f>+JM302/JM86*1000000</f>
        <v>51282.051282051281</v>
      </c>
      <c r="JN311" s="158">
        <f>+JN302/JN86*1000000</f>
        <v>49565.217391304352</v>
      </c>
      <c r="JO311" s="158">
        <f>+JO302/JO86*1000000</f>
        <v>51296.505073280721</v>
      </c>
      <c r="JQ311" s="159" t="s">
        <v>287</v>
      </c>
      <c r="JR311" s="158">
        <f>+JR302/JR86*1000000</f>
        <v>49528.301886792455</v>
      </c>
      <c r="JS311" s="158">
        <f>+JS302/JS86*1000000</f>
        <v>48230.088495575226</v>
      </c>
      <c r="JT311" s="158">
        <f>+JT302/JT86*1000000</f>
        <v>48356.80751173709</v>
      </c>
      <c r="JU311" s="158">
        <f>+JU302/JU86*1000000</f>
        <v>48958.333333333336</v>
      </c>
      <c r="JV311" s="158">
        <f>+JV302/JV86*1000000</f>
        <v>48754.448398576511</v>
      </c>
      <c r="JX311" s="159" t="s">
        <v>287</v>
      </c>
      <c r="JY311" s="158">
        <f>+JY302/JY86*1000000</f>
        <v>47513.812154696134</v>
      </c>
      <c r="JZ311" s="158">
        <f>+JZ302/JZ86*1000000</f>
        <v>47244.094488188974</v>
      </c>
      <c r="KA311" s="158">
        <f>+KA302/KA86*1000000</f>
        <v>45806.451612903227</v>
      </c>
      <c r="KB311" s="158">
        <f>+KB302/KB86*1000000</f>
        <v>48275.862068965514</v>
      </c>
      <c r="KC311" s="158">
        <f>+KC302/KC86*1000000</f>
        <v>47252.747252747256</v>
      </c>
      <c r="KE311" s="159" t="s">
        <v>287</v>
      </c>
      <c r="KF311" s="158">
        <f>+KF302/KF86*1000000</f>
        <v>51162.790697674427</v>
      </c>
      <c r="KG311" s="158">
        <f>+KG302/KG86*1000000</f>
        <v>50273.22404371584</v>
      </c>
      <c r="KH311" s="158">
        <f>+KH302/KH86*1000000</f>
        <v>49444.444444444445</v>
      </c>
      <c r="KI311" s="158">
        <f>+KI302/KI86*1000000</f>
        <v>49707.602339181285</v>
      </c>
      <c r="KJ311" s="158">
        <f>+KJ302/KJ86*1000000</f>
        <v>50141.643059490088</v>
      </c>
      <c r="KL311" s="159" t="s">
        <v>287</v>
      </c>
      <c r="KM311" s="158">
        <f>+KM302/KM86*1000000</f>
        <v>49032.258064516122</v>
      </c>
      <c r="KN311" s="158">
        <f>+KN302/KN86*1000000</f>
        <v>47191.011235955062</v>
      </c>
      <c r="KO311" s="158">
        <f>+KO302/KO86*1000000</f>
        <v>48587.57062146892</v>
      </c>
      <c r="KP311" s="158">
        <f>+KP302/KP86*1000000</f>
        <v>49197.86096256684</v>
      </c>
      <c r="KQ311" s="158">
        <f>+KQ302/KQ86*1000000</f>
        <v>48493.543758967004</v>
      </c>
      <c r="KS311" s="159" t="s">
        <v>287</v>
      </c>
      <c r="KT311" s="158">
        <f>+KT302/KT86*1000000</f>
        <v>49729.729729729726</v>
      </c>
      <c r="KU311" s="158">
        <f>+KU302/KU86*1000000</f>
        <v>49729.729729729726</v>
      </c>
      <c r="KV311" s="158">
        <f>+KV302/KV86*1000000</f>
        <v>48704.66321243524</v>
      </c>
      <c r="KW311" s="158">
        <f>+KW302/KW86*1000000</f>
        <v>49999.999999999993</v>
      </c>
      <c r="KX311" s="158">
        <f>+KX302/KX86*1000000</f>
        <v>49536.423841059601</v>
      </c>
      <c r="KZ311" s="159" t="s">
        <v>287</v>
      </c>
      <c r="LA311" s="158">
        <f>+LA302/LA86*1000000</f>
        <v>50000</v>
      </c>
      <c r="LB311" s="158">
        <f>+LB302/LB86*1000000</f>
        <v>49162.011173184364</v>
      </c>
      <c r="LC311" s="176">
        <f t="shared" ref="LC311:LE311" si="7077">+LC302/LC86*1000000</f>
        <v>47894.73684210526</v>
      </c>
      <c r="LD311" s="176">
        <f t="shared" si="7077"/>
        <v>46927.374301675976</v>
      </c>
      <c r="LE311" s="158">
        <f t="shared" si="7077"/>
        <v>48505.434782608703</v>
      </c>
      <c r="LF311" s="568"/>
      <c r="LG311" s="157" t="s">
        <v>287</v>
      </c>
      <c r="LH311" s="176">
        <f t="shared" ref="LH311:LL311" si="7078">+LH302/LH86*1000000</f>
        <v>48837.20930232558</v>
      </c>
      <c r="LI311" s="176">
        <f t="shared" si="7078"/>
        <v>51381.215469613264</v>
      </c>
      <c r="LJ311" s="176">
        <f>+LJ302/LJ86*1000000</f>
        <v>53804.34782608696</v>
      </c>
      <c r="LK311" s="176">
        <f t="shared" si="7078"/>
        <v>49723.756906077346</v>
      </c>
      <c r="LL311" s="158">
        <f t="shared" si="7078"/>
        <v>50974.930362116989</v>
      </c>
      <c r="LM311" s="568"/>
      <c r="LN311" s="157" t="s">
        <v>287</v>
      </c>
      <c r="LO311" s="176">
        <f t="shared" ref="LO311:LS311" si="7079">+LO302/LO86*1000000</f>
        <v>48837.209302325587</v>
      </c>
      <c r="LP311" s="176">
        <f t="shared" si="7079"/>
        <v>51381.215469613257</v>
      </c>
      <c r="LQ311" s="176">
        <f t="shared" si="7079"/>
        <v>53804.347826086952</v>
      </c>
      <c r="LR311" s="176">
        <f t="shared" si="7079"/>
        <v>49723.756906077353</v>
      </c>
      <c r="LS311" s="158">
        <f t="shared" si="7079"/>
        <v>50971.932518463662</v>
      </c>
      <c r="LT311" s="568"/>
      <c r="LU311" s="157" t="s">
        <v>287</v>
      </c>
      <c r="LV311" s="176">
        <f t="shared" ref="LV311:LZ311" si="7080">+LV302/LV86*1000000</f>
        <v>48837.209302325595</v>
      </c>
      <c r="LW311" s="176">
        <f t="shared" si="7080"/>
        <v>51381.215469613257</v>
      </c>
      <c r="LX311" s="176">
        <f t="shared" si="7080"/>
        <v>53804.34782608696</v>
      </c>
      <c r="LY311" s="176">
        <f t="shared" si="7080"/>
        <v>49723.756906077353</v>
      </c>
      <c r="LZ311" s="158">
        <f t="shared" si="7080"/>
        <v>50972.447842512687</v>
      </c>
      <c r="MA311" s="568"/>
      <c r="MB311" s="157" t="s">
        <v>287</v>
      </c>
      <c r="MC311" s="176">
        <f t="shared" ref="MC311:MG311" si="7081">+MC302/MC86*1000000</f>
        <v>48837.209302325587</v>
      </c>
      <c r="MD311" s="176">
        <f t="shared" si="7081"/>
        <v>51381.215469613264</v>
      </c>
      <c r="ME311" s="176">
        <f t="shared" si="7081"/>
        <v>53804.347826086952</v>
      </c>
      <c r="MF311" s="176">
        <f t="shared" si="7081"/>
        <v>49723.756906077353</v>
      </c>
      <c r="MG311" s="158">
        <f t="shared" si="7081"/>
        <v>50972.447842512687</v>
      </c>
      <c r="MH311" s="568"/>
    </row>
    <row r="312" spans="1:346" s="37" customFormat="1" ht="13.15" x14ac:dyDescent="0.4">
      <c r="A312" s="100"/>
      <c r="B312" s="157" t="s">
        <v>286</v>
      </c>
      <c r="C312" s="158"/>
      <c r="D312" s="158"/>
      <c r="E312" s="158"/>
      <c r="F312" s="158"/>
      <c r="G312" s="158"/>
      <c r="H312" s="158"/>
      <c r="I312" s="158"/>
      <c r="J312" s="158">
        <f>+J303/J85*1000000</f>
        <v>0</v>
      </c>
      <c r="K312" s="158">
        <f>+K303/K85*1000000</f>
        <v>0</v>
      </c>
      <c r="L312" s="158">
        <f>+L303/L85*1000000</f>
        <v>0</v>
      </c>
      <c r="M312" s="158">
        <f>+M303/M85*1000000</f>
        <v>0</v>
      </c>
      <c r="N312" s="158">
        <f>BT312</f>
        <v>0</v>
      </c>
      <c r="O312" s="158">
        <f>CA312</f>
        <v>0</v>
      </c>
      <c r="P312" s="158">
        <f>CH312</f>
        <v>0</v>
      </c>
      <c r="Q312" s="158">
        <f>CO312</f>
        <v>0</v>
      </c>
      <c r="R312" s="158">
        <f>CV312</f>
        <v>0</v>
      </c>
      <c r="S312" s="158">
        <f>DC312</f>
        <v>0</v>
      </c>
      <c r="T312" s="158">
        <f>DJ312</f>
        <v>0</v>
      </c>
      <c r="U312" s="158">
        <f>DQ312</f>
        <v>0</v>
      </c>
      <c r="V312" s="158">
        <f>DX312</f>
        <v>0</v>
      </c>
      <c r="W312" s="158">
        <f>EE312</f>
        <v>0</v>
      </c>
      <c r="X312" s="158">
        <f>EL312</f>
        <v>0</v>
      </c>
      <c r="Y312" s="158">
        <f>ES312</f>
        <v>10477.582846003897</v>
      </c>
      <c r="Z312" s="158">
        <f>EZ312</f>
        <v>10179.640718562874</v>
      </c>
      <c r="AA312" s="158">
        <f>FG312</f>
        <v>9910.3350637092972</v>
      </c>
      <c r="AB312" s="158">
        <f>FN312</f>
        <v>9686.0986547085213</v>
      </c>
      <c r="AC312" s="158">
        <f>FU312</f>
        <v>9713.7901127493496</v>
      </c>
      <c r="AD312" s="158">
        <f>GB312</f>
        <v>9607.3903002309471</v>
      </c>
      <c r="AE312" s="158">
        <f>GI312</f>
        <v>9591.5557595227147</v>
      </c>
      <c r="AF312" s="158">
        <f>GP312</f>
        <v>9284.6991946944581</v>
      </c>
      <c r="AG312" s="158">
        <f>GW312</f>
        <v>9086.5152247462538</v>
      </c>
      <c r="AH312" s="158">
        <f>HD312</f>
        <v>9095.688748685594</v>
      </c>
      <c r="AI312" s="158">
        <f>HK312</f>
        <v>9176.7881241565447</v>
      </c>
      <c r="AJ312" s="158">
        <f>HR312</f>
        <v>9436.4351245085199</v>
      </c>
      <c r="AK312" s="158">
        <f>HY312</f>
        <v>9628.7229702162385</v>
      </c>
      <c r="AL312" s="158">
        <f>IF312</f>
        <v>9682.4167312161117</v>
      </c>
      <c r="AM312" s="158">
        <f>IM312</f>
        <v>9934.0175953079197</v>
      </c>
      <c r="AN312" s="158">
        <f>IT312</f>
        <v>9936.5750528541212</v>
      </c>
      <c r="AO312" s="158">
        <f>JA312</f>
        <v>9889.7189612237635</v>
      </c>
      <c r="AP312" s="158">
        <f>JH312</f>
        <v>10130.144213858601</v>
      </c>
      <c r="AQ312" s="158">
        <f>JO312</f>
        <v>10120.898100172712</v>
      </c>
      <c r="AR312" s="158">
        <f>JV312</f>
        <v>10074.906367041198</v>
      </c>
      <c r="AS312" s="158">
        <f>KC312</f>
        <v>10330.882352941177</v>
      </c>
      <c r="AT312" s="158">
        <f>KJ312</f>
        <v>10584.677419354837</v>
      </c>
      <c r="AU312" s="158">
        <f>KQ312</f>
        <v>10124.873439082012</v>
      </c>
      <c r="AV312" s="158">
        <f>KX312</f>
        <v>10231.381055676067</v>
      </c>
      <c r="AW312" s="158">
        <f>LE312</f>
        <v>9955.0639474593845</v>
      </c>
      <c r="AX312" s="158">
        <f>LL312</f>
        <v>9949.916527545909</v>
      </c>
      <c r="AY312" s="158">
        <f>LS312</f>
        <v>9949.9549530907261</v>
      </c>
      <c r="AZ312" s="158">
        <f>LZ312</f>
        <v>9949.9549530907261</v>
      </c>
      <c r="BA312" s="158">
        <f>MG312</f>
        <v>9949.9549530907298</v>
      </c>
      <c r="BB312" s="158"/>
      <c r="BC312" s="158"/>
      <c r="BD312" s="158"/>
      <c r="BE312" s="158"/>
      <c r="BF312" s="158"/>
      <c r="BG312" s="158"/>
      <c r="BH312" s="158"/>
      <c r="BI312" s="158"/>
      <c r="BJ312" s="158"/>
      <c r="BK312" s="158"/>
      <c r="BL312" s="158"/>
      <c r="BM312" s="158"/>
      <c r="BO312" s="159" t="s">
        <v>286</v>
      </c>
      <c r="BP312" s="158">
        <f>+BP303/BP85*1000000</f>
        <v>0</v>
      </c>
      <c r="BQ312" s="158">
        <f>+BQ303/BQ85*1000000</f>
        <v>0</v>
      </c>
      <c r="BR312" s="158">
        <f>+BR303/BR85*1000000</f>
        <v>0</v>
      </c>
      <c r="BS312" s="158">
        <f>+BS303/BS85*1000000</f>
        <v>0</v>
      </c>
      <c r="BT312" s="158">
        <f>+BT303/BT85*1000000</f>
        <v>0</v>
      </c>
      <c r="BV312" s="159" t="s">
        <v>286</v>
      </c>
      <c r="BW312" s="158">
        <f>+BW303/BW85*1000000</f>
        <v>0</v>
      </c>
      <c r="BX312" s="158">
        <f>+BX303/BX85*1000000</f>
        <v>0</v>
      </c>
      <c r="BY312" s="158">
        <f>+BY303/BY85*1000000</f>
        <v>0</v>
      </c>
      <c r="BZ312" s="158">
        <f>+BZ303/BZ85*1000000</f>
        <v>0</v>
      </c>
      <c r="CA312" s="158">
        <f>+CA303/CA85*1000000</f>
        <v>0</v>
      </c>
      <c r="CC312" s="159" t="s">
        <v>286</v>
      </c>
      <c r="CD312" s="158">
        <f>+CD303/CD85*1000000</f>
        <v>0</v>
      </c>
      <c r="CE312" s="158">
        <f>+CE303/CE85*1000000</f>
        <v>0</v>
      </c>
      <c r="CF312" s="158">
        <f>+CF303/CF85*1000000</f>
        <v>0</v>
      </c>
      <c r="CG312" s="158">
        <f>+CG303/CG85*1000000</f>
        <v>0</v>
      </c>
      <c r="CH312" s="158">
        <f>+CH303/CH85*1000000</f>
        <v>0</v>
      </c>
      <c r="CJ312" s="159" t="s">
        <v>286</v>
      </c>
      <c r="CK312" s="158">
        <f>+CK303/CK85*1000000</f>
        <v>0</v>
      </c>
      <c r="CL312" s="158">
        <f>+CL303/CL85*1000000</f>
        <v>0</v>
      </c>
      <c r="CM312" s="158">
        <f>+CM303/CM85*1000000</f>
        <v>0</v>
      </c>
      <c r="CN312" s="158">
        <f>+CN303/CN85*1000000</f>
        <v>0</v>
      </c>
      <c r="CO312" s="158">
        <f>+CO303/CO85*1000000</f>
        <v>0</v>
      </c>
      <c r="CQ312" s="159" t="s">
        <v>286</v>
      </c>
      <c r="CR312" s="158">
        <f>+CR303/CR85*1000000</f>
        <v>0</v>
      </c>
      <c r="CS312" s="158">
        <f>+CS303/CS85*1000000</f>
        <v>0</v>
      </c>
      <c r="CT312" s="158">
        <f>+CT303/CT85*1000000</f>
        <v>0</v>
      </c>
      <c r="CU312" s="158">
        <f>+CU303/CU85*1000000</f>
        <v>0</v>
      </c>
      <c r="CV312" s="158">
        <f>+CV303/CV85*1000000</f>
        <v>0</v>
      </c>
      <c r="CX312" s="159" t="s">
        <v>286</v>
      </c>
      <c r="CY312" s="158">
        <f>+CY303/CY85*1000000</f>
        <v>0</v>
      </c>
      <c r="CZ312" s="158">
        <f>+CZ303/CZ85*1000000</f>
        <v>0</v>
      </c>
      <c r="DA312" s="158">
        <f>+DA303/DA85*1000000</f>
        <v>0</v>
      </c>
      <c r="DB312" s="158">
        <f>+DB303/DB85*1000000</f>
        <v>0</v>
      </c>
      <c r="DC312" s="158">
        <f>+DC303/DC85*1000000</f>
        <v>0</v>
      </c>
      <c r="DE312" s="159" t="s">
        <v>286</v>
      </c>
      <c r="DF312" s="158">
        <f>+DF303/DF85*1000000</f>
        <v>0</v>
      </c>
      <c r="DG312" s="158">
        <f>+DG303/DG85*1000000</f>
        <v>0</v>
      </c>
      <c r="DH312" s="158">
        <f>+DH303/DH85*1000000</f>
        <v>0</v>
      </c>
      <c r="DI312" s="158">
        <f>+DI303/DI85*1000000</f>
        <v>0</v>
      </c>
      <c r="DJ312" s="158">
        <f>+DJ303/DJ85*1000000</f>
        <v>0</v>
      </c>
      <c r="DL312" s="159" t="s">
        <v>286</v>
      </c>
      <c r="DM312" s="158">
        <f>+DM303/DM85*1000000</f>
        <v>0</v>
      </c>
      <c r="DN312" s="158">
        <f>+DN303/DN85*1000000</f>
        <v>0</v>
      </c>
      <c r="DO312" s="158">
        <f>+DO303/DO85*1000000</f>
        <v>0</v>
      </c>
      <c r="DP312" s="158">
        <f>+DP303/DP85*1000000</f>
        <v>0</v>
      </c>
      <c r="DQ312" s="158">
        <f>+DQ303/DQ85*1000000</f>
        <v>0</v>
      </c>
      <c r="DS312" s="159" t="s">
        <v>286</v>
      </c>
      <c r="DT312" s="158">
        <f>+DT303/DT85*1000000</f>
        <v>0</v>
      </c>
      <c r="DU312" s="158">
        <f>+DU303/DU85*1000000</f>
        <v>0</v>
      </c>
      <c r="DV312" s="158">
        <f>+DV303/DV85*1000000</f>
        <v>0</v>
      </c>
      <c r="DW312" s="158">
        <f>+DW303/DW85*1000000</f>
        <v>0</v>
      </c>
      <c r="DX312" s="158">
        <f>+DX303/DX85*1000000</f>
        <v>0</v>
      </c>
      <c r="DZ312" s="159" t="s">
        <v>286</v>
      </c>
      <c r="EA312" s="158">
        <f>+EA303/EA85*1000000</f>
        <v>0</v>
      </c>
      <c r="EB312" s="158">
        <f>+EB303/EB85*1000000</f>
        <v>0</v>
      </c>
      <c r="EC312" s="158">
        <f>+EC303/EC85*1000000</f>
        <v>0</v>
      </c>
      <c r="ED312" s="158">
        <f>+ED303/ED85*1000000</f>
        <v>0</v>
      </c>
      <c r="EE312" s="158">
        <f>+EE303/EE85*1000000</f>
        <v>0</v>
      </c>
      <c r="EG312" s="159" t="s">
        <v>286</v>
      </c>
      <c r="EH312" s="158">
        <f>+EH303/EH85*1000000</f>
        <v>0</v>
      </c>
      <c r="EI312" s="158">
        <f>+EI303/EI85*1000000</f>
        <v>0</v>
      </c>
      <c r="EJ312" s="158">
        <f>+EJ303/EJ85*1000000</f>
        <v>0</v>
      </c>
      <c r="EK312" s="158">
        <f>+EK303/EK85*1000000</f>
        <v>0</v>
      </c>
      <c r="EL312" s="158">
        <f>+EL303/EL85*1000000</f>
        <v>0</v>
      </c>
      <c r="EN312" s="159" t="s">
        <v>286</v>
      </c>
      <c r="EO312" s="158">
        <f>+EO303/EO85*1000000</f>
        <v>10984.848484848484</v>
      </c>
      <c r="EP312" s="158">
        <f>+EP303/EP85*1000000</f>
        <v>10597.302504816955</v>
      </c>
      <c r="EQ312" s="158">
        <f>+EQ303/EQ85*1000000</f>
        <v>10039.370078740158</v>
      </c>
      <c r="ER312" s="158">
        <f>+ER303/ER85*1000000</f>
        <v>10261.569416498993</v>
      </c>
      <c r="ES312" s="158">
        <f>+ES303/ES85*1000000</f>
        <v>10477.582846003897</v>
      </c>
      <c r="EU312" s="159" t="s">
        <v>286</v>
      </c>
      <c r="EV312" s="158">
        <f>+EV303/EV85*1000000</f>
        <v>9979.209979209978</v>
      </c>
      <c r="EW312" s="158">
        <f>+EW303/EW85*1000000</f>
        <v>10462.776659959758</v>
      </c>
      <c r="EX312" s="158">
        <f>+EX303/EX85*1000000</f>
        <v>10058.027079303676</v>
      </c>
      <c r="EY312" s="158">
        <f>+EY303/EY85*1000000</f>
        <v>10216.110019646367</v>
      </c>
      <c r="EZ312" s="158">
        <f>+EZ303/EZ85*1000000</f>
        <v>10179.640718562874</v>
      </c>
      <c r="FB312" s="159" t="s">
        <v>286</v>
      </c>
      <c r="FC312" s="158">
        <f>+FC303/FC85*1000000</f>
        <v>10187.110187110187</v>
      </c>
      <c r="FD312" s="158">
        <f>+FD303/FD85*1000000</f>
        <v>10055.865921787708</v>
      </c>
      <c r="FE312" s="158">
        <f>+FE303/FE85*1000000</f>
        <v>9540.636042402828</v>
      </c>
      <c r="FF312" s="158">
        <f>+FF303/FF85*1000000</f>
        <v>9906.5420560747662</v>
      </c>
      <c r="FG312" s="158">
        <f>+FG303/FG85*1000000</f>
        <v>9910.3350637092972</v>
      </c>
      <c r="FI312" s="159" t="s">
        <v>286</v>
      </c>
      <c r="FJ312" s="158">
        <f>+FJ303/FJ85*1000000</f>
        <v>9695.8174904942953</v>
      </c>
      <c r="FK312" s="158">
        <f>+FK303/FK85*1000000</f>
        <v>9734.5132743362828</v>
      </c>
      <c r="FL312" s="158">
        <f>+FL303/FL85*1000000</f>
        <v>9574.4680851063822</v>
      </c>
      <c r="FM312" s="158">
        <f>+FM303/FM85*1000000</f>
        <v>9739.1304347826081</v>
      </c>
      <c r="FN312" s="158">
        <f>+FN303/FN85*1000000</f>
        <v>9686.0986547085213</v>
      </c>
      <c r="FP312" s="159" t="s">
        <v>286</v>
      </c>
      <c r="FQ312" s="158">
        <f>+FQ303/FQ85*1000000</f>
        <v>9836.0655737704928</v>
      </c>
      <c r="FR312" s="158">
        <f>+FR303/FR85*1000000</f>
        <v>9847.1986417657045</v>
      </c>
      <c r="FS312" s="158">
        <f>+FS303/FS85*1000000</f>
        <v>9302.3255813953492</v>
      </c>
      <c r="FT312" s="158">
        <f>+FT303/FT85*1000000</f>
        <v>9852.2167487684728</v>
      </c>
      <c r="FU312" s="158">
        <f>+FU303/FU85*1000000</f>
        <v>9713.7901127493496</v>
      </c>
      <c r="FW312" s="159" t="s">
        <v>286</v>
      </c>
      <c r="FX312" s="158">
        <f>+FX303/FX85*1000000</f>
        <v>9469.69696969697</v>
      </c>
      <c r="FY312" s="158">
        <f>+FY303/FY85*1000000</f>
        <v>9576.427255985267</v>
      </c>
      <c r="FZ312" s="158">
        <f>+FZ303/FZ85*1000000</f>
        <v>9375</v>
      </c>
      <c r="GA312" s="158">
        <f>+GA303/GA85*1000000</f>
        <v>10000</v>
      </c>
      <c r="GB312" s="158">
        <f>+GB303/GB85*1000000</f>
        <v>9607.3903002309471</v>
      </c>
      <c r="GD312" s="159" t="s">
        <v>286</v>
      </c>
      <c r="GE312" s="158">
        <f>+GE303/GE85*1000000</f>
        <v>9883.7209302325573</v>
      </c>
      <c r="GF312" s="158">
        <f>+GF303/GF85*1000000</f>
        <v>9689.2138939670931</v>
      </c>
      <c r="GG312" s="158">
        <f>+GG303/GG85*1000000</f>
        <v>9574.4680851063822</v>
      </c>
      <c r="GH312" s="158">
        <f>+GH303/GH85*1000000</f>
        <v>9420.289855072464</v>
      </c>
      <c r="GI312" s="158">
        <f>+GI303/GI85*1000000</f>
        <v>9591.5557595227147</v>
      </c>
      <c r="GK312" s="159" t="s">
        <v>286</v>
      </c>
      <c r="GL312" s="158">
        <f>+GL303/GL85*1000000</f>
        <v>9626.7190569744598</v>
      </c>
      <c r="GM312" s="158">
        <f>+GM303/GM85*1000000</f>
        <v>9461.9666048237468</v>
      </c>
      <c r="GN312" s="158">
        <f>+GN303/GN85*1000000</f>
        <v>9245.2830188679254</v>
      </c>
      <c r="GO312" s="158">
        <f>+GO303/GO85*1000000</f>
        <v>9005.6285178236394</v>
      </c>
      <c r="GP312" s="158">
        <f>+GP303/GP85*1000000</f>
        <v>9284.6991946944581</v>
      </c>
      <c r="GR312" s="159" t="s">
        <v>286</v>
      </c>
      <c r="GS312" s="158">
        <f>+GS303/GS85*1000000</f>
        <v>9055.1181102362207</v>
      </c>
      <c r="GT312" s="158">
        <f>+GT303/GT85*1000000</f>
        <v>9245.2830188679254</v>
      </c>
      <c r="GU312" s="158">
        <f>+GU303/GU85*1000000</f>
        <v>9210.5263157894751</v>
      </c>
      <c r="GV312" s="158">
        <f>+GV303/GV85*1000000</f>
        <v>9018.0360721442885</v>
      </c>
      <c r="GW312" s="158">
        <f>+GW303/GW85*1000000</f>
        <v>9086.5152247462538</v>
      </c>
      <c r="GY312" s="159" t="s">
        <v>286</v>
      </c>
      <c r="GZ312" s="158">
        <f>+GZ303/GZ85*1000000</f>
        <v>10000</v>
      </c>
      <c r="HA312" s="158">
        <f>+HA303/HA85*1000000</f>
        <v>9190.3719912472661</v>
      </c>
      <c r="HB312" s="158">
        <f>+HB303/HB85*1000000</f>
        <v>9147.6091476091478</v>
      </c>
      <c r="HC312" s="158">
        <f>+HC303/HC85*1000000</f>
        <v>8969.4656488549626</v>
      </c>
      <c r="HD312" s="158">
        <f>+HD303/HD85*1000000</f>
        <v>9095.688748685594</v>
      </c>
      <c r="HF312" s="159" t="s">
        <v>286</v>
      </c>
      <c r="HG312" s="158">
        <f>+HG303/HG85*1000000</f>
        <v>9000</v>
      </c>
      <c r="HH312" s="158">
        <f>+HH303/HH85*1000000</f>
        <v>9665.4275092936805</v>
      </c>
      <c r="HI312" s="158">
        <f>+HI303/HI85*1000000</f>
        <v>9059.2334494773531</v>
      </c>
      <c r="HJ312" s="158">
        <f>+HJ303/HJ85*1000000</f>
        <v>9165.3027823240573</v>
      </c>
      <c r="HK312" s="158">
        <f>+HK303/HK85*1000000</f>
        <v>9176.7881241565447</v>
      </c>
      <c r="HM312" s="159" t="s">
        <v>286</v>
      </c>
      <c r="HN312" s="158">
        <f>+HN303/HN85*1000000</f>
        <v>9403.2549728752256</v>
      </c>
      <c r="HO312" s="158">
        <f>+HO303/HO85*1000000</f>
        <v>9638.5542168674692</v>
      </c>
      <c r="HP312" s="158">
        <f>+HP303/HP85*1000000</f>
        <v>9201.3888888888887</v>
      </c>
      <c r="HQ312" s="158">
        <f>+HQ303/HQ85*1000000</f>
        <v>9499.1364421416238</v>
      </c>
      <c r="HR312" s="158">
        <f>+HR303/HR85*1000000</f>
        <v>9436.4351245085199</v>
      </c>
      <c r="HT312" s="159" t="s">
        <v>286</v>
      </c>
      <c r="HU312" s="158">
        <f>+HU303/HU85*1000000</f>
        <v>9666.6666666666679</v>
      </c>
      <c r="HV312" s="158">
        <f>+HV303/HV85*1000000</f>
        <v>9697.9332273449909</v>
      </c>
      <c r="HW312" s="158">
        <f>+HW303/HW85*1000000</f>
        <v>9646.3022508038594</v>
      </c>
      <c r="HX312" s="158">
        <f>+HX303/HX85*1000000</f>
        <v>9666.6666666666679</v>
      </c>
      <c r="HY312" s="158">
        <f>+HY303/HY85*1000000</f>
        <v>9628.7229702162385</v>
      </c>
      <c r="IA312" s="159" t="s">
        <v>286</v>
      </c>
      <c r="IB312" s="158">
        <f>+IB303/IB85*1000000</f>
        <v>9593.4959349593501</v>
      </c>
      <c r="IC312" s="158">
        <f>+IC303/IC85*1000000</f>
        <v>9782.6086956521722</v>
      </c>
      <c r="ID312" s="158">
        <f>+ID303/ID85*1000000</f>
        <v>9741.248097412481</v>
      </c>
      <c r="IE312" s="158">
        <f>+IE303/IE85*1000000</f>
        <v>9609.6096096096117</v>
      </c>
      <c r="IF312" s="158">
        <f>+IF303/IF85*1000000</f>
        <v>9682.4167312161117</v>
      </c>
      <c r="IH312" s="159" t="s">
        <v>286</v>
      </c>
      <c r="II312" s="158">
        <f>+II303/II85*1000000</f>
        <v>9891.8083462132927</v>
      </c>
      <c r="IJ312" s="158">
        <f>+IJ303/IJ85*1000000</f>
        <v>9985.5282199710582</v>
      </c>
      <c r="IK312" s="158">
        <f>+IK303/IK85*1000000</f>
        <v>9840.8104196816221</v>
      </c>
      <c r="IL312" s="158">
        <f>+IL303/IL85*1000000</f>
        <v>10014.306151645207</v>
      </c>
      <c r="IM312" s="158">
        <f>+IM303/IM85*1000000</f>
        <v>9934.0175953079197</v>
      </c>
      <c r="IO312" s="159" t="s">
        <v>286</v>
      </c>
      <c r="IP312" s="158">
        <f>+IP303/IP85*1000000</f>
        <v>10229.007633587786</v>
      </c>
      <c r="IQ312" s="158">
        <f>+IQ303/IQ85*1000000</f>
        <v>10235.131396957124</v>
      </c>
      <c r="IR312" s="158">
        <f>+IR303/IR85*1000000</f>
        <v>9712.7222982216135</v>
      </c>
      <c r="IS312" s="158">
        <f>+IS303/IS85*1000000</f>
        <v>9739.3689986282589</v>
      </c>
      <c r="IT312" s="158">
        <f>+IT303/IT85*1000000</f>
        <v>9936.5750528541212</v>
      </c>
      <c r="IV312" s="159" t="s">
        <v>286</v>
      </c>
      <c r="IW312" s="158">
        <f>+IW303/IW85*1000000</f>
        <v>9734.5132743362828</v>
      </c>
      <c r="IX312" s="158">
        <f>+IX303/IX85*1000000</f>
        <v>9942.3631123919313</v>
      </c>
      <c r="IY312" s="158">
        <f>+IY303/IY85*1000000</f>
        <v>9838.4728340675483</v>
      </c>
      <c r="IZ312" s="158">
        <f>+IZ303/IZ85*1000000</f>
        <v>10026.385224274405</v>
      </c>
      <c r="JA312" s="158">
        <f>+JA303/JA85*1000000</f>
        <v>9889.7189612237635</v>
      </c>
      <c r="JC312" s="159" t="s">
        <v>286</v>
      </c>
      <c r="JD312" s="158">
        <f>+JD303/JD85*1000000</f>
        <v>10174.418604651164</v>
      </c>
      <c r="JE312" s="158">
        <f>+JE303/JE85*1000000</f>
        <v>10167.130919220055</v>
      </c>
      <c r="JF312" s="158">
        <f>+JF303/JF85*1000000</f>
        <v>10027.855153203343</v>
      </c>
      <c r="JG312" s="158">
        <f>+JG303/JG85*1000000</f>
        <v>10152.990264255912</v>
      </c>
      <c r="JH312" s="158">
        <f>+JH303/JH85*1000000</f>
        <v>10130.144213858601</v>
      </c>
      <c r="JJ312" s="159" t="s">
        <v>286</v>
      </c>
      <c r="JK312" s="158">
        <f>+JK303/JK85*1000000</f>
        <v>10304.78955007257</v>
      </c>
      <c r="JL312" s="158">
        <f>+JL303/JL85*1000000</f>
        <v>10476.190476190475</v>
      </c>
      <c r="JM312" s="158">
        <f>+JM303/JM85*1000000</f>
        <v>9878.2138024357246</v>
      </c>
      <c r="JN312" s="158">
        <f>+JN303/JN85*1000000</f>
        <v>9972.6775956284164</v>
      </c>
      <c r="JO312" s="158">
        <f>+JO303/JO85*1000000</f>
        <v>10120.898100172712</v>
      </c>
      <c r="JQ312" s="159" t="s">
        <v>286</v>
      </c>
      <c r="JR312" s="158">
        <f>+JR303/JR85*1000000</f>
        <v>9893.4550989345498</v>
      </c>
      <c r="JS312" s="158">
        <f>+JS303/JS85*1000000</f>
        <v>10334.346504559271</v>
      </c>
      <c r="JT312" s="158">
        <f>+JT303/JT85*1000000</f>
        <v>9955.4234769687973</v>
      </c>
      <c r="JU312" s="158">
        <f>+JU303/JU85*1000000</f>
        <v>10117.302052785924</v>
      </c>
      <c r="JV312" s="158">
        <f>+JV303/JV85*1000000</f>
        <v>10074.906367041198</v>
      </c>
      <c r="JX312" s="159" t="s">
        <v>286</v>
      </c>
      <c r="JY312" s="158">
        <f>+JY303/JY85*1000000</f>
        <v>10303.030303030304</v>
      </c>
      <c r="JZ312" s="158">
        <f>+JZ303/JZ85*1000000</f>
        <v>10409.556313993175</v>
      </c>
      <c r="KA312" s="158">
        <f>+KA303/KA85*1000000</f>
        <v>10320.781032078103</v>
      </c>
      <c r="KB312" s="158">
        <f>+KB303/KB85*1000000</f>
        <v>10303.830911492734</v>
      </c>
      <c r="KC312" s="158">
        <f>+KC303/KC85*1000000</f>
        <v>10330.882352941177</v>
      </c>
      <c r="KE312" s="159" t="s">
        <v>286</v>
      </c>
      <c r="KF312" s="158">
        <f>+KF303/KF85*1000000</f>
        <v>10606.060606060606</v>
      </c>
      <c r="KG312" s="158">
        <f>+KG303/KG85*1000000</f>
        <v>10771.276595744681</v>
      </c>
      <c r="KH312" s="158">
        <f>+KH303/KH85*1000000</f>
        <v>10483.870967741934</v>
      </c>
      <c r="KI312" s="158">
        <f>+KI303/KI85*1000000</f>
        <v>10477.453580901858</v>
      </c>
      <c r="KJ312" s="158">
        <f>+KJ303/KJ85*1000000</f>
        <v>10584.677419354837</v>
      </c>
      <c r="KL312" s="159" t="s">
        <v>286</v>
      </c>
      <c r="KM312" s="158">
        <f>+KM303/KM85*1000000</f>
        <v>10526.315789473683</v>
      </c>
      <c r="KN312" s="158">
        <f>+KN303/KN85*1000000</f>
        <v>10144.927536231886</v>
      </c>
      <c r="KO312" s="158">
        <f>+KO303/KO85*1000000</f>
        <v>9973.7532808398955</v>
      </c>
      <c r="KP312" s="158">
        <f>+KP303/KP85*1000000</f>
        <v>9861.1111111111113</v>
      </c>
      <c r="KQ312" s="158">
        <f>+KQ303/KQ85*1000000</f>
        <v>10124.873439082012</v>
      </c>
      <c r="KS312" s="159" t="s">
        <v>286</v>
      </c>
      <c r="KT312" s="158">
        <f>+KT303/KT85*1000000</f>
        <v>10550.458715596331</v>
      </c>
      <c r="KU312" s="158">
        <f>+KU303/KU85*1000000</f>
        <v>10233.91812865497</v>
      </c>
      <c r="KV312" s="158">
        <f>+KV303/KV85*1000000</f>
        <v>10028.248587570621</v>
      </c>
      <c r="KW312" s="158">
        <f>+KW303/KW85*1000000</f>
        <v>10138.888888888889</v>
      </c>
      <c r="KX312" s="158">
        <f>+KX303/KX85*1000000</f>
        <v>10231.381055676067</v>
      </c>
      <c r="KZ312" s="159" t="s">
        <v>286</v>
      </c>
      <c r="LA312" s="158">
        <f>+LA303/LA85*1000000</f>
        <v>10128.388017118403</v>
      </c>
      <c r="LB312" s="158">
        <f>+LB303/LB85*1000000</f>
        <v>10055.865921787708</v>
      </c>
      <c r="LC312" s="176">
        <f t="shared" ref="LC312:LE312" si="7082">+LC303/LC85*1000000</f>
        <v>9863.0136986301368</v>
      </c>
      <c r="LD312" s="176">
        <f t="shared" si="7082"/>
        <v>9785.5227882037543</v>
      </c>
      <c r="LE312" s="158">
        <f t="shared" si="7082"/>
        <v>9955.0639474593845</v>
      </c>
      <c r="LF312" s="568"/>
      <c r="LG312" s="157" t="s">
        <v>286</v>
      </c>
      <c r="LH312" s="176">
        <f t="shared" ref="LH312:LL312" si="7083">+LH303/LH85*1000000</f>
        <v>9916.2011173184364</v>
      </c>
      <c r="LI312" s="176">
        <f t="shared" si="7083"/>
        <v>10288.0658436214</v>
      </c>
      <c r="LJ312" s="176">
        <f>+LJ303/LJ85*1000000</f>
        <v>10026.041666666668</v>
      </c>
      <c r="LK312" s="176">
        <f t="shared" si="7083"/>
        <v>9590.7928388746805</v>
      </c>
      <c r="LL312" s="158">
        <f t="shared" si="7083"/>
        <v>9949.916527545909</v>
      </c>
      <c r="LM312" s="568"/>
      <c r="LN312" s="157" t="s">
        <v>286</v>
      </c>
      <c r="LO312" s="176">
        <f t="shared" ref="LO312:LS312" si="7084">+LO303/LO85*1000000</f>
        <v>9916.2011173184364</v>
      </c>
      <c r="LP312" s="176">
        <f t="shared" si="7084"/>
        <v>10288.0658436214</v>
      </c>
      <c r="LQ312" s="176">
        <f t="shared" si="7084"/>
        <v>10026.041666666666</v>
      </c>
      <c r="LR312" s="176">
        <f t="shared" si="7084"/>
        <v>9590.7928388746805</v>
      </c>
      <c r="LS312" s="158">
        <f t="shared" si="7084"/>
        <v>9949.9549530907261</v>
      </c>
      <c r="LT312" s="568"/>
      <c r="LU312" s="157" t="s">
        <v>286</v>
      </c>
      <c r="LV312" s="176">
        <f t="shared" ref="LV312:LZ312" si="7085">+LV303/LV85*1000000</f>
        <v>9916.2011173184383</v>
      </c>
      <c r="LW312" s="176">
        <f t="shared" si="7085"/>
        <v>10288.065843621398</v>
      </c>
      <c r="LX312" s="176">
        <f t="shared" si="7085"/>
        <v>10026.041666666666</v>
      </c>
      <c r="LY312" s="176">
        <f t="shared" si="7085"/>
        <v>9590.7928388746805</v>
      </c>
      <c r="LZ312" s="158">
        <f t="shared" si="7085"/>
        <v>9949.9549530907261</v>
      </c>
      <c r="MA312" s="568"/>
      <c r="MB312" s="157" t="s">
        <v>286</v>
      </c>
      <c r="MC312" s="176">
        <f t="shared" ref="MC312:MG312" si="7086">+MC303/MC85*1000000</f>
        <v>9916.2011173184383</v>
      </c>
      <c r="MD312" s="176">
        <f t="shared" si="7086"/>
        <v>10288.0658436214</v>
      </c>
      <c r="ME312" s="176">
        <f t="shared" si="7086"/>
        <v>10026.041666666668</v>
      </c>
      <c r="MF312" s="176">
        <f t="shared" si="7086"/>
        <v>9590.7928388746805</v>
      </c>
      <c r="MG312" s="158">
        <f t="shared" si="7086"/>
        <v>9949.9549530907298</v>
      </c>
      <c r="MH312" s="568"/>
    </row>
    <row r="313" spans="1:346" s="37" customFormat="1" ht="13.15" x14ac:dyDescent="0.4">
      <c r="A313" s="100"/>
      <c r="B313" s="157"/>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c r="AA313" s="158"/>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Y313" s="158"/>
      <c r="AZ313" s="158"/>
      <c r="BA313" s="158"/>
      <c r="BB313" s="158"/>
      <c r="BC313" s="158"/>
      <c r="BD313" s="158"/>
      <c r="BE313" s="158"/>
      <c r="BF313" s="158"/>
      <c r="BG313" s="158"/>
      <c r="BH313" s="158"/>
      <c r="BI313" s="158"/>
      <c r="BJ313" s="158"/>
      <c r="BK313" s="158"/>
      <c r="BL313" s="158"/>
      <c r="BM313" s="158"/>
      <c r="BO313" s="159"/>
      <c r="BP313" s="158"/>
      <c r="BQ313" s="158"/>
      <c r="BR313" s="158"/>
      <c r="BS313" s="158"/>
      <c r="BT313" s="158"/>
      <c r="BV313" s="159"/>
      <c r="BW313" s="158"/>
      <c r="BX313" s="158"/>
      <c r="BY313" s="158"/>
      <c r="BZ313" s="158"/>
      <c r="CA313" s="158"/>
      <c r="CC313" s="159"/>
      <c r="CD313" s="158"/>
      <c r="CE313" s="158"/>
      <c r="CF313" s="158"/>
      <c r="CG313" s="158"/>
      <c r="CH313" s="158"/>
      <c r="CJ313" s="159"/>
      <c r="CK313" s="158"/>
      <c r="CL313" s="158"/>
      <c r="CM313" s="158"/>
      <c r="CN313" s="158"/>
      <c r="CO313" s="158"/>
      <c r="CQ313" s="159"/>
      <c r="CR313" s="158"/>
      <c r="CS313" s="158"/>
      <c r="CT313" s="158"/>
      <c r="CU313" s="158"/>
      <c r="CV313" s="158"/>
      <c r="CX313" s="159"/>
      <c r="CY313" s="158"/>
      <c r="CZ313" s="158"/>
      <c r="DA313" s="158"/>
      <c r="DB313" s="158"/>
      <c r="DC313" s="158"/>
      <c r="DE313" s="159"/>
      <c r="DF313" s="158"/>
      <c r="DG313" s="158"/>
      <c r="DH313" s="158"/>
      <c r="DI313" s="158"/>
      <c r="DJ313" s="158"/>
      <c r="DL313" s="159"/>
      <c r="DM313" s="158"/>
      <c r="DN313" s="158"/>
      <c r="DO313" s="158"/>
      <c r="DP313" s="158"/>
      <c r="DQ313" s="158"/>
      <c r="DS313" s="159"/>
      <c r="DT313" s="158"/>
      <c r="DU313" s="158"/>
      <c r="DV313" s="158"/>
      <c r="DW313" s="158"/>
      <c r="DX313" s="158"/>
      <c r="DZ313" s="159"/>
      <c r="EA313" s="158"/>
      <c r="EB313" s="158"/>
      <c r="EC313" s="158"/>
      <c r="ED313" s="158"/>
      <c r="EE313" s="158"/>
      <c r="EG313" s="159"/>
      <c r="EH313" s="158"/>
      <c r="EI313" s="158"/>
      <c r="EJ313" s="158"/>
      <c r="EK313" s="158"/>
      <c r="EL313" s="158"/>
      <c r="EN313" s="159"/>
      <c r="EO313" s="158"/>
      <c r="EP313" s="158"/>
      <c r="EQ313" s="158"/>
      <c r="ER313" s="158"/>
      <c r="ES313" s="158"/>
      <c r="EU313" s="159"/>
      <c r="EV313" s="158"/>
      <c r="EW313" s="158"/>
      <c r="EX313" s="158"/>
      <c r="EY313" s="158"/>
      <c r="EZ313" s="158"/>
      <c r="FB313" s="159"/>
      <c r="FC313" s="158"/>
      <c r="FD313" s="158"/>
      <c r="FE313" s="158"/>
      <c r="FF313" s="158"/>
      <c r="FG313" s="158"/>
      <c r="FI313" s="159"/>
      <c r="FJ313" s="158"/>
      <c r="FK313" s="158"/>
      <c r="FL313" s="158"/>
      <c r="FM313" s="158"/>
      <c r="FN313" s="158"/>
      <c r="FP313" s="159"/>
      <c r="FQ313" s="158"/>
      <c r="FR313" s="158"/>
      <c r="FS313" s="158"/>
      <c r="FT313" s="158"/>
      <c r="FU313" s="158"/>
      <c r="FW313" s="159"/>
      <c r="FX313" s="158"/>
      <c r="FY313" s="158"/>
      <c r="FZ313" s="158"/>
      <c r="GA313" s="158"/>
      <c r="GB313" s="158"/>
      <c r="GD313" s="159"/>
      <c r="GE313" s="158"/>
      <c r="GF313" s="158"/>
      <c r="GG313" s="158"/>
      <c r="GH313" s="158"/>
      <c r="GI313" s="158"/>
      <c r="GK313" s="159"/>
      <c r="GL313" s="158"/>
      <c r="GM313" s="158"/>
      <c r="GN313" s="158"/>
      <c r="GO313" s="158"/>
      <c r="GP313" s="158"/>
      <c r="GR313" s="159"/>
      <c r="GS313" s="158"/>
      <c r="GT313" s="158"/>
      <c r="GU313" s="158"/>
      <c r="GV313" s="158"/>
      <c r="GW313" s="158"/>
      <c r="GY313" s="159"/>
      <c r="GZ313" s="158"/>
      <c r="HA313" s="158"/>
      <c r="HB313" s="158"/>
      <c r="HC313" s="158"/>
      <c r="HD313" s="158"/>
      <c r="HF313" s="159"/>
      <c r="HG313" s="158"/>
      <c r="HH313" s="158"/>
      <c r="HI313" s="158"/>
      <c r="HJ313" s="158"/>
      <c r="HK313" s="158"/>
      <c r="HM313" s="159"/>
      <c r="HN313" s="158"/>
      <c r="HO313" s="158"/>
      <c r="HP313" s="158"/>
      <c r="HQ313" s="158"/>
      <c r="HR313" s="158"/>
      <c r="HT313" s="159"/>
      <c r="HU313" s="158"/>
      <c r="HV313" s="158"/>
      <c r="HW313" s="158"/>
      <c r="HX313" s="158"/>
      <c r="HY313" s="158"/>
      <c r="IA313" s="159"/>
      <c r="IB313" s="158"/>
      <c r="IC313" s="158"/>
      <c r="ID313" s="158"/>
      <c r="IE313" s="158"/>
      <c r="IF313" s="158"/>
      <c r="IH313" s="159"/>
      <c r="II313" s="158"/>
      <c r="IJ313" s="158"/>
      <c r="IK313" s="158"/>
      <c r="IL313" s="158"/>
      <c r="IM313" s="158"/>
      <c r="IO313" s="159"/>
      <c r="IP313" s="158"/>
      <c r="IQ313" s="158"/>
      <c r="IR313" s="158"/>
      <c r="IS313" s="158"/>
      <c r="IT313" s="158"/>
      <c r="IV313" s="159"/>
      <c r="IW313" s="158"/>
      <c r="IX313" s="158"/>
      <c r="IY313" s="158"/>
      <c r="IZ313" s="158"/>
      <c r="JA313" s="158"/>
      <c r="JC313" s="159"/>
      <c r="JD313" s="158"/>
      <c r="JE313" s="158"/>
      <c r="JF313" s="158"/>
      <c r="JG313" s="158"/>
      <c r="JH313" s="158"/>
      <c r="JJ313" s="159"/>
      <c r="JK313" s="158"/>
      <c r="JL313" s="158"/>
      <c r="JM313" s="158"/>
      <c r="JN313" s="158"/>
      <c r="JO313" s="158"/>
      <c r="JQ313" s="159"/>
      <c r="JR313" s="158"/>
      <c r="JS313" s="158"/>
      <c r="JT313" s="158"/>
      <c r="JU313" s="158"/>
      <c r="JV313" s="158"/>
      <c r="JX313" s="159"/>
      <c r="JY313" s="158"/>
      <c r="JZ313" s="158"/>
      <c r="KA313" s="158"/>
      <c r="KB313" s="158"/>
      <c r="KC313" s="158"/>
      <c r="KE313" s="159"/>
      <c r="KF313" s="158"/>
      <c r="KG313" s="158"/>
      <c r="KH313" s="158"/>
      <c r="KI313" s="158"/>
      <c r="KJ313" s="158"/>
      <c r="KL313" s="159"/>
      <c r="KM313" s="158"/>
      <c r="KN313" s="158"/>
      <c r="KO313" s="158"/>
      <c r="KP313" s="158"/>
      <c r="KQ313" s="158"/>
      <c r="KS313" s="159"/>
      <c r="KT313" s="158"/>
      <c r="KU313" s="158"/>
      <c r="KV313" s="158"/>
      <c r="KW313" s="158"/>
      <c r="KX313" s="158"/>
      <c r="KZ313" s="159"/>
      <c r="LA313" s="158"/>
      <c r="LB313" s="158"/>
      <c r="LC313" s="158"/>
      <c r="LD313" s="158"/>
      <c r="LE313" s="158"/>
      <c r="LF313" s="568"/>
      <c r="LG313" s="157"/>
      <c r="LH313" s="158"/>
      <c r="LI313" s="158"/>
      <c r="LJ313" s="158"/>
      <c r="LK313" s="158"/>
      <c r="LL313" s="158"/>
      <c r="LM313" s="568"/>
      <c r="LN313" s="157"/>
      <c r="LO313" s="158"/>
      <c r="LP313" s="158"/>
      <c r="LQ313" s="158"/>
      <c r="LR313" s="158"/>
      <c r="LS313" s="158"/>
      <c r="LT313" s="568"/>
      <c r="LU313" s="157"/>
      <c r="LV313" s="158"/>
      <c r="LW313" s="158"/>
      <c r="LX313" s="158"/>
      <c r="LY313" s="158"/>
      <c r="LZ313" s="158"/>
      <c r="MA313" s="568"/>
      <c r="MB313" s="157"/>
      <c r="MC313" s="158"/>
      <c r="MD313" s="158"/>
      <c r="ME313" s="158"/>
      <c r="MF313" s="158"/>
      <c r="MG313" s="158"/>
      <c r="MH313" s="568"/>
    </row>
    <row r="314" spans="1:346" s="37" customFormat="1" ht="13.15" x14ac:dyDescent="0.4">
      <c r="A314" s="100"/>
      <c r="B314" s="157" t="s">
        <v>435</v>
      </c>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c r="AA314" s="158"/>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Y314" s="158"/>
      <c r="AZ314" s="158"/>
      <c r="BA314" s="158"/>
      <c r="BB314" s="158"/>
      <c r="BC314" s="158"/>
      <c r="BD314" s="158"/>
      <c r="BE314" s="158"/>
      <c r="BF314" s="158"/>
      <c r="BG314" s="158"/>
      <c r="BH314" s="158"/>
      <c r="BI314" s="158"/>
      <c r="BJ314" s="158"/>
      <c r="BK314" s="158"/>
      <c r="BL314" s="158"/>
      <c r="BM314" s="158"/>
      <c r="BO314" s="159" t="s">
        <v>435</v>
      </c>
      <c r="BP314" s="158"/>
      <c r="BQ314" s="158"/>
      <c r="BR314" s="158"/>
      <c r="BS314" s="158"/>
      <c r="BT314" s="158"/>
      <c r="BV314" s="159" t="s">
        <v>435</v>
      </c>
      <c r="BW314" s="158"/>
      <c r="BX314" s="158"/>
      <c r="BY314" s="158"/>
      <c r="BZ314" s="158"/>
      <c r="CA314" s="158"/>
      <c r="CC314" s="159" t="s">
        <v>435</v>
      </c>
      <c r="CD314" s="158"/>
      <c r="CE314" s="158"/>
      <c r="CF314" s="158"/>
      <c r="CG314" s="158"/>
      <c r="CH314" s="158"/>
      <c r="CJ314" s="159" t="s">
        <v>435</v>
      </c>
      <c r="CK314" s="158"/>
      <c r="CL314" s="158"/>
      <c r="CM314" s="158"/>
      <c r="CN314" s="158"/>
      <c r="CO314" s="158"/>
      <c r="CQ314" s="159" t="s">
        <v>435</v>
      </c>
      <c r="CR314" s="158"/>
      <c r="CS314" s="158"/>
      <c r="CT314" s="158"/>
      <c r="CU314" s="158"/>
      <c r="CV314" s="158"/>
      <c r="CX314" s="159" t="s">
        <v>435</v>
      </c>
      <c r="CY314" s="158"/>
      <c r="CZ314" s="158"/>
      <c r="DA314" s="158"/>
      <c r="DB314" s="158"/>
      <c r="DC314" s="158"/>
      <c r="DE314" s="159" t="s">
        <v>435</v>
      </c>
      <c r="DF314" s="158"/>
      <c r="DG314" s="158"/>
      <c r="DH314" s="158"/>
      <c r="DI314" s="158"/>
      <c r="DJ314" s="158"/>
      <c r="DL314" s="159" t="s">
        <v>435</v>
      </c>
      <c r="DM314" s="158"/>
      <c r="DN314" s="158"/>
      <c r="DO314" s="158"/>
      <c r="DP314" s="158"/>
      <c r="DQ314" s="158"/>
      <c r="DS314" s="159" t="s">
        <v>435</v>
      </c>
      <c r="DT314" s="158"/>
      <c r="DU314" s="158"/>
      <c r="DV314" s="158"/>
      <c r="DW314" s="158"/>
      <c r="DX314" s="158"/>
      <c r="DZ314" s="159" t="s">
        <v>435</v>
      </c>
      <c r="EA314" s="158"/>
      <c r="EB314" s="158"/>
      <c r="EC314" s="158"/>
      <c r="ED314" s="158"/>
      <c r="EE314" s="158"/>
      <c r="EG314" s="159" t="s">
        <v>435</v>
      </c>
      <c r="EH314" s="158"/>
      <c r="EI314" s="158"/>
      <c r="EJ314" s="158"/>
      <c r="EK314" s="158"/>
      <c r="EL314" s="158"/>
      <c r="EN314" s="159" t="s">
        <v>435</v>
      </c>
      <c r="EO314" s="158"/>
      <c r="EP314" s="158"/>
      <c r="EQ314" s="158"/>
      <c r="ER314" s="158"/>
      <c r="ES314" s="158"/>
      <c r="EU314" s="159" t="s">
        <v>435</v>
      </c>
      <c r="EV314" s="158"/>
      <c r="EW314" s="158"/>
      <c r="EX314" s="158"/>
      <c r="EY314" s="158"/>
      <c r="EZ314" s="158"/>
      <c r="FB314" s="159" t="s">
        <v>435</v>
      </c>
      <c r="FC314" s="158"/>
      <c r="FD314" s="158"/>
      <c r="FE314" s="158"/>
      <c r="FF314" s="158"/>
      <c r="FG314" s="158"/>
      <c r="FI314" s="159" t="s">
        <v>435</v>
      </c>
      <c r="FJ314" s="158"/>
      <c r="FK314" s="158"/>
      <c r="FL314" s="158"/>
      <c r="FM314" s="158"/>
      <c r="FN314" s="158"/>
      <c r="FP314" s="159" t="s">
        <v>435</v>
      </c>
      <c r="FQ314" s="158"/>
      <c r="FR314" s="158"/>
      <c r="FS314" s="158"/>
      <c r="FT314" s="158"/>
      <c r="FU314" s="158"/>
      <c r="FW314" s="159" t="s">
        <v>435</v>
      </c>
      <c r="FX314" s="158"/>
      <c r="FY314" s="158"/>
      <c r="FZ314" s="158"/>
      <c r="GA314" s="158"/>
      <c r="GB314" s="158"/>
      <c r="GD314" s="159" t="s">
        <v>435</v>
      </c>
      <c r="GE314" s="158"/>
      <c r="GF314" s="158"/>
      <c r="GG314" s="158"/>
      <c r="GH314" s="158"/>
      <c r="GI314" s="158"/>
      <c r="GK314" s="159" t="s">
        <v>435</v>
      </c>
      <c r="GL314" s="158"/>
      <c r="GM314" s="158"/>
      <c r="GN314" s="158"/>
      <c r="GO314" s="158"/>
      <c r="GP314" s="158"/>
      <c r="GR314" s="159" t="s">
        <v>435</v>
      </c>
      <c r="GS314" s="158"/>
      <c r="GT314" s="158"/>
      <c r="GU314" s="158"/>
      <c r="GV314" s="158"/>
      <c r="GW314" s="158"/>
      <c r="GY314" s="159" t="s">
        <v>435</v>
      </c>
      <c r="GZ314" s="158"/>
      <c r="HA314" s="158"/>
      <c r="HB314" s="158"/>
      <c r="HC314" s="158"/>
      <c r="HD314" s="158"/>
      <c r="HF314" s="159" t="s">
        <v>435</v>
      </c>
      <c r="HG314" s="158"/>
      <c r="HH314" s="158"/>
      <c r="HI314" s="158"/>
      <c r="HJ314" s="158"/>
      <c r="HK314" s="158"/>
      <c r="HM314" s="159" t="s">
        <v>435</v>
      </c>
      <c r="HN314" s="158"/>
      <c r="HO314" s="158"/>
      <c r="HP314" s="158"/>
      <c r="HQ314" s="158"/>
      <c r="HR314" s="158"/>
      <c r="HT314" s="159" t="s">
        <v>435</v>
      </c>
      <c r="HU314" s="158"/>
      <c r="HV314" s="158"/>
      <c r="HW314" s="158"/>
      <c r="HX314" s="158"/>
      <c r="HY314" s="158"/>
      <c r="IA314" s="159" t="s">
        <v>435</v>
      </c>
      <c r="IB314" s="158"/>
      <c r="IC314" s="158"/>
      <c r="ID314" s="158"/>
      <c r="IE314" s="158"/>
      <c r="IF314" s="158"/>
      <c r="IH314" s="159" t="s">
        <v>435</v>
      </c>
      <c r="II314" s="158"/>
      <c r="IJ314" s="158"/>
      <c r="IK314" s="158"/>
      <c r="IL314" s="158"/>
      <c r="IM314" s="158"/>
      <c r="IO314" s="159" t="s">
        <v>435</v>
      </c>
      <c r="IP314" s="158"/>
      <c r="IQ314" s="158"/>
      <c r="IR314" s="158"/>
      <c r="IS314" s="158"/>
      <c r="IT314" s="158"/>
      <c r="IV314" s="159" t="s">
        <v>435</v>
      </c>
      <c r="IW314" s="158"/>
      <c r="IX314" s="158"/>
      <c r="IY314" s="158"/>
      <c r="IZ314" s="158"/>
      <c r="JA314" s="158"/>
      <c r="JC314" s="159" t="s">
        <v>435</v>
      </c>
      <c r="JD314" s="158"/>
      <c r="JE314" s="158"/>
      <c r="JF314" s="158"/>
      <c r="JG314" s="158"/>
      <c r="JH314" s="158"/>
      <c r="JJ314" s="159" t="s">
        <v>435</v>
      </c>
      <c r="JK314" s="158"/>
      <c r="JL314" s="158"/>
      <c r="JM314" s="158"/>
      <c r="JN314" s="158"/>
      <c r="JO314" s="158"/>
      <c r="JQ314" s="159" t="s">
        <v>435</v>
      </c>
      <c r="JR314" s="158"/>
      <c r="JS314" s="158"/>
      <c r="JT314" s="158"/>
      <c r="JU314" s="158"/>
      <c r="JV314" s="158"/>
      <c r="JX314" s="159" t="s">
        <v>435</v>
      </c>
      <c r="JY314" s="158"/>
      <c r="JZ314" s="158"/>
      <c r="KA314" s="158"/>
      <c r="KB314" s="158"/>
      <c r="KC314" s="158"/>
      <c r="KE314" s="159" t="s">
        <v>435</v>
      </c>
      <c r="KF314" s="158"/>
      <c r="KG314" s="158"/>
      <c r="KH314" s="158"/>
      <c r="KI314" s="158"/>
      <c r="KJ314" s="158"/>
      <c r="KL314" s="159" t="s">
        <v>435</v>
      </c>
      <c r="KM314" s="158"/>
      <c r="KN314" s="158"/>
      <c r="KO314" s="158"/>
      <c r="KP314" s="158"/>
      <c r="KQ314" s="158"/>
      <c r="KS314" s="159" t="s">
        <v>435</v>
      </c>
      <c r="KT314" s="158"/>
      <c r="KU314" s="158"/>
      <c r="KV314" s="158"/>
      <c r="KW314" s="158"/>
      <c r="KX314" s="158"/>
      <c r="KZ314" s="159" t="s">
        <v>435</v>
      </c>
      <c r="LA314" s="158"/>
      <c r="LB314" s="158"/>
      <c r="LC314" s="158"/>
      <c r="LD314" s="158"/>
      <c r="LE314" s="158"/>
      <c r="LF314" s="568"/>
      <c r="LG314" s="157" t="s">
        <v>435</v>
      </c>
      <c r="LH314" s="158"/>
      <c r="LI314" s="158"/>
      <c r="LJ314" s="158"/>
      <c r="LK314" s="158"/>
      <c r="LL314" s="158"/>
      <c r="LM314" s="568"/>
      <c r="LN314" s="157" t="s">
        <v>435</v>
      </c>
      <c r="LO314" s="158"/>
      <c r="LP314" s="158"/>
      <c r="LQ314" s="158"/>
      <c r="LR314" s="158"/>
      <c r="LS314" s="158"/>
      <c r="LT314" s="568"/>
      <c r="LU314" s="157" t="s">
        <v>435</v>
      </c>
      <c r="LV314" s="158"/>
      <c r="LW314" s="158"/>
      <c r="LX314" s="158"/>
      <c r="LY314" s="158"/>
      <c r="LZ314" s="158"/>
      <c r="MA314" s="568"/>
      <c r="MB314" s="157" t="s">
        <v>435</v>
      </c>
      <c r="MC314" s="158"/>
      <c r="MD314" s="158"/>
      <c r="ME314" s="158"/>
      <c r="MF314" s="158"/>
      <c r="MG314" s="158"/>
      <c r="MH314" s="568"/>
    </row>
    <row r="315" spans="1:346" s="37" customFormat="1" ht="13.15" x14ac:dyDescent="0.4">
      <c r="A315" s="100"/>
      <c r="B315" s="154" t="s">
        <v>285</v>
      </c>
      <c r="C315" s="155"/>
      <c r="D315" s="155"/>
      <c r="E315" s="155"/>
      <c r="F315" s="155"/>
      <c r="G315" s="155"/>
      <c r="H315" s="155"/>
      <c r="I315" s="155"/>
      <c r="J315" s="155"/>
      <c r="K315" s="155"/>
      <c r="L315" s="155"/>
      <c r="M315" s="155"/>
      <c r="N315" s="155">
        <f>BT315</f>
        <v>0</v>
      </c>
      <c r="O315" s="155">
        <f>CA315</f>
        <v>-3.2374642373136475E-2</v>
      </c>
      <c r="P315" s="155">
        <f>CH315</f>
        <v>8.935203860576979E-2</v>
      </c>
      <c r="Q315" s="155">
        <f>CO315</f>
        <v>-4.3256851409469443E-2</v>
      </c>
      <c r="R315" s="155">
        <f>CV315</f>
        <v>7.3933082465505562E-2</v>
      </c>
      <c r="S315" s="155">
        <f>DC315</f>
        <v>-2.7516059957173433E-2</v>
      </c>
      <c r="T315" s="155">
        <f>DJ315</f>
        <v>1.2824729714982608E-2</v>
      </c>
      <c r="U315" s="155">
        <f>DQ315</f>
        <v>-9.433717237080308E-3</v>
      </c>
      <c r="V315" s="155">
        <f>DX315</f>
        <v>1.711608743407389E-2</v>
      </c>
      <c r="W315" s="155">
        <f>EE315</f>
        <v>3.1076304807048372E-2</v>
      </c>
      <c r="X315" s="155">
        <f>EL315</f>
        <v>9.9981978543866257E-2</v>
      </c>
      <c r="Y315" s="155">
        <f>ES315</f>
        <v>7.1542196604436947E-2</v>
      </c>
      <c r="Z315" s="155">
        <f>EZ315</f>
        <v>1.8185489051630865E-2</v>
      </c>
      <c r="AA315" s="155">
        <f>FG315</f>
        <v>-1.9778481012655558E-4</v>
      </c>
      <c r="AB315" s="155">
        <f>FN315</f>
        <v>1.9174105321278612E-2</v>
      </c>
      <c r="AC315" s="155">
        <f>FU315</f>
        <v>5.2871846319924032E-3</v>
      </c>
      <c r="AD315" s="155">
        <f>GB315</f>
        <v>-2.3575747671187974E-2</v>
      </c>
      <c r="AE315" s="155">
        <f>GI315</f>
        <v>4.5095244957541247E-2</v>
      </c>
      <c r="AF315" s="155">
        <f>GP315</f>
        <v>1.6515217176648722E-2</v>
      </c>
      <c r="AG315" s="155">
        <f>GW315</f>
        <v>6.3895304672743736E-2</v>
      </c>
      <c r="AH315" s="155">
        <f>HD315</f>
        <v>9.1736163760424372E-2</v>
      </c>
      <c r="AI315" s="155">
        <f>HK315</f>
        <v>-7.7279752704784155E-4</v>
      </c>
      <c r="AJ315" s="155">
        <f>HR315</f>
        <v>-1.5064013460690195E-2</v>
      </c>
      <c r="AK315" s="155">
        <f>HY315</f>
        <v>-6.7730300240387287E-4</v>
      </c>
      <c r="AL315" s="155">
        <f>IF315</f>
        <v>8.6694865862488868E-3</v>
      </c>
      <c r="AM315" s="155">
        <f>IM315</f>
        <v>2.1781300723952013E-2</v>
      </c>
      <c r="AN315" s="155">
        <f>IT315</f>
        <v>-3.5106212764346445E-4</v>
      </c>
      <c r="AO315" s="155">
        <f>JA315</f>
        <v>-5.1855398564271238E-2</v>
      </c>
      <c r="AP315" s="155">
        <f>JH315</f>
        <v>-4.4656811365308413E-2</v>
      </c>
      <c r="AQ315" s="155">
        <f>JO315</f>
        <v>3.3829749103942541E-2</v>
      </c>
      <c r="AR315" s="155">
        <f>JV315</f>
        <v>-3.3645099140143797E-3</v>
      </c>
      <c r="AS315" s="155">
        <f>KC315</f>
        <v>3.7816814595660997E-2</v>
      </c>
      <c r="AT315" s="155">
        <f>KJ315</f>
        <v>1.0571161645913651E-3</v>
      </c>
      <c r="AU315" s="155">
        <f>KQ315</f>
        <v>2.6947269894270764E-3</v>
      </c>
      <c r="AV315" s="155">
        <f>KX315</f>
        <v>-8.5451451342332119E-3</v>
      </c>
      <c r="AW315" s="155">
        <f>LE315</f>
        <v>3.7227388595166833E-3</v>
      </c>
      <c r="AX315" s="155">
        <f>LL315</f>
        <v>2.3963086558645763E-2</v>
      </c>
      <c r="AY315" s="155">
        <f>LS315</f>
        <v>4.5987474972530862E-6</v>
      </c>
      <c r="AZ315" s="155">
        <f>LZ315</f>
        <v>1.5681212037765846E-6</v>
      </c>
      <c r="BA315" s="155">
        <f>MG315</f>
        <v>4.4558029665964227E-6</v>
      </c>
      <c r="BB315" s="155"/>
      <c r="BC315" s="155"/>
      <c r="BD315" s="155"/>
      <c r="BE315" s="155"/>
      <c r="BF315" s="155"/>
      <c r="BG315" s="155"/>
      <c r="BH315" s="155"/>
      <c r="BI315" s="155"/>
      <c r="BJ315" s="155"/>
      <c r="BK315" s="155"/>
      <c r="BL315" s="155"/>
      <c r="BM315" s="155"/>
      <c r="BO315" s="177" t="s">
        <v>285</v>
      </c>
      <c r="BP315" s="155"/>
      <c r="BQ315" s="155"/>
      <c r="BR315" s="155"/>
      <c r="BS315" s="155"/>
      <c r="BT315" s="155"/>
      <c r="BV315" s="177" t="s">
        <v>285</v>
      </c>
      <c r="BW315" s="155">
        <f t="shared" ref="BW315:CA317" si="7087">IFERROR(BW310/BP310-1,"NM")</f>
        <v>-0.13156558533145268</v>
      </c>
      <c r="BX315" s="155">
        <f t="shared" si="7087"/>
        <v>6.3534016112365421E-5</v>
      </c>
      <c r="BY315" s="155">
        <f t="shared" si="7087"/>
        <v>1.7848899830743115E-2</v>
      </c>
      <c r="BZ315" s="155">
        <f t="shared" si="7087"/>
        <v>6.1229342527640007E-3</v>
      </c>
      <c r="CA315" s="155">
        <f t="shared" si="7087"/>
        <v>-3.2374642373136475E-2</v>
      </c>
      <c r="CC315" s="177" t="s">
        <v>285</v>
      </c>
      <c r="CD315" s="155">
        <f t="shared" ref="CD315:CH317" si="7088">IFERROR(CD310/BW310-1,"NM")</f>
        <v>0.11623235613463634</v>
      </c>
      <c r="CE315" s="155">
        <f t="shared" si="7088"/>
        <v>0.10917372702343542</v>
      </c>
      <c r="CF315" s="155">
        <f t="shared" si="7088"/>
        <v>9.3844825670351018E-2</v>
      </c>
      <c r="CG315" s="155">
        <f t="shared" si="7088"/>
        <v>3.8903020667726551E-2</v>
      </c>
      <c r="CH315" s="155">
        <f t="shared" si="7088"/>
        <v>8.935203860576979E-2</v>
      </c>
      <c r="CJ315" s="177" t="s">
        <v>285</v>
      </c>
      <c r="CK315" s="155">
        <f t="shared" ref="CK315:CO317" si="7089">IFERROR(CK310/CD310-1,"NM")</f>
        <v>-3.6957635467980254E-2</v>
      </c>
      <c r="CL315" s="155">
        <f t="shared" si="7089"/>
        <v>-9.8230769230769233E-2</v>
      </c>
      <c r="CM315" s="155">
        <f t="shared" si="7089"/>
        <v>-7.2636554176180868E-3</v>
      </c>
      <c r="CN315" s="155">
        <f t="shared" si="7089"/>
        <v>-2.7820710973724849E-2</v>
      </c>
      <c r="CO315" s="155">
        <f t="shared" si="7089"/>
        <v>-4.3256851409469443E-2</v>
      </c>
      <c r="CQ315" s="177" t="s">
        <v>285</v>
      </c>
      <c r="CR315" s="155">
        <f t="shared" ref="CR315:CV317" si="7090">IFERROR(CR310/CK310-1,"NM")</f>
        <v>5.1793234083188366E-2</v>
      </c>
      <c r="CS315" s="155">
        <f t="shared" si="7090"/>
        <v>0.11311861743912011</v>
      </c>
      <c r="CT315" s="155">
        <f t="shared" si="7090"/>
        <v>4.6265724231826066E-2</v>
      </c>
      <c r="CU315" s="155">
        <f t="shared" si="7090"/>
        <v>8.502987872751766E-2</v>
      </c>
      <c r="CV315" s="155">
        <f t="shared" si="7090"/>
        <v>7.3933082465505562E-2</v>
      </c>
      <c r="CX315" s="177" t="s">
        <v>285</v>
      </c>
      <c r="CY315" s="155">
        <f t="shared" ref="CY315:DC317" si="7091">IFERROR(CY310/CR310-1,"NM")</f>
        <v>-1.7863757974891925E-2</v>
      </c>
      <c r="CZ315" s="155">
        <f t="shared" si="7091"/>
        <v>-1.8221202854230456E-2</v>
      </c>
      <c r="DA315" s="155">
        <f t="shared" si="7091"/>
        <v>-1.7297923411856653E-2</v>
      </c>
      <c r="DB315" s="155">
        <f t="shared" si="7091"/>
        <v>-5.4545454545454453E-2</v>
      </c>
      <c r="DC315" s="155">
        <f t="shared" si="7091"/>
        <v>-2.7516059957173433E-2</v>
      </c>
      <c r="DE315" s="177" t="s">
        <v>285</v>
      </c>
      <c r="DF315" s="155">
        <f t="shared" ref="DF315:DJ317" si="7092">IFERROR(DF310/CY310-1,"NM")</f>
        <v>1.6229498126420383E-2</v>
      </c>
      <c r="DG315" s="155">
        <f t="shared" si="7092"/>
        <v>2.5851938895418147E-3</v>
      </c>
      <c r="DH315" s="155">
        <f t="shared" si="7092"/>
        <v>9.4553950612503712E-3</v>
      </c>
      <c r="DI315" s="155">
        <f t="shared" si="7092"/>
        <v>2.1991532866167285E-2</v>
      </c>
      <c r="DJ315" s="155">
        <f t="shared" si="7092"/>
        <v>1.2824729714982608E-2</v>
      </c>
      <c r="DL315" s="177" t="s">
        <v>285</v>
      </c>
      <c r="DM315" s="155">
        <f t="shared" ref="DM315:DQ317" si="7093">IFERROR(DM310/DF310-1,"NM")</f>
        <v>5.7914156274814221E-3</v>
      </c>
      <c r="DN315" s="155">
        <f t="shared" si="7093"/>
        <v>-5.0217319780432312E-4</v>
      </c>
      <c r="DO315" s="155">
        <f t="shared" si="7093"/>
        <v>-2.7387758927734374E-2</v>
      </c>
      <c r="DP315" s="155">
        <f t="shared" si="7093"/>
        <v>-1.5725835047159631E-2</v>
      </c>
      <c r="DQ315" s="155">
        <f t="shared" si="7093"/>
        <v>-9.433717237080308E-3</v>
      </c>
      <c r="DS315" s="177" t="s">
        <v>285</v>
      </c>
      <c r="DT315" s="155">
        <f t="shared" ref="DT315:DX317" si="7094">IFERROR(DT310/DM310-1,"NM")</f>
        <v>-8.4745762711865291E-3</v>
      </c>
      <c r="DU315" s="155">
        <f t="shared" si="7094"/>
        <v>1.9301335681785048E-2</v>
      </c>
      <c r="DV315" s="155">
        <f t="shared" si="7094"/>
        <v>3.2204348372502301E-2</v>
      </c>
      <c r="DW315" s="155">
        <f t="shared" si="7094"/>
        <v>2.6485325697923834E-2</v>
      </c>
      <c r="DX315" s="155">
        <f t="shared" si="7094"/>
        <v>1.711608743407389E-2</v>
      </c>
      <c r="DZ315" s="177" t="s">
        <v>285</v>
      </c>
      <c r="EA315" s="155">
        <f t="shared" ref="EA315:EE317" si="7095">IFERROR(EA310/DT310-1,"NM")</f>
        <v>2.8112449799196915E-2</v>
      </c>
      <c r="EB315" s="155">
        <f t="shared" si="7095"/>
        <v>-3.2606385460354215E-3</v>
      </c>
      <c r="EC315" s="155">
        <f t="shared" si="7095"/>
        <v>7.0567038387175707E-2</v>
      </c>
      <c r="ED315" s="155">
        <f t="shared" si="7095"/>
        <v>2.8257808499744019E-2</v>
      </c>
      <c r="EE315" s="155">
        <f t="shared" si="7095"/>
        <v>3.1076304807048372E-2</v>
      </c>
      <c r="EG315" s="177" t="s">
        <v>285</v>
      </c>
      <c r="EH315" s="155">
        <f t="shared" ref="EH315:EL317" si="7096">IFERROR(EH310/EA310-1,"NM")</f>
        <v>-2.1391141370869171E-2</v>
      </c>
      <c r="EI315" s="155">
        <f t="shared" si="7096"/>
        <v>9.216399002104958E-2</v>
      </c>
      <c r="EJ315" s="155">
        <f t="shared" si="7096"/>
        <v>0.13491463328714715</v>
      </c>
      <c r="EK315" s="155">
        <f t="shared" si="7096"/>
        <v>0.17163786257907354</v>
      </c>
      <c r="EL315" s="155">
        <f t="shared" si="7096"/>
        <v>9.9981978543866257E-2</v>
      </c>
      <c r="EN315" s="177" t="s">
        <v>285</v>
      </c>
      <c r="EO315" s="155">
        <f t="shared" ref="EO315:ES317" si="7097">IFERROR(EO310/EH310-1,"NM")</f>
        <v>0.20194647201946481</v>
      </c>
      <c r="EP315" s="155">
        <f t="shared" si="7097"/>
        <v>0.103137426833114</v>
      </c>
      <c r="EQ315" s="155">
        <f t="shared" si="7097"/>
        <v>2.9642318570664017E-2</v>
      </c>
      <c r="ER315" s="155">
        <f t="shared" si="7097"/>
        <v>-2.5455663049865906E-3</v>
      </c>
      <c r="ES315" s="155">
        <f t="shared" si="7097"/>
        <v>7.1542196604436947E-2</v>
      </c>
      <c r="EU315" s="177" t="s">
        <v>285</v>
      </c>
      <c r="EV315" s="155">
        <f t="shared" ref="EV315:EZ317" si="7098">IFERROR(EV310/EO310-1,"NM")</f>
        <v>3.6120800440609502E-2</v>
      </c>
      <c r="EW315" s="155">
        <f t="shared" si="7098"/>
        <v>2.8688442713015849E-2</v>
      </c>
      <c r="EX315" s="155">
        <f t="shared" si="7098"/>
        <v>7.3043252426658878E-3</v>
      </c>
      <c r="EY315" s="155">
        <f t="shared" si="7098"/>
        <v>-2.3942016788425224E-4</v>
      </c>
      <c r="EZ315" s="155">
        <f t="shared" si="7098"/>
        <v>1.8185489051630865E-2</v>
      </c>
      <c r="FB315" s="177" t="s">
        <v>285</v>
      </c>
      <c r="FC315" s="155">
        <f t="shared" ref="FC315:FG317" si="7099">IFERROR(FC310/EV310-1,"NM")</f>
        <v>-1.810696692470104E-2</v>
      </c>
      <c r="FD315" s="155">
        <f t="shared" si="7099"/>
        <v>-6.4760508308897569E-3</v>
      </c>
      <c r="FE315" s="155">
        <f t="shared" si="7099"/>
        <v>-4.304954571109243E-3</v>
      </c>
      <c r="FF315" s="155">
        <f t="shared" si="7099"/>
        <v>3.0623422749789686E-2</v>
      </c>
      <c r="FG315" s="155">
        <f t="shared" si="7099"/>
        <v>-1.9778481012655558E-4</v>
      </c>
      <c r="FI315" s="177" t="s">
        <v>285</v>
      </c>
      <c r="FJ315" s="155">
        <f t="shared" ref="FJ315:FN317" si="7100">IFERROR(FJ310/FC310-1,"NM")</f>
        <v>1.965765048202317E-2</v>
      </c>
      <c r="FK315" s="155">
        <f t="shared" si="7100"/>
        <v>0</v>
      </c>
      <c r="FL315" s="155">
        <f t="shared" si="7100"/>
        <v>4.114691983481622E-2</v>
      </c>
      <c r="FM315" s="155">
        <f t="shared" si="7100"/>
        <v>1.5681193507363744E-2</v>
      </c>
      <c r="FN315" s="155">
        <f t="shared" si="7100"/>
        <v>1.9174105321278612E-2</v>
      </c>
      <c r="FP315" s="177" t="s">
        <v>285</v>
      </c>
      <c r="FQ315" s="155">
        <f t="shared" ref="FQ315:FU317" si="7101">IFERROR(FQ310/FJ310-1,"NM")</f>
        <v>6.9172932330827663E-3</v>
      </c>
      <c r="FR315" s="155">
        <f t="shared" si="7101"/>
        <v>-2.0796259011495621E-2</v>
      </c>
      <c r="FS315" s="155">
        <f t="shared" si="7101"/>
        <v>2.4053587739774063E-3</v>
      </c>
      <c r="FT315" s="155">
        <f t="shared" si="7101"/>
        <v>3.1222534050201034E-2</v>
      </c>
      <c r="FU315" s="155">
        <f t="shared" si="7101"/>
        <v>5.2871846319924032E-3</v>
      </c>
      <c r="FW315" s="177" t="s">
        <v>285</v>
      </c>
      <c r="FX315" s="155">
        <f t="shared" ref="FX315:GB317" si="7102">IFERROR(FX310/FQ310-1,"NM")</f>
        <v>-5.3321678321678223E-2</v>
      </c>
      <c r="FY315" s="155">
        <f t="shared" si="7102"/>
        <v>2.0645574933158661E-2</v>
      </c>
      <c r="FZ315" s="155">
        <f t="shared" si="7102"/>
        <v>-3.7809966393434147E-2</v>
      </c>
      <c r="GA315" s="155">
        <f t="shared" si="7102"/>
        <v>-2.8011326780100987E-2</v>
      </c>
      <c r="GB315" s="155">
        <f t="shared" si="7102"/>
        <v>-2.3575747671187974E-2</v>
      </c>
      <c r="GD315" s="177" t="s">
        <v>285</v>
      </c>
      <c r="GE315" s="155">
        <f t="shared" ref="GE315:GI317" si="7103">IFERROR(GE310/FX310-1,"NM")</f>
        <v>5.5850056796667769E-2</v>
      </c>
      <c r="GF315" s="155">
        <f t="shared" si="7103"/>
        <v>3.6916663006645312E-2</v>
      </c>
      <c r="GG315" s="155">
        <f t="shared" si="7103"/>
        <v>5.8243836169704855E-2</v>
      </c>
      <c r="GH315" s="155">
        <f t="shared" si="7103"/>
        <v>3.634202416839627E-2</v>
      </c>
      <c r="GI315" s="155">
        <f t="shared" si="7103"/>
        <v>4.5095244957541247E-2</v>
      </c>
      <c r="GK315" s="177" t="s">
        <v>285</v>
      </c>
      <c r="GL315" s="155">
        <f t="shared" ref="GL315:GP317" si="7104">IFERROR(GL310/GE310-1,"NM")</f>
        <v>2.4376417233560099E-2</v>
      </c>
      <c r="GM315" s="155">
        <f t="shared" si="7104"/>
        <v>2.5987325937839589E-2</v>
      </c>
      <c r="GN315" s="155">
        <f t="shared" si="7104"/>
        <v>1.1765011813305248E-2</v>
      </c>
      <c r="GO315" s="155">
        <f t="shared" si="7104"/>
        <v>3.3441835232115302E-3</v>
      </c>
      <c r="GP315" s="155">
        <f t="shared" si="7104"/>
        <v>1.6515217176648722E-2</v>
      </c>
      <c r="GR315" s="177" t="s">
        <v>285</v>
      </c>
      <c r="GS315" s="155">
        <f t="shared" ref="GS315:GW317" si="7105">IFERROR(GS310/GL310-1,"NM")</f>
        <v>5.4047622824690444E-2</v>
      </c>
      <c r="GT315" s="155">
        <f t="shared" si="7105"/>
        <v>6.5866617127995353E-2</v>
      </c>
      <c r="GU315" s="155">
        <f t="shared" si="7105"/>
        <v>7.2359513905880357E-2</v>
      </c>
      <c r="GV315" s="155">
        <f t="shared" si="7105"/>
        <v>7.5137930537749087E-2</v>
      </c>
      <c r="GW315" s="155">
        <f t="shared" si="7105"/>
        <v>6.3895304672743736E-2</v>
      </c>
      <c r="GY315" s="177" t="s">
        <v>285</v>
      </c>
      <c r="GZ315" s="155">
        <f t="shared" ref="GZ315:HD317" si="7106">IFERROR(GZ310/GS310-1,"NM")</f>
        <v>0.18863983808108853</v>
      </c>
      <c r="HA315" s="155">
        <f t="shared" si="7106"/>
        <v>0.10362199424954621</v>
      </c>
      <c r="HB315" s="155">
        <f t="shared" si="7106"/>
        <v>6.4852857339440684E-2</v>
      </c>
      <c r="HC315" s="155">
        <f t="shared" si="7106"/>
        <v>3.9408866995074066E-2</v>
      </c>
      <c r="HD315" s="155">
        <f t="shared" si="7106"/>
        <v>9.1736163760424372E-2</v>
      </c>
      <c r="HF315" s="177" t="s">
        <v>285</v>
      </c>
      <c r="HG315" s="155">
        <f t="shared" ref="HG315:HK317" si="7107">IFERROR(HG310/GZ310-1,"NM")</f>
        <v>-5.1673206648736869E-2</v>
      </c>
      <c r="HH315" s="155">
        <f t="shared" si="7107"/>
        <v>-2.1416984982470799E-2</v>
      </c>
      <c r="HI315" s="155">
        <f t="shared" si="7107"/>
        <v>-3.6673532007901466E-3</v>
      </c>
      <c r="HJ315" s="155">
        <f t="shared" si="7107"/>
        <v>4.2939532072430397E-2</v>
      </c>
      <c r="HK315" s="155">
        <f t="shared" si="7107"/>
        <v>-7.7279752704784155E-4</v>
      </c>
      <c r="HM315" s="177" t="s">
        <v>285</v>
      </c>
      <c r="HN315" s="155">
        <f t="shared" ref="HN315:HR317" si="7108">IFERROR(HN310/HG310-1,"NM")</f>
        <v>-2.6870410409240542E-2</v>
      </c>
      <c r="HO315" s="155">
        <f t="shared" si="7108"/>
        <v>9.5760297433129526E-3</v>
      </c>
      <c r="HP315" s="155">
        <f t="shared" si="7108"/>
        <v>-1.5095068976347603E-2</v>
      </c>
      <c r="HQ315" s="155">
        <f t="shared" si="7108"/>
        <v>-2.8126656067832378E-2</v>
      </c>
      <c r="HR315" s="155">
        <f t="shared" si="7108"/>
        <v>-1.5064013460690195E-2</v>
      </c>
      <c r="HT315" s="177" t="s">
        <v>285</v>
      </c>
      <c r="HU315" s="155">
        <f t="shared" ref="HU315:HY317" si="7109">IFERROR(HU310/HN310-1,"NM")</f>
        <v>1.0541907052014521E-2</v>
      </c>
      <c r="HV315" s="155">
        <f t="shared" si="7109"/>
        <v>-1.0355575065847389E-2</v>
      </c>
      <c r="HW315" s="155">
        <f t="shared" si="7109"/>
        <v>3.0534351145039551E-3</v>
      </c>
      <c r="HX315" s="155">
        <f t="shared" si="7109"/>
        <v>-3.1874497630202114E-3</v>
      </c>
      <c r="HY315" s="155">
        <f t="shared" si="7109"/>
        <v>-6.7730300240387287E-4</v>
      </c>
      <c r="IA315" s="177" t="s">
        <v>285</v>
      </c>
      <c r="IB315" s="155">
        <f t="shared" ref="IB315:IF317" si="7110">IFERROR(IB310/HU310-1,"NM")</f>
        <v>-7.3964497041421051E-3</v>
      </c>
      <c r="IC315" s="155">
        <f t="shared" si="7110"/>
        <v>-8.0678969567856695E-3</v>
      </c>
      <c r="ID315" s="155">
        <f t="shared" si="7110"/>
        <v>-1.4647876976200402E-3</v>
      </c>
      <c r="IE315" s="155">
        <f t="shared" si="7110"/>
        <v>5.1949639408385373E-2</v>
      </c>
      <c r="IF315" s="155">
        <f t="shared" si="7110"/>
        <v>8.6694865862488868E-3</v>
      </c>
      <c r="IH315" s="177" t="s">
        <v>285</v>
      </c>
      <c r="II315" s="155">
        <f t="shared" ref="II315:IM317" si="7111">IFERROR(II310/IB310-1,"NM")</f>
        <v>3.8235294117647145E-2</v>
      </c>
      <c r="IJ315" s="155">
        <f t="shared" si="7111"/>
        <v>2.9325513196480912E-2</v>
      </c>
      <c r="IK315" s="155">
        <f t="shared" si="7111"/>
        <v>3.4638554216867234E-2</v>
      </c>
      <c r="IL315" s="155">
        <f t="shared" si="7111"/>
        <v>-1.0571753515301929E-2</v>
      </c>
      <c r="IM315" s="155">
        <f t="shared" si="7111"/>
        <v>2.1781300723952013E-2</v>
      </c>
      <c r="IO315" s="177" t="s">
        <v>285</v>
      </c>
      <c r="IP315" s="155">
        <f t="shared" ref="IP315:IT317" si="7112">IFERROR(IP310/II310-1,"NM")</f>
        <v>6.3831618994518724E-3</v>
      </c>
      <c r="IQ315" s="155">
        <f t="shared" si="7112"/>
        <v>-6.7476383265857587E-3</v>
      </c>
      <c r="IR315" s="155">
        <f t="shared" si="7112"/>
        <v>5.5555555555557579E-3</v>
      </c>
      <c r="IS315" s="155">
        <f t="shared" si="7112"/>
        <v>-7.3789186530119899E-3</v>
      </c>
      <c r="IT315" s="155">
        <f t="shared" si="7112"/>
        <v>-3.5106212764346445E-4</v>
      </c>
      <c r="IV315" s="177" t="s">
        <v>285</v>
      </c>
      <c r="IW315" s="155">
        <f t="shared" ref="IW315:JA317" si="7113">IFERROR(IW310/IP310-1,"NM")</f>
        <v>-3.8670030829008217E-2</v>
      </c>
      <c r="IX315" s="155">
        <f t="shared" si="7113"/>
        <v>-4.7396538982633296E-2</v>
      </c>
      <c r="IY315" s="155">
        <f t="shared" si="7113"/>
        <v>-6.3511750398659972E-2</v>
      </c>
      <c r="IZ315" s="155">
        <f t="shared" si="7113"/>
        <v>-5.544901192362206E-2</v>
      </c>
      <c r="JA315" s="155">
        <f t="shared" si="7113"/>
        <v>-5.1855398564271238E-2</v>
      </c>
      <c r="JC315" s="177" t="s">
        <v>285</v>
      </c>
      <c r="JD315" s="155">
        <f t="shared" ref="JD315:JH317" si="7114">IFERROR(JD310/IW310-1,"NM")</f>
        <v>-9.4166645503720336E-2</v>
      </c>
      <c r="JE315" s="155">
        <f t="shared" si="7114"/>
        <v>-4.9716129700253742E-2</v>
      </c>
      <c r="JF315" s="155">
        <f t="shared" si="7114"/>
        <v>-3.1059622490761996E-2</v>
      </c>
      <c r="JG315" s="155">
        <f t="shared" si="7114"/>
        <v>-4.0368541033435346E-3</v>
      </c>
      <c r="JH315" s="155">
        <f t="shared" si="7114"/>
        <v>-4.4656811365308413E-2</v>
      </c>
      <c r="JJ315" s="177" t="s">
        <v>285</v>
      </c>
      <c r="JK315" s="155">
        <f t="shared" ref="JK315:JO317" si="7115">IFERROR(JK310/JD310-1,"NM")</f>
        <v>7.508963733615448E-2</v>
      </c>
      <c r="JL315" s="155">
        <f t="shared" si="7115"/>
        <v>5.8911093744185239E-2</v>
      </c>
      <c r="JM315" s="155">
        <f t="shared" si="7115"/>
        <v>2.6960675569753123E-2</v>
      </c>
      <c r="JN315" s="155">
        <f t="shared" si="7115"/>
        <v>-2.2429419051965827E-2</v>
      </c>
      <c r="JO315" s="155">
        <f t="shared" si="7115"/>
        <v>3.3829749103942541E-2</v>
      </c>
      <c r="JQ315" s="177" t="s">
        <v>285</v>
      </c>
      <c r="JR315" s="155">
        <f t="shared" ref="JR315:JV317" si="7116">IFERROR(JR310/JK310-1,"NM")</f>
        <v>-2.4034483422171626E-2</v>
      </c>
      <c r="JS315" s="155">
        <f t="shared" si="7116"/>
        <v>-5.4501872134931073E-3</v>
      </c>
      <c r="JT315" s="155">
        <f t="shared" si="7116"/>
        <v>3.1250000000000444E-3</v>
      </c>
      <c r="JU315" s="155">
        <f t="shared" si="7116"/>
        <v>1.2176208546444744E-2</v>
      </c>
      <c r="JV315" s="155">
        <f t="shared" si="7116"/>
        <v>-3.3645099140143797E-3</v>
      </c>
      <c r="JX315" s="177" t="s">
        <v>285</v>
      </c>
      <c r="JY315" s="155">
        <f t="shared" ref="JY315:KC317" si="7117">IFERROR(JY310/JR310-1,"NM")</f>
        <v>3.0347772114281302E-2</v>
      </c>
      <c r="JZ315" s="155">
        <f t="shared" si="7117"/>
        <v>7.9356060606060375E-2</v>
      </c>
      <c r="KA315" s="155">
        <f t="shared" si="7117"/>
        <v>1.4761562425114061E-2</v>
      </c>
      <c r="KB315" s="155">
        <f t="shared" si="7117"/>
        <v>3.3675460580436578E-2</v>
      </c>
      <c r="KC315" s="155">
        <f t="shared" si="7117"/>
        <v>3.7816814595660997E-2</v>
      </c>
      <c r="KE315" s="177" t="s">
        <v>285</v>
      </c>
      <c r="KF315" s="155">
        <f t="shared" ref="KF315:KJ317" si="7118">IFERROR(KF310/JY310-1,"NM")</f>
        <v>8.5607174149313625E-3</v>
      </c>
      <c r="KG315" s="155">
        <f t="shared" si="7118"/>
        <v>-4.2463590103526849E-2</v>
      </c>
      <c r="KH315" s="155">
        <f t="shared" si="7118"/>
        <v>1.0651723963854831E-2</v>
      </c>
      <c r="KI315" s="155">
        <f t="shared" si="7118"/>
        <v>2.2912343470482988E-2</v>
      </c>
      <c r="KJ315" s="155">
        <f t="shared" si="7118"/>
        <v>1.0571161645913651E-3</v>
      </c>
      <c r="KL315" s="177" t="s">
        <v>285</v>
      </c>
      <c r="KM315" s="155">
        <f t="shared" ref="KM315:KQ317" si="7119">IFERROR(KM310/KF310-1,"NM")</f>
        <v>1.2856723927705982E-2</v>
      </c>
      <c r="KN315" s="155">
        <f t="shared" si="7119"/>
        <v>-1.5220700152207556E-3</v>
      </c>
      <c r="KO315" s="155">
        <f t="shared" si="7119"/>
        <v>1.4926046176046093E-2</v>
      </c>
      <c r="KP315" s="155">
        <f t="shared" si="7119"/>
        <v>-1.4403170472021998E-2</v>
      </c>
      <c r="KQ315" s="155">
        <f t="shared" si="7119"/>
        <v>2.6947269894270764E-3</v>
      </c>
      <c r="KS315" s="177" t="s">
        <v>285</v>
      </c>
      <c r="KT315" s="155">
        <f t="shared" ref="KT315:KX317" si="7120">IFERROR(KT310/KM310-1,"NM")</f>
        <v>-6.3458566163357988E-3</v>
      </c>
      <c r="KU315" s="155">
        <f t="shared" si="7120"/>
        <v>-2.349563080660988E-2</v>
      </c>
      <c r="KV315" s="155">
        <f t="shared" si="7120"/>
        <v>-1.4139685903573951E-2</v>
      </c>
      <c r="KW315" s="155">
        <f t="shared" si="7120"/>
        <v>9.9163679808842442E-3</v>
      </c>
      <c r="KX315" s="155">
        <f t="shared" si="7120"/>
        <v>-8.5451451342332119E-3</v>
      </c>
      <c r="KZ315" s="177" t="s">
        <v>285</v>
      </c>
      <c r="LA315" s="155">
        <f t="shared" ref="LA315:LA317" si="7121">IFERROR(LA310/KT310-1,"NM")</f>
        <v>-6.2159502723978521E-3</v>
      </c>
      <c r="LB315" s="155">
        <f t="shared" ref="LB315:LE317" si="7122">IFERROR(LB310/KU310-1,"NM")</f>
        <v>3.4903381095063857E-3</v>
      </c>
      <c r="LC315" s="155">
        <f t="shared" si="7122"/>
        <v>5.7937151304183754E-3</v>
      </c>
      <c r="LD315" s="155">
        <f t="shared" si="7122"/>
        <v>1.245147375988509E-2</v>
      </c>
      <c r="LE315" s="155">
        <f t="shared" si="7122"/>
        <v>3.7227388595166833E-3</v>
      </c>
      <c r="LF315" s="569"/>
      <c r="LG315" s="154" t="s">
        <v>285</v>
      </c>
      <c r="LH315" s="155">
        <f t="shared" ref="LH315:LL317" si="7123">IFERROR(LH310/LA310-1,"NM")</f>
        <v>3.3407738095238004E-2</v>
      </c>
      <c r="LI315" s="155">
        <f t="shared" si="7123"/>
        <v>3.4990186681272295E-2</v>
      </c>
      <c r="LJ315" s="155">
        <f>IFERROR(LJ310/LC310-1,"NM")</f>
        <v>2.4522144522144185E-2</v>
      </c>
      <c r="LK315" s="155">
        <f t="shared" si="7123"/>
        <v>3.2223103868707081E-3</v>
      </c>
      <c r="LL315" s="155">
        <f t="shared" si="7123"/>
        <v>2.3963086558645763E-2</v>
      </c>
      <c r="LM315" s="569"/>
      <c r="LN315" s="154" t="s">
        <v>285</v>
      </c>
      <c r="LO315" s="155">
        <f t="shared" ref="LO315:LS317" si="7124">IFERROR(LO310/LH310-1,"NM")</f>
        <v>0</v>
      </c>
      <c r="LP315" s="155">
        <f t="shared" si="7124"/>
        <v>0</v>
      </c>
      <c r="LQ315" s="155">
        <f>IFERROR(LQ310/LJ310-1,"NM")</f>
        <v>2.2204460492503131E-16</v>
      </c>
      <c r="LR315" s="155">
        <f t="shared" si="7124"/>
        <v>0</v>
      </c>
      <c r="LS315" s="155">
        <f t="shared" si="7124"/>
        <v>4.5987474972530862E-6</v>
      </c>
      <c r="LT315" s="569"/>
      <c r="LU315" s="154" t="s">
        <v>285</v>
      </c>
      <c r="LV315" s="155">
        <f t="shared" ref="LV315:LV317" si="7125">IFERROR(LV310/LO310-1,"NM")</f>
        <v>0</v>
      </c>
      <c r="LW315" s="155">
        <f t="shared" ref="LW315:LW317" si="7126">IFERROR(LW310/LP310-1,"NM")</f>
        <v>2.2204460492503131E-16</v>
      </c>
      <c r="LX315" s="155">
        <f t="shared" ref="LX315:LX317" si="7127">IFERROR(LX310/LQ310-1,"NM")</f>
        <v>-1.1102230246251565E-16</v>
      </c>
      <c r="LY315" s="155">
        <f t="shared" ref="LY315:LY317" si="7128">IFERROR(LY310/LR310-1,"NM")</f>
        <v>0</v>
      </c>
      <c r="LZ315" s="155">
        <f t="shared" ref="LZ315:LZ317" si="7129">IFERROR(LZ310/LS310-1,"NM")</f>
        <v>1.5681212037765846E-6</v>
      </c>
      <c r="MA315" s="569"/>
      <c r="MB315" s="154" t="s">
        <v>285</v>
      </c>
      <c r="MC315" s="155">
        <f t="shared" ref="MC315:MC317" si="7130">IFERROR(MC310/LV310-1,"NM")</f>
        <v>2.2204460492503131E-16</v>
      </c>
      <c r="MD315" s="155">
        <f t="shared" ref="MD315:MD317" si="7131">IFERROR(MD310/LW310-1,"NM")</f>
        <v>0</v>
      </c>
      <c r="ME315" s="155">
        <f t="shared" ref="ME315:ME317" si="7132">IFERROR(ME310/LX310-1,"NM")</f>
        <v>0</v>
      </c>
      <c r="MF315" s="155">
        <f t="shared" ref="MF315:MF317" si="7133">IFERROR(MF310/LY310-1,"NM")</f>
        <v>0</v>
      </c>
      <c r="MG315" s="155">
        <f t="shared" ref="MG315:MG317" si="7134">IFERROR(MG310/LZ310-1,"NM")</f>
        <v>4.4558029665964227E-6</v>
      </c>
      <c r="MH315" s="569"/>
    </row>
    <row r="316" spans="1:346" s="37" customFormat="1" ht="13.15" x14ac:dyDescent="0.4">
      <c r="A316" s="100"/>
      <c r="B316" s="154" t="s">
        <v>287</v>
      </c>
      <c r="C316" s="155"/>
      <c r="D316" s="155"/>
      <c r="E316" s="155"/>
      <c r="F316" s="155"/>
      <c r="G316" s="155"/>
      <c r="H316" s="155"/>
      <c r="I316" s="155"/>
      <c r="J316" s="155"/>
      <c r="K316" s="155"/>
      <c r="L316" s="155"/>
      <c r="M316" s="155"/>
      <c r="N316" s="155">
        <f>BT316</f>
        <v>0</v>
      </c>
      <c r="O316" s="155">
        <f>CA316</f>
        <v>1.0054146073245063E-2</v>
      </c>
      <c r="P316" s="155">
        <f>CH316</f>
        <v>6.3551689077635976E-2</v>
      </c>
      <c r="Q316" s="155">
        <f>CO316</f>
        <v>1.3214480130647743E-2</v>
      </c>
      <c r="R316" s="155">
        <f>CV316</f>
        <v>-1.6602809706257937E-2</v>
      </c>
      <c r="S316" s="155">
        <f>DC316</f>
        <v>2.3206054252767672E-2</v>
      </c>
      <c r="T316" s="155">
        <f>DJ316</f>
        <v>2.6687598116169831E-2</v>
      </c>
      <c r="U316" s="155">
        <f>DQ316</f>
        <v>2.4200308491376887E-2</v>
      </c>
      <c r="V316" s="155">
        <f>DX316</f>
        <v>-6.1349902875464934E-3</v>
      </c>
      <c r="W316" s="155">
        <f>EE316</f>
        <v>2.5945060034916478E-2</v>
      </c>
      <c r="X316" s="155">
        <f>EL316</f>
        <v>2.2924411400247369E-2</v>
      </c>
      <c r="Y316" s="155">
        <f>ES316</f>
        <v>0.12131561962134274</v>
      </c>
      <c r="Z316" s="155">
        <f>EZ316</f>
        <v>-7.3957513768684313E-3</v>
      </c>
      <c r="AA316" s="155">
        <f>FG316</f>
        <v>-7.4232595465795193E-3</v>
      </c>
      <c r="AB316" s="155">
        <f>FN316</f>
        <v>-2.3762184607805215E-2</v>
      </c>
      <c r="AC316" s="155">
        <f>FU316</f>
        <v>4.3002064817308616E-2</v>
      </c>
      <c r="AD316" s="155">
        <f>GB316</f>
        <v>4.4784065641541027E-3</v>
      </c>
      <c r="AE316" s="155">
        <f>GI316</f>
        <v>1.3328986229910189E-3</v>
      </c>
      <c r="AF316" s="155">
        <f>GP316</f>
        <v>2.6033357843839866E-2</v>
      </c>
      <c r="AG316" s="155">
        <f>GW316</f>
        <v>4.0858956780297717E-2</v>
      </c>
      <c r="AH316" s="155">
        <f>HD316</f>
        <v>-7.4651116205568524E-3</v>
      </c>
      <c r="AI316" s="155">
        <f>HK316</f>
        <v>1.2151533186349317E-2</v>
      </c>
      <c r="AJ316" s="155">
        <f>HR316</f>
        <v>-1.26278477273567E-2</v>
      </c>
      <c r="AK316" s="155">
        <f>HY316</f>
        <v>4.3903328773369887E-2</v>
      </c>
      <c r="AL316" s="155">
        <f>IF316</f>
        <v>3.7731619844590281E-2</v>
      </c>
      <c r="AM316" s="155">
        <f>IM316</f>
        <v>1.8734084675658735E-2</v>
      </c>
      <c r="AN316" s="155">
        <f>IT316</f>
        <v>-3.4861292527596066E-2</v>
      </c>
      <c r="AO316" s="155">
        <f>JA316</f>
        <v>1.2552009631022099E-2</v>
      </c>
      <c r="AP316" s="155">
        <f>JH316</f>
        <v>-5.900079096484756E-2</v>
      </c>
      <c r="AQ316" s="155">
        <f>JO316</f>
        <v>1.289865675877655E-2</v>
      </c>
      <c r="AR316" s="155">
        <f>JV316</f>
        <v>-4.9556137812365564E-2</v>
      </c>
      <c r="AS316" s="155">
        <f>KC316</f>
        <v>-3.0801315472848256E-2</v>
      </c>
      <c r="AT316" s="155">
        <f>KJ316</f>
        <v>6.1137097305487886E-2</v>
      </c>
      <c r="AU316" s="155">
        <f>KQ316</f>
        <v>-3.286887305562991E-2</v>
      </c>
      <c r="AV316" s="155">
        <f>KX316</f>
        <v>2.1505544888122508E-2</v>
      </c>
      <c r="AW316" s="155">
        <f>LE316</f>
        <v>-2.0812747035572898E-2</v>
      </c>
      <c r="AX316" s="155">
        <f>LL316</f>
        <v>5.0911729594344424E-2</v>
      </c>
      <c r="AY316" s="155">
        <f>LS316</f>
        <v>-5.8810156915001244E-5</v>
      </c>
      <c r="AZ316" s="155">
        <f>LZ316</f>
        <v>1.0109957059967201E-5</v>
      </c>
      <c r="BA316" s="155">
        <f>MG316</f>
        <v>0</v>
      </c>
      <c r="BB316" s="155"/>
      <c r="BC316" s="155"/>
      <c r="BD316" s="155"/>
      <c r="BE316" s="155"/>
      <c r="BF316" s="155"/>
      <c r="BG316" s="155"/>
      <c r="BH316" s="155"/>
      <c r="BI316" s="155"/>
      <c r="BJ316" s="155"/>
      <c r="BK316" s="155"/>
      <c r="BL316" s="155"/>
      <c r="BM316" s="155"/>
      <c r="BO316" s="177" t="s">
        <v>287</v>
      </c>
      <c r="BP316" s="155"/>
      <c r="BQ316" s="155"/>
      <c r="BR316" s="155"/>
      <c r="BS316" s="155"/>
      <c r="BT316" s="155"/>
      <c r="BV316" s="177" t="s">
        <v>287</v>
      </c>
      <c r="BW316" s="155">
        <f t="shared" si="7087"/>
        <v>-3.1849413111938452E-2</v>
      </c>
      <c r="BX316" s="155">
        <f t="shared" si="7087"/>
        <v>2.178747739381226E-2</v>
      </c>
      <c r="BY316" s="155">
        <f t="shared" si="7087"/>
        <v>3.4794711203889328E-4</v>
      </c>
      <c r="BZ316" s="155">
        <f t="shared" si="7087"/>
        <v>5.1918080995898563E-2</v>
      </c>
      <c r="CA316" s="155">
        <f t="shared" si="7087"/>
        <v>1.0054146073245063E-2</v>
      </c>
      <c r="CC316" s="177" t="s">
        <v>287</v>
      </c>
      <c r="CD316" s="155">
        <f t="shared" si="7088"/>
        <v>0.1179681453419692</v>
      </c>
      <c r="CE316" s="155">
        <f t="shared" si="7088"/>
        <v>8.9255396555905753E-2</v>
      </c>
      <c r="CF316" s="155">
        <f t="shared" si="7088"/>
        <v>1.0910212897254024E-2</v>
      </c>
      <c r="CG316" s="155">
        <f t="shared" si="7088"/>
        <v>3.9006540018685643E-2</v>
      </c>
      <c r="CH316" s="155">
        <f t="shared" si="7088"/>
        <v>6.3551689077635976E-2</v>
      </c>
      <c r="CJ316" s="177" t="s">
        <v>287</v>
      </c>
      <c r="CK316" s="155">
        <f t="shared" si="7089"/>
        <v>1.5878239407651318E-2</v>
      </c>
      <c r="CL316" s="155">
        <f t="shared" si="7089"/>
        <v>-6.1728395061726449E-3</v>
      </c>
      <c r="CM316" s="155">
        <f t="shared" si="7089"/>
        <v>8.4749118846778604E-3</v>
      </c>
      <c r="CN316" s="155">
        <f t="shared" si="7089"/>
        <v>3.4013605442176909E-2</v>
      </c>
      <c r="CO316" s="155">
        <f t="shared" si="7089"/>
        <v>1.3214480130647743E-2</v>
      </c>
      <c r="CQ316" s="177" t="s">
        <v>287</v>
      </c>
      <c r="CR316" s="155">
        <f t="shared" si="7090"/>
        <v>-3.1756103456611062E-2</v>
      </c>
      <c r="CS316" s="155">
        <f t="shared" si="7090"/>
        <v>2.5701434996785455E-3</v>
      </c>
      <c r="CT316" s="155">
        <f t="shared" si="7090"/>
        <v>-1.807331628303499E-2</v>
      </c>
      <c r="CU316" s="155">
        <f t="shared" si="7090"/>
        <v>-1.7694117647058749E-2</v>
      </c>
      <c r="CV316" s="155">
        <f t="shared" si="7090"/>
        <v>-1.6602809706257937E-2</v>
      </c>
      <c r="CX316" s="177" t="s">
        <v>287</v>
      </c>
      <c r="CY316" s="155">
        <f t="shared" si="7091"/>
        <v>2.2396377568791426E-2</v>
      </c>
      <c r="CZ316" s="155">
        <f t="shared" si="7091"/>
        <v>9.076465684038304E-3</v>
      </c>
      <c r="DA316" s="155">
        <f t="shared" si="7091"/>
        <v>4.9194991055456105E-2</v>
      </c>
      <c r="DB316" s="155">
        <f t="shared" si="7091"/>
        <v>1.0996372667559928E-2</v>
      </c>
      <c r="DC316" s="155">
        <f t="shared" si="7091"/>
        <v>2.3206054252767672E-2</v>
      </c>
      <c r="DE316" s="177" t="s">
        <v>287</v>
      </c>
      <c r="DF316" s="155">
        <f t="shared" si="7092"/>
        <v>7.8786110300552714E-3</v>
      </c>
      <c r="DG316" s="155">
        <f t="shared" si="7092"/>
        <v>2.1413502109704607E-2</v>
      </c>
      <c r="DH316" s="155">
        <f t="shared" si="7092"/>
        <v>2.8870262912815914E-2</v>
      </c>
      <c r="DI316" s="155">
        <f t="shared" si="7092"/>
        <v>4.857122291801641E-2</v>
      </c>
      <c r="DJ316" s="155">
        <f t="shared" si="7092"/>
        <v>2.6687598116169831E-2</v>
      </c>
      <c r="DL316" s="177" t="s">
        <v>287</v>
      </c>
      <c r="DM316" s="155">
        <f t="shared" si="7093"/>
        <v>4.9529422948949575E-2</v>
      </c>
      <c r="DN316" s="155">
        <f t="shared" si="7093"/>
        <v>3.987176918453228E-2</v>
      </c>
      <c r="DO316" s="155">
        <f t="shared" si="7093"/>
        <v>1.7853438619297224E-2</v>
      </c>
      <c r="DP316" s="155">
        <f t="shared" si="7093"/>
        <v>-8.0591180486757619E-3</v>
      </c>
      <c r="DQ316" s="155">
        <f t="shared" si="7093"/>
        <v>2.4200308491376887E-2</v>
      </c>
      <c r="DS316" s="177" t="s">
        <v>287</v>
      </c>
      <c r="DT316" s="155">
        <f t="shared" si="7094"/>
        <v>-6.6860465116279633E-3</v>
      </c>
      <c r="DU316" s="155">
        <f t="shared" si="7094"/>
        <v>-1.0833001524034436E-2</v>
      </c>
      <c r="DV316" s="155">
        <f t="shared" si="7094"/>
        <v>-1.1574820066602154E-2</v>
      </c>
      <c r="DW316" s="155">
        <f t="shared" si="7094"/>
        <v>4.5454545454541861E-3</v>
      </c>
      <c r="DX316" s="155">
        <f t="shared" si="7094"/>
        <v>-6.1349902875464934E-3</v>
      </c>
      <c r="DZ316" s="177" t="s">
        <v>287</v>
      </c>
      <c r="EA316" s="155">
        <f t="shared" si="7095"/>
        <v>1.9222430987136718E-2</v>
      </c>
      <c r="EB316" s="155">
        <f t="shared" si="7095"/>
        <v>2.1844660194174637E-2</v>
      </c>
      <c r="EC316" s="155">
        <f t="shared" si="7095"/>
        <v>3.7391920623671249E-2</v>
      </c>
      <c r="ED316" s="155">
        <f t="shared" si="7095"/>
        <v>2.5179856115108201E-2</v>
      </c>
      <c r="EE316" s="155">
        <f t="shared" si="7095"/>
        <v>2.5945060034916478E-2</v>
      </c>
      <c r="EG316" s="177" t="s">
        <v>287</v>
      </c>
      <c r="EH316" s="155">
        <f t="shared" si="7096"/>
        <v>5.9112466124661367E-2</v>
      </c>
      <c r="EI316" s="155">
        <f t="shared" si="7096"/>
        <v>3.3587932632386241E-2</v>
      </c>
      <c r="EJ316" s="155">
        <f t="shared" si="7096"/>
        <v>-1.3362846368257242E-2</v>
      </c>
      <c r="EK316" s="155">
        <f t="shared" si="7096"/>
        <v>1.5589822012658905E-2</v>
      </c>
      <c r="EL316" s="155">
        <f t="shared" si="7096"/>
        <v>2.2924411400247369E-2</v>
      </c>
      <c r="EN316" s="177" t="s">
        <v>287</v>
      </c>
      <c r="EO316" s="155">
        <f t="shared" si="7097"/>
        <v>8.2840236686390512E-2</v>
      </c>
      <c r="EP316" s="155">
        <f t="shared" si="7097"/>
        <v>0.10963512061420566</v>
      </c>
      <c r="EQ316" s="155">
        <f t="shared" si="7097"/>
        <v>0.16455628998433824</v>
      </c>
      <c r="ER316" s="155">
        <f t="shared" si="7097"/>
        <v>0.12661192549322164</v>
      </c>
      <c r="ES316" s="155">
        <f t="shared" si="7097"/>
        <v>0.12131561962134274</v>
      </c>
      <c r="EU316" s="177" t="s">
        <v>287</v>
      </c>
      <c r="EV316" s="155">
        <f t="shared" si="7098"/>
        <v>-2.4011352178946122E-2</v>
      </c>
      <c r="EW316" s="155">
        <f t="shared" si="7098"/>
        <v>1.4888642795620743E-3</v>
      </c>
      <c r="EX316" s="155">
        <f t="shared" si="7098"/>
        <v>-8.9700612645936539E-3</v>
      </c>
      <c r="EY316" s="155">
        <f t="shared" si="7098"/>
        <v>3.8435398064167181E-3</v>
      </c>
      <c r="EZ316" s="155">
        <f t="shared" si="7098"/>
        <v>-7.3957513768684313E-3</v>
      </c>
      <c r="FB316" s="177" t="s">
        <v>287</v>
      </c>
      <c r="FC316" s="155">
        <f t="shared" si="7099"/>
        <v>2.6781813041355074E-2</v>
      </c>
      <c r="FD316" s="155">
        <f t="shared" si="7099"/>
        <v>-1.0782814327391477E-2</v>
      </c>
      <c r="FE316" s="155">
        <f t="shared" si="7099"/>
        <v>-1.2581511315688632E-2</v>
      </c>
      <c r="FF316" s="155">
        <f t="shared" si="7099"/>
        <v>-3.2487372950052995E-2</v>
      </c>
      <c r="FG316" s="155">
        <f t="shared" si="7099"/>
        <v>-7.4232595465795193E-3</v>
      </c>
      <c r="FI316" s="177" t="s">
        <v>287</v>
      </c>
      <c r="FJ316" s="155">
        <f t="shared" si="7100"/>
        <v>-2.1639218690156947E-2</v>
      </c>
      <c r="FK316" s="155">
        <f t="shared" si="7100"/>
        <v>4.8044692737430061E-3</v>
      </c>
      <c r="FL316" s="155">
        <f t="shared" si="7100"/>
        <v>-3.3932888907523107E-2</v>
      </c>
      <c r="FM316" s="155">
        <f t="shared" si="7100"/>
        <v>-4.3308702791461373E-2</v>
      </c>
      <c r="FN316" s="155">
        <f t="shared" si="7100"/>
        <v>-2.3762184607805215E-2</v>
      </c>
      <c r="FP316" s="177" t="s">
        <v>287</v>
      </c>
      <c r="FQ316" s="155">
        <f t="shared" si="7101"/>
        <v>2.4138487967462874E-2</v>
      </c>
      <c r="FR316" s="155">
        <f t="shared" si="7101"/>
        <v>1.2725344644750836E-2</v>
      </c>
      <c r="FS316" s="155">
        <f t="shared" si="7101"/>
        <v>1.8085855031667819E-2</v>
      </c>
      <c r="FT316" s="155">
        <f t="shared" si="7101"/>
        <v>0.11561376476630714</v>
      </c>
      <c r="FU316" s="155">
        <f t="shared" si="7101"/>
        <v>4.3002064817308616E-2</v>
      </c>
      <c r="FW316" s="177" t="s">
        <v>287</v>
      </c>
      <c r="FX316" s="155">
        <f t="shared" si="7102"/>
        <v>2.5759003414138837E-2</v>
      </c>
      <c r="FY316" s="155">
        <f t="shared" si="7102"/>
        <v>-2.1516172990054816E-4</v>
      </c>
      <c r="FZ316" s="155">
        <f t="shared" si="7102"/>
        <v>4.5292686050979913E-2</v>
      </c>
      <c r="GA316" s="155">
        <f t="shared" si="7102"/>
        <v>-3.6664270309129998E-2</v>
      </c>
      <c r="GB316" s="155">
        <f t="shared" si="7102"/>
        <v>4.4784065641541027E-3</v>
      </c>
      <c r="GD316" s="177" t="s">
        <v>287</v>
      </c>
      <c r="GE316" s="155">
        <f t="shared" si="7103"/>
        <v>-1.4022435897436014E-2</v>
      </c>
      <c r="GF316" s="155">
        <f t="shared" si="7103"/>
        <v>1.094697968873648E-2</v>
      </c>
      <c r="GG316" s="155">
        <f t="shared" si="7103"/>
        <v>-8.4389582023364218E-3</v>
      </c>
      <c r="GH316" s="155">
        <f t="shared" si="7103"/>
        <v>1.2007378836156324E-2</v>
      </c>
      <c r="GI316" s="155">
        <f t="shared" si="7103"/>
        <v>1.3328986229910189E-3</v>
      </c>
      <c r="GK316" s="177" t="s">
        <v>287</v>
      </c>
      <c r="GL316" s="155">
        <f t="shared" si="7104"/>
        <v>2.9181766164409595E-2</v>
      </c>
      <c r="GM316" s="155">
        <f t="shared" si="7104"/>
        <v>5.7099762982115942E-2</v>
      </c>
      <c r="GN316" s="155">
        <f t="shared" si="7104"/>
        <v>1.7874442421726089E-2</v>
      </c>
      <c r="GO316" s="155">
        <f t="shared" si="7104"/>
        <v>4.9619898851744892E-3</v>
      </c>
      <c r="GP316" s="155">
        <f t="shared" si="7104"/>
        <v>2.6033357843839866E-2</v>
      </c>
      <c r="GR316" s="177" t="s">
        <v>287</v>
      </c>
      <c r="GS316" s="155">
        <f t="shared" si="7105"/>
        <v>3.9916773367477676E-2</v>
      </c>
      <c r="GT316" s="155">
        <f t="shared" si="7105"/>
        <v>2.2404040404040426E-2</v>
      </c>
      <c r="GU316" s="155">
        <f t="shared" si="7105"/>
        <v>4.9549742710120137E-2</v>
      </c>
      <c r="GV316" s="155">
        <f t="shared" si="7105"/>
        <v>5.6306659556447647E-2</v>
      </c>
      <c r="GW316" s="155">
        <f t="shared" si="7105"/>
        <v>4.0858956780297717E-2</v>
      </c>
      <c r="GY316" s="177" t="s">
        <v>287</v>
      </c>
      <c r="GZ316" s="155">
        <f t="shared" si="7106"/>
        <v>-8.8480619309818542E-2</v>
      </c>
      <c r="HA316" s="155">
        <f t="shared" si="7106"/>
        <v>1.5846326918191878E-3</v>
      </c>
      <c r="HB316" s="155">
        <f t="shared" si="7106"/>
        <v>4.2576823398741137E-2</v>
      </c>
      <c r="HC316" s="155">
        <f t="shared" si="7106"/>
        <v>-6.9232634258697967E-2</v>
      </c>
      <c r="HD316" s="155">
        <f t="shared" si="7106"/>
        <v>-7.4651116205568524E-3</v>
      </c>
      <c r="HF316" s="177" t="s">
        <v>287</v>
      </c>
      <c r="HG316" s="155">
        <f t="shared" si="7107"/>
        <v>0.11845632848878229</v>
      </c>
      <c r="HH316" s="155">
        <f t="shared" si="7107"/>
        <v>-6.7900899924101532E-3</v>
      </c>
      <c r="HI316" s="155">
        <f t="shared" si="7107"/>
        <v>-3.9779974489795866E-2</v>
      </c>
      <c r="HJ316" s="155">
        <f t="shared" si="7107"/>
        <v>5.9384743595269684E-2</v>
      </c>
      <c r="HK316" s="155">
        <f t="shared" si="7107"/>
        <v>1.2151533186349317E-2</v>
      </c>
      <c r="HM316" s="177" t="s">
        <v>287</v>
      </c>
      <c r="HN316" s="155">
        <f t="shared" si="7108"/>
        <v>-1.5951587679336354E-2</v>
      </c>
      <c r="HO316" s="155">
        <f t="shared" si="7108"/>
        <v>-2.2497587730435309E-2</v>
      </c>
      <c r="HP316" s="155">
        <f t="shared" si="7108"/>
        <v>-1.5230020411367673E-2</v>
      </c>
      <c r="HQ316" s="155">
        <f t="shared" si="7108"/>
        <v>2.0384391380314781E-3</v>
      </c>
      <c r="HR316" s="155">
        <f t="shared" si="7108"/>
        <v>-1.26278477273567E-2</v>
      </c>
      <c r="HT316" s="177" t="s">
        <v>287</v>
      </c>
      <c r="HU316" s="155">
        <f t="shared" si="7109"/>
        <v>4.3230448188868342E-2</v>
      </c>
      <c r="HV316" s="155">
        <f t="shared" si="7109"/>
        <v>3.1784994964753066E-2</v>
      </c>
      <c r="HW316" s="155">
        <f t="shared" si="7109"/>
        <v>5.1889834881320818E-2</v>
      </c>
      <c r="HX316" s="155">
        <f t="shared" si="7109"/>
        <v>4.8228450555261704E-2</v>
      </c>
      <c r="HY316" s="155">
        <f t="shared" si="7109"/>
        <v>4.3903328773369887E-2</v>
      </c>
      <c r="IA316" s="177" t="s">
        <v>287</v>
      </c>
      <c r="IB316" s="155">
        <f t="shared" si="7110"/>
        <v>4.4022601493866054E-2</v>
      </c>
      <c r="IC316" s="155">
        <f t="shared" si="7110"/>
        <v>6.7741935483871085E-2</v>
      </c>
      <c r="ID316" s="155">
        <f t="shared" si="7110"/>
        <v>4.1914864142803543E-2</v>
      </c>
      <c r="IE316" s="155">
        <f t="shared" si="7110"/>
        <v>8.9007856194642798E-3</v>
      </c>
      <c r="IF316" s="155">
        <f t="shared" si="7110"/>
        <v>3.7731619844590281E-2</v>
      </c>
      <c r="IH316" s="177" t="s">
        <v>287</v>
      </c>
      <c r="II316" s="155">
        <f t="shared" si="7111"/>
        <v>1.3651877133105783E-2</v>
      </c>
      <c r="IJ316" s="155">
        <f t="shared" si="7111"/>
        <v>5.3792361484683582E-4</v>
      </c>
      <c r="IK316" s="155">
        <f t="shared" si="7111"/>
        <v>5.5772448410462694E-4</v>
      </c>
      <c r="IL316" s="155">
        <f t="shared" si="7111"/>
        <v>6.3548519736841946E-2</v>
      </c>
      <c r="IM316" s="155">
        <f t="shared" si="7111"/>
        <v>1.8734084675658735E-2</v>
      </c>
      <c r="IO316" s="177" t="s">
        <v>287</v>
      </c>
      <c r="IP316" s="155">
        <f t="shared" si="7112"/>
        <v>1.4010656590315307E-3</v>
      </c>
      <c r="IQ316" s="155">
        <f t="shared" si="7112"/>
        <v>-1.807909604519764E-2</v>
      </c>
      <c r="IR316" s="155">
        <f t="shared" si="7112"/>
        <v>-6.5772669220944935E-2</v>
      </c>
      <c r="IS316" s="155">
        <f t="shared" si="7112"/>
        <v>-8.154374455435387E-2</v>
      </c>
      <c r="IT316" s="155">
        <f t="shared" si="7112"/>
        <v>-3.4861292527596066E-2</v>
      </c>
      <c r="IV316" s="177" t="s">
        <v>287</v>
      </c>
      <c r="IW316" s="155">
        <f t="shared" si="7113"/>
        <v>-0.12940993788819899</v>
      </c>
      <c r="IX316" s="155">
        <f t="shared" si="7113"/>
        <v>-4.2194092827004814E-3</v>
      </c>
      <c r="IY316" s="155">
        <f t="shared" si="7113"/>
        <v>9.0225563909774209E-2</v>
      </c>
      <c r="IZ316" s="155">
        <f t="shared" si="7113"/>
        <v>0.11342312348668293</v>
      </c>
      <c r="JA316" s="155">
        <f t="shared" si="7113"/>
        <v>1.2552009631022099E-2</v>
      </c>
      <c r="JC316" s="177" t="s">
        <v>287</v>
      </c>
      <c r="JD316" s="155">
        <f t="shared" si="7114"/>
        <v>6.6130248931355329E-2</v>
      </c>
      <c r="JE316" s="155">
        <f t="shared" si="7114"/>
        <v>-4.4471153846153855E-2</v>
      </c>
      <c r="JF316" s="155">
        <f t="shared" si="7114"/>
        <v>-9.9999999999999978E-2</v>
      </c>
      <c r="JG316" s="155">
        <f t="shared" si="7114"/>
        <v>-0.125925925925926</v>
      </c>
      <c r="JH316" s="155">
        <f t="shared" si="7114"/>
        <v>-5.900079096484756E-2</v>
      </c>
      <c r="JJ316" s="177" t="s">
        <v>287</v>
      </c>
      <c r="JK316" s="155">
        <f t="shared" si="7115"/>
        <v>-8.9646109077253788E-3</v>
      </c>
      <c r="JL316" s="155">
        <f t="shared" si="7115"/>
        <v>4.3005269420363978E-2</v>
      </c>
      <c r="JM316" s="155">
        <f t="shared" si="7115"/>
        <v>2.564102564102555E-2</v>
      </c>
      <c r="JN316" s="155">
        <f t="shared" si="7115"/>
        <v>-8.6956521739127712E-3</v>
      </c>
      <c r="JO316" s="155">
        <f t="shared" si="7115"/>
        <v>1.289865675877655E-2</v>
      </c>
      <c r="JQ316" s="177" t="s">
        <v>287</v>
      </c>
      <c r="JR316" s="155">
        <f t="shared" si="7116"/>
        <v>-3.3476827257739594E-2</v>
      </c>
      <c r="JS316" s="155">
        <f t="shared" si="7116"/>
        <v>-9.2620368981550905E-2</v>
      </c>
      <c r="JT316" s="155">
        <f t="shared" si="7116"/>
        <v>-5.7042253521126685E-2</v>
      </c>
      <c r="JU316" s="155">
        <f t="shared" si="7116"/>
        <v>-1.2244152046783641E-2</v>
      </c>
      <c r="JV316" s="155">
        <f t="shared" si="7116"/>
        <v>-4.9556137812365564E-2</v>
      </c>
      <c r="JX316" s="177" t="s">
        <v>287</v>
      </c>
      <c r="JY316" s="155">
        <f t="shared" si="7117"/>
        <v>-4.0673506971849571E-2</v>
      </c>
      <c r="JZ316" s="155">
        <f t="shared" si="7117"/>
        <v>-2.0443545474247093E-2</v>
      </c>
      <c r="KA316" s="155">
        <f t="shared" si="7117"/>
        <v>-5.2740369558408995E-2</v>
      </c>
      <c r="KB316" s="155">
        <f t="shared" si="7117"/>
        <v>-1.3939838591342735E-2</v>
      </c>
      <c r="KC316" s="155">
        <f t="shared" si="7117"/>
        <v>-3.0801315472848256E-2</v>
      </c>
      <c r="KE316" s="177" t="s">
        <v>287</v>
      </c>
      <c r="KF316" s="155">
        <f t="shared" si="7118"/>
        <v>7.6798269334775737E-2</v>
      </c>
      <c r="KG316" s="155">
        <f t="shared" si="7118"/>
        <v>6.4116575591985248E-2</v>
      </c>
      <c r="KH316" s="155">
        <f t="shared" si="7118"/>
        <v>7.9420970266040669E-2</v>
      </c>
      <c r="KI316" s="155">
        <f t="shared" si="7118"/>
        <v>2.965747702589816E-2</v>
      </c>
      <c r="KJ316" s="155">
        <f t="shared" si="7118"/>
        <v>6.1137097305487886E-2</v>
      </c>
      <c r="KL316" s="177" t="s">
        <v>287</v>
      </c>
      <c r="KM316" s="155">
        <f t="shared" si="7119"/>
        <v>-4.1642228739003251E-2</v>
      </c>
      <c r="KN316" s="155">
        <f t="shared" si="7119"/>
        <v>-6.1309233023937204E-2</v>
      </c>
      <c r="KO316" s="155">
        <f t="shared" si="7119"/>
        <v>-1.733003237478592E-2</v>
      </c>
      <c r="KP316" s="155">
        <f t="shared" si="7119"/>
        <v>-1.0254797106008295E-2</v>
      </c>
      <c r="KQ316" s="155">
        <f t="shared" si="7119"/>
        <v>-3.286887305562991E-2</v>
      </c>
      <c r="KS316" s="177" t="s">
        <v>287</v>
      </c>
      <c r="KT316" s="155">
        <f t="shared" si="7120"/>
        <v>1.42247510668565E-2</v>
      </c>
      <c r="KU316" s="155">
        <f t="shared" si="7120"/>
        <v>5.379665379665366E-2</v>
      </c>
      <c r="KV316" s="155">
        <f t="shared" si="7120"/>
        <v>2.4099289070975694E-3</v>
      </c>
      <c r="KW316" s="155">
        <f t="shared" si="7120"/>
        <v>1.6304347826086918E-2</v>
      </c>
      <c r="KX316" s="155">
        <f t="shared" si="7120"/>
        <v>2.1505544888122508E-2</v>
      </c>
      <c r="KZ316" s="177" t="s">
        <v>287</v>
      </c>
      <c r="LA316" s="155">
        <f t="shared" si="7121"/>
        <v>5.4347826086957873E-3</v>
      </c>
      <c r="LB316" s="155">
        <f t="shared" si="7122"/>
        <v>-1.1416079669662182E-2</v>
      </c>
      <c r="LC316" s="155">
        <f t="shared" si="7122"/>
        <v>-1.662933930571131E-2</v>
      </c>
      <c r="LD316" s="155">
        <f t="shared" si="7122"/>
        <v>-6.1452513966480327E-2</v>
      </c>
      <c r="LE316" s="155">
        <f t="shared" si="7122"/>
        <v>-2.0812747035572898E-2</v>
      </c>
      <c r="LF316" s="569"/>
      <c r="LG316" s="154" t="s">
        <v>287</v>
      </c>
      <c r="LH316" s="155">
        <f t="shared" si="7123"/>
        <v>-2.3255813953488413E-2</v>
      </c>
      <c r="LI316" s="155">
        <f t="shared" si="7123"/>
        <v>4.5140632847814999E-2</v>
      </c>
      <c r="LJ316" s="155">
        <f>IFERROR(LJ311/LC311-1,"NM")</f>
        <v>0.12338748208313444</v>
      </c>
      <c r="LK316" s="155">
        <f t="shared" si="7123"/>
        <v>5.9589581689029281E-2</v>
      </c>
      <c r="LL316" s="155">
        <f t="shared" si="7123"/>
        <v>5.0911729594344424E-2</v>
      </c>
      <c r="LM316" s="569"/>
      <c r="LN316" s="154" t="s">
        <v>287</v>
      </c>
      <c r="LO316" s="155">
        <f t="shared" si="7124"/>
        <v>2.2204460492503131E-16</v>
      </c>
      <c r="LP316" s="155">
        <f t="shared" si="7124"/>
        <v>-1.1102230246251565E-16</v>
      </c>
      <c r="LQ316" s="155">
        <f>IFERROR(LQ311/LJ311-1,"NM")</f>
        <v>-1.1102230246251565E-16</v>
      </c>
      <c r="LR316" s="155">
        <f t="shared" si="7124"/>
        <v>2.2204460492503131E-16</v>
      </c>
      <c r="LS316" s="155">
        <f t="shared" si="7124"/>
        <v>-5.8810156915001244E-5</v>
      </c>
      <c r="LT316" s="569"/>
      <c r="LU316" s="154" t="s">
        <v>287</v>
      </c>
      <c r="LV316" s="155">
        <f t="shared" si="7125"/>
        <v>2.2204460492503131E-16</v>
      </c>
      <c r="LW316" s="155">
        <f t="shared" si="7126"/>
        <v>0</v>
      </c>
      <c r="LX316" s="155">
        <f t="shared" si="7127"/>
        <v>2.2204460492503131E-16</v>
      </c>
      <c r="LY316" s="155">
        <f t="shared" si="7128"/>
        <v>0</v>
      </c>
      <c r="LZ316" s="155">
        <f t="shared" si="7129"/>
        <v>1.0109957059967201E-5</v>
      </c>
      <c r="MA316" s="569"/>
      <c r="MB316" s="154" t="s">
        <v>287</v>
      </c>
      <c r="MC316" s="155">
        <f t="shared" si="7130"/>
        <v>-1.1102230246251565E-16</v>
      </c>
      <c r="MD316" s="155">
        <f t="shared" si="7131"/>
        <v>2.2204460492503131E-16</v>
      </c>
      <c r="ME316" s="155">
        <f t="shared" si="7132"/>
        <v>-1.1102230246251565E-16</v>
      </c>
      <c r="MF316" s="155">
        <f t="shared" si="7133"/>
        <v>0</v>
      </c>
      <c r="MG316" s="155">
        <f t="shared" si="7134"/>
        <v>0</v>
      </c>
      <c r="MH316" s="569"/>
    </row>
    <row r="317" spans="1:346" s="37" customFormat="1" ht="13.15" x14ac:dyDescent="0.4">
      <c r="A317" s="100"/>
      <c r="B317" s="154" t="s">
        <v>286</v>
      </c>
      <c r="C317" s="155"/>
      <c r="D317" s="155"/>
      <c r="E317" s="155"/>
      <c r="F317" s="155"/>
      <c r="G317" s="155"/>
      <c r="H317" s="155"/>
      <c r="I317" s="155"/>
      <c r="J317" s="155"/>
      <c r="K317" s="155"/>
      <c r="L317" s="155"/>
      <c r="M317" s="155"/>
      <c r="N317" s="155">
        <f>BT317</f>
        <v>0</v>
      </c>
      <c r="O317" s="155" t="str">
        <f>CA317</f>
        <v>NM</v>
      </c>
      <c r="P317" s="155" t="str">
        <f>CH317</f>
        <v>NM</v>
      </c>
      <c r="Q317" s="155" t="str">
        <f>CO317</f>
        <v>NM</v>
      </c>
      <c r="R317" s="155" t="str">
        <f>CV317</f>
        <v>NM</v>
      </c>
      <c r="S317" s="155" t="str">
        <f>DC317</f>
        <v>NM</v>
      </c>
      <c r="T317" s="155" t="str">
        <f>DJ317</f>
        <v>NM</v>
      </c>
      <c r="U317" s="155" t="str">
        <f>DQ317</f>
        <v>NM</v>
      </c>
      <c r="V317" s="155" t="str">
        <f>DX317</f>
        <v>NM</v>
      </c>
      <c r="W317" s="155" t="str">
        <f>EE317</f>
        <v>NM</v>
      </c>
      <c r="X317" s="155" t="str">
        <f>EL317</f>
        <v>NM</v>
      </c>
      <c r="Y317" s="155" t="str">
        <f>ES317</f>
        <v>NM</v>
      </c>
      <c r="Z317" s="155">
        <f>EZ317</f>
        <v>-2.8436150953906059E-2</v>
      </c>
      <c r="AA317" s="155">
        <f>FG317</f>
        <v>-2.645532021208663E-2</v>
      </c>
      <c r="AB317" s="155">
        <f>FN317</f>
        <v>-2.2626521460602067E-2</v>
      </c>
      <c r="AC317" s="155">
        <f>FU317</f>
        <v>2.8588866403262969E-3</v>
      </c>
      <c r="AD317" s="155">
        <f>GB317</f>
        <v>-1.0953480699439133E-2</v>
      </c>
      <c r="AE317" s="155">
        <f>GI317</f>
        <v>-1.6481625304481939E-3</v>
      </c>
      <c r="AF317" s="155">
        <f>GP317</f>
        <v>-3.1992366256496263E-2</v>
      </c>
      <c r="AG317" s="155">
        <f>GW317</f>
        <v>-2.1345222477584636E-2</v>
      </c>
      <c r="AH317" s="155">
        <f>HD317</f>
        <v>1.0095755867285394E-3</v>
      </c>
      <c r="AI317" s="155">
        <f>HK317</f>
        <v>8.9162434766327792E-3</v>
      </c>
      <c r="AJ317" s="155">
        <f>HR317</f>
        <v>2.8293886361884457E-2</v>
      </c>
      <c r="AK317" s="155">
        <f>HY317</f>
        <v>2.037717031597075E-2</v>
      </c>
      <c r="AL317" s="155">
        <f>IF317</f>
        <v>5.5764156021478328E-3</v>
      </c>
      <c r="AM317" s="155">
        <f>IM317</f>
        <v>2.5985337243402018E-2</v>
      </c>
      <c r="AN317" s="155">
        <f>IT317</f>
        <v>2.5744443490904878E-4</v>
      </c>
      <c r="AO317" s="155">
        <f>JA317</f>
        <v>-4.7155173066296685E-3</v>
      </c>
      <c r="AP317" s="155">
        <f>JH317</f>
        <v>2.4310625365342675E-2</v>
      </c>
      <c r="AQ317" s="155">
        <f>JO317</f>
        <v>-9.1273268086744519E-4</v>
      </c>
      <c r="AR317" s="155">
        <f>JV317</f>
        <v>-4.5442343827895026E-3</v>
      </c>
      <c r="AS317" s="155">
        <f>KC317</f>
        <v>2.5407281871856702E-2</v>
      </c>
      <c r="AT317" s="155">
        <f>KJ317</f>
        <v>2.4566639880610586E-2</v>
      </c>
      <c r="AU317" s="155">
        <f>KQ317</f>
        <v>-4.3440528421965996E-2</v>
      </c>
      <c r="AV317" s="155">
        <f>KX317</f>
        <v>1.0519402265606104E-2</v>
      </c>
      <c r="AW317" s="155">
        <f>LE317</f>
        <v>-2.7006824075171187E-2</v>
      </c>
      <c r="AX317" s="155">
        <f>LL317</f>
        <v>-5.1706547950292059E-4</v>
      </c>
      <c r="AY317" s="155">
        <f>LS317</f>
        <v>3.8618961988312606E-6</v>
      </c>
      <c r="AZ317" s="155">
        <f>LZ317</f>
        <v>0</v>
      </c>
      <c r="BA317" s="155">
        <f>MG317</f>
        <v>4.4408920985006262E-16</v>
      </c>
      <c r="BB317" s="155"/>
      <c r="BC317" s="155"/>
      <c r="BD317" s="155"/>
      <c r="BE317" s="155"/>
      <c r="BF317" s="155"/>
      <c r="BG317" s="155"/>
      <c r="BH317" s="155"/>
      <c r="BI317" s="155"/>
      <c r="BJ317" s="155"/>
      <c r="BK317" s="155"/>
      <c r="BL317" s="155"/>
      <c r="BM317" s="155"/>
      <c r="BO317" s="177" t="s">
        <v>286</v>
      </c>
      <c r="BP317" s="155"/>
      <c r="BQ317" s="155"/>
      <c r="BR317" s="155"/>
      <c r="BS317" s="155"/>
      <c r="BT317" s="155"/>
      <c r="BV317" s="177" t="s">
        <v>286</v>
      </c>
      <c r="BW317" s="155" t="str">
        <f t="shared" si="7087"/>
        <v>NM</v>
      </c>
      <c r="BX317" s="155" t="str">
        <f t="shared" si="7087"/>
        <v>NM</v>
      </c>
      <c r="BY317" s="155" t="str">
        <f t="shared" si="7087"/>
        <v>NM</v>
      </c>
      <c r="BZ317" s="155" t="str">
        <f t="shared" si="7087"/>
        <v>NM</v>
      </c>
      <c r="CA317" s="155" t="str">
        <f t="shared" si="7087"/>
        <v>NM</v>
      </c>
      <c r="CC317" s="177" t="s">
        <v>286</v>
      </c>
      <c r="CD317" s="155" t="str">
        <f t="shared" si="7088"/>
        <v>NM</v>
      </c>
      <c r="CE317" s="155" t="str">
        <f t="shared" si="7088"/>
        <v>NM</v>
      </c>
      <c r="CF317" s="155" t="str">
        <f t="shared" si="7088"/>
        <v>NM</v>
      </c>
      <c r="CG317" s="155" t="str">
        <f t="shared" si="7088"/>
        <v>NM</v>
      </c>
      <c r="CH317" s="155" t="str">
        <f t="shared" si="7088"/>
        <v>NM</v>
      </c>
      <c r="CJ317" s="177" t="s">
        <v>286</v>
      </c>
      <c r="CK317" s="155" t="str">
        <f t="shared" si="7089"/>
        <v>NM</v>
      </c>
      <c r="CL317" s="155" t="str">
        <f t="shared" si="7089"/>
        <v>NM</v>
      </c>
      <c r="CM317" s="155" t="str">
        <f t="shared" si="7089"/>
        <v>NM</v>
      </c>
      <c r="CN317" s="155" t="str">
        <f t="shared" si="7089"/>
        <v>NM</v>
      </c>
      <c r="CO317" s="155" t="str">
        <f t="shared" si="7089"/>
        <v>NM</v>
      </c>
      <c r="CQ317" s="177" t="s">
        <v>286</v>
      </c>
      <c r="CR317" s="155" t="str">
        <f t="shared" si="7090"/>
        <v>NM</v>
      </c>
      <c r="CS317" s="155" t="str">
        <f t="shared" si="7090"/>
        <v>NM</v>
      </c>
      <c r="CT317" s="155" t="str">
        <f t="shared" si="7090"/>
        <v>NM</v>
      </c>
      <c r="CU317" s="155" t="str">
        <f t="shared" si="7090"/>
        <v>NM</v>
      </c>
      <c r="CV317" s="155" t="str">
        <f t="shared" si="7090"/>
        <v>NM</v>
      </c>
      <c r="CX317" s="177" t="s">
        <v>286</v>
      </c>
      <c r="CY317" s="155" t="str">
        <f t="shared" si="7091"/>
        <v>NM</v>
      </c>
      <c r="CZ317" s="155" t="str">
        <f t="shared" si="7091"/>
        <v>NM</v>
      </c>
      <c r="DA317" s="155" t="str">
        <f t="shared" si="7091"/>
        <v>NM</v>
      </c>
      <c r="DB317" s="155" t="str">
        <f t="shared" si="7091"/>
        <v>NM</v>
      </c>
      <c r="DC317" s="155" t="str">
        <f t="shared" si="7091"/>
        <v>NM</v>
      </c>
      <c r="DE317" s="177" t="s">
        <v>286</v>
      </c>
      <c r="DF317" s="155" t="str">
        <f t="shared" si="7092"/>
        <v>NM</v>
      </c>
      <c r="DG317" s="155" t="str">
        <f t="shared" si="7092"/>
        <v>NM</v>
      </c>
      <c r="DH317" s="155" t="str">
        <f t="shared" si="7092"/>
        <v>NM</v>
      </c>
      <c r="DI317" s="155" t="str">
        <f t="shared" si="7092"/>
        <v>NM</v>
      </c>
      <c r="DJ317" s="155" t="str">
        <f t="shared" si="7092"/>
        <v>NM</v>
      </c>
      <c r="DL317" s="177" t="s">
        <v>286</v>
      </c>
      <c r="DM317" s="155" t="str">
        <f t="shared" si="7093"/>
        <v>NM</v>
      </c>
      <c r="DN317" s="155" t="str">
        <f t="shared" si="7093"/>
        <v>NM</v>
      </c>
      <c r="DO317" s="155" t="str">
        <f t="shared" si="7093"/>
        <v>NM</v>
      </c>
      <c r="DP317" s="155" t="str">
        <f t="shared" si="7093"/>
        <v>NM</v>
      </c>
      <c r="DQ317" s="155" t="str">
        <f t="shared" si="7093"/>
        <v>NM</v>
      </c>
      <c r="DS317" s="177" t="s">
        <v>286</v>
      </c>
      <c r="DT317" s="155" t="str">
        <f t="shared" si="7094"/>
        <v>NM</v>
      </c>
      <c r="DU317" s="155" t="str">
        <f t="shared" si="7094"/>
        <v>NM</v>
      </c>
      <c r="DV317" s="155" t="str">
        <f t="shared" si="7094"/>
        <v>NM</v>
      </c>
      <c r="DW317" s="155" t="str">
        <f t="shared" si="7094"/>
        <v>NM</v>
      </c>
      <c r="DX317" s="155" t="str">
        <f t="shared" si="7094"/>
        <v>NM</v>
      </c>
      <c r="DZ317" s="177" t="s">
        <v>286</v>
      </c>
      <c r="EA317" s="155" t="str">
        <f t="shared" si="7095"/>
        <v>NM</v>
      </c>
      <c r="EB317" s="155" t="str">
        <f t="shared" si="7095"/>
        <v>NM</v>
      </c>
      <c r="EC317" s="155" t="str">
        <f t="shared" si="7095"/>
        <v>NM</v>
      </c>
      <c r="ED317" s="155" t="str">
        <f t="shared" si="7095"/>
        <v>NM</v>
      </c>
      <c r="EE317" s="155" t="str">
        <f t="shared" si="7095"/>
        <v>NM</v>
      </c>
      <c r="EG317" s="177" t="s">
        <v>286</v>
      </c>
      <c r="EH317" s="155" t="str">
        <f t="shared" si="7096"/>
        <v>NM</v>
      </c>
      <c r="EI317" s="155" t="str">
        <f t="shared" si="7096"/>
        <v>NM</v>
      </c>
      <c r="EJ317" s="155" t="str">
        <f t="shared" si="7096"/>
        <v>NM</v>
      </c>
      <c r="EK317" s="155" t="str">
        <f t="shared" si="7096"/>
        <v>NM</v>
      </c>
      <c r="EL317" s="155" t="str">
        <f t="shared" si="7096"/>
        <v>NM</v>
      </c>
      <c r="EN317" s="177" t="s">
        <v>286</v>
      </c>
      <c r="EO317" s="155" t="str">
        <f t="shared" si="7097"/>
        <v>NM</v>
      </c>
      <c r="EP317" s="155" t="str">
        <f t="shared" si="7097"/>
        <v>NM</v>
      </c>
      <c r="EQ317" s="155" t="str">
        <f t="shared" si="7097"/>
        <v>NM</v>
      </c>
      <c r="ER317" s="155" t="str">
        <f t="shared" si="7097"/>
        <v>NM</v>
      </c>
      <c r="ES317" s="155" t="str">
        <f t="shared" si="7097"/>
        <v>NM</v>
      </c>
      <c r="EU317" s="177" t="s">
        <v>286</v>
      </c>
      <c r="EV317" s="155">
        <f t="shared" si="7098"/>
        <v>-9.1547781202953704E-2</v>
      </c>
      <c r="EW317" s="155">
        <f t="shared" si="7098"/>
        <v>-1.2694347905615522E-2</v>
      </c>
      <c r="EX317" s="155">
        <f t="shared" si="7098"/>
        <v>1.8583835855425779E-3</v>
      </c>
      <c r="EY317" s="155">
        <f t="shared" si="7098"/>
        <v>-4.4300627913245183E-3</v>
      </c>
      <c r="EZ317" s="155">
        <f t="shared" si="7098"/>
        <v>-2.8436150953906059E-2</v>
      </c>
      <c r="FB317" s="177" t="s">
        <v>286</v>
      </c>
      <c r="FC317" s="155">
        <f t="shared" si="7099"/>
        <v>2.0833333333333481E-2</v>
      </c>
      <c r="FD317" s="155">
        <f t="shared" si="7099"/>
        <v>-3.8891276321443957E-2</v>
      </c>
      <c r="FE317" s="155">
        <f t="shared" si="7099"/>
        <v>-5.1440608861103576E-2</v>
      </c>
      <c r="FF317" s="155">
        <f t="shared" si="7099"/>
        <v>-3.0301941049604708E-2</v>
      </c>
      <c r="FG317" s="155">
        <f t="shared" si="7099"/>
        <v>-2.645532021208663E-2</v>
      </c>
      <c r="FI317" s="177" t="s">
        <v>286</v>
      </c>
      <c r="FJ317" s="155">
        <f t="shared" si="7100"/>
        <v>-4.8226895320866103E-2</v>
      </c>
      <c r="FK317" s="155">
        <f t="shared" si="7100"/>
        <v>-3.1956735496558419E-2</v>
      </c>
      <c r="FL317" s="155">
        <f t="shared" si="7100"/>
        <v>3.5460992907798694E-3</v>
      </c>
      <c r="FM317" s="155">
        <f t="shared" si="7100"/>
        <v>-1.6899097621000836E-2</v>
      </c>
      <c r="FN317" s="155">
        <f t="shared" si="7100"/>
        <v>-2.2626521460602067E-2</v>
      </c>
      <c r="FP317" s="177" t="s">
        <v>286</v>
      </c>
      <c r="FQ317" s="155">
        <f t="shared" si="7101"/>
        <v>1.446480231436853E-2</v>
      </c>
      <c r="FR317" s="155">
        <f t="shared" si="7101"/>
        <v>1.1575860472295085E-2</v>
      </c>
      <c r="FS317" s="155">
        <f t="shared" si="7101"/>
        <v>-2.8423772609818987E-2</v>
      </c>
      <c r="FT317" s="155">
        <f t="shared" si="7101"/>
        <v>1.1611541168191408E-2</v>
      </c>
      <c r="FU317" s="155">
        <f t="shared" si="7101"/>
        <v>2.8588866403262969E-3</v>
      </c>
      <c r="FW317" s="177" t="s">
        <v>286</v>
      </c>
      <c r="FX317" s="155">
        <f t="shared" si="7102"/>
        <v>-3.7247474747474807E-2</v>
      </c>
      <c r="FY317" s="155">
        <f t="shared" si="7102"/>
        <v>-2.7497301073220237E-2</v>
      </c>
      <c r="FZ317" s="155">
        <f t="shared" si="7102"/>
        <v>7.8125E-3</v>
      </c>
      <c r="GA317" s="155">
        <f t="shared" si="7102"/>
        <v>1.4999999999999902E-2</v>
      </c>
      <c r="GB317" s="155">
        <f t="shared" si="7102"/>
        <v>-1.0953480699439133E-2</v>
      </c>
      <c r="GD317" s="177" t="s">
        <v>286</v>
      </c>
      <c r="GE317" s="155">
        <f t="shared" si="7103"/>
        <v>4.3720930232558075E-2</v>
      </c>
      <c r="GF317" s="155">
        <f t="shared" si="7103"/>
        <v>1.1777527773871421E-2</v>
      </c>
      <c r="GG317" s="155">
        <f t="shared" si="7103"/>
        <v>2.1276595744680771E-2</v>
      </c>
      <c r="GH317" s="155">
        <f t="shared" si="7103"/>
        <v>-5.7971014492753548E-2</v>
      </c>
      <c r="GI317" s="155">
        <f t="shared" si="7103"/>
        <v>-1.6481625304481939E-3</v>
      </c>
      <c r="GK317" s="177" t="s">
        <v>286</v>
      </c>
      <c r="GL317" s="155">
        <f t="shared" si="7104"/>
        <v>-2.6002542470819234E-2</v>
      </c>
      <c r="GM317" s="155">
        <f t="shared" si="7104"/>
        <v>-2.3453635313473664E-2</v>
      </c>
      <c r="GN317" s="155">
        <f t="shared" si="7104"/>
        <v>-3.4381551362683282E-2</v>
      </c>
      <c r="GO317" s="155">
        <f t="shared" si="7104"/>
        <v>-4.4017895800259832E-2</v>
      </c>
      <c r="GP317" s="155">
        <f t="shared" si="7104"/>
        <v>-3.1992366256496263E-2</v>
      </c>
      <c r="GR317" s="177" t="s">
        <v>286</v>
      </c>
      <c r="GS317" s="155">
        <f t="shared" si="7105"/>
        <v>-5.937650650811499E-2</v>
      </c>
      <c r="GT317" s="155">
        <f t="shared" si="7105"/>
        <v>-2.2900480947095625E-2</v>
      </c>
      <c r="GU317" s="155">
        <f t="shared" si="7105"/>
        <v>-3.759398496240518E-3</v>
      </c>
      <c r="GV317" s="155">
        <f t="shared" si="7105"/>
        <v>1.3777555110221495E-3</v>
      </c>
      <c r="GW317" s="155">
        <f t="shared" si="7105"/>
        <v>-2.1345222477584636E-2</v>
      </c>
      <c r="GY317" s="177" t="s">
        <v>286</v>
      </c>
      <c r="GZ317" s="155">
        <f t="shared" si="7106"/>
        <v>0.10434782608695659</v>
      </c>
      <c r="HA317" s="155">
        <f t="shared" si="7106"/>
        <v>-5.9393560487651653E-3</v>
      </c>
      <c r="HB317" s="155">
        <f t="shared" si="7106"/>
        <v>-6.8310068310070138E-3</v>
      </c>
      <c r="HC317" s="155">
        <f t="shared" si="7106"/>
        <v>-5.3859202714163779E-3</v>
      </c>
      <c r="HD317" s="155">
        <f t="shared" si="7106"/>
        <v>1.0095755867285394E-3</v>
      </c>
      <c r="HF317" s="177" t="s">
        <v>286</v>
      </c>
      <c r="HG317" s="155">
        <f t="shared" si="7107"/>
        <v>-9.9999999999999978E-2</v>
      </c>
      <c r="HH317" s="155">
        <f t="shared" si="7107"/>
        <v>5.1690564701716957E-2</v>
      </c>
      <c r="HI317" s="155">
        <f t="shared" si="7107"/>
        <v>-9.6610706366803134E-3</v>
      </c>
      <c r="HJ317" s="155">
        <f t="shared" si="7107"/>
        <v>2.1833757008043797E-2</v>
      </c>
      <c r="HK317" s="155">
        <f t="shared" si="7107"/>
        <v>8.9162434766327792E-3</v>
      </c>
      <c r="HM317" s="177" t="s">
        <v>286</v>
      </c>
      <c r="HN317" s="155">
        <f t="shared" si="7108"/>
        <v>4.4806108097247277E-2</v>
      </c>
      <c r="HO317" s="155">
        <f t="shared" si="7108"/>
        <v>-2.780352177942591E-3</v>
      </c>
      <c r="HP317" s="155">
        <f t="shared" si="7108"/>
        <v>1.5691773504273421E-2</v>
      </c>
      <c r="HQ317" s="155">
        <f t="shared" si="7108"/>
        <v>3.6423636812238147E-2</v>
      </c>
      <c r="HR317" s="155">
        <f t="shared" si="7108"/>
        <v>2.8293886361884457E-2</v>
      </c>
      <c r="HT317" s="177" t="s">
        <v>286</v>
      </c>
      <c r="HU317" s="155">
        <f t="shared" si="7109"/>
        <v>2.8012820512820724E-2</v>
      </c>
      <c r="HV317" s="155">
        <f t="shared" si="7109"/>
        <v>6.1605723370428134E-3</v>
      </c>
      <c r="HW317" s="155">
        <f t="shared" si="7109"/>
        <v>4.8352848389249692E-2</v>
      </c>
      <c r="HX317" s="155">
        <f t="shared" si="7109"/>
        <v>1.7636363636363672E-2</v>
      </c>
      <c r="HY317" s="155">
        <f t="shared" si="7109"/>
        <v>2.037717031597075E-2</v>
      </c>
      <c r="IA317" s="177" t="s">
        <v>286</v>
      </c>
      <c r="IB317" s="155">
        <f t="shared" si="7110"/>
        <v>-7.569386038688064E-3</v>
      </c>
      <c r="IC317" s="155">
        <f t="shared" si="7110"/>
        <v>8.7312900926586057E-3</v>
      </c>
      <c r="ID317" s="155">
        <f t="shared" si="7110"/>
        <v>9.842719431760516E-3</v>
      </c>
      <c r="IE317" s="155">
        <f t="shared" si="7110"/>
        <v>-5.9024541783161411E-3</v>
      </c>
      <c r="IF317" s="155">
        <f t="shared" si="7110"/>
        <v>5.5764156021478328E-3</v>
      </c>
      <c r="IH317" s="177" t="s">
        <v>286</v>
      </c>
      <c r="II317" s="155">
        <f t="shared" si="7111"/>
        <v>3.1095276766300861E-2</v>
      </c>
      <c r="IJ317" s="155">
        <f t="shared" si="7111"/>
        <v>2.0742884708152776E-2</v>
      </c>
      <c r="IK317" s="155">
        <f t="shared" si="7111"/>
        <v>1.0220694645441508E-2</v>
      </c>
      <c r="IL317" s="155">
        <f t="shared" si="7111"/>
        <v>4.2113733905579043E-2</v>
      </c>
      <c r="IM317" s="155">
        <f t="shared" si="7111"/>
        <v>2.5985337243402018E-2</v>
      </c>
      <c r="IO317" s="177" t="s">
        <v>286</v>
      </c>
      <c r="IP317" s="155">
        <f t="shared" si="7112"/>
        <v>3.4088740458015243E-2</v>
      </c>
      <c r="IQ317" s="155">
        <f t="shared" si="7112"/>
        <v>2.4996492072082876E-2</v>
      </c>
      <c r="IR317" s="155">
        <f t="shared" si="7112"/>
        <v>-1.3016013518950875E-2</v>
      </c>
      <c r="IS317" s="155">
        <f t="shared" si="7112"/>
        <v>-2.7454438565549522E-2</v>
      </c>
      <c r="IT317" s="155">
        <f t="shared" si="7112"/>
        <v>2.5744443490904878E-4</v>
      </c>
      <c r="IV317" s="177" t="s">
        <v>286</v>
      </c>
      <c r="IW317" s="155">
        <f t="shared" si="7113"/>
        <v>-4.8342359001452895E-2</v>
      </c>
      <c r="IX317" s="155">
        <f t="shared" si="7113"/>
        <v>-2.8604252667653318E-2</v>
      </c>
      <c r="IY317" s="155">
        <f t="shared" si="7113"/>
        <v>1.2946991789208218E-2</v>
      </c>
      <c r="IZ317" s="155">
        <f t="shared" si="7113"/>
        <v>2.946969415437195E-2</v>
      </c>
      <c r="JA317" s="155">
        <f t="shared" si="7113"/>
        <v>-4.7155173066296685E-3</v>
      </c>
      <c r="JC317" s="177" t="s">
        <v>286</v>
      </c>
      <c r="JD317" s="155">
        <f t="shared" si="7114"/>
        <v>4.5190274841437894E-2</v>
      </c>
      <c r="JE317" s="155">
        <f t="shared" si="7114"/>
        <v>2.2607080860683748E-2</v>
      </c>
      <c r="JF317" s="155">
        <f t="shared" si="7114"/>
        <v>1.9249158109175601E-2</v>
      </c>
      <c r="JG317" s="155">
        <f t="shared" si="7114"/>
        <v>1.2627186882365971E-2</v>
      </c>
      <c r="JH317" s="155">
        <f t="shared" si="7114"/>
        <v>2.4310625365342675E-2</v>
      </c>
      <c r="JJ317" s="177" t="s">
        <v>286</v>
      </c>
      <c r="JK317" s="155">
        <f t="shared" si="7115"/>
        <v>1.2813601492846827E-2</v>
      </c>
      <c r="JL317" s="155">
        <f t="shared" si="7115"/>
        <v>3.0397912589693377E-2</v>
      </c>
      <c r="JM317" s="155">
        <f t="shared" si="7115"/>
        <v>-1.4922568034882011E-2</v>
      </c>
      <c r="JN317" s="155">
        <f t="shared" si="7115"/>
        <v>-1.7759562841530019E-2</v>
      </c>
      <c r="JO317" s="155">
        <f t="shared" si="7115"/>
        <v>-9.1273268086744519E-4</v>
      </c>
      <c r="JQ317" s="177" t="s">
        <v>286</v>
      </c>
      <c r="JR317" s="155">
        <f t="shared" si="7116"/>
        <v>-3.9916822089309245E-2</v>
      </c>
      <c r="JS317" s="155">
        <f t="shared" si="7116"/>
        <v>-1.3539651837524036E-2</v>
      </c>
      <c r="JT317" s="155">
        <f t="shared" si="7116"/>
        <v>7.8161574630055686E-3</v>
      </c>
      <c r="JU317" s="155">
        <f t="shared" si="7116"/>
        <v>1.4502068854697958E-2</v>
      </c>
      <c r="JV317" s="155">
        <f t="shared" si="7116"/>
        <v>-4.5442343827895026E-3</v>
      </c>
      <c r="JX317" s="177" t="s">
        <v>286</v>
      </c>
      <c r="JY317" s="155">
        <f t="shared" si="7117"/>
        <v>4.1398601398601631E-2</v>
      </c>
      <c r="JZ317" s="155">
        <f t="shared" si="7117"/>
        <v>7.2776550893394187E-3</v>
      </c>
      <c r="KA317" s="155">
        <f t="shared" si="7117"/>
        <v>3.6699348446054048E-2</v>
      </c>
      <c r="KB317" s="155">
        <f t="shared" si="7117"/>
        <v>1.8436620527252812E-2</v>
      </c>
      <c r="KC317" s="155">
        <f t="shared" si="7117"/>
        <v>2.5407281871856702E-2</v>
      </c>
      <c r="KE317" s="177" t="s">
        <v>286</v>
      </c>
      <c r="KF317" s="155">
        <f t="shared" si="7118"/>
        <v>2.9411764705882248E-2</v>
      </c>
      <c r="KG317" s="155">
        <f t="shared" si="7118"/>
        <v>3.4748866410882373E-2</v>
      </c>
      <c r="KH317" s="155">
        <f t="shared" si="7118"/>
        <v>1.5802092414995528E-2</v>
      </c>
      <c r="KI317" s="155">
        <f t="shared" si="7118"/>
        <v>1.6850302659321414E-2</v>
      </c>
      <c r="KJ317" s="155">
        <f t="shared" si="7118"/>
        <v>2.4566639880610586E-2</v>
      </c>
      <c r="KL317" s="177" t="s">
        <v>286</v>
      </c>
      <c r="KM317" s="155">
        <f t="shared" si="7119"/>
        <v>-7.5187969924812581E-3</v>
      </c>
      <c r="KN317" s="155">
        <f t="shared" si="7119"/>
        <v>-5.8149937376990368E-2</v>
      </c>
      <c r="KO317" s="155">
        <f t="shared" si="7119"/>
        <v>-4.8657379366040532E-2</v>
      </c>
      <c r="KP317" s="155">
        <f t="shared" si="7119"/>
        <v>-5.8825597749648462E-2</v>
      </c>
      <c r="KQ317" s="155">
        <f t="shared" si="7119"/>
        <v>-4.3440528421965996E-2</v>
      </c>
      <c r="KS317" s="177" t="s">
        <v>286</v>
      </c>
      <c r="KT317" s="155">
        <f t="shared" si="7120"/>
        <v>2.2935779816515289E-3</v>
      </c>
      <c r="KU317" s="155">
        <f t="shared" si="7120"/>
        <v>8.7719298245612087E-3</v>
      </c>
      <c r="KV317" s="155">
        <f t="shared" si="7120"/>
        <v>5.4638715432648866E-3</v>
      </c>
      <c r="KW317" s="155">
        <f t="shared" si="7120"/>
        <v>2.8169014084507005E-2</v>
      </c>
      <c r="KX317" s="155">
        <f t="shared" si="7120"/>
        <v>1.0519402265606104E-2</v>
      </c>
      <c r="KZ317" s="177" t="s">
        <v>286</v>
      </c>
      <c r="LA317" s="155">
        <f t="shared" si="7121"/>
        <v>-4.00049618557341E-2</v>
      </c>
      <c r="LB317" s="155">
        <f t="shared" si="7122"/>
        <v>-1.7398244213886693E-2</v>
      </c>
      <c r="LC317" s="155">
        <f t="shared" si="7122"/>
        <v>-1.6476943854910275E-2</v>
      </c>
      <c r="LD317" s="155">
        <f t="shared" si="7122"/>
        <v>-3.4852546916889993E-2</v>
      </c>
      <c r="LE317" s="155">
        <f t="shared" si="7122"/>
        <v>-2.7006824075171187E-2</v>
      </c>
      <c r="LF317" s="569"/>
      <c r="LG317" s="154" t="s">
        <v>286</v>
      </c>
      <c r="LH317" s="155">
        <f t="shared" si="7123"/>
        <v>-2.0949720670391025E-2</v>
      </c>
      <c r="LI317" s="155">
        <f t="shared" si="7123"/>
        <v>2.3090992226794782E-2</v>
      </c>
      <c r="LJ317" s="155">
        <f>IFERROR(LJ312/LC312-1,"NM")</f>
        <v>1.6529224537037202E-2</v>
      </c>
      <c r="LK317" s="155">
        <f t="shared" si="7123"/>
        <v>-1.9899800301299897E-2</v>
      </c>
      <c r="LL317" s="155">
        <f t="shared" si="7123"/>
        <v>-5.1706547950292059E-4</v>
      </c>
      <c r="LM317" s="569"/>
      <c r="LN317" s="154" t="s">
        <v>286</v>
      </c>
      <c r="LO317" s="155">
        <f t="shared" si="7124"/>
        <v>0</v>
      </c>
      <c r="LP317" s="155">
        <f t="shared" si="7124"/>
        <v>0</v>
      </c>
      <c r="LQ317" s="155">
        <f>IFERROR(LQ312/LJ312-1,"NM")</f>
        <v>-2.2204460492503131E-16</v>
      </c>
      <c r="LR317" s="155">
        <f t="shared" si="7124"/>
        <v>0</v>
      </c>
      <c r="LS317" s="155">
        <f t="shared" si="7124"/>
        <v>3.8618961988312606E-6</v>
      </c>
      <c r="LT317" s="569"/>
      <c r="LU317" s="154" t="s">
        <v>286</v>
      </c>
      <c r="LV317" s="155">
        <f t="shared" si="7125"/>
        <v>2.2204460492503131E-16</v>
      </c>
      <c r="LW317" s="155">
        <f t="shared" si="7126"/>
        <v>-2.2204460492503131E-16</v>
      </c>
      <c r="LX317" s="155">
        <f t="shared" si="7127"/>
        <v>0</v>
      </c>
      <c r="LY317" s="155">
        <f t="shared" si="7128"/>
        <v>0</v>
      </c>
      <c r="LZ317" s="155">
        <f t="shared" si="7129"/>
        <v>0</v>
      </c>
      <c r="MA317" s="569"/>
      <c r="MB317" s="154" t="s">
        <v>286</v>
      </c>
      <c r="MC317" s="155">
        <f t="shared" si="7130"/>
        <v>0</v>
      </c>
      <c r="MD317" s="155">
        <f t="shared" si="7131"/>
        <v>2.2204460492503131E-16</v>
      </c>
      <c r="ME317" s="155">
        <f t="shared" si="7132"/>
        <v>2.2204460492503131E-16</v>
      </c>
      <c r="MF317" s="155">
        <f t="shared" si="7133"/>
        <v>0</v>
      </c>
      <c r="MG317" s="155">
        <f t="shared" si="7134"/>
        <v>4.4408920985006262E-16</v>
      </c>
      <c r="MH317" s="569"/>
    </row>
    <row r="318" spans="1:346" s="37" customFormat="1" ht="13.15" x14ac:dyDescent="0.4">
      <c r="A318" s="100"/>
      <c r="B318" s="154"/>
      <c r="C318" s="155"/>
      <c r="D318" s="155"/>
      <c r="E318" s="155"/>
      <c r="F318" s="155"/>
      <c r="G318" s="155"/>
      <c r="H318" s="155"/>
      <c r="I318" s="155"/>
      <c r="J318" s="155"/>
      <c r="K318" s="155"/>
      <c r="L318" s="155"/>
      <c r="M318" s="155"/>
      <c r="N318" s="155"/>
      <c r="O318" s="155"/>
      <c r="P318" s="155"/>
      <c r="Q318" s="155"/>
      <c r="R318" s="155"/>
      <c r="S318" s="155"/>
      <c r="T318" s="155"/>
      <c r="U318" s="155"/>
      <c r="V318" s="155"/>
      <c r="W318" s="155"/>
      <c r="X318" s="155"/>
      <c r="Y318" s="155"/>
      <c r="Z318" s="155"/>
      <c r="AA318" s="155"/>
      <c r="AB318" s="155"/>
      <c r="AC318" s="155"/>
      <c r="AD318" s="155"/>
      <c r="AE318" s="155"/>
      <c r="AF318" s="155"/>
      <c r="AG318" s="155"/>
      <c r="AH318" s="155"/>
      <c r="AI318" s="155"/>
      <c r="AJ318" s="155"/>
      <c r="AK318" s="155"/>
      <c r="AL318" s="155"/>
      <c r="AM318" s="155"/>
      <c r="AN318" s="155"/>
      <c r="AO318" s="155"/>
      <c r="AP318" s="155"/>
      <c r="AQ318" s="155"/>
      <c r="AR318" s="155"/>
      <c r="AS318" s="155"/>
      <c r="AT318" s="155"/>
      <c r="AU318" s="155"/>
      <c r="AV318" s="155"/>
      <c r="AW318" s="155"/>
      <c r="AX318" s="155"/>
      <c r="AY318" s="155"/>
      <c r="AZ318" s="155"/>
      <c r="BA318" s="155"/>
      <c r="BB318" s="155"/>
      <c r="BC318" s="155"/>
      <c r="BD318" s="155"/>
      <c r="BE318" s="155"/>
      <c r="BF318" s="155"/>
      <c r="BG318" s="155"/>
      <c r="BH318" s="155"/>
      <c r="BI318" s="155"/>
      <c r="BJ318" s="155"/>
      <c r="BK318" s="155"/>
      <c r="BL318" s="155"/>
      <c r="BM318" s="155"/>
      <c r="BO318" s="177"/>
      <c r="BP318" s="155"/>
      <c r="BQ318" s="155"/>
      <c r="BR318" s="155"/>
      <c r="BS318" s="155"/>
      <c r="BT318" s="155"/>
      <c r="BV318" s="177"/>
      <c r="BW318" s="155"/>
      <c r="BX318" s="155"/>
      <c r="BY318" s="155"/>
      <c r="BZ318" s="155"/>
      <c r="CA318" s="155"/>
      <c r="CC318" s="177"/>
      <c r="CD318" s="155"/>
      <c r="CE318" s="155"/>
      <c r="CF318" s="155"/>
      <c r="CG318" s="155"/>
      <c r="CH318" s="155"/>
      <c r="CJ318" s="177"/>
      <c r="CK318" s="155"/>
      <c r="CL318" s="155"/>
      <c r="CM318" s="155"/>
      <c r="CN318" s="155"/>
      <c r="CO318" s="155"/>
      <c r="CQ318" s="177"/>
      <c r="CR318" s="155"/>
      <c r="CS318" s="155"/>
      <c r="CT318" s="155"/>
      <c r="CU318" s="155"/>
      <c r="CV318" s="155"/>
      <c r="CX318" s="177"/>
      <c r="CY318" s="155"/>
      <c r="CZ318" s="155"/>
      <c r="DA318" s="155"/>
      <c r="DB318" s="155"/>
      <c r="DC318" s="155"/>
      <c r="DE318" s="177"/>
      <c r="DF318" s="155"/>
      <c r="DG318" s="155"/>
      <c r="DH318" s="155"/>
      <c r="DI318" s="155"/>
      <c r="DJ318" s="155"/>
      <c r="DL318" s="177"/>
      <c r="DM318" s="155"/>
      <c r="DN318" s="155"/>
      <c r="DO318" s="155"/>
      <c r="DP318" s="155"/>
      <c r="DQ318" s="155"/>
      <c r="DS318" s="177"/>
      <c r="DT318" s="155"/>
      <c r="DU318" s="155"/>
      <c r="DV318" s="155"/>
      <c r="DW318" s="155"/>
      <c r="DX318" s="155"/>
      <c r="DZ318" s="177"/>
      <c r="EA318" s="155"/>
      <c r="EB318" s="155"/>
      <c r="EC318" s="155"/>
      <c r="ED318" s="155"/>
      <c r="EE318" s="155"/>
      <c r="EG318" s="177"/>
      <c r="EH318" s="155"/>
      <c r="EI318" s="155"/>
      <c r="EJ318" s="155"/>
      <c r="EK318" s="155"/>
      <c r="EL318" s="155"/>
      <c r="EN318" s="177"/>
      <c r="EO318" s="155"/>
      <c r="EP318" s="155"/>
      <c r="EQ318" s="155"/>
      <c r="ER318" s="155"/>
      <c r="ES318" s="155"/>
      <c r="EU318" s="177"/>
      <c r="EV318" s="155"/>
      <c r="EW318" s="155"/>
      <c r="EX318" s="155"/>
      <c r="EY318" s="155"/>
      <c r="EZ318" s="155"/>
      <c r="FB318" s="177"/>
      <c r="FC318" s="155"/>
      <c r="FD318" s="155"/>
      <c r="FE318" s="155"/>
      <c r="FF318" s="155"/>
      <c r="FG318" s="155"/>
      <c r="FI318" s="177"/>
      <c r="FJ318" s="155"/>
      <c r="FK318" s="155"/>
      <c r="FL318" s="155"/>
      <c r="FM318" s="155"/>
      <c r="FN318" s="155"/>
      <c r="FP318" s="177"/>
      <c r="FQ318" s="155"/>
      <c r="FR318" s="155"/>
      <c r="FS318" s="155"/>
      <c r="FT318" s="155"/>
      <c r="FU318" s="155"/>
      <c r="FW318" s="177"/>
      <c r="FX318" s="155"/>
      <c r="FY318" s="155"/>
      <c r="FZ318" s="155"/>
      <c r="GA318" s="155"/>
      <c r="GB318" s="155"/>
      <c r="GD318" s="177"/>
      <c r="GE318" s="155"/>
      <c r="GF318" s="155"/>
      <c r="GG318" s="155"/>
      <c r="GH318" s="155"/>
      <c r="GI318" s="155"/>
      <c r="GK318" s="177"/>
      <c r="GL318" s="155"/>
      <c r="GM318" s="155"/>
      <c r="GN318" s="155"/>
      <c r="GO318" s="155"/>
      <c r="GP318" s="155"/>
      <c r="GR318" s="177"/>
      <c r="GS318" s="155"/>
      <c r="GT318" s="155"/>
      <c r="GU318" s="155"/>
      <c r="GV318" s="155"/>
      <c r="GW318" s="155"/>
      <c r="GY318" s="177"/>
      <c r="GZ318" s="155"/>
      <c r="HA318" s="155"/>
      <c r="HB318" s="155"/>
      <c r="HC318" s="155"/>
      <c r="HD318" s="155"/>
      <c r="HF318" s="177"/>
      <c r="HG318" s="155"/>
      <c r="HH318" s="155"/>
      <c r="HI318" s="155"/>
      <c r="HJ318" s="155"/>
      <c r="HK318" s="155"/>
      <c r="HM318" s="177"/>
      <c r="HN318" s="155"/>
      <c r="HO318" s="155"/>
      <c r="HP318" s="155"/>
      <c r="HQ318" s="155"/>
      <c r="HR318" s="155"/>
      <c r="HT318" s="177"/>
      <c r="HU318" s="155"/>
      <c r="HV318" s="155"/>
      <c r="HW318" s="155"/>
      <c r="HX318" s="155"/>
      <c r="HY318" s="155"/>
      <c r="IA318" s="177"/>
      <c r="IB318" s="155"/>
      <c r="IC318" s="155"/>
      <c r="ID318" s="155"/>
      <c r="IE318" s="155"/>
      <c r="IF318" s="155"/>
      <c r="IH318" s="177"/>
      <c r="II318" s="155"/>
      <c r="IJ318" s="155"/>
      <c r="IK318" s="155"/>
      <c r="IL318" s="155"/>
      <c r="IM318" s="155"/>
      <c r="IO318" s="177"/>
      <c r="IP318" s="155"/>
      <c r="IQ318" s="155"/>
      <c r="IR318" s="155"/>
      <c r="IS318" s="155"/>
      <c r="IT318" s="155"/>
      <c r="IV318" s="177"/>
      <c r="IW318" s="155"/>
      <c r="IX318" s="155"/>
      <c r="IY318" s="155"/>
      <c r="IZ318" s="155"/>
      <c r="JA318" s="155"/>
      <c r="JC318" s="177"/>
      <c r="JD318" s="155"/>
      <c r="JE318" s="155"/>
      <c r="JF318" s="155"/>
      <c r="JG318" s="155"/>
      <c r="JH318" s="155"/>
      <c r="JJ318" s="177"/>
      <c r="JK318" s="155"/>
      <c r="JL318" s="155"/>
      <c r="JM318" s="155"/>
      <c r="JN318" s="155"/>
      <c r="JO318" s="155"/>
      <c r="JQ318" s="177"/>
      <c r="JR318" s="155"/>
      <c r="JS318" s="155"/>
      <c r="JT318" s="155"/>
      <c r="JU318" s="155"/>
      <c r="JV318" s="155"/>
      <c r="JX318" s="177"/>
      <c r="JY318" s="155"/>
      <c r="JZ318" s="155"/>
      <c r="KA318" s="155"/>
      <c r="KB318" s="155"/>
      <c r="KC318" s="155"/>
      <c r="KE318" s="177"/>
      <c r="KF318" s="155"/>
      <c r="KG318" s="155"/>
      <c r="KH318" s="155"/>
      <c r="KI318" s="155"/>
      <c r="KJ318" s="155"/>
      <c r="KL318" s="177"/>
      <c r="KM318" s="155"/>
      <c r="KN318" s="155"/>
      <c r="KO318" s="155"/>
      <c r="KP318" s="155"/>
      <c r="KQ318" s="155"/>
      <c r="KS318" s="177"/>
      <c r="KT318" s="155"/>
      <c r="KU318" s="155"/>
      <c r="KV318" s="155"/>
      <c r="KW318" s="155"/>
      <c r="KX318" s="155"/>
      <c r="KZ318" s="177"/>
      <c r="LA318" s="155"/>
      <c r="LB318" s="155"/>
      <c r="LC318" s="155"/>
      <c r="LD318" s="155"/>
      <c r="LE318" s="155"/>
      <c r="LF318" s="569"/>
      <c r="LG318" s="154"/>
      <c r="LH318" s="155"/>
      <c r="LI318" s="155"/>
      <c r="LJ318" s="155"/>
      <c r="LK318" s="155"/>
      <c r="LL318" s="155"/>
      <c r="LM318" s="569"/>
      <c r="LN318" s="154"/>
      <c r="LO318" s="155"/>
      <c r="LP318" s="155"/>
      <c r="LQ318" s="155"/>
      <c r="LR318" s="155"/>
      <c r="LS318" s="155"/>
      <c r="LT318" s="569"/>
      <c r="LU318" s="154"/>
      <c r="LV318" s="155"/>
      <c r="LW318" s="155"/>
      <c r="LX318" s="155"/>
      <c r="LY318" s="155"/>
      <c r="LZ318" s="155"/>
      <c r="MA318" s="569"/>
      <c r="MB318" s="154"/>
      <c r="MC318" s="155"/>
      <c r="MD318" s="155"/>
      <c r="ME318" s="155"/>
      <c r="MF318" s="155"/>
      <c r="MG318" s="155"/>
      <c r="MH318" s="569"/>
    </row>
    <row r="319" spans="1:346" s="37" customFormat="1" ht="13.15" x14ac:dyDescent="0.4">
      <c r="A319" s="100"/>
      <c r="B319" s="154"/>
      <c r="C319" s="155"/>
      <c r="D319" s="155"/>
      <c r="E319" s="155"/>
      <c r="F319" s="155"/>
      <c r="G319" s="155"/>
      <c r="H319" s="155"/>
      <c r="I319" s="155"/>
      <c r="J319" s="155"/>
      <c r="K319" s="155"/>
      <c r="L319" s="155"/>
      <c r="M319" s="155"/>
      <c r="N319" s="155"/>
      <c r="O319" s="155"/>
      <c r="P319" s="155"/>
      <c r="Q319" s="155"/>
      <c r="R319" s="155"/>
      <c r="S319" s="155"/>
      <c r="T319" s="155"/>
      <c r="U319" s="155"/>
      <c r="V319" s="155"/>
      <c r="W319" s="155"/>
      <c r="X319" s="155"/>
      <c r="Y319" s="155"/>
      <c r="Z319" s="155"/>
      <c r="AA319" s="155"/>
      <c r="AB319" s="155"/>
      <c r="AC319" s="155"/>
      <c r="AD319" s="155"/>
      <c r="AE319" s="155"/>
      <c r="AF319" s="155"/>
      <c r="AG319" s="155"/>
      <c r="AH319" s="155"/>
      <c r="AI319" s="155"/>
      <c r="AJ319" s="155"/>
      <c r="AK319" s="155"/>
      <c r="AL319" s="155"/>
      <c r="AM319" s="155"/>
      <c r="AN319" s="155"/>
      <c r="AO319" s="155"/>
      <c r="AP319" s="155"/>
      <c r="AQ319" s="155"/>
      <c r="AR319" s="155"/>
      <c r="AS319" s="155"/>
      <c r="AT319" s="155"/>
      <c r="AU319" s="155"/>
      <c r="AV319" s="155"/>
      <c r="AW319" s="155"/>
      <c r="AX319" s="155"/>
      <c r="AY319" s="155"/>
      <c r="AZ319" s="155"/>
      <c r="BA319" s="155"/>
      <c r="BB319" s="155"/>
      <c r="BC319" s="155"/>
      <c r="BD319" s="155"/>
      <c r="BE319" s="155"/>
      <c r="BF319" s="155"/>
      <c r="BG319" s="155"/>
      <c r="BH319" s="155"/>
      <c r="BI319" s="155"/>
      <c r="BJ319" s="155"/>
      <c r="BK319" s="155"/>
      <c r="BL319" s="155"/>
      <c r="BM319" s="155"/>
      <c r="BO319" s="177"/>
      <c r="BP319" s="155"/>
      <c r="BQ319" s="155"/>
      <c r="BR319" s="155"/>
      <c r="BS319" s="155"/>
      <c r="BT319" s="155"/>
      <c r="BV319" s="177"/>
      <c r="BW319" s="155"/>
      <c r="BX319" s="155"/>
      <c r="BY319" s="155"/>
      <c r="BZ319" s="155"/>
      <c r="CA319" s="155"/>
      <c r="CC319" s="177"/>
      <c r="CD319" s="155"/>
      <c r="CE319" s="155"/>
      <c r="CF319" s="155"/>
      <c r="CG319" s="155"/>
      <c r="CH319" s="155"/>
      <c r="CJ319" s="177"/>
      <c r="CK319" s="155"/>
      <c r="CL319" s="155"/>
      <c r="CM319" s="155"/>
      <c r="CN319" s="155"/>
      <c r="CO319" s="155"/>
      <c r="CQ319" s="177"/>
      <c r="CR319" s="155"/>
      <c r="CS319" s="155"/>
      <c r="CT319" s="155"/>
      <c r="CU319" s="155"/>
      <c r="CV319" s="155"/>
      <c r="CX319" s="177"/>
      <c r="CY319" s="155"/>
      <c r="CZ319" s="155"/>
      <c r="DA319" s="155"/>
      <c r="DB319" s="155"/>
      <c r="DC319" s="155"/>
      <c r="DE319" s="177"/>
      <c r="DF319" s="155"/>
      <c r="DG319" s="155"/>
      <c r="DH319" s="155"/>
      <c r="DI319" s="155"/>
      <c r="DJ319" s="155"/>
      <c r="DL319" s="177"/>
      <c r="DM319" s="155"/>
      <c r="DN319" s="155"/>
      <c r="DO319" s="155"/>
      <c r="DP319" s="155"/>
      <c r="DQ319" s="155"/>
      <c r="DS319" s="177"/>
      <c r="DT319" s="155"/>
      <c r="DU319" s="155"/>
      <c r="DV319" s="155"/>
      <c r="DW319" s="155"/>
      <c r="DX319" s="155"/>
      <c r="DZ319" s="177"/>
      <c r="EA319" s="155"/>
      <c r="EB319" s="155"/>
      <c r="EC319" s="155"/>
      <c r="ED319" s="155"/>
      <c r="EE319" s="155"/>
      <c r="EG319" s="177"/>
      <c r="EH319" s="155"/>
      <c r="EI319" s="155"/>
      <c r="EJ319" s="155"/>
      <c r="EK319" s="155"/>
      <c r="EL319" s="155"/>
      <c r="EN319" s="177"/>
      <c r="EO319" s="155"/>
      <c r="EP319" s="155"/>
      <c r="EQ319" s="155"/>
      <c r="ER319" s="155"/>
      <c r="ES319" s="155"/>
      <c r="EU319" s="177"/>
      <c r="EV319" s="155"/>
      <c r="EW319" s="155"/>
      <c r="EX319" s="155"/>
      <c r="EY319" s="155"/>
      <c r="EZ319" s="155"/>
      <c r="FB319" s="177"/>
      <c r="FC319" s="155"/>
      <c r="FD319" s="155"/>
      <c r="FE319" s="155"/>
      <c r="FF319" s="155"/>
      <c r="FG319" s="155"/>
      <c r="FI319" s="177"/>
      <c r="FJ319" s="155"/>
      <c r="FK319" s="155"/>
      <c r="FL319" s="155"/>
      <c r="FM319" s="155"/>
      <c r="FN319" s="155"/>
      <c r="FP319" s="177"/>
      <c r="FQ319" s="155"/>
      <c r="FR319" s="155"/>
      <c r="FS319" s="155"/>
      <c r="FT319" s="155"/>
      <c r="FU319" s="155"/>
      <c r="FW319" s="177"/>
      <c r="FX319" s="155"/>
      <c r="FY319" s="155"/>
      <c r="FZ319" s="155"/>
      <c r="GA319" s="155"/>
      <c r="GB319" s="155"/>
      <c r="GD319" s="177"/>
      <c r="GE319" s="155"/>
      <c r="GF319" s="155"/>
      <c r="GG319" s="155"/>
      <c r="GH319" s="155"/>
      <c r="GI319" s="155"/>
      <c r="GK319" s="177"/>
      <c r="GL319" s="155"/>
      <c r="GM319" s="155"/>
      <c r="GN319" s="155"/>
      <c r="GO319" s="155"/>
      <c r="GP319" s="155"/>
      <c r="GR319" s="177"/>
      <c r="GS319" s="155"/>
      <c r="GT319" s="155"/>
      <c r="GU319" s="155"/>
      <c r="GV319" s="155"/>
      <c r="GW319" s="155"/>
      <c r="GY319" s="177"/>
      <c r="GZ319" s="155"/>
      <c r="HA319" s="155"/>
      <c r="HB319" s="155"/>
      <c r="HC319" s="155"/>
      <c r="HD319" s="155"/>
      <c r="HF319" s="177"/>
      <c r="HG319" s="155"/>
      <c r="HH319" s="155"/>
      <c r="HI319" s="155"/>
      <c r="HJ319" s="155"/>
      <c r="HK319" s="155"/>
      <c r="HM319" s="177"/>
      <c r="HN319" s="155"/>
      <c r="HO319" s="155"/>
      <c r="HP319" s="155"/>
      <c r="HQ319" s="155"/>
      <c r="HR319" s="155"/>
      <c r="HT319" s="177"/>
      <c r="HU319" s="155"/>
      <c r="HV319" s="155"/>
      <c r="HW319" s="155"/>
      <c r="HX319" s="155"/>
      <c r="HY319" s="155"/>
      <c r="IA319" s="177"/>
      <c r="IB319" s="155"/>
      <c r="IC319" s="155"/>
      <c r="ID319" s="155"/>
      <c r="IE319" s="155"/>
      <c r="IF319" s="155"/>
      <c r="IH319" s="177"/>
      <c r="II319" s="155"/>
      <c r="IJ319" s="155"/>
      <c r="IK319" s="155"/>
      <c r="IL319" s="155"/>
      <c r="IM319" s="155"/>
      <c r="IO319" s="177"/>
      <c r="IP319" s="155"/>
      <c r="IQ319" s="155"/>
      <c r="IR319" s="155"/>
      <c r="IS319" s="155"/>
      <c r="IT319" s="155"/>
      <c r="IV319" s="177"/>
      <c r="IW319" s="155"/>
      <c r="IX319" s="155"/>
      <c r="IY319" s="155"/>
      <c r="IZ319" s="155"/>
      <c r="JA319" s="155"/>
      <c r="JC319" s="177"/>
      <c r="JD319" s="155"/>
      <c r="JE319" s="155"/>
      <c r="JF319" s="155"/>
      <c r="JG319" s="155"/>
      <c r="JH319" s="155"/>
      <c r="JJ319" s="177"/>
      <c r="JK319" s="155"/>
      <c r="JL319" s="155"/>
      <c r="JM319" s="155"/>
      <c r="JN319" s="155"/>
      <c r="JO319" s="155"/>
      <c r="JQ319" s="177"/>
      <c r="JR319" s="155"/>
      <c r="JS319" s="155"/>
      <c r="JT319" s="155"/>
      <c r="JU319" s="155"/>
      <c r="JV319" s="155"/>
      <c r="JX319" s="177"/>
      <c r="JY319" s="155"/>
      <c r="JZ319" s="155"/>
      <c r="KA319" s="155"/>
      <c r="KB319" s="155"/>
      <c r="KC319" s="155"/>
      <c r="KE319" s="177"/>
      <c r="KF319" s="155"/>
      <c r="KG319" s="155"/>
      <c r="KH319" s="155"/>
      <c r="KI319" s="155"/>
      <c r="KJ319" s="155"/>
      <c r="KL319" s="177"/>
      <c r="KM319" s="155"/>
      <c r="KN319" s="155"/>
      <c r="KO319" s="155"/>
      <c r="KP319" s="155"/>
      <c r="KQ319" s="155"/>
      <c r="KS319" s="177"/>
      <c r="KT319" s="155"/>
      <c r="KU319" s="155"/>
      <c r="KV319" s="155"/>
      <c r="KW319" s="155"/>
      <c r="KX319" s="155"/>
      <c r="KZ319" s="177"/>
      <c r="LA319" s="155"/>
      <c r="LB319" s="155"/>
      <c r="LC319" s="155"/>
      <c r="LD319" s="155"/>
      <c r="LE319" s="155"/>
      <c r="LF319" s="569"/>
      <c r="LG319" s="154"/>
      <c r="LH319" s="155"/>
      <c r="LI319" s="155"/>
      <c r="LJ319" s="155"/>
      <c r="LK319" s="155"/>
      <c r="LL319" s="155"/>
      <c r="LM319" s="569"/>
      <c r="LN319" s="154"/>
      <c r="LO319" s="155"/>
      <c r="LP319" s="155"/>
      <c r="LQ319" s="155"/>
      <c r="LR319" s="155"/>
      <c r="LS319" s="155"/>
      <c r="LT319" s="569"/>
      <c r="LU319" s="154"/>
      <c r="LV319" s="155"/>
      <c r="LW319" s="155"/>
      <c r="LX319" s="155"/>
      <c r="LY319" s="155"/>
      <c r="LZ319" s="155"/>
      <c r="MA319" s="569"/>
      <c r="MB319" s="154"/>
      <c r="MC319" s="155"/>
      <c r="MD319" s="155"/>
      <c r="ME319" s="155"/>
      <c r="MF319" s="155"/>
      <c r="MG319" s="155"/>
      <c r="MH319" s="569"/>
    </row>
    <row r="320" spans="1:346" s="37" customFormat="1" ht="13.15" x14ac:dyDescent="0.4">
      <c r="A320" s="100"/>
      <c r="B320" s="172" t="s">
        <v>288</v>
      </c>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c r="AA320" s="173"/>
      <c r="AB320" s="173"/>
      <c r="AC320" s="173"/>
      <c r="AD320" s="173"/>
      <c r="AE320" s="173"/>
      <c r="AF320" s="173"/>
      <c r="AG320" s="173"/>
      <c r="AH320" s="173"/>
      <c r="AI320" s="173"/>
      <c r="AJ320" s="173"/>
      <c r="AK320" s="173"/>
      <c r="AL320" s="173"/>
      <c r="AM320" s="173"/>
      <c r="AN320" s="173"/>
      <c r="AO320" s="173"/>
      <c r="AP320" s="173"/>
      <c r="AQ320" s="173"/>
      <c r="AR320" s="173"/>
      <c r="AS320" s="173"/>
      <c r="AT320" s="173"/>
      <c r="AU320" s="173"/>
      <c r="AV320" s="173"/>
      <c r="AW320" s="173"/>
      <c r="AX320" s="173"/>
      <c r="AY320" s="173"/>
      <c r="AZ320" s="173"/>
      <c r="BA320" s="173"/>
      <c r="BB320" s="173"/>
      <c r="BC320" s="173"/>
      <c r="BD320" s="173"/>
      <c r="BE320" s="173"/>
      <c r="BF320" s="173"/>
      <c r="BG320" s="173"/>
      <c r="BH320" s="173"/>
      <c r="BI320" s="173"/>
      <c r="BJ320" s="173"/>
      <c r="BK320" s="173"/>
      <c r="BL320" s="173"/>
      <c r="BM320" s="173"/>
      <c r="BO320" s="174" t="s">
        <v>288</v>
      </c>
      <c r="BP320" s="175"/>
      <c r="BQ320" s="175"/>
      <c r="BR320" s="175"/>
      <c r="BS320" s="175"/>
      <c r="BT320" s="175"/>
      <c r="BV320" s="174" t="s">
        <v>288</v>
      </c>
      <c r="BW320" s="175"/>
      <c r="BX320" s="175"/>
      <c r="BY320" s="175"/>
      <c r="BZ320" s="175"/>
      <c r="CA320" s="175"/>
      <c r="CC320" s="174" t="s">
        <v>288</v>
      </c>
      <c r="CD320" s="175"/>
      <c r="CE320" s="175"/>
      <c r="CF320" s="175"/>
      <c r="CG320" s="175"/>
      <c r="CH320" s="175"/>
      <c r="CJ320" s="174" t="s">
        <v>288</v>
      </c>
      <c r="CK320" s="175"/>
      <c r="CL320" s="175"/>
      <c r="CM320" s="175"/>
      <c r="CN320" s="175"/>
      <c r="CO320" s="175"/>
      <c r="CQ320" s="174" t="s">
        <v>288</v>
      </c>
      <c r="CR320" s="175"/>
      <c r="CS320" s="175"/>
      <c r="CT320" s="175"/>
      <c r="CU320" s="175"/>
      <c r="CV320" s="175"/>
      <c r="CX320" s="174" t="s">
        <v>288</v>
      </c>
      <c r="CY320" s="175"/>
      <c r="CZ320" s="175"/>
      <c r="DA320" s="175"/>
      <c r="DB320" s="175"/>
      <c r="DC320" s="175"/>
      <c r="DE320" s="174" t="s">
        <v>288</v>
      </c>
      <c r="DF320" s="175"/>
      <c r="DG320" s="175"/>
      <c r="DH320" s="175"/>
      <c r="DI320" s="175"/>
      <c r="DJ320" s="175"/>
      <c r="DL320" s="174" t="s">
        <v>288</v>
      </c>
      <c r="DM320" s="175"/>
      <c r="DN320" s="175"/>
      <c r="DO320" s="175"/>
      <c r="DP320" s="175"/>
      <c r="DQ320" s="175"/>
      <c r="DS320" s="174" t="s">
        <v>288</v>
      </c>
      <c r="DT320" s="175"/>
      <c r="DU320" s="175"/>
      <c r="DV320" s="175"/>
      <c r="DW320" s="175"/>
      <c r="DX320" s="175"/>
      <c r="DZ320" s="174" t="s">
        <v>288</v>
      </c>
      <c r="EA320" s="175"/>
      <c r="EB320" s="175"/>
      <c r="EC320" s="175"/>
      <c r="ED320" s="175"/>
      <c r="EE320" s="175"/>
      <c r="EG320" s="174" t="s">
        <v>288</v>
      </c>
      <c r="EH320" s="175"/>
      <c r="EI320" s="175"/>
      <c r="EJ320" s="175"/>
      <c r="EK320" s="175"/>
      <c r="EL320" s="175"/>
      <c r="EN320" s="174" t="s">
        <v>288</v>
      </c>
      <c r="EO320" s="175"/>
      <c r="EP320" s="175"/>
      <c r="EQ320" s="175"/>
      <c r="ER320" s="175"/>
      <c r="ES320" s="175"/>
      <c r="EU320" s="174" t="s">
        <v>288</v>
      </c>
      <c r="EV320" s="175"/>
      <c r="EW320" s="175"/>
      <c r="EX320" s="175"/>
      <c r="EY320" s="175"/>
      <c r="EZ320" s="175"/>
      <c r="FB320" s="174" t="s">
        <v>288</v>
      </c>
      <c r="FC320" s="175"/>
      <c r="FD320" s="175"/>
      <c r="FE320" s="175"/>
      <c r="FF320" s="175"/>
      <c r="FG320" s="175"/>
      <c r="FI320" s="174" t="s">
        <v>288</v>
      </c>
      <c r="FJ320" s="175"/>
      <c r="FK320" s="175"/>
      <c r="FL320" s="175"/>
      <c r="FM320" s="175"/>
      <c r="FN320" s="175"/>
      <c r="FP320" s="174" t="s">
        <v>288</v>
      </c>
      <c r="FQ320" s="175"/>
      <c r="FR320" s="175"/>
      <c r="FS320" s="175"/>
      <c r="FT320" s="175"/>
      <c r="FU320" s="175"/>
      <c r="FW320" s="174" t="s">
        <v>288</v>
      </c>
      <c r="FX320" s="175"/>
      <c r="FY320" s="175"/>
      <c r="FZ320" s="175"/>
      <c r="GA320" s="175"/>
      <c r="GB320" s="175"/>
      <c r="GD320" s="174" t="s">
        <v>288</v>
      </c>
      <c r="GE320" s="175"/>
      <c r="GF320" s="175"/>
      <c r="GG320" s="175"/>
      <c r="GH320" s="175"/>
      <c r="GI320" s="175"/>
      <c r="GK320" s="174" t="s">
        <v>288</v>
      </c>
      <c r="GL320" s="175"/>
      <c r="GM320" s="175"/>
      <c r="GN320" s="175"/>
      <c r="GO320" s="175"/>
      <c r="GP320" s="175"/>
      <c r="GR320" s="174" t="s">
        <v>288</v>
      </c>
      <c r="GS320" s="175"/>
      <c r="GT320" s="175"/>
      <c r="GU320" s="175"/>
      <c r="GV320" s="175"/>
      <c r="GW320" s="175"/>
      <c r="GY320" s="174" t="s">
        <v>288</v>
      </c>
      <c r="GZ320" s="175"/>
      <c r="HA320" s="175"/>
      <c r="HB320" s="175"/>
      <c r="HC320" s="175"/>
      <c r="HD320" s="175"/>
      <c r="HF320" s="174" t="s">
        <v>288</v>
      </c>
      <c r="HG320" s="175"/>
      <c r="HH320" s="175"/>
      <c r="HI320" s="175"/>
      <c r="HJ320" s="175"/>
      <c r="HK320" s="175"/>
      <c r="HM320" s="174" t="s">
        <v>288</v>
      </c>
      <c r="HN320" s="175"/>
      <c r="HO320" s="175"/>
      <c r="HP320" s="175"/>
      <c r="HQ320" s="175"/>
      <c r="HR320" s="175"/>
      <c r="HT320" s="174" t="s">
        <v>288</v>
      </c>
      <c r="HU320" s="175"/>
      <c r="HV320" s="175"/>
      <c r="HW320" s="175"/>
      <c r="HX320" s="175"/>
      <c r="HY320" s="175"/>
      <c r="IA320" s="174" t="s">
        <v>288</v>
      </c>
      <c r="IB320" s="175"/>
      <c r="IC320" s="175"/>
      <c r="ID320" s="175"/>
      <c r="IE320" s="175"/>
      <c r="IF320" s="175"/>
      <c r="IH320" s="174" t="s">
        <v>288</v>
      </c>
      <c r="II320" s="175"/>
      <c r="IJ320" s="175"/>
      <c r="IK320" s="175"/>
      <c r="IL320" s="175"/>
      <c r="IM320" s="175"/>
      <c r="IO320" s="174" t="s">
        <v>288</v>
      </c>
      <c r="IP320" s="175"/>
      <c r="IQ320" s="175"/>
      <c r="IR320" s="175"/>
      <c r="IS320" s="175"/>
      <c r="IT320" s="175"/>
      <c r="IV320" s="174" t="s">
        <v>288</v>
      </c>
      <c r="IW320" s="175"/>
      <c r="IX320" s="175"/>
      <c r="IY320" s="175"/>
      <c r="IZ320" s="175"/>
      <c r="JA320" s="175"/>
      <c r="JC320" s="174" t="s">
        <v>288</v>
      </c>
      <c r="JD320" s="175"/>
      <c r="JE320" s="175"/>
      <c r="JF320" s="175"/>
      <c r="JG320" s="175"/>
      <c r="JH320" s="175"/>
      <c r="JJ320" s="174" t="s">
        <v>288</v>
      </c>
      <c r="JK320" s="175"/>
      <c r="JL320" s="175"/>
      <c r="JM320" s="175"/>
      <c r="JN320" s="175"/>
      <c r="JO320" s="175"/>
      <c r="JQ320" s="174" t="s">
        <v>288</v>
      </c>
      <c r="JR320" s="175"/>
      <c r="JS320" s="175"/>
      <c r="JT320" s="175"/>
      <c r="JU320" s="175"/>
      <c r="JV320" s="175"/>
      <c r="JX320" s="174" t="s">
        <v>288</v>
      </c>
      <c r="JY320" s="175"/>
      <c r="JZ320" s="175"/>
      <c r="KA320" s="175"/>
      <c r="KB320" s="175"/>
      <c r="KC320" s="175"/>
      <c r="KE320" s="174" t="s">
        <v>288</v>
      </c>
      <c r="KF320" s="175"/>
      <c r="KG320" s="175"/>
      <c r="KH320" s="175"/>
      <c r="KI320" s="175"/>
      <c r="KJ320" s="175"/>
      <c r="KL320" s="174" t="s">
        <v>288</v>
      </c>
      <c r="KM320" s="175"/>
      <c r="KN320" s="175"/>
      <c r="KO320" s="175"/>
      <c r="KP320" s="175"/>
      <c r="KQ320" s="175"/>
      <c r="KS320" s="174" t="s">
        <v>288</v>
      </c>
      <c r="KT320" s="175"/>
      <c r="KU320" s="175"/>
      <c r="KV320" s="173"/>
      <c r="KW320" s="173"/>
      <c r="KX320" s="175"/>
      <c r="KZ320" s="220" t="s">
        <v>288</v>
      </c>
      <c r="LA320" s="175"/>
      <c r="LB320" s="175"/>
      <c r="LC320" s="175"/>
      <c r="LD320" s="173"/>
      <c r="LE320" s="175"/>
      <c r="LF320" s="555"/>
      <c r="LG320" s="172" t="s">
        <v>288</v>
      </c>
      <c r="LH320" s="175"/>
      <c r="LI320" s="175"/>
      <c r="LJ320" s="175"/>
      <c r="LK320" s="175"/>
      <c r="LL320" s="175"/>
      <c r="LM320" s="555"/>
      <c r="LN320" s="172" t="s">
        <v>288</v>
      </c>
      <c r="LO320" s="175"/>
      <c r="LP320" s="175"/>
      <c r="LQ320" s="175"/>
      <c r="LR320" s="175"/>
      <c r="LS320" s="175"/>
      <c r="LT320" s="555"/>
      <c r="LU320" s="172" t="s">
        <v>288</v>
      </c>
      <c r="LV320" s="175"/>
      <c r="LW320" s="175"/>
      <c r="LX320" s="175"/>
      <c r="LY320" s="175"/>
      <c r="LZ320" s="175"/>
      <c r="MA320" s="555"/>
      <c r="MB320" s="172" t="s">
        <v>288</v>
      </c>
      <c r="MC320" s="175"/>
      <c r="MD320" s="175"/>
      <c r="ME320" s="175"/>
      <c r="MF320" s="175"/>
      <c r="MG320" s="175"/>
      <c r="MH320" s="555"/>
    </row>
    <row r="321" spans="1:346" s="37" customFormat="1" ht="13.15" x14ac:dyDescent="0.4">
      <c r="A321" s="100"/>
      <c r="B321" s="178" t="s">
        <v>285</v>
      </c>
      <c r="C321" s="179"/>
      <c r="D321" s="179"/>
      <c r="E321" s="179"/>
      <c r="F321" s="179"/>
      <c r="G321" s="179"/>
      <c r="H321" s="179"/>
      <c r="I321" s="179"/>
      <c r="J321" s="179">
        <f>+J126/J310*100</f>
        <v>3.5900783289817237</v>
      </c>
      <c r="K321" s="179">
        <f>+K126/K310*100</f>
        <v>3.3534031413612566</v>
      </c>
      <c r="L321" s="179">
        <f>+L126/L310*100</f>
        <v>3.263157894736842</v>
      </c>
      <c r="M321" s="179">
        <f>+M126/M310*100</f>
        <v>3.3337320574162681</v>
      </c>
      <c r="N321" s="179">
        <f>BT321</f>
        <v>3.105747126436782</v>
      </c>
      <c r="O321" s="179">
        <f>CA321</f>
        <v>3.337037037037037</v>
      </c>
      <c r="P321" s="179">
        <f>CH321</f>
        <v>3.3429648241206031</v>
      </c>
      <c r="Q321" s="179">
        <f>CO321</f>
        <v>3.55</v>
      </c>
      <c r="R321" s="179">
        <f>CV321</f>
        <v>3.3436781609195401</v>
      </c>
      <c r="S321" s="179">
        <f>DC321</f>
        <v>3.3904338153503888</v>
      </c>
      <c r="T321" s="179">
        <f>DJ321</f>
        <v>3.3453389830508473</v>
      </c>
      <c r="U321" s="179">
        <f>DQ321</f>
        <v>3.4613710554951034</v>
      </c>
      <c r="V321" s="179">
        <f>DX321</f>
        <v>3.3835897435897442</v>
      </c>
      <c r="W321" s="179">
        <f>EE321</f>
        <v>3.26686507936508</v>
      </c>
      <c r="X321" s="179">
        <f>EL321</f>
        <v>3.1758593125499606</v>
      </c>
      <c r="Y321" s="179">
        <f>ES321</f>
        <v>3.136721546170365</v>
      </c>
      <c r="Z321" s="179">
        <f>EZ321</f>
        <v>3.1675353685778109</v>
      </c>
      <c r="AA321" s="179">
        <f>FG321</f>
        <v>3.2277448071216615</v>
      </c>
      <c r="AB321" s="179">
        <f>FN321</f>
        <v>3.2225372076541463</v>
      </c>
      <c r="AC321" s="179">
        <f>FU321</f>
        <v>3.3310344827586214</v>
      </c>
      <c r="AD321" s="179">
        <f>GB321</f>
        <v>3.7076023391812867</v>
      </c>
      <c r="AE321" s="179">
        <f>GI321</f>
        <v>4.0193965517241379</v>
      </c>
      <c r="AF321" s="179">
        <f>GP321</f>
        <v>4.3082039911308208</v>
      </c>
      <c r="AG321" s="179">
        <f>GW321</f>
        <v>4.7376800606520098</v>
      </c>
      <c r="AH321" s="179">
        <f>HD321</f>
        <v>4.1702309666381518</v>
      </c>
      <c r="AI321" s="179">
        <f>HK321</f>
        <v>4.4748646558391325</v>
      </c>
      <c r="AJ321" s="179">
        <f>HR321</f>
        <v>4.8254211332312407</v>
      </c>
      <c r="AK321" s="179">
        <f>HY321</f>
        <v>5.0731707317073171</v>
      </c>
      <c r="AL321" s="179">
        <f>IF321</f>
        <v>5.1364963503649639</v>
      </c>
      <c r="AM321" s="179">
        <f>IM321</f>
        <v>5.11978465679677</v>
      </c>
      <c r="AN321" s="179">
        <f>IT321</f>
        <v>5.0179434092477573</v>
      </c>
      <c r="AO321" s="179">
        <f>JA321</f>
        <v>5.3060921248142643</v>
      </c>
      <c r="AP321" s="179">
        <f>JH321</f>
        <v>5.7</v>
      </c>
      <c r="AQ321" s="179">
        <f>JO321</f>
        <v>5.8477751756440277</v>
      </c>
      <c r="AR321" s="179">
        <f>JV321</f>
        <v>5.9289062500000016</v>
      </c>
      <c r="AS321" s="179">
        <f>KC321</f>
        <v>5.688102893890675</v>
      </c>
      <c r="AT321" s="179">
        <f>KJ321</f>
        <v>5.9691211401425175</v>
      </c>
      <c r="AU321" s="179">
        <f>KQ321</f>
        <v>6.5388888888888888</v>
      </c>
      <c r="AV321" s="179">
        <f>KX321</f>
        <v>6.7601562500000005</v>
      </c>
      <c r="AW321" s="179">
        <f>LE321</f>
        <v>6.8590138674884438</v>
      </c>
      <c r="AX321" s="179">
        <f>LL321</f>
        <v>6.738095238095239</v>
      </c>
      <c r="AY321" s="179">
        <f>LS321</f>
        <v>6.8891382254866409</v>
      </c>
      <c r="AZ321" s="179">
        <f>LZ321</f>
        <v>7.0762218787514168</v>
      </c>
      <c r="BA321" s="179">
        <f>MG321</f>
        <v>7.2504531909740644</v>
      </c>
      <c r="BB321" s="179"/>
      <c r="BC321" s="179"/>
      <c r="BD321" s="179"/>
      <c r="BE321" s="179"/>
      <c r="BF321" s="179"/>
      <c r="BG321" s="179"/>
      <c r="BH321" s="179"/>
      <c r="BI321" s="179"/>
      <c r="BJ321" s="179"/>
      <c r="BK321" s="179"/>
      <c r="BL321" s="179"/>
      <c r="BM321" s="179"/>
      <c r="BO321" s="180" t="s">
        <v>285</v>
      </c>
      <c r="BP321" s="179">
        <f>+BP126/BP310*100</f>
        <v>2.7959999999999998</v>
      </c>
      <c r="BQ321" s="179">
        <f>+BQ126/BQ310*100</f>
        <v>3.1513761467889907</v>
      </c>
      <c r="BR321" s="179">
        <f>+BR126/BR310*100</f>
        <v>3.2835051546391756</v>
      </c>
      <c r="BS321" s="179">
        <f>+BS126/BS310*100</f>
        <v>3.2644230769230766</v>
      </c>
      <c r="BT321" s="179">
        <f>+BT126/BT310*100</f>
        <v>3.105747126436782</v>
      </c>
      <c r="BV321" s="180" t="s">
        <v>285</v>
      </c>
      <c r="BW321" s="179">
        <f>+BW126/BW310*100</f>
        <v>3.3047619047619046</v>
      </c>
      <c r="BX321" s="179">
        <f>+BX126/BX310*100</f>
        <v>3.2843601895734595</v>
      </c>
      <c r="BY321" s="179">
        <f>+BY126/BY310*100</f>
        <v>3.4232804232804241</v>
      </c>
      <c r="BZ321" s="179">
        <f>+BZ126/BZ310*100</f>
        <v>3.3449999999999993</v>
      </c>
      <c r="CA321" s="179">
        <f>+CA126/CA310*100</f>
        <v>3.337037037037037</v>
      </c>
      <c r="CC321" s="180" t="s">
        <v>285</v>
      </c>
      <c r="CD321" s="179">
        <f>+CD126/CD310*100</f>
        <v>3.2315270935960596</v>
      </c>
      <c r="CE321" s="179">
        <f>+CE126/CE310*100</f>
        <v>3.32</v>
      </c>
      <c r="CF321" s="179">
        <f>+CF126/CF310*100</f>
        <v>3.4397905759162302</v>
      </c>
      <c r="CG321" s="179">
        <f>+CG126/CG310*100</f>
        <v>3.3861386138613865</v>
      </c>
      <c r="CH321" s="179">
        <f>+CH126/CH310*100</f>
        <v>3.3429648241206031</v>
      </c>
      <c r="CJ321" s="180" t="s">
        <v>285</v>
      </c>
      <c r="CK321" s="179">
        <f>+CK126/CK310*100</f>
        <v>3.5226130653266332</v>
      </c>
      <c r="CL321" s="179">
        <f>+CL126/CL310*100</f>
        <v>3.7157894736842105</v>
      </c>
      <c r="CM321" s="179">
        <f>+CM126/CM310*100</f>
        <v>3.4920634920634921</v>
      </c>
      <c r="CN321" s="179">
        <f>+CN126/CN310*100</f>
        <v>3.4752475247524757</v>
      </c>
      <c r="CO321" s="179">
        <f>+CO126/CO310*100</f>
        <v>3.55</v>
      </c>
      <c r="CQ321" s="180" t="s">
        <v>285</v>
      </c>
      <c r="CR321" s="179">
        <f>+CR126/CR310*100</f>
        <v>3.3488372093023258</v>
      </c>
      <c r="CS321" s="179">
        <f>+CS126/CS310*100</f>
        <v>3.3899082568807337</v>
      </c>
      <c r="CT321" s="179">
        <f>+CT126/CT310*100</f>
        <v>3.3317307692307696</v>
      </c>
      <c r="CU321" s="179">
        <f>+CU126/CU310*100</f>
        <v>3.305676855895197</v>
      </c>
      <c r="CV321" s="179">
        <f>+CV126/CV310*100</f>
        <v>3.3436781609195401</v>
      </c>
      <c r="CX321" s="180" t="s">
        <v>285</v>
      </c>
      <c r="CY321" s="179">
        <f>+CY126/CY310*100</f>
        <v>3.3991031390134534</v>
      </c>
      <c r="CZ321" s="179">
        <f>+CZ126/CZ310*100</f>
        <v>3.4173913043478255</v>
      </c>
      <c r="DA321" s="179">
        <f>+DA126/DA310*100</f>
        <v>3.377880184331798</v>
      </c>
      <c r="DB321" s="179">
        <f>+DB126/DB310*100</f>
        <v>3.3668122270742362</v>
      </c>
      <c r="DC321" s="179">
        <f>+DC126/DC310*100</f>
        <v>3.3904338153503888</v>
      </c>
      <c r="DE321" s="180" t="s">
        <v>285</v>
      </c>
      <c r="DF321" s="179">
        <f>+DF126/DF310*100</f>
        <v>3.2745901639344259</v>
      </c>
      <c r="DG321" s="179">
        <f>+DG126/DG310*100</f>
        <v>3.3628691983122363</v>
      </c>
      <c r="DH321" s="179">
        <f>+DH126/DH310*100</f>
        <v>3.3788546255506611</v>
      </c>
      <c r="DI321" s="179">
        <f>+DI126/DI310*100</f>
        <v>3.3686440677966099</v>
      </c>
      <c r="DJ321" s="179">
        <f>+DJ126/DJ310*100</f>
        <v>3.3453389830508473</v>
      </c>
      <c r="DL321" s="180" t="s">
        <v>285</v>
      </c>
      <c r="DM321" s="179">
        <f>+DM126/DM310*100</f>
        <v>3.343220338983051</v>
      </c>
      <c r="DN321" s="179">
        <f>+DN126/DN310*100</f>
        <v>3.4743589743589749</v>
      </c>
      <c r="DO321" s="179">
        <f>+DO126/DO310*100</f>
        <v>3.5412844036697249</v>
      </c>
      <c r="DP321" s="179">
        <f>+DP126/DP310*100</f>
        <v>3.493506493506493</v>
      </c>
      <c r="DQ321" s="179">
        <f>+DQ126/DQ310*100</f>
        <v>3.4613710554951034</v>
      </c>
      <c r="DS321" s="180" t="s">
        <v>285</v>
      </c>
      <c r="DT321" s="179">
        <f>+DT126/DT310*100</f>
        <v>3.3991769547325106</v>
      </c>
      <c r="DU321" s="179">
        <f>+DU126/DU310*100</f>
        <v>3.404858299595142</v>
      </c>
      <c r="DV321" s="179">
        <f>+DV126/DV310*100</f>
        <v>3.407725321888412</v>
      </c>
      <c r="DW321" s="179">
        <f>+DW126/DW310*100</f>
        <v>3.325396825396826</v>
      </c>
      <c r="DX321" s="179">
        <f>+DX126/DX310*100</f>
        <v>3.3835897435897442</v>
      </c>
      <c r="DZ321" s="180" t="s">
        <v>285</v>
      </c>
      <c r="EA321" s="179">
        <f>+EA126/EA310*100</f>
        <v>3.2460937499999996</v>
      </c>
      <c r="EB321" s="179">
        <f>+EB126/EB310*100</f>
        <v>3.3149606299212611</v>
      </c>
      <c r="EC321" s="179">
        <f>+EC126/EC310*100</f>
        <v>3.2326530612244899</v>
      </c>
      <c r="ED321" s="179">
        <f>+ED126/ED310*100</f>
        <v>3.3003952569169956</v>
      </c>
      <c r="EE321" s="179">
        <f>+EE126/EE310*100</f>
        <v>3.26686507936508</v>
      </c>
      <c r="EG321" s="180" t="s">
        <v>285</v>
      </c>
      <c r="EH321" s="179">
        <f>+EH126/EH310*100</f>
        <v>3.3065693430656933</v>
      </c>
      <c r="EI321" s="179">
        <f>+EI126/EI310*100</f>
        <v>3.3205574912891991</v>
      </c>
      <c r="EJ321" s="179">
        <f>+EJ126/EJ310*100</f>
        <v>3.106824925816023</v>
      </c>
      <c r="EK321" s="179">
        <f>+EK126/EK310*100</f>
        <v>3.08215297450425</v>
      </c>
      <c r="EL321" s="179">
        <f>+EL126/EL310*100</f>
        <v>3.1758593125499606</v>
      </c>
      <c r="EN321" s="180" t="s">
        <v>285</v>
      </c>
      <c r="EO321" s="179">
        <f>+EO126/EO310*100</f>
        <v>3.0659340659340657</v>
      </c>
      <c r="EP321" s="179">
        <f>+EP126/EP310*100</f>
        <v>3.183098591549296</v>
      </c>
      <c r="EQ321" s="179">
        <f>+EQ126/EQ310*100</f>
        <v>3.1260997067448679</v>
      </c>
      <c r="ER321" s="179">
        <f>+ER126/ER310*100</f>
        <v>3.1750741839762613</v>
      </c>
      <c r="ES321" s="179">
        <f>+ES126/ES310*100</f>
        <v>3.136721546170365</v>
      </c>
      <c r="EU321" s="180" t="s">
        <v>285</v>
      </c>
      <c r="EV321" s="179">
        <f>+EV126/EV310*100</f>
        <v>3.0971428571428574</v>
      </c>
      <c r="EW321" s="179">
        <f>+EW126/EW310*100</f>
        <v>3.2082111436950145</v>
      </c>
      <c r="EX321" s="179">
        <f>+EX126/EX310*100</f>
        <v>3.1681957186544341</v>
      </c>
      <c r="EY321" s="179">
        <f>+EY126/EY310*100</f>
        <v>3.1999999999999993</v>
      </c>
      <c r="EZ321" s="179">
        <f>+EZ126/EZ310*100</f>
        <v>3.1675353685778109</v>
      </c>
      <c r="FB321" s="180" t="s">
        <v>285</v>
      </c>
      <c r="FC321" s="179">
        <f>+FC126/FC310*100</f>
        <v>3.2072072072072086</v>
      </c>
      <c r="FD321" s="179">
        <f>+FD126/FD310*100</f>
        <v>3.2456647398843943</v>
      </c>
      <c r="FE321" s="179">
        <f>+FE126/FE310*100</f>
        <v>3.2108433734939759</v>
      </c>
      <c r="FF321" s="179">
        <f>+FF126/FF310*100</f>
        <v>3.2462908011869427</v>
      </c>
      <c r="FG321" s="179">
        <f>+FG126/FG310*100</f>
        <v>3.2277448071216615</v>
      </c>
      <c r="FI321" s="180" t="s">
        <v>285</v>
      </c>
      <c r="FJ321" s="179">
        <f>+FJ126/FJ310*100</f>
        <v>3.2285714285714291</v>
      </c>
      <c r="FK321" s="179">
        <f>+FK126/FK310*100</f>
        <v>3.3265895953757232</v>
      </c>
      <c r="FL321" s="179">
        <f>+FL126/FL310*100</f>
        <v>3.1355932203389822</v>
      </c>
      <c r="FM321" s="179">
        <f>+FM126/FM310*100</f>
        <v>3.2022160664819936</v>
      </c>
      <c r="FN321" s="179">
        <f>+FN126/FN310*100</f>
        <v>3.2225372076541463</v>
      </c>
      <c r="FP321" s="180" t="s">
        <v>285</v>
      </c>
      <c r="FQ321" s="179">
        <f>+FQ126/FQ310*100</f>
        <v>3.2222222222222223</v>
      </c>
      <c r="FR321" s="179">
        <f>+FR126/FR310*100</f>
        <v>3.4699140401146127</v>
      </c>
      <c r="FS321" s="179">
        <f>+FS126/FS310*100</f>
        <v>3.3123209169054437</v>
      </c>
      <c r="FT321" s="179">
        <f>+FT126/FT310*100</f>
        <v>3.3239795918367334</v>
      </c>
      <c r="FU321" s="179">
        <f>+FU126/FU310*100</f>
        <v>3.3310344827586214</v>
      </c>
      <c r="FW321" s="180" t="s">
        <v>285</v>
      </c>
      <c r="FX321" s="179">
        <f>+FX126/FX310*100</f>
        <v>3.6432748538011692</v>
      </c>
      <c r="FY321" s="179">
        <f>+FY126/FY310*100</f>
        <v>3.6657060518731992</v>
      </c>
      <c r="FZ321" s="179">
        <f>+FZ126/FZ310*100</f>
        <v>3.7283582089552243</v>
      </c>
      <c r="GA321" s="179">
        <f>+GA126/GA310*100</f>
        <v>3.8269794721407626</v>
      </c>
      <c r="GB321" s="179">
        <f>+GB126/GB310*100</f>
        <v>3.7076023391812867</v>
      </c>
      <c r="GD321" s="180" t="s">
        <v>285</v>
      </c>
      <c r="GE321" s="179">
        <f>+GE126/GE310*100</f>
        <v>3.9316239316239314</v>
      </c>
      <c r="GF321" s="179">
        <f>+GF126/GF310*100</f>
        <v>4.0395480225988711</v>
      </c>
      <c r="GG321" s="179">
        <f>+GG126/GG310*100</f>
        <v>4.0549132947976876</v>
      </c>
      <c r="GH321" s="179">
        <f>+GH126/GH310*100</f>
        <v>4.0647058823529409</v>
      </c>
      <c r="GI321" s="179">
        <f>+GI126/GI310*100</f>
        <v>4.0193965517241379</v>
      </c>
      <c r="GK321" s="180" t="s">
        <v>285</v>
      </c>
      <c r="GL321" s="179">
        <f>+GL126/GL310*100</f>
        <v>4.1775147928994087</v>
      </c>
      <c r="GM321" s="179">
        <f>+GM126/GM310*100</f>
        <v>4.26</v>
      </c>
      <c r="GN321" s="179">
        <f>+GN126/GN310*100</f>
        <v>4.3462686567164175</v>
      </c>
      <c r="GO321" s="179">
        <f>+GO126/GO310*100</f>
        <v>4.4680851063829792</v>
      </c>
      <c r="GP321" s="179">
        <f>+GP126/GP310*100</f>
        <v>4.3082039911308208</v>
      </c>
      <c r="GR321" s="180" t="s">
        <v>285</v>
      </c>
      <c r="GS321" s="179">
        <f>+GS126/GS310*100</f>
        <v>4.5545722713864301</v>
      </c>
      <c r="GT321" s="179">
        <f>+GT126/GT310*100</f>
        <v>4.6905444126074505</v>
      </c>
      <c r="GU321" s="179">
        <f>+GU126/GU310*100</f>
        <v>4.887573964497042</v>
      </c>
      <c r="GV321" s="179">
        <f>+GV126/GV310*100</f>
        <v>4.8000000000000007</v>
      </c>
      <c r="GW321" s="179">
        <f>+GW126/GW310*100</f>
        <v>4.7376800606520098</v>
      </c>
      <c r="GY321" s="180" t="s">
        <v>285</v>
      </c>
      <c r="GZ321" s="179">
        <f>+GZ126/GZ310*100</f>
        <v>3.9527027027027026</v>
      </c>
      <c r="HA321" s="179">
        <f>+HA126/HA310*100</f>
        <v>4.0482758620689649</v>
      </c>
      <c r="HB321" s="179">
        <f>+HB126/HB310*100</f>
        <v>4.1993243243243237</v>
      </c>
      <c r="HC321" s="179">
        <f>+HC126/HC310*100</f>
        <v>4.3661016949152538</v>
      </c>
      <c r="HD321" s="179">
        <f>+HD126/HD310*100</f>
        <v>4.1702309666381518</v>
      </c>
      <c r="HF321" s="180" t="s">
        <v>285</v>
      </c>
      <c r="HG321" s="179">
        <f>+HG126/HG310*100</f>
        <v>4.3566878980891719</v>
      </c>
      <c r="HH321" s="179">
        <f>+HH126/HH310*100</f>
        <v>4.507739938080495</v>
      </c>
      <c r="HI321" s="179">
        <f>+HI126/HI310*100</f>
        <v>4.5333333333333332</v>
      </c>
      <c r="HJ321" s="179">
        <f>+HJ126/HJ310*100</f>
        <v>4.5117647058823529</v>
      </c>
      <c r="HK321" s="179">
        <f>+HK126/HK310*100</f>
        <v>4.4748646558391325</v>
      </c>
      <c r="HM321" s="180" t="s">
        <v>285</v>
      </c>
      <c r="HN321" s="179">
        <f>+HN126/HN310*100</f>
        <v>4.6809815950920246</v>
      </c>
      <c r="HO321" s="179">
        <f>+HO126/HO310*100</f>
        <v>4.8119402985074622</v>
      </c>
      <c r="HP321" s="179">
        <f>+HP126/HP310*100</f>
        <v>4.936908517350159</v>
      </c>
      <c r="HQ321" s="179">
        <f>+HQ126/HQ310*100</f>
        <v>4.8899082568807337</v>
      </c>
      <c r="HR321" s="179">
        <f>+HR126/HR310*100</f>
        <v>4.8254211332312407</v>
      </c>
      <c r="HT321" s="180" t="s">
        <v>285</v>
      </c>
      <c r="HU321" s="179">
        <f>+HU126/HU310*100</f>
        <v>4.9556213017751478</v>
      </c>
      <c r="HV321" s="179">
        <f>+HV126/HV310*100</f>
        <v>5.1381381381381379</v>
      </c>
      <c r="HW321" s="179">
        <f>+HW126/HW310*100</f>
        <v>5.0757097791798111</v>
      </c>
      <c r="HX321" s="179">
        <f>+HX126/HX310*100</f>
        <v>5.1265432098765444</v>
      </c>
      <c r="HY321" s="179">
        <f>+HY126/HY310*100</f>
        <v>5.0731707317073171</v>
      </c>
      <c r="IA321" s="180" t="s">
        <v>285</v>
      </c>
      <c r="IB321" s="179">
        <f>+IB126/IB310*100</f>
        <v>5.1561561561561566</v>
      </c>
      <c r="IC321" s="179">
        <f>+IC126/IC310*100</f>
        <v>5.225806451612903</v>
      </c>
      <c r="ID321" s="179">
        <f>+ID126/ID310*100</f>
        <v>5.1777108433734931</v>
      </c>
      <c r="IE321" s="179">
        <f>+IE126/IE310*100</f>
        <v>4.9972527472527473</v>
      </c>
      <c r="IF321" s="179">
        <f>+IF126/IF310*100</f>
        <v>5.1364963503649639</v>
      </c>
      <c r="IH321" s="180" t="s">
        <v>285</v>
      </c>
      <c r="II321" s="179">
        <f>+II126/II310*100</f>
        <v>5.0623229461756374</v>
      </c>
      <c r="IJ321" s="179">
        <f>+IJ126/IJ310*100</f>
        <v>5.1868421052631577</v>
      </c>
      <c r="IK321" s="179">
        <f>+IK126/IK310*100</f>
        <v>5.1524064171123003</v>
      </c>
      <c r="IL321" s="179">
        <f>+IL126/IL310*100</f>
        <v>5.0738786279683374</v>
      </c>
      <c r="IM321" s="179">
        <f>+IM126/IM310*100</f>
        <v>5.11978465679677</v>
      </c>
      <c r="IO321" s="180" t="s">
        <v>285</v>
      </c>
      <c r="IP321" s="179">
        <f>+IP126/IP310*100</f>
        <v>5.0110803324099722</v>
      </c>
      <c r="IQ321" s="179">
        <f>+IQ126/IQ310*100</f>
        <v>5.0489130434782608</v>
      </c>
      <c r="IR321" s="179">
        <f>+IR126/IR310*100</f>
        <v>5.0248618784530388</v>
      </c>
      <c r="IS321" s="179">
        <f>+IS126/IS310*100</f>
        <v>4.9860335195530734</v>
      </c>
      <c r="IT321" s="179">
        <f>+IT126/IT310*100</f>
        <v>5.0179434092477573</v>
      </c>
      <c r="IV321" s="180" t="s">
        <v>285</v>
      </c>
      <c r="IW321" s="179">
        <f>+IW126/IW310*100</f>
        <v>5.1301775147929005</v>
      </c>
      <c r="IX321" s="179">
        <f>+IX126/IX310*100</f>
        <v>5.3053892215568874</v>
      </c>
      <c r="IY321" s="179">
        <f>+IY126/IY310*100</f>
        <v>5.390092879256966</v>
      </c>
      <c r="IZ321" s="179">
        <f>+IZ126/IZ310*100</f>
        <v>5.3835227272727275</v>
      </c>
      <c r="JA321" s="179">
        <f>+JA126/JA310*100</f>
        <v>5.3060921248142643</v>
      </c>
      <c r="JC321" s="180" t="s">
        <v>285</v>
      </c>
      <c r="JD321" s="179">
        <f>+JD126/JD310*100</f>
        <v>5.783018867924528</v>
      </c>
      <c r="JE321" s="179">
        <f>+JE126/JE310*100</f>
        <v>5.7628205128205137</v>
      </c>
      <c r="JF321" s="179">
        <f>+JF126/JF310*100</f>
        <v>5.6835016835016843</v>
      </c>
      <c r="JG321" s="179">
        <f>+JG126/JG310*100</f>
        <v>5.5686900958466463</v>
      </c>
      <c r="JH321" s="179">
        <f>+JH126/JH310*100</f>
        <v>5.7</v>
      </c>
      <c r="JJ321" s="180" t="s">
        <v>285</v>
      </c>
      <c r="JK321" s="179">
        <f>+JK126/JK310*100</f>
        <v>5.6656050955414026</v>
      </c>
      <c r="JL321" s="179">
        <f>+JL126/JL310*100</f>
        <v>5.8140243902439037</v>
      </c>
      <c r="JM321" s="179">
        <f>+JM126/JM310*100</f>
        <v>5.90625</v>
      </c>
      <c r="JN321" s="179">
        <f>+JN126/JN310*100</f>
        <v>6.0031347962382453</v>
      </c>
      <c r="JO321" s="179">
        <f>+JO126/JO310*100</f>
        <v>5.8477751756440277</v>
      </c>
      <c r="JQ321" s="180" t="s">
        <v>285</v>
      </c>
      <c r="JR321" s="179">
        <f>+JR126/JR310*100</f>
        <v>5.9462025316455698</v>
      </c>
      <c r="JS321" s="179">
        <f>+JS126/JS310*100</f>
        <v>5.8909090909090898</v>
      </c>
      <c r="JT321" s="179">
        <f>+JT126/JT310*100</f>
        <v>5.9376947040498447</v>
      </c>
      <c r="JU321" s="179">
        <f>+JU126/JU310*100</f>
        <v>5.9424920127795522</v>
      </c>
      <c r="JV321" s="179">
        <f>+JV126/JV310*100</f>
        <v>5.9289062500000016</v>
      </c>
      <c r="JX321" s="180" t="s">
        <v>285</v>
      </c>
      <c r="JY321" s="179">
        <f>+JY126/JY310*100</f>
        <v>5.8217522658610275</v>
      </c>
      <c r="JZ321" s="179">
        <f>+JZ126/JZ310*100</f>
        <v>5.4244604316546763</v>
      </c>
      <c r="KA321" s="179">
        <f>+KA126/KA310*100</f>
        <v>5.7322580645161283</v>
      </c>
      <c r="KB321" s="179">
        <f>+KB126/KB310*100</f>
        <v>5.7353846153846151</v>
      </c>
      <c r="KC321" s="179">
        <f>+KC126/KC310*100</f>
        <v>5.688102893890675</v>
      </c>
      <c r="KE321" s="180" t="s">
        <v>285</v>
      </c>
      <c r="KF321" s="179">
        <f>+KF126/KF310*100</f>
        <v>5.8083067092651754</v>
      </c>
      <c r="KG321" s="179">
        <f>+KG126/KG310*100</f>
        <v>5.9283489096573199</v>
      </c>
      <c r="KH321" s="179">
        <f>+KH126/KH310*100</f>
        <v>6.1071428571428577</v>
      </c>
      <c r="KI321" s="179">
        <f>+KI126/KI310*100</f>
        <v>6.0342679127725845</v>
      </c>
      <c r="KJ321" s="179">
        <f>+KJ126/KJ310*100</f>
        <v>5.9691211401425175</v>
      </c>
      <c r="KL321" s="180" t="s">
        <v>285</v>
      </c>
      <c r="KM321" s="179">
        <f>+KM126/KM310*100</f>
        <v>6.1570512820512819</v>
      </c>
      <c r="KN321" s="179">
        <f>+KN126/KN310*100</f>
        <v>6.5451713395638631</v>
      </c>
      <c r="KO321" s="179">
        <f>+KO126/KO310*100</f>
        <v>6.7602523659306009</v>
      </c>
      <c r="KP321" s="179">
        <f>+KP126/KP310*100</f>
        <v>6.6903225806451623</v>
      </c>
      <c r="KQ321" s="179">
        <f>+KQ126/KQ310*100</f>
        <v>6.5388888888888888</v>
      </c>
      <c r="KS321" s="180" t="s">
        <v>285</v>
      </c>
      <c r="KT321" s="179">
        <f>+KT126/KT310*100</f>
        <v>6.696594427244583</v>
      </c>
      <c r="KU321" s="179">
        <f>+KU126/KU310*100</f>
        <v>6.7987616099071211</v>
      </c>
      <c r="KV321" s="179">
        <f>+KV126/KV310*100</f>
        <v>6.7476038338658162</v>
      </c>
      <c r="KW321" s="179">
        <f>+KW126/KW310*100</f>
        <v>6.7975077881619939</v>
      </c>
      <c r="KX321" s="179">
        <f>+KX126/KX310*100</f>
        <v>6.7601562500000005</v>
      </c>
      <c r="KZ321" s="180" t="s">
        <v>285</v>
      </c>
      <c r="LA321" s="179">
        <f>+LA126/LA310*100</f>
        <v>6.828125</v>
      </c>
      <c r="LB321" s="179">
        <f>+LB126/LB310*100</f>
        <v>7.0214067278287455</v>
      </c>
      <c r="LC321" s="179">
        <f t="shared" ref="LC321:LE321" si="7135">+LC126/LC310*100</f>
        <v>6.8646153846153846</v>
      </c>
      <c r="LD321" s="179">
        <f t="shared" si="7135"/>
        <v>6.7208588957055211</v>
      </c>
      <c r="LE321" s="179">
        <f t="shared" si="7135"/>
        <v>6.8590138674884438</v>
      </c>
      <c r="LF321" s="570"/>
      <c r="LG321" s="180" t="s">
        <v>285</v>
      </c>
      <c r="LH321" s="179">
        <f>+LH126/LH310*100</f>
        <v>6.662538699690403</v>
      </c>
      <c r="LI321" s="179">
        <f>+LI126/LI310*100</f>
        <v>6.7981927710843379</v>
      </c>
      <c r="LJ321" s="179">
        <f>+LJ126/LJ310*100</f>
        <v>6.7317073170731714</v>
      </c>
      <c r="LK321" s="179">
        <f t="shared" ref="LK321:LL321" si="7136">+LK126/LK310*100</f>
        <v>6.7586206896551735</v>
      </c>
      <c r="LL321" s="179">
        <f t="shared" si="7136"/>
        <v>6.738095238095239</v>
      </c>
      <c r="LM321" s="570"/>
      <c r="LN321" s="180" t="s">
        <v>285</v>
      </c>
      <c r="LO321" s="179">
        <f>+LO126/LO310*100</f>
        <v>6.7747521326894597</v>
      </c>
      <c r="LP321" s="179">
        <f>+LP126/LP310*100</f>
        <v>6.9410135012238348</v>
      </c>
      <c r="LQ321" s="179">
        <f t="shared" ref="LQ321:LS321" si="7137">+LQ126/LQ310*100</f>
        <v>6.9167594629514033</v>
      </c>
      <c r="LR321" s="179">
        <f t="shared" si="7137"/>
        <v>6.9209554785309937</v>
      </c>
      <c r="LS321" s="179">
        <f t="shared" si="7137"/>
        <v>6.8891382254866409</v>
      </c>
      <c r="LT321" s="570"/>
      <c r="LU321" s="178" t="s">
        <v>285</v>
      </c>
      <c r="LV321" s="179">
        <f>+LV126/LV310*100</f>
        <v>6.9611861282636243</v>
      </c>
      <c r="LW321" s="179">
        <f>+LW126/LW310*100</f>
        <v>7.1239215823741748</v>
      </c>
      <c r="LX321" s="179">
        <f t="shared" ref="LX321:LZ321" si="7138">+LX126/LX310*100</f>
        <v>7.1058383229241313</v>
      </c>
      <c r="LY321" s="179">
        <f t="shared" si="7138"/>
        <v>7.1109172234486522</v>
      </c>
      <c r="LZ321" s="179">
        <f t="shared" si="7138"/>
        <v>7.0762218787514168</v>
      </c>
      <c r="MA321" s="570"/>
      <c r="MB321" s="178" t="s">
        <v>285</v>
      </c>
      <c r="MC321" s="179">
        <f>+MC126/MC310*100</f>
        <v>7.1343339583272618</v>
      </c>
      <c r="MD321" s="179">
        <f>+MD126/MD310*100</f>
        <v>7.3003159076295034</v>
      </c>
      <c r="ME321" s="179">
        <f t="shared" ref="ME321:MG321" si="7139">+ME126/ME310*100</f>
        <v>7.2814059754013911</v>
      </c>
      <c r="MF321" s="179">
        <f t="shared" si="7139"/>
        <v>7.2829172649647482</v>
      </c>
      <c r="MG321" s="179">
        <f t="shared" si="7139"/>
        <v>7.2504531909740644</v>
      </c>
      <c r="MH321" s="570"/>
    </row>
    <row r="322" spans="1:346" s="37" customFormat="1" ht="13.15" x14ac:dyDescent="0.4">
      <c r="A322" s="100"/>
      <c r="B322" s="178" t="s">
        <v>287</v>
      </c>
      <c r="C322" s="179"/>
      <c r="D322" s="179"/>
      <c r="E322" s="179"/>
      <c r="F322" s="179"/>
      <c r="G322" s="179"/>
      <c r="H322" s="179"/>
      <c r="I322" s="179"/>
      <c r="J322" s="179">
        <f>+J132/J311*100</f>
        <v>2.683760683760684</v>
      </c>
      <c r="K322" s="179">
        <f>+K132/K311*100</f>
        <v>2.6062717770034847</v>
      </c>
      <c r="L322" s="179">
        <f>+L132/L311*100</f>
        <v>2.434231378763867</v>
      </c>
      <c r="M322" s="179">
        <f>+M132/M311*100</f>
        <v>2.4833068362480128</v>
      </c>
      <c r="N322" s="179">
        <f>BT322</f>
        <v>2.3721633888048417</v>
      </c>
      <c r="O322" s="179">
        <f>CA322</f>
        <v>2.4149560117302058</v>
      </c>
      <c r="P322" s="179">
        <f>CH322</f>
        <v>2.3547904191616764</v>
      </c>
      <c r="Q322" s="179">
        <f>CO322</f>
        <v>2.3569277108433733</v>
      </c>
      <c r="R322" s="179">
        <f>CV322</f>
        <v>2.3459552495697071</v>
      </c>
      <c r="S322" s="179">
        <f>DC322</f>
        <v>2.2998430141287289</v>
      </c>
      <c r="T322" s="179">
        <f>DJ322</f>
        <v>2.3287461773700304</v>
      </c>
      <c r="U322" s="179">
        <f>DQ322</f>
        <v>2.3191800878477307</v>
      </c>
      <c r="V322" s="179">
        <f>DX322</f>
        <v>2.2941176470588234</v>
      </c>
      <c r="W322" s="179">
        <f>EE322</f>
        <v>2.2008928571428568</v>
      </c>
      <c r="X322" s="179">
        <f>EL322</f>
        <v>2.1964285714285721</v>
      </c>
      <c r="Y322" s="179">
        <f>ES322</f>
        <v>1.9948387096774198</v>
      </c>
      <c r="Z322" s="179">
        <f>EZ322</f>
        <v>2.0939849624060152</v>
      </c>
      <c r="AA322" s="179">
        <f>FG322</f>
        <v>2.1118784530386745</v>
      </c>
      <c r="AB322" s="179">
        <f>FN322</f>
        <v>2.1886524822695037</v>
      </c>
      <c r="AC322" s="179">
        <f>FU322</f>
        <v>2.2059202059202065</v>
      </c>
      <c r="AD322" s="179">
        <f>GB322</f>
        <v>2.4322660098522171</v>
      </c>
      <c r="AE322" s="179">
        <f>GI322</f>
        <v>2.667060212514758</v>
      </c>
      <c r="AF322" s="179">
        <f>GP322</f>
        <v>2.9007009345794392</v>
      </c>
      <c r="AG322" s="179">
        <f>GW322</f>
        <v>3.4748603351955309</v>
      </c>
      <c r="AH322" s="179">
        <f>HD322</f>
        <v>3.4773936170212765</v>
      </c>
      <c r="AI322" s="179">
        <f>HK322</f>
        <v>4.1094339622641511</v>
      </c>
      <c r="AJ322" s="179">
        <f>HR322</f>
        <v>4.8483660130718951</v>
      </c>
      <c r="AK322" s="179">
        <f>HY322</f>
        <v>4.7470238095238093</v>
      </c>
      <c r="AL322" s="179">
        <f>IF322</f>
        <v>4.4814241486068118</v>
      </c>
      <c r="AM322" s="179">
        <f>IM322</f>
        <v>4.0992805755395674</v>
      </c>
      <c r="AN322" s="179">
        <f>IT322</f>
        <v>4.0707964601769913</v>
      </c>
      <c r="AO322" s="179">
        <f>JA322</f>
        <v>4.0643015521064303</v>
      </c>
      <c r="AP322" s="179">
        <f>JH322</f>
        <v>4.8660508083140872</v>
      </c>
      <c r="AQ322" s="179">
        <f>JO322</f>
        <v>4.9362637362637365</v>
      </c>
      <c r="AR322" s="179">
        <f>JV322</f>
        <v>5.0364963503649633</v>
      </c>
      <c r="AS322" s="179">
        <f>KC322</f>
        <v>4.6411960132890364</v>
      </c>
      <c r="AT322" s="179">
        <f>KJ322</f>
        <v>5.2937853107344628</v>
      </c>
      <c r="AU322" s="179">
        <f>KQ322</f>
        <v>7.2011834319526624</v>
      </c>
      <c r="AV322" s="179">
        <f>KX322</f>
        <v>6.6417112299465249</v>
      </c>
      <c r="AW322" s="179">
        <f>LE322</f>
        <v>6.2941176470588225</v>
      </c>
      <c r="AX322" s="179">
        <f>LL322</f>
        <v>5.1912568306010938</v>
      </c>
      <c r="AY322" s="179">
        <f>LS322</f>
        <v>5.1703227096413</v>
      </c>
      <c r="AZ322" s="179">
        <f>LZ322</f>
        <v>5.2148293446594174</v>
      </c>
      <c r="BA322" s="179">
        <f>MG322</f>
        <v>5.254212115733143</v>
      </c>
      <c r="BB322" s="179"/>
      <c r="BC322" s="179"/>
      <c r="BD322" s="179"/>
      <c r="BE322" s="179"/>
      <c r="BF322" s="179"/>
      <c r="BG322" s="179"/>
      <c r="BH322" s="179"/>
      <c r="BI322" s="179"/>
      <c r="BJ322" s="179"/>
      <c r="BK322" s="179"/>
      <c r="BL322" s="179"/>
      <c r="BM322" s="179"/>
      <c r="BO322" s="180" t="s">
        <v>287</v>
      </c>
      <c r="BP322" s="179">
        <f>+BP132/BP311*100</f>
        <v>2.3452380952380949</v>
      </c>
      <c r="BQ322" s="179">
        <f>+BQ132/BQ311*100</f>
        <v>2.4512195121951219</v>
      </c>
      <c r="BR322" s="179">
        <f>+BR132/BR311*100</f>
        <v>2.2321428571428568</v>
      </c>
      <c r="BS322" s="179">
        <f>+BS132/BS311*100</f>
        <v>2.4658385093167698</v>
      </c>
      <c r="BT322" s="179">
        <f>+BT132/BT311*100</f>
        <v>2.3721633888048417</v>
      </c>
      <c r="BV322" s="180" t="s">
        <v>287</v>
      </c>
      <c r="BW322" s="179">
        <f>+BW132/BW311*100</f>
        <v>2.4790419161676653</v>
      </c>
      <c r="BX322" s="179">
        <f>+BX132/BX311*100</f>
        <v>2.3976608187134505</v>
      </c>
      <c r="BY322" s="179">
        <f>+BY132/BY311*100</f>
        <v>2.36</v>
      </c>
      <c r="BZ322" s="179">
        <f>+BZ132/BZ311*100</f>
        <v>2.4260355029585798</v>
      </c>
      <c r="CA322" s="179">
        <f>+CA132/CA311*100</f>
        <v>2.4149560117302058</v>
      </c>
      <c r="CC322" s="180" t="s">
        <v>287</v>
      </c>
      <c r="CD322" s="179">
        <f>+CD132/CD311*100</f>
        <v>2.2848484848484851</v>
      </c>
      <c r="CE322" s="179">
        <f>+CE132/CE311*100</f>
        <v>2.3148148148148149</v>
      </c>
      <c r="CF322" s="179">
        <f>+CF132/CF311*100</f>
        <v>2.4444444444444442</v>
      </c>
      <c r="CG322" s="179">
        <f>+CG132/CG311*100</f>
        <v>2.3705882352941177</v>
      </c>
      <c r="CH322" s="179">
        <f>+CH132/CH311*100</f>
        <v>2.3547904191616764</v>
      </c>
      <c r="CJ322" s="180" t="s">
        <v>287</v>
      </c>
      <c r="CK322" s="179">
        <f>+CK132/CK311*100</f>
        <v>2.3095238095238098</v>
      </c>
      <c r="CL322" s="179">
        <f>+CL132/CL311*100</f>
        <v>2.3726708074534155</v>
      </c>
      <c r="CM322" s="179">
        <f>+CM132/CM311*100</f>
        <v>2.4121212121212121</v>
      </c>
      <c r="CN322" s="179">
        <f>+CN132/CN311*100</f>
        <v>2.3352941176470594</v>
      </c>
      <c r="CO322" s="179">
        <f>+CO132/CO311*100</f>
        <v>2.3569277108433733</v>
      </c>
      <c r="CQ322" s="180" t="s">
        <v>287</v>
      </c>
      <c r="CR322" s="179">
        <f>+CR132/CR311*100</f>
        <v>2.3448275862068968</v>
      </c>
      <c r="CS322" s="179">
        <f>+CS132/CS311*100</f>
        <v>2.3443708609271523</v>
      </c>
      <c r="CT322" s="179">
        <f>+CT132/CT311*100</f>
        <v>2.3776223776223775</v>
      </c>
      <c r="CU322" s="179">
        <f>+CU132/CU311*100</f>
        <v>2.316901408450704</v>
      </c>
      <c r="CV322" s="179">
        <f>+CV132/CV311*100</f>
        <v>2.3459552495697071</v>
      </c>
      <c r="CX322" s="180" t="s">
        <v>287</v>
      </c>
      <c r="CY322" s="179">
        <f>+CY132/CY311*100</f>
        <v>2.2751677852348995</v>
      </c>
      <c r="CZ322" s="179">
        <f>+CZ132/CZ311*100</f>
        <v>2.2974683544303796</v>
      </c>
      <c r="DA322" s="179">
        <f>+DA132/DA311*100</f>
        <v>2.3272727272727272</v>
      </c>
      <c r="DB322" s="179">
        <f>+DB132/DB311*100</f>
        <v>2.2969696969696973</v>
      </c>
      <c r="DC322" s="179">
        <f>+DC132/DC311*100</f>
        <v>2.2998430141287289</v>
      </c>
      <c r="DE322" s="180" t="s">
        <v>287</v>
      </c>
      <c r="DF322" s="179">
        <f>+DF132/DF311*100</f>
        <v>2.3312101910828025</v>
      </c>
      <c r="DG322" s="179">
        <f>+DG132/DG311*100</f>
        <v>2.354037267080745</v>
      </c>
      <c r="DH322" s="179">
        <f>+DH132/DH311*100</f>
        <v>2.3233532934131733</v>
      </c>
      <c r="DI322" s="179">
        <f>+DI132/DI311*100</f>
        <v>2.3076923076923079</v>
      </c>
      <c r="DJ322" s="179">
        <f>+DJ132/DJ311*100</f>
        <v>2.3287461773700304</v>
      </c>
      <c r="DL322" s="180" t="s">
        <v>287</v>
      </c>
      <c r="DM322" s="179">
        <f>+DM132/DM311*100</f>
        <v>2.3125000000000004</v>
      </c>
      <c r="DN322" s="179">
        <f>+DN132/DN311*100</f>
        <v>2.3352601156069359</v>
      </c>
      <c r="DO322" s="179">
        <f>+DO132/DO311*100</f>
        <v>2.3218390804597702</v>
      </c>
      <c r="DP322" s="179">
        <f>+DP132/DP311*100</f>
        <v>2.3068181818181812</v>
      </c>
      <c r="DQ322" s="179">
        <f>+DQ132/DQ311*100</f>
        <v>2.3191800878477307</v>
      </c>
      <c r="DS322" s="180" t="s">
        <v>287</v>
      </c>
      <c r="DT322" s="179">
        <f>+DT132/DT311*100</f>
        <v>2.2882352941176474</v>
      </c>
      <c r="DU322" s="179">
        <f>+DU132/DU311*100</f>
        <v>2.3012048192771086</v>
      </c>
      <c r="DV322" s="179">
        <f>+DV132/DV311*100</f>
        <v>2.2941176470588234</v>
      </c>
      <c r="DW322" s="179">
        <f>+DW132/DW311*100</f>
        <v>2.2931034482758625</v>
      </c>
      <c r="DX322" s="179">
        <f>+DX132/DX311*100</f>
        <v>2.2941176470588234</v>
      </c>
      <c r="DZ322" s="180" t="s">
        <v>287</v>
      </c>
      <c r="EA322" s="179">
        <f>+EA132/EA311*100</f>
        <v>2.1097560975609762</v>
      </c>
      <c r="EB322" s="179">
        <f>+EB132/EB311*100</f>
        <v>2.2469879518072293</v>
      </c>
      <c r="EC322" s="179">
        <f>+EC132/EC311*100</f>
        <v>2.2339181286549707</v>
      </c>
      <c r="ED322" s="179">
        <f>+ED132/ED311*100</f>
        <v>2.2105263157894735</v>
      </c>
      <c r="EE322" s="179">
        <f>+EE132/EE311*100</f>
        <v>2.2008928571428568</v>
      </c>
      <c r="EG322" s="180" t="s">
        <v>287</v>
      </c>
      <c r="EH322" s="179">
        <f>+EH132/EH311*100</f>
        <v>2.0887573964497044</v>
      </c>
      <c r="EI322" s="179">
        <f>+EI132/EI311*100</f>
        <v>2.1910828025477711</v>
      </c>
      <c r="EJ322" s="179">
        <f>+EJ132/EJ311*100</f>
        <v>2.2758620689655178</v>
      </c>
      <c r="EK322" s="179">
        <f>+EK132/EK311*100</f>
        <v>2.2267441860465116</v>
      </c>
      <c r="EL322" s="179">
        <f>+EL132/EL311*100</f>
        <v>2.1964285714285721</v>
      </c>
      <c r="EN322" s="180" t="s">
        <v>287</v>
      </c>
      <c r="EO322" s="179">
        <f>+EO132/EO311*100</f>
        <v>2.0273224043715845</v>
      </c>
      <c r="EP322" s="179">
        <f>+EP132/EP311*100</f>
        <v>2.026455026455027</v>
      </c>
      <c r="EQ322" s="179">
        <f>+EQ132/EQ311*100</f>
        <v>1.9365853658536585</v>
      </c>
      <c r="ER322" s="179">
        <f>+ER132/ER311*100</f>
        <v>1.994949494949495</v>
      </c>
      <c r="ES322" s="179">
        <f>+ES132/ES311*100</f>
        <v>1.9948387096774198</v>
      </c>
      <c r="EU322" s="180" t="s">
        <v>287</v>
      </c>
      <c r="EV322" s="179">
        <f>+EV132/EV311*100</f>
        <v>2.1010101010101012</v>
      </c>
      <c r="EW322" s="179">
        <f>+EW132/EW311*100</f>
        <v>2.0854271356783918</v>
      </c>
      <c r="EX322" s="179">
        <f>+EX132/EX311*100</f>
        <v>2.106060606060606</v>
      </c>
      <c r="EY322" s="179">
        <f>+EY132/EY311*100</f>
        <v>2.083743842364532</v>
      </c>
      <c r="EZ322" s="179">
        <f>+EZ132/EZ311*100</f>
        <v>2.0939849624060152</v>
      </c>
      <c r="FB322" s="180" t="s">
        <v>287</v>
      </c>
      <c r="FC322" s="179">
        <f>+FC132/FC311*100</f>
        <v>2.0934065934065935</v>
      </c>
      <c r="FD322" s="179">
        <f>+FD132/FD311*100</f>
        <v>2.1229050279329611</v>
      </c>
      <c r="FE322" s="179">
        <f>+FE132/FE311*100</f>
        <v>2.0874316939890716</v>
      </c>
      <c r="FF322" s="179">
        <f>+FF132/FF311*100</f>
        <v>2.1444444444444444</v>
      </c>
      <c r="FG322" s="179">
        <f>+FG132/FG311*100</f>
        <v>2.1118784530386745</v>
      </c>
      <c r="FI322" s="180" t="s">
        <v>287</v>
      </c>
      <c r="FJ322" s="179">
        <f>+FJ132/FJ311*100</f>
        <v>2.1893491124260351</v>
      </c>
      <c r="FK322" s="179">
        <f>+FK132/FK311*100</f>
        <v>2.1793478260869565</v>
      </c>
      <c r="FL322" s="179">
        <f>+FL132/FL311*100</f>
        <v>2.1942857142857144</v>
      </c>
      <c r="FM322" s="179">
        <f>+FM132/FM311*100</f>
        <v>2.1920903954802262</v>
      </c>
      <c r="FN322" s="179">
        <f>+FN132/FN311*100</f>
        <v>2.1886524822695037</v>
      </c>
      <c r="FP322" s="180" t="s">
        <v>287</v>
      </c>
      <c r="FQ322" s="179">
        <f>+FQ132/FQ311*100</f>
        <v>2.1657754010695189</v>
      </c>
      <c r="FR322" s="179">
        <f>+FR132/FR311*100</f>
        <v>2.2303664921465969</v>
      </c>
      <c r="FS322" s="179">
        <f>+FS132/FS311*100</f>
        <v>2.2864864864864867</v>
      </c>
      <c r="FT322" s="179">
        <f>+FT132/FT311*100</f>
        <v>2.1495327102803738</v>
      </c>
      <c r="FU322" s="179">
        <f>+FU132/FU311*100</f>
        <v>2.2059202059202065</v>
      </c>
      <c r="FW322" s="180" t="s">
        <v>287</v>
      </c>
      <c r="FX322" s="179">
        <f>+FX132/FX311*100</f>
        <v>2.3173076923076921</v>
      </c>
      <c r="FY322" s="179">
        <f>+FY132/FY311*100</f>
        <v>2.4607843137254908</v>
      </c>
      <c r="FZ322" s="179">
        <f>+FZ132/FZ311*100</f>
        <v>2.4427860696517407</v>
      </c>
      <c r="GA322" s="179">
        <f>+GA132/GA311*100</f>
        <v>2.4875621890547266</v>
      </c>
      <c r="GB322" s="179">
        <f>+GB132/GB311*100</f>
        <v>2.4322660098522171</v>
      </c>
      <c r="GD322" s="180" t="s">
        <v>287</v>
      </c>
      <c r="GE322" s="179">
        <f>+GE132/GE311*100</f>
        <v>2.5794392523364484</v>
      </c>
      <c r="GF322" s="179">
        <f>+GF132/GF311*100</f>
        <v>2.6761904761904765</v>
      </c>
      <c r="GG322" s="179">
        <f>+GG132/GG311*100</f>
        <v>2.6807511737089196</v>
      </c>
      <c r="GH322" s="179">
        <f>+GH132/GH311*100</f>
        <v>2.7203791469194312</v>
      </c>
      <c r="GI322" s="179">
        <f>+GI132/GI311*100</f>
        <v>2.667060212514758</v>
      </c>
      <c r="GK322" s="180" t="s">
        <v>287</v>
      </c>
      <c r="GL322" s="179">
        <f>+GL132/GL311*100</f>
        <v>2.8309859154929575</v>
      </c>
      <c r="GM322" s="179">
        <f>+GM132/GM311*100</f>
        <v>2.7590909090909093</v>
      </c>
      <c r="GN322" s="179">
        <f>+GN132/GN311*100</f>
        <v>2.9198113207547167</v>
      </c>
      <c r="GO322" s="179">
        <f>+GO132/GO311*100</f>
        <v>3.070422535211268</v>
      </c>
      <c r="GP322" s="179">
        <f>+GP132/GP311*100</f>
        <v>2.9007009345794392</v>
      </c>
      <c r="GR322" s="180" t="s">
        <v>287</v>
      </c>
      <c r="GS322" s="179">
        <f>+GS132/GS311*100</f>
        <v>3.2579185520361995</v>
      </c>
      <c r="GT322" s="179">
        <f>+GT132/GT311*100</f>
        <v>3.3930131004366815</v>
      </c>
      <c r="GU322" s="179">
        <f>+GU132/GU311*100</f>
        <v>3.6126126126126126</v>
      </c>
      <c r="GV322" s="179">
        <f>+GV132/GV311*100</f>
        <v>3.5884955752212386</v>
      </c>
      <c r="GW322" s="179">
        <f>+GW132/GW311*100</f>
        <v>3.4748603351955309</v>
      </c>
      <c r="GY322" s="180" t="s">
        <v>287</v>
      </c>
      <c r="GZ322" s="179">
        <f>+GZ132/GZ311*100</f>
        <v>3.7526315789473683</v>
      </c>
      <c r="HA322" s="179">
        <f>+HA132/HA311*100</f>
        <v>3.4728260869565224</v>
      </c>
      <c r="HB322" s="179">
        <f>+HB132/HB311*100</f>
        <v>3.401041666666667</v>
      </c>
      <c r="HC322" s="179">
        <f>+HC132/HC311*100</f>
        <v>3.5672514619883038</v>
      </c>
      <c r="HD322" s="179">
        <f>+HD132/HD311*100</f>
        <v>3.4773936170212765</v>
      </c>
      <c r="HF322" s="180" t="s">
        <v>287</v>
      </c>
      <c r="HG322" s="179">
        <f>+HG132/HG311*100</f>
        <v>3.8534031413612566</v>
      </c>
      <c r="HH322" s="179">
        <f>+HH132/HH311*100</f>
        <v>4.1133004926108372</v>
      </c>
      <c r="HI322" s="179">
        <f>+HI132/HI311*100</f>
        <v>4.2171717171717171</v>
      </c>
      <c r="HJ322" s="179">
        <f>+HJ132/HJ311*100</f>
        <v>4.2623762376237622</v>
      </c>
      <c r="HK322" s="179">
        <f>+HK132/HK311*100</f>
        <v>4.1094339622641511</v>
      </c>
      <c r="HM322" s="180" t="s">
        <v>287</v>
      </c>
      <c r="HN322" s="179">
        <f>+HN132/HN311*100</f>
        <v>4.5309278350515472</v>
      </c>
      <c r="HO322" s="179">
        <f>+HO132/HO311*100</f>
        <v>4.989583333333333</v>
      </c>
      <c r="HP322" s="179">
        <f>+HP132/HP311*100</f>
        <v>4.984375</v>
      </c>
      <c r="HQ322" s="179">
        <f>+HQ132/HQ311*100</f>
        <v>4.919354838709677</v>
      </c>
      <c r="HR322" s="179">
        <f>+HR132/HR311*100</f>
        <v>4.8483660130718951</v>
      </c>
      <c r="HT322" s="180" t="s">
        <v>287</v>
      </c>
      <c r="HU322" s="179">
        <f>+HU132/HU311*100</f>
        <v>4.7816091954023001</v>
      </c>
      <c r="HV322" s="179">
        <f>+HV132/HV311*100</f>
        <v>4.8520710059171606</v>
      </c>
      <c r="HW322" s="179">
        <f>+HW132/HW311*100</f>
        <v>4.6804733727810657</v>
      </c>
      <c r="HX322" s="179">
        <f>+HX132/HX311*100</f>
        <v>4.6981132075471699</v>
      </c>
      <c r="HY322" s="179">
        <f>+HY132/HY311*100</f>
        <v>4.7470238095238093</v>
      </c>
      <c r="IA322" s="180" t="s">
        <v>287</v>
      </c>
      <c r="IB322" s="179">
        <f>+IB132/IB311*100</f>
        <v>4.4539877300613497</v>
      </c>
      <c r="IC322" s="179">
        <f>+IC132/IC311*100</f>
        <v>4.5562130177514799</v>
      </c>
      <c r="ID322" s="179">
        <f>+ID132/ID311*100</f>
        <v>4.4171779141104297</v>
      </c>
      <c r="IE322" s="179">
        <f>+IE132/IE311*100</f>
        <v>4.4671052631578947</v>
      </c>
      <c r="IF322" s="179">
        <f>+IF132/IF311*100</f>
        <v>4.4814241486068118</v>
      </c>
      <c r="IH322" s="180" t="s">
        <v>287</v>
      </c>
      <c r="II322" s="179">
        <f>+II132/II311*100</f>
        <v>4.0613496932515334</v>
      </c>
      <c r="IJ322" s="179">
        <f>+IJ132/IJ311*100</f>
        <v>4.1333333333333329</v>
      </c>
      <c r="IK322" s="179">
        <f>+IK132/IK311*100</f>
        <v>4.1436781609195403</v>
      </c>
      <c r="IL322" s="179">
        <f>+IL132/IL311*100</f>
        <v>4.033519553072626</v>
      </c>
      <c r="IM322" s="179">
        <f>+IM132/IM311*100</f>
        <v>4.0992805755395674</v>
      </c>
      <c r="IO322" s="180" t="s">
        <v>287</v>
      </c>
      <c r="IP322" s="179">
        <f>+IP132/IP311*100</f>
        <v>3.9627329192546581</v>
      </c>
      <c r="IQ322" s="179">
        <f>+IQ132/IQ311*100</f>
        <v>3.9873417721518987</v>
      </c>
      <c r="IR322" s="179">
        <f>+IR132/IR311*100</f>
        <v>4.3834586466165408</v>
      </c>
      <c r="IS322" s="179">
        <f>+IS132/IS311*100</f>
        <v>4.0089285714285712</v>
      </c>
      <c r="IT322" s="179">
        <f>+IT132/IT311*100</f>
        <v>4.0707964601769913</v>
      </c>
      <c r="IV322" s="180" t="s">
        <v>287</v>
      </c>
      <c r="IW322" s="179">
        <f>+IW132/IW311*100</f>
        <v>4.1134020618556706</v>
      </c>
      <c r="IX322" s="179">
        <f>+IX132/IX311*100</f>
        <v>4</v>
      </c>
      <c r="IY322" s="179">
        <f>+IY132/IY311*100</f>
        <v>4.0608695652173905</v>
      </c>
      <c r="IZ322" s="179">
        <f>+IZ132/IZ311*100</f>
        <v>4.0814814814814815</v>
      </c>
      <c r="JA322" s="179">
        <f>+JA132/JA311*100</f>
        <v>4.0643015521064303</v>
      </c>
      <c r="JC322" s="180" t="s">
        <v>287</v>
      </c>
      <c r="JD322" s="179">
        <f>+JD132/JD311*100</f>
        <v>4.9245283018867925</v>
      </c>
      <c r="JE322" s="179">
        <f>+JE132/JE311*100</f>
        <v>5</v>
      </c>
      <c r="JF322" s="179">
        <f>+JF132/JF311*100</f>
        <v>4.7155963302752291</v>
      </c>
      <c r="JG322" s="179">
        <f>+JG132/JG311*100</f>
        <v>4.8303571428571441</v>
      </c>
      <c r="JH322" s="179">
        <f>+JH132/JH311*100</f>
        <v>4.8660508083140872</v>
      </c>
      <c r="JJ322" s="180" t="s">
        <v>287</v>
      </c>
      <c r="JK322" s="179">
        <f>+JK132/JK311*100</f>
        <v>4.8834951456310671</v>
      </c>
      <c r="JL322" s="179">
        <f>+JL132/JL311*100</f>
        <v>4.8220338983050848</v>
      </c>
      <c r="JM322" s="179">
        <f>+JM132/JM311*100</f>
        <v>4.9000000000000004</v>
      </c>
      <c r="JN322" s="179">
        <f>+JN132/JN311*100</f>
        <v>5.140350877192982</v>
      </c>
      <c r="JO322" s="179">
        <f>+JO132/JO311*100</f>
        <v>4.9362637362637365</v>
      </c>
      <c r="JQ322" s="180" t="s">
        <v>287</v>
      </c>
      <c r="JR322" s="179">
        <f>+JR132/JR311*100</f>
        <v>5.1238095238095243</v>
      </c>
      <c r="JS322" s="179">
        <f>+JS132/JS311*100</f>
        <v>5.1100917431192663</v>
      </c>
      <c r="JT322" s="179">
        <f>+JT132/JT311*100</f>
        <v>5.0097087378640781</v>
      </c>
      <c r="JU322" s="179">
        <f>+JU132/JU311*100</f>
        <v>4.8829787234042552</v>
      </c>
      <c r="JV322" s="179">
        <f>+JV132/JV311*100</f>
        <v>5.0364963503649633</v>
      </c>
      <c r="JX322" s="180" t="s">
        <v>287</v>
      </c>
      <c r="JY322" s="179">
        <f>+JY132/JY311*100</f>
        <v>4.7093023255813948</v>
      </c>
      <c r="JZ322" s="179">
        <f>+JZ132/JZ311*100</f>
        <v>4.7833333333333341</v>
      </c>
      <c r="KA322" s="179">
        <f>+KA132/KA311*100</f>
        <v>4.647887323943662</v>
      </c>
      <c r="KB322" s="179">
        <f>+KB132/KB311*100</f>
        <v>4.4642857142857153</v>
      </c>
      <c r="KC322" s="179">
        <f>+KC132/KC311*100</f>
        <v>4.6411960132890364</v>
      </c>
      <c r="KE322" s="180" t="s">
        <v>287</v>
      </c>
      <c r="KF322" s="179">
        <f>+KF132/KF311*100</f>
        <v>5.3181818181818175</v>
      </c>
      <c r="KG322" s="179">
        <f>+KG132/KG311*100</f>
        <v>4.5978260869565233</v>
      </c>
      <c r="KH322" s="179">
        <f>+KH132/KH311*100</f>
        <v>5.1685393258426959</v>
      </c>
      <c r="KI322" s="179">
        <f>+KI132/KI311*100</f>
        <v>6.1529411764705877</v>
      </c>
      <c r="KJ322" s="179">
        <f>+KJ132/KJ311*100</f>
        <v>5.2937853107344628</v>
      </c>
      <c r="KL322" s="180" t="s">
        <v>287</v>
      </c>
      <c r="KM322" s="179">
        <f>+KM132/KM311*100</f>
        <v>7.0131578947368434</v>
      </c>
      <c r="KN322" s="179">
        <f>+KN132/KN311*100</f>
        <v>7.75</v>
      </c>
      <c r="KO322" s="179">
        <f>+KO132/KO311*100</f>
        <v>7.2558139534883725</v>
      </c>
      <c r="KP322" s="179">
        <f>+KP132/KP311*100</f>
        <v>6.804347826086957</v>
      </c>
      <c r="KQ322" s="179">
        <f>+KQ132/KQ311*100</f>
        <v>7.2011834319526624</v>
      </c>
      <c r="KS322" s="180" t="s">
        <v>287</v>
      </c>
      <c r="KT322" s="179">
        <f>+KT132/KT311*100</f>
        <v>6.8804347826086962</v>
      </c>
      <c r="KU322" s="179">
        <f>+KU132/KU311*100</f>
        <v>6.9239130434782608</v>
      </c>
      <c r="KV322" s="179">
        <f>+KV132/KV311*100</f>
        <v>6.3191489361702118</v>
      </c>
      <c r="KW322" s="179">
        <f>+KW132/KW311*100</f>
        <v>6.4583333333333339</v>
      </c>
      <c r="KX322" s="179">
        <f>+KX132/KX311*100</f>
        <v>6.6417112299465249</v>
      </c>
      <c r="KZ322" s="180" t="s">
        <v>287</v>
      </c>
      <c r="LA322" s="179">
        <f>+LA132/LA311*100</f>
        <v>6.7234042553191502</v>
      </c>
      <c r="LB322" s="179">
        <f>+LB132/LB311*100</f>
        <v>6.3972159090909084</v>
      </c>
      <c r="LC322" s="179">
        <f t="shared" ref="LC322:LE322" si="7140">+LC132/LC311*100</f>
        <v>6.0779120879120887</v>
      </c>
      <c r="LD322" s="179">
        <f t="shared" si="7140"/>
        <v>5.9410952380952384</v>
      </c>
      <c r="LE322" s="179">
        <f t="shared" si="7140"/>
        <v>6.2941176470588225</v>
      </c>
      <c r="LF322" s="570"/>
      <c r="LG322" s="180" t="s">
        <v>287</v>
      </c>
      <c r="LH322" s="179">
        <f>+LH132/LH311*100</f>
        <v>5.4876190476190478</v>
      </c>
      <c r="LI322" s="179">
        <f>+LI132/LI311*100</f>
        <v>5.128333333333333</v>
      </c>
      <c r="LJ322" s="179">
        <f>+LJ132/LJ311*100</f>
        <v>4.9494141414141417</v>
      </c>
      <c r="LK322" s="179">
        <f t="shared" ref="LK322:LL322" si="7141">+LK132/LK311*100</f>
        <v>5.2449777777777786</v>
      </c>
      <c r="LL322" s="179">
        <f t="shared" si="7141"/>
        <v>5.1912568306010938</v>
      </c>
      <c r="LM322" s="570"/>
      <c r="LN322" s="180" t="s">
        <v>287</v>
      </c>
      <c r="LO322" s="179">
        <f>+LO132/LO311*100</f>
        <v>5.3234523809523804</v>
      </c>
      <c r="LP322" s="179">
        <f>+LP132/LP311*100</f>
        <v>5.1033870967741937</v>
      </c>
      <c r="LQ322" s="179">
        <f t="shared" ref="LQ322:LS322" si="7142">+LQ132/LQ311*100</f>
        <v>4.9395959595959607</v>
      </c>
      <c r="LR322" s="179">
        <f t="shared" si="7142"/>
        <v>5.3493333333333322</v>
      </c>
      <c r="LS322" s="179">
        <f t="shared" si="7142"/>
        <v>5.1703227096413</v>
      </c>
      <c r="LT322" s="570"/>
      <c r="LU322" s="178" t="s">
        <v>287</v>
      </c>
      <c r="LV322" s="179">
        <f>+LV132/LV311*100</f>
        <v>5.4033041666666639</v>
      </c>
      <c r="LW322" s="179">
        <f>+LW132/LW311*100</f>
        <v>5.1544209677419346</v>
      </c>
      <c r="LX322" s="179">
        <f t="shared" ref="LX322:LZ322" si="7143">+LX132/LX311*100</f>
        <v>4.9642939393939391</v>
      </c>
      <c r="LY322" s="179">
        <f t="shared" si="7143"/>
        <v>5.3760799999999991</v>
      </c>
      <c r="LZ322" s="179">
        <f t="shared" si="7143"/>
        <v>5.2148293446594174</v>
      </c>
      <c r="MA322" s="570"/>
      <c r="MB322" s="178" t="s">
        <v>287</v>
      </c>
      <c r="MC322" s="179">
        <f>+MC132/MC311*100</f>
        <v>5.4303206874999974</v>
      </c>
      <c r="MD322" s="179">
        <f>+MD132/MD311*100</f>
        <v>5.1801930725806438</v>
      </c>
      <c r="ME322" s="179">
        <f t="shared" ref="ME322:MG322" si="7144">+ME132/ME311*100</f>
        <v>5.0139368787878791</v>
      </c>
      <c r="MF322" s="179">
        <f t="shared" si="7144"/>
        <v>5.4298407999999991</v>
      </c>
      <c r="MG322" s="179">
        <f t="shared" si="7144"/>
        <v>5.254212115733143</v>
      </c>
      <c r="MH322" s="570"/>
    </row>
    <row r="323" spans="1:346" s="37" customFormat="1" ht="13.15" x14ac:dyDescent="0.4">
      <c r="A323" s="100"/>
      <c r="B323" s="178" t="s">
        <v>286</v>
      </c>
      <c r="C323" s="179"/>
      <c r="D323" s="179"/>
      <c r="E323" s="179"/>
      <c r="F323" s="179"/>
      <c r="G323" s="179"/>
      <c r="H323" s="179"/>
      <c r="I323" s="179"/>
      <c r="J323" s="179" t="s">
        <v>80</v>
      </c>
      <c r="K323" s="179" t="s">
        <v>80</v>
      </c>
      <c r="L323" s="179" t="s">
        <v>80</v>
      </c>
      <c r="M323" s="179" t="s">
        <v>80</v>
      </c>
      <c r="N323" s="179" t="str">
        <f>BT323</f>
        <v>-</v>
      </c>
      <c r="O323" s="179" t="str">
        <f>CA323</f>
        <v>-</v>
      </c>
      <c r="P323" s="179" t="str">
        <f>CH323</f>
        <v>-</v>
      </c>
      <c r="Q323" s="179" t="str">
        <f>CO323</f>
        <v>-</v>
      </c>
      <c r="R323" s="179" t="str">
        <f>CV323</f>
        <v>-</v>
      </c>
      <c r="S323" s="179" t="str">
        <f>DC323</f>
        <v>-</v>
      </c>
      <c r="T323" s="179" t="str">
        <f>DJ323</f>
        <v>-</v>
      </c>
      <c r="U323" s="179" t="str">
        <f>DQ323</f>
        <v>-</v>
      </c>
      <c r="V323" s="179" t="str">
        <f>DX323</f>
        <v>-</v>
      </c>
      <c r="W323" s="179" t="str">
        <f>EE323</f>
        <v>-</v>
      </c>
      <c r="X323" s="179" t="str">
        <f>EL323</f>
        <v>-</v>
      </c>
      <c r="Y323" s="179">
        <f>ES323</f>
        <v>5.4325581395348834</v>
      </c>
      <c r="Z323" s="179">
        <f>EZ323</f>
        <v>5.4509803921568629</v>
      </c>
      <c r="AA323" s="179">
        <f>FG323</f>
        <v>5.6190476190476186</v>
      </c>
      <c r="AB323" s="179">
        <f>FN323</f>
        <v>5.8194444444444446</v>
      </c>
      <c r="AC323" s="179">
        <f>FU323</f>
        <v>5.9419642857142856</v>
      </c>
      <c r="AD323" s="179">
        <f>GB323</f>
        <v>6.5480769230769234</v>
      </c>
      <c r="AE323" s="179">
        <f>GI323</f>
        <v>6.7559808612440211</v>
      </c>
      <c r="AF323" s="179">
        <f>GP323</f>
        <v>6.9183673469387754</v>
      </c>
      <c r="AG323" s="179">
        <f>GW323</f>
        <v>7.7978723404255321</v>
      </c>
      <c r="AH323" s="179">
        <f>HD323</f>
        <v>6.9595375722543347</v>
      </c>
      <c r="AI323" s="179">
        <f>HK323</f>
        <v>6.3480392156862742</v>
      </c>
      <c r="AJ323" s="179">
        <f>HR323</f>
        <v>6.6388888888888875</v>
      </c>
      <c r="AK323" s="179">
        <f>HY323</f>
        <v>6.7542372881355925</v>
      </c>
      <c r="AL323" s="179">
        <f>IF323</f>
        <v>6.7879999999999994</v>
      </c>
      <c r="AM323" s="179">
        <f>IM323</f>
        <v>6.6051660516605146</v>
      </c>
      <c r="AN323" s="179">
        <f>IT323</f>
        <v>6.2482269503546108</v>
      </c>
      <c r="AO323" s="179">
        <f>JA323</f>
        <v>6.2086330935251803</v>
      </c>
      <c r="AP323" s="179">
        <f>JH323</f>
        <v>6.2465277777777768</v>
      </c>
      <c r="AQ323" s="179">
        <f>JO323</f>
        <v>6.5904436860068261</v>
      </c>
      <c r="AR323" s="179">
        <f>JV323</f>
        <v>6.5427509293680295</v>
      </c>
      <c r="AS323" s="179">
        <f>KC323</f>
        <v>6.0569395017793601</v>
      </c>
      <c r="AT323" s="179">
        <f>KJ323</f>
        <v>6.2063492063492074</v>
      </c>
      <c r="AU323" s="179">
        <f>KQ323</f>
        <v>7.6866666666666665</v>
      </c>
      <c r="AV323" s="179">
        <f>KX323</f>
        <v>7.2791519434628968</v>
      </c>
      <c r="AW323" s="179">
        <f>LE323</f>
        <v>7.1076388888888893</v>
      </c>
      <c r="AX323" s="179">
        <f>LL323</f>
        <v>6.9563758389261752</v>
      </c>
      <c r="AY323" s="179">
        <f>LS323</f>
        <v>7.2099205714377144</v>
      </c>
      <c r="AZ323" s="179">
        <f>LZ323</f>
        <v>7.4452424570861808</v>
      </c>
      <c r="BA323" s="179">
        <f>MG323</f>
        <v>7.6872128369414803</v>
      </c>
      <c r="BB323" s="179"/>
      <c r="BC323" s="179"/>
      <c r="BD323" s="179"/>
      <c r="BE323" s="179"/>
      <c r="BF323" s="179"/>
      <c r="BG323" s="179"/>
      <c r="BH323" s="179"/>
      <c r="BI323" s="179"/>
      <c r="BJ323" s="179"/>
      <c r="BK323" s="179"/>
      <c r="BL323" s="179"/>
      <c r="BM323" s="179"/>
      <c r="BO323" s="180" t="s">
        <v>286</v>
      </c>
      <c r="BP323" s="179" t="s">
        <v>80</v>
      </c>
      <c r="BQ323" s="179" t="s">
        <v>80</v>
      </c>
      <c r="BR323" s="179" t="s">
        <v>80</v>
      </c>
      <c r="BS323" s="179" t="s">
        <v>80</v>
      </c>
      <c r="BT323" s="179" t="s">
        <v>80</v>
      </c>
      <c r="BV323" s="180" t="s">
        <v>286</v>
      </c>
      <c r="BW323" s="179" t="s">
        <v>80</v>
      </c>
      <c r="BX323" s="179" t="s">
        <v>80</v>
      </c>
      <c r="BY323" s="179" t="s">
        <v>80</v>
      </c>
      <c r="BZ323" s="179" t="s">
        <v>80</v>
      </c>
      <c r="CA323" s="179" t="s">
        <v>80</v>
      </c>
      <c r="CC323" s="180" t="s">
        <v>286</v>
      </c>
      <c r="CD323" s="179" t="s">
        <v>80</v>
      </c>
      <c r="CE323" s="179" t="s">
        <v>80</v>
      </c>
      <c r="CF323" s="179" t="s">
        <v>80</v>
      </c>
      <c r="CG323" s="179" t="s">
        <v>80</v>
      </c>
      <c r="CH323" s="179" t="s">
        <v>80</v>
      </c>
      <c r="CJ323" s="180" t="s">
        <v>286</v>
      </c>
      <c r="CK323" s="179" t="s">
        <v>80</v>
      </c>
      <c r="CL323" s="179" t="s">
        <v>80</v>
      </c>
      <c r="CM323" s="179" t="s">
        <v>80</v>
      </c>
      <c r="CN323" s="179" t="s">
        <v>80</v>
      </c>
      <c r="CO323" s="179" t="s">
        <v>80</v>
      </c>
      <c r="CQ323" s="180" t="s">
        <v>286</v>
      </c>
      <c r="CR323" s="179" t="s">
        <v>80</v>
      </c>
      <c r="CS323" s="179" t="s">
        <v>80</v>
      </c>
      <c r="CT323" s="179" t="s">
        <v>80</v>
      </c>
      <c r="CU323" s="179" t="s">
        <v>80</v>
      </c>
      <c r="CV323" s="179" t="s">
        <v>80</v>
      </c>
      <c r="CX323" s="180" t="s">
        <v>286</v>
      </c>
      <c r="CY323" s="179" t="s">
        <v>80</v>
      </c>
      <c r="CZ323" s="179" t="s">
        <v>80</v>
      </c>
      <c r="DA323" s="179" t="s">
        <v>80</v>
      </c>
      <c r="DB323" s="179" t="s">
        <v>80</v>
      </c>
      <c r="DC323" s="179" t="s">
        <v>80</v>
      </c>
      <c r="DE323" s="180" t="s">
        <v>286</v>
      </c>
      <c r="DF323" s="179" t="s">
        <v>80</v>
      </c>
      <c r="DG323" s="179" t="s">
        <v>80</v>
      </c>
      <c r="DH323" s="179" t="s">
        <v>80</v>
      </c>
      <c r="DI323" s="179" t="s">
        <v>80</v>
      </c>
      <c r="DJ323" s="179" t="s">
        <v>80</v>
      </c>
      <c r="DL323" s="180" t="s">
        <v>286</v>
      </c>
      <c r="DM323" s="179" t="s">
        <v>80</v>
      </c>
      <c r="DN323" s="179" t="s">
        <v>80</v>
      </c>
      <c r="DO323" s="179" t="s">
        <v>80</v>
      </c>
      <c r="DP323" s="179" t="s">
        <v>80</v>
      </c>
      <c r="DQ323" s="179" t="s">
        <v>80</v>
      </c>
      <c r="DS323" s="180" t="s">
        <v>286</v>
      </c>
      <c r="DT323" s="179" t="s">
        <v>80</v>
      </c>
      <c r="DU323" s="179" t="s">
        <v>80</v>
      </c>
      <c r="DV323" s="179" t="s">
        <v>80</v>
      </c>
      <c r="DW323" s="179" t="s">
        <v>80</v>
      </c>
      <c r="DX323" s="179" t="s">
        <v>80</v>
      </c>
      <c r="DZ323" s="180" t="s">
        <v>286</v>
      </c>
      <c r="EA323" s="179" t="s">
        <v>80</v>
      </c>
      <c r="EB323" s="179" t="s">
        <v>80</v>
      </c>
      <c r="EC323" s="179" t="s">
        <v>80</v>
      </c>
      <c r="ED323" s="179" t="s">
        <v>80</v>
      </c>
      <c r="EE323" s="179" t="s">
        <v>80</v>
      </c>
      <c r="EG323" s="180" t="s">
        <v>286</v>
      </c>
      <c r="EH323" s="179" t="s">
        <v>80</v>
      </c>
      <c r="EI323" s="179" t="s">
        <v>80</v>
      </c>
      <c r="EJ323" s="179" t="s">
        <v>80</v>
      </c>
      <c r="EK323" s="179" t="s">
        <v>80</v>
      </c>
      <c r="EL323" s="179" t="s">
        <v>80</v>
      </c>
      <c r="EN323" s="180" t="s">
        <v>286</v>
      </c>
      <c r="EO323" s="179">
        <f>+EO131/EO312*100</f>
        <v>4.9655172413793105</v>
      </c>
      <c r="EP323" s="179">
        <f>+EP131/EP312*100</f>
        <v>5.290909090909091</v>
      </c>
      <c r="EQ323" s="179">
        <f>+EQ131/EQ312*100</f>
        <v>5.6470588235294121</v>
      </c>
      <c r="ER323" s="179">
        <f>+ER131/ER312*100</f>
        <v>5.9019607843137258</v>
      </c>
      <c r="ES323" s="179">
        <f>+ES131/ES312*100</f>
        <v>5.4325581395348834</v>
      </c>
      <c r="EU323" s="180" t="s">
        <v>286</v>
      </c>
      <c r="EV323" s="179">
        <f>+EV131/EV312*100</f>
        <v>5.6250000000000018</v>
      </c>
      <c r="EW323" s="179">
        <f>+EW131/EW312*100</f>
        <v>5.2115384615384617</v>
      </c>
      <c r="EX323" s="179">
        <f>+EX131/EX312*100</f>
        <v>5.4999999999999991</v>
      </c>
      <c r="EY323" s="179">
        <f>+EY131/EY312*100</f>
        <v>5.4807692307692308</v>
      </c>
      <c r="EZ323" s="179">
        <f>+EZ131/EZ312*100</f>
        <v>5.4509803921568629</v>
      </c>
      <c r="FB323" s="180" t="s">
        <v>286</v>
      </c>
      <c r="FC323" s="179">
        <f>+FC131/FC312*100</f>
        <v>5.3469387755102042</v>
      </c>
      <c r="FD323" s="179">
        <f>+FD131/FD312*100</f>
        <v>5.4814814814814818</v>
      </c>
      <c r="FE323" s="179">
        <f>+FE131/FE312*100</f>
        <v>5.7962962962962967</v>
      </c>
      <c r="FF323" s="179">
        <f>+FF131/FF312*100</f>
        <v>5.8301886792452828</v>
      </c>
      <c r="FG323" s="179">
        <f>+FG131/FG312*100</f>
        <v>5.6190476190476186</v>
      </c>
      <c r="FI323" s="180" t="s">
        <v>286</v>
      </c>
      <c r="FJ323" s="179">
        <f>+FJ131/FJ312*100</f>
        <v>5.9215686274509816</v>
      </c>
      <c r="FK323" s="179">
        <f>+FK131/FK312*100</f>
        <v>5.7090909090909099</v>
      </c>
      <c r="FL323" s="179">
        <f>+FL131/FL312*100</f>
        <v>5.7962962962962967</v>
      </c>
      <c r="FM323" s="179">
        <f>+FM131/FM312*100</f>
        <v>5.8571428571428577</v>
      </c>
      <c r="FN323" s="179">
        <f>+FN131/FN312*100</f>
        <v>5.8194444444444446</v>
      </c>
      <c r="FP323" s="180" t="s">
        <v>286</v>
      </c>
      <c r="FQ323" s="179">
        <f>+FQ131/FQ312*100</f>
        <v>5.833333333333333</v>
      </c>
      <c r="FR323" s="179">
        <f>+FR131/FR312*100</f>
        <v>5.5689655172413799</v>
      </c>
      <c r="FS323" s="179">
        <f>+FS131/FS312*100</f>
        <v>6.1923076923076925</v>
      </c>
      <c r="FT323" s="179">
        <f>+FT131/FT312*100</f>
        <v>6.1833333333333336</v>
      </c>
      <c r="FU323" s="179">
        <f>+FU131/FU312*100</f>
        <v>5.9419642857142856</v>
      </c>
      <c r="FW323" s="180" t="s">
        <v>286</v>
      </c>
      <c r="FX323" s="179">
        <f>+FX131/FX312*100</f>
        <v>6.5799999999999983</v>
      </c>
      <c r="FY323" s="179">
        <f>+FY131/FY312*100</f>
        <v>6.3461538461538458</v>
      </c>
      <c r="FZ323" s="179">
        <f>+FZ131/FZ312*100</f>
        <v>6.6078431372549025</v>
      </c>
      <c r="GA323" s="179">
        <f>+GA131/GA312*100</f>
        <v>6.6545454545454534</v>
      </c>
      <c r="GB323" s="179">
        <f>+GB131/GB312*100</f>
        <v>6.5480769230769234</v>
      </c>
      <c r="GD323" s="180" t="s">
        <v>286</v>
      </c>
      <c r="GE323" s="179">
        <f>+GE131/GE312*100</f>
        <v>6.5490196078431389</v>
      </c>
      <c r="GF323" s="179">
        <f>+GF131/GF312*100</f>
        <v>6.7169811320754711</v>
      </c>
      <c r="GG323" s="179">
        <f>+GG131/GG312*100</f>
        <v>6.7407407407407414</v>
      </c>
      <c r="GH323" s="179">
        <f>+GH131/GH312*100</f>
        <v>6.8846153846153832</v>
      </c>
      <c r="GI323" s="179">
        <f>+GI131/GI312*100</f>
        <v>6.7559808612440211</v>
      </c>
      <c r="GK323" s="180" t="s">
        <v>286</v>
      </c>
      <c r="GL323" s="179">
        <f>+GL131/GL312*100</f>
        <v>6.4897959183673475</v>
      </c>
      <c r="GM323" s="179">
        <f>+GM131/GM312*100</f>
        <v>6.7254901960784323</v>
      </c>
      <c r="GN323" s="179">
        <f>+GN131/GN312*100</f>
        <v>6.8775510204081627</v>
      </c>
      <c r="GO323" s="179">
        <f>+GO131/GO312*100</f>
        <v>7.4583333333333339</v>
      </c>
      <c r="GP323" s="179">
        <f>+GP131/GP312*100</f>
        <v>6.9183673469387754</v>
      </c>
      <c r="GR323" s="180" t="s">
        <v>286</v>
      </c>
      <c r="GS323" s="179">
        <f>+GS131/GS312*100</f>
        <v>7.5652173913043477</v>
      </c>
      <c r="GT323" s="179">
        <f>+GT131/GT312*100</f>
        <v>7.8571428571428559</v>
      </c>
      <c r="GU323" s="179">
        <f>+GU131/GU312*100</f>
        <v>8.1428571428571423</v>
      </c>
      <c r="GV323" s="179">
        <f>+GV131/GV312*100</f>
        <v>7.4222222222222216</v>
      </c>
      <c r="GW323" s="179">
        <f>+GW131/GW312*100</f>
        <v>7.7978723404255321</v>
      </c>
      <c r="GY323" s="180" t="s">
        <v>286</v>
      </c>
      <c r="GZ323" s="179">
        <f>+GZ131/GZ312*100</f>
        <v>6.1363636363636367</v>
      </c>
      <c r="HA323" s="179">
        <f>+HA131/HA312*100</f>
        <v>6.9285714285714288</v>
      </c>
      <c r="HB323" s="179">
        <f>+HB131/HB312*100</f>
        <v>6.8863636363636367</v>
      </c>
      <c r="HC323" s="179">
        <f>+HC131/HC312*100</f>
        <v>7.2340425531914887</v>
      </c>
      <c r="HD323" s="179">
        <f>+HD131/HD312*100</f>
        <v>6.9595375722543347</v>
      </c>
      <c r="HF323" s="180" t="s">
        <v>286</v>
      </c>
      <c r="HG323" s="179">
        <f>+HG131/HG312*100</f>
        <v>7.1777777777777771</v>
      </c>
      <c r="HH323" s="179">
        <f>+HH131/HH312*100</f>
        <v>5.8461538461538467</v>
      </c>
      <c r="HI323" s="179">
        <f>+HI131/HI312*100</f>
        <v>6.115384615384615</v>
      </c>
      <c r="HJ323" s="179">
        <f>+HJ131/HJ312*100</f>
        <v>6.2500000000000018</v>
      </c>
      <c r="HK323" s="179">
        <f>+HK131/HK312*100</f>
        <v>6.3480392156862742</v>
      </c>
      <c r="HM323" s="180" t="s">
        <v>286</v>
      </c>
      <c r="HN323" s="179">
        <f>+HN131/HN312*100</f>
        <v>6.2884615384615383</v>
      </c>
      <c r="HO323" s="179">
        <f>+HO131/HO312*100</f>
        <v>6.5892857142857153</v>
      </c>
      <c r="HP323" s="179">
        <f>+HP131/HP312*100</f>
        <v>6.8490566037735858</v>
      </c>
      <c r="HQ323" s="179">
        <f>+HQ131/HQ312*100</f>
        <v>6.8181818181818175</v>
      </c>
      <c r="HR323" s="179">
        <f>+HR131/HR312*100</f>
        <v>6.6388888888888875</v>
      </c>
      <c r="HT323" s="180" t="s">
        <v>286</v>
      </c>
      <c r="HU323" s="179">
        <f>+HU131/HU312*100</f>
        <v>6.706896551724137</v>
      </c>
      <c r="HV323" s="179">
        <f>+HV131/HV312*100</f>
        <v>6.6885245901639356</v>
      </c>
      <c r="HW323" s="179">
        <f>+HW131/HW312*100</f>
        <v>6.6499999999999986</v>
      </c>
      <c r="HX323" s="179">
        <f>+HX131/HX312*100</f>
        <v>6.8620689655172411</v>
      </c>
      <c r="HY323" s="179">
        <f>+HY131/HY312*100</f>
        <v>6.7542372881355925</v>
      </c>
      <c r="IA323" s="180" t="s">
        <v>286</v>
      </c>
      <c r="IB323" s="179">
        <f>+IB131/IB312*100</f>
        <v>6.8474576271186427</v>
      </c>
      <c r="IC323" s="179">
        <f>+IC131/IC312*100</f>
        <v>6.7460317460317469</v>
      </c>
      <c r="ID323" s="179">
        <f>+ID131/ID312*100</f>
        <v>6.7343750000000009</v>
      </c>
      <c r="IE323" s="179">
        <f>+IE131/IE312*100</f>
        <v>6.8281249999999991</v>
      </c>
      <c r="IF323" s="179">
        <f>+IF131/IF312*100</f>
        <v>6.7879999999999994</v>
      </c>
      <c r="IH323" s="180" t="s">
        <v>286</v>
      </c>
      <c r="II323" s="179">
        <f>+II131/II312*100</f>
        <v>6.578125</v>
      </c>
      <c r="IJ323" s="179">
        <f>+IJ131/IJ312*100</f>
        <v>6.5072463768115947</v>
      </c>
      <c r="IK323" s="179">
        <f>+IK131/IK312*100</f>
        <v>6.6911764705882355</v>
      </c>
      <c r="IL323" s="179">
        <f>+IL131/IL312*100</f>
        <v>6.6428571428571432</v>
      </c>
      <c r="IM323" s="179">
        <f>+IM131/IM312*100</f>
        <v>6.6051660516605146</v>
      </c>
      <c r="IO323" s="180" t="s">
        <v>286</v>
      </c>
      <c r="IP323" s="179">
        <f>+IP131/IP312*100</f>
        <v>6.1940298507462686</v>
      </c>
      <c r="IQ323" s="179">
        <f>+IQ131/IQ312*100</f>
        <v>6.0810810810810807</v>
      </c>
      <c r="IR323" s="179">
        <f>+IR131/IR312*100</f>
        <v>6.3521126760563389</v>
      </c>
      <c r="IS323" s="179">
        <f>+IS131/IS312*100</f>
        <v>6.28169014084507</v>
      </c>
      <c r="IT323" s="179">
        <f>+IT131/IT312*100</f>
        <v>6.2482269503546108</v>
      </c>
      <c r="IV323" s="180" t="s">
        <v>286</v>
      </c>
      <c r="IW323" s="179">
        <f>+IW131/IW312*100</f>
        <v>6.1363636363636376</v>
      </c>
      <c r="IX323" s="179">
        <f>+IX131/IX312*100</f>
        <v>6.0724637681159415</v>
      </c>
      <c r="IY323" s="179">
        <f>+IY131/IY312*100</f>
        <v>6.3432835820895512</v>
      </c>
      <c r="IZ323" s="179">
        <f>+IZ131/IZ312*100</f>
        <v>6.276315789473685</v>
      </c>
      <c r="JA323" s="179">
        <f>+JA131/JA312*100</f>
        <v>6.2086330935251803</v>
      </c>
      <c r="JC323" s="180" t="s">
        <v>286</v>
      </c>
      <c r="JD323" s="179">
        <f>+JD131/JD312*100</f>
        <v>6.2</v>
      </c>
      <c r="JE323" s="179">
        <f>+JE131/JE312*100</f>
        <v>6.1369863013698636</v>
      </c>
      <c r="JF323" s="179">
        <f>+JF131/JF312*100</f>
        <v>6.1944444444444438</v>
      </c>
      <c r="JG323" s="179">
        <f>+JG131/JG312*100</f>
        <v>6.4520547945205484</v>
      </c>
      <c r="JH323" s="179">
        <f>+JH131/JH312*100</f>
        <v>6.2465277777777768</v>
      </c>
      <c r="JJ323" s="180" t="s">
        <v>286</v>
      </c>
      <c r="JK323" s="179">
        <f>+JK131/JK312*100</f>
        <v>6.3239436619718301</v>
      </c>
      <c r="JL323" s="179">
        <f>+JL131/JL312*100</f>
        <v>6.3636363636363642</v>
      </c>
      <c r="JM323" s="179">
        <f>+JM131/JM312*100</f>
        <v>6.8493150684931505</v>
      </c>
      <c r="JN323" s="179">
        <f>+JN131/JN312*100</f>
        <v>6.7397260273972579</v>
      </c>
      <c r="JO323" s="179">
        <f>+JO131/JO312*100</f>
        <v>6.5904436860068261</v>
      </c>
      <c r="JQ323" s="180" t="s">
        <v>286</v>
      </c>
      <c r="JR323" s="179">
        <f>+JR131/JR312*100</f>
        <v>6.5846153846153861</v>
      </c>
      <c r="JS323" s="179">
        <f>+JS131/JS312*100</f>
        <v>6.4117647058823533</v>
      </c>
      <c r="JT323" s="179">
        <f>+JT131/JT312*100</f>
        <v>6.6716417910447756</v>
      </c>
      <c r="JU323" s="179">
        <f>+JU131/JU312*100</f>
        <v>6.5072463768115947</v>
      </c>
      <c r="JV323" s="179">
        <f>+JV131/JV312*100</f>
        <v>6.5427509293680295</v>
      </c>
      <c r="JX323" s="180" t="s">
        <v>286</v>
      </c>
      <c r="JY323" s="179">
        <f>+JY131/JY312*100</f>
        <v>6.2058823529411757</v>
      </c>
      <c r="JZ323" s="179">
        <f>+JZ131/JZ312*100</f>
        <v>5.8852459016393448</v>
      </c>
      <c r="KA323" s="179">
        <f>+KA131/KA312*100</f>
        <v>6.013513513513514</v>
      </c>
      <c r="KB323" s="179">
        <f>+KB131/KB312*100</f>
        <v>6.1025641025641022</v>
      </c>
      <c r="KC323" s="179">
        <f>+KC131/KC312*100</f>
        <v>6.0569395017793601</v>
      </c>
      <c r="KE323" s="180" t="s">
        <v>286</v>
      </c>
      <c r="KF323" s="179">
        <f>+KF131/KF312*100</f>
        <v>4.9870129870129878</v>
      </c>
      <c r="KG323" s="179">
        <f>+KG131/KG312*100</f>
        <v>6.3086419753086416</v>
      </c>
      <c r="KH323" s="179">
        <f>+KH131/KH312*100</f>
        <v>6.5256410256410273</v>
      </c>
      <c r="KI323" s="179">
        <f>+KI131/KI312*100</f>
        <v>6.9746835443037964</v>
      </c>
      <c r="KJ323" s="179">
        <f>+KJ131/KJ312*100</f>
        <v>6.2063492063492074</v>
      </c>
      <c r="KL323" s="180" t="s">
        <v>286</v>
      </c>
      <c r="KM323" s="179">
        <f>+KM131/KM312*100</f>
        <v>6.9342105263157903</v>
      </c>
      <c r="KN323" s="179">
        <f>+KN131/KN312*100</f>
        <v>7.8181818181818175</v>
      </c>
      <c r="KO323" s="179">
        <f>+KO131/KO312*100</f>
        <v>7.947368421052631</v>
      </c>
      <c r="KP323" s="179">
        <f>+KP131/KP312*100</f>
        <v>8.0704225352112662</v>
      </c>
      <c r="KQ323" s="179">
        <f>+KQ131/KQ312*100</f>
        <v>7.6866666666666665</v>
      </c>
      <c r="KS323" s="180" t="s">
        <v>286</v>
      </c>
      <c r="KT323" s="179">
        <f>+KT131/KT312*100</f>
        <v>7.2318840579710146</v>
      </c>
      <c r="KU323" s="179">
        <f>+KU131/KU312*100</f>
        <v>7.0285714285714285</v>
      </c>
      <c r="KV323" s="179">
        <f>+KV131/KV312*100</f>
        <v>7.2816901408450718</v>
      </c>
      <c r="KW323" s="179">
        <f>+KW131/KW312*100</f>
        <v>7.5616438356164402</v>
      </c>
      <c r="KX323" s="179">
        <f>+KX131/KX312*100</f>
        <v>7.2791519434628968</v>
      </c>
      <c r="KZ323" s="180" t="s">
        <v>286</v>
      </c>
      <c r="LA323" s="179">
        <f>+LA131/LA312*100</f>
        <v>7.1267605633802811</v>
      </c>
      <c r="LB323" s="179">
        <f>+LB131/LB312*100</f>
        <v>7.0307222222222228</v>
      </c>
      <c r="LC323" s="179">
        <f t="shared" ref="LC323:LE323" si="7145">+LC131/LC312*100</f>
        <v>7.0668055555555558</v>
      </c>
      <c r="LD323" s="179">
        <f t="shared" si="7145"/>
        <v>7.2045205479452052</v>
      </c>
      <c r="LE323" s="179">
        <f t="shared" si="7145"/>
        <v>7.1076388888888893</v>
      </c>
      <c r="LF323" s="570"/>
      <c r="LG323" s="180" t="s">
        <v>286</v>
      </c>
      <c r="LH323" s="179">
        <f>+LH131/LH312*100</f>
        <v>6.9482253521126758</v>
      </c>
      <c r="LI323" s="179">
        <f>+LI131/LI312*100</f>
        <v>6.5512799999999993</v>
      </c>
      <c r="LJ323" s="179">
        <f>+LJ131/LJ312*100</f>
        <v>6.8421818181818166</v>
      </c>
      <c r="LK323" s="179">
        <f t="shared" ref="LK323:LL323" si="7146">+LK131/LK312*100</f>
        <v>7.4967733333333326</v>
      </c>
      <c r="LL323" s="179">
        <f t="shared" si="7146"/>
        <v>6.9563758389261752</v>
      </c>
      <c r="LM323" s="570"/>
      <c r="LN323" s="180" t="s">
        <v>286</v>
      </c>
      <c r="LO323" s="179">
        <f>+LO131/LO312*100</f>
        <v>7.1172535211267594</v>
      </c>
      <c r="LP323" s="179">
        <f>+LP131/LP312*100</f>
        <v>6.8085333333333313</v>
      </c>
      <c r="LQ323" s="179">
        <f t="shared" ref="LQ323:LS323" si="7147">+LQ131/LQ312*100</f>
        <v>7.1179220779220786</v>
      </c>
      <c r="LR323" s="179">
        <f t="shared" si="7147"/>
        <v>7.7930666666666664</v>
      </c>
      <c r="LS323" s="179">
        <f t="shared" si="7147"/>
        <v>7.2099205714377144</v>
      </c>
      <c r="LT323" s="570"/>
      <c r="LU323" s="178" t="s">
        <v>286</v>
      </c>
      <c r="LV323" s="179">
        <f>+LV131/LV312*100</f>
        <v>7.3307711267605615</v>
      </c>
      <c r="LW323" s="179">
        <f>+LW131/LW312*100</f>
        <v>7.0127893333333331</v>
      </c>
      <c r="LX323" s="179">
        <f t="shared" ref="LX323:LZ323" si="7148">+LX131/LX312*100</f>
        <v>7.367049350649352</v>
      </c>
      <c r="LY323" s="179">
        <f t="shared" si="7148"/>
        <v>8.0658239999999992</v>
      </c>
      <c r="LZ323" s="179">
        <f t="shared" si="7148"/>
        <v>7.4452424570861808</v>
      </c>
      <c r="MA323" s="570"/>
      <c r="MB323" s="178" t="s">
        <v>286</v>
      </c>
      <c r="MC323" s="179">
        <f>+MC131/MC312*100</f>
        <v>7.5690211883802805</v>
      </c>
      <c r="MD323" s="179">
        <f>+MD131/MD312*100</f>
        <v>7.2407049866666657</v>
      </c>
      <c r="ME323" s="179">
        <f t="shared" ref="ME323:MG323" si="7149">+ME131/ME312*100</f>
        <v>7.6064784545454538</v>
      </c>
      <c r="MF323" s="179">
        <f t="shared" si="7149"/>
        <v>8.3279632799999987</v>
      </c>
      <c r="MG323" s="179">
        <f t="shared" si="7149"/>
        <v>7.6872128369414803</v>
      </c>
      <c r="MH323" s="570"/>
    </row>
    <row r="324" spans="1:346" s="37" customFormat="1" ht="13.15" x14ac:dyDescent="0.4">
      <c r="A324" s="100"/>
      <c r="B324" s="178"/>
      <c r="C324" s="179"/>
      <c r="D324" s="179"/>
      <c r="E324" s="179"/>
      <c r="F324" s="179"/>
      <c r="G324" s="179"/>
      <c r="H324" s="179"/>
      <c r="I324" s="179"/>
      <c r="J324" s="179"/>
      <c r="K324" s="179"/>
      <c r="L324" s="179"/>
      <c r="M324" s="179"/>
      <c r="N324" s="179"/>
      <c r="O324" s="179"/>
      <c r="P324" s="179"/>
      <c r="Q324" s="179"/>
      <c r="R324" s="179"/>
      <c r="S324" s="179"/>
      <c r="T324" s="179"/>
      <c r="U324" s="179"/>
      <c r="V324" s="179"/>
      <c r="W324" s="179"/>
      <c r="X324" s="179"/>
      <c r="Y324" s="179"/>
      <c r="Z324" s="179"/>
      <c r="AA324" s="179"/>
      <c r="AB324" s="179"/>
      <c r="AC324" s="179"/>
      <c r="AD324" s="179"/>
      <c r="AE324" s="179"/>
      <c r="AF324" s="179"/>
      <c r="AG324" s="179"/>
      <c r="AH324" s="179"/>
      <c r="AI324" s="179"/>
      <c r="AJ324" s="179"/>
      <c r="AK324" s="179"/>
      <c r="AL324" s="179"/>
      <c r="AM324" s="179"/>
      <c r="AN324" s="179"/>
      <c r="AO324" s="179"/>
      <c r="AP324" s="179"/>
      <c r="AQ324" s="179"/>
      <c r="AR324" s="179"/>
      <c r="AS324" s="179"/>
      <c r="AT324" s="179"/>
      <c r="AU324" s="179"/>
      <c r="AV324" s="179"/>
      <c r="AW324" s="179"/>
      <c r="AX324" s="179"/>
      <c r="AY324" s="179"/>
      <c r="AZ324" s="179"/>
      <c r="BA324" s="179"/>
      <c r="BB324" s="179"/>
      <c r="BC324" s="179"/>
      <c r="BD324" s="179"/>
      <c r="BE324" s="179"/>
      <c r="BF324" s="179"/>
      <c r="BG324" s="179"/>
      <c r="BH324" s="179"/>
      <c r="BI324" s="179"/>
      <c r="BJ324" s="179"/>
      <c r="BK324" s="179"/>
      <c r="BL324" s="179"/>
      <c r="BM324" s="179"/>
      <c r="BO324" s="180"/>
      <c r="BP324" s="179"/>
      <c r="BQ324" s="179"/>
      <c r="BR324" s="179"/>
      <c r="BS324" s="179"/>
      <c r="BT324" s="179"/>
      <c r="BV324" s="180"/>
      <c r="BW324" s="179"/>
      <c r="BX324" s="179"/>
      <c r="BY324" s="179"/>
      <c r="BZ324" s="179"/>
      <c r="CA324" s="179"/>
      <c r="CC324" s="180"/>
      <c r="CD324" s="179"/>
      <c r="CE324" s="179"/>
      <c r="CF324" s="179"/>
      <c r="CG324" s="179"/>
      <c r="CH324" s="179"/>
      <c r="CJ324" s="180"/>
      <c r="CK324" s="179"/>
      <c r="CL324" s="179"/>
      <c r="CM324" s="179"/>
      <c r="CN324" s="179"/>
      <c r="CO324" s="179"/>
      <c r="CQ324" s="180"/>
      <c r="CR324" s="179"/>
      <c r="CS324" s="179"/>
      <c r="CT324" s="179"/>
      <c r="CU324" s="179"/>
      <c r="CV324" s="179"/>
      <c r="CX324" s="180"/>
      <c r="CY324" s="179"/>
      <c r="CZ324" s="179"/>
      <c r="DA324" s="179"/>
      <c r="DB324" s="179"/>
      <c r="DC324" s="179"/>
      <c r="DE324" s="180"/>
      <c r="DF324" s="179"/>
      <c r="DG324" s="179"/>
      <c r="DH324" s="179"/>
      <c r="DI324" s="179"/>
      <c r="DJ324" s="179"/>
      <c r="DL324" s="180"/>
      <c r="DM324" s="179"/>
      <c r="DN324" s="179"/>
      <c r="DO324" s="179"/>
      <c r="DP324" s="179"/>
      <c r="DQ324" s="179"/>
      <c r="DS324" s="180"/>
      <c r="DT324" s="179"/>
      <c r="DU324" s="179"/>
      <c r="DV324" s="179"/>
      <c r="DW324" s="179"/>
      <c r="DX324" s="179"/>
      <c r="DZ324" s="180"/>
      <c r="EA324" s="179"/>
      <c r="EB324" s="179"/>
      <c r="EC324" s="179"/>
      <c r="ED324" s="179"/>
      <c r="EE324" s="179"/>
      <c r="EG324" s="180"/>
      <c r="EH324" s="179"/>
      <c r="EI324" s="179"/>
      <c r="EJ324" s="179"/>
      <c r="EK324" s="179"/>
      <c r="EL324" s="179"/>
      <c r="EN324" s="180"/>
      <c r="EO324" s="179"/>
      <c r="EP324" s="179"/>
      <c r="EQ324" s="179"/>
      <c r="ER324" s="179"/>
      <c r="ES324" s="179"/>
      <c r="EU324" s="180"/>
      <c r="EV324" s="179"/>
      <c r="EW324" s="179"/>
      <c r="EX324" s="179"/>
      <c r="EY324" s="179"/>
      <c r="EZ324" s="179"/>
      <c r="FB324" s="180"/>
      <c r="FC324" s="179"/>
      <c r="FD324" s="179"/>
      <c r="FE324" s="179"/>
      <c r="FF324" s="179"/>
      <c r="FG324" s="179"/>
      <c r="FI324" s="180"/>
      <c r="FJ324" s="179"/>
      <c r="FK324" s="179"/>
      <c r="FL324" s="179"/>
      <c r="FM324" s="179"/>
      <c r="FN324" s="179"/>
      <c r="FP324" s="180"/>
      <c r="FQ324" s="179"/>
      <c r="FR324" s="179"/>
      <c r="FS324" s="179"/>
      <c r="FT324" s="179"/>
      <c r="FU324" s="179"/>
      <c r="FW324" s="180"/>
      <c r="FX324" s="179"/>
      <c r="FY324" s="179"/>
      <c r="FZ324" s="179"/>
      <c r="GA324" s="179"/>
      <c r="GB324" s="179"/>
      <c r="GD324" s="180"/>
      <c r="GE324" s="179"/>
      <c r="GF324" s="179"/>
      <c r="GG324" s="179"/>
      <c r="GH324" s="179"/>
      <c r="GI324" s="179"/>
      <c r="GK324" s="180"/>
      <c r="GL324" s="179"/>
      <c r="GM324" s="179"/>
      <c r="GN324" s="179"/>
      <c r="GO324" s="179"/>
      <c r="GP324" s="179"/>
      <c r="GR324" s="180"/>
      <c r="GS324" s="179"/>
      <c r="GT324" s="179"/>
      <c r="GU324" s="179"/>
      <c r="GV324" s="179"/>
      <c r="GW324" s="179"/>
      <c r="GY324" s="180"/>
      <c r="GZ324" s="179"/>
      <c r="HA324" s="179"/>
      <c r="HB324" s="179"/>
      <c r="HC324" s="179"/>
      <c r="HD324" s="179"/>
      <c r="HF324" s="180"/>
      <c r="HG324" s="179"/>
      <c r="HH324" s="179"/>
      <c r="HI324" s="179"/>
      <c r="HJ324" s="179"/>
      <c r="HK324" s="179"/>
      <c r="HM324" s="180"/>
      <c r="HN324" s="179"/>
      <c r="HO324" s="179"/>
      <c r="HP324" s="179"/>
      <c r="HQ324" s="179"/>
      <c r="HR324" s="179"/>
      <c r="HT324" s="180"/>
      <c r="HU324" s="179"/>
      <c r="HV324" s="179"/>
      <c r="HW324" s="179"/>
      <c r="HX324" s="179"/>
      <c r="HY324" s="179"/>
      <c r="IA324" s="180"/>
      <c r="IB324" s="179"/>
      <c r="IC324" s="179"/>
      <c r="ID324" s="179"/>
      <c r="IE324" s="179"/>
      <c r="IF324" s="179"/>
      <c r="IH324" s="180"/>
      <c r="II324" s="179"/>
      <c r="IJ324" s="179"/>
      <c r="IK324" s="179"/>
      <c r="IL324" s="179"/>
      <c r="IM324" s="179"/>
      <c r="IO324" s="180"/>
      <c r="IP324" s="179"/>
      <c r="IQ324" s="179"/>
      <c r="IR324" s="179"/>
      <c r="IS324" s="179"/>
      <c r="IT324" s="179"/>
      <c r="IV324" s="180"/>
      <c r="IW324" s="179"/>
      <c r="IX324" s="179"/>
      <c r="IY324" s="179"/>
      <c r="IZ324" s="179"/>
      <c r="JA324" s="179"/>
      <c r="JC324" s="180"/>
      <c r="JD324" s="179"/>
      <c r="JE324" s="179"/>
      <c r="JF324" s="179"/>
      <c r="JG324" s="179"/>
      <c r="JH324" s="179"/>
      <c r="JJ324" s="180"/>
      <c r="JK324" s="179"/>
      <c r="JL324" s="179"/>
      <c r="JM324" s="179"/>
      <c r="JN324" s="179"/>
      <c r="JO324" s="179"/>
      <c r="JQ324" s="180"/>
      <c r="JR324" s="179"/>
      <c r="JS324" s="179"/>
      <c r="JT324" s="179"/>
      <c r="JU324" s="179"/>
      <c r="JV324" s="179"/>
      <c r="JX324" s="180"/>
      <c r="JY324" s="179"/>
      <c r="JZ324" s="179"/>
      <c r="KA324" s="179"/>
      <c r="KB324" s="179"/>
      <c r="KC324" s="179"/>
      <c r="KE324" s="180"/>
      <c r="KF324" s="179"/>
      <c r="KG324" s="179"/>
      <c r="KH324" s="179"/>
      <c r="KI324" s="179"/>
      <c r="KJ324" s="179"/>
      <c r="KL324" s="180"/>
      <c r="KM324" s="179"/>
      <c r="KN324" s="179"/>
      <c r="KO324" s="179"/>
      <c r="KP324" s="179"/>
      <c r="KQ324" s="179"/>
      <c r="KS324" s="180"/>
      <c r="KT324" s="179"/>
      <c r="KU324" s="179"/>
      <c r="KV324" s="179"/>
      <c r="KW324" s="179"/>
      <c r="KX324" s="179"/>
      <c r="KZ324" s="180"/>
      <c r="LA324" s="179"/>
      <c r="LB324" s="179"/>
      <c r="LC324" s="179"/>
      <c r="LD324" s="179"/>
      <c r="LE324" s="179"/>
      <c r="LF324" s="570"/>
      <c r="LG324" s="180"/>
      <c r="LH324" s="179"/>
      <c r="LI324" s="179"/>
      <c r="LJ324" s="179"/>
      <c r="LK324" s="179"/>
      <c r="LL324" s="179"/>
      <c r="LM324" s="570"/>
      <c r="LN324" s="180"/>
      <c r="LO324" s="179"/>
      <c r="LP324" s="179"/>
      <c r="LQ324" s="179"/>
      <c r="LR324" s="179"/>
      <c r="LS324" s="179"/>
      <c r="LT324" s="570"/>
      <c r="LU324" s="178"/>
      <c r="LV324" s="179"/>
      <c r="LW324" s="179"/>
      <c r="LX324" s="179"/>
      <c r="LY324" s="179"/>
      <c r="LZ324" s="179"/>
      <c r="MA324" s="570"/>
      <c r="MB324" s="178"/>
      <c r="MC324" s="179"/>
      <c r="MD324" s="179"/>
      <c r="ME324" s="179"/>
      <c r="MF324" s="179"/>
      <c r="MG324" s="179"/>
      <c r="MH324" s="570"/>
    </row>
    <row r="325" spans="1:346" s="37" customFormat="1" ht="13.15" x14ac:dyDescent="0.4">
      <c r="A325" s="100"/>
      <c r="B325" s="177" t="s">
        <v>439</v>
      </c>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c r="AB325" s="155"/>
      <c r="AC325" s="155"/>
      <c r="AD325" s="155"/>
      <c r="AE325" s="155"/>
      <c r="AF325" s="155"/>
      <c r="AG325" s="155"/>
      <c r="AH325" s="155"/>
      <c r="AI325" s="155"/>
      <c r="AJ325" s="155"/>
      <c r="AK325" s="155"/>
      <c r="AL325" s="155"/>
      <c r="AM325" s="155"/>
      <c r="AN325" s="155"/>
      <c r="AO325" s="155"/>
      <c r="AP325" s="155"/>
      <c r="AQ325" s="155"/>
      <c r="AR325" s="155"/>
      <c r="AS325" s="155"/>
      <c r="AT325" s="155"/>
      <c r="AU325" s="155"/>
      <c r="AV325" s="155"/>
      <c r="AW325" s="155"/>
      <c r="AX325" s="155"/>
      <c r="AY325" s="155"/>
      <c r="AZ325" s="155"/>
      <c r="BA325" s="155"/>
      <c r="BB325" s="155"/>
      <c r="BC325" s="155"/>
      <c r="BD325" s="155"/>
      <c r="BE325" s="155"/>
      <c r="BF325" s="155"/>
      <c r="BG325" s="155"/>
      <c r="BH325" s="155"/>
      <c r="BI325" s="155"/>
      <c r="BJ325" s="155"/>
      <c r="BK325" s="155"/>
      <c r="BL325" s="155"/>
      <c r="BM325" s="155"/>
      <c r="BO325" s="177" t="s">
        <v>439</v>
      </c>
      <c r="BP325" s="155"/>
      <c r="BQ325" s="155"/>
      <c r="BR325" s="155"/>
      <c r="BS325" s="155"/>
      <c r="BT325" s="155"/>
      <c r="BV325" s="177" t="s">
        <v>439</v>
      </c>
      <c r="BW325" s="155"/>
      <c r="BX325" s="155"/>
      <c r="BY325" s="155"/>
      <c r="BZ325" s="155"/>
      <c r="CA325" s="155"/>
      <c r="CC325" s="177" t="s">
        <v>439</v>
      </c>
      <c r="CD325" s="155"/>
      <c r="CE325" s="155"/>
      <c r="CF325" s="155"/>
      <c r="CG325" s="155"/>
      <c r="CH325" s="155"/>
      <c r="CJ325" s="177" t="s">
        <v>439</v>
      </c>
      <c r="CK325" s="155"/>
      <c r="CL325" s="155"/>
      <c r="CM325" s="155"/>
      <c r="CN325" s="155"/>
      <c r="CO325" s="155"/>
      <c r="CQ325" s="177" t="s">
        <v>439</v>
      </c>
      <c r="CR325" s="155"/>
      <c r="CS325" s="155"/>
      <c r="CT325" s="155"/>
      <c r="CU325" s="155"/>
      <c r="CV325" s="155"/>
      <c r="CX325" s="177" t="s">
        <v>439</v>
      </c>
      <c r="CY325" s="155"/>
      <c r="CZ325" s="155"/>
      <c r="DA325" s="155"/>
      <c r="DB325" s="155"/>
      <c r="DC325" s="155"/>
      <c r="DE325" s="177" t="s">
        <v>439</v>
      </c>
      <c r="DF325" s="155"/>
      <c r="DG325" s="155"/>
      <c r="DH325" s="155"/>
      <c r="DI325" s="155"/>
      <c r="DJ325" s="155"/>
      <c r="DL325" s="177" t="s">
        <v>439</v>
      </c>
      <c r="DM325" s="155"/>
      <c r="DN325" s="155"/>
      <c r="DO325" s="155"/>
      <c r="DP325" s="155"/>
      <c r="DQ325" s="155"/>
      <c r="DS325" s="177" t="s">
        <v>439</v>
      </c>
      <c r="DT325" s="155"/>
      <c r="DU325" s="155"/>
      <c r="DV325" s="155"/>
      <c r="DW325" s="155"/>
      <c r="DX325" s="155"/>
      <c r="DZ325" s="177" t="s">
        <v>439</v>
      </c>
      <c r="EA325" s="155"/>
      <c r="EB325" s="155"/>
      <c r="EC325" s="155"/>
      <c r="ED325" s="155"/>
      <c r="EE325" s="155"/>
      <c r="EG325" s="177" t="s">
        <v>439</v>
      </c>
      <c r="EH325" s="155"/>
      <c r="EI325" s="155"/>
      <c r="EJ325" s="155"/>
      <c r="EK325" s="155"/>
      <c r="EL325" s="155"/>
      <c r="EN325" s="177" t="s">
        <v>439</v>
      </c>
      <c r="EO325" s="155"/>
      <c r="EP325" s="155"/>
      <c r="EQ325" s="155"/>
      <c r="ER325" s="155"/>
      <c r="ES325" s="155"/>
      <c r="EU325" s="177" t="s">
        <v>439</v>
      </c>
      <c r="EV325" s="155"/>
      <c r="EW325" s="155"/>
      <c r="EX325" s="155"/>
      <c r="EY325" s="155"/>
      <c r="EZ325" s="155"/>
      <c r="FB325" s="177" t="s">
        <v>439</v>
      </c>
      <c r="FC325" s="155"/>
      <c r="FD325" s="155"/>
      <c r="FE325" s="155"/>
      <c r="FF325" s="155"/>
      <c r="FG325" s="155"/>
      <c r="FI325" s="177" t="s">
        <v>439</v>
      </c>
      <c r="FJ325" s="155"/>
      <c r="FK325" s="155"/>
      <c r="FL325" s="155"/>
      <c r="FM325" s="155"/>
      <c r="FN325" s="155"/>
      <c r="FP325" s="177" t="s">
        <v>439</v>
      </c>
      <c r="FQ325" s="155"/>
      <c r="FR325" s="155"/>
      <c r="FS325" s="155"/>
      <c r="FT325" s="155"/>
      <c r="FU325" s="155"/>
      <c r="FW325" s="177" t="s">
        <v>439</v>
      </c>
      <c r="FX325" s="155"/>
      <c r="FY325" s="155"/>
      <c r="FZ325" s="155"/>
      <c r="GA325" s="155"/>
      <c r="GB325" s="155"/>
      <c r="GD325" s="177" t="s">
        <v>439</v>
      </c>
      <c r="GE325" s="155"/>
      <c r="GF325" s="155"/>
      <c r="GG325" s="155"/>
      <c r="GH325" s="155"/>
      <c r="GI325" s="155"/>
      <c r="GK325" s="177" t="s">
        <v>439</v>
      </c>
      <c r="GL325" s="155"/>
      <c r="GM325" s="155"/>
      <c r="GN325" s="155"/>
      <c r="GO325" s="155"/>
      <c r="GP325" s="155"/>
      <c r="GR325" s="177" t="s">
        <v>439</v>
      </c>
      <c r="GS325" s="155"/>
      <c r="GT325" s="155"/>
      <c r="GU325" s="155"/>
      <c r="GV325" s="155"/>
      <c r="GW325" s="155"/>
      <c r="GY325" s="177" t="s">
        <v>439</v>
      </c>
      <c r="GZ325" s="155"/>
      <c r="HA325" s="155"/>
      <c r="HB325" s="155"/>
      <c r="HC325" s="155"/>
      <c r="HD325" s="155"/>
      <c r="HF325" s="177" t="s">
        <v>439</v>
      </c>
      <c r="HG325" s="155"/>
      <c r="HH325" s="155"/>
      <c r="HI325" s="155"/>
      <c r="HJ325" s="155"/>
      <c r="HK325" s="155"/>
      <c r="HM325" s="177" t="s">
        <v>439</v>
      </c>
      <c r="HN325" s="155"/>
      <c r="HO325" s="155"/>
      <c r="HP325" s="155"/>
      <c r="HQ325" s="155"/>
      <c r="HR325" s="155"/>
      <c r="HT325" s="177" t="s">
        <v>439</v>
      </c>
      <c r="HU325" s="155"/>
      <c r="HV325" s="155"/>
      <c r="HW325" s="155"/>
      <c r="HX325" s="155"/>
      <c r="HY325" s="155"/>
      <c r="IA325" s="177" t="s">
        <v>439</v>
      </c>
      <c r="IB325" s="155"/>
      <c r="IC325" s="155"/>
      <c r="ID325" s="155"/>
      <c r="IE325" s="155"/>
      <c r="IF325" s="155"/>
      <c r="IH325" s="177" t="s">
        <v>439</v>
      </c>
      <c r="II325" s="155"/>
      <c r="IJ325" s="155"/>
      <c r="IK325" s="155"/>
      <c r="IL325" s="155"/>
      <c r="IM325" s="155"/>
      <c r="IO325" s="177" t="s">
        <v>439</v>
      </c>
      <c r="IP325" s="155"/>
      <c r="IQ325" s="155"/>
      <c r="IR325" s="155"/>
      <c r="IS325" s="155"/>
      <c r="IT325" s="155"/>
      <c r="IV325" s="177" t="s">
        <v>439</v>
      </c>
      <c r="IW325" s="155"/>
      <c r="IX325" s="155"/>
      <c r="IY325" s="155"/>
      <c r="IZ325" s="155"/>
      <c r="JA325" s="155"/>
      <c r="JC325" s="177" t="s">
        <v>439</v>
      </c>
      <c r="JD325" s="155"/>
      <c r="JE325" s="155"/>
      <c r="JF325" s="155"/>
      <c r="JG325" s="155"/>
      <c r="JH325" s="155"/>
      <c r="JJ325" s="177" t="s">
        <v>439</v>
      </c>
      <c r="JK325" s="155"/>
      <c r="JL325" s="155"/>
      <c r="JM325" s="155"/>
      <c r="JN325" s="155"/>
      <c r="JO325" s="155"/>
      <c r="JQ325" s="177" t="s">
        <v>439</v>
      </c>
      <c r="JR325" s="155"/>
      <c r="JS325" s="155"/>
      <c r="JT325" s="155"/>
      <c r="JU325" s="155"/>
      <c r="JV325" s="155"/>
      <c r="JX325" s="177" t="s">
        <v>439</v>
      </c>
      <c r="JY325" s="155"/>
      <c r="JZ325" s="155"/>
      <c r="KA325" s="155"/>
      <c r="KB325" s="155"/>
      <c r="KC325" s="155"/>
      <c r="KE325" s="177" t="s">
        <v>439</v>
      </c>
      <c r="KF325" s="155"/>
      <c r="KG325" s="155"/>
      <c r="KH325" s="155"/>
      <c r="KI325" s="155"/>
      <c r="KJ325" s="155"/>
      <c r="KL325" s="177" t="s">
        <v>439</v>
      </c>
      <c r="KM325" s="155"/>
      <c r="KN325" s="155"/>
      <c r="KO325" s="155"/>
      <c r="KP325" s="155"/>
      <c r="KQ325" s="155"/>
      <c r="KS325" s="177" t="s">
        <v>439</v>
      </c>
      <c r="KT325" s="155"/>
      <c r="KU325" s="155"/>
      <c r="KV325" s="155"/>
      <c r="KW325" s="155"/>
      <c r="KX325" s="155"/>
      <c r="KZ325" s="177" t="s">
        <v>439</v>
      </c>
      <c r="LA325" s="155"/>
      <c r="LB325" s="155"/>
      <c r="LC325" s="155"/>
      <c r="LD325" s="155"/>
      <c r="LE325" s="155"/>
      <c r="LF325" s="569"/>
      <c r="LG325" s="177" t="s">
        <v>439</v>
      </c>
      <c r="LH325" s="155"/>
      <c r="LI325" s="155"/>
      <c r="LJ325" s="155"/>
      <c r="LK325" s="155"/>
      <c r="LL325" s="155"/>
      <c r="LM325" s="569"/>
      <c r="LN325" s="177" t="s">
        <v>439</v>
      </c>
      <c r="LO325" s="155"/>
      <c r="LP325" s="155"/>
      <c r="LQ325" s="155"/>
      <c r="LR325" s="155"/>
      <c r="LS325" s="155"/>
      <c r="LT325" s="569"/>
      <c r="LU325" s="154" t="s">
        <v>439</v>
      </c>
      <c r="LV325" s="155"/>
      <c r="LW325" s="155"/>
      <c r="LX325" s="155"/>
      <c r="LY325" s="155"/>
      <c r="LZ325" s="155"/>
      <c r="MA325" s="569"/>
      <c r="MB325" s="154" t="s">
        <v>439</v>
      </c>
      <c r="MC325" s="155"/>
      <c r="MD325" s="155"/>
      <c r="ME325" s="155"/>
      <c r="MF325" s="155"/>
      <c r="MG325" s="155"/>
      <c r="MH325" s="569"/>
    </row>
    <row r="326" spans="1:346" s="37" customFormat="1" ht="13.15" x14ac:dyDescent="0.4">
      <c r="A326" s="100"/>
      <c r="B326" s="177" t="s">
        <v>285</v>
      </c>
      <c r="C326" s="155"/>
      <c r="D326" s="155"/>
      <c r="E326" s="155"/>
      <c r="F326" s="155"/>
      <c r="G326" s="155"/>
      <c r="H326" s="155"/>
      <c r="I326" s="155"/>
      <c r="J326" s="155"/>
      <c r="K326" s="155"/>
      <c r="L326" s="155"/>
      <c r="M326" s="155"/>
      <c r="N326" s="155">
        <f>BT326</f>
        <v>0</v>
      </c>
      <c r="O326" s="155">
        <f>CA326</f>
        <v>7.4471584834278959E-2</v>
      </c>
      <c r="P326" s="155">
        <f>CH326</f>
        <v>1.7763623890820757E-3</v>
      </c>
      <c r="Q326" s="155">
        <f>CO326</f>
        <v>6.1931604659902106E-2</v>
      </c>
      <c r="R326" s="155">
        <f>CV326</f>
        <v>-5.811882790998868E-2</v>
      </c>
      <c r="S326" s="155">
        <f>DC326</f>
        <v>1.3983299881346944E-2</v>
      </c>
      <c r="T326" s="155">
        <f>DJ326</f>
        <v>-1.33006083455669E-2</v>
      </c>
      <c r="U326" s="155">
        <f>DQ326</f>
        <v>3.4684698032735106E-2</v>
      </c>
      <c r="V326" s="155">
        <f>DX326</f>
        <v>-2.2471243521227646E-2</v>
      </c>
      <c r="W326" s="155">
        <f>EE326</f>
        <v>-3.4497286334964405E-2</v>
      </c>
      <c r="X326" s="155">
        <f>EL326</f>
        <v>-2.7857216200923296E-2</v>
      </c>
      <c r="Y326" s="155">
        <f>ES326</f>
        <v>-1.2323520196545146E-2</v>
      </c>
      <c r="Z326" s="155">
        <f>EZ326</f>
        <v>9.8235759706075676E-3</v>
      </c>
      <c r="AA326" s="155">
        <f>FG326</f>
        <v>1.9008292422282747E-2</v>
      </c>
      <c r="AB326" s="155">
        <f>FN326</f>
        <v>-1.6133863668605919E-3</v>
      </c>
      <c r="AC326" s="155">
        <f>FU326</f>
        <v>3.3668276923777052E-2</v>
      </c>
      <c r="AD326" s="155">
        <f>GB326</f>
        <v>0.11304832128630737</v>
      </c>
      <c r="AE326" s="155">
        <f>GI326</f>
        <v>8.4095915370390406E-2</v>
      </c>
      <c r="AF326" s="155">
        <f>GP326</f>
        <v>7.185343264595212E-2</v>
      </c>
      <c r="AG326" s="155">
        <f>GW326</f>
        <v>9.9687960552782506E-2</v>
      </c>
      <c r="AH326" s="155">
        <f>HD326</f>
        <v>-0.11977362057997731</v>
      </c>
      <c r="AI326" s="155">
        <f>HK326</f>
        <v>7.3049596446348009E-2</v>
      </c>
      <c r="AJ326" s="155">
        <f>HR326</f>
        <v>7.8339012317316881E-2</v>
      </c>
      <c r="AK326" s="155">
        <f>HY326</f>
        <v>5.1342585783839434E-2</v>
      </c>
      <c r="AL326" s="155">
        <f>IF326</f>
        <v>1.2482453677709282E-2</v>
      </c>
      <c r="AM326" s="155">
        <f>IM326</f>
        <v>-3.2535199926709835E-3</v>
      </c>
      <c r="AN326" s="155">
        <f>IT326</f>
        <v>-1.9891705291513295E-2</v>
      </c>
      <c r="AO326" s="155">
        <f>JA326</f>
        <v>5.7423667838793602E-2</v>
      </c>
      <c r="AP326" s="155">
        <f>JH326</f>
        <v>7.4236908429011539E-2</v>
      </c>
      <c r="AQ326" s="155">
        <f>JO326</f>
        <v>2.5925469411232971E-2</v>
      </c>
      <c r="AR326" s="155">
        <f>JV326</f>
        <v>1.3873836103324377E-2</v>
      </c>
      <c r="AS326" s="155">
        <f>KC326</f>
        <v>-4.0615139783889531E-2</v>
      </c>
      <c r="AT326" s="155">
        <f>KJ326</f>
        <v>4.9404564490855396E-2</v>
      </c>
      <c r="AU326" s="155">
        <f>KQ326</f>
        <v>9.5452535703232089E-2</v>
      </c>
      <c r="AV326" s="155">
        <f>KX326</f>
        <v>3.3838678844519965E-2</v>
      </c>
      <c r="AW326" s="155">
        <f>LE326</f>
        <v>1.4623569904681277E-2</v>
      </c>
      <c r="AX326" s="155">
        <f>LL326</f>
        <v>-1.7629156571086102E-2</v>
      </c>
      <c r="AY326" s="155">
        <f>LS326</f>
        <v>2.2416273747133841E-2</v>
      </c>
      <c r="AZ326" s="155">
        <f>LZ326</f>
        <v>2.715632160966841E-2</v>
      </c>
      <c r="BA326" s="155">
        <f>MG326</f>
        <v>2.4622081558215658E-2</v>
      </c>
      <c r="BB326" s="155"/>
      <c r="BC326" s="155"/>
      <c r="BD326" s="155"/>
      <c r="BE326" s="155"/>
      <c r="BF326" s="155"/>
      <c r="BG326" s="155"/>
      <c r="BH326" s="155"/>
      <c r="BI326" s="155"/>
      <c r="BJ326" s="155"/>
      <c r="BK326" s="155"/>
      <c r="BL326" s="155"/>
      <c r="BM326" s="155"/>
      <c r="BO326" s="177" t="s">
        <v>285</v>
      </c>
      <c r="BP326" s="155"/>
      <c r="BQ326" s="155"/>
      <c r="BR326" s="155"/>
      <c r="BS326" s="155"/>
      <c r="BT326" s="155"/>
      <c r="BV326" s="177" t="s">
        <v>285</v>
      </c>
      <c r="BW326" s="155">
        <f t="shared" ref="BW326:CA328" si="7150">IFERROR(BW321/BP321-1,"NM")</f>
        <v>0.18196062402070989</v>
      </c>
      <c r="BX326" s="155">
        <f t="shared" si="7150"/>
        <v>4.2198721000020756E-2</v>
      </c>
      <c r="BY326" s="155">
        <f t="shared" si="7150"/>
        <v>4.2568920119940623E-2</v>
      </c>
      <c r="BZ326" s="155">
        <f t="shared" si="7150"/>
        <v>2.4683357879234036E-2</v>
      </c>
      <c r="CA326" s="155">
        <f t="shared" si="7150"/>
        <v>7.4471584834278959E-2</v>
      </c>
      <c r="CC326" s="177" t="s">
        <v>285</v>
      </c>
      <c r="CD326" s="155">
        <f t="shared" ref="CD326:CH328" si="7151">IFERROR(CD321/BW321-1,"NM")</f>
        <v>-2.2160389545860859E-2</v>
      </c>
      <c r="CE326" s="155">
        <f t="shared" si="7151"/>
        <v>1.085137085137089E-2</v>
      </c>
      <c r="CF326" s="155">
        <f t="shared" si="7151"/>
        <v>4.8229039384348749E-3</v>
      </c>
      <c r="CG326" s="155">
        <f t="shared" si="7151"/>
        <v>1.2298539270967801E-2</v>
      </c>
      <c r="CH326" s="155">
        <f t="shared" si="7151"/>
        <v>1.7763623890820757E-3</v>
      </c>
      <c r="CJ326" s="177" t="s">
        <v>285</v>
      </c>
      <c r="CK326" s="155">
        <f t="shared" ref="CK326:CO328" si="7152">IFERROR(CK321/CD321-1,"NM")</f>
        <v>9.0076908934918265E-2</v>
      </c>
      <c r="CL326" s="155">
        <f t="shared" si="7152"/>
        <v>0.11921369689283456</v>
      </c>
      <c r="CM326" s="155">
        <f t="shared" si="7152"/>
        <v>1.5196540310695728E-2</v>
      </c>
      <c r="CN326" s="155">
        <f t="shared" si="7152"/>
        <v>2.6315789473684292E-2</v>
      </c>
      <c r="CO326" s="155">
        <f t="shared" si="7152"/>
        <v>6.1931604659902106E-2</v>
      </c>
      <c r="CQ326" s="177" t="s">
        <v>285</v>
      </c>
      <c r="CR326" s="155">
        <f t="shared" ref="CR326:CV328" si="7153">IFERROR(CR321/CK321-1,"NM")</f>
        <v>-4.93315197558305E-2</v>
      </c>
      <c r="CS326" s="155">
        <f t="shared" si="7153"/>
        <v>-8.7701743898952689E-2</v>
      </c>
      <c r="CT326" s="155">
        <f t="shared" si="7153"/>
        <v>-4.5913461538461431E-2</v>
      </c>
      <c r="CU326" s="155">
        <f t="shared" si="7153"/>
        <v>-4.8793839186852317E-2</v>
      </c>
      <c r="CV326" s="155">
        <f t="shared" si="7153"/>
        <v>-5.811882790998868E-2</v>
      </c>
      <c r="CX326" s="177" t="s">
        <v>285</v>
      </c>
      <c r="CY326" s="155">
        <f t="shared" ref="CY326:DC328" si="7154">IFERROR(CY321/CR321-1,"NM")</f>
        <v>1.5009965122072755E-2</v>
      </c>
      <c r="CZ326" s="155">
        <f t="shared" si="7154"/>
        <v>8.1073130552449246E-3</v>
      </c>
      <c r="DA326" s="155">
        <f t="shared" si="7154"/>
        <v>1.3851483897566963E-2</v>
      </c>
      <c r="DB326" s="155">
        <f t="shared" si="7154"/>
        <v>1.8494055482166427E-2</v>
      </c>
      <c r="DC326" s="155">
        <f t="shared" si="7154"/>
        <v>1.3983299881346944E-2</v>
      </c>
      <c r="DE326" s="177" t="s">
        <v>285</v>
      </c>
      <c r="DF326" s="155">
        <f t="shared" ref="DF326:DJ328" si="7155">IFERROR(DF321/CY321-1,"NM")</f>
        <v>-3.6631125913750839E-2</v>
      </c>
      <c r="DG326" s="155">
        <f t="shared" si="7155"/>
        <v>-1.5954305837386107E-2</v>
      </c>
      <c r="DH326" s="155">
        <f t="shared" si="7155"/>
        <v>2.8847714119129009E-4</v>
      </c>
      <c r="DI326" s="155">
        <f t="shared" si="7155"/>
        <v>5.440875816129509E-4</v>
      </c>
      <c r="DJ326" s="155">
        <f t="shared" si="7155"/>
        <v>-1.33006083455669E-2</v>
      </c>
      <c r="DL326" s="177" t="s">
        <v>285</v>
      </c>
      <c r="DM326" s="155">
        <f t="shared" ref="DM326:DQ328" si="7156">IFERROR(DM321/DF321-1,"NM")</f>
        <v>2.0958401391570236E-2</v>
      </c>
      <c r="DN326" s="155">
        <f t="shared" si="7156"/>
        <v>3.315317054338407E-2</v>
      </c>
      <c r="DO326" s="155">
        <f t="shared" si="7156"/>
        <v>4.8072437591952344E-2</v>
      </c>
      <c r="DP326" s="155">
        <f t="shared" si="7156"/>
        <v>3.7066078575512584E-2</v>
      </c>
      <c r="DQ326" s="155">
        <f t="shared" si="7156"/>
        <v>3.4684698032735106E-2</v>
      </c>
      <c r="DS326" s="177" t="s">
        <v>285</v>
      </c>
      <c r="DT326" s="155">
        <f t="shared" ref="DT326:DX328" si="7157">IFERROR(DT321/DM321-1,"NM")</f>
        <v>1.6737340072081608E-2</v>
      </c>
      <c r="DU326" s="155">
        <f t="shared" si="7157"/>
        <v>-2.0003884249368831E-2</v>
      </c>
      <c r="DV326" s="155">
        <f t="shared" si="7157"/>
        <v>-3.7714870243945819E-2</v>
      </c>
      <c r="DW326" s="155">
        <f t="shared" si="7157"/>
        <v>-4.8120611317637008E-2</v>
      </c>
      <c r="DX326" s="155">
        <f t="shared" si="7157"/>
        <v>-2.2471243521227646E-2</v>
      </c>
      <c r="DZ326" s="177" t="s">
        <v>285</v>
      </c>
      <c r="EA326" s="155">
        <f t="shared" ref="EA326:EE328" si="7158">IFERROR(EA321/DT321-1,"NM")</f>
        <v>-4.5035373789346411E-2</v>
      </c>
      <c r="EB326" s="155">
        <f t="shared" si="7158"/>
        <v>-2.6402763863791368E-2</v>
      </c>
      <c r="EC326" s="155">
        <f t="shared" si="7158"/>
        <v>-5.1375109237649652E-2</v>
      </c>
      <c r="ED326" s="155">
        <f t="shared" si="7158"/>
        <v>-7.5183714283022507E-3</v>
      </c>
      <c r="EE326" s="155">
        <f t="shared" si="7158"/>
        <v>-3.4497286334964405E-2</v>
      </c>
      <c r="EG326" s="177" t="s">
        <v>285</v>
      </c>
      <c r="EH326" s="155">
        <f t="shared" ref="EH326:EL328" si="7159">IFERROR(EH321/EA321-1,"NM")</f>
        <v>1.8630266937205375E-2</v>
      </c>
      <c r="EI326" s="155">
        <f t="shared" si="7159"/>
        <v>1.6883643556486749E-3</v>
      </c>
      <c r="EJ326" s="155">
        <f t="shared" si="7159"/>
        <v>-3.892410754428588E-2</v>
      </c>
      <c r="EK326" s="155">
        <f t="shared" si="7159"/>
        <v>-6.6126104731047519E-2</v>
      </c>
      <c r="EL326" s="155">
        <f t="shared" si="7159"/>
        <v>-2.7857216200923296E-2</v>
      </c>
      <c r="EN326" s="177" t="s">
        <v>285</v>
      </c>
      <c r="EO326" s="155">
        <f t="shared" ref="EO326:ES328" si="7160">IFERROR(EO321/EH321-1,"NM")</f>
        <v>-7.2774907211993312E-2</v>
      </c>
      <c r="EP326" s="155">
        <f t="shared" si="7160"/>
        <v>-4.1396331820936161E-2</v>
      </c>
      <c r="EQ326" s="155">
        <f t="shared" si="7160"/>
        <v>6.2040125816817948E-3</v>
      </c>
      <c r="ER326" s="155">
        <f t="shared" si="7160"/>
        <v>3.0148149764356535E-2</v>
      </c>
      <c r="ES326" s="155">
        <f t="shared" si="7160"/>
        <v>-1.2323520196545146E-2</v>
      </c>
      <c r="EU326" s="177" t="s">
        <v>285</v>
      </c>
      <c r="EV326" s="155">
        <f t="shared" ref="EV326:EZ328" si="7161">IFERROR(EV321/EO321-1,"NM")</f>
        <v>1.0179211469534266E-2</v>
      </c>
      <c r="EW326" s="155">
        <f t="shared" si="7161"/>
        <v>7.8893416033010144E-3</v>
      </c>
      <c r="EX326" s="155">
        <f t="shared" si="7161"/>
        <v>1.3465985047994344E-2</v>
      </c>
      <c r="EY326" s="155">
        <f t="shared" si="7161"/>
        <v>7.8504672897192762E-3</v>
      </c>
      <c r="EZ326" s="155">
        <f t="shared" si="7161"/>
        <v>9.8235759706075676E-3</v>
      </c>
      <c r="FB326" s="177" t="s">
        <v>285</v>
      </c>
      <c r="FC326" s="155">
        <f t="shared" ref="FC326:FG328" si="7162">IFERROR(FC321/EV321-1,"NM")</f>
        <v>3.5537382400851358E-2</v>
      </c>
      <c r="FD326" s="155">
        <f t="shared" si="7162"/>
        <v>1.1674292779322304E-2</v>
      </c>
      <c r="FE326" s="155">
        <f t="shared" si="7162"/>
        <v>1.3461180629855463E-2</v>
      </c>
      <c r="FF326" s="155">
        <f t="shared" si="7162"/>
        <v>1.4465875370919923E-2</v>
      </c>
      <c r="FG326" s="155">
        <f t="shared" si="7162"/>
        <v>1.9008292422282747E-2</v>
      </c>
      <c r="FI326" s="177" t="s">
        <v>285</v>
      </c>
      <c r="FJ326" s="155">
        <f t="shared" ref="FJ326:FN328" si="7163">IFERROR(FJ321/FC321-1,"NM")</f>
        <v>6.6613162118778213E-3</v>
      </c>
      <c r="FK326" s="155">
        <f t="shared" si="7163"/>
        <v>2.4933214603739762E-2</v>
      </c>
      <c r="FL326" s="155">
        <f t="shared" si="7163"/>
        <v>-2.3436257830635965E-2</v>
      </c>
      <c r="FM326" s="155">
        <f t="shared" si="7163"/>
        <v>-1.3576952098325212E-2</v>
      </c>
      <c r="FN326" s="155">
        <f t="shared" si="7163"/>
        <v>-1.6133863668605919E-3</v>
      </c>
      <c r="FP326" s="177" t="s">
        <v>285</v>
      </c>
      <c r="FQ326" s="155">
        <f t="shared" ref="FQ326:FU328" si="7164">IFERROR(FQ321/FJ321-1,"NM")</f>
        <v>-1.9665683382499299E-3</v>
      </c>
      <c r="FR326" s="155">
        <f t="shared" si="7164"/>
        <v>4.3084498592229181E-2</v>
      </c>
      <c r="FS326" s="155">
        <f t="shared" si="7164"/>
        <v>5.636180593200657E-2</v>
      </c>
      <c r="FT326" s="155">
        <f t="shared" si="7164"/>
        <v>3.8024768731021785E-2</v>
      </c>
      <c r="FU326" s="155">
        <f t="shared" si="7164"/>
        <v>3.3668276923777052E-2</v>
      </c>
      <c r="FW326" s="177" t="s">
        <v>285</v>
      </c>
      <c r="FX326" s="155">
        <f t="shared" ref="FX326:GB328" si="7165">IFERROR(FX321/FQ321-1,"NM")</f>
        <v>0.13067150635208691</v>
      </c>
      <c r="FY326" s="155">
        <f t="shared" si="7165"/>
        <v>5.6425608673614125E-2</v>
      </c>
      <c r="FZ326" s="155">
        <f t="shared" si="7165"/>
        <v>0.12560295408769329</v>
      </c>
      <c r="GA326" s="155">
        <f t="shared" si="7165"/>
        <v>0.15132459944679932</v>
      </c>
      <c r="GB326" s="155">
        <f t="shared" si="7165"/>
        <v>0.11304832128630737</v>
      </c>
      <c r="GD326" s="177" t="s">
        <v>285</v>
      </c>
      <c r="GE326" s="155">
        <f t="shared" ref="GE326:GI328" si="7166">IFERROR(GE321/FX321-1,"NM")</f>
        <v>7.9145573527596103E-2</v>
      </c>
      <c r="GF326" s="155">
        <f t="shared" si="7166"/>
        <v>0.10198361937249079</v>
      </c>
      <c r="GG326" s="155">
        <f t="shared" si="7166"/>
        <v>8.758683247175747E-2</v>
      </c>
      <c r="GH326" s="155">
        <f t="shared" si="7166"/>
        <v>6.2118548568852683E-2</v>
      </c>
      <c r="GI326" s="155">
        <f t="shared" si="7166"/>
        <v>8.4095915370390406E-2</v>
      </c>
      <c r="GK326" s="177" t="s">
        <v>285</v>
      </c>
      <c r="GL326" s="155">
        <f t="shared" ref="GL326:GP328" si="7167">IFERROR(GL321/GE321-1,"NM")</f>
        <v>6.2541806020067092E-2</v>
      </c>
      <c r="GM326" s="155">
        <f t="shared" si="7167"/>
        <v>5.4573426573426342E-2</v>
      </c>
      <c r="GN326" s="155">
        <f t="shared" si="7167"/>
        <v>7.1852427101839256E-2</v>
      </c>
      <c r="GO326" s="155">
        <f t="shared" si="7167"/>
        <v>9.9239461772947291E-2</v>
      </c>
      <c r="GP326" s="155">
        <f t="shared" si="7167"/>
        <v>7.185343264595212E-2</v>
      </c>
      <c r="GR326" s="177" t="s">
        <v>285</v>
      </c>
      <c r="GS326" s="155">
        <f t="shared" ref="GS326:GW328" si="7168">IFERROR(GS321/GL321-1,"NM")</f>
        <v>9.0258801507516528E-2</v>
      </c>
      <c r="GT326" s="155">
        <f t="shared" si="7168"/>
        <v>0.10106676352287569</v>
      </c>
      <c r="GU326" s="155">
        <f t="shared" si="7168"/>
        <v>0.12454483386436066</v>
      </c>
      <c r="GV326" s="155">
        <f t="shared" si="7168"/>
        <v>7.4285714285714288E-2</v>
      </c>
      <c r="GW326" s="155">
        <f t="shared" si="7168"/>
        <v>9.9687960552782506E-2</v>
      </c>
      <c r="GY326" s="177" t="s">
        <v>285</v>
      </c>
      <c r="GZ326" s="155">
        <f t="shared" ref="GZ326:HD328" si="7169">IFERROR(GZ321/GS321-1,"NM")</f>
        <v>-0.13214623302058526</v>
      </c>
      <c r="HA326" s="155">
        <f t="shared" si="7169"/>
        <v>-0.13692835927790559</v>
      </c>
      <c r="HB326" s="155">
        <f t="shared" si="7169"/>
        <v>-0.14081620967214215</v>
      </c>
      <c r="HC326" s="155">
        <f t="shared" si="7169"/>
        <v>-9.0395480225988978E-2</v>
      </c>
      <c r="HD326" s="155">
        <f t="shared" si="7169"/>
        <v>-0.11977362057997731</v>
      </c>
      <c r="HF326" s="177" t="s">
        <v>285</v>
      </c>
      <c r="HG326" s="155">
        <f t="shared" ref="HG326:HK328" si="7170">IFERROR(HG321/GZ321-1,"NM")</f>
        <v>0.10220480156785894</v>
      </c>
      <c r="HH326" s="155">
        <f t="shared" si="7170"/>
        <v>0.11349623683419408</v>
      </c>
      <c r="HI326" s="155">
        <f t="shared" si="7170"/>
        <v>7.9538750335210739E-2</v>
      </c>
      <c r="HJ326" s="155">
        <f t="shared" si="7170"/>
        <v>3.3362257946657037E-2</v>
      </c>
      <c r="HK326" s="155">
        <f t="shared" si="7170"/>
        <v>7.3049596446348009E-2</v>
      </c>
      <c r="HM326" s="177" t="s">
        <v>285</v>
      </c>
      <c r="HN326" s="155">
        <f t="shared" ref="HN326:HR328" si="7171">IFERROR(HN321/HG321-1,"NM")</f>
        <v>7.443583396118103E-2</v>
      </c>
      <c r="HO326" s="155">
        <f t="shared" si="7171"/>
        <v>6.7484008528784667E-2</v>
      </c>
      <c r="HP326" s="155">
        <f t="shared" si="7171"/>
        <v>8.9023937650770435E-2</v>
      </c>
      <c r="HQ326" s="155">
        <f t="shared" si="7171"/>
        <v>8.3812781837972361E-2</v>
      </c>
      <c r="HR326" s="155">
        <f t="shared" si="7171"/>
        <v>7.8339012317316881E-2</v>
      </c>
      <c r="HT326" s="177" t="s">
        <v>285</v>
      </c>
      <c r="HU326" s="155">
        <f t="shared" ref="HU326:HY328" si="7172">IFERROR(HU321/HN321-1,"NM")</f>
        <v>5.8671392122344734E-2</v>
      </c>
      <c r="HV326" s="155">
        <f t="shared" si="7172"/>
        <v>6.778925327312435E-2</v>
      </c>
      <c r="HW326" s="155">
        <f t="shared" si="7172"/>
        <v>2.8115015974440771E-2</v>
      </c>
      <c r="HX326" s="155">
        <f t="shared" si="7172"/>
        <v>4.8392513839668583E-2</v>
      </c>
      <c r="HY326" s="155">
        <f t="shared" si="7172"/>
        <v>5.1342585783839434E-2</v>
      </c>
      <c r="IA326" s="177" t="s">
        <v>285</v>
      </c>
      <c r="IB326" s="155">
        <f t="shared" ref="IB326:IF328" si="7173">IFERROR(IB321/HU321-1,"NM")</f>
        <v>4.0466137779570754E-2</v>
      </c>
      <c r="IC326" s="155">
        <f t="shared" si="7173"/>
        <v>1.7062272581587878E-2</v>
      </c>
      <c r="ID326" s="155">
        <f t="shared" si="7173"/>
        <v>2.0095921286138685E-2</v>
      </c>
      <c r="IE326" s="155">
        <f t="shared" si="7173"/>
        <v>-2.5219813299283689E-2</v>
      </c>
      <c r="IF326" s="155">
        <f t="shared" si="7173"/>
        <v>1.2482453677709282E-2</v>
      </c>
      <c r="IH326" s="177" t="s">
        <v>285</v>
      </c>
      <c r="II326" s="155">
        <f t="shared" ref="II326:IM328" si="7174">IFERROR(II321/IB321-1,"NM")</f>
        <v>-1.8198287084165932E-2</v>
      </c>
      <c r="IJ326" s="155">
        <f t="shared" si="7174"/>
        <v>-7.4561403508771606E-3</v>
      </c>
      <c r="IK326" s="155">
        <f t="shared" si="7174"/>
        <v>-4.8871841295613505E-3</v>
      </c>
      <c r="IL326" s="155">
        <f t="shared" si="7174"/>
        <v>1.5333601198721736E-2</v>
      </c>
      <c r="IM326" s="155">
        <f t="shared" si="7174"/>
        <v>-3.2535199926709835E-3</v>
      </c>
      <c r="IO326" s="177" t="s">
        <v>285</v>
      </c>
      <c r="IP326" s="155">
        <f t="shared" ref="IP326:IT328" si="7175">IFERROR(IP321/II321-1,"NM")</f>
        <v>-1.0122351795903595E-2</v>
      </c>
      <c r="IQ326" s="155">
        <f t="shared" si="7175"/>
        <v>-2.6592107294906575E-2</v>
      </c>
      <c r="IR326" s="155">
        <f t="shared" si="7175"/>
        <v>-2.4754362977978062E-2</v>
      </c>
      <c r="IS326" s="155">
        <f t="shared" si="7175"/>
        <v>-1.7313206494739997E-2</v>
      </c>
      <c r="IT326" s="155">
        <f t="shared" si="7175"/>
        <v>-1.9891705291513295E-2</v>
      </c>
      <c r="IV326" s="177" t="s">
        <v>285</v>
      </c>
      <c r="IW326" s="155">
        <f t="shared" ref="IW326:JA328" si="7176">IFERROR(IW321/IP321-1,"NM")</f>
        <v>2.376676773921349E-2</v>
      </c>
      <c r="IX326" s="155">
        <f t="shared" si="7176"/>
        <v>5.0798295765842161E-2</v>
      </c>
      <c r="IY326" s="155">
        <f t="shared" si="7176"/>
        <v>7.2684784107213574E-2</v>
      </c>
      <c r="IZ326" s="155">
        <f t="shared" si="7176"/>
        <v>7.9720524573465568E-2</v>
      </c>
      <c r="JA326" s="155">
        <f t="shared" si="7176"/>
        <v>5.7423667838793602E-2</v>
      </c>
      <c r="JC326" s="177" t="s">
        <v>285</v>
      </c>
      <c r="JD326" s="155">
        <f t="shared" ref="JD326:JH328" si="7177">IFERROR(JD321/IW321-1,"NM")</f>
        <v>0.12725511958390423</v>
      </c>
      <c r="JE326" s="155">
        <f t="shared" si="7177"/>
        <v>8.6220119233663128E-2</v>
      </c>
      <c r="JF326" s="155">
        <f t="shared" si="7177"/>
        <v>5.4434832723172955E-2</v>
      </c>
      <c r="JG326" s="155">
        <f t="shared" si="7177"/>
        <v>3.439520513879657E-2</v>
      </c>
      <c r="JH326" s="155">
        <f t="shared" si="7177"/>
        <v>7.4236908429011539E-2</v>
      </c>
      <c r="JJ326" s="177" t="s">
        <v>285</v>
      </c>
      <c r="JK326" s="155">
        <f t="shared" ref="JK326:JO328" si="7178">IFERROR(JK321/JD321-1,"NM")</f>
        <v>-2.0303197182073851E-2</v>
      </c>
      <c r="JL326" s="155">
        <f t="shared" si="7178"/>
        <v>8.8852112102879577E-3</v>
      </c>
      <c r="JM326" s="155">
        <f t="shared" si="7178"/>
        <v>3.9192091232227444E-2</v>
      </c>
      <c r="JN326" s="155">
        <f t="shared" si="7178"/>
        <v>7.8015600242438587E-2</v>
      </c>
      <c r="JO326" s="155">
        <f t="shared" si="7178"/>
        <v>2.5925469411232971E-2</v>
      </c>
      <c r="JQ326" s="177" t="s">
        <v>285</v>
      </c>
      <c r="JR326" s="155">
        <f t="shared" ref="JR326:JV328" si="7179">IFERROR(JR321/JK321-1,"NM")</f>
        <v>4.9526472701916013E-2</v>
      </c>
      <c r="JS326" s="155">
        <f t="shared" si="7179"/>
        <v>1.3224007246031011E-2</v>
      </c>
      <c r="JT326" s="155">
        <f t="shared" si="7179"/>
        <v>5.3239710560584186E-3</v>
      </c>
      <c r="JU326" s="155">
        <f t="shared" si="7179"/>
        <v>-1.0101852701474234E-2</v>
      </c>
      <c r="JV326" s="155">
        <f t="shared" si="7179"/>
        <v>1.3873836103324377E-2</v>
      </c>
      <c r="JX326" s="177" t="s">
        <v>285</v>
      </c>
      <c r="JY326" s="155">
        <f t="shared" ref="JY326:KC328" si="7180">IFERROR(JY321/JR321-1,"NM")</f>
        <v>-2.0929368806767101E-2</v>
      </c>
      <c r="JZ326" s="155">
        <f t="shared" si="7180"/>
        <v>-7.9181099564792468E-2</v>
      </c>
      <c r="KA326" s="155">
        <f t="shared" si="7180"/>
        <v>-3.4598720509088632E-2</v>
      </c>
      <c r="KB326" s="155">
        <f t="shared" si="7180"/>
        <v>-3.4851943755169534E-2</v>
      </c>
      <c r="KC326" s="155">
        <f t="shared" si="7180"/>
        <v>-4.0615139783889531E-2</v>
      </c>
      <c r="KE326" s="177" t="s">
        <v>285</v>
      </c>
      <c r="KF326" s="155">
        <f t="shared" ref="KF326:KJ328" si="7181">IFERROR(KF321/JY321-1,"NM")</f>
        <v>-2.3095377442796661E-3</v>
      </c>
      <c r="KG326" s="155">
        <f t="shared" si="7181"/>
        <v>9.2891907748497982E-2</v>
      </c>
      <c r="KH326" s="155">
        <f t="shared" si="7181"/>
        <v>6.5399147841466609E-2</v>
      </c>
      <c r="KI326" s="155">
        <f t="shared" si="7181"/>
        <v>5.2112162902945292E-2</v>
      </c>
      <c r="KJ326" s="155">
        <f t="shared" si="7181"/>
        <v>4.9404564490855396E-2</v>
      </c>
      <c r="KL326" s="177" t="s">
        <v>285</v>
      </c>
      <c r="KM326" s="155">
        <f t="shared" ref="KM326:KQ328" si="7182">IFERROR(KM321/KF321-1,"NM")</f>
        <v>6.0042382443372677E-2</v>
      </c>
      <c r="KN326" s="155">
        <f t="shared" si="7182"/>
        <v>0.10404624277456676</v>
      </c>
      <c r="KO326" s="155">
        <f t="shared" si="7182"/>
        <v>0.10694190787167734</v>
      </c>
      <c r="KP326" s="155">
        <f t="shared" si="7182"/>
        <v>0.10872150149049942</v>
      </c>
      <c r="KQ326" s="155">
        <f t="shared" si="7182"/>
        <v>9.5452535703232089E-2</v>
      </c>
      <c r="KS326" s="177" t="s">
        <v>285</v>
      </c>
      <c r="KT326" s="155">
        <f t="shared" ref="KT326:KX328" si="7183">IFERROR(KT321/KM321-1,"NM")</f>
        <v>8.7630120406199774E-2</v>
      </c>
      <c r="KU326" s="155">
        <f t="shared" si="7183"/>
        <v>3.8744634355157404E-2</v>
      </c>
      <c r="KV326" s="155">
        <f t="shared" si="7183"/>
        <v>-1.8710147757987627E-3</v>
      </c>
      <c r="KW326" s="155">
        <f t="shared" si="7183"/>
        <v>1.6020932656807041E-2</v>
      </c>
      <c r="KX326" s="155">
        <f t="shared" si="7183"/>
        <v>3.3838678844519965E-2</v>
      </c>
      <c r="KZ326" s="177" t="s">
        <v>285</v>
      </c>
      <c r="LA326" s="155">
        <f t="shared" ref="LA326:LA328" si="7184">IFERROR(LA321/KT321-1,"NM")</f>
        <v>1.9641412390198676E-2</v>
      </c>
      <c r="LB326" s="155">
        <f t="shared" ref="LB326:LE328" si="7185">IFERROR(LB321/KU321-1,"NM")</f>
        <v>3.2747893027634145E-2</v>
      </c>
      <c r="LC326" s="155">
        <f t="shared" si="7185"/>
        <v>1.7341200466200135E-2</v>
      </c>
      <c r="LD326" s="155">
        <f t="shared" si="7185"/>
        <v>-1.1276028633605772E-2</v>
      </c>
      <c r="LE326" s="155">
        <f t="shared" si="7185"/>
        <v>1.4623569904681277E-2</v>
      </c>
      <c r="LF326" s="569"/>
      <c r="LG326" s="177" t="s">
        <v>285</v>
      </c>
      <c r="LH326" s="155">
        <f t="shared" ref="LH326:LL328" si="7186">IFERROR(LH321/LA321-1,"NM")</f>
        <v>-2.4250625216966193E-2</v>
      </c>
      <c r="LI326" s="155">
        <f t="shared" si="7186"/>
        <v>-3.1790489484068485E-2</v>
      </c>
      <c r="LJ326" s="155">
        <f>IFERROR(LJ321/LC321-1,"NM")</f>
        <v>-1.9361327633894754E-2</v>
      </c>
      <c r="LK326" s="155">
        <f t="shared" si="7186"/>
        <v>5.6185964525725662E-3</v>
      </c>
      <c r="LL326" s="155">
        <f t="shared" si="7186"/>
        <v>-1.7629156571086102E-2</v>
      </c>
      <c r="LM326" s="569"/>
      <c r="LN326" s="177" t="s">
        <v>285</v>
      </c>
      <c r="LO326" s="155">
        <f t="shared" ref="LO326:LS328" si="7187">IFERROR(LO321/LH321-1,"NM")</f>
        <v>1.6842443707572263E-2</v>
      </c>
      <c r="LP326" s="155">
        <f t="shared" si="7187"/>
        <v>2.1008631992163407E-2</v>
      </c>
      <c r="LQ326" s="155">
        <f>IFERROR(LQ321/LJ321-1,"NM")</f>
        <v>2.7489630365969298E-2</v>
      </c>
      <c r="LR326" s="155">
        <f t="shared" si="7187"/>
        <v>2.4018922843871415E-2</v>
      </c>
      <c r="LS326" s="155">
        <f t="shared" si="7187"/>
        <v>2.2416273747133841E-2</v>
      </c>
      <c r="LT326" s="569"/>
      <c r="LU326" s="154" t="s">
        <v>285</v>
      </c>
      <c r="LV326" s="155">
        <f t="shared" ref="LV326:LV328" si="7188">IFERROR(LV321/LO321-1,"NM")</f>
        <v>2.7518939722471103E-2</v>
      </c>
      <c r="LW326" s="155">
        <f t="shared" ref="LW326:LW328" si="7189">IFERROR(LW321/LP321-1,"NM")</f>
        <v>2.6351782937475976E-2</v>
      </c>
      <c r="LX326" s="155">
        <f t="shared" ref="LX326:LX328" si="7190">IFERROR(LX321/LQ321-1,"NM")</f>
        <v>2.7336335893347385E-2</v>
      </c>
      <c r="LY326" s="155">
        <f t="shared" ref="LY326:LY328" si="7191">IFERROR(LY321/LR321-1,"NM")</f>
        <v>2.7447329419604705E-2</v>
      </c>
      <c r="LZ326" s="155">
        <f t="shared" ref="LZ326:LZ328" si="7192">IFERROR(LZ321/LS321-1,"NM")</f>
        <v>2.715632160966841E-2</v>
      </c>
      <c r="MA326" s="569"/>
      <c r="MB326" s="154" t="s">
        <v>285</v>
      </c>
      <c r="MC326" s="155">
        <f t="shared" ref="MC326:MC328" si="7193">IFERROR(MC321/LV321-1,"NM")</f>
        <v>2.4873322860974323E-2</v>
      </c>
      <c r="MD326" s="155">
        <f t="shared" ref="MD326:MD328" si="7194">IFERROR(MD321/LW321-1,"NM")</f>
        <v>2.4760846005346115E-2</v>
      </c>
      <c r="ME326" s="155">
        <f t="shared" ref="ME326:ME328" si="7195">IFERROR(ME321/LX321-1,"NM")</f>
        <v>2.4707521406849509E-2</v>
      </c>
      <c r="MF326" s="155">
        <f t="shared" ref="MF326:MF328" si="7196">IFERROR(MF321/LY321-1,"NM")</f>
        <v>2.4188165339474876E-2</v>
      </c>
      <c r="MG326" s="155">
        <f t="shared" ref="MG326:MG328" si="7197">IFERROR(MG321/LZ321-1,"NM")</f>
        <v>2.4622081558215658E-2</v>
      </c>
      <c r="MH326" s="569"/>
    </row>
    <row r="327" spans="1:346" s="37" customFormat="1" ht="13.15" x14ac:dyDescent="0.4">
      <c r="A327" s="100"/>
      <c r="B327" s="177" t="s">
        <v>287</v>
      </c>
      <c r="C327" s="155"/>
      <c r="D327" s="155"/>
      <c r="E327" s="155"/>
      <c r="F327" s="155"/>
      <c r="G327" s="155"/>
      <c r="H327" s="155"/>
      <c r="I327" s="155"/>
      <c r="J327" s="155"/>
      <c r="K327" s="155"/>
      <c r="L327" s="155"/>
      <c r="M327" s="155"/>
      <c r="N327" s="155">
        <f>BT327</f>
        <v>0</v>
      </c>
      <c r="O327" s="155">
        <f>CA327</f>
        <v>1.8039492189837913E-2</v>
      </c>
      <c r="P327" s="155">
        <f>CH327</f>
        <v>-2.491374264222046E-2</v>
      </c>
      <c r="Q327" s="155">
        <f>CO327</f>
        <v>9.076356283366227E-4</v>
      </c>
      <c r="R327" s="155">
        <f>CV327</f>
        <v>-4.6554084892743708E-3</v>
      </c>
      <c r="S327" s="155">
        <f>DC327</f>
        <v>-1.965605927454761E-2</v>
      </c>
      <c r="T327" s="155">
        <f>DJ327</f>
        <v>1.2567450501507871E-2</v>
      </c>
      <c r="U327" s="155">
        <f>DQ327</f>
        <v>-4.1078283306527075E-3</v>
      </c>
      <c r="V327" s="155">
        <f>DX327</f>
        <v>-1.0806595365418947E-2</v>
      </c>
      <c r="W327" s="155">
        <f>EE327</f>
        <v>-4.0636446886446964E-2</v>
      </c>
      <c r="X327" s="155">
        <f>EL327</f>
        <v>-2.0283975659224351E-3</v>
      </c>
      <c r="Y327" s="155">
        <f>ES327</f>
        <v>-9.1780750065565186E-2</v>
      </c>
      <c r="Z327" s="155">
        <f>EZ327</f>
        <v>4.9701388010777059E-2</v>
      </c>
      <c r="AA327" s="155">
        <f>FG327</f>
        <v>8.5451858317546758E-3</v>
      </c>
      <c r="AB327" s="155">
        <f>FN327</f>
        <v>3.6353431761360522E-2</v>
      </c>
      <c r="AC327" s="155">
        <f>FU327</f>
        <v>7.8896598663289463E-3</v>
      </c>
      <c r="AD327" s="155">
        <f>GB327</f>
        <v>0.10260833702168726</v>
      </c>
      <c r="AE327" s="155">
        <f>GI327</f>
        <v>9.6533110157966284E-2</v>
      </c>
      <c r="AF327" s="155">
        <f>GP327</f>
        <v>8.7602342447447912E-2</v>
      </c>
      <c r="AG327" s="155">
        <f>GW327</f>
        <v>0.19793815824702965</v>
      </c>
      <c r="AH327" s="155">
        <f>HD327</f>
        <v>7.2903126496526305E-4</v>
      </c>
      <c r="AI327" s="155">
        <f>HK327</f>
        <v>0.18175691763772162</v>
      </c>
      <c r="AJ327" s="155">
        <f>HR327</f>
        <v>0.17981358444816542</v>
      </c>
      <c r="AK327" s="155">
        <f>HY327</f>
        <v>-2.0902341794091561E-2</v>
      </c>
      <c r="AL327" s="155">
        <f>IF327</f>
        <v>-5.5950774964332983E-2</v>
      </c>
      <c r="AM327" s="155">
        <f>IM327</f>
        <v>-8.5272797306196857E-2</v>
      </c>
      <c r="AN327" s="155">
        <f>IT327</f>
        <v>-6.9485644706881455E-3</v>
      </c>
      <c r="AO327" s="155">
        <f>JA327</f>
        <v>-1.5954882868987053E-3</v>
      </c>
      <c r="AP327" s="155">
        <f>JH327</f>
        <v>0.19726618360592107</v>
      </c>
      <c r="AQ327" s="155">
        <f>JO327</f>
        <v>1.4429139915613787E-2</v>
      </c>
      <c r="AR327" s="155">
        <f>JV327</f>
        <v>2.030536038114783E-2</v>
      </c>
      <c r="AS327" s="155">
        <f>KC327</f>
        <v>-7.8487168375944938E-2</v>
      </c>
      <c r="AT327" s="155">
        <f>KJ327</f>
        <v>0.14060800181179189</v>
      </c>
      <c r="AU327" s="155">
        <f>KQ327</f>
        <v>0.3603089300486888</v>
      </c>
      <c r="AV327" s="155">
        <f>KX327</f>
        <v>-7.7691702661493278E-2</v>
      </c>
      <c r="AW327" s="155">
        <f>LE327</f>
        <v>-5.2334943639291698E-2</v>
      </c>
      <c r="AX327" s="155">
        <f>LL327</f>
        <v>-0.17522087738113445</v>
      </c>
      <c r="AY327" s="155">
        <f>LS327</f>
        <v>-4.0325727743603101E-3</v>
      </c>
      <c r="AZ327" s="155">
        <f>LZ327</f>
        <v>8.6080961513532728E-3</v>
      </c>
      <c r="BA327" s="155">
        <f>MG327</f>
        <v>7.5520728428166706E-3</v>
      </c>
      <c r="BB327" s="155"/>
      <c r="BC327" s="155"/>
      <c r="BD327" s="155"/>
      <c r="BE327" s="155"/>
      <c r="BF327" s="155"/>
      <c r="BG327" s="155"/>
      <c r="BH327" s="155"/>
      <c r="BI327" s="155"/>
      <c r="BJ327" s="155"/>
      <c r="BK327" s="155"/>
      <c r="BL327" s="155"/>
      <c r="BM327" s="155"/>
      <c r="BO327" s="177" t="s">
        <v>287</v>
      </c>
      <c r="BP327" s="155"/>
      <c r="BQ327" s="155"/>
      <c r="BR327" s="155"/>
      <c r="BS327" s="155"/>
      <c r="BT327" s="155"/>
      <c r="BV327" s="177" t="s">
        <v>287</v>
      </c>
      <c r="BW327" s="155">
        <f t="shared" si="7150"/>
        <v>5.7053405878598529E-2</v>
      </c>
      <c r="BX327" s="155">
        <f t="shared" si="7150"/>
        <v>-2.1849815251229088E-2</v>
      </c>
      <c r="BY327" s="155">
        <f t="shared" si="7150"/>
        <v>5.728000000000022E-2</v>
      </c>
      <c r="BZ327" s="155">
        <f t="shared" si="7150"/>
        <v>-1.6141773359366729E-2</v>
      </c>
      <c r="CA327" s="155">
        <f t="shared" si="7150"/>
        <v>1.8039492189837913E-2</v>
      </c>
      <c r="CC327" s="177" t="s">
        <v>287</v>
      </c>
      <c r="CD327" s="155">
        <f t="shared" si="7151"/>
        <v>-7.8334065290587174E-2</v>
      </c>
      <c r="CE327" s="155">
        <f t="shared" si="7151"/>
        <v>-3.4552845528455389E-2</v>
      </c>
      <c r="CF327" s="155">
        <f t="shared" si="7151"/>
        <v>3.5781544256120457E-2</v>
      </c>
      <c r="CG327" s="155">
        <f t="shared" si="7151"/>
        <v>-2.2855093256814896E-2</v>
      </c>
      <c r="CH327" s="155">
        <f t="shared" si="7151"/>
        <v>-2.491374264222046E-2</v>
      </c>
      <c r="CJ327" s="177" t="s">
        <v>287</v>
      </c>
      <c r="CK327" s="155">
        <f t="shared" si="7152"/>
        <v>1.0799545282303979E-2</v>
      </c>
      <c r="CL327" s="155">
        <f t="shared" si="7152"/>
        <v>2.4993788819875462E-2</v>
      </c>
      <c r="CM327" s="155">
        <f t="shared" si="7152"/>
        <v>-1.3223140495867702E-2</v>
      </c>
      <c r="CN327" s="155">
        <f t="shared" si="7152"/>
        <v>-1.4888337468982438E-2</v>
      </c>
      <c r="CO327" s="155">
        <f t="shared" si="7152"/>
        <v>9.076356283366227E-4</v>
      </c>
      <c r="CQ327" s="177" t="s">
        <v>287</v>
      </c>
      <c r="CR327" s="155">
        <f t="shared" si="7153"/>
        <v>1.5286171347316024E-2</v>
      </c>
      <c r="CS327" s="155">
        <f t="shared" si="7153"/>
        <v>-1.1927464373634455E-2</v>
      </c>
      <c r="CT327" s="155">
        <f t="shared" si="7153"/>
        <v>-1.4302280633939013E-2</v>
      </c>
      <c r="CU327" s="155">
        <f t="shared" si="7153"/>
        <v>-7.8759711923940268E-3</v>
      </c>
      <c r="CV327" s="155">
        <f t="shared" si="7153"/>
        <v>-4.6554084892743708E-3</v>
      </c>
      <c r="CX327" s="177" t="s">
        <v>287</v>
      </c>
      <c r="CY327" s="155">
        <f t="shared" si="7154"/>
        <v>-2.9707856296881219E-2</v>
      </c>
      <c r="CZ327" s="155">
        <f t="shared" si="7154"/>
        <v>-2.0006436387041471E-2</v>
      </c>
      <c r="DA327" s="155">
        <f t="shared" si="7154"/>
        <v>-2.1176470588235241E-2</v>
      </c>
      <c r="DB327" s="155">
        <f t="shared" si="7154"/>
        <v>-8.6027447729573048E-3</v>
      </c>
      <c r="DC327" s="155">
        <f t="shared" si="7154"/>
        <v>-1.965605927454761E-2</v>
      </c>
      <c r="DE327" s="177" t="s">
        <v>287</v>
      </c>
      <c r="DF327" s="155">
        <f t="shared" si="7155"/>
        <v>2.4632207880051826E-2</v>
      </c>
      <c r="DG327" s="155">
        <f t="shared" si="7155"/>
        <v>2.4622281539277591E-2</v>
      </c>
      <c r="DH327" s="155">
        <f t="shared" si="7155"/>
        <v>-1.6841317365270392E-3</v>
      </c>
      <c r="DI327" s="155">
        <f t="shared" si="7155"/>
        <v>4.6681550639333658E-3</v>
      </c>
      <c r="DJ327" s="155">
        <f t="shared" si="7155"/>
        <v>1.2567450501507871E-2</v>
      </c>
      <c r="DL327" s="177" t="s">
        <v>287</v>
      </c>
      <c r="DM327" s="155">
        <f t="shared" si="7156"/>
        <v>-8.0259562841528131E-3</v>
      </c>
      <c r="DN327" s="155">
        <f t="shared" si="7156"/>
        <v>-7.9765735812222793E-3</v>
      </c>
      <c r="DO327" s="155">
        <f t="shared" si="7156"/>
        <v>-6.517359876760942E-4</v>
      </c>
      <c r="DP327" s="155">
        <f t="shared" si="7156"/>
        <v>-3.7878787878820042E-4</v>
      </c>
      <c r="DQ327" s="155">
        <f t="shared" si="7156"/>
        <v>-4.1078283306527075E-3</v>
      </c>
      <c r="DS327" s="177" t="s">
        <v>287</v>
      </c>
      <c r="DT327" s="155">
        <f t="shared" si="7157"/>
        <v>-1.0492845786963523E-2</v>
      </c>
      <c r="DU327" s="155">
        <f t="shared" si="7157"/>
        <v>-1.4583084814505209E-2</v>
      </c>
      <c r="DV327" s="155">
        <f t="shared" si="7157"/>
        <v>-1.1939429237041388E-2</v>
      </c>
      <c r="DW327" s="155">
        <f t="shared" si="7157"/>
        <v>-5.9453032104632708E-3</v>
      </c>
      <c r="DX327" s="155">
        <f t="shared" si="7157"/>
        <v>-1.0806595365418947E-2</v>
      </c>
      <c r="DZ327" s="177" t="s">
        <v>287</v>
      </c>
      <c r="EA327" s="155">
        <f t="shared" si="7158"/>
        <v>-7.799862060317253E-2</v>
      </c>
      <c r="EB327" s="155">
        <f t="shared" si="7158"/>
        <v>-2.3560209424083656E-2</v>
      </c>
      <c r="EC327" s="155">
        <f t="shared" si="7158"/>
        <v>-2.6240815714499877E-2</v>
      </c>
      <c r="ED327" s="155">
        <f t="shared" si="7158"/>
        <v>-3.6011080332410295E-2</v>
      </c>
      <c r="EE327" s="155">
        <f t="shared" si="7158"/>
        <v>-4.0636446886446964E-2</v>
      </c>
      <c r="EG327" s="177" t="s">
        <v>287</v>
      </c>
      <c r="EH327" s="155">
        <f t="shared" si="7159"/>
        <v>-9.9531415671924028E-3</v>
      </c>
      <c r="EI327" s="155">
        <f t="shared" si="7159"/>
        <v>-2.4880039616809846E-2</v>
      </c>
      <c r="EJ327" s="155">
        <f t="shared" si="7159"/>
        <v>1.8775952337967361E-2</v>
      </c>
      <c r="EK327" s="155">
        <f t="shared" si="7159"/>
        <v>7.3366555924696542E-3</v>
      </c>
      <c r="EL327" s="155">
        <f t="shared" si="7159"/>
        <v>-2.0283975659224351E-3</v>
      </c>
      <c r="EN327" s="177" t="s">
        <v>287</v>
      </c>
      <c r="EO327" s="155">
        <f t="shared" si="7160"/>
        <v>-2.941222000340582E-2</v>
      </c>
      <c r="EP327" s="155">
        <f t="shared" si="7160"/>
        <v>-7.5135351298141972E-2</v>
      </c>
      <c r="EQ327" s="155">
        <f t="shared" si="7160"/>
        <v>-0.14907612712490781</v>
      </c>
      <c r="ER327" s="155">
        <f t="shared" si="7160"/>
        <v>-0.1040957881688952</v>
      </c>
      <c r="ES327" s="155">
        <f t="shared" si="7160"/>
        <v>-9.1780750065565186E-2</v>
      </c>
      <c r="EU327" s="177" t="s">
        <v>287</v>
      </c>
      <c r="EV327" s="155">
        <f t="shared" si="7161"/>
        <v>3.6347300498244195E-2</v>
      </c>
      <c r="EW327" s="155">
        <f t="shared" si="7161"/>
        <v>2.9101119172887602E-2</v>
      </c>
      <c r="EX327" s="155">
        <f t="shared" si="7161"/>
        <v>8.7512403633310365E-2</v>
      </c>
      <c r="EY327" s="155">
        <f t="shared" si="7161"/>
        <v>4.4509571615638732E-2</v>
      </c>
      <c r="EZ327" s="155">
        <f t="shared" si="7161"/>
        <v>4.9701388010777059E-2</v>
      </c>
      <c r="FB327" s="177" t="s">
        <v>287</v>
      </c>
      <c r="FC327" s="155">
        <f t="shared" si="7162"/>
        <v>-3.61897717666948E-3</v>
      </c>
      <c r="FD327" s="155">
        <f t="shared" si="7162"/>
        <v>1.7971326647371777E-2</v>
      </c>
      <c r="FE327" s="155">
        <f t="shared" si="7162"/>
        <v>-8.8453827102249472E-3</v>
      </c>
      <c r="FF327" s="155">
        <f t="shared" si="7162"/>
        <v>2.9130548988705041E-2</v>
      </c>
      <c r="FG327" s="155">
        <f t="shared" si="7162"/>
        <v>8.5451858317546758E-3</v>
      </c>
      <c r="FI327" s="177" t="s">
        <v>287</v>
      </c>
      <c r="FJ327" s="155">
        <f t="shared" si="7163"/>
        <v>4.5830809610337031E-2</v>
      </c>
      <c r="FK327" s="155">
        <f t="shared" si="7163"/>
        <v>2.6587528604118837E-2</v>
      </c>
      <c r="FL327" s="155">
        <f t="shared" si="7163"/>
        <v>5.1189229618548771E-2</v>
      </c>
      <c r="FM327" s="155">
        <f t="shared" si="7163"/>
        <v>2.2218319135856923E-2</v>
      </c>
      <c r="FN327" s="155">
        <f t="shared" si="7163"/>
        <v>3.6353431761360522E-2</v>
      </c>
      <c r="FP327" s="177" t="s">
        <v>287</v>
      </c>
      <c r="FQ327" s="155">
        <f t="shared" si="7164"/>
        <v>-1.0767451943922257E-2</v>
      </c>
      <c r="FR327" s="155">
        <f t="shared" si="7164"/>
        <v>2.3410061234348634E-2</v>
      </c>
      <c r="FS327" s="155">
        <f t="shared" si="7164"/>
        <v>4.2018581081081141E-2</v>
      </c>
      <c r="FT327" s="155">
        <f t="shared" si="7164"/>
        <v>-1.9414201753540916E-2</v>
      </c>
      <c r="FU327" s="155">
        <f t="shared" si="7164"/>
        <v>7.8896598663289463E-3</v>
      </c>
      <c r="FW327" s="177" t="s">
        <v>287</v>
      </c>
      <c r="FX327" s="155">
        <f t="shared" si="7165"/>
        <v>6.9966761633428076E-2</v>
      </c>
      <c r="FY327" s="155">
        <f t="shared" si="7165"/>
        <v>0.10330939887692181</v>
      </c>
      <c r="FZ327" s="155">
        <f t="shared" si="7165"/>
        <v>6.8357973724756604E-2</v>
      </c>
      <c r="GA327" s="155">
        <f t="shared" si="7165"/>
        <v>0.15725719229937285</v>
      </c>
      <c r="GB327" s="155">
        <f t="shared" si="7165"/>
        <v>0.10260833702168726</v>
      </c>
      <c r="GD327" s="177" t="s">
        <v>287</v>
      </c>
      <c r="GE327" s="155">
        <f t="shared" si="7166"/>
        <v>0.11311901345639286</v>
      </c>
      <c r="GF327" s="155">
        <f t="shared" si="7166"/>
        <v>8.7535571997723327E-2</v>
      </c>
      <c r="GG327" s="155">
        <f t="shared" si="7166"/>
        <v>9.7415449929720843E-2</v>
      </c>
      <c r="GH327" s="155">
        <f t="shared" si="7166"/>
        <v>9.3592417061611144E-2</v>
      </c>
      <c r="GI327" s="155">
        <f t="shared" si="7166"/>
        <v>9.6533110157966284E-2</v>
      </c>
      <c r="GK327" s="177" t="s">
        <v>287</v>
      </c>
      <c r="GL327" s="155">
        <f t="shared" si="7167"/>
        <v>9.7519902020820615E-2</v>
      </c>
      <c r="GM327" s="155">
        <f t="shared" si="7167"/>
        <v>3.0977030087350421E-2</v>
      </c>
      <c r="GN327" s="155">
        <f t="shared" si="7167"/>
        <v>8.9176552225489925E-2</v>
      </c>
      <c r="GO327" s="155">
        <f t="shared" si="7167"/>
        <v>0.12867448594003061</v>
      </c>
      <c r="GP327" s="155">
        <f t="shared" si="7167"/>
        <v>8.7602342447447912E-2</v>
      </c>
      <c r="GR327" s="177" t="s">
        <v>287</v>
      </c>
      <c r="GS327" s="155">
        <f t="shared" si="7168"/>
        <v>0.15080705071925471</v>
      </c>
      <c r="GT327" s="155">
        <f t="shared" si="7168"/>
        <v>0.22975763113026337</v>
      </c>
      <c r="GU327" s="155">
        <f t="shared" si="7168"/>
        <v>0.23727604826150883</v>
      </c>
      <c r="GV327" s="155">
        <f t="shared" si="7168"/>
        <v>0.16873021027847668</v>
      </c>
      <c r="GW327" s="155">
        <f t="shared" si="7168"/>
        <v>0.19793815824702965</v>
      </c>
      <c r="GY327" s="177" t="s">
        <v>287</v>
      </c>
      <c r="GZ327" s="155">
        <f t="shared" si="7169"/>
        <v>0.1518494152046781</v>
      </c>
      <c r="HA327" s="155">
        <f t="shared" si="7169"/>
        <v>2.3522746348833445E-2</v>
      </c>
      <c r="HB327" s="155">
        <f t="shared" si="7169"/>
        <v>-5.8564526184538557E-2</v>
      </c>
      <c r="HC327" s="155">
        <f t="shared" si="7169"/>
        <v>-5.9200611475256348E-3</v>
      </c>
      <c r="HD327" s="155">
        <f t="shared" si="7169"/>
        <v>7.2903126496526305E-4</v>
      </c>
      <c r="HF327" s="177" t="s">
        <v>287</v>
      </c>
      <c r="HG327" s="155">
        <f t="shared" si="7170"/>
        <v>2.6853572031751538E-2</v>
      </c>
      <c r="HH327" s="155">
        <f t="shared" si="7170"/>
        <v>0.18442455499279164</v>
      </c>
      <c r="HI327" s="155">
        <f t="shared" si="7170"/>
        <v>0.23996473154206677</v>
      </c>
      <c r="HJ327" s="155">
        <f t="shared" si="7170"/>
        <v>0.19486284694043188</v>
      </c>
      <c r="HK327" s="155">
        <f t="shared" si="7170"/>
        <v>0.18175691763772162</v>
      </c>
      <c r="HM327" s="177" t="s">
        <v>287</v>
      </c>
      <c r="HN327" s="155">
        <f t="shared" si="7171"/>
        <v>0.1758250224114748</v>
      </c>
      <c r="HO327" s="155">
        <f t="shared" si="7171"/>
        <v>0.21303642714570858</v>
      </c>
      <c r="HP327" s="155">
        <f t="shared" si="7171"/>
        <v>0.18192365269461086</v>
      </c>
      <c r="HQ327" s="155">
        <f t="shared" si="7171"/>
        <v>0.15413435240343176</v>
      </c>
      <c r="HR327" s="155">
        <f t="shared" si="7171"/>
        <v>0.17981358444816542</v>
      </c>
      <c r="HT327" s="177" t="s">
        <v>287</v>
      </c>
      <c r="HU327" s="155">
        <f t="shared" si="7172"/>
        <v>5.532671661893751E-2</v>
      </c>
      <c r="HV327" s="155">
        <f t="shared" si="7172"/>
        <v>-2.75598819038676E-2</v>
      </c>
      <c r="HW327" s="155">
        <f t="shared" si="7172"/>
        <v>-6.097085937934732E-2</v>
      </c>
      <c r="HX327" s="155">
        <f t="shared" si="7172"/>
        <v>-4.4973708629755582E-2</v>
      </c>
      <c r="HY327" s="155">
        <f t="shared" si="7172"/>
        <v>-2.0902341794091561E-2</v>
      </c>
      <c r="IA327" s="177" t="s">
        <v>287</v>
      </c>
      <c r="IB327" s="155">
        <f t="shared" si="7173"/>
        <v>-6.8516989145823715E-2</v>
      </c>
      <c r="IC327" s="155">
        <f t="shared" si="7173"/>
        <v>-6.0975609756097615E-2</v>
      </c>
      <c r="ID327" s="155">
        <f t="shared" si="7173"/>
        <v>-5.6254023407506293E-2</v>
      </c>
      <c r="IE327" s="155">
        <f t="shared" si="7173"/>
        <v>-4.9170365673219196E-2</v>
      </c>
      <c r="IF327" s="155">
        <f t="shared" si="7173"/>
        <v>-5.5950774964332983E-2</v>
      </c>
      <c r="IH327" s="177" t="s">
        <v>287</v>
      </c>
      <c r="II327" s="155">
        <f t="shared" si="7174"/>
        <v>-8.8154269972451904E-2</v>
      </c>
      <c r="IJ327" s="155">
        <f t="shared" si="7174"/>
        <v>-9.2813852813853015E-2</v>
      </c>
      <c r="IK327" s="155">
        <f t="shared" si="7174"/>
        <v>-6.1917305236270814E-2</v>
      </c>
      <c r="IL327" s="155">
        <f t="shared" si="7174"/>
        <v>-9.7061896808484316E-2</v>
      </c>
      <c r="IM327" s="155">
        <f t="shared" si="7174"/>
        <v>-8.5272797306196857E-2</v>
      </c>
      <c r="IO327" s="177" t="s">
        <v>287</v>
      </c>
      <c r="IP327" s="155">
        <f t="shared" si="7175"/>
        <v>-2.4281773657840899E-2</v>
      </c>
      <c r="IQ327" s="155">
        <f t="shared" si="7175"/>
        <v>-3.5320538995508244E-2</v>
      </c>
      <c r="IR327" s="155">
        <f t="shared" si="7175"/>
        <v>5.786658045947024E-2</v>
      </c>
      <c r="IS327" s="155">
        <f t="shared" si="7175"/>
        <v>-6.0966561139692566E-3</v>
      </c>
      <c r="IT327" s="155">
        <f t="shared" si="7175"/>
        <v>-6.9485644706881455E-3</v>
      </c>
      <c r="IV327" s="177" t="s">
        <v>287</v>
      </c>
      <c r="IW327" s="155">
        <f t="shared" si="7176"/>
        <v>3.8021523446337024E-2</v>
      </c>
      <c r="IX327" s="155">
        <f t="shared" si="7176"/>
        <v>3.1746031746031633E-3</v>
      </c>
      <c r="IY327" s="155">
        <f t="shared" si="7176"/>
        <v>-7.3592363338056632E-2</v>
      </c>
      <c r="IZ327" s="155">
        <f t="shared" si="7176"/>
        <v>1.8097830569991036E-2</v>
      </c>
      <c r="JA327" s="155">
        <f t="shared" si="7176"/>
        <v>-1.5954882868987053E-3</v>
      </c>
      <c r="JC327" s="177" t="s">
        <v>287</v>
      </c>
      <c r="JD327" s="155">
        <f t="shared" si="7177"/>
        <v>0.19719109093488418</v>
      </c>
      <c r="JE327" s="155">
        <f t="shared" si="7177"/>
        <v>0.25</v>
      </c>
      <c r="JF327" s="155">
        <f t="shared" si="7177"/>
        <v>0.16122821837612733</v>
      </c>
      <c r="JG327" s="155">
        <f t="shared" si="7177"/>
        <v>0.18348133264194999</v>
      </c>
      <c r="JH327" s="155">
        <f t="shared" si="7177"/>
        <v>0.19726618360592107</v>
      </c>
      <c r="JJ327" s="177" t="s">
        <v>287</v>
      </c>
      <c r="JK327" s="155">
        <f t="shared" si="7178"/>
        <v>-8.3324033775994399E-3</v>
      </c>
      <c r="JL327" s="155">
        <f t="shared" si="7178"/>
        <v>-3.5593220338983045E-2</v>
      </c>
      <c r="JM327" s="155">
        <f t="shared" si="7178"/>
        <v>3.9105058365758838E-2</v>
      </c>
      <c r="JN327" s="155">
        <f t="shared" si="7178"/>
        <v>6.4176152025164246E-2</v>
      </c>
      <c r="JO327" s="155">
        <f t="shared" si="7178"/>
        <v>1.4429139915613787E-2</v>
      </c>
      <c r="JQ327" s="177" t="s">
        <v>287</v>
      </c>
      <c r="JR327" s="155">
        <f t="shared" si="7179"/>
        <v>4.9209504875509014E-2</v>
      </c>
      <c r="JS327" s="155">
        <f t="shared" si="7179"/>
        <v>5.9737830734751141E-2</v>
      </c>
      <c r="JT327" s="155">
        <f t="shared" si="7179"/>
        <v>2.2389538339607773E-2</v>
      </c>
      <c r="JU327" s="155">
        <f t="shared" si="7179"/>
        <v>-5.0068985549342804E-2</v>
      </c>
      <c r="JV327" s="155">
        <f t="shared" si="7179"/>
        <v>2.030536038114783E-2</v>
      </c>
      <c r="JX327" s="177" t="s">
        <v>287</v>
      </c>
      <c r="JY327" s="155">
        <f t="shared" si="7180"/>
        <v>-8.0898245007348657E-2</v>
      </c>
      <c r="JZ327" s="155">
        <f t="shared" si="7180"/>
        <v>-6.3943746259724654E-2</v>
      </c>
      <c r="KA327" s="155">
        <f t="shared" si="7180"/>
        <v>-7.2224041925974536E-2</v>
      </c>
      <c r="KB327" s="155">
        <f t="shared" si="7180"/>
        <v>-8.5745409274820772E-2</v>
      </c>
      <c r="KC327" s="155">
        <f t="shared" si="7180"/>
        <v>-7.8487168375944938E-2</v>
      </c>
      <c r="KE327" s="177" t="s">
        <v>287</v>
      </c>
      <c r="KF327" s="155">
        <f t="shared" si="7181"/>
        <v>0.12929292929292924</v>
      </c>
      <c r="KG327" s="155">
        <f t="shared" si="7181"/>
        <v>-3.8782002726859388E-2</v>
      </c>
      <c r="KH327" s="155">
        <f t="shared" si="7181"/>
        <v>0.11201906707524678</v>
      </c>
      <c r="KI327" s="155">
        <f t="shared" si="7181"/>
        <v>0.37825882352941131</v>
      </c>
      <c r="KJ327" s="155">
        <f t="shared" si="7181"/>
        <v>0.14060800181179189</v>
      </c>
      <c r="KL327" s="177" t="s">
        <v>287</v>
      </c>
      <c r="KM327" s="155">
        <f t="shared" si="7182"/>
        <v>0.31871345029239806</v>
      </c>
      <c r="KN327" s="155">
        <f t="shared" si="7182"/>
        <v>0.68557919621749353</v>
      </c>
      <c r="KO327" s="155">
        <f t="shared" si="7182"/>
        <v>0.40384226491405495</v>
      </c>
      <c r="KP327" s="155">
        <f t="shared" si="7182"/>
        <v>0.10586914955524174</v>
      </c>
      <c r="KQ327" s="155">
        <f t="shared" si="7182"/>
        <v>0.3603089300486888</v>
      </c>
      <c r="KS327" s="177" t="s">
        <v>287</v>
      </c>
      <c r="KT327" s="155">
        <f t="shared" si="7183"/>
        <v>-1.8924871522962849E-2</v>
      </c>
      <c r="KU327" s="155">
        <f t="shared" si="7183"/>
        <v>-0.10659186535764376</v>
      </c>
      <c r="KV327" s="155">
        <f t="shared" si="7183"/>
        <v>-0.12909165302782344</v>
      </c>
      <c r="KW327" s="155">
        <f t="shared" si="7183"/>
        <v>-5.0851970181043593E-2</v>
      </c>
      <c r="KX327" s="155">
        <f t="shared" si="7183"/>
        <v>-7.7691702661493278E-2</v>
      </c>
      <c r="KZ327" s="177" t="s">
        <v>287</v>
      </c>
      <c r="LA327" s="155">
        <f t="shared" si="7184"/>
        <v>-2.2822762260091944E-2</v>
      </c>
      <c r="LB327" s="155">
        <f t="shared" si="7185"/>
        <v>-7.6069287855002221E-2</v>
      </c>
      <c r="LC327" s="155">
        <f t="shared" si="7185"/>
        <v>-3.817552817552794E-2</v>
      </c>
      <c r="LD327" s="155">
        <f t="shared" si="7185"/>
        <v>-8.0088479262672818E-2</v>
      </c>
      <c r="LE327" s="155">
        <f t="shared" si="7185"/>
        <v>-5.2334943639291698E-2</v>
      </c>
      <c r="LF327" s="569"/>
      <c r="LG327" s="177" t="s">
        <v>287</v>
      </c>
      <c r="LH327" s="155">
        <f t="shared" si="7186"/>
        <v>-0.18380349608197721</v>
      </c>
      <c r="LI327" s="155">
        <f t="shared" si="7186"/>
        <v>-0.19834918717600281</v>
      </c>
      <c r="LJ327" s="155">
        <f>IFERROR(LJ322/LC322-1,"NM")</f>
        <v>-0.18567197586525364</v>
      </c>
      <c r="LK327" s="155">
        <f t="shared" si="7186"/>
        <v>-0.1171698874399193</v>
      </c>
      <c r="LL327" s="155">
        <f t="shared" si="7186"/>
        <v>-0.17522087738113445</v>
      </c>
      <c r="LM327" s="569"/>
      <c r="LN327" s="177" t="s">
        <v>287</v>
      </c>
      <c r="LO327" s="155">
        <f t="shared" si="7187"/>
        <v>-2.991582783755653E-2</v>
      </c>
      <c r="LP327" s="155">
        <f t="shared" si="7187"/>
        <v>-4.8643945191692017E-3</v>
      </c>
      <c r="LQ327" s="155">
        <f>IFERROR(LQ322/LJ322-1,"NM")</f>
        <v>-1.9837058564220467E-3</v>
      </c>
      <c r="LR327" s="155">
        <f t="shared" si="7187"/>
        <v>1.9896281734060661E-2</v>
      </c>
      <c r="LS327" s="155">
        <f t="shared" si="7187"/>
        <v>-4.0325727743603101E-3</v>
      </c>
      <c r="LT327" s="569"/>
      <c r="LU327" s="154" t="s">
        <v>287</v>
      </c>
      <c r="LV327" s="155">
        <f t="shared" si="7188"/>
        <v>1.499999999999968E-2</v>
      </c>
      <c r="LW327" s="155">
        <f t="shared" si="7189"/>
        <v>9.9999999999997868E-3</v>
      </c>
      <c r="LX327" s="155">
        <f t="shared" si="7190"/>
        <v>4.9999999999996714E-3</v>
      </c>
      <c r="LY327" s="155">
        <f t="shared" si="7191"/>
        <v>5.0000000000001155E-3</v>
      </c>
      <c r="LZ327" s="155">
        <f t="shared" si="7192"/>
        <v>8.6080961513532728E-3</v>
      </c>
      <c r="MA327" s="569"/>
      <c r="MB327" s="154" t="s">
        <v>287</v>
      </c>
      <c r="MC327" s="155">
        <f t="shared" si="7193"/>
        <v>5.0000000000001155E-3</v>
      </c>
      <c r="MD327" s="155">
        <f t="shared" si="7194"/>
        <v>4.9999999999998934E-3</v>
      </c>
      <c r="ME327" s="155">
        <f t="shared" si="7195"/>
        <v>1.0000000000000009E-2</v>
      </c>
      <c r="MF327" s="155">
        <f t="shared" si="7196"/>
        <v>1.0000000000000009E-2</v>
      </c>
      <c r="MG327" s="155">
        <f t="shared" si="7197"/>
        <v>7.5520728428166706E-3</v>
      </c>
      <c r="MH327" s="569"/>
    </row>
    <row r="328" spans="1:346" s="37" customFormat="1" ht="13.15" x14ac:dyDescent="0.4">
      <c r="A328" s="100"/>
      <c r="B328" s="177" t="s">
        <v>286</v>
      </c>
      <c r="C328" s="155"/>
      <c r="D328" s="155"/>
      <c r="E328" s="155"/>
      <c r="F328" s="155"/>
      <c r="G328" s="155"/>
      <c r="H328" s="155"/>
      <c r="I328" s="155"/>
      <c r="J328" s="155"/>
      <c r="K328" s="155"/>
      <c r="L328" s="155"/>
      <c r="M328" s="155"/>
      <c r="N328" s="155">
        <f>BT328</f>
        <v>0</v>
      </c>
      <c r="O328" s="155" t="str">
        <f>CA328</f>
        <v>NM</v>
      </c>
      <c r="P328" s="155" t="str">
        <f>CH328</f>
        <v>NM</v>
      </c>
      <c r="Q328" s="155" t="str">
        <f>CO328</f>
        <v>NM</v>
      </c>
      <c r="R328" s="155" t="str">
        <f>CV328</f>
        <v>NM</v>
      </c>
      <c r="S328" s="155" t="str">
        <f>DC328</f>
        <v>NM</v>
      </c>
      <c r="T328" s="155" t="str">
        <f>DJ328</f>
        <v>NM</v>
      </c>
      <c r="U328" s="155" t="str">
        <f>DQ328</f>
        <v>NM</v>
      </c>
      <c r="V328" s="155" t="str">
        <f>DX328</f>
        <v>NM</v>
      </c>
      <c r="W328" s="155" t="str">
        <f>EE328</f>
        <v>NM</v>
      </c>
      <c r="X328" s="155" t="str">
        <f>EL328</f>
        <v>NM</v>
      </c>
      <c r="Y328" s="155" t="str">
        <f>ES328</f>
        <v>NM</v>
      </c>
      <c r="Z328" s="155">
        <f>EZ328</f>
        <v>3.3910824603815559E-3</v>
      </c>
      <c r="AA328" s="155">
        <f>FG328</f>
        <v>3.0832476875642278E-2</v>
      </c>
      <c r="AB328" s="155">
        <f>FN328</f>
        <v>3.5663841807909824E-2</v>
      </c>
      <c r="AC328" s="155">
        <f>FU328</f>
        <v>2.1053528810091926E-2</v>
      </c>
      <c r="AD328" s="155">
        <f>GB328</f>
        <v>0.10200543258394501</v>
      </c>
      <c r="AE328" s="155">
        <f>GI328</f>
        <v>3.1750381159145524E-2</v>
      </c>
      <c r="AF328" s="155">
        <f>GP328</f>
        <v>2.4035959993061962E-2</v>
      </c>
      <c r="AG328" s="155">
        <f>GW328</f>
        <v>0.12712609050398549</v>
      </c>
      <c r="AH328" s="155">
        <f>HD328</f>
        <v>-0.10750814216656557</v>
      </c>
      <c r="AI328" s="155">
        <f>HK328</f>
        <v>-8.7864797081623314E-2</v>
      </c>
      <c r="AJ328" s="155">
        <f>HR328</f>
        <v>4.5817245817245666E-2</v>
      </c>
      <c r="AK328" s="155">
        <f>HY328</f>
        <v>1.7374654279838309E-2</v>
      </c>
      <c r="AL328" s="155">
        <f>IF328</f>
        <v>4.9987452948556665E-3</v>
      </c>
      <c r="AM328" s="155">
        <f>IM328</f>
        <v>-2.6934877480772612E-2</v>
      </c>
      <c r="AN328" s="155">
        <f>IT328</f>
        <v>-5.4039383493798887E-2</v>
      </c>
      <c r="AO328" s="155">
        <f>JA328</f>
        <v>-6.3368147706579503E-3</v>
      </c>
      <c r="AP328" s="155">
        <f>JH328</f>
        <v>6.1035470580659279E-3</v>
      </c>
      <c r="AQ328" s="155">
        <f>JO328</f>
        <v>5.5057132612543747E-2</v>
      </c>
      <c r="AR328" s="155">
        <f>JV328</f>
        <v>-7.2366533895221741E-3</v>
      </c>
      <c r="AS328" s="155">
        <f>KC328</f>
        <v>-7.4251860239404555E-2</v>
      </c>
      <c r="AT328" s="155">
        <f>KJ328</f>
        <v>2.4667524667524754E-2</v>
      </c>
      <c r="AU328" s="155">
        <f>KQ328</f>
        <v>0.23851662404092044</v>
      </c>
      <c r="AV328" s="155">
        <f>KX328</f>
        <v>-5.301579226415043E-2</v>
      </c>
      <c r="AW328" s="155">
        <f>LE328</f>
        <v>-2.3562230312836996E-2</v>
      </c>
      <c r="AX328" s="155">
        <f>LL328</f>
        <v>-2.1281757884348607E-2</v>
      </c>
      <c r="AY328" s="155">
        <f>LS328</f>
        <v>3.6447819724283015E-2</v>
      </c>
      <c r="AZ328" s="155">
        <f>LZ328</f>
        <v>3.2638623867882854E-2</v>
      </c>
      <c r="BA328" s="155">
        <f>MG328</f>
        <v>3.2499999999999751E-2</v>
      </c>
      <c r="BB328" s="155"/>
      <c r="BC328" s="155"/>
      <c r="BD328" s="155"/>
      <c r="BE328" s="155"/>
      <c r="BF328" s="155"/>
      <c r="BG328" s="155"/>
      <c r="BH328" s="155"/>
      <c r="BI328" s="155"/>
      <c r="BJ328" s="155"/>
      <c r="BK328" s="155"/>
      <c r="BL328" s="155"/>
      <c r="BM328" s="155"/>
      <c r="BO328" s="177" t="s">
        <v>286</v>
      </c>
      <c r="BP328" s="155"/>
      <c r="BQ328" s="155"/>
      <c r="BR328" s="155"/>
      <c r="BS328" s="155"/>
      <c r="BT328" s="155"/>
      <c r="BV328" s="177" t="s">
        <v>286</v>
      </c>
      <c r="BW328" s="155" t="str">
        <f t="shared" si="7150"/>
        <v>NM</v>
      </c>
      <c r="BX328" s="155" t="str">
        <f t="shared" si="7150"/>
        <v>NM</v>
      </c>
      <c r="BY328" s="155" t="str">
        <f t="shared" si="7150"/>
        <v>NM</v>
      </c>
      <c r="BZ328" s="155" t="str">
        <f t="shared" si="7150"/>
        <v>NM</v>
      </c>
      <c r="CA328" s="155" t="str">
        <f t="shared" si="7150"/>
        <v>NM</v>
      </c>
      <c r="CC328" s="177" t="s">
        <v>286</v>
      </c>
      <c r="CD328" s="155" t="str">
        <f t="shared" si="7151"/>
        <v>NM</v>
      </c>
      <c r="CE328" s="155" t="str">
        <f t="shared" si="7151"/>
        <v>NM</v>
      </c>
      <c r="CF328" s="155" t="str">
        <f t="shared" si="7151"/>
        <v>NM</v>
      </c>
      <c r="CG328" s="155" t="str">
        <f t="shared" si="7151"/>
        <v>NM</v>
      </c>
      <c r="CH328" s="155" t="str">
        <f t="shared" si="7151"/>
        <v>NM</v>
      </c>
      <c r="CJ328" s="177" t="s">
        <v>286</v>
      </c>
      <c r="CK328" s="155" t="str">
        <f t="shared" si="7152"/>
        <v>NM</v>
      </c>
      <c r="CL328" s="155" t="str">
        <f t="shared" si="7152"/>
        <v>NM</v>
      </c>
      <c r="CM328" s="155" t="str">
        <f t="shared" si="7152"/>
        <v>NM</v>
      </c>
      <c r="CN328" s="155" t="str">
        <f t="shared" si="7152"/>
        <v>NM</v>
      </c>
      <c r="CO328" s="155" t="str">
        <f t="shared" si="7152"/>
        <v>NM</v>
      </c>
      <c r="CQ328" s="177" t="s">
        <v>286</v>
      </c>
      <c r="CR328" s="155" t="str">
        <f t="shared" si="7153"/>
        <v>NM</v>
      </c>
      <c r="CS328" s="155" t="str">
        <f t="shared" si="7153"/>
        <v>NM</v>
      </c>
      <c r="CT328" s="155" t="str">
        <f t="shared" si="7153"/>
        <v>NM</v>
      </c>
      <c r="CU328" s="155" t="str">
        <f t="shared" si="7153"/>
        <v>NM</v>
      </c>
      <c r="CV328" s="155" t="str">
        <f t="shared" si="7153"/>
        <v>NM</v>
      </c>
      <c r="CX328" s="177" t="s">
        <v>286</v>
      </c>
      <c r="CY328" s="155" t="str">
        <f t="shared" si="7154"/>
        <v>NM</v>
      </c>
      <c r="CZ328" s="155" t="str">
        <f t="shared" si="7154"/>
        <v>NM</v>
      </c>
      <c r="DA328" s="155" t="str">
        <f t="shared" si="7154"/>
        <v>NM</v>
      </c>
      <c r="DB328" s="155" t="str">
        <f t="shared" si="7154"/>
        <v>NM</v>
      </c>
      <c r="DC328" s="155" t="str">
        <f t="shared" si="7154"/>
        <v>NM</v>
      </c>
      <c r="DE328" s="177" t="s">
        <v>286</v>
      </c>
      <c r="DF328" s="155" t="str">
        <f t="shared" si="7155"/>
        <v>NM</v>
      </c>
      <c r="DG328" s="155" t="str">
        <f t="shared" si="7155"/>
        <v>NM</v>
      </c>
      <c r="DH328" s="155" t="str">
        <f t="shared" si="7155"/>
        <v>NM</v>
      </c>
      <c r="DI328" s="155" t="str">
        <f t="shared" si="7155"/>
        <v>NM</v>
      </c>
      <c r="DJ328" s="155" t="str">
        <f t="shared" si="7155"/>
        <v>NM</v>
      </c>
      <c r="DL328" s="177" t="s">
        <v>286</v>
      </c>
      <c r="DM328" s="155" t="str">
        <f t="shared" si="7156"/>
        <v>NM</v>
      </c>
      <c r="DN328" s="155" t="str">
        <f t="shared" si="7156"/>
        <v>NM</v>
      </c>
      <c r="DO328" s="155" t="str">
        <f t="shared" si="7156"/>
        <v>NM</v>
      </c>
      <c r="DP328" s="155" t="str">
        <f t="shared" si="7156"/>
        <v>NM</v>
      </c>
      <c r="DQ328" s="155" t="str">
        <f t="shared" si="7156"/>
        <v>NM</v>
      </c>
      <c r="DS328" s="177" t="s">
        <v>286</v>
      </c>
      <c r="DT328" s="155" t="str">
        <f t="shared" si="7157"/>
        <v>NM</v>
      </c>
      <c r="DU328" s="155" t="str">
        <f t="shared" si="7157"/>
        <v>NM</v>
      </c>
      <c r="DV328" s="155" t="str">
        <f t="shared" si="7157"/>
        <v>NM</v>
      </c>
      <c r="DW328" s="155" t="str">
        <f t="shared" si="7157"/>
        <v>NM</v>
      </c>
      <c r="DX328" s="155" t="str">
        <f t="shared" si="7157"/>
        <v>NM</v>
      </c>
      <c r="DZ328" s="177" t="s">
        <v>286</v>
      </c>
      <c r="EA328" s="155" t="str">
        <f t="shared" si="7158"/>
        <v>NM</v>
      </c>
      <c r="EB328" s="155" t="str">
        <f t="shared" si="7158"/>
        <v>NM</v>
      </c>
      <c r="EC328" s="155" t="str">
        <f t="shared" si="7158"/>
        <v>NM</v>
      </c>
      <c r="ED328" s="155" t="str">
        <f t="shared" si="7158"/>
        <v>NM</v>
      </c>
      <c r="EE328" s="155" t="str">
        <f t="shared" si="7158"/>
        <v>NM</v>
      </c>
      <c r="EG328" s="177" t="s">
        <v>286</v>
      </c>
      <c r="EH328" s="155" t="str">
        <f t="shared" si="7159"/>
        <v>NM</v>
      </c>
      <c r="EI328" s="155" t="str">
        <f t="shared" si="7159"/>
        <v>NM</v>
      </c>
      <c r="EJ328" s="155" t="str">
        <f t="shared" si="7159"/>
        <v>NM</v>
      </c>
      <c r="EK328" s="155" t="str">
        <f t="shared" si="7159"/>
        <v>NM</v>
      </c>
      <c r="EL328" s="155" t="str">
        <f t="shared" si="7159"/>
        <v>NM</v>
      </c>
      <c r="EN328" s="177" t="s">
        <v>286</v>
      </c>
      <c r="EO328" s="155" t="str">
        <f t="shared" si="7160"/>
        <v>NM</v>
      </c>
      <c r="EP328" s="155" t="str">
        <f t="shared" si="7160"/>
        <v>NM</v>
      </c>
      <c r="EQ328" s="155" t="str">
        <f t="shared" si="7160"/>
        <v>NM</v>
      </c>
      <c r="ER328" s="155" t="str">
        <f t="shared" si="7160"/>
        <v>NM</v>
      </c>
      <c r="ES328" s="155" t="str">
        <f t="shared" si="7160"/>
        <v>NM</v>
      </c>
      <c r="EU328" s="177" t="s">
        <v>286</v>
      </c>
      <c r="EV328" s="155">
        <f t="shared" si="7161"/>
        <v>0.13281250000000022</v>
      </c>
      <c r="EW328" s="155">
        <f t="shared" si="7161"/>
        <v>-1.5001321702352577E-2</v>
      </c>
      <c r="EX328" s="155">
        <f t="shared" si="7161"/>
        <v>-2.6041666666666852E-2</v>
      </c>
      <c r="EY328" s="155">
        <f t="shared" si="7161"/>
        <v>-7.136468182979816E-2</v>
      </c>
      <c r="EZ328" s="155">
        <f t="shared" si="7161"/>
        <v>3.3910824603815559E-3</v>
      </c>
      <c r="FB328" s="177" t="s">
        <v>286</v>
      </c>
      <c r="FC328" s="155">
        <f t="shared" si="7162"/>
        <v>-4.9433106575964003E-2</v>
      </c>
      <c r="FD328" s="155">
        <f t="shared" si="7162"/>
        <v>5.1797184638513016E-2</v>
      </c>
      <c r="FE328" s="155">
        <f t="shared" si="7162"/>
        <v>5.3872053872054071E-2</v>
      </c>
      <c r="FF328" s="155">
        <f t="shared" si="7162"/>
        <v>6.3753723932472584E-2</v>
      </c>
      <c r="FG328" s="155">
        <f t="shared" si="7162"/>
        <v>3.0832476875642278E-2</v>
      </c>
      <c r="FI328" s="177" t="s">
        <v>286</v>
      </c>
      <c r="FJ328" s="155">
        <f t="shared" si="7163"/>
        <v>0.10746894177518351</v>
      </c>
      <c r="FK328" s="155">
        <f t="shared" si="7163"/>
        <v>4.1523341523341584E-2</v>
      </c>
      <c r="FL328" s="155">
        <f t="shared" si="7163"/>
        <v>0</v>
      </c>
      <c r="FM328" s="155">
        <f t="shared" si="7163"/>
        <v>4.6232085067037243E-3</v>
      </c>
      <c r="FN328" s="155">
        <f t="shared" si="7163"/>
        <v>3.5663841807909824E-2</v>
      </c>
      <c r="FP328" s="177" t="s">
        <v>286</v>
      </c>
      <c r="FQ328" s="155">
        <f t="shared" si="7164"/>
        <v>-1.4900662251655872E-2</v>
      </c>
      <c r="FR328" s="155">
        <f t="shared" si="7164"/>
        <v>-2.4544256534153375E-2</v>
      </c>
      <c r="FS328" s="155">
        <f t="shared" si="7164"/>
        <v>6.8321454902924517E-2</v>
      </c>
      <c r="FT328" s="155">
        <f t="shared" si="7164"/>
        <v>5.5691056910569081E-2</v>
      </c>
      <c r="FU328" s="155">
        <f t="shared" si="7164"/>
        <v>2.1053528810091926E-2</v>
      </c>
      <c r="FW328" s="177" t="s">
        <v>286</v>
      </c>
      <c r="FX328" s="155">
        <f t="shared" si="7165"/>
        <v>0.12799999999999967</v>
      </c>
      <c r="FY328" s="155">
        <f t="shared" si="7165"/>
        <v>0.13955703738985448</v>
      </c>
      <c r="FZ328" s="155">
        <f t="shared" si="7165"/>
        <v>6.7105102910729464E-2</v>
      </c>
      <c r="GA328" s="155">
        <f t="shared" si="7165"/>
        <v>7.6206812055868545E-2</v>
      </c>
      <c r="GB328" s="155">
        <f t="shared" si="7165"/>
        <v>0.10200543258394501</v>
      </c>
      <c r="GD328" s="177" t="s">
        <v>286</v>
      </c>
      <c r="GE328" s="155">
        <f t="shared" si="7166"/>
        <v>-4.7082662852370172E-3</v>
      </c>
      <c r="GF328" s="155">
        <f t="shared" si="7166"/>
        <v>5.8433390508862093E-2</v>
      </c>
      <c r="GG328" s="155">
        <f t="shared" si="7166"/>
        <v>2.0112100230794683E-2</v>
      </c>
      <c r="GH328" s="155">
        <f t="shared" si="7166"/>
        <v>3.4573350147120596E-2</v>
      </c>
      <c r="GI328" s="155">
        <f t="shared" si="7166"/>
        <v>3.1750381159145524E-2</v>
      </c>
      <c r="GK328" s="177" t="s">
        <v>286</v>
      </c>
      <c r="GL328" s="155">
        <f t="shared" si="7167"/>
        <v>-9.0431382133693283E-3</v>
      </c>
      <c r="GM328" s="155">
        <f t="shared" si="7167"/>
        <v>1.2667988543735298E-3</v>
      </c>
      <c r="GN328" s="155">
        <f t="shared" si="7167"/>
        <v>2.0296030500111861E-2</v>
      </c>
      <c r="GO328" s="155">
        <f t="shared" si="7167"/>
        <v>8.3333333333333703E-2</v>
      </c>
      <c r="GP328" s="155">
        <f t="shared" si="7167"/>
        <v>2.4035959993061962E-2</v>
      </c>
      <c r="GR328" s="177" t="s">
        <v>286</v>
      </c>
      <c r="GS328" s="155">
        <f t="shared" si="7168"/>
        <v>0.16570959803117291</v>
      </c>
      <c r="GT328" s="155">
        <f t="shared" si="7168"/>
        <v>0.16826322365680935</v>
      </c>
      <c r="GU328" s="155">
        <f t="shared" si="7168"/>
        <v>0.18397626112759657</v>
      </c>
      <c r="GV328" s="155">
        <f t="shared" si="7168"/>
        <v>-4.8417132216016512E-3</v>
      </c>
      <c r="GW328" s="155">
        <f t="shared" si="7168"/>
        <v>0.12712609050398549</v>
      </c>
      <c r="GY328" s="177" t="s">
        <v>286</v>
      </c>
      <c r="GZ328" s="155">
        <f t="shared" si="7169"/>
        <v>-0.18887147335423193</v>
      </c>
      <c r="HA328" s="155">
        <f t="shared" si="7169"/>
        <v>-0.11818181818181805</v>
      </c>
      <c r="HB328" s="155">
        <f t="shared" si="7169"/>
        <v>-0.15430622009569372</v>
      </c>
      <c r="HC328" s="155">
        <f t="shared" si="7169"/>
        <v>-2.5353548222703526E-2</v>
      </c>
      <c r="HD328" s="155">
        <f t="shared" si="7169"/>
        <v>-0.10750814216656557</v>
      </c>
      <c r="HF328" s="177" t="s">
        <v>286</v>
      </c>
      <c r="HG328" s="155">
        <f t="shared" si="7170"/>
        <v>0.16971193415637842</v>
      </c>
      <c r="HH328" s="155">
        <f t="shared" si="7170"/>
        <v>-0.15622521808088818</v>
      </c>
      <c r="HI328" s="155">
        <f t="shared" si="7170"/>
        <v>-0.11195734958111203</v>
      </c>
      <c r="HJ328" s="155">
        <f t="shared" si="7170"/>
        <v>-0.13602941176470551</v>
      </c>
      <c r="HK328" s="155">
        <f t="shared" si="7170"/>
        <v>-8.7864797081623314E-2</v>
      </c>
      <c r="HM328" s="177" t="s">
        <v>286</v>
      </c>
      <c r="HN328" s="155">
        <f t="shared" si="7171"/>
        <v>-0.12389854727316019</v>
      </c>
      <c r="HO328" s="155">
        <f t="shared" si="7171"/>
        <v>0.12711466165413543</v>
      </c>
      <c r="HP328" s="155">
        <f t="shared" si="7171"/>
        <v>0.11997152011391976</v>
      </c>
      <c r="HQ328" s="155">
        <f t="shared" si="7171"/>
        <v>9.0909090909090384E-2</v>
      </c>
      <c r="HR328" s="155">
        <f t="shared" si="7171"/>
        <v>4.5817245817245666E-2</v>
      </c>
      <c r="HT328" s="177" t="s">
        <v>286</v>
      </c>
      <c r="HU328" s="155">
        <f t="shared" si="7172"/>
        <v>6.6540124433196013E-2</v>
      </c>
      <c r="HV328" s="155">
        <f t="shared" si="7172"/>
        <v>1.506064240970284E-2</v>
      </c>
      <c r="HW328" s="155">
        <f t="shared" si="7172"/>
        <v>-2.9063360881543043E-2</v>
      </c>
      <c r="HX328" s="155">
        <f t="shared" si="7172"/>
        <v>6.4367816091954744E-3</v>
      </c>
      <c r="HY328" s="155">
        <f t="shared" si="7172"/>
        <v>1.7374654279838309E-2</v>
      </c>
      <c r="IA328" s="177" t="s">
        <v>286</v>
      </c>
      <c r="IB328" s="155">
        <f t="shared" si="7173"/>
        <v>2.0957692475273237E-2</v>
      </c>
      <c r="IC328" s="155">
        <f t="shared" si="7173"/>
        <v>8.5978835978834933E-3</v>
      </c>
      <c r="ID328" s="155">
        <f t="shared" si="7173"/>
        <v>1.2687969924812359E-2</v>
      </c>
      <c r="IE328" s="155">
        <f t="shared" si="7173"/>
        <v>-4.9466080402010837E-3</v>
      </c>
      <c r="IF328" s="155">
        <f t="shared" si="7173"/>
        <v>4.9987452948556665E-3</v>
      </c>
      <c r="IH328" s="177" t="s">
        <v>286</v>
      </c>
      <c r="II328" s="155">
        <f t="shared" si="7174"/>
        <v>-3.9333230198019598E-2</v>
      </c>
      <c r="IJ328" s="155">
        <f t="shared" si="7174"/>
        <v>-3.5396419437340176E-2</v>
      </c>
      <c r="IK328" s="155">
        <f t="shared" si="7174"/>
        <v>-6.4146308175243583E-3</v>
      </c>
      <c r="IL328" s="155">
        <f t="shared" si="7174"/>
        <v>-2.7133050016345028E-2</v>
      </c>
      <c r="IM328" s="155">
        <f t="shared" si="7174"/>
        <v>-2.6934877480772612E-2</v>
      </c>
      <c r="IO328" s="177" t="s">
        <v>286</v>
      </c>
      <c r="IP328" s="155">
        <f t="shared" si="7175"/>
        <v>-5.8389761406743013E-2</v>
      </c>
      <c r="IQ328" s="155">
        <f t="shared" si="7175"/>
        <v>-6.5490880635646898E-2</v>
      </c>
      <c r="IR328" s="155">
        <f t="shared" si="7175"/>
        <v>-5.0673270391580205E-2</v>
      </c>
      <c r="IS328" s="155">
        <f t="shared" si="7175"/>
        <v>-5.436922610934436E-2</v>
      </c>
      <c r="IT328" s="155">
        <f t="shared" si="7175"/>
        <v>-5.4039383493798887E-2</v>
      </c>
      <c r="IV328" s="177" t="s">
        <v>286</v>
      </c>
      <c r="IW328" s="155">
        <f t="shared" si="7176"/>
        <v>-9.3099671412921747E-3</v>
      </c>
      <c r="IX328" s="155">
        <f t="shared" si="7176"/>
        <v>-1.4170692431562104E-3</v>
      </c>
      <c r="IY328" s="155">
        <f t="shared" si="7176"/>
        <v>-1.3899460568557176E-3</v>
      </c>
      <c r="IZ328" s="155">
        <f t="shared" si="7176"/>
        <v>-8.5555817795590627E-4</v>
      </c>
      <c r="JA328" s="155">
        <f t="shared" si="7176"/>
        <v>-6.3368147706579503E-3</v>
      </c>
      <c r="JC328" s="177" t="s">
        <v>286</v>
      </c>
      <c r="JD328" s="155">
        <f t="shared" si="7177"/>
        <v>1.0370370370370141E-2</v>
      </c>
      <c r="JE328" s="155">
        <f t="shared" si="7177"/>
        <v>1.0625429103867878E-2</v>
      </c>
      <c r="JF328" s="155">
        <f t="shared" si="7177"/>
        <v>-2.3464052287581638E-2</v>
      </c>
      <c r="JG328" s="155">
        <f t="shared" si="7177"/>
        <v>2.8000344619625972E-2</v>
      </c>
      <c r="JH328" s="155">
        <f t="shared" si="7177"/>
        <v>6.1035470580659279E-3</v>
      </c>
      <c r="JJ328" s="177" t="s">
        <v>286</v>
      </c>
      <c r="JK328" s="155">
        <f t="shared" si="7178"/>
        <v>1.9990913221262785E-2</v>
      </c>
      <c r="JL328" s="155">
        <f t="shared" si="7178"/>
        <v>3.6931818181818121E-2</v>
      </c>
      <c r="JM328" s="155">
        <f t="shared" si="7178"/>
        <v>0.10571902451010518</v>
      </c>
      <c r="JN328" s="155">
        <f t="shared" si="7178"/>
        <v>4.4585987261146043E-2</v>
      </c>
      <c r="JO328" s="155">
        <f t="shared" si="7178"/>
        <v>5.5057132612543747E-2</v>
      </c>
      <c r="JQ328" s="177" t="s">
        <v>286</v>
      </c>
      <c r="JR328" s="155">
        <f t="shared" si="7179"/>
        <v>4.1219804694192508E-2</v>
      </c>
      <c r="JS328" s="155">
        <f t="shared" si="7179"/>
        <v>7.5630252100840067E-3</v>
      </c>
      <c r="JT328" s="155">
        <f t="shared" si="7179"/>
        <v>-2.5940298507462711E-2</v>
      </c>
      <c r="JU328" s="155">
        <f t="shared" si="7179"/>
        <v>-3.4493931895840269E-2</v>
      </c>
      <c r="JV328" s="155">
        <f t="shared" si="7179"/>
        <v>-7.2366533895221741E-3</v>
      </c>
      <c r="JX328" s="177" t="s">
        <v>286</v>
      </c>
      <c r="JY328" s="155">
        <f t="shared" si="7180"/>
        <v>-5.751786695986838E-2</v>
      </c>
      <c r="JZ328" s="155">
        <f t="shared" si="7180"/>
        <v>-8.2117611670927904E-2</v>
      </c>
      <c r="KA328" s="155">
        <f t="shared" si="7180"/>
        <v>-9.8645625491262878E-2</v>
      </c>
      <c r="KB328" s="155">
        <f t="shared" si="7180"/>
        <v>-6.2189480897721583E-2</v>
      </c>
      <c r="KC328" s="155">
        <f t="shared" si="7180"/>
        <v>-7.4251860239404555E-2</v>
      </c>
      <c r="KE328" s="177" t="s">
        <v>286</v>
      </c>
      <c r="KF328" s="155">
        <f t="shared" si="7181"/>
        <v>-0.19640549024435261</v>
      </c>
      <c r="KG328" s="155">
        <f t="shared" si="7181"/>
        <v>7.1941951236287105E-2</v>
      </c>
      <c r="KH328" s="155">
        <f t="shared" si="7181"/>
        <v>8.5162777297608905E-2</v>
      </c>
      <c r="KI328" s="155">
        <f t="shared" si="7181"/>
        <v>0.14291032868843723</v>
      </c>
      <c r="KJ328" s="155">
        <f t="shared" si="7181"/>
        <v>2.4667524667524754E-2</v>
      </c>
      <c r="KL328" s="177" t="s">
        <v>286</v>
      </c>
      <c r="KM328" s="155">
        <f t="shared" si="7182"/>
        <v>0.39045367324561409</v>
      </c>
      <c r="KN328" s="155">
        <f t="shared" si="7182"/>
        <v>0.23928126667852689</v>
      </c>
      <c r="KO328" s="155">
        <f t="shared" si="7182"/>
        <v>0.21786785234205319</v>
      </c>
      <c r="KP328" s="155">
        <f t="shared" si="7182"/>
        <v>0.15710232356023623</v>
      </c>
      <c r="KQ328" s="155">
        <f t="shared" si="7182"/>
        <v>0.23851662404092044</v>
      </c>
      <c r="KS328" s="177" t="s">
        <v>286</v>
      </c>
      <c r="KT328" s="155">
        <f t="shared" si="7183"/>
        <v>4.2928251244396698E-2</v>
      </c>
      <c r="KU328" s="155">
        <f t="shared" si="7183"/>
        <v>-0.10099667774086374</v>
      </c>
      <c r="KV328" s="155">
        <f t="shared" si="7183"/>
        <v>-8.3760843204924718E-2</v>
      </c>
      <c r="KW328" s="155">
        <f t="shared" si="7183"/>
        <v>-6.3042386860790001E-2</v>
      </c>
      <c r="KX328" s="155">
        <f t="shared" si="7183"/>
        <v>-5.301579226415043E-2</v>
      </c>
      <c r="KZ328" s="177" t="s">
        <v>286</v>
      </c>
      <c r="LA328" s="155">
        <f t="shared" si="7184"/>
        <v>-1.4536114482486151E-2</v>
      </c>
      <c r="LB328" s="155">
        <f t="shared" si="7185"/>
        <v>3.060072267391245E-4</v>
      </c>
      <c r="LC328" s="155">
        <f t="shared" si="7185"/>
        <v>-2.9510262196432602E-2</v>
      </c>
      <c r="LD328" s="155">
        <f t="shared" si="7185"/>
        <v>-4.7228260869565442E-2</v>
      </c>
      <c r="LE328" s="155">
        <f t="shared" si="7185"/>
        <v>-2.3562230312836996E-2</v>
      </c>
      <c r="LF328" s="569"/>
      <c r="LG328" s="177" t="s">
        <v>286</v>
      </c>
      <c r="LH328" s="155">
        <f t="shared" si="7186"/>
        <v>-2.5051383399209426E-2</v>
      </c>
      <c r="LI328" s="155">
        <f t="shared" si="7186"/>
        <v>-6.8192456915284638E-2</v>
      </c>
      <c r="LJ328" s="155">
        <f>IFERROR(LJ323/LC323-1,"NM")</f>
        <v>-3.1785753210253787E-2</v>
      </c>
      <c r="LK328" s="155">
        <f t="shared" si="7186"/>
        <v>4.0565195621723893E-2</v>
      </c>
      <c r="LL328" s="155">
        <f t="shared" si="7186"/>
        <v>-2.1281757884348607E-2</v>
      </c>
      <c r="LM328" s="569"/>
      <c r="LN328" s="177" t="s">
        <v>286</v>
      </c>
      <c r="LO328" s="155">
        <f t="shared" si="7187"/>
        <v>2.432681158832728E-2</v>
      </c>
      <c r="LP328" s="155">
        <f t="shared" si="7187"/>
        <v>3.9267644389086032E-2</v>
      </c>
      <c r="LQ328" s="155">
        <f>IFERROR(LQ323/LJ323-1,"NM")</f>
        <v>4.0300048590865334E-2</v>
      </c>
      <c r="LR328" s="155">
        <f t="shared" si="7187"/>
        <v>3.9522781356601477E-2</v>
      </c>
      <c r="LS328" s="155">
        <f t="shared" si="7187"/>
        <v>3.6447819724283015E-2</v>
      </c>
      <c r="LT328" s="569"/>
      <c r="LU328" s="177" t="s">
        <v>286</v>
      </c>
      <c r="LV328" s="155">
        <f t="shared" si="7188"/>
        <v>2.9999999999999805E-2</v>
      </c>
      <c r="LW328" s="155">
        <f t="shared" si="7189"/>
        <v>3.0000000000000249E-2</v>
      </c>
      <c r="LX328" s="155">
        <f t="shared" si="7190"/>
        <v>3.5000000000000142E-2</v>
      </c>
      <c r="LY328" s="155">
        <f t="shared" si="7191"/>
        <v>3.499999999999992E-2</v>
      </c>
      <c r="LZ328" s="155">
        <f t="shared" si="7192"/>
        <v>3.2638623867882854E-2</v>
      </c>
      <c r="MA328" s="569"/>
      <c r="MB328" s="177" t="s">
        <v>286</v>
      </c>
      <c r="MC328" s="155">
        <f t="shared" si="7193"/>
        <v>3.2500000000000195E-2</v>
      </c>
      <c r="MD328" s="155">
        <f t="shared" si="7194"/>
        <v>3.2499999999999973E-2</v>
      </c>
      <c r="ME328" s="155">
        <f t="shared" si="7195"/>
        <v>3.2499999999999751E-2</v>
      </c>
      <c r="MF328" s="155">
        <f t="shared" si="7196"/>
        <v>3.2499999999999973E-2</v>
      </c>
      <c r="MG328" s="155">
        <f t="shared" si="7197"/>
        <v>3.2499999999999751E-2</v>
      </c>
      <c r="MH328" s="569"/>
    </row>
    <row r="329" spans="1:346" s="37" customFormat="1" ht="13.15" x14ac:dyDescent="0.4">
      <c r="A329" s="35"/>
      <c r="B329" s="72"/>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c r="AA329" s="73"/>
      <c r="AB329" s="73"/>
      <c r="AC329" s="73"/>
      <c r="AD329" s="73"/>
      <c r="AE329" s="73"/>
      <c r="AF329" s="73"/>
      <c r="AG329" s="73"/>
      <c r="AH329" s="73"/>
      <c r="AI329" s="73"/>
      <c r="AJ329" s="73"/>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O329" s="72"/>
      <c r="BP329" s="74"/>
      <c r="BQ329" s="74"/>
      <c r="BR329" s="74"/>
      <c r="BS329" s="74"/>
      <c r="BT329" s="74"/>
      <c r="BV329" s="72"/>
      <c r="BW329" s="74"/>
      <c r="BX329" s="74"/>
      <c r="BY329" s="74"/>
      <c r="BZ329" s="74"/>
      <c r="CA329" s="74"/>
      <c r="CC329" s="72"/>
      <c r="CD329" s="74"/>
      <c r="CE329" s="74"/>
      <c r="CF329" s="74"/>
      <c r="CG329" s="74"/>
      <c r="CH329" s="74"/>
      <c r="CJ329" s="72"/>
      <c r="CK329" s="74"/>
      <c r="CL329" s="74"/>
      <c r="CM329" s="74"/>
      <c r="CN329" s="74"/>
      <c r="CO329" s="74"/>
      <c r="CQ329" s="72"/>
      <c r="CR329" s="74"/>
      <c r="CS329" s="74"/>
      <c r="CT329" s="74"/>
      <c r="CU329" s="74"/>
      <c r="CV329" s="74"/>
      <c r="CX329" s="72"/>
      <c r="CY329" s="74"/>
      <c r="CZ329" s="74"/>
      <c r="DA329" s="74"/>
      <c r="DB329" s="74"/>
      <c r="DC329" s="74"/>
      <c r="DE329" s="72"/>
      <c r="DF329" s="74"/>
      <c r="DG329" s="74"/>
      <c r="DH329" s="74"/>
      <c r="DI329" s="74"/>
      <c r="DJ329" s="74"/>
      <c r="DL329" s="72"/>
      <c r="DM329" s="74"/>
      <c r="DN329" s="74"/>
      <c r="DO329" s="74"/>
      <c r="DP329" s="74"/>
      <c r="DQ329" s="74"/>
      <c r="DS329" s="72"/>
      <c r="DT329" s="74"/>
      <c r="DU329" s="74"/>
      <c r="DV329" s="74"/>
      <c r="DW329" s="74"/>
      <c r="DX329" s="74"/>
      <c r="DZ329" s="72"/>
      <c r="EA329" s="74"/>
      <c r="EB329" s="74"/>
      <c r="EC329" s="74"/>
      <c r="ED329" s="74"/>
      <c r="EE329" s="74"/>
      <c r="EG329" s="72"/>
      <c r="EH329" s="74"/>
      <c r="EI329" s="74"/>
      <c r="EJ329" s="74"/>
      <c r="EK329" s="74"/>
      <c r="EL329" s="74"/>
      <c r="EN329" s="72"/>
      <c r="EO329" s="74"/>
      <c r="EP329" s="74"/>
      <c r="EQ329" s="74"/>
      <c r="ER329" s="74"/>
      <c r="ES329" s="74"/>
      <c r="EU329" s="72"/>
      <c r="EV329" s="74"/>
      <c r="EW329" s="74"/>
      <c r="EX329" s="74"/>
      <c r="EY329" s="74"/>
      <c r="EZ329" s="74"/>
      <c r="FB329" s="72"/>
      <c r="FC329" s="74"/>
      <c r="FD329" s="74"/>
      <c r="FE329" s="74"/>
      <c r="FF329" s="74"/>
      <c r="FG329" s="74"/>
      <c r="FI329" s="72"/>
      <c r="FJ329" s="74"/>
      <c r="FK329" s="74"/>
      <c r="FL329" s="74"/>
      <c r="FM329" s="74"/>
      <c r="FN329" s="74"/>
      <c r="FP329" s="72"/>
      <c r="FQ329" s="74"/>
      <c r="FR329" s="74"/>
      <c r="FS329" s="74"/>
      <c r="FT329" s="74"/>
      <c r="FU329" s="74"/>
      <c r="FW329" s="72"/>
      <c r="FX329" s="74"/>
      <c r="FY329" s="74"/>
      <c r="FZ329" s="74"/>
      <c r="GA329" s="74"/>
      <c r="GB329" s="74"/>
      <c r="GD329" s="72"/>
      <c r="GE329" s="74"/>
      <c r="GF329" s="74"/>
      <c r="GG329" s="74"/>
      <c r="GH329" s="74"/>
      <c r="GI329" s="74"/>
      <c r="GK329" s="72"/>
      <c r="GL329" s="74"/>
      <c r="GM329" s="74"/>
      <c r="GN329" s="74"/>
      <c r="GO329" s="74"/>
      <c r="GP329" s="74"/>
      <c r="GR329" s="72"/>
      <c r="GS329" s="74"/>
      <c r="GT329" s="74"/>
      <c r="GU329" s="74"/>
      <c r="GV329" s="74"/>
      <c r="GW329" s="74"/>
      <c r="GY329" s="72"/>
      <c r="GZ329" s="74"/>
      <c r="HA329" s="74"/>
      <c r="HB329" s="74"/>
      <c r="HC329" s="74"/>
      <c r="HD329" s="74"/>
      <c r="HF329" s="72"/>
      <c r="HG329" s="74"/>
      <c r="HH329" s="74"/>
      <c r="HI329" s="74"/>
      <c r="HJ329" s="74"/>
      <c r="HK329" s="74"/>
      <c r="HM329" s="72"/>
      <c r="HN329" s="74"/>
      <c r="HO329" s="74"/>
      <c r="HP329" s="74"/>
      <c r="HQ329" s="74"/>
      <c r="HR329" s="74"/>
      <c r="HT329" s="72"/>
      <c r="HU329" s="74"/>
      <c r="HV329" s="74"/>
      <c r="HW329" s="74"/>
      <c r="HX329" s="74"/>
      <c r="HY329" s="74"/>
      <c r="IA329" s="72"/>
      <c r="IB329" s="74"/>
      <c r="IC329" s="74"/>
      <c r="ID329" s="74"/>
      <c r="IE329" s="74"/>
      <c r="IF329" s="74"/>
      <c r="IH329" s="72"/>
      <c r="II329" s="74"/>
      <c r="IJ329" s="74"/>
      <c r="IK329" s="74"/>
      <c r="IL329" s="74"/>
      <c r="IM329" s="74"/>
      <c r="IO329" s="72"/>
      <c r="IP329" s="74"/>
      <c r="IQ329" s="74"/>
      <c r="IR329" s="74"/>
      <c r="IS329" s="74"/>
      <c r="IT329" s="74"/>
      <c r="IV329" s="72"/>
      <c r="IW329" s="74"/>
      <c r="IX329" s="74"/>
      <c r="IY329" s="74"/>
      <c r="IZ329" s="74"/>
      <c r="JA329" s="74"/>
      <c r="JC329" s="72"/>
      <c r="JD329" s="74"/>
      <c r="JE329" s="74"/>
      <c r="JF329" s="74"/>
      <c r="JG329" s="74"/>
      <c r="JH329" s="74"/>
      <c r="JJ329" s="72"/>
      <c r="JK329" s="74"/>
      <c r="JL329" s="74"/>
      <c r="JM329" s="74"/>
      <c r="JN329" s="74"/>
      <c r="JO329" s="74"/>
      <c r="JQ329" s="72"/>
      <c r="JR329" s="74"/>
      <c r="JS329" s="74"/>
      <c r="JT329" s="74"/>
      <c r="JU329" s="74"/>
      <c r="JV329" s="74"/>
      <c r="JX329" s="72"/>
      <c r="JY329" s="74"/>
      <c r="JZ329" s="74"/>
      <c r="KA329" s="74"/>
      <c r="KB329" s="74"/>
      <c r="KC329" s="74"/>
      <c r="KE329" s="72"/>
      <c r="KF329" s="74"/>
      <c r="KG329" s="74"/>
      <c r="KH329" s="74"/>
      <c r="KI329" s="74"/>
      <c r="KJ329" s="74"/>
      <c r="KL329" s="72"/>
      <c r="KM329" s="74"/>
      <c r="KN329" s="74"/>
      <c r="KO329" s="74"/>
      <c r="KP329" s="74"/>
      <c r="KQ329" s="74"/>
      <c r="KS329" s="72"/>
      <c r="KT329" s="74"/>
      <c r="KU329" s="74"/>
      <c r="KV329" s="73"/>
      <c r="KW329" s="73"/>
      <c r="KX329" s="74"/>
      <c r="KZ329" s="72"/>
      <c r="LA329" s="74"/>
      <c r="LB329" s="73"/>
      <c r="LC329" s="73"/>
      <c r="LD329" s="73"/>
      <c r="LE329" s="74"/>
      <c r="LF329" s="565"/>
      <c r="LG329" s="72"/>
      <c r="LH329" s="73"/>
      <c r="LI329" s="73"/>
      <c r="LJ329" s="73"/>
      <c r="LK329" s="73"/>
      <c r="LL329" s="74"/>
      <c r="LM329" s="565"/>
      <c r="LN329" s="72"/>
      <c r="LO329" s="73"/>
      <c r="LP329" s="73"/>
      <c r="LQ329" s="73"/>
      <c r="LR329" s="73"/>
      <c r="LS329" s="74"/>
      <c r="LT329" s="565"/>
      <c r="LU329" s="72"/>
      <c r="LV329" s="73"/>
      <c r="LW329" s="73"/>
      <c r="LX329" s="73"/>
      <c r="LY329" s="73"/>
      <c r="LZ329" s="74"/>
      <c r="MA329" s="565"/>
      <c r="MB329" s="72"/>
      <c r="MC329" s="73"/>
      <c r="MD329" s="73"/>
      <c r="ME329" s="73"/>
      <c r="MF329" s="73"/>
      <c r="MG329" s="74"/>
      <c r="MH329" s="565"/>
    </row>
    <row r="330" spans="1:346" s="37" customFormat="1" ht="13.15" x14ac:dyDescent="0.4">
      <c r="A330" s="35"/>
      <c r="B330" s="36" t="s">
        <v>30</v>
      </c>
      <c r="BO330" s="36" t="s">
        <v>30</v>
      </c>
      <c r="BV330" s="36" t="s">
        <v>30</v>
      </c>
      <c r="CC330" s="36" t="s">
        <v>30</v>
      </c>
      <c r="CJ330" s="36" t="s">
        <v>30</v>
      </c>
      <c r="CQ330" s="36" t="s">
        <v>30</v>
      </c>
      <c r="CX330" s="36" t="s">
        <v>30</v>
      </c>
      <c r="DE330" s="36" t="s">
        <v>30</v>
      </c>
      <c r="DL330" s="36" t="s">
        <v>30</v>
      </c>
      <c r="DS330" s="36" t="s">
        <v>30</v>
      </c>
      <c r="DZ330" s="36" t="s">
        <v>30</v>
      </c>
      <c r="EG330" s="36" t="s">
        <v>30</v>
      </c>
      <c r="EN330" s="36" t="s">
        <v>30</v>
      </c>
      <c r="EU330" s="36" t="s">
        <v>30</v>
      </c>
      <c r="FB330" s="36" t="s">
        <v>30</v>
      </c>
      <c r="FI330" s="36" t="s">
        <v>30</v>
      </c>
      <c r="FP330" s="36" t="s">
        <v>30</v>
      </c>
      <c r="FW330" s="36" t="s">
        <v>30</v>
      </c>
      <c r="GD330" s="36" t="s">
        <v>30</v>
      </c>
      <c r="GK330" s="36" t="s">
        <v>30</v>
      </c>
      <c r="GR330" s="36" t="s">
        <v>30</v>
      </c>
      <c r="GY330" s="36" t="s">
        <v>30</v>
      </c>
      <c r="HF330" s="36" t="s">
        <v>30</v>
      </c>
      <c r="HM330" s="36" t="s">
        <v>30</v>
      </c>
      <c r="HT330" s="36" t="s">
        <v>30</v>
      </c>
      <c r="IA330" s="36" t="s">
        <v>30</v>
      </c>
      <c r="IH330" s="36" t="s">
        <v>30</v>
      </c>
      <c r="IO330" s="36" t="s">
        <v>30</v>
      </c>
      <c r="IV330" s="36" t="s">
        <v>30</v>
      </c>
      <c r="JC330" s="36" t="s">
        <v>30</v>
      </c>
      <c r="JJ330" s="36" t="s">
        <v>30</v>
      </c>
      <c r="JQ330" s="36" t="s">
        <v>30</v>
      </c>
      <c r="JX330" s="36" t="s">
        <v>30</v>
      </c>
      <c r="KE330" s="36" t="s">
        <v>30</v>
      </c>
      <c r="KL330" s="36" t="s">
        <v>30</v>
      </c>
      <c r="KS330" s="36" t="s">
        <v>30</v>
      </c>
      <c r="KZ330" s="36" t="s">
        <v>30</v>
      </c>
      <c r="LF330" s="565"/>
      <c r="LG330" s="36" t="s">
        <v>30</v>
      </c>
      <c r="LM330" s="565"/>
      <c r="LN330" s="36" t="s">
        <v>30</v>
      </c>
      <c r="LT330" s="565"/>
      <c r="LU330" s="36" t="s">
        <v>30</v>
      </c>
      <c r="MA330" s="565"/>
      <c r="MB330" s="36" t="s">
        <v>30</v>
      </c>
      <c r="MH330" s="565"/>
    </row>
    <row r="331" spans="1:346" s="37" customFormat="1" ht="13.15" x14ac:dyDescent="0.4">
      <c r="A331" s="35"/>
      <c r="B331" s="36"/>
      <c r="BO331" s="36"/>
      <c r="BV331" s="36"/>
      <c r="CC331" s="36"/>
      <c r="CJ331" s="36"/>
      <c r="CQ331" s="36"/>
      <c r="CX331" s="36"/>
      <c r="DE331" s="36"/>
      <c r="DL331" s="36"/>
      <c r="DS331" s="36"/>
      <c r="DZ331" s="36"/>
      <c r="EG331" s="36"/>
      <c r="EN331" s="36"/>
      <c r="EU331" s="36"/>
      <c r="FB331" s="36"/>
      <c r="FI331" s="36"/>
      <c r="FP331" s="36"/>
      <c r="FW331" s="36"/>
      <c r="GD331" s="36"/>
      <c r="GK331" s="36"/>
      <c r="GR331" s="36"/>
      <c r="GY331" s="36"/>
      <c r="HF331" s="36"/>
      <c r="HM331" s="36"/>
      <c r="HT331" s="36"/>
      <c r="IA331" s="36"/>
      <c r="IH331" s="36"/>
      <c r="IO331" s="36"/>
      <c r="IV331" s="36"/>
      <c r="JC331" s="36"/>
      <c r="JJ331" s="36"/>
      <c r="JQ331" s="36"/>
      <c r="JX331" s="36"/>
      <c r="KE331" s="36"/>
      <c r="KL331" s="36"/>
      <c r="KS331" s="36"/>
      <c r="KZ331" s="36"/>
      <c r="LF331" s="565"/>
      <c r="LG331" s="36"/>
      <c r="LM331" s="565"/>
      <c r="LN331" s="36"/>
      <c r="LT331" s="565"/>
      <c r="LU331" s="36"/>
      <c r="MA331" s="565"/>
      <c r="MB331" s="36"/>
      <c r="MH331" s="565"/>
    </row>
    <row r="332" spans="1:346" s="37" customFormat="1" ht="13.15" x14ac:dyDescent="0.4">
      <c r="A332" s="35"/>
      <c r="B332" s="36"/>
      <c r="BO332" s="36"/>
      <c r="BV332" s="36"/>
      <c r="CC332" s="36"/>
      <c r="CJ332" s="36"/>
      <c r="CQ332" s="36"/>
      <c r="CX332" s="36"/>
      <c r="DE332" s="36"/>
      <c r="DL332" s="36"/>
      <c r="DS332" s="36"/>
      <c r="DZ332" s="36"/>
      <c r="EG332" s="36"/>
      <c r="EN332" s="36"/>
      <c r="EU332" s="36"/>
      <c r="FB332" s="36"/>
      <c r="FI332" s="36"/>
      <c r="FP332" s="36"/>
      <c r="FW332" s="36"/>
      <c r="GD332" s="36"/>
      <c r="GK332" s="36"/>
      <c r="GR332" s="36"/>
      <c r="GY332" s="36"/>
      <c r="HF332" s="36"/>
      <c r="HM332" s="36"/>
      <c r="HT332" s="36"/>
      <c r="IA332" s="36"/>
      <c r="IH332" s="36"/>
      <c r="IO332" s="36"/>
      <c r="IV332" s="36"/>
      <c r="JC332" s="36"/>
      <c r="JJ332" s="36"/>
      <c r="JQ332" s="36"/>
      <c r="JX332" s="36"/>
      <c r="KE332" s="36"/>
      <c r="KL332" s="36"/>
      <c r="KS332" s="36"/>
      <c r="KZ332" s="36"/>
      <c r="LF332" s="565"/>
      <c r="LG332" s="36"/>
      <c r="LM332" s="565"/>
      <c r="LN332" s="36"/>
      <c r="LT332" s="565"/>
      <c r="LU332" s="36"/>
      <c r="MA332" s="565"/>
      <c r="MB332" s="36"/>
      <c r="MH332" s="565"/>
    </row>
    <row r="333" spans="1:346" s="37" customFormat="1" ht="13.15" outlineLevel="1" x14ac:dyDescent="0.4">
      <c r="A333" s="46"/>
      <c r="B333" s="39" t="s">
        <v>491</v>
      </c>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c r="BH333" s="40"/>
      <c r="BI333" s="40"/>
      <c r="BJ333" s="40"/>
      <c r="BK333" s="40"/>
      <c r="BL333" s="40"/>
      <c r="BM333" s="40"/>
      <c r="BO333" s="39" t="s">
        <v>491</v>
      </c>
      <c r="BP333" s="40" t="str">
        <f>CSX!BR4</f>
        <v>1Q89</v>
      </c>
      <c r="BQ333" s="40" t="str">
        <f>CSX!BS4</f>
        <v>2Q89</v>
      </c>
      <c r="BR333" s="40" t="str">
        <f>CSX!BT4</f>
        <v>3Q89</v>
      </c>
      <c r="BS333" s="40" t="str">
        <f>CSX!BU4</f>
        <v>4Q89</v>
      </c>
      <c r="BT333" s="40">
        <f>CSX!BV4</f>
        <v>1989</v>
      </c>
      <c r="BV333" s="39" t="s">
        <v>491</v>
      </c>
      <c r="BW333" s="40" t="str">
        <f>CSX!BY4</f>
        <v>1Q90</v>
      </c>
      <c r="BX333" s="40" t="str">
        <f>CSX!BZ4</f>
        <v>2Q90</v>
      </c>
      <c r="BY333" s="40" t="str">
        <f>CSX!CA4</f>
        <v>3Q90</v>
      </c>
      <c r="BZ333" s="40" t="str">
        <f>CSX!CB4</f>
        <v>4Q90</v>
      </c>
      <c r="CA333" s="40">
        <f>CSX!CC4</f>
        <v>1990</v>
      </c>
      <c r="CC333" s="39" t="s">
        <v>491</v>
      </c>
      <c r="CD333" s="40" t="str">
        <f>CSX!CF4</f>
        <v>1Q91</v>
      </c>
      <c r="CE333" s="40" t="str">
        <f>CSX!CG4</f>
        <v>2Q91</v>
      </c>
      <c r="CF333" s="40" t="str">
        <f>CSX!CH4</f>
        <v>3Q91</v>
      </c>
      <c r="CG333" s="40" t="str">
        <f>CSX!CI4</f>
        <v>4Q91</v>
      </c>
      <c r="CH333" s="40">
        <f>CSX!CJ4</f>
        <v>1991</v>
      </c>
      <c r="CJ333" s="39" t="s">
        <v>491</v>
      </c>
      <c r="CK333" s="40" t="str">
        <f>CSX!CM4</f>
        <v>1Q92</v>
      </c>
      <c r="CL333" s="40" t="str">
        <f>CSX!CN4</f>
        <v>2Q92</v>
      </c>
      <c r="CM333" s="40" t="str">
        <f>CSX!CO4</f>
        <v>3Q92</v>
      </c>
      <c r="CN333" s="40" t="str">
        <f>CSX!CP4</f>
        <v>4Q92</v>
      </c>
      <c r="CO333" s="40">
        <f>CSX!CQ4</f>
        <v>1992</v>
      </c>
      <c r="CQ333" s="39" t="s">
        <v>491</v>
      </c>
      <c r="CR333" s="40" t="str">
        <f>CSX!CT4</f>
        <v>1Q93</v>
      </c>
      <c r="CS333" s="40" t="str">
        <f>CSX!CU4</f>
        <v>2Q93</v>
      </c>
      <c r="CT333" s="40" t="str">
        <f>CSX!CV4</f>
        <v>3Q93</v>
      </c>
      <c r="CU333" s="40" t="str">
        <f>CSX!CW4</f>
        <v>4Q93</v>
      </c>
      <c r="CV333" s="40">
        <f>CSX!CX4</f>
        <v>1993</v>
      </c>
      <c r="CX333" s="39" t="s">
        <v>491</v>
      </c>
      <c r="CY333" s="40" t="str">
        <f>CSX!DA4</f>
        <v>1Q94</v>
      </c>
      <c r="CZ333" s="40" t="str">
        <f>CSX!DB4</f>
        <v>2Q94</v>
      </c>
      <c r="DA333" s="40" t="str">
        <f>CSX!DC4</f>
        <v>3Q94</v>
      </c>
      <c r="DB333" s="40" t="str">
        <f>CSX!DD4</f>
        <v>4Q94</v>
      </c>
      <c r="DC333" s="40">
        <f>CSX!DE4</f>
        <v>1994</v>
      </c>
      <c r="DE333" s="39" t="s">
        <v>491</v>
      </c>
      <c r="DF333" s="40" t="str">
        <f>CSX!DH4</f>
        <v>1Q95</v>
      </c>
      <c r="DG333" s="40" t="str">
        <f>CSX!DI4</f>
        <v>2Q95</v>
      </c>
      <c r="DH333" s="40" t="str">
        <f>CSX!DJ4</f>
        <v>3Q95</v>
      </c>
      <c r="DI333" s="40" t="str">
        <f>CSX!DK4</f>
        <v>4Q95</v>
      </c>
      <c r="DJ333" s="40">
        <f>CSX!DL4</f>
        <v>1995</v>
      </c>
      <c r="DL333" s="39" t="s">
        <v>491</v>
      </c>
      <c r="DM333" s="40" t="str">
        <f>CSX!DO4</f>
        <v>1Q96</v>
      </c>
      <c r="DN333" s="40" t="str">
        <f>CSX!DP4</f>
        <v>2Q96</v>
      </c>
      <c r="DO333" s="40" t="str">
        <f>CSX!DQ4</f>
        <v>3Q96</v>
      </c>
      <c r="DP333" s="40" t="str">
        <f>CSX!DR4</f>
        <v>4Q96</v>
      </c>
      <c r="DQ333" s="40">
        <f>CSX!DS4</f>
        <v>1996</v>
      </c>
      <c r="DS333" s="39" t="s">
        <v>491</v>
      </c>
      <c r="DT333" s="40" t="str">
        <f>CSX!DV4</f>
        <v>1Q97</v>
      </c>
      <c r="DU333" s="40" t="str">
        <f>CSX!DW4</f>
        <v>2Q97</v>
      </c>
      <c r="DV333" s="40" t="str">
        <f>CSX!DX4</f>
        <v>3Q97</v>
      </c>
      <c r="DW333" s="40" t="str">
        <f>CSX!DY4</f>
        <v>4Q97</v>
      </c>
      <c r="DX333" s="40">
        <f>CSX!DZ4</f>
        <v>1997</v>
      </c>
      <c r="DZ333" s="39" t="s">
        <v>491</v>
      </c>
      <c r="EA333" s="40" t="str">
        <f>CSX!EC4</f>
        <v>1Q98</v>
      </c>
      <c r="EB333" s="40" t="str">
        <f>CSX!ED4</f>
        <v>2Q98</v>
      </c>
      <c r="EC333" s="40" t="str">
        <f>CSX!EE4</f>
        <v>3Q98</v>
      </c>
      <c r="ED333" s="40" t="str">
        <f>CSX!EF4</f>
        <v>4Q98</v>
      </c>
      <c r="EE333" s="40">
        <f>CSX!EG4</f>
        <v>1998</v>
      </c>
      <c r="EG333" s="39" t="s">
        <v>491</v>
      </c>
      <c r="EH333" s="40" t="str">
        <f>CSX!EJ4</f>
        <v>1Q99</v>
      </c>
      <c r="EI333" s="40" t="str">
        <f>CSX!EK4</f>
        <v>2Q99</v>
      </c>
      <c r="EJ333" s="40" t="str">
        <f>CSX!EL4</f>
        <v>3Q99</v>
      </c>
      <c r="EK333" s="40" t="str">
        <f>CSX!EM4</f>
        <v>4Q99</v>
      </c>
      <c r="EL333" s="40">
        <f>CSX!EN4</f>
        <v>1999</v>
      </c>
      <c r="EN333" s="39" t="s">
        <v>491</v>
      </c>
      <c r="EO333" s="40" t="str">
        <f>CSX!EQ4</f>
        <v>1Q00</v>
      </c>
      <c r="EP333" s="40" t="str">
        <f>CSX!ER4</f>
        <v>2Q00</v>
      </c>
      <c r="EQ333" s="40" t="str">
        <f>CSX!ES4</f>
        <v>3Q00</v>
      </c>
      <c r="ER333" s="40" t="str">
        <f>CSX!ET4</f>
        <v>4Q00</v>
      </c>
      <c r="ES333" s="40">
        <f>CSX!EU4</f>
        <v>2000</v>
      </c>
      <c r="EU333" s="39" t="s">
        <v>491</v>
      </c>
      <c r="EV333" s="40" t="str">
        <f>CSX!EX4</f>
        <v>1Q01</v>
      </c>
      <c r="EW333" s="40" t="str">
        <f>CSX!EY4</f>
        <v>2Q01</v>
      </c>
      <c r="EX333" s="40" t="str">
        <f>CSX!EZ4</f>
        <v>3Q01</v>
      </c>
      <c r="EY333" s="40" t="str">
        <f>CSX!FA4</f>
        <v>4Q01</v>
      </c>
      <c r="EZ333" s="40">
        <f>CSX!FB4</f>
        <v>2001</v>
      </c>
      <c r="FB333" s="39" t="s">
        <v>491</v>
      </c>
      <c r="FC333" s="40" t="str">
        <f>CSX!FE4</f>
        <v>1Q02</v>
      </c>
      <c r="FD333" s="40" t="str">
        <f>CSX!FF4</f>
        <v>2Q02</v>
      </c>
      <c r="FE333" s="40" t="str">
        <f>CSX!FG4</f>
        <v>3Q02</v>
      </c>
      <c r="FF333" s="40" t="str">
        <f>CSX!FH4</f>
        <v>4Q02</v>
      </c>
      <c r="FG333" s="40">
        <f>CSX!FI4</f>
        <v>2002</v>
      </c>
      <c r="FI333" s="39" t="s">
        <v>491</v>
      </c>
      <c r="FJ333" s="40" t="str">
        <f>CSX!FL4</f>
        <v>1Q03</v>
      </c>
      <c r="FK333" s="40" t="str">
        <f>CSX!FM4</f>
        <v>2Q03</v>
      </c>
      <c r="FL333" s="40" t="str">
        <f>CSX!FN4</f>
        <v>3Q03</v>
      </c>
      <c r="FM333" s="40" t="str">
        <f>CSX!FO4</f>
        <v>4Q03</v>
      </c>
      <c r="FN333" s="40">
        <f>CSX!FP4</f>
        <v>2003</v>
      </c>
      <c r="FP333" s="39" t="s">
        <v>491</v>
      </c>
      <c r="FQ333" s="40" t="str">
        <f>CSX!FS4</f>
        <v>1Q04</v>
      </c>
      <c r="FR333" s="40" t="str">
        <f>CSX!FT4</f>
        <v>2Q04</v>
      </c>
      <c r="FS333" s="40" t="str">
        <f>CSX!FU4</f>
        <v>3Q04</v>
      </c>
      <c r="FT333" s="40" t="str">
        <f>CSX!FV4</f>
        <v>4Q04</v>
      </c>
      <c r="FU333" s="40">
        <f>CSX!FW4</f>
        <v>2004</v>
      </c>
      <c r="FW333" s="39" t="s">
        <v>491</v>
      </c>
      <c r="FX333" s="40" t="str">
        <f>CSX!FZ4</f>
        <v>1Q05</v>
      </c>
      <c r="FY333" s="40" t="str">
        <f>CSX!GA4</f>
        <v>2Q05</v>
      </c>
      <c r="FZ333" s="40" t="str">
        <f>CSX!GB4</f>
        <v>3Q05</v>
      </c>
      <c r="GA333" s="40" t="str">
        <f>CSX!GC4</f>
        <v>4Q05</v>
      </c>
      <c r="GB333" s="40">
        <f>CSX!GD4</f>
        <v>2005</v>
      </c>
      <c r="GD333" s="39" t="s">
        <v>491</v>
      </c>
      <c r="GE333" s="40" t="str">
        <f>CSX!GG4</f>
        <v>1Q06</v>
      </c>
      <c r="GF333" s="40" t="str">
        <f>CSX!GH4</f>
        <v>2Q06</v>
      </c>
      <c r="GG333" s="40" t="str">
        <f>CSX!GI4</f>
        <v>3Q06</v>
      </c>
      <c r="GH333" s="40" t="str">
        <f>CSX!GJ4</f>
        <v>4Q06</v>
      </c>
      <c r="GI333" s="40">
        <f>CSX!GK4</f>
        <v>2006</v>
      </c>
      <c r="GK333" s="39" t="s">
        <v>491</v>
      </c>
      <c r="GL333" s="40" t="str">
        <f>CSX!GN4</f>
        <v>1Q07</v>
      </c>
      <c r="GM333" s="40" t="str">
        <f>CSX!GO4</f>
        <v>2Q07</v>
      </c>
      <c r="GN333" s="40" t="str">
        <f>CSX!GP4</f>
        <v>3Q07</v>
      </c>
      <c r="GO333" s="40" t="str">
        <f>CSX!GQ4</f>
        <v>4Q07</v>
      </c>
      <c r="GP333" s="40">
        <f>CSX!GR4</f>
        <v>2007</v>
      </c>
      <c r="GR333" s="39" t="s">
        <v>491</v>
      </c>
      <c r="GS333" s="40" t="str">
        <f>CSX!GU4</f>
        <v>1Q08</v>
      </c>
      <c r="GT333" s="40" t="str">
        <f>CSX!GV4</f>
        <v>2Q08</v>
      </c>
      <c r="GU333" s="40" t="str">
        <f>CSX!GW4</f>
        <v>3Q08</v>
      </c>
      <c r="GV333" s="40" t="str">
        <f>CSX!GX4</f>
        <v>4Q08</v>
      </c>
      <c r="GW333" s="40">
        <f>CSX!GY4</f>
        <v>2008</v>
      </c>
      <c r="GY333" s="39" t="s">
        <v>491</v>
      </c>
      <c r="GZ333" s="40" t="str">
        <f>CSX!HB4</f>
        <v>1Q09</v>
      </c>
      <c r="HA333" s="40" t="str">
        <f>CSX!HC4</f>
        <v>2Q09</v>
      </c>
      <c r="HB333" s="40" t="str">
        <f>CSX!HD4</f>
        <v>3Q09</v>
      </c>
      <c r="HC333" s="40" t="str">
        <f>CSX!HE4</f>
        <v>4Q09</v>
      </c>
      <c r="HD333" s="40">
        <f>CSX!HF4</f>
        <v>2009</v>
      </c>
      <c r="HF333" s="39" t="s">
        <v>491</v>
      </c>
      <c r="HG333" s="40" t="str">
        <f>CSX!HI4</f>
        <v>1Q10</v>
      </c>
      <c r="HH333" s="40" t="str">
        <f>CSX!HJ4</f>
        <v>2Q10</v>
      </c>
      <c r="HI333" s="40" t="str">
        <f>CSX!HK4</f>
        <v>3Q10</v>
      </c>
      <c r="HJ333" s="40" t="str">
        <f>CSX!HL4</f>
        <v>4Q10</v>
      </c>
      <c r="HK333" s="40">
        <f>CSX!HM4</f>
        <v>2010</v>
      </c>
      <c r="HM333" s="39" t="s">
        <v>491</v>
      </c>
      <c r="HN333" s="40" t="str">
        <f>CSX!HP4</f>
        <v>1Q11</v>
      </c>
      <c r="HO333" s="40" t="str">
        <f>CSX!HQ4</f>
        <v>2Q11</v>
      </c>
      <c r="HP333" s="40" t="str">
        <f>CSX!HR4</f>
        <v>3Q11</v>
      </c>
      <c r="HQ333" s="40" t="str">
        <f>CSX!HS4</f>
        <v>4Q11</v>
      </c>
      <c r="HR333" s="40">
        <f>CSX!HT4</f>
        <v>2011</v>
      </c>
      <c r="HT333" s="39" t="s">
        <v>491</v>
      </c>
      <c r="HU333" s="40" t="str">
        <f>CSX!HW4</f>
        <v>1Q12</v>
      </c>
      <c r="HV333" s="40" t="str">
        <f>CSX!HX4</f>
        <v>2Q12</v>
      </c>
      <c r="HW333" s="40" t="str">
        <f>CSX!HY4</f>
        <v>3Q12</v>
      </c>
      <c r="HX333" s="40" t="str">
        <f>CSX!HZ4</f>
        <v>4Q12</v>
      </c>
      <c r="HY333" s="40">
        <f>CSX!IA4</f>
        <v>2012</v>
      </c>
      <c r="IA333" s="39" t="s">
        <v>491</v>
      </c>
      <c r="IB333" s="40" t="str">
        <f>CSX!ID4</f>
        <v>1Q13</v>
      </c>
      <c r="IC333" s="40" t="str">
        <f>CSX!IE4</f>
        <v>2Q13</v>
      </c>
      <c r="ID333" s="40" t="str">
        <f>CSX!IF4</f>
        <v>3Q13</v>
      </c>
      <c r="IE333" s="40" t="str">
        <f>CSX!IG4</f>
        <v>4Q13</v>
      </c>
      <c r="IF333" s="40">
        <f>CSX!IH4</f>
        <v>2013</v>
      </c>
      <c r="IH333" s="39" t="s">
        <v>491</v>
      </c>
      <c r="II333" s="40" t="str">
        <f>CSX!IK4</f>
        <v>1Q14</v>
      </c>
      <c r="IJ333" s="40" t="str">
        <f>CSX!IL4</f>
        <v>2Q14</v>
      </c>
      <c r="IK333" s="40" t="str">
        <f>CSX!IM4</f>
        <v>3Q14</v>
      </c>
      <c r="IL333" s="40" t="str">
        <f>CSX!IN4</f>
        <v>4Q14</v>
      </c>
      <c r="IM333" s="40">
        <f>CSX!IO4</f>
        <v>2014</v>
      </c>
      <c r="IO333" s="39" t="s">
        <v>491</v>
      </c>
      <c r="IP333" s="40" t="str">
        <f>CSX!IR4</f>
        <v>1Q15</v>
      </c>
      <c r="IQ333" s="40" t="str">
        <f>CSX!IS4</f>
        <v>2Q15</v>
      </c>
      <c r="IR333" s="40" t="str">
        <f>CSX!IT4</f>
        <v>3Q15</v>
      </c>
      <c r="IS333" s="40" t="str">
        <f>CSX!IU4</f>
        <v>4Q15</v>
      </c>
      <c r="IT333" s="40">
        <f>CSX!IV4</f>
        <v>2015</v>
      </c>
      <c r="IV333" s="39" t="s">
        <v>491</v>
      </c>
      <c r="IW333" s="40" t="str">
        <f>CSX!IY4</f>
        <v>1Q16</v>
      </c>
      <c r="IX333" s="40" t="str">
        <f>CSX!IZ4</f>
        <v>2Q16</v>
      </c>
      <c r="IY333" s="40" t="str">
        <f>CSX!JA4</f>
        <v>3Q16</v>
      </c>
      <c r="IZ333" s="40" t="str">
        <f>CSX!JB4</f>
        <v>4Q16</v>
      </c>
      <c r="JA333" s="40">
        <f>CSX!JC4</f>
        <v>2016</v>
      </c>
      <c r="JC333" s="39" t="s">
        <v>491</v>
      </c>
      <c r="JD333" s="40" t="str">
        <f>CSX!JF4</f>
        <v>1Q17</v>
      </c>
      <c r="JE333" s="40" t="str">
        <f>CSX!JG4</f>
        <v>2Q17</v>
      </c>
      <c r="JF333" s="40" t="str">
        <f>CSX!JH4</f>
        <v>3Q17</v>
      </c>
      <c r="JG333" s="40" t="str">
        <f>CSX!JI4</f>
        <v>4Q17</v>
      </c>
      <c r="JH333" s="40">
        <f>CSX!JJ4</f>
        <v>2017</v>
      </c>
      <c r="JJ333" s="39" t="s">
        <v>491</v>
      </c>
      <c r="JK333" s="40" t="str">
        <f>CSX!JM4</f>
        <v>1Q18</v>
      </c>
      <c r="JL333" s="40" t="str">
        <f>CSX!JN4</f>
        <v>2Q18</v>
      </c>
      <c r="JM333" s="40" t="str">
        <f>CSX!JO4</f>
        <v>3Q18</v>
      </c>
      <c r="JN333" s="40" t="str">
        <f>CSX!JP4</f>
        <v>4Q18</v>
      </c>
      <c r="JO333" s="40">
        <f>CSX!JQ4</f>
        <v>2018</v>
      </c>
      <c r="JQ333" s="39" t="s">
        <v>491</v>
      </c>
      <c r="JR333" s="40" t="str">
        <f>CSX!JT4</f>
        <v>1Q19</v>
      </c>
      <c r="JS333" s="40" t="str">
        <f>CSX!JU4</f>
        <v>2Q19</v>
      </c>
      <c r="JT333" s="40" t="str">
        <f>CSX!JV4</f>
        <v>3Q19</v>
      </c>
      <c r="JU333" s="40" t="str">
        <f>CSX!JW4</f>
        <v>4Q19</v>
      </c>
      <c r="JV333" s="40">
        <f>CSX!JX4</f>
        <v>2019</v>
      </c>
      <c r="JX333" s="39" t="s">
        <v>491</v>
      </c>
      <c r="JY333" s="40" t="str">
        <f>CSX!KA4</f>
        <v>1Q20</v>
      </c>
      <c r="JZ333" s="40" t="str">
        <f>CSX!KB4</f>
        <v>2Q20</v>
      </c>
      <c r="KA333" s="40" t="str">
        <f>CSX!KC4</f>
        <v>3Q20</v>
      </c>
      <c r="KB333" s="40" t="str">
        <f>CSX!KD4</f>
        <v>4Q20</v>
      </c>
      <c r="KC333" s="40">
        <f>CSX!KE4</f>
        <v>2020</v>
      </c>
      <c r="KE333" s="39" t="s">
        <v>491</v>
      </c>
      <c r="KF333" s="40" t="str">
        <f>CSX!KH4</f>
        <v>1Q21</v>
      </c>
      <c r="KG333" s="40" t="str">
        <f>CSX!KI4</f>
        <v>2Q21</v>
      </c>
      <c r="KH333" s="40" t="str">
        <f>CSX!KJ4</f>
        <v>3Q21</v>
      </c>
      <c r="KI333" s="40" t="str">
        <f>CSX!KK4</f>
        <v>4Q21</v>
      </c>
      <c r="KJ333" s="40">
        <f>CSX!KL4</f>
        <v>2021</v>
      </c>
      <c r="KL333" s="39" t="s">
        <v>491</v>
      </c>
      <c r="KM333" s="40" t="str">
        <f>CSX!KO4</f>
        <v>1Q22</v>
      </c>
      <c r="KN333" s="40" t="str">
        <f>CSX!KP4</f>
        <v>2Q22</v>
      </c>
      <c r="KO333" s="40" t="str">
        <f>CSX!KQ4</f>
        <v>3Q22</v>
      </c>
      <c r="KP333" s="40" t="str">
        <f>CSX!KR4</f>
        <v>4Q22</v>
      </c>
      <c r="KQ333" s="40">
        <f>CSX!KS4</f>
        <v>2022</v>
      </c>
      <c r="KS333" s="39" t="s">
        <v>491</v>
      </c>
      <c r="KT333" s="40" t="str">
        <f>CSX!KV4</f>
        <v>1Q23</v>
      </c>
      <c r="KU333" s="40" t="str">
        <f>CSX!KW4</f>
        <v>2Q23</v>
      </c>
      <c r="KV333" s="40" t="str">
        <f>CSX!KX4</f>
        <v>3Q23</v>
      </c>
      <c r="KW333" s="40" t="str">
        <f>CSX!KY4</f>
        <v>4Q23</v>
      </c>
      <c r="KX333" s="40">
        <f>CSX!KZ4</f>
        <v>2023</v>
      </c>
      <c r="KZ333" s="39" t="s">
        <v>491</v>
      </c>
      <c r="LA333" s="40" t="str">
        <f>CSX!LC4</f>
        <v>1Q24</v>
      </c>
      <c r="LB333" s="40" t="str">
        <f>CSX!LD4</f>
        <v>2Q24</v>
      </c>
      <c r="LC333" s="40" t="str">
        <f>CSX!LE4</f>
        <v>3Q24</v>
      </c>
      <c r="LD333" s="40" t="str">
        <f>CSX!LF4</f>
        <v>4Q24</v>
      </c>
      <c r="LE333" s="40">
        <f>CSX!LG4</f>
        <v>2024</v>
      </c>
      <c r="LF333" s="546"/>
      <c r="LG333" s="39" t="s">
        <v>491</v>
      </c>
      <c r="LH333" s="40" t="str">
        <f>CSX!LJ4</f>
        <v>1Q25</v>
      </c>
      <c r="LI333" s="40" t="str">
        <f>CSX!LK4</f>
        <v>2Q25</v>
      </c>
      <c r="LJ333" s="40" t="str">
        <f>CSX!LL4</f>
        <v>3Q25</v>
      </c>
      <c r="LK333" s="40" t="str">
        <f>CSX!LM4</f>
        <v>4Q25</v>
      </c>
      <c r="LL333" s="40">
        <f>CSX!LN4</f>
        <v>2025</v>
      </c>
      <c r="LM333" s="546"/>
      <c r="LN333" s="39" t="s">
        <v>491</v>
      </c>
      <c r="LO333" s="40" t="str">
        <f>CSX!LQ4</f>
        <v>1Q26E</v>
      </c>
      <c r="LP333" s="40" t="str">
        <f>CSX!LR4</f>
        <v>2Q26E</v>
      </c>
      <c r="LQ333" s="40" t="str">
        <f>CSX!LS4</f>
        <v>3Q26E</v>
      </c>
      <c r="LR333" s="40" t="str">
        <f>CSX!LT4</f>
        <v>4Q26E</v>
      </c>
      <c r="LS333" s="40" t="str">
        <f>CSX!LU4</f>
        <v>2026E</v>
      </c>
      <c r="LT333" s="546"/>
      <c r="LU333" s="39" t="s">
        <v>491</v>
      </c>
      <c r="LV333" s="40" t="str">
        <f>CSX!LX4</f>
        <v>1Q27E</v>
      </c>
      <c r="LW333" s="40" t="str">
        <f>CSX!LY4</f>
        <v>2Q27E</v>
      </c>
      <c r="LX333" s="40" t="str">
        <f>CSX!LZ4</f>
        <v>3Q27E</v>
      </c>
      <c r="LY333" s="40" t="str">
        <f>CSX!MA4</f>
        <v>4Q27E</v>
      </c>
      <c r="LZ333" s="40" t="str">
        <f>CSX!MB4</f>
        <v>2027E</v>
      </c>
      <c r="MA333" s="546"/>
      <c r="MB333" s="39" t="s">
        <v>491</v>
      </c>
      <c r="MC333" s="40" t="str">
        <f>CSX!ME4</f>
        <v>1Q28E</v>
      </c>
      <c r="MD333" s="40" t="str">
        <f>CSX!MF4</f>
        <v>2Q28E</v>
      </c>
      <c r="ME333" s="40" t="str">
        <f>CSX!MG4</f>
        <v>3Q28E</v>
      </c>
      <c r="MF333" s="40" t="str">
        <f>CSX!MH4</f>
        <v>4Q28E</v>
      </c>
      <c r="MG333" s="40" t="str">
        <f>CSX!MI4</f>
        <v>2028E</v>
      </c>
      <c r="MH333" s="546"/>
    </row>
    <row r="334" spans="1:346" s="37" customFormat="1" ht="13.15" outlineLevel="1" x14ac:dyDescent="0.4">
      <c r="A334" s="46"/>
      <c r="B334" s="42" t="s">
        <v>490</v>
      </c>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O334" s="42" t="s">
        <v>490</v>
      </c>
      <c r="BP334" s="44">
        <f>CSX!BR5</f>
        <v>32598</v>
      </c>
      <c r="BQ334" s="44">
        <f>CSX!BS5</f>
        <v>32689</v>
      </c>
      <c r="BR334" s="44">
        <f>CSX!BT5</f>
        <v>32781</v>
      </c>
      <c r="BS334" s="44">
        <f>CSX!BU5</f>
        <v>32873</v>
      </c>
      <c r="BT334" s="44" t="str">
        <f>CSX!BV5</f>
        <v>FY</v>
      </c>
      <c r="BV334" s="42" t="s">
        <v>490</v>
      </c>
      <c r="BW334" s="44">
        <f>CSX!BY5</f>
        <v>32963</v>
      </c>
      <c r="BX334" s="44">
        <f>CSX!BZ5</f>
        <v>33054</v>
      </c>
      <c r="BY334" s="44">
        <f>CSX!CA5</f>
        <v>33146</v>
      </c>
      <c r="BZ334" s="44">
        <f>CSX!CB5</f>
        <v>33238</v>
      </c>
      <c r="CA334" s="44" t="str">
        <f>CSX!CC5</f>
        <v>FY</v>
      </c>
      <c r="CC334" s="42" t="s">
        <v>490</v>
      </c>
      <c r="CD334" s="44">
        <f>CSX!CF5</f>
        <v>33328</v>
      </c>
      <c r="CE334" s="44">
        <f>CSX!CG5</f>
        <v>33419</v>
      </c>
      <c r="CF334" s="44">
        <f>CSX!CH5</f>
        <v>33511</v>
      </c>
      <c r="CG334" s="44">
        <f>CSX!CI5</f>
        <v>33603</v>
      </c>
      <c r="CH334" s="44" t="str">
        <f>CSX!CJ5</f>
        <v>FY</v>
      </c>
      <c r="CJ334" s="42" t="s">
        <v>490</v>
      </c>
      <c r="CK334" s="44">
        <f>CSX!CM5</f>
        <v>33694</v>
      </c>
      <c r="CL334" s="44">
        <f>CSX!CN5</f>
        <v>33785</v>
      </c>
      <c r="CM334" s="44">
        <f>CSX!CO5</f>
        <v>33877</v>
      </c>
      <c r="CN334" s="44">
        <f>CSX!CP5</f>
        <v>33969</v>
      </c>
      <c r="CO334" s="44" t="str">
        <f>CSX!CQ5</f>
        <v>FY</v>
      </c>
      <c r="CQ334" s="42" t="s">
        <v>490</v>
      </c>
      <c r="CR334" s="44">
        <f>CSX!CT5</f>
        <v>34059</v>
      </c>
      <c r="CS334" s="44">
        <f>CSX!CU5</f>
        <v>34150</v>
      </c>
      <c r="CT334" s="44">
        <f>CSX!CV5</f>
        <v>34242</v>
      </c>
      <c r="CU334" s="44">
        <f>CSX!CW5</f>
        <v>34334</v>
      </c>
      <c r="CV334" s="44" t="str">
        <f>CSX!CX5</f>
        <v>FY</v>
      </c>
      <c r="CX334" s="42" t="s">
        <v>490</v>
      </c>
      <c r="CY334" s="44">
        <f>CSX!DA5</f>
        <v>34424</v>
      </c>
      <c r="CZ334" s="44">
        <f>CSX!DB5</f>
        <v>34515</v>
      </c>
      <c r="DA334" s="44">
        <f>CSX!DC5</f>
        <v>34607</v>
      </c>
      <c r="DB334" s="44">
        <f>CSX!DD5</f>
        <v>34699</v>
      </c>
      <c r="DC334" s="44" t="str">
        <f>CSX!DE5</f>
        <v>FY</v>
      </c>
      <c r="DE334" s="42" t="s">
        <v>490</v>
      </c>
      <c r="DF334" s="44">
        <f>CSX!DH5</f>
        <v>34789</v>
      </c>
      <c r="DG334" s="44">
        <f>CSX!DI5</f>
        <v>34880</v>
      </c>
      <c r="DH334" s="44">
        <f>CSX!DJ5</f>
        <v>34972</v>
      </c>
      <c r="DI334" s="44">
        <f>CSX!DK5</f>
        <v>35064</v>
      </c>
      <c r="DJ334" s="44" t="str">
        <f>CSX!DL5</f>
        <v>FY</v>
      </c>
      <c r="DL334" s="42" t="s">
        <v>490</v>
      </c>
      <c r="DM334" s="44">
        <f>CSX!DO5</f>
        <v>35155</v>
      </c>
      <c r="DN334" s="44">
        <f>CSX!DP5</f>
        <v>35246</v>
      </c>
      <c r="DO334" s="44">
        <f>CSX!DQ5</f>
        <v>35338</v>
      </c>
      <c r="DP334" s="44">
        <f>CSX!DR5</f>
        <v>35430</v>
      </c>
      <c r="DQ334" s="44" t="str">
        <f>CSX!DS5</f>
        <v>FY</v>
      </c>
      <c r="DS334" s="42" t="s">
        <v>490</v>
      </c>
      <c r="DT334" s="44">
        <f>CSX!DV5</f>
        <v>35520</v>
      </c>
      <c r="DU334" s="44">
        <f>CSX!DW5</f>
        <v>35611</v>
      </c>
      <c r="DV334" s="44">
        <f>CSX!DX5</f>
        <v>35703</v>
      </c>
      <c r="DW334" s="44">
        <f>CSX!DY5</f>
        <v>35795</v>
      </c>
      <c r="DX334" s="44" t="str">
        <f>CSX!DZ5</f>
        <v>FY</v>
      </c>
      <c r="DZ334" s="42" t="s">
        <v>490</v>
      </c>
      <c r="EA334" s="44">
        <f>CSX!EC5</f>
        <v>35885</v>
      </c>
      <c r="EB334" s="44">
        <f>CSX!ED5</f>
        <v>35976</v>
      </c>
      <c r="EC334" s="44">
        <f>CSX!EE5</f>
        <v>36068</v>
      </c>
      <c r="ED334" s="44">
        <f>CSX!EF5</f>
        <v>36160</v>
      </c>
      <c r="EE334" s="44" t="str">
        <f>CSX!EG5</f>
        <v>FY</v>
      </c>
      <c r="EG334" s="42" t="s">
        <v>490</v>
      </c>
      <c r="EH334" s="44">
        <f>CSX!EJ5</f>
        <v>36250</v>
      </c>
      <c r="EI334" s="44">
        <f>CSX!EK5</f>
        <v>36341</v>
      </c>
      <c r="EJ334" s="44">
        <f>CSX!EL5</f>
        <v>36433</v>
      </c>
      <c r="EK334" s="44">
        <f>CSX!EM5</f>
        <v>36525</v>
      </c>
      <c r="EL334" s="44" t="str">
        <f>CSX!EN5</f>
        <v>FY</v>
      </c>
      <c r="EN334" s="42" t="s">
        <v>490</v>
      </c>
      <c r="EO334" s="44">
        <f>CSX!EQ5</f>
        <v>36616</v>
      </c>
      <c r="EP334" s="44">
        <f>CSX!ER5</f>
        <v>36707</v>
      </c>
      <c r="EQ334" s="44">
        <f>CSX!ES5</f>
        <v>36799</v>
      </c>
      <c r="ER334" s="44">
        <f>CSX!ET5</f>
        <v>36891</v>
      </c>
      <c r="ES334" s="44" t="str">
        <f>CSX!EU5</f>
        <v>FY</v>
      </c>
      <c r="EU334" s="42" t="s">
        <v>490</v>
      </c>
      <c r="EV334" s="44">
        <f>CSX!EX5</f>
        <v>36981</v>
      </c>
      <c r="EW334" s="44">
        <f>CSX!EY5</f>
        <v>37072</v>
      </c>
      <c r="EX334" s="44">
        <f>CSX!EZ5</f>
        <v>37164</v>
      </c>
      <c r="EY334" s="44">
        <f>CSX!FA5</f>
        <v>37256</v>
      </c>
      <c r="EZ334" s="44" t="str">
        <f>CSX!FB5</f>
        <v>FY</v>
      </c>
      <c r="FB334" s="42" t="s">
        <v>490</v>
      </c>
      <c r="FC334" s="44">
        <f>CSX!FE5</f>
        <v>37346</v>
      </c>
      <c r="FD334" s="44">
        <f>CSX!FF5</f>
        <v>37437</v>
      </c>
      <c r="FE334" s="44">
        <f>CSX!FG5</f>
        <v>37529</v>
      </c>
      <c r="FF334" s="44">
        <f>CSX!FH5</f>
        <v>37621</v>
      </c>
      <c r="FG334" s="44" t="str">
        <f>CSX!FI5</f>
        <v>FY</v>
      </c>
      <c r="FI334" s="42" t="s">
        <v>490</v>
      </c>
      <c r="FJ334" s="44">
        <f>CSX!FL5</f>
        <v>37711</v>
      </c>
      <c r="FK334" s="44">
        <f>CSX!FM5</f>
        <v>37802</v>
      </c>
      <c r="FL334" s="44">
        <f>CSX!FN5</f>
        <v>37894</v>
      </c>
      <c r="FM334" s="44">
        <f>CSX!FO5</f>
        <v>37986</v>
      </c>
      <c r="FN334" s="44" t="str">
        <f>CSX!FP5</f>
        <v>FY</v>
      </c>
      <c r="FP334" s="42" t="s">
        <v>490</v>
      </c>
      <c r="FQ334" s="44">
        <f>CSX!FS5</f>
        <v>38077</v>
      </c>
      <c r="FR334" s="44">
        <f>CSX!FT5</f>
        <v>38168</v>
      </c>
      <c r="FS334" s="44">
        <f>CSX!FU5</f>
        <v>38260</v>
      </c>
      <c r="FT334" s="44">
        <f>CSX!FV5</f>
        <v>38352</v>
      </c>
      <c r="FU334" s="44" t="str">
        <f>CSX!FW5</f>
        <v>FY</v>
      </c>
      <c r="FW334" s="42" t="s">
        <v>490</v>
      </c>
      <c r="FX334" s="44">
        <f>CSX!FZ5</f>
        <v>38442</v>
      </c>
      <c r="FY334" s="44">
        <f>CSX!GA5</f>
        <v>38533</v>
      </c>
      <c r="FZ334" s="44">
        <f>CSX!GB5</f>
        <v>38625</v>
      </c>
      <c r="GA334" s="44">
        <f>CSX!GC5</f>
        <v>38717</v>
      </c>
      <c r="GB334" s="44" t="str">
        <f>CSX!GD5</f>
        <v>FY</v>
      </c>
      <c r="GD334" s="42" t="s">
        <v>490</v>
      </c>
      <c r="GE334" s="44">
        <f>CSX!GG5</f>
        <v>38807</v>
      </c>
      <c r="GF334" s="44">
        <f>CSX!GH5</f>
        <v>38898</v>
      </c>
      <c r="GG334" s="44">
        <f>CSX!GI5</f>
        <v>38990</v>
      </c>
      <c r="GH334" s="44">
        <f>CSX!GJ5</f>
        <v>39082</v>
      </c>
      <c r="GI334" s="44" t="str">
        <f>CSX!GK5</f>
        <v>FY</v>
      </c>
      <c r="GK334" s="42" t="s">
        <v>490</v>
      </c>
      <c r="GL334" s="44">
        <f>CSX!GN5</f>
        <v>39172</v>
      </c>
      <c r="GM334" s="44">
        <f>CSX!GO5</f>
        <v>39263</v>
      </c>
      <c r="GN334" s="44">
        <f>CSX!GP5</f>
        <v>39355</v>
      </c>
      <c r="GO334" s="44">
        <f>CSX!GQ5</f>
        <v>39447</v>
      </c>
      <c r="GP334" s="44" t="str">
        <f>CSX!GR5</f>
        <v>FY</v>
      </c>
      <c r="GR334" s="42" t="s">
        <v>490</v>
      </c>
      <c r="GS334" s="44">
        <f>CSX!GU5</f>
        <v>39538</v>
      </c>
      <c r="GT334" s="44">
        <f>CSX!GV5</f>
        <v>39629</v>
      </c>
      <c r="GU334" s="44">
        <f>CSX!GW5</f>
        <v>39721</v>
      </c>
      <c r="GV334" s="44">
        <f>CSX!GX5</f>
        <v>39813</v>
      </c>
      <c r="GW334" s="44" t="str">
        <f>CSX!GY5</f>
        <v>FY</v>
      </c>
      <c r="GY334" s="42" t="s">
        <v>490</v>
      </c>
      <c r="GZ334" s="44">
        <f>CSX!HB5</f>
        <v>39903</v>
      </c>
      <c r="HA334" s="44">
        <f>CSX!HC5</f>
        <v>39994</v>
      </c>
      <c r="HB334" s="44">
        <f>CSX!HD5</f>
        <v>40086</v>
      </c>
      <c r="HC334" s="44">
        <f>CSX!HE5</f>
        <v>40178</v>
      </c>
      <c r="HD334" s="44" t="str">
        <f>CSX!HF5</f>
        <v>FY</v>
      </c>
      <c r="HF334" s="42" t="s">
        <v>490</v>
      </c>
      <c r="HG334" s="44">
        <f>CSX!HI5</f>
        <v>40268</v>
      </c>
      <c r="HH334" s="44">
        <f>CSX!HJ5</f>
        <v>40359</v>
      </c>
      <c r="HI334" s="44">
        <f>CSX!HK5</f>
        <v>40451</v>
      </c>
      <c r="HJ334" s="44">
        <f>CSX!HL5</f>
        <v>40543</v>
      </c>
      <c r="HK334" s="44" t="str">
        <f>CSX!HM5</f>
        <v>FY</v>
      </c>
      <c r="HM334" s="42" t="s">
        <v>490</v>
      </c>
      <c r="HN334" s="44">
        <f>CSX!HP5</f>
        <v>40633</v>
      </c>
      <c r="HO334" s="44">
        <f>CSX!HQ5</f>
        <v>40724</v>
      </c>
      <c r="HP334" s="44">
        <f>CSX!HR5</f>
        <v>40816</v>
      </c>
      <c r="HQ334" s="44">
        <f>CSX!HS5</f>
        <v>40908</v>
      </c>
      <c r="HR334" s="44" t="str">
        <f>CSX!HT5</f>
        <v>FY</v>
      </c>
      <c r="HT334" s="42" t="s">
        <v>490</v>
      </c>
      <c r="HU334" s="44">
        <f>CSX!HW5</f>
        <v>40999</v>
      </c>
      <c r="HV334" s="44">
        <f>CSX!HX5</f>
        <v>41090</v>
      </c>
      <c r="HW334" s="44">
        <f>CSX!HY5</f>
        <v>41182</v>
      </c>
      <c r="HX334" s="44">
        <f>CSX!HZ5</f>
        <v>41274</v>
      </c>
      <c r="HY334" s="44" t="str">
        <f>CSX!IA5</f>
        <v>FY</v>
      </c>
      <c r="IA334" s="42" t="s">
        <v>490</v>
      </c>
      <c r="IB334" s="44">
        <f>CSX!ID5</f>
        <v>41364</v>
      </c>
      <c r="IC334" s="44">
        <f>CSX!IE5</f>
        <v>41455</v>
      </c>
      <c r="ID334" s="44">
        <f>CSX!IF5</f>
        <v>41547</v>
      </c>
      <c r="IE334" s="44">
        <f>CSX!IG5</f>
        <v>41639</v>
      </c>
      <c r="IF334" s="44" t="str">
        <f>CSX!IH5</f>
        <v>FY</v>
      </c>
      <c r="IH334" s="42" t="s">
        <v>490</v>
      </c>
      <c r="II334" s="44">
        <f>CSX!IK5</f>
        <v>41729</v>
      </c>
      <c r="IJ334" s="44">
        <f>CSX!IL5</f>
        <v>41820</v>
      </c>
      <c r="IK334" s="44">
        <f>CSX!IM5</f>
        <v>41912</v>
      </c>
      <c r="IL334" s="44">
        <f>CSX!IN5</f>
        <v>42004</v>
      </c>
      <c r="IM334" s="44" t="str">
        <f>CSX!IO5</f>
        <v>FY</v>
      </c>
      <c r="IO334" s="42" t="s">
        <v>490</v>
      </c>
      <c r="IP334" s="44">
        <f>CSX!IR5</f>
        <v>42094</v>
      </c>
      <c r="IQ334" s="44">
        <f>CSX!IS5</f>
        <v>42185</v>
      </c>
      <c r="IR334" s="44">
        <f>CSX!IT5</f>
        <v>42277</v>
      </c>
      <c r="IS334" s="44">
        <f>CSX!IU5</f>
        <v>42369</v>
      </c>
      <c r="IT334" s="44" t="str">
        <f>CSX!IV5</f>
        <v>FY</v>
      </c>
      <c r="IV334" s="42" t="s">
        <v>490</v>
      </c>
      <c r="IW334" s="44">
        <f>CSX!IY5</f>
        <v>42460</v>
      </c>
      <c r="IX334" s="44">
        <f>CSX!IZ5</f>
        <v>42551</v>
      </c>
      <c r="IY334" s="44">
        <f>CSX!JA5</f>
        <v>42643</v>
      </c>
      <c r="IZ334" s="44">
        <f>CSX!JB5</f>
        <v>42735</v>
      </c>
      <c r="JA334" s="44" t="str">
        <f>CSX!JC5</f>
        <v>FY</v>
      </c>
      <c r="JC334" s="42" t="s">
        <v>490</v>
      </c>
      <c r="JD334" s="44">
        <f>CSX!JF5</f>
        <v>42825</v>
      </c>
      <c r="JE334" s="44">
        <f>CSX!JG5</f>
        <v>42916</v>
      </c>
      <c r="JF334" s="44">
        <f>CSX!JH5</f>
        <v>43008</v>
      </c>
      <c r="JG334" s="44">
        <f>CSX!JI5</f>
        <v>43100</v>
      </c>
      <c r="JH334" s="44" t="str">
        <f>CSX!JJ5</f>
        <v>FY</v>
      </c>
      <c r="JJ334" s="42" t="s">
        <v>490</v>
      </c>
      <c r="JK334" s="44">
        <f>CSX!JM5</f>
        <v>43190</v>
      </c>
      <c r="JL334" s="44">
        <f>CSX!JN5</f>
        <v>43281</v>
      </c>
      <c r="JM334" s="44">
        <f>CSX!JO5</f>
        <v>43373</v>
      </c>
      <c r="JN334" s="44">
        <f>CSX!JP5</f>
        <v>43465</v>
      </c>
      <c r="JO334" s="44" t="str">
        <f>CSX!JQ5</f>
        <v>FY</v>
      </c>
      <c r="JQ334" s="42" t="s">
        <v>490</v>
      </c>
      <c r="JR334" s="44">
        <f>CSX!JT5</f>
        <v>43555</v>
      </c>
      <c r="JS334" s="44">
        <f>CSX!JU5</f>
        <v>43646</v>
      </c>
      <c r="JT334" s="44">
        <f>CSX!JV5</f>
        <v>43738</v>
      </c>
      <c r="JU334" s="44">
        <f>CSX!JW5</f>
        <v>43830</v>
      </c>
      <c r="JV334" s="44" t="str">
        <f>CSX!JX5</f>
        <v>FY</v>
      </c>
      <c r="JX334" s="42" t="s">
        <v>490</v>
      </c>
      <c r="JY334" s="44">
        <f>CSX!KA5</f>
        <v>43921</v>
      </c>
      <c r="JZ334" s="44">
        <f>CSX!KB5</f>
        <v>44012</v>
      </c>
      <c r="KA334" s="44">
        <f>CSX!KC5</f>
        <v>44104</v>
      </c>
      <c r="KB334" s="44">
        <f>CSX!KD5</f>
        <v>44196</v>
      </c>
      <c r="KC334" s="44" t="str">
        <f>CSX!KE5</f>
        <v>FY</v>
      </c>
      <c r="KE334" s="42" t="s">
        <v>490</v>
      </c>
      <c r="KF334" s="44">
        <f>CSX!KH5</f>
        <v>44286</v>
      </c>
      <c r="KG334" s="44">
        <f>CSX!KI5</f>
        <v>44377</v>
      </c>
      <c r="KH334" s="44">
        <f>CSX!KJ5</f>
        <v>44469</v>
      </c>
      <c r="KI334" s="44">
        <f>CSX!KK5</f>
        <v>44561</v>
      </c>
      <c r="KJ334" s="44" t="str">
        <f>CSX!KL5</f>
        <v>FY</v>
      </c>
      <c r="KL334" s="42" t="s">
        <v>490</v>
      </c>
      <c r="KM334" s="44">
        <f>CSX!KO5</f>
        <v>44651</v>
      </c>
      <c r="KN334" s="44">
        <f>CSX!KP5</f>
        <v>44742</v>
      </c>
      <c r="KO334" s="44">
        <f>CSX!KQ5</f>
        <v>44834</v>
      </c>
      <c r="KP334" s="44">
        <f>CSX!KR5</f>
        <v>44926</v>
      </c>
      <c r="KQ334" s="44" t="str">
        <f>CSX!KS5</f>
        <v>FY</v>
      </c>
      <c r="KS334" s="42" t="s">
        <v>490</v>
      </c>
      <c r="KT334" s="44">
        <f>CSX!KV5</f>
        <v>45016</v>
      </c>
      <c r="KU334" s="44">
        <f>CSX!KW5</f>
        <v>45107</v>
      </c>
      <c r="KV334" s="44">
        <f>CSX!KX5</f>
        <v>45199</v>
      </c>
      <c r="KW334" s="44">
        <f>CSX!KY5</f>
        <v>45291</v>
      </c>
      <c r="KX334" s="44" t="str">
        <f>CSX!KZ5</f>
        <v>FY</v>
      </c>
      <c r="KZ334" s="42" t="s">
        <v>490</v>
      </c>
      <c r="LA334" s="44">
        <f>CSX!LC5</f>
        <v>45382</v>
      </c>
      <c r="LB334" s="44">
        <f>CSX!LD5</f>
        <v>45473</v>
      </c>
      <c r="LC334" s="44">
        <f>CSX!LE5</f>
        <v>45565</v>
      </c>
      <c r="LD334" s="44">
        <f>CSX!LF5</f>
        <v>45657</v>
      </c>
      <c r="LE334" s="44" t="str">
        <f>CSX!LG5</f>
        <v>FY</v>
      </c>
      <c r="LF334" s="547"/>
      <c r="LG334" s="42" t="s">
        <v>490</v>
      </c>
      <c r="LH334" s="44">
        <f>CSX!LJ5</f>
        <v>45747</v>
      </c>
      <c r="LI334" s="44">
        <f>CSX!LK5</f>
        <v>45838</v>
      </c>
      <c r="LJ334" s="44">
        <f>CSX!LL5</f>
        <v>45930</v>
      </c>
      <c r="LK334" s="44">
        <f>CSX!LM5</f>
        <v>46022</v>
      </c>
      <c r="LL334" s="44" t="str">
        <f>CSX!LN5</f>
        <v>FY</v>
      </c>
      <c r="LM334" s="547"/>
      <c r="LN334" s="42" t="s">
        <v>490</v>
      </c>
      <c r="LO334" s="44">
        <f>CSX!LQ5</f>
        <v>46112</v>
      </c>
      <c r="LP334" s="44">
        <f>CSX!LR5</f>
        <v>46203</v>
      </c>
      <c r="LQ334" s="44">
        <f>CSX!LS5</f>
        <v>46295</v>
      </c>
      <c r="LR334" s="44">
        <f>CSX!LT5</f>
        <v>46387</v>
      </c>
      <c r="LS334" s="44" t="str">
        <f>CSX!LU5</f>
        <v>FY</v>
      </c>
      <c r="LT334" s="547"/>
      <c r="LU334" s="42" t="s">
        <v>490</v>
      </c>
      <c r="LV334" s="44">
        <f>CSX!LX5</f>
        <v>46477</v>
      </c>
      <c r="LW334" s="44">
        <f>CSX!LY5</f>
        <v>46568</v>
      </c>
      <c r="LX334" s="44">
        <f>CSX!LZ5</f>
        <v>46660</v>
      </c>
      <c r="LY334" s="44">
        <f>CSX!MA5</f>
        <v>46752</v>
      </c>
      <c r="LZ334" s="44" t="str">
        <f>CSX!MB5</f>
        <v>FY</v>
      </c>
      <c r="MA334" s="547"/>
      <c r="MB334" s="42" t="s">
        <v>490</v>
      </c>
      <c r="MC334" s="44">
        <f>CSX!ME5</f>
        <v>46843</v>
      </c>
      <c r="MD334" s="44">
        <f>CSX!MF5</f>
        <v>46934</v>
      </c>
      <c r="ME334" s="44">
        <f>CSX!MG5</f>
        <v>47026</v>
      </c>
      <c r="MF334" s="44">
        <f>CSX!MH5</f>
        <v>47118</v>
      </c>
      <c r="MG334" s="44" t="str">
        <f>CSX!MI5</f>
        <v>FY</v>
      </c>
      <c r="MH334" s="547"/>
    </row>
    <row r="335" spans="1:346" s="37" customFormat="1" ht="13.5" outlineLevel="1" thickBot="1" x14ac:dyDescent="0.45">
      <c r="A335" s="96"/>
      <c r="B335" s="36"/>
      <c r="BO335" s="36"/>
      <c r="BV335" s="36"/>
      <c r="CC335" s="36"/>
      <c r="CJ335" s="36"/>
      <c r="CQ335" s="36"/>
      <c r="CX335" s="36"/>
      <c r="DE335" s="36"/>
      <c r="DL335" s="36"/>
      <c r="DS335" s="36"/>
      <c r="DZ335" s="36"/>
      <c r="EG335" s="36"/>
      <c r="EN335" s="36"/>
      <c r="EU335" s="36"/>
      <c r="FB335" s="36"/>
      <c r="FI335" s="36"/>
      <c r="FP335" s="36"/>
      <c r="FW335" s="36"/>
      <c r="GD335" s="36"/>
      <c r="GK335" s="36"/>
      <c r="GR335" s="36"/>
      <c r="GY335" s="36"/>
      <c r="HF335" s="36"/>
      <c r="HM335" s="36"/>
      <c r="HT335" s="36"/>
      <c r="IA335" s="36"/>
      <c r="IH335" s="36"/>
      <c r="IO335" s="36"/>
      <c r="IV335" s="36"/>
      <c r="JC335" s="36"/>
      <c r="JJ335" s="36"/>
      <c r="JQ335" s="36"/>
      <c r="JX335" s="36"/>
      <c r="KE335" s="36"/>
      <c r="KL335" s="36"/>
      <c r="KS335" s="36"/>
      <c r="KZ335" s="36"/>
      <c r="LF335" s="565"/>
      <c r="LG335" s="36"/>
      <c r="LM335" s="565"/>
      <c r="LN335" s="36"/>
      <c r="LT335" s="565"/>
      <c r="LU335" s="36"/>
      <c r="MA335" s="565"/>
      <c r="MB335" s="36"/>
      <c r="MH335" s="565"/>
    </row>
    <row r="336" spans="1:346" s="37" customFormat="1" ht="13.5" outlineLevel="1" thickBot="1" x14ac:dyDescent="0.45">
      <c r="A336" s="97"/>
      <c r="B336" s="98" t="s">
        <v>470</v>
      </c>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c r="AA336" s="99"/>
      <c r="AB336" s="99"/>
      <c r="AC336" s="99"/>
      <c r="AD336" s="99"/>
      <c r="AE336" s="99"/>
      <c r="AF336" s="99"/>
      <c r="AG336" s="99"/>
      <c r="AH336" s="99"/>
      <c r="AI336" s="99"/>
      <c r="AJ336" s="99"/>
      <c r="AK336" s="99"/>
      <c r="AL336" s="99"/>
      <c r="AM336" s="99"/>
      <c r="AN336" s="99"/>
      <c r="AO336" s="99"/>
      <c r="AP336" s="99"/>
      <c r="AQ336" s="99"/>
      <c r="AR336" s="99"/>
      <c r="AS336" s="99"/>
      <c r="AT336" s="99"/>
      <c r="AU336" s="99"/>
      <c r="AV336" s="99"/>
      <c r="AW336" s="99"/>
      <c r="AX336" s="99"/>
      <c r="AY336" s="99"/>
      <c r="AZ336" s="99"/>
      <c r="BA336" s="99"/>
      <c r="BB336" s="99"/>
      <c r="BC336" s="99"/>
      <c r="BD336" s="99"/>
      <c r="BE336" s="99"/>
      <c r="BF336" s="99"/>
      <c r="BG336" s="99"/>
      <c r="BH336" s="99"/>
      <c r="BI336" s="99"/>
      <c r="BJ336" s="99"/>
      <c r="BK336" s="99"/>
      <c r="BL336" s="99"/>
      <c r="BM336" s="99"/>
      <c r="BO336" s="98" t="s">
        <v>470</v>
      </c>
      <c r="BP336" s="99"/>
      <c r="BQ336" s="99"/>
      <c r="BR336" s="99"/>
      <c r="BS336" s="99"/>
      <c r="BT336" s="99"/>
      <c r="BV336" s="98" t="s">
        <v>470</v>
      </c>
      <c r="BW336" s="99"/>
      <c r="BX336" s="99"/>
      <c r="BY336" s="99"/>
      <c r="BZ336" s="99"/>
      <c r="CA336" s="99"/>
      <c r="CC336" s="98" t="s">
        <v>470</v>
      </c>
      <c r="CD336" s="99"/>
      <c r="CE336" s="99"/>
      <c r="CF336" s="99"/>
      <c r="CG336" s="99"/>
      <c r="CH336" s="99"/>
      <c r="CJ336" s="98" t="s">
        <v>470</v>
      </c>
      <c r="CK336" s="99"/>
      <c r="CL336" s="99"/>
      <c r="CM336" s="99"/>
      <c r="CN336" s="99"/>
      <c r="CO336" s="99"/>
      <c r="CQ336" s="98" t="s">
        <v>470</v>
      </c>
      <c r="CR336" s="99"/>
      <c r="CS336" s="99"/>
      <c r="CT336" s="99"/>
      <c r="CU336" s="99"/>
      <c r="CV336" s="99"/>
      <c r="CX336" s="98" t="s">
        <v>470</v>
      </c>
      <c r="CY336" s="99"/>
      <c r="CZ336" s="99"/>
      <c r="DA336" s="99"/>
      <c r="DB336" s="99"/>
      <c r="DC336" s="99"/>
      <c r="DE336" s="98" t="s">
        <v>470</v>
      </c>
      <c r="DF336" s="99"/>
      <c r="DG336" s="99"/>
      <c r="DH336" s="99"/>
      <c r="DI336" s="99"/>
      <c r="DJ336" s="99"/>
      <c r="DL336" s="98" t="s">
        <v>470</v>
      </c>
      <c r="DM336" s="99"/>
      <c r="DN336" s="99"/>
      <c r="DO336" s="99"/>
      <c r="DP336" s="99"/>
      <c r="DQ336" s="99"/>
      <c r="DS336" s="98" t="s">
        <v>470</v>
      </c>
      <c r="DT336" s="99"/>
      <c r="DU336" s="99"/>
      <c r="DV336" s="99"/>
      <c r="DW336" s="99"/>
      <c r="DX336" s="99"/>
      <c r="DZ336" s="98" t="s">
        <v>470</v>
      </c>
      <c r="EA336" s="99"/>
      <c r="EB336" s="99"/>
      <c r="EC336" s="99"/>
      <c r="ED336" s="99"/>
      <c r="EE336" s="99"/>
      <c r="EG336" s="98" t="s">
        <v>470</v>
      </c>
      <c r="EH336" s="99"/>
      <c r="EI336" s="99"/>
      <c r="EJ336" s="99"/>
      <c r="EK336" s="99"/>
      <c r="EL336" s="99"/>
      <c r="EN336" s="98" t="s">
        <v>470</v>
      </c>
      <c r="EO336" s="99"/>
      <c r="EP336" s="99"/>
      <c r="EQ336" s="99"/>
      <c r="ER336" s="99"/>
      <c r="ES336" s="99"/>
      <c r="EU336" s="98" t="s">
        <v>470</v>
      </c>
      <c r="EV336" s="99"/>
      <c r="EW336" s="99"/>
      <c r="EX336" s="99"/>
      <c r="EY336" s="99"/>
      <c r="EZ336" s="99"/>
      <c r="FB336" s="98" t="s">
        <v>470</v>
      </c>
      <c r="FC336" s="99"/>
      <c r="FD336" s="99"/>
      <c r="FE336" s="99"/>
      <c r="FF336" s="99"/>
      <c r="FG336" s="99"/>
      <c r="FI336" s="98" t="s">
        <v>470</v>
      </c>
      <c r="FJ336" s="99"/>
      <c r="FK336" s="99"/>
      <c r="FL336" s="99"/>
      <c r="FM336" s="99"/>
      <c r="FN336" s="99"/>
      <c r="FP336" s="98" t="s">
        <v>470</v>
      </c>
      <c r="FQ336" s="99"/>
      <c r="FR336" s="99"/>
      <c r="FS336" s="99"/>
      <c r="FT336" s="99"/>
      <c r="FU336" s="99"/>
      <c r="FW336" s="98" t="s">
        <v>470</v>
      </c>
      <c r="FX336" s="99"/>
      <c r="FY336" s="99"/>
      <c r="FZ336" s="99"/>
      <c r="GA336" s="99"/>
      <c r="GB336" s="99"/>
      <c r="GD336" s="98" t="s">
        <v>470</v>
      </c>
      <c r="GE336" s="99"/>
      <c r="GF336" s="99"/>
      <c r="GG336" s="99"/>
      <c r="GH336" s="99"/>
      <c r="GI336" s="99"/>
      <c r="GK336" s="98" t="s">
        <v>470</v>
      </c>
      <c r="GL336" s="99"/>
      <c r="GM336" s="99"/>
      <c r="GN336" s="99"/>
      <c r="GO336" s="99"/>
      <c r="GP336" s="99"/>
      <c r="GR336" s="98" t="s">
        <v>470</v>
      </c>
      <c r="GS336" s="99"/>
      <c r="GT336" s="99"/>
      <c r="GU336" s="99"/>
      <c r="GV336" s="99"/>
      <c r="GW336" s="99"/>
      <c r="GY336" s="98" t="s">
        <v>470</v>
      </c>
      <c r="GZ336" s="99"/>
      <c r="HA336" s="99"/>
      <c r="HB336" s="99"/>
      <c r="HC336" s="99"/>
      <c r="HD336" s="99"/>
      <c r="HF336" s="98" t="s">
        <v>470</v>
      </c>
      <c r="HG336" s="99"/>
      <c r="HH336" s="99"/>
      <c r="HI336" s="99"/>
      <c r="HJ336" s="99"/>
      <c r="HK336" s="99"/>
      <c r="HM336" s="98" t="s">
        <v>470</v>
      </c>
      <c r="HN336" s="99"/>
      <c r="HO336" s="99"/>
      <c r="HP336" s="99"/>
      <c r="HQ336" s="99"/>
      <c r="HR336" s="99"/>
      <c r="HT336" s="98" t="s">
        <v>470</v>
      </c>
      <c r="HU336" s="99"/>
      <c r="HV336" s="99"/>
      <c r="HW336" s="99"/>
      <c r="HX336" s="99"/>
      <c r="HY336" s="99"/>
      <c r="IA336" s="98" t="s">
        <v>470</v>
      </c>
      <c r="IB336" s="99"/>
      <c r="IC336" s="99"/>
      <c r="ID336" s="99"/>
      <c r="IE336" s="99"/>
      <c r="IF336" s="99"/>
      <c r="IH336" s="98" t="s">
        <v>470</v>
      </c>
      <c r="II336" s="99"/>
      <c r="IJ336" s="99"/>
      <c r="IK336" s="99"/>
      <c r="IL336" s="99"/>
      <c r="IM336" s="99"/>
      <c r="IO336" s="98" t="s">
        <v>470</v>
      </c>
      <c r="IP336" s="99"/>
      <c r="IQ336" s="99"/>
      <c r="IR336" s="99"/>
      <c r="IS336" s="99"/>
      <c r="IT336" s="99"/>
      <c r="IV336" s="98" t="s">
        <v>470</v>
      </c>
      <c r="IW336" s="99"/>
      <c r="IX336" s="99"/>
      <c r="IY336" s="99"/>
      <c r="IZ336" s="99"/>
      <c r="JA336" s="99"/>
      <c r="JC336" s="98" t="s">
        <v>470</v>
      </c>
      <c r="JD336" s="99"/>
      <c r="JE336" s="99"/>
      <c r="JF336" s="99"/>
      <c r="JG336" s="99"/>
      <c r="JH336" s="99"/>
      <c r="JJ336" s="98" t="s">
        <v>470</v>
      </c>
      <c r="JK336" s="99"/>
      <c r="JL336" s="99"/>
      <c r="JM336" s="99"/>
      <c r="JN336" s="99"/>
      <c r="JO336" s="99"/>
      <c r="JQ336" s="98" t="s">
        <v>470</v>
      </c>
      <c r="JR336" s="99"/>
      <c r="JS336" s="99"/>
      <c r="JT336" s="99"/>
      <c r="JU336" s="99"/>
      <c r="JV336" s="99"/>
      <c r="JX336" s="98" t="s">
        <v>470</v>
      </c>
      <c r="JY336" s="99"/>
      <c r="JZ336" s="99"/>
      <c r="KA336" s="99"/>
      <c r="KB336" s="99"/>
      <c r="KC336" s="99"/>
      <c r="KE336" s="98" t="s">
        <v>470</v>
      </c>
      <c r="KF336" s="99"/>
      <c r="KG336" s="99"/>
      <c r="KH336" s="99"/>
      <c r="KI336" s="99"/>
      <c r="KJ336" s="99"/>
      <c r="KL336" s="98" t="s">
        <v>470</v>
      </c>
      <c r="KM336" s="99"/>
      <c r="KN336" s="99"/>
      <c r="KO336" s="99"/>
      <c r="KP336" s="99"/>
      <c r="KQ336" s="99"/>
      <c r="KS336" s="98" t="s">
        <v>470</v>
      </c>
      <c r="KT336" s="99"/>
      <c r="KU336" s="99"/>
      <c r="KV336" s="99"/>
      <c r="KW336" s="99"/>
      <c r="KX336" s="99"/>
      <c r="KZ336" s="98" t="s">
        <v>470</v>
      </c>
      <c r="LA336" s="99"/>
      <c r="LB336" s="99"/>
      <c r="LC336" s="99"/>
      <c r="LD336" s="99"/>
      <c r="LE336" s="99"/>
      <c r="LF336" s="565"/>
      <c r="LG336" s="98" t="s">
        <v>470</v>
      </c>
      <c r="LH336" s="99"/>
      <c r="LI336" s="99"/>
      <c r="LJ336" s="99"/>
      <c r="LK336" s="99"/>
      <c r="LL336" s="99"/>
      <c r="LM336" s="565"/>
      <c r="LN336" s="98" t="s">
        <v>470</v>
      </c>
      <c r="LO336" s="99"/>
      <c r="LP336" s="99"/>
      <c r="LQ336" s="99"/>
      <c r="LR336" s="99"/>
      <c r="LS336" s="99"/>
      <c r="LT336" s="565"/>
      <c r="LU336" s="98" t="s">
        <v>470</v>
      </c>
      <c r="LV336" s="99"/>
      <c r="LW336" s="99"/>
      <c r="LX336" s="99"/>
      <c r="LY336" s="99"/>
      <c r="LZ336" s="99"/>
      <c r="MA336" s="565"/>
      <c r="MB336" s="98" t="s">
        <v>470</v>
      </c>
      <c r="MC336" s="99"/>
      <c r="MD336" s="99"/>
      <c r="ME336" s="99"/>
      <c r="MF336" s="99"/>
      <c r="MG336" s="99"/>
      <c r="MH336" s="565"/>
    </row>
    <row r="337" spans="1:346" s="37" customFormat="1" ht="13.15" outlineLevel="1" x14ac:dyDescent="0.4">
      <c r="A337" s="100"/>
      <c r="B337" s="101" t="s">
        <v>471</v>
      </c>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O337" s="101" t="s">
        <v>471</v>
      </c>
      <c r="BP337" s="144"/>
      <c r="BQ337" s="144"/>
      <c r="BR337" s="144"/>
      <c r="BS337" s="144"/>
      <c r="BT337" s="144"/>
      <c r="BV337" s="101" t="s">
        <v>471</v>
      </c>
      <c r="BW337" s="144"/>
      <c r="BX337" s="144"/>
      <c r="BY337" s="144"/>
      <c r="BZ337" s="144"/>
      <c r="CA337" s="144"/>
      <c r="CC337" s="101" t="s">
        <v>471</v>
      </c>
      <c r="CD337" s="144"/>
      <c r="CE337" s="144"/>
      <c r="CF337" s="144"/>
      <c r="CG337" s="144"/>
      <c r="CH337" s="144"/>
      <c r="CJ337" s="101" t="s">
        <v>471</v>
      </c>
      <c r="CK337" s="144"/>
      <c r="CL337" s="144"/>
      <c r="CM337" s="144"/>
      <c r="CN337" s="144"/>
      <c r="CO337" s="144"/>
      <c r="CQ337" s="101" t="s">
        <v>471</v>
      </c>
      <c r="CR337" s="144"/>
      <c r="CS337" s="144"/>
      <c r="CT337" s="144"/>
      <c r="CU337" s="144"/>
      <c r="CV337" s="144"/>
      <c r="CX337" s="101" t="s">
        <v>471</v>
      </c>
      <c r="CY337" s="144"/>
      <c r="CZ337" s="144"/>
      <c r="DA337" s="144"/>
      <c r="DB337" s="144"/>
      <c r="DC337" s="144"/>
      <c r="DE337" s="101" t="s">
        <v>471</v>
      </c>
      <c r="DF337" s="144"/>
      <c r="DG337" s="144"/>
      <c r="DH337" s="144"/>
      <c r="DI337" s="144"/>
      <c r="DJ337" s="144"/>
      <c r="DL337" s="101" t="s">
        <v>471</v>
      </c>
      <c r="DM337" s="144"/>
      <c r="DN337" s="144"/>
      <c r="DO337" s="144"/>
      <c r="DP337" s="144"/>
      <c r="DQ337" s="144"/>
      <c r="DS337" s="101" t="s">
        <v>471</v>
      </c>
      <c r="DT337" s="144"/>
      <c r="DU337" s="144"/>
      <c r="DV337" s="144"/>
      <c r="DW337" s="144"/>
      <c r="DX337" s="144"/>
      <c r="DZ337" s="101" t="s">
        <v>471</v>
      </c>
      <c r="EA337" s="144"/>
      <c r="EB337" s="144"/>
      <c r="EC337" s="144"/>
      <c r="ED337" s="144"/>
      <c r="EE337" s="144"/>
      <c r="EG337" s="101" t="s">
        <v>471</v>
      </c>
      <c r="EH337" s="144"/>
      <c r="EI337" s="144"/>
      <c r="EJ337" s="144"/>
      <c r="EK337" s="144"/>
      <c r="EL337" s="144"/>
      <c r="EN337" s="101" t="s">
        <v>471</v>
      </c>
      <c r="EO337" s="144"/>
      <c r="EP337" s="144"/>
      <c r="EQ337" s="144"/>
      <c r="ER337" s="144"/>
      <c r="ES337" s="144"/>
      <c r="EU337" s="101" t="s">
        <v>471</v>
      </c>
      <c r="EV337" s="144"/>
      <c r="EW337" s="144"/>
      <c r="EX337" s="144"/>
      <c r="EY337" s="144"/>
      <c r="EZ337" s="144"/>
      <c r="FB337" s="101" t="s">
        <v>471</v>
      </c>
      <c r="FC337" s="144"/>
      <c r="FD337" s="144"/>
      <c r="FE337" s="144"/>
      <c r="FF337" s="144"/>
      <c r="FG337" s="144"/>
      <c r="FI337" s="101" t="s">
        <v>471</v>
      </c>
      <c r="FJ337" s="144"/>
      <c r="FK337" s="144"/>
      <c r="FL337" s="144"/>
      <c r="FM337" s="144"/>
      <c r="FN337" s="144"/>
      <c r="FP337" s="101" t="s">
        <v>471</v>
      </c>
      <c r="FQ337" s="144"/>
      <c r="FR337" s="144"/>
      <c r="FS337" s="144"/>
      <c r="FT337" s="144"/>
      <c r="FU337" s="144"/>
      <c r="FW337" s="101" t="s">
        <v>471</v>
      </c>
      <c r="FX337" s="144"/>
      <c r="FY337" s="144"/>
      <c r="FZ337" s="144"/>
      <c r="GA337" s="144"/>
      <c r="GB337" s="144"/>
      <c r="GD337" s="101" t="s">
        <v>471</v>
      </c>
      <c r="GE337" s="144"/>
      <c r="GF337" s="144"/>
      <c r="GG337" s="144"/>
      <c r="GH337" s="144"/>
      <c r="GI337" s="144"/>
      <c r="GK337" s="101" t="s">
        <v>471</v>
      </c>
      <c r="GL337" s="144"/>
      <c r="GM337" s="144"/>
      <c r="GN337" s="144"/>
      <c r="GO337" s="144"/>
      <c r="GP337" s="144"/>
      <c r="GR337" s="101" t="s">
        <v>471</v>
      </c>
      <c r="GS337" s="144"/>
      <c r="GT337" s="144"/>
      <c r="GU337" s="144"/>
      <c r="GV337" s="144"/>
      <c r="GW337" s="144"/>
      <c r="GY337" s="101" t="s">
        <v>471</v>
      </c>
      <c r="GZ337" s="144"/>
      <c r="HA337" s="144"/>
      <c r="HB337" s="144"/>
      <c r="HC337" s="144"/>
      <c r="HD337" s="144"/>
      <c r="HF337" s="101" t="s">
        <v>471</v>
      </c>
      <c r="HG337" s="144"/>
      <c r="HH337" s="144"/>
      <c r="HI337" s="144"/>
      <c r="HJ337" s="144"/>
      <c r="HK337" s="144"/>
      <c r="HM337" s="101" t="s">
        <v>471</v>
      </c>
      <c r="HN337" s="144"/>
      <c r="HO337" s="144"/>
      <c r="HP337" s="144"/>
      <c r="HQ337" s="144"/>
      <c r="HR337" s="144"/>
      <c r="HT337" s="101" t="s">
        <v>471</v>
      </c>
      <c r="HU337" s="144"/>
      <c r="HV337" s="144"/>
      <c r="HW337" s="144"/>
      <c r="HX337" s="144"/>
      <c r="HY337" s="144"/>
      <c r="IA337" s="101" t="s">
        <v>471</v>
      </c>
      <c r="IB337" s="144"/>
      <c r="IC337" s="144"/>
      <c r="ID337" s="144"/>
      <c r="IE337" s="144"/>
      <c r="IF337" s="144"/>
      <c r="IH337" s="101" t="s">
        <v>471</v>
      </c>
      <c r="II337" s="144"/>
      <c r="IJ337" s="144"/>
      <c r="IK337" s="144"/>
      <c r="IL337" s="144"/>
      <c r="IM337" s="144"/>
      <c r="IO337" s="101" t="s">
        <v>471</v>
      </c>
      <c r="IP337" s="144"/>
      <c r="IQ337" s="144"/>
      <c r="IR337" s="144"/>
      <c r="IS337" s="144"/>
      <c r="IT337" s="144"/>
      <c r="IV337" s="101" t="s">
        <v>471</v>
      </c>
      <c r="IW337" s="144"/>
      <c r="IX337" s="144"/>
      <c r="IY337" s="144"/>
      <c r="IZ337" s="144"/>
      <c r="JA337" s="144"/>
      <c r="JC337" s="101" t="s">
        <v>471</v>
      </c>
      <c r="JD337" s="144"/>
      <c r="JE337" s="144"/>
      <c r="JF337" s="144"/>
      <c r="JG337" s="144"/>
      <c r="JH337" s="144"/>
      <c r="JJ337" s="101" t="s">
        <v>471</v>
      </c>
      <c r="JK337" s="144"/>
      <c r="JL337" s="144"/>
      <c r="JM337" s="144"/>
      <c r="JN337" s="144"/>
      <c r="JO337" s="144"/>
      <c r="JQ337" s="101" t="s">
        <v>471</v>
      </c>
      <c r="JR337" s="144"/>
      <c r="JS337" s="144"/>
      <c r="JT337" s="144"/>
      <c r="JU337" s="144"/>
      <c r="JV337" s="144"/>
      <c r="JX337" s="101" t="s">
        <v>471</v>
      </c>
      <c r="JY337" s="144"/>
      <c r="JZ337" s="144"/>
      <c r="KA337" s="144"/>
      <c r="KB337" s="144"/>
      <c r="KC337" s="144"/>
      <c r="KE337" s="101" t="s">
        <v>471</v>
      </c>
      <c r="KF337" s="144"/>
      <c r="KG337" s="144"/>
      <c r="KH337" s="144"/>
      <c r="KI337" s="144"/>
      <c r="KJ337" s="144"/>
      <c r="KL337" s="101" t="s">
        <v>471</v>
      </c>
      <c r="KM337" s="144"/>
      <c r="KN337" s="144"/>
      <c r="KO337" s="144"/>
      <c r="KP337" s="144"/>
      <c r="KQ337" s="144"/>
      <c r="KS337" s="101" t="s">
        <v>471</v>
      </c>
      <c r="KT337" s="144"/>
      <c r="KU337" s="144"/>
      <c r="KV337" s="184"/>
      <c r="KW337" s="144"/>
      <c r="KX337" s="144"/>
      <c r="KZ337" s="101" t="s">
        <v>471</v>
      </c>
      <c r="LA337" s="144"/>
      <c r="LB337" s="144"/>
      <c r="LC337" s="144"/>
      <c r="LD337" s="144"/>
      <c r="LE337" s="144"/>
      <c r="LF337" s="555"/>
      <c r="LG337" s="101" t="s">
        <v>471</v>
      </c>
      <c r="LH337" s="144"/>
      <c r="LI337" s="144"/>
      <c r="LJ337" s="144"/>
      <c r="LK337" s="144"/>
      <c r="LL337" s="144"/>
      <c r="LM337" s="555"/>
      <c r="LN337" s="101" t="s">
        <v>471</v>
      </c>
      <c r="LO337" s="144"/>
      <c r="LP337" s="144"/>
      <c r="LQ337" s="144"/>
      <c r="LR337" s="144"/>
      <c r="LS337" s="144"/>
      <c r="LT337" s="555"/>
      <c r="LU337" s="101" t="s">
        <v>471</v>
      </c>
      <c r="LV337" s="144"/>
      <c r="LW337" s="144"/>
      <c r="LX337" s="144"/>
      <c r="LY337" s="144"/>
      <c r="LZ337" s="144"/>
      <c r="MA337" s="555"/>
      <c r="MB337" s="101" t="s">
        <v>471</v>
      </c>
      <c r="MC337" s="144"/>
      <c r="MD337" s="144"/>
      <c r="ME337" s="144"/>
      <c r="MF337" s="144"/>
      <c r="MG337" s="144"/>
      <c r="MH337" s="555"/>
    </row>
    <row r="338" spans="1:346" s="37" customFormat="1" ht="13.15" outlineLevel="1" x14ac:dyDescent="0.4">
      <c r="A338" s="100"/>
      <c r="B338" s="101"/>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c r="AA338" s="184"/>
      <c r="AB338" s="184"/>
      <c r="AC338" s="184"/>
      <c r="AD338" s="184"/>
      <c r="AE338" s="184"/>
      <c r="AF338" s="184"/>
      <c r="AG338" s="184"/>
      <c r="AH338" s="184"/>
      <c r="AI338" s="184"/>
      <c r="AJ338" s="184"/>
      <c r="AK338" s="184"/>
      <c r="AL338" s="184"/>
      <c r="AM338" s="184"/>
      <c r="AN338" s="184"/>
      <c r="AO338" s="184"/>
      <c r="AP338" s="184"/>
      <c r="AQ338" s="184"/>
      <c r="AR338" s="184"/>
      <c r="AS338" s="184"/>
      <c r="AT338" s="184"/>
      <c r="AU338" s="184"/>
      <c r="AV338" s="184"/>
      <c r="AW338" s="184"/>
      <c r="AX338" s="184"/>
      <c r="AY338" s="184"/>
      <c r="AZ338" s="184"/>
      <c r="BA338" s="184"/>
      <c r="BB338" s="184"/>
      <c r="BC338" s="184"/>
      <c r="BD338" s="184"/>
      <c r="BE338" s="184"/>
      <c r="BF338" s="184"/>
      <c r="BG338" s="184"/>
      <c r="BH338" s="184"/>
      <c r="BI338" s="184"/>
      <c r="BJ338" s="184"/>
      <c r="BK338" s="184"/>
      <c r="BL338" s="184"/>
      <c r="BM338" s="184"/>
      <c r="BO338" s="101"/>
      <c r="BP338" s="144"/>
      <c r="BQ338" s="144"/>
      <c r="BR338" s="144"/>
      <c r="BS338" s="144"/>
      <c r="BT338" s="144"/>
      <c r="BV338" s="101"/>
      <c r="BW338" s="144"/>
      <c r="BX338" s="144"/>
      <c r="BY338" s="144"/>
      <c r="BZ338" s="144"/>
      <c r="CA338" s="144"/>
      <c r="CC338" s="101"/>
      <c r="CD338" s="144"/>
      <c r="CE338" s="144"/>
      <c r="CF338" s="144"/>
      <c r="CG338" s="144"/>
      <c r="CH338" s="144"/>
      <c r="CJ338" s="101"/>
      <c r="CK338" s="144"/>
      <c r="CL338" s="144"/>
      <c r="CM338" s="144"/>
      <c r="CN338" s="144"/>
      <c r="CO338" s="144"/>
      <c r="CQ338" s="101"/>
      <c r="CR338" s="144"/>
      <c r="CS338" s="144"/>
      <c r="CT338" s="144"/>
      <c r="CU338" s="144"/>
      <c r="CV338" s="144"/>
      <c r="CX338" s="101"/>
      <c r="CY338" s="144"/>
      <c r="CZ338" s="144"/>
      <c r="DA338" s="144"/>
      <c r="DB338" s="144"/>
      <c r="DC338" s="144"/>
      <c r="DE338" s="101"/>
      <c r="DF338" s="144"/>
      <c r="DG338" s="144"/>
      <c r="DH338" s="144"/>
      <c r="DI338" s="144"/>
      <c r="DJ338" s="144"/>
      <c r="DL338" s="101"/>
      <c r="DM338" s="144"/>
      <c r="DN338" s="144"/>
      <c r="DO338" s="144"/>
      <c r="DP338" s="144"/>
      <c r="DQ338" s="144"/>
      <c r="DS338" s="101"/>
      <c r="DT338" s="144"/>
      <c r="DU338" s="144"/>
      <c r="DV338" s="144"/>
      <c r="DW338" s="144"/>
      <c r="DX338" s="144"/>
      <c r="DZ338" s="101"/>
      <c r="EA338" s="144"/>
      <c r="EB338" s="144"/>
      <c r="EC338" s="144"/>
      <c r="ED338" s="144"/>
      <c r="EE338" s="144"/>
      <c r="EG338" s="101"/>
      <c r="EH338" s="144"/>
      <c r="EI338" s="144"/>
      <c r="EJ338" s="144"/>
      <c r="EK338" s="144"/>
      <c r="EL338" s="144"/>
      <c r="EN338" s="101"/>
      <c r="EO338" s="144"/>
      <c r="EP338" s="144"/>
      <c r="EQ338" s="144"/>
      <c r="ER338" s="144"/>
      <c r="ES338" s="144"/>
      <c r="EU338" s="101"/>
      <c r="EV338" s="144"/>
      <c r="EW338" s="144"/>
      <c r="EX338" s="144"/>
      <c r="EY338" s="144"/>
      <c r="EZ338" s="144"/>
      <c r="FB338" s="101"/>
      <c r="FC338" s="144"/>
      <c r="FD338" s="144"/>
      <c r="FE338" s="144"/>
      <c r="FF338" s="144"/>
      <c r="FG338" s="144"/>
      <c r="FI338" s="101"/>
      <c r="FJ338" s="144"/>
      <c r="FK338" s="144"/>
      <c r="FL338" s="144"/>
      <c r="FM338" s="144"/>
      <c r="FN338" s="144"/>
      <c r="FP338" s="101"/>
      <c r="FQ338" s="144"/>
      <c r="FR338" s="144"/>
      <c r="FS338" s="144"/>
      <c r="FT338" s="144"/>
      <c r="FU338" s="144"/>
      <c r="FW338" s="101"/>
      <c r="FX338" s="144"/>
      <c r="FY338" s="144"/>
      <c r="FZ338" s="144"/>
      <c r="GA338" s="144"/>
      <c r="GB338" s="144"/>
      <c r="GD338" s="101"/>
      <c r="GE338" s="144"/>
      <c r="GF338" s="144"/>
      <c r="GG338" s="144"/>
      <c r="GH338" s="144"/>
      <c r="GI338" s="144"/>
      <c r="GK338" s="101"/>
      <c r="GL338" s="144"/>
      <c r="GM338" s="144"/>
      <c r="GN338" s="144"/>
      <c r="GO338" s="144"/>
      <c r="GP338" s="144"/>
      <c r="GR338" s="101"/>
      <c r="GS338" s="144"/>
      <c r="GT338" s="144"/>
      <c r="GU338" s="144"/>
      <c r="GV338" s="144"/>
      <c r="GW338" s="144"/>
      <c r="GY338" s="101"/>
      <c r="GZ338" s="144"/>
      <c r="HA338" s="144"/>
      <c r="HB338" s="144"/>
      <c r="HC338" s="144"/>
      <c r="HD338" s="144"/>
      <c r="HF338" s="101"/>
      <c r="HG338" s="144"/>
      <c r="HH338" s="144"/>
      <c r="HI338" s="144"/>
      <c r="HJ338" s="144"/>
      <c r="HK338" s="144"/>
      <c r="HM338" s="101"/>
      <c r="HN338" s="144"/>
      <c r="HO338" s="144"/>
      <c r="HP338" s="144"/>
      <c r="HQ338" s="144"/>
      <c r="HR338" s="144"/>
      <c r="HT338" s="101"/>
      <c r="HU338" s="144"/>
      <c r="HV338" s="144"/>
      <c r="HW338" s="144"/>
      <c r="HX338" s="144"/>
      <c r="HY338" s="144"/>
      <c r="IA338" s="101"/>
      <c r="IB338" s="144"/>
      <c r="IC338" s="144"/>
      <c r="ID338" s="144"/>
      <c r="IE338" s="144"/>
      <c r="IF338" s="144"/>
      <c r="IH338" s="101"/>
      <c r="II338" s="144"/>
      <c r="IJ338" s="144"/>
      <c r="IK338" s="144"/>
      <c r="IL338" s="144"/>
      <c r="IM338" s="144"/>
      <c r="IO338" s="101"/>
      <c r="IP338" s="144"/>
      <c r="IQ338" s="144"/>
      <c r="IR338" s="144"/>
      <c r="IS338" s="144"/>
      <c r="IT338" s="144"/>
      <c r="IV338" s="101"/>
      <c r="IW338" s="144"/>
      <c r="IX338" s="144"/>
      <c r="IY338" s="144"/>
      <c r="IZ338" s="144"/>
      <c r="JA338" s="144"/>
      <c r="JC338" s="101"/>
      <c r="JD338" s="144"/>
      <c r="JE338" s="144"/>
      <c r="JF338" s="144"/>
      <c r="JG338" s="144"/>
      <c r="JH338" s="144"/>
      <c r="JJ338" s="101"/>
      <c r="JK338" s="144"/>
      <c r="JL338" s="144"/>
      <c r="JM338" s="144"/>
      <c r="JN338" s="144"/>
      <c r="JO338" s="144"/>
      <c r="JQ338" s="101"/>
      <c r="JR338" s="144"/>
      <c r="JS338" s="144"/>
      <c r="JT338" s="144"/>
      <c r="JU338" s="144"/>
      <c r="JV338" s="144"/>
      <c r="JX338" s="101"/>
      <c r="JY338" s="144"/>
      <c r="JZ338" s="144"/>
      <c r="KA338" s="144"/>
      <c r="KB338" s="144"/>
      <c r="KC338" s="144"/>
      <c r="KE338" s="101"/>
      <c r="KF338" s="144"/>
      <c r="KG338" s="144"/>
      <c r="KH338" s="144"/>
      <c r="KI338" s="144"/>
      <c r="KJ338" s="144"/>
      <c r="KL338" s="101"/>
      <c r="KM338" s="144"/>
      <c r="KN338" s="144"/>
      <c r="KO338" s="144"/>
      <c r="KP338" s="144"/>
      <c r="KQ338" s="144"/>
      <c r="KS338" s="101"/>
      <c r="KT338" s="144"/>
      <c r="KU338" s="144"/>
      <c r="KV338" s="184"/>
      <c r="KW338" s="144"/>
      <c r="KX338" s="144"/>
      <c r="KZ338" s="101"/>
      <c r="LA338" s="144"/>
      <c r="LB338" s="144"/>
      <c r="LC338" s="144"/>
      <c r="LD338" s="144"/>
      <c r="LE338" s="144"/>
      <c r="LF338" s="555"/>
      <c r="LG338" s="101"/>
      <c r="LH338" s="144"/>
      <c r="LI338" s="144"/>
      <c r="LJ338" s="144"/>
      <c r="LK338" s="144"/>
      <c r="LL338" s="144"/>
      <c r="LM338" s="555"/>
      <c r="LN338" s="101"/>
      <c r="LO338" s="144"/>
      <c r="LP338" s="144"/>
      <c r="LQ338" s="144"/>
      <c r="LR338" s="144"/>
      <c r="LS338" s="144"/>
      <c r="LT338" s="555"/>
      <c r="LU338" s="101"/>
      <c r="LV338" s="144"/>
      <c r="LW338" s="144"/>
      <c r="LX338" s="144"/>
      <c r="LY338" s="144"/>
      <c r="LZ338" s="144"/>
      <c r="MA338" s="555"/>
      <c r="MB338" s="101"/>
      <c r="MC338" s="144"/>
      <c r="MD338" s="144"/>
      <c r="ME338" s="144"/>
      <c r="MF338" s="144"/>
      <c r="MG338" s="144"/>
      <c r="MH338" s="555"/>
    </row>
    <row r="339" spans="1:346" s="37" customFormat="1" ht="13.15" outlineLevel="1" x14ac:dyDescent="0.4">
      <c r="A339" s="100"/>
      <c r="B339" s="101" t="s">
        <v>248</v>
      </c>
      <c r="C339" s="184"/>
      <c r="D339" s="184"/>
      <c r="E339" s="184"/>
      <c r="F339" s="184"/>
      <c r="G339" s="184"/>
      <c r="H339" s="184"/>
      <c r="I339" s="184"/>
      <c r="J339" s="184"/>
      <c r="K339" s="184"/>
      <c r="L339" s="184"/>
      <c r="M339" s="184"/>
      <c r="N339" s="184">
        <f>BT339</f>
        <v>0</v>
      </c>
      <c r="O339" s="184">
        <f>CA339</f>
        <v>0</v>
      </c>
      <c r="P339" s="184">
        <f>CH339</f>
        <v>0</v>
      </c>
      <c r="Q339" s="184">
        <f>CO339</f>
        <v>0</v>
      </c>
      <c r="R339" s="184">
        <f>CV339</f>
        <v>0</v>
      </c>
      <c r="S339" s="184">
        <f>DC339</f>
        <v>0</v>
      </c>
      <c r="T339" s="184">
        <f>DJ339</f>
        <v>0</v>
      </c>
      <c r="U339" s="184">
        <f>DQ339</f>
        <v>0</v>
      </c>
      <c r="V339" s="184">
        <f>DX339</f>
        <v>0</v>
      </c>
      <c r="W339" s="184">
        <f>EE339</f>
        <v>0</v>
      </c>
      <c r="X339" s="184">
        <f>EL339</f>
        <v>0</v>
      </c>
      <c r="Y339" s="184">
        <f>ES339</f>
        <v>0</v>
      </c>
      <c r="Z339" s="184">
        <f>EZ339</f>
        <v>0</v>
      </c>
      <c r="AA339" s="184">
        <f>FG339</f>
        <v>0</v>
      </c>
      <c r="AB339" s="184">
        <f>FN339</f>
        <v>0</v>
      </c>
      <c r="AC339" s="184">
        <f>FU339</f>
        <v>0</v>
      </c>
      <c r="AD339" s="184">
        <f>GB339</f>
        <v>0</v>
      </c>
      <c r="AE339" s="184">
        <f>GI339</f>
        <v>0</v>
      </c>
      <c r="AF339" s="184">
        <f>GP339</f>
        <v>0</v>
      </c>
      <c r="AG339" s="184">
        <f>GW339</f>
        <v>0</v>
      </c>
      <c r="AH339" s="184">
        <f>HD339</f>
        <v>0</v>
      </c>
      <c r="AI339" s="184">
        <f>HK339</f>
        <v>0</v>
      </c>
      <c r="AJ339" s="184">
        <f>HR339</f>
        <v>0</v>
      </c>
      <c r="AK339" s="184">
        <f>HY339</f>
        <v>0</v>
      </c>
      <c r="AL339" s="184">
        <f>IF339</f>
        <v>0</v>
      </c>
      <c r="AM339" s="184">
        <f>IM339</f>
        <v>0</v>
      </c>
      <c r="AN339" s="184">
        <f>IT339</f>
        <v>0</v>
      </c>
      <c r="AO339" s="184">
        <f>JA339</f>
        <v>0</v>
      </c>
      <c r="AP339" s="184">
        <f>JH339</f>
        <v>0</v>
      </c>
      <c r="AQ339" s="184">
        <f>JO339</f>
        <v>0</v>
      </c>
      <c r="AR339" s="184">
        <f>JV339</f>
        <v>0</v>
      </c>
      <c r="AS339" s="184">
        <f>KC339</f>
        <v>0</v>
      </c>
      <c r="AT339" s="184">
        <f>KJ339</f>
        <v>0</v>
      </c>
      <c r="AU339" s="184">
        <f>KQ339</f>
        <v>0</v>
      </c>
      <c r="AV339" s="184">
        <f>KX339</f>
        <v>0</v>
      </c>
      <c r="AW339" s="184">
        <f>LE339</f>
        <v>0</v>
      </c>
      <c r="AX339" s="184">
        <f>LL339</f>
        <v>0</v>
      </c>
      <c r="AY339" s="184">
        <f>LS339</f>
        <v>0</v>
      </c>
      <c r="AZ339" s="184">
        <f>LZ339</f>
        <v>0</v>
      </c>
      <c r="BA339" s="184">
        <f>MG339</f>
        <v>0</v>
      </c>
      <c r="BB339" s="184"/>
      <c r="BC339" s="184"/>
      <c r="BD339" s="184"/>
      <c r="BE339" s="184"/>
      <c r="BF339" s="184"/>
      <c r="BG339" s="184"/>
      <c r="BH339" s="184"/>
      <c r="BI339" s="184"/>
      <c r="BJ339" s="184"/>
      <c r="BK339" s="184"/>
      <c r="BL339" s="184"/>
      <c r="BM339" s="184"/>
      <c r="BO339" s="101" t="s">
        <v>248</v>
      </c>
      <c r="BP339" s="144"/>
      <c r="BQ339" s="144"/>
      <c r="BR339" s="144"/>
      <c r="BS339" s="144"/>
      <c r="BT339" s="144"/>
      <c r="BV339" s="101" t="s">
        <v>248</v>
      </c>
      <c r="BW339" s="144"/>
      <c r="BX339" s="144"/>
      <c r="BY339" s="144"/>
      <c r="BZ339" s="144"/>
      <c r="CA339" s="144"/>
      <c r="CC339" s="101" t="s">
        <v>248</v>
      </c>
      <c r="CD339" s="144"/>
      <c r="CE339" s="144"/>
      <c r="CF339" s="144"/>
      <c r="CG339" s="144"/>
      <c r="CH339" s="144"/>
      <c r="CJ339" s="101" t="s">
        <v>248</v>
      </c>
      <c r="CK339" s="144"/>
      <c r="CL339" s="144"/>
      <c r="CM339" s="144"/>
      <c r="CN339" s="144"/>
      <c r="CO339" s="144"/>
      <c r="CQ339" s="101" t="s">
        <v>248</v>
      </c>
      <c r="CR339" s="144"/>
      <c r="CS339" s="144"/>
      <c r="CT339" s="144"/>
      <c r="CU339" s="144"/>
      <c r="CV339" s="144"/>
      <c r="CX339" s="101" t="s">
        <v>248</v>
      </c>
      <c r="CY339" s="144"/>
      <c r="CZ339" s="144"/>
      <c r="DA339" s="144"/>
      <c r="DB339" s="144"/>
      <c r="DC339" s="144"/>
      <c r="DE339" s="101" t="s">
        <v>248</v>
      </c>
      <c r="DF339" s="144"/>
      <c r="DG339" s="144"/>
      <c r="DH339" s="144"/>
      <c r="DI339" s="144"/>
      <c r="DJ339" s="144"/>
      <c r="DL339" s="101" t="s">
        <v>248</v>
      </c>
      <c r="DM339" s="144"/>
      <c r="DN339" s="144"/>
      <c r="DO339" s="144"/>
      <c r="DP339" s="144"/>
      <c r="DQ339" s="144"/>
      <c r="DS339" s="101" t="s">
        <v>248</v>
      </c>
      <c r="DT339" s="144"/>
      <c r="DU339" s="144"/>
      <c r="DV339" s="144"/>
      <c r="DW339" s="144"/>
      <c r="DX339" s="144"/>
      <c r="DZ339" s="101" t="s">
        <v>248</v>
      </c>
      <c r="EA339" s="144"/>
      <c r="EB339" s="144"/>
      <c r="EC339" s="144"/>
      <c r="ED339" s="144"/>
      <c r="EE339" s="144"/>
      <c r="EG339" s="101" t="s">
        <v>248</v>
      </c>
      <c r="EH339" s="144"/>
      <c r="EI339" s="144"/>
      <c r="EJ339" s="144"/>
      <c r="EK339" s="144"/>
      <c r="EL339" s="144"/>
      <c r="EN339" s="101" t="s">
        <v>248</v>
      </c>
      <c r="EO339" s="144"/>
      <c r="EP339" s="144"/>
      <c r="EQ339" s="144"/>
      <c r="ER339" s="144"/>
      <c r="ES339" s="144"/>
      <c r="EU339" s="101" t="s">
        <v>248</v>
      </c>
      <c r="EV339" s="144"/>
      <c r="EW339" s="144"/>
      <c r="EX339" s="144"/>
      <c r="EY339" s="144"/>
      <c r="EZ339" s="144"/>
      <c r="FB339" s="101" t="s">
        <v>248</v>
      </c>
      <c r="FC339" s="144"/>
      <c r="FD339" s="144"/>
      <c r="FE339" s="144"/>
      <c r="FF339" s="144"/>
      <c r="FG339" s="144"/>
      <c r="FI339" s="101" t="s">
        <v>248</v>
      </c>
      <c r="FJ339" s="144"/>
      <c r="FK339" s="144"/>
      <c r="FL339" s="144"/>
      <c r="FM339" s="144"/>
      <c r="FN339" s="144"/>
      <c r="FP339" s="101" t="s">
        <v>248</v>
      </c>
      <c r="FQ339" s="144"/>
      <c r="FR339" s="144"/>
      <c r="FS339" s="144"/>
      <c r="FT339" s="144"/>
      <c r="FU339" s="144"/>
      <c r="FW339" s="101" t="s">
        <v>248</v>
      </c>
      <c r="FX339" s="144"/>
      <c r="FY339" s="144"/>
      <c r="FZ339" s="144"/>
      <c r="GA339" s="144"/>
      <c r="GB339" s="144"/>
      <c r="GD339" s="101" t="s">
        <v>248</v>
      </c>
      <c r="GE339" s="144"/>
      <c r="GF339" s="144"/>
      <c r="GG339" s="144"/>
      <c r="GH339" s="144"/>
      <c r="GI339" s="144"/>
      <c r="GK339" s="101" t="s">
        <v>248</v>
      </c>
      <c r="GL339" s="144"/>
      <c r="GM339" s="144"/>
      <c r="GN339" s="144"/>
      <c r="GO339" s="144"/>
      <c r="GP339" s="144"/>
      <c r="GR339" s="101" t="s">
        <v>248</v>
      </c>
      <c r="GS339" s="144"/>
      <c r="GT339" s="144"/>
      <c r="GU339" s="144"/>
      <c r="GV339" s="144"/>
      <c r="GW339" s="144"/>
      <c r="GY339" s="101" t="s">
        <v>248</v>
      </c>
      <c r="GZ339" s="144"/>
      <c r="HA339" s="144"/>
      <c r="HB339" s="144"/>
      <c r="HC339" s="144"/>
      <c r="HD339" s="144"/>
      <c r="HF339" s="101" t="s">
        <v>248</v>
      </c>
      <c r="HG339" s="144"/>
      <c r="HH339" s="144"/>
      <c r="HI339" s="144"/>
      <c r="HJ339" s="144"/>
      <c r="HK339" s="144"/>
      <c r="HM339" s="101" t="s">
        <v>248</v>
      </c>
      <c r="HN339" s="144"/>
      <c r="HO339" s="144"/>
      <c r="HP339" s="144"/>
      <c r="HQ339" s="144"/>
      <c r="HR339" s="144"/>
      <c r="HT339" s="101" t="s">
        <v>248</v>
      </c>
      <c r="HU339" s="144"/>
      <c r="HV339" s="144"/>
      <c r="HW339" s="144"/>
      <c r="HX339" s="144"/>
      <c r="HY339" s="144"/>
      <c r="IA339" s="101" t="s">
        <v>248</v>
      </c>
      <c r="IB339" s="144"/>
      <c r="IC339" s="144"/>
      <c r="ID339" s="144"/>
      <c r="IE339" s="144"/>
      <c r="IF339" s="144"/>
      <c r="IH339" s="101" t="s">
        <v>248</v>
      </c>
      <c r="II339" s="144"/>
      <c r="IJ339" s="144"/>
      <c r="IK339" s="144"/>
      <c r="IL339" s="144"/>
      <c r="IM339" s="144"/>
      <c r="IO339" s="101" t="s">
        <v>248</v>
      </c>
      <c r="IP339" s="144"/>
      <c r="IQ339" s="144"/>
      <c r="IR339" s="144"/>
      <c r="IS339" s="144"/>
      <c r="IT339" s="144"/>
      <c r="IV339" s="101" t="s">
        <v>248</v>
      </c>
      <c r="IW339" s="144"/>
      <c r="IX339" s="144"/>
      <c r="IY339" s="144"/>
      <c r="IZ339" s="144"/>
      <c r="JA339" s="144"/>
      <c r="JC339" s="101" t="s">
        <v>248</v>
      </c>
      <c r="JD339" s="144"/>
      <c r="JE339" s="144"/>
      <c r="JF339" s="144"/>
      <c r="JG339" s="144"/>
      <c r="JH339" s="144"/>
      <c r="JJ339" s="101" t="s">
        <v>248</v>
      </c>
      <c r="JK339" s="144"/>
      <c r="JL339" s="144"/>
      <c r="JM339" s="144"/>
      <c r="JN339" s="144"/>
      <c r="JO339" s="144"/>
      <c r="JQ339" s="101" t="s">
        <v>248</v>
      </c>
      <c r="JR339" s="144"/>
      <c r="JS339" s="144"/>
      <c r="JT339" s="144"/>
      <c r="JU339" s="144"/>
      <c r="JV339" s="144"/>
      <c r="JX339" s="101" t="s">
        <v>248</v>
      </c>
      <c r="JY339" s="144"/>
      <c r="JZ339" s="144"/>
      <c r="KA339" s="144"/>
      <c r="KB339" s="144"/>
      <c r="KC339" s="144"/>
      <c r="KE339" s="101" t="s">
        <v>248</v>
      </c>
      <c r="KF339" s="144"/>
      <c r="KG339" s="144"/>
      <c r="KH339" s="144"/>
      <c r="KI339" s="144"/>
      <c r="KJ339" s="144"/>
      <c r="KL339" s="101" t="s">
        <v>248</v>
      </c>
      <c r="KM339" s="144"/>
      <c r="KN339" s="144"/>
      <c r="KO339" s="144"/>
      <c r="KP339" s="144"/>
      <c r="KQ339" s="144"/>
      <c r="KS339" s="101" t="s">
        <v>248</v>
      </c>
      <c r="KT339" s="144"/>
      <c r="KU339" s="144"/>
      <c r="KV339" s="184"/>
      <c r="KW339" s="144"/>
      <c r="KX339" s="144"/>
      <c r="KZ339" s="101" t="s">
        <v>248</v>
      </c>
      <c r="LA339" s="144"/>
      <c r="LB339" s="144"/>
      <c r="LC339" s="144"/>
      <c r="LD339" s="144"/>
      <c r="LE339" s="144"/>
      <c r="LF339" s="555"/>
      <c r="LG339" s="101" t="s">
        <v>248</v>
      </c>
      <c r="LH339" s="144"/>
      <c r="LI339" s="144"/>
      <c r="LJ339" s="144"/>
      <c r="LK339" s="144"/>
      <c r="LL339" s="144"/>
      <c r="LM339" s="555"/>
      <c r="LN339" s="101" t="s">
        <v>248</v>
      </c>
      <c r="LO339" s="144"/>
      <c r="LP339" s="144"/>
      <c r="LQ339" s="144"/>
      <c r="LR339" s="144"/>
      <c r="LS339" s="144"/>
      <c r="LT339" s="555"/>
      <c r="LU339" s="101" t="s">
        <v>248</v>
      </c>
      <c r="LV339" s="144"/>
      <c r="LW339" s="144"/>
      <c r="LX339" s="144"/>
      <c r="LY339" s="144"/>
      <c r="LZ339" s="144"/>
      <c r="MA339" s="555"/>
      <c r="MB339" s="101" t="s">
        <v>248</v>
      </c>
      <c r="MC339" s="144"/>
      <c r="MD339" s="144"/>
      <c r="ME339" s="144"/>
      <c r="MF339" s="144"/>
      <c r="MG339" s="144"/>
      <c r="MH339" s="555"/>
    </row>
    <row r="340" spans="1:346" s="37" customFormat="1" ht="13.15" outlineLevel="1" x14ac:dyDescent="0.4">
      <c r="A340" s="100"/>
      <c r="B340" s="101" t="s">
        <v>12</v>
      </c>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c r="AZ340" s="184"/>
      <c r="BA340" s="184"/>
      <c r="BB340" s="184"/>
      <c r="BC340" s="184"/>
      <c r="BD340" s="184"/>
      <c r="BE340" s="184"/>
      <c r="BF340" s="184"/>
      <c r="BG340" s="184"/>
      <c r="BH340" s="184"/>
      <c r="BI340" s="184"/>
      <c r="BJ340" s="184"/>
      <c r="BK340" s="184"/>
      <c r="BL340" s="184"/>
      <c r="BM340" s="184"/>
      <c r="BO340" s="101" t="s">
        <v>12</v>
      </c>
      <c r="BP340" s="144"/>
      <c r="BQ340" s="144"/>
      <c r="BR340" s="144"/>
      <c r="BS340" s="144"/>
      <c r="BT340" s="144"/>
      <c r="BV340" s="101" t="s">
        <v>12</v>
      </c>
      <c r="BW340" s="144"/>
      <c r="BX340" s="144"/>
      <c r="BY340" s="144"/>
      <c r="BZ340" s="144"/>
      <c r="CA340" s="144"/>
      <c r="CC340" s="101" t="s">
        <v>12</v>
      </c>
      <c r="CD340" s="144"/>
      <c r="CE340" s="144"/>
      <c r="CF340" s="144"/>
      <c r="CG340" s="144"/>
      <c r="CH340" s="144"/>
      <c r="CJ340" s="101" t="s">
        <v>12</v>
      </c>
      <c r="CK340" s="144"/>
      <c r="CL340" s="144"/>
      <c r="CM340" s="144"/>
      <c r="CN340" s="144"/>
      <c r="CO340" s="144"/>
      <c r="CQ340" s="101" t="s">
        <v>12</v>
      </c>
      <c r="CR340" s="144"/>
      <c r="CS340" s="144"/>
      <c r="CT340" s="144"/>
      <c r="CU340" s="144"/>
      <c r="CV340" s="144"/>
      <c r="CX340" s="101" t="s">
        <v>12</v>
      </c>
      <c r="CY340" s="144"/>
      <c r="CZ340" s="144"/>
      <c r="DA340" s="144"/>
      <c r="DB340" s="144"/>
      <c r="DC340" s="144"/>
      <c r="DE340" s="101" t="s">
        <v>12</v>
      </c>
      <c r="DF340" s="144"/>
      <c r="DG340" s="144"/>
      <c r="DH340" s="144"/>
      <c r="DI340" s="144"/>
      <c r="DJ340" s="144"/>
      <c r="DL340" s="101" t="s">
        <v>12</v>
      </c>
      <c r="DM340" s="144"/>
      <c r="DN340" s="144"/>
      <c r="DO340" s="144"/>
      <c r="DP340" s="144"/>
      <c r="DQ340" s="144"/>
      <c r="DS340" s="101" t="s">
        <v>12</v>
      </c>
      <c r="DT340" s="144"/>
      <c r="DU340" s="144"/>
      <c r="DV340" s="144"/>
      <c r="DW340" s="144"/>
      <c r="DX340" s="144"/>
      <c r="DZ340" s="101" t="s">
        <v>12</v>
      </c>
      <c r="EA340" s="144"/>
      <c r="EB340" s="144"/>
      <c r="EC340" s="144"/>
      <c r="ED340" s="144"/>
      <c r="EE340" s="144"/>
      <c r="EG340" s="101" t="s">
        <v>12</v>
      </c>
      <c r="EH340" s="144"/>
      <c r="EI340" s="144"/>
      <c r="EJ340" s="144"/>
      <c r="EK340" s="144"/>
      <c r="EL340" s="144"/>
      <c r="EN340" s="101" t="s">
        <v>12</v>
      </c>
      <c r="EO340" s="144"/>
      <c r="EP340" s="144"/>
      <c r="EQ340" s="144"/>
      <c r="ER340" s="144"/>
      <c r="ES340" s="144"/>
      <c r="EU340" s="101" t="s">
        <v>12</v>
      </c>
      <c r="EV340" s="144"/>
      <c r="EW340" s="144"/>
      <c r="EX340" s="144"/>
      <c r="EY340" s="144"/>
      <c r="EZ340" s="144"/>
      <c r="FB340" s="101" t="s">
        <v>12</v>
      </c>
      <c r="FC340" s="144"/>
      <c r="FD340" s="144"/>
      <c r="FE340" s="144"/>
      <c r="FF340" s="144"/>
      <c r="FG340" s="144"/>
      <c r="FI340" s="101" t="s">
        <v>12</v>
      </c>
      <c r="FJ340" s="144"/>
      <c r="FK340" s="144"/>
      <c r="FL340" s="144"/>
      <c r="FM340" s="144"/>
      <c r="FN340" s="144"/>
      <c r="FP340" s="101" t="s">
        <v>12</v>
      </c>
      <c r="FQ340" s="144"/>
      <c r="FR340" s="144"/>
      <c r="FS340" s="144"/>
      <c r="FT340" s="144"/>
      <c r="FU340" s="144"/>
      <c r="FW340" s="101" t="s">
        <v>12</v>
      </c>
      <c r="FX340" s="144"/>
      <c r="FY340" s="144"/>
      <c r="FZ340" s="144"/>
      <c r="GA340" s="144"/>
      <c r="GB340" s="144"/>
      <c r="GD340" s="101" t="s">
        <v>12</v>
      </c>
      <c r="GE340" s="144"/>
      <c r="GF340" s="144"/>
      <c r="GG340" s="144"/>
      <c r="GH340" s="144"/>
      <c r="GI340" s="144"/>
      <c r="GK340" s="101" t="s">
        <v>12</v>
      </c>
      <c r="GL340" s="144"/>
      <c r="GM340" s="144"/>
      <c r="GN340" s="144"/>
      <c r="GO340" s="144"/>
      <c r="GP340" s="144"/>
      <c r="GR340" s="101" t="s">
        <v>12</v>
      </c>
      <c r="GS340" s="144"/>
      <c r="GT340" s="144"/>
      <c r="GU340" s="144"/>
      <c r="GV340" s="144"/>
      <c r="GW340" s="144"/>
      <c r="GY340" s="101" t="s">
        <v>12</v>
      </c>
      <c r="GZ340" s="144"/>
      <c r="HA340" s="144"/>
      <c r="HB340" s="144"/>
      <c r="HC340" s="144"/>
      <c r="HD340" s="144"/>
      <c r="HF340" s="101" t="s">
        <v>12</v>
      </c>
      <c r="HG340" s="144"/>
      <c r="HH340" s="144"/>
      <c r="HI340" s="144"/>
      <c r="HJ340" s="144"/>
      <c r="HK340" s="144"/>
      <c r="HM340" s="101" t="s">
        <v>12</v>
      </c>
      <c r="HN340" s="144"/>
      <c r="HO340" s="144"/>
      <c r="HP340" s="144"/>
      <c r="HQ340" s="144"/>
      <c r="HR340" s="144"/>
      <c r="HT340" s="101" t="s">
        <v>12</v>
      </c>
      <c r="HU340" s="144"/>
      <c r="HV340" s="144"/>
      <c r="HW340" s="144"/>
      <c r="HX340" s="144"/>
      <c r="HY340" s="144"/>
      <c r="IA340" s="101" t="s">
        <v>12</v>
      </c>
      <c r="IB340" s="144"/>
      <c r="IC340" s="144"/>
      <c r="ID340" s="144"/>
      <c r="IE340" s="144"/>
      <c r="IF340" s="144"/>
      <c r="IH340" s="101" t="s">
        <v>12</v>
      </c>
      <c r="II340" s="144"/>
      <c r="IJ340" s="144"/>
      <c r="IK340" s="144"/>
      <c r="IL340" s="144"/>
      <c r="IM340" s="144"/>
      <c r="IO340" s="101" t="s">
        <v>12</v>
      </c>
      <c r="IP340" s="144"/>
      <c r="IQ340" s="144"/>
      <c r="IR340" s="144"/>
      <c r="IS340" s="144"/>
      <c r="IT340" s="144"/>
      <c r="IV340" s="101" t="s">
        <v>12</v>
      </c>
      <c r="IW340" s="144"/>
      <c r="IX340" s="144"/>
      <c r="IY340" s="144"/>
      <c r="IZ340" s="144"/>
      <c r="JA340" s="144"/>
      <c r="JC340" s="101" t="s">
        <v>12</v>
      </c>
      <c r="JD340" s="144"/>
      <c r="JE340" s="144"/>
      <c r="JF340" s="144"/>
      <c r="JG340" s="144"/>
      <c r="JH340" s="144"/>
      <c r="JJ340" s="101" t="s">
        <v>12</v>
      </c>
      <c r="JK340" s="144"/>
      <c r="JL340" s="144"/>
      <c r="JM340" s="144"/>
      <c r="JN340" s="144"/>
      <c r="JO340" s="144"/>
      <c r="JQ340" s="101" t="s">
        <v>12</v>
      </c>
      <c r="JR340" s="144"/>
      <c r="JS340" s="144"/>
      <c r="JT340" s="144"/>
      <c r="JU340" s="144"/>
      <c r="JV340" s="144"/>
      <c r="JX340" s="101" t="s">
        <v>12</v>
      </c>
      <c r="JY340" s="144"/>
      <c r="JZ340" s="144"/>
      <c r="KA340" s="144"/>
      <c r="KB340" s="144"/>
      <c r="KC340" s="144"/>
      <c r="KE340" s="101" t="s">
        <v>12</v>
      </c>
      <c r="KF340" s="144"/>
      <c r="KG340" s="144"/>
      <c r="KH340" s="144"/>
      <c r="KI340" s="144"/>
      <c r="KJ340" s="144"/>
      <c r="KL340" s="101" t="s">
        <v>12</v>
      </c>
      <c r="KM340" s="144"/>
      <c r="KN340" s="144"/>
      <c r="KO340" s="144"/>
      <c r="KP340" s="144"/>
      <c r="KQ340" s="144"/>
      <c r="KS340" s="101" t="s">
        <v>12</v>
      </c>
      <c r="KT340" s="144"/>
      <c r="KU340" s="144"/>
      <c r="KV340" s="184"/>
      <c r="KW340" s="144"/>
      <c r="KX340" s="144"/>
      <c r="KZ340" s="101" t="s">
        <v>12</v>
      </c>
      <c r="LA340" s="144"/>
      <c r="LB340" s="144"/>
      <c r="LC340" s="144"/>
      <c r="LD340" s="144"/>
      <c r="LE340" s="144"/>
      <c r="LF340" s="555"/>
      <c r="LG340" s="101" t="s">
        <v>12</v>
      </c>
      <c r="LH340" s="144"/>
      <c r="LI340" s="144"/>
      <c r="LJ340" s="144"/>
      <c r="LK340" s="144"/>
      <c r="LL340" s="144"/>
      <c r="LM340" s="555"/>
      <c r="LN340" s="101" t="s">
        <v>12</v>
      </c>
      <c r="LO340" s="144"/>
      <c r="LP340" s="144"/>
      <c r="LQ340" s="144"/>
      <c r="LR340" s="144"/>
      <c r="LS340" s="144"/>
      <c r="LT340" s="555"/>
      <c r="LU340" s="101" t="s">
        <v>12</v>
      </c>
      <c r="LV340" s="144"/>
      <c r="LW340" s="144"/>
      <c r="LX340" s="144"/>
      <c r="LY340" s="144"/>
      <c r="LZ340" s="144"/>
      <c r="MA340" s="555"/>
      <c r="MB340" s="101" t="s">
        <v>12</v>
      </c>
      <c r="MC340" s="144"/>
      <c r="MD340" s="144"/>
      <c r="ME340" s="144"/>
      <c r="MF340" s="144"/>
      <c r="MG340" s="144"/>
      <c r="MH340" s="555"/>
    </row>
    <row r="341" spans="1:346" s="37" customFormat="1" ht="13.5" outlineLevel="1" thickBot="1" x14ac:dyDescent="0.45">
      <c r="A341" s="100"/>
      <c r="B341" s="101"/>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c r="AA341" s="184"/>
      <c r="AB341" s="184"/>
      <c r="AC341" s="184"/>
      <c r="AD341" s="184"/>
      <c r="AE341" s="184"/>
      <c r="AF341" s="184"/>
      <c r="AG341" s="184"/>
      <c r="AH341" s="184"/>
      <c r="AI341" s="184"/>
      <c r="AJ341" s="184"/>
      <c r="AK341" s="184"/>
      <c r="AL341" s="184"/>
      <c r="AM341" s="184"/>
      <c r="AN341" s="184"/>
      <c r="AO341" s="184"/>
      <c r="AP341" s="184"/>
      <c r="AQ341" s="184"/>
      <c r="AR341" s="184"/>
      <c r="AS341" s="184"/>
      <c r="AT341" s="184"/>
      <c r="AU341" s="184"/>
      <c r="AV341" s="184"/>
      <c r="AW341" s="184"/>
      <c r="AX341" s="184"/>
      <c r="AY341" s="184"/>
      <c r="AZ341" s="184"/>
      <c r="BA341" s="184"/>
      <c r="BB341" s="184"/>
      <c r="BC341" s="184"/>
      <c r="BD341" s="184"/>
      <c r="BE341" s="184"/>
      <c r="BF341" s="184"/>
      <c r="BG341" s="184"/>
      <c r="BH341" s="184"/>
      <c r="BI341" s="184"/>
      <c r="BJ341" s="184"/>
      <c r="BK341" s="184"/>
      <c r="BL341" s="184"/>
      <c r="BM341" s="184"/>
      <c r="BO341" s="101"/>
      <c r="BP341" s="144"/>
      <c r="BQ341" s="144"/>
      <c r="BR341" s="144"/>
      <c r="BS341" s="144"/>
      <c r="BT341" s="144"/>
      <c r="BV341" s="101"/>
      <c r="BW341" s="144"/>
      <c r="BX341" s="144"/>
      <c r="BY341" s="144"/>
      <c r="BZ341" s="144"/>
      <c r="CA341" s="144"/>
      <c r="CC341" s="101"/>
      <c r="CD341" s="144"/>
      <c r="CE341" s="144"/>
      <c r="CF341" s="144"/>
      <c r="CG341" s="144"/>
      <c r="CH341" s="144"/>
      <c r="CJ341" s="101"/>
      <c r="CK341" s="144"/>
      <c r="CL341" s="144"/>
      <c r="CM341" s="144"/>
      <c r="CN341" s="144"/>
      <c r="CO341" s="144"/>
      <c r="CQ341" s="101"/>
      <c r="CR341" s="144"/>
      <c r="CS341" s="144"/>
      <c r="CT341" s="144"/>
      <c r="CU341" s="144"/>
      <c r="CV341" s="144"/>
      <c r="CX341" s="101"/>
      <c r="CY341" s="144"/>
      <c r="CZ341" s="144"/>
      <c r="DA341" s="144"/>
      <c r="DB341" s="144"/>
      <c r="DC341" s="144"/>
      <c r="DE341" s="101"/>
      <c r="DF341" s="144"/>
      <c r="DG341" s="144"/>
      <c r="DH341" s="144"/>
      <c r="DI341" s="144"/>
      <c r="DJ341" s="144"/>
      <c r="DL341" s="101"/>
      <c r="DM341" s="144"/>
      <c r="DN341" s="144"/>
      <c r="DO341" s="144"/>
      <c r="DP341" s="144"/>
      <c r="DQ341" s="144"/>
      <c r="DS341" s="101"/>
      <c r="DT341" s="144"/>
      <c r="DU341" s="144"/>
      <c r="DV341" s="144"/>
      <c r="DW341" s="144"/>
      <c r="DX341" s="144"/>
      <c r="DZ341" s="101"/>
      <c r="EA341" s="144"/>
      <c r="EB341" s="144"/>
      <c r="EC341" s="144"/>
      <c r="ED341" s="144"/>
      <c r="EE341" s="144"/>
      <c r="EG341" s="101"/>
      <c r="EH341" s="144"/>
      <c r="EI341" s="144"/>
      <c r="EJ341" s="144"/>
      <c r="EK341" s="144"/>
      <c r="EL341" s="144"/>
      <c r="EN341" s="101"/>
      <c r="EO341" s="144"/>
      <c r="EP341" s="144"/>
      <c r="EQ341" s="144"/>
      <c r="ER341" s="144"/>
      <c r="ES341" s="144"/>
      <c r="EU341" s="101"/>
      <c r="EV341" s="144"/>
      <c r="EW341" s="144"/>
      <c r="EX341" s="144"/>
      <c r="EY341" s="144"/>
      <c r="EZ341" s="144"/>
      <c r="FB341" s="101"/>
      <c r="FC341" s="144"/>
      <c r="FD341" s="144"/>
      <c r="FE341" s="144"/>
      <c r="FF341" s="144"/>
      <c r="FG341" s="144"/>
      <c r="FI341" s="101"/>
      <c r="FJ341" s="144"/>
      <c r="FK341" s="144"/>
      <c r="FL341" s="144"/>
      <c r="FM341" s="144"/>
      <c r="FN341" s="144"/>
      <c r="FP341" s="101"/>
      <c r="FQ341" s="144"/>
      <c r="FR341" s="144"/>
      <c r="FS341" s="144"/>
      <c r="FT341" s="144"/>
      <c r="FU341" s="144"/>
      <c r="FW341" s="101"/>
      <c r="FX341" s="144"/>
      <c r="FY341" s="144"/>
      <c r="FZ341" s="144"/>
      <c r="GA341" s="144"/>
      <c r="GB341" s="144"/>
      <c r="GD341" s="101"/>
      <c r="GE341" s="144"/>
      <c r="GF341" s="144"/>
      <c r="GG341" s="144"/>
      <c r="GH341" s="144"/>
      <c r="GI341" s="144"/>
      <c r="GK341" s="101"/>
      <c r="GL341" s="144"/>
      <c r="GM341" s="144"/>
      <c r="GN341" s="144"/>
      <c r="GO341" s="144"/>
      <c r="GP341" s="144"/>
      <c r="GR341" s="101"/>
      <c r="GS341" s="144"/>
      <c r="GT341" s="144"/>
      <c r="GU341" s="144"/>
      <c r="GV341" s="144"/>
      <c r="GW341" s="144"/>
      <c r="GY341" s="101"/>
      <c r="GZ341" s="144"/>
      <c r="HA341" s="144"/>
      <c r="HB341" s="144"/>
      <c r="HC341" s="144"/>
      <c r="HD341" s="144"/>
      <c r="HF341" s="101"/>
      <c r="HG341" s="144"/>
      <c r="HH341" s="144"/>
      <c r="HI341" s="144"/>
      <c r="HJ341" s="144"/>
      <c r="HK341" s="144"/>
      <c r="HM341" s="101"/>
      <c r="HN341" s="144"/>
      <c r="HO341" s="144"/>
      <c r="HP341" s="144"/>
      <c r="HQ341" s="144"/>
      <c r="HR341" s="144"/>
      <c r="HT341" s="101"/>
      <c r="HU341" s="144"/>
      <c r="HV341" s="144"/>
      <c r="HW341" s="144"/>
      <c r="HX341" s="144"/>
      <c r="HY341" s="144"/>
      <c r="IA341" s="101"/>
      <c r="IB341" s="144"/>
      <c r="IC341" s="144"/>
      <c r="ID341" s="144"/>
      <c r="IE341" s="144"/>
      <c r="IF341" s="144"/>
      <c r="IH341" s="101"/>
      <c r="II341" s="144"/>
      <c r="IJ341" s="144"/>
      <c r="IK341" s="144"/>
      <c r="IL341" s="144"/>
      <c r="IM341" s="144"/>
      <c r="IO341" s="101"/>
      <c r="IP341" s="144"/>
      <c r="IQ341" s="144"/>
      <c r="IR341" s="144"/>
      <c r="IS341" s="144"/>
      <c r="IT341" s="144"/>
      <c r="IV341" s="101"/>
      <c r="IW341" s="144"/>
      <c r="IX341" s="144"/>
      <c r="IY341" s="144"/>
      <c r="IZ341" s="144"/>
      <c r="JA341" s="144"/>
      <c r="JC341" s="101"/>
      <c r="JD341" s="144"/>
      <c r="JE341" s="144"/>
      <c r="JF341" s="144"/>
      <c r="JG341" s="144"/>
      <c r="JH341" s="144"/>
      <c r="JJ341" s="101"/>
      <c r="JK341" s="144"/>
      <c r="JL341" s="144"/>
      <c r="JM341" s="144"/>
      <c r="JN341" s="144"/>
      <c r="JO341" s="144"/>
      <c r="JQ341" s="101"/>
      <c r="JR341" s="144"/>
      <c r="JS341" s="144"/>
      <c r="JT341" s="144"/>
      <c r="JU341" s="144"/>
      <c r="JV341" s="144"/>
      <c r="JX341" s="101"/>
      <c r="JY341" s="144"/>
      <c r="JZ341" s="144"/>
      <c r="KA341" s="144"/>
      <c r="KB341" s="144"/>
      <c r="KC341" s="144"/>
      <c r="KE341" s="101"/>
      <c r="KF341" s="144"/>
      <c r="KG341" s="144"/>
      <c r="KH341" s="144"/>
      <c r="KI341" s="144"/>
      <c r="KJ341" s="144"/>
      <c r="KL341" s="101"/>
      <c r="KM341" s="144"/>
      <c r="KN341" s="144"/>
      <c r="KO341" s="144"/>
      <c r="KP341" s="144"/>
      <c r="KQ341" s="144"/>
      <c r="KS341" s="101"/>
      <c r="KT341" s="144"/>
      <c r="KU341" s="144"/>
      <c r="KV341" s="184"/>
      <c r="KW341" s="144"/>
      <c r="KX341" s="144"/>
      <c r="KZ341" s="101"/>
      <c r="LA341" s="144"/>
      <c r="LB341" s="144"/>
      <c r="LC341" s="144"/>
      <c r="LD341" s="144"/>
      <c r="LE341" s="144"/>
      <c r="LF341" s="555"/>
      <c r="LG341" s="101"/>
      <c r="LH341" s="144"/>
      <c r="LI341" s="144"/>
      <c r="LJ341" s="144"/>
      <c r="LK341" s="144"/>
      <c r="LL341" s="144"/>
      <c r="LM341" s="555"/>
      <c r="LN341" s="101"/>
      <c r="LO341" s="144"/>
      <c r="LP341" s="144"/>
      <c r="LQ341" s="144"/>
      <c r="LR341" s="144"/>
      <c r="LS341" s="144"/>
      <c r="LT341" s="555"/>
      <c r="LU341" s="101"/>
      <c r="LV341" s="144"/>
      <c r="LW341" s="144"/>
      <c r="LX341" s="144"/>
      <c r="LY341" s="144"/>
      <c r="LZ341" s="144"/>
      <c r="MA341" s="555"/>
      <c r="MB341" s="101"/>
      <c r="MC341" s="144"/>
      <c r="MD341" s="144"/>
      <c r="ME341" s="144"/>
      <c r="MF341" s="144"/>
      <c r="MG341" s="144"/>
      <c r="MH341" s="555"/>
    </row>
    <row r="342" spans="1:346" s="37" customFormat="1" ht="13.5" outlineLevel="1" thickBot="1" x14ac:dyDescent="0.45">
      <c r="A342" s="97"/>
      <c r="B342" s="98" t="s">
        <v>472</v>
      </c>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c r="AA342" s="99"/>
      <c r="AB342" s="99"/>
      <c r="AC342" s="99"/>
      <c r="AD342" s="99"/>
      <c r="AE342" s="99"/>
      <c r="AF342" s="99"/>
      <c r="AG342" s="99"/>
      <c r="AH342" s="99"/>
      <c r="AI342" s="99"/>
      <c r="AJ342" s="99"/>
      <c r="AK342" s="99"/>
      <c r="AL342" s="99"/>
      <c r="AM342" s="99"/>
      <c r="AN342" s="99"/>
      <c r="AO342" s="99"/>
      <c r="AP342" s="99"/>
      <c r="AQ342" s="99"/>
      <c r="AR342" s="99"/>
      <c r="AS342" s="99"/>
      <c r="AT342" s="99"/>
      <c r="AU342" s="99"/>
      <c r="AV342" s="99"/>
      <c r="AW342" s="99"/>
      <c r="AX342" s="99"/>
      <c r="AY342" s="99"/>
      <c r="AZ342" s="99"/>
      <c r="BA342" s="99"/>
      <c r="BB342" s="99"/>
      <c r="BC342" s="99"/>
      <c r="BD342" s="99"/>
      <c r="BE342" s="99"/>
      <c r="BF342" s="99"/>
      <c r="BG342" s="99"/>
      <c r="BH342" s="99"/>
      <c r="BI342" s="99"/>
      <c r="BJ342" s="99"/>
      <c r="BK342" s="99"/>
      <c r="BL342" s="99"/>
      <c r="BM342" s="99"/>
      <c r="BO342" s="98" t="s">
        <v>472</v>
      </c>
      <c r="BP342" s="99"/>
      <c r="BQ342" s="99"/>
      <c r="BR342" s="99"/>
      <c r="BS342" s="99"/>
      <c r="BT342" s="99"/>
      <c r="BV342" s="98" t="s">
        <v>472</v>
      </c>
      <c r="BW342" s="99"/>
      <c r="BX342" s="99"/>
      <c r="BY342" s="99"/>
      <c r="BZ342" s="99"/>
      <c r="CA342" s="99"/>
      <c r="CC342" s="98" t="s">
        <v>472</v>
      </c>
      <c r="CD342" s="99"/>
      <c r="CE342" s="99"/>
      <c r="CF342" s="99"/>
      <c r="CG342" s="99"/>
      <c r="CH342" s="99"/>
      <c r="CJ342" s="98" t="s">
        <v>472</v>
      </c>
      <c r="CK342" s="99"/>
      <c r="CL342" s="99"/>
      <c r="CM342" s="99"/>
      <c r="CN342" s="99"/>
      <c r="CO342" s="99"/>
      <c r="CQ342" s="98" t="s">
        <v>472</v>
      </c>
      <c r="CR342" s="99"/>
      <c r="CS342" s="99"/>
      <c r="CT342" s="99"/>
      <c r="CU342" s="99"/>
      <c r="CV342" s="99"/>
      <c r="CX342" s="98" t="s">
        <v>472</v>
      </c>
      <c r="CY342" s="99"/>
      <c r="CZ342" s="99"/>
      <c r="DA342" s="99"/>
      <c r="DB342" s="99"/>
      <c r="DC342" s="99"/>
      <c r="DE342" s="98" t="s">
        <v>472</v>
      </c>
      <c r="DF342" s="99"/>
      <c r="DG342" s="99"/>
      <c r="DH342" s="99"/>
      <c r="DI342" s="99"/>
      <c r="DJ342" s="99"/>
      <c r="DL342" s="98" t="s">
        <v>472</v>
      </c>
      <c r="DM342" s="99"/>
      <c r="DN342" s="99"/>
      <c r="DO342" s="99"/>
      <c r="DP342" s="99"/>
      <c r="DQ342" s="99"/>
      <c r="DS342" s="98" t="s">
        <v>472</v>
      </c>
      <c r="DT342" s="99"/>
      <c r="DU342" s="99"/>
      <c r="DV342" s="99"/>
      <c r="DW342" s="99"/>
      <c r="DX342" s="99"/>
      <c r="DZ342" s="98" t="s">
        <v>472</v>
      </c>
      <c r="EA342" s="99"/>
      <c r="EB342" s="99"/>
      <c r="EC342" s="99"/>
      <c r="ED342" s="99"/>
      <c r="EE342" s="99"/>
      <c r="EG342" s="98" t="s">
        <v>472</v>
      </c>
      <c r="EH342" s="99"/>
      <c r="EI342" s="99"/>
      <c r="EJ342" s="99"/>
      <c r="EK342" s="99"/>
      <c r="EL342" s="99"/>
      <c r="EN342" s="98" t="s">
        <v>472</v>
      </c>
      <c r="EO342" s="99"/>
      <c r="EP342" s="99"/>
      <c r="EQ342" s="99"/>
      <c r="ER342" s="99"/>
      <c r="ES342" s="99"/>
      <c r="EU342" s="98" t="s">
        <v>472</v>
      </c>
      <c r="EV342" s="99"/>
      <c r="EW342" s="99"/>
      <c r="EX342" s="99"/>
      <c r="EY342" s="99"/>
      <c r="EZ342" s="99"/>
      <c r="FB342" s="98" t="s">
        <v>472</v>
      </c>
      <c r="FC342" s="99"/>
      <c r="FD342" s="99"/>
      <c r="FE342" s="99"/>
      <c r="FF342" s="99"/>
      <c r="FG342" s="99"/>
      <c r="FI342" s="98" t="s">
        <v>472</v>
      </c>
      <c r="FJ342" s="99"/>
      <c r="FK342" s="99"/>
      <c r="FL342" s="99"/>
      <c r="FM342" s="99"/>
      <c r="FN342" s="99"/>
      <c r="FP342" s="98" t="s">
        <v>472</v>
      </c>
      <c r="FQ342" s="99"/>
      <c r="FR342" s="99"/>
      <c r="FS342" s="99"/>
      <c r="FT342" s="99"/>
      <c r="FU342" s="99"/>
      <c r="FW342" s="98" t="s">
        <v>472</v>
      </c>
      <c r="FX342" s="99"/>
      <c r="FY342" s="99"/>
      <c r="FZ342" s="99"/>
      <c r="GA342" s="99"/>
      <c r="GB342" s="99"/>
      <c r="GD342" s="98" t="s">
        <v>472</v>
      </c>
      <c r="GE342" s="99"/>
      <c r="GF342" s="99"/>
      <c r="GG342" s="99"/>
      <c r="GH342" s="99"/>
      <c r="GI342" s="99"/>
      <c r="GK342" s="98" t="s">
        <v>472</v>
      </c>
      <c r="GL342" s="99"/>
      <c r="GM342" s="99"/>
      <c r="GN342" s="99"/>
      <c r="GO342" s="99"/>
      <c r="GP342" s="99"/>
      <c r="GR342" s="98" t="s">
        <v>472</v>
      </c>
      <c r="GS342" s="99"/>
      <c r="GT342" s="99"/>
      <c r="GU342" s="99"/>
      <c r="GV342" s="99"/>
      <c r="GW342" s="99"/>
      <c r="GY342" s="98" t="s">
        <v>472</v>
      </c>
      <c r="GZ342" s="99"/>
      <c r="HA342" s="99"/>
      <c r="HB342" s="99"/>
      <c r="HC342" s="99"/>
      <c r="HD342" s="99"/>
      <c r="HF342" s="98" t="s">
        <v>472</v>
      </c>
      <c r="HG342" s="99"/>
      <c r="HH342" s="99"/>
      <c r="HI342" s="99"/>
      <c r="HJ342" s="99"/>
      <c r="HK342" s="99"/>
      <c r="HM342" s="98" t="s">
        <v>472</v>
      </c>
      <c r="HN342" s="99"/>
      <c r="HO342" s="99"/>
      <c r="HP342" s="99"/>
      <c r="HQ342" s="99"/>
      <c r="HR342" s="99"/>
      <c r="HT342" s="98" t="s">
        <v>472</v>
      </c>
      <c r="HU342" s="99"/>
      <c r="HV342" s="99"/>
      <c r="HW342" s="99"/>
      <c r="HX342" s="99"/>
      <c r="HY342" s="99"/>
      <c r="IA342" s="98" t="s">
        <v>472</v>
      </c>
      <c r="IB342" s="99"/>
      <c r="IC342" s="99"/>
      <c r="ID342" s="99"/>
      <c r="IE342" s="99"/>
      <c r="IF342" s="99"/>
      <c r="IH342" s="98" t="s">
        <v>472</v>
      </c>
      <c r="II342" s="99"/>
      <c r="IJ342" s="99"/>
      <c r="IK342" s="99"/>
      <c r="IL342" s="99"/>
      <c r="IM342" s="99"/>
      <c r="IO342" s="98" t="s">
        <v>472</v>
      </c>
      <c r="IP342" s="99"/>
      <c r="IQ342" s="99"/>
      <c r="IR342" s="99"/>
      <c r="IS342" s="99"/>
      <c r="IT342" s="99"/>
      <c r="IV342" s="98" t="s">
        <v>472</v>
      </c>
      <c r="IW342" s="99"/>
      <c r="IX342" s="99"/>
      <c r="IY342" s="99"/>
      <c r="IZ342" s="99"/>
      <c r="JA342" s="99"/>
      <c r="JC342" s="98" t="s">
        <v>472</v>
      </c>
      <c r="JD342" s="99"/>
      <c r="JE342" s="99"/>
      <c r="JF342" s="99"/>
      <c r="JG342" s="99"/>
      <c r="JH342" s="99"/>
      <c r="JJ342" s="98" t="s">
        <v>472</v>
      </c>
      <c r="JK342" s="99"/>
      <c r="JL342" s="99"/>
      <c r="JM342" s="99"/>
      <c r="JN342" s="99"/>
      <c r="JO342" s="99"/>
      <c r="JQ342" s="98" t="s">
        <v>472</v>
      </c>
      <c r="JR342" s="99"/>
      <c r="JS342" s="99"/>
      <c r="JT342" s="99"/>
      <c r="JU342" s="99"/>
      <c r="JV342" s="99"/>
      <c r="JX342" s="98" t="s">
        <v>472</v>
      </c>
      <c r="JY342" s="99"/>
      <c r="JZ342" s="99"/>
      <c r="KA342" s="99"/>
      <c r="KB342" s="99"/>
      <c r="KC342" s="99"/>
      <c r="KE342" s="98" t="s">
        <v>472</v>
      </c>
      <c r="KF342" s="99"/>
      <c r="KG342" s="99"/>
      <c r="KH342" s="99"/>
      <c r="KI342" s="99"/>
      <c r="KJ342" s="99"/>
      <c r="KL342" s="98" t="s">
        <v>472</v>
      </c>
      <c r="KM342" s="99"/>
      <c r="KN342" s="99"/>
      <c r="KO342" s="99"/>
      <c r="KP342" s="99"/>
      <c r="KQ342" s="99"/>
      <c r="KS342" s="98" t="s">
        <v>472</v>
      </c>
      <c r="KT342" s="99"/>
      <c r="KU342" s="99"/>
      <c r="KV342" s="99"/>
      <c r="KW342" s="99"/>
      <c r="KX342" s="99"/>
      <c r="KZ342" s="98" t="s">
        <v>472</v>
      </c>
      <c r="LA342" s="99"/>
      <c r="LB342" s="99"/>
      <c r="LC342" s="99"/>
      <c r="LD342" s="99"/>
      <c r="LE342" s="99"/>
      <c r="LF342" s="565"/>
      <c r="LG342" s="98" t="s">
        <v>472</v>
      </c>
      <c r="LH342" s="99"/>
      <c r="LI342" s="99"/>
      <c r="LJ342" s="99"/>
      <c r="LK342" s="99"/>
      <c r="LL342" s="99"/>
      <c r="LM342" s="565"/>
      <c r="LN342" s="98" t="s">
        <v>472</v>
      </c>
      <c r="LO342" s="99"/>
      <c r="LP342" s="99"/>
      <c r="LQ342" s="99"/>
      <c r="LR342" s="99"/>
      <c r="LS342" s="99"/>
      <c r="LT342" s="565"/>
      <c r="LU342" s="98" t="s">
        <v>472</v>
      </c>
      <c r="LV342" s="99"/>
      <c r="LW342" s="99"/>
      <c r="LX342" s="99"/>
      <c r="LY342" s="99"/>
      <c r="LZ342" s="99"/>
      <c r="MA342" s="565"/>
      <c r="MB342" s="98" t="s">
        <v>472</v>
      </c>
      <c r="MC342" s="99"/>
      <c r="MD342" s="99"/>
      <c r="ME342" s="99"/>
      <c r="MF342" s="99"/>
      <c r="MG342" s="99"/>
      <c r="MH342" s="565"/>
    </row>
    <row r="343" spans="1:346" s="37" customFormat="1" ht="13.15" outlineLevel="1" x14ac:dyDescent="0.4">
      <c r="A343" s="100"/>
      <c r="B343" s="101" t="s">
        <v>471</v>
      </c>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c r="AA343" s="184"/>
      <c r="AB343" s="184"/>
      <c r="AC343" s="184"/>
      <c r="AD343" s="184"/>
      <c r="AE343" s="184"/>
      <c r="AF343" s="184"/>
      <c r="AG343" s="184"/>
      <c r="AH343" s="184"/>
      <c r="AI343" s="184"/>
      <c r="AJ343" s="184"/>
      <c r="AK343" s="184"/>
      <c r="AL343" s="184"/>
      <c r="AM343" s="184"/>
      <c r="AN343" s="184"/>
      <c r="AO343" s="184"/>
      <c r="AP343" s="184"/>
      <c r="AQ343" s="184"/>
      <c r="AR343" s="184"/>
      <c r="AS343" s="184"/>
      <c r="AT343" s="184"/>
      <c r="AU343" s="184"/>
      <c r="AV343" s="184"/>
      <c r="AW343" s="184"/>
      <c r="AX343" s="184"/>
      <c r="AY343" s="184"/>
      <c r="AZ343" s="184"/>
      <c r="BA343" s="184"/>
      <c r="BB343" s="184"/>
      <c r="BC343" s="184"/>
      <c r="BD343" s="184"/>
      <c r="BE343" s="184"/>
      <c r="BF343" s="184"/>
      <c r="BG343" s="184"/>
      <c r="BH343" s="184"/>
      <c r="BI343" s="184"/>
      <c r="BJ343" s="184"/>
      <c r="BK343" s="184"/>
      <c r="BL343" s="184"/>
      <c r="BM343" s="184"/>
      <c r="BO343" s="101" t="s">
        <v>471</v>
      </c>
      <c r="BP343" s="144"/>
      <c r="BQ343" s="144"/>
      <c r="BR343" s="144"/>
      <c r="BS343" s="144"/>
      <c r="BT343" s="144"/>
      <c r="BV343" s="101" t="s">
        <v>471</v>
      </c>
      <c r="BW343" s="144"/>
      <c r="BX343" s="144"/>
      <c r="BY343" s="144"/>
      <c r="BZ343" s="144"/>
      <c r="CA343" s="144"/>
      <c r="CC343" s="101" t="s">
        <v>471</v>
      </c>
      <c r="CD343" s="144"/>
      <c r="CE343" s="144"/>
      <c r="CF343" s="144"/>
      <c r="CG343" s="144"/>
      <c r="CH343" s="144"/>
      <c r="CJ343" s="101" t="s">
        <v>471</v>
      </c>
      <c r="CK343" s="144"/>
      <c r="CL343" s="144"/>
      <c r="CM343" s="144"/>
      <c r="CN343" s="144"/>
      <c r="CO343" s="144"/>
      <c r="CQ343" s="101" t="s">
        <v>471</v>
      </c>
      <c r="CR343" s="144"/>
      <c r="CS343" s="144"/>
      <c r="CT343" s="144"/>
      <c r="CU343" s="144"/>
      <c r="CV343" s="144"/>
      <c r="CX343" s="101" t="s">
        <v>471</v>
      </c>
      <c r="CY343" s="144"/>
      <c r="CZ343" s="144"/>
      <c r="DA343" s="144"/>
      <c r="DB343" s="144"/>
      <c r="DC343" s="144"/>
      <c r="DE343" s="101" t="s">
        <v>471</v>
      </c>
      <c r="DF343" s="144"/>
      <c r="DG343" s="144"/>
      <c r="DH343" s="144"/>
      <c r="DI343" s="144"/>
      <c r="DJ343" s="144"/>
      <c r="DL343" s="101" t="s">
        <v>471</v>
      </c>
      <c r="DM343" s="144"/>
      <c r="DN343" s="144"/>
      <c r="DO343" s="144"/>
      <c r="DP343" s="144"/>
      <c r="DQ343" s="144"/>
      <c r="DS343" s="101" t="s">
        <v>471</v>
      </c>
      <c r="DT343" s="144"/>
      <c r="DU343" s="144"/>
      <c r="DV343" s="144"/>
      <c r="DW343" s="144"/>
      <c r="DX343" s="144"/>
      <c r="DZ343" s="101" t="s">
        <v>471</v>
      </c>
      <c r="EA343" s="144"/>
      <c r="EB343" s="144"/>
      <c r="EC343" s="144"/>
      <c r="ED343" s="144"/>
      <c r="EE343" s="144"/>
      <c r="EG343" s="101" t="s">
        <v>471</v>
      </c>
      <c r="EH343" s="144"/>
      <c r="EI343" s="144"/>
      <c r="EJ343" s="144"/>
      <c r="EK343" s="144"/>
      <c r="EL343" s="144"/>
      <c r="EN343" s="101" t="s">
        <v>471</v>
      </c>
      <c r="EO343" s="144"/>
      <c r="EP343" s="144"/>
      <c r="EQ343" s="144"/>
      <c r="ER343" s="144"/>
      <c r="ES343" s="144"/>
      <c r="EU343" s="101" t="s">
        <v>471</v>
      </c>
      <c r="EV343" s="144"/>
      <c r="EW343" s="144"/>
      <c r="EX343" s="144"/>
      <c r="EY343" s="144"/>
      <c r="EZ343" s="144"/>
      <c r="FB343" s="101" t="s">
        <v>471</v>
      </c>
      <c r="FC343" s="144"/>
      <c r="FD343" s="144"/>
      <c r="FE343" s="144"/>
      <c r="FF343" s="144"/>
      <c r="FG343" s="144"/>
      <c r="FI343" s="101" t="s">
        <v>471</v>
      </c>
      <c r="FJ343" s="144"/>
      <c r="FK343" s="144"/>
      <c r="FL343" s="144"/>
      <c r="FM343" s="144"/>
      <c r="FN343" s="144"/>
      <c r="FP343" s="101" t="s">
        <v>471</v>
      </c>
      <c r="FQ343" s="144"/>
      <c r="FR343" s="144"/>
      <c r="FS343" s="144"/>
      <c r="FT343" s="144"/>
      <c r="FU343" s="144"/>
      <c r="FW343" s="101" t="s">
        <v>471</v>
      </c>
      <c r="FX343" s="144"/>
      <c r="FY343" s="144"/>
      <c r="FZ343" s="144"/>
      <c r="GA343" s="144"/>
      <c r="GB343" s="144"/>
      <c r="GD343" s="101" t="s">
        <v>471</v>
      </c>
      <c r="GE343" s="144"/>
      <c r="GF343" s="144"/>
      <c r="GG343" s="144"/>
      <c r="GH343" s="144"/>
      <c r="GI343" s="144"/>
      <c r="GK343" s="101" t="s">
        <v>471</v>
      </c>
      <c r="GL343" s="144"/>
      <c r="GM343" s="144"/>
      <c r="GN343" s="144"/>
      <c r="GO343" s="144"/>
      <c r="GP343" s="144"/>
      <c r="GR343" s="101" t="s">
        <v>471</v>
      </c>
      <c r="GS343" s="144"/>
      <c r="GT343" s="144"/>
      <c r="GU343" s="144"/>
      <c r="GV343" s="144"/>
      <c r="GW343" s="144"/>
      <c r="GY343" s="101" t="s">
        <v>471</v>
      </c>
      <c r="GZ343" s="144"/>
      <c r="HA343" s="144"/>
      <c r="HB343" s="144"/>
      <c r="HC343" s="144"/>
      <c r="HD343" s="144"/>
      <c r="HF343" s="101" t="s">
        <v>471</v>
      </c>
      <c r="HG343" s="144"/>
      <c r="HH343" s="144"/>
      <c r="HI343" s="144"/>
      <c r="HJ343" s="144"/>
      <c r="HK343" s="144"/>
      <c r="HM343" s="101" t="s">
        <v>471</v>
      </c>
      <c r="HN343" s="144"/>
      <c r="HO343" s="144"/>
      <c r="HP343" s="144"/>
      <c r="HQ343" s="144"/>
      <c r="HR343" s="144"/>
      <c r="HT343" s="101" t="s">
        <v>471</v>
      </c>
      <c r="HU343" s="144"/>
      <c r="HV343" s="144"/>
      <c r="HW343" s="144"/>
      <c r="HX343" s="144"/>
      <c r="HY343" s="144"/>
      <c r="IA343" s="101" t="s">
        <v>471</v>
      </c>
      <c r="IB343" s="144"/>
      <c r="IC343" s="144"/>
      <c r="ID343" s="144"/>
      <c r="IE343" s="144"/>
      <c r="IF343" s="144"/>
      <c r="IH343" s="101" t="s">
        <v>471</v>
      </c>
      <c r="II343" s="144"/>
      <c r="IJ343" s="144"/>
      <c r="IK343" s="144"/>
      <c r="IL343" s="144"/>
      <c r="IM343" s="144"/>
      <c r="IO343" s="101" t="s">
        <v>471</v>
      </c>
      <c r="IP343" s="144"/>
      <c r="IQ343" s="144"/>
      <c r="IR343" s="144"/>
      <c r="IS343" s="144"/>
      <c r="IT343" s="144"/>
      <c r="IV343" s="101" t="s">
        <v>471</v>
      </c>
      <c r="IW343" s="144"/>
      <c r="IX343" s="144"/>
      <c r="IY343" s="144"/>
      <c r="IZ343" s="144"/>
      <c r="JA343" s="144"/>
      <c r="JC343" s="101" t="s">
        <v>471</v>
      </c>
      <c r="JD343" s="144"/>
      <c r="JE343" s="144"/>
      <c r="JF343" s="144"/>
      <c r="JG343" s="144"/>
      <c r="JH343" s="144"/>
      <c r="JJ343" s="101" t="s">
        <v>471</v>
      </c>
      <c r="JK343" s="144"/>
      <c r="JL343" s="144"/>
      <c r="JM343" s="144"/>
      <c r="JN343" s="144"/>
      <c r="JO343" s="144"/>
      <c r="JQ343" s="101" t="s">
        <v>471</v>
      </c>
      <c r="JR343" s="144"/>
      <c r="JS343" s="144"/>
      <c r="JT343" s="144"/>
      <c r="JU343" s="144"/>
      <c r="JV343" s="144"/>
      <c r="JX343" s="101" t="s">
        <v>471</v>
      </c>
      <c r="JY343" s="144"/>
      <c r="JZ343" s="144"/>
      <c r="KA343" s="144"/>
      <c r="KB343" s="144"/>
      <c r="KC343" s="144"/>
      <c r="KE343" s="101" t="s">
        <v>471</v>
      </c>
      <c r="KF343" s="144"/>
      <c r="KG343" s="144"/>
      <c r="KH343" s="144"/>
      <c r="KI343" s="144"/>
      <c r="KJ343" s="144"/>
      <c r="KL343" s="101" t="s">
        <v>471</v>
      </c>
      <c r="KM343" s="144"/>
      <c r="KN343" s="144"/>
      <c r="KO343" s="144"/>
      <c r="KP343" s="144"/>
      <c r="KQ343" s="144"/>
      <c r="KS343" s="101" t="s">
        <v>471</v>
      </c>
      <c r="KT343" s="144"/>
      <c r="KU343" s="144"/>
      <c r="KV343" s="184"/>
      <c r="KW343" s="144"/>
      <c r="KX343" s="144"/>
      <c r="KZ343" s="101" t="s">
        <v>471</v>
      </c>
      <c r="LA343" s="144"/>
      <c r="LB343" s="144"/>
      <c r="LC343" s="144"/>
      <c r="LD343" s="144"/>
      <c r="LE343" s="144"/>
      <c r="LF343" s="555"/>
      <c r="LG343" s="101" t="s">
        <v>471</v>
      </c>
      <c r="LH343" s="144"/>
      <c r="LI343" s="144"/>
      <c r="LJ343" s="144"/>
      <c r="LK343" s="144"/>
      <c r="LL343" s="144"/>
      <c r="LM343" s="555"/>
      <c r="LN343" s="101" t="s">
        <v>471</v>
      </c>
      <c r="LO343" s="144"/>
      <c r="LP343" s="144"/>
      <c r="LQ343" s="144"/>
      <c r="LR343" s="144"/>
      <c r="LS343" s="144"/>
      <c r="LT343" s="555"/>
      <c r="LU343" s="101" t="s">
        <v>471</v>
      </c>
      <c r="LV343" s="144"/>
      <c r="LW343" s="144"/>
      <c r="LX343" s="144"/>
      <c r="LY343" s="144"/>
      <c r="LZ343" s="144"/>
      <c r="MA343" s="555"/>
      <c r="MB343" s="101" t="s">
        <v>471</v>
      </c>
      <c r="MC343" s="144"/>
      <c r="MD343" s="144"/>
      <c r="ME343" s="144"/>
      <c r="MF343" s="144"/>
      <c r="MG343" s="144"/>
      <c r="MH343" s="555"/>
    </row>
    <row r="344" spans="1:346" s="37" customFormat="1" ht="13.15" outlineLevel="1" x14ac:dyDescent="0.4">
      <c r="A344" s="100"/>
      <c r="B344" s="101"/>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c r="AA344" s="184"/>
      <c r="AB344" s="184"/>
      <c r="AC344" s="184"/>
      <c r="AD344" s="184"/>
      <c r="AE344" s="184"/>
      <c r="AF344" s="184"/>
      <c r="AG344" s="184"/>
      <c r="AH344" s="184"/>
      <c r="AI344" s="184"/>
      <c r="AJ344" s="184"/>
      <c r="AK344" s="184"/>
      <c r="AL344" s="184"/>
      <c r="AM344" s="184"/>
      <c r="AN344" s="184"/>
      <c r="AO344" s="184"/>
      <c r="AP344" s="184"/>
      <c r="AQ344" s="184"/>
      <c r="AR344" s="184"/>
      <c r="AS344" s="184"/>
      <c r="AT344" s="184"/>
      <c r="AU344" s="184"/>
      <c r="AV344" s="184"/>
      <c r="AW344" s="184"/>
      <c r="AX344" s="184"/>
      <c r="AY344" s="184"/>
      <c r="AZ344" s="184"/>
      <c r="BA344" s="184"/>
      <c r="BB344" s="184"/>
      <c r="BC344" s="184"/>
      <c r="BD344" s="184"/>
      <c r="BE344" s="184"/>
      <c r="BF344" s="184"/>
      <c r="BG344" s="184"/>
      <c r="BH344" s="184"/>
      <c r="BI344" s="184"/>
      <c r="BJ344" s="184"/>
      <c r="BK344" s="184"/>
      <c r="BL344" s="184"/>
      <c r="BM344" s="184"/>
      <c r="BO344" s="101"/>
      <c r="BP344" s="144"/>
      <c r="BQ344" s="144"/>
      <c r="BR344" s="144"/>
      <c r="BS344" s="144"/>
      <c r="BT344" s="144"/>
      <c r="BV344" s="101"/>
      <c r="BW344" s="144"/>
      <c r="BX344" s="144"/>
      <c r="BY344" s="144"/>
      <c r="BZ344" s="144"/>
      <c r="CA344" s="144"/>
      <c r="CC344" s="101"/>
      <c r="CD344" s="144"/>
      <c r="CE344" s="144"/>
      <c r="CF344" s="144"/>
      <c r="CG344" s="144"/>
      <c r="CH344" s="144"/>
      <c r="CJ344" s="101"/>
      <c r="CK344" s="144"/>
      <c r="CL344" s="144"/>
      <c r="CM344" s="144"/>
      <c r="CN344" s="144"/>
      <c r="CO344" s="144"/>
      <c r="CQ344" s="101"/>
      <c r="CR344" s="144"/>
      <c r="CS344" s="144"/>
      <c r="CT344" s="144"/>
      <c r="CU344" s="144"/>
      <c r="CV344" s="144"/>
      <c r="CX344" s="101"/>
      <c r="CY344" s="144"/>
      <c r="CZ344" s="144"/>
      <c r="DA344" s="144"/>
      <c r="DB344" s="144"/>
      <c r="DC344" s="144"/>
      <c r="DE344" s="101"/>
      <c r="DF344" s="144"/>
      <c r="DG344" s="144"/>
      <c r="DH344" s="144"/>
      <c r="DI344" s="144"/>
      <c r="DJ344" s="144"/>
      <c r="DL344" s="101"/>
      <c r="DM344" s="144"/>
      <c r="DN344" s="144"/>
      <c r="DO344" s="144"/>
      <c r="DP344" s="144"/>
      <c r="DQ344" s="144"/>
      <c r="DS344" s="101"/>
      <c r="DT344" s="144"/>
      <c r="DU344" s="144"/>
      <c r="DV344" s="144"/>
      <c r="DW344" s="144"/>
      <c r="DX344" s="144"/>
      <c r="DZ344" s="101"/>
      <c r="EA344" s="144"/>
      <c r="EB344" s="144"/>
      <c r="EC344" s="144"/>
      <c r="ED344" s="144"/>
      <c r="EE344" s="144"/>
      <c r="EG344" s="101"/>
      <c r="EH344" s="144"/>
      <c r="EI344" s="144"/>
      <c r="EJ344" s="144"/>
      <c r="EK344" s="144"/>
      <c r="EL344" s="144"/>
      <c r="EN344" s="101"/>
      <c r="EO344" s="144"/>
      <c r="EP344" s="144"/>
      <c r="EQ344" s="144"/>
      <c r="ER344" s="144"/>
      <c r="ES344" s="144"/>
      <c r="EU344" s="101"/>
      <c r="EV344" s="144"/>
      <c r="EW344" s="144"/>
      <c r="EX344" s="144"/>
      <c r="EY344" s="144"/>
      <c r="EZ344" s="144"/>
      <c r="FB344" s="101"/>
      <c r="FC344" s="144"/>
      <c r="FD344" s="144"/>
      <c r="FE344" s="144"/>
      <c r="FF344" s="144"/>
      <c r="FG344" s="144"/>
      <c r="FI344" s="101"/>
      <c r="FJ344" s="144"/>
      <c r="FK344" s="144"/>
      <c r="FL344" s="144"/>
      <c r="FM344" s="144"/>
      <c r="FN344" s="144"/>
      <c r="FP344" s="101"/>
      <c r="FQ344" s="144"/>
      <c r="FR344" s="144"/>
      <c r="FS344" s="144"/>
      <c r="FT344" s="144"/>
      <c r="FU344" s="144"/>
      <c r="FW344" s="101"/>
      <c r="FX344" s="144"/>
      <c r="FY344" s="144"/>
      <c r="FZ344" s="144"/>
      <c r="GA344" s="144"/>
      <c r="GB344" s="144"/>
      <c r="GD344" s="101"/>
      <c r="GE344" s="144"/>
      <c r="GF344" s="144"/>
      <c r="GG344" s="144"/>
      <c r="GH344" s="144"/>
      <c r="GI344" s="144"/>
      <c r="GK344" s="101"/>
      <c r="GL344" s="144"/>
      <c r="GM344" s="144"/>
      <c r="GN344" s="144"/>
      <c r="GO344" s="144"/>
      <c r="GP344" s="144"/>
      <c r="GR344" s="101"/>
      <c r="GS344" s="144"/>
      <c r="GT344" s="144"/>
      <c r="GU344" s="144"/>
      <c r="GV344" s="144"/>
      <c r="GW344" s="144"/>
      <c r="GY344" s="101"/>
      <c r="GZ344" s="144"/>
      <c r="HA344" s="144"/>
      <c r="HB344" s="144"/>
      <c r="HC344" s="144"/>
      <c r="HD344" s="144"/>
      <c r="HF344" s="101"/>
      <c r="HG344" s="144"/>
      <c r="HH344" s="144"/>
      <c r="HI344" s="144"/>
      <c r="HJ344" s="144"/>
      <c r="HK344" s="144"/>
      <c r="HM344" s="101"/>
      <c r="HN344" s="144"/>
      <c r="HO344" s="144"/>
      <c r="HP344" s="144"/>
      <c r="HQ344" s="144"/>
      <c r="HR344" s="144"/>
      <c r="HT344" s="101"/>
      <c r="HU344" s="144"/>
      <c r="HV344" s="144"/>
      <c r="HW344" s="144"/>
      <c r="HX344" s="144"/>
      <c r="HY344" s="144"/>
      <c r="IA344" s="101"/>
      <c r="IB344" s="144"/>
      <c r="IC344" s="144"/>
      <c r="ID344" s="144"/>
      <c r="IE344" s="144"/>
      <c r="IF344" s="144"/>
      <c r="IH344" s="101"/>
      <c r="II344" s="144"/>
      <c r="IJ344" s="144"/>
      <c r="IK344" s="144"/>
      <c r="IL344" s="144"/>
      <c r="IM344" s="144"/>
      <c r="IO344" s="101"/>
      <c r="IP344" s="144"/>
      <c r="IQ344" s="144"/>
      <c r="IR344" s="144"/>
      <c r="IS344" s="144"/>
      <c r="IT344" s="144"/>
      <c r="IV344" s="101"/>
      <c r="IW344" s="144"/>
      <c r="IX344" s="144"/>
      <c r="IY344" s="144"/>
      <c r="IZ344" s="144"/>
      <c r="JA344" s="144"/>
      <c r="JC344" s="101"/>
      <c r="JD344" s="144"/>
      <c r="JE344" s="144"/>
      <c r="JF344" s="144"/>
      <c r="JG344" s="144"/>
      <c r="JH344" s="144"/>
      <c r="JJ344" s="101"/>
      <c r="JK344" s="144"/>
      <c r="JL344" s="144"/>
      <c r="JM344" s="144"/>
      <c r="JN344" s="144"/>
      <c r="JO344" s="144"/>
      <c r="JQ344" s="101"/>
      <c r="JR344" s="144"/>
      <c r="JS344" s="144"/>
      <c r="JT344" s="144"/>
      <c r="JU344" s="144"/>
      <c r="JV344" s="144"/>
      <c r="JX344" s="101"/>
      <c r="JY344" s="144"/>
      <c r="JZ344" s="144"/>
      <c r="KA344" s="144"/>
      <c r="KB344" s="144"/>
      <c r="KC344" s="144"/>
      <c r="KE344" s="101"/>
      <c r="KF344" s="144"/>
      <c r="KG344" s="144"/>
      <c r="KH344" s="144"/>
      <c r="KI344" s="144"/>
      <c r="KJ344" s="144"/>
      <c r="KL344" s="101"/>
      <c r="KM344" s="144"/>
      <c r="KN344" s="144"/>
      <c r="KO344" s="144"/>
      <c r="KP344" s="144"/>
      <c r="KQ344" s="144"/>
      <c r="KS344" s="101"/>
      <c r="KT344" s="144"/>
      <c r="KU344" s="144"/>
      <c r="KV344" s="184"/>
      <c r="KW344" s="144"/>
      <c r="KX344" s="144"/>
      <c r="KZ344" s="101"/>
      <c r="LA344" s="144"/>
      <c r="LB344" s="144"/>
      <c r="LC344" s="144"/>
      <c r="LD344" s="144"/>
      <c r="LE344" s="144"/>
      <c r="LF344" s="555"/>
      <c r="LG344" s="101"/>
      <c r="LH344" s="144"/>
      <c r="LI344" s="144"/>
      <c r="LJ344" s="144"/>
      <c r="LK344" s="144"/>
      <c r="LL344" s="144"/>
      <c r="LM344" s="555"/>
      <c r="LN344" s="101"/>
      <c r="LO344" s="144"/>
      <c r="LP344" s="144"/>
      <c r="LQ344" s="144"/>
      <c r="LR344" s="144"/>
      <c r="LS344" s="144"/>
      <c r="LT344" s="555"/>
      <c r="LU344" s="101"/>
      <c r="LV344" s="144"/>
      <c r="LW344" s="144"/>
      <c r="LX344" s="144"/>
      <c r="LY344" s="144"/>
      <c r="LZ344" s="144"/>
      <c r="MA344" s="555"/>
      <c r="MB344" s="101"/>
      <c r="MC344" s="144"/>
      <c r="MD344" s="144"/>
      <c r="ME344" s="144"/>
      <c r="MF344" s="144"/>
      <c r="MG344" s="144"/>
      <c r="MH344" s="555"/>
    </row>
    <row r="345" spans="1:346" s="614" customFormat="1" ht="13.15" outlineLevel="1" x14ac:dyDescent="0.4">
      <c r="A345" s="604"/>
      <c r="B345" s="157" t="s">
        <v>473</v>
      </c>
      <c r="N345" s="614">
        <f>BT345</f>
        <v>0</v>
      </c>
      <c r="O345" s="614">
        <f>CA345</f>
        <v>0</v>
      </c>
      <c r="P345" s="614">
        <f>CH345</f>
        <v>0</v>
      </c>
      <c r="Q345" s="614">
        <f>CO345</f>
        <v>0</v>
      </c>
      <c r="R345" s="614">
        <f>CV345</f>
        <v>0</v>
      </c>
      <c r="S345" s="614">
        <f>DC345</f>
        <v>0</v>
      </c>
      <c r="T345" s="614">
        <f>DJ345</f>
        <v>0</v>
      </c>
      <c r="U345" s="614">
        <f>DQ345</f>
        <v>0</v>
      </c>
      <c r="V345" s="614">
        <f>DX345</f>
        <v>0</v>
      </c>
      <c r="W345" s="614">
        <f>EE345</f>
        <v>0</v>
      </c>
      <c r="X345" s="614">
        <f>EL345</f>
        <v>0</v>
      </c>
      <c r="Y345" s="614">
        <f>ES345</f>
        <v>0</v>
      </c>
      <c r="Z345" s="614">
        <f>EZ345</f>
        <v>0</v>
      </c>
      <c r="AA345" s="614">
        <f>FG345</f>
        <v>0</v>
      </c>
      <c r="AB345" s="614">
        <f>FN345</f>
        <v>0</v>
      </c>
      <c r="AC345" s="614">
        <f>FU345</f>
        <v>0</v>
      </c>
      <c r="AD345" s="614">
        <f>GB345</f>
        <v>0</v>
      </c>
      <c r="AE345" s="614">
        <f>GI345</f>
        <v>0</v>
      </c>
      <c r="AF345" s="614">
        <f>GP345</f>
        <v>0</v>
      </c>
      <c r="AG345" s="614">
        <f>GW345</f>
        <v>0</v>
      </c>
      <c r="AH345" s="614">
        <f>HD345</f>
        <v>0</v>
      </c>
      <c r="AI345" s="614">
        <f>HK345</f>
        <v>0</v>
      </c>
      <c r="AJ345" s="614">
        <f>HR345</f>
        <v>0</v>
      </c>
      <c r="AK345" s="614">
        <f>HY345</f>
        <v>0</v>
      </c>
      <c r="AL345" s="614">
        <f>IF345</f>
        <v>0</v>
      </c>
      <c r="AM345" s="614">
        <f>IM345</f>
        <v>0</v>
      </c>
      <c r="AN345" s="614">
        <f>IT345</f>
        <v>0</v>
      </c>
      <c r="AO345" s="614">
        <f>JA345</f>
        <v>0</v>
      </c>
      <c r="AP345" s="614">
        <f>JH345</f>
        <v>0</v>
      </c>
      <c r="AQ345" s="614">
        <f>JO345</f>
        <v>0</v>
      </c>
      <c r="AR345" s="614">
        <f>JV345</f>
        <v>0</v>
      </c>
      <c r="AS345" s="614">
        <f>KC345</f>
        <v>0</v>
      </c>
      <c r="AT345" s="614">
        <f>KJ345</f>
        <v>0</v>
      </c>
      <c r="AU345" s="614">
        <f>KQ345</f>
        <v>0</v>
      </c>
      <c r="AV345" s="614">
        <f>KX345</f>
        <v>0</v>
      </c>
      <c r="AW345" s="614">
        <f>LE345</f>
        <v>0</v>
      </c>
      <c r="AX345" s="614">
        <f>LL345</f>
        <v>0</v>
      </c>
      <c r="AY345" s="614">
        <f>LS345</f>
        <v>0</v>
      </c>
      <c r="AZ345" s="614">
        <f>LZ345</f>
        <v>0</v>
      </c>
      <c r="BA345" s="614">
        <f>MG345</f>
        <v>0</v>
      </c>
      <c r="BO345" s="157" t="s">
        <v>473</v>
      </c>
      <c r="BV345" s="157" t="s">
        <v>473</v>
      </c>
      <c r="CC345" s="157" t="s">
        <v>473</v>
      </c>
      <c r="CJ345" s="157" t="s">
        <v>473</v>
      </c>
      <c r="CQ345" s="157" t="s">
        <v>473</v>
      </c>
      <c r="CX345" s="157" t="s">
        <v>473</v>
      </c>
      <c r="DE345" s="157" t="s">
        <v>473</v>
      </c>
      <c r="DL345" s="157" t="s">
        <v>473</v>
      </c>
      <c r="DS345" s="157" t="s">
        <v>473</v>
      </c>
      <c r="DZ345" s="157" t="s">
        <v>473</v>
      </c>
      <c r="EG345" s="157" t="s">
        <v>473</v>
      </c>
      <c r="EN345" s="157" t="s">
        <v>473</v>
      </c>
      <c r="EU345" s="157" t="s">
        <v>473</v>
      </c>
      <c r="FB345" s="157" t="s">
        <v>473</v>
      </c>
      <c r="FI345" s="157" t="s">
        <v>473</v>
      </c>
      <c r="FP345" s="157" t="s">
        <v>473</v>
      </c>
      <c r="FW345" s="157" t="s">
        <v>473</v>
      </c>
      <c r="GD345" s="157" t="s">
        <v>473</v>
      </c>
      <c r="GK345" s="157" t="s">
        <v>473</v>
      </c>
      <c r="GR345" s="157" t="s">
        <v>473</v>
      </c>
      <c r="GY345" s="157" t="s">
        <v>473</v>
      </c>
      <c r="HF345" s="157" t="s">
        <v>473</v>
      </c>
      <c r="HM345" s="157" t="s">
        <v>473</v>
      </c>
      <c r="HT345" s="157" t="s">
        <v>473</v>
      </c>
      <c r="IA345" s="157" t="s">
        <v>473</v>
      </c>
      <c r="IH345" s="157" t="s">
        <v>473</v>
      </c>
      <c r="IO345" s="157" t="s">
        <v>473</v>
      </c>
      <c r="IV345" s="157" t="s">
        <v>473</v>
      </c>
      <c r="JC345" s="157" t="s">
        <v>473</v>
      </c>
      <c r="JJ345" s="157" t="s">
        <v>473</v>
      </c>
      <c r="JQ345" s="157" t="s">
        <v>473</v>
      </c>
      <c r="JX345" s="157" t="s">
        <v>473</v>
      </c>
      <c r="KE345" s="157" t="s">
        <v>473</v>
      </c>
      <c r="KL345" s="157" t="s">
        <v>473</v>
      </c>
      <c r="KS345" s="157" t="s">
        <v>473</v>
      </c>
      <c r="KZ345" s="157" t="s">
        <v>473</v>
      </c>
      <c r="LC345" s="634"/>
      <c r="LD345" s="634"/>
      <c r="LF345" s="608"/>
      <c r="LG345" s="157" t="s">
        <v>473</v>
      </c>
      <c r="LH345" s="634"/>
      <c r="LI345" s="634"/>
      <c r="LJ345" s="634"/>
      <c r="LK345" s="634"/>
      <c r="LM345" s="608"/>
      <c r="LN345" s="157" t="s">
        <v>473</v>
      </c>
      <c r="LO345" s="634"/>
      <c r="LP345" s="634"/>
      <c r="LQ345" s="634"/>
      <c r="LR345" s="634"/>
      <c r="LT345" s="608"/>
      <c r="LU345" s="157" t="s">
        <v>473</v>
      </c>
      <c r="LV345" s="634"/>
      <c r="LW345" s="634"/>
      <c r="LX345" s="634"/>
      <c r="LY345" s="634"/>
      <c r="MA345" s="608"/>
      <c r="MB345" s="157" t="s">
        <v>473</v>
      </c>
      <c r="MC345" s="634"/>
      <c r="MD345" s="634"/>
      <c r="ME345" s="634"/>
      <c r="MF345" s="634"/>
      <c r="MH345" s="608"/>
    </row>
    <row r="346" spans="1:346" s="614" customFormat="1" ht="13.15" outlineLevel="1" x14ac:dyDescent="0.4">
      <c r="A346" s="604"/>
      <c r="B346" s="157" t="s">
        <v>474</v>
      </c>
      <c r="N346" s="614">
        <f>BT346</f>
        <v>0</v>
      </c>
      <c r="O346" s="614">
        <f>CA346</f>
        <v>0</v>
      </c>
      <c r="P346" s="614">
        <f>CH346</f>
        <v>0</v>
      </c>
      <c r="Q346" s="614">
        <f>CO346</f>
        <v>0</v>
      </c>
      <c r="R346" s="614">
        <f>CV346</f>
        <v>0</v>
      </c>
      <c r="S346" s="614">
        <f>DC346</f>
        <v>0</v>
      </c>
      <c r="T346" s="614">
        <f>DJ346</f>
        <v>0</v>
      </c>
      <c r="U346" s="614">
        <f>DQ346</f>
        <v>0</v>
      </c>
      <c r="V346" s="614">
        <f>DX346</f>
        <v>0</v>
      </c>
      <c r="W346" s="614">
        <f>EE346</f>
        <v>0</v>
      </c>
      <c r="X346" s="614">
        <f>EL346</f>
        <v>0</v>
      </c>
      <c r="Y346" s="614">
        <f>ES346</f>
        <v>0</v>
      </c>
      <c r="Z346" s="614">
        <f>EZ346</f>
        <v>0</v>
      </c>
      <c r="AA346" s="614">
        <f>FG346</f>
        <v>0</v>
      </c>
      <c r="AB346" s="614">
        <f>FN346</f>
        <v>0</v>
      </c>
      <c r="AC346" s="614">
        <f>FU346</f>
        <v>0</v>
      </c>
      <c r="AD346" s="614">
        <f>GB346</f>
        <v>0</v>
      </c>
      <c r="AE346" s="614">
        <f>GI346</f>
        <v>0</v>
      </c>
      <c r="AF346" s="614">
        <f>GP346</f>
        <v>0</v>
      </c>
      <c r="AG346" s="614">
        <f>GW346</f>
        <v>0</v>
      </c>
      <c r="AH346" s="614">
        <f>HD346</f>
        <v>0</v>
      </c>
      <c r="AI346" s="614">
        <f>HK346</f>
        <v>0</v>
      </c>
      <c r="AJ346" s="614">
        <f>HR346</f>
        <v>0</v>
      </c>
      <c r="AK346" s="614">
        <f>HY346</f>
        <v>0</v>
      </c>
      <c r="AL346" s="614">
        <f>IF346</f>
        <v>0</v>
      </c>
      <c r="AM346" s="614">
        <f>IM346</f>
        <v>0</v>
      </c>
      <c r="AN346" s="614">
        <f>IT346</f>
        <v>0</v>
      </c>
      <c r="AO346" s="614">
        <f>JA346</f>
        <v>0</v>
      </c>
      <c r="AP346" s="614">
        <f>JH346</f>
        <v>0</v>
      </c>
      <c r="AQ346" s="614">
        <f>JO346</f>
        <v>0</v>
      </c>
      <c r="AR346" s="614">
        <f>JV346</f>
        <v>0</v>
      </c>
      <c r="AS346" s="614">
        <f>KC346</f>
        <v>1297679</v>
      </c>
      <c r="AT346" s="614">
        <f>KJ346</f>
        <v>0</v>
      </c>
      <c r="AU346" s="614">
        <f>KQ346</f>
        <v>0</v>
      </c>
      <c r="AV346" s="614">
        <f>KX346</f>
        <v>0</v>
      </c>
      <c r="AW346" s="614">
        <f>LE346</f>
        <v>0</v>
      </c>
      <c r="AX346" s="614">
        <f>LL346</f>
        <v>0</v>
      </c>
      <c r="AY346" s="614">
        <f>LS346</f>
        <v>0</v>
      </c>
      <c r="AZ346" s="614">
        <f>LZ346</f>
        <v>0</v>
      </c>
      <c r="BA346" s="614">
        <f>MG346</f>
        <v>0</v>
      </c>
      <c r="BO346" s="157" t="s">
        <v>474</v>
      </c>
      <c r="BV346" s="157" t="s">
        <v>474</v>
      </c>
      <c r="CC346" s="157" t="s">
        <v>474</v>
      </c>
      <c r="CJ346" s="157" t="s">
        <v>474</v>
      </c>
      <c r="CQ346" s="157" t="s">
        <v>474</v>
      </c>
      <c r="CX346" s="157" t="s">
        <v>474</v>
      </c>
      <c r="DE346" s="157" t="s">
        <v>474</v>
      </c>
      <c r="DL346" s="157" t="s">
        <v>474</v>
      </c>
      <c r="DS346" s="157" t="s">
        <v>474</v>
      </c>
      <c r="DZ346" s="157" t="s">
        <v>474</v>
      </c>
      <c r="EG346" s="157" t="s">
        <v>474</v>
      </c>
      <c r="EN346" s="157" t="s">
        <v>474</v>
      </c>
      <c r="EU346" s="157" t="s">
        <v>474</v>
      </c>
      <c r="FB346" s="157" t="s">
        <v>474</v>
      </c>
      <c r="FI346" s="157" t="s">
        <v>474</v>
      </c>
      <c r="FP346" s="157" t="s">
        <v>474</v>
      </c>
      <c r="FW346" s="157" t="s">
        <v>474</v>
      </c>
      <c r="GD346" s="157" t="s">
        <v>474</v>
      </c>
      <c r="GK346" s="157" t="s">
        <v>474</v>
      </c>
      <c r="GR346" s="157" t="s">
        <v>474</v>
      </c>
      <c r="GY346" s="157" t="s">
        <v>474</v>
      </c>
      <c r="HF346" s="157" t="s">
        <v>474</v>
      </c>
      <c r="HM346" s="157" t="s">
        <v>474</v>
      </c>
      <c r="HN346" s="614">
        <v>270668</v>
      </c>
      <c r="HO346" s="614">
        <v>349452</v>
      </c>
      <c r="HP346" s="614">
        <v>377997</v>
      </c>
      <c r="HQ346" s="614">
        <v>589656</v>
      </c>
      <c r="HT346" s="157" t="s">
        <v>474</v>
      </c>
      <c r="HU346" s="614">
        <v>318143</v>
      </c>
      <c r="HV346" s="614">
        <v>387654</v>
      </c>
      <c r="HW346" s="614">
        <v>429862</v>
      </c>
      <c r="HX346" s="614">
        <v>306450</v>
      </c>
      <c r="IA346" s="157" t="s">
        <v>474</v>
      </c>
      <c r="IB346" s="614">
        <v>278441</v>
      </c>
      <c r="IC346" s="614">
        <v>388420</v>
      </c>
      <c r="ID346" s="614">
        <v>429845</v>
      </c>
      <c r="IE346" s="614">
        <v>407013</v>
      </c>
      <c r="IH346" s="157" t="s">
        <v>474</v>
      </c>
      <c r="II346" s="614">
        <v>304404</v>
      </c>
      <c r="IJ346" s="614">
        <v>373923</v>
      </c>
      <c r="IK346" s="614">
        <v>447166</v>
      </c>
      <c r="IL346" s="614">
        <v>521232</v>
      </c>
      <c r="IO346" s="157" t="s">
        <v>474</v>
      </c>
      <c r="IP346" s="614">
        <v>341503</v>
      </c>
      <c r="IQ346" s="614">
        <v>432078</v>
      </c>
      <c r="IR346" s="614">
        <v>356649</v>
      </c>
      <c r="IS346" s="614">
        <v>468115</v>
      </c>
      <c r="IV346" s="157" t="s">
        <v>474</v>
      </c>
      <c r="IW346" s="614">
        <v>225430</v>
      </c>
      <c r="IX346" s="614">
        <v>416517</v>
      </c>
      <c r="IY346" s="614">
        <v>346469</v>
      </c>
      <c r="IZ346" s="614">
        <v>446223</v>
      </c>
      <c r="JC346" s="157" t="s">
        <v>474</v>
      </c>
      <c r="JD346" s="614">
        <v>341448</v>
      </c>
      <c r="JE346" s="614">
        <v>404222</v>
      </c>
      <c r="JF346" s="614">
        <v>384436</v>
      </c>
      <c r="JG346" s="614">
        <v>314376</v>
      </c>
      <c r="JJ346" s="157" t="s">
        <v>474</v>
      </c>
      <c r="JK346" s="614">
        <v>320061</v>
      </c>
      <c r="JL346" s="614">
        <v>397583</v>
      </c>
      <c r="JM346" s="614">
        <v>339372</v>
      </c>
      <c r="JN346" s="614">
        <v>370248</v>
      </c>
      <c r="JQ346" s="157" t="s">
        <v>474</v>
      </c>
      <c r="JR346" s="614">
        <v>276430</v>
      </c>
      <c r="JS346" s="614">
        <v>360661</v>
      </c>
      <c r="JT346" s="614">
        <v>334353</v>
      </c>
      <c r="JU346" s="614">
        <v>341915</v>
      </c>
      <c r="JX346" s="157" t="s">
        <v>474</v>
      </c>
      <c r="JY346" s="614">
        <v>277245</v>
      </c>
      <c r="JZ346" s="614">
        <f>KC346-SUM(JY346,KA346:KB346)</f>
        <v>383266</v>
      </c>
      <c r="KA346" s="614">
        <v>399836</v>
      </c>
      <c r="KB346" s="614">
        <v>237332</v>
      </c>
      <c r="KC346" s="614">
        <v>1297679</v>
      </c>
      <c r="KE346" s="157" t="s">
        <v>474</v>
      </c>
      <c r="KF346" s="614">
        <v>251659</v>
      </c>
      <c r="KG346" s="614">
        <v>362343</v>
      </c>
      <c r="KH346" s="614">
        <v>357844</v>
      </c>
      <c r="KI346" s="614">
        <v>369582</v>
      </c>
      <c r="KL346" s="157" t="s">
        <v>474</v>
      </c>
      <c r="KM346" s="614">
        <v>269958</v>
      </c>
      <c r="KN346" s="614">
        <v>882889</v>
      </c>
      <c r="KO346" s="614">
        <v>455763</v>
      </c>
      <c r="KP346" s="614">
        <v>474792</v>
      </c>
      <c r="KS346" s="157" t="s">
        <v>474</v>
      </c>
      <c r="KT346" s="614">
        <v>268997</v>
      </c>
      <c r="KU346" s="614">
        <v>349748</v>
      </c>
      <c r="KV346" s="614">
        <v>386112</v>
      </c>
      <c r="KW346" s="614">
        <v>517274</v>
      </c>
      <c r="KZ346" s="157" t="s">
        <v>474</v>
      </c>
      <c r="LA346" s="614">
        <v>411303</v>
      </c>
      <c r="LB346" s="614">
        <v>447319</v>
      </c>
      <c r="LC346" s="614">
        <v>470139</v>
      </c>
      <c r="LD346" s="614">
        <v>431543</v>
      </c>
      <c r="LF346" s="608"/>
      <c r="LG346" s="157" t="s">
        <v>474</v>
      </c>
      <c r="LH346" s="634"/>
      <c r="LI346" s="634"/>
      <c r="LJ346" s="634"/>
      <c r="LK346" s="634"/>
      <c r="LM346" s="608"/>
      <c r="LN346" s="157" t="s">
        <v>474</v>
      </c>
      <c r="LO346" s="634"/>
      <c r="LP346" s="634"/>
      <c r="LQ346" s="634"/>
      <c r="LR346" s="634"/>
      <c r="LT346" s="608"/>
      <c r="LU346" s="157" t="s">
        <v>474</v>
      </c>
      <c r="LV346" s="634"/>
      <c r="LW346" s="634"/>
      <c r="LX346" s="634"/>
      <c r="LY346" s="634"/>
      <c r="MA346" s="608"/>
      <c r="MB346" s="157" t="s">
        <v>474</v>
      </c>
      <c r="MC346" s="634"/>
      <c r="MD346" s="634"/>
      <c r="ME346" s="634"/>
      <c r="MF346" s="634"/>
      <c r="MH346" s="608"/>
    </row>
    <row r="347" spans="1:346" s="614" customFormat="1" ht="13.15" outlineLevel="1" x14ac:dyDescent="0.4">
      <c r="A347" s="604"/>
      <c r="B347" s="157" t="s">
        <v>308</v>
      </c>
      <c r="N347" s="614">
        <f>BT347</f>
        <v>0</v>
      </c>
      <c r="O347" s="614">
        <f>CA347</f>
        <v>0</v>
      </c>
      <c r="P347" s="614">
        <f>CH347</f>
        <v>0</v>
      </c>
      <c r="Q347" s="614">
        <f>CO347</f>
        <v>0</v>
      </c>
      <c r="R347" s="614">
        <f>CV347</f>
        <v>0</v>
      </c>
      <c r="S347" s="614">
        <f>DC347</f>
        <v>0</v>
      </c>
      <c r="T347" s="614">
        <f>DJ347</f>
        <v>0</v>
      </c>
      <c r="U347" s="614">
        <f>DQ347</f>
        <v>0</v>
      </c>
      <c r="V347" s="614">
        <f>DX347</f>
        <v>0</v>
      </c>
      <c r="W347" s="614">
        <f>EE347</f>
        <v>0</v>
      </c>
      <c r="X347" s="614">
        <f>EL347</f>
        <v>0</v>
      </c>
      <c r="Y347" s="614">
        <f>ES347</f>
        <v>0</v>
      </c>
      <c r="Z347" s="614">
        <f>EZ347</f>
        <v>0</v>
      </c>
      <c r="AA347" s="614">
        <f>FG347</f>
        <v>0</v>
      </c>
      <c r="AB347" s="614">
        <f>FN347</f>
        <v>0</v>
      </c>
      <c r="AC347" s="614">
        <f>FU347</f>
        <v>0</v>
      </c>
      <c r="AD347" s="614">
        <f>GB347</f>
        <v>0</v>
      </c>
      <c r="AE347" s="614">
        <f>GI347</f>
        <v>0</v>
      </c>
      <c r="AF347" s="614">
        <f>GP347</f>
        <v>0</v>
      </c>
      <c r="AG347" s="614">
        <f>GW347</f>
        <v>0</v>
      </c>
      <c r="AH347" s="614">
        <f>HD347</f>
        <v>0</v>
      </c>
      <c r="AI347" s="614">
        <f>HK347</f>
        <v>0</v>
      </c>
      <c r="AJ347" s="614">
        <f>HR347</f>
        <v>0</v>
      </c>
      <c r="AK347" s="614">
        <f>HY347</f>
        <v>0</v>
      </c>
      <c r="AL347" s="614">
        <f>IF347</f>
        <v>0</v>
      </c>
      <c r="AM347" s="614">
        <f>IM347</f>
        <v>0</v>
      </c>
      <c r="AN347" s="614">
        <f>IT347</f>
        <v>0</v>
      </c>
      <c r="AO347" s="614">
        <f>JA347</f>
        <v>0</v>
      </c>
      <c r="AP347" s="614">
        <f>JH347</f>
        <v>0</v>
      </c>
      <c r="AQ347" s="614">
        <f>JO347</f>
        <v>0</v>
      </c>
      <c r="AR347" s="614">
        <f>JV347</f>
        <v>0</v>
      </c>
      <c r="AS347" s="614">
        <f>KC347</f>
        <v>224270</v>
      </c>
      <c r="AT347" s="614">
        <f>KJ347</f>
        <v>0</v>
      </c>
      <c r="AU347" s="614">
        <f>KQ347</f>
        <v>0</v>
      </c>
      <c r="AV347" s="614">
        <f>KX347</f>
        <v>0</v>
      </c>
      <c r="AW347" s="614">
        <f>LE347</f>
        <v>0</v>
      </c>
      <c r="AX347" s="614">
        <f>LL347</f>
        <v>0</v>
      </c>
      <c r="AY347" s="614">
        <f>LS347</f>
        <v>0</v>
      </c>
      <c r="AZ347" s="614">
        <f>LZ347</f>
        <v>0</v>
      </c>
      <c r="BA347" s="614">
        <f>MG347</f>
        <v>0</v>
      </c>
      <c r="BO347" s="157" t="s">
        <v>308</v>
      </c>
      <c r="BV347" s="157" t="s">
        <v>308</v>
      </c>
      <c r="CC347" s="157" t="s">
        <v>308</v>
      </c>
      <c r="CJ347" s="157" t="s">
        <v>308</v>
      </c>
      <c r="CQ347" s="157" t="s">
        <v>308</v>
      </c>
      <c r="CX347" s="157" t="s">
        <v>308</v>
      </c>
      <c r="DE347" s="157" t="s">
        <v>308</v>
      </c>
      <c r="DL347" s="157" t="s">
        <v>308</v>
      </c>
      <c r="DS347" s="157" t="s">
        <v>308</v>
      </c>
      <c r="DZ347" s="157" t="s">
        <v>308</v>
      </c>
      <c r="EG347" s="157" t="s">
        <v>308</v>
      </c>
      <c r="EN347" s="157" t="s">
        <v>308</v>
      </c>
      <c r="EU347" s="157" t="s">
        <v>308</v>
      </c>
      <c r="FB347" s="157" t="s">
        <v>308</v>
      </c>
      <c r="FI347" s="157" t="s">
        <v>308</v>
      </c>
      <c r="FP347" s="157" t="s">
        <v>308</v>
      </c>
      <c r="FW347" s="157" t="s">
        <v>308</v>
      </c>
      <c r="GD347" s="157" t="s">
        <v>308</v>
      </c>
      <c r="GK347" s="157" t="s">
        <v>308</v>
      </c>
      <c r="GR347" s="157" t="s">
        <v>308</v>
      </c>
      <c r="GY347" s="157" t="s">
        <v>308</v>
      </c>
      <c r="HF347" s="157" t="s">
        <v>308</v>
      </c>
      <c r="HM347" s="157" t="s">
        <v>308</v>
      </c>
      <c r="HN347" s="614">
        <v>76736</v>
      </c>
      <c r="HO347" s="614">
        <v>176984</v>
      </c>
      <c r="HP347" s="614">
        <v>49359</v>
      </c>
      <c r="HQ347" s="614">
        <v>345913</v>
      </c>
      <c r="HT347" s="157" t="s">
        <v>308</v>
      </c>
      <c r="HU347" s="614">
        <v>98207</v>
      </c>
      <c r="HV347" s="614">
        <v>330123</v>
      </c>
      <c r="HW347" s="614">
        <v>93275</v>
      </c>
      <c r="HX347" s="614">
        <v>56708</v>
      </c>
      <c r="IA347" s="157" t="s">
        <v>308</v>
      </c>
      <c r="IB347" s="614">
        <v>182009</v>
      </c>
      <c r="IC347" s="614">
        <v>124546</v>
      </c>
      <c r="ID347" s="614">
        <v>120456</v>
      </c>
      <c r="IE347" s="614">
        <v>130176</v>
      </c>
      <c r="IH347" s="157" t="s">
        <v>308</v>
      </c>
      <c r="II347" s="614">
        <v>146913</v>
      </c>
      <c r="IJ347" s="614">
        <v>47539</v>
      </c>
      <c r="IK347" s="614">
        <v>76072</v>
      </c>
      <c r="IL347" s="614">
        <v>253039</v>
      </c>
      <c r="IO347" s="157" t="s">
        <v>308</v>
      </c>
      <c r="IP347" s="614">
        <v>221899</v>
      </c>
      <c r="IQ347" s="614">
        <v>199642</v>
      </c>
      <c r="IR347" s="614">
        <v>285122</v>
      </c>
      <c r="IS347" s="614">
        <v>367780</v>
      </c>
      <c r="IV347" s="157" t="s">
        <v>308</v>
      </c>
      <c r="IW347" s="614">
        <v>166367</v>
      </c>
      <c r="IX347" s="614">
        <v>175743</v>
      </c>
      <c r="IY347" s="614">
        <v>97296</v>
      </c>
      <c r="IZ347" s="614">
        <v>257397</v>
      </c>
      <c r="JC347" s="157" t="s">
        <v>308</v>
      </c>
      <c r="JD347" s="614">
        <v>76712</v>
      </c>
      <c r="JE347" s="614">
        <v>34765</v>
      </c>
      <c r="JF347" s="614">
        <v>65333</v>
      </c>
      <c r="JG347" s="614">
        <v>76136</v>
      </c>
      <c r="JJ347" s="157" t="s">
        <v>308</v>
      </c>
      <c r="JK347" s="614">
        <v>6289</v>
      </c>
      <c r="JL347" s="614">
        <v>25168</v>
      </c>
      <c r="JM347" s="614">
        <v>35999</v>
      </c>
      <c r="JN347" s="614">
        <v>67893</v>
      </c>
      <c r="JQ347" s="157" t="s">
        <v>308</v>
      </c>
      <c r="JR347" s="614">
        <v>43069</v>
      </c>
      <c r="JS347" s="614">
        <v>46708</v>
      </c>
      <c r="JT347" s="614">
        <v>40103</v>
      </c>
      <c r="JU347" s="614">
        <v>79336</v>
      </c>
      <c r="JX347" s="157" t="s">
        <v>308</v>
      </c>
      <c r="JY347" s="614">
        <v>58854</v>
      </c>
      <c r="JZ347" s="614">
        <f>KC347-SUM(JY347,KA347:KB347)</f>
        <v>24045</v>
      </c>
      <c r="KA347" s="614">
        <v>29265</v>
      </c>
      <c r="KB347" s="614">
        <v>112106</v>
      </c>
      <c r="KC347" s="614">
        <v>224270</v>
      </c>
      <c r="KE347" s="157" t="s">
        <v>308</v>
      </c>
      <c r="KF347" s="614">
        <v>22417</v>
      </c>
      <c r="KG347" s="614">
        <v>49197</v>
      </c>
      <c r="KH347" s="614">
        <v>51141</v>
      </c>
      <c r="KI347" s="614">
        <v>122904</v>
      </c>
      <c r="KL347" s="157" t="s">
        <v>308</v>
      </c>
      <c r="KM347" s="614">
        <v>17739</v>
      </c>
      <c r="KN347" s="614">
        <v>72994</v>
      </c>
      <c r="KO347" s="614">
        <v>134758</v>
      </c>
      <c r="KP347" s="614">
        <v>66555</v>
      </c>
      <c r="KS347" s="157" t="s">
        <v>308</v>
      </c>
      <c r="KT347" s="614">
        <v>112376</v>
      </c>
      <c r="KU347" s="614">
        <v>151850</v>
      </c>
      <c r="KV347" s="614">
        <v>111849</v>
      </c>
      <c r="KW347" s="614">
        <v>61127</v>
      </c>
      <c r="KZ347" s="157" t="s">
        <v>308</v>
      </c>
      <c r="LA347" s="614">
        <v>162976</v>
      </c>
      <c r="LB347" s="614">
        <v>15086</v>
      </c>
      <c r="LC347" s="614">
        <v>93178</v>
      </c>
      <c r="LD347" s="614">
        <v>309809</v>
      </c>
      <c r="LF347" s="608"/>
      <c r="LG347" s="157" t="s">
        <v>308</v>
      </c>
      <c r="LH347" s="634"/>
      <c r="LI347" s="634"/>
      <c r="LJ347" s="634"/>
      <c r="LK347" s="634"/>
      <c r="LM347" s="608"/>
      <c r="LN347" s="157" t="s">
        <v>308</v>
      </c>
      <c r="LO347" s="634"/>
      <c r="LP347" s="634"/>
      <c r="LQ347" s="634"/>
      <c r="LR347" s="634"/>
      <c r="LT347" s="608"/>
      <c r="LU347" s="157" t="s">
        <v>308</v>
      </c>
      <c r="LV347" s="634"/>
      <c r="LW347" s="634"/>
      <c r="LX347" s="634"/>
      <c r="LY347" s="634"/>
      <c r="MA347" s="608"/>
      <c r="MB347" s="157" t="s">
        <v>308</v>
      </c>
      <c r="MC347" s="634"/>
      <c r="MD347" s="634"/>
      <c r="ME347" s="634"/>
      <c r="MF347" s="634"/>
      <c r="MH347" s="608"/>
    </row>
    <row r="348" spans="1:346" s="614" customFormat="1" ht="13.15" outlineLevel="1" x14ac:dyDescent="0.4">
      <c r="A348" s="604"/>
      <c r="B348" s="157" t="s">
        <v>13</v>
      </c>
      <c r="N348" s="614">
        <f>BT348</f>
        <v>0</v>
      </c>
      <c r="O348" s="614">
        <f>CA348</f>
        <v>0</v>
      </c>
      <c r="P348" s="614">
        <f>CH348</f>
        <v>0</v>
      </c>
      <c r="Q348" s="614">
        <f>CO348</f>
        <v>0</v>
      </c>
      <c r="R348" s="614">
        <f>CV348</f>
        <v>0</v>
      </c>
      <c r="S348" s="614">
        <f>DC348</f>
        <v>0</v>
      </c>
      <c r="T348" s="614">
        <f>DJ348</f>
        <v>0</v>
      </c>
      <c r="U348" s="614">
        <f>DQ348</f>
        <v>0</v>
      </c>
      <c r="V348" s="614">
        <f>DX348</f>
        <v>0</v>
      </c>
      <c r="W348" s="614">
        <f>EE348</f>
        <v>0</v>
      </c>
      <c r="X348" s="614">
        <f>EL348</f>
        <v>0</v>
      </c>
      <c r="Y348" s="614">
        <f>ES348</f>
        <v>0</v>
      </c>
      <c r="Z348" s="614">
        <f>EZ348</f>
        <v>0</v>
      </c>
      <c r="AA348" s="614">
        <f>FG348</f>
        <v>0</v>
      </c>
      <c r="AB348" s="614">
        <f>FN348</f>
        <v>0</v>
      </c>
      <c r="AC348" s="614">
        <f>FU348</f>
        <v>0</v>
      </c>
      <c r="AD348" s="614">
        <f>GB348</f>
        <v>0</v>
      </c>
      <c r="AE348" s="614">
        <f>GI348</f>
        <v>0</v>
      </c>
      <c r="AF348" s="614">
        <f>GP348</f>
        <v>0</v>
      </c>
      <c r="AG348" s="614">
        <f>GW348</f>
        <v>0</v>
      </c>
      <c r="AH348" s="614">
        <f>HD348</f>
        <v>0</v>
      </c>
      <c r="AI348" s="614">
        <f>HK348</f>
        <v>0</v>
      </c>
      <c r="AJ348" s="614">
        <f>HR348</f>
        <v>0</v>
      </c>
      <c r="AK348" s="614">
        <f>HY348</f>
        <v>0</v>
      </c>
      <c r="AL348" s="614">
        <f>IF348</f>
        <v>0</v>
      </c>
      <c r="AM348" s="614">
        <f>IM348</f>
        <v>0</v>
      </c>
      <c r="AN348" s="614">
        <f>IT348</f>
        <v>0</v>
      </c>
      <c r="AO348" s="614">
        <f>JA348</f>
        <v>0</v>
      </c>
      <c r="AP348" s="614">
        <f>JH348</f>
        <v>0</v>
      </c>
      <c r="AQ348" s="614">
        <f>JO348</f>
        <v>0</v>
      </c>
      <c r="AR348" s="614">
        <f>JV348</f>
        <v>0</v>
      </c>
      <c r="AS348" s="614">
        <f>KC348</f>
        <v>1521949</v>
      </c>
      <c r="AT348" s="614">
        <f>KJ348</f>
        <v>0</v>
      </c>
      <c r="AU348" s="614">
        <f>KQ348</f>
        <v>0</v>
      </c>
      <c r="AV348" s="614">
        <f>KX348</f>
        <v>0</v>
      </c>
      <c r="AW348" s="614">
        <f>LE348</f>
        <v>0</v>
      </c>
      <c r="AX348" s="614">
        <f>LL348</f>
        <v>0</v>
      </c>
      <c r="AY348" s="614">
        <f>LS348</f>
        <v>0</v>
      </c>
      <c r="AZ348" s="614">
        <f>LZ348</f>
        <v>0</v>
      </c>
      <c r="BA348" s="614">
        <f>MG348</f>
        <v>0</v>
      </c>
      <c r="BO348" s="157" t="s">
        <v>13</v>
      </c>
      <c r="BV348" s="157" t="s">
        <v>13</v>
      </c>
      <c r="CC348" s="157" t="s">
        <v>13</v>
      </c>
      <c r="CJ348" s="157" t="s">
        <v>13</v>
      </c>
      <c r="CQ348" s="157" t="s">
        <v>13</v>
      </c>
      <c r="CX348" s="157" t="s">
        <v>13</v>
      </c>
      <c r="DE348" s="157" t="s">
        <v>13</v>
      </c>
      <c r="DL348" s="157" t="s">
        <v>13</v>
      </c>
      <c r="DS348" s="157" t="s">
        <v>13</v>
      </c>
      <c r="DZ348" s="157" t="s">
        <v>13</v>
      </c>
      <c r="EG348" s="157" t="s">
        <v>13</v>
      </c>
      <c r="EN348" s="157" t="s">
        <v>13</v>
      </c>
      <c r="EU348" s="157" t="s">
        <v>13</v>
      </c>
      <c r="FB348" s="157" t="s">
        <v>13</v>
      </c>
      <c r="FI348" s="157" t="s">
        <v>13</v>
      </c>
      <c r="FP348" s="157" t="s">
        <v>13</v>
      </c>
      <c r="FW348" s="157" t="s">
        <v>13</v>
      </c>
      <c r="GD348" s="157" t="s">
        <v>13</v>
      </c>
      <c r="GK348" s="157" t="s">
        <v>13</v>
      </c>
      <c r="GR348" s="157" t="s">
        <v>13</v>
      </c>
      <c r="GY348" s="157" t="s">
        <v>13</v>
      </c>
      <c r="HF348" s="157" t="s">
        <v>13</v>
      </c>
      <c r="HM348" s="157" t="s">
        <v>13</v>
      </c>
      <c r="HN348" s="614">
        <v>347404</v>
      </c>
      <c r="HO348" s="614">
        <v>526436</v>
      </c>
      <c r="HP348" s="614">
        <v>427356</v>
      </c>
      <c r="HQ348" s="614">
        <f>SUM(HQ346:HQ347)</f>
        <v>935569</v>
      </c>
      <c r="HT348" s="157" t="s">
        <v>13</v>
      </c>
      <c r="IA348" s="157" t="s">
        <v>13</v>
      </c>
      <c r="IC348" s="614">
        <v>512966</v>
      </c>
      <c r="IH348" s="157" t="s">
        <v>13</v>
      </c>
      <c r="II348" s="614">
        <v>451317</v>
      </c>
      <c r="IJ348" s="614">
        <v>421462</v>
      </c>
      <c r="IL348" s="614">
        <v>774271</v>
      </c>
      <c r="IO348" s="157" t="s">
        <v>13</v>
      </c>
      <c r="IP348" s="614">
        <v>563402</v>
      </c>
      <c r="IQ348" s="614">
        <v>631720</v>
      </c>
      <c r="IR348" s="614">
        <v>641771</v>
      </c>
      <c r="IS348" s="614">
        <v>835895</v>
      </c>
      <c r="IV348" s="157" t="s">
        <v>13</v>
      </c>
      <c r="IW348" s="614">
        <v>391797</v>
      </c>
      <c r="IX348" s="614">
        <v>592260</v>
      </c>
      <c r="IY348" s="614">
        <v>443765</v>
      </c>
      <c r="IZ348" s="614">
        <v>703620</v>
      </c>
      <c r="JC348" s="157" t="s">
        <v>13</v>
      </c>
      <c r="JD348" s="614">
        <v>418160</v>
      </c>
      <c r="JE348" s="614">
        <v>438987</v>
      </c>
      <c r="JF348" s="614">
        <v>449769</v>
      </c>
      <c r="JG348" s="614">
        <v>390512</v>
      </c>
      <c r="JJ348" s="157" t="s">
        <v>13</v>
      </c>
      <c r="JK348" s="614">
        <v>326350</v>
      </c>
      <c r="JL348" s="614">
        <v>422751</v>
      </c>
      <c r="JM348" s="614">
        <v>375371</v>
      </c>
      <c r="JN348" s="614">
        <v>438141</v>
      </c>
      <c r="JQ348" s="157" t="s">
        <v>13</v>
      </c>
      <c r="JR348" s="614">
        <v>319499</v>
      </c>
      <c r="JS348" s="614">
        <v>407369</v>
      </c>
      <c r="JT348" s="614">
        <v>374456</v>
      </c>
      <c r="JU348" s="614">
        <v>421251</v>
      </c>
      <c r="JX348" s="157" t="s">
        <v>13</v>
      </c>
      <c r="JY348" s="614">
        <v>336099</v>
      </c>
      <c r="JZ348" s="614">
        <f>KC348-SUM(JY348,KA348:KB348)</f>
        <v>407311</v>
      </c>
      <c r="KA348" s="614">
        <v>429101</v>
      </c>
      <c r="KB348" s="614">
        <v>349438</v>
      </c>
      <c r="KC348" s="614">
        <v>1521949</v>
      </c>
      <c r="KE348" s="157" t="s">
        <v>13</v>
      </c>
      <c r="KF348" s="614">
        <v>274076</v>
      </c>
      <c r="KG348" s="614">
        <v>411540</v>
      </c>
      <c r="KH348" s="614">
        <v>408985</v>
      </c>
      <c r="KI348" s="614">
        <v>492486</v>
      </c>
      <c r="KL348" s="157" t="s">
        <v>13</v>
      </c>
      <c r="KM348" s="614">
        <v>287697</v>
      </c>
      <c r="KN348" s="614">
        <v>955883</v>
      </c>
      <c r="KO348" s="614">
        <v>590521</v>
      </c>
      <c r="KP348" s="614">
        <v>541347</v>
      </c>
      <c r="KS348" s="157" t="s">
        <v>13</v>
      </c>
      <c r="KT348" s="614">
        <v>381373</v>
      </c>
      <c r="KU348" s="614">
        <v>501598</v>
      </c>
      <c r="KV348" s="614">
        <v>497961</v>
      </c>
      <c r="KW348" s="614">
        <v>578401</v>
      </c>
      <c r="KZ348" s="157" t="s">
        <v>13</v>
      </c>
      <c r="LA348" s="614">
        <v>574279</v>
      </c>
      <c r="LB348" s="614">
        <v>462405</v>
      </c>
      <c r="LC348" s="614">
        <v>563317</v>
      </c>
      <c r="LD348" s="614">
        <v>741352</v>
      </c>
      <c r="LF348" s="608"/>
      <c r="LG348" s="157" t="s">
        <v>13</v>
      </c>
      <c r="LH348" s="634"/>
      <c r="LI348" s="634"/>
      <c r="LJ348" s="634"/>
      <c r="LK348" s="634"/>
      <c r="LM348" s="608"/>
      <c r="LN348" s="157" t="s">
        <v>13</v>
      </c>
      <c r="LO348" s="634"/>
      <c r="LP348" s="634"/>
      <c r="LQ348" s="634"/>
      <c r="LR348" s="634"/>
      <c r="LT348" s="608"/>
      <c r="LU348" s="157" t="s">
        <v>13</v>
      </c>
      <c r="LV348" s="634"/>
      <c r="LW348" s="634"/>
      <c r="LX348" s="634"/>
      <c r="LY348" s="634"/>
      <c r="MA348" s="608"/>
      <c r="MB348" s="157" t="s">
        <v>13</v>
      </c>
      <c r="MC348" s="634"/>
      <c r="MD348" s="634"/>
      <c r="ME348" s="634"/>
      <c r="MF348" s="634"/>
      <c r="MH348" s="608"/>
    </row>
    <row r="349" spans="1:346" s="37" customFormat="1" ht="13.15" outlineLevel="1" x14ac:dyDescent="0.4">
      <c r="A349" s="100"/>
      <c r="B349" s="101"/>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c r="AA349" s="184"/>
      <c r="AB349" s="184"/>
      <c r="AC349" s="184"/>
      <c r="AD349" s="184"/>
      <c r="AE349" s="184"/>
      <c r="AF349" s="184"/>
      <c r="AG349" s="184"/>
      <c r="AH349" s="184"/>
      <c r="AI349" s="184"/>
      <c r="AJ349" s="184"/>
      <c r="AK349" s="184"/>
      <c r="AL349" s="184"/>
      <c r="AM349" s="184"/>
      <c r="AN349" s="184"/>
      <c r="AO349" s="184"/>
      <c r="AP349" s="184"/>
      <c r="AQ349" s="184"/>
      <c r="AR349" s="184"/>
      <c r="AS349" s="184"/>
      <c r="AT349" s="184"/>
      <c r="AU349" s="184"/>
      <c r="AV349" s="184"/>
      <c r="AW349" s="184"/>
      <c r="AX349" s="184"/>
      <c r="AY349" s="184"/>
      <c r="AZ349" s="184"/>
      <c r="BA349" s="184"/>
      <c r="BB349" s="184"/>
      <c r="BC349" s="184"/>
      <c r="BD349" s="184"/>
      <c r="BE349" s="184"/>
      <c r="BF349" s="184"/>
      <c r="BG349" s="184"/>
      <c r="BH349" s="184"/>
      <c r="BI349" s="184"/>
      <c r="BJ349" s="184"/>
      <c r="BK349" s="184"/>
      <c r="BL349" s="184"/>
      <c r="BM349" s="184"/>
      <c r="BO349" s="101"/>
      <c r="BP349" s="144"/>
      <c r="BQ349" s="144"/>
      <c r="BR349" s="144"/>
      <c r="BS349" s="144"/>
      <c r="BT349" s="144"/>
      <c r="BV349" s="101"/>
      <c r="BW349" s="144"/>
      <c r="BX349" s="144"/>
      <c r="BY349" s="144"/>
      <c r="BZ349" s="144"/>
      <c r="CA349" s="144"/>
      <c r="CC349" s="101"/>
      <c r="CD349" s="144"/>
      <c r="CE349" s="144"/>
      <c r="CF349" s="144"/>
      <c r="CG349" s="144"/>
      <c r="CH349" s="144"/>
      <c r="CJ349" s="101"/>
      <c r="CK349" s="144"/>
      <c r="CL349" s="144"/>
      <c r="CM349" s="144"/>
      <c r="CN349" s="144"/>
      <c r="CO349" s="144"/>
      <c r="CQ349" s="101"/>
      <c r="CR349" s="144"/>
      <c r="CS349" s="144"/>
      <c r="CT349" s="144"/>
      <c r="CU349" s="144"/>
      <c r="CV349" s="144"/>
      <c r="CX349" s="101"/>
      <c r="CY349" s="144"/>
      <c r="CZ349" s="144"/>
      <c r="DA349" s="144"/>
      <c r="DB349" s="144"/>
      <c r="DC349" s="144"/>
      <c r="DE349" s="101"/>
      <c r="DF349" s="144"/>
      <c r="DG349" s="144"/>
      <c r="DH349" s="144"/>
      <c r="DI349" s="144"/>
      <c r="DJ349" s="144"/>
      <c r="DL349" s="101"/>
      <c r="DM349" s="144"/>
      <c r="DN349" s="144"/>
      <c r="DO349" s="144"/>
      <c r="DP349" s="144"/>
      <c r="DQ349" s="144"/>
      <c r="DS349" s="101"/>
      <c r="DT349" s="144"/>
      <c r="DU349" s="144"/>
      <c r="DV349" s="144"/>
      <c r="DW349" s="144"/>
      <c r="DX349" s="144"/>
      <c r="DZ349" s="101"/>
      <c r="EA349" s="144"/>
      <c r="EB349" s="144"/>
      <c r="EC349" s="144"/>
      <c r="ED349" s="144"/>
      <c r="EE349" s="144"/>
      <c r="EG349" s="101"/>
      <c r="EH349" s="144"/>
      <c r="EI349" s="144"/>
      <c r="EJ349" s="144"/>
      <c r="EK349" s="144"/>
      <c r="EL349" s="144"/>
      <c r="EN349" s="101"/>
      <c r="EO349" s="144"/>
      <c r="EP349" s="144"/>
      <c r="EQ349" s="144"/>
      <c r="ER349" s="144"/>
      <c r="ES349" s="144"/>
      <c r="EU349" s="101"/>
      <c r="EV349" s="144"/>
      <c r="EW349" s="144"/>
      <c r="EX349" s="144"/>
      <c r="EY349" s="144"/>
      <c r="EZ349" s="144"/>
      <c r="FB349" s="101"/>
      <c r="FC349" s="144"/>
      <c r="FD349" s="144"/>
      <c r="FE349" s="144"/>
      <c r="FF349" s="144"/>
      <c r="FG349" s="144"/>
      <c r="FI349" s="101"/>
      <c r="FJ349" s="144"/>
      <c r="FK349" s="144"/>
      <c r="FL349" s="144"/>
      <c r="FM349" s="144"/>
      <c r="FN349" s="144"/>
      <c r="FP349" s="101"/>
      <c r="FQ349" s="144"/>
      <c r="FR349" s="144"/>
      <c r="FS349" s="144"/>
      <c r="FT349" s="144"/>
      <c r="FU349" s="144"/>
      <c r="FW349" s="101"/>
      <c r="FX349" s="144"/>
      <c r="FY349" s="144"/>
      <c r="FZ349" s="144"/>
      <c r="GA349" s="144"/>
      <c r="GB349" s="144"/>
      <c r="GD349" s="101"/>
      <c r="GE349" s="144"/>
      <c r="GF349" s="144"/>
      <c r="GG349" s="144"/>
      <c r="GH349" s="144"/>
      <c r="GI349" s="144"/>
      <c r="GK349" s="101"/>
      <c r="GL349" s="144"/>
      <c r="GM349" s="144"/>
      <c r="GN349" s="144"/>
      <c r="GO349" s="144"/>
      <c r="GP349" s="144"/>
      <c r="GR349" s="101"/>
      <c r="GS349" s="144"/>
      <c r="GT349" s="144"/>
      <c r="GU349" s="144"/>
      <c r="GV349" s="144"/>
      <c r="GW349" s="144"/>
      <c r="GY349" s="101"/>
      <c r="GZ349" s="144"/>
      <c r="HA349" s="144"/>
      <c r="HB349" s="144"/>
      <c r="HC349" s="144"/>
      <c r="HD349" s="144"/>
      <c r="HF349" s="101"/>
      <c r="HG349" s="144"/>
      <c r="HH349" s="144"/>
      <c r="HI349" s="144"/>
      <c r="HJ349" s="144"/>
      <c r="HK349" s="144"/>
      <c r="HM349" s="101"/>
      <c r="HN349" s="144"/>
      <c r="HO349" s="144"/>
      <c r="HP349" s="144"/>
      <c r="HQ349" s="144"/>
      <c r="HR349" s="144"/>
      <c r="HT349" s="101"/>
      <c r="HU349" s="144"/>
      <c r="HV349" s="144"/>
      <c r="HW349" s="144"/>
      <c r="HX349" s="144"/>
      <c r="HY349" s="144"/>
      <c r="IA349" s="101"/>
      <c r="IB349" s="144"/>
      <c r="IC349" s="144"/>
      <c r="ID349" s="144"/>
      <c r="IE349" s="144"/>
      <c r="IF349" s="144"/>
      <c r="IH349" s="101"/>
      <c r="II349" s="144"/>
      <c r="IJ349" s="144"/>
      <c r="IK349" s="144"/>
      <c r="IL349" s="144"/>
      <c r="IM349" s="144"/>
      <c r="IO349" s="101"/>
      <c r="IP349" s="144"/>
      <c r="IQ349" s="144"/>
      <c r="IR349" s="144"/>
      <c r="IS349" s="144"/>
      <c r="IT349" s="144"/>
      <c r="IV349" s="101"/>
      <c r="IW349" s="144"/>
      <c r="IX349" s="144"/>
      <c r="IY349" s="144"/>
      <c r="IZ349" s="144"/>
      <c r="JA349" s="144"/>
      <c r="JC349" s="101"/>
      <c r="JD349" s="144"/>
      <c r="JE349" s="144"/>
      <c r="JF349" s="144"/>
      <c r="JG349" s="144"/>
      <c r="JH349" s="144"/>
      <c r="JJ349" s="101"/>
      <c r="JK349" s="144"/>
      <c r="JL349" s="144"/>
      <c r="JM349" s="144"/>
      <c r="JN349" s="144"/>
      <c r="JO349" s="144"/>
      <c r="JQ349" s="101"/>
      <c r="JR349" s="144"/>
      <c r="JS349" s="144"/>
      <c r="JT349" s="144"/>
      <c r="JU349" s="144"/>
      <c r="JV349" s="144"/>
      <c r="JX349" s="101"/>
      <c r="JY349" s="144"/>
      <c r="JZ349" s="144"/>
      <c r="KA349" s="144"/>
      <c r="KB349" s="144"/>
      <c r="KC349" s="144"/>
      <c r="KE349" s="101"/>
      <c r="KF349" s="144"/>
      <c r="KG349" s="144"/>
      <c r="KH349" s="144"/>
      <c r="KI349" s="144"/>
      <c r="KJ349" s="144"/>
      <c r="KL349" s="101"/>
      <c r="KM349" s="144"/>
      <c r="KN349" s="144"/>
      <c r="KO349" s="144"/>
      <c r="KP349" s="144"/>
      <c r="KQ349" s="144"/>
      <c r="KS349" s="101"/>
      <c r="KT349" s="144"/>
      <c r="KU349" s="144"/>
      <c r="KV349" s="184"/>
      <c r="KW349" s="144"/>
      <c r="KX349" s="144"/>
      <c r="KZ349" s="101"/>
      <c r="LA349" s="144"/>
      <c r="LB349" s="144"/>
      <c r="LC349" s="144"/>
      <c r="LD349" s="144"/>
      <c r="LE349" s="144"/>
      <c r="LF349" s="555"/>
      <c r="LG349" s="101"/>
      <c r="LH349" s="144"/>
      <c r="LI349" s="144"/>
      <c r="LJ349" s="144"/>
      <c r="LK349" s="144"/>
      <c r="LL349" s="144"/>
      <c r="LM349" s="555"/>
      <c r="LN349" s="101"/>
      <c r="LO349" s="144"/>
      <c r="LP349" s="144"/>
      <c r="LQ349" s="144"/>
      <c r="LR349" s="144"/>
      <c r="LS349" s="144"/>
      <c r="LT349" s="555"/>
      <c r="LU349" s="101"/>
      <c r="LV349" s="144"/>
      <c r="LW349" s="144"/>
      <c r="LX349" s="144"/>
      <c r="LY349" s="144"/>
      <c r="LZ349" s="144"/>
      <c r="MA349" s="555"/>
      <c r="MB349" s="101"/>
      <c r="MC349" s="144"/>
      <c r="MD349" s="144"/>
      <c r="ME349" s="144"/>
      <c r="MF349" s="144"/>
      <c r="MG349" s="144"/>
      <c r="MH349" s="555"/>
    </row>
    <row r="350" spans="1:346" s="614" customFormat="1" ht="14.25" outlineLevel="1" x14ac:dyDescent="0.45">
      <c r="A350" s="604"/>
      <c r="B350" s="157" t="s">
        <v>475</v>
      </c>
      <c r="N350" s="614">
        <f>BT350</f>
        <v>0</v>
      </c>
      <c r="O350" s="614">
        <f>CA350</f>
        <v>0</v>
      </c>
      <c r="P350" s="614">
        <f>CH350</f>
        <v>0</v>
      </c>
      <c r="Q350" s="614">
        <f>CO350</f>
        <v>0</v>
      </c>
      <c r="R350" s="614">
        <f>CV350</f>
        <v>0</v>
      </c>
      <c r="S350" s="614">
        <f>DC350</f>
        <v>0</v>
      </c>
      <c r="T350" s="614">
        <f>DJ350</f>
        <v>0</v>
      </c>
      <c r="U350" s="614">
        <f>DQ350</f>
        <v>0</v>
      </c>
      <c r="V350" s="614">
        <f>DX350</f>
        <v>0</v>
      </c>
      <c r="W350" s="614">
        <f>EE350</f>
        <v>0</v>
      </c>
      <c r="X350" s="614">
        <f>EL350</f>
        <v>0</v>
      </c>
      <c r="Y350" s="614">
        <f>ES350</f>
        <v>0</v>
      </c>
      <c r="Z350" s="614">
        <f>EZ350</f>
        <v>0</v>
      </c>
      <c r="AA350" s="614">
        <f>FG350</f>
        <v>0</v>
      </c>
      <c r="AB350" s="614">
        <f>FN350</f>
        <v>0</v>
      </c>
      <c r="AC350" s="614">
        <f>FU350</f>
        <v>0</v>
      </c>
      <c r="AD350" s="614">
        <f>GB350</f>
        <v>0</v>
      </c>
      <c r="AE350" s="614">
        <f>GI350</f>
        <v>468597574</v>
      </c>
      <c r="AF350" s="614">
        <f>GP350</f>
        <v>0</v>
      </c>
      <c r="AG350" s="614">
        <f>GW350</f>
        <v>0</v>
      </c>
      <c r="AH350" s="614">
        <f>HD350</f>
        <v>0</v>
      </c>
      <c r="AI350" s="614">
        <f>HK350</f>
        <v>0</v>
      </c>
      <c r="AJ350" s="614">
        <f>HR350</f>
        <v>0</v>
      </c>
      <c r="AK350" s="614">
        <f>HY350</f>
        <v>0</v>
      </c>
      <c r="AL350" s="614">
        <f>IF350</f>
        <v>0</v>
      </c>
      <c r="AM350" s="614">
        <f>IM350</f>
        <v>0</v>
      </c>
      <c r="AN350" s="614">
        <f>IT350</f>
        <v>0</v>
      </c>
      <c r="AO350" s="614">
        <f>JA350</f>
        <v>0</v>
      </c>
      <c r="AP350" s="614">
        <f>JH350</f>
        <v>0</v>
      </c>
      <c r="AQ350" s="614">
        <f>JO350</f>
        <v>0</v>
      </c>
      <c r="AR350" s="614">
        <f>JV350</f>
        <v>0</v>
      </c>
      <c r="AS350" s="614">
        <f>KC350</f>
        <v>320553240</v>
      </c>
      <c r="AT350" s="614">
        <f>KJ350</f>
        <v>0</v>
      </c>
      <c r="AU350" s="614">
        <f>KQ350</f>
        <v>0</v>
      </c>
      <c r="AV350" s="614">
        <f>KX350</f>
        <v>0</v>
      </c>
      <c r="AW350" s="614">
        <f>LE350</f>
        <v>0</v>
      </c>
      <c r="AX350" s="614">
        <f>LL350</f>
        <v>0</v>
      </c>
      <c r="AY350" s="614">
        <f>LS350</f>
        <v>0</v>
      </c>
      <c r="AZ350" s="614">
        <f>LZ350</f>
        <v>0</v>
      </c>
      <c r="BA350" s="614">
        <f>MG350</f>
        <v>0</v>
      </c>
      <c r="BO350" s="157" t="s">
        <v>475</v>
      </c>
      <c r="BV350" s="157" t="s">
        <v>475</v>
      </c>
      <c r="CC350" s="157" t="s">
        <v>475</v>
      </c>
      <c r="CJ350" s="157" t="s">
        <v>475</v>
      </c>
      <c r="CQ350" s="157" t="s">
        <v>475</v>
      </c>
      <c r="CX350" s="157" t="s">
        <v>475</v>
      </c>
      <c r="DE350" s="157" t="s">
        <v>475</v>
      </c>
      <c r="DL350" s="157" t="s">
        <v>475</v>
      </c>
      <c r="DS350" s="157" t="s">
        <v>475</v>
      </c>
      <c r="DZ350" s="157" t="s">
        <v>475</v>
      </c>
      <c r="EG350" s="157" t="s">
        <v>475</v>
      </c>
      <c r="EN350" s="157" t="s">
        <v>475</v>
      </c>
      <c r="EU350" s="157" t="s">
        <v>475</v>
      </c>
      <c r="FB350" s="157" t="s">
        <v>475</v>
      </c>
      <c r="FI350" s="157" t="s">
        <v>475</v>
      </c>
      <c r="FP350" s="157" t="s">
        <v>475</v>
      </c>
      <c r="FW350" s="157" t="s">
        <v>475</v>
      </c>
      <c r="GD350" s="157" t="s">
        <v>475</v>
      </c>
      <c r="GE350" s="614">
        <v>117095751</v>
      </c>
      <c r="GF350" s="614">
        <v>119067751</v>
      </c>
      <c r="GG350" s="614">
        <v>117918865</v>
      </c>
      <c r="GH350" s="2">
        <v>114515207</v>
      </c>
      <c r="GI350" s="614">
        <f>SUM(GE350:GH350)</f>
        <v>468597574</v>
      </c>
      <c r="GK350" s="157" t="s">
        <v>475</v>
      </c>
      <c r="GL350" s="2">
        <v>113449427</v>
      </c>
      <c r="GM350" s="2">
        <v>116988691</v>
      </c>
      <c r="GN350" s="2">
        <v>113804768</v>
      </c>
      <c r="GO350" s="2">
        <v>114274139</v>
      </c>
      <c r="GR350" s="157" t="s">
        <v>475</v>
      </c>
      <c r="GS350" s="2">
        <v>113223140</v>
      </c>
      <c r="GT350" s="2">
        <v>119761357</v>
      </c>
      <c r="GU350" s="2">
        <v>115373159</v>
      </c>
      <c r="GV350" s="2">
        <v>107224950</v>
      </c>
      <c r="GY350" s="157" t="s">
        <v>475</v>
      </c>
      <c r="GZ350" s="2">
        <v>97467065</v>
      </c>
      <c r="HA350" s="2">
        <v>95799059</v>
      </c>
      <c r="HB350" s="2">
        <v>98265179</v>
      </c>
      <c r="HC350" s="2">
        <v>94638028</v>
      </c>
      <c r="HF350" s="157" t="s">
        <v>475</v>
      </c>
      <c r="HG350" s="2">
        <v>97571608</v>
      </c>
      <c r="HH350" s="2">
        <v>105295325</v>
      </c>
      <c r="HI350" s="2">
        <v>106194685</v>
      </c>
      <c r="HJ350" s="2">
        <v>108241736</v>
      </c>
      <c r="HM350" s="157" t="s">
        <v>475</v>
      </c>
      <c r="HN350" s="614">
        <v>107638931</v>
      </c>
      <c r="HO350" s="614">
        <v>107556134</v>
      </c>
      <c r="HP350" s="614">
        <v>104810407</v>
      </c>
      <c r="HQ350" s="614">
        <v>103772042</v>
      </c>
      <c r="HT350" s="157" t="s">
        <v>475</v>
      </c>
      <c r="HU350" s="614">
        <v>100603513</v>
      </c>
      <c r="HV350" s="614">
        <v>100232681</v>
      </c>
      <c r="HW350" s="614">
        <v>99403945</v>
      </c>
      <c r="HX350" s="614">
        <v>94668405</v>
      </c>
      <c r="IA350" s="157" t="s">
        <v>475</v>
      </c>
      <c r="IB350" s="614">
        <v>95352973</v>
      </c>
      <c r="IC350" s="614">
        <v>100441795</v>
      </c>
      <c r="ID350" s="614">
        <v>98531334</v>
      </c>
      <c r="IE350" s="614">
        <v>98323847</v>
      </c>
      <c r="IH350" s="157" t="s">
        <v>475</v>
      </c>
      <c r="II350" s="614">
        <v>97152105</v>
      </c>
      <c r="IJ350" s="614">
        <v>109900395</v>
      </c>
      <c r="IK350" s="614">
        <v>107057528</v>
      </c>
      <c r="IL350" s="614">
        <v>105282641</v>
      </c>
      <c r="IO350" s="157" t="s">
        <v>475</v>
      </c>
      <c r="IP350" s="614">
        <v>100472750</v>
      </c>
      <c r="IQ350" s="614">
        <v>104057011</v>
      </c>
      <c r="IR350" s="614">
        <v>100691023</v>
      </c>
      <c r="IS350" s="614">
        <v>93325920</v>
      </c>
      <c r="IV350" s="157" t="s">
        <v>475</v>
      </c>
      <c r="IW350" s="614">
        <v>88384792</v>
      </c>
      <c r="IX350" s="614">
        <v>91344752</v>
      </c>
      <c r="IY350" s="614">
        <v>89826582</v>
      </c>
      <c r="IZ350" s="614">
        <v>95981000</v>
      </c>
      <c r="JC350" s="157" t="s">
        <v>475</v>
      </c>
      <c r="JD350" s="614">
        <v>89577948</v>
      </c>
      <c r="JE350" s="614">
        <v>90935538</v>
      </c>
      <c r="JF350" s="614">
        <v>88522260</v>
      </c>
      <c r="JG350" s="614">
        <v>87768925</v>
      </c>
      <c r="JJ350" s="157" t="s">
        <v>475</v>
      </c>
      <c r="JK350" s="614">
        <v>84508050</v>
      </c>
      <c r="JL350" s="614">
        <v>91166107</v>
      </c>
      <c r="JM350" s="614">
        <v>91672161</v>
      </c>
      <c r="JN350" s="614">
        <v>91051262</v>
      </c>
      <c r="JQ350" s="157" t="s">
        <v>475</v>
      </c>
      <c r="JR350" s="614">
        <v>86570600</v>
      </c>
      <c r="JS350" s="614">
        <v>90805808</v>
      </c>
      <c r="JT350" s="614">
        <v>89924299</v>
      </c>
      <c r="JU350" s="614">
        <v>86296663</v>
      </c>
      <c r="JX350" s="157" t="s">
        <v>475</v>
      </c>
      <c r="JY350" s="614">
        <v>83686302</v>
      </c>
      <c r="JZ350" s="614">
        <f>KC350-SUM(JY350,KA350:KB350)</f>
        <v>72599273</v>
      </c>
      <c r="KA350" s="614">
        <v>80114271</v>
      </c>
      <c r="KB350" s="614">
        <v>84153394</v>
      </c>
      <c r="KC350" s="614">
        <v>320553240</v>
      </c>
      <c r="KE350" s="157" t="s">
        <v>475</v>
      </c>
      <c r="KF350" s="614">
        <v>82368457</v>
      </c>
      <c r="KG350" s="614">
        <v>87249559</v>
      </c>
      <c r="KH350" s="614">
        <v>85240854</v>
      </c>
      <c r="KI350" s="614">
        <v>84402990</v>
      </c>
      <c r="KL350" s="157" t="s">
        <v>475</v>
      </c>
      <c r="KM350" s="614">
        <v>80035657</v>
      </c>
      <c r="KN350" s="614">
        <v>84939560</v>
      </c>
      <c r="KO350" s="614">
        <v>84939560</v>
      </c>
      <c r="KP350" s="614">
        <v>83472686</v>
      </c>
      <c r="KS350" s="157" t="s">
        <v>475</v>
      </c>
      <c r="KT350" s="614">
        <v>84665681</v>
      </c>
      <c r="KU350" s="614">
        <v>86388381</v>
      </c>
      <c r="KV350" s="614">
        <v>85134691</v>
      </c>
      <c r="KW350" s="614">
        <v>85522281</v>
      </c>
      <c r="KZ350" s="157" t="s">
        <v>475</v>
      </c>
      <c r="LA350" s="614">
        <v>84617114</v>
      </c>
      <c r="LB350" s="614">
        <v>86606913</v>
      </c>
      <c r="LC350" s="614">
        <v>87258258</v>
      </c>
      <c r="LD350" s="614">
        <v>84536149</v>
      </c>
      <c r="LF350" s="608"/>
      <c r="LG350" s="157" t="s">
        <v>475</v>
      </c>
      <c r="LH350" s="634"/>
      <c r="LI350" s="634"/>
      <c r="LJ350" s="634"/>
      <c r="LK350" s="634"/>
      <c r="LM350" s="608"/>
      <c r="LN350" s="157" t="s">
        <v>475</v>
      </c>
      <c r="LO350" s="634"/>
      <c r="LP350" s="634"/>
      <c r="LQ350" s="634"/>
      <c r="LR350" s="634"/>
      <c r="LT350" s="608"/>
      <c r="LU350" s="157" t="s">
        <v>475</v>
      </c>
      <c r="LV350" s="634"/>
      <c r="LW350" s="634"/>
      <c r="LX350" s="634"/>
      <c r="LY350" s="634"/>
      <c r="MA350" s="608"/>
      <c r="MB350" s="157" t="s">
        <v>475</v>
      </c>
      <c r="MC350" s="634"/>
      <c r="MD350" s="634"/>
      <c r="ME350" s="634"/>
      <c r="MF350" s="634"/>
      <c r="MH350" s="608"/>
    </row>
    <row r="351" spans="1:346" s="614" customFormat="1" ht="13.15" outlineLevel="1" x14ac:dyDescent="0.4">
      <c r="A351" s="604"/>
      <c r="B351" s="157" t="s">
        <v>476</v>
      </c>
      <c r="N351" s="614">
        <f>BT351</f>
        <v>0</v>
      </c>
      <c r="O351" s="614">
        <f>CA351</f>
        <v>0</v>
      </c>
      <c r="P351" s="614">
        <f>CH351</f>
        <v>0</v>
      </c>
      <c r="Q351" s="614">
        <f>CO351</f>
        <v>0</v>
      </c>
      <c r="R351" s="614">
        <f>CV351</f>
        <v>0</v>
      </c>
      <c r="S351" s="614">
        <f>DC351</f>
        <v>0</v>
      </c>
      <c r="T351" s="614">
        <f>DJ351</f>
        <v>0</v>
      </c>
      <c r="U351" s="614">
        <f>DQ351</f>
        <v>0</v>
      </c>
      <c r="V351" s="614">
        <f>DX351</f>
        <v>0</v>
      </c>
      <c r="W351" s="614">
        <f>EE351</f>
        <v>0</v>
      </c>
      <c r="X351" s="614">
        <f>EL351</f>
        <v>0</v>
      </c>
      <c r="Y351" s="614">
        <f>ES351</f>
        <v>0</v>
      </c>
      <c r="Z351" s="614">
        <f>EZ351</f>
        <v>0</v>
      </c>
      <c r="AA351" s="614">
        <f>FG351</f>
        <v>0</v>
      </c>
      <c r="AB351" s="614">
        <f>FN351</f>
        <v>0</v>
      </c>
      <c r="AC351" s="614">
        <f>FU351</f>
        <v>0</v>
      </c>
      <c r="AD351" s="614">
        <f>GB351</f>
        <v>0</v>
      </c>
      <c r="AE351" s="614">
        <f>GI351</f>
        <v>244900000</v>
      </c>
      <c r="AF351" s="614">
        <f>GP351</f>
        <v>0</v>
      </c>
      <c r="AG351" s="614">
        <f>GW351</f>
        <v>0</v>
      </c>
      <c r="AH351" s="614">
        <f>HD351</f>
        <v>0</v>
      </c>
      <c r="AI351" s="614">
        <f>HK351</f>
        <v>0</v>
      </c>
      <c r="AJ351" s="614">
        <f>HR351</f>
        <v>0</v>
      </c>
      <c r="AK351" s="614">
        <f>HY351</f>
        <v>0</v>
      </c>
      <c r="AL351" s="614">
        <f>IF351</f>
        <v>0</v>
      </c>
      <c r="AM351" s="614">
        <f>IM351</f>
        <v>0</v>
      </c>
      <c r="AN351" s="614">
        <f>IT351</f>
        <v>0</v>
      </c>
      <c r="AO351" s="614">
        <f>JA351</f>
        <v>0</v>
      </c>
      <c r="AP351" s="614">
        <f>JH351</f>
        <v>0</v>
      </c>
      <c r="AQ351" s="614">
        <f>JO351</f>
        <v>0</v>
      </c>
      <c r="AR351" s="614">
        <f>JV351</f>
        <v>0</v>
      </c>
      <c r="AS351" s="614">
        <f>KC351</f>
        <v>183814759</v>
      </c>
      <c r="AT351" s="614">
        <f>KJ351</f>
        <v>0</v>
      </c>
      <c r="AU351" s="614">
        <f>KQ351</f>
        <v>0</v>
      </c>
      <c r="AV351" s="614">
        <f>KX351</f>
        <v>0</v>
      </c>
      <c r="AW351" s="614">
        <f>LE351</f>
        <v>0</v>
      </c>
      <c r="AX351" s="614">
        <f>LL351</f>
        <v>0</v>
      </c>
      <c r="AY351" s="614">
        <f>LS351</f>
        <v>0</v>
      </c>
      <c r="AZ351" s="614">
        <f>LZ351</f>
        <v>0</v>
      </c>
      <c r="BA351" s="614">
        <f>MG351</f>
        <v>0</v>
      </c>
      <c r="BO351" s="157" t="s">
        <v>476</v>
      </c>
      <c r="BV351" s="157" t="s">
        <v>476</v>
      </c>
      <c r="CC351" s="157" t="s">
        <v>476</v>
      </c>
      <c r="CJ351" s="157" t="s">
        <v>476</v>
      </c>
      <c r="CQ351" s="157" t="s">
        <v>476</v>
      </c>
      <c r="CX351" s="157" t="s">
        <v>476</v>
      </c>
      <c r="DE351" s="157" t="s">
        <v>476</v>
      </c>
      <c r="DL351" s="157" t="s">
        <v>476</v>
      </c>
      <c r="DS351" s="157" t="s">
        <v>476</v>
      </c>
      <c r="DZ351" s="157" t="s">
        <v>476</v>
      </c>
      <c r="EG351" s="157" t="s">
        <v>476</v>
      </c>
      <c r="EN351" s="157" t="s">
        <v>476</v>
      </c>
      <c r="EU351" s="157" t="s">
        <v>476</v>
      </c>
      <c r="FB351" s="157" t="s">
        <v>476</v>
      </c>
      <c r="FI351" s="157" t="s">
        <v>476</v>
      </c>
      <c r="FP351" s="157" t="s">
        <v>476</v>
      </c>
      <c r="FW351" s="157" t="s">
        <v>476</v>
      </c>
      <c r="GD351" s="157" t="s">
        <v>476</v>
      </c>
      <c r="GE351" s="614">
        <f>GE305*1000000</f>
        <v>61600000</v>
      </c>
      <c r="GF351" s="614">
        <f>GF305*1000000</f>
        <v>61699999.999999993</v>
      </c>
      <c r="GG351" s="614">
        <f>GG305*1000000</f>
        <v>61300000.000000007</v>
      </c>
      <c r="GH351" s="614">
        <f>GH305*1000000</f>
        <v>60300000.000000007</v>
      </c>
      <c r="GI351" s="614">
        <f>SUM(GE351:GH351)</f>
        <v>244900000</v>
      </c>
      <c r="GK351" s="157" t="s">
        <v>476</v>
      </c>
      <c r="GL351" s="614">
        <f>GL305*1000000</f>
        <v>59999999.999999993</v>
      </c>
      <c r="GM351" s="614">
        <f>GM305*1000000</f>
        <v>62100000</v>
      </c>
      <c r="GN351" s="614">
        <f>GN305*1000000</f>
        <v>59600000</v>
      </c>
      <c r="GO351" s="614">
        <f>GO305*1000000</f>
        <v>59000000</v>
      </c>
      <c r="GR351" s="157" t="s">
        <v>476</v>
      </c>
      <c r="GS351" s="614">
        <f>GS305*1000000</f>
        <v>60600000</v>
      </c>
      <c r="GT351" s="614">
        <f>GT305*1000000</f>
        <v>62699999.999999993</v>
      </c>
      <c r="GU351" s="614">
        <f>GU305*1000000</f>
        <v>60900000</v>
      </c>
      <c r="GV351" s="614">
        <f>GV305*1000000</f>
        <v>56600000</v>
      </c>
      <c r="GY351" s="157" t="s">
        <v>476</v>
      </c>
      <c r="GZ351" s="614">
        <f>GZ305*1000000</f>
        <v>53000000</v>
      </c>
      <c r="HA351" s="614">
        <f>HA305*1000000</f>
        <v>51600000</v>
      </c>
      <c r="HB351" s="614">
        <f>HB305*1000000</f>
        <v>53199999.999999993</v>
      </c>
      <c r="HC351" s="614">
        <f>HC305*1000000</f>
        <v>51300000.000000007</v>
      </c>
      <c r="HF351" s="157" t="s">
        <v>476</v>
      </c>
      <c r="HG351" s="614">
        <f>HG305*1000000</f>
        <v>55000000</v>
      </c>
      <c r="HH351" s="614">
        <f>HH305*1000000</f>
        <v>57800000</v>
      </c>
      <c r="HI351" s="614">
        <f>HI305*1000000</f>
        <v>56500000</v>
      </c>
      <c r="HJ351" s="614">
        <f>HJ305*1000000</f>
        <v>59800000.000000007</v>
      </c>
      <c r="HM351" s="157" t="s">
        <v>476</v>
      </c>
      <c r="HN351" s="614">
        <v>57258638</v>
      </c>
      <c r="HO351" s="614">
        <v>58195161</v>
      </c>
      <c r="HP351" s="614">
        <v>56422637</v>
      </c>
      <c r="HQ351" s="614">
        <v>56646717</v>
      </c>
      <c r="HT351" s="157" t="s">
        <v>476</v>
      </c>
      <c r="HU351" s="614">
        <v>56770241</v>
      </c>
      <c r="HV351" s="614">
        <v>57225813</v>
      </c>
      <c r="HW351" s="614">
        <v>55628939</v>
      </c>
      <c r="HX351" s="614">
        <v>53788532</v>
      </c>
      <c r="IA351" s="157" t="s">
        <v>476</v>
      </c>
      <c r="IB351" s="614">
        <v>55731883</v>
      </c>
      <c r="IC351" s="614">
        <v>57375534</v>
      </c>
      <c r="ID351" s="614">
        <v>56323533</v>
      </c>
      <c r="IE351" s="614">
        <v>58044452</v>
      </c>
      <c r="IH351" s="157" t="s">
        <v>476</v>
      </c>
      <c r="II351" s="614">
        <v>57497067</v>
      </c>
      <c r="IJ351" s="614">
        <v>63521312</v>
      </c>
      <c r="IK351" s="614">
        <v>61213937</v>
      </c>
      <c r="IL351" s="614">
        <v>62086196</v>
      </c>
      <c r="IO351" s="157" t="s">
        <v>476</v>
      </c>
      <c r="IP351" s="614">
        <v>58722390</v>
      </c>
      <c r="IQ351" s="614">
        <v>59975119</v>
      </c>
      <c r="IR351" s="614">
        <v>56745034</v>
      </c>
      <c r="IS351" s="614">
        <v>54032229</v>
      </c>
      <c r="IV351" s="157" t="s">
        <v>476</v>
      </c>
      <c r="IW351" s="614">
        <v>51229836</v>
      </c>
      <c r="IX351" s="614">
        <v>51837670</v>
      </c>
      <c r="IY351" s="614">
        <v>51860180</v>
      </c>
      <c r="IZ351" s="614">
        <v>58509766</v>
      </c>
      <c r="JC351" s="157" t="s">
        <v>476</v>
      </c>
      <c r="JD351" s="614">
        <v>53465004</v>
      </c>
      <c r="JE351" s="614">
        <v>52940000</v>
      </c>
      <c r="JF351" s="614">
        <v>51540000</v>
      </c>
      <c r="JG351" s="614">
        <v>50410000</v>
      </c>
      <c r="JJ351" s="157" t="s">
        <v>476</v>
      </c>
      <c r="JK351" s="614">
        <v>49002751</v>
      </c>
      <c r="JL351" s="614">
        <v>53083286</v>
      </c>
      <c r="JM351" s="614">
        <v>52361702</v>
      </c>
      <c r="JN351" s="614">
        <v>51265370</v>
      </c>
      <c r="JQ351" s="157" t="s">
        <v>476</v>
      </c>
      <c r="JR351" s="614">
        <v>50436745</v>
      </c>
      <c r="JS351" s="614">
        <v>51165071</v>
      </c>
      <c r="JT351" s="614">
        <v>50148620</v>
      </c>
      <c r="JU351" s="614">
        <v>49309820</v>
      </c>
      <c r="JX351" s="157" t="s">
        <v>476</v>
      </c>
      <c r="JY351" s="614">
        <v>48895160</v>
      </c>
      <c r="JZ351" s="614">
        <f>KC351-SUM(JY351,KA351:KB351)</f>
        <v>40149711</v>
      </c>
      <c r="KA351" s="614">
        <v>45743633</v>
      </c>
      <c r="KB351" s="614">
        <v>49026255</v>
      </c>
      <c r="KC351" s="614">
        <v>183814759</v>
      </c>
      <c r="KE351" s="157" t="s">
        <v>476</v>
      </c>
      <c r="KF351" s="614">
        <v>48264671</v>
      </c>
      <c r="KG351" s="614">
        <v>49017357</v>
      </c>
      <c r="KH351" s="614">
        <v>48437414</v>
      </c>
      <c r="KI351" s="614">
        <v>48603297</v>
      </c>
      <c r="KL351" s="157" t="s">
        <v>476</v>
      </c>
      <c r="KM351" s="614">
        <v>47288372</v>
      </c>
      <c r="KN351" s="614">
        <v>49282597</v>
      </c>
      <c r="KO351" s="614">
        <v>49282597</v>
      </c>
      <c r="KP351" s="614">
        <v>48136616</v>
      </c>
      <c r="KS351" s="157" t="s">
        <v>476</v>
      </c>
      <c r="KT351" s="614">
        <v>49173438</v>
      </c>
      <c r="KU351" s="614">
        <v>49205912</v>
      </c>
      <c r="KV351" s="614">
        <v>48657059</v>
      </c>
      <c r="KW351" s="614">
        <v>49368203</v>
      </c>
      <c r="KZ351" s="157" t="s">
        <v>476</v>
      </c>
      <c r="LA351" s="614">
        <v>49796045</v>
      </c>
      <c r="LB351" s="614">
        <v>49796045</v>
      </c>
      <c r="LC351" s="614">
        <v>49490590</v>
      </c>
      <c r="LD351" s="614">
        <v>49293347</v>
      </c>
      <c r="LF351" s="608"/>
      <c r="LG351" s="157" t="s">
        <v>476</v>
      </c>
      <c r="LH351" s="634"/>
      <c r="LI351" s="634"/>
      <c r="LJ351" s="634"/>
      <c r="LK351" s="634"/>
      <c r="LM351" s="608"/>
      <c r="LN351" s="157" t="s">
        <v>476</v>
      </c>
      <c r="LO351" s="634"/>
      <c r="LP351" s="634"/>
      <c r="LQ351" s="634"/>
      <c r="LR351" s="634"/>
      <c r="LT351" s="608"/>
      <c r="LU351" s="157" t="s">
        <v>476</v>
      </c>
      <c r="LV351" s="634"/>
      <c r="LW351" s="634"/>
      <c r="LX351" s="634"/>
      <c r="LY351" s="634"/>
      <c r="MA351" s="608"/>
      <c r="MB351" s="157" t="s">
        <v>476</v>
      </c>
      <c r="MC351" s="634"/>
      <c r="MD351" s="634"/>
      <c r="ME351" s="634"/>
      <c r="MF351" s="634"/>
      <c r="MH351" s="608"/>
    </row>
    <row r="352" spans="1:346" s="614" customFormat="1" ht="13.5" outlineLevel="1" thickBot="1" x14ac:dyDescent="0.45">
      <c r="A352" s="604"/>
      <c r="B352" s="157"/>
      <c r="BO352" s="157"/>
      <c r="BV352" s="157"/>
      <c r="CC352" s="157"/>
      <c r="CJ352" s="157"/>
      <c r="CQ352" s="157"/>
      <c r="CX352" s="157"/>
      <c r="DE352" s="157"/>
      <c r="DL352" s="157"/>
      <c r="DS352" s="157"/>
      <c r="DZ352" s="157"/>
      <c r="EG352" s="157"/>
      <c r="EN352" s="157"/>
      <c r="EU352" s="157"/>
      <c r="FB352" s="157"/>
      <c r="FI352" s="157"/>
      <c r="FP352" s="157"/>
      <c r="FW352" s="157"/>
      <c r="GD352" s="157"/>
      <c r="GK352" s="157"/>
      <c r="GR352" s="157"/>
      <c r="GY352" s="157"/>
      <c r="HF352" s="157"/>
      <c r="HM352" s="157"/>
      <c r="HT352" s="157"/>
      <c r="IA352" s="157"/>
      <c r="IH352" s="157"/>
      <c r="IO352" s="157"/>
      <c r="IV352" s="157"/>
      <c r="JC352" s="157"/>
      <c r="JJ352" s="157"/>
      <c r="JQ352" s="157"/>
      <c r="JX352" s="157"/>
      <c r="KE352" s="157"/>
      <c r="KL352" s="157"/>
      <c r="KS352" s="157"/>
      <c r="KZ352" s="157"/>
      <c r="LC352" s="634"/>
      <c r="LD352" s="634"/>
      <c r="LF352" s="608"/>
      <c r="LG352" s="157"/>
      <c r="LH352" s="634"/>
      <c r="LI352" s="634"/>
      <c r="LJ352" s="634"/>
      <c r="LK352" s="634"/>
      <c r="LM352" s="608"/>
      <c r="LN352" s="157"/>
      <c r="LO352" s="634"/>
      <c r="LP352" s="634"/>
      <c r="LQ352" s="634"/>
      <c r="LR352" s="634"/>
      <c r="LT352" s="608"/>
      <c r="LU352" s="157"/>
      <c r="LV352" s="634"/>
      <c r="LW352" s="634"/>
      <c r="LX352" s="634"/>
      <c r="LY352" s="634"/>
      <c r="MA352" s="608"/>
      <c r="MB352" s="157"/>
      <c r="MC352" s="634"/>
      <c r="MD352" s="634"/>
      <c r="ME352" s="634"/>
      <c r="MF352" s="634"/>
      <c r="MH352" s="608"/>
    </row>
    <row r="353" spans="1:346" s="37" customFormat="1" ht="13.5" outlineLevel="1" thickBot="1" x14ac:dyDescent="0.45">
      <c r="A353" s="97"/>
      <c r="B353" s="98" t="s">
        <v>477</v>
      </c>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c r="AA353" s="99"/>
      <c r="AB353" s="99"/>
      <c r="AC353" s="99"/>
      <c r="AD353" s="99"/>
      <c r="AE353" s="99"/>
      <c r="AF353" s="99"/>
      <c r="AG353" s="99"/>
      <c r="AH353" s="99"/>
      <c r="AI353" s="99"/>
      <c r="AJ353" s="99"/>
      <c r="AK353" s="99"/>
      <c r="AL353" s="99"/>
      <c r="AM353" s="99"/>
      <c r="AN353" s="99"/>
      <c r="AO353" s="99"/>
      <c r="AP353" s="99"/>
      <c r="AQ353" s="99"/>
      <c r="AR353" s="99"/>
      <c r="AS353" s="99"/>
      <c r="AT353" s="99"/>
      <c r="AU353" s="99"/>
      <c r="AV353" s="99"/>
      <c r="AW353" s="99"/>
      <c r="AX353" s="99"/>
      <c r="AY353" s="99"/>
      <c r="AZ353" s="99"/>
      <c r="BA353" s="99"/>
      <c r="BB353" s="99"/>
      <c r="BC353" s="99"/>
      <c r="BD353" s="99"/>
      <c r="BE353" s="99"/>
      <c r="BF353" s="99"/>
      <c r="BG353" s="99"/>
      <c r="BH353" s="99"/>
      <c r="BI353" s="99"/>
      <c r="BJ353" s="99"/>
      <c r="BK353" s="99"/>
      <c r="BL353" s="99"/>
      <c r="BM353" s="99"/>
      <c r="BO353" s="98" t="s">
        <v>477</v>
      </c>
      <c r="BP353" s="99"/>
      <c r="BQ353" s="99"/>
      <c r="BR353" s="99"/>
      <c r="BS353" s="99"/>
      <c r="BT353" s="99"/>
      <c r="BV353" s="98" t="s">
        <v>477</v>
      </c>
      <c r="BW353" s="99"/>
      <c r="BX353" s="99"/>
      <c r="BY353" s="99"/>
      <c r="BZ353" s="99"/>
      <c r="CA353" s="99"/>
      <c r="CC353" s="98" t="s">
        <v>477</v>
      </c>
      <c r="CD353" s="99"/>
      <c r="CE353" s="99"/>
      <c r="CF353" s="99"/>
      <c r="CG353" s="99"/>
      <c r="CH353" s="99"/>
      <c r="CJ353" s="98" t="s">
        <v>477</v>
      </c>
      <c r="CK353" s="99"/>
      <c r="CL353" s="99"/>
      <c r="CM353" s="99"/>
      <c r="CN353" s="99"/>
      <c r="CO353" s="99"/>
      <c r="CQ353" s="98" t="s">
        <v>477</v>
      </c>
      <c r="CR353" s="99"/>
      <c r="CS353" s="99"/>
      <c r="CT353" s="99"/>
      <c r="CU353" s="99"/>
      <c r="CV353" s="99"/>
      <c r="CX353" s="98" t="s">
        <v>477</v>
      </c>
      <c r="CY353" s="99"/>
      <c r="CZ353" s="99"/>
      <c r="DA353" s="99"/>
      <c r="DB353" s="99"/>
      <c r="DC353" s="99"/>
      <c r="DE353" s="98" t="s">
        <v>477</v>
      </c>
      <c r="DF353" s="99"/>
      <c r="DG353" s="99"/>
      <c r="DH353" s="99"/>
      <c r="DI353" s="99"/>
      <c r="DJ353" s="99"/>
      <c r="DL353" s="98" t="s">
        <v>477</v>
      </c>
      <c r="DM353" s="99"/>
      <c r="DN353" s="99"/>
      <c r="DO353" s="99"/>
      <c r="DP353" s="99"/>
      <c r="DQ353" s="99"/>
      <c r="DS353" s="98" t="s">
        <v>477</v>
      </c>
      <c r="DT353" s="99"/>
      <c r="DU353" s="99"/>
      <c r="DV353" s="99"/>
      <c r="DW353" s="99"/>
      <c r="DX353" s="99"/>
      <c r="DZ353" s="98" t="s">
        <v>477</v>
      </c>
      <c r="EA353" s="99"/>
      <c r="EB353" s="99"/>
      <c r="EC353" s="99"/>
      <c r="ED353" s="99"/>
      <c r="EE353" s="99"/>
      <c r="EG353" s="98" t="s">
        <v>477</v>
      </c>
      <c r="EH353" s="99"/>
      <c r="EI353" s="99"/>
      <c r="EJ353" s="99"/>
      <c r="EK353" s="99"/>
      <c r="EL353" s="99"/>
      <c r="EN353" s="98" t="s">
        <v>477</v>
      </c>
      <c r="EO353" s="99"/>
      <c r="EP353" s="99"/>
      <c r="EQ353" s="99"/>
      <c r="ER353" s="99"/>
      <c r="ES353" s="99"/>
      <c r="EU353" s="98" t="s">
        <v>477</v>
      </c>
      <c r="EV353" s="99"/>
      <c r="EW353" s="99"/>
      <c r="EX353" s="99"/>
      <c r="EY353" s="99"/>
      <c r="EZ353" s="99"/>
      <c r="FB353" s="98" t="s">
        <v>477</v>
      </c>
      <c r="FC353" s="99"/>
      <c r="FD353" s="99"/>
      <c r="FE353" s="99"/>
      <c r="FF353" s="99"/>
      <c r="FG353" s="99"/>
      <c r="FI353" s="98" t="s">
        <v>477</v>
      </c>
      <c r="FJ353" s="99"/>
      <c r="FK353" s="99"/>
      <c r="FL353" s="99"/>
      <c r="FM353" s="99"/>
      <c r="FN353" s="99"/>
      <c r="FP353" s="98" t="s">
        <v>477</v>
      </c>
      <c r="FQ353" s="99"/>
      <c r="FR353" s="99"/>
      <c r="FS353" s="99"/>
      <c r="FT353" s="99"/>
      <c r="FU353" s="99"/>
      <c r="FW353" s="98" t="s">
        <v>477</v>
      </c>
      <c r="FX353" s="99"/>
      <c r="FY353" s="99"/>
      <c r="FZ353" s="99"/>
      <c r="GA353" s="99"/>
      <c r="GB353" s="99"/>
      <c r="GD353" s="98" t="s">
        <v>477</v>
      </c>
      <c r="GE353" s="99"/>
      <c r="GF353" s="99"/>
      <c r="GG353" s="99"/>
      <c r="GH353" s="99"/>
      <c r="GI353" s="99"/>
      <c r="GK353" s="98" t="s">
        <v>477</v>
      </c>
      <c r="GL353" s="99"/>
      <c r="GM353" s="99"/>
      <c r="GN353" s="99"/>
      <c r="GO353" s="99"/>
      <c r="GP353" s="99"/>
      <c r="GR353" s="98" t="s">
        <v>477</v>
      </c>
      <c r="GS353" s="99"/>
      <c r="GT353" s="99"/>
      <c r="GU353" s="99"/>
      <c r="GV353" s="99"/>
      <c r="GW353" s="99"/>
      <c r="GY353" s="98" t="s">
        <v>477</v>
      </c>
      <c r="GZ353" s="99"/>
      <c r="HA353" s="99"/>
      <c r="HB353" s="99"/>
      <c r="HC353" s="99"/>
      <c r="HD353" s="99"/>
      <c r="HF353" s="98" t="s">
        <v>477</v>
      </c>
      <c r="HG353" s="99"/>
      <c r="HH353" s="99"/>
      <c r="HI353" s="99"/>
      <c r="HJ353" s="99"/>
      <c r="HK353" s="99"/>
      <c r="HM353" s="98" t="s">
        <v>477</v>
      </c>
      <c r="HN353" s="99"/>
      <c r="HO353" s="99"/>
      <c r="HP353" s="99"/>
      <c r="HQ353" s="99"/>
      <c r="HR353" s="99"/>
      <c r="HT353" s="98" t="s">
        <v>477</v>
      </c>
      <c r="HU353" s="99"/>
      <c r="HV353" s="99"/>
      <c r="HW353" s="99"/>
      <c r="HX353" s="99"/>
      <c r="HY353" s="99"/>
      <c r="IA353" s="98" t="s">
        <v>477</v>
      </c>
      <c r="IB353" s="99"/>
      <c r="IC353" s="99"/>
      <c r="ID353" s="99"/>
      <c r="IE353" s="99"/>
      <c r="IF353" s="99"/>
      <c r="IH353" s="98" t="s">
        <v>477</v>
      </c>
      <c r="II353" s="99"/>
      <c r="IJ353" s="99"/>
      <c r="IK353" s="99"/>
      <c r="IL353" s="99"/>
      <c r="IM353" s="99"/>
      <c r="IO353" s="98" t="s">
        <v>477</v>
      </c>
      <c r="IP353" s="99"/>
      <c r="IQ353" s="99"/>
      <c r="IR353" s="99"/>
      <c r="IS353" s="99"/>
      <c r="IT353" s="99"/>
      <c r="IV353" s="98" t="s">
        <v>477</v>
      </c>
      <c r="IW353" s="99"/>
      <c r="IX353" s="99"/>
      <c r="IY353" s="99"/>
      <c r="IZ353" s="99"/>
      <c r="JA353" s="99"/>
      <c r="JC353" s="98" t="s">
        <v>477</v>
      </c>
      <c r="JD353" s="99"/>
      <c r="JE353" s="99"/>
      <c r="JF353" s="99"/>
      <c r="JG353" s="99"/>
      <c r="JH353" s="99"/>
      <c r="JJ353" s="98" t="s">
        <v>477</v>
      </c>
      <c r="JK353" s="99"/>
      <c r="JL353" s="99"/>
      <c r="JM353" s="99"/>
      <c r="JN353" s="99"/>
      <c r="JO353" s="99"/>
      <c r="JQ353" s="98" t="s">
        <v>477</v>
      </c>
      <c r="JR353" s="99"/>
      <c r="JS353" s="99"/>
      <c r="JT353" s="99"/>
      <c r="JU353" s="99"/>
      <c r="JV353" s="99"/>
      <c r="JX353" s="98" t="s">
        <v>477</v>
      </c>
      <c r="JY353" s="99"/>
      <c r="JZ353" s="99"/>
      <c r="KA353" s="99"/>
      <c r="KB353" s="99"/>
      <c r="KC353" s="99"/>
      <c r="KE353" s="98" t="s">
        <v>477</v>
      </c>
      <c r="KF353" s="99"/>
      <c r="KG353" s="99"/>
      <c r="KH353" s="99"/>
      <c r="KI353" s="99"/>
      <c r="KJ353" s="99"/>
      <c r="KL353" s="98" t="s">
        <v>477</v>
      </c>
      <c r="KM353" s="99"/>
      <c r="KN353" s="99"/>
      <c r="KO353" s="99"/>
      <c r="KP353" s="99"/>
      <c r="KQ353" s="99"/>
      <c r="KS353" s="98" t="s">
        <v>477</v>
      </c>
      <c r="KT353" s="99"/>
      <c r="KU353" s="99"/>
      <c r="KV353" s="99"/>
      <c r="KW353" s="99"/>
      <c r="KX353" s="99"/>
      <c r="KZ353" s="98" t="s">
        <v>477</v>
      </c>
      <c r="LA353" s="99"/>
      <c r="LB353" s="99"/>
      <c r="LC353" s="99"/>
      <c r="LD353" s="99"/>
      <c r="LE353" s="99"/>
      <c r="LF353" s="565"/>
      <c r="LG353" s="98" t="s">
        <v>477</v>
      </c>
      <c r="LH353" s="99"/>
      <c r="LI353" s="99"/>
      <c r="LJ353" s="99"/>
      <c r="LK353" s="99"/>
      <c r="LL353" s="99"/>
      <c r="LM353" s="565"/>
      <c r="LN353" s="98" t="s">
        <v>477</v>
      </c>
      <c r="LO353" s="99"/>
      <c r="LP353" s="99"/>
      <c r="LQ353" s="99"/>
      <c r="LR353" s="99"/>
      <c r="LS353" s="99"/>
      <c r="LT353" s="565"/>
      <c r="LU353" s="98" t="s">
        <v>477</v>
      </c>
      <c r="LV353" s="99"/>
      <c r="LW353" s="99"/>
      <c r="LX353" s="99"/>
      <c r="LY353" s="99"/>
      <c r="LZ353" s="99"/>
      <c r="MA353" s="565"/>
      <c r="MB353" s="98" t="s">
        <v>477</v>
      </c>
      <c r="MC353" s="99"/>
      <c r="MD353" s="99"/>
      <c r="ME353" s="99"/>
      <c r="MF353" s="99"/>
      <c r="MG353" s="99"/>
      <c r="MH353" s="565"/>
    </row>
    <row r="354" spans="1:346" s="37" customFormat="1" ht="13.15" outlineLevel="1" x14ac:dyDescent="0.4">
      <c r="A354" s="100"/>
      <c r="B354" s="101" t="s">
        <v>471</v>
      </c>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c r="AA354" s="184"/>
      <c r="AB354" s="184"/>
      <c r="AC354" s="184"/>
      <c r="AD354" s="184"/>
      <c r="AE354" s="184"/>
      <c r="AF354" s="184"/>
      <c r="AG354" s="184"/>
      <c r="AH354" s="184"/>
      <c r="AI354" s="184"/>
      <c r="AJ354" s="184"/>
      <c r="AK354" s="184"/>
      <c r="AL354" s="184"/>
      <c r="AM354" s="184"/>
      <c r="AN354" s="184"/>
      <c r="AO354" s="184"/>
      <c r="AP354" s="184"/>
      <c r="AQ354" s="184"/>
      <c r="AR354" s="184"/>
      <c r="AS354" s="184"/>
      <c r="AT354" s="184"/>
      <c r="AU354" s="184"/>
      <c r="AV354" s="184"/>
      <c r="AW354" s="184"/>
      <c r="AX354" s="184"/>
      <c r="AY354" s="184"/>
      <c r="AZ354" s="184"/>
      <c r="BA354" s="184"/>
      <c r="BB354" s="184"/>
      <c r="BC354" s="184"/>
      <c r="BD354" s="184"/>
      <c r="BE354" s="184"/>
      <c r="BF354" s="184"/>
      <c r="BG354" s="184"/>
      <c r="BH354" s="184"/>
      <c r="BI354" s="184"/>
      <c r="BJ354" s="184"/>
      <c r="BK354" s="184"/>
      <c r="BL354" s="184"/>
      <c r="BM354" s="184"/>
      <c r="BO354" s="101" t="s">
        <v>471</v>
      </c>
      <c r="BP354" s="144"/>
      <c r="BQ354" s="144"/>
      <c r="BR354" s="144"/>
      <c r="BS354" s="144"/>
      <c r="BT354" s="144"/>
      <c r="BV354" s="101" t="s">
        <v>471</v>
      </c>
      <c r="BW354" s="144"/>
      <c r="BX354" s="144"/>
      <c r="BY354" s="144"/>
      <c r="BZ354" s="144"/>
      <c r="CA354" s="144"/>
      <c r="CC354" s="101" t="s">
        <v>471</v>
      </c>
      <c r="CD354" s="144"/>
      <c r="CE354" s="144"/>
      <c r="CF354" s="144"/>
      <c r="CG354" s="144"/>
      <c r="CH354" s="144"/>
      <c r="CJ354" s="101" t="s">
        <v>471</v>
      </c>
      <c r="CK354" s="144"/>
      <c r="CL354" s="144"/>
      <c r="CM354" s="144"/>
      <c r="CN354" s="144"/>
      <c r="CO354" s="144"/>
      <c r="CQ354" s="101" t="s">
        <v>471</v>
      </c>
      <c r="CR354" s="144"/>
      <c r="CS354" s="144"/>
      <c r="CT354" s="144"/>
      <c r="CU354" s="144"/>
      <c r="CV354" s="144"/>
      <c r="CX354" s="101" t="s">
        <v>471</v>
      </c>
      <c r="CY354" s="144"/>
      <c r="CZ354" s="144"/>
      <c r="DA354" s="144"/>
      <c r="DB354" s="144"/>
      <c r="DC354" s="144"/>
      <c r="DE354" s="101" t="s">
        <v>471</v>
      </c>
      <c r="DF354" s="144"/>
      <c r="DG354" s="144"/>
      <c r="DH354" s="144"/>
      <c r="DI354" s="144"/>
      <c r="DJ354" s="144"/>
      <c r="DL354" s="101" t="s">
        <v>471</v>
      </c>
      <c r="DM354" s="144"/>
      <c r="DN354" s="144"/>
      <c r="DO354" s="144"/>
      <c r="DP354" s="144"/>
      <c r="DQ354" s="144"/>
      <c r="DS354" s="101" t="s">
        <v>471</v>
      </c>
      <c r="DT354" s="144"/>
      <c r="DU354" s="144"/>
      <c r="DV354" s="144"/>
      <c r="DW354" s="144"/>
      <c r="DX354" s="144"/>
      <c r="DZ354" s="101" t="s">
        <v>471</v>
      </c>
      <c r="EA354" s="144"/>
      <c r="EB354" s="144"/>
      <c r="EC354" s="144"/>
      <c r="ED354" s="144"/>
      <c r="EE354" s="144"/>
      <c r="EG354" s="101" t="s">
        <v>471</v>
      </c>
      <c r="EH354" s="144"/>
      <c r="EI354" s="144"/>
      <c r="EJ354" s="144"/>
      <c r="EK354" s="144"/>
      <c r="EL354" s="144"/>
      <c r="EN354" s="101" t="s">
        <v>471</v>
      </c>
      <c r="EO354" s="144"/>
      <c r="EP354" s="144"/>
      <c r="EQ354" s="144"/>
      <c r="ER354" s="144"/>
      <c r="ES354" s="144"/>
      <c r="EU354" s="101" t="s">
        <v>471</v>
      </c>
      <c r="EV354" s="144"/>
      <c r="EW354" s="144"/>
      <c r="EX354" s="144"/>
      <c r="EY354" s="144"/>
      <c r="EZ354" s="144"/>
      <c r="FB354" s="101" t="s">
        <v>471</v>
      </c>
      <c r="FC354" s="144"/>
      <c r="FD354" s="144"/>
      <c r="FE354" s="144"/>
      <c r="FF354" s="144"/>
      <c r="FG354" s="144"/>
      <c r="FI354" s="101" t="s">
        <v>471</v>
      </c>
      <c r="FJ354" s="144"/>
      <c r="FK354" s="144"/>
      <c r="FL354" s="144"/>
      <c r="FM354" s="144"/>
      <c r="FN354" s="144"/>
      <c r="FP354" s="101" t="s">
        <v>471</v>
      </c>
      <c r="FQ354" s="144"/>
      <c r="FR354" s="144"/>
      <c r="FS354" s="144"/>
      <c r="FT354" s="144"/>
      <c r="FU354" s="144"/>
      <c r="FW354" s="101" t="s">
        <v>471</v>
      </c>
      <c r="FX354" s="144"/>
      <c r="FY354" s="144"/>
      <c r="FZ354" s="144"/>
      <c r="GA354" s="144"/>
      <c r="GB354" s="144"/>
      <c r="GD354" s="101" t="s">
        <v>471</v>
      </c>
      <c r="GE354" s="144"/>
      <c r="GF354" s="144"/>
      <c r="GG354" s="144"/>
      <c r="GH354" s="144"/>
      <c r="GI354" s="144"/>
      <c r="GK354" s="101" t="s">
        <v>471</v>
      </c>
      <c r="GL354" s="144"/>
      <c r="GM354" s="144"/>
      <c r="GN354" s="144"/>
      <c r="GO354" s="144"/>
      <c r="GP354" s="144"/>
      <c r="GR354" s="101" t="s">
        <v>471</v>
      </c>
      <c r="GS354" s="144"/>
      <c r="GT354" s="144"/>
      <c r="GU354" s="144"/>
      <c r="GV354" s="144"/>
      <c r="GW354" s="144"/>
      <c r="GY354" s="101" t="s">
        <v>471</v>
      </c>
      <c r="GZ354" s="144"/>
      <c r="HA354" s="144"/>
      <c r="HB354" s="144"/>
      <c r="HC354" s="144"/>
      <c r="HD354" s="144"/>
      <c r="HF354" s="101" t="s">
        <v>471</v>
      </c>
      <c r="HG354" s="144"/>
      <c r="HH354" s="144"/>
      <c r="HI354" s="144"/>
      <c r="HJ354" s="144"/>
      <c r="HK354" s="144"/>
      <c r="HM354" s="101" t="s">
        <v>471</v>
      </c>
      <c r="HN354" s="144"/>
      <c r="HO354" s="144"/>
      <c r="HP354" s="144"/>
      <c r="HQ354" s="144"/>
      <c r="HR354" s="144"/>
      <c r="HT354" s="101" t="s">
        <v>471</v>
      </c>
      <c r="HU354" s="144"/>
      <c r="HV354" s="144"/>
      <c r="HW354" s="144"/>
      <c r="HX354" s="144"/>
      <c r="HY354" s="144"/>
      <c r="IA354" s="101" t="s">
        <v>471</v>
      </c>
      <c r="IB354" s="144"/>
      <c r="IC354" s="144"/>
      <c r="ID354" s="144"/>
      <c r="IE354" s="144"/>
      <c r="IF354" s="144"/>
      <c r="IH354" s="101" t="s">
        <v>471</v>
      </c>
      <c r="II354" s="144"/>
      <c r="IJ354" s="144"/>
      <c r="IK354" s="144"/>
      <c r="IL354" s="144"/>
      <c r="IM354" s="144"/>
      <c r="IO354" s="101" t="s">
        <v>471</v>
      </c>
      <c r="IP354" s="144"/>
      <c r="IQ354" s="144"/>
      <c r="IR354" s="144"/>
      <c r="IS354" s="144"/>
      <c r="IT354" s="144"/>
      <c r="IV354" s="101" t="s">
        <v>471</v>
      </c>
      <c r="IW354" s="144"/>
      <c r="IX354" s="144"/>
      <c r="IY354" s="144"/>
      <c r="IZ354" s="144"/>
      <c r="JA354" s="144"/>
      <c r="JC354" s="101" t="s">
        <v>471</v>
      </c>
      <c r="JD354" s="144"/>
      <c r="JE354" s="144"/>
      <c r="JF354" s="144"/>
      <c r="JG354" s="144"/>
      <c r="JH354" s="144"/>
      <c r="JJ354" s="101" t="s">
        <v>471</v>
      </c>
      <c r="JK354" s="144"/>
      <c r="JL354" s="144"/>
      <c r="JM354" s="144"/>
      <c r="JN354" s="144"/>
      <c r="JO354" s="144"/>
      <c r="JQ354" s="101" t="s">
        <v>471</v>
      </c>
      <c r="JR354" s="144"/>
      <c r="JS354" s="144"/>
      <c r="JT354" s="144"/>
      <c r="JU354" s="144"/>
      <c r="JV354" s="144"/>
      <c r="JX354" s="101" t="s">
        <v>471</v>
      </c>
      <c r="JY354" s="144"/>
      <c r="JZ354" s="144"/>
      <c r="KA354" s="144"/>
      <c r="KB354" s="144"/>
      <c r="KC354" s="144"/>
      <c r="KE354" s="101" t="s">
        <v>471</v>
      </c>
      <c r="KF354" s="144"/>
      <c r="KG354" s="144"/>
      <c r="KH354" s="144"/>
      <c r="KI354" s="144"/>
      <c r="KJ354" s="144"/>
      <c r="KL354" s="101" t="s">
        <v>471</v>
      </c>
      <c r="KM354" s="144"/>
      <c r="KN354" s="144"/>
      <c r="KO354" s="144"/>
      <c r="KP354" s="144"/>
      <c r="KQ354" s="144"/>
      <c r="KS354" s="101" t="s">
        <v>471</v>
      </c>
      <c r="KT354" s="144"/>
      <c r="KU354" s="144"/>
      <c r="KV354" s="184"/>
      <c r="KW354" s="144"/>
      <c r="KX354" s="144"/>
      <c r="KZ354" s="101" t="s">
        <v>471</v>
      </c>
      <c r="LA354" s="144"/>
      <c r="LB354" s="144"/>
      <c r="LC354" s="144"/>
      <c r="LD354" s="144"/>
      <c r="LE354" s="144"/>
      <c r="LF354" s="555"/>
      <c r="LG354" s="101" t="s">
        <v>471</v>
      </c>
      <c r="LH354" s="144"/>
      <c r="LI354" s="144"/>
      <c r="LJ354" s="144"/>
      <c r="LK354" s="144"/>
      <c r="LL354" s="144"/>
      <c r="LM354" s="555"/>
      <c r="LN354" s="101" t="s">
        <v>471</v>
      </c>
      <c r="LO354" s="144"/>
      <c r="LP354" s="144"/>
      <c r="LQ354" s="144"/>
      <c r="LR354" s="144"/>
      <c r="LS354" s="144"/>
      <c r="LT354" s="555"/>
      <c r="LU354" s="101" t="s">
        <v>471</v>
      </c>
      <c r="LV354" s="144"/>
      <c r="LW354" s="144"/>
      <c r="LX354" s="144"/>
      <c r="LY354" s="144"/>
      <c r="LZ354" s="144"/>
      <c r="MA354" s="555"/>
      <c r="MB354" s="101" t="s">
        <v>471</v>
      </c>
      <c r="MC354" s="144"/>
      <c r="MD354" s="144"/>
      <c r="ME354" s="144"/>
      <c r="MF354" s="144"/>
      <c r="MG354" s="144"/>
      <c r="MH354" s="555"/>
    </row>
    <row r="355" spans="1:346" s="37" customFormat="1" ht="13.15" outlineLevel="1" x14ac:dyDescent="0.4">
      <c r="A355" s="100"/>
      <c r="B355" s="143"/>
      <c r="C355" s="144"/>
      <c r="D355" s="144"/>
      <c r="E355" s="144"/>
      <c r="F355" s="144"/>
      <c r="G355" s="144"/>
      <c r="H355" s="144"/>
      <c r="I355" s="144"/>
      <c r="J355" s="144"/>
      <c r="K355" s="144"/>
      <c r="L355" s="144"/>
      <c r="M355" s="144"/>
      <c r="N355" s="144"/>
      <c r="O355" s="144"/>
      <c r="P355" s="144"/>
      <c r="Q355" s="144"/>
      <c r="R355" s="144"/>
      <c r="S355" s="144"/>
      <c r="T355" s="144"/>
      <c r="U355" s="144"/>
      <c r="V355" s="144"/>
      <c r="W355" s="144"/>
      <c r="X355" s="144"/>
      <c r="Y355" s="144"/>
      <c r="Z355" s="144"/>
      <c r="AA355" s="144"/>
      <c r="AB355" s="144"/>
      <c r="AC355" s="144"/>
      <c r="AD355" s="144"/>
      <c r="AE355" s="144"/>
      <c r="AF355" s="144"/>
      <c r="AG355" s="144"/>
      <c r="AH355" s="144"/>
      <c r="AI355" s="144"/>
      <c r="AJ355" s="144"/>
      <c r="AK355" s="144"/>
      <c r="AL355" s="144"/>
      <c r="AM355" s="144"/>
      <c r="AN355" s="144"/>
      <c r="AO355" s="144"/>
      <c r="AP355" s="144"/>
      <c r="AQ355" s="144"/>
      <c r="AR355" s="144"/>
      <c r="AS355" s="144"/>
      <c r="AT355" s="144"/>
      <c r="AU355" s="144"/>
      <c r="AV355" s="144"/>
      <c r="AW355" s="144"/>
      <c r="AX355" s="144"/>
      <c r="AY355" s="144"/>
      <c r="AZ355" s="144"/>
      <c r="BA355" s="144"/>
      <c r="BB355" s="144"/>
      <c r="BC355" s="144"/>
      <c r="BD355" s="144"/>
      <c r="BE355" s="144"/>
      <c r="BF355" s="144"/>
      <c r="BG355" s="144"/>
      <c r="BH355" s="144"/>
      <c r="BI355" s="144"/>
      <c r="BJ355" s="144"/>
      <c r="BK355" s="144"/>
      <c r="BL355" s="144"/>
      <c r="BM355" s="144"/>
      <c r="BO355" s="143"/>
      <c r="BP355" s="144"/>
      <c r="BQ355" s="144"/>
      <c r="BR355" s="144"/>
      <c r="BS355" s="144"/>
      <c r="BT355" s="144"/>
      <c r="BV355" s="143"/>
      <c r="BW355" s="144"/>
      <c r="BX355" s="144"/>
      <c r="BY355" s="144"/>
      <c r="BZ355" s="144"/>
      <c r="CA355" s="144"/>
      <c r="CC355" s="143"/>
      <c r="CD355" s="144"/>
      <c r="CE355" s="144"/>
      <c r="CF355" s="144"/>
      <c r="CG355" s="144"/>
      <c r="CH355" s="144"/>
      <c r="CJ355" s="143"/>
      <c r="CK355" s="144"/>
      <c r="CL355" s="144"/>
      <c r="CM355" s="144"/>
      <c r="CN355" s="144"/>
      <c r="CO355" s="144"/>
      <c r="CQ355" s="143"/>
      <c r="CR355" s="144"/>
      <c r="CS355" s="144"/>
      <c r="CT355" s="144"/>
      <c r="CU355" s="144"/>
      <c r="CV355" s="144"/>
      <c r="CX355" s="143"/>
      <c r="CY355" s="144"/>
      <c r="CZ355" s="144"/>
      <c r="DA355" s="144"/>
      <c r="DB355" s="144"/>
      <c r="DC355" s="144"/>
      <c r="DE355" s="143"/>
      <c r="DF355" s="144"/>
      <c r="DG355" s="144"/>
      <c r="DH355" s="144"/>
      <c r="DI355" s="144"/>
      <c r="DJ355" s="144"/>
      <c r="DL355" s="143"/>
      <c r="DM355" s="144"/>
      <c r="DN355" s="144"/>
      <c r="DO355" s="144"/>
      <c r="DP355" s="144"/>
      <c r="DQ355" s="144"/>
      <c r="DS355" s="143"/>
      <c r="DT355" s="144"/>
      <c r="DU355" s="144"/>
      <c r="DV355" s="144"/>
      <c r="DW355" s="144"/>
      <c r="DX355" s="144"/>
      <c r="DZ355" s="143"/>
      <c r="EA355" s="144"/>
      <c r="EB355" s="144"/>
      <c r="EC355" s="144"/>
      <c r="ED355" s="144"/>
      <c r="EE355" s="144"/>
      <c r="EG355" s="143"/>
      <c r="EH355" s="144"/>
      <c r="EI355" s="144"/>
      <c r="EJ355" s="144"/>
      <c r="EK355" s="144"/>
      <c r="EL355" s="144"/>
      <c r="EN355" s="143"/>
      <c r="EO355" s="144"/>
      <c r="EP355" s="144"/>
      <c r="EQ355" s="144"/>
      <c r="ER355" s="144"/>
      <c r="ES355" s="144"/>
      <c r="EU355" s="143"/>
      <c r="EV355" s="144"/>
      <c r="EW355" s="144"/>
      <c r="EX355" s="144"/>
      <c r="EY355" s="144"/>
      <c r="EZ355" s="144"/>
      <c r="FB355" s="143"/>
      <c r="FC355" s="144"/>
      <c r="FD355" s="144"/>
      <c r="FE355" s="144"/>
      <c r="FF355" s="144"/>
      <c r="FG355" s="144"/>
      <c r="FI355" s="143"/>
      <c r="FJ355" s="144"/>
      <c r="FK355" s="144"/>
      <c r="FL355" s="144"/>
      <c r="FM355" s="144"/>
      <c r="FN355" s="144"/>
      <c r="FP355" s="143"/>
      <c r="FQ355" s="144"/>
      <c r="FR355" s="144"/>
      <c r="FS355" s="144"/>
      <c r="FT355" s="144"/>
      <c r="FU355" s="144"/>
      <c r="FW355" s="143"/>
      <c r="FX355" s="144"/>
      <c r="FY355" s="144"/>
      <c r="FZ355" s="144"/>
      <c r="GA355" s="144"/>
      <c r="GB355" s="144"/>
      <c r="GD355" s="143"/>
      <c r="GE355" s="144"/>
      <c r="GF355" s="144"/>
      <c r="GG355" s="144"/>
      <c r="GH355" s="144"/>
      <c r="GI355" s="144"/>
      <c r="GK355" s="143"/>
      <c r="GL355" s="144"/>
      <c r="GM355" s="144"/>
      <c r="GN355" s="144"/>
      <c r="GO355" s="144"/>
      <c r="GP355" s="144"/>
      <c r="GR355" s="143"/>
      <c r="GS355" s="144"/>
      <c r="GT355" s="144"/>
      <c r="GU355" s="144"/>
      <c r="GV355" s="144"/>
      <c r="GW355" s="144"/>
      <c r="GY355" s="143"/>
      <c r="GZ355" s="144"/>
      <c r="HA355" s="144"/>
      <c r="HB355" s="144"/>
      <c r="HC355" s="144"/>
      <c r="HD355" s="144"/>
      <c r="HF355" s="143"/>
      <c r="HG355" s="144"/>
      <c r="HH355" s="144"/>
      <c r="HI355" s="144"/>
      <c r="HJ355" s="144"/>
      <c r="HK355" s="144"/>
      <c r="HM355" s="143"/>
      <c r="HN355" s="144"/>
      <c r="HO355" s="144"/>
      <c r="HP355" s="144"/>
      <c r="HQ355" s="144"/>
      <c r="HR355" s="144"/>
      <c r="HT355" s="143"/>
      <c r="HU355" s="144"/>
      <c r="HV355" s="144"/>
      <c r="HW355" s="144"/>
      <c r="HX355" s="144"/>
      <c r="HY355" s="144"/>
      <c r="IA355" s="143"/>
      <c r="IB355" s="144"/>
      <c r="IC355" s="144"/>
      <c r="ID355" s="144"/>
      <c r="IE355" s="144"/>
      <c r="IF355" s="144"/>
      <c r="IH355" s="143"/>
      <c r="II355" s="144"/>
      <c r="IJ355" s="144"/>
      <c r="IK355" s="144"/>
      <c r="IL355" s="144"/>
      <c r="IM355" s="144"/>
      <c r="IO355" s="143"/>
      <c r="IP355" s="144"/>
      <c r="IQ355" s="144"/>
      <c r="IR355" s="144"/>
      <c r="IS355" s="144"/>
      <c r="IT355" s="144"/>
      <c r="IV355" s="143"/>
      <c r="IW355" s="144"/>
      <c r="IX355" s="144"/>
      <c r="IY355" s="144"/>
      <c r="IZ355" s="144"/>
      <c r="JA355" s="144"/>
      <c r="JC355" s="143"/>
      <c r="JD355" s="144"/>
      <c r="JE355" s="144"/>
      <c r="JF355" s="144"/>
      <c r="JG355" s="144"/>
      <c r="JH355" s="144"/>
      <c r="JJ355" s="143"/>
      <c r="JK355" s="144"/>
      <c r="JL355" s="144"/>
      <c r="JM355" s="144"/>
      <c r="JN355" s="144"/>
      <c r="JO355" s="144"/>
      <c r="JQ355" s="143"/>
      <c r="JR355" s="144"/>
      <c r="JS355" s="144"/>
      <c r="JT355" s="144"/>
      <c r="JU355" s="144"/>
      <c r="JV355" s="144"/>
      <c r="JX355" s="143"/>
      <c r="JY355" s="144"/>
      <c r="JZ355" s="144"/>
      <c r="KA355" s="144"/>
      <c r="KB355" s="144"/>
      <c r="KC355" s="144"/>
      <c r="KE355" s="143"/>
      <c r="KF355" s="144"/>
      <c r="KG355" s="144"/>
      <c r="KH355" s="144"/>
      <c r="KI355" s="144"/>
      <c r="KJ355" s="144"/>
      <c r="KL355" s="143"/>
      <c r="KM355" s="144"/>
      <c r="KN355" s="144"/>
      <c r="KO355" s="144"/>
      <c r="KP355" s="144"/>
      <c r="KQ355" s="144"/>
      <c r="KS355" s="143"/>
      <c r="KT355" s="144"/>
      <c r="KU355" s="144"/>
      <c r="KV355" s="144"/>
      <c r="KW355" s="144"/>
      <c r="KX355" s="144"/>
      <c r="KZ355" s="143"/>
      <c r="LA355" s="144"/>
      <c r="LB355" s="144"/>
      <c r="LC355" s="144"/>
      <c r="LD355" s="144"/>
      <c r="LE355" s="144"/>
      <c r="LF355" s="555"/>
      <c r="LG355" s="143"/>
      <c r="LH355" s="144"/>
      <c r="LI355" s="144"/>
      <c r="LJ355" s="144"/>
      <c r="LK355" s="144"/>
      <c r="LL355" s="144"/>
      <c r="LM355" s="555"/>
      <c r="LN355" s="143"/>
      <c r="LO355" s="144"/>
      <c r="LP355" s="144"/>
      <c r="LQ355" s="144"/>
      <c r="LR355" s="144"/>
      <c r="LS355" s="144"/>
      <c r="LT355" s="555"/>
      <c r="LU355" s="143"/>
      <c r="LV355" s="144"/>
      <c r="LW355" s="144"/>
      <c r="LX355" s="144"/>
      <c r="LY355" s="144"/>
      <c r="LZ355" s="144"/>
      <c r="MA355" s="555"/>
      <c r="MB355" s="143"/>
      <c r="MC355" s="144"/>
      <c r="MD355" s="144"/>
      <c r="ME355" s="144"/>
      <c r="MF355" s="144"/>
      <c r="MG355" s="144"/>
      <c r="MH355" s="555"/>
    </row>
    <row r="356" spans="1:346" s="37" customFormat="1" ht="13.15" outlineLevel="1" x14ac:dyDescent="0.4">
      <c r="A356" s="100"/>
      <c r="B356" s="185" t="s">
        <v>485</v>
      </c>
      <c r="C356" s="186"/>
      <c r="D356" s="186"/>
      <c r="E356" s="186"/>
      <c r="F356" s="186"/>
      <c r="G356" s="186"/>
      <c r="H356" s="186"/>
      <c r="I356" s="186"/>
      <c r="J356" s="186"/>
      <c r="K356" s="186"/>
      <c r="L356" s="186"/>
      <c r="M356" s="186"/>
      <c r="N356" s="186">
        <f>BT356</f>
        <v>0</v>
      </c>
      <c r="O356" s="186">
        <f>CA356</f>
        <v>0</v>
      </c>
      <c r="P356" s="186">
        <f>CH356</f>
        <v>0</v>
      </c>
      <c r="Q356" s="186">
        <f>CO356</f>
        <v>0</v>
      </c>
      <c r="R356" s="186">
        <f>CV356</f>
        <v>0</v>
      </c>
      <c r="S356" s="186">
        <f>DC356</f>
        <v>0</v>
      </c>
      <c r="T356" s="186">
        <f>DJ356</f>
        <v>0</v>
      </c>
      <c r="U356" s="186">
        <f>DQ356</f>
        <v>0</v>
      </c>
      <c r="V356" s="186">
        <f>DX356</f>
        <v>0</v>
      </c>
      <c r="W356" s="186">
        <f>EE356</f>
        <v>0</v>
      </c>
      <c r="X356" s="186">
        <f>EL356</f>
        <v>0</v>
      </c>
      <c r="Y356" s="186">
        <f>ES356</f>
        <v>0</v>
      </c>
      <c r="Z356" s="186">
        <f>EZ356</f>
        <v>0</v>
      </c>
      <c r="AA356" s="186">
        <f>FG356</f>
        <v>0</v>
      </c>
      <c r="AB356" s="186">
        <f>FN356</f>
        <v>0</v>
      </c>
      <c r="AC356" s="186">
        <f>FU356</f>
        <v>0</v>
      </c>
      <c r="AD356" s="186">
        <f>GB356</f>
        <v>0</v>
      </c>
      <c r="AE356" s="186">
        <f>GI356</f>
        <v>0</v>
      </c>
      <c r="AF356" s="186">
        <f>GP356</f>
        <v>0</v>
      </c>
      <c r="AG356" s="186">
        <f>GW356</f>
        <v>1776499</v>
      </c>
      <c r="AH356" s="186">
        <f>HD356</f>
        <v>827805</v>
      </c>
      <c r="AI356" s="186">
        <f>HK356</f>
        <v>1186804</v>
      </c>
      <c r="AJ356" s="186">
        <f>HR356</f>
        <v>1632143</v>
      </c>
      <c r="AK356" s="186">
        <f>HY356</f>
        <v>1638428</v>
      </c>
      <c r="AL356" s="186">
        <f>IF356</f>
        <v>1622417</v>
      </c>
      <c r="AM356" s="186">
        <f>IM356</f>
        <v>1580903</v>
      </c>
      <c r="AN356" s="186">
        <f>IT356</f>
        <v>934196</v>
      </c>
      <c r="AO356" s="186">
        <f>JA356</f>
        <v>698263</v>
      </c>
      <c r="AP356" s="186">
        <f>JH356</f>
        <v>847905.55648999999</v>
      </c>
      <c r="AQ356" s="186">
        <f>JO356</f>
        <v>1023638</v>
      </c>
      <c r="AR356" s="186">
        <f>JV356</f>
        <v>887484</v>
      </c>
      <c r="AS356" s="186">
        <f>KC356</f>
        <v>529079</v>
      </c>
      <c r="AT356" s="186">
        <f>KJ356</f>
        <v>848135</v>
      </c>
      <c r="AU356" s="186">
        <f>KQ356</f>
        <v>1449102</v>
      </c>
      <c r="AV356" s="186">
        <f>KX356</f>
        <v>1239344</v>
      </c>
      <c r="AW356" s="186">
        <f>LE356</f>
        <v>0</v>
      </c>
      <c r="AX356" s="186">
        <f>LL356</f>
        <v>0</v>
      </c>
      <c r="AY356" s="186">
        <f>LS356</f>
        <v>0</v>
      </c>
      <c r="AZ356" s="186">
        <f>LZ356</f>
        <v>0</v>
      </c>
      <c r="BA356" s="186">
        <f>MG356</f>
        <v>0</v>
      </c>
      <c r="BB356" s="186"/>
      <c r="BC356" s="186"/>
      <c r="BD356" s="186"/>
      <c r="BE356" s="186"/>
      <c r="BF356" s="186"/>
      <c r="BG356" s="186"/>
      <c r="BH356" s="186"/>
      <c r="BI356" s="186"/>
      <c r="BJ356" s="186"/>
      <c r="BK356" s="186"/>
      <c r="BL356" s="186"/>
      <c r="BM356" s="186"/>
      <c r="BO356" s="185" t="s">
        <v>485</v>
      </c>
      <c r="BP356" s="186"/>
      <c r="BQ356" s="186"/>
      <c r="BR356" s="186"/>
      <c r="BS356" s="186"/>
      <c r="BT356" s="186"/>
      <c r="BV356" s="185" t="s">
        <v>485</v>
      </c>
      <c r="BW356" s="186"/>
      <c r="BX356" s="186"/>
      <c r="BY356" s="186"/>
      <c r="BZ356" s="186"/>
      <c r="CA356" s="186"/>
      <c r="CC356" s="185" t="s">
        <v>485</v>
      </c>
      <c r="CD356" s="186"/>
      <c r="CE356" s="186"/>
      <c r="CF356" s="186"/>
      <c r="CG356" s="186"/>
      <c r="CH356" s="186"/>
      <c r="CJ356" s="185" t="s">
        <v>485</v>
      </c>
      <c r="CK356" s="186"/>
      <c r="CL356" s="186"/>
      <c r="CM356" s="186"/>
      <c r="CN356" s="186"/>
      <c r="CO356" s="186"/>
      <c r="CQ356" s="185" t="s">
        <v>485</v>
      </c>
      <c r="CR356" s="186"/>
      <c r="CS356" s="186"/>
      <c r="CT356" s="186"/>
      <c r="CU356" s="186"/>
      <c r="CV356" s="186"/>
      <c r="CX356" s="185" t="s">
        <v>485</v>
      </c>
      <c r="CY356" s="186"/>
      <c r="CZ356" s="186"/>
      <c r="DA356" s="186"/>
      <c r="DB356" s="186"/>
      <c r="DC356" s="186"/>
      <c r="DE356" s="185" t="s">
        <v>485</v>
      </c>
      <c r="DF356" s="186"/>
      <c r="DG356" s="186"/>
      <c r="DH356" s="186"/>
      <c r="DI356" s="186"/>
      <c r="DJ356" s="186"/>
      <c r="DL356" s="185" t="s">
        <v>485</v>
      </c>
      <c r="DM356" s="186"/>
      <c r="DN356" s="186"/>
      <c r="DO356" s="186"/>
      <c r="DP356" s="186"/>
      <c r="DQ356" s="186"/>
      <c r="DS356" s="185" t="s">
        <v>485</v>
      </c>
      <c r="DT356" s="186"/>
      <c r="DU356" s="186"/>
      <c r="DV356" s="186"/>
      <c r="DW356" s="186"/>
      <c r="DX356" s="186"/>
      <c r="DZ356" s="185" t="s">
        <v>485</v>
      </c>
      <c r="EA356" s="186"/>
      <c r="EB356" s="186"/>
      <c r="EC356" s="186"/>
      <c r="ED356" s="186"/>
      <c r="EE356" s="186"/>
      <c r="EG356" s="185" t="s">
        <v>485</v>
      </c>
      <c r="EH356" s="186"/>
      <c r="EI356" s="186"/>
      <c r="EJ356" s="186"/>
      <c r="EK356" s="186"/>
      <c r="EL356" s="186"/>
      <c r="EN356" s="185" t="s">
        <v>485</v>
      </c>
      <c r="EO356" s="186"/>
      <c r="EP356" s="186"/>
      <c r="EQ356" s="186"/>
      <c r="ER356" s="186"/>
      <c r="ES356" s="186"/>
      <c r="EU356" s="185" t="s">
        <v>485</v>
      </c>
      <c r="EV356" s="186"/>
      <c r="EW356" s="186"/>
      <c r="EX356" s="186"/>
      <c r="EY356" s="186"/>
      <c r="EZ356" s="186"/>
      <c r="FB356" s="185" t="s">
        <v>485</v>
      </c>
      <c r="FC356" s="186"/>
      <c r="FD356" s="186"/>
      <c r="FE356" s="186"/>
      <c r="FF356" s="186"/>
      <c r="FG356" s="186"/>
      <c r="FI356" s="185" t="s">
        <v>485</v>
      </c>
      <c r="FJ356" s="186"/>
      <c r="FK356" s="186"/>
      <c r="FL356" s="186"/>
      <c r="FM356" s="186"/>
      <c r="FN356" s="186"/>
      <c r="FP356" s="185" t="s">
        <v>485</v>
      </c>
      <c r="FQ356" s="186"/>
      <c r="FR356" s="186"/>
      <c r="FS356" s="186"/>
      <c r="FT356" s="186"/>
      <c r="FU356" s="186"/>
      <c r="FW356" s="185" t="s">
        <v>485</v>
      </c>
      <c r="FX356" s="186"/>
      <c r="FY356" s="186"/>
      <c r="FZ356" s="186"/>
      <c r="GA356" s="186"/>
      <c r="GB356" s="186"/>
      <c r="GD356" s="185" t="s">
        <v>485</v>
      </c>
      <c r="GE356" s="186"/>
      <c r="GF356" s="186"/>
      <c r="GG356" s="186"/>
      <c r="GH356" s="186"/>
      <c r="GI356" s="186"/>
      <c r="GK356" s="185" t="s">
        <v>485</v>
      </c>
      <c r="GL356" s="186"/>
      <c r="GM356" s="186"/>
      <c r="GN356" s="186"/>
      <c r="GO356" s="186">
        <v>377935</v>
      </c>
      <c r="GP356" s="186"/>
      <c r="GR356" s="185" t="s">
        <v>485</v>
      </c>
      <c r="GS356" s="186">
        <v>431969</v>
      </c>
      <c r="GT356" s="186">
        <v>526022</v>
      </c>
      <c r="GU356" s="186">
        <v>496928</v>
      </c>
      <c r="GV356" s="186">
        <v>321580</v>
      </c>
      <c r="GW356" s="186">
        <v>1776499</v>
      </c>
      <c r="GY356" s="185" t="s">
        <v>485</v>
      </c>
      <c r="GZ356" s="186">
        <v>185864</v>
      </c>
      <c r="HA356" s="186">
        <v>179839</v>
      </c>
      <c r="HB356" s="186">
        <v>218429</v>
      </c>
      <c r="HC356" s="186">
        <v>243673</v>
      </c>
      <c r="HD356" s="186">
        <v>827805</v>
      </c>
      <c r="HF356" s="185" t="s">
        <v>485</v>
      </c>
      <c r="HG356" s="186">
        <v>276286</v>
      </c>
      <c r="HH356" s="186">
        <v>297679</v>
      </c>
      <c r="HI356" s="186">
        <v>272793</v>
      </c>
      <c r="HJ356" s="186">
        <v>340046</v>
      </c>
      <c r="HK356" s="186">
        <v>1186804</v>
      </c>
      <c r="HM356" s="185" t="s">
        <v>485</v>
      </c>
      <c r="HN356" s="186">
        <v>393107</v>
      </c>
      <c r="HO356" s="186">
        <v>422185</v>
      </c>
      <c r="HP356" s="186">
        <v>402819</v>
      </c>
      <c r="HQ356" s="186">
        <v>414032</v>
      </c>
      <c r="HR356" s="186">
        <v>1632143</v>
      </c>
      <c r="HT356" s="185" t="s">
        <v>485</v>
      </c>
      <c r="HU356" s="186">
        <v>433876</v>
      </c>
      <c r="HV356" s="186">
        <v>402214</v>
      </c>
      <c r="HW356" s="186">
        <v>389601</v>
      </c>
      <c r="HX356" s="186">
        <v>412737</v>
      </c>
      <c r="HY356" s="186">
        <v>1638428</v>
      </c>
      <c r="IA356" s="185" t="s">
        <v>485</v>
      </c>
      <c r="IB356" s="186">
        <v>434422</v>
      </c>
      <c r="IC356" s="186">
        <v>388886</v>
      </c>
      <c r="ID356" s="186">
        <v>400211</v>
      </c>
      <c r="IE356" s="186">
        <v>398898</v>
      </c>
      <c r="IF356" s="186">
        <v>1622417</v>
      </c>
      <c r="IH356" s="185" t="s">
        <v>485</v>
      </c>
      <c r="II356" s="186">
        <v>435707</v>
      </c>
      <c r="IJ356" s="186">
        <v>407103</v>
      </c>
      <c r="IK356" s="186">
        <v>385503</v>
      </c>
      <c r="IL356" s="186">
        <v>352590</v>
      </c>
      <c r="IM356" s="186">
        <v>1580903</v>
      </c>
      <c r="IO356" s="185" t="s">
        <v>485</v>
      </c>
      <c r="IP356" s="186">
        <v>262571</v>
      </c>
      <c r="IQ356" s="186">
        <v>257109</v>
      </c>
      <c r="IR356" s="186">
        <v>218190</v>
      </c>
      <c r="IS356" s="186">
        <v>196326</v>
      </c>
      <c r="IT356" s="186">
        <v>934196</v>
      </c>
      <c r="IV356" s="185" t="s">
        <v>485</v>
      </c>
      <c r="IW356" s="186">
        <v>145992</v>
      </c>
      <c r="IX356" s="186">
        <v>169438</v>
      </c>
      <c r="IY356" s="186">
        <v>170288</v>
      </c>
      <c r="IZ356" s="186">
        <v>212545</v>
      </c>
      <c r="JA356" s="186">
        <v>698263</v>
      </c>
      <c r="JC356" s="185" t="s">
        <v>485</v>
      </c>
      <c r="JD356" s="186">
        <v>213367.55649000002</v>
      </c>
      <c r="JE356" s="186">
        <v>194351</v>
      </c>
      <c r="JF356" s="186">
        <v>201781</v>
      </c>
      <c r="JG356" s="186">
        <v>238406</v>
      </c>
      <c r="JH356" s="186">
        <v>847905.55648999999</v>
      </c>
      <c r="JJ356" s="185" t="s">
        <v>485</v>
      </c>
      <c r="JK356" s="186">
        <v>248781</v>
      </c>
      <c r="JL356" s="186">
        <v>264935</v>
      </c>
      <c r="JM356" s="186">
        <v>262964</v>
      </c>
      <c r="JN356" s="186">
        <v>246958</v>
      </c>
      <c r="JO356" s="186">
        <v>1023638</v>
      </c>
      <c r="JQ356" s="185" t="s">
        <v>485</v>
      </c>
      <c r="JR356" s="186">
        <v>228083</v>
      </c>
      <c r="JS356" s="186">
        <v>229295</v>
      </c>
      <c r="JT356" s="186">
        <v>218651</v>
      </c>
      <c r="JU356" s="186">
        <v>211455</v>
      </c>
      <c r="JV356" s="186">
        <v>887484</v>
      </c>
      <c r="JX356" s="185" t="s">
        <v>485</v>
      </c>
      <c r="JY356" s="186">
        <v>186820</v>
      </c>
      <c r="JZ356" s="186">
        <v>88619</v>
      </c>
      <c r="KA356" s="186">
        <v>117105</v>
      </c>
      <c r="KB356" s="186">
        <v>136535</v>
      </c>
      <c r="KC356" s="186">
        <v>529079</v>
      </c>
      <c r="KE356" s="185" t="s">
        <v>485</v>
      </c>
      <c r="KF356" s="186">
        <v>185995</v>
      </c>
      <c r="KG356" s="186">
        <v>189847</v>
      </c>
      <c r="KH356" s="186">
        <v>219970</v>
      </c>
      <c r="KI356" s="186">
        <v>252323</v>
      </c>
      <c r="KJ356" s="186">
        <v>848135</v>
      </c>
      <c r="KL356" s="185" t="s">
        <v>485</v>
      </c>
      <c r="KM356" s="186">
        <v>295827</v>
      </c>
      <c r="KN356" s="186">
        <v>394078</v>
      </c>
      <c r="KO356" s="186">
        <v>391062</v>
      </c>
      <c r="KP356" s="186">
        <v>368135</v>
      </c>
      <c r="KQ356" s="186">
        <v>1449102</v>
      </c>
      <c r="KS356" s="185" t="s">
        <v>485</v>
      </c>
      <c r="KT356" s="186">
        <v>325866</v>
      </c>
      <c r="KU356" s="186">
        <v>280261</v>
      </c>
      <c r="KV356" s="186">
        <v>316133</v>
      </c>
      <c r="KW356" s="186">
        <v>317084</v>
      </c>
      <c r="KX356" s="186">
        <v>1239344</v>
      </c>
      <c r="KZ356" s="185" t="s">
        <v>485</v>
      </c>
      <c r="LA356" s="186"/>
      <c r="LB356" s="144"/>
      <c r="LC356" s="144"/>
      <c r="LD356" s="144"/>
      <c r="LE356" s="186"/>
      <c r="LF356" s="555"/>
      <c r="LG356" s="185" t="s">
        <v>485</v>
      </c>
      <c r="LH356" s="144"/>
      <c r="LI356" s="144"/>
      <c r="LJ356" s="144"/>
      <c r="LK356" s="144"/>
      <c r="LL356" s="186"/>
      <c r="LM356" s="555"/>
      <c r="LN356" s="185" t="s">
        <v>485</v>
      </c>
      <c r="LO356" s="144"/>
      <c r="LP356" s="144"/>
      <c r="LQ356" s="144"/>
      <c r="LR356" s="144"/>
      <c r="LS356" s="186"/>
      <c r="LT356" s="555"/>
      <c r="LU356" s="185" t="s">
        <v>485</v>
      </c>
      <c r="LV356" s="144"/>
      <c r="LW356" s="144"/>
      <c r="LX356" s="144"/>
      <c r="LY356" s="144"/>
      <c r="LZ356" s="186"/>
      <c r="MA356" s="555"/>
      <c r="MB356" s="185" t="s">
        <v>485</v>
      </c>
      <c r="MC356" s="144"/>
      <c r="MD356" s="144"/>
      <c r="ME356" s="144"/>
      <c r="MF356" s="144"/>
      <c r="MG356" s="186"/>
      <c r="MH356" s="555"/>
    </row>
    <row r="357" spans="1:346" s="37" customFormat="1" ht="13.15" outlineLevel="1" x14ac:dyDescent="0.4">
      <c r="A357" s="100"/>
      <c r="B357" s="187" t="s">
        <v>486</v>
      </c>
      <c r="C357" s="188"/>
      <c r="D357" s="188"/>
      <c r="E357" s="188"/>
      <c r="F357" s="188"/>
      <c r="G357" s="188"/>
      <c r="H357" s="188"/>
      <c r="I357" s="188"/>
      <c r="J357" s="188"/>
      <c r="K357" s="188"/>
      <c r="L357" s="188"/>
      <c r="M357" s="188"/>
      <c r="N357" s="188">
        <f>BT357</f>
        <v>0</v>
      </c>
      <c r="O357" s="188">
        <f>CA357</f>
        <v>0</v>
      </c>
      <c r="P357" s="188">
        <f>CH357</f>
        <v>0</v>
      </c>
      <c r="Q357" s="188">
        <f>CO357</f>
        <v>0</v>
      </c>
      <c r="R357" s="188">
        <f>CV357</f>
        <v>0</v>
      </c>
      <c r="S357" s="188">
        <f>DC357</f>
        <v>0</v>
      </c>
      <c r="T357" s="188">
        <f>DJ357</f>
        <v>0</v>
      </c>
      <c r="U357" s="188">
        <f>DQ357</f>
        <v>0</v>
      </c>
      <c r="V357" s="188">
        <f>DX357</f>
        <v>0</v>
      </c>
      <c r="W357" s="188">
        <f>EE357</f>
        <v>0</v>
      </c>
      <c r="X357" s="188">
        <f>EL357</f>
        <v>0</v>
      </c>
      <c r="Y357" s="188">
        <f>ES357</f>
        <v>0</v>
      </c>
      <c r="Z357" s="188">
        <f>EZ357</f>
        <v>0</v>
      </c>
      <c r="AA357" s="188">
        <f>FG357</f>
        <v>0</v>
      </c>
      <c r="AB357" s="188">
        <f>FN357</f>
        <v>0</v>
      </c>
      <c r="AC357" s="188">
        <f>FU357</f>
        <v>0</v>
      </c>
      <c r="AD357" s="188">
        <f>GB357</f>
        <v>0</v>
      </c>
      <c r="AE357" s="188">
        <f>GI357</f>
        <v>0</v>
      </c>
      <c r="AF357" s="188">
        <f>GP357</f>
        <v>0</v>
      </c>
      <c r="AG357" s="188">
        <f>GW357</f>
        <v>571729</v>
      </c>
      <c r="AH357" s="188">
        <f>HD357</f>
        <v>477189</v>
      </c>
      <c r="AI357" s="188">
        <f>HK357</f>
        <v>522526</v>
      </c>
      <c r="AJ357" s="188">
        <f>HR357</f>
        <v>525982</v>
      </c>
      <c r="AK357" s="188">
        <f>HY357</f>
        <v>508368</v>
      </c>
      <c r="AL357" s="188">
        <f>IF357</f>
        <v>505880</v>
      </c>
      <c r="AM357" s="188">
        <f>IM357</f>
        <v>534832</v>
      </c>
      <c r="AN357" s="188">
        <f>IT357</f>
        <v>518956</v>
      </c>
      <c r="AO357" s="188">
        <f>JA357</f>
        <v>470983</v>
      </c>
      <c r="AP357" s="188">
        <f>JH357</f>
        <v>459730</v>
      </c>
      <c r="AQ357" s="188">
        <f>JO357</f>
        <v>452012</v>
      </c>
      <c r="AR357" s="188">
        <f>JV357</f>
        <v>421458</v>
      </c>
      <c r="AS357" s="188">
        <f>KC357</f>
        <v>367072</v>
      </c>
      <c r="AT357" s="188">
        <f>KJ357</f>
        <v>385683</v>
      </c>
      <c r="AU357" s="188">
        <f>KQ357</f>
        <v>392279</v>
      </c>
      <c r="AV357" s="188">
        <f>KX357</f>
        <v>412437</v>
      </c>
      <c r="AW357" s="188">
        <f>LE357</f>
        <v>0</v>
      </c>
      <c r="AX357" s="188">
        <f>LL357</f>
        <v>0</v>
      </c>
      <c r="AY357" s="188">
        <f>LS357</f>
        <v>0</v>
      </c>
      <c r="AZ357" s="188">
        <f>LZ357</f>
        <v>0</v>
      </c>
      <c r="BA357" s="188">
        <f>MG357</f>
        <v>0</v>
      </c>
      <c r="BB357" s="188"/>
      <c r="BC357" s="188"/>
      <c r="BD357" s="188"/>
      <c r="BE357" s="188"/>
      <c r="BF357" s="188"/>
      <c r="BG357" s="188"/>
      <c r="BH357" s="188"/>
      <c r="BI357" s="188"/>
      <c r="BJ357" s="188"/>
      <c r="BK357" s="188"/>
      <c r="BL357" s="188"/>
      <c r="BM357" s="188"/>
      <c r="BO357" s="187" t="s">
        <v>486</v>
      </c>
      <c r="BP357" s="188"/>
      <c r="BQ357" s="188"/>
      <c r="BR357" s="188"/>
      <c r="BS357" s="188"/>
      <c r="BT357" s="188"/>
      <c r="BV357" s="187" t="s">
        <v>486</v>
      </c>
      <c r="BW357" s="188"/>
      <c r="BX357" s="188"/>
      <c r="BY357" s="188"/>
      <c r="BZ357" s="188"/>
      <c r="CA357" s="188"/>
      <c r="CC357" s="187" t="s">
        <v>486</v>
      </c>
      <c r="CD357" s="188"/>
      <c r="CE357" s="188"/>
      <c r="CF357" s="188"/>
      <c r="CG357" s="188"/>
      <c r="CH357" s="188"/>
      <c r="CJ357" s="187" t="s">
        <v>486</v>
      </c>
      <c r="CK357" s="188"/>
      <c r="CL357" s="188"/>
      <c r="CM357" s="188"/>
      <c r="CN357" s="188"/>
      <c r="CO357" s="188"/>
      <c r="CQ357" s="187" t="s">
        <v>486</v>
      </c>
      <c r="CR357" s="188"/>
      <c r="CS357" s="188"/>
      <c r="CT357" s="188"/>
      <c r="CU357" s="188"/>
      <c r="CV357" s="188"/>
      <c r="CX357" s="187" t="s">
        <v>486</v>
      </c>
      <c r="CY357" s="188"/>
      <c r="CZ357" s="188"/>
      <c r="DA357" s="188"/>
      <c r="DB357" s="188"/>
      <c r="DC357" s="188"/>
      <c r="DE357" s="187" t="s">
        <v>486</v>
      </c>
      <c r="DF357" s="188"/>
      <c r="DG357" s="188"/>
      <c r="DH357" s="188"/>
      <c r="DI357" s="188"/>
      <c r="DJ357" s="188"/>
      <c r="DL357" s="187" t="s">
        <v>486</v>
      </c>
      <c r="DM357" s="188"/>
      <c r="DN357" s="188"/>
      <c r="DO357" s="188"/>
      <c r="DP357" s="188"/>
      <c r="DQ357" s="188"/>
      <c r="DS357" s="187" t="s">
        <v>486</v>
      </c>
      <c r="DT357" s="188"/>
      <c r="DU357" s="188"/>
      <c r="DV357" s="188"/>
      <c r="DW357" s="188"/>
      <c r="DX357" s="188"/>
      <c r="DZ357" s="187" t="s">
        <v>486</v>
      </c>
      <c r="EA357" s="188"/>
      <c r="EB357" s="188"/>
      <c r="EC357" s="188"/>
      <c r="ED357" s="188"/>
      <c r="EE357" s="188"/>
      <c r="EG357" s="187" t="s">
        <v>486</v>
      </c>
      <c r="EH357" s="188"/>
      <c r="EI357" s="188"/>
      <c r="EJ357" s="188"/>
      <c r="EK357" s="188"/>
      <c r="EL357" s="188"/>
      <c r="EN357" s="187" t="s">
        <v>486</v>
      </c>
      <c r="EO357" s="188"/>
      <c r="EP357" s="188"/>
      <c r="EQ357" s="188"/>
      <c r="ER357" s="188"/>
      <c r="ES357" s="188"/>
      <c r="EU357" s="187" t="s">
        <v>486</v>
      </c>
      <c r="EV357" s="188"/>
      <c r="EW357" s="188"/>
      <c r="EX357" s="188"/>
      <c r="EY357" s="188"/>
      <c r="EZ357" s="188"/>
      <c r="FB357" s="187" t="s">
        <v>486</v>
      </c>
      <c r="FC357" s="188"/>
      <c r="FD357" s="188"/>
      <c r="FE357" s="188"/>
      <c r="FF357" s="188"/>
      <c r="FG357" s="188"/>
      <c r="FI357" s="187" t="s">
        <v>486</v>
      </c>
      <c r="FJ357" s="188"/>
      <c r="FK357" s="188"/>
      <c r="FL357" s="188"/>
      <c r="FM357" s="188"/>
      <c r="FN357" s="188"/>
      <c r="FP357" s="187" t="s">
        <v>486</v>
      </c>
      <c r="FQ357" s="188"/>
      <c r="FR357" s="188"/>
      <c r="FS357" s="188"/>
      <c r="FT357" s="188"/>
      <c r="FU357" s="188"/>
      <c r="FW357" s="187" t="s">
        <v>486</v>
      </c>
      <c r="FX357" s="188"/>
      <c r="FY357" s="188"/>
      <c r="FZ357" s="188"/>
      <c r="GA357" s="188"/>
      <c r="GB357" s="188"/>
      <c r="GD357" s="187" t="s">
        <v>486</v>
      </c>
      <c r="GE357" s="188"/>
      <c r="GF357" s="188"/>
      <c r="GG357" s="188"/>
      <c r="GH357" s="188"/>
      <c r="GI357" s="188"/>
      <c r="GK357" s="187" t="s">
        <v>486</v>
      </c>
      <c r="GL357" s="188"/>
      <c r="GM357" s="188"/>
      <c r="GN357" s="188"/>
      <c r="GO357" s="188">
        <v>145975</v>
      </c>
      <c r="GP357" s="188"/>
      <c r="GR357" s="187" t="s">
        <v>486</v>
      </c>
      <c r="GS357" s="188">
        <v>150705</v>
      </c>
      <c r="GT357" s="188">
        <v>142866</v>
      </c>
      <c r="GU357" s="188">
        <v>136535</v>
      </c>
      <c r="GV357" s="188">
        <v>141623</v>
      </c>
      <c r="GW357" s="188">
        <v>571729</v>
      </c>
      <c r="GY357" s="187" t="s">
        <v>486</v>
      </c>
      <c r="GZ357" s="188">
        <v>131690</v>
      </c>
      <c r="HA357" s="188">
        <v>113357</v>
      </c>
      <c r="HB357" s="188">
        <v>114006</v>
      </c>
      <c r="HC357" s="188">
        <v>118136</v>
      </c>
      <c r="HD357" s="188">
        <v>477189</v>
      </c>
      <c r="HF357" s="187" t="s">
        <v>486</v>
      </c>
      <c r="HG357" s="188">
        <v>128723</v>
      </c>
      <c r="HH357" s="188">
        <v>126916</v>
      </c>
      <c r="HI357" s="188">
        <v>123469</v>
      </c>
      <c r="HJ357" s="188">
        <v>143418</v>
      </c>
      <c r="HK357" s="188">
        <v>522526</v>
      </c>
      <c r="HM357" s="187" t="s">
        <v>486</v>
      </c>
      <c r="HN357" s="188">
        <v>135369</v>
      </c>
      <c r="HO357" s="188">
        <v>129797</v>
      </c>
      <c r="HP357" s="188">
        <v>126873</v>
      </c>
      <c r="HQ357" s="188">
        <v>133943</v>
      </c>
      <c r="HR357" s="188">
        <v>525982</v>
      </c>
      <c r="HT357" s="187" t="s">
        <v>486</v>
      </c>
      <c r="HU357" s="188">
        <v>136080</v>
      </c>
      <c r="HV357" s="188">
        <v>126248</v>
      </c>
      <c r="HW357" s="188">
        <v>121881</v>
      </c>
      <c r="HX357" s="188">
        <v>124159</v>
      </c>
      <c r="HY357" s="188">
        <v>508368</v>
      </c>
      <c r="IA357" s="187" t="s">
        <v>486</v>
      </c>
      <c r="IB357" s="188">
        <v>131723</v>
      </c>
      <c r="IC357" s="188">
        <v>124563</v>
      </c>
      <c r="ID357" s="188">
        <v>120858</v>
      </c>
      <c r="IE357" s="188">
        <v>128736</v>
      </c>
      <c r="IF357" s="188">
        <v>505880</v>
      </c>
      <c r="IH357" s="187" t="s">
        <v>486</v>
      </c>
      <c r="II357" s="188">
        <v>138326</v>
      </c>
      <c r="IJ357" s="188">
        <v>133121</v>
      </c>
      <c r="IK357" s="188">
        <v>128305</v>
      </c>
      <c r="IL357" s="188">
        <v>135080</v>
      </c>
      <c r="IM357" s="188">
        <v>534832</v>
      </c>
      <c r="IO357" s="187" t="s">
        <v>486</v>
      </c>
      <c r="IP357" s="188">
        <v>141256</v>
      </c>
      <c r="IQ357" s="188">
        <v>129077</v>
      </c>
      <c r="IR357" s="188">
        <v>124137</v>
      </c>
      <c r="IS357" s="188">
        <v>124486</v>
      </c>
      <c r="IT357" s="188">
        <v>518956</v>
      </c>
      <c r="IV357" s="187" t="s">
        <v>486</v>
      </c>
      <c r="IW357" s="188">
        <v>122532</v>
      </c>
      <c r="IX357" s="188">
        <v>114067</v>
      </c>
      <c r="IY357" s="188">
        <v>108432</v>
      </c>
      <c r="IZ357" s="188">
        <v>125952</v>
      </c>
      <c r="JA357" s="188">
        <v>470983</v>
      </c>
      <c r="JC357" s="187" t="s">
        <v>486</v>
      </c>
      <c r="JD357" s="188">
        <v>123580</v>
      </c>
      <c r="JE357" s="188">
        <v>113486</v>
      </c>
      <c r="JF357" s="188">
        <v>107867</v>
      </c>
      <c r="JG357" s="188">
        <v>114797</v>
      </c>
      <c r="JH357" s="188">
        <v>459730</v>
      </c>
      <c r="JJ357" s="187" t="s">
        <v>486</v>
      </c>
      <c r="JK357" s="188">
        <v>115480</v>
      </c>
      <c r="JL357" s="188">
        <v>113924</v>
      </c>
      <c r="JM357" s="188">
        <v>111096</v>
      </c>
      <c r="JN357" s="188">
        <v>111512</v>
      </c>
      <c r="JO357" s="188">
        <v>452012</v>
      </c>
      <c r="JQ357" s="187" t="s">
        <v>486</v>
      </c>
      <c r="JR357" s="188">
        <v>111516</v>
      </c>
      <c r="JS357" s="188">
        <v>104467</v>
      </c>
      <c r="JT357" s="188">
        <v>106377</v>
      </c>
      <c r="JU357" s="188">
        <v>99098</v>
      </c>
      <c r="JV357" s="188">
        <v>421458</v>
      </c>
      <c r="JX357" s="187" t="s">
        <v>486</v>
      </c>
      <c r="JY357" s="188">
        <v>103397</v>
      </c>
      <c r="JZ357" s="188">
        <v>80202</v>
      </c>
      <c r="KA357" s="188">
        <v>88130</v>
      </c>
      <c r="KB357" s="188">
        <v>95343</v>
      </c>
      <c r="KC357" s="188">
        <v>367072</v>
      </c>
      <c r="KE357" s="187" t="s">
        <v>486</v>
      </c>
      <c r="KF357" s="188">
        <v>98977</v>
      </c>
      <c r="KG357" s="188">
        <v>97854</v>
      </c>
      <c r="KH357" s="188">
        <v>91114</v>
      </c>
      <c r="KI357" s="188">
        <v>97738</v>
      </c>
      <c r="KJ357" s="188">
        <v>385683</v>
      </c>
      <c r="KL357" s="187" t="s">
        <v>486</v>
      </c>
      <c r="KM357" s="188">
        <v>99252</v>
      </c>
      <c r="KN357" s="188">
        <v>96771</v>
      </c>
      <c r="KO357" s="188">
        <v>97886</v>
      </c>
      <c r="KP357" s="188">
        <v>98370</v>
      </c>
      <c r="KQ357" s="188">
        <v>392279</v>
      </c>
      <c r="KS357" s="187" t="s">
        <v>486</v>
      </c>
      <c r="KT357" s="188">
        <v>102771</v>
      </c>
      <c r="KU357" s="188">
        <v>101742</v>
      </c>
      <c r="KV357" s="188">
        <v>104818</v>
      </c>
      <c r="KW357" s="188">
        <v>103106</v>
      </c>
      <c r="KX357" s="188">
        <v>412437</v>
      </c>
      <c r="KZ357" s="187" t="s">
        <v>486</v>
      </c>
      <c r="LA357" s="188"/>
      <c r="LB357" s="144"/>
      <c r="LC357" s="144"/>
      <c r="LD357" s="144"/>
      <c r="LE357" s="188"/>
      <c r="LF357" s="555"/>
      <c r="LG357" s="187" t="s">
        <v>486</v>
      </c>
      <c r="LH357" s="144"/>
      <c r="LI357" s="144"/>
      <c r="LJ357" s="144"/>
      <c r="LK357" s="144"/>
      <c r="LL357" s="188"/>
      <c r="LM357" s="555"/>
      <c r="LN357" s="187" t="s">
        <v>486</v>
      </c>
      <c r="LO357" s="144"/>
      <c r="LP357" s="144"/>
      <c r="LQ357" s="144"/>
      <c r="LR357" s="144"/>
      <c r="LS357" s="188"/>
      <c r="LT357" s="555"/>
      <c r="LU357" s="187" t="s">
        <v>486</v>
      </c>
      <c r="LV357" s="144"/>
      <c r="LW357" s="144"/>
      <c r="LX357" s="144"/>
      <c r="LY357" s="144"/>
      <c r="LZ357" s="188"/>
      <c r="MA357" s="555"/>
      <c r="MB357" s="187" t="s">
        <v>486</v>
      </c>
      <c r="MC357" s="144"/>
      <c r="MD357" s="144"/>
      <c r="ME357" s="144"/>
      <c r="MF357" s="144"/>
      <c r="MG357" s="188"/>
      <c r="MH357" s="555"/>
    </row>
    <row r="358" spans="1:346" s="37" customFormat="1" ht="13.15" outlineLevel="1" x14ac:dyDescent="0.4">
      <c r="A358" s="100"/>
      <c r="B358" s="185"/>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c r="AA358" s="186"/>
      <c r="AB358" s="186"/>
      <c r="AC358" s="186"/>
      <c r="AD358" s="186"/>
      <c r="AE358" s="186"/>
      <c r="AF358" s="186"/>
      <c r="AG358" s="186"/>
      <c r="AH358" s="186"/>
      <c r="AI358" s="186"/>
      <c r="AJ358" s="186"/>
      <c r="AK358" s="186"/>
      <c r="AL358" s="186"/>
      <c r="AM358" s="186"/>
      <c r="AN358" s="186"/>
      <c r="AO358" s="186"/>
      <c r="AP358" s="186"/>
      <c r="AQ358" s="186"/>
      <c r="AR358" s="186"/>
      <c r="AS358" s="186"/>
      <c r="AT358" s="186"/>
      <c r="AU358" s="186"/>
      <c r="AV358" s="186"/>
      <c r="AW358" s="186"/>
      <c r="AX358" s="186"/>
      <c r="AY358" s="186"/>
      <c r="AZ358" s="186"/>
      <c r="BA358" s="186"/>
      <c r="BB358" s="186"/>
      <c r="BC358" s="186"/>
      <c r="BD358" s="186"/>
      <c r="BE358" s="186"/>
      <c r="BF358" s="186"/>
      <c r="BG358" s="186"/>
      <c r="BH358" s="186"/>
      <c r="BI358" s="186"/>
      <c r="BJ358" s="186"/>
      <c r="BK358" s="186"/>
      <c r="BL358" s="186"/>
      <c r="BM358" s="186"/>
      <c r="BO358" s="185"/>
      <c r="BP358" s="186"/>
      <c r="BQ358" s="186"/>
      <c r="BR358" s="186"/>
      <c r="BS358" s="186"/>
      <c r="BT358" s="186"/>
      <c r="BV358" s="185"/>
      <c r="BW358" s="186"/>
      <c r="BX358" s="186"/>
      <c r="BY358" s="186"/>
      <c r="BZ358" s="186"/>
      <c r="CA358" s="186"/>
      <c r="CC358" s="185"/>
      <c r="CD358" s="186"/>
      <c r="CE358" s="186"/>
      <c r="CF358" s="186"/>
      <c r="CG358" s="186"/>
      <c r="CH358" s="186"/>
      <c r="CJ358" s="185"/>
      <c r="CK358" s="186"/>
      <c r="CL358" s="186"/>
      <c r="CM358" s="186"/>
      <c r="CN358" s="186"/>
      <c r="CO358" s="186"/>
      <c r="CQ358" s="185"/>
      <c r="CR358" s="186"/>
      <c r="CS358" s="186"/>
      <c r="CT358" s="186"/>
      <c r="CU358" s="186"/>
      <c r="CV358" s="186"/>
      <c r="CX358" s="185"/>
      <c r="CY358" s="186"/>
      <c r="CZ358" s="186"/>
      <c r="DA358" s="186"/>
      <c r="DB358" s="186"/>
      <c r="DC358" s="186"/>
      <c r="DE358" s="185"/>
      <c r="DF358" s="186"/>
      <c r="DG358" s="186"/>
      <c r="DH358" s="186"/>
      <c r="DI358" s="186"/>
      <c r="DJ358" s="186"/>
      <c r="DL358" s="185"/>
      <c r="DM358" s="186"/>
      <c r="DN358" s="186"/>
      <c r="DO358" s="186"/>
      <c r="DP358" s="186"/>
      <c r="DQ358" s="186"/>
      <c r="DS358" s="185"/>
      <c r="DT358" s="186"/>
      <c r="DU358" s="186"/>
      <c r="DV358" s="186"/>
      <c r="DW358" s="186"/>
      <c r="DX358" s="186"/>
      <c r="DZ358" s="185"/>
      <c r="EA358" s="186"/>
      <c r="EB358" s="186"/>
      <c r="EC358" s="186"/>
      <c r="ED358" s="186"/>
      <c r="EE358" s="186"/>
      <c r="EG358" s="185"/>
      <c r="EH358" s="186"/>
      <c r="EI358" s="186"/>
      <c r="EJ358" s="186"/>
      <c r="EK358" s="186"/>
      <c r="EL358" s="186"/>
      <c r="EN358" s="185"/>
      <c r="EO358" s="186"/>
      <c r="EP358" s="186"/>
      <c r="EQ358" s="186"/>
      <c r="ER358" s="186"/>
      <c r="ES358" s="186"/>
      <c r="EU358" s="185"/>
      <c r="EV358" s="186"/>
      <c r="EW358" s="186"/>
      <c r="EX358" s="186"/>
      <c r="EY358" s="186"/>
      <c r="EZ358" s="186"/>
      <c r="FB358" s="185"/>
      <c r="FC358" s="186"/>
      <c r="FD358" s="186"/>
      <c r="FE358" s="186"/>
      <c r="FF358" s="186"/>
      <c r="FG358" s="186"/>
      <c r="FI358" s="185"/>
      <c r="FJ358" s="186"/>
      <c r="FK358" s="186"/>
      <c r="FL358" s="186"/>
      <c r="FM358" s="186"/>
      <c r="FN358" s="186"/>
      <c r="FP358" s="185"/>
      <c r="FQ358" s="186"/>
      <c r="FR358" s="186"/>
      <c r="FS358" s="186"/>
      <c r="FT358" s="186"/>
      <c r="FU358" s="186"/>
      <c r="FW358" s="185"/>
      <c r="FX358" s="186"/>
      <c r="FY358" s="186"/>
      <c r="FZ358" s="186"/>
      <c r="GA358" s="186"/>
      <c r="GB358" s="186"/>
      <c r="GD358" s="185"/>
      <c r="GE358" s="186"/>
      <c r="GF358" s="186"/>
      <c r="GG358" s="186"/>
      <c r="GH358" s="186"/>
      <c r="GI358" s="186"/>
      <c r="GK358" s="185"/>
      <c r="GL358" s="186"/>
      <c r="GM358" s="186"/>
      <c r="GN358" s="186"/>
      <c r="GO358" s="186"/>
      <c r="GP358" s="186"/>
      <c r="GR358" s="185"/>
      <c r="GS358" s="186"/>
      <c r="GT358" s="186"/>
      <c r="GU358" s="186"/>
      <c r="GV358" s="186"/>
      <c r="GW358" s="186"/>
      <c r="GY358" s="185"/>
      <c r="GZ358" s="186"/>
      <c r="HA358" s="186"/>
      <c r="HB358" s="186"/>
      <c r="HC358" s="186"/>
      <c r="HD358" s="186"/>
      <c r="HF358" s="185"/>
      <c r="HG358" s="186"/>
      <c r="HH358" s="186"/>
      <c r="HI358" s="186"/>
      <c r="HJ358" s="186"/>
      <c r="HK358" s="186"/>
      <c r="HM358" s="185"/>
      <c r="HN358" s="186"/>
      <c r="HO358" s="186"/>
      <c r="HP358" s="186"/>
      <c r="HQ358" s="186"/>
      <c r="HR358" s="186"/>
      <c r="HT358" s="185"/>
      <c r="HU358" s="186"/>
      <c r="HV358" s="186"/>
      <c r="HW358" s="186"/>
      <c r="HX358" s="186"/>
      <c r="HY358" s="186"/>
      <c r="IA358" s="185"/>
      <c r="IB358" s="186"/>
      <c r="IC358" s="186"/>
      <c r="ID358" s="186"/>
      <c r="IE358" s="186"/>
      <c r="IF358" s="186"/>
      <c r="IH358" s="185"/>
      <c r="II358" s="186"/>
      <c r="IJ358" s="186"/>
      <c r="IK358" s="186"/>
      <c r="IL358" s="186"/>
      <c r="IM358" s="186"/>
      <c r="IO358" s="185"/>
      <c r="IP358" s="186"/>
      <c r="IQ358" s="186"/>
      <c r="IR358" s="186"/>
      <c r="IS358" s="186"/>
      <c r="IT358" s="186"/>
      <c r="IV358" s="185"/>
      <c r="IW358" s="186"/>
      <c r="IX358" s="186"/>
      <c r="IY358" s="186"/>
      <c r="IZ358" s="186"/>
      <c r="JA358" s="186"/>
      <c r="JC358" s="185"/>
      <c r="JD358" s="186"/>
      <c r="JE358" s="186"/>
      <c r="JF358" s="186"/>
      <c r="JG358" s="186"/>
      <c r="JH358" s="186"/>
      <c r="JJ358" s="185"/>
      <c r="JK358" s="186"/>
      <c r="JL358" s="186"/>
      <c r="JM358" s="186"/>
      <c r="JN358" s="186"/>
      <c r="JO358" s="186"/>
      <c r="JQ358" s="185"/>
      <c r="JR358" s="186"/>
      <c r="JS358" s="186"/>
      <c r="JT358" s="186"/>
      <c r="JU358" s="186"/>
      <c r="JV358" s="186"/>
      <c r="JX358" s="185"/>
      <c r="JY358" s="186"/>
      <c r="JZ358" s="186"/>
      <c r="KA358" s="186"/>
      <c r="KB358" s="186"/>
      <c r="KC358" s="186"/>
      <c r="KE358" s="185"/>
      <c r="KF358" s="186"/>
      <c r="KG358" s="186"/>
      <c r="KH358" s="186"/>
      <c r="KI358" s="186"/>
      <c r="KJ358" s="186"/>
      <c r="KL358" s="185"/>
      <c r="KM358" s="186"/>
      <c r="KN358" s="186"/>
      <c r="KO358" s="186"/>
      <c r="KP358" s="186"/>
      <c r="KQ358" s="186"/>
      <c r="KS358" s="185"/>
      <c r="KT358" s="186"/>
      <c r="KU358" s="186"/>
      <c r="KV358" s="186"/>
      <c r="KW358" s="186"/>
      <c r="KX358" s="186"/>
      <c r="KZ358" s="185"/>
      <c r="LA358" s="186"/>
      <c r="LB358" s="144"/>
      <c r="LC358" s="144"/>
      <c r="LD358" s="144"/>
      <c r="LE358" s="186"/>
      <c r="LF358" s="555"/>
      <c r="LG358" s="185"/>
      <c r="LH358" s="144"/>
      <c r="LI358" s="144"/>
      <c r="LJ358" s="144"/>
      <c r="LK358" s="144"/>
      <c r="LL358" s="186"/>
      <c r="LM358" s="555"/>
      <c r="LN358" s="185"/>
      <c r="LO358" s="144"/>
      <c r="LP358" s="144"/>
      <c r="LQ358" s="144"/>
      <c r="LR358" s="144"/>
      <c r="LS358" s="186"/>
      <c r="LT358" s="555"/>
      <c r="LU358" s="185"/>
      <c r="LV358" s="144"/>
      <c r="LW358" s="144"/>
      <c r="LX358" s="144"/>
      <c r="LY358" s="144"/>
      <c r="LZ358" s="186"/>
      <c r="MA358" s="555"/>
      <c r="MB358" s="185"/>
      <c r="MC358" s="144"/>
      <c r="MD358" s="144"/>
      <c r="ME358" s="144"/>
      <c r="MF358" s="144"/>
      <c r="MG358" s="186"/>
      <c r="MH358" s="555"/>
    </row>
    <row r="359" spans="1:346" s="37" customFormat="1" ht="13.15" outlineLevel="1" x14ac:dyDescent="0.4">
      <c r="A359" s="100"/>
      <c r="B359" s="189" t="s">
        <v>487</v>
      </c>
      <c r="C359" s="190"/>
      <c r="D359" s="190"/>
      <c r="E359" s="190"/>
      <c r="F359" s="190"/>
      <c r="G359" s="190"/>
      <c r="H359" s="190"/>
      <c r="I359" s="190"/>
      <c r="J359" s="190"/>
      <c r="K359" s="190"/>
      <c r="L359" s="190"/>
      <c r="M359" s="190"/>
      <c r="N359" s="190">
        <f>BT359</f>
        <v>0</v>
      </c>
      <c r="O359" s="190">
        <f>CA359</f>
        <v>0</v>
      </c>
      <c r="P359" s="190">
        <f>CH359</f>
        <v>0</v>
      </c>
      <c r="Q359" s="190">
        <f>CO359</f>
        <v>0</v>
      </c>
      <c r="R359" s="190">
        <f>CV359</f>
        <v>0</v>
      </c>
      <c r="S359" s="190">
        <f>DC359</f>
        <v>0</v>
      </c>
      <c r="T359" s="190">
        <f>DJ359</f>
        <v>0</v>
      </c>
      <c r="U359" s="190">
        <f>DQ359</f>
        <v>0</v>
      </c>
      <c r="V359" s="190">
        <f>DX359</f>
        <v>0</v>
      </c>
      <c r="W359" s="190">
        <f>EE359</f>
        <v>0</v>
      </c>
      <c r="X359" s="190">
        <f>EL359</f>
        <v>0</v>
      </c>
      <c r="Y359" s="190">
        <f>ES359</f>
        <v>0</v>
      </c>
      <c r="Z359" s="190">
        <f>EZ359</f>
        <v>0</v>
      </c>
      <c r="AA359" s="190">
        <f>FG359</f>
        <v>0</v>
      </c>
      <c r="AB359" s="190">
        <f>FN359</f>
        <v>0</v>
      </c>
      <c r="AC359" s="190">
        <f>FU359</f>
        <v>0</v>
      </c>
      <c r="AD359" s="190">
        <f>GB359</f>
        <v>0</v>
      </c>
      <c r="AE359" s="190">
        <f>GI359</f>
        <v>0</v>
      </c>
      <c r="AF359" s="190">
        <f>GP359</f>
        <v>0</v>
      </c>
      <c r="AG359" s="190">
        <f>GW359</f>
        <v>1193065</v>
      </c>
      <c r="AH359" s="190">
        <f>HD359</f>
        <v>298720</v>
      </c>
      <c r="AI359" s="190">
        <f>HK359</f>
        <v>552238</v>
      </c>
      <c r="AJ359" s="190">
        <f>HR359</f>
        <v>1053392</v>
      </c>
      <c r="AK359" s="190">
        <f>HY359</f>
        <v>1131657</v>
      </c>
      <c r="AL359" s="190">
        <f>IF359</f>
        <v>1149912</v>
      </c>
      <c r="AM359" s="190">
        <f>IM359</f>
        <v>1183880</v>
      </c>
      <c r="AN359" s="190">
        <f>IT359</f>
        <v>538235</v>
      </c>
      <c r="AO359" s="190">
        <f>JA359</f>
        <v>228909</v>
      </c>
      <c r="AP359" s="190">
        <f>JH359</f>
        <v>367116</v>
      </c>
      <c r="AQ359" s="190">
        <f>JO359</f>
        <v>664543</v>
      </c>
      <c r="AR359" s="190">
        <f>JV359</f>
        <v>609518</v>
      </c>
      <c r="AS359" s="190">
        <f>KC359</f>
        <v>364751</v>
      </c>
      <c r="AT359" s="190">
        <f>KJ359</f>
        <v>657966</v>
      </c>
      <c r="AU359" s="190">
        <f>KQ359</f>
        <v>1514897</v>
      </c>
      <c r="AV359" s="190">
        <f>KX359</f>
        <v>1254340</v>
      </c>
      <c r="AW359" s="190">
        <f>LE359</f>
        <v>0</v>
      </c>
      <c r="AX359" s="190">
        <f>LL359</f>
        <v>0</v>
      </c>
      <c r="AY359" s="190">
        <f>LS359</f>
        <v>0</v>
      </c>
      <c r="AZ359" s="190">
        <f>LZ359</f>
        <v>0</v>
      </c>
      <c r="BA359" s="190">
        <f>MG359</f>
        <v>0</v>
      </c>
      <c r="BB359" s="190"/>
      <c r="BC359" s="190"/>
      <c r="BD359" s="190"/>
      <c r="BE359" s="190"/>
      <c r="BF359" s="190"/>
      <c r="BG359" s="190"/>
      <c r="BH359" s="190"/>
      <c r="BI359" s="190"/>
      <c r="BJ359" s="190"/>
      <c r="BK359" s="190"/>
      <c r="BL359" s="190"/>
      <c r="BM359" s="190"/>
      <c r="BO359" s="189" t="s">
        <v>487</v>
      </c>
      <c r="BP359" s="190"/>
      <c r="BQ359" s="190"/>
      <c r="BR359" s="190"/>
      <c r="BS359" s="190"/>
      <c r="BT359" s="190"/>
      <c r="BV359" s="189" t="s">
        <v>487</v>
      </c>
      <c r="BW359" s="190"/>
      <c r="BX359" s="190"/>
      <c r="BY359" s="190"/>
      <c r="BZ359" s="190"/>
      <c r="CA359" s="190"/>
      <c r="CC359" s="189" t="s">
        <v>487</v>
      </c>
      <c r="CD359" s="190"/>
      <c r="CE359" s="190"/>
      <c r="CF359" s="190"/>
      <c r="CG359" s="190"/>
      <c r="CH359" s="190"/>
      <c r="CJ359" s="189" t="s">
        <v>487</v>
      </c>
      <c r="CK359" s="190"/>
      <c r="CL359" s="190"/>
      <c r="CM359" s="190"/>
      <c r="CN359" s="190"/>
      <c r="CO359" s="190"/>
      <c r="CQ359" s="189" t="s">
        <v>487</v>
      </c>
      <c r="CR359" s="190"/>
      <c r="CS359" s="190"/>
      <c r="CT359" s="190"/>
      <c r="CU359" s="190"/>
      <c r="CV359" s="190"/>
      <c r="CX359" s="189" t="s">
        <v>487</v>
      </c>
      <c r="CY359" s="190"/>
      <c r="CZ359" s="190"/>
      <c r="DA359" s="190"/>
      <c r="DB359" s="190"/>
      <c r="DC359" s="190"/>
      <c r="DE359" s="189" t="s">
        <v>487</v>
      </c>
      <c r="DF359" s="190"/>
      <c r="DG359" s="190"/>
      <c r="DH359" s="190"/>
      <c r="DI359" s="190"/>
      <c r="DJ359" s="190"/>
      <c r="DL359" s="189" t="s">
        <v>487</v>
      </c>
      <c r="DM359" s="190"/>
      <c r="DN359" s="190"/>
      <c r="DO359" s="190"/>
      <c r="DP359" s="190"/>
      <c r="DQ359" s="190"/>
      <c r="DS359" s="189" t="s">
        <v>487</v>
      </c>
      <c r="DT359" s="190"/>
      <c r="DU359" s="190"/>
      <c r="DV359" s="190"/>
      <c r="DW359" s="190"/>
      <c r="DX359" s="190"/>
      <c r="DZ359" s="189" t="s">
        <v>487</v>
      </c>
      <c r="EA359" s="190"/>
      <c r="EB359" s="190"/>
      <c r="EC359" s="190"/>
      <c r="ED359" s="190"/>
      <c r="EE359" s="190"/>
      <c r="EG359" s="189" t="s">
        <v>487</v>
      </c>
      <c r="EH359" s="190"/>
      <c r="EI359" s="190"/>
      <c r="EJ359" s="190"/>
      <c r="EK359" s="190"/>
      <c r="EL359" s="190"/>
      <c r="EN359" s="189" t="s">
        <v>487</v>
      </c>
      <c r="EO359" s="190"/>
      <c r="EP359" s="190"/>
      <c r="EQ359" s="190"/>
      <c r="ER359" s="190"/>
      <c r="ES359" s="190"/>
      <c r="EU359" s="189" t="s">
        <v>487</v>
      </c>
      <c r="EV359" s="190"/>
      <c r="EW359" s="190"/>
      <c r="EX359" s="190"/>
      <c r="EY359" s="190"/>
      <c r="EZ359" s="190"/>
      <c r="FB359" s="189" t="s">
        <v>487</v>
      </c>
      <c r="FC359" s="190"/>
      <c r="FD359" s="190"/>
      <c r="FE359" s="190"/>
      <c r="FF359" s="190"/>
      <c r="FG359" s="190"/>
      <c r="FI359" s="189" t="s">
        <v>487</v>
      </c>
      <c r="FJ359" s="190"/>
      <c r="FK359" s="190"/>
      <c r="FL359" s="190"/>
      <c r="FM359" s="190"/>
      <c r="FN359" s="190"/>
      <c r="FP359" s="189" t="s">
        <v>487</v>
      </c>
      <c r="FQ359" s="190"/>
      <c r="FR359" s="190"/>
      <c r="FS359" s="190"/>
      <c r="FT359" s="190"/>
      <c r="FU359" s="190"/>
      <c r="FW359" s="189" t="s">
        <v>487</v>
      </c>
      <c r="FX359" s="190"/>
      <c r="FY359" s="190"/>
      <c r="FZ359" s="190"/>
      <c r="GA359" s="190"/>
      <c r="GB359" s="190"/>
      <c r="GD359" s="189" t="s">
        <v>487</v>
      </c>
      <c r="GE359" s="190"/>
      <c r="GF359" s="190"/>
      <c r="GG359" s="190"/>
      <c r="GH359" s="190"/>
      <c r="GI359" s="190"/>
      <c r="GK359" s="189" t="s">
        <v>487</v>
      </c>
      <c r="GL359" s="190"/>
      <c r="GM359" s="190"/>
      <c r="GN359" s="190"/>
      <c r="GO359" s="190">
        <v>190869</v>
      </c>
      <c r="GP359" s="190"/>
      <c r="GR359" s="189" t="s">
        <v>487</v>
      </c>
      <c r="GS359" s="190">
        <v>238689</v>
      </c>
      <c r="GT359" s="190">
        <v>289058</v>
      </c>
      <c r="GU359" s="190">
        <v>383950</v>
      </c>
      <c r="GV359" s="190">
        <v>281368</v>
      </c>
      <c r="GW359" s="190">
        <v>1193065</v>
      </c>
      <c r="GY359" s="189" t="s">
        <v>487</v>
      </c>
      <c r="GZ359" s="190">
        <v>84482</v>
      </c>
      <c r="HA359" s="190">
        <v>44604</v>
      </c>
      <c r="HB359" s="190">
        <v>76372</v>
      </c>
      <c r="HC359" s="190">
        <v>93262</v>
      </c>
      <c r="HD359" s="190">
        <v>298720</v>
      </c>
      <c r="HF359" s="189" t="s">
        <v>487</v>
      </c>
      <c r="HG359" s="190">
        <v>108468</v>
      </c>
      <c r="HH359" s="190">
        <v>118589</v>
      </c>
      <c r="HI359" s="190">
        <v>156434</v>
      </c>
      <c r="HJ359" s="190">
        <v>168747</v>
      </c>
      <c r="HK359" s="190">
        <v>552238</v>
      </c>
      <c r="HM359" s="189" t="s">
        <v>487</v>
      </c>
      <c r="HN359" s="190">
        <v>199792</v>
      </c>
      <c r="HO359" s="190">
        <v>291639</v>
      </c>
      <c r="HP359" s="190">
        <v>291411</v>
      </c>
      <c r="HQ359" s="190">
        <v>270550</v>
      </c>
      <c r="HR359" s="190">
        <v>1053392</v>
      </c>
      <c r="HT359" s="189" t="s">
        <v>487</v>
      </c>
      <c r="HU359" s="190">
        <v>281267</v>
      </c>
      <c r="HV359" s="190">
        <v>301571</v>
      </c>
      <c r="HW359" s="190">
        <v>261167</v>
      </c>
      <c r="HX359" s="190">
        <v>287652</v>
      </c>
      <c r="HY359" s="190">
        <v>1131657</v>
      </c>
      <c r="IA359" s="189" t="s">
        <v>487</v>
      </c>
      <c r="IB359" s="190">
        <v>284303</v>
      </c>
      <c r="IC359" s="190">
        <v>301114</v>
      </c>
      <c r="ID359" s="190">
        <v>272791</v>
      </c>
      <c r="IE359" s="190">
        <v>291704</v>
      </c>
      <c r="IF359" s="190">
        <v>1149912</v>
      </c>
      <c r="IH359" s="189" t="s">
        <v>487</v>
      </c>
      <c r="II359" s="190">
        <v>279752</v>
      </c>
      <c r="IJ359" s="190">
        <v>317630</v>
      </c>
      <c r="IK359" s="190">
        <v>302820</v>
      </c>
      <c r="IL359" s="190">
        <v>283678</v>
      </c>
      <c r="IM359" s="190">
        <v>1183880</v>
      </c>
      <c r="IO359" s="189" t="s">
        <v>487</v>
      </c>
      <c r="IP359" s="190">
        <v>190831</v>
      </c>
      <c r="IQ359" s="190">
        <v>133850</v>
      </c>
      <c r="IR359" s="190">
        <v>127501</v>
      </c>
      <c r="IS359" s="190">
        <v>86053</v>
      </c>
      <c r="IT359" s="190">
        <v>538235</v>
      </c>
      <c r="IV359" s="189" t="s">
        <v>487</v>
      </c>
      <c r="IW359" s="190">
        <v>52032</v>
      </c>
      <c r="IX359" s="190">
        <v>35939</v>
      </c>
      <c r="IY359" s="190">
        <v>64628</v>
      </c>
      <c r="IZ359" s="190">
        <v>76310</v>
      </c>
      <c r="JA359" s="190">
        <v>228909</v>
      </c>
      <c r="JC359" s="189" t="s">
        <v>487</v>
      </c>
      <c r="JD359" s="190">
        <v>85131</v>
      </c>
      <c r="JE359" s="190">
        <v>87674</v>
      </c>
      <c r="JF359" s="190">
        <v>83216</v>
      </c>
      <c r="JG359" s="190">
        <v>111095</v>
      </c>
      <c r="JH359" s="190">
        <v>367116</v>
      </c>
      <c r="JJ359" s="189" t="s">
        <v>487</v>
      </c>
      <c r="JK359" s="190">
        <v>133546</v>
      </c>
      <c r="JL359" s="190">
        <v>160422</v>
      </c>
      <c r="JM359" s="190">
        <v>182003</v>
      </c>
      <c r="JN359" s="190">
        <v>188572</v>
      </c>
      <c r="JO359" s="190">
        <v>664543</v>
      </c>
      <c r="JQ359" s="189" t="s">
        <v>487</v>
      </c>
      <c r="JR359" s="190">
        <v>155171</v>
      </c>
      <c r="JS359" s="190">
        <v>154746</v>
      </c>
      <c r="JT359" s="190">
        <v>153548</v>
      </c>
      <c r="JU359" s="190">
        <v>146053</v>
      </c>
      <c r="JV359" s="190">
        <v>609518</v>
      </c>
      <c r="JX359" s="189" t="s">
        <v>487</v>
      </c>
      <c r="JY359" s="190">
        <v>145300</v>
      </c>
      <c r="JZ359" s="190">
        <v>77404</v>
      </c>
      <c r="KA359" s="190">
        <v>69643</v>
      </c>
      <c r="KB359" s="190">
        <v>72404</v>
      </c>
      <c r="KC359" s="190">
        <v>364751</v>
      </c>
      <c r="KE359" s="189" t="s">
        <v>487</v>
      </c>
      <c r="KF359" s="190">
        <v>99149</v>
      </c>
      <c r="KG359" s="190">
        <v>160618</v>
      </c>
      <c r="KH359" s="190">
        <v>183769</v>
      </c>
      <c r="KI359" s="190">
        <v>214430</v>
      </c>
      <c r="KJ359" s="190">
        <v>657966</v>
      </c>
      <c r="KL359" s="189" t="s">
        <v>487</v>
      </c>
      <c r="KM359" s="190">
        <v>239933</v>
      </c>
      <c r="KN359" s="190">
        <v>394768</v>
      </c>
      <c r="KO359" s="190">
        <v>474248</v>
      </c>
      <c r="KP359" s="190">
        <v>405948</v>
      </c>
      <c r="KQ359" s="190">
        <v>1514897</v>
      </c>
      <c r="KS359" s="189" t="s">
        <v>487</v>
      </c>
      <c r="KT359" s="190">
        <v>360103</v>
      </c>
      <c r="KU359" s="190">
        <v>295159</v>
      </c>
      <c r="KV359" s="190">
        <v>265406</v>
      </c>
      <c r="KW359" s="190">
        <v>333672</v>
      </c>
      <c r="KX359" s="190">
        <v>1254340</v>
      </c>
      <c r="KZ359" s="189" t="s">
        <v>487</v>
      </c>
      <c r="LA359" s="190"/>
      <c r="LB359" s="144"/>
      <c r="LC359" s="144"/>
      <c r="LD359" s="144"/>
      <c r="LE359" s="190"/>
      <c r="LF359" s="555"/>
      <c r="LG359" s="189" t="s">
        <v>487</v>
      </c>
      <c r="LH359" s="144"/>
      <c r="LI359" s="144"/>
      <c r="LJ359" s="144"/>
      <c r="LK359" s="144"/>
      <c r="LL359" s="190"/>
      <c r="LM359" s="555"/>
      <c r="LN359" s="189" t="s">
        <v>487</v>
      </c>
      <c r="LO359" s="144"/>
      <c r="LP359" s="144"/>
      <c r="LQ359" s="144"/>
      <c r="LR359" s="144"/>
      <c r="LS359" s="190"/>
      <c r="LT359" s="555"/>
      <c r="LU359" s="189" t="s">
        <v>487</v>
      </c>
      <c r="LV359" s="144"/>
      <c r="LW359" s="144"/>
      <c r="LX359" s="144"/>
      <c r="LY359" s="144"/>
      <c r="LZ359" s="190"/>
      <c r="MA359" s="555"/>
      <c r="MB359" s="189" t="s">
        <v>487</v>
      </c>
      <c r="MC359" s="144"/>
      <c r="MD359" s="144"/>
      <c r="ME359" s="144"/>
      <c r="MF359" s="144"/>
      <c r="MG359" s="190"/>
      <c r="MH359" s="555"/>
    </row>
    <row r="360" spans="1:346" s="37" customFormat="1" ht="13.15" outlineLevel="1" x14ac:dyDescent="0.4">
      <c r="A360" s="100"/>
      <c r="B360" s="185" t="s">
        <v>488</v>
      </c>
      <c r="C360" s="186"/>
      <c r="D360" s="186"/>
      <c r="E360" s="186"/>
      <c r="F360" s="186"/>
      <c r="G360" s="186"/>
      <c r="H360" s="186"/>
      <c r="I360" s="186"/>
      <c r="J360" s="186"/>
      <c r="K360" s="186"/>
      <c r="L360" s="186"/>
      <c r="M360" s="186"/>
      <c r="N360" s="186">
        <f>BT360</f>
        <v>0</v>
      </c>
      <c r="O360" s="186">
        <f>CA360</f>
        <v>0</v>
      </c>
      <c r="P360" s="186">
        <f>CH360</f>
        <v>0</v>
      </c>
      <c r="Q360" s="186">
        <f>CO360</f>
        <v>0</v>
      </c>
      <c r="R360" s="186">
        <f>CV360</f>
        <v>0</v>
      </c>
      <c r="S360" s="186">
        <f>DC360</f>
        <v>0</v>
      </c>
      <c r="T360" s="186">
        <f>DJ360</f>
        <v>0</v>
      </c>
      <c r="U360" s="186">
        <f>DQ360</f>
        <v>0</v>
      </c>
      <c r="V360" s="186">
        <f>DX360</f>
        <v>0</v>
      </c>
      <c r="W360" s="186">
        <f>EE360</f>
        <v>0</v>
      </c>
      <c r="X360" s="186">
        <f>EL360</f>
        <v>0</v>
      </c>
      <c r="Y360" s="186">
        <f>ES360</f>
        <v>0</v>
      </c>
      <c r="Z360" s="186">
        <f>EZ360</f>
        <v>0</v>
      </c>
      <c r="AA360" s="186">
        <f>FG360</f>
        <v>0</v>
      </c>
      <c r="AB360" s="186">
        <f>FN360</f>
        <v>0</v>
      </c>
      <c r="AC360" s="186">
        <f>FU360</f>
        <v>0</v>
      </c>
      <c r="AD360" s="186">
        <f>GB360</f>
        <v>0</v>
      </c>
      <c r="AE360" s="186">
        <f>GI360</f>
        <v>0</v>
      </c>
      <c r="AF360" s="186">
        <f>GP360</f>
        <v>0</v>
      </c>
      <c r="AG360" s="186">
        <f>GW360</f>
        <v>138976</v>
      </c>
      <c r="AH360" s="186">
        <f>HD360</f>
        <v>21476</v>
      </c>
      <c r="AI360" s="186">
        <f>HK360</f>
        <v>42589</v>
      </c>
      <c r="AJ360" s="186">
        <f>HR360</f>
        <v>71315</v>
      </c>
      <c r="AK360" s="186">
        <f>HY360</f>
        <v>63743</v>
      </c>
      <c r="AL360" s="186">
        <f>IF360</f>
        <v>61197</v>
      </c>
      <c r="AM360" s="186">
        <f>IM360</f>
        <v>62623</v>
      </c>
      <c r="AN360" s="186">
        <f>IT360</f>
        <v>4812</v>
      </c>
      <c r="AO360" s="186">
        <f>JA360</f>
        <v>375</v>
      </c>
      <c r="AP360" s="186">
        <f>JH360</f>
        <v>1173</v>
      </c>
      <c r="AQ360" s="186">
        <f>JO360</f>
        <v>1798</v>
      </c>
      <c r="AR360" s="186">
        <f>JV360</f>
        <v>1921</v>
      </c>
      <c r="AS360" s="186">
        <f>KC360</f>
        <v>1028</v>
      </c>
      <c r="AT360" s="186">
        <f>KJ360</f>
        <v>1424</v>
      </c>
      <c r="AU360" s="186">
        <f>KQ360</f>
        <v>5322</v>
      </c>
      <c r="AV360" s="186">
        <f>KX360</f>
        <v>3625</v>
      </c>
      <c r="AW360" s="186">
        <f>LE360</f>
        <v>0</v>
      </c>
      <c r="AX360" s="186">
        <f>LL360</f>
        <v>0</v>
      </c>
      <c r="AY360" s="186">
        <f>LS360</f>
        <v>0</v>
      </c>
      <c r="AZ360" s="186">
        <f>LZ360</f>
        <v>0</v>
      </c>
      <c r="BA360" s="186">
        <f>MG360</f>
        <v>0</v>
      </c>
      <c r="BB360" s="186"/>
      <c r="BC360" s="186"/>
      <c r="BD360" s="186"/>
      <c r="BE360" s="186"/>
      <c r="BF360" s="186"/>
      <c r="BG360" s="186"/>
      <c r="BH360" s="186"/>
      <c r="BI360" s="186"/>
      <c r="BJ360" s="186"/>
      <c r="BK360" s="186"/>
      <c r="BL360" s="186"/>
      <c r="BM360" s="186"/>
      <c r="BO360" s="185" t="s">
        <v>488</v>
      </c>
      <c r="BP360" s="186"/>
      <c r="BQ360" s="186"/>
      <c r="BR360" s="186"/>
      <c r="BS360" s="186"/>
      <c r="BT360" s="186"/>
      <c r="BV360" s="185" t="s">
        <v>488</v>
      </c>
      <c r="BW360" s="186"/>
      <c r="BX360" s="186"/>
      <c r="BY360" s="186"/>
      <c r="BZ360" s="186"/>
      <c r="CA360" s="186"/>
      <c r="CC360" s="185" t="s">
        <v>488</v>
      </c>
      <c r="CD360" s="186"/>
      <c r="CE360" s="186"/>
      <c r="CF360" s="186"/>
      <c r="CG360" s="186"/>
      <c r="CH360" s="186"/>
      <c r="CJ360" s="185" t="s">
        <v>488</v>
      </c>
      <c r="CK360" s="186"/>
      <c r="CL360" s="186"/>
      <c r="CM360" s="186"/>
      <c r="CN360" s="186"/>
      <c r="CO360" s="186"/>
      <c r="CQ360" s="185" t="s">
        <v>488</v>
      </c>
      <c r="CR360" s="186"/>
      <c r="CS360" s="186"/>
      <c r="CT360" s="186"/>
      <c r="CU360" s="186"/>
      <c r="CV360" s="186"/>
      <c r="CX360" s="185" t="s">
        <v>488</v>
      </c>
      <c r="CY360" s="186"/>
      <c r="CZ360" s="186"/>
      <c r="DA360" s="186"/>
      <c r="DB360" s="186"/>
      <c r="DC360" s="186"/>
      <c r="DE360" s="185" t="s">
        <v>488</v>
      </c>
      <c r="DF360" s="186"/>
      <c r="DG360" s="186"/>
      <c r="DH360" s="186"/>
      <c r="DI360" s="186"/>
      <c r="DJ360" s="186"/>
      <c r="DL360" s="185" t="s">
        <v>488</v>
      </c>
      <c r="DM360" s="186"/>
      <c r="DN360" s="186"/>
      <c r="DO360" s="186"/>
      <c r="DP360" s="186"/>
      <c r="DQ360" s="186"/>
      <c r="DS360" s="185" t="s">
        <v>488</v>
      </c>
      <c r="DT360" s="186"/>
      <c r="DU360" s="186"/>
      <c r="DV360" s="186"/>
      <c r="DW360" s="186"/>
      <c r="DX360" s="186"/>
      <c r="DZ360" s="185" t="s">
        <v>488</v>
      </c>
      <c r="EA360" s="186"/>
      <c r="EB360" s="186"/>
      <c r="EC360" s="186"/>
      <c r="ED360" s="186"/>
      <c r="EE360" s="186"/>
      <c r="EG360" s="185" t="s">
        <v>488</v>
      </c>
      <c r="EH360" s="186"/>
      <c r="EI360" s="186"/>
      <c r="EJ360" s="186"/>
      <c r="EK360" s="186"/>
      <c r="EL360" s="186"/>
      <c r="EN360" s="185" t="s">
        <v>488</v>
      </c>
      <c r="EO360" s="186"/>
      <c r="EP360" s="186"/>
      <c r="EQ360" s="186"/>
      <c r="ER360" s="186"/>
      <c r="ES360" s="186"/>
      <c r="EU360" s="185" t="s">
        <v>488</v>
      </c>
      <c r="EV360" s="186"/>
      <c r="EW360" s="186"/>
      <c r="EX360" s="186"/>
      <c r="EY360" s="186"/>
      <c r="EZ360" s="186"/>
      <c r="FB360" s="185" t="s">
        <v>488</v>
      </c>
      <c r="FC360" s="186"/>
      <c r="FD360" s="186"/>
      <c r="FE360" s="186"/>
      <c r="FF360" s="186"/>
      <c r="FG360" s="186"/>
      <c r="FI360" s="185" t="s">
        <v>488</v>
      </c>
      <c r="FJ360" s="186"/>
      <c r="FK360" s="186"/>
      <c r="FL360" s="186"/>
      <c r="FM360" s="186"/>
      <c r="FN360" s="186"/>
      <c r="FP360" s="185" t="s">
        <v>488</v>
      </c>
      <c r="FQ360" s="186"/>
      <c r="FR360" s="186"/>
      <c r="FS360" s="186"/>
      <c r="FT360" s="186"/>
      <c r="FU360" s="186"/>
      <c r="FW360" s="185" t="s">
        <v>488</v>
      </c>
      <c r="FX360" s="186"/>
      <c r="FY360" s="186"/>
      <c r="FZ360" s="186"/>
      <c r="GA360" s="186"/>
      <c r="GB360" s="186"/>
      <c r="GD360" s="185" t="s">
        <v>488</v>
      </c>
      <c r="GE360" s="186"/>
      <c r="GF360" s="186"/>
      <c r="GG360" s="186"/>
      <c r="GH360" s="186"/>
      <c r="GI360" s="186"/>
      <c r="GK360" s="185" t="s">
        <v>488</v>
      </c>
      <c r="GL360" s="186"/>
      <c r="GM360" s="186"/>
      <c r="GN360" s="186"/>
      <c r="GO360" s="186">
        <v>15825</v>
      </c>
      <c r="GP360" s="186"/>
      <c r="GR360" s="185" t="s">
        <v>488</v>
      </c>
      <c r="GS360" s="186">
        <v>28270</v>
      </c>
      <c r="GT360" s="186">
        <v>33172</v>
      </c>
      <c r="GU360" s="186">
        <v>43492</v>
      </c>
      <c r="GV360" s="186">
        <v>34042</v>
      </c>
      <c r="GW360" s="186">
        <v>138976</v>
      </c>
      <c r="GY360" s="185" t="s">
        <v>488</v>
      </c>
      <c r="GZ360" s="186">
        <v>9268</v>
      </c>
      <c r="HA360" s="186">
        <v>2352</v>
      </c>
      <c r="HB360" s="186">
        <v>4094</v>
      </c>
      <c r="HC360" s="186">
        <v>5762</v>
      </c>
      <c r="HD360" s="186">
        <v>21476</v>
      </c>
      <c r="HF360" s="185" t="s">
        <v>488</v>
      </c>
      <c r="HG360" s="186">
        <v>8508</v>
      </c>
      <c r="HH360" s="186">
        <v>10288</v>
      </c>
      <c r="HI360" s="186">
        <v>11121</v>
      </c>
      <c r="HJ360" s="186">
        <v>12672</v>
      </c>
      <c r="HK360" s="186">
        <v>42589</v>
      </c>
      <c r="HM360" s="185" t="s">
        <v>488</v>
      </c>
      <c r="HN360" s="186">
        <v>15788</v>
      </c>
      <c r="HO360" s="186">
        <v>19407</v>
      </c>
      <c r="HP360" s="186">
        <v>18196</v>
      </c>
      <c r="HQ360" s="186">
        <v>17924</v>
      </c>
      <c r="HR360" s="186">
        <v>71315</v>
      </c>
      <c r="HT360" s="185" t="s">
        <v>488</v>
      </c>
      <c r="HU360" s="186">
        <v>17774</v>
      </c>
      <c r="HV360" s="186">
        <v>16681</v>
      </c>
      <c r="HW360" s="186">
        <v>13758</v>
      </c>
      <c r="HX360" s="186">
        <v>15530</v>
      </c>
      <c r="HY360" s="186">
        <v>63743</v>
      </c>
      <c r="IA360" s="185" t="s">
        <v>488</v>
      </c>
      <c r="IB360" s="186">
        <v>16896</v>
      </c>
      <c r="IC360" s="186">
        <v>15876</v>
      </c>
      <c r="ID360" s="186">
        <v>13165</v>
      </c>
      <c r="IE360" s="186">
        <v>15260</v>
      </c>
      <c r="IF360" s="186">
        <v>61197</v>
      </c>
      <c r="IH360" s="185" t="s">
        <v>488</v>
      </c>
      <c r="II360" s="186">
        <v>16223</v>
      </c>
      <c r="IJ360" s="186">
        <v>17693</v>
      </c>
      <c r="IK360" s="186">
        <v>14506</v>
      </c>
      <c r="IL360" s="186">
        <v>14201</v>
      </c>
      <c r="IM360" s="186">
        <v>62623</v>
      </c>
      <c r="IO360" s="185" t="s">
        <v>488</v>
      </c>
      <c r="IP360" s="186">
        <v>2992</v>
      </c>
      <c r="IQ360" s="186">
        <v>758</v>
      </c>
      <c r="IR360" s="186">
        <v>647</v>
      </c>
      <c r="IS360" s="186">
        <v>415</v>
      </c>
      <c r="IT360" s="186">
        <v>4812</v>
      </c>
      <c r="IV360" s="185" t="s">
        <v>488</v>
      </c>
      <c r="IW360" s="186">
        <v>152</v>
      </c>
      <c r="IX360" s="186">
        <v>23</v>
      </c>
      <c r="IY360" s="186">
        <v>57</v>
      </c>
      <c r="IZ360" s="186">
        <v>143</v>
      </c>
      <c r="JA360" s="186">
        <v>375</v>
      </c>
      <c r="JC360" s="185" t="s">
        <v>488</v>
      </c>
      <c r="JD360" s="186">
        <v>252</v>
      </c>
      <c r="JE360" s="186">
        <v>237</v>
      </c>
      <c r="JF360" s="186">
        <v>318</v>
      </c>
      <c r="JG360" s="186">
        <v>366</v>
      </c>
      <c r="JH360" s="186">
        <v>1173</v>
      </c>
      <c r="JJ360" s="185" t="s">
        <v>488</v>
      </c>
      <c r="JK360" s="186">
        <v>307</v>
      </c>
      <c r="JL360" s="186">
        <v>432</v>
      </c>
      <c r="JM360" s="186">
        <v>486</v>
      </c>
      <c r="JN360" s="186">
        <v>573</v>
      </c>
      <c r="JO360" s="186">
        <v>1798</v>
      </c>
      <c r="JQ360" s="185" t="s">
        <v>488</v>
      </c>
      <c r="JR360" s="186">
        <v>431</v>
      </c>
      <c r="JS360" s="186">
        <v>517</v>
      </c>
      <c r="JT360" s="186">
        <v>540</v>
      </c>
      <c r="JU360" s="186">
        <v>433</v>
      </c>
      <c r="JV360" s="186">
        <v>1921</v>
      </c>
      <c r="JX360" s="185" t="s">
        <v>488</v>
      </c>
      <c r="JY360" s="186">
        <v>498</v>
      </c>
      <c r="JZ360" s="186">
        <v>237</v>
      </c>
      <c r="KA360" s="186">
        <v>121</v>
      </c>
      <c r="KB360" s="186">
        <v>172</v>
      </c>
      <c r="KC360" s="186">
        <v>1028</v>
      </c>
      <c r="KE360" s="185" t="s">
        <v>488</v>
      </c>
      <c r="KF360" s="186">
        <v>143</v>
      </c>
      <c r="KG360" s="186">
        <v>323</v>
      </c>
      <c r="KH360" s="186">
        <v>420</v>
      </c>
      <c r="KI360" s="186">
        <v>538</v>
      </c>
      <c r="KJ360" s="186">
        <v>1424</v>
      </c>
      <c r="KL360" s="185" t="s">
        <v>488</v>
      </c>
      <c r="KM360" s="186">
        <v>854</v>
      </c>
      <c r="KN360" s="186">
        <v>1117</v>
      </c>
      <c r="KO360" s="186">
        <v>1891</v>
      </c>
      <c r="KP360" s="186">
        <v>1460</v>
      </c>
      <c r="KQ360" s="186">
        <v>5322</v>
      </c>
      <c r="KS360" s="185" t="s">
        <v>488</v>
      </c>
      <c r="KT360" s="186">
        <v>1370</v>
      </c>
      <c r="KU360" s="186">
        <v>901</v>
      </c>
      <c r="KV360" s="186">
        <v>760</v>
      </c>
      <c r="KW360" s="186">
        <v>594</v>
      </c>
      <c r="KX360" s="186">
        <v>3625</v>
      </c>
      <c r="KZ360" s="185" t="s">
        <v>488</v>
      </c>
      <c r="LA360" s="186"/>
      <c r="LB360" s="144"/>
      <c r="LC360" s="144"/>
      <c r="LD360" s="144"/>
      <c r="LE360" s="186"/>
      <c r="LF360" s="555"/>
      <c r="LG360" s="185" t="s">
        <v>488</v>
      </c>
      <c r="LH360" s="144"/>
      <c r="LI360" s="144"/>
      <c r="LJ360" s="144"/>
      <c r="LK360" s="144"/>
      <c r="LL360" s="186"/>
      <c r="LM360" s="555"/>
      <c r="LN360" s="185" t="s">
        <v>488</v>
      </c>
      <c r="LO360" s="144"/>
      <c r="LP360" s="144"/>
      <c r="LQ360" s="144"/>
      <c r="LR360" s="144"/>
      <c r="LS360" s="186"/>
      <c r="LT360" s="555"/>
      <c r="LU360" s="185" t="s">
        <v>488</v>
      </c>
      <c r="LV360" s="144"/>
      <c r="LW360" s="144"/>
      <c r="LX360" s="144"/>
      <c r="LY360" s="144"/>
      <c r="LZ360" s="186"/>
      <c r="MA360" s="555"/>
      <c r="MB360" s="185" t="s">
        <v>488</v>
      </c>
      <c r="MC360" s="144"/>
      <c r="MD360" s="144"/>
      <c r="ME360" s="144"/>
      <c r="MF360" s="144"/>
      <c r="MG360" s="186"/>
      <c r="MH360" s="555"/>
    </row>
    <row r="361" spans="1:346" s="37" customFormat="1" ht="13.15" outlineLevel="1" x14ac:dyDescent="0.4">
      <c r="A361" s="100"/>
      <c r="B361" s="185" t="s">
        <v>489</v>
      </c>
      <c r="C361" s="186"/>
      <c r="D361" s="186"/>
      <c r="E361" s="186"/>
      <c r="F361" s="186"/>
      <c r="G361" s="186"/>
      <c r="H361" s="186"/>
      <c r="I361" s="186"/>
      <c r="J361" s="186"/>
      <c r="K361" s="186"/>
      <c r="L361" s="186"/>
      <c r="M361" s="186"/>
      <c r="N361" s="186">
        <f>BT361</f>
        <v>0</v>
      </c>
      <c r="O361" s="186">
        <f>CA361</f>
        <v>0</v>
      </c>
      <c r="P361" s="186">
        <f>CH361</f>
        <v>0</v>
      </c>
      <c r="Q361" s="186">
        <f>CO361</f>
        <v>0</v>
      </c>
      <c r="R361" s="186">
        <f>CV361</f>
        <v>0</v>
      </c>
      <c r="S361" s="186">
        <f>DC361</f>
        <v>0</v>
      </c>
      <c r="T361" s="186">
        <f>DJ361</f>
        <v>0</v>
      </c>
      <c r="U361" s="186">
        <f>DQ361</f>
        <v>0</v>
      </c>
      <c r="V361" s="186">
        <f>DX361</f>
        <v>0</v>
      </c>
      <c r="W361" s="186">
        <f>EE361</f>
        <v>0</v>
      </c>
      <c r="X361" s="186">
        <f>EL361</f>
        <v>0</v>
      </c>
      <c r="Y361" s="186">
        <f>ES361</f>
        <v>0</v>
      </c>
      <c r="Z361" s="186">
        <f>EZ361</f>
        <v>0</v>
      </c>
      <c r="AA361" s="186">
        <f>FG361</f>
        <v>0</v>
      </c>
      <c r="AB361" s="186">
        <f>FN361</f>
        <v>0</v>
      </c>
      <c r="AC361" s="186">
        <f>FU361</f>
        <v>0</v>
      </c>
      <c r="AD361" s="186">
        <f>GB361</f>
        <v>0</v>
      </c>
      <c r="AE361" s="186">
        <f>GI361</f>
        <v>0</v>
      </c>
      <c r="AF361" s="186">
        <f>GP361</f>
        <v>0</v>
      </c>
      <c r="AG361" s="186">
        <f>GW361</f>
        <v>1054089</v>
      </c>
      <c r="AH361" s="186">
        <f>HD361</f>
        <v>277244</v>
      </c>
      <c r="AI361" s="186">
        <f>HK361</f>
        <v>509649</v>
      </c>
      <c r="AJ361" s="186">
        <f>HR361</f>
        <v>982077</v>
      </c>
      <c r="AK361" s="186">
        <f>HY361</f>
        <v>1067914</v>
      </c>
      <c r="AL361" s="186">
        <f>IF361</f>
        <v>1088715</v>
      </c>
      <c r="AM361" s="186">
        <f>IM361</f>
        <v>1121257</v>
      </c>
      <c r="AN361" s="186">
        <f>IT361</f>
        <v>533423</v>
      </c>
      <c r="AO361" s="186">
        <f>JA361</f>
        <v>228534</v>
      </c>
      <c r="AP361" s="186">
        <f>JH361</f>
        <v>365943</v>
      </c>
      <c r="AQ361" s="186">
        <f>JO361</f>
        <v>662745</v>
      </c>
      <c r="AR361" s="186">
        <f>JV361</f>
        <v>607597</v>
      </c>
      <c r="AS361" s="186">
        <f>KC361</f>
        <v>363723</v>
      </c>
      <c r="AT361" s="186">
        <f>KJ361</f>
        <v>656542</v>
      </c>
      <c r="AU361" s="186">
        <f>KQ361</f>
        <v>1509575</v>
      </c>
      <c r="AV361" s="186">
        <f>KX361</f>
        <v>1250715</v>
      </c>
      <c r="AW361" s="186">
        <f>LE361</f>
        <v>0</v>
      </c>
      <c r="AX361" s="186">
        <f>LL361</f>
        <v>0</v>
      </c>
      <c r="AY361" s="186">
        <f>LS361</f>
        <v>0</v>
      </c>
      <c r="AZ361" s="186">
        <f>LZ361</f>
        <v>0</v>
      </c>
      <c r="BA361" s="186">
        <f>MG361</f>
        <v>0</v>
      </c>
      <c r="BB361" s="186"/>
      <c r="BC361" s="186"/>
      <c r="BD361" s="186"/>
      <c r="BE361" s="186"/>
      <c r="BF361" s="186"/>
      <c r="BG361" s="186"/>
      <c r="BH361" s="186"/>
      <c r="BI361" s="186"/>
      <c r="BJ361" s="186"/>
      <c r="BK361" s="186"/>
      <c r="BL361" s="186"/>
      <c r="BM361" s="186"/>
      <c r="BO361" s="185" t="s">
        <v>489</v>
      </c>
      <c r="BP361" s="186"/>
      <c r="BQ361" s="186"/>
      <c r="BR361" s="186"/>
      <c r="BS361" s="186"/>
      <c r="BT361" s="186"/>
      <c r="BV361" s="185" t="s">
        <v>489</v>
      </c>
      <c r="BW361" s="186"/>
      <c r="BX361" s="186"/>
      <c r="BY361" s="186"/>
      <c r="BZ361" s="186"/>
      <c r="CA361" s="186"/>
      <c r="CC361" s="185" t="s">
        <v>489</v>
      </c>
      <c r="CD361" s="186"/>
      <c r="CE361" s="186"/>
      <c r="CF361" s="186"/>
      <c r="CG361" s="186"/>
      <c r="CH361" s="186"/>
      <c r="CJ361" s="185" t="s">
        <v>489</v>
      </c>
      <c r="CK361" s="186"/>
      <c r="CL361" s="186"/>
      <c r="CM361" s="186"/>
      <c r="CN361" s="186"/>
      <c r="CO361" s="186"/>
      <c r="CQ361" s="185" t="s">
        <v>489</v>
      </c>
      <c r="CR361" s="186"/>
      <c r="CS361" s="186"/>
      <c r="CT361" s="186"/>
      <c r="CU361" s="186"/>
      <c r="CV361" s="186"/>
      <c r="CX361" s="185" t="s">
        <v>489</v>
      </c>
      <c r="CY361" s="186"/>
      <c r="CZ361" s="186"/>
      <c r="DA361" s="186"/>
      <c r="DB361" s="186"/>
      <c r="DC361" s="186"/>
      <c r="DE361" s="185" t="s">
        <v>489</v>
      </c>
      <c r="DF361" s="186"/>
      <c r="DG361" s="186"/>
      <c r="DH361" s="186"/>
      <c r="DI361" s="186"/>
      <c r="DJ361" s="186"/>
      <c r="DL361" s="185" t="s">
        <v>489</v>
      </c>
      <c r="DM361" s="186"/>
      <c r="DN361" s="186"/>
      <c r="DO361" s="186"/>
      <c r="DP361" s="186"/>
      <c r="DQ361" s="186"/>
      <c r="DS361" s="185" t="s">
        <v>489</v>
      </c>
      <c r="DT361" s="186"/>
      <c r="DU361" s="186"/>
      <c r="DV361" s="186"/>
      <c r="DW361" s="186"/>
      <c r="DX361" s="186"/>
      <c r="DZ361" s="185" t="s">
        <v>489</v>
      </c>
      <c r="EA361" s="186"/>
      <c r="EB361" s="186"/>
      <c r="EC361" s="186"/>
      <c r="ED361" s="186"/>
      <c r="EE361" s="186"/>
      <c r="EG361" s="185" t="s">
        <v>489</v>
      </c>
      <c r="EH361" s="186"/>
      <c r="EI361" s="186"/>
      <c r="EJ361" s="186"/>
      <c r="EK361" s="186"/>
      <c r="EL361" s="186"/>
      <c r="EN361" s="185" t="s">
        <v>489</v>
      </c>
      <c r="EO361" s="186"/>
      <c r="EP361" s="186"/>
      <c r="EQ361" s="186"/>
      <c r="ER361" s="186"/>
      <c r="ES361" s="186"/>
      <c r="EU361" s="185" t="s">
        <v>489</v>
      </c>
      <c r="EV361" s="186"/>
      <c r="EW361" s="186"/>
      <c r="EX361" s="186"/>
      <c r="EY361" s="186"/>
      <c r="EZ361" s="186"/>
      <c r="FB361" s="185" t="s">
        <v>489</v>
      </c>
      <c r="FC361" s="186"/>
      <c r="FD361" s="186"/>
      <c r="FE361" s="186"/>
      <c r="FF361" s="186"/>
      <c r="FG361" s="186"/>
      <c r="FI361" s="185" t="s">
        <v>489</v>
      </c>
      <c r="FJ361" s="186"/>
      <c r="FK361" s="186"/>
      <c r="FL361" s="186"/>
      <c r="FM361" s="186"/>
      <c r="FN361" s="186"/>
      <c r="FP361" s="185" t="s">
        <v>489</v>
      </c>
      <c r="FQ361" s="186"/>
      <c r="FR361" s="186"/>
      <c r="FS361" s="186"/>
      <c r="FT361" s="186"/>
      <c r="FU361" s="186"/>
      <c r="FW361" s="185" t="s">
        <v>489</v>
      </c>
      <c r="FX361" s="186"/>
      <c r="FY361" s="186"/>
      <c r="FZ361" s="186"/>
      <c r="GA361" s="186"/>
      <c r="GB361" s="186"/>
      <c r="GD361" s="185" t="s">
        <v>489</v>
      </c>
      <c r="GE361" s="186"/>
      <c r="GF361" s="186"/>
      <c r="GG361" s="186"/>
      <c r="GH361" s="186"/>
      <c r="GI361" s="186"/>
      <c r="GK361" s="185" t="s">
        <v>489</v>
      </c>
      <c r="GL361" s="186"/>
      <c r="GM361" s="186"/>
      <c r="GN361" s="186"/>
      <c r="GO361" s="186">
        <v>175044</v>
      </c>
      <c r="GP361" s="186"/>
      <c r="GR361" s="185" t="s">
        <v>489</v>
      </c>
      <c r="GS361" s="186">
        <v>210419</v>
      </c>
      <c r="GT361" s="186">
        <v>255886</v>
      </c>
      <c r="GU361" s="186">
        <v>340458</v>
      </c>
      <c r="GV361" s="186">
        <v>247326</v>
      </c>
      <c r="GW361" s="186">
        <v>1054089</v>
      </c>
      <c r="GY361" s="185" t="s">
        <v>489</v>
      </c>
      <c r="GZ361" s="186">
        <v>75214</v>
      </c>
      <c r="HA361" s="186">
        <v>42252</v>
      </c>
      <c r="HB361" s="186">
        <v>72278</v>
      </c>
      <c r="HC361" s="186">
        <v>87500</v>
      </c>
      <c r="HD361" s="186">
        <v>277244</v>
      </c>
      <c r="HF361" s="185" t="s">
        <v>489</v>
      </c>
      <c r="HG361" s="186">
        <v>99960</v>
      </c>
      <c r="HH361" s="186">
        <v>108301</v>
      </c>
      <c r="HI361" s="186">
        <v>145313</v>
      </c>
      <c r="HJ361" s="186">
        <v>156075</v>
      </c>
      <c r="HK361" s="186">
        <v>509649</v>
      </c>
      <c r="HM361" s="185" t="s">
        <v>489</v>
      </c>
      <c r="HN361" s="186">
        <v>184004</v>
      </c>
      <c r="HO361" s="186">
        <v>272232</v>
      </c>
      <c r="HP361" s="186">
        <v>273215</v>
      </c>
      <c r="HQ361" s="186">
        <v>252626</v>
      </c>
      <c r="HR361" s="186">
        <v>982077</v>
      </c>
      <c r="HT361" s="185" t="s">
        <v>489</v>
      </c>
      <c r="HU361" s="186">
        <v>263493</v>
      </c>
      <c r="HV361" s="186">
        <v>284890</v>
      </c>
      <c r="HW361" s="186">
        <v>247409</v>
      </c>
      <c r="HX361" s="186">
        <v>272122</v>
      </c>
      <c r="HY361" s="186">
        <v>1067914</v>
      </c>
      <c r="IA361" s="185" t="s">
        <v>489</v>
      </c>
      <c r="IB361" s="186">
        <v>267407</v>
      </c>
      <c r="IC361" s="186">
        <v>285238</v>
      </c>
      <c r="ID361" s="186">
        <v>259626</v>
      </c>
      <c r="IE361" s="186">
        <v>276444</v>
      </c>
      <c r="IF361" s="186">
        <v>1088715</v>
      </c>
      <c r="IH361" s="185" t="s">
        <v>489</v>
      </c>
      <c r="II361" s="186">
        <v>263529</v>
      </c>
      <c r="IJ361" s="186">
        <v>299937</v>
      </c>
      <c r="IK361" s="186">
        <v>288314</v>
      </c>
      <c r="IL361" s="186">
        <v>269477</v>
      </c>
      <c r="IM361" s="186">
        <v>1121257</v>
      </c>
      <c r="IO361" s="185" t="s">
        <v>489</v>
      </c>
      <c r="IP361" s="186">
        <v>187839</v>
      </c>
      <c r="IQ361" s="186">
        <v>133092</v>
      </c>
      <c r="IR361" s="186">
        <v>126854</v>
      </c>
      <c r="IS361" s="186">
        <v>85638</v>
      </c>
      <c r="IT361" s="186">
        <v>533423</v>
      </c>
      <c r="IV361" s="185" t="s">
        <v>489</v>
      </c>
      <c r="IW361" s="186">
        <v>51880</v>
      </c>
      <c r="IX361" s="186">
        <v>35916</v>
      </c>
      <c r="IY361" s="186">
        <v>64571</v>
      </c>
      <c r="IZ361" s="186">
        <v>76167</v>
      </c>
      <c r="JA361" s="186">
        <v>228534</v>
      </c>
      <c r="JC361" s="185" t="s">
        <v>489</v>
      </c>
      <c r="JD361" s="186">
        <v>84879</v>
      </c>
      <c r="JE361" s="186">
        <v>87437</v>
      </c>
      <c r="JF361" s="186">
        <v>82898</v>
      </c>
      <c r="JG361" s="186">
        <v>110729</v>
      </c>
      <c r="JH361" s="186">
        <v>365943</v>
      </c>
      <c r="JJ361" s="185" t="s">
        <v>489</v>
      </c>
      <c r="JK361" s="186">
        <v>133239</v>
      </c>
      <c r="JL361" s="186">
        <v>159990</v>
      </c>
      <c r="JM361" s="186">
        <v>181517</v>
      </c>
      <c r="JN361" s="186">
        <v>187999</v>
      </c>
      <c r="JO361" s="186">
        <v>662745</v>
      </c>
      <c r="JQ361" s="185" t="s">
        <v>489</v>
      </c>
      <c r="JR361" s="186">
        <v>154740</v>
      </c>
      <c r="JS361" s="186">
        <v>154229</v>
      </c>
      <c r="JT361" s="186">
        <v>153008</v>
      </c>
      <c r="JU361" s="186">
        <v>145620</v>
      </c>
      <c r="JV361" s="186">
        <v>607597</v>
      </c>
      <c r="JX361" s="185" t="s">
        <v>489</v>
      </c>
      <c r="JY361" s="186">
        <v>144802</v>
      </c>
      <c r="JZ361" s="186">
        <v>77167</v>
      </c>
      <c r="KA361" s="186">
        <v>69522</v>
      </c>
      <c r="KB361" s="186">
        <v>72232</v>
      </c>
      <c r="KC361" s="186">
        <v>363723</v>
      </c>
      <c r="KE361" s="185" t="s">
        <v>489</v>
      </c>
      <c r="KF361" s="186">
        <v>99006</v>
      </c>
      <c r="KG361" s="186">
        <v>160295</v>
      </c>
      <c r="KH361" s="186">
        <v>183349</v>
      </c>
      <c r="KI361" s="186">
        <v>213892</v>
      </c>
      <c r="KJ361" s="186">
        <v>656542</v>
      </c>
      <c r="KL361" s="185" t="s">
        <v>489</v>
      </c>
      <c r="KM361" s="186">
        <v>239079</v>
      </c>
      <c r="KN361" s="186">
        <v>393651</v>
      </c>
      <c r="KO361" s="186">
        <v>472357</v>
      </c>
      <c r="KP361" s="186">
        <v>404488</v>
      </c>
      <c r="KQ361" s="186">
        <v>1509575</v>
      </c>
      <c r="KS361" s="185" t="s">
        <v>489</v>
      </c>
      <c r="KT361" s="186">
        <v>358733</v>
      </c>
      <c r="KU361" s="186" t="s">
        <v>556</v>
      </c>
      <c r="KV361" s="186">
        <v>264646</v>
      </c>
      <c r="KW361" s="186">
        <v>333078</v>
      </c>
      <c r="KX361" s="186">
        <v>1250715</v>
      </c>
      <c r="KZ361" s="185" t="s">
        <v>489</v>
      </c>
      <c r="LA361" s="186"/>
      <c r="LB361" s="144"/>
      <c r="LC361" s="144"/>
      <c r="LD361" s="144"/>
      <c r="LE361" s="186"/>
      <c r="LF361" s="555"/>
      <c r="LG361" s="185" t="s">
        <v>489</v>
      </c>
      <c r="LH361" s="144"/>
      <c r="LI361" s="144"/>
      <c r="LJ361" s="144"/>
      <c r="LK361" s="144"/>
      <c r="LL361" s="186"/>
      <c r="LM361" s="555"/>
      <c r="LN361" s="185" t="s">
        <v>489</v>
      </c>
      <c r="LO361" s="144"/>
      <c r="LP361" s="144"/>
      <c r="LQ361" s="144"/>
      <c r="LR361" s="144"/>
      <c r="LS361" s="186"/>
      <c r="LT361" s="555"/>
      <c r="LU361" s="185" t="s">
        <v>489</v>
      </c>
      <c r="LV361" s="144"/>
      <c r="LW361" s="144"/>
      <c r="LX361" s="144"/>
      <c r="LY361" s="144"/>
      <c r="LZ361" s="186"/>
      <c r="MA361" s="555"/>
      <c r="MB361" s="185" t="s">
        <v>489</v>
      </c>
      <c r="MC361" s="144"/>
      <c r="MD361" s="144"/>
      <c r="ME361" s="144"/>
      <c r="MF361" s="144"/>
      <c r="MG361" s="186"/>
      <c r="MH361" s="555"/>
    </row>
    <row r="362" spans="1:346" s="37" customFormat="1" ht="13.15" outlineLevel="1" x14ac:dyDescent="0.4">
      <c r="A362" s="35"/>
      <c r="B362" s="36"/>
      <c r="BO362" s="36"/>
      <c r="BV362" s="36"/>
      <c r="CC362" s="36"/>
      <c r="CJ362" s="36"/>
      <c r="CQ362" s="36"/>
      <c r="CX362" s="36"/>
      <c r="DE362" s="36"/>
      <c r="DL362" s="36"/>
      <c r="DS362" s="36"/>
      <c r="DZ362" s="36"/>
      <c r="EG362" s="36"/>
      <c r="EN362" s="36"/>
      <c r="EU362" s="36"/>
      <c r="FB362" s="36"/>
      <c r="FI362" s="36"/>
      <c r="FP362" s="36"/>
      <c r="FW362" s="36"/>
      <c r="GD362" s="36"/>
      <c r="GK362" s="36"/>
      <c r="GR362" s="36"/>
      <c r="GY362" s="36"/>
      <c r="HF362" s="36"/>
      <c r="HM362" s="36"/>
      <c r="HT362" s="36"/>
      <c r="IA362" s="36"/>
      <c r="IH362" s="36"/>
      <c r="IO362" s="36"/>
      <c r="IV362" s="36"/>
      <c r="JC362" s="36"/>
      <c r="JJ362" s="36"/>
      <c r="JQ362" s="36"/>
      <c r="JX362" s="36"/>
      <c r="KE362" s="36"/>
      <c r="KL362" s="36"/>
      <c r="KS362" s="36"/>
      <c r="KZ362" s="36"/>
      <c r="LF362" s="565"/>
      <c r="LG362" s="36"/>
      <c r="LM362" s="565"/>
      <c r="LN362" s="36"/>
      <c r="LT362" s="565"/>
      <c r="LU362" s="36"/>
      <c r="MA362" s="565"/>
      <c r="MB362" s="36"/>
      <c r="MH362" s="565"/>
    </row>
    <row r="363" spans="1:346" s="37" customFormat="1" ht="13.15" x14ac:dyDescent="0.4">
      <c r="A363" s="35"/>
      <c r="B363" s="36"/>
      <c r="BO363" s="36"/>
      <c r="BV363" s="36"/>
      <c r="CC363" s="36"/>
      <c r="CJ363" s="36"/>
      <c r="CQ363" s="36"/>
      <c r="CX363" s="36"/>
      <c r="DE363" s="36"/>
      <c r="DL363" s="36"/>
      <c r="DS363" s="36"/>
      <c r="DZ363" s="36"/>
      <c r="EG363" s="36"/>
      <c r="EN363" s="36"/>
      <c r="EU363" s="36"/>
      <c r="FB363" s="36"/>
      <c r="FI363" s="36"/>
      <c r="FP363" s="36"/>
      <c r="FW363" s="36"/>
      <c r="GD363" s="36"/>
      <c r="GK363" s="36"/>
      <c r="GR363" s="36"/>
      <c r="GY363" s="36"/>
      <c r="HF363" s="36"/>
      <c r="HM363" s="36"/>
      <c r="HT363" s="36"/>
      <c r="IA363" s="36"/>
      <c r="IH363" s="36"/>
      <c r="IO363" s="36"/>
      <c r="IV363" s="36"/>
      <c r="JC363" s="36"/>
      <c r="JJ363" s="36"/>
      <c r="JQ363" s="36"/>
      <c r="JX363" s="36"/>
      <c r="KE363" s="36"/>
      <c r="KL363" s="36"/>
      <c r="KS363" s="36"/>
      <c r="KZ363" s="36"/>
      <c r="LF363" s="565"/>
      <c r="LG363" s="36"/>
      <c r="LM363" s="565"/>
      <c r="LN363" s="36"/>
      <c r="LT363" s="565"/>
      <c r="LU363" s="36"/>
      <c r="MA363" s="565"/>
      <c r="MB363" s="36"/>
      <c r="MH363" s="565"/>
    </row>
    <row r="364" spans="1:346" s="37" customFormat="1" ht="13.15" x14ac:dyDescent="0.4">
      <c r="A364" s="35"/>
      <c r="B364" s="36"/>
      <c r="BO364" s="36"/>
      <c r="BV364" s="36"/>
      <c r="CC364" s="36"/>
      <c r="CJ364" s="36"/>
      <c r="CQ364" s="36"/>
      <c r="CX364" s="36"/>
      <c r="DE364" s="36"/>
      <c r="DL364" s="36"/>
      <c r="DS364" s="36"/>
      <c r="DZ364" s="36"/>
      <c r="EG364" s="36"/>
      <c r="EN364" s="36"/>
      <c r="EU364" s="36"/>
      <c r="FB364" s="36"/>
      <c r="FI364" s="36"/>
      <c r="FP364" s="36"/>
      <c r="FW364" s="36"/>
      <c r="GD364" s="36"/>
      <c r="GK364" s="36"/>
      <c r="GR364" s="36"/>
      <c r="GY364" s="36"/>
      <c r="HF364" s="36"/>
      <c r="HM364" s="36"/>
      <c r="HT364" s="36"/>
      <c r="IA364" s="36"/>
      <c r="IH364" s="36"/>
      <c r="IO364" s="36"/>
      <c r="IV364" s="36"/>
      <c r="JC364" s="36"/>
      <c r="JJ364" s="36"/>
      <c r="JQ364" s="36"/>
      <c r="JX364" s="36"/>
      <c r="KE364" s="36"/>
      <c r="KL364" s="36"/>
      <c r="KS364" s="36"/>
      <c r="KZ364" s="36"/>
      <c r="LF364" s="565"/>
      <c r="LG364" s="36"/>
      <c r="LM364" s="565"/>
      <c r="LN364" s="36"/>
      <c r="LT364" s="565"/>
      <c r="LU364" s="36"/>
      <c r="MA364" s="565"/>
      <c r="MB364" s="36"/>
      <c r="MH364" s="565"/>
    </row>
    <row r="365" spans="1:346" s="37" customFormat="1" ht="13.15" x14ac:dyDescent="0.4">
      <c r="A365" s="35"/>
      <c r="B365" s="36"/>
      <c r="BO365" s="36"/>
      <c r="BV365" s="36"/>
      <c r="CC365" s="36"/>
      <c r="CJ365" s="36"/>
      <c r="CQ365" s="36"/>
      <c r="CX365" s="36"/>
      <c r="DE365" s="36"/>
      <c r="DL365" s="36"/>
      <c r="DS365" s="36"/>
      <c r="DZ365" s="36"/>
      <c r="EG365" s="36"/>
      <c r="EN365" s="36"/>
      <c r="EU365" s="36"/>
      <c r="FB365" s="36"/>
      <c r="FI365" s="36"/>
      <c r="FP365" s="36"/>
      <c r="FW365" s="36"/>
      <c r="GD365" s="36"/>
      <c r="GK365" s="36"/>
      <c r="GR365" s="36"/>
      <c r="GY365" s="36"/>
      <c r="HF365" s="36"/>
      <c r="HM365" s="36"/>
      <c r="HT365" s="36"/>
      <c r="IA365" s="36"/>
      <c r="IH365" s="36"/>
      <c r="IO365" s="36"/>
      <c r="IV365" s="36"/>
      <c r="JC365" s="36"/>
      <c r="JJ365" s="36"/>
      <c r="JQ365" s="36"/>
      <c r="JX365" s="36"/>
      <c r="KE365" s="36"/>
      <c r="KL365" s="36"/>
      <c r="KS365" s="36"/>
      <c r="KZ365" s="36"/>
      <c r="LF365" s="565"/>
      <c r="LG365" s="36"/>
      <c r="LM365" s="565"/>
      <c r="LN365" s="36"/>
      <c r="LT365" s="565"/>
      <c r="LU365" s="36"/>
      <c r="MA365" s="565"/>
      <c r="MB365" s="36"/>
      <c r="MH365" s="565"/>
    </row>
    <row r="366" spans="1:346" s="37" customFormat="1" ht="13.15" x14ac:dyDescent="0.4">
      <c r="A366" s="35"/>
      <c r="B366" s="36"/>
      <c r="BO366" s="36"/>
      <c r="BV366" s="36"/>
      <c r="CC366" s="36"/>
      <c r="CJ366" s="36"/>
      <c r="CQ366" s="36"/>
      <c r="CX366" s="36"/>
      <c r="DE366" s="36"/>
      <c r="DL366" s="36"/>
      <c r="DS366" s="36"/>
      <c r="DZ366" s="36"/>
      <c r="EG366" s="36"/>
      <c r="EN366" s="36"/>
      <c r="EU366" s="36"/>
      <c r="FB366" s="36"/>
      <c r="FI366" s="36"/>
      <c r="FP366" s="36"/>
      <c r="FW366" s="36"/>
      <c r="GD366" s="36"/>
      <c r="GK366" s="36"/>
      <c r="GR366" s="36"/>
      <c r="GY366" s="36"/>
      <c r="HF366" s="36"/>
      <c r="HM366" s="36"/>
      <c r="HT366" s="36"/>
      <c r="IA366" s="36"/>
      <c r="IH366" s="36"/>
      <c r="IO366" s="36"/>
      <c r="IV366" s="36"/>
      <c r="JC366" s="36"/>
      <c r="JJ366" s="36"/>
      <c r="JQ366" s="36"/>
      <c r="JX366" s="36"/>
      <c r="KE366" s="36"/>
      <c r="KL366" s="36"/>
      <c r="KS366" s="36"/>
      <c r="KZ366" s="36"/>
      <c r="LF366" s="565"/>
      <c r="LG366" s="36"/>
      <c r="LM366" s="565"/>
      <c r="LN366" s="36"/>
      <c r="LT366" s="565"/>
      <c r="LU366" s="36"/>
      <c r="MA366" s="565"/>
      <c r="MB366" s="36"/>
      <c r="MH366" s="565"/>
    </row>
    <row r="367" spans="1:346" s="37" customFormat="1" ht="13.15" x14ac:dyDescent="0.4">
      <c r="A367" s="35"/>
      <c r="B367" s="36"/>
      <c r="BO367" s="36"/>
      <c r="BV367" s="36"/>
      <c r="CC367" s="36"/>
      <c r="CJ367" s="36"/>
      <c r="CQ367" s="36"/>
      <c r="CX367" s="36"/>
      <c r="DE367" s="36"/>
      <c r="DL367" s="36"/>
      <c r="DS367" s="36"/>
      <c r="DZ367" s="36"/>
      <c r="EG367" s="36"/>
      <c r="EN367" s="36"/>
      <c r="EU367" s="36"/>
      <c r="FB367" s="36"/>
      <c r="FI367" s="36"/>
      <c r="FP367" s="36"/>
      <c r="FW367" s="36"/>
      <c r="GD367" s="36"/>
      <c r="GK367" s="36"/>
      <c r="GR367" s="36"/>
      <c r="GY367" s="36"/>
      <c r="HF367" s="36"/>
      <c r="HM367" s="36"/>
      <c r="HT367" s="36"/>
      <c r="IA367" s="36"/>
      <c r="IH367" s="36"/>
      <c r="IO367" s="36"/>
      <c r="IV367" s="36"/>
      <c r="JC367" s="36"/>
      <c r="JJ367" s="36"/>
      <c r="JQ367" s="36"/>
      <c r="JX367" s="36"/>
      <c r="KE367" s="36"/>
      <c r="KL367" s="36"/>
      <c r="KS367" s="36"/>
      <c r="KZ367" s="36"/>
      <c r="LF367" s="565"/>
      <c r="LG367" s="36"/>
      <c r="LM367" s="565"/>
      <c r="LN367" s="36"/>
      <c r="LT367" s="565"/>
      <c r="LU367" s="36"/>
      <c r="MA367" s="565"/>
      <c r="MB367" s="36"/>
      <c r="MH367" s="565"/>
    </row>
    <row r="368" spans="1:346" s="37" customFormat="1" ht="13.15" x14ac:dyDescent="0.4">
      <c r="A368" s="35"/>
      <c r="B368" s="36"/>
      <c r="BO368" s="36"/>
      <c r="BV368" s="36"/>
      <c r="CC368" s="36"/>
      <c r="CJ368" s="36"/>
      <c r="CQ368" s="36"/>
      <c r="CX368" s="36"/>
      <c r="DE368" s="36"/>
      <c r="DL368" s="36"/>
      <c r="DS368" s="36"/>
      <c r="DZ368" s="36"/>
      <c r="EG368" s="36"/>
      <c r="EN368" s="36"/>
      <c r="EU368" s="36"/>
      <c r="FB368" s="36"/>
      <c r="FI368" s="36"/>
      <c r="FP368" s="36"/>
      <c r="FW368" s="36"/>
      <c r="GD368" s="36"/>
      <c r="GK368" s="36"/>
      <c r="GR368" s="36"/>
      <c r="GY368" s="36"/>
      <c r="HF368" s="36"/>
      <c r="HM368" s="36"/>
      <c r="HT368" s="36"/>
      <c r="IA368" s="36"/>
      <c r="IH368" s="36"/>
      <c r="IO368" s="36"/>
      <c r="IV368" s="36"/>
      <c r="JC368" s="36"/>
      <c r="JJ368" s="36"/>
      <c r="JQ368" s="36"/>
      <c r="JX368" s="36"/>
      <c r="KE368" s="36"/>
      <c r="KL368" s="36"/>
      <c r="KS368" s="36"/>
      <c r="KZ368" s="36"/>
      <c r="LF368" s="565"/>
      <c r="LG368" s="36"/>
      <c r="LM368" s="565"/>
      <c r="LN368" s="36"/>
      <c r="LT368" s="565"/>
      <c r="LU368" s="36"/>
      <c r="MA368" s="565"/>
      <c r="MB368" s="36"/>
      <c r="MH368" s="565"/>
    </row>
    <row r="369" spans="1:346" s="37" customFormat="1" ht="13.15" x14ac:dyDescent="0.4">
      <c r="A369" s="35"/>
      <c r="B369" s="36"/>
      <c r="BO369" s="36"/>
      <c r="BV369" s="36"/>
      <c r="CC369" s="36"/>
      <c r="CJ369" s="36"/>
      <c r="CQ369" s="36"/>
      <c r="CX369" s="36"/>
      <c r="DE369" s="36"/>
      <c r="DL369" s="36"/>
      <c r="DS369" s="36"/>
      <c r="DZ369" s="36"/>
      <c r="EG369" s="36"/>
      <c r="EN369" s="36"/>
      <c r="EU369" s="36"/>
      <c r="FB369" s="36"/>
      <c r="FI369" s="36"/>
      <c r="FP369" s="36"/>
      <c r="FW369" s="36"/>
      <c r="GD369" s="36"/>
      <c r="GK369" s="36"/>
      <c r="GR369" s="36"/>
      <c r="GY369" s="36"/>
      <c r="HF369" s="36"/>
      <c r="HM369" s="36"/>
      <c r="HT369" s="36"/>
      <c r="IA369" s="36"/>
      <c r="IH369" s="36"/>
      <c r="IO369" s="36"/>
      <c r="IV369" s="36"/>
      <c r="JC369" s="36"/>
      <c r="JJ369" s="36"/>
      <c r="JQ369" s="36"/>
      <c r="JX369" s="36"/>
      <c r="KE369" s="36"/>
      <c r="KL369" s="36"/>
      <c r="KS369" s="36"/>
      <c r="KZ369" s="36"/>
      <c r="LF369" s="565"/>
      <c r="LG369" s="36"/>
      <c r="LM369" s="565"/>
      <c r="LN369" s="36"/>
      <c r="LT369" s="565"/>
      <c r="LU369" s="36"/>
      <c r="MA369" s="565"/>
      <c r="MB369" s="36"/>
      <c r="MH369" s="565"/>
    </row>
    <row r="370" spans="1:346" s="37" customFormat="1" ht="13.15" x14ac:dyDescent="0.4">
      <c r="A370" s="35"/>
      <c r="B370" s="36"/>
      <c r="BO370" s="36"/>
      <c r="BV370" s="36"/>
      <c r="CC370" s="36"/>
      <c r="CJ370" s="36"/>
      <c r="CQ370" s="36"/>
      <c r="CX370" s="36"/>
      <c r="DE370" s="36"/>
      <c r="DL370" s="36"/>
      <c r="DS370" s="36"/>
      <c r="DZ370" s="36"/>
      <c r="EG370" s="36"/>
      <c r="EN370" s="36"/>
      <c r="EU370" s="36"/>
      <c r="FB370" s="36"/>
      <c r="FI370" s="36"/>
      <c r="FP370" s="36"/>
      <c r="FW370" s="36"/>
      <c r="GD370" s="36"/>
      <c r="GK370" s="36"/>
      <c r="GR370" s="36"/>
      <c r="GY370" s="36"/>
      <c r="HF370" s="36"/>
      <c r="HM370" s="36"/>
      <c r="HT370" s="36"/>
      <c r="IA370" s="36"/>
      <c r="IH370" s="36"/>
      <c r="IO370" s="36"/>
      <c r="IV370" s="36"/>
      <c r="JC370" s="36"/>
      <c r="JJ370" s="36"/>
      <c r="JQ370" s="36"/>
      <c r="JX370" s="36"/>
      <c r="KE370" s="36"/>
      <c r="KL370" s="36"/>
      <c r="KS370" s="36"/>
      <c r="KZ370" s="36"/>
      <c r="LF370" s="565"/>
      <c r="LG370" s="36"/>
      <c r="LM370" s="565"/>
      <c r="LN370" s="36"/>
      <c r="LT370" s="565"/>
      <c r="LU370" s="36"/>
      <c r="MA370" s="565"/>
      <c r="MB370" s="36"/>
      <c r="MH370" s="565"/>
    </row>
    <row r="371" spans="1:346" s="37" customFormat="1" ht="13.15" hidden="1" outlineLevel="1" x14ac:dyDescent="0.4">
      <c r="A371" s="38"/>
      <c r="B371" s="39" t="s">
        <v>503</v>
      </c>
      <c r="C371" s="40">
        <f t="shared" ref="C371:L371" si="7198">D371-1</f>
        <v>1978</v>
      </c>
      <c r="D371" s="40">
        <f t="shared" si="7198"/>
        <v>1979</v>
      </c>
      <c r="E371" s="40">
        <f t="shared" si="7198"/>
        <v>1980</v>
      </c>
      <c r="F371" s="40">
        <f t="shared" si="7198"/>
        <v>1981</v>
      </c>
      <c r="G371" s="40">
        <f t="shared" si="7198"/>
        <v>1982</v>
      </c>
      <c r="H371" s="40">
        <f t="shared" si="7198"/>
        <v>1983</v>
      </c>
      <c r="I371" s="40">
        <f t="shared" si="7198"/>
        <v>1984</v>
      </c>
      <c r="J371" s="40">
        <f t="shared" si="7198"/>
        <v>1985</v>
      </c>
      <c r="K371" s="40">
        <f t="shared" si="7198"/>
        <v>1986</v>
      </c>
      <c r="L371" s="40">
        <f t="shared" si="7198"/>
        <v>1987</v>
      </c>
      <c r="M371" s="40">
        <f>BT371-1</f>
        <v>1988</v>
      </c>
      <c r="N371" s="40">
        <f>BT371</f>
        <v>1989</v>
      </c>
      <c r="O371" s="40">
        <f>CA371</f>
        <v>1990</v>
      </c>
      <c r="P371" s="40">
        <f>CH371</f>
        <v>1991</v>
      </c>
      <c r="Q371" s="40">
        <f>CO371</f>
        <v>1992</v>
      </c>
      <c r="R371" s="40">
        <f>CV371</f>
        <v>1993</v>
      </c>
      <c r="S371" s="40">
        <f>DC371</f>
        <v>1994</v>
      </c>
      <c r="T371" s="40">
        <f>DJ371</f>
        <v>1995</v>
      </c>
      <c r="U371" s="40">
        <f>DQ371</f>
        <v>1996</v>
      </c>
      <c r="V371" s="40">
        <f>DX371</f>
        <v>1997</v>
      </c>
      <c r="W371" s="40">
        <f>EE371</f>
        <v>1998</v>
      </c>
      <c r="X371" s="40">
        <f>EL371</f>
        <v>1999</v>
      </c>
      <c r="Y371" s="40">
        <f>ES371</f>
        <v>2000</v>
      </c>
      <c r="Z371" s="40">
        <f>EZ371</f>
        <v>2001</v>
      </c>
      <c r="AA371" s="40">
        <f>FG371</f>
        <v>2002</v>
      </c>
      <c r="AB371" s="40">
        <f>FN371</f>
        <v>2003</v>
      </c>
      <c r="AC371" s="40">
        <f>FU371</f>
        <v>2004</v>
      </c>
      <c r="AD371" s="40" t="str">
        <f>GB371</f>
        <v>2005</v>
      </c>
      <c r="AE371" s="40" t="str">
        <f>GI371</f>
        <v>2006</v>
      </c>
      <c r="AF371" s="40" t="str">
        <f>GP371</f>
        <v>2007</v>
      </c>
      <c r="AG371" s="40" t="str">
        <f>GW371</f>
        <v>2008</v>
      </c>
      <c r="AH371" s="40" t="str">
        <f>HD371</f>
        <v>2009</v>
      </c>
      <c r="AI371" s="40" t="str">
        <f>HK371</f>
        <v>2010</v>
      </c>
      <c r="AJ371" s="40" t="str">
        <f>HR371</f>
        <v>2011</v>
      </c>
      <c r="AK371" s="40" t="str">
        <f>HY371</f>
        <v>2012</v>
      </c>
      <c r="AL371" s="40" t="str">
        <f>IF371</f>
        <v>2013</v>
      </c>
      <c r="AM371" s="40" t="str">
        <f>IM371</f>
        <v>2014</v>
      </c>
      <c r="AN371" s="40" t="str">
        <f>IT371</f>
        <v>2015</v>
      </c>
      <c r="AO371" s="40" t="str">
        <f>JA371</f>
        <v>2016</v>
      </c>
      <c r="AP371" s="40" t="str">
        <f>JH371</f>
        <v>2017</v>
      </c>
      <c r="AQ371" s="40" t="str">
        <f>JO371</f>
        <v>2018</v>
      </c>
      <c r="AR371" s="40">
        <f>JV371</f>
        <v>2019</v>
      </c>
      <c r="AS371" s="40" t="str">
        <f>KC371</f>
        <v>2020</v>
      </c>
      <c r="AT371" s="40" t="str">
        <f>KJ371</f>
        <v>2021</v>
      </c>
      <c r="AU371" s="40" t="str">
        <f>KQ371</f>
        <v>2022</v>
      </c>
      <c r="AV371" s="40" t="str">
        <f>KX371</f>
        <v>2023</v>
      </c>
      <c r="AW371" s="40" t="str">
        <f>LE371</f>
        <v>2024</v>
      </c>
      <c r="AX371" s="40" t="str">
        <f>LL371</f>
        <v>2025</v>
      </c>
      <c r="AY371" s="40" t="str">
        <f>LS371</f>
        <v>2026</v>
      </c>
      <c r="AZ371" s="40" t="str">
        <f>LZ371</f>
        <v>2026</v>
      </c>
      <c r="BA371" s="40" t="str">
        <f>MG371</f>
        <v>2026</v>
      </c>
      <c r="BB371" s="40"/>
      <c r="BC371" s="40"/>
      <c r="BD371" s="40"/>
      <c r="BE371" s="40"/>
      <c r="BF371" s="40"/>
      <c r="BG371" s="40"/>
      <c r="BH371" s="40"/>
      <c r="BI371" s="40"/>
      <c r="BJ371" s="40"/>
      <c r="BK371" s="40"/>
      <c r="BL371" s="40"/>
      <c r="BM371" s="40"/>
      <c r="BO371" s="39" t="s">
        <v>503</v>
      </c>
      <c r="BP371" s="40" t="s">
        <v>16</v>
      </c>
      <c r="BQ371" s="40" t="s">
        <v>17</v>
      </c>
      <c r="BR371" s="40" t="s">
        <v>18</v>
      </c>
      <c r="BS371" s="40" t="s">
        <v>19</v>
      </c>
      <c r="BT371" s="40">
        <f>CA371-1</f>
        <v>1989</v>
      </c>
      <c r="BV371" s="39" t="s">
        <v>503</v>
      </c>
      <c r="BW371" s="40" t="s">
        <v>16</v>
      </c>
      <c r="BX371" s="40" t="s">
        <v>17</v>
      </c>
      <c r="BY371" s="40" t="s">
        <v>18</v>
      </c>
      <c r="BZ371" s="40" t="s">
        <v>19</v>
      </c>
      <c r="CA371" s="40">
        <f>CH371-1</f>
        <v>1990</v>
      </c>
      <c r="CC371" s="39" t="s">
        <v>503</v>
      </c>
      <c r="CD371" s="40" t="s">
        <v>16</v>
      </c>
      <c r="CE371" s="40" t="s">
        <v>17</v>
      </c>
      <c r="CF371" s="40" t="s">
        <v>18</v>
      </c>
      <c r="CG371" s="40" t="s">
        <v>19</v>
      </c>
      <c r="CH371" s="40">
        <f>CO371-1</f>
        <v>1991</v>
      </c>
      <c r="CJ371" s="39" t="s">
        <v>503</v>
      </c>
      <c r="CK371" s="40" t="s">
        <v>16</v>
      </c>
      <c r="CL371" s="40" t="s">
        <v>17</v>
      </c>
      <c r="CM371" s="40" t="s">
        <v>18</v>
      </c>
      <c r="CN371" s="40" t="s">
        <v>19</v>
      </c>
      <c r="CO371" s="40">
        <f>CV371-1</f>
        <v>1992</v>
      </c>
      <c r="CQ371" s="39" t="s">
        <v>503</v>
      </c>
      <c r="CR371" s="40" t="s">
        <v>16</v>
      </c>
      <c r="CS371" s="40" t="s">
        <v>17</v>
      </c>
      <c r="CT371" s="40" t="s">
        <v>18</v>
      </c>
      <c r="CU371" s="40" t="s">
        <v>19</v>
      </c>
      <c r="CV371" s="40">
        <f>DC371-1</f>
        <v>1993</v>
      </c>
      <c r="CX371" s="39" t="s">
        <v>503</v>
      </c>
      <c r="CY371" s="40" t="s">
        <v>16</v>
      </c>
      <c r="CZ371" s="40" t="s">
        <v>17</v>
      </c>
      <c r="DA371" s="40" t="s">
        <v>18</v>
      </c>
      <c r="DB371" s="40" t="s">
        <v>19</v>
      </c>
      <c r="DC371" s="40">
        <f>DJ371-1</f>
        <v>1994</v>
      </c>
      <c r="DE371" s="39" t="s">
        <v>503</v>
      </c>
      <c r="DF371" s="40" t="s">
        <v>16</v>
      </c>
      <c r="DG371" s="40" t="s">
        <v>17</v>
      </c>
      <c r="DH371" s="40" t="s">
        <v>18</v>
      </c>
      <c r="DI371" s="40" t="s">
        <v>19</v>
      </c>
      <c r="DJ371" s="40">
        <f>DQ371-1</f>
        <v>1995</v>
      </c>
      <c r="DL371" s="39" t="s">
        <v>503</v>
      </c>
      <c r="DM371" s="40" t="s">
        <v>16</v>
      </c>
      <c r="DN371" s="40" t="s">
        <v>17</v>
      </c>
      <c r="DO371" s="40" t="s">
        <v>18</v>
      </c>
      <c r="DP371" s="40" t="s">
        <v>19</v>
      </c>
      <c r="DQ371" s="40">
        <f>DX371-1</f>
        <v>1996</v>
      </c>
      <c r="DS371" s="39" t="s">
        <v>503</v>
      </c>
      <c r="DT371" s="40" t="s">
        <v>16</v>
      </c>
      <c r="DU371" s="40" t="s">
        <v>17</v>
      </c>
      <c r="DV371" s="40" t="s">
        <v>18</v>
      </c>
      <c r="DW371" s="40" t="s">
        <v>19</v>
      </c>
      <c r="DX371" s="40">
        <f>EE371-1</f>
        <v>1997</v>
      </c>
      <c r="DZ371" s="39" t="s">
        <v>503</v>
      </c>
      <c r="EA371" s="40" t="s">
        <v>16</v>
      </c>
      <c r="EB371" s="40" t="s">
        <v>17</v>
      </c>
      <c r="EC371" s="40" t="s">
        <v>18</v>
      </c>
      <c r="ED371" s="40" t="s">
        <v>19</v>
      </c>
      <c r="EE371" s="40">
        <f>EL371-1</f>
        <v>1998</v>
      </c>
      <c r="EG371" s="39" t="s">
        <v>503</v>
      </c>
      <c r="EH371" s="40" t="s">
        <v>16</v>
      </c>
      <c r="EI371" s="40" t="s">
        <v>17</v>
      </c>
      <c r="EJ371" s="40" t="s">
        <v>18</v>
      </c>
      <c r="EK371" s="40" t="s">
        <v>19</v>
      </c>
      <c r="EL371" s="40">
        <f>ES371-1</f>
        <v>1999</v>
      </c>
      <c r="EN371" s="39" t="s">
        <v>503</v>
      </c>
      <c r="EO371" s="40" t="s">
        <v>16</v>
      </c>
      <c r="EP371" s="40" t="s">
        <v>17</v>
      </c>
      <c r="EQ371" s="40" t="s">
        <v>18</v>
      </c>
      <c r="ER371" s="40" t="s">
        <v>19</v>
      </c>
      <c r="ES371" s="40">
        <f>EZ371-1</f>
        <v>2000</v>
      </c>
      <c r="EU371" s="39" t="s">
        <v>503</v>
      </c>
      <c r="EV371" s="40" t="s">
        <v>16</v>
      </c>
      <c r="EW371" s="40" t="s">
        <v>17</v>
      </c>
      <c r="EX371" s="40" t="s">
        <v>18</v>
      </c>
      <c r="EY371" s="40" t="s">
        <v>19</v>
      </c>
      <c r="EZ371" s="40">
        <f>FG371-1</f>
        <v>2001</v>
      </c>
      <c r="FB371" s="39" t="s">
        <v>503</v>
      </c>
      <c r="FC371" s="40" t="s">
        <v>16</v>
      </c>
      <c r="FD371" s="40" t="s">
        <v>17</v>
      </c>
      <c r="FE371" s="40" t="s">
        <v>18</v>
      </c>
      <c r="FF371" s="40" t="s">
        <v>19</v>
      </c>
      <c r="FG371" s="40">
        <f>FN371-1</f>
        <v>2002</v>
      </c>
      <c r="FI371" s="39" t="s">
        <v>503</v>
      </c>
      <c r="FJ371" s="40" t="s">
        <v>16</v>
      </c>
      <c r="FK371" s="40" t="s">
        <v>17</v>
      </c>
      <c r="FL371" s="40" t="s">
        <v>18</v>
      </c>
      <c r="FM371" s="40" t="s">
        <v>19</v>
      </c>
      <c r="FN371" s="40">
        <f>FU371-1</f>
        <v>2003</v>
      </c>
      <c r="FP371" s="39" t="s">
        <v>503</v>
      </c>
      <c r="FQ371" s="40" t="s">
        <v>16</v>
      </c>
      <c r="FR371" s="40" t="s">
        <v>17</v>
      </c>
      <c r="FS371" s="40" t="s">
        <v>18</v>
      </c>
      <c r="FT371" s="40" t="s">
        <v>19</v>
      </c>
      <c r="FU371" s="40">
        <f>GB371-1</f>
        <v>2004</v>
      </c>
      <c r="FW371" s="39" t="s">
        <v>503</v>
      </c>
      <c r="FX371" s="40" t="s">
        <v>16</v>
      </c>
      <c r="FY371" s="40" t="s">
        <v>17</v>
      </c>
      <c r="FZ371" s="40" t="s">
        <v>18</v>
      </c>
      <c r="GA371" s="40" t="s">
        <v>19</v>
      </c>
      <c r="GB371" s="40" t="s">
        <v>156</v>
      </c>
      <c r="GD371" s="39" t="s">
        <v>503</v>
      </c>
      <c r="GE371" s="40" t="s">
        <v>16</v>
      </c>
      <c r="GF371" s="40" t="s">
        <v>17</v>
      </c>
      <c r="GG371" s="40" t="s">
        <v>18</v>
      </c>
      <c r="GH371" s="40" t="s">
        <v>19</v>
      </c>
      <c r="GI371" s="40" t="s">
        <v>155</v>
      </c>
      <c r="GK371" s="39" t="s">
        <v>503</v>
      </c>
      <c r="GL371" s="40" t="s">
        <v>16</v>
      </c>
      <c r="GM371" s="40" t="s">
        <v>17</v>
      </c>
      <c r="GN371" s="40" t="s">
        <v>18</v>
      </c>
      <c r="GO371" s="40" t="s">
        <v>19</v>
      </c>
      <c r="GP371" s="40" t="s">
        <v>154</v>
      </c>
      <c r="GR371" s="39" t="s">
        <v>503</v>
      </c>
      <c r="GS371" s="40" t="s">
        <v>16</v>
      </c>
      <c r="GT371" s="40" t="s">
        <v>17</v>
      </c>
      <c r="GU371" s="40" t="s">
        <v>18</v>
      </c>
      <c r="GV371" s="40" t="s">
        <v>19</v>
      </c>
      <c r="GW371" s="40" t="s">
        <v>153</v>
      </c>
      <c r="GY371" s="39" t="s">
        <v>503</v>
      </c>
      <c r="GZ371" s="40" t="s">
        <v>16</v>
      </c>
      <c r="HA371" s="40" t="s">
        <v>17</v>
      </c>
      <c r="HB371" s="40" t="s">
        <v>18</v>
      </c>
      <c r="HC371" s="40" t="s">
        <v>19</v>
      </c>
      <c r="HD371" s="40" t="s">
        <v>42</v>
      </c>
      <c r="HF371" s="39" t="s">
        <v>503</v>
      </c>
      <c r="HG371" s="40" t="s">
        <v>16</v>
      </c>
      <c r="HH371" s="40" t="s">
        <v>17</v>
      </c>
      <c r="HI371" s="40" t="s">
        <v>18</v>
      </c>
      <c r="HJ371" s="40" t="s">
        <v>19</v>
      </c>
      <c r="HK371" s="40" t="s">
        <v>41</v>
      </c>
      <c r="HM371" s="39" t="s">
        <v>503</v>
      </c>
      <c r="HN371" s="40" t="s">
        <v>16</v>
      </c>
      <c r="HO371" s="40" t="s">
        <v>17</v>
      </c>
      <c r="HP371" s="40" t="s">
        <v>18</v>
      </c>
      <c r="HQ371" s="40" t="s">
        <v>19</v>
      </c>
      <c r="HR371" s="40" t="s">
        <v>40</v>
      </c>
      <c r="HT371" s="39" t="s">
        <v>503</v>
      </c>
      <c r="HU371" s="40" t="s">
        <v>16</v>
      </c>
      <c r="HV371" s="40" t="s">
        <v>17</v>
      </c>
      <c r="HW371" s="40" t="s">
        <v>18</v>
      </c>
      <c r="HX371" s="40" t="s">
        <v>19</v>
      </c>
      <c r="HY371" s="40" t="s">
        <v>39</v>
      </c>
      <c r="IA371" s="39" t="s">
        <v>503</v>
      </c>
      <c r="IB371" s="40" t="s">
        <v>16</v>
      </c>
      <c r="IC371" s="40" t="s">
        <v>17</v>
      </c>
      <c r="ID371" s="40" t="s">
        <v>18</v>
      </c>
      <c r="IE371" s="40" t="s">
        <v>19</v>
      </c>
      <c r="IF371" s="40" t="s">
        <v>38</v>
      </c>
      <c r="IH371" s="39" t="s">
        <v>503</v>
      </c>
      <c r="II371" s="40" t="s">
        <v>16</v>
      </c>
      <c r="IJ371" s="40" t="s">
        <v>17</v>
      </c>
      <c r="IK371" s="40" t="s">
        <v>18</v>
      </c>
      <c r="IL371" s="40" t="s">
        <v>19</v>
      </c>
      <c r="IM371" s="40" t="s">
        <v>37</v>
      </c>
      <c r="IO371" s="39" t="s">
        <v>503</v>
      </c>
      <c r="IP371" s="40" t="s">
        <v>16</v>
      </c>
      <c r="IQ371" s="40" t="s">
        <v>17</v>
      </c>
      <c r="IR371" s="40" t="s">
        <v>18</v>
      </c>
      <c r="IS371" s="40" t="s">
        <v>19</v>
      </c>
      <c r="IT371" s="40" t="s">
        <v>36</v>
      </c>
      <c r="IV371" s="39" t="s">
        <v>503</v>
      </c>
      <c r="IW371" s="40" t="s">
        <v>16</v>
      </c>
      <c r="IX371" s="40" t="s">
        <v>17</v>
      </c>
      <c r="IY371" s="40" t="s">
        <v>18</v>
      </c>
      <c r="IZ371" s="40" t="s">
        <v>19</v>
      </c>
      <c r="JA371" s="40" t="s">
        <v>35</v>
      </c>
      <c r="JC371" s="39" t="s">
        <v>503</v>
      </c>
      <c r="JD371" s="40" t="s">
        <v>16</v>
      </c>
      <c r="JE371" s="40" t="s">
        <v>17</v>
      </c>
      <c r="JF371" s="40" t="s">
        <v>18</v>
      </c>
      <c r="JG371" s="40" t="s">
        <v>19</v>
      </c>
      <c r="JH371" s="40" t="s">
        <v>34</v>
      </c>
      <c r="JJ371" s="39" t="s">
        <v>503</v>
      </c>
      <c r="JK371" s="40" t="s">
        <v>16</v>
      </c>
      <c r="JL371" s="40" t="s">
        <v>17</v>
      </c>
      <c r="JM371" s="40" t="s">
        <v>18</v>
      </c>
      <c r="JN371" s="40" t="s">
        <v>19</v>
      </c>
      <c r="JO371" s="40" t="s">
        <v>20</v>
      </c>
      <c r="JQ371" s="39" t="s">
        <v>503</v>
      </c>
      <c r="JR371" s="40" t="s">
        <v>16</v>
      </c>
      <c r="JS371" s="40" t="s">
        <v>17</v>
      </c>
      <c r="JT371" s="40" t="s">
        <v>18</v>
      </c>
      <c r="JU371" s="40" t="s">
        <v>19</v>
      </c>
      <c r="JV371" s="40">
        <v>2019</v>
      </c>
      <c r="JX371" s="39" t="s">
        <v>503</v>
      </c>
      <c r="JY371" s="40" t="s">
        <v>16</v>
      </c>
      <c r="JZ371" s="40" t="s">
        <v>17</v>
      </c>
      <c r="KA371" s="40" t="s">
        <v>18</v>
      </c>
      <c r="KB371" s="40" t="s">
        <v>19</v>
      </c>
      <c r="KC371" s="40" t="s">
        <v>225</v>
      </c>
      <c r="KE371" s="39" t="s">
        <v>503</v>
      </c>
      <c r="KF371" s="40" t="s">
        <v>16</v>
      </c>
      <c r="KG371" s="40" t="s">
        <v>17</v>
      </c>
      <c r="KH371" s="40" t="s">
        <v>18</v>
      </c>
      <c r="KI371" s="40" t="s">
        <v>19</v>
      </c>
      <c r="KJ371" s="40" t="s">
        <v>260</v>
      </c>
      <c r="KL371" s="39" t="s">
        <v>503</v>
      </c>
      <c r="KM371" s="40" t="s">
        <v>16</v>
      </c>
      <c r="KN371" s="40" t="s">
        <v>17</v>
      </c>
      <c r="KO371" s="40" t="s">
        <v>18</v>
      </c>
      <c r="KP371" s="40" t="s">
        <v>19</v>
      </c>
      <c r="KQ371" s="40" t="s">
        <v>270</v>
      </c>
      <c r="KS371" s="39" t="s">
        <v>503</v>
      </c>
      <c r="KT371" s="40" t="s">
        <v>16</v>
      </c>
      <c r="KU371" s="40" t="s">
        <v>254</v>
      </c>
      <c r="KV371" s="40" t="s">
        <v>18</v>
      </c>
      <c r="KW371" s="210" t="s">
        <v>19</v>
      </c>
      <c r="KX371" s="40" t="s">
        <v>280</v>
      </c>
      <c r="KZ371" s="39" t="s">
        <v>503</v>
      </c>
      <c r="LA371" s="40" t="s">
        <v>253</v>
      </c>
      <c r="LB371" s="40" t="s">
        <v>254</v>
      </c>
      <c r="LC371" s="40" t="s">
        <v>251</v>
      </c>
      <c r="LD371" s="210" t="s">
        <v>252</v>
      </c>
      <c r="LE371" s="40" t="s">
        <v>292</v>
      </c>
      <c r="LF371" s="546"/>
      <c r="LG371" s="39" t="s">
        <v>503</v>
      </c>
      <c r="LH371" s="40" t="s">
        <v>253</v>
      </c>
      <c r="LI371" s="40" t="s">
        <v>254</v>
      </c>
      <c r="LJ371" s="40" t="s">
        <v>251</v>
      </c>
      <c r="LK371" s="40" t="s">
        <v>252</v>
      </c>
      <c r="LL371" s="40" t="s">
        <v>457</v>
      </c>
      <c r="LM371" s="546"/>
      <c r="LN371" s="39" t="s">
        <v>503</v>
      </c>
      <c r="LO371" s="40" t="s">
        <v>253</v>
      </c>
      <c r="LP371" s="40" t="s">
        <v>254</v>
      </c>
      <c r="LQ371" s="40" t="s">
        <v>251</v>
      </c>
      <c r="LR371" s="40" t="s">
        <v>252</v>
      </c>
      <c r="LS371" s="40" t="s">
        <v>466</v>
      </c>
      <c r="LT371" s="546"/>
      <c r="LU371" s="39" t="s">
        <v>503</v>
      </c>
      <c r="LV371" s="40" t="s">
        <v>253</v>
      </c>
      <c r="LW371" s="40" t="s">
        <v>254</v>
      </c>
      <c r="LX371" s="40" t="s">
        <v>251</v>
      </c>
      <c r="LY371" s="40" t="s">
        <v>252</v>
      </c>
      <c r="LZ371" s="40" t="s">
        <v>466</v>
      </c>
      <c r="MA371" s="546"/>
      <c r="MB371" s="39" t="s">
        <v>503</v>
      </c>
      <c r="MC371" s="40" t="s">
        <v>253</v>
      </c>
      <c r="MD371" s="40" t="s">
        <v>254</v>
      </c>
      <c r="ME371" s="40" t="s">
        <v>251</v>
      </c>
      <c r="MF371" s="40" t="s">
        <v>252</v>
      </c>
      <c r="MG371" s="40" t="s">
        <v>466</v>
      </c>
      <c r="MH371" s="546"/>
    </row>
    <row r="372" spans="1:346" s="37" customFormat="1" ht="13.15" hidden="1" outlineLevel="1" x14ac:dyDescent="0.4">
      <c r="A372" s="41"/>
      <c r="B372" s="42" t="s">
        <v>1</v>
      </c>
      <c r="C372" s="43" t="s">
        <v>21</v>
      </c>
      <c r="D372" s="43" t="s">
        <v>21</v>
      </c>
      <c r="E372" s="43" t="s">
        <v>21</v>
      </c>
      <c r="F372" s="43" t="s">
        <v>21</v>
      </c>
      <c r="G372" s="43" t="s">
        <v>21</v>
      </c>
      <c r="H372" s="43" t="s">
        <v>21</v>
      </c>
      <c r="I372" s="43" t="s">
        <v>21</v>
      </c>
      <c r="J372" s="43" t="s">
        <v>21</v>
      </c>
      <c r="K372" s="43" t="s">
        <v>21</v>
      </c>
      <c r="L372" s="43" t="s">
        <v>21</v>
      </c>
      <c r="M372" s="43" t="s">
        <v>21</v>
      </c>
      <c r="N372" s="43" t="str">
        <f>BT372</f>
        <v>FY</v>
      </c>
      <c r="O372" s="43" t="str">
        <f>CA372</f>
        <v>FY</v>
      </c>
      <c r="P372" s="43" t="str">
        <f>CH372</f>
        <v>FY</v>
      </c>
      <c r="Q372" s="43" t="str">
        <f>CO372</f>
        <v>FY</v>
      </c>
      <c r="R372" s="43" t="str">
        <f>CV372</f>
        <v>FY</v>
      </c>
      <c r="S372" s="43" t="str">
        <f>DC372</f>
        <v>FY</v>
      </c>
      <c r="T372" s="43" t="str">
        <f>DJ372</f>
        <v>FY</v>
      </c>
      <c r="U372" s="43" t="str">
        <f>DQ372</f>
        <v>FY</v>
      </c>
      <c r="V372" s="43" t="str">
        <f>DX372</f>
        <v>FY</v>
      </c>
      <c r="W372" s="43" t="str">
        <f>EE372</f>
        <v>FY</v>
      </c>
      <c r="X372" s="43" t="str">
        <f>EL372</f>
        <v>FY</v>
      </c>
      <c r="Y372" s="43" t="str">
        <f>ES372</f>
        <v>FY</v>
      </c>
      <c r="Z372" s="43" t="str">
        <f>EZ372</f>
        <v>FY</v>
      </c>
      <c r="AA372" s="43" t="str">
        <f>FG372</f>
        <v>FY</v>
      </c>
      <c r="AB372" s="43" t="str">
        <f>FN372</f>
        <v>FY</v>
      </c>
      <c r="AC372" s="43" t="str">
        <f>FU372</f>
        <v>FY</v>
      </c>
      <c r="AD372" s="43" t="str">
        <f>GB372</f>
        <v>FY</v>
      </c>
      <c r="AE372" s="43" t="str">
        <f>GI372</f>
        <v>FY</v>
      </c>
      <c r="AF372" s="43" t="str">
        <f>GP372</f>
        <v>FY</v>
      </c>
      <c r="AG372" s="43" t="str">
        <f>GW372</f>
        <v>FY</v>
      </c>
      <c r="AH372" s="43" t="str">
        <f>HD372</f>
        <v>FY</v>
      </c>
      <c r="AI372" s="43" t="str">
        <f>HK372</f>
        <v>FY</v>
      </c>
      <c r="AJ372" s="43" t="str">
        <f>HR372</f>
        <v>FY</v>
      </c>
      <c r="AK372" s="43" t="str">
        <f>HY372</f>
        <v>FY</v>
      </c>
      <c r="AL372" s="43" t="str">
        <f>IF372</f>
        <v>FY</v>
      </c>
      <c r="AM372" s="43" t="str">
        <f>IM372</f>
        <v>FY</v>
      </c>
      <c r="AN372" s="43" t="str">
        <f>IT372</f>
        <v>FY</v>
      </c>
      <c r="AO372" s="43" t="str">
        <f>JA372</f>
        <v>FY</v>
      </c>
      <c r="AP372" s="43" t="str">
        <f>JH372</f>
        <v>FY</v>
      </c>
      <c r="AQ372" s="43" t="str">
        <f>JO372</f>
        <v>FY</v>
      </c>
      <c r="AR372" s="43" t="str">
        <f>JV372</f>
        <v>FY</v>
      </c>
      <c r="AS372" s="43" t="str">
        <f>KC372</f>
        <v>FY</v>
      </c>
      <c r="AT372" s="43" t="str">
        <f>KJ372</f>
        <v>FY</v>
      </c>
      <c r="AU372" s="43" t="str">
        <f>KQ372</f>
        <v>FY</v>
      </c>
      <c r="AV372" s="43" t="str">
        <f>KX372</f>
        <v>FY</v>
      </c>
      <c r="AW372" s="43" t="str">
        <f>LE372</f>
        <v>FY</v>
      </c>
      <c r="AX372" s="43" t="str">
        <f>LL372</f>
        <v>FY</v>
      </c>
      <c r="AY372" s="43" t="str">
        <f>LS372</f>
        <v>FY</v>
      </c>
      <c r="AZ372" s="43" t="str">
        <f>LZ372</f>
        <v>FY</v>
      </c>
      <c r="BA372" s="43" t="str">
        <f>MG372</f>
        <v>FY</v>
      </c>
      <c r="BB372" s="43"/>
      <c r="BC372" s="43"/>
      <c r="BD372" s="43"/>
      <c r="BE372" s="43"/>
      <c r="BF372" s="43"/>
      <c r="BG372" s="43"/>
      <c r="BH372" s="43"/>
      <c r="BI372" s="43"/>
      <c r="BJ372" s="43"/>
      <c r="BK372" s="43"/>
      <c r="BL372" s="43"/>
      <c r="BM372" s="43"/>
      <c r="BO372" s="42" t="s">
        <v>1</v>
      </c>
      <c r="BP372" s="43" t="s">
        <v>69</v>
      </c>
      <c r="BQ372" s="43" t="s">
        <v>70</v>
      </c>
      <c r="BR372" s="43" t="s">
        <v>71</v>
      </c>
      <c r="BS372" s="43" t="s">
        <v>72</v>
      </c>
      <c r="BT372" s="43" t="s">
        <v>21</v>
      </c>
      <c r="BV372" s="42" t="s">
        <v>1</v>
      </c>
      <c r="BW372" s="43" t="s">
        <v>69</v>
      </c>
      <c r="BX372" s="43" t="s">
        <v>70</v>
      </c>
      <c r="BY372" s="43" t="s">
        <v>71</v>
      </c>
      <c r="BZ372" s="43" t="s">
        <v>72</v>
      </c>
      <c r="CA372" s="43" t="s">
        <v>21</v>
      </c>
      <c r="CC372" s="42" t="s">
        <v>1</v>
      </c>
      <c r="CD372" s="43" t="s">
        <v>69</v>
      </c>
      <c r="CE372" s="43" t="s">
        <v>70</v>
      </c>
      <c r="CF372" s="43" t="s">
        <v>71</v>
      </c>
      <c r="CG372" s="43" t="s">
        <v>72</v>
      </c>
      <c r="CH372" s="43" t="s">
        <v>21</v>
      </c>
      <c r="CJ372" s="42" t="s">
        <v>1</v>
      </c>
      <c r="CK372" s="43" t="s">
        <v>69</v>
      </c>
      <c r="CL372" s="43" t="s">
        <v>70</v>
      </c>
      <c r="CM372" s="43" t="s">
        <v>71</v>
      </c>
      <c r="CN372" s="43" t="s">
        <v>72</v>
      </c>
      <c r="CO372" s="43" t="s">
        <v>21</v>
      </c>
      <c r="CQ372" s="42" t="s">
        <v>1</v>
      </c>
      <c r="CR372" s="43" t="s">
        <v>69</v>
      </c>
      <c r="CS372" s="43" t="s">
        <v>70</v>
      </c>
      <c r="CT372" s="43" t="s">
        <v>71</v>
      </c>
      <c r="CU372" s="43" t="s">
        <v>72</v>
      </c>
      <c r="CV372" s="43" t="s">
        <v>21</v>
      </c>
      <c r="CX372" s="42" t="s">
        <v>1</v>
      </c>
      <c r="CY372" s="43" t="s">
        <v>69</v>
      </c>
      <c r="CZ372" s="43" t="s">
        <v>70</v>
      </c>
      <c r="DA372" s="43" t="s">
        <v>71</v>
      </c>
      <c r="DB372" s="43" t="s">
        <v>72</v>
      </c>
      <c r="DC372" s="43" t="s">
        <v>21</v>
      </c>
      <c r="DE372" s="42" t="s">
        <v>1</v>
      </c>
      <c r="DF372" s="43" t="s">
        <v>69</v>
      </c>
      <c r="DG372" s="43" t="s">
        <v>70</v>
      </c>
      <c r="DH372" s="43" t="s">
        <v>71</v>
      </c>
      <c r="DI372" s="43" t="s">
        <v>72</v>
      </c>
      <c r="DJ372" s="43" t="s">
        <v>21</v>
      </c>
      <c r="DL372" s="42" t="s">
        <v>1</v>
      </c>
      <c r="DM372" s="43" t="s">
        <v>69</v>
      </c>
      <c r="DN372" s="43" t="s">
        <v>70</v>
      </c>
      <c r="DO372" s="43" t="s">
        <v>71</v>
      </c>
      <c r="DP372" s="43" t="s">
        <v>72</v>
      </c>
      <c r="DQ372" s="43" t="s">
        <v>21</v>
      </c>
      <c r="DS372" s="42" t="s">
        <v>1</v>
      </c>
      <c r="DT372" s="43" t="s">
        <v>69</v>
      </c>
      <c r="DU372" s="43" t="s">
        <v>70</v>
      </c>
      <c r="DV372" s="43" t="s">
        <v>71</v>
      </c>
      <c r="DW372" s="43" t="s">
        <v>72</v>
      </c>
      <c r="DX372" s="43" t="s">
        <v>21</v>
      </c>
      <c r="DZ372" s="42" t="s">
        <v>1</v>
      </c>
      <c r="EA372" s="43" t="s">
        <v>69</v>
      </c>
      <c r="EB372" s="43" t="s">
        <v>70</v>
      </c>
      <c r="EC372" s="43" t="s">
        <v>71</v>
      </c>
      <c r="ED372" s="43" t="s">
        <v>72</v>
      </c>
      <c r="EE372" s="43" t="s">
        <v>21</v>
      </c>
      <c r="EG372" s="42" t="s">
        <v>1</v>
      </c>
      <c r="EH372" s="43" t="s">
        <v>69</v>
      </c>
      <c r="EI372" s="43" t="s">
        <v>70</v>
      </c>
      <c r="EJ372" s="43" t="s">
        <v>71</v>
      </c>
      <c r="EK372" s="43" t="s">
        <v>72</v>
      </c>
      <c r="EL372" s="43" t="s">
        <v>21</v>
      </c>
      <c r="EN372" s="42" t="s">
        <v>1</v>
      </c>
      <c r="EO372" s="43" t="s">
        <v>69</v>
      </c>
      <c r="EP372" s="43" t="s">
        <v>70</v>
      </c>
      <c r="EQ372" s="43" t="s">
        <v>71</v>
      </c>
      <c r="ER372" s="43" t="s">
        <v>72</v>
      </c>
      <c r="ES372" s="43" t="s">
        <v>21</v>
      </c>
      <c r="EU372" s="42" t="s">
        <v>1</v>
      </c>
      <c r="EV372" s="43" t="s">
        <v>69</v>
      </c>
      <c r="EW372" s="43" t="s">
        <v>70</v>
      </c>
      <c r="EX372" s="43" t="s">
        <v>71</v>
      </c>
      <c r="EY372" s="43" t="s">
        <v>72</v>
      </c>
      <c r="EZ372" s="43" t="s">
        <v>21</v>
      </c>
      <c r="FB372" s="42" t="s">
        <v>1</v>
      </c>
      <c r="FC372" s="43" t="s">
        <v>69</v>
      </c>
      <c r="FD372" s="43" t="s">
        <v>70</v>
      </c>
      <c r="FE372" s="43" t="s">
        <v>71</v>
      </c>
      <c r="FF372" s="43" t="s">
        <v>72</v>
      </c>
      <c r="FG372" s="43" t="s">
        <v>21</v>
      </c>
      <c r="FI372" s="42" t="s">
        <v>1</v>
      </c>
      <c r="FJ372" s="43" t="s">
        <v>69</v>
      </c>
      <c r="FK372" s="43" t="s">
        <v>70</v>
      </c>
      <c r="FL372" s="43" t="s">
        <v>71</v>
      </c>
      <c r="FM372" s="43" t="s">
        <v>72</v>
      </c>
      <c r="FN372" s="43" t="s">
        <v>21</v>
      </c>
      <c r="FP372" s="42" t="s">
        <v>1</v>
      </c>
      <c r="FQ372" s="43" t="s">
        <v>69</v>
      </c>
      <c r="FR372" s="43" t="s">
        <v>70</v>
      </c>
      <c r="FS372" s="43" t="s">
        <v>71</v>
      </c>
      <c r="FT372" s="43" t="s">
        <v>72</v>
      </c>
      <c r="FU372" s="43" t="s">
        <v>21</v>
      </c>
      <c r="FW372" s="42" t="s">
        <v>1</v>
      </c>
      <c r="FX372" s="43" t="s">
        <v>69</v>
      </c>
      <c r="FY372" s="43" t="s">
        <v>70</v>
      </c>
      <c r="FZ372" s="43" t="s">
        <v>71</v>
      </c>
      <c r="GA372" s="43" t="s">
        <v>72</v>
      </c>
      <c r="GB372" s="43" t="s">
        <v>21</v>
      </c>
      <c r="GD372" s="42" t="s">
        <v>1</v>
      </c>
      <c r="GE372" s="43" t="s">
        <v>69</v>
      </c>
      <c r="GF372" s="43" t="s">
        <v>70</v>
      </c>
      <c r="GG372" s="43" t="s">
        <v>71</v>
      </c>
      <c r="GH372" s="43" t="s">
        <v>72</v>
      </c>
      <c r="GI372" s="43" t="s">
        <v>21</v>
      </c>
      <c r="GK372" s="42" t="s">
        <v>1</v>
      </c>
      <c r="GL372" s="43" t="s">
        <v>69</v>
      </c>
      <c r="GM372" s="43" t="s">
        <v>70</v>
      </c>
      <c r="GN372" s="43" t="s">
        <v>71</v>
      </c>
      <c r="GO372" s="43" t="s">
        <v>72</v>
      </c>
      <c r="GP372" s="43" t="s">
        <v>21</v>
      </c>
      <c r="GR372" s="42" t="s">
        <v>1</v>
      </c>
      <c r="GS372" s="43" t="s">
        <v>69</v>
      </c>
      <c r="GT372" s="43" t="s">
        <v>70</v>
      </c>
      <c r="GU372" s="43" t="s">
        <v>71</v>
      </c>
      <c r="GV372" s="43" t="s">
        <v>72</v>
      </c>
      <c r="GW372" s="43" t="s">
        <v>21</v>
      </c>
      <c r="GY372" s="42" t="s">
        <v>1</v>
      </c>
      <c r="GZ372" s="43" t="s">
        <v>69</v>
      </c>
      <c r="HA372" s="43" t="s">
        <v>70</v>
      </c>
      <c r="HB372" s="43" t="s">
        <v>71</v>
      </c>
      <c r="HC372" s="43" t="s">
        <v>72</v>
      </c>
      <c r="HD372" s="43" t="s">
        <v>21</v>
      </c>
      <c r="HF372" s="42" t="s">
        <v>1</v>
      </c>
      <c r="HG372" s="43" t="s">
        <v>69</v>
      </c>
      <c r="HH372" s="43" t="s">
        <v>70</v>
      </c>
      <c r="HI372" s="43" t="s">
        <v>71</v>
      </c>
      <c r="HJ372" s="43" t="s">
        <v>72</v>
      </c>
      <c r="HK372" s="43" t="s">
        <v>21</v>
      </c>
      <c r="HM372" s="42" t="s">
        <v>1</v>
      </c>
      <c r="HN372" s="43" t="s">
        <v>69</v>
      </c>
      <c r="HO372" s="43" t="s">
        <v>70</v>
      </c>
      <c r="HP372" s="43" t="s">
        <v>71</v>
      </c>
      <c r="HQ372" s="43" t="s">
        <v>72</v>
      </c>
      <c r="HR372" s="43" t="s">
        <v>21</v>
      </c>
      <c r="HT372" s="42" t="s">
        <v>1</v>
      </c>
      <c r="HU372" s="43" t="s">
        <v>69</v>
      </c>
      <c r="HV372" s="43" t="s">
        <v>70</v>
      </c>
      <c r="HW372" s="43" t="s">
        <v>71</v>
      </c>
      <c r="HX372" s="43" t="s">
        <v>72</v>
      </c>
      <c r="HY372" s="43" t="s">
        <v>21</v>
      </c>
      <c r="IA372" s="42" t="s">
        <v>1</v>
      </c>
      <c r="IB372" s="43" t="s">
        <v>69</v>
      </c>
      <c r="IC372" s="43" t="s">
        <v>70</v>
      </c>
      <c r="ID372" s="43" t="s">
        <v>71</v>
      </c>
      <c r="IE372" s="43" t="s">
        <v>72</v>
      </c>
      <c r="IF372" s="43" t="s">
        <v>21</v>
      </c>
      <c r="IH372" s="42" t="s">
        <v>1</v>
      </c>
      <c r="II372" s="43" t="s">
        <v>69</v>
      </c>
      <c r="IJ372" s="43" t="s">
        <v>70</v>
      </c>
      <c r="IK372" s="43" t="s">
        <v>71</v>
      </c>
      <c r="IL372" s="43" t="s">
        <v>72</v>
      </c>
      <c r="IM372" s="43" t="s">
        <v>21</v>
      </c>
      <c r="IO372" s="42" t="s">
        <v>1</v>
      </c>
      <c r="IP372" s="43" t="s">
        <v>69</v>
      </c>
      <c r="IQ372" s="43" t="s">
        <v>70</v>
      </c>
      <c r="IR372" s="43" t="s">
        <v>71</v>
      </c>
      <c r="IS372" s="43" t="s">
        <v>72</v>
      </c>
      <c r="IT372" s="43" t="s">
        <v>21</v>
      </c>
      <c r="IV372" s="42" t="s">
        <v>1</v>
      </c>
      <c r="IW372" s="43" t="s">
        <v>69</v>
      </c>
      <c r="IX372" s="43" t="s">
        <v>70</v>
      </c>
      <c r="IY372" s="43" t="s">
        <v>71</v>
      </c>
      <c r="IZ372" s="43" t="s">
        <v>72</v>
      </c>
      <c r="JA372" s="43" t="s">
        <v>21</v>
      </c>
      <c r="JC372" s="42" t="s">
        <v>1</v>
      </c>
      <c r="JD372" s="43" t="s">
        <v>69</v>
      </c>
      <c r="JE372" s="43" t="s">
        <v>70</v>
      </c>
      <c r="JF372" s="43" t="s">
        <v>71</v>
      </c>
      <c r="JG372" s="43" t="s">
        <v>72</v>
      </c>
      <c r="JH372" s="43" t="s">
        <v>21</v>
      </c>
      <c r="JJ372" s="42" t="s">
        <v>1</v>
      </c>
      <c r="JK372" s="43" t="s">
        <v>69</v>
      </c>
      <c r="JL372" s="43" t="s">
        <v>70</v>
      </c>
      <c r="JM372" s="43" t="s">
        <v>71</v>
      </c>
      <c r="JN372" s="43" t="s">
        <v>72</v>
      </c>
      <c r="JO372" s="43" t="s">
        <v>21</v>
      </c>
      <c r="JQ372" s="42" t="s">
        <v>1</v>
      </c>
      <c r="JR372" s="43" t="s">
        <v>69</v>
      </c>
      <c r="JS372" s="43" t="s">
        <v>70</v>
      </c>
      <c r="JT372" s="43" t="s">
        <v>71</v>
      </c>
      <c r="JU372" s="43" t="s">
        <v>72</v>
      </c>
      <c r="JV372" s="43" t="s">
        <v>21</v>
      </c>
      <c r="JX372" s="42" t="s">
        <v>1</v>
      </c>
      <c r="JY372" s="43" t="s">
        <v>69</v>
      </c>
      <c r="JZ372" s="43" t="s">
        <v>70</v>
      </c>
      <c r="KA372" s="43" t="s">
        <v>71</v>
      </c>
      <c r="KB372" s="43" t="s">
        <v>72</v>
      </c>
      <c r="KC372" s="43" t="s">
        <v>21</v>
      </c>
      <c r="KE372" s="42" t="s">
        <v>1</v>
      </c>
      <c r="KF372" s="43" t="s">
        <v>69</v>
      </c>
      <c r="KG372" s="43" t="s">
        <v>70</v>
      </c>
      <c r="KH372" s="43" t="s">
        <v>71</v>
      </c>
      <c r="KI372" s="43" t="s">
        <v>72</v>
      </c>
      <c r="KJ372" s="43" t="s">
        <v>21</v>
      </c>
      <c r="KL372" s="42" t="s">
        <v>1</v>
      </c>
      <c r="KM372" s="43" t="s">
        <v>69</v>
      </c>
      <c r="KN372" s="43" t="s">
        <v>70</v>
      </c>
      <c r="KO372" s="43" t="s">
        <v>71</v>
      </c>
      <c r="KP372" s="43" t="s">
        <v>72</v>
      </c>
      <c r="KQ372" s="43" t="s">
        <v>21</v>
      </c>
      <c r="KS372" s="42" t="s">
        <v>1</v>
      </c>
      <c r="KT372" s="43" t="s">
        <v>69</v>
      </c>
      <c r="KU372" s="43" t="s">
        <v>70</v>
      </c>
      <c r="KV372" s="43" t="s">
        <v>71</v>
      </c>
      <c r="KW372" s="43" t="s">
        <v>72</v>
      </c>
      <c r="KX372" s="43" t="s">
        <v>21</v>
      </c>
      <c r="KZ372" s="42" t="s">
        <v>1</v>
      </c>
      <c r="LA372" s="43" t="s">
        <v>69</v>
      </c>
      <c r="LB372" s="43" t="s">
        <v>70</v>
      </c>
      <c r="LC372" s="43" t="s">
        <v>71</v>
      </c>
      <c r="LD372" s="43" t="s">
        <v>72</v>
      </c>
      <c r="LE372" s="43" t="s">
        <v>21</v>
      </c>
      <c r="LF372" s="576"/>
      <c r="LG372" s="42" t="s">
        <v>1</v>
      </c>
      <c r="LH372" s="43" t="s">
        <v>69</v>
      </c>
      <c r="LI372" s="43" t="s">
        <v>70</v>
      </c>
      <c r="LJ372" s="43" t="s">
        <v>71</v>
      </c>
      <c r="LK372" s="43" t="s">
        <v>72</v>
      </c>
      <c r="LL372" s="43" t="s">
        <v>21</v>
      </c>
      <c r="LM372" s="576"/>
      <c r="LN372" s="42" t="s">
        <v>1</v>
      </c>
      <c r="LO372" s="43" t="s">
        <v>69</v>
      </c>
      <c r="LP372" s="43" t="s">
        <v>70</v>
      </c>
      <c r="LQ372" s="43" t="s">
        <v>71</v>
      </c>
      <c r="LR372" s="43" t="s">
        <v>72</v>
      </c>
      <c r="LS372" s="43" t="s">
        <v>21</v>
      </c>
      <c r="LT372" s="576"/>
      <c r="LU372" s="42" t="s">
        <v>1</v>
      </c>
      <c r="LV372" s="43" t="s">
        <v>69</v>
      </c>
      <c r="LW372" s="43" t="s">
        <v>70</v>
      </c>
      <c r="LX372" s="43" t="s">
        <v>71</v>
      </c>
      <c r="LY372" s="43" t="s">
        <v>72</v>
      </c>
      <c r="LZ372" s="43" t="s">
        <v>21</v>
      </c>
      <c r="MA372" s="576"/>
      <c r="MB372" s="42" t="s">
        <v>1</v>
      </c>
      <c r="MC372" s="43" t="s">
        <v>69</v>
      </c>
      <c r="MD372" s="43" t="s">
        <v>70</v>
      </c>
      <c r="ME372" s="43" t="s">
        <v>71</v>
      </c>
      <c r="MF372" s="43" t="s">
        <v>72</v>
      </c>
      <c r="MG372" s="43" t="s">
        <v>21</v>
      </c>
      <c r="MH372" s="576"/>
    </row>
    <row r="373" spans="1:346" s="37" customFormat="1" ht="13.15" hidden="1" outlineLevel="1" x14ac:dyDescent="0.4">
      <c r="A373" s="41"/>
      <c r="B373" s="211"/>
      <c r="C373" s="212"/>
      <c r="D373" s="212"/>
      <c r="E373" s="212"/>
      <c r="F373" s="212"/>
      <c r="G373" s="212"/>
      <c r="H373" s="212"/>
      <c r="I373" s="212"/>
      <c r="J373" s="212"/>
      <c r="K373" s="212"/>
      <c r="L373" s="212"/>
      <c r="M373" s="212"/>
      <c r="N373" s="212"/>
      <c r="O373" s="212"/>
      <c r="P373" s="212"/>
      <c r="Q373" s="212"/>
      <c r="R373" s="212"/>
      <c r="S373" s="212"/>
      <c r="T373" s="212"/>
      <c r="U373" s="212"/>
      <c r="V373" s="212"/>
      <c r="W373" s="212"/>
      <c r="X373" s="212"/>
      <c r="Y373" s="212"/>
      <c r="Z373" s="212"/>
      <c r="AA373" s="212"/>
      <c r="AB373" s="212"/>
      <c r="AC373" s="212"/>
      <c r="AD373" s="212"/>
      <c r="AE373" s="212"/>
      <c r="AF373" s="212"/>
      <c r="AG373" s="212"/>
      <c r="AH373" s="212"/>
      <c r="AI373" s="212"/>
      <c r="AJ373" s="212"/>
      <c r="AK373" s="212"/>
      <c r="AL373" s="212"/>
      <c r="AM373" s="212"/>
      <c r="AN373" s="212"/>
      <c r="AO373" s="212"/>
      <c r="AP373" s="212"/>
      <c r="AQ373" s="212"/>
      <c r="AR373" s="212"/>
      <c r="AS373" s="212"/>
      <c r="AT373" s="212"/>
      <c r="AU373" s="212"/>
      <c r="AV373" s="212"/>
      <c r="AW373" s="212"/>
      <c r="AX373" s="212"/>
      <c r="AY373" s="212"/>
      <c r="AZ373" s="212"/>
      <c r="BA373" s="212"/>
      <c r="BB373" s="212"/>
      <c r="BC373" s="212"/>
      <c r="BD373" s="212"/>
      <c r="BE373" s="212"/>
      <c r="BF373" s="212"/>
      <c r="BG373" s="212"/>
      <c r="BH373" s="212"/>
      <c r="BI373" s="212"/>
      <c r="BJ373" s="212"/>
      <c r="BK373" s="212"/>
      <c r="BL373" s="212"/>
      <c r="BM373" s="212"/>
      <c r="BO373" s="211"/>
      <c r="BP373" s="212"/>
      <c r="BQ373" s="212"/>
      <c r="BR373" s="212"/>
      <c r="BS373" s="212"/>
      <c r="BT373" s="212"/>
      <c r="BV373" s="211"/>
      <c r="BW373" s="212"/>
      <c r="BX373" s="212"/>
      <c r="BY373" s="212"/>
      <c r="BZ373" s="212"/>
      <c r="CA373" s="212"/>
      <c r="CC373" s="211"/>
      <c r="CD373" s="212"/>
      <c r="CE373" s="212"/>
      <c r="CF373" s="212"/>
      <c r="CG373" s="212"/>
      <c r="CH373" s="212"/>
      <c r="CJ373" s="211"/>
      <c r="CK373" s="212"/>
      <c r="CL373" s="212"/>
      <c r="CM373" s="212"/>
      <c r="CN373" s="212"/>
      <c r="CO373" s="212"/>
      <c r="CQ373" s="211"/>
      <c r="CR373" s="212"/>
      <c r="CS373" s="212"/>
      <c r="CT373" s="212"/>
      <c r="CU373" s="212"/>
      <c r="CV373" s="212"/>
      <c r="CX373" s="211"/>
      <c r="CY373" s="212"/>
      <c r="CZ373" s="212"/>
      <c r="DA373" s="212"/>
      <c r="DB373" s="212"/>
      <c r="DC373" s="212"/>
      <c r="DE373" s="211"/>
      <c r="DF373" s="212"/>
      <c r="DG373" s="212"/>
      <c r="DH373" s="212"/>
      <c r="DI373" s="212"/>
      <c r="DJ373" s="212"/>
      <c r="DL373" s="211"/>
      <c r="DM373" s="212"/>
      <c r="DN373" s="212"/>
      <c r="DO373" s="212"/>
      <c r="DP373" s="212"/>
      <c r="DQ373" s="212"/>
      <c r="DS373" s="211"/>
      <c r="DT373" s="212"/>
      <c r="DU373" s="212"/>
      <c r="DV373" s="212"/>
      <c r="DW373" s="212"/>
      <c r="DX373" s="212"/>
      <c r="DZ373" s="211"/>
      <c r="EA373" s="212"/>
      <c r="EB373" s="212"/>
      <c r="EC373" s="212"/>
      <c r="ED373" s="212"/>
      <c r="EE373" s="212"/>
      <c r="EG373" s="211"/>
      <c r="EH373" s="212"/>
      <c r="EI373" s="212"/>
      <c r="EJ373" s="212"/>
      <c r="EK373" s="212"/>
      <c r="EL373" s="212"/>
      <c r="EN373" s="211"/>
      <c r="EO373" s="212"/>
      <c r="EP373" s="212"/>
      <c r="EQ373" s="212"/>
      <c r="ER373" s="212"/>
      <c r="ES373" s="212"/>
      <c r="EU373" s="211"/>
      <c r="EV373" s="212"/>
      <c r="EW373" s="212"/>
      <c r="EX373" s="212"/>
      <c r="EY373" s="212"/>
      <c r="EZ373" s="212"/>
      <c r="FB373" s="211"/>
      <c r="FC373" s="212"/>
      <c r="FD373" s="212"/>
      <c r="FE373" s="212"/>
      <c r="FF373" s="212"/>
      <c r="FG373" s="212"/>
      <c r="FI373" s="211"/>
      <c r="FJ373" s="212"/>
      <c r="FK373" s="212"/>
      <c r="FL373" s="212"/>
      <c r="FM373" s="212"/>
      <c r="FN373" s="212"/>
      <c r="FP373" s="211"/>
      <c r="FQ373" s="212"/>
      <c r="FR373" s="212"/>
      <c r="FS373" s="212"/>
      <c r="FT373" s="212"/>
      <c r="FU373" s="212"/>
      <c r="FW373" s="211"/>
      <c r="FX373" s="212"/>
      <c r="FY373" s="212"/>
      <c r="FZ373" s="212"/>
      <c r="GA373" s="212"/>
      <c r="GB373" s="212"/>
      <c r="GD373" s="211"/>
      <c r="GE373" s="212"/>
      <c r="GF373" s="212"/>
      <c r="GG373" s="212"/>
      <c r="GH373" s="212"/>
      <c r="GI373" s="212"/>
      <c r="GK373" s="211"/>
      <c r="GL373" s="212"/>
      <c r="GM373" s="212"/>
      <c r="GN373" s="212"/>
      <c r="GO373" s="212"/>
      <c r="GP373" s="212"/>
      <c r="GR373" s="211"/>
      <c r="GS373" s="212"/>
      <c r="GT373" s="212"/>
      <c r="GU373" s="212"/>
      <c r="GV373" s="212"/>
      <c r="GW373" s="212"/>
      <c r="GY373" s="211"/>
      <c r="GZ373" s="212"/>
      <c r="HA373" s="212"/>
      <c r="HB373" s="212"/>
      <c r="HC373" s="212"/>
      <c r="HD373" s="212"/>
      <c r="HF373" s="211"/>
      <c r="HG373" s="212"/>
      <c r="HH373" s="212"/>
      <c r="HI373" s="212"/>
      <c r="HJ373" s="212"/>
      <c r="HK373" s="212"/>
      <c r="HM373" s="211"/>
      <c r="HN373" s="212"/>
      <c r="HO373" s="212"/>
      <c r="HP373" s="212"/>
      <c r="HQ373" s="212"/>
      <c r="HR373" s="212"/>
      <c r="HT373" s="211"/>
      <c r="HU373" s="212"/>
      <c r="HV373" s="212"/>
      <c r="HW373" s="212"/>
      <c r="HX373" s="212"/>
      <c r="HY373" s="212"/>
      <c r="IA373" s="211"/>
      <c r="IB373" s="212"/>
      <c r="IC373" s="212"/>
      <c r="ID373" s="212"/>
      <c r="IE373" s="212"/>
      <c r="IF373" s="212"/>
      <c r="IH373" s="211"/>
      <c r="II373" s="212"/>
      <c r="IJ373" s="212"/>
      <c r="IK373" s="212"/>
      <c r="IL373" s="212"/>
      <c r="IM373" s="212"/>
      <c r="IO373" s="211"/>
      <c r="IP373" s="212"/>
      <c r="IQ373" s="212"/>
      <c r="IR373" s="212"/>
      <c r="IS373" s="212"/>
      <c r="IT373" s="212"/>
      <c r="IV373" s="211"/>
      <c r="IW373" s="212"/>
      <c r="IX373" s="212"/>
      <c r="IY373" s="212"/>
      <c r="IZ373" s="212"/>
      <c r="JA373" s="212"/>
      <c r="JC373" s="211"/>
      <c r="JD373" s="212"/>
      <c r="JE373" s="212"/>
      <c r="JF373" s="212"/>
      <c r="JG373" s="212"/>
      <c r="JH373" s="212"/>
      <c r="JJ373" s="211"/>
      <c r="JK373" s="212"/>
      <c r="JL373" s="212"/>
      <c r="JM373" s="212"/>
      <c r="JN373" s="212"/>
      <c r="JO373" s="212"/>
      <c r="JQ373" s="211"/>
      <c r="JR373" s="212"/>
      <c r="JS373" s="212"/>
      <c r="JT373" s="212"/>
      <c r="JU373" s="212"/>
      <c r="JV373" s="212"/>
      <c r="JX373" s="211"/>
      <c r="JY373" s="212"/>
      <c r="JZ373" s="212"/>
      <c r="KA373" s="212"/>
      <c r="KB373" s="212"/>
      <c r="KC373" s="212"/>
      <c r="KE373" s="211"/>
      <c r="KF373" s="212"/>
      <c r="KG373" s="212"/>
      <c r="KH373" s="212"/>
      <c r="KI373" s="212"/>
      <c r="KJ373" s="212"/>
      <c r="KL373" s="211"/>
      <c r="KM373" s="212"/>
      <c r="KN373" s="212"/>
      <c r="KO373" s="212"/>
      <c r="KP373" s="212"/>
      <c r="KQ373" s="212"/>
      <c r="KS373" s="211"/>
      <c r="KT373" s="212"/>
      <c r="KU373" s="212"/>
      <c r="KV373" s="212"/>
      <c r="KW373" s="212"/>
      <c r="KX373" s="212"/>
      <c r="KZ373" s="211"/>
      <c r="LA373" s="212"/>
      <c r="LB373" s="212"/>
      <c r="LC373" s="212"/>
      <c r="LD373" s="212"/>
      <c r="LE373" s="212"/>
      <c r="LF373" s="576"/>
      <c r="LG373" s="211"/>
      <c r="LH373" s="212"/>
      <c r="LI373" s="212"/>
      <c r="LJ373" s="212"/>
      <c r="LK373" s="212"/>
      <c r="LL373" s="212"/>
      <c r="LM373" s="576"/>
      <c r="LN373" s="211"/>
      <c r="LO373" s="212"/>
      <c r="LP373" s="212"/>
      <c r="LQ373" s="212"/>
      <c r="LR373" s="212"/>
      <c r="LS373" s="212"/>
      <c r="LT373" s="576"/>
      <c r="LU373" s="211"/>
      <c r="LV373" s="212"/>
      <c r="LW373" s="212"/>
      <c r="LX373" s="212"/>
      <c r="LY373" s="212"/>
      <c r="LZ373" s="212"/>
      <c r="MA373" s="576"/>
      <c r="MB373" s="211"/>
      <c r="MC373" s="212"/>
      <c r="MD373" s="212"/>
      <c r="ME373" s="212"/>
      <c r="MF373" s="212"/>
      <c r="MG373" s="212"/>
      <c r="MH373" s="576"/>
    </row>
    <row r="374" spans="1:346" s="37" customFormat="1" ht="13.15" hidden="1" outlineLevel="1" x14ac:dyDescent="0.4">
      <c r="A374" s="100"/>
      <c r="B374" s="101"/>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c r="AA374" s="184"/>
      <c r="AB374" s="184"/>
      <c r="AC374" s="184"/>
      <c r="AD374" s="184"/>
      <c r="AE374" s="184"/>
      <c r="AF374" s="184"/>
      <c r="AG374" s="184"/>
      <c r="AH374" s="184"/>
      <c r="AI374" s="184"/>
      <c r="AJ374" s="184"/>
      <c r="AK374" s="184"/>
      <c r="AL374" s="184"/>
      <c r="AM374" s="184"/>
      <c r="AN374" s="184"/>
      <c r="AO374" s="184"/>
      <c r="AP374" s="184"/>
      <c r="AQ374" s="184"/>
      <c r="AR374" s="184"/>
      <c r="AS374" s="184"/>
      <c r="AT374" s="184"/>
      <c r="AU374" s="184"/>
      <c r="AV374" s="184"/>
      <c r="AW374" s="184"/>
      <c r="AX374" s="184"/>
      <c r="AY374" s="184"/>
      <c r="AZ374" s="184"/>
      <c r="BA374" s="184"/>
      <c r="BB374" s="184"/>
      <c r="BC374" s="184"/>
      <c r="BD374" s="184"/>
      <c r="BE374" s="184"/>
      <c r="BF374" s="184"/>
      <c r="BG374" s="184"/>
      <c r="BH374" s="184"/>
      <c r="BI374" s="184"/>
      <c r="BJ374" s="184"/>
      <c r="BK374" s="184"/>
      <c r="BL374" s="184"/>
      <c r="BM374" s="184"/>
      <c r="BO374" s="101"/>
      <c r="BP374" s="144"/>
      <c r="BQ374" s="144"/>
      <c r="BR374" s="144"/>
      <c r="BS374" s="144"/>
      <c r="BT374" s="144"/>
      <c r="BV374" s="101"/>
      <c r="BW374" s="144"/>
      <c r="BX374" s="144"/>
      <c r="BY374" s="144"/>
      <c r="BZ374" s="144"/>
      <c r="CA374" s="144"/>
      <c r="CC374" s="101"/>
      <c r="CD374" s="144"/>
      <c r="CE374" s="144"/>
      <c r="CF374" s="144"/>
      <c r="CG374" s="144"/>
      <c r="CH374" s="144"/>
      <c r="CJ374" s="101"/>
      <c r="CK374" s="144"/>
      <c r="CL374" s="144"/>
      <c r="CM374" s="144"/>
      <c r="CN374" s="144"/>
      <c r="CO374" s="144"/>
      <c r="CQ374" s="101"/>
      <c r="CR374" s="144"/>
      <c r="CS374" s="144"/>
      <c r="CT374" s="144"/>
      <c r="CU374" s="144"/>
      <c r="CV374" s="144"/>
      <c r="CX374" s="101"/>
      <c r="CY374" s="144"/>
      <c r="CZ374" s="144"/>
      <c r="DA374" s="144"/>
      <c r="DB374" s="144"/>
      <c r="DC374" s="144"/>
      <c r="DE374" s="101"/>
      <c r="DF374" s="144"/>
      <c r="DG374" s="144"/>
      <c r="DH374" s="144"/>
      <c r="DI374" s="144"/>
      <c r="DJ374" s="144"/>
      <c r="DL374" s="101"/>
      <c r="DM374" s="144"/>
      <c r="DN374" s="144"/>
      <c r="DO374" s="144"/>
      <c r="DP374" s="144"/>
      <c r="DQ374" s="144"/>
      <c r="DS374" s="101"/>
      <c r="DT374" s="144"/>
      <c r="DU374" s="144"/>
      <c r="DV374" s="144"/>
      <c r="DW374" s="144"/>
      <c r="DX374" s="144"/>
      <c r="DZ374" s="101"/>
      <c r="EA374" s="144"/>
      <c r="EB374" s="144"/>
      <c r="EC374" s="144"/>
      <c r="ED374" s="144"/>
      <c r="EE374" s="144"/>
      <c r="EG374" s="101"/>
      <c r="EH374" s="144"/>
      <c r="EI374" s="144"/>
      <c r="EJ374" s="144"/>
      <c r="EK374" s="144"/>
      <c r="EL374" s="144"/>
      <c r="EN374" s="101"/>
      <c r="EO374" s="144"/>
      <c r="EP374" s="144"/>
      <c r="EQ374" s="144"/>
      <c r="ER374" s="144"/>
      <c r="ES374" s="144"/>
      <c r="EU374" s="101"/>
      <c r="EV374" s="144"/>
      <c r="EW374" s="144"/>
      <c r="EX374" s="144"/>
      <c r="EY374" s="144"/>
      <c r="EZ374" s="144"/>
      <c r="FB374" s="101"/>
      <c r="FC374" s="144"/>
      <c r="FD374" s="144"/>
      <c r="FE374" s="144"/>
      <c r="FF374" s="144"/>
      <c r="FG374" s="144"/>
      <c r="FI374" s="101"/>
      <c r="FJ374" s="144"/>
      <c r="FK374" s="144"/>
      <c r="FL374" s="144"/>
      <c r="FM374" s="144"/>
      <c r="FN374" s="144"/>
      <c r="FP374" s="101"/>
      <c r="FQ374" s="144"/>
      <c r="FR374" s="144"/>
      <c r="FS374" s="144"/>
      <c r="FT374" s="144"/>
      <c r="FU374" s="144"/>
      <c r="FW374" s="101"/>
      <c r="FX374" s="144"/>
      <c r="FY374" s="144"/>
      <c r="FZ374" s="144"/>
      <c r="GA374" s="144"/>
      <c r="GB374" s="144"/>
      <c r="GD374" s="101"/>
      <c r="GE374" s="144"/>
      <c r="GF374" s="144"/>
      <c r="GG374" s="144"/>
      <c r="GH374" s="144"/>
      <c r="GI374" s="144"/>
      <c r="GK374" s="101"/>
      <c r="GL374" s="144"/>
      <c r="GM374" s="144"/>
      <c r="GN374" s="144"/>
      <c r="GO374" s="144"/>
      <c r="GP374" s="144"/>
      <c r="GR374" s="101"/>
      <c r="GS374" s="144"/>
      <c r="GT374" s="144"/>
      <c r="GU374" s="144"/>
      <c r="GV374" s="144"/>
      <c r="GW374" s="144"/>
      <c r="GY374" s="101"/>
      <c r="GZ374" s="144"/>
      <c r="HA374" s="144"/>
      <c r="HB374" s="144"/>
      <c r="HC374" s="144"/>
      <c r="HD374" s="144"/>
      <c r="HF374" s="101"/>
      <c r="HG374" s="144"/>
      <c r="HH374" s="144"/>
      <c r="HI374" s="144"/>
      <c r="HJ374" s="144"/>
      <c r="HK374" s="144"/>
      <c r="HM374" s="101"/>
      <c r="HN374" s="144"/>
      <c r="HO374" s="144"/>
      <c r="HP374" s="144"/>
      <c r="HQ374" s="144"/>
      <c r="HR374" s="144"/>
      <c r="HT374" s="101"/>
      <c r="HU374" s="144"/>
      <c r="HV374" s="144"/>
      <c r="HW374" s="144"/>
      <c r="HX374" s="144"/>
      <c r="HY374" s="144"/>
      <c r="IA374" s="101"/>
      <c r="IB374" s="144"/>
      <c r="IC374" s="144"/>
      <c r="ID374" s="144"/>
      <c r="IE374" s="144"/>
      <c r="IF374" s="144"/>
      <c r="IH374" s="101"/>
      <c r="II374" s="144"/>
      <c r="IJ374" s="144"/>
      <c r="IK374" s="144"/>
      <c r="IL374" s="144"/>
      <c r="IM374" s="144"/>
      <c r="IO374" s="101"/>
      <c r="IP374" s="144"/>
      <c r="IQ374" s="144"/>
      <c r="IR374" s="144"/>
      <c r="IS374" s="144"/>
      <c r="IT374" s="144"/>
      <c r="IV374" s="101"/>
      <c r="IW374" s="144"/>
      <c r="IX374" s="144"/>
      <c r="IY374" s="144"/>
      <c r="IZ374" s="144"/>
      <c r="JA374" s="144"/>
      <c r="JC374" s="101"/>
      <c r="JD374" s="144"/>
      <c r="JE374" s="144"/>
      <c r="JF374" s="144"/>
      <c r="JG374" s="144"/>
      <c r="JH374" s="144"/>
      <c r="JJ374" s="101"/>
      <c r="JK374" s="144"/>
      <c r="JL374" s="144"/>
      <c r="JM374" s="144"/>
      <c r="JN374" s="144"/>
      <c r="JO374" s="144"/>
      <c r="JQ374" s="101"/>
      <c r="JR374" s="144"/>
      <c r="JS374" s="144"/>
      <c r="JT374" s="144"/>
      <c r="JU374" s="144"/>
      <c r="JV374" s="144"/>
      <c r="JX374" s="101"/>
      <c r="JY374" s="144"/>
      <c r="JZ374" s="144"/>
      <c r="KA374" s="144"/>
      <c r="KB374" s="144"/>
      <c r="KC374" s="144"/>
      <c r="KE374" s="101"/>
      <c r="KF374" s="144"/>
      <c r="KG374" s="144"/>
      <c r="KH374" s="144"/>
      <c r="KI374" s="144"/>
      <c r="KJ374" s="144"/>
      <c r="KL374" s="101"/>
      <c r="KM374" s="144"/>
      <c r="KN374" s="144"/>
      <c r="KO374" s="144"/>
      <c r="KP374" s="144"/>
      <c r="KQ374" s="144"/>
      <c r="KS374" s="101"/>
      <c r="KT374" s="144"/>
      <c r="KU374" s="144"/>
      <c r="KV374" s="184"/>
      <c r="KW374" s="144"/>
      <c r="KX374" s="144"/>
      <c r="KZ374" s="101"/>
      <c r="LA374" s="144"/>
      <c r="LB374" s="144"/>
      <c r="LC374" s="144"/>
      <c r="LD374" s="144"/>
      <c r="LE374" s="144"/>
      <c r="LF374" s="555"/>
      <c r="LG374" s="101"/>
      <c r="LH374" s="144"/>
      <c r="LI374" s="144"/>
      <c r="LJ374" s="144"/>
      <c r="LK374" s="144"/>
      <c r="LL374" s="144"/>
      <c r="LM374" s="555"/>
      <c r="LN374" s="101"/>
      <c r="LO374" s="144"/>
      <c r="LP374" s="144"/>
      <c r="LQ374" s="144"/>
      <c r="LR374" s="144"/>
      <c r="LS374" s="144"/>
      <c r="LT374" s="555"/>
      <c r="LU374" s="101"/>
      <c r="LV374" s="144"/>
      <c r="LW374" s="144"/>
      <c r="LX374" s="144"/>
      <c r="LY374" s="144"/>
      <c r="LZ374" s="144"/>
      <c r="MA374" s="555"/>
      <c r="MB374" s="101"/>
      <c r="MC374" s="144"/>
      <c r="MD374" s="144"/>
      <c r="ME374" s="144"/>
      <c r="MF374" s="144"/>
      <c r="MG374" s="144"/>
      <c r="MH374" s="555"/>
    </row>
    <row r="375" spans="1:346" s="37" customFormat="1" ht="13.15" hidden="1" outlineLevel="1" x14ac:dyDescent="0.4">
      <c r="A375" s="35"/>
      <c r="B375" s="36" t="s">
        <v>350</v>
      </c>
      <c r="BO375" s="36" t="s">
        <v>350</v>
      </c>
      <c r="BV375" s="36" t="s">
        <v>350</v>
      </c>
      <c r="CC375" s="36" t="s">
        <v>350</v>
      </c>
      <c r="CJ375" s="36" t="s">
        <v>350</v>
      </c>
      <c r="CQ375" s="36" t="s">
        <v>350</v>
      </c>
      <c r="CX375" s="36" t="s">
        <v>350</v>
      </c>
      <c r="DE375" s="36" t="s">
        <v>350</v>
      </c>
      <c r="DL375" s="36" t="s">
        <v>350</v>
      </c>
      <c r="DS375" s="36" t="s">
        <v>350</v>
      </c>
      <c r="DZ375" s="36" t="s">
        <v>350</v>
      </c>
      <c r="EG375" s="36" t="s">
        <v>350</v>
      </c>
      <c r="EN375" s="36" t="s">
        <v>350</v>
      </c>
      <c r="EU375" s="36" t="s">
        <v>350</v>
      </c>
      <c r="FB375" s="36" t="s">
        <v>350</v>
      </c>
      <c r="FI375" s="36" t="s">
        <v>350</v>
      </c>
      <c r="FP375" s="36" t="s">
        <v>350</v>
      </c>
      <c r="FW375" s="36" t="s">
        <v>350</v>
      </c>
      <c r="GD375" s="36" t="s">
        <v>350</v>
      </c>
      <c r="GK375" s="36" t="s">
        <v>350</v>
      </c>
      <c r="GR375" s="36" t="s">
        <v>350</v>
      </c>
      <c r="GY375" s="36" t="s">
        <v>350</v>
      </c>
      <c r="HF375" s="36" t="s">
        <v>350</v>
      </c>
      <c r="HM375" s="36" t="s">
        <v>350</v>
      </c>
      <c r="HT375" s="36" t="s">
        <v>350</v>
      </c>
      <c r="IA375" s="36" t="s">
        <v>350</v>
      </c>
      <c r="IH375" s="36" t="s">
        <v>350</v>
      </c>
      <c r="IO375" s="36" t="s">
        <v>350</v>
      </c>
      <c r="IV375" s="36" t="s">
        <v>350</v>
      </c>
      <c r="JC375" s="36" t="s">
        <v>350</v>
      </c>
      <c r="JJ375" s="36" t="s">
        <v>350</v>
      </c>
      <c r="JO375" s="37" t="s">
        <v>501</v>
      </c>
      <c r="JQ375" s="36" t="s">
        <v>350</v>
      </c>
      <c r="JX375" s="36" t="s">
        <v>350</v>
      </c>
      <c r="KE375" s="36" t="s">
        <v>350</v>
      </c>
      <c r="KL375" s="36" t="s">
        <v>350</v>
      </c>
      <c r="KS375" s="36" t="s">
        <v>350</v>
      </c>
      <c r="KZ375" s="36" t="s">
        <v>350</v>
      </c>
      <c r="LF375" s="565"/>
      <c r="LG375" s="36" t="s">
        <v>350</v>
      </c>
      <c r="LM375" s="565"/>
      <c r="LN375" s="36" t="s">
        <v>350</v>
      </c>
      <c r="LT375" s="565"/>
      <c r="LU375" s="36" t="s">
        <v>350</v>
      </c>
      <c r="MA375" s="565"/>
      <c r="MB375" s="36" t="s">
        <v>350</v>
      </c>
      <c r="MH375" s="565"/>
    </row>
    <row r="376" spans="1:346" s="37" customFormat="1" ht="13.15" hidden="1" outlineLevel="1" x14ac:dyDescent="0.4">
      <c r="A376" s="35"/>
      <c r="B376" s="36" t="s">
        <v>351</v>
      </c>
      <c r="M376" s="37">
        <v>567.40099999999995</v>
      </c>
      <c r="N376" s="37">
        <f t="shared" ref="N376:N384" si="7199">BT376</f>
        <v>960.73099999999999</v>
      </c>
      <c r="O376" s="37">
        <f t="shared" ref="O376:O384" si="7200">CA376</f>
        <v>996.548</v>
      </c>
      <c r="P376" s="37">
        <f t="shared" ref="P376:P384" si="7201">CH376</f>
        <v>1081</v>
      </c>
      <c r="Q376" s="37">
        <f t="shared" ref="Q376:Q384" si="7202">CO376</f>
        <v>1138</v>
      </c>
      <c r="R376" s="37">
        <f t="shared" ref="R376:R384" si="7203">CV376</f>
        <v>1189</v>
      </c>
      <c r="S376" s="37">
        <f t="shared" ref="S376:S384" si="7204">DC376</f>
        <v>1286</v>
      </c>
      <c r="T376" s="37">
        <f t="shared" ref="T376:T384" si="7205">DJ376</f>
        <v>1676</v>
      </c>
      <c r="U376" s="37">
        <f t="shared" ref="U376:U384" si="7206">DQ376</f>
        <v>1633</v>
      </c>
      <c r="V376" s="37">
        <f t="shared" ref="V376:V384" si="7207">DX376</f>
        <v>1524</v>
      </c>
      <c r="W376" s="37">
        <f t="shared" ref="W376:W384" si="7208">EE376</f>
        <v>1384</v>
      </c>
      <c r="X376" s="37">
        <f t="shared" ref="X376:X384" si="7209">EL376</f>
        <v>1602.665</v>
      </c>
      <c r="Y376" s="37">
        <f t="shared" ref="Y376:Y384" si="7210">ES376</f>
        <v>0</v>
      </c>
      <c r="Z376" s="37">
        <f t="shared" ref="Z376:Z384" si="7211">EZ376</f>
        <v>0</v>
      </c>
      <c r="AA376" s="37">
        <f t="shared" ref="AA376:AA384" si="7212">FG376</f>
        <v>0</v>
      </c>
      <c r="AB376" s="37">
        <f t="shared" ref="AB376:AB384" si="7213">FN376</f>
        <v>0</v>
      </c>
      <c r="AC376" s="37">
        <f t="shared" ref="AC376:AC384" si="7214">FU376</f>
        <v>0</v>
      </c>
      <c r="AD376" s="37">
        <f t="shared" ref="AD376:AD384" si="7215">GB376</f>
        <v>0</v>
      </c>
      <c r="AE376" s="37">
        <f t="shared" ref="AE376:AE384" si="7216">GI376</f>
        <v>0</v>
      </c>
      <c r="AF376" s="37">
        <f t="shared" ref="AF376:AF384" si="7217">GP376</f>
        <v>0</v>
      </c>
      <c r="AG376" s="37">
        <f t="shared" ref="AG376:AG384" si="7218">GW376</f>
        <v>0</v>
      </c>
      <c r="AH376" s="37">
        <f t="shared" ref="AH376:AH384" si="7219">HD376</f>
        <v>0</v>
      </c>
      <c r="AI376" s="37">
        <f t="shared" ref="AI376:AI384" si="7220">HK376</f>
        <v>0</v>
      </c>
      <c r="AJ376" s="37">
        <f t="shared" ref="AJ376:AJ384" si="7221">HR376</f>
        <v>0</v>
      </c>
      <c r="AK376" s="37">
        <f t="shared" ref="AK376:AK384" si="7222">HY376</f>
        <v>0</v>
      </c>
      <c r="AL376" s="37">
        <f t="shared" ref="AL376:AL384" si="7223">IF376</f>
        <v>0</v>
      </c>
      <c r="AM376" s="37">
        <f t="shared" ref="AM376:AM384" si="7224">IM376</f>
        <v>0</v>
      </c>
      <c r="AN376" s="37">
        <f t="shared" ref="AN376:AN384" si="7225">IT376</f>
        <v>0</v>
      </c>
      <c r="AO376" s="37">
        <f t="shared" ref="AO376:AO384" si="7226">JA376</f>
        <v>0</v>
      </c>
      <c r="AP376" s="37">
        <f t="shared" ref="AP376:AP384" si="7227">JH376</f>
        <v>0</v>
      </c>
      <c r="AQ376" s="37">
        <f t="shared" ref="AQ376:AQ384" si="7228">JO376</f>
        <v>0</v>
      </c>
      <c r="AR376" s="37">
        <f t="shared" ref="AR376:AR384" si="7229">JV376</f>
        <v>0</v>
      </c>
      <c r="AS376" s="37">
        <f t="shared" ref="AS376:AS384" si="7230">KC376</f>
        <v>0</v>
      </c>
      <c r="AT376" s="37">
        <f t="shared" ref="AT376:AT384" si="7231">KJ376</f>
        <v>0</v>
      </c>
      <c r="AU376" s="37">
        <f t="shared" ref="AU376:AU384" si="7232">KQ376</f>
        <v>0</v>
      </c>
      <c r="AV376" s="37">
        <f t="shared" ref="AV376:AV384" si="7233">KX376</f>
        <v>0</v>
      </c>
      <c r="AW376" s="37">
        <f t="shared" ref="AW376:AW384" si="7234">LE376</f>
        <v>0</v>
      </c>
      <c r="AX376" s="37">
        <f t="shared" ref="AX376:AX384" si="7235">LL376</f>
        <v>0</v>
      </c>
      <c r="AY376" s="37">
        <f t="shared" ref="AY376:AY384" si="7236">LS376</f>
        <v>0</v>
      </c>
      <c r="AZ376" s="37">
        <f t="shared" ref="AZ376:AZ384" si="7237">LZ376</f>
        <v>0</v>
      </c>
      <c r="BA376" s="37">
        <f t="shared" ref="BA376:BA384" si="7238">MG376</f>
        <v>0</v>
      </c>
      <c r="BO376" s="36" t="s">
        <v>351</v>
      </c>
      <c r="BP376" s="37">
        <v>204.697</v>
      </c>
      <c r="BQ376" s="37">
        <v>237.404</v>
      </c>
      <c r="BR376" s="37">
        <v>254.482</v>
      </c>
      <c r="BS376" s="37">
        <v>264.14800000000002</v>
      </c>
      <c r="BT376" s="37">
        <v>960.73099999999999</v>
      </c>
      <c r="BV376" s="36" t="s">
        <v>351</v>
      </c>
      <c r="BW376" s="37">
        <v>215.54499999999999</v>
      </c>
      <c r="BX376" s="37">
        <v>241.464</v>
      </c>
      <c r="BY376" s="37">
        <v>263.19400000000002</v>
      </c>
      <c r="BZ376" s="37">
        <v>276.34500000000003</v>
      </c>
      <c r="CA376" s="37">
        <v>996.548</v>
      </c>
      <c r="CC376" s="36" t="s">
        <v>351</v>
      </c>
      <c r="CD376" s="37">
        <v>237</v>
      </c>
      <c r="CE376" s="37">
        <v>258</v>
      </c>
      <c r="CF376" s="37">
        <v>284</v>
      </c>
      <c r="CG376" s="37">
        <v>302</v>
      </c>
      <c r="CH376" s="37">
        <v>1081</v>
      </c>
      <c r="CJ376" s="36" t="s">
        <v>351</v>
      </c>
      <c r="CK376" s="37">
        <v>262</v>
      </c>
      <c r="CL376" s="37">
        <v>285</v>
      </c>
      <c r="CM376" s="37">
        <v>309</v>
      </c>
      <c r="CN376" s="37">
        <v>282</v>
      </c>
      <c r="CO376" s="37">
        <v>1138</v>
      </c>
      <c r="CQ376" s="36" t="s">
        <v>351</v>
      </c>
      <c r="CR376" s="37">
        <v>261</v>
      </c>
      <c r="CS376" s="37">
        <v>300</v>
      </c>
      <c r="CT376" s="37">
        <v>325</v>
      </c>
      <c r="CU376" s="37">
        <v>303</v>
      </c>
      <c r="CV376" s="37">
        <v>1189</v>
      </c>
      <c r="CX376" s="36" t="s">
        <v>351</v>
      </c>
      <c r="CY376" s="37">
        <v>296</v>
      </c>
      <c r="CZ376" s="37">
        <v>274</v>
      </c>
      <c r="DA376" s="37">
        <v>363</v>
      </c>
      <c r="DB376" s="37">
        <v>353</v>
      </c>
      <c r="DC376" s="37">
        <v>1286</v>
      </c>
      <c r="DE376" s="36" t="s">
        <v>351</v>
      </c>
      <c r="DF376" s="37">
        <v>364</v>
      </c>
      <c r="DG376" s="37">
        <v>410</v>
      </c>
      <c r="DH376" s="37">
        <v>451</v>
      </c>
      <c r="DI376" s="37">
        <v>451</v>
      </c>
      <c r="DJ376" s="37">
        <v>1676</v>
      </c>
      <c r="DL376" s="36" t="s">
        <v>351</v>
      </c>
      <c r="DM376" s="37">
        <v>390</v>
      </c>
      <c r="DN376" s="37">
        <v>418</v>
      </c>
      <c r="DO376" s="37">
        <v>423</v>
      </c>
      <c r="DP376" s="37">
        <v>402</v>
      </c>
      <c r="DQ376" s="37">
        <v>1633</v>
      </c>
      <c r="DS376" s="36" t="s">
        <v>351</v>
      </c>
      <c r="DT376" s="37">
        <v>376</v>
      </c>
      <c r="DU376" s="37">
        <v>391</v>
      </c>
      <c r="DV376" s="37">
        <v>395</v>
      </c>
      <c r="DW376" s="37">
        <v>362</v>
      </c>
      <c r="DX376" s="37">
        <v>1524</v>
      </c>
      <c r="DZ376" s="36" t="s">
        <v>351</v>
      </c>
      <c r="EA376" s="37">
        <v>336</v>
      </c>
      <c r="EB376" s="37">
        <v>345</v>
      </c>
      <c r="EC376" s="37">
        <v>364</v>
      </c>
      <c r="ED376" s="37">
        <v>339</v>
      </c>
      <c r="EE376" s="37">
        <v>1384</v>
      </c>
      <c r="EG376" s="36" t="s">
        <v>351</v>
      </c>
      <c r="EH376" s="37">
        <v>360</v>
      </c>
      <c r="EI376" s="37">
        <v>391</v>
      </c>
      <c r="EJ376" s="37">
        <v>433</v>
      </c>
      <c r="EK376" s="37">
        <v>418.66500000000002</v>
      </c>
      <c r="EL376" s="37">
        <v>1602.665</v>
      </c>
      <c r="EN376" s="36" t="s">
        <v>351</v>
      </c>
      <c r="EO376" s="37">
        <v>0</v>
      </c>
      <c r="EP376" s="37">
        <v>0</v>
      </c>
      <c r="EQ376" s="37">
        <v>0</v>
      </c>
      <c r="ER376" s="37">
        <v>0</v>
      </c>
      <c r="ES376" s="37">
        <v>0</v>
      </c>
      <c r="EU376" s="36" t="s">
        <v>351</v>
      </c>
      <c r="EV376" s="37">
        <v>0</v>
      </c>
      <c r="EW376" s="37">
        <v>0</v>
      </c>
      <c r="EX376" s="37">
        <v>0</v>
      </c>
      <c r="EY376" s="37">
        <v>0</v>
      </c>
      <c r="EZ376" s="37">
        <v>0</v>
      </c>
      <c r="FB376" s="36" t="s">
        <v>351</v>
      </c>
      <c r="FC376" s="37">
        <v>0</v>
      </c>
      <c r="FD376" s="37">
        <v>0</v>
      </c>
      <c r="FE376" s="37">
        <v>0</v>
      </c>
      <c r="FF376" s="37">
        <v>0</v>
      </c>
      <c r="FG376" s="37">
        <v>0</v>
      </c>
      <c r="FI376" s="36" t="s">
        <v>351</v>
      </c>
      <c r="FP376" s="36" t="s">
        <v>351</v>
      </c>
      <c r="FW376" s="36" t="s">
        <v>351</v>
      </c>
      <c r="GD376" s="36" t="s">
        <v>351</v>
      </c>
      <c r="GK376" s="36" t="s">
        <v>351</v>
      </c>
      <c r="GR376" s="36" t="s">
        <v>351</v>
      </c>
      <c r="GY376" s="36" t="s">
        <v>351</v>
      </c>
      <c r="HF376" s="36" t="s">
        <v>351</v>
      </c>
      <c r="HM376" s="36" t="s">
        <v>351</v>
      </c>
      <c r="HT376" s="36" t="s">
        <v>351</v>
      </c>
      <c r="IA376" s="36" t="s">
        <v>351</v>
      </c>
      <c r="IH376" s="36" t="s">
        <v>351</v>
      </c>
      <c r="IO376" s="36" t="s">
        <v>351</v>
      </c>
      <c r="IV376" s="36" t="s">
        <v>351</v>
      </c>
      <c r="JC376" s="36" t="s">
        <v>351</v>
      </c>
      <c r="JJ376" s="36" t="s">
        <v>351</v>
      </c>
      <c r="JQ376" s="36" t="s">
        <v>351</v>
      </c>
      <c r="JX376" s="36" t="s">
        <v>351</v>
      </c>
      <c r="KE376" s="36" t="s">
        <v>351</v>
      </c>
      <c r="KL376" s="36" t="s">
        <v>351</v>
      </c>
      <c r="KS376" s="36" t="s">
        <v>351</v>
      </c>
      <c r="KZ376" s="36" t="s">
        <v>351</v>
      </c>
      <c r="LF376" s="565"/>
      <c r="LG376" s="36" t="s">
        <v>351</v>
      </c>
      <c r="LM376" s="565"/>
      <c r="LN376" s="36" t="s">
        <v>351</v>
      </c>
      <c r="LT376" s="565"/>
      <c r="LU376" s="36" t="s">
        <v>351</v>
      </c>
      <c r="MA376" s="565"/>
      <c r="MB376" s="36" t="s">
        <v>351</v>
      </c>
      <c r="MH376" s="565"/>
    </row>
    <row r="377" spans="1:346" s="37" customFormat="1" ht="13.15" hidden="1" outlineLevel="1" x14ac:dyDescent="0.4">
      <c r="A377" s="35"/>
      <c r="B377" s="36" t="s">
        <v>352</v>
      </c>
      <c r="M377" s="37">
        <v>206.81700000000001</v>
      </c>
      <c r="N377" s="37">
        <f t="shared" si="7199"/>
        <v>567.41899999999998</v>
      </c>
      <c r="O377" s="37">
        <f t="shared" si="7200"/>
        <v>621.48699999999997</v>
      </c>
      <c r="P377" s="37">
        <f t="shared" si="7201"/>
        <v>800</v>
      </c>
      <c r="Q377" s="37">
        <f t="shared" si="7202"/>
        <v>769</v>
      </c>
      <c r="R377" s="37">
        <f t="shared" si="7203"/>
        <v>723</v>
      </c>
      <c r="S377" s="37">
        <f t="shared" si="7204"/>
        <v>730</v>
      </c>
      <c r="T377" s="37">
        <f t="shared" si="7205"/>
        <v>821</v>
      </c>
      <c r="U377" s="37">
        <f t="shared" si="7206"/>
        <v>826</v>
      </c>
      <c r="V377" s="37">
        <f t="shared" si="7207"/>
        <v>836</v>
      </c>
      <c r="W377" s="37">
        <f t="shared" si="7208"/>
        <v>805</v>
      </c>
      <c r="X377" s="37">
        <f t="shared" si="7209"/>
        <v>622.02499999999998</v>
      </c>
      <c r="Y377" s="37">
        <f t="shared" si="7210"/>
        <v>0</v>
      </c>
      <c r="Z377" s="37">
        <f t="shared" si="7211"/>
        <v>0</v>
      </c>
      <c r="AA377" s="37">
        <f t="shared" si="7212"/>
        <v>0</v>
      </c>
      <c r="AB377" s="37">
        <f t="shared" si="7213"/>
        <v>0</v>
      </c>
      <c r="AC377" s="37">
        <f t="shared" si="7214"/>
        <v>0</v>
      </c>
      <c r="AD377" s="37">
        <f t="shared" si="7215"/>
        <v>0</v>
      </c>
      <c r="AE377" s="37">
        <f t="shared" si="7216"/>
        <v>0</v>
      </c>
      <c r="AF377" s="37">
        <f t="shared" si="7217"/>
        <v>0</v>
      </c>
      <c r="AG377" s="37">
        <f t="shared" si="7218"/>
        <v>0</v>
      </c>
      <c r="AH377" s="37">
        <f t="shared" si="7219"/>
        <v>0</v>
      </c>
      <c r="AI377" s="37">
        <f t="shared" si="7220"/>
        <v>0</v>
      </c>
      <c r="AJ377" s="37">
        <f t="shared" si="7221"/>
        <v>0</v>
      </c>
      <c r="AK377" s="37">
        <f t="shared" si="7222"/>
        <v>0</v>
      </c>
      <c r="AL377" s="37">
        <f t="shared" si="7223"/>
        <v>0</v>
      </c>
      <c r="AM377" s="37">
        <f t="shared" si="7224"/>
        <v>0</v>
      </c>
      <c r="AN377" s="37">
        <f t="shared" si="7225"/>
        <v>0</v>
      </c>
      <c r="AO377" s="37">
        <f t="shared" si="7226"/>
        <v>0</v>
      </c>
      <c r="AP377" s="37">
        <f t="shared" si="7227"/>
        <v>0</v>
      </c>
      <c r="AQ377" s="37">
        <f t="shared" si="7228"/>
        <v>0</v>
      </c>
      <c r="AR377" s="37">
        <f t="shared" si="7229"/>
        <v>0</v>
      </c>
      <c r="AS377" s="37">
        <f t="shared" si="7230"/>
        <v>0</v>
      </c>
      <c r="AT377" s="37">
        <f t="shared" si="7231"/>
        <v>0</v>
      </c>
      <c r="AU377" s="37">
        <f t="shared" si="7232"/>
        <v>0</v>
      </c>
      <c r="AV377" s="37">
        <f t="shared" si="7233"/>
        <v>0</v>
      </c>
      <c r="AW377" s="37">
        <f t="shared" si="7234"/>
        <v>0</v>
      </c>
      <c r="AX377" s="37">
        <f t="shared" si="7235"/>
        <v>0</v>
      </c>
      <c r="AY377" s="37">
        <f t="shared" si="7236"/>
        <v>0</v>
      </c>
      <c r="AZ377" s="37">
        <f t="shared" si="7237"/>
        <v>0</v>
      </c>
      <c r="BA377" s="37">
        <f t="shared" si="7238"/>
        <v>0</v>
      </c>
      <c r="BO377" s="36" t="s">
        <v>352</v>
      </c>
      <c r="BP377" s="37">
        <v>138.54300000000001</v>
      </c>
      <c r="BQ377" s="37">
        <v>146.13499999999999</v>
      </c>
      <c r="BR377" s="37">
        <v>132.584</v>
      </c>
      <c r="BS377" s="37">
        <v>150.15700000000001</v>
      </c>
      <c r="BT377" s="37">
        <v>567.41899999999998</v>
      </c>
      <c r="BV377" s="36" t="s">
        <v>352</v>
      </c>
      <c r="BW377" s="37">
        <v>133.17400000000001</v>
      </c>
      <c r="BX377" s="37">
        <v>151.63999999999999</v>
      </c>
      <c r="BY377" s="37">
        <v>148.41300000000001</v>
      </c>
      <c r="BZ377" s="37">
        <v>188.26</v>
      </c>
      <c r="CA377" s="37">
        <v>621.48699999999997</v>
      </c>
      <c r="CC377" s="36" t="s">
        <v>352</v>
      </c>
      <c r="CD377" s="37">
        <v>185</v>
      </c>
      <c r="CE377" s="37">
        <v>170</v>
      </c>
      <c r="CF377" s="37">
        <v>200</v>
      </c>
      <c r="CG377" s="37">
        <v>245</v>
      </c>
      <c r="CH377" s="37">
        <v>800</v>
      </c>
      <c r="CJ377" s="36" t="s">
        <v>352</v>
      </c>
      <c r="CK377" s="37">
        <v>190</v>
      </c>
      <c r="CL377" s="37">
        <v>206</v>
      </c>
      <c r="CM377" s="37">
        <v>184</v>
      </c>
      <c r="CN377" s="37">
        <v>189</v>
      </c>
      <c r="CO377" s="37">
        <v>769</v>
      </c>
      <c r="CQ377" s="36" t="s">
        <v>352</v>
      </c>
      <c r="CR377" s="37">
        <v>180</v>
      </c>
      <c r="CS377" s="37">
        <v>195</v>
      </c>
      <c r="CT377" s="37">
        <v>174</v>
      </c>
      <c r="CU377" s="37">
        <v>174</v>
      </c>
      <c r="CV377" s="37">
        <v>723</v>
      </c>
      <c r="CX377" s="36" t="s">
        <v>352</v>
      </c>
      <c r="CY377" s="37">
        <v>163</v>
      </c>
      <c r="CZ377" s="37">
        <v>183</v>
      </c>
      <c r="DA377" s="37">
        <v>190</v>
      </c>
      <c r="DB377" s="37">
        <v>194</v>
      </c>
      <c r="DC377" s="37">
        <v>730</v>
      </c>
      <c r="DE377" s="36" t="s">
        <v>352</v>
      </c>
      <c r="DF377" s="37">
        <v>183</v>
      </c>
      <c r="DG377" s="37">
        <v>204</v>
      </c>
      <c r="DH377" s="37">
        <v>201</v>
      </c>
      <c r="DI377" s="37">
        <v>233</v>
      </c>
      <c r="DJ377" s="37">
        <v>821</v>
      </c>
      <c r="DL377" s="36" t="s">
        <v>352</v>
      </c>
      <c r="DM377" s="37">
        <v>199</v>
      </c>
      <c r="DN377" s="37">
        <v>205</v>
      </c>
      <c r="DO377" s="37">
        <v>205</v>
      </c>
      <c r="DP377" s="37">
        <v>217</v>
      </c>
      <c r="DQ377" s="37">
        <v>826</v>
      </c>
      <c r="DS377" s="36" t="s">
        <v>352</v>
      </c>
      <c r="DT377" s="37">
        <v>200</v>
      </c>
      <c r="DU377" s="37">
        <v>212</v>
      </c>
      <c r="DV377" s="37">
        <v>210</v>
      </c>
      <c r="DW377" s="37">
        <v>214</v>
      </c>
      <c r="DX377" s="37">
        <v>836</v>
      </c>
      <c r="DZ377" s="36" t="s">
        <v>352</v>
      </c>
      <c r="EA377" s="37">
        <v>205</v>
      </c>
      <c r="EB377" s="37">
        <v>213</v>
      </c>
      <c r="EC377" s="37">
        <v>196</v>
      </c>
      <c r="ED377" s="37">
        <v>191</v>
      </c>
      <c r="EE377" s="37">
        <v>805</v>
      </c>
      <c r="EG377" s="36" t="s">
        <v>352</v>
      </c>
      <c r="EH377" s="37">
        <v>173</v>
      </c>
      <c r="EI377" s="37">
        <v>156</v>
      </c>
      <c r="EJ377" s="37">
        <v>145</v>
      </c>
      <c r="EK377" s="37">
        <v>148.02500000000001</v>
      </c>
      <c r="EL377" s="37">
        <v>622.02499999999998</v>
      </c>
      <c r="EN377" s="36" t="s">
        <v>352</v>
      </c>
      <c r="EO377" s="37">
        <v>0</v>
      </c>
      <c r="EP377" s="37">
        <v>0</v>
      </c>
      <c r="EQ377" s="37">
        <v>0</v>
      </c>
      <c r="ER377" s="37">
        <v>0</v>
      </c>
      <c r="ES377" s="37">
        <v>0</v>
      </c>
      <c r="EU377" s="36" t="s">
        <v>352</v>
      </c>
      <c r="EV377" s="37">
        <v>0</v>
      </c>
      <c r="EW377" s="37">
        <v>0</v>
      </c>
      <c r="EX377" s="37">
        <v>0</v>
      </c>
      <c r="EY377" s="37">
        <v>0</v>
      </c>
      <c r="EZ377" s="37">
        <v>0</v>
      </c>
      <c r="FB377" s="36" t="s">
        <v>352</v>
      </c>
      <c r="FC377" s="37">
        <v>0</v>
      </c>
      <c r="FD377" s="37">
        <v>0</v>
      </c>
      <c r="FE377" s="37">
        <v>0</v>
      </c>
      <c r="FF377" s="37">
        <v>0</v>
      </c>
      <c r="FG377" s="37">
        <v>0</v>
      </c>
      <c r="FI377" s="36" t="s">
        <v>352</v>
      </c>
      <c r="FP377" s="36" t="s">
        <v>352</v>
      </c>
      <c r="FW377" s="36" t="s">
        <v>352</v>
      </c>
      <c r="GD377" s="36" t="s">
        <v>352</v>
      </c>
      <c r="GK377" s="36" t="s">
        <v>352</v>
      </c>
      <c r="GR377" s="36" t="s">
        <v>352</v>
      </c>
      <c r="GY377" s="36" t="s">
        <v>352</v>
      </c>
      <c r="HF377" s="36" t="s">
        <v>352</v>
      </c>
      <c r="HM377" s="36" t="s">
        <v>352</v>
      </c>
      <c r="HT377" s="36" t="s">
        <v>352</v>
      </c>
      <c r="IA377" s="36" t="s">
        <v>352</v>
      </c>
      <c r="IH377" s="36" t="s">
        <v>352</v>
      </c>
      <c r="IO377" s="36" t="s">
        <v>352</v>
      </c>
      <c r="IV377" s="36" t="s">
        <v>352</v>
      </c>
      <c r="JC377" s="36" t="s">
        <v>352</v>
      </c>
      <c r="JJ377" s="36" t="s">
        <v>352</v>
      </c>
      <c r="JQ377" s="36" t="s">
        <v>352</v>
      </c>
      <c r="JX377" s="36" t="s">
        <v>352</v>
      </c>
      <c r="KE377" s="36" t="s">
        <v>352</v>
      </c>
      <c r="KL377" s="36" t="s">
        <v>352</v>
      </c>
      <c r="KS377" s="36" t="s">
        <v>352</v>
      </c>
      <c r="KZ377" s="36" t="s">
        <v>352</v>
      </c>
      <c r="LF377" s="565"/>
      <c r="LG377" s="36" t="s">
        <v>352</v>
      </c>
      <c r="LM377" s="565"/>
      <c r="LN377" s="36" t="s">
        <v>352</v>
      </c>
      <c r="LT377" s="565"/>
      <c r="LU377" s="36" t="s">
        <v>352</v>
      </c>
      <c r="MA377" s="565"/>
      <c r="MB377" s="36" t="s">
        <v>352</v>
      </c>
      <c r="MH377" s="565"/>
    </row>
    <row r="378" spans="1:346" s="37" customFormat="1" ht="13.15" hidden="1" outlineLevel="1" x14ac:dyDescent="0.4">
      <c r="A378" s="35"/>
      <c r="B378" s="36" t="s">
        <v>353</v>
      </c>
      <c r="M378" s="37">
        <v>101.42</v>
      </c>
      <c r="N378" s="37">
        <f t="shared" si="7199"/>
        <v>243.12599999999998</v>
      </c>
      <c r="O378" s="37">
        <f t="shared" si="7200"/>
        <v>285.74399999999997</v>
      </c>
      <c r="P378" s="37">
        <f t="shared" si="7201"/>
        <v>303</v>
      </c>
      <c r="Q378" s="37">
        <f t="shared" si="7202"/>
        <v>342</v>
      </c>
      <c r="R378" s="37">
        <f t="shared" si="7203"/>
        <v>373</v>
      </c>
      <c r="S378" s="37">
        <f t="shared" si="7204"/>
        <v>425</v>
      </c>
      <c r="T378" s="37">
        <f t="shared" si="7205"/>
        <v>476</v>
      </c>
      <c r="U378" s="37">
        <f t="shared" si="7206"/>
        <v>502</v>
      </c>
      <c r="V378" s="37">
        <f t="shared" si="7207"/>
        <v>569</v>
      </c>
      <c r="W378" s="37">
        <f t="shared" si="7208"/>
        <v>599</v>
      </c>
      <c r="X378" s="37">
        <f t="shared" si="7209"/>
        <v>538.9</v>
      </c>
      <c r="Y378" s="37">
        <f t="shared" si="7210"/>
        <v>666</v>
      </c>
      <c r="Z378" s="37">
        <f t="shared" si="7211"/>
        <v>681</v>
      </c>
      <c r="AA378" s="37">
        <f t="shared" si="7212"/>
        <v>758</v>
      </c>
      <c r="AB378" s="37">
        <f t="shared" si="7213"/>
        <v>0</v>
      </c>
      <c r="AC378" s="37">
        <f t="shared" si="7214"/>
        <v>0</v>
      </c>
      <c r="AD378" s="37">
        <f t="shared" si="7215"/>
        <v>0</v>
      </c>
      <c r="AE378" s="37">
        <f t="shared" si="7216"/>
        <v>0</v>
      </c>
      <c r="AF378" s="37">
        <f t="shared" si="7217"/>
        <v>0</v>
      </c>
      <c r="AG378" s="37">
        <f t="shared" si="7218"/>
        <v>0</v>
      </c>
      <c r="AH378" s="37">
        <f t="shared" si="7219"/>
        <v>0</v>
      </c>
      <c r="AI378" s="37">
        <f t="shared" si="7220"/>
        <v>0</v>
      </c>
      <c r="AJ378" s="37">
        <f t="shared" si="7221"/>
        <v>0</v>
      </c>
      <c r="AK378" s="37">
        <f t="shared" si="7222"/>
        <v>0</v>
      </c>
      <c r="AL378" s="37">
        <f t="shared" si="7223"/>
        <v>0</v>
      </c>
      <c r="AM378" s="37">
        <f t="shared" si="7224"/>
        <v>0</v>
      </c>
      <c r="AN378" s="37">
        <f t="shared" si="7225"/>
        <v>0</v>
      </c>
      <c r="AO378" s="37">
        <f t="shared" si="7226"/>
        <v>0</v>
      </c>
      <c r="AP378" s="37">
        <f t="shared" si="7227"/>
        <v>0</v>
      </c>
      <c r="AQ378" s="37">
        <f t="shared" si="7228"/>
        <v>0</v>
      </c>
      <c r="AR378" s="37">
        <f t="shared" si="7229"/>
        <v>0</v>
      </c>
      <c r="AS378" s="37">
        <f t="shared" si="7230"/>
        <v>0</v>
      </c>
      <c r="AT378" s="37">
        <f t="shared" si="7231"/>
        <v>0</v>
      </c>
      <c r="AU378" s="37">
        <f t="shared" si="7232"/>
        <v>0</v>
      </c>
      <c r="AV378" s="37">
        <f t="shared" si="7233"/>
        <v>0</v>
      </c>
      <c r="AW378" s="37">
        <f t="shared" si="7234"/>
        <v>0</v>
      </c>
      <c r="AX378" s="37">
        <f t="shared" si="7235"/>
        <v>0</v>
      </c>
      <c r="AY378" s="37">
        <f t="shared" si="7236"/>
        <v>0</v>
      </c>
      <c r="AZ378" s="37">
        <f t="shared" si="7237"/>
        <v>0</v>
      </c>
      <c r="BA378" s="37">
        <f t="shared" si="7238"/>
        <v>0</v>
      </c>
      <c r="BO378" s="36" t="s">
        <v>353</v>
      </c>
      <c r="BP378" s="37">
        <v>53.295000000000002</v>
      </c>
      <c r="BQ378" s="37">
        <v>58.396999999999998</v>
      </c>
      <c r="BR378" s="37">
        <v>58.228999999999999</v>
      </c>
      <c r="BS378" s="37">
        <v>73.204999999999998</v>
      </c>
      <c r="BT378" s="37">
        <v>243.12599999999998</v>
      </c>
      <c r="BV378" s="36" t="s">
        <v>353</v>
      </c>
      <c r="BW378" s="37">
        <v>63.07</v>
      </c>
      <c r="BX378" s="37">
        <v>72.656999999999996</v>
      </c>
      <c r="BY378" s="37">
        <v>69.001999999999995</v>
      </c>
      <c r="BZ378" s="37">
        <v>81.015000000000001</v>
      </c>
      <c r="CA378" s="37">
        <v>285.74399999999997</v>
      </c>
      <c r="CC378" s="36" t="s">
        <v>353</v>
      </c>
      <c r="CD378" s="37">
        <v>64</v>
      </c>
      <c r="CE378" s="37">
        <v>70</v>
      </c>
      <c r="CF378" s="37">
        <v>76</v>
      </c>
      <c r="CG378" s="37">
        <v>93</v>
      </c>
      <c r="CH378" s="37">
        <v>303</v>
      </c>
      <c r="CJ378" s="36" t="s">
        <v>353</v>
      </c>
      <c r="CK378" s="37">
        <v>77</v>
      </c>
      <c r="CL378" s="37">
        <v>85</v>
      </c>
      <c r="CM378" s="37">
        <v>86</v>
      </c>
      <c r="CN378" s="37">
        <v>94</v>
      </c>
      <c r="CO378" s="37">
        <v>342</v>
      </c>
      <c r="CQ378" s="36" t="s">
        <v>353</v>
      </c>
      <c r="CR378" s="37">
        <v>87</v>
      </c>
      <c r="CS378" s="37">
        <v>94</v>
      </c>
      <c r="CT378" s="37">
        <v>92</v>
      </c>
      <c r="CU378" s="37">
        <v>100</v>
      </c>
      <c r="CV378" s="37">
        <v>373</v>
      </c>
      <c r="CX378" s="36" t="s">
        <v>353</v>
      </c>
      <c r="CY378" s="37">
        <v>93</v>
      </c>
      <c r="CZ378" s="37">
        <v>105</v>
      </c>
      <c r="DA378" s="37">
        <v>105</v>
      </c>
      <c r="DB378" s="37">
        <v>122</v>
      </c>
      <c r="DC378" s="37">
        <v>425</v>
      </c>
      <c r="DE378" s="36" t="s">
        <v>353</v>
      </c>
      <c r="DF378" s="37">
        <v>111</v>
      </c>
      <c r="DG378" s="37">
        <v>118</v>
      </c>
      <c r="DH378" s="37">
        <v>114</v>
      </c>
      <c r="DI378" s="37">
        <v>133</v>
      </c>
      <c r="DJ378" s="37">
        <v>476</v>
      </c>
      <c r="DL378" s="36" t="s">
        <v>353</v>
      </c>
      <c r="DM378" s="37">
        <v>110</v>
      </c>
      <c r="DN378" s="37">
        <v>126</v>
      </c>
      <c r="DO378" s="37">
        <v>125</v>
      </c>
      <c r="DP378" s="37">
        <v>141</v>
      </c>
      <c r="DQ378" s="37">
        <v>502</v>
      </c>
      <c r="DS378" s="36" t="s">
        <v>353</v>
      </c>
      <c r="DT378" s="37">
        <v>131</v>
      </c>
      <c r="DU378" s="37">
        <v>138</v>
      </c>
      <c r="DV378" s="37">
        <v>138</v>
      </c>
      <c r="DW378" s="37">
        <v>162</v>
      </c>
      <c r="DX378" s="37">
        <v>569</v>
      </c>
      <c r="DZ378" s="36" t="s">
        <v>353</v>
      </c>
      <c r="EA378" s="37">
        <v>149</v>
      </c>
      <c r="EB378" s="37">
        <v>154</v>
      </c>
      <c r="EC378" s="37">
        <v>142</v>
      </c>
      <c r="ED378" s="37">
        <v>154</v>
      </c>
      <c r="EE378" s="37">
        <v>599</v>
      </c>
      <c r="EG378" s="36" t="s">
        <v>353</v>
      </c>
      <c r="EH378" s="37">
        <v>143</v>
      </c>
      <c r="EI378" s="37">
        <v>133</v>
      </c>
      <c r="EJ378" s="37">
        <v>132</v>
      </c>
      <c r="EK378" s="37">
        <v>130.9</v>
      </c>
      <c r="EL378" s="37">
        <v>538.9</v>
      </c>
      <c r="EN378" s="36" t="s">
        <v>353</v>
      </c>
      <c r="EO378" s="37">
        <v>162</v>
      </c>
      <c r="EP378" s="37">
        <v>162</v>
      </c>
      <c r="EQ378" s="37">
        <v>176</v>
      </c>
      <c r="ER378" s="37">
        <v>166</v>
      </c>
      <c r="ES378" s="37">
        <v>666</v>
      </c>
      <c r="EU378" s="36" t="s">
        <v>353</v>
      </c>
      <c r="EV378" s="37">
        <v>161</v>
      </c>
      <c r="EW378" s="37">
        <v>168</v>
      </c>
      <c r="EX378" s="37">
        <v>181</v>
      </c>
      <c r="EY378" s="37">
        <v>171</v>
      </c>
      <c r="EZ378" s="37">
        <v>681</v>
      </c>
      <c r="FB378" s="36" t="s">
        <v>353</v>
      </c>
      <c r="FC378" s="37">
        <v>161</v>
      </c>
      <c r="FD378" s="37">
        <v>189</v>
      </c>
      <c r="FE378" s="37">
        <v>215</v>
      </c>
      <c r="FF378" s="37">
        <v>193</v>
      </c>
      <c r="FG378" s="37">
        <v>758</v>
      </c>
      <c r="FI378" s="36" t="s">
        <v>353</v>
      </c>
      <c r="FP378" s="36" t="s">
        <v>353</v>
      </c>
      <c r="FW378" s="36" t="s">
        <v>353</v>
      </c>
      <c r="GD378" s="36" t="s">
        <v>353</v>
      </c>
      <c r="GK378" s="36" t="s">
        <v>353</v>
      </c>
      <c r="GR378" s="36" t="s">
        <v>353</v>
      </c>
      <c r="GY378" s="36" t="s">
        <v>353</v>
      </c>
      <c r="HF378" s="36" t="s">
        <v>353</v>
      </c>
      <c r="HM378" s="36" t="s">
        <v>353</v>
      </c>
      <c r="HT378" s="36" t="s">
        <v>353</v>
      </c>
      <c r="IA378" s="36" t="s">
        <v>353</v>
      </c>
      <c r="IH378" s="36" t="s">
        <v>353</v>
      </c>
      <c r="IO378" s="36" t="s">
        <v>353</v>
      </c>
      <c r="IV378" s="36" t="s">
        <v>353</v>
      </c>
      <c r="JC378" s="36" t="s">
        <v>353</v>
      </c>
      <c r="JJ378" s="36" t="s">
        <v>353</v>
      </c>
      <c r="JQ378" s="36" t="s">
        <v>353</v>
      </c>
      <c r="JX378" s="36" t="s">
        <v>353</v>
      </c>
      <c r="KE378" s="36" t="s">
        <v>353</v>
      </c>
      <c r="KL378" s="36" t="s">
        <v>353</v>
      </c>
      <c r="KS378" s="36" t="s">
        <v>353</v>
      </c>
      <c r="KZ378" s="36" t="s">
        <v>353</v>
      </c>
      <c r="LF378" s="565"/>
      <c r="LG378" s="36" t="s">
        <v>353</v>
      </c>
      <c r="LM378" s="565"/>
      <c r="LN378" s="36" t="s">
        <v>353</v>
      </c>
      <c r="LT378" s="565"/>
      <c r="LU378" s="36" t="s">
        <v>353</v>
      </c>
      <c r="MA378" s="565"/>
      <c r="MB378" s="36" t="s">
        <v>353</v>
      </c>
      <c r="MH378" s="565"/>
    </row>
    <row r="379" spans="1:346" s="37" customFormat="1" ht="13.15" hidden="1" outlineLevel="1" x14ac:dyDescent="0.4">
      <c r="A379" s="35"/>
      <c r="B379" s="36" t="s">
        <v>354</v>
      </c>
      <c r="M379" s="37">
        <v>76.018000000000001</v>
      </c>
      <c r="N379" s="37">
        <f t="shared" si="7199"/>
        <v>119.75799999999998</v>
      </c>
      <c r="O379" s="37">
        <f t="shared" si="7200"/>
        <v>146.541</v>
      </c>
      <c r="P379" s="37">
        <f t="shared" si="7201"/>
        <v>151</v>
      </c>
      <c r="Q379" s="37">
        <f t="shared" si="7202"/>
        <v>162</v>
      </c>
      <c r="R379" s="37">
        <f t="shared" si="7203"/>
        <v>179</v>
      </c>
      <c r="S379" s="37">
        <f t="shared" si="7204"/>
        <v>166</v>
      </c>
      <c r="T379" s="37">
        <f t="shared" si="7205"/>
        <v>0</v>
      </c>
      <c r="U379" s="37">
        <f t="shared" si="7206"/>
        <v>0</v>
      </c>
      <c r="V379" s="37">
        <f t="shared" si="7207"/>
        <v>0</v>
      </c>
      <c r="W379" s="37">
        <f t="shared" si="7208"/>
        <v>0</v>
      </c>
      <c r="X379" s="37">
        <f t="shared" si="7209"/>
        <v>0</v>
      </c>
      <c r="Y379" s="37">
        <f t="shared" si="7210"/>
        <v>0</v>
      </c>
      <c r="Z379" s="37">
        <f t="shared" si="7211"/>
        <v>0</v>
      </c>
      <c r="AA379" s="37">
        <f t="shared" si="7212"/>
        <v>0</v>
      </c>
      <c r="AB379" s="37">
        <f t="shared" si="7213"/>
        <v>0</v>
      </c>
      <c r="AC379" s="37">
        <f t="shared" si="7214"/>
        <v>0</v>
      </c>
      <c r="AD379" s="37">
        <f t="shared" si="7215"/>
        <v>0</v>
      </c>
      <c r="AE379" s="37">
        <f t="shared" si="7216"/>
        <v>0</v>
      </c>
      <c r="AF379" s="37">
        <f t="shared" si="7217"/>
        <v>0</v>
      </c>
      <c r="AG379" s="37">
        <f t="shared" si="7218"/>
        <v>0</v>
      </c>
      <c r="AH379" s="37">
        <f t="shared" si="7219"/>
        <v>0</v>
      </c>
      <c r="AI379" s="37">
        <f t="shared" si="7220"/>
        <v>0</v>
      </c>
      <c r="AJ379" s="37">
        <f t="shared" si="7221"/>
        <v>0</v>
      </c>
      <c r="AK379" s="37">
        <f t="shared" si="7222"/>
        <v>0</v>
      </c>
      <c r="AL379" s="37">
        <f t="shared" si="7223"/>
        <v>0</v>
      </c>
      <c r="AM379" s="37">
        <f t="shared" si="7224"/>
        <v>0</v>
      </c>
      <c r="AN379" s="37">
        <f t="shared" si="7225"/>
        <v>0</v>
      </c>
      <c r="AO379" s="37">
        <f t="shared" si="7226"/>
        <v>0</v>
      </c>
      <c r="AP379" s="37">
        <f t="shared" si="7227"/>
        <v>0</v>
      </c>
      <c r="AQ379" s="37">
        <f t="shared" si="7228"/>
        <v>0</v>
      </c>
      <c r="AR379" s="37">
        <f t="shared" si="7229"/>
        <v>0</v>
      </c>
      <c r="AS379" s="37">
        <f t="shared" si="7230"/>
        <v>0</v>
      </c>
      <c r="AT379" s="37">
        <f t="shared" si="7231"/>
        <v>0</v>
      </c>
      <c r="AU379" s="37">
        <f t="shared" si="7232"/>
        <v>0</v>
      </c>
      <c r="AV379" s="37">
        <f t="shared" si="7233"/>
        <v>0</v>
      </c>
      <c r="AW379" s="37">
        <f t="shared" si="7234"/>
        <v>0</v>
      </c>
      <c r="AX379" s="37">
        <f t="shared" si="7235"/>
        <v>0</v>
      </c>
      <c r="AY379" s="37">
        <f t="shared" si="7236"/>
        <v>0</v>
      </c>
      <c r="AZ379" s="37">
        <f t="shared" si="7237"/>
        <v>0</v>
      </c>
      <c r="BA379" s="37">
        <f t="shared" si="7238"/>
        <v>0</v>
      </c>
      <c r="BO379" s="36" t="s">
        <v>354</v>
      </c>
      <c r="BP379" s="37">
        <v>20.399999999999999</v>
      </c>
      <c r="BQ379" s="37">
        <v>30.315999999999999</v>
      </c>
      <c r="BR379" s="37">
        <v>38.252000000000002</v>
      </c>
      <c r="BS379" s="37">
        <v>30.79</v>
      </c>
      <c r="BT379" s="37">
        <v>119.75799999999998</v>
      </c>
      <c r="BV379" s="36" t="s">
        <v>354</v>
      </c>
      <c r="BW379" s="37">
        <v>23.978000000000002</v>
      </c>
      <c r="BX379" s="37">
        <v>36.58</v>
      </c>
      <c r="BY379" s="37">
        <v>49.542000000000002</v>
      </c>
      <c r="BZ379" s="37">
        <v>36.441000000000003</v>
      </c>
      <c r="CA379" s="37">
        <v>146.541</v>
      </c>
      <c r="CC379" s="36" t="s">
        <v>354</v>
      </c>
      <c r="CD379" s="37">
        <v>31</v>
      </c>
      <c r="CE379" s="37">
        <v>39</v>
      </c>
      <c r="CF379" s="37">
        <v>46</v>
      </c>
      <c r="CG379" s="37">
        <v>35</v>
      </c>
      <c r="CH379" s="37">
        <v>151</v>
      </c>
      <c r="CJ379" s="36" t="s">
        <v>354</v>
      </c>
      <c r="CK379" s="37">
        <v>36</v>
      </c>
      <c r="CL379" s="37">
        <v>42</v>
      </c>
      <c r="CM379" s="37">
        <v>49</v>
      </c>
      <c r="CN379" s="37">
        <v>35</v>
      </c>
      <c r="CO379" s="37">
        <v>162</v>
      </c>
      <c r="CQ379" s="36" t="s">
        <v>354</v>
      </c>
      <c r="CR379" s="37">
        <v>41</v>
      </c>
      <c r="CS379" s="37">
        <v>44</v>
      </c>
      <c r="CT379" s="37">
        <v>55</v>
      </c>
      <c r="CU379" s="37">
        <v>39</v>
      </c>
      <c r="CV379" s="37">
        <v>179</v>
      </c>
      <c r="CX379" s="36" t="s">
        <v>354</v>
      </c>
      <c r="CY379" s="37">
        <v>40</v>
      </c>
      <c r="CZ379" s="37">
        <v>35</v>
      </c>
      <c r="DA379" s="37">
        <v>51</v>
      </c>
      <c r="DB379" s="37">
        <v>40</v>
      </c>
      <c r="DC379" s="37">
        <v>166</v>
      </c>
      <c r="DE379" s="36" t="s">
        <v>354</v>
      </c>
      <c r="DF379" s="37">
        <v>0</v>
      </c>
      <c r="DG379" s="37">
        <v>0</v>
      </c>
      <c r="DH379" s="37">
        <v>0</v>
      </c>
      <c r="DI379" s="37">
        <v>0</v>
      </c>
      <c r="DL379" s="36" t="s">
        <v>354</v>
      </c>
      <c r="DM379" s="37">
        <v>0</v>
      </c>
      <c r="DO379" s="37">
        <v>0</v>
      </c>
      <c r="DP379" s="37">
        <v>0</v>
      </c>
      <c r="DS379" s="36" t="s">
        <v>354</v>
      </c>
      <c r="DT379" s="37">
        <v>0</v>
      </c>
      <c r="DV379" s="37">
        <v>0</v>
      </c>
      <c r="DW379" s="37">
        <v>0</v>
      </c>
      <c r="DZ379" s="36" t="s">
        <v>354</v>
      </c>
      <c r="EA379" s="37">
        <v>0</v>
      </c>
      <c r="EC379" s="37">
        <v>0</v>
      </c>
      <c r="ED379" s="37">
        <v>0</v>
      </c>
      <c r="EG379" s="36" t="s">
        <v>354</v>
      </c>
      <c r="EH379" s="37">
        <v>0</v>
      </c>
      <c r="EJ379" s="37">
        <v>0</v>
      </c>
      <c r="EK379" s="37">
        <v>0</v>
      </c>
      <c r="EN379" s="36" t="s">
        <v>354</v>
      </c>
      <c r="EO379" s="37">
        <v>0</v>
      </c>
      <c r="EP379" s="37">
        <v>0</v>
      </c>
      <c r="EQ379" s="37">
        <v>0</v>
      </c>
      <c r="ER379" s="37">
        <v>0</v>
      </c>
      <c r="EU379" s="36" t="s">
        <v>354</v>
      </c>
      <c r="EV379" s="37">
        <v>0</v>
      </c>
      <c r="EW379" s="37">
        <v>0</v>
      </c>
      <c r="EX379" s="37">
        <v>0</v>
      </c>
      <c r="EY379" s="37">
        <v>0</v>
      </c>
      <c r="FB379" s="36" t="s">
        <v>354</v>
      </c>
      <c r="FC379" s="37">
        <v>0</v>
      </c>
      <c r="FD379" s="37">
        <v>0</v>
      </c>
      <c r="FE379" s="37">
        <v>0</v>
      </c>
      <c r="FF379" s="37">
        <v>0</v>
      </c>
      <c r="FI379" s="36" t="s">
        <v>354</v>
      </c>
      <c r="FP379" s="36" t="s">
        <v>354</v>
      </c>
      <c r="FW379" s="36" t="s">
        <v>354</v>
      </c>
      <c r="GD379" s="36" t="s">
        <v>354</v>
      </c>
      <c r="GK379" s="36" t="s">
        <v>354</v>
      </c>
      <c r="GR379" s="36" t="s">
        <v>354</v>
      </c>
      <c r="GY379" s="36" t="s">
        <v>354</v>
      </c>
      <c r="HF379" s="36" t="s">
        <v>354</v>
      </c>
      <c r="HM379" s="36" t="s">
        <v>354</v>
      </c>
      <c r="HT379" s="36" t="s">
        <v>354</v>
      </c>
      <c r="IA379" s="36" t="s">
        <v>354</v>
      </c>
      <c r="IH379" s="36" t="s">
        <v>354</v>
      </c>
      <c r="IO379" s="36" t="s">
        <v>354</v>
      </c>
      <c r="IV379" s="36" t="s">
        <v>354</v>
      </c>
      <c r="JC379" s="36" t="s">
        <v>354</v>
      </c>
      <c r="JJ379" s="36" t="s">
        <v>354</v>
      </c>
      <c r="JQ379" s="36" t="s">
        <v>354</v>
      </c>
      <c r="JX379" s="36" t="s">
        <v>354</v>
      </c>
      <c r="KE379" s="36" t="s">
        <v>354</v>
      </c>
      <c r="KL379" s="36" t="s">
        <v>354</v>
      </c>
      <c r="KS379" s="36" t="s">
        <v>354</v>
      </c>
      <c r="KZ379" s="36" t="s">
        <v>354</v>
      </c>
      <c r="LF379" s="565"/>
      <c r="LG379" s="36" t="s">
        <v>354</v>
      </c>
      <c r="LM379" s="565"/>
      <c r="LN379" s="36" t="s">
        <v>354</v>
      </c>
      <c r="LT379" s="565"/>
      <c r="LU379" s="36" t="s">
        <v>354</v>
      </c>
      <c r="MA379" s="565"/>
      <c r="MB379" s="36" t="s">
        <v>354</v>
      </c>
      <c r="MH379" s="565"/>
    </row>
    <row r="380" spans="1:346" s="37" customFormat="1" ht="13.15" hidden="1" outlineLevel="1" x14ac:dyDescent="0.4">
      <c r="A380" s="35"/>
      <c r="B380" s="36" t="s">
        <v>355</v>
      </c>
      <c r="M380" s="37">
        <v>0</v>
      </c>
      <c r="N380" s="37">
        <f t="shared" si="7199"/>
        <v>118.977</v>
      </c>
      <c r="O380" s="37">
        <f t="shared" si="7200"/>
        <v>222.584</v>
      </c>
      <c r="P380" s="37">
        <f t="shared" si="7201"/>
        <v>461</v>
      </c>
      <c r="Q380" s="37">
        <f t="shared" si="7202"/>
        <v>338</v>
      </c>
      <c r="R380" s="37">
        <f t="shared" si="7203"/>
        <v>371</v>
      </c>
      <c r="S380" s="37">
        <f t="shared" si="7204"/>
        <v>438</v>
      </c>
      <c r="T380" s="37">
        <f t="shared" si="7205"/>
        <v>514</v>
      </c>
      <c r="U380" s="37">
        <f t="shared" si="7206"/>
        <v>567</v>
      </c>
      <c r="V380" s="37">
        <f t="shared" si="7207"/>
        <v>576</v>
      </c>
      <c r="W380" s="37">
        <f t="shared" si="7208"/>
        <v>554</v>
      </c>
      <c r="X380" s="37">
        <f t="shared" si="7209"/>
        <v>602.9</v>
      </c>
      <c r="Y380" s="37">
        <f t="shared" si="7210"/>
        <v>0</v>
      </c>
      <c r="Z380" s="37">
        <f t="shared" si="7211"/>
        <v>0</v>
      </c>
      <c r="AA380" s="37">
        <f t="shared" si="7212"/>
        <v>0</v>
      </c>
      <c r="AB380" s="37">
        <f t="shared" si="7213"/>
        <v>0</v>
      </c>
      <c r="AC380" s="37">
        <f t="shared" si="7214"/>
        <v>0</v>
      </c>
      <c r="AD380" s="37">
        <f t="shared" si="7215"/>
        <v>0</v>
      </c>
      <c r="AE380" s="37">
        <f t="shared" si="7216"/>
        <v>0</v>
      </c>
      <c r="AF380" s="37">
        <f t="shared" si="7217"/>
        <v>0</v>
      </c>
      <c r="AG380" s="37">
        <f t="shared" si="7218"/>
        <v>0</v>
      </c>
      <c r="AH380" s="37">
        <f t="shared" si="7219"/>
        <v>0</v>
      </c>
      <c r="AI380" s="37">
        <f t="shared" si="7220"/>
        <v>0</v>
      </c>
      <c r="AJ380" s="37">
        <f t="shared" si="7221"/>
        <v>0</v>
      </c>
      <c r="AK380" s="37">
        <f t="shared" si="7222"/>
        <v>0</v>
      </c>
      <c r="AL380" s="37">
        <f t="shared" si="7223"/>
        <v>0</v>
      </c>
      <c r="AM380" s="37">
        <f t="shared" si="7224"/>
        <v>0</v>
      </c>
      <c r="AN380" s="37">
        <f t="shared" si="7225"/>
        <v>0</v>
      </c>
      <c r="AO380" s="37">
        <f t="shared" si="7226"/>
        <v>0</v>
      </c>
      <c r="AP380" s="37">
        <f t="shared" si="7227"/>
        <v>0</v>
      </c>
      <c r="AQ380" s="37">
        <f t="shared" si="7228"/>
        <v>0</v>
      </c>
      <c r="AR380" s="37">
        <f t="shared" si="7229"/>
        <v>0</v>
      </c>
      <c r="AS380" s="37">
        <f t="shared" si="7230"/>
        <v>0</v>
      </c>
      <c r="AT380" s="37">
        <f t="shared" si="7231"/>
        <v>0</v>
      </c>
      <c r="AU380" s="37">
        <f t="shared" si="7232"/>
        <v>0</v>
      </c>
      <c r="AV380" s="37">
        <f t="shared" si="7233"/>
        <v>0</v>
      </c>
      <c r="AW380" s="37">
        <f t="shared" si="7234"/>
        <v>0</v>
      </c>
      <c r="AX380" s="37">
        <f t="shared" si="7235"/>
        <v>0</v>
      </c>
      <c r="AY380" s="37">
        <f t="shared" si="7236"/>
        <v>0</v>
      </c>
      <c r="AZ380" s="37">
        <f t="shared" si="7237"/>
        <v>0</v>
      </c>
      <c r="BA380" s="37">
        <f t="shared" si="7238"/>
        <v>0</v>
      </c>
      <c r="BO380" s="36" t="s">
        <v>355</v>
      </c>
      <c r="BP380" s="37">
        <v>16.614000000000001</v>
      </c>
      <c r="BQ380" s="37">
        <v>27.111000000000001</v>
      </c>
      <c r="BR380" s="37">
        <v>33.771999999999998</v>
      </c>
      <c r="BS380" s="37">
        <v>41.48</v>
      </c>
      <c r="BT380" s="37">
        <v>118.977</v>
      </c>
      <c r="BV380" s="36" t="s">
        <v>355</v>
      </c>
      <c r="BW380" s="37">
        <v>37.814</v>
      </c>
      <c r="BX380" s="37">
        <v>42.405000000000001</v>
      </c>
      <c r="BY380" s="37">
        <v>52.445</v>
      </c>
      <c r="BZ380" s="37">
        <v>89.92</v>
      </c>
      <c r="CA380" s="37">
        <v>222.584</v>
      </c>
      <c r="CC380" s="36" t="s">
        <v>355</v>
      </c>
      <c r="CD380" s="37">
        <v>148</v>
      </c>
      <c r="CE380" s="37">
        <v>105</v>
      </c>
      <c r="CF380" s="37">
        <v>109</v>
      </c>
      <c r="CG380" s="37">
        <v>99</v>
      </c>
      <c r="CH380" s="37">
        <v>461</v>
      </c>
      <c r="CJ380" s="36" t="s">
        <v>355</v>
      </c>
      <c r="CK380" s="37">
        <v>84</v>
      </c>
      <c r="CL380" s="37">
        <v>84</v>
      </c>
      <c r="CM380" s="37">
        <v>81</v>
      </c>
      <c r="CN380" s="37">
        <v>89</v>
      </c>
      <c r="CO380" s="37">
        <v>338</v>
      </c>
      <c r="CQ380" s="36" t="s">
        <v>355</v>
      </c>
      <c r="CR380" s="37">
        <v>90</v>
      </c>
      <c r="CS380" s="37">
        <v>87</v>
      </c>
      <c r="CT380" s="37">
        <v>95</v>
      </c>
      <c r="CU380" s="37">
        <v>99</v>
      </c>
      <c r="CV380" s="37">
        <v>371</v>
      </c>
      <c r="CX380" s="36" t="s">
        <v>355</v>
      </c>
      <c r="CY380" s="37">
        <v>104</v>
      </c>
      <c r="CZ380" s="37">
        <v>109</v>
      </c>
      <c r="DA380" s="37">
        <v>109</v>
      </c>
      <c r="DB380" s="37">
        <v>116</v>
      </c>
      <c r="DC380" s="37">
        <v>438</v>
      </c>
      <c r="DE380" s="36" t="s">
        <v>355</v>
      </c>
      <c r="DF380" s="37">
        <v>121</v>
      </c>
      <c r="DG380" s="37">
        <v>127</v>
      </c>
      <c r="DH380" s="37">
        <v>127</v>
      </c>
      <c r="DI380" s="37">
        <v>139</v>
      </c>
      <c r="DJ380" s="37">
        <v>514</v>
      </c>
      <c r="DL380" s="36" t="s">
        <v>355</v>
      </c>
      <c r="DM380" s="37">
        <v>133</v>
      </c>
      <c r="DN380" s="37">
        <v>137</v>
      </c>
      <c r="DO380" s="37">
        <v>145</v>
      </c>
      <c r="DP380" s="37">
        <v>152</v>
      </c>
      <c r="DQ380" s="37">
        <v>567</v>
      </c>
      <c r="DS380" s="36" t="s">
        <v>355</v>
      </c>
      <c r="DT380" s="37">
        <v>138</v>
      </c>
      <c r="DU380" s="37">
        <v>145</v>
      </c>
      <c r="DV380" s="37">
        <v>145</v>
      </c>
      <c r="DW380" s="37">
        <v>148</v>
      </c>
      <c r="DX380" s="37">
        <v>576</v>
      </c>
      <c r="DZ380" s="36" t="s">
        <v>355</v>
      </c>
      <c r="EA380" s="37">
        <v>139</v>
      </c>
      <c r="EB380" s="37">
        <v>141</v>
      </c>
      <c r="EC380" s="37">
        <v>134</v>
      </c>
      <c r="ED380" s="37">
        <v>140</v>
      </c>
      <c r="EE380" s="37">
        <v>554</v>
      </c>
      <c r="EG380" s="36" t="s">
        <v>355</v>
      </c>
      <c r="EH380" s="37">
        <v>150</v>
      </c>
      <c r="EI380" s="37">
        <v>143</v>
      </c>
      <c r="EJ380" s="37">
        <v>158</v>
      </c>
      <c r="EK380" s="37">
        <v>151.9</v>
      </c>
      <c r="EL380" s="37">
        <v>602.9</v>
      </c>
      <c r="EN380" s="36" t="s">
        <v>355</v>
      </c>
      <c r="EO380" s="37">
        <v>0</v>
      </c>
      <c r="EP380" s="37">
        <v>0</v>
      </c>
      <c r="EQ380" s="37">
        <v>0</v>
      </c>
      <c r="ER380" s="37">
        <v>0</v>
      </c>
      <c r="ES380" s="37">
        <v>0</v>
      </c>
      <c r="EU380" s="36" t="s">
        <v>355</v>
      </c>
      <c r="EV380" s="37">
        <v>0</v>
      </c>
      <c r="EW380" s="37">
        <v>0</v>
      </c>
      <c r="EX380" s="37">
        <v>0</v>
      </c>
      <c r="EY380" s="37">
        <v>0</v>
      </c>
      <c r="EZ380" s="37">
        <v>0</v>
      </c>
      <c r="FB380" s="36" t="s">
        <v>355</v>
      </c>
      <c r="FC380" s="37">
        <v>0</v>
      </c>
      <c r="FD380" s="37">
        <v>0</v>
      </c>
      <c r="FE380" s="37">
        <v>0</v>
      </c>
      <c r="FF380" s="37">
        <v>0</v>
      </c>
      <c r="FG380" s="37">
        <v>0</v>
      </c>
      <c r="FI380" s="36" t="s">
        <v>355</v>
      </c>
      <c r="FP380" s="36" t="s">
        <v>355</v>
      </c>
      <c r="FW380" s="36" t="s">
        <v>355</v>
      </c>
      <c r="GD380" s="36" t="s">
        <v>355</v>
      </c>
      <c r="GK380" s="36" t="s">
        <v>355</v>
      </c>
      <c r="GR380" s="36" t="s">
        <v>355</v>
      </c>
      <c r="GY380" s="36" t="s">
        <v>355</v>
      </c>
      <c r="HF380" s="36" t="s">
        <v>355</v>
      </c>
      <c r="HM380" s="36" t="s">
        <v>355</v>
      </c>
      <c r="HT380" s="36" t="s">
        <v>355</v>
      </c>
      <c r="IA380" s="36" t="s">
        <v>355</v>
      </c>
      <c r="IH380" s="36" t="s">
        <v>355</v>
      </c>
      <c r="IO380" s="36" t="s">
        <v>355</v>
      </c>
      <c r="IV380" s="36" t="s">
        <v>355</v>
      </c>
      <c r="JC380" s="36" t="s">
        <v>355</v>
      </c>
      <c r="JJ380" s="36" t="s">
        <v>355</v>
      </c>
      <c r="JQ380" s="36" t="s">
        <v>355</v>
      </c>
      <c r="JX380" s="36" t="s">
        <v>355</v>
      </c>
      <c r="KE380" s="36" t="s">
        <v>355</v>
      </c>
      <c r="KL380" s="36" t="s">
        <v>355</v>
      </c>
      <c r="KS380" s="36" t="s">
        <v>355</v>
      </c>
      <c r="KZ380" s="36" t="s">
        <v>355</v>
      </c>
      <c r="LF380" s="565"/>
      <c r="LG380" s="36" t="s">
        <v>355</v>
      </c>
      <c r="LM380" s="565"/>
      <c r="LN380" s="36" t="s">
        <v>355</v>
      </c>
      <c r="LT380" s="565"/>
      <c r="LU380" s="36" t="s">
        <v>355</v>
      </c>
      <c r="MA380" s="565"/>
      <c r="MB380" s="36" t="s">
        <v>355</v>
      </c>
      <c r="MH380" s="565"/>
    </row>
    <row r="381" spans="1:346" s="37" customFormat="1" ht="13.15" hidden="1" outlineLevel="1" x14ac:dyDescent="0.4">
      <c r="A381" s="35"/>
      <c r="B381" s="36" t="s">
        <v>12</v>
      </c>
      <c r="M381" s="37">
        <v>951.65599999999995</v>
      </c>
      <c r="N381" s="37">
        <f t="shared" si="7199"/>
        <v>-3.2850000000000001</v>
      </c>
      <c r="O381" s="37">
        <f t="shared" si="7200"/>
        <v>-3.0790000000000002</v>
      </c>
      <c r="P381" s="37">
        <f t="shared" si="7201"/>
        <v>0</v>
      </c>
      <c r="Q381" s="37">
        <f t="shared" si="7202"/>
        <v>0</v>
      </c>
      <c r="R381" s="37">
        <f t="shared" si="7203"/>
        <v>0</v>
      </c>
      <c r="S381" s="37">
        <f t="shared" si="7204"/>
        <v>0</v>
      </c>
      <c r="T381" s="37">
        <f t="shared" si="7205"/>
        <v>0</v>
      </c>
      <c r="U381" s="37">
        <f t="shared" si="7206"/>
        <v>0</v>
      </c>
      <c r="V381" s="37">
        <f t="shared" si="7207"/>
        <v>0</v>
      </c>
      <c r="W381" s="37">
        <f t="shared" si="7208"/>
        <v>0</v>
      </c>
      <c r="X381" s="37">
        <f t="shared" si="7209"/>
        <v>0</v>
      </c>
      <c r="Y381" s="37">
        <f t="shared" si="7210"/>
        <v>0</v>
      </c>
      <c r="Z381" s="37">
        <f t="shared" si="7211"/>
        <v>0</v>
      </c>
      <c r="AA381" s="37">
        <f t="shared" si="7212"/>
        <v>0</v>
      </c>
      <c r="AB381" s="37">
        <f t="shared" si="7213"/>
        <v>0</v>
      </c>
      <c r="AC381" s="37">
        <f t="shared" si="7214"/>
        <v>0</v>
      </c>
      <c r="AD381" s="37">
        <f t="shared" si="7215"/>
        <v>0</v>
      </c>
      <c r="AE381" s="37">
        <f t="shared" si="7216"/>
        <v>0</v>
      </c>
      <c r="AF381" s="37">
        <f t="shared" si="7217"/>
        <v>0</v>
      </c>
      <c r="AG381" s="37">
        <f t="shared" si="7218"/>
        <v>0</v>
      </c>
      <c r="AH381" s="37">
        <f t="shared" si="7219"/>
        <v>0</v>
      </c>
      <c r="AI381" s="37">
        <f t="shared" si="7220"/>
        <v>0</v>
      </c>
      <c r="AJ381" s="37">
        <f t="shared" si="7221"/>
        <v>0</v>
      </c>
      <c r="AK381" s="37">
        <f t="shared" si="7222"/>
        <v>0</v>
      </c>
      <c r="AL381" s="37">
        <f t="shared" si="7223"/>
        <v>0</v>
      </c>
      <c r="AM381" s="37">
        <f t="shared" si="7224"/>
        <v>0</v>
      </c>
      <c r="AN381" s="37">
        <f t="shared" si="7225"/>
        <v>0</v>
      </c>
      <c r="AO381" s="37">
        <f t="shared" si="7226"/>
        <v>0</v>
      </c>
      <c r="AP381" s="37">
        <f t="shared" si="7227"/>
        <v>0</v>
      </c>
      <c r="AQ381" s="37">
        <f t="shared" si="7228"/>
        <v>0</v>
      </c>
      <c r="AR381" s="37">
        <f t="shared" si="7229"/>
        <v>0</v>
      </c>
      <c r="AS381" s="37">
        <f t="shared" si="7230"/>
        <v>0</v>
      </c>
      <c r="AT381" s="37">
        <f t="shared" si="7231"/>
        <v>0</v>
      </c>
      <c r="AU381" s="37">
        <f t="shared" si="7232"/>
        <v>0</v>
      </c>
      <c r="AV381" s="37">
        <f t="shared" si="7233"/>
        <v>0</v>
      </c>
      <c r="AW381" s="37">
        <f t="shared" si="7234"/>
        <v>0</v>
      </c>
      <c r="AX381" s="37">
        <f t="shared" si="7235"/>
        <v>0</v>
      </c>
      <c r="AY381" s="37">
        <f t="shared" si="7236"/>
        <v>0</v>
      </c>
      <c r="AZ381" s="37">
        <f t="shared" si="7237"/>
        <v>0</v>
      </c>
      <c r="BA381" s="37">
        <f t="shared" si="7238"/>
        <v>0</v>
      </c>
      <c r="BO381" s="36" t="s">
        <v>12</v>
      </c>
      <c r="BP381" s="37">
        <v>0</v>
      </c>
      <c r="BQ381" s="37">
        <v>0.115</v>
      </c>
      <c r="BR381" s="37">
        <v>1.0249999999999999</v>
      </c>
      <c r="BS381" s="37">
        <v>-4.4249999999999998</v>
      </c>
      <c r="BT381" s="37">
        <v>-3.2850000000000001</v>
      </c>
      <c r="BV381" s="36" t="s">
        <v>12</v>
      </c>
      <c r="BW381" s="37">
        <v>-1</v>
      </c>
      <c r="BX381" s="37">
        <v>0</v>
      </c>
      <c r="BY381" s="37">
        <v>-2.415</v>
      </c>
      <c r="BZ381" s="37">
        <v>0.33600000000000002</v>
      </c>
      <c r="CA381" s="37">
        <v>-3.0790000000000002</v>
      </c>
      <c r="CC381" s="36" t="s">
        <v>12</v>
      </c>
      <c r="CH381" s="37">
        <v>0</v>
      </c>
      <c r="CJ381" s="36" t="s">
        <v>12</v>
      </c>
      <c r="CO381" s="37">
        <v>0</v>
      </c>
      <c r="CQ381" s="36" t="s">
        <v>12</v>
      </c>
      <c r="CV381" s="37">
        <v>0</v>
      </c>
      <c r="CX381" s="36" t="s">
        <v>12</v>
      </c>
      <c r="DC381" s="37">
        <v>0</v>
      </c>
      <c r="DE381" s="36" t="s">
        <v>12</v>
      </c>
      <c r="DJ381" s="37">
        <v>0</v>
      </c>
      <c r="DL381" s="36" t="s">
        <v>12</v>
      </c>
      <c r="DQ381" s="37">
        <v>0</v>
      </c>
      <c r="DS381" s="36" t="s">
        <v>12</v>
      </c>
      <c r="DX381" s="37">
        <v>0</v>
      </c>
      <c r="DZ381" s="36" t="s">
        <v>12</v>
      </c>
      <c r="EE381" s="37">
        <v>0</v>
      </c>
      <c r="EG381" s="36" t="s">
        <v>12</v>
      </c>
      <c r="EL381" s="37">
        <v>0</v>
      </c>
      <c r="EN381" s="36" t="s">
        <v>12</v>
      </c>
      <c r="ES381" s="37">
        <v>0</v>
      </c>
      <c r="EU381" s="36" t="s">
        <v>12</v>
      </c>
      <c r="EZ381" s="37">
        <v>0</v>
      </c>
      <c r="FB381" s="36" t="s">
        <v>12</v>
      </c>
      <c r="FG381" s="37">
        <v>0</v>
      </c>
      <c r="FI381" s="36" t="s">
        <v>12</v>
      </c>
      <c r="FP381" s="36" t="s">
        <v>12</v>
      </c>
      <c r="FW381" s="36" t="s">
        <v>12</v>
      </c>
      <c r="GD381" s="36" t="s">
        <v>12</v>
      </c>
      <c r="GK381" s="36" t="s">
        <v>12</v>
      </c>
      <c r="GR381" s="36" t="s">
        <v>12</v>
      </c>
      <c r="GY381" s="36" t="s">
        <v>12</v>
      </c>
      <c r="HF381" s="36" t="s">
        <v>12</v>
      </c>
      <c r="HM381" s="36" t="s">
        <v>12</v>
      </c>
      <c r="HT381" s="36" t="s">
        <v>12</v>
      </c>
      <c r="IA381" s="36" t="s">
        <v>12</v>
      </c>
      <c r="IH381" s="36" t="s">
        <v>12</v>
      </c>
      <c r="IO381" s="36" t="s">
        <v>12</v>
      </c>
      <c r="IV381" s="36" t="s">
        <v>12</v>
      </c>
      <c r="JC381" s="36" t="s">
        <v>12</v>
      </c>
      <c r="JJ381" s="36" t="s">
        <v>12</v>
      </c>
      <c r="JQ381" s="36" t="s">
        <v>12</v>
      </c>
      <c r="JX381" s="36" t="s">
        <v>12</v>
      </c>
      <c r="KE381" s="36" t="s">
        <v>12</v>
      </c>
      <c r="KL381" s="36" t="s">
        <v>12</v>
      </c>
      <c r="KS381" s="36" t="s">
        <v>12</v>
      </c>
      <c r="KZ381" s="36" t="s">
        <v>12</v>
      </c>
      <c r="LF381" s="565"/>
      <c r="LG381" s="36" t="s">
        <v>12</v>
      </c>
      <c r="LM381" s="565"/>
      <c r="LN381" s="36" t="s">
        <v>12</v>
      </c>
      <c r="LT381" s="565"/>
      <c r="LU381" s="36" t="s">
        <v>12</v>
      </c>
      <c r="MA381" s="565"/>
      <c r="MB381" s="36" t="s">
        <v>12</v>
      </c>
      <c r="MH381" s="565"/>
    </row>
    <row r="382" spans="1:346" s="37" customFormat="1" ht="13.15" hidden="1" outlineLevel="1" x14ac:dyDescent="0.4">
      <c r="A382" s="35"/>
      <c r="B382" s="36" t="s">
        <v>356</v>
      </c>
      <c r="M382" s="37">
        <v>1153.3440000000001</v>
      </c>
      <c r="N382" s="37">
        <f t="shared" si="7199"/>
        <v>2006.7260000000001</v>
      </c>
      <c r="O382" s="37">
        <f t="shared" si="7200"/>
        <v>2269.8250000000003</v>
      </c>
      <c r="P382" s="37">
        <f t="shared" si="7201"/>
        <v>2796</v>
      </c>
      <c r="Q382" s="37">
        <f t="shared" si="7202"/>
        <v>2749</v>
      </c>
      <c r="R382" s="37">
        <f t="shared" si="7203"/>
        <v>2835</v>
      </c>
      <c r="S382" s="37">
        <f t="shared" si="7204"/>
        <v>3045</v>
      </c>
      <c r="T382" s="37">
        <f t="shared" si="7205"/>
        <v>3487</v>
      </c>
      <c r="U382" s="37">
        <f t="shared" si="7206"/>
        <v>3528</v>
      </c>
      <c r="V382" s="37">
        <f t="shared" si="7207"/>
        <v>3505</v>
      </c>
      <c r="W382" s="37">
        <f t="shared" si="7208"/>
        <v>3342</v>
      </c>
      <c r="X382" s="37">
        <f t="shared" si="7209"/>
        <v>3366.49</v>
      </c>
      <c r="Y382" s="37">
        <f t="shared" si="7210"/>
        <v>666</v>
      </c>
      <c r="Z382" s="37">
        <f t="shared" si="7211"/>
        <v>681</v>
      </c>
      <c r="AA382" s="37">
        <f t="shared" si="7212"/>
        <v>758</v>
      </c>
      <c r="AB382" s="37">
        <f t="shared" si="7213"/>
        <v>0</v>
      </c>
      <c r="AC382" s="37">
        <f t="shared" si="7214"/>
        <v>0</v>
      </c>
      <c r="AD382" s="37">
        <f t="shared" si="7215"/>
        <v>0</v>
      </c>
      <c r="AE382" s="37">
        <f t="shared" si="7216"/>
        <v>0</v>
      </c>
      <c r="AF382" s="37">
        <f t="shared" si="7217"/>
        <v>0</v>
      </c>
      <c r="AG382" s="37">
        <f t="shared" si="7218"/>
        <v>0</v>
      </c>
      <c r="AH382" s="37">
        <f t="shared" si="7219"/>
        <v>0</v>
      </c>
      <c r="AI382" s="37">
        <f t="shared" si="7220"/>
        <v>0</v>
      </c>
      <c r="AJ382" s="37">
        <f t="shared" si="7221"/>
        <v>0</v>
      </c>
      <c r="AK382" s="37">
        <f t="shared" si="7222"/>
        <v>0</v>
      </c>
      <c r="AL382" s="37">
        <f t="shared" si="7223"/>
        <v>0</v>
      </c>
      <c r="AM382" s="37">
        <f t="shared" si="7224"/>
        <v>0</v>
      </c>
      <c r="AN382" s="37">
        <f t="shared" si="7225"/>
        <v>0</v>
      </c>
      <c r="AO382" s="37">
        <f t="shared" si="7226"/>
        <v>0</v>
      </c>
      <c r="AP382" s="37">
        <f t="shared" si="7227"/>
        <v>0</v>
      </c>
      <c r="AQ382" s="37">
        <f t="shared" si="7228"/>
        <v>0</v>
      </c>
      <c r="AR382" s="37">
        <f t="shared" si="7229"/>
        <v>0</v>
      </c>
      <c r="AS382" s="37">
        <f t="shared" si="7230"/>
        <v>0</v>
      </c>
      <c r="AT382" s="37">
        <f t="shared" si="7231"/>
        <v>0</v>
      </c>
      <c r="AU382" s="37">
        <f t="shared" si="7232"/>
        <v>0</v>
      </c>
      <c r="AV382" s="37">
        <f t="shared" si="7233"/>
        <v>0</v>
      </c>
      <c r="AW382" s="37">
        <f t="shared" si="7234"/>
        <v>0</v>
      </c>
      <c r="AX382" s="37">
        <f t="shared" si="7235"/>
        <v>0</v>
      </c>
      <c r="AY382" s="37">
        <f t="shared" si="7236"/>
        <v>0</v>
      </c>
      <c r="AZ382" s="37">
        <f t="shared" si="7237"/>
        <v>0</v>
      </c>
      <c r="BA382" s="37">
        <f t="shared" si="7238"/>
        <v>0</v>
      </c>
      <c r="BO382" s="36" t="s">
        <v>356</v>
      </c>
      <c r="BP382" s="37">
        <v>433.54899999999998</v>
      </c>
      <c r="BQ382" s="37">
        <v>499.47799999999995</v>
      </c>
      <c r="BR382" s="37">
        <v>518.34400000000005</v>
      </c>
      <c r="BS382" s="37">
        <v>555.35500000000013</v>
      </c>
      <c r="BT382" s="37">
        <v>2006.7260000000001</v>
      </c>
      <c r="BV382" s="36" t="s">
        <v>356</v>
      </c>
      <c r="BW382" s="37">
        <v>472.58100000000002</v>
      </c>
      <c r="BX382" s="37">
        <v>544.74599999999998</v>
      </c>
      <c r="BY382" s="37">
        <v>580.18100000000015</v>
      </c>
      <c r="BZ382" s="37">
        <v>672.31700000000001</v>
      </c>
      <c r="CA382" s="37">
        <v>2269.8250000000003</v>
      </c>
      <c r="CC382" s="36" t="s">
        <v>356</v>
      </c>
      <c r="CD382" s="37">
        <v>665</v>
      </c>
      <c r="CE382" s="37">
        <v>642</v>
      </c>
      <c r="CF382" s="37">
        <v>715</v>
      </c>
      <c r="CG382" s="37">
        <v>774</v>
      </c>
      <c r="CH382" s="37">
        <v>2796</v>
      </c>
      <c r="CJ382" s="36" t="s">
        <v>356</v>
      </c>
      <c r="CK382" s="37">
        <v>649</v>
      </c>
      <c r="CL382" s="37">
        <v>702</v>
      </c>
      <c r="CM382" s="37">
        <v>709</v>
      </c>
      <c r="CN382" s="37">
        <v>689</v>
      </c>
      <c r="CO382" s="37">
        <v>2749</v>
      </c>
      <c r="CQ382" s="36" t="s">
        <v>356</v>
      </c>
      <c r="CR382" s="37">
        <v>659</v>
      </c>
      <c r="CS382" s="37">
        <v>720</v>
      </c>
      <c r="CT382" s="37">
        <v>741</v>
      </c>
      <c r="CU382" s="37">
        <v>715</v>
      </c>
      <c r="CV382" s="37">
        <v>2835</v>
      </c>
      <c r="CX382" s="36" t="s">
        <v>356</v>
      </c>
      <c r="CY382" s="37">
        <v>696</v>
      </c>
      <c r="CZ382" s="37">
        <v>706</v>
      </c>
      <c r="DA382" s="37">
        <v>818</v>
      </c>
      <c r="DB382" s="37">
        <v>825</v>
      </c>
      <c r="DC382" s="37">
        <v>3045</v>
      </c>
      <c r="DE382" s="36" t="s">
        <v>356</v>
      </c>
      <c r="DF382" s="37">
        <v>779</v>
      </c>
      <c r="DG382" s="37">
        <v>859</v>
      </c>
      <c r="DH382" s="37">
        <v>893</v>
      </c>
      <c r="DI382" s="37">
        <v>956</v>
      </c>
      <c r="DJ382" s="37">
        <v>3487</v>
      </c>
      <c r="DL382" s="36" t="s">
        <v>356</v>
      </c>
      <c r="DM382" s="37">
        <v>832</v>
      </c>
      <c r="DN382" s="37">
        <v>886</v>
      </c>
      <c r="DO382" s="37">
        <v>898</v>
      </c>
      <c r="DP382" s="37">
        <v>912</v>
      </c>
      <c r="DQ382" s="37">
        <v>3528</v>
      </c>
      <c r="DS382" s="36" t="s">
        <v>356</v>
      </c>
      <c r="DT382" s="37">
        <v>845</v>
      </c>
      <c r="DU382" s="37">
        <v>886</v>
      </c>
      <c r="DV382" s="37">
        <v>888</v>
      </c>
      <c r="DW382" s="37">
        <v>886</v>
      </c>
      <c r="DX382" s="37">
        <v>3505</v>
      </c>
      <c r="DZ382" s="36" t="s">
        <v>356</v>
      </c>
      <c r="EA382" s="37">
        <v>829</v>
      </c>
      <c r="EB382" s="37">
        <v>853</v>
      </c>
      <c r="EC382" s="37">
        <v>836</v>
      </c>
      <c r="ED382" s="37">
        <v>824</v>
      </c>
      <c r="EE382" s="37">
        <v>3342</v>
      </c>
      <c r="EG382" s="36" t="s">
        <v>356</v>
      </c>
      <c r="EH382" s="37">
        <v>826</v>
      </c>
      <c r="EI382" s="37">
        <v>823</v>
      </c>
      <c r="EJ382" s="37">
        <v>868</v>
      </c>
      <c r="EK382" s="37">
        <v>849.49</v>
      </c>
      <c r="EL382" s="37">
        <v>3366.49</v>
      </c>
      <c r="EN382" s="36" t="s">
        <v>356</v>
      </c>
      <c r="EO382" s="37">
        <v>162</v>
      </c>
      <c r="EP382" s="37">
        <v>162</v>
      </c>
      <c r="EQ382" s="37">
        <v>176</v>
      </c>
      <c r="ER382" s="37">
        <v>166</v>
      </c>
      <c r="ES382" s="37">
        <v>666</v>
      </c>
      <c r="EU382" s="36" t="s">
        <v>356</v>
      </c>
      <c r="EV382" s="37">
        <v>161</v>
      </c>
      <c r="EW382" s="37">
        <v>168</v>
      </c>
      <c r="EX382" s="37">
        <v>181</v>
      </c>
      <c r="EY382" s="37">
        <v>171</v>
      </c>
      <c r="EZ382" s="37">
        <v>681</v>
      </c>
      <c r="FB382" s="36" t="s">
        <v>356</v>
      </c>
      <c r="FC382" s="37">
        <v>161</v>
      </c>
      <c r="FD382" s="37">
        <v>189</v>
      </c>
      <c r="FE382" s="37">
        <v>215</v>
      </c>
      <c r="FF382" s="37">
        <v>193</v>
      </c>
      <c r="FG382" s="37">
        <v>758</v>
      </c>
      <c r="FI382" s="36" t="s">
        <v>356</v>
      </c>
      <c r="FP382" s="36" t="s">
        <v>356</v>
      </c>
      <c r="FW382" s="36" t="s">
        <v>356</v>
      </c>
      <c r="GD382" s="36" t="s">
        <v>356</v>
      </c>
      <c r="GK382" s="36" t="s">
        <v>356</v>
      </c>
      <c r="GR382" s="36" t="s">
        <v>356</v>
      </c>
      <c r="GY382" s="36" t="s">
        <v>356</v>
      </c>
      <c r="HF382" s="36" t="s">
        <v>356</v>
      </c>
      <c r="HM382" s="36" t="s">
        <v>356</v>
      </c>
      <c r="HT382" s="36" t="s">
        <v>356</v>
      </c>
      <c r="IA382" s="36" t="s">
        <v>356</v>
      </c>
      <c r="IH382" s="36" t="s">
        <v>356</v>
      </c>
      <c r="IO382" s="36" t="s">
        <v>356</v>
      </c>
      <c r="IV382" s="36" t="s">
        <v>356</v>
      </c>
      <c r="JC382" s="36" t="s">
        <v>356</v>
      </c>
      <c r="JJ382" s="36" t="s">
        <v>356</v>
      </c>
      <c r="JQ382" s="36" t="s">
        <v>356</v>
      </c>
      <c r="JX382" s="36" t="s">
        <v>356</v>
      </c>
      <c r="KE382" s="36" t="s">
        <v>356</v>
      </c>
      <c r="KL382" s="36" t="s">
        <v>356</v>
      </c>
      <c r="KS382" s="36" t="s">
        <v>356</v>
      </c>
      <c r="KZ382" s="36" t="s">
        <v>356</v>
      </c>
      <c r="LF382" s="565"/>
      <c r="LG382" s="36" t="s">
        <v>356</v>
      </c>
      <c r="LM382" s="565"/>
      <c r="LN382" s="36" t="s">
        <v>356</v>
      </c>
      <c r="LT382" s="565"/>
      <c r="LU382" s="36" t="s">
        <v>356</v>
      </c>
      <c r="MA382" s="565"/>
      <c r="MB382" s="36" t="s">
        <v>356</v>
      </c>
      <c r="MH382" s="565"/>
    </row>
    <row r="383" spans="1:346" s="37" customFormat="1" ht="13.15" hidden="1" outlineLevel="1" x14ac:dyDescent="0.4">
      <c r="A383" s="35"/>
      <c r="B383" s="36" t="s">
        <v>357</v>
      </c>
      <c r="N383" s="37">
        <f t="shared" si="7199"/>
        <v>336.27399999999989</v>
      </c>
      <c r="O383" s="37">
        <f t="shared" si="7200"/>
        <v>394.49199999999985</v>
      </c>
      <c r="P383" s="37">
        <f t="shared" si="7201"/>
        <v>442</v>
      </c>
      <c r="Q383" s="37">
        <f t="shared" si="7202"/>
        <v>399</v>
      </c>
      <c r="R383" s="37">
        <f t="shared" si="7203"/>
        <v>411</v>
      </c>
      <c r="S383" s="37">
        <f t="shared" si="7204"/>
        <v>447</v>
      </c>
      <c r="T383" s="37">
        <f t="shared" si="7205"/>
        <v>521</v>
      </c>
      <c r="U383" s="37">
        <f t="shared" si="7206"/>
        <v>523</v>
      </c>
      <c r="V383" s="37">
        <f t="shared" si="7207"/>
        <v>486</v>
      </c>
      <c r="W383" s="37">
        <f t="shared" si="7208"/>
        <v>574</v>
      </c>
      <c r="X383" s="37">
        <f t="shared" si="7209"/>
        <v>633.36</v>
      </c>
      <c r="Y383" s="37">
        <f t="shared" si="7210"/>
        <v>302</v>
      </c>
      <c r="Z383" s="37">
        <f t="shared" si="7211"/>
        <v>244</v>
      </c>
      <c r="AA383" s="37">
        <f t="shared" si="7212"/>
        <v>238</v>
      </c>
      <c r="AB383" s="37">
        <f t="shared" si="7213"/>
        <v>0</v>
      </c>
      <c r="AC383" s="37">
        <f t="shared" si="7214"/>
        <v>0</v>
      </c>
      <c r="AD383" s="37">
        <f t="shared" si="7215"/>
        <v>0</v>
      </c>
      <c r="AE383" s="37">
        <f t="shared" si="7216"/>
        <v>0</v>
      </c>
      <c r="AF383" s="37">
        <f t="shared" si="7217"/>
        <v>0</v>
      </c>
      <c r="AG383" s="37">
        <f t="shared" si="7218"/>
        <v>0</v>
      </c>
      <c r="AH383" s="37">
        <f t="shared" si="7219"/>
        <v>0</v>
      </c>
      <c r="AI383" s="37">
        <f t="shared" si="7220"/>
        <v>0</v>
      </c>
      <c r="AJ383" s="37">
        <f t="shared" si="7221"/>
        <v>0</v>
      </c>
      <c r="AK383" s="37">
        <f t="shared" si="7222"/>
        <v>0</v>
      </c>
      <c r="AL383" s="37">
        <f t="shared" si="7223"/>
        <v>0</v>
      </c>
      <c r="AM383" s="37">
        <f t="shared" si="7224"/>
        <v>0</v>
      </c>
      <c r="AN383" s="37">
        <f t="shared" si="7225"/>
        <v>0</v>
      </c>
      <c r="AO383" s="37">
        <f t="shared" si="7226"/>
        <v>0</v>
      </c>
      <c r="AP383" s="37">
        <f t="shared" si="7227"/>
        <v>0</v>
      </c>
      <c r="AQ383" s="37">
        <f t="shared" si="7228"/>
        <v>0</v>
      </c>
      <c r="AR383" s="37">
        <f t="shared" si="7229"/>
        <v>0</v>
      </c>
      <c r="AS383" s="37">
        <f t="shared" si="7230"/>
        <v>0</v>
      </c>
      <c r="AT383" s="37">
        <f t="shared" si="7231"/>
        <v>0</v>
      </c>
      <c r="AU383" s="37">
        <f t="shared" si="7232"/>
        <v>0</v>
      </c>
      <c r="AV383" s="37">
        <f t="shared" si="7233"/>
        <v>0</v>
      </c>
      <c r="AW383" s="37">
        <f t="shared" si="7234"/>
        <v>0</v>
      </c>
      <c r="AX383" s="37">
        <f t="shared" si="7235"/>
        <v>0</v>
      </c>
      <c r="AY383" s="37">
        <f t="shared" si="7236"/>
        <v>0</v>
      </c>
      <c r="AZ383" s="37">
        <f t="shared" si="7237"/>
        <v>0</v>
      </c>
      <c r="BA383" s="37">
        <f t="shared" si="7238"/>
        <v>0</v>
      </c>
      <c r="BO383" s="36" t="s">
        <v>357</v>
      </c>
      <c r="BP383" s="37">
        <v>67.451000000000022</v>
      </c>
      <c r="BQ383" s="37">
        <v>85.522000000000048</v>
      </c>
      <c r="BR383" s="37">
        <v>88.655999999999949</v>
      </c>
      <c r="BS383" s="37">
        <v>94.644999999999868</v>
      </c>
      <c r="BT383" s="37">
        <v>336.27399999999989</v>
      </c>
      <c r="BV383" s="36" t="s">
        <v>357</v>
      </c>
      <c r="BW383" s="37">
        <v>80.418999999999983</v>
      </c>
      <c r="BX383" s="37">
        <v>98.254000000000019</v>
      </c>
      <c r="BY383" s="37">
        <v>94.818999999999846</v>
      </c>
      <c r="BZ383" s="37">
        <v>121</v>
      </c>
      <c r="CA383" s="37">
        <v>394.49199999999985</v>
      </c>
      <c r="CC383" s="36" t="s">
        <v>357</v>
      </c>
      <c r="CD383" s="37">
        <v>82</v>
      </c>
      <c r="CE383" s="37">
        <v>159</v>
      </c>
      <c r="CF383" s="37">
        <v>97</v>
      </c>
      <c r="CG383" s="37">
        <v>104</v>
      </c>
      <c r="CH383" s="37">
        <v>442</v>
      </c>
      <c r="CJ383" s="36" t="s">
        <v>357</v>
      </c>
      <c r="CK383" s="37">
        <v>86</v>
      </c>
      <c r="CL383" s="37">
        <v>96</v>
      </c>
      <c r="CM383" s="37">
        <v>101</v>
      </c>
      <c r="CN383" s="37">
        <v>116</v>
      </c>
      <c r="CO383" s="37">
        <v>399</v>
      </c>
      <c r="CQ383" s="36" t="s">
        <v>357</v>
      </c>
      <c r="CR383" s="37">
        <v>93</v>
      </c>
      <c r="CS383" s="37">
        <v>95</v>
      </c>
      <c r="CT383" s="37">
        <v>105</v>
      </c>
      <c r="CU383" s="37">
        <v>118</v>
      </c>
      <c r="CV383" s="37">
        <v>411</v>
      </c>
      <c r="CX383" s="36" t="s">
        <v>357</v>
      </c>
      <c r="CY383" s="37">
        <v>104</v>
      </c>
      <c r="CZ383" s="37">
        <v>120</v>
      </c>
      <c r="DA383" s="37">
        <v>102</v>
      </c>
      <c r="DB383" s="37">
        <v>121</v>
      </c>
      <c r="DC383" s="37">
        <v>447</v>
      </c>
      <c r="DE383" s="36" t="s">
        <v>357</v>
      </c>
      <c r="DF383" s="37">
        <v>120</v>
      </c>
      <c r="DG383" s="37">
        <v>132</v>
      </c>
      <c r="DH383" s="37">
        <v>134</v>
      </c>
      <c r="DI383" s="37">
        <v>135</v>
      </c>
      <c r="DJ383" s="37">
        <v>521</v>
      </c>
      <c r="DL383" s="36" t="s">
        <v>357</v>
      </c>
      <c r="DM383" s="37">
        <v>129</v>
      </c>
      <c r="DN383" s="37">
        <v>134</v>
      </c>
      <c r="DO383" s="37">
        <v>135</v>
      </c>
      <c r="DP383" s="37">
        <v>125</v>
      </c>
      <c r="DQ383" s="37">
        <v>523</v>
      </c>
      <c r="DS383" s="36" t="s">
        <v>357</v>
      </c>
      <c r="DT383" s="37">
        <v>105</v>
      </c>
      <c r="DU383" s="37">
        <v>125</v>
      </c>
      <c r="DV383" s="37">
        <v>127</v>
      </c>
      <c r="DW383" s="37">
        <v>129</v>
      </c>
      <c r="DX383" s="37">
        <v>486</v>
      </c>
      <c r="DZ383" s="36" t="s">
        <v>357</v>
      </c>
      <c r="EA383" s="37">
        <v>126</v>
      </c>
      <c r="EB383" s="37">
        <v>140</v>
      </c>
      <c r="EC383" s="37">
        <v>152</v>
      </c>
      <c r="ED383" s="37">
        <v>156</v>
      </c>
      <c r="EE383" s="37">
        <v>574</v>
      </c>
      <c r="EG383" s="36" t="s">
        <v>357</v>
      </c>
      <c r="EH383" s="37">
        <v>147</v>
      </c>
      <c r="EI383" s="37">
        <v>154</v>
      </c>
      <c r="EJ383" s="37">
        <v>167</v>
      </c>
      <c r="EK383" s="37">
        <v>165.36</v>
      </c>
      <c r="EL383" s="37">
        <v>633.36</v>
      </c>
      <c r="EN383" s="36" t="s">
        <v>357</v>
      </c>
      <c r="EO383" s="37">
        <v>74</v>
      </c>
      <c r="EP383" s="37">
        <v>75</v>
      </c>
      <c r="EQ383" s="37">
        <v>80</v>
      </c>
      <c r="ER383" s="37">
        <v>73</v>
      </c>
      <c r="ES383" s="37">
        <v>302</v>
      </c>
      <c r="EU383" s="36" t="s">
        <v>357</v>
      </c>
      <c r="EV383" s="37">
        <v>68</v>
      </c>
      <c r="EW383" s="37">
        <v>60</v>
      </c>
      <c r="EX383" s="37">
        <v>58</v>
      </c>
      <c r="EY383" s="37">
        <v>58</v>
      </c>
      <c r="EZ383" s="37">
        <v>244</v>
      </c>
      <c r="FB383" s="36" t="s">
        <v>357</v>
      </c>
      <c r="FC383" s="37">
        <v>60</v>
      </c>
      <c r="FD383" s="37">
        <v>58</v>
      </c>
      <c r="FE383" s="37">
        <v>64</v>
      </c>
      <c r="FF383" s="37">
        <v>56</v>
      </c>
      <c r="FG383" s="37">
        <v>238</v>
      </c>
      <c r="FI383" s="36" t="s">
        <v>357</v>
      </c>
      <c r="FP383" s="36" t="s">
        <v>357</v>
      </c>
      <c r="FW383" s="36" t="s">
        <v>357</v>
      </c>
      <c r="GD383" s="36" t="s">
        <v>357</v>
      </c>
      <c r="GK383" s="36" t="s">
        <v>357</v>
      </c>
      <c r="GR383" s="36" t="s">
        <v>357</v>
      </c>
      <c r="GY383" s="36" t="s">
        <v>357</v>
      </c>
      <c r="HF383" s="36" t="s">
        <v>357</v>
      </c>
      <c r="HM383" s="36" t="s">
        <v>357</v>
      </c>
      <c r="HT383" s="36" t="s">
        <v>357</v>
      </c>
      <c r="IA383" s="36" t="s">
        <v>357</v>
      </c>
      <c r="IH383" s="36" t="s">
        <v>357</v>
      </c>
      <c r="IO383" s="36" t="s">
        <v>357</v>
      </c>
      <c r="IV383" s="36" t="s">
        <v>357</v>
      </c>
      <c r="JC383" s="36" t="s">
        <v>357</v>
      </c>
      <c r="JJ383" s="36" t="s">
        <v>357</v>
      </c>
      <c r="JQ383" s="36" t="s">
        <v>357</v>
      </c>
      <c r="JX383" s="36" t="s">
        <v>357</v>
      </c>
      <c r="KE383" s="36" t="s">
        <v>357</v>
      </c>
      <c r="KL383" s="36" t="s">
        <v>357</v>
      </c>
      <c r="KS383" s="36" t="s">
        <v>357</v>
      </c>
      <c r="KZ383" s="36" t="s">
        <v>357</v>
      </c>
      <c r="LF383" s="565"/>
      <c r="LG383" s="36" t="s">
        <v>357</v>
      </c>
      <c r="LM383" s="565"/>
      <c r="LN383" s="36" t="s">
        <v>357</v>
      </c>
      <c r="LT383" s="565"/>
      <c r="LU383" s="36" t="s">
        <v>357</v>
      </c>
      <c r="MA383" s="565"/>
      <c r="MB383" s="36" t="s">
        <v>357</v>
      </c>
      <c r="MH383" s="565"/>
    </row>
    <row r="384" spans="1:346" s="37" customFormat="1" ht="13.15" hidden="1" outlineLevel="1" x14ac:dyDescent="0.4">
      <c r="A384" s="35"/>
      <c r="B384" s="36" t="s">
        <v>249</v>
      </c>
      <c r="I384" s="37">
        <v>1759</v>
      </c>
      <c r="J384" s="37">
        <v>1634</v>
      </c>
      <c r="K384" s="37">
        <v>1553</v>
      </c>
      <c r="L384" s="37">
        <v>1788</v>
      </c>
      <c r="M384" s="37">
        <v>2105</v>
      </c>
      <c r="N384" s="37">
        <f t="shared" si="7199"/>
        <v>2343</v>
      </c>
      <c r="O384" s="37">
        <f t="shared" si="7200"/>
        <v>2664.317</v>
      </c>
      <c r="P384" s="37">
        <f t="shared" si="7201"/>
        <v>3238</v>
      </c>
      <c r="Q384" s="37">
        <f t="shared" si="7202"/>
        <v>3148</v>
      </c>
      <c r="R384" s="37">
        <f t="shared" si="7203"/>
        <v>3246</v>
      </c>
      <c r="S384" s="37">
        <f t="shared" si="7204"/>
        <v>3492</v>
      </c>
      <c r="T384" s="37">
        <f t="shared" si="7205"/>
        <v>4008</v>
      </c>
      <c r="U384" s="37">
        <f t="shared" si="7206"/>
        <v>4051</v>
      </c>
      <c r="V384" s="37">
        <f t="shared" si="7207"/>
        <v>3991</v>
      </c>
      <c r="W384" s="37">
        <f t="shared" si="7208"/>
        <v>3916</v>
      </c>
      <c r="X384" s="37">
        <f t="shared" si="7209"/>
        <v>3809</v>
      </c>
      <c r="Y384" s="37">
        <f t="shared" si="7210"/>
        <v>968</v>
      </c>
      <c r="Z384" s="37">
        <f t="shared" si="7211"/>
        <v>924</v>
      </c>
      <c r="AA384" s="37">
        <f t="shared" si="7212"/>
        <v>996</v>
      </c>
      <c r="AB384" s="37">
        <f t="shared" si="7213"/>
        <v>0</v>
      </c>
      <c r="AC384" s="37">
        <f t="shared" si="7214"/>
        <v>0</v>
      </c>
      <c r="AD384" s="37">
        <f t="shared" si="7215"/>
        <v>0</v>
      </c>
      <c r="AE384" s="37">
        <f t="shared" si="7216"/>
        <v>0</v>
      </c>
      <c r="AF384" s="37">
        <f t="shared" si="7217"/>
        <v>0</v>
      </c>
      <c r="AG384" s="37">
        <f t="shared" si="7218"/>
        <v>0</v>
      </c>
      <c r="AH384" s="37">
        <f t="shared" si="7219"/>
        <v>0</v>
      </c>
      <c r="AI384" s="37">
        <f t="shared" si="7220"/>
        <v>0</v>
      </c>
      <c r="AJ384" s="37">
        <f t="shared" si="7221"/>
        <v>0</v>
      </c>
      <c r="AK384" s="37">
        <f t="shared" si="7222"/>
        <v>0</v>
      </c>
      <c r="AL384" s="37">
        <f t="shared" si="7223"/>
        <v>0</v>
      </c>
      <c r="AM384" s="37">
        <f t="shared" si="7224"/>
        <v>0</v>
      </c>
      <c r="AN384" s="37">
        <f t="shared" si="7225"/>
        <v>0</v>
      </c>
      <c r="AO384" s="37">
        <f t="shared" si="7226"/>
        <v>0</v>
      </c>
      <c r="AP384" s="37">
        <f t="shared" si="7227"/>
        <v>0</v>
      </c>
      <c r="AQ384" s="37">
        <f t="shared" si="7228"/>
        <v>0</v>
      </c>
      <c r="AR384" s="37">
        <f t="shared" si="7229"/>
        <v>0</v>
      </c>
      <c r="AS384" s="37">
        <f t="shared" si="7230"/>
        <v>0</v>
      </c>
      <c r="AT384" s="37">
        <f t="shared" si="7231"/>
        <v>0</v>
      </c>
      <c r="AU384" s="37">
        <f t="shared" si="7232"/>
        <v>0</v>
      </c>
      <c r="AV384" s="37">
        <f t="shared" si="7233"/>
        <v>0</v>
      </c>
      <c r="AW384" s="37">
        <f t="shared" si="7234"/>
        <v>0</v>
      </c>
      <c r="AX384" s="37">
        <f t="shared" si="7235"/>
        <v>0</v>
      </c>
      <c r="AY384" s="37">
        <f t="shared" si="7236"/>
        <v>0</v>
      </c>
      <c r="AZ384" s="37">
        <f t="shared" si="7237"/>
        <v>0</v>
      </c>
      <c r="BA384" s="37">
        <f t="shared" si="7238"/>
        <v>0</v>
      </c>
      <c r="BO384" s="36" t="s">
        <v>249</v>
      </c>
      <c r="BP384" s="37">
        <v>501</v>
      </c>
      <c r="BQ384" s="37">
        <v>585</v>
      </c>
      <c r="BR384" s="37">
        <v>607</v>
      </c>
      <c r="BS384" s="37">
        <v>650</v>
      </c>
      <c r="BT384" s="37">
        <v>2343</v>
      </c>
      <c r="BV384" s="36" t="s">
        <v>249</v>
      </c>
      <c r="BW384" s="37">
        <v>553</v>
      </c>
      <c r="BX384" s="37">
        <v>643</v>
      </c>
      <c r="BY384" s="37">
        <v>675</v>
      </c>
      <c r="BZ384" s="37">
        <v>793.31700000000001</v>
      </c>
      <c r="CA384" s="37">
        <v>2664.317</v>
      </c>
      <c r="CC384" s="36" t="s">
        <v>249</v>
      </c>
      <c r="CD384" s="37">
        <v>747</v>
      </c>
      <c r="CE384" s="37">
        <v>801</v>
      </c>
      <c r="CF384" s="37">
        <v>812</v>
      </c>
      <c r="CG384" s="37">
        <v>878</v>
      </c>
      <c r="CH384" s="37">
        <v>3238</v>
      </c>
      <c r="CJ384" s="36" t="s">
        <v>249</v>
      </c>
      <c r="CK384" s="37">
        <v>735</v>
      </c>
      <c r="CL384" s="37">
        <v>798</v>
      </c>
      <c r="CM384" s="37">
        <v>810</v>
      </c>
      <c r="CN384" s="37">
        <v>805</v>
      </c>
      <c r="CO384" s="37">
        <v>3148</v>
      </c>
      <c r="CQ384" s="36" t="s">
        <v>249</v>
      </c>
      <c r="CR384" s="37">
        <v>752</v>
      </c>
      <c r="CS384" s="37">
        <v>815</v>
      </c>
      <c r="CT384" s="37">
        <v>846</v>
      </c>
      <c r="CU384" s="37">
        <v>833</v>
      </c>
      <c r="CV384" s="37">
        <v>3246</v>
      </c>
      <c r="CX384" s="36" t="s">
        <v>249</v>
      </c>
      <c r="CY384" s="37">
        <v>800</v>
      </c>
      <c r="CZ384" s="37">
        <v>826</v>
      </c>
      <c r="DA384" s="37">
        <v>920</v>
      </c>
      <c r="DB384" s="37">
        <v>946</v>
      </c>
      <c r="DC384" s="37">
        <v>3492</v>
      </c>
      <c r="DE384" s="36" t="s">
        <v>249</v>
      </c>
      <c r="DF384" s="37">
        <v>899</v>
      </c>
      <c r="DG384" s="37">
        <v>991</v>
      </c>
      <c r="DH384" s="37">
        <v>1027</v>
      </c>
      <c r="DI384" s="37">
        <v>1091</v>
      </c>
      <c r="DJ384" s="37">
        <v>4008</v>
      </c>
      <c r="DL384" s="36" t="s">
        <v>249</v>
      </c>
      <c r="DM384" s="37">
        <v>961</v>
      </c>
      <c r="DN384" s="37">
        <v>1020</v>
      </c>
      <c r="DO384" s="37">
        <v>1033</v>
      </c>
      <c r="DP384" s="37">
        <v>1037</v>
      </c>
      <c r="DQ384" s="37">
        <v>4051</v>
      </c>
      <c r="DS384" s="36" t="s">
        <v>249</v>
      </c>
      <c r="DT384" s="37">
        <v>950</v>
      </c>
      <c r="DU384" s="37">
        <v>1011</v>
      </c>
      <c r="DV384" s="37">
        <v>1015</v>
      </c>
      <c r="DW384" s="37">
        <v>1015</v>
      </c>
      <c r="DX384" s="37">
        <v>3991</v>
      </c>
      <c r="DZ384" s="36" t="s">
        <v>249</v>
      </c>
      <c r="EA384" s="37">
        <v>955</v>
      </c>
      <c r="EB384" s="37">
        <v>993</v>
      </c>
      <c r="EC384" s="37">
        <v>988</v>
      </c>
      <c r="ED384" s="37">
        <v>980</v>
      </c>
      <c r="EE384" s="37">
        <v>3916</v>
      </c>
      <c r="EG384" s="36" t="s">
        <v>249</v>
      </c>
      <c r="EH384" s="37">
        <v>973</v>
      </c>
      <c r="EI384" s="37">
        <v>977</v>
      </c>
      <c r="EJ384" s="37">
        <v>1035</v>
      </c>
      <c r="EK384" s="37">
        <v>824</v>
      </c>
      <c r="EL384" s="37">
        <v>3809</v>
      </c>
      <c r="EN384" s="36" t="s">
        <v>249</v>
      </c>
      <c r="EO384" s="37">
        <v>236</v>
      </c>
      <c r="EP384" s="37">
        <v>237</v>
      </c>
      <c r="EQ384" s="37">
        <v>256</v>
      </c>
      <c r="ER384" s="37">
        <v>239</v>
      </c>
      <c r="ES384" s="37">
        <v>968</v>
      </c>
      <c r="EU384" s="36" t="s">
        <v>249</v>
      </c>
      <c r="EV384" s="37">
        <v>228</v>
      </c>
      <c r="EW384" s="37">
        <v>228</v>
      </c>
      <c r="EX384" s="37">
        <v>239</v>
      </c>
      <c r="EY384" s="37">
        <v>229</v>
      </c>
      <c r="EZ384" s="37">
        <v>924</v>
      </c>
      <c r="FB384" s="36" t="s">
        <v>249</v>
      </c>
      <c r="FC384" s="37">
        <v>221</v>
      </c>
      <c r="FD384" s="37">
        <v>247</v>
      </c>
      <c r="FE384" s="37">
        <v>279</v>
      </c>
      <c r="FF384" s="37">
        <v>249</v>
      </c>
      <c r="FG384" s="37">
        <v>996</v>
      </c>
      <c r="FI384" s="36" t="s">
        <v>249</v>
      </c>
      <c r="FP384" s="36" t="s">
        <v>249</v>
      </c>
      <c r="FW384" s="36" t="s">
        <v>249</v>
      </c>
      <c r="GD384" s="36" t="s">
        <v>249</v>
      </c>
      <c r="GK384" s="36" t="s">
        <v>249</v>
      </c>
      <c r="GR384" s="36" t="s">
        <v>249</v>
      </c>
      <c r="GY384" s="36" t="s">
        <v>249</v>
      </c>
      <c r="HF384" s="36" t="s">
        <v>249</v>
      </c>
      <c r="HM384" s="36" t="s">
        <v>249</v>
      </c>
      <c r="HT384" s="36" t="s">
        <v>249</v>
      </c>
      <c r="IA384" s="36" t="s">
        <v>249</v>
      </c>
      <c r="IH384" s="36" t="s">
        <v>249</v>
      </c>
      <c r="IO384" s="36" t="s">
        <v>249</v>
      </c>
      <c r="IV384" s="36" t="s">
        <v>249</v>
      </c>
      <c r="JC384" s="36" t="s">
        <v>249</v>
      </c>
      <c r="JJ384" s="36" t="s">
        <v>249</v>
      </c>
      <c r="JQ384" s="36" t="s">
        <v>249</v>
      </c>
      <c r="JX384" s="36" t="s">
        <v>249</v>
      </c>
      <c r="KE384" s="36" t="s">
        <v>249</v>
      </c>
      <c r="KL384" s="36" t="s">
        <v>249</v>
      </c>
      <c r="KS384" s="36" t="s">
        <v>249</v>
      </c>
      <c r="KZ384" s="36" t="s">
        <v>249</v>
      </c>
      <c r="LF384" s="565"/>
      <c r="LG384" s="36" t="s">
        <v>249</v>
      </c>
      <c r="LM384" s="565"/>
      <c r="LN384" s="36" t="s">
        <v>249</v>
      </c>
      <c r="LT384" s="565"/>
      <c r="LU384" s="36" t="s">
        <v>249</v>
      </c>
      <c r="MA384" s="565"/>
      <c r="MB384" s="36" t="s">
        <v>249</v>
      </c>
      <c r="MH384" s="565"/>
    </row>
    <row r="385" spans="1:346" s="37" customFormat="1" ht="13.15" hidden="1" outlineLevel="1" x14ac:dyDescent="0.4">
      <c r="A385" s="35"/>
      <c r="B385" s="36"/>
      <c r="C385" s="37">
        <v>1978</v>
      </c>
      <c r="D385" s="37">
        <v>1979</v>
      </c>
      <c r="E385" s="37">
        <v>1980</v>
      </c>
      <c r="F385" s="37">
        <v>1981</v>
      </c>
      <c r="G385" s="37">
        <v>1982</v>
      </c>
      <c r="H385" s="37">
        <v>1983</v>
      </c>
      <c r="I385" s="37">
        <v>1984</v>
      </c>
      <c r="J385" s="37">
        <v>1985</v>
      </c>
      <c r="K385" s="37">
        <v>1986</v>
      </c>
      <c r="L385" s="37">
        <v>1987</v>
      </c>
      <c r="M385" s="37">
        <v>1988</v>
      </c>
      <c r="BO385" s="36"/>
      <c r="BV385" s="36"/>
      <c r="CC385" s="36"/>
      <c r="CJ385" s="36"/>
      <c r="CQ385" s="36"/>
      <c r="CX385" s="36"/>
      <c r="DE385" s="36"/>
      <c r="DL385" s="36"/>
      <c r="DS385" s="36"/>
      <c r="DZ385" s="36"/>
      <c r="EG385" s="36"/>
      <c r="EN385" s="36"/>
      <c r="EU385" s="36"/>
      <c r="FB385" s="36"/>
      <c r="FI385" s="36"/>
      <c r="FP385" s="36"/>
      <c r="FW385" s="36"/>
      <c r="GD385" s="36"/>
      <c r="GK385" s="36"/>
      <c r="GR385" s="36"/>
      <c r="GY385" s="36"/>
      <c r="HF385" s="36"/>
      <c r="HM385" s="36"/>
      <c r="HT385" s="36"/>
      <c r="IA385" s="36"/>
      <c r="IH385" s="36"/>
      <c r="IO385" s="36"/>
      <c r="IV385" s="36"/>
      <c r="JC385" s="36"/>
      <c r="JJ385" s="36"/>
      <c r="JQ385" s="36"/>
      <c r="JX385" s="36"/>
      <c r="KE385" s="36"/>
      <c r="KL385" s="36"/>
      <c r="KS385" s="36"/>
      <c r="KZ385" s="36"/>
      <c r="LF385" s="565"/>
      <c r="LG385" s="36"/>
      <c r="LM385" s="565"/>
      <c r="LN385" s="36"/>
      <c r="LT385" s="565"/>
      <c r="LU385" s="36"/>
      <c r="MA385" s="565"/>
      <c r="MB385" s="36"/>
      <c r="MH385" s="565"/>
    </row>
    <row r="386" spans="1:346" s="37" customFormat="1" ht="13.15" hidden="1" outlineLevel="1" x14ac:dyDescent="0.4">
      <c r="A386" s="35"/>
      <c r="B386" s="36" t="s">
        <v>358</v>
      </c>
      <c r="M386" s="37">
        <v>140072.31323722147</v>
      </c>
      <c r="N386" s="37">
        <f t="shared" ref="N386:N412" si="7239">BT386</f>
        <v>1989</v>
      </c>
      <c r="O386" s="37">
        <f t="shared" ref="O386:O412" si="7240">CA386</f>
        <v>1990</v>
      </c>
      <c r="P386" s="37">
        <f t="shared" ref="P386:P412" si="7241">CH386</f>
        <v>1991</v>
      </c>
      <c r="Q386" s="37">
        <f t="shared" ref="Q386:Q412" si="7242">CO386</f>
        <v>1992</v>
      </c>
      <c r="R386" s="37">
        <f t="shared" ref="R386:R412" si="7243">CV386</f>
        <v>1993</v>
      </c>
      <c r="S386" s="37">
        <f t="shared" ref="S386:S412" si="7244">DC386</f>
        <v>1994</v>
      </c>
      <c r="T386" s="37">
        <f t="shared" ref="T386:T412" si="7245">DJ386</f>
        <v>1995</v>
      </c>
      <c r="U386" s="37">
        <f t="shared" ref="U386:U412" si="7246">DQ386</f>
        <v>1996</v>
      </c>
      <c r="V386" s="37">
        <f t="shared" ref="V386:V412" si="7247">DX386</f>
        <v>1997</v>
      </c>
      <c r="W386" s="37" t="str">
        <f t="shared" ref="W386:W412" si="7248">EE386</f>
        <v>1998</v>
      </c>
      <c r="X386" s="37" t="str">
        <f t="shared" ref="X386:X412" si="7249">EL386</f>
        <v>1999</v>
      </c>
      <c r="Y386" s="37">
        <f t="shared" ref="Y386:Y412" si="7250">ES386</f>
        <v>2000</v>
      </c>
      <c r="Z386" s="37">
        <f t="shared" ref="Z386:Z412" si="7251">EZ386</f>
        <v>2001</v>
      </c>
      <c r="AA386" s="37">
        <f t="shared" ref="AA386:AA412" si="7252">FG386</f>
        <v>2002</v>
      </c>
      <c r="AB386" s="37">
        <f t="shared" ref="AB386:AB412" si="7253">FN386</f>
        <v>2003</v>
      </c>
      <c r="AC386" s="37">
        <f t="shared" ref="AC386:AC412" si="7254">FU386</f>
        <v>2004</v>
      </c>
      <c r="AD386" s="37">
        <f t="shared" ref="AD386:AD412" si="7255">GB386</f>
        <v>0</v>
      </c>
      <c r="AE386" s="37">
        <f t="shared" ref="AE386:AE412" si="7256">GI386</f>
        <v>0</v>
      </c>
      <c r="AF386" s="37">
        <f t="shared" ref="AF386:AF412" si="7257">GP386</f>
        <v>0</v>
      </c>
      <c r="AG386" s="37">
        <f t="shared" ref="AG386:AG412" si="7258">GW386</f>
        <v>0</v>
      </c>
      <c r="AH386" s="37">
        <f t="shared" ref="AH386:AH412" si="7259">HD386</f>
        <v>0</v>
      </c>
      <c r="AI386" s="37">
        <f t="shared" ref="AI386:AI412" si="7260">HK386</f>
        <v>0</v>
      </c>
      <c r="AJ386" s="37">
        <f t="shared" ref="AJ386:AJ412" si="7261">HR386</f>
        <v>0</v>
      </c>
      <c r="AK386" s="37">
        <f t="shared" ref="AK386:AK412" si="7262">HY386</f>
        <v>0</v>
      </c>
      <c r="AL386" s="37">
        <f t="shared" ref="AL386:AL412" si="7263">IF386</f>
        <v>0</v>
      </c>
      <c r="AM386" s="37">
        <f t="shared" ref="AM386:AM412" si="7264">IM386</f>
        <v>0</v>
      </c>
      <c r="AN386" s="37">
        <f t="shared" ref="AN386:AN412" si="7265">IT386</f>
        <v>0</v>
      </c>
      <c r="AO386" s="37">
        <f t="shared" ref="AO386:AO412" si="7266">JA386</f>
        <v>0</v>
      </c>
      <c r="AP386" s="37">
        <f t="shared" ref="AP386:AP412" si="7267">JH386</f>
        <v>0</v>
      </c>
      <c r="AQ386" s="37">
        <f t="shared" ref="AQ386:AQ412" si="7268">JO386</f>
        <v>0</v>
      </c>
      <c r="AR386" s="37">
        <f t="shared" ref="AR386:AR412" si="7269">JV386</f>
        <v>0</v>
      </c>
      <c r="AS386" s="37">
        <f t="shared" ref="AS386:AS412" si="7270">KC386</f>
        <v>0</v>
      </c>
      <c r="AT386" s="37">
        <f t="shared" ref="AT386:AT412" si="7271">KJ386</f>
        <v>0</v>
      </c>
      <c r="AU386" s="37">
        <f t="shared" ref="AU386:AU412" si="7272">KQ386</f>
        <v>0</v>
      </c>
      <c r="AV386" s="37">
        <f t="shared" ref="AV386:AV412" si="7273">KX386</f>
        <v>0</v>
      </c>
      <c r="AW386" s="37">
        <f t="shared" ref="AW386:AW412" si="7274">LE386</f>
        <v>0</v>
      </c>
      <c r="AX386" s="37">
        <f t="shared" ref="AX386:AX412" si="7275">LL386</f>
        <v>0</v>
      </c>
      <c r="AY386" s="37">
        <f t="shared" ref="AY386:AY412" si="7276">LS386</f>
        <v>0</v>
      </c>
      <c r="AZ386" s="37">
        <f t="shared" ref="AZ386:AZ412" si="7277">LZ386</f>
        <v>0</v>
      </c>
      <c r="BA386" s="37">
        <f t="shared" ref="BA386:BA412" si="7278">MG386</f>
        <v>0</v>
      </c>
      <c r="BO386" s="36" t="s">
        <v>358</v>
      </c>
      <c r="BT386" s="37">
        <v>1989</v>
      </c>
      <c r="BV386" s="36" t="s">
        <v>358</v>
      </c>
      <c r="CA386" s="37">
        <v>1990</v>
      </c>
      <c r="CC386" s="36" t="s">
        <v>358</v>
      </c>
      <c r="CH386" s="37">
        <v>1991</v>
      </c>
      <c r="CJ386" s="36" t="s">
        <v>358</v>
      </c>
      <c r="CO386" s="37">
        <v>1992</v>
      </c>
      <c r="CQ386" s="36" t="s">
        <v>358</v>
      </c>
      <c r="CV386" s="37">
        <v>1993</v>
      </c>
      <c r="CX386" s="36" t="s">
        <v>358</v>
      </c>
      <c r="DC386" s="37">
        <v>1994</v>
      </c>
      <c r="DE386" s="36" t="s">
        <v>358</v>
      </c>
      <c r="DJ386" s="37">
        <v>1995</v>
      </c>
      <c r="DL386" s="36" t="s">
        <v>358</v>
      </c>
      <c r="DQ386" s="37">
        <v>1996</v>
      </c>
      <c r="DS386" s="36" t="s">
        <v>358</v>
      </c>
      <c r="DX386" s="37">
        <v>1997</v>
      </c>
      <c r="DZ386" s="36" t="s">
        <v>358</v>
      </c>
      <c r="EE386" s="37" t="s">
        <v>338</v>
      </c>
      <c r="EG386" s="36" t="s">
        <v>358</v>
      </c>
      <c r="EL386" s="37" t="s">
        <v>339</v>
      </c>
      <c r="EN386" s="36" t="s">
        <v>358</v>
      </c>
      <c r="ES386" s="37">
        <v>2000</v>
      </c>
      <c r="EU386" s="36" t="s">
        <v>358</v>
      </c>
      <c r="EZ386" s="37">
        <v>2001</v>
      </c>
      <c r="FB386" s="36" t="s">
        <v>358</v>
      </c>
      <c r="FG386" s="37">
        <v>2002</v>
      </c>
      <c r="FI386" s="36" t="s">
        <v>358</v>
      </c>
      <c r="FN386" s="37">
        <v>2003</v>
      </c>
      <c r="FP386" s="36" t="s">
        <v>358</v>
      </c>
      <c r="FU386" s="37">
        <v>2004</v>
      </c>
      <c r="FW386" s="36" t="s">
        <v>358</v>
      </c>
      <c r="GD386" s="36" t="s">
        <v>358</v>
      </c>
      <c r="GK386" s="36" t="s">
        <v>358</v>
      </c>
      <c r="GR386" s="36" t="s">
        <v>358</v>
      </c>
      <c r="GY386" s="36" t="s">
        <v>358</v>
      </c>
      <c r="HF386" s="36" t="s">
        <v>358</v>
      </c>
      <c r="HM386" s="36" t="s">
        <v>358</v>
      </c>
      <c r="HT386" s="36" t="s">
        <v>358</v>
      </c>
      <c r="IA386" s="36" t="s">
        <v>358</v>
      </c>
      <c r="IH386" s="36" t="s">
        <v>358</v>
      </c>
      <c r="IO386" s="36" t="s">
        <v>358</v>
      </c>
      <c r="IV386" s="36" t="s">
        <v>358</v>
      </c>
      <c r="JC386" s="36" t="s">
        <v>358</v>
      </c>
      <c r="JJ386" s="36" t="s">
        <v>358</v>
      </c>
      <c r="JQ386" s="36" t="s">
        <v>358</v>
      </c>
      <c r="JX386" s="36" t="s">
        <v>358</v>
      </c>
      <c r="KE386" s="36" t="s">
        <v>358</v>
      </c>
      <c r="KL386" s="36" t="s">
        <v>358</v>
      </c>
      <c r="KS386" s="36" t="s">
        <v>358</v>
      </c>
      <c r="KZ386" s="36" t="s">
        <v>358</v>
      </c>
      <c r="LF386" s="565"/>
      <c r="LG386" s="36" t="s">
        <v>358</v>
      </c>
      <c r="LM386" s="565"/>
      <c r="LN386" s="36" t="s">
        <v>358</v>
      </c>
      <c r="LT386" s="565"/>
      <c r="LU386" s="36" t="s">
        <v>358</v>
      </c>
      <c r="MA386" s="565"/>
      <c r="MB386" s="36" t="s">
        <v>358</v>
      </c>
      <c r="MH386" s="565"/>
    </row>
    <row r="387" spans="1:346" s="37" customFormat="1" ht="13.15" hidden="1" outlineLevel="1" x14ac:dyDescent="0.4">
      <c r="A387" s="35"/>
      <c r="B387" s="36" t="s">
        <v>359</v>
      </c>
      <c r="M387" s="37">
        <v>0</v>
      </c>
      <c r="N387" s="37">
        <f t="shared" si="7239"/>
        <v>152678.82142857142</v>
      </c>
      <c r="O387" s="37">
        <f t="shared" si="7240"/>
        <v>153990</v>
      </c>
      <c r="P387" s="37">
        <f t="shared" si="7241"/>
        <v>159641</v>
      </c>
      <c r="Q387" s="37">
        <f t="shared" si="7242"/>
        <v>160710</v>
      </c>
      <c r="R387" s="37">
        <f t="shared" si="7243"/>
        <v>169543</v>
      </c>
      <c r="S387" s="37">
        <f t="shared" si="7244"/>
        <v>186152</v>
      </c>
      <c r="T387" s="37">
        <f t="shared" si="7245"/>
        <v>201560</v>
      </c>
      <c r="U387" s="37">
        <f t="shared" si="7246"/>
        <v>214116</v>
      </c>
      <c r="V387" s="37">
        <f t="shared" si="7247"/>
        <v>216608</v>
      </c>
      <c r="W387" s="37">
        <f t="shared" si="7248"/>
        <v>0</v>
      </c>
      <c r="X387" s="37">
        <f t="shared" si="7249"/>
        <v>0</v>
      </c>
      <c r="Y387" s="37">
        <f t="shared" si="7250"/>
        <v>0</v>
      </c>
      <c r="Z387" s="37">
        <f t="shared" si="7251"/>
        <v>0</v>
      </c>
      <c r="AA387" s="37">
        <f t="shared" si="7252"/>
        <v>0</v>
      </c>
      <c r="AB387" s="37">
        <f t="shared" si="7253"/>
        <v>0</v>
      </c>
      <c r="AC387" s="37">
        <f t="shared" si="7254"/>
        <v>0</v>
      </c>
      <c r="AD387" s="37">
        <f t="shared" si="7255"/>
        <v>0</v>
      </c>
      <c r="AE387" s="37">
        <f t="shared" si="7256"/>
        <v>0</v>
      </c>
      <c r="AF387" s="37">
        <f t="shared" si="7257"/>
        <v>0</v>
      </c>
      <c r="AG387" s="37">
        <f t="shared" si="7258"/>
        <v>0</v>
      </c>
      <c r="AH387" s="37">
        <f t="shared" si="7259"/>
        <v>0</v>
      </c>
      <c r="AI387" s="37">
        <f t="shared" si="7260"/>
        <v>0</v>
      </c>
      <c r="AJ387" s="37">
        <f t="shared" si="7261"/>
        <v>0</v>
      </c>
      <c r="AK387" s="37">
        <f t="shared" si="7262"/>
        <v>0</v>
      </c>
      <c r="AL387" s="37">
        <f t="shared" si="7263"/>
        <v>0</v>
      </c>
      <c r="AM387" s="37">
        <f t="shared" si="7264"/>
        <v>0</v>
      </c>
      <c r="AN387" s="37">
        <f t="shared" si="7265"/>
        <v>0</v>
      </c>
      <c r="AO387" s="37">
        <f t="shared" si="7266"/>
        <v>0</v>
      </c>
      <c r="AP387" s="37">
        <f t="shared" si="7267"/>
        <v>0</v>
      </c>
      <c r="AQ387" s="37">
        <f t="shared" si="7268"/>
        <v>0</v>
      </c>
      <c r="AR387" s="37">
        <f t="shared" si="7269"/>
        <v>0</v>
      </c>
      <c r="AS387" s="37">
        <f t="shared" si="7270"/>
        <v>0</v>
      </c>
      <c r="AT387" s="37">
        <f t="shared" si="7271"/>
        <v>0</v>
      </c>
      <c r="AU387" s="37">
        <f t="shared" si="7272"/>
        <v>0</v>
      </c>
      <c r="AV387" s="37">
        <f t="shared" si="7273"/>
        <v>0</v>
      </c>
      <c r="AW387" s="37">
        <f t="shared" si="7274"/>
        <v>0</v>
      </c>
      <c r="AX387" s="37">
        <f t="shared" si="7275"/>
        <v>0</v>
      </c>
      <c r="AY387" s="37">
        <f t="shared" si="7276"/>
        <v>0</v>
      </c>
      <c r="AZ387" s="37">
        <f t="shared" si="7277"/>
        <v>0</v>
      </c>
      <c r="BA387" s="37">
        <f t="shared" si="7278"/>
        <v>0</v>
      </c>
      <c r="BO387" s="36" t="s">
        <v>359</v>
      </c>
      <c r="BP387" s="37">
        <v>29534.821428571428</v>
      </c>
      <c r="BQ387" s="37">
        <v>36883</v>
      </c>
      <c r="BR387" s="37">
        <v>43663</v>
      </c>
      <c r="BS387" s="37">
        <v>42598</v>
      </c>
      <c r="BT387" s="37">
        <v>152678.82142857142</v>
      </c>
      <c r="BV387" s="36" t="s">
        <v>359</v>
      </c>
      <c r="BW387" s="37">
        <v>33079</v>
      </c>
      <c r="BX387" s="37">
        <v>35558</v>
      </c>
      <c r="BY387" s="37">
        <v>41997</v>
      </c>
      <c r="BZ387" s="37">
        <v>43356</v>
      </c>
      <c r="CA387" s="37">
        <v>153990</v>
      </c>
      <c r="CC387" s="36" t="s">
        <v>359</v>
      </c>
      <c r="CD387" s="37">
        <v>34609</v>
      </c>
      <c r="CE387" s="37">
        <v>36601</v>
      </c>
      <c r="CF387" s="37">
        <v>42945</v>
      </c>
      <c r="CG387" s="37">
        <v>45486</v>
      </c>
      <c r="CH387" s="37">
        <v>159641</v>
      </c>
      <c r="CJ387" s="36" t="s">
        <v>359</v>
      </c>
      <c r="CK387" s="37">
        <v>37590</v>
      </c>
      <c r="CL387" s="37">
        <v>40266</v>
      </c>
      <c r="CM387" s="37">
        <v>44579</v>
      </c>
      <c r="CN387" s="37">
        <v>38275</v>
      </c>
      <c r="CO387" s="37">
        <v>160710</v>
      </c>
      <c r="CQ387" s="36" t="s">
        <v>359</v>
      </c>
      <c r="CR387" s="37">
        <v>35018</v>
      </c>
      <c r="CS387" s="37">
        <v>40958</v>
      </c>
      <c r="CT387" s="37">
        <v>48002</v>
      </c>
      <c r="CU387" s="37">
        <v>45565</v>
      </c>
      <c r="CV387" s="37">
        <v>169543</v>
      </c>
      <c r="CX387" s="36" t="s">
        <v>359</v>
      </c>
      <c r="CY387" s="37">
        <v>41870</v>
      </c>
      <c r="CZ387" s="37">
        <v>41301</v>
      </c>
      <c r="DA387" s="37">
        <v>52494</v>
      </c>
      <c r="DB387" s="37">
        <v>50487</v>
      </c>
      <c r="DC387" s="37">
        <v>186152</v>
      </c>
      <c r="DE387" s="36" t="s">
        <v>359</v>
      </c>
      <c r="DF387" s="37">
        <v>46514</v>
      </c>
      <c r="DG387" s="37">
        <v>48626</v>
      </c>
      <c r="DH387" s="37">
        <v>52623</v>
      </c>
      <c r="DI387" s="37">
        <v>53797</v>
      </c>
      <c r="DJ387" s="37">
        <v>201560</v>
      </c>
      <c r="DL387" s="36" t="s">
        <v>359</v>
      </c>
      <c r="DM387" s="37">
        <v>44654</v>
      </c>
      <c r="DN387" s="37">
        <v>52719</v>
      </c>
      <c r="DO387" s="37">
        <v>62096</v>
      </c>
      <c r="DP387" s="37">
        <v>54647</v>
      </c>
      <c r="DQ387" s="37">
        <v>214116</v>
      </c>
      <c r="DS387" s="36" t="s">
        <v>359</v>
      </c>
      <c r="DT387" s="37">
        <v>47060</v>
      </c>
      <c r="DU387" s="37">
        <v>51282</v>
      </c>
      <c r="DV387" s="37">
        <v>61331</v>
      </c>
      <c r="DW387" s="37">
        <v>56935</v>
      </c>
      <c r="DX387" s="37">
        <v>216608</v>
      </c>
      <c r="DZ387" s="36" t="s">
        <v>359</v>
      </c>
      <c r="EA387" s="37">
        <v>53204</v>
      </c>
      <c r="EB387" s="37">
        <v>55184</v>
      </c>
      <c r="EC387" s="37">
        <v>60863</v>
      </c>
      <c r="ED387" s="37">
        <v>54769</v>
      </c>
      <c r="EG387" s="36" t="s">
        <v>359</v>
      </c>
      <c r="EH387" s="37">
        <v>57409</v>
      </c>
      <c r="EI387" s="37">
        <v>60254</v>
      </c>
      <c r="EJ387" s="37">
        <v>60782</v>
      </c>
      <c r="EN387" s="36" t="s">
        <v>359</v>
      </c>
      <c r="EP387" s="37">
        <v>0</v>
      </c>
      <c r="EU387" s="36" t="s">
        <v>359</v>
      </c>
      <c r="FB387" s="36" t="s">
        <v>359</v>
      </c>
      <c r="FI387" s="36" t="s">
        <v>359</v>
      </c>
      <c r="FP387" s="36" t="s">
        <v>359</v>
      </c>
      <c r="FW387" s="36" t="s">
        <v>359</v>
      </c>
      <c r="GD387" s="36" t="s">
        <v>359</v>
      </c>
      <c r="GK387" s="36" t="s">
        <v>359</v>
      </c>
      <c r="GR387" s="36" t="s">
        <v>359</v>
      </c>
      <c r="GY387" s="36" t="s">
        <v>359</v>
      </c>
      <c r="HF387" s="36" t="s">
        <v>359</v>
      </c>
      <c r="HM387" s="36" t="s">
        <v>359</v>
      </c>
      <c r="HT387" s="36" t="s">
        <v>359</v>
      </c>
      <c r="IA387" s="36" t="s">
        <v>359</v>
      </c>
      <c r="IH387" s="36" t="s">
        <v>359</v>
      </c>
      <c r="IO387" s="36" t="s">
        <v>359</v>
      </c>
      <c r="IV387" s="36" t="s">
        <v>359</v>
      </c>
      <c r="JC387" s="36" t="s">
        <v>359</v>
      </c>
      <c r="JJ387" s="36" t="s">
        <v>359</v>
      </c>
      <c r="JQ387" s="36" t="s">
        <v>359</v>
      </c>
      <c r="JX387" s="36" t="s">
        <v>359</v>
      </c>
      <c r="KE387" s="36" t="s">
        <v>359</v>
      </c>
      <c r="KL387" s="36" t="s">
        <v>359</v>
      </c>
      <c r="KS387" s="36" t="s">
        <v>359</v>
      </c>
      <c r="KZ387" s="36" t="s">
        <v>359</v>
      </c>
      <c r="LF387" s="565"/>
      <c r="LG387" s="36" t="s">
        <v>359</v>
      </c>
      <c r="LM387" s="565"/>
      <c r="LN387" s="36" t="s">
        <v>359</v>
      </c>
      <c r="LT387" s="565"/>
      <c r="LU387" s="36" t="s">
        <v>359</v>
      </c>
      <c r="MA387" s="565"/>
      <c r="MB387" s="36" t="s">
        <v>359</v>
      </c>
      <c r="MH387" s="565"/>
    </row>
    <row r="388" spans="1:346" s="37" customFormat="1" ht="13.15" hidden="1" outlineLevel="1" x14ac:dyDescent="0.4">
      <c r="A388" s="35"/>
      <c r="B388" s="36" t="s">
        <v>360</v>
      </c>
      <c r="M388" s="37">
        <v>99486.840432294965</v>
      </c>
      <c r="N388" s="37">
        <f t="shared" si="7239"/>
        <v>0</v>
      </c>
      <c r="O388" s="37">
        <f t="shared" si="7240"/>
        <v>0</v>
      </c>
      <c r="P388" s="37">
        <f t="shared" si="7241"/>
        <v>3111</v>
      </c>
      <c r="Q388" s="37">
        <f t="shared" si="7242"/>
        <v>3672</v>
      </c>
      <c r="R388" s="37">
        <f t="shared" si="7243"/>
        <v>3567</v>
      </c>
      <c r="S388" s="37">
        <f t="shared" si="7244"/>
        <v>4108</v>
      </c>
      <c r="T388" s="37">
        <f t="shared" si="7245"/>
        <v>49377</v>
      </c>
      <c r="U388" s="37">
        <f t="shared" si="7246"/>
        <v>61820</v>
      </c>
      <c r="V388" s="37">
        <f t="shared" si="7247"/>
        <v>64012</v>
      </c>
      <c r="W388" s="37">
        <f t="shared" si="7248"/>
        <v>0</v>
      </c>
      <c r="X388" s="37">
        <f t="shared" si="7249"/>
        <v>0</v>
      </c>
      <c r="Y388" s="37">
        <f t="shared" si="7250"/>
        <v>0</v>
      </c>
      <c r="Z388" s="37">
        <f t="shared" si="7251"/>
        <v>0</v>
      </c>
      <c r="AA388" s="37">
        <f t="shared" si="7252"/>
        <v>0</v>
      </c>
      <c r="AB388" s="37">
        <f t="shared" si="7253"/>
        <v>0</v>
      </c>
      <c r="AC388" s="37">
        <f t="shared" si="7254"/>
        <v>0</v>
      </c>
      <c r="AD388" s="37">
        <f t="shared" si="7255"/>
        <v>0</v>
      </c>
      <c r="AE388" s="37">
        <f t="shared" si="7256"/>
        <v>0</v>
      </c>
      <c r="AF388" s="37">
        <f t="shared" si="7257"/>
        <v>0</v>
      </c>
      <c r="AG388" s="37">
        <f t="shared" si="7258"/>
        <v>0</v>
      </c>
      <c r="AH388" s="37">
        <f t="shared" si="7259"/>
        <v>0</v>
      </c>
      <c r="AI388" s="37">
        <f t="shared" si="7260"/>
        <v>0</v>
      </c>
      <c r="AJ388" s="37">
        <f t="shared" si="7261"/>
        <v>0</v>
      </c>
      <c r="AK388" s="37">
        <f t="shared" si="7262"/>
        <v>0</v>
      </c>
      <c r="AL388" s="37">
        <f t="shared" si="7263"/>
        <v>0</v>
      </c>
      <c r="AM388" s="37">
        <f t="shared" si="7264"/>
        <v>0</v>
      </c>
      <c r="AN388" s="37">
        <f t="shared" si="7265"/>
        <v>0</v>
      </c>
      <c r="AO388" s="37">
        <f t="shared" si="7266"/>
        <v>0</v>
      </c>
      <c r="AP388" s="37">
        <f t="shared" si="7267"/>
        <v>0</v>
      </c>
      <c r="AQ388" s="37">
        <f t="shared" si="7268"/>
        <v>0</v>
      </c>
      <c r="AR388" s="37">
        <f t="shared" si="7269"/>
        <v>0</v>
      </c>
      <c r="AS388" s="37">
        <f t="shared" si="7270"/>
        <v>0</v>
      </c>
      <c r="AT388" s="37">
        <f t="shared" si="7271"/>
        <v>0</v>
      </c>
      <c r="AU388" s="37">
        <f t="shared" si="7272"/>
        <v>0</v>
      </c>
      <c r="AV388" s="37">
        <f t="shared" si="7273"/>
        <v>0</v>
      </c>
      <c r="AW388" s="37">
        <f t="shared" si="7274"/>
        <v>0</v>
      </c>
      <c r="AX388" s="37">
        <f t="shared" si="7275"/>
        <v>0</v>
      </c>
      <c r="AY388" s="37">
        <f t="shared" si="7276"/>
        <v>0</v>
      </c>
      <c r="AZ388" s="37">
        <f t="shared" si="7277"/>
        <v>0</v>
      </c>
      <c r="BA388" s="37">
        <f t="shared" si="7278"/>
        <v>0</v>
      </c>
      <c r="BO388" s="36" t="s">
        <v>360</v>
      </c>
      <c r="BP388" s="37">
        <v>0</v>
      </c>
      <c r="BQ388" s="37">
        <v>0</v>
      </c>
      <c r="BR388" s="37">
        <v>0</v>
      </c>
      <c r="BS388" s="37">
        <v>0</v>
      </c>
      <c r="BT388" s="37">
        <v>0</v>
      </c>
      <c r="BV388" s="36" t="s">
        <v>360</v>
      </c>
      <c r="BW388" s="37">
        <v>0</v>
      </c>
      <c r="BX388" s="37">
        <v>0</v>
      </c>
      <c r="BY388" s="37">
        <v>0</v>
      </c>
      <c r="BZ388" s="37">
        <v>0</v>
      </c>
      <c r="CA388" s="37">
        <v>0</v>
      </c>
      <c r="CC388" s="36" t="s">
        <v>360</v>
      </c>
      <c r="CD388" s="37">
        <v>623</v>
      </c>
      <c r="CE388" s="37">
        <v>842</v>
      </c>
      <c r="CF388" s="37">
        <v>884</v>
      </c>
      <c r="CG388" s="37">
        <v>762</v>
      </c>
      <c r="CH388" s="37">
        <v>3111</v>
      </c>
      <c r="CJ388" s="36" t="s">
        <v>360</v>
      </c>
      <c r="CK388" s="37">
        <v>763</v>
      </c>
      <c r="CL388" s="37">
        <v>1004</v>
      </c>
      <c r="CM388" s="37">
        <v>1069</v>
      </c>
      <c r="CN388" s="37">
        <v>836</v>
      </c>
      <c r="CO388" s="37">
        <v>3672</v>
      </c>
      <c r="CQ388" s="36" t="s">
        <v>360</v>
      </c>
      <c r="CR388" s="37">
        <v>649</v>
      </c>
      <c r="CS388" s="37">
        <v>953</v>
      </c>
      <c r="CT388" s="37">
        <v>1118</v>
      </c>
      <c r="CU388" s="37">
        <v>847</v>
      </c>
      <c r="CV388" s="37">
        <v>3567</v>
      </c>
      <c r="CX388" s="36" t="s">
        <v>360</v>
      </c>
      <c r="CY388" s="37">
        <v>820</v>
      </c>
      <c r="CZ388" s="37">
        <v>741</v>
      </c>
      <c r="DA388" s="37">
        <v>1405</v>
      </c>
      <c r="DB388" s="37">
        <v>1142</v>
      </c>
      <c r="DC388" s="37">
        <v>4108</v>
      </c>
      <c r="DE388" s="36" t="s">
        <v>360</v>
      </c>
      <c r="DF388" s="37">
        <v>11721</v>
      </c>
      <c r="DG388" s="37">
        <v>18936</v>
      </c>
      <c r="DH388" s="37">
        <v>17336</v>
      </c>
      <c r="DI388" s="37">
        <v>1384</v>
      </c>
      <c r="DJ388" s="37">
        <v>49377</v>
      </c>
      <c r="DL388" s="36" t="s">
        <v>360</v>
      </c>
      <c r="DM388" s="37">
        <v>11839</v>
      </c>
      <c r="DN388" s="37">
        <v>17411</v>
      </c>
      <c r="DO388" s="37">
        <v>16296</v>
      </c>
      <c r="DP388" s="37">
        <v>16274</v>
      </c>
      <c r="DQ388" s="37">
        <v>61820</v>
      </c>
      <c r="DS388" s="36" t="s">
        <v>360</v>
      </c>
      <c r="DT388" s="37">
        <v>13429</v>
      </c>
      <c r="DU388" s="37">
        <v>18635</v>
      </c>
      <c r="DV388" s="37">
        <v>16575</v>
      </c>
      <c r="DW388" s="37">
        <v>15373</v>
      </c>
      <c r="DX388" s="37">
        <v>64012</v>
      </c>
      <c r="DZ388" s="36" t="s">
        <v>360</v>
      </c>
      <c r="EA388" s="37">
        <v>14998</v>
      </c>
      <c r="EB388" s="37">
        <v>18999</v>
      </c>
      <c r="EC388" s="37">
        <v>17879</v>
      </c>
      <c r="ED388" s="37">
        <v>16748</v>
      </c>
      <c r="EG388" s="36" t="s">
        <v>360</v>
      </c>
      <c r="EH388" s="37">
        <v>17080</v>
      </c>
      <c r="EI388" s="37">
        <v>18931</v>
      </c>
      <c r="EJ388" s="37">
        <v>17536</v>
      </c>
      <c r="EN388" s="36" t="s">
        <v>360</v>
      </c>
      <c r="EU388" s="36" t="s">
        <v>360</v>
      </c>
      <c r="FB388" s="36" t="s">
        <v>360</v>
      </c>
      <c r="FI388" s="36" t="s">
        <v>360</v>
      </c>
      <c r="FP388" s="36" t="s">
        <v>360</v>
      </c>
      <c r="FW388" s="36" t="s">
        <v>360</v>
      </c>
      <c r="GD388" s="36" t="s">
        <v>360</v>
      </c>
      <c r="GK388" s="36" t="s">
        <v>360</v>
      </c>
      <c r="GR388" s="36" t="s">
        <v>360</v>
      </c>
      <c r="GY388" s="36" t="s">
        <v>360</v>
      </c>
      <c r="HF388" s="36" t="s">
        <v>360</v>
      </c>
      <c r="HM388" s="36" t="s">
        <v>360</v>
      </c>
      <c r="HT388" s="36" t="s">
        <v>360</v>
      </c>
      <c r="IA388" s="36" t="s">
        <v>360</v>
      </c>
      <c r="IH388" s="36" t="s">
        <v>360</v>
      </c>
      <c r="IO388" s="36" t="s">
        <v>360</v>
      </c>
      <c r="IV388" s="36" t="s">
        <v>360</v>
      </c>
      <c r="JC388" s="36" t="s">
        <v>360</v>
      </c>
      <c r="JJ388" s="36" t="s">
        <v>360</v>
      </c>
      <c r="JQ388" s="36" t="s">
        <v>360</v>
      </c>
      <c r="JX388" s="36" t="s">
        <v>360</v>
      </c>
      <c r="KE388" s="36" t="s">
        <v>360</v>
      </c>
      <c r="KL388" s="36" t="s">
        <v>360</v>
      </c>
      <c r="KS388" s="36" t="s">
        <v>360</v>
      </c>
      <c r="KZ388" s="36" t="s">
        <v>360</v>
      </c>
      <c r="LF388" s="565"/>
      <c r="LG388" s="36" t="s">
        <v>360</v>
      </c>
      <c r="LM388" s="565"/>
      <c r="LN388" s="36" t="s">
        <v>360</v>
      </c>
      <c r="LT388" s="565"/>
      <c r="LU388" s="36" t="s">
        <v>360</v>
      </c>
      <c r="MA388" s="565"/>
      <c r="MB388" s="36" t="s">
        <v>360</v>
      </c>
      <c r="MH388" s="565"/>
    </row>
    <row r="389" spans="1:346" s="37" customFormat="1" ht="13.15" hidden="1" outlineLevel="1" x14ac:dyDescent="0.4">
      <c r="A389" s="35"/>
      <c r="B389" s="36" t="s">
        <v>361</v>
      </c>
      <c r="M389" s="37">
        <v>36680.888429752071</v>
      </c>
      <c r="N389" s="37">
        <f t="shared" si="7239"/>
        <v>103466.31404958677</v>
      </c>
      <c r="O389" s="37">
        <f t="shared" si="7240"/>
        <v>104426</v>
      </c>
      <c r="P389" s="37">
        <f t="shared" si="7241"/>
        <v>103272</v>
      </c>
      <c r="Q389" s="37">
        <f t="shared" si="7242"/>
        <v>90680</v>
      </c>
      <c r="R389" s="37">
        <f t="shared" si="7243"/>
        <v>97287</v>
      </c>
      <c r="S389" s="37">
        <f t="shared" si="7244"/>
        <v>115836</v>
      </c>
      <c r="T389" s="37">
        <f t="shared" si="7245"/>
        <v>163760</v>
      </c>
      <c r="U389" s="37">
        <f t="shared" si="7246"/>
        <v>172812</v>
      </c>
      <c r="V389" s="37">
        <f t="shared" si="7247"/>
        <v>160779</v>
      </c>
      <c r="W389" s="37">
        <f t="shared" si="7248"/>
        <v>0</v>
      </c>
      <c r="X389" s="37">
        <f t="shared" si="7249"/>
        <v>0</v>
      </c>
      <c r="Y389" s="37">
        <f t="shared" si="7250"/>
        <v>0</v>
      </c>
      <c r="Z389" s="37">
        <f t="shared" si="7251"/>
        <v>0</v>
      </c>
      <c r="AA389" s="37">
        <f t="shared" si="7252"/>
        <v>0</v>
      </c>
      <c r="AB389" s="37">
        <f t="shared" si="7253"/>
        <v>0</v>
      </c>
      <c r="AC389" s="37">
        <f t="shared" si="7254"/>
        <v>0</v>
      </c>
      <c r="AD389" s="37">
        <f t="shared" si="7255"/>
        <v>0</v>
      </c>
      <c r="AE389" s="37">
        <f t="shared" si="7256"/>
        <v>0</v>
      </c>
      <c r="AF389" s="37">
        <f t="shared" si="7257"/>
        <v>0</v>
      </c>
      <c r="AG389" s="37">
        <f t="shared" si="7258"/>
        <v>0</v>
      </c>
      <c r="AH389" s="37">
        <f t="shared" si="7259"/>
        <v>0</v>
      </c>
      <c r="AI389" s="37">
        <f t="shared" si="7260"/>
        <v>0</v>
      </c>
      <c r="AJ389" s="37">
        <f t="shared" si="7261"/>
        <v>0</v>
      </c>
      <c r="AK389" s="37">
        <f t="shared" si="7262"/>
        <v>0</v>
      </c>
      <c r="AL389" s="37">
        <f t="shared" si="7263"/>
        <v>0</v>
      </c>
      <c r="AM389" s="37">
        <f t="shared" si="7264"/>
        <v>0</v>
      </c>
      <c r="AN389" s="37">
        <f t="shared" si="7265"/>
        <v>0</v>
      </c>
      <c r="AO389" s="37">
        <f t="shared" si="7266"/>
        <v>0</v>
      </c>
      <c r="AP389" s="37">
        <f t="shared" si="7267"/>
        <v>0</v>
      </c>
      <c r="AQ389" s="37">
        <f t="shared" si="7268"/>
        <v>0</v>
      </c>
      <c r="AR389" s="37">
        <f t="shared" si="7269"/>
        <v>0</v>
      </c>
      <c r="AS389" s="37">
        <f t="shared" si="7270"/>
        <v>0</v>
      </c>
      <c r="AT389" s="37">
        <f t="shared" si="7271"/>
        <v>0</v>
      </c>
      <c r="AU389" s="37">
        <f t="shared" si="7272"/>
        <v>0</v>
      </c>
      <c r="AV389" s="37">
        <f t="shared" si="7273"/>
        <v>0</v>
      </c>
      <c r="AW389" s="37">
        <f t="shared" si="7274"/>
        <v>0</v>
      </c>
      <c r="AX389" s="37">
        <f t="shared" si="7275"/>
        <v>0</v>
      </c>
      <c r="AY389" s="37">
        <f t="shared" si="7276"/>
        <v>0</v>
      </c>
      <c r="AZ389" s="37">
        <f t="shared" si="7277"/>
        <v>0</v>
      </c>
      <c r="BA389" s="37">
        <f t="shared" si="7278"/>
        <v>0</v>
      </c>
      <c r="BO389" s="36" t="s">
        <v>361</v>
      </c>
      <c r="BP389" s="37">
        <v>21722.314049586777</v>
      </c>
      <c r="BQ389" s="37">
        <v>27675</v>
      </c>
      <c r="BR389" s="37">
        <v>24292</v>
      </c>
      <c r="BS389" s="37">
        <v>29777</v>
      </c>
      <c r="BT389" s="37">
        <v>103466.31404958677</v>
      </c>
      <c r="BV389" s="36" t="s">
        <v>361</v>
      </c>
      <c r="BW389" s="37">
        <v>26284</v>
      </c>
      <c r="BX389" s="37">
        <v>25229</v>
      </c>
      <c r="BY389" s="37">
        <v>24408</v>
      </c>
      <c r="BZ389" s="37">
        <v>28505</v>
      </c>
      <c r="CA389" s="37">
        <v>104426</v>
      </c>
      <c r="CC389" s="36" t="s">
        <v>361</v>
      </c>
      <c r="CD389" s="37">
        <v>24806</v>
      </c>
      <c r="CE389" s="37">
        <v>29683</v>
      </c>
      <c r="CF389" s="37">
        <v>24338</v>
      </c>
      <c r="CG389" s="37">
        <v>24445</v>
      </c>
      <c r="CH389" s="37">
        <v>103272</v>
      </c>
      <c r="CJ389" s="36" t="s">
        <v>361</v>
      </c>
      <c r="CK389" s="37">
        <v>24223</v>
      </c>
      <c r="CL389" s="37">
        <v>21700</v>
      </c>
      <c r="CM389" s="37">
        <v>21894</v>
      </c>
      <c r="CN389" s="37">
        <v>22863</v>
      </c>
      <c r="CO389" s="37">
        <v>90680</v>
      </c>
      <c r="CQ389" s="36" t="s">
        <v>361</v>
      </c>
      <c r="CR389" s="37">
        <v>23137</v>
      </c>
      <c r="CS389" s="37">
        <v>25409</v>
      </c>
      <c r="CT389" s="37">
        <v>24164</v>
      </c>
      <c r="CU389" s="37">
        <v>24577</v>
      </c>
      <c r="CV389" s="37">
        <v>97287</v>
      </c>
      <c r="CX389" s="36" t="s">
        <v>361</v>
      </c>
      <c r="CY389" s="37">
        <v>26103</v>
      </c>
      <c r="CZ389" s="37">
        <v>22337</v>
      </c>
      <c r="DA389" s="37">
        <v>34144</v>
      </c>
      <c r="DB389" s="37">
        <v>33252</v>
      </c>
      <c r="DC389" s="37">
        <v>115836</v>
      </c>
      <c r="DE389" s="36" t="s">
        <v>361</v>
      </c>
      <c r="DF389" s="37">
        <v>35985</v>
      </c>
      <c r="DG389" s="37">
        <v>37663</v>
      </c>
      <c r="DH389" s="37">
        <v>46290</v>
      </c>
      <c r="DI389" s="37">
        <v>43822</v>
      </c>
      <c r="DJ389" s="37">
        <v>163760</v>
      </c>
      <c r="DL389" s="36" t="s">
        <v>361</v>
      </c>
      <c r="DM389" s="37">
        <v>47140</v>
      </c>
      <c r="DN389" s="37">
        <v>46086</v>
      </c>
      <c r="DO389" s="37">
        <v>37958</v>
      </c>
      <c r="DP389" s="37">
        <v>41628</v>
      </c>
      <c r="DQ389" s="37">
        <v>172812</v>
      </c>
      <c r="DS389" s="36" t="s">
        <v>361</v>
      </c>
      <c r="DT389" s="37">
        <v>38775</v>
      </c>
      <c r="DU389" s="37">
        <v>43749</v>
      </c>
      <c r="DV389" s="37">
        <v>39300</v>
      </c>
      <c r="DW389" s="37">
        <v>38955</v>
      </c>
      <c r="DX389" s="37">
        <v>160779</v>
      </c>
      <c r="DZ389" s="36" t="s">
        <v>361</v>
      </c>
      <c r="EA389" s="37">
        <v>29909</v>
      </c>
      <c r="EB389" s="37">
        <v>33836</v>
      </c>
      <c r="EC389" s="37">
        <v>33130</v>
      </c>
      <c r="ED389" s="37">
        <v>37588</v>
      </c>
      <c r="EG389" s="36" t="s">
        <v>361</v>
      </c>
      <c r="EH389" s="37">
        <v>35295</v>
      </c>
      <c r="EI389" s="37">
        <v>30944</v>
      </c>
      <c r="EJ389" s="37">
        <v>31379</v>
      </c>
      <c r="EN389" s="36" t="s">
        <v>361</v>
      </c>
      <c r="EU389" s="36" t="s">
        <v>361</v>
      </c>
      <c r="FB389" s="36" t="s">
        <v>361</v>
      </c>
      <c r="FI389" s="36" t="s">
        <v>361</v>
      </c>
      <c r="FP389" s="36" t="s">
        <v>361</v>
      </c>
      <c r="FW389" s="36" t="s">
        <v>361</v>
      </c>
      <c r="GD389" s="36" t="s">
        <v>361</v>
      </c>
      <c r="GK389" s="36" t="s">
        <v>361</v>
      </c>
      <c r="GR389" s="36" t="s">
        <v>361</v>
      </c>
      <c r="GY389" s="36" t="s">
        <v>361</v>
      </c>
      <c r="HF389" s="36" t="s">
        <v>361</v>
      </c>
      <c r="HM389" s="36" t="s">
        <v>361</v>
      </c>
      <c r="HT389" s="36" t="s">
        <v>361</v>
      </c>
      <c r="IA389" s="36" t="s">
        <v>361</v>
      </c>
      <c r="IH389" s="36" t="s">
        <v>361</v>
      </c>
      <c r="IO389" s="36" t="s">
        <v>361</v>
      </c>
      <c r="IV389" s="36" t="s">
        <v>361</v>
      </c>
      <c r="JC389" s="36" t="s">
        <v>361</v>
      </c>
      <c r="JJ389" s="36" t="s">
        <v>361</v>
      </c>
      <c r="JQ389" s="36" t="s">
        <v>361</v>
      </c>
      <c r="JX389" s="36" t="s">
        <v>361</v>
      </c>
      <c r="KE389" s="36" t="s">
        <v>361</v>
      </c>
      <c r="KL389" s="36" t="s">
        <v>361</v>
      </c>
      <c r="KS389" s="36" t="s">
        <v>361</v>
      </c>
      <c r="KZ389" s="36" t="s">
        <v>361</v>
      </c>
      <c r="LF389" s="565"/>
      <c r="LG389" s="36" t="s">
        <v>361</v>
      </c>
      <c r="LM389" s="565"/>
      <c r="LN389" s="36" t="s">
        <v>361</v>
      </c>
      <c r="LT389" s="565"/>
      <c r="LU389" s="36" t="s">
        <v>361</v>
      </c>
      <c r="MA389" s="565"/>
      <c r="MB389" s="36" t="s">
        <v>361</v>
      </c>
      <c r="MH389" s="565"/>
    </row>
    <row r="390" spans="1:346" s="37" customFormat="1" ht="13.15" hidden="1" outlineLevel="1" x14ac:dyDescent="0.4">
      <c r="A390" s="35"/>
      <c r="B390" s="36" t="s">
        <v>362</v>
      </c>
      <c r="M390" s="37">
        <v>155797.73689074931</v>
      </c>
      <c r="N390" s="37">
        <f t="shared" si="7239"/>
        <v>44383.875</v>
      </c>
      <c r="O390" s="37">
        <f t="shared" si="7240"/>
        <v>48464</v>
      </c>
      <c r="P390" s="37">
        <f t="shared" si="7241"/>
        <v>55897</v>
      </c>
      <c r="Q390" s="37">
        <f t="shared" si="7242"/>
        <v>66667</v>
      </c>
      <c r="R390" s="37">
        <f t="shared" si="7243"/>
        <v>68338</v>
      </c>
      <c r="S390" s="37">
        <f t="shared" si="7244"/>
        <v>66865</v>
      </c>
      <c r="T390" s="37">
        <f t="shared" si="7245"/>
        <v>81619</v>
      </c>
      <c r="U390" s="37">
        <f t="shared" si="7246"/>
        <v>86821</v>
      </c>
      <c r="V390" s="37">
        <f t="shared" si="7247"/>
        <v>88327</v>
      </c>
      <c r="W390" s="37">
        <f t="shared" si="7248"/>
        <v>0</v>
      </c>
      <c r="X390" s="37">
        <f t="shared" si="7249"/>
        <v>0</v>
      </c>
      <c r="Y390" s="37">
        <f t="shared" si="7250"/>
        <v>0</v>
      </c>
      <c r="Z390" s="37">
        <f t="shared" si="7251"/>
        <v>0</v>
      </c>
      <c r="AA390" s="37">
        <f t="shared" si="7252"/>
        <v>0</v>
      </c>
      <c r="AB390" s="37">
        <f t="shared" si="7253"/>
        <v>0</v>
      </c>
      <c r="AC390" s="37">
        <f t="shared" si="7254"/>
        <v>0</v>
      </c>
      <c r="AD390" s="37">
        <f t="shared" si="7255"/>
        <v>0</v>
      </c>
      <c r="AE390" s="37">
        <f t="shared" si="7256"/>
        <v>0</v>
      </c>
      <c r="AF390" s="37">
        <f t="shared" si="7257"/>
        <v>0</v>
      </c>
      <c r="AG390" s="37">
        <f t="shared" si="7258"/>
        <v>0</v>
      </c>
      <c r="AH390" s="37">
        <f t="shared" si="7259"/>
        <v>0</v>
      </c>
      <c r="AI390" s="37">
        <f t="shared" si="7260"/>
        <v>0</v>
      </c>
      <c r="AJ390" s="37">
        <f t="shared" si="7261"/>
        <v>0</v>
      </c>
      <c r="AK390" s="37">
        <f t="shared" si="7262"/>
        <v>0</v>
      </c>
      <c r="AL390" s="37">
        <f t="shared" si="7263"/>
        <v>0</v>
      </c>
      <c r="AM390" s="37">
        <f t="shared" si="7264"/>
        <v>0</v>
      </c>
      <c r="AN390" s="37">
        <f t="shared" si="7265"/>
        <v>0</v>
      </c>
      <c r="AO390" s="37">
        <f t="shared" si="7266"/>
        <v>0</v>
      </c>
      <c r="AP390" s="37">
        <f t="shared" si="7267"/>
        <v>0</v>
      </c>
      <c r="AQ390" s="37">
        <f t="shared" si="7268"/>
        <v>0</v>
      </c>
      <c r="AR390" s="37">
        <f t="shared" si="7269"/>
        <v>0</v>
      </c>
      <c r="AS390" s="37">
        <f t="shared" si="7270"/>
        <v>0</v>
      </c>
      <c r="AT390" s="37">
        <f t="shared" si="7271"/>
        <v>0</v>
      </c>
      <c r="AU390" s="37">
        <f t="shared" si="7272"/>
        <v>0</v>
      </c>
      <c r="AV390" s="37">
        <f t="shared" si="7273"/>
        <v>0</v>
      </c>
      <c r="AW390" s="37">
        <f t="shared" si="7274"/>
        <v>0</v>
      </c>
      <c r="AX390" s="37">
        <f t="shared" si="7275"/>
        <v>0</v>
      </c>
      <c r="AY390" s="37">
        <f t="shared" si="7276"/>
        <v>0</v>
      </c>
      <c r="AZ390" s="37">
        <f t="shared" si="7277"/>
        <v>0</v>
      </c>
      <c r="BA390" s="37">
        <f t="shared" si="7278"/>
        <v>0</v>
      </c>
      <c r="BO390" s="36" t="s">
        <v>362</v>
      </c>
      <c r="BP390" s="37">
        <v>7796.875</v>
      </c>
      <c r="BQ390" s="37">
        <v>11330</v>
      </c>
      <c r="BR390" s="37">
        <v>12026</v>
      </c>
      <c r="BS390" s="37">
        <v>13231</v>
      </c>
      <c r="BT390" s="37">
        <v>44383.875</v>
      </c>
      <c r="BV390" s="36" t="s">
        <v>362</v>
      </c>
      <c r="BW390" s="37">
        <v>9980</v>
      </c>
      <c r="BX390" s="37">
        <v>12201</v>
      </c>
      <c r="BY390" s="37">
        <v>12812</v>
      </c>
      <c r="BZ390" s="37">
        <v>13471</v>
      </c>
      <c r="CA390" s="37">
        <v>48464</v>
      </c>
      <c r="CC390" s="36" t="s">
        <v>362</v>
      </c>
      <c r="CD390" s="37">
        <v>11070</v>
      </c>
      <c r="CE390" s="37">
        <v>13808</v>
      </c>
      <c r="CF390" s="37">
        <v>14487</v>
      </c>
      <c r="CG390" s="37">
        <v>16532</v>
      </c>
      <c r="CH390" s="37">
        <v>55897</v>
      </c>
      <c r="CJ390" s="36" t="s">
        <v>362</v>
      </c>
      <c r="CK390" s="37">
        <v>16385</v>
      </c>
      <c r="CL390" s="37">
        <v>16583</v>
      </c>
      <c r="CM390" s="37">
        <v>17040</v>
      </c>
      <c r="CN390" s="37">
        <v>16659</v>
      </c>
      <c r="CO390" s="37">
        <v>66667</v>
      </c>
      <c r="CQ390" s="36" t="s">
        <v>362</v>
      </c>
      <c r="CR390" s="37">
        <v>14858</v>
      </c>
      <c r="CS390" s="37">
        <v>17269</v>
      </c>
      <c r="CT390" s="37">
        <v>17095</v>
      </c>
      <c r="CU390" s="37">
        <v>19116</v>
      </c>
      <c r="CV390" s="37">
        <v>68338</v>
      </c>
      <c r="CX390" s="36" t="s">
        <v>362</v>
      </c>
      <c r="CY390" s="37">
        <v>16509</v>
      </c>
      <c r="CZ390" s="37">
        <v>12645</v>
      </c>
      <c r="DA390" s="37">
        <v>17007</v>
      </c>
      <c r="DB390" s="37">
        <v>20704</v>
      </c>
      <c r="DC390" s="37">
        <v>66865</v>
      </c>
      <c r="DE390" s="36" t="s">
        <v>362</v>
      </c>
      <c r="DF390" s="37">
        <v>21705</v>
      </c>
      <c r="DG390" s="37">
        <v>18813</v>
      </c>
      <c r="DH390" s="37">
        <v>20562</v>
      </c>
      <c r="DI390" s="37">
        <v>20539</v>
      </c>
      <c r="DJ390" s="37">
        <v>81619</v>
      </c>
      <c r="DL390" s="36" t="s">
        <v>362</v>
      </c>
      <c r="DM390" s="37">
        <v>20186</v>
      </c>
      <c r="DN390" s="37">
        <v>20629</v>
      </c>
      <c r="DO390" s="37">
        <v>22412</v>
      </c>
      <c r="DP390" s="37">
        <v>23594</v>
      </c>
      <c r="DQ390" s="37">
        <v>86821</v>
      </c>
      <c r="DS390" s="36" t="s">
        <v>362</v>
      </c>
      <c r="DT390" s="37">
        <v>23425</v>
      </c>
      <c r="DU390" s="37">
        <v>20773</v>
      </c>
      <c r="DV390" s="37">
        <v>20781</v>
      </c>
      <c r="DW390" s="37">
        <v>23348</v>
      </c>
      <c r="DX390" s="37">
        <v>88327</v>
      </c>
      <c r="DZ390" s="36" t="s">
        <v>362</v>
      </c>
      <c r="EA390" s="37">
        <v>24957</v>
      </c>
      <c r="EB390" s="37">
        <v>22330</v>
      </c>
      <c r="EC390" s="37">
        <v>22206</v>
      </c>
      <c r="ED390" s="37">
        <v>24035</v>
      </c>
      <c r="EG390" s="36" t="s">
        <v>362</v>
      </c>
      <c r="EH390" s="37">
        <v>24853</v>
      </c>
      <c r="EI390" s="37">
        <v>20553</v>
      </c>
      <c r="EJ390" s="37">
        <v>21543</v>
      </c>
      <c r="EN390" s="36" t="s">
        <v>362</v>
      </c>
      <c r="EU390" s="36" t="s">
        <v>362</v>
      </c>
      <c r="FB390" s="36" t="s">
        <v>362</v>
      </c>
      <c r="FI390" s="36" t="s">
        <v>362</v>
      </c>
      <c r="FP390" s="36" t="s">
        <v>362</v>
      </c>
      <c r="FW390" s="36" t="s">
        <v>362</v>
      </c>
      <c r="GD390" s="36" t="s">
        <v>362</v>
      </c>
      <c r="GK390" s="36" t="s">
        <v>362</v>
      </c>
      <c r="GR390" s="36" t="s">
        <v>362</v>
      </c>
      <c r="GY390" s="36" t="s">
        <v>362</v>
      </c>
      <c r="HF390" s="36" t="s">
        <v>362</v>
      </c>
      <c r="HM390" s="36" t="s">
        <v>362</v>
      </c>
      <c r="HT390" s="36" t="s">
        <v>362</v>
      </c>
      <c r="IA390" s="36" t="s">
        <v>362</v>
      </c>
      <c r="IH390" s="36" t="s">
        <v>362</v>
      </c>
      <c r="IO390" s="36" t="s">
        <v>362</v>
      </c>
      <c r="IV390" s="36" t="s">
        <v>362</v>
      </c>
      <c r="JC390" s="36" t="s">
        <v>362</v>
      </c>
      <c r="JJ390" s="36" t="s">
        <v>362</v>
      </c>
      <c r="JQ390" s="36" t="s">
        <v>362</v>
      </c>
      <c r="JX390" s="36" t="s">
        <v>362</v>
      </c>
      <c r="KE390" s="36" t="s">
        <v>362</v>
      </c>
      <c r="KL390" s="36" t="s">
        <v>362</v>
      </c>
      <c r="KS390" s="36" t="s">
        <v>362</v>
      </c>
      <c r="KZ390" s="36" t="s">
        <v>362</v>
      </c>
      <c r="LF390" s="565"/>
      <c r="LG390" s="36" t="s">
        <v>362</v>
      </c>
      <c r="LM390" s="565"/>
      <c r="LN390" s="36" t="s">
        <v>362</v>
      </c>
      <c r="LT390" s="565"/>
      <c r="LU390" s="36" t="s">
        <v>362</v>
      </c>
      <c r="MA390" s="565"/>
      <c r="MB390" s="36" t="s">
        <v>362</v>
      </c>
      <c r="MH390" s="565"/>
    </row>
    <row r="391" spans="1:346" s="37" customFormat="1" ht="13.15" hidden="1" outlineLevel="1" x14ac:dyDescent="0.4">
      <c r="A391" s="35"/>
      <c r="B391" s="36" t="s">
        <v>363</v>
      </c>
      <c r="M391" s="37">
        <v>432037.77899001783</v>
      </c>
      <c r="N391" s="37">
        <f t="shared" si="7239"/>
        <v>153622.98952184181</v>
      </c>
      <c r="O391" s="37">
        <f t="shared" si="7240"/>
        <v>172414</v>
      </c>
      <c r="P391" s="37">
        <f t="shared" si="7241"/>
        <v>171054</v>
      </c>
      <c r="Q391" s="37">
        <f t="shared" si="7242"/>
        <v>162749</v>
      </c>
      <c r="R391" s="37">
        <f t="shared" si="7243"/>
        <v>167108</v>
      </c>
      <c r="S391" s="37">
        <f t="shared" si="7244"/>
        <v>186006</v>
      </c>
      <c r="T391" s="37">
        <f t="shared" si="7245"/>
        <v>174858</v>
      </c>
      <c r="U391" s="37">
        <f t="shared" si="7246"/>
        <v>190421</v>
      </c>
      <c r="V391" s="37">
        <f t="shared" si="7247"/>
        <v>188468</v>
      </c>
      <c r="W391" s="37">
        <f t="shared" si="7248"/>
        <v>0</v>
      </c>
      <c r="X391" s="37">
        <f t="shared" si="7249"/>
        <v>0</v>
      </c>
      <c r="Y391" s="37">
        <f t="shared" si="7250"/>
        <v>0</v>
      </c>
      <c r="Z391" s="37">
        <f t="shared" si="7251"/>
        <v>0</v>
      </c>
      <c r="AA391" s="37">
        <f t="shared" si="7252"/>
        <v>0</v>
      </c>
      <c r="AB391" s="37">
        <f t="shared" si="7253"/>
        <v>0</v>
      </c>
      <c r="AC391" s="37">
        <f t="shared" si="7254"/>
        <v>0</v>
      </c>
      <c r="AD391" s="37">
        <f t="shared" si="7255"/>
        <v>0</v>
      </c>
      <c r="AE391" s="37">
        <f t="shared" si="7256"/>
        <v>0</v>
      </c>
      <c r="AF391" s="37">
        <f t="shared" si="7257"/>
        <v>0</v>
      </c>
      <c r="AG391" s="37">
        <f t="shared" si="7258"/>
        <v>0</v>
      </c>
      <c r="AH391" s="37">
        <f t="shared" si="7259"/>
        <v>0</v>
      </c>
      <c r="AI391" s="37">
        <f t="shared" si="7260"/>
        <v>0</v>
      </c>
      <c r="AJ391" s="37">
        <f t="shared" si="7261"/>
        <v>0</v>
      </c>
      <c r="AK391" s="37">
        <f t="shared" si="7262"/>
        <v>0</v>
      </c>
      <c r="AL391" s="37">
        <f t="shared" si="7263"/>
        <v>0</v>
      </c>
      <c r="AM391" s="37">
        <f t="shared" si="7264"/>
        <v>0</v>
      </c>
      <c r="AN391" s="37">
        <f t="shared" si="7265"/>
        <v>0</v>
      </c>
      <c r="AO391" s="37">
        <f t="shared" si="7266"/>
        <v>0</v>
      </c>
      <c r="AP391" s="37">
        <f t="shared" si="7267"/>
        <v>0</v>
      </c>
      <c r="AQ391" s="37">
        <f t="shared" si="7268"/>
        <v>0</v>
      </c>
      <c r="AR391" s="37">
        <f t="shared" si="7269"/>
        <v>0</v>
      </c>
      <c r="AS391" s="37">
        <f t="shared" si="7270"/>
        <v>0</v>
      </c>
      <c r="AT391" s="37">
        <f t="shared" si="7271"/>
        <v>0</v>
      </c>
      <c r="AU391" s="37">
        <f t="shared" si="7272"/>
        <v>0</v>
      </c>
      <c r="AV391" s="37">
        <f t="shared" si="7273"/>
        <v>0</v>
      </c>
      <c r="AW391" s="37">
        <f t="shared" si="7274"/>
        <v>0</v>
      </c>
      <c r="AX391" s="37">
        <f t="shared" si="7275"/>
        <v>0</v>
      </c>
      <c r="AY391" s="37">
        <f t="shared" si="7276"/>
        <v>0</v>
      </c>
      <c r="AZ391" s="37">
        <f t="shared" si="7277"/>
        <v>0</v>
      </c>
      <c r="BA391" s="37">
        <f t="shared" si="7278"/>
        <v>0</v>
      </c>
      <c r="BO391" s="36" t="s">
        <v>363</v>
      </c>
      <c r="BP391" s="37">
        <v>43239.989521841802</v>
      </c>
      <c r="BQ391" s="37">
        <v>37567</v>
      </c>
      <c r="BR391" s="37">
        <v>34241</v>
      </c>
      <c r="BS391" s="37">
        <v>38575</v>
      </c>
      <c r="BT391" s="37">
        <v>153622.98952184181</v>
      </c>
      <c r="BV391" s="36" t="s">
        <v>363</v>
      </c>
      <c r="BW391" s="37">
        <v>35206</v>
      </c>
      <c r="BX391" s="37">
        <v>45291</v>
      </c>
      <c r="BY391" s="37">
        <v>45293</v>
      </c>
      <c r="BZ391" s="37">
        <v>46624</v>
      </c>
      <c r="CA391" s="37">
        <v>172414</v>
      </c>
      <c r="CC391" s="36" t="s">
        <v>363</v>
      </c>
      <c r="CD391" s="37">
        <v>40503</v>
      </c>
      <c r="CE391" s="37">
        <v>47467</v>
      </c>
      <c r="CF391" s="37">
        <v>41553</v>
      </c>
      <c r="CG391" s="37">
        <v>41531</v>
      </c>
      <c r="CH391" s="37">
        <v>171054</v>
      </c>
      <c r="CJ391" s="36" t="s">
        <v>363</v>
      </c>
      <c r="CK391" s="37">
        <v>36726</v>
      </c>
      <c r="CL391" s="37">
        <v>40642</v>
      </c>
      <c r="CM391" s="37">
        <v>43150</v>
      </c>
      <c r="CN391" s="37">
        <v>42231</v>
      </c>
      <c r="CO391" s="37">
        <v>162749</v>
      </c>
      <c r="CQ391" s="36" t="s">
        <v>363</v>
      </c>
      <c r="CR391" s="37">
        <v>39867</v>
      </c>
      <c r="CS391" s="37">
        <v>44045</v>
      </c>
      <c r="CT391" s="37">
        <v>41522</v>
      </c>
      <c r="CU391" s="37">
        <v>41674</v>
      </c>
      <c r="CV391" s="37">
        <v>167108</v>
      </c>
      <c r="CX391" s="36" t="s">
        <v>363</v>
      </c>
      <c r="CY391" s="37">
        <v>41388</v>
      </c>
      <c r="CZ391" s="37">
        <v>49680</v>
      </c>
      <c r="DA391" s="37">
        <v>46038</v>
      </c>
      <c r="DB391" s="37">
        <v>48900</v>
      </c>
      <c r="DC391" s="37">
        <v>186006</v>
      </c>
      <c r="DE391" s="36" t="s">
        <v>363</v>
      </c>
      <c r="DF391" s="37">
        <v>41004</v>
      </c>
      <c r="DG391" s="37">
        <v>45159</v>
      </c>
      <c r="DH391" s="37">
        <v>37927</v>
      </c>
      <c r="DI391" s="37">
        <v>50768</v>
      </c>
      <c r="DJ391" s="37">
        <v>174858</v>
      </c>
      <c r="DL391" s="36" t="s">
        <v>363</v>
      </c>
      <c r="DM391" s="37">
        <v>44285</v>
      </c>
      <c r="DN391" s="37">
        <v>48511</v>
      </c>
      <c r="DO391" s="37">
        <v>44504</v>
      </c>
      <c r="DP391" s="37">
        <v>53121</v>
      </c>
      <c r="DQ391" s="37">
        <v>190421</v>
      </c>
      <c r="DS391" s="36" t="s">
        <v>363</v>
      </c>
      <c r="DT391" s="37">
        <v>49406</v>
      </c>
      <c r="DU391" s="37">
        <v>47542</v>
      </c>
      <c r="DV391" s="37">
        <v>47144</v>
      </c>
      <c r="DW391" s="37">
        <v>44376</v>
      </c>
      <c r="DX391" s="37">
        <v>188468</v>
      </c>
      <c r="DZ391" s="36" t="s">
        <v>363</v>
      </c>
      <c r="EA391" s="37">
        <v>32256</v>
      </c>
      <c r="EB391" s="37">
        <v>24953</v>
      </c>
      <c r="EC391" s="37">
        <v>18683</v>
      </c>
      <c r="ED391" s="37">
        <v>18497</v>
      </c>
      <c r="EG391" s="36" t="s">
        <v>363</v>
      </c>
      <c r="EH391" s="37">
        <v>22214</v>
      </c>
      <c r="EI391" s="37">
        <v>22336</v>
      </c>
      <c r="EJ391" s="37">
        <v>19934</v>
      </c>
      <c r="EN391" s="36" t="s">
        <v>363</v>
      </c>
      <c r="EU391" s="36" t="s">
        <v>363</v>
      </c>
      <c r="FB391" s="36" t="s">
        <v>363</v>
      </c>
      <c r="FI391" s="36" t="s">
        <v>363</v>
      </c>
      <c r="FP391" s="36" t="s">
        <v>363</v>
      </c>
      <c r="FW391" s="36" t="s">
        <v>363</v>
      </c>
      <c r="GD391" s="36" t="s">
        <v>363</v>
      </c>
      <c r="GK391" s="36" t="s">
        <v>363</v>
      </c>
      <c r="GR391" s="36" t="s">
        <v>363</v>
      </c>
      <c r="GY391" s="36" t="s">
        <v>363</v>
      </c>
      <c r="HF391" s="36" t="s">
        <v>363</v>
      </c>
      <c r="HM391" s="36" t="s">
        <v>363</v>
      </c>
      <c r="HT391" s="36" t="s">
        <v>363</v>
      </c>
      <c r="IA391" s="36" t="s">
        <v>363</v>
      </c>
      <c r="IH391" s="36" t="s">
        <v>363</v>
      </c>
      <c r="IO391" s="36" t="s">
        <v>363</v>
      </c>
      <c r="IV391" s="36" t="s">
        <v>363</v>
      </c>
      <c r="JC391" s="36" t="s">
        <v>363</v>
      </c>
      <c r="JJ391" s="36" t="s">
        <v>363</v>
      </c>
      <c r="JQ391" s="36" t="s">
        <v>363</v>
      </c>
      <c r="JX391" s="36" t="s">
        <v>363</v>
      </c>
      <c r="KE391" s="36" t="s">
        <v>363</v>
      </c>
      <c r="KL391" s="36" t="s">
        <v>363</v>
      </c>
      <c r="KS391" s="36" t="s">
        <v>363</v>
      </c>
      <c r="KZ391" s="36" t="s">
        <v>363</v>
      </c>
      <c r="LF391" s="565"/>
      <c r="LG391" s="36" t="s">
        <v>363</v>
      </c>
      <c r="LM391" s="565"/>
      <c r="LN391" s="36" t="s">
        <v>363</v>
      </c>
      <c r="LT391" s="565"/>
      <c r="LU391" s="36" t="s">
        <v>363</v>
      </c>
      <c r="MA391" s="565"/>
      <c r="MB391" s="36" t="s">
        <v>363</v>
      </c>
      <c r="MH391" s="565"/>
    </row>
    <row r="392" spans="1:346" s="37" customFormat="1" ht="13.15" hidden="1" outlineLevel="1" x14ac:dyDescent="0.4">
      <c r="A392" s="35"/>
      <c r="B392" s="36" t="s">
        <v>364</v>
      </c>
      <c r="M392" s="37">
        <v>98002.886247877759</v>
      </c>
      <c r="N392" s="37">
        <f t="shared" si="7239"/>
        <v>454152</v>
      </c>
      <c r="O392" s="37">
        <f t="shared" si="7240"/>
        <v>479294</v>
      </c>
      <c r="P392" s="37">
        <f t="shared" si="7241"/>
        <v>492975</v>
      </c>
      <c r="Q392" s="37">
        <f t="shared" si="7242"/>
        <v>484478</v>
      </c>
      <c r="R392" s="37">
        <f t="shared" si="7243"/>
        <v>505846</v>
      </c>
      <c r="S392" s="37">
        <f t="shared" si="7244"/>
        <v>558967</v>
      </c>
      <c r="T392" s="37">
        <f t="shared" si="7245"/>
        <v>688438</v>
      </c>
      <c r="U392" s="37">
        <f t="shared" si="7246"/>
        <v>725990</v>
      </c>
      <c r="V392" s="37">
        <f t="shared" si="7247"/>
        <v>718194</v>
      </c>
      <c r="W392" s="37">
        <f t="shared" si="7248"/>
        <v>615024</v>
      </c>
      <c r="X392" s="37">
        <f t="shared" si="7249"/>
        <v>620261.85</v>
      </c>
      <c r="Y392" s="37">
        <f t="shared" si="7250"/>
        <v>0</v>
      </c>
      <c r="Z392" s="37">
        <f t="shared" si="7251"/>
        <v>0</v>
      </c>
      <c r="AA392" s="37">
        <f t="shared" si="7252"/>
        <v>0</v>
      </c>
      <c r="AB392" s="37">
        <f t="shared" si="7253"/>
        <v>0</v>
      </c>
      <c r="AC392" s="37">
        <f t="shared" si="7254"/>
        <v>0</v>
      </c>
      <c r="AD392" s="37">
        <f t="shared" si="7255"/>
        <v>0</v>
      </c>
      <c r="AE392" s="37">
        <f t="shared" si="7256"/>
        <v>0</v>
      </c>
      <c r="AF392" s="37">
        <f t="shared" si="7257"/>
        <v>0</v>
      </c>
      <c r="AG392" s="37">
        <f t="shared" si="7258"/>
        <v>0</v>
      </c>
      <c r="AH392" s="37">
        <f t="shared" si="7259"/>
        <v>0</v>
      </c>
      <c r="AI392" s="37">
        <f t="shared" si="7260"/>
        <v>0</v>
      </c>
      <c r="AJ392" s="37">
        <f t="shared" si="7261"/>
        <v>0</v>
      </c>
      <c r="AK392" s="37">
        <f t="shared" si="7262"/>
        <v>0</v>
      </c>
      <c r="AL392" s="37">
        <f t="shared" si="7263"/>
        <v>0</v>
      </c>
      <c r="AM392" s="37">
        <f t="shared" si="7264"/>
        <v>0</v>
      </c>
      <c r="AN392" s="37">
        <f t="shared" si="7265"/>
        <v>0</v>
      </c>
      <c r="AO392" s="37">
        <f t="shared" si="7266"/>
        <v>0</v>
      </c>
      <c r="AP392" s="37">
        <f t="shared" si="7267"/>
        <v>0</v>
      </c>
      <c r="AQ392" s="37">
        <f t="shared" si="7268"/>
        <v>0</v>
      </c>
      <c r="AR392" s="37">
        <f t="shared" si="7269"/>
        <v>0</v>
      </c>
      <c r="AS392" s="37">
        <f t="shared" si="7270"/>
        <v>0</v>
      </c>
      <c r="AT392" s="37">
        <f t="shared" si="7271"/>
        <v>0</v>
      </c>
      <c r="AU392" s="37">
        <f t="shared" si="7272"/>
        <v>0</v>
      </c>
      <c r="AV392" s="37">
        <f t="shared" si="7273"/>
        <v>0</v>
      </c>
      <c r="AW392" s="37">
        <f t="shared" si="7274"/>
        <v>0</v>
      </c>
      <c r="AX392" s="37">
        <f t="shared" si="7275"/>
        <v>0</v>
      </c>
      <c r="AY392" s="37">
        <f t="shared" si="7276"/>
        <v>0</v>
      </c>
      <c r="AZ392" s="37">
        <f t="shared" si="7277"/>
        <v>0</v>
      </c>
      <c r="BA392" s="37">
        <f t="shared" si="7278"/>
        <v>0</v>
      </c>
      <c r="BO392" s="36" t="s">
        <v>364</v>
      </c>
      <c r="BP392" s="37">
        <v>102294</v>
      </c>
      <c r="BQ392" s="37">
        <v>113455</v>
      </c>
      <c r="BR392" s="37">
        <v>114222</v>
      </c>
      <c r="BS392" s="37">
        <v>124181</v>
      </c>
      <c r="BT392" s="37">
        <v>454152</v>
      </c>
      <c r="BV392" s="36" t="s">
        <v>364</v>
      </c>
      <c r="BW392" s="37">
        <v>104549</v>
      </c>
      <c r="BX392" s="37">
        <v>118279</v>
      </c>
      <c r="BY392" s="37">
        <v>124510</v>
      </c>
      <c r="BZ392" s="37">
        <v>131956</v>
      </c>
      <c r="CA392" s="37">
        <v>479294</v>
      </c>
      <c r="CC392" s="36" t="s">
        <v>364</v>
      </c>
      <c r="CD392" s="37">
        <v>111611</v>
      </c>
      <c r="CE392" s="37">
        <v>128401</v>
      </c>
      <c r="CF392" s="37">
        <v>124207</v>
      </c>
      <c r="CG392" s="37">
        <v>128756</v>
      </c>
      <c r="CH392" s="37">
        <v>492975</v>
      </c>
      <c r="CJ392" s="36" t="s">
        <v>364</v>
      </c>
      <c r="CK392" s="37">
        <v>115687</v>
      </c>
      <c r="CL392" s="37">
        <v>120195</v>
      </c>
      <c r="CM392" s="37">
        <v>127732</v>
      </c>
      <c r="CN392" s="37">
        <v>120864</v>
      </c>
      <c r="CO392" s="37">
        <v>484478</v>
      </c>
      <c r="CQ392" s="36" t="s">
        <v>364</v>
      </c>
      <c r="CR392" s="37">
        <v>113529</v>
      </c>
      <c r="CS392" s="37">
        <v>128634</v>
      </c>
      <c r="CT392" s="37">
        <v>131904</v>
      </c>
      <c r="CU392" s="37">
        <v>131779</v>
      </c>
      <c r="CV392" s="37">
        <v>505846</v>
      </c>
      <c r="CX392" s="36" t="s">
        <v>364</v>
      </c>
      <c r="CY392" s="37">
        <v>126690</v>
      </c>
      <c r="CZ392" s="37">
        <v>126704</v>
      </c>
      <c r="DA392" s="37">
        <v>151088</v>
      </c>
      <c r="DB392" s="37">
        <v>154485</v>
      </c>
      <c r="DC392" s="37">
        <v>558967</v>
      </c>
      <c r="DE392" s="36" t="s">
        <v>364</v>
      </c>
      <c r="DF392" s="37">
        <v>156929</v>
      </c>
      <c r="DG392" s="37">
        <v>169197</v>
      </c>
      <c r="DH392" s="37">
        <v>174738</v>
      </c>
      <c r="DI392" s="37">
        <v>187574</v>
      </c>
      <c r="DJ392" s="37">
        <v>688438</v>
      </c>
      <c r="DL392" s="36" t="s">
        <v>364</v>
      </c>
      <c r="DM392" s="37">
        <v>168104</v>
      </c>
      <c r="DN392" s="37">
        <v>185356</v>
      </c>
      <c r="DO392" s="37">
        <v>183266</v>
      </c>
      <c r="DP392" s="37">
        <v>189264</v>
      </c>
      <c r="DQ392" s="37">
        <v>725990</v>
      </c>
      <c r="DS392" s="36" t="s">
        <v>364</v>
      </c>
      <c r="DT392" s="37">
        <v>172095</v>
      </c>
      <c r="DU392" s="37">
        <v>181981</v>
      </c>
      <c r="DV392" s="37">
        <v>185131</v>
      </c>
      <c r="DW392" s="37">
        <v>178987</v>
      </c>
      <c r="DX392" s="37">
        <v>718194</v>
      </c>
      <c r="DZ392" s="36" t="s">
        <v>364</v>
      </c>
      <c r="EA392" s="37">
        <v>155324</v>
      </c>
      <c r="EB392" s="37">
        <v>155302</v>
      </c>
      <c r="EC392" s="37">
        <v>152761</v>
      </c>
      <c r="ED392" s="37">
        <v>151637</v>
      </c>
      <c r="EE392" s="37">
        <v>615024</v>
      </c>
      <c r="EG392" s="36" t="s">
        <v>364</v>
      </c>
      <c r="EH392" s="37">
        <v>156851</v>
      </c>
      <c r="EI392" s="37">
        <v>153018</v>
      </c>
      <c r="EJ392" s="37">
        <v>151174</v>
      </c>
      <c r="EK392" s="37">
        <v>159218.85</v>
      </c>
      <c r="EL392" s="37">
        <v>620261.85</v>
      </c>
      <c r="EN392" s="36" t="s">
        <v>364</v>
      </c>
      <c r="EO392" s="37">
        <v>0</v>
      </c>
      <c r="ES392" s="37">
        <v>0</v>
      </c>
      <c r="EU392" s="36" t="s">
        <v>364</v>
      </c>
      <c r="EZ392" s="37">
        <v>0</v>
      </c>
      <c r="FB392" s="36" t="s">
        <v>364</v>
      </c>
      <c r="FG392" s="37">
        <v>0</v>
      </c>
      <c r="FI392" s="36" t="s">
        <v>364</v>
      </c>
      <c r="FN392" s="37">
        <v>0</v>
      </c>
      <c r="FP392" s="36" t="s">
        <v>364</v>
      </c>
      <c r="FU392" s="37">
        <v>0</v>
      </c>
      <c r="FW392" s="36" t="s">
        <v>364</v>
      </c>
      <c r="GD392" s="36" t="s">
        <v>364</v>
      </c>
      <c r="GK392" s="36" t="s">
        <v>364</v>
      </c>
      <c r="GR392" s="36" t="s">
        <v>364</v>
      </c>
      <c r="GY392" s="36" t="s">
        <v>364</v>
      </c>
      <c r="HF392" s="36" t="s">
        <v>364</v>
      </c>
      <c r="HM392" s="36" t="s">
        <v>364</v>
      </c>
      <c r="HT392" s="36" t="s">
        <v>364</v>
      </c>
      <c r="IA392" s="36" t="s">
        <v>364</v>
      </c>
      <c r="IH392" s="36" t="s">
        <v>364</v>
      </c>
      <c r="IO392" s="36" t="s">
        <v>364</v>
      </c>
      <c r="IV392" s="36" t="s">
        <v>364</v>
      </c>
      <c r="JC392" s="36" t="s">
        <v>364</v>
      </c>
      <c r="JJ392" s="36" t="s">
        <v>364</v>
      </c>
      <c r="JQ392" s="36" t="s">
        <v>364</v>
      </c>
      <c r="JX392" s="36" t="s">
        <v>364</v>
      </c>
      <c r="KE392" s="36" t="s">
        <v>364</v>
      </c>
      <c r="KL392" s="36" t="s">
        <v>364</v>
      </c>
      <c r="KS392" s="36" t="s">
        <v>364</v>
      </c>
      <c r="KZ392" s="36" t="s">
        <v>364</v>
      </c>
      <c r="LF392" s="565"/>
      <c r="LG392" s="36" t="s">
        <v>364</v>
      </c>
      <c r="LM392" s="565"/>
      <c r="LN392" s="36" t="s">
        <v>364</v>
      </c>
      <c r="LT392" s="565"/>
      <c r="LU392" s="36" t="s">
        <v>364</v>
      </c>
      <c r="MA392" s="565"/>
      <c r="MB392" s="36" t="s">
        <v>364</v>
      </c>
      <c r="MH392" s="565"/>
    </row>
    <row r="393" spans="1:346" s="37" customFormat="1" ht="13.15" hidden="1" outlineLevel="1" x14ac:dyDescent="0.4">
      <c r="A393" s="35"/>
      <c r="B393" s="36" t="s">
        <v>359</v>
      </c>
      <c r="M393" s="37">
        <v>99744.359223300969</v>
      </c>
      <c r="N393" s="37">
        <f t="shared" si="7239"/>
        <v>111723.29032258064</v>
      </c>
      <c r="O393" s="37">
        <f t="shared" si="7240"/>
        <v>119643</v>
      </c>
      <c r="P393" s="37">
        <f t="shared" si="7241"/>
        <v>131520</v>
      </c>
      <c r="Q393" s="37">
        <f t="shared" si="7242"/>
        <v>103715</v>
      </c>
      <c r="R393" s="37">
        <f t="shared" si="7243"/>
        <v>97667</v>
      </c>
      <c r="S393" s="37">
        <f t="shared" si="7244"/>
        <v>103522</v>
      </c>
      <c r="T393" s="37">
        <f t="shared" si="7245"/>
        <v>122298</v>
      </c>
      <c r="U393" s="37">
        <f t="shared" si="7246"/>
        <v>118004</v>
      </c>
      <c r="V393" s="37">
        <f t="shared" si="7247"/>
        <v>129391</v>
      </c>
      <c r="W393" s="37">
        <f t="shared" si="7248"/>
        <v>0</v>
      </c>
      <c r="X393" s="37">
        <f t="shared" si="7249"/>
        <v>0</v>
      </c>
      <c r="Y393" s="37">
        <f t="shared" si="7250"/>
        <v>0</v>
      </c>
      <c r="Z393" s="37">
        <f t="shared" si="7251"/>
        <v>0</v>
      </c>
      <c r="AA393" s="37">
        <f t="shared" si="7252"/>
        <v>0</v>
      </c>
      <c r="AB393" s="37">
        <f t="shared" si="7253"/>
        <v>0</v>
      </c>
      <c r="AC393" s="37">
        <f t="shared" si="7254"/>
        <v>0</v>
      </c>
      <c r="AD393" s="37">
        <f t="shared" si="7255"/>
        <v>0</v>
      </c>
      <c r="AE393" s="37">
        <f t="shared" si="7256"/>
        <v>0</v>
      </c>
      <c r="AF393" s="37">
        <f t="shared" si="7257"/>
        <v>0</v>
      </c>
      <c r="AG393" s="37">
        <f t="shared" si="7258"/>
        <v>0</v>
      </c>
      <c r="AH393" s="37">
        <f t="shared" si="7259"/>
        <v>0</v>
      </c>
      <c r="AI393" s="37">
        <f t="shared" si="7260"/>
        <v>0</v>
      </c>
      <c r="AJ393" s="37">
        <f t="shared" si="7261"/>
        <v>0</v>
      </c>
      <c r="AK393" s="37">
        <f t="shared" si="7262"/>
        <v>0</v>
      </c>
      <c r="AL393" s="37">
        <f t="shared" si="7263"/>
        <v>0</v>
      </c>
      <c r="AM393" s="37">
        <f t="shared" si="7264"/>
        <v>0</v>
      </c>
      <c r="AN393" s="37">
        <f t="shared" si="7265"/>
        <v>0</v>
      </c>
      <c r="AO393" s="37">
        <f t="shared" si="7266"/>
        <v>0</v>
      </c>
      <c r="AP393" s="37">
        <f t="shared" si="7267"/>
        <v>0</v>
      </c>
      <c r="AQ393" s="37">
        <f t="shared" si="7268"/>
        <v>0</v>
      </c>
      <c r="AR393" s="37">
        <f t="shared" si="7269"/>
        <v>0</v>
      </c>
      <c r="AS393" s="37">
        <f t="shared" si="7270"/>
        <v>0</v>
      </c>
      <c r="AT393" s="37">
        <f t="shared" si="7271"/>
        <v>0</v>
      </c>
      <c r="AU393" s="37">
        <f t="shared" si="7272"/>
        <v>0</v>
      </c>
      <c r="AV393" s="37">
        <f t="shared" si="7273"/>
        <v>0</v>
      </c>
      <c r="AW393" s="37">
        <f t="shared" si="7274"/>
        <v>0</v>
      </c>
      <c r="AX393" s="37">
        <f t="shared" si="7275"/>
        <v>0</v>
      </c>
      <c r="AY393" s="37">
        <f t="shared" si="7276"/>
        <v>0</v>
      </c>
      <c r="AZ393" s="37">
        <f t="shared" si="7277"/>
        <v>0</v>
      </c>
      <c r="BA393" s="37">
        <f t="shared" si="7278"/>
        <v>0</v>
      </c>
      <c r="BO393" s="36" t="s">
        <v>359</v>
      </c>
      <c r="BP393" s="37">
        <v>22011.290322580644</v>
      </c>
      <c r="BQ393" s="37">
        <v>33883</v>
      </c>
      <c r="BR393" s="37">
        <v>28678</v>
      </c>
      <c r="BS393" s="37">
        <v>27151</v>
      </c>
      <c r="BT393" s="37">
        <v>111723.29032258064</v>
      </c>
      <c r="BV393" s="36" t="s">
        <v>359</v>
      </c>
      <c r="BW393" s="37">
        <v>27294</v>
      </c>
      <c r="BX393" s="37">
        <v>32943</v>
      </c>
      <c r="BY393" s="37">
        <v>27521</v>
      </c>
      <c r="BZ393" s="37">
        <v>31885</v>
      </c>
      <c r="CA393" s="37">
        <v>119643</v>
      </c>
      <c r="CC393" s="36" t="s">
        <v>359</v>
      </c>
      <c r="CD393" s="37">
        <v>31053</v>
      </c>
      <c r="CE393" s="37">
        <v>40144</v>
      </c>
      <c r="CF393" s="37">
        <v>30683</v>
      </c>
      <c r="CG393" s="37">
        <v>29640</v>
      </c>
      <c r="CH393" s="37">
        <v>131520</v>
      </c>
      <c r="CJ393" s="36" t="s">
        <v>359</v>
      </c>
      <c r="CK393" s="37">
        <v>27555</v>
      </c>
      <c r="CL393" s="37">
        <v>27878</v>
      </c>
      <c r="CM393" s="37">
        <v>22547</v>
      </c>
      <c r="CN393" s="37">
        <v>25735</v>
      </c>
      <c r="CO393" s="37">
        <v>103715</v>
      </c>
      <c r="CQ393" s="36" t="s">
        <v>359</v>
      </c>
      <c r="CR393" s="37">
        <v>25655</v>
      </c>
      <c r="CS393" s="37">
        <v>27514</v>
      </c>
      <c r="CT393" s="37">
        <v>21811</v>
      </c>
      <c r="CU393" s="37">
        <v>22687</v>
      </c>
      <c r="CV393" s="37">
        <v>97667</v>
      </c>
      <c r="CX393" s="36" t="s">
        <v>359</v>
      </c>
      <c r="CY393" s="37">
        <v>23449</v>
      </c>
      <c r="CZ393" s="37">
        <v>25873</v>
      </c>
      <c r="DA393" s="37">
        <v>27083</v>
      </c>
      <c r="DB393" s="37">
        <v>27117</v>
      </c>
      <c r="DC393" s="37">
        <v>103522</v>
      </c>
      <c r="DE393" s="36" t="s">
        <v>359</v>
      </c>
      <c r="DF393" s="37">
        <v>28861</v>
      </c>
      <c r="DG393" s="37">
        <v>30685</v>
      </c>
      <c r="DH393" s="37">
        <v>29856</v>
      </c>
      <c r="DI393" s="37">
        <v>32896</v>
      </c>
      <c r="DJ393" s="37">
        <v>122298</v>
      </c>
      <c r="DL393" s="36" t="s">
        <v>359</v>
      </c>
      <c r="DM393" s="37">
        <v>28898</v>
      </c>
      <c r="DN393" s="37">
        <v>29839</v>
      </c>
      <c r="DO393" s="37">
        <v>26657</v>
      </c>
      <c r="DP393" s="37">
        <v>32610</v>
      </c>
      <c r="DQ393" s="37">
        <v>118004</v>
      </c>
      <c r="DS393" s="36" t="s">
        <v>359</v>
      </c>
      <c r="DT393" s="37">
        <v>31281</v>
      </c>
      <c r="DU393" s="37">
        <v>33918</v>
      </c>
      <c r="DV393" s="37">
        <v>32024</v>
      </c>
      <c r="DW393" s="37">
        <v>32168</v>
      </c>
      <c r="DX393" s="37">
        <v>129391</v>
      </c>
      <c r="DZ393" s="36" t="s">
        <v>359</v>
      </c>
      <c r="EA393" s="37">
        <v>32234</v>
      </c>
      <c r="EB393" s="37">
        <v>33215</v>
      </c>
      <c r="EC393" s="37">
        <v>27917</v>
      </c>
      <c r="ED393" s="37">
        <v>29774</v>
      </c>
      <c r="EG393" s="36" t="s">
        <v>359</v>
      </c>
      <c r="EH393" s="37">
        <v>24384</v>
      </c>
      <c r="EI393" s="37">
        <v>24458</v>
      </c>
      <c r="EJ393" s="37">
        <v>23573</v>
      </c>
      <c r="EN393" s="36" t="s">
        <v>359</v>
      </c>
      <c r="EU393" s="36" t="s">
        <v>359</v>
      </c>
      <c r="FB393" s="36" t="s">
        <v>359</v>
      </c>
      <c r="FI393" s="36" t="s">
        <v>359</v>
      </c>
      <c r="FP393" s="36" t="s">
        <v>359</v>
      </c>
      <c r="FW393" s="36" t="s">
        <v>359</v>
      </c>
      <c r="GD393" s="36" t="s">
        <v>359</v>
      </c>
      <c r="GK393" s="36" t="s">
        <v>359</v>
      </c>
      <c r="GR393" s="36" t="s">
        <v>359</v>
      </c>
      <c r="GY393" s="36" t="s">
        <v>359</v>
      </c>
      <c r="HF393" s="36" t="s">
        <v>359</v>
      </c>
      <c r="HM393" s="36" t="s">
        <v>359</v>
      </c>
      <c r="HT393" s="36" t="s">
        <v>359</v>
      </c>
      <c r="IA393" s="36" t="s">
        <v>359</v>
      </c>
      <c r="IH393" s="36" t="s">
        <v>359</v>
      </c>
      <c r="IO393" s="36" t="s">
        <v>359</v>
      </c>
      <c r="IV393" s="36" t="s">
        <v>359</v>
      </c>
      <c r="JC393" s="36" t="s">
        <v>359</v>
      </c>
      <c r="JJ393" s="36" t="s">
        <v>359</v>
      </c>
      <c r="JQ393" s="36" t="s">
        <v>359</v>
      </c>
      <c r="JX393" s="36" t="s">
        <v>359</v>
      </c>
      <c r="KE393" s="36" t="s">
        <v>359</v>
      </c>
      <c r="KL393" s="36" t="s">
        <v>359</v>
      </c>
      <c r="KS393" s="36" t="s">
        <v>359</v>
      </c>
      <c r="KZ393" s="36" t="s">
        <v>359</v>
      </c>
      <c r="LF393" s="565"/>
      <c r="LG393" s="36" t="s">
        <v>359</v>
      </c>
      <c r="LM393" s="565"/>
      <c r="LN393" s="36" t="s">
        <v>359</v>
      </c>
      <c r="LT393" s="565"/>
      <c r="LU393" s="36" t="s">
        <v>359</v>
      </c>
      <c r="MA393" s="565"/>
      <c r="MB393" s="36" t="s">
        <v>359</v>
      </c>
      <c r="MH393" s="565"/>
    </row>
    <row r="394" spans="1:346" s="37" customFormat="1" ht="13.15" hidden="1" outlineLevel="1" x14ac:dyDescent="0.4">
      <c r="A394" s="35"/>
      <c r="B394" s="36" t="s">
        <v>361</v>
      </c>
      <c r="M394" s="37">
        <v>67795.701979127742</v>
      </c>
      <c r="N394" s="37">
        <f t="shared" si="7239"/>
        <v>99744.359223300969</v>
      </c>
      <c r="O394" s="37">
        <f t="shared" si="7240"/>
        <v>100982</v>
      </c>
      <c r="P394" s="37">
        <f t="shared" si="7241"/>
        <v>113921</v>
      </c>
      <c r="Q394" s="37">
        <f t="shared" si="7242"/>
        <v>100371</v>
      </c>
      <c r="R394" s="37">
        <f t="shared" si="7243"/>
        <v>96650</v>
      </c>
      <c r="S394" s="37">
        <f t="shared" si="7244"/>
        <v>110515</v>
      </c>
      <c r="T394" s="37">
        <f t="shared" si="7245"/>
        <v>108656</v>
      </c>
      <c r="U394" s="37">
        <f t="shared" si="7246"/>
        <v>115477</v>
      </c>
      <c r="V394" s="37">
        <f t="shared" si="7247"/>
        <v>135783</v>
      </c>
      <c r="W394" s="37">
        <f t="shared" si="7248"/>
        <v>0</v>
      </c>
      <c r="X394" s="37">
        <f t="shared" si="7249"/>
        <v>0</v>
      </c>
      <c r="Y394" s="37">
        <f t="shared" si="7250"/>
        <v>0</v>
      </c>
      <c r="Z394" s="37">
        <f t="shared" si="7251"/>
        <v>0</v>
      </c>
      <c r="AA394" s="37">
        <f t="shared" si="7252"/>
        <v>0</v>
      </c>
      <c r="AB394" s="37">
        <f t="shared" si="7253"/>
        <v>0</v>
      </c>
      <c r="AC394" s="37">
        <f t="shared" si="7254"/>
        <v>0</v>
      </c>
      <c r="AD394" s="37">
        <f t="shared" si="7255"/>
        <v>0</v>
      </c>
      <c r="AE394" s="37">
        <f t="shared" si="7256"/>
        <v>0</v>
      </c>
      <c r="AF394" s="37">
        <f t="shared" si="7257"/>
        <v>0</v>
      </c>
      <c r="AG394" s="37">
        <f t="shared" si="7258"/>
        <v>0</v>
      </c>
      <c r="AH394" s="37">
        <f t="shared" si="7259"/>
        <v>0</v>
      </c>
      <c r="AI394" s="37">
        <f t="shared" si="7260"/>
        <v>0</v>
      </c>
      <c r="AJ394" s="37">
        <f t="shared" si="7261"/>
        <v>0</v>
      </c>
      <c r="AK394" s="37">
        <f t="shared" si="7262"/>
        <v>0</v>
      </c>
      <c r="AL394" s="37">
        <f t="shared" si="7263"/>
        <v>0</v>
      </c>
      <c r="AM394" s="37">
        <f t="shared" si="7264"/>
        <v>0</v>
      </c>
      <c r="AN394" s="37">
        <f t="shared" si="7265"/>
        <v>0</v>
      </c>
      <c r="AO394" s="37">
        <f t="shared" si="7266"/>
        <v>0</v>
      </c>
      <c r="AP394" s="37">
        <f t="shared" si="7267"/>
        <v>0</v>
      </c>
      <c r="AQ394" s="37">
        <f t="shared" si="7268"/>
        <v>0</v>
      </c>
      <c r="AR394" s="37">
        <f t="shared" si="7269"/>
        <v>0</v>
      </c>
      <c r="AS394" s="37">
        <f t="shared" si="7270"/>
        <v>0</v>
      </c>
      <c r="AT394" s="37">
        <f t="shared" si="7271"/>
        <v>0</v>
      </c>
      <c r="AU394" s="37">
        <f t="shared" si="7272"/>
        <v>0</v>
      </c>
      <c r="AV394" s="37">
        <f t="shared" si="7273"/>
        <v>0</v>
      </c>
      <c r="AW394" s="37">
        <f t="shared" si="7274"/>
        <v>0</v>
      </c>
      <c r="AX394" s="37">
        <f t="shared" si="7275"/>
        <v>0</v>
      </c>
      <c r="AY394" s="37">
        <f t="shared" si="7276"/>
        <v>0</v>
      </c>
      <c r="AZ394" s="37">
        <f t="shared" si="7277"/>
        <v>0</v>
      </c>
      <c r="BA394" s="37">
        <f t="shared" si="7278"/>
        <v>0</v>
      </c>
      <c r="BO394" s="36" t="s">
        <v>361</v>
      </c>
      <c r="BP394" s="37">
        <v>19521.359223300969</v>
      </c>
      <c r="BQ394" s="37">
        <v>27675</v>
      </c>
      <c r="BR394" s="37">
        <v>26089</v>
      </c>
      <c r="BS394" s="37">
        <v>26459</v>
      </c>
      <c r="BT394" s="37">
        <v>99744.359223300969</v>
      </c>
      <c r="BV394" s="36" t="s">
        <v>361</v>
      </c>
      <c r="BW394" s="37">
        <v>20107</v>
      </c>
      <c r="BX394" s="37">
        <v>23863</v>
      </c>
      <c r="BY394" s="37">
        <v>27881</v>
      </c>
      <c r="BZ394" s="37">
        <v>29131</v>
      </c>
      <c r="CA394" s="37">
        <v>100982</v>
      </c>
      <c r="CC394" s="36" t="s">
        <v>361</v>
      </c>
      <c r="CD394" s="37">
        <v>23807</v>
      </c>
      <c r="CE394" s="37">
        <v>26515</v>
      </c>
      <c r="CF394" s="37">
        <v>31234</v>
      </c>
      <c r="CG394" s="37">
        <v>32365</v>
      </c>
      <c r="CH394" s="37">
        <v>113921</v>
      </c>
      <c r="CJ394" s="36" t="s">
        <v>361</v>
      </c>
      <c r="CK394" s="37">
        <v>23468</v>
      </c>
      <c r="CL394" s="37">
        <v>27512</v>
      </c>
      <c r="CM394" s="37">
        <v>26029</v>
      </c>
      <c r="CN394" s="37">
        <v>23362</v>
      </c>
      <c r="CO394" s="37">
        <v>100371</v>
      </c>
      <c r="CQ394" s="36" t="s">
        <v>361</v>
      </c>
      <c r="CR394" s="37">
        <v>20586</v>
      </c>
      <c r="CS394" s="37">
        <v>24748</v>
      </c>
      <c r="CT394" s="37">
        <v>26993</v>
      </c>
      <c r="CU394" s="37">
        <v>24323</v>
      </c>
      <c r="CV394" s="37">
        <v>96650</v>
      </c>
      <c r="CX394" s="36" t="s">
        <v>361</v>
      </c>
      <c r="CY394" s="37">
        <v>23243</v>
      </c>
      <c r="CZ394" s="37">
        <v>30189</v>
      </c>
      <c r="DA394" s="37">
        <v>27905</v>
      </c>
      <c r="DB394" s="37">
        <v>29178</v>
      </c>
      <c r="DC394" s="37">
        <v>110515</v>
      </c>
      <c r="DE394" s="36" t="s">
        <v>361</v>
      </c>
      <c r="DF394" s="37">
        <v>24882</v>
      </c>
      <c r="DG394" s="37">
        <v>27835</v>
      </c>
      <c r="DH394" s="37">
        <v>26512</v>
      </c>
      <c r="DI394" s="37">
        <v>29427</v>
      </c>
      <c r="DJ394" s="37">
        <v>108656</v>
      </c>
      <c r="DL394" s="36" t="s">
        <v>361</v>
      </c>
      <c r="DM394" s="37">
        <v>24462</v>
      </c>
      <c r="DN394" s="37">
        <v>28394</v>
      </c>
      <c r="DO394" s="37">
        <v>31191</v>
      </c>
      <c r="DP394" s="37">
        <v>31430</v>
      </c>
      <c r="DQ394" s="37">
        <v>115477</v>
      </c>
      <c r="DS394" s="36" t="s">
        <v>361</v>
      </c>
      <c r="DT394" s="37">
        <v>31549</v>
      </c>
      <c r="DU394" s="37">
        <v>33712</v>
      </c>
      <c r="DV394" s="37">
        <v>35892</v>
      </c>
      <c r="DW394" s="37">
        <v>34630</v>
      </c>
      <c r="DX394" s="37">
        <v>135783</v>
      </c>
      <c r="DZ394" s="36" t="s">
        <v>361</v>
      </c>
      <c r="EA394" s="37">
        <v>33398</v>
      </c>
      <c r="EB394" s="37">
        <v>38769</v>
      </c>
      <c r="EC394" s="37">
        <v>39162</v>
      </c>
      <c r="ED394" s="37">
        <v>37989</v>
      </c>
      <c r="EG394" s="36" t="s">
        <v>361</v>
      </c>
      <c r="EH394" s="37">
        <v>37704</v>
      </c>
      <c r="EI394" s="37">
        <v>33968</v>
      </c>
      <c r="EJ394" s="37">
        <v>30753</v>
      </c>
      <c r="EN394" s="36" t="s">
        <v>361</v>
      </c>
      <c r="EU394" s="36" t="s">
        <v>361</v>
      </c>
      <c r="FB394" s="36" t="s">
        <v>361</v>
      </c>
      <c r="FI394" s="36" t="s">
        <v>361</v>
      </c>
      <c r="FP394" s="36" t="s">
        <v>361</v>
      </c>
      <c r="FW394" s="36" t="s">
        <v>361</v>
      </c>
      <c r="GD394" s="36" t="s">
        <v>361</v>
      </c>
      <c r="GK394" s="36" t="s">
        <v>361</v>
      </c>
      <c r="GR394" s="36" t="s">
        <v>361</v>
      </c>
      <c r="GY394" s="36" t="s">
        <v>361</v>
      </c>
      <c r="HF394" s="36" t="s">
        <v>361</v>
      </c>
      <c r="HM394" s="36" t="s">
        <v>361</v>
      </c>
      <c r="HT394" s="36" t="s">
        <v>361</v>
      </c>
      <c r="IA394" s="36" t="s">
        <v>361</v>
      </c>
      <c r="IH394" s="36" t="s">
        <v>361</v>
      </c>
      <c r="IO394" s="36" t="s">
        <v>361</v>
      </c>
      <c r="IV394" s="36" t="s">
        <v>361</v>
      </c>
      <c r="JC394" s="36" t="s">
        <v>361</v>
      </c>
      <c r="JJ394" s="36" t="s">
        <v>361</v>
      </c>
      <c r="JQ394" s="36" t="s">
        <v>361</v>
      </c>
      <c r="JX394" s="36" t="s">
        <v>361</v>
      </c>
      <c r="KE394" s="36" t="s">
        <v>361</v>
      </c>
      <c r="KL394" s="36" t="s">
        <v>361</v>
      </c>
      <c r="KS394" s="36" t="s">
        <v>361</v>
      </c>
      <c r="KZ394" s="36" t="s">
        <v>361</v>
      </c>
      <c r="LF394" s="565"/>
      <c r="LG394" s="36" t="s">
        <v>361</v>
      </c>
      <c r="LM394" s="565"/>
      <c r="LN394" s="36" t="s">
        <v>361</v>
      </c>
      <c r="LT394" s="565"/>
      <c r="LU394" s="36" t="s">
        <v>361</v>
      </c>
      <c r="MA394" s="565"/>
      <c r="MB394" s="36" t="s">
        <v>361</v>
      </c>
      <c r="MH394" s="565"/>
    </row>
    <row r="395" spans="1:346" s="37" customFormat="1" ht="13.15" hidden="1" outlineLevel="1" x14ac:dyDescent="0.4">
      <c r="A395" s="35"/>
      <c r="B395" s="36" t="s">
        <v>363</v>
      </c>
      <c r="M395" s="37">
        <v>265542.9474503065</v>
      </c>
      <c r="N395" s="37">
        <f t="shared" si="7239"/>
        <v>77162.350454118394</v>
      </c>
      <c r="O395" s="37">
        <f t="shared" si="7240"/>
        <v>82498</v>
      </c>
      <c r="P395" s="37">
        <f t="shared" si="7241"/>
        <v>107556</v>
      </c>
      <c r="Q395" s="37">
        <f t="shared" si="7242"/>
        <v>110875</v>
      </c>
      <c r="R395" s="37">
        <f t="shared" si="7243"/>
        <v>95737</v>
      </c>
      <c r="S395" s="37">
        <f t="shared" si="7244"/>
        <v>77990</v>
      </c>
      <c r="T395" s="37">
        <f t="shared" si="7245"/>
        <v>93135</v>
      </c>
      <c r="U395" s="37">
        <f t="shared" si="7246"/>
        <v>90232</v>
      </c>
      <c r="V395" s="37">
        <f t="shared" si="7247"/>
        <v>98735</v>
      </c>
      <c r="W395" s="37">
        <f t="shared" si="7248"/>
        <v>0</v>
      </c>
      <c r="X395" s="37">
        <f t="shared" si="7249"/>
        <v>0</v>
      </c>
      <c r="Y395" s="37">
        <f t="shared" si="7250"/>
        <v>0</v>
      </c>
      <c r="Z395" s="37">
        <f t="shared" si="7251"/>
        <v>0</v>
      </c>
      <c r="AA395" s="37">
        <f t="shared" si="7252"/>
        <v>0</v>
      </c>
      <c r="AB395" s="37">
        <f t="shared" si="7253"/>
        <v>0</v>
      </c>
      <c r="AC395" s="37">
        <f t="shared" si="7254"/>
        <v>0</v>
      </c>
      <c r="AD395" s="37">
        <f t="shared" si="7255"/>
        <v>0</v>
      </c>
      <c r="AE395" s="37">
        <f t="shared" si="7256"/>
        <v>0</v>
      </c>
      <c r="AF395" s="37">
        <f t="shared" si="7257"/>
        <v>0</v>
      </c>
      <c r="AG395" s="37">
        <f t="shared" si="7258"/>
        <v>0</v>
      </c>
      <c r="AH395" s="37">
        <f t="shared" si="7259"/>
        <v>0</v>
      </c>
      <c r="AI395" s="37">
        <f t="shared" si="7260"/>
        <v>0</v>
      </c>
      <c r="AJ395" s="37">
        <f t="shared" si="7261"/>
        <v>0</v>
      </c>
      <c r="AK395" s="37">
        <f t="shared" si="7262"/>
        <v>0</v>
      </c>
      <c r="AL395" s="37">
        <f t="shared" si="7263"/>
        <v>0</v>
      </c>
      <c r="AM395" s="37">
        <f t="shared" si="7264"/>
        <v>0</v>
      </c>
      <c r="AN395" s="37">
        <f t="shared" si="7265"/>
        <v>0</v>
      </c>
      <c r="AO395" s="37">
        <f t="shared" si="7266"/>
        <v>0</v>
      </c>
      <c r="AP395" s="37">
        <f t="shared" si="7267"/>
        <v>0</v>
      </c>
      <c r="AQ395" s="37">
        <f t="shared" si="7268"/>
        <v>0</v>
      </c>
      <c r="AR395" s="37">
        <f t="shared" si="7269"/>
        <v>0</v>
      </c>
      <c r="AS395" s="37">
        <f t="shared" si="7270"/>
        <v>0</v>
      </c>
      <c r="AT395" s="37">
        <f t="shared" si="7271"/>
        <v>0</v>
      </c>
      <c r="AU395" s="37">
        <f t="shared" si="7272"/>
        <v>0</v>
      </c>
      <c r="AV395" s="37">
        <f t="shared" si="7273"/>
        <v>0</v>
      </c>
      <c r="AW395" s="37">
        <f t="shared" si="7274"/>
        <v>0</v>
      </c>
      <c r="AX395" s="37">
        <f t="shared" si="7275"/>
        <v>0</v>
      </c>
      <c r="AY395" s="37">
        <f t="shared" si="7276"/>
        <v>0</v>
      </c>
      <c r="AZ395" s="37">
        <f t="shared" si="7277"/>
        <v>0</v>
      </c>
      <c r="BA395" s="37">
        <f t="shared" si="7278"/>
        <v>0</v>
      </c>
      <c r="BO395" s="36" t="s">
        <v>363</v>
      </c>
      <c r="BP395" s="37">
        <v>28497.350454118387</v>
      </c>
      <c r="BQ395" s="37">
        <v>11330</v>
      </c>
      <c r="BR395" s="37">
        <v>17407</v>
      </c>
      <c r="BS395" s="37">
        <v>19928</v>
      </c>
      <c r="BT395" s="37">
        <v>77162.350454118394</v>
      </c>
      <c r="BV395" s="36" t="s">
        <v>363</v>
      </c>
      <c r="BW395" s="37">
        <v>17684</v>
      </c>
      <c r="BX395" s="37">
        <v>19950</v>
      </c>
      <c r="BY395" s="37">
        <v>18076</v>
      </c>
      <c r="BZ395" s="37">
        <v>26788</v>
      </c>
      <c r="CA395" s="37">
        <v>82498</v>
      </c>
      <c r="CC395" s="36" t="s">
        <v>363</v>
      </c>
      <c r="CD395" s="37">
        <v>23665</v>
      </c>
      <c r="CE395" s="37">
        <v>24683</v>
      </c>
      <c r="CF395" s="37">
        <v>25499</v>
      </c>
      <c r="CG395" s="37">
        <v>33709</v>
      </c>
      <c r="CH395" s="37">
        <v>107556</v>
      </c>
      <c r="CJ395" s="36" t="s">
        <v>363</v>
      </c>
      <c r="CK395" s="37">
        <v>29143</v>
      </c>
      <c r="CL395" s="37">
        <v>27921</v>
      </c>
      <c r="CM395" s="37">
        <v>25628</v>
      </c>
      <c r="CN395" s="37">
        <v>28183</v>
      </c>
      <c r="CO395" s="37">
        <v>110875</v>
      </c>
      <c r="CQ395" s="36" t="s">
        <v>363</v>
      </c>
      <c r="CR395" s="37">
        <v>27610</v>
      </c>
      <c r="CS395" s="37">
        <v>26586</v>
      </c>
      <c r="CT395" s="37">
        <v>20447</v>
      </c>
      <c r="CU395" s="37">
        <v>21094</v>
      </c>
      <c r="CV395" s="37">
        <v>95737</v>
      </c>
      <c r="CX395" s="36" t="s">
        <v>363</v>
      </c>
      <c r="CY395" s="37">
        <v>18374</v>
      </c>
      <c r="CZ395" s="37">
        <v>18423</v>
      </c>
      <c r="DA395" s="37">
        <v>18448</v>
      </c>
      <c r="DB395" s="37">
        <v>22745</v>
      </c>
      <c r="DC395" s="37">
        <v>77990</v>
      </c>
      <c r="DE395" s="36" t="s">
        <v>363</v>
      </c>
      <c r="DF395" s="37">
        <v>21858</v>
      </c>
      <c r="DG395" s="37">
        <v>24095</v>
      </c>
      <c r="DH395" s="37">
        <v>21073</v>
      </c>
      <c r="DI395" s="37">
        <v>26109</v>
      </c>
      <c r="DJ395" s="37">
        <v>93135</v>
      </c>
      <c r="DL395" s="36" t="s">
        <v>363</v>
      </c>
      <c r="DM395" s="37">
        <v>22280</v>
      </c>
      <c r="DN395" s="37">
        <v>22741</v>
      </c>
      <c r="DO395" s="37">
        <v>22034</v>
      </c>
      <c r="DP395" s="37">
        <v>23177</v>
      </c>
      <c r="DQ395" s="37">
        <v>90232</v>
      </c>
      <c r="DS395" s="36" t="s">
        <v>363</v>
      </c>
      <c r="DT395" s="37">
        <v>23430</v>
      </c>
      <c r="DU395" s="37">
        <v>24590</v>
      </c>
      <c r="DV395" s="37">
        <v>23651</v>
      </c>
      <c r="DW395" s="37">
        <v>27064</v>
      </c>
      <c r="DX395" s="37">
        <v>98735</v>
      </c>
      <c r="DZ395" s="36" t="s">
        <v>363</v>
      </c>
      <c r="EA395" s="37">
        <v>25518</v>
      </c>
      <c r="EB395" s="37">
        <v>26721</v>
      </c>
      <c r="EC395" s="37">
        <v>25247</v>
      </c>
      <c r="ED395" s="37">
        <v>24337</v>
      </c>
      <c r="EG395" s="36" t="s">
        <v>363</v>
      </c>
      <c r="EH395" s="37">
        <v>22194</v>
      </c>
      <c r="EI395" s="37">
        <v>17906</v>
      </c>
      <c r="EJ395" s="37">
        <v>15375</v>
      </c>
      <c r="EN395" s="36" t="s">
        <v>363</v>
      </c>
      <c r="EU395" s="36" t="s">
        <v>363</v>
      </c>
      <c r="FB395" s="36" t="s">
        <v>363</v>
      </c>
      <c r="FI395" s="36" t="s">
        <v>363</v>
      </c>
      <c r="FP395" s="36" t="s">
        <v>363</v>
      </c>
      <c r="FW395" s="36" t="s">
        <v>363</v>
      </c>
      <c r="GD395" s="36" t="s">
        <v>363</v>
      </c>
      <c r="GK395" s="36" t="s">
        <v>363</v>
      </c>
      <c r="GR395" s="36" t="s">
        <v>363</v>
      </c>
      <c r="GY395" s="36" t="s">
        <v>363</v>
      </c>
      <c r="HF395" s="36" t="s">
        <v>363</v>
      </c>
      <c r="HM395" s="36" t="s">
        <v>363</v>
      </c>
      <c r="HT395" s="36" t="s">
        <v>363</v>
      </c>
      <c r="IA395" s="36" t="s">
        <v>363</v>
      </c>
      <c r="IH395" s="36" t="s">
        <v>363</v>
      </c>
      <c r="IO395" s="36" t="s">
        <v>363</v>
      </c>
      <c r="IV395" s="36" t="s">
        <v>363</v>
      </c>
      <c r="JC395" s="36" t="s">
        <v>363</v>
      </c>
      <c r="JJ395" s="36" t="s">
        <v>363</v>
      </c>
      <c r="JQ395" s="36" t="s">
        <v>363</v>
      </c>
      <c r="JX395" s="36" t="s">
        <v>363</v>
      </c>
      <c r="KE395" s="36" t="s">
        <v>363</v>
      </c>
      <c r="KL395" s="36" t="s">
        <v>363</v>
      </c>
      <c r="KS395" s="36" t="s">
        <v>363</v>
      </c>
      <c r="KZ395" s="36" t="s">
        <v>363</v>
      </c>
      <c r="LF395" s="565"/>
      <c r="LG395" s="36" t="s">
        <v>363</v>
      </c>
      <c r="LM395" s="565"/>
      <c r="LN395" s="36" t="s">
        <v>363</v>
      </c>
      <c r="LT395" s="565"/>
      <c r="LU395" s="36" t="s">
        <v>363</v>
      </c>
      <c r="MA395" s="565"/>
      <c r="MB395" s="36" t="s">
        <v>363</v>
      </c>
      <c r="MH395" s="565"/>
    </row>
    <row r="396" spans="1:346" s="37" customFormat="1" ht="13.15" hidden="1" outlineLevel="1" x14ac:dyDescent="0.4">
      <c r="A396" s="35"/>
      <c r="B396" s="36" t="s">
        <v>365</v>
      </c>
      <c r="M396" s="37">
        <v>29112.371794871797</v>
      </c>
      <c r="N396" s="37">
        <f t="shared" si="7239"/>
        <v>288630</v>
      </c>
      <c r="O396" s="37">
        <f t="shared" si="7240"/>
        <v>303123</v>
      </c>
      <c r="P396" s="37">
        <f t="shared" si="7241"/>
        <v>352997</v>
      </c>
      <c r="Q396" s="37">
        <f t="shared" si="7242"/>
        <v>314961</v>
      </c>
      <c r="R396" s="37">
        <f t="shared" si="7243"/>
        <v>290057</v>
      </c>
      <c r="S396" s="37">
        <f t="shared" si="7244"/>
        <v>292027</v>
      </c>
      <c r="T396" s="37">
        <f t="shared" si="7245"/>
        <v>324089</v>
      </c>
      <c r="U396" s="37">
        <f t="shared" si="7246"/>
        <v>323713</v>
      </c>
      <c r="V396" s="37">
        <f t="shared" si="7247"/>
        <v>363909</v>
      </c>
      <c r="W396" s="37">
        <f t="shared" si="7248"/>
        <v>374281</v>
      </c>
      <c r="X396" s="37">
        <f t="shared" si="7249"/>
        <v>303995</v>
      </c>
      <c r="Y396" s="37">
        <f t="shared" si="7250"/>
        <v>0</v>
      </c>
      <c r="Z396" s="37">
        <f t="shared" si="7251"/>
        <v>0</v>
      </c>
      <c r="AA396" s="37">
        <f t="shared" si="7252"/>
        <v>0</v>
      </c>
      <c r="AB396" s="37">
        <f t="shared" si="7253"/>
        <v>0</v>
      </c>
      <c r="AC396" s="37">
        <f t="shared" si="7254"/>
        <v>0</v>
      </c>
      <c r="AD396" s="37">
        <f t="shared" si="7255"/>
        <v>0</v>
      </c>
      <c r="AE396" s="37">
        <f t="shared" si="7256"/>
        <v>0</v>
      </c>
      <c r="AF396" s="37">
        <f t="shared" si="7257"/>
        <v>0</v>
      </c>
      <c r="AG396" s="37">
        <f t="shared" si="7258"/>
        <v>0</v>
      </c>
      <c r="AH396" s="37">
        <f t="shared" si="7259"/>
        <v>0</v>
      </c>
      <c r="AI396" s="37">
        <f t="shared" si="7260"/>
        <v>0</v>
      </c>
      <c r="AJ396" s="37">
        <f t="shared" si="7261"/>
        <v>0</v>
      </c>
      <c r="AK396" s="37">
        <f t="shared" si="7262"/>
        <v>0</v>
      </c>
      <c r="AL396" s="37">
        <f t="shared" si="7263"/>
        <v>0</v>
      </c>
      <c r="AM396" s="37">
        <f t="shared" si="7264"/>
        <v>0</v>
      </c>
      <c r="AN396" s="37">
        <f t="shared" si="7265"/>
        <v>0</v>
      </c>
      <c r="AO396" s="37">
        <f t="shared" si="7266"/>
        <v>0</v>
      </c>
      <c r="AP396" s="37">
        <f t="shared" si="7267"/>
        <v>0</v>
      </c>
      <c r="AQ396" s="37">
        <f t="shared" si="7268"/>
        <v>0</v>
      </c>
      <c r="AR396" s="37">
        <f t="shared" si="7269"/>
        <v>0</v>
      </c>
      <c r="AS396" s="37">
        <f t="shared" si="7270"/>
        <v>0</v>
      </c>
      <c r="AT396" s="37">
        <f t="shared" si="7271"/>
        <v>0</v>
      </c>
      <c r="AU396" s="37">
        <f t="shared" si="7272"/>
        <v>0</v>
      </c>
      <c r="AV396" s="37">
        <f t="shared" si="7273"/>
        <v>0</v>
      </c>
      <c r="AW396" s="37">
        <f t="shared" si="7274"/>
        <v>0</v>
      </c>
      <c r="AX396" s="37">
        <f t="shared" si="7275"/>
        <v>0</v>
      </c>
      <c r="AY396" s="37">
        <f t="shared" si="7276"/>
        <v>0</v>
      </c>
      <c r="AZ396" s="37">
        <f t="shared" si="7277"/>
        <v>0</v>
      </c>
      <c r="BA396" s="37">
        <f t="shared" si="7278"/>
        <v>0</v>
      </c>
      <c r="BO396" s="36" t="s">
        <v>365</v>
      </c>
      <c r="BP396" s="37">
        <v>70030</v>
      </c>
      <c r="BQ396" s="37">
        <v>72888</v>
      </c>
      <c r="BR396" s="37">
        <v>72174</v>
      </c>
      <c r="BS396" s="37">
        <v>73538</v>
      </c>
      <c r="BT396" s="37">
        <v>288630</v>
      </c>
      <c r="BV396" s="36" t="s">
        <v>365</v>
      </c>
      <c r="BW396" s="37">
        <v>65085</v>
      </c>
      <c r="BX396" s="37">
        <v>76756</v>
      </c>
      <c r="BY396" s="37">
        <v>73478</v>
      </c>
      <c r="BZ396" s="37">
        <v>87804</v>
      </c>
      <c r="CA396" s="37">
        <v>303123</v>
      </c>
      <c r="CC396" s="36" t="s">
        <v>365</v>
      </c>
      <c r="CD396" s="37">
        <v>78525</v>
      </c>
      <c r="CE396" s="37">
        <v>91342</v>
      </c>
      <c r="CF396" s="37">
        <v>87416</v>
      </c>
      <c r="CG396" s="37">
        <v>95714</v>
      </c>
      <c r="CH396" s="37">
        <v>352997</v>
      </c>
      <c r="CJ396" s="36" t="s">
        <v>365</v>
      </c>
      <c r="CK396" s="37">
        <v>80166</v>
      </c>
      <c r="CL396" s="37">
        <v>83311</v>
      </c>
      <c r="CM396" s="37">
        <v>74204</v>
      </c>
      <c r="CN396" s="37">
        <v>77280</v>
      </c>
      <c r="CO396" s="37">
        <v>314961</v>
      </c>
      <c r="CQ396" s="36" t="s">
        <v>365</v>
      </c>
      <c r="CR396" s="37">
        <v>73851</v>
      </c>
      <c r="CS396" s="37">
        <v>78848</v>
      </c>
      <c r="CT396" s="37">
        <v>69254</v>
      </c>
      <c r="CU396" s="37">
        <v>68104</v>
      </c>
      <c r="CV396" s="37">
        <v>290057</v>
      </c>
      <c r="CX396" s="36" t="s">
        <v>365</v>
      </c>
      <c r="CY396" s="37">
        <v>65066</v>
      </c>
      <c r="CZ396" s="37">
        <v>74485</v>
      </c>
      <c r="DA396" s="37">
        <v>73436</v>
      </c>
      <c r="DB396" s="37">
        <v>79040</v>
      </c>
      <c r="DC396" s="37">
        <v>292027</v>
      </c>
      <c r="DE396" s="36" t="s">
        <v>365</v>
      </c>
      <c r="DF396" s="37">
        <v>75601</v>
      </c>
      <c r="DG396" s="37">
        <v>82615</v>
      </c>
      <c r="DH396" s="37">
        <v>77441</v>
      </c>
      <c r="DI396" s="37">
        <v>88432</v>
      </c>
      <c r="DJ396" s="37">
        <v>324089</v>
      </c>
      <c r="DL396" s="36" t="s">
        <v>365</v>
      </c>
      <c r="DM396" s="37">
        <v>75640</v>
      </c>
      <c r="DN396" s="37">
        <v>80974</v>
      </c>
      <c r="DO396" s="37">
        <v>79882</v>
      </c>
      <c r="DP396" s="37">
        <v>87217</v>
      </c>
      <c r="DQ396" s="37">
        <v>323713</v>
      </c>
      <c r="DS396" s="36" t="s">
        <v>365</v>
      </c>
      <c r="DT396" s="37">
        <v>86260</v>
      </c>
      <c r="DU396" s="37">
        <v>92220</v>
      </c>
      <c r="DV396" s="37">
        <v>91567</v>
      </c>
      <c r="DW396" s="37">
        <v>93862</v>
      </c>
      <c r="DX396" s="37">
        <v>363909</v>
      </c>
      <c r="DZ396" s="36" t="s">
        <v>365</v>
      </c>
      <c r="EA396" s="37">
        <v>91150</v>
      </c>
      <c r="EB396" s="37">
        <v>98705</v>
      </c>
      <c r="EC396" s="37">
        <v>92326</v>
      </c>
      <c r="ED396" s="37">
        <v>92100</v>
      </c>
      <c r="EE396" s="37">
        <v>374281</v>
      </c>
      <c r="EG396" s="36" t="s">
        <v>365</v>
      </c>
      <c r="EH396" s="37">
        <v>84282</v>
      </c>
      <c r="EI396" s="37">
        <v>76332</v>
      </c>
      <c r="EJ396" s="37">
        <v>69701</v>
      </c>
      <c r="EK396" s="37">
        <v>73680</v>
      </c>
      <c r="EL396" s="37">
        <v>303995</v>
      </c>
      <c r="EN396" s="36" t="s">
        <v>365</v>
      </c>
      <c r="EO396" s="37">
        <v>0</v>
      </c>
      <c r="ES396" s="37">
        <v>0</v>
      </c>
      <c r="EU396" s="36" t="s">
        <v>365</v>
      </c>
      <c r="EZ396" s="37">
        <v>0</v>
      </c>
      <c r="FB396" s="36" t="s">
        <v>365</v>
      </c>
      <c r="FG396" s="37">
        <v>0</v>
      </c>
      <c r="FI396" s="36" t="s">
        <v>365</v>
      </c>
      <c r="FN396" s="37">
        <v>0</v>
      </c>
      <c r="FP396" s="36" t="s">
        <v>365</v>
      </c>
      <c r="FU396" s="37">
        <v>0</v>
      </c>
      <c r="FW396" s="36" t="s">
        <v>365</v>
      </c>
      <c r="GD396" s="36" t="s">
        <v>365</v>
      </c>
      <c r="GK396" s="36" t="s">
        <v>365</v>
      </c>
      <c r="GR396" s="36" t="s">
        <v>365</v>
      </c>
      <c r="GY396" s="36" t="s">
        <v>365</v>
      </c>
      <c r="HF396" s="36" t="s">
        <v>365</v>
      </c>
      <c r="HM396" s="36" t="s">
        <v>365</v>
      </c>
      <c r="HT396" s="36" t="s">
        <v>365</v>
      </c>
      <c r="IA396" s="36" t="s">
        <v>365</v>
      </c>
      <c r="IH396" s="36" t="s">
        <v>365</v>
      </c>
      <c r="IO396" s="36" t="s">
        <v>365</v>
      </c>
      <c r="IV396" s="36" t="s">
        <v>365</v>
      </c>
      <c r="JC396" s="36" t="s">
        <v>365</v>
      </c>
      <c r="JJ396" s="36" t="s">
        <v>365</v>
      </c>
      <c r="JQ396" s="36" t="s">
        <v>365</v>
      </c>
      <c r="JX396" s="36" t="s">
        <v>365</v>
      </c>
      <c r="KE396" s="36" t="s">
        <v>365</v>
      </c>
      <c r="KL396" s="36" t="s">
        <v>365</v>
      </c>
      <c r="KS396" s="36" t="s">
        <v>365</v>
      </c>
      <c r="KZ396" s="36" t="s">
        <v>365</v>
      </c>
      <c r="LF396" s="565"/>
      <c r="LG396" s="36" t="s">
        <v>365</v>
      </c>
      <c r="LM396" s="565"/>
      <c r="LN396" s="36" t="s">
        <v>365</v>
      </c>
      <c r="LT396" s="565"/>
      <c r="LU396" s="36" t="s">
        <v>365</v>
      </c>
      <c r="MA396" s="565"/>
      <c r="MB396" s="36" t="s">
        <v>365</v>
      </c>
      <c r="MH396" s="565"/>
    </row>
    <row r="397" spans="1:346" s="37" customFormat="1" ht="13.15" hidden="1" outlineLevel="1" x14ac:dyDescent="0.4">
      <c r="A397" s="35"/>
      <c r="B397" s="36" t="s">
        <v>360</v>
      </c>
      <c r="M397" s="37">
        <v>66795.197740112999</v>
      </c>
      <c r="N397" s="37">
        <f t="shared" si="7239"/>
        <v>34934.846153846156</v>
      </c>
      <c r="O397" s="37">
        <f t="shared" si="7240"/>
        <v>37663</v>
      </c>
      <c r="P397" s="37">
        <f t="shared" si="7241"/>
        <v>40259</v>
      </c>
      <c r="Q397" s="37">
        <f t="shared" si="7242"/>
        <v>44137</v>
      </c>
      <c r="R397" s="37">
        <f t="shared" si="7243"/>
        <v>45240</v>
      </c>
      <c r="S397" s="37">
        <f t="shared" si="7244"/>
        <v>49254</v>
      </c>
      <c r="T397" s="37">
        <f t="shared" si="7245"/>
        <v>58048</v>
      </c>
      <c r="U397" s="37">
        <f t="shared" si="7246"/>
        <v>65052</v>
      </c>
      <c r="V397" s="37">
        <f t="shared" si="7247"/>
        <v>82803</v>
      </c>
      <c r="W397" s="37">
        <f t="shared" si="7248"/>
        <v>0</v>
      </c>
      <c r="X397" s="37">
        <f t="shared" si="7249"/>
        <v>0</v>
      </c>
      <c r="Y397" s="37">
        <f t="shared" si="7250"/>
        <v>0</v>
      </c>
      <c r="Z397" s="37">
        <f t="shared" si="7251"/>
        <v>0</v>
      </c>
      <c r="AA397" s="37">
        <f t="shared" si="7252"/>
        <v>0</v>
      </c>
      <c r="AB397" s="37">
        <f t="shared" si="7253"/>
        <v>0</v>
      </c>
      <c r="AC397" s="37">
        <f t="shared" si="7254"/>
        <v>0</v>
      </c>
      <c r="AD397" s="37">
        <f t="shared" si="7255"/>
        <v>0</v>
      </c>
      <c r="AE397" s="37">
        <f t="shared" si="7256"/>
        <v>0</v>
      </c>
      <c r="AF397" s="37">
        <f t="shared" si="7257"/>
        <v>0</v>
      </c>
      <c r="AG397" s="37">
        <f t="shared" si="7258"/>
        <v>0</v>
      </c>
      <c r="AH397" s="37">
        <f t="shared" si="7259"/>
        <v>0</v>
      </c>
      <c r="AI397" s="37">
        <f t="shared" si="7260"/>
        <v>0</v>
      </c>
      <c r="AJ397" s="37">
        <f t="shared" si="7261"/>
        <v>0</v>
      </c>
      <c r="AK397" s="37">
        <f t="shared" si="7262"/>
        <v>0</v>
      </c>
      <c r="AL397" s="37">
        <f t="shared" si="7263"/>
        <v>0</v>
      </c>
      <c r="AM397" s="37">
        <f t="shared" si="7264"/>
        <v>0</v>
      </c>
      <c r="AN397" s="37">
        <f t="shared" si="7265"/>
        <v>0</v>
      </c>
      <c r="AO397" s="37">
        <f t="shared" si="7266"/>
        <v>0</v>
      </c>
      <c r="AP397" s="37">
        <f t="shared" si="7267"/>
        <v>0</v>
      </c>
      <c r="AQ397" s="37">
        <f t="shared" si="7268"/>
        <v>0</v>
      </c>
      <c r="AR397" s="37">
        <f t="shared" si="7269"/>
        <v>0</v>
      </c>
      <c r="AS397" s="37">
        <f t="shared" si="7270"/>
        <v>0</v>
      </c>
      <c r="AT397" s="37">
        <f t="shared" si="7271"/>
        <v>0</v>
      </c>
      <c r="AU397" s="37">
        <f t="shared" si="7272"/>
        <v>0</v>
      </c>
      <c r="AV397" s="37">
        <f t="shared" si="7273"/>
        <v>0</v>
      </c>
      <c r="AW397" s="37">
        <f t="shared" si="7274"/>
        <v>0</v>
      </c>
      <c r="AX397" s="37">
        <f t="shared" si="7275"/>
        <v>0</v>
      </c>
      <c r="AY397" s="37">
        <f t="shared" si="7276"/>
        <v>0</v>
      </c>
      <c r="AZ397" s="37">
        <f t="shared" si="7277"/>
        <v>0</v>
      </c>
      <c r="BA397" s="37">
        <f t="shared" si="7278"/>
        <v>0</v>
      </c>
      <c r="BO397" s="36" t="s">
        <v>360</v>
      </c>
      <c r="BP397" s="37">
        <v>7023.8461538461534</v>
      </c>
      <c r="BQ397" s="37">
        <v>8898</v>
      </c>
      <c r="BR397" s="37">
        <v>8766</v>
      </c>
      <c r="BS397" s="37">
        <v>10247</v>
      </c>
      <c r="BT397" s="37">
        <v>34934.846153846156</v>
      </c>
      <c r="BV397" s="36" t="s">
        <v>360</v>
      </c>
      <c r="BW397" s="37">
        <v>9131</v>
      </c>
      <c r="BX397" s="37">
        <v>10625</v>
      </c>
      <c r="BY397" s="37">
        <v>8625</v>
      </c>
      <c r="BZ397" s="37">
        <v>9282</v>
      </c>
      <c r="CA397" s="37">
        <v>37663</v>
      </c>
      <c r="CC397" s="36" t="s">
        <v>360</v>
      </c>
      <c r="CD397" s="37">
        <v>9321</v>
      </c>
      <c r="CE397" s="37">
        <v>10567</v>
      </c>
      <c r="CF397" s="37">
        <v>9075</v>
      </c>
      <c r="CG397" s="37">
        <v>11296</v>
      </c>
      <c r="CH397" s="37">
        <v>40259</v>
      </c>
      <c r="CJ397" s="36" t="s">
        <v>360</v>
      </c>
      <c r="CK397" s="37">
        <v>10612</v>
      </c>
      <c r="CL397" s="37">
        <v>11344</v>
      </c>
      <c r="CM397" s="37">
        <v>11002</v>
      </c>
      <c r="CN397" s="37">
        <v>11179</v>
      </c>
      <c r="CO397" s="37">
        <v>44137</v>
      </c>
      <c r="CQ397" s="36" t="s">
        <v>360</v>
      </c>
      <c r="CR397" s="37">
        <v>11866</v>
      </c>
      <c r="CS397" s="37">
        <v>11607</v>
      </c>
      <c r="CT397" s="37">
        <v>11213</v>
      </c>
      <c r="CU397" s="37">
        <v>10554</v>
      </c>
      <c r="CV397" s="37">
        <v>45240</v>
      </c>
      <c r="CX397" s="36" t="s">
        <v>360</v>
      </c>
      <c r="CY397" s="37">
        <v>11003</v>
      </c>
      <c r="CZ397" s="37">
        <v>12657</v>
      </c>
      <c r="DA397" s="37">
        <v>12472</v>
      </c>
      <c r="DB397" s="37">
        <v>13122</v>
      </c>
      <c r="DC397" s="37">
        <v>49254</v>
      </c>
      <c r="DE397" s="36" t="s">
        <v>360</v>
      </c>
      <c r="DF397" s="37">
        <v>14528</v>
      </c>
      <c r="DG397" s="37">
        <v>15494</v>
      </c>
      <c r="DH397" s="37">
        <v>13092</v>
      </c>
      <c r="DI397" s="37">
        <v>14934</v>
      </c>
      <c r="DJ397" s="37">
        <v>58048</v>
      </c>
      <c r="DL397" s="36" t="s">
        <v>360</v>
      </c>
      <c r="DM397" s="37">
        <v>14712</v>
      </c>
      <c r="DN397" s="37">
        <v>16724</v>
      </c>
      <c r="DO397" s="37">
        <v>15506</v>
      </c>
      <c r="DP397" s="37">
        <v>18110</v>
      </c>
      <c r="DQ397" s="37">
        <v>65052</v>
      </c>
      <c r="DS397" s="36" t="s">
        <v>360</v>
      </c>
      <c r="DT397" s="37">
        <v>20089</v>
      </c>
      <c r="DU397" s="37">
        <v>22749</v>
      </c>
      <c r="DV397" s="37">
        <v>19933</v>
      </c>
      <c r="DW397" s="37">
        <v>20032</v>
      </c>
      <c r="DX397" s="37">
        <v>82803</v>
      </c>
      <c r="DZ397" s="36" t="s">
        <v>360</v>
      </c>
      <c r="EA397" s="37">
        <v>21108</v>
      </c>
      <c r="EB397" s="37">
        <v>23450</v>
      </c>
      <c r="EC397" s="37">
        <v>23045</v>
      </c>
      <c r="ED397" s="37">
        <v>21990</v>
      </c>
      <c r="EG397" s="36" t="s">
        <v>360</v>
      </c>
      <c r="EH397" s="37">
        <v>25786</v>
      </c>
      <c r="EI397" s="37">
        <v>21927</v>
      </c>
      <c r="EJ397" s="37">
        <v>21056</v>
      </c>
      <c r="EK397" s="37">
        <v>21000</v>
      </c>
      <c r="EN397" s="36" t="s">
        <v>360</v>
      </c>
      <c r="EO397" s="37">
        <v>55630</v>
      </c>
      <c r="EP397" s="37">
        <v>60367</v>
      </c>
      <c r="EQ397" s="37">
        <v>60423</v>
      </c>
      <c r="ER397" s="37">
        <v>58708</v>
      </c>
      <c r="EU397" s="36" t="s">
        <v>360</v>
      </c>
      <c r="EV397" s="37">
        <v>56872</v>
      </c>
      <c r="EW397" s="37">
        <v>60522</v>
      </c>
      <c r="EX397" s="37">
        <v>63501</v>
      </c>
      <c r="EY397" s="37">
        <v>61155</v>
      </c>
      <c r="FB397" s="36" t="s">
        <v>360</v>
      </c>
      <c r="FC397" s="37">
        <v>58261</v>
      </c>
      <c r="FD397" s="37">
        <v>70898</v>
      </c>
      <c r="FE397" s="37">
        <v>77224</v>
      </c>
      <c r="FF397" s="37">
        <v>70319</v>
      </c>
      <c r="FI397" s="36" t="s">
        <v>360</v>
      </c>
      <c r="FP397" s="36" t="s">
        <v>360</v>
      </c>
      <c r="FQ397" s="37">
        <v>0</v>
      </c>
      <c r="FR397" s="37">
        <v>0</v>
      </c>
      <c r="FS397" s="37">
        <v>0</v>
      </c>
      <c r="FT397" s="37">
        <v>0</v>
      </c>
      <c r="FW397" s="36" t="s">
        <v>360</v>
      </c>
      <c r="GD397" s="36" t="s">
        <v>360</v>
      </c>
      <c r="GK397" s="36" t="s">
        <v>360</v>
      </c>
      <c r="GR397" s="36" t="s">
        <v>360</v>
      </c>
      <c r="GY397" s="36" t="s">
        <v>360</v>
      </c>
      <c r="HF397" s="36" t="s">
        <v>360</v>
      </c>
      <c r="HM397" s="36" t="s">
        <v>360</v>
      </c>
      <c r="HT397" s="36" t="s">
        <v>360</v>
      </c>
      <c r="IA397" s="36" t="s">
        <v>360</v>
      </c>
      <c r="IH397" s="36" t="s">
        <v>360</v>
      </c>
      <c r="IO397" s="36" t="s">
        <v>360</v>
      </c>
      <c r="IV397" s="36" t="s">
        <v>360</v>
      </c>
      <c r="JC397" s="36" t="s">
        <v>360</v>
      </c>
      <c r="JJ397" s="36" t="s">
        <v>360</v>
      </c>
      <c r="JQ397" s="36" t="s">
        <v>360</v>
      </c>
      <c r="JX397" s="36" t="s">
        <v>360</v>
      </c>
      <c r="KE397" s="36" t="s">
        <v>360</v>
      </c>
      <c r="KL397" s="36" t="s">
        <v>360</v>
      </c>
      <c r="KS397" s="36" t="s">
        <v>360</v>
      </c>
      <c r="KZ397" s="36" t="s">
        <v>360</v>
      </c>
      <c r="LF397" s="565"/>
      <c r="LG397" s="36" t="s">
        <v>360</v>
      </c>
      <c r="LM397" s="565"/>
      <c r="LN397" s="36" t="s">
        <v>360</v>
      </c>
      <c r="LT397" s="565"/>
      <c r="LU397" s="36" t="s">
        <v>360</v>
      </c>
      <c r="MA397" s="565"/>
      <c r="MB397" s="36" t="s">
        <v>360</v>
      </c>
      <c r="MH397" s="565"/>
    </row>
    <row r="398" spans="1:346" s="37" customFormat="1" ht="13.15" hidden="1" outlineLevel="1" x14ac:dyDescent="0.4">
      <c r="A398" s="35"/>
      <c r="B398" s="36" t="s">
        <v>362</v>
      </c>
      <c r="M398" s="37">
        <v>7284.4304650152044</v>
      </c>
      <c r="N398" s="37">
        <f t="shared" si="7239"/>
        <v>78818.333333333343</v>
      </c>
      <c r="O398" s="37">
        <f t="shared" si="7240"/>
        <v>90551</v>
      </c>
      <c r="P398" s="37">
        <f t="shared" si="7241"/>
        <v>91847</v>
      </c>
      <c r="Q398" s="37">
        <f t="shared" si="7242"/>
        <v>101994</v>
      </c>
      <c r="R398" s="37">
        <f t="shared" si="7243"/>
        <v>106521</v>
      </c>
      <c r="S398" s="37">
        <f t="shared" si="7244"/>
        <v>125325</v>
      </c>
      <c r="T398" s="37">
        <f t="shared" si="7245"/>
        <v>129198</v>
      </c>
      <c r="U398" s="37">
        <f t="shared" si="7246"/>
        <v>142322</v>
      </c>
      <c r="V398" s="37">
        <f t="shared" si="7247"/>
        <v>177792</v>
      </c>
      <c r="W398" s="37">
        <f t="shared" si="7248"/>
        <v>0</v>
      </c>
      <c r="X398" s="37">
        <f t="shared" si="7249"/>
        <v>0</v>
      </c>
      <c r="Y398" s="37">
        <f t="shared" si="7250"/>
        <v>0</v>
      </c>
      <c r="Z398" s="37">
        <f t="shared" si="7251"/>
        <v>0</v>
      </c>
      <c r="AA398" s="37">
        <f t="shared" si="7252"/>
        <v>0</v>
      </c>
      <c r="AB398" s="37">
        <f t="shared" si="7253"/>
        <v>0</v>
      </c>
      <c r="AC398" s="37">
        <f t="shared" si="7254"/>
        <v>0</v>
      </c>
      <c r="AD398" s="37">
        <f t="shared" si="7255"/>
        <v>0</v>
      </c>
      <c r="AE398" s="37">
        <f t="shared" si="7256"/>
        <v>0</v>
      </c>
      <c r="AF398" s="37">
        <f t="shared" si="7257"/>
        <v>0</v>
      </c>
      <c r="AG398" s="37">
        <f t="shared" si="7258"/>
        <v>0</v>
      </c>
      <c r="AH398" s="37">
        <f t="shared" si="7259"/>
        <v>0</v>
      </c>
      <c r="AI398" s="37">
        <f t="shared" si="7260"/>
        <v>0</v>
      </c>
      <c r="AJ398" s="37">
        <f t="shared" si="7261"/>
        <v>0</v>
      </c>
      <c r="AK398" s="37">
        <f t="shared" si="7262"/>
        <v>0</v>
      </c>
      <c r="AL398" s="37">
        <f t="shared" si="7263"/>
        <v>0</v>
      </c>
      <c r="AM398" s="37">
        <f t="shared" si="7264"/>
        <v>0</v>
      </c>
      <c r="AN398" s="37">
        <f t="shared" si="7265"/>
        <v>0</v>
      </c>
      <c r="AO398" s="37">
        <f t="shared" si="7266"/>
        <v>0</v>
      </c>
      <c r="AP398" s="37">
        <f t="shared" si="7267"/>
        <v>0</v>
      </c>
      <c r="AQ398" s="37">
        <f t="shared" si="7268"/>
        <v>0</v>
      </c>
      <c r="AR398" s="37">
        <f t="shared" si="7269"/>
        <v>0</v>
      </c>
      <c r="AS398" s="37">
        <f t="shared" si="7270"/>
        <v>0</v>
      </c>
      <c r="AT398" s="37">
        <f t="shared" si="7271"/>
        <v>0</v>
      </c>
      <c r="AU398" s="37">
        <f t="shared" si="7272"/>
        <v>0</v>
      </c>
      <c r="AV398" s="37">
        <f t="shared" si="7273"/>
        <v>0</v>
      </c>
      <c r="AW398" s="37">
        <f t="shared" si="7274"/>
        <v>0</v>
      </c>
      <c r="AX398" s="37">
        <f t="shared" si="7275"/>
        <v>0</v>
      </c>
      <c r="AY398" s="37">
        <f t="shared" si="7276"/>
        <v>0</v>
      </c>
      <c r="AZ398" s="37">
        <f t="shared" si="7277"/>
        <v>0</v>
      </c>
      <c r="BA398" s="37">
        <f t="shared" si="7278"/>
        <v>0</v>
      </c>
      <c r="BO398" s="36" t="s">
        <v>362</v>
      </c>
      <c r="BP398" s="37">
        <v>16263.333333333334</v>
      </c>
      <c r="BQ398" s="37">
        <v>19010</v>
      </c>
      <c r="BR398" s="37">
        <v>18750</v>
      </c>
      <c r="BS398" s="37">
        <v>24795</v>
      </c>
      <c r="BT398" s="37">
        <v>78818.333333333343</v>
      </c>
      <c r="BV398" s="36" t="s">
        <v>362</v>
      </c>
      <c r="BW398" s="37">
        <v>19516</v>
      </c>
      <c r="BX398" s="37">
        <v>23716</v>
      </c>
      <c r="BY398" s="37">
        <v>22407</v>
      </c>
      <c r="BZ398" s="37">
        <v>24912</v>
      </c>
      <c r="CA398" s="37">
        <v>90551</v>
      </c>
      <c r="CC398" s="36" t="s">
        <v>362</v>
      </c>
      <c r="CD398" s="37">
        <v>18539</v>
      </c>
      <c r="CE398" s="37">
        <v>21428</v>
      </c>
      <c r="CF398" s="37">
        <v>23449</v>
      </c>
      <c r="CG398" s="37">
        <v>28431</v>
      </c>
      <c r="CH398" s="37">
        <v>91847</v>
      </c>
      <c r="CJ398" s="36" t="s">
        <v>362</v>
      </c>
      <c r="CK398" s="37">
        <v>23349</v>
      </c>
      <c r="CL398" s="37">
        <v>26083</v>
      </c>
      <c r="CM398" s="37">
        <v>25359</v>
      </c>
      <c r="CN398" s="37">
        <v>27203</v>
      </c>
      <c r="CO398" s="37">
        <v>101994</v>
      </c>
      <c r="CQ398" s="36" t="s">
        <v>362</v>
      </c>
      <c r="CR398" s="37">
        <v>23196</v>
      </c>
      <c r="CS398" s="37">
        <v>26492</v>
      </c>
      <c r="CT398" s="37">
        <v>26369</v>
      </c>
      <c r="CU398" s="37">
        <v>30464</v>
      </c>
      <c r="CV398" s="37">
        <v>106521</v>
      </c>
      <c r="CX398" s="36" t="s">
        <v>362</v>
      </c>
      <c r="CY398" s="37">
        <v>26582</v>
      </c>
      <c r="CZ398" s="37">
        <v>30938</v>
      </c>
      <c r="DA398" s="37">
        <v>31964</v>
      </c>
      <c r="DB398" s="37">
        <v>35841</v>
      </c>
      <c r="DC398" s="37">
        <v>125325</v>
      </c>
      <c r="DE398" s="36" t="s">
        <v>362</v>
      </c>
      <c r="DF398" s="37">
        <v>29890</v>
      </c>
      <c r="DG398" s="37">
        <v>31831</v>
      </c>
      <c r="DH398" s="37">
        <v>30972</v>
      </c>
      <c r="DI398" s="37">
        <v>36505</v>
      </c>
      <c r="DJ398" s="37">
        <v>129198</v>
      </c>
      <c r="DL398" s="36" t="s">
        <v>362</v>
      </c>
      <c r="DM398" s="37">
        <v>29512</v>
      </c>
      <c r="DN398" s="37">
        <v>35158</v>
      </c>
      <c r="DO398" s="37">
        <v>36346</v>
      </c>
      <c r="DP398" s="37">
        <v>41306</v>
      </c>
      <c r="DQ398" s="37">
        <v>142322</v>
      </c>
      <c r="DS398" s="36" t="s">
        <v>362</v>
      </c>
      <c r="DT398" s="37">
        <v>39948</v>
      </c>
      <c r="DU398" s="37">
        <v>42085</v>
      </c>
      <c r="DV398" s="37">
        <v>44920</v>
      </c>
      <c r="DW398" s="37">
        <v>50839</v>
      </c>
      <c r="DX398" s="37">
        <v>177792</v>
      </c>
      <c r="DZ398" s="36" t="s">
        <v>362</v>
      </c>
      <c r="EA398" s="37">
        <v>46145</v>
      </c>
      <c r="EB398" s="37">
        <v>50227</v>
      </c>
      <c r="EC398" s="37">
        <v>46652</v>
      </c>
      <c r="ED398" s="37">
        <v>50211</v>
      </c>
      <c r="EG398" s="36" t="s">
        <v>362</v>
      </c>
      <c r="EH398" s="37">
        <v>36219</v>
      </c>
      <c r="EI398" s="37">
        <v>33676</v>
      </c>
      <c r="EJ398" s="37">
        <v>34693</v>
      </c>
      <c r="EN398" s="36" t="s">
        <v>362</v>
      </c>
      <c r="EU398" s="36" t="s">
        <v>362</v>
      </c>
      <c r="FB398" s="36" t="s">
        <v>362</v>
      </c>
      <c r="FI398" s="36" t="s">
        <v>362</v>
      </c>
      <c r="FP398" s="36" t="s">
        <v>362</v>
      </c>
      <c r="FW398" s="36" t="s">
        <v>362</v>
      </c>
      <c r="GD398" s="36" t="s">
        <v>362</v>
      </c>
      <c r="GK398" s="36" t="s">
        <v>362</v>
      </c>
      <c r="GR398" s="36" t="s">
        <v>362</v>
      </c>
      <c r="GY398" s="36" t="s">
        <v>362</v>
      </c>
      <c r="HF398" s="36" t="s">
        <v>362</v>
      </c>
      <c r="HM398" s="36" t="s">
        <v>362</v>
      </c>
      <c r="HT398" s="36" t="s">
        <v>362</v>
      </c>
      <c r="IA398" s="36" t="s">
        <v>362</v>
      </c>
      <c r="IH398" s="36" t="s">
        <v>362</v>
      </c>
      <c r="IO398" s="36" t="s">
        <v>362</v>
      </c>
      <c r="IV398" s="36" t="s">
        <v>362</v>
      </c>
      <c r="JC398" s="36" t="s">
        <v>362</v>
      </c>
      <c r="JJ398" s="36" t="s">
        <v>362</v>
      </c>
      <c r="JQ398" s="36" t="s">
        <v>362</v>
      </c>
      <c r="JX398" s="36" t="s">
        <v>362</v>
      </c>
      <c r="KE398" s="36" t="s">
        <v>362</v>
      </c>
      <c r="KL398" s="36" t="s">
        <v>362</v>
      </c>
      <c r="KS398" s="36" t="s">
        <v>362</v>
      </c>
      <c r="KZ398" s="36" t="s">
        <v>362</v>
      </c>
      <c r="LF398" s="565"/>
      <c r="LG398" s="36" t="s">
        <v>362</v>
      </c>
      <c r="LM398" s="565"/>
      <c r="LN398" s="36" t="s">
        <v>362</v>
      </c>
      <c r="LT398" s="565"/>
      <c r="LU398" s="36" t="s">
        <v>362</v>
      </c>
      <c r="MA398" s="565"/>
      <c r="MB398" s="36" t="s">
        <v>362</v>
      </c>
      <c r="MH398" s="565"/>
    </row>
    <row r="399" spans="1:346" s="37" customFormat="1" ht="13.15" hidden="1" outlineLevel="1" x14ac:dyDescent="0.4">
      <c r="A399" s="35"/>
      <c r="B399" s="36" t="s">
        <v>12</v>
      </c>
      <c r="M399" s="37">
        <v>103192</v>
      </c>
      <c r="N399" s="37">
        <f t="shared" si="7239"/>
        <v>8041.8205128205136</v>
      </c>
      <c r="O399" s="37">
        <f t="shared" si="7240"/>
        <v>4828</v>
      </c>
      <c r="P399" s="37">
        <f t="shared" si="7241"/>
        <v>5505</v>
      </c>
      <c r="Q399" s="37">
        <f t="shared" si="7242"/>
        <v>6279</v>
      </c>
      <c r="R399" s="37">
        <f t="shared" si="7243"/>
        <v>6533</v>
      </c>
      <c r="S399" s="37">
        <f t="shared" si="7244"/>
        <v>9860</v>
      </c>
      <c r="T399" s="37">
        <f t="shared" si="7245"/>
        <v>17142</v>
      </c>
      <c r="U399" s="37">
        <f t="shared" si="7246"/>
        <v>32525</v>
      </c>
      <c r="V399" s="37">
        <f t="shared" si="7247"/>
        <v>22294</v>
      </c>
      <c r="W399" s="37">
        <f t="shared" si="7248"/>
        <v>0</v>
      </c>
      <c r="X399" s="37">
        <f t="shared" si="7249"/>
        <v>0</v>
      </c>
      <c r="Y399" s="37">
        <f t="shared" si="7250"/>
        <v>0</v>
      </c>
      <c r="Z399" s="37">
        <f t="shared" si="7251"/>
        <v>0</v>
      </c>
      <c r="AA399" s="37">
        <f t="shared" si="7252"/>
        <v>0</v>
      </c>
      <c r="AB399" s="37">
        <f t="shared" si="7253"/>
        <v>0</v>
      </c>
      <c r="AC399" s="37">
        <f t="shared" si="7254"/>
        <v>0</v>
      </c>
      <c r="AD399" s="37">
        <f t="shared" si="7255"/>
        <v>0</v>
      </c>
      <c r="AE399" s="37">
        <f t="shared" si="7256"/>
        <v>0</v>
      </c>
      <c r="AF399" s="37">
        <f t="shared" si="7257"/>
        <v>0</v>
      </c>
      <c r="AG399" s="37">
        <f t="shared" si="7258"/>
        <v>0</v>
      </c>
      <c r="AH399" s="37">
        <f t="shared" si="7259"/>
        <v>0</v>
      </c>
      <c r="AI399" s="37">
        <f t="shared" si="7260"/>
        <v>0</v>
      </c>
      <c r="AJ399" s="37">
        <f t="shared" si="7261"/>
        <v>0</v>
      </c>
      <c r="AK399" s="37">
        <f t="shared" si="7262"/>
        <v>0</v>
      </c>
      <c r="AL399" s="37">
        <f t="shared" si="7263"/>
        <v>0</v>
      </c>
      <c r="AM399" s="37">
        <f t="shared" si="7264"/>
        <v>0</v>
      </c>
      <c r="AN399" s="37">
        <f t="shared" si="7265"/>
        <v>0</v>
      </c>
      <c r="AO399" s="37">
        <f t="shared" si="7266"/>
        <v>0</v>
      </c>
      <c r="AP399" s="37">
        <f t="shared" si="7267"/>
        <v>0</v>
      </c>
      <c r="AQ399" s="37">
        <f t="shared" si="7268"/>
        <v>0</v>
      </c>
      <c r="AR399" s="37">
        <f t="shared" si="7269"/>
        <v>0</v>
      </c>
      <c r="AS399" s="37">
        <f t="shared" si="7270"/>
        <v>0</v>
      </c>
      <c r="AT399" s="37">
        <f t="shared" si="7271"/>
        <v>0</v>
      </c>
      <c r="AU399" s="37">
        <f t="shared" si="7272"/>
        <v>0</v>
      </c>
      <c r="AV399" s="37">
        <f t="shared" si="7273"/>
        <v>0</v>
      </c>
      <c r="AW399" s="37">
        <f t="shared" si="7274"/>
        <v>0</v>
      </c>
      <c r="AX399" s="37">
        <f t="shared" si="7275"/>
        <v>0</v>
      </c>
      <c r="AY399" s="37">
        <f t="shared" si="7276"/>
        <v>0</v>
      </c>
      <c r="AZ399" s="37">
        <f t="shared" si="7277"/>
        <v>0</v>
      </c>
      <c r="BA399" s="37">
        <f t="shared" si="7278"/>
        <v>0</v>
      </c>
      <c r="BO399" s="36" t="s">
        <v>12</v>
      </c>
      <c r="BP399" s="37">
        <v>3119.8205128205136</v>
      </c>
      <c r="BQ399" s="37">
        <v>1368</v>
      </c>
      <c r="BR399" s="37">
        <v>1700</v>
      </c>
      <c r="BS399" s="37">
        <v>1854</v>
      </c>
      <c r="BT399" s="37">
        <v>8041.8205128205136</v>
      </c>
      <c r="BV399" s="36" t="s">
        <v>12</v>
      </c>
      <c r="BW399" s="37">
        <v>1455</v>
      </c>
      <c r="BX399" s="37">
        <v>1133</v>
      </c>
      <c r="BY399" s="37">
        <v>1081</v>
      </c>
      <c r="BZ399" s="37">
        <v>1159</v>
      </c>
      <c r="CA399" s="37">
        <v>4828</v>
      </c>
      <c r="CC399" s="36" t="s">
        <v>12</v>
      </c>
      <c r="CD399" s="37">
        <v>1042</v>
      </c>
      <c r="CE399" s="37">
        <v>1326</v>
      </c>
      <c r="CF399" s="37">
        <v>1347</v>
      </c>
      <c r="CG399" s="37">
        <v>1790</v>
      </c>
      <c r="CH399" s="37">
        <v>5505</v>
      </c>
      <c r="CJ399" s="36" t="s">
        <v>12</v>
      </c>
      <c r="CK399" s="37">
        <v>1327</v>
      </c>
      <c r="CL399" s="37">
        <v>1565</v>
      </c>
      <c r="CM399" s="37">
        <v>1635</v>
      </c>
      <c r="CN399" s="37">
        <v>1752</v>
      </c>
      <c r="CO399" s="37">
        <v>6279</v>
      </c>
      <c r="CQ399" s="36" t="s">
        <v>12</v>
      </c>
      <c r="CR399" s="37">
        <v>1544</v>
      </c>
      <c r="CS399" s="37">
        <v>1596</v>
      </c>
      <c r="CT399" s="37">
        <v>1617</v>
      </c>
      <c r="CU399" s="37">
        <v>1776</v>
      </c>
      <c r="CV399" s="37">
        <v>6533</v>
      </c>
      <c r="CX399" s="36" t="s">
        <v>12</v>
      </c>
      <c r="CY399" s="37">
        <v>1455</v>
      </c>
      <c r="CZ399" s="37">
        <v>1845</v>
      </c>
      <c r="DA399" s="37">
        <v>2508</v>
      </c>
      <c r="DB399" s="37">
        <v>4052</v>
      </c>
      <c r="DC399" s="37">
        <v>9860</v>
      </c>
      <c r="DE399" s="36" t="s">
        <v>12</v>
      </c>
      <c r="DF399" s="37">
        <v>4051</v>
      </c>
      <c r="DG399" s="37">
        <v>3978</v>
      </c>
      <c r="DH399" s="37">
        <v>4115</v>
      </c>
      <c r="DI399" s="37">
        <v>4998</v>
      </c>
      <c r="DJ399" s="37">
        <v>17142</v>
      </c>
      <c r="DL399" s="36" t="s">
        <v>12</v>
      </c>
      <c r="DM399" s="37">
        <v>4139</v>
      </c>
      <c r="DN399" s="37">
        <v>18370</v>
      </c>
      <c r="DO399" s="37">
        <v>4902</v>
      </c>
      <c r="DP399" s="37">
        <v>5114</v>
      </c>
      <c r="DQ399" s="37">
        <v>32525</v>
      </c>
      <c r="DS399" s="36" t="s">
        <v>12</v>
      </c>
      <c r="DT399" s="37">
        <v>4292</v>
      </c>
      <c r="DU399" s="37">
        <v>5236</v>
      </c>
      <c r="DV399" s="37">
        <v>5399</v>
      </c>
      <c r="DW399" s="37">
        <v>7367</v>
      </c>
      <c r="DX399" s="37">
        <v>22294</v>
      </c>
      <c r="DZ399" s="36" t="s">
        <v>12</v>
      </c>
      <c r="EA399" s="37">
        <v>6387</v>
      </c>
      <c r="EB399" s="37">
        <v>7453</v>
      </c>
      <c r="EC399" s="37">
        <v>8175</v>
      </c>
      <c r="ED399" s="37">
        <v>7990</v>
      </c>
      <c r="EG399" s="36" t="s">
        <v>12</v>
      </c>
      <c r="EH399" s="37">
        <v>7508</v>
      </c>
      <c r="EI399" s="37">
        <v>8350</v>
      </c>
      <c r="EJ399" s="37">
        <v>7684</v>
      </c>
      <c r="EN399" s="36" t="s">
        <v>12</v>
      </c>
      <c r="EU399" s="36" t="s">
        <v>12</v>
      </c>
      <c r="FB399" s="36" t="s">
        <v>12</v>
      </c>
      <c r="FI399" s="36" t="s">
        <v>12</v>
      </c>
      <c r="FP399" s="36" t="s">
        <v>12</v>
      </c>
      <c r="FW399" s="36" t="s">
        <v>12</v>
      </c>
      <c r="GD399" s="36" t="s">
        <v>12</v>
      </c>
      <c r="GK399" s="36" t="s">
        <v>12</v>
      </c>
      <c r="GR399" s="36" t="s">
        <v>12</v>
      </c>
      <c r="GY399" s="36" t="s">
        <v>12</v>
      </c>
      <c r="HF399" s="36" t="s">
        <v>12</v>
      </c>
      <c r="HM399" s="36" t="s">
        <v>12</v>
      </c>
      <c r="HT399" s="36" t="s">
        <v>12</v>
      </c>
      <c r="IA399" s="36" t="s">
        <v>12</v>
      </c>
      <c r="IH399" s="36" t="s">
        <v>12</v>
      </c>
      <c r="IO399" s="36" t="s">
        <v>12</v>
      </c>
      <c r="IV399" s="36" t="s">
        <v>12</v>
      </c>
      <c r="JC399" s="36" t="s">
        <v>12</v>
      </c>
      <c r="JJ399" s="36" t="s">
        <v>12</v>
      </c>
      <c r="JQ399" s="36" t="s">
        <v>12</v>
      </c>
      <c r="JX399" s="36" t="s">
        <v>12</v>
      </c>
      <c r="KE399" s="36" t="s">
        <v>12</v>
      </c>
      <c r="KL399" s="36" t="s">
        <v>12</v>
      </c>
      <c r="KS399" s="36" t="s">
        <v>12</v>
      </c>
      <c r="KZ399" s="36" t="s">
        <v>12</v>
      </c>
      <c r="LF399" s="565"/>
      <c r="LG399" s="36" t="s">
        <v>12</v>
      </c>
      <c r="LM399" s="565"/>
      <c r="LN399" s="36" t="s">
        <v>12</v>
      </c>
      <c r="LT399" s="565"/>
      <c r="LU399" s="36" t="s">
        <v>12</v>
      </c>
      <c r="MA399" s="565"/>
      <c r="MB399" s="36" t="s">
        <v>12</v>
      </c>
      <c r="MH399" s="565"/>
    </row>
    <row r="400" spans="1:346" s="37" customFormat="1" ht="13.15" hidden="1" outlineLevel="1" x14ac:dyDescent="0.4">
      <c r="A400" s="35"/>
      <c r="B400" s="36" t="s">
        <v>366</v>
      </c>
      <c r="M400" s="37">
        <v>34498.819116421233</v>
      </c>
      <c r="N400" s="37">
        <f t="shared" si="7239"/>
        <v>121795</v>
      </c>
      <c r="O400" s="37">
        <f t="shared" si="7240"/>
        <v>133042</v>
      </c>
      <c r="P400" s="37">
        <f t="shared" si="7241"/>
        <v>137611</v>
      </c>
      <c r="Q400" s="37">
        <f t="shared" si="7242"/>
        <v>152410</v>
      </c>
      <c r="R400" s="37">
        <f t="shared" si="7243"/>
        <v>158294</v>
      </c>
      <c r="S400" s="37">
        <f t="shared" si="7244"/>
        <v>184439</v>
      </c>
      <c r="T400" s="37">
        <f t="shared" si="7245"/>
        <v>204388</v>
      </c>
      <c r="U400" s="37">
        <f t="shared" si="7246"/>
        <v>239899</v>
      </c>
      <c r="V400" s="37">
        <f t="shared" si="7247"/>
        <v>282889</v>
      </c>
      <c r="W400" s="37">
        <f t="shared" si="7248"/>
        <v>312833</v>
      </c>
      <c r="X400" s="37">
        <f t="shared" si="7249"/>
        <v>261051.8</v>
      </c>
      <c r="Y400" s="37">
        <f t="shared" si="7250"/>
        <v>235128</v>
      </c>
      <c r="Z400" s="37">
        <f t="shared" si="7251"/>
        <v>242050</v>
      </c>
      <c r="AA400" s="37">
        <f t="shared" si="7252"/>
        <v>276702</v>
      </c>
      <c r="AB400" s="37">
        <f t="shared" si="7253"/>
        <v>0</v>
      </c>
      <c r="AC400" s="37">
        <f t="shared" si="7254"/>
        <v>0</v>
      </c>
      <c r="AD400" s="37">
        <f t="shared" si="7255"/>
        <v>0</v>
      </c>
      <c r="AE400" s="37">
        <f t="shared" si="7256"/>
        <v>0</v>
      </c>
      <c r="AF400" s="37">
        <f t="shared" si="7257"/>
        <v>0</v>
      </c>
      <c r="AG400" s="37">
        <f t="shared" si="7258"/>
        <v>0</v>
      </c>
      <c r="AH400" s="37">
        <f t="shared" si="7259"/>
        <v>0</v>
      </c>
      <c r="AI400" s="37">
        <f t="shared" si="7260"/>
        <v>0</v>
      </c>
      <c r="AJ400" s="37">
        <f t="shared" si="7261"/>
        <v>0</v>
      </c>
      <c r="AK400" s="37">
        <f t="shared" si="7262"/>
        <v>0</v>
      </c>
      <c r="AL400" s="37">
        <f t="shared" si="7263"/>
        <v>0</v>
      </c>
      <c r="AM400" s="37">
        <f t="shared" si="7264"/>
        <v>0</v>
      </c>
      <c r="AN400" s="37">
        <f t="shared" si="7265"/>
        <v>0</v>
      </c>
      <c r="AO400" s="37">
        <f t="shared" si="7266"/>
        <v>0</v>
      </c>
      <c r="AP400" s="37">
        <f t="shared" si="7267"/>
        <v>0</v>
      </c>
      <c r="AQ400" s="37">
        <f t="shared" si="7268"/>
        <v>0</v>
      </c>
      <c r="AR400" s="37">
        <f t="shared" si="7269"/>
        <v>0</v>
      </c>
      <c r="AS400" s="37">
        <f t="shared" si="7270"/>
        <v>0</v>
      </c>
      <c r="AT400" s="37">
        <f t="shared" si="7271"/>
        <v>0</v>
      </c>
      <c r="AU400" s="37">
        <f t="shared" si="7272"/>
        <v>0</v>
      </c>
      <c r="AV400" s="37">
        <f t="shared" si="7273"/>
        <v>0</v>
      </c>
      <c r="AW400" s="37">
        <f t="shared" si="7274"/>
        <v>0</v>
      </c>
      <c r="AX400" s="37">
        <f t="shared" si="7275"/>
        <v>0</v>
      </c>
      <c r="AY400" s="37">
        <f t="shared" si="7276"/>
        <v>0</v>
      </c>
      <c r="AZ400" s="37">
        <f t="shared" si="7277"/>
        <v>0</v>
      </c>
      <c r="BA400" s="37">
        <f t="shared" si="7278"/>
        <v>0</v>
      </c>
      <c r="BO400" s="36" t="s">
        <v>366</v>
      </c>
      <c r="BP400" s="37">
        <v>26407</v>
      </c>
      <c r="BQ400" s="37">
        <v>29276</v>
      </c>
      <c r="BR400" s="37">
        <v>29216</v>
      </c>
      <c r="BS400" s="37">
        <v>36896</v>
      </c>
      <c r="BT400" s="37">
        <v>121795</v>
      </c>
      <c r="BV400" s="36" t="s">
        <v>366</v>
      </c>
      <c r="BW400" s="37">
        <v>30102</v>
      </c>
      <c r="BX400" s="37">
        <v>35474</v>
      </c>
      <c r="BY400" s="37">
        <v>32113</v>
      </c>
      <c r="BZ400" s="37">
        <v>35353</v>
      </c>
      <c r="CA400" s="37">
        <v>133042</v>
      </c>
      <c r="CC400" s="36" t="s">
        <v>366</v>
      </c>
      <c r="CD400" s="37">
        <v>28902</v>
      </c>
      <c r="CE400" s="37">
        <v>33321</v>
      </c>
      <c r="CF400" s="37">
        <v>33871</v>
      </c>
      <c r="CG400" s="37">
        <v>41517</v>
      </c>
      <c r="CH400" s="37">
        <v>137611</v>
      </c>
      <c r="CJ400" s="36" t="s">
        <v>366</v>
      </c>
      <c r="CK400" s="37">
        <v>35288</v>
      </c>
      <c r="CL400" s="37">
        <v>38992</v>
      </c>
      <c r="CM400" s="37">
        <v>37996</v>
      </c>
      <c r="CN400" s="37">
        <v>40134</v>
      </c>
      <c r="CO400" s="37">
        <v>152410</v>
      </c>
      <c r="CQ400" s="36" t="s">
        <v>366</v>
      </c>
      <c r="CR400" s="37">
        <v>36606</v>
      </c>
      <c r="CS400" s="37">
        <v>39695</v>
      </c>
      <c r="CT400" s="37">
        <v>39199</v>
      </c>
      <c r="CU400" s="37">
        <v>42794</v>
      </c>
      <c r="CV400" s="37">
        <v>158294</v>
      </c>
      <c r="CX400" s="36" t="s">
        <v>366</v>
      </c>
      <c r="CY400" s="37">
        <v>39040</v>
      </c>
      <c r="CZ400" s="37">
        <v>45440</v>
      </c>
      <c r="DA400" s="37">
        <v>46944</v>
      </c>
      <c r="DB400" s="37">
        <v>53015</v>
      </c>
      <c r="DC400" s="37">
        <v>184439</v>
      </c>
      <c r="DE400" s="36" t="s">
        <v>366</v>
      </c>
      <c r="DF400" s="37">
        <v>48469</v>
      </c>
      <c r="DG400" s="37">
        <v>51303</v>
      </c>
      <c r="DH400" s="37">
        <v>48179</v>
      </c>
      <c r="DI400" s="37">
        <v>56437</v>
      </c>
      <c r="DJ400" s="37">
        <v>204388</v>
      </c>
      <c r="DL400" s="36" t="s">
        <v>366</v>
      </c>
      <c r="DM400" s="37">
        <v>48363</v>
      </c>
      <c r="DN400" s="37">
        <v>70252</v>
      </c>
      <c r="DO400" s="37">
        <v>56754</v>
      </c>
      <c r="DP400" s="37">
        <v>64530</v>
      </c>
      <c r="DQ400" s="37">
        <v>239899</v>
      </c>
      <c r="DS400" s="36" t="s">
        <v>366</v>
      </c>
      <c r="DT400" s="37">
        <v>64329</v>
      </c>
      <c r="DU400" s="37">
        <v>70070</v>
      </c>
      <c r="DV400" s="37">
        <v>70252</v>
      </c>
      <c r="DW400" s="37">
        <v>78238</v>
      </c>
      <c r="DX400" s="37">
        <v>282889</v>
      </c>
      <c r="DZ400" s="36" t="s">
        <v>366</v>
      </c>
      <c r="EA400" s="37">
        <v>73640</v>
      </c>
      <c r="EB400" s="37">
        <v>81130</v>
      </c>
      <c r="EC400" s="37">
        <v>77872</v>
      </c>
      <c r="ED400" s="37">
        <v>80191</v>
      </c>
      <c r="EE400" s="37">
        <v>312833</v>
      </c>
      <c r="EG400" s="36" t="s">
        <v>366</v>
      </c>
      <c r="EH400" s="37">
        <v>69513</v>
      </c>
      <c r="EI400" s="37">
        <v>63953</v>
      </c>
      <c r="EJ400" s="37">
        <v>63433</v>
      </c>
      <c r="EK400" s="37">
        <v>64152.800000000003</v>
      </c>
      <c r="EL400" s="37">
        <v>261051.8</v>
      </c>
      <c r="EN400" s="36" t="s">
        <v>366</v>
      </c>
      <c r="EO400" s="37">
        <v>55630</v>
      </c>
      <c r="EP400" s="37">
        <v>60367</v>
      </c>
      <c r="EQ400" s="37">
        <v>60423</v>
      </c>
      <c r="ER400" s="37">
        <v>58708</v>
      </c>
      <c r="ES400" s="37">
        <v>235128</v>
      </c>
      <c r="EU400" s="36" t="s">
        <v>366</v>
      </c>
      <c r="EV400" s="37">
        <v>56872</v>
      </c>
      <c r="EW400" s="37">
        <v>60522</v>
      </c>
      <c r="EX400" s="37">
        <v>63501</v>
      </c>
      <c r="EY400" s="37">
        <v>61155</v>
      </c>
      <c r="EZ400" s="37">
        <v>242050</v>
      </c>
      <c r="FB400" s="36" t="s">
        <v>366</v>
      </c>
      <c r="FC400" s="37">
        <v>58261</v>
      </c>
      <c r="FD400" s="37">
        <v>70898</v>
      </c>
      <c r="FE400" s="37">
        <v>77224</v>
      </c>
      <c r="FF400" s="37">
        <v>70319</v>
      </c>
      <c r="FG400" s="37">
        <v>276702</v>
      </c>
      <c r="FI400" s="36" t="s">
        <v>366</v>
      </c>
      <c r="FN400" s="37">
        <v>0</v>
      </c>
      <c r="FP400" s="36" t="s">
        <v>366</v>
      </c>
      <c r="FQ400" s="37">
        <v>0</v>
      </c>
      <c r="FR400" s="37">
        <v>0</v>
      </c>
      <c r="FS400" s="37">
        <v>0</v>
      </c>
      <c r="FU400" s="37">
        <v>0</v>
      </c>
      <c r="FW400" s="36" t="s">
        <v>366</v>
      </c>
      <c r="GD400" s="36" t="s">
        <v>366</v>
      </c>
      <c r="GK400" s="36" t="s">
        <v>366</v>
      </c>
      <c r="GR400" s="36" t="s">
        <v>366</v>
      </c>
      <c r="GY400" s="36" t="s">
        <v>366</v>
      </c>
      <c r="HF400" s="36" t="s">
        <v>366</v>
      </c>
      <c r="HM400" s="36" t="s">
        <v>366</v>
      </c>
      <c r="HT400" s="36" t="s">
        <v>366</v>
      </c>
      <c r="IA400" s="36" t="s">
        <v>366</v>
      </c>
      <c r="IH400" s="36" t="s">
        <v>366</v>
      </c>
      <c r="IO400" s="36" t="s">
        <v>366</v>
      </c>
      <c r="IV400" s="36" t="s">
        <v>366</v>
      </c>
      <c r="JC400" s="36" t="s">
        <v>366</v>
      </c>
      <c r="JJ400" s="36" t="s">
        <v>366</v>
      </c>
      <c r="JQ400" s="36" t="s">
        <v>366</v>
      </c>
      <c r="JX400" s="36" t="s">
        <v>366</v>
      </c>
      <c r="KE400" s="36" t="s">
        <v>366</v>
      </c>
      <c r="KL400" s="36" t="s">
        <v>366</v>
      </c>
      <c r="KS400" s="36" t="s">
        <v>366</v>
      </c>
      <c r="KZ400" s="36" t="s">
        <v>366</v>
      </c>
      <c r="LF400" s="565"/>
      <c r="LG400" s="36" t="s">
        <v>366</v>
      </c>
      <c r="LM400" s="565"/>
      <c r="LN400" s="36" t="s">
        <v>366</v>
      </c>
      <c r="LT400" s="565"/>
      <c r="LU400" s="36" t="s">
        <v>366</v>
      </c>
      <c r="MA400" s="565"/>
      <c r="MB400" s="36" t="s">
        <v>366</v>
      </c>
      <c r="MH400" s="565"/>
    </row>
    <row r="401" spans="1:346" s="37" customFormat="1" ht="13.15" hidden="1" outlineLevel="1" x14ac:dyDescent="0.4">
      <c r="A401" s="35"/>
      <c r="B401" s="36" t="s">
        <v>360</v>
      </c>
      <c r="M401" s="37">
        <v>10579.604798870852</v>
      </c>
      <c r="N401" s="37">
        <f t="shared" si="7239"/>
        <v>42088.5593220339</v>
      </c>
      <c r="O401" s="37">
        <f t="shared" si="7240"/>
        <v>48971</v>
      </c>
      <c r="P401" s="37">
        <f t="shared" si="7241"/>
        <v>46173</v>
      </c>
      <c r="Q401" s="37">
        <f t="shared" si="7242"/>
        <v>46031</v>
      </c>
      <c r="R401" s="37">
        <f t="shared" si="7243"/>
        <v>48671</v>
      </c>
      <c r="S401" s="37">
        <f t="shared" si="7244"/>
        <v>47052</v>
      </c>
      <c r="T401" s="37">
        <f t="shared" si="7245"/>
        <v>0</v>
      </c>
      <c r="U401" s="37">
        <f t="shared" si="7246"/>
        <v>0</v>
      </c>
      <c r="V401" s="37">
        <f t="shared" si="7247"/>
        <v>0</v>
      </c>
      <c r="W401" s="37">
        <f t="shared" si="7248"/>
        <v>0</v>
      </c>
      <c r="X401" s="37">
        <f t="shared" si="7249"/>
        <v>0</v>
      </c>
      <c r="Y401" s="37">
        <f t="shared" si="7250"/>
        <v>0</v>
      </c>
      <c r="Z401" s="37">
        <f t="shared" si="7251"/>
        <v>0</v>
      </c>
      <c r="AA401" s="37">
        <f t="shared" si="7252"/>
        <v>0</v>
      </c>
      <c r="AB401" s="37">
        <f t="shared" si="7253"/>
        <v>0</v>
      </c>
      <c r="AC401" s="37">
        <f t="shared" si="7254"/>
        <v>0</v>
      </c>
      <c r="AD401" s="37">
        <f t="shared" si="7255"/>
        <v>0</v>
      </c>
      <c r="AE401" s="37">
        <f t="shared" si="7256"/>
        <v>0</v>
      </c>
      <c r="AF401" s="37">
        <f t="shared" si="7257"/>
        <v>0</v>
      </c>
      <c r="AG401" s="37">
        <f t="shared" si="7258"/>
        <v>0</v>
      </c>
      <c r="AH401" s="37">
        <f t="shared" si="7259"/>
        <v>0</v>
      </c>
      <c r="AI401" s="37">
        <f t="shared" si="7260"/>
        <v>0</v>
      </c>
      <c r="AJ401" s="37">
        <f t="shared" si="7261"/>
        <v>0</v>
      </c>
      <c r="AK401" s="37">
        <f t="shared" si="7262"/>
        <v>0</v>
      </c>
      <c r="AL401" s="37">
        <f t="shared" si="7263"/>
        <v>0</v>
      </c>
      <c r="AM401" s="37">
        <f t="shared" si="7264"/>
        <v>0</v>
      </c>
      <c r="AN401" s="37">
        <f t="shared" si="7265"/>
        <v>0</v>
      </c>
      <c r="AO401" s="37">
        <f t="shared" si="7266"/>
        <v>0</v>
      </c>
      <c r="AP401" s="37">
        <f t="shared" si="7267"/>
        <v>0</v>
      </c>
      <c r="AQ401" s="37">
        <f t="shared" si="7268"/>
        <v>0</v>
      </c>
      <c r="AR401" s="37">
        <f t="shared" si="7269"/>
        <v>0</v>
      </c>
      <c r="AS401" s="37">
        <f t="shared" si="7270"/>
        <v>0</v>
      </c>
      <c r="AT401" s="37">
        <f t="shared" si="7271"/>
        <v>0</v>
      </c>
      <c r="AU401" s="37">
        <f t="shared" si="7272"/>
        <v>0</v>
      </c>
      <c r="AV401" s="37">
        <f t="shared" si="7273"/>
        <v>0</v>
      </c>
      <c r="AW401" s="37">
        <f t="shared" si="7274"/>
        <v>0</v>
      </c>
      <c r="AX401" s="37">
        <f t="shared" si="7275"/>
        <v>0</v>
      </c>
      <c r="AY401" s="37">
        <f t="shared" si="7276"/>
        <v>0</v>
      </c>
      <c r="AZ401" s="37">
        <f t="shared" si="7277"/>
        <v>0</v>
      </c>
      <c r="BA401" s="37">
        <f t="shared" si="7278"/>
        <v>0</v>
      </c>
      <c r="BO401" s="36" t="s">
        <v>360</v>
      </c>
      <c r="BP401" s="37">
        <v>7313.5593220338988</v>
      </c>
      <c r="BQ401" s="37">
        <v>11583</v>
      </c>
      <c r="BR401" s="37">
        <v>11806</v>
      </c>
      <c r="BS401" s="37">
        <v>11386</v>
      </c>
      <c r="BT401" s="37">
        <v>42088.5593220339</v>
      </c>
      <c r="BV401" s="36" t="s">
        <v>360</v>
      </c>
      <c r="BW401" s="37">
        <v>8630</v>
      </c>
      <c r="BX401" s="37">
        <v>12856</v>
      </c>
      <c r="BY401" s="37">
        <v>15360</v>
      </c>
      <c r="BZ401" s="37">
        <v>12125</v>
      </c>
      <c r="CA401" s="37">
        <v>48971</v>
      </c>
      <c r="CC401" s="36" t="s">
        <v>360</v>
      </c>
      <c r="CD401" s="37">
        <v>9331</v>
      </c>
      <c r="CE401" s="37">
        <v>12674</v>
      </c>
      <c r="CF401" s="37">
        <v>12314</v>
      </c>
      <c r="CG401" s="37">
        <v>11854</v>
      </c>
      <c r="CH401" s="37">
        <v>46173</v>
      </c>
      <c r="CJ401" s="36" t="s">
        <v>360</v>
      </c>
      <c r="CK401" s="37">
        <v>10297</v>
      </c>
      <c r="CL401" s="37">
        <v>12530</v>
      </c>
      <c r="CM401" s="37">
        <v>12005</v>
      </c>
      <c r="CN401" s="37">
        <v>11199</v>
      </c>
      <c r="CO401" s="37">
        <v>46031</v>
      </c>
      <c r="CQ401" s="36" t="s">
        <v>360</v>
      </c>
      <c r="CR401" s="37">
        <v>10136</v>
      </c>
      <c r="CS401" s="37">
        <v>13541</v>
      </c>
      <c r="CT401" s="37">
        <v>13718</v>
      </c>
      <c r="CU401" s="37">
        <v>11276</v>
      </c>
      <c r="CV401" s="37">
        <v>48671</v>
      </c>
      <c r="CX401" s="36" t="s">
        <v>360</v>
      </c>
      <c r="CY401" s="37">
        <v>10935</v>
      </c>
      <c r="CZ401" s="37">
        <v>11667</v>
      </c>
      <c r="DA401" s="37">
        <v>12838</v>
      </c>
      <c r="DB401" s="37">
        <v>11612</v>
      </c>
      <c r="DC401" s="37">
        <v>47052</v>
      </c>
      <c r="DE401" s="36" t="s">
        <v>360</v>
      </c>
      <c r="DF401" s="37">
        <v>0</v>
      </c>
      <c r="DH401" s="37">
        <v>0</v>
      </c>
      <c r="DI401" s="37">
        <v>0</v>
      </c>
      <c r="DL401" s="36" t="s">
        <v>360</v>
      </c>
      <c r="DM401" s="37">
        <v>0</v>
      </c>
      <c r="DO401" s="37">
        <v>0</v>
      </c>
      <c r="DS401" s="36" t="s">
        <v>360</v>
      </c>
      <c r="DZ401" s="36" t="s">
        <v>360</v>
      </c>
      <c r="EG401" s="36" t="s">
        <v>360</v>
      </c>
      <c r="EN401" s="36" t="s">
        <v>360</v>
      </c>
      <c r="EU401" s="36" t="s">
        <v>360</v>
      </c>
      <c r="FB401" s="36" t="s">
        <v>360</v>
      </c>
      <c r="FI401" s="36" t="s">
        <v>360</v>
      </c>
      <c r="FP401" s="36" t="s">
        <v>360</v>
      </c>
      <c r="FW401" s="36" t="s">
        <v>360</v>
      </c>
      <c r="GD401" s="36" t="s">
        <v>360</v>
      </c>
      <c r="GK401" s="36" t="s">
        <v>360</v>
      </c>
      <c r="GR401" s="36" t="s">
        <v>360</v>
      </c>
      <c r="GY401" s="36" t="s">
        <v>360</v>
      </c>
      <c r="HF401" s="36" t="s">
        <v>360</v>
      </c>
      <c r="HM401" s="36" t="s">
        <v>360</v>
      </c>
      <c r="HT401" s="36" t="s">
        <v>360</v>
      </c>
      <c r="IA401" s="36" t="s">
        <v>360</v>
      </c>
      <c r="IH401" s="36" t="s">
        <v>360</v>
      </c>
      <c r="IO401" s="36" t="s">
        <v>360</v>
      </c>
      <c r="IV401" s="36" t="s">
        <v>360</v>
      </c>
      <c r="JC401" s="36" t="s">
        <v>360</v>
      </c>
      <c r="JJ401" s="36" t="s">
        <v>360</v>
      </c>
      <c r="JQ401" s="36" t="s">
        <v>360</v>
      </c>
      <c r="JX401" s="36" t="s">
        <v>360</v>
      </c>
      <c r="KE401" s="36" t="s">
        <v>360</v>
      </c>
      <c r="KL401" s="36" t="s">
        <v>360</v>
      </c>
      <c r="KS401" s="36" t="s">
        <v>360</v>
      </c>
      <c r="KZ401" s="36" t="s">
        <v>360</v>
      </c>
      <c r="LF401" s="565"/>
      <c r="LG401" s="36" t="s">
        <v>360</v>
      </c>
      <c r="LM401" s="565"/>
      <c r="LN401" s="36" t="s">
        <v>360</v>
      </c>
      <c r="LT401" s="565"/>
      <c r="LU401" s="36" t="s">
        <v>360</v>
      </c>
      <c r="MA401" s="565"/>
      <c r="MB401" s="36" t="s">
        <v>360</v>
      </c>
      <c r="MH401" s="565"/>
    </row>
    <row r="402" spans="1:346" s="37" customFormat="1" ht="13.15" hidden="1" outlineLevel="1" x14ac:dyDescent="0.4">
      <c r="A402" s="35"/>
      <c r="B402" s="36" t="s">
        <v>362</v>
      </c>
      <c r="M402" s="37">
        <v>135.57608470791456</v>
      </c>
      <c r="N402" s="37">
        <f t="shared" si="7239"/>
        <v>11531.76923076923</v>
      </c>
      <c r="O402" s="37">
        <f t="shared" si="7240"/>
        <v>13078</v>
      </c>
      <c r="P402" s="37">
        <f t="shared" si="7241"/>
        <v>12592</v>
      </c>
      <c r="Q402" s="37">
        <f t="shared" si="7242"/>
        <v>12040</v>
      </c>
      <c r="R402" s="37">
        <f t="shared" si="7243"/>
        <v>11465</v>
      </c>
      <c r="S402" s="37">
        <f t="shared" si="7244"/>
        <v>9879</v>
      </c>
      <c r="T402" s="37">
        <f t="shared" si="7245"/>
        <v>0</v>
      </c>
      <c r="U402" s="37">
        <f t="shared" si="7246"/>
        <v>0</v>
      </c>
      <c r="V402" s="37">
        <f t="shared" si="7247"/>
        <v>0</v>
      </c>
      <c r="W402" s="37">
        <f t="shared" si="7248"/>
        <v>0</v>
      </c>
      <c r="X402" s="37">
        <f t="shared" si="7249"/>
        <v>0</v>
      </c>
      <c r="Y402" s="37">
        <f t="shared" si="7250"/>
        <v>0</v>
      </c>
      <c r="Z402" s="37">
        <f t="shared" si="7251"/>
        <v>0</v>
      </c>
      <c r="AA402" s="37">
        <f t="shared" si="7252"/>
        <v>0</v>
      </c>
      <c r="AB402" s="37">
        <f t="shared" si="7253"/>
        <v>0</v>
      </c>
      <c r="AC402" s="37">
        <f t="shared" si="7254"/>
        <v>0</v>
      </c>
      <c r="AD402" s="37">
        <f t="shared" si="7255"/>
        <v>0</v>
      </c>
      <c r="AE402" s="37">
        <f t="shared" si="7256"/>
        <v>0</v>
      </c>
      <c r="AF402" s="37">
        <f t="shared" si="7257"/>
        <v>0</v>
      </c>
      <c r="AG402" s="37">
        <f t="shared" si="7258"/>
        <v>0</v>
      </c>
      <c r="AH402" s="37">
        <f t="shared" si="7259"/>
        <v>0</v>
      </c>
      <c r="AI402" s="37">
        <f t="shared" si="7260"/>
        <v>0</v>
      </c>
      <c r="AJ402" s="37">
        <f t="shared" si="7261"/>
        <v>0</v>
      </c>
      <c r="AK402" s="37">
        <f t="shared" si="7262"/>
        <v>0</v>
      </c>
      <c r="AL402" s="37">
        <f t="shared" si="7263"/>
        <v>0</v>
      </c>
      <c r="AM402" s="37">
        <f t="shared" si="7264"/>
        <v>0</v>
      </c>
      <c r="AN402" s="37">
        <f t="shared" si="7265"/>
        <v>0</v>
      </c>
      <c r="AO402" s="37">
        <f t="shared" si="7266"/>
        <v>0</v>
      </c>
      <c r="AP402" s="37">
        <f t="shared" si="7267"/>
        <v>0</v>
      </c>
      <c r="AQ402" s="37">
        <f t="shared" si="7268"/>
        <v>0</v>
      </c>
      <c r="AR402" s="37">
        <f t="shared" si="7269"/>
        <v>0</v>
      </c>
      <c r="AS402" s="37">
        <f t="shared" si="7270"/>
        <v>0</v>
      </c>
      <c r="AT402" s="37">
        <f t="shared" si="7271"/>
        <v>0</v>
      </c>
      <c r="AU402" s="37">
        <f t="shared" si="7272"/>
        <v>372880</v>
      </c>
      <c r="AV402" s="37">
        <f t="shared" si="7273"/>
        <v>0</v>
      </c>
      <c r="AW402" s="37">
        <f t="shared" si="7274"/>
        <v>0</v>
      </c>
      <c r="AX402" s="37">
        <f t="shared" si="7275"/>
        <v>0</v>
      </c>
      <c r="AY402" s="37">
        <f t="shared" si="7276"/>
        <v>0</v>
      </c>
      <c r="AZ402" s="37">
        <f t="shared" si="7277"/>
        <v>0</v>
      </c>
      <c r="BA402" s="37">
        <f t="shared" si="7278"/>
        <v>0</v>
      </c>
      <c r="BO402" s="36" t="s">
        <v>362</v>
      </c>
      <c r="BP402" s="37">
        <v>1680.7692307692307</v>
      </c>
      <c r="BQ402" s="37">
        <v>2501</v>
      </c>
      <c r="BR402" s="37">
        <v>5041</v>
      </c>
      <c r="BS402" s="37">
        <v>2309</v>
      </c>
      <c r="BT402" s="37">
        <v>11531.76923076923</v>
      </c>
      <c r="BV402" s="36" t="s">
        <v>362</v>
      </c>
      <c r="BW402" s="37">
        <v>1748</v>
      </c>
      <c r="BX402" s="37">
        <v>3224</v>
      </c>
      <c r="BY402" s="37">
        <v>5231</v>
      </c>
      <c r="BZ402" s="37">
        <v>2875</v>
      </c>
      <c r="CA402" s="37">
        <v>13078</v>
      </c>
      <c r="CC402" s="36" t="s">
        <v>362</v>
      </c>
      <c r="CD402" s="37">
        <v>2225</v>
      </c>
      <c r="CE402" s="37">
        <v>2927</v>
      </c>
      <c r="CF402" s="37">
        <v>4791</v>
      </c>
      <c r="CG402" s="37">
        <v>2649</v>
      </c>
      <c r="CH402" s="37">
        <v>12592</v>
      </c>
      <c r="CJ402" s="36" t="s">
        <v>362</v>
      </c>
      <c r="CK402" s="37">
        <v>2722</v>
      </c>
      <c r="CL402" s="37">
        <v>2951</v>
      </c>
      <c r="CM402" s="37">
        <v>4518</v>
      </c>
      <c r="CN402" s="37">
        <v>1849</v>
      </c>
      <c r="CO402" s="37">
        <v>12040</v>
      </c>
      <c r="CQ402" s="36" t="s">
        <v>362</v>
      </c>
      <c r="CR402" s="37">
        <v>3078</v>
      </c>
      <c r="CS402" s="37">
        <v>2087</v>
      </c>
      <c r="CT402" s="37">
        <v>4047</v>
      </c>
      <c r="CU402" s="37">
        <v>2253</v>
      </c>
      <c r="CV402" s="37">
        <v>11465</v>
      </c>
      <c r="CX402" s="36" t="s">
        <v>362</v>
      </c>
      <c r="CY402" s="37">
        <v>2118</v>
      </c>
      <c r="CZ402" s="37">
        <v>1296</v>
      </c>
      <c r="DA402" s="37">
        <v>3898</v>
      </c>
      <c r="DB402" s="37">
        <v>2567</v>
      </c>
      <c r="DC402" s="37">
        <v>9879</v>
      </c>
      <c r="DE402" s="36" t="s">
        <v>362</v>
      </c>
      <c r="DF402" s="37">
        <v>0</v>
      </c>
      <c r="DH402" s="37">
        <v>0</v>
      </c>
      <c r="DI402" s="37">
        <v>0</v>
      </c>
      <c r="DL402" s="36" t="s">
        <v>362</v>
      </c>
      <c r="DM402" s="37">
        <v>0</v>
      </c>
      <c r="DO402" s="37">
        <v>0</v>
      </c>
      <c r="DS402" s="36" t="s">
        <v>362</v>
      </c>
      <c r="DZ402" s="36" t="s">
        <v>362</v>
      </c>
      <c r="EG402" s="36" t="s">
        <v>362</v>
      </c>
      <c r="EN402" s="36" t="s">
        <v>362</v>
      </c>
      <c r="EU402" s="36" t="s">
        <v>362</v>
      </c>
      <c r="FB402" s="36" t="s">
        <v>362</v>
      </c>
      <c r="FI402" s="36" t="s">
        <v>362</v>
      </c>
      <c r="FP402" s="36" t="s">
        <v>362</v>
      </c>
      <c r="FW402" s="36" t="s">
        <v>362</v>
      </c>
      <c r="GD402" s="36" t="s">
        <v>362</v>
      </c>
      <c r="GK402" s="36" t="s">
        <v>362</v>
      </c>
      <c r="GR402" s="36" t="s">
        <v>362</v>
      </c>
      <c r="GY402" s="36" t="s">
        <v>362</v>
      </c>
      <c r="HF402" s="36" t="s">
        <v>362</v>
      </c>
      <c r="HM402" s="36" t="s">
        <v>362</v>
      </c>
      <c r="HT402" s="36" t="s">
        <v>362</v>
      </c>
      <c r="IA402" s="36" t="s">
        <v>362</v>
      </c>
      <c r="IH402" s="36" t="s">
        <v>362</v>
      </c>
      <c r="IO402" s="36" t="s">
        <v>362</v>
      </c>
      <c r="IV402" s="36" t="s">
        <v>362</v>
      </c>
      <c r="JC402" s="36" t="s">
        <v>362</v>
      </c>
      <c r="JJ402" s="36" t="s">
        <v>362</v>
      </c>
      <c r="JQ402" s="36" t="s">
        <v>362</v>
      </c>
      <c r="JX402" s="36" t="s">
        <v>362</v>
      </c>
      <c r="KE402" s="36" t="s">
        <v>362</v>
      </c>
      <c r="KL402" s="36" t="s">
        <v>362</v>
      </c>
      <c r="KQ402" s="37">
        <v>372880</v>
      </c>
      <c r="KS402" s="36" t="s">
        <v>362</v>
      </c>
      <c r="KZ402" s="36" t="s">
        <v>362</v>
      </c>
      <c r="LF402" s="565"/>
      <c r="LG402" s="36" t="s">
        <v>362</v>
      </c>
      <c r="LM402" s="565"/>
      <c r="LN402" s="36" t="s">
        <v>362</v>
      </c>
      <c r="LT402" s="565"/>
      <c r="LU402" s="36" t="s">
        <v>362</v>
      </c>
      <c r="MA402" s="565"/>
      <c r="MB402" s="36" t="s">
        <v>362</v>
      </c>
      <c r="MH402" s="565"/>
    </row>
    <row r="403" spans="1:346" s="37" customFormat="1" ht="13.15" hidden="1" outlineLevel="1" x14ac:dyDescent="0.4">
      <c r="A403" s="35"/>
      <c r="B403" s="36" t="s">
        <v>12</v>
      </c>
      <c r="M403" s="37">
        <v>45214</v>
      </c>
      <c r="N403" s="37">
        <f t="shared" si="7239"/>
        <v>1064.6714471968705</v>
      </c>
      <c r="O403" s="37">
        <f t="shared" si="7240"/>
        <v>813</v>
      </c>
      <c r="P403" s="37">
        <f t="shared" si="7241"/>
        <v>1012</v>
      </c>
      <c r="Q403" s="37">
        <f t="shared" si="7242"/>
        <v>4294</v>
      </c>
      <c r="R403" s="37">
        <f t="shared" si="7243"/>
        <v>5901</v>
      </c>
      <c r="S403" s="37">
        <f t="shared" si="7244"/>
        <v>6911</v>
      </c>
      <c r="T403" s="37">
        <f t="shared" si="7245"/>
        <v>0</v>
      </c>
      <c r="U403" s="37">
        <f t="shared" si="7246"/>
        <v>0</v>
      </c>
      <c r="V403" s="37">
        <f t="shared" si="7247"/>
        <v>0</v>
      </c>
      <c r="W403" s="37">
        <f t="shared" si="7248"/>
        <v>0</v>
      </c>
      <c r="X403" s="37">
        <f t="shared" si="7249"/>
        <v>0</v>
      </c>
      <c r="Y403" s="37">
        <f t="shared" si="7250"/>
        <v>0</v>
      </c>
      <c r="Z403" s="37">
        <f t="shared" si="7251"/>
        <v>0</v>
      </c>
      <c r="AA403" s="37">
        <f t="shared" si="7252"/>
        <v>0</v>
      </c>
      <c r="AB403" s="37">
        <f t="shared" si="7253"/>
        <v>0</v>
      </c>
      <c r="AC403" s="37">
        <f t="shared" si="7254"/>
        <v>0</v>
      </c>
      <c r="AD403" s="37">
        <f t="shared" si="7255"/>
        <v>0</v>
      </c>
      <c r="AE403" s="37">
        <f t="shared" si="7256"/>
        <v>0</v>
      </c>
      <c r="AF403" s="37">
        <f t="shared" si="7257"/>
        <v>0</v>
      </c>
      <c r="AG403" s="37">
        <f t="shared" si="7258"/>
        <v>0</v>
      </c>
      <c r="AH403" s="37">
        <f t="shared" si="7259"/>
        <v>0</v>
      </c>
      <c r="AI403" s="37">
        <f t="shared" si="7260"/>
        <v>0</v>
      </c>
      <c r="AJ403" s="37">
        <f t="shared" si="7261"/>
        <v>0</v>
      </c>
      <c r="AK403" s="37">
        <f t="shared" si="7262"/>
        <v>0</v>
      </c>
      <c r="AL403" s="37">
        <f t="shared" si="7263"/>
        <v>0</v>
      </c>
      <c r="AM403" s="37">
        <f t="shared" si="7264"/>
        <v>0</v>
      </c>
      <c r="AN403" s="37">
        <f t="shared" si="7265"/>
        <v>0</v>
      </c>
      <c r="AO403" s="37">
        <f t="shared" si="7266"/>
        <v>0</v>
      </c>
      <c r="AP403" s="37">
        <f t="shared" si="7267"/>
        <v>0</v>
      </c>
      <c r="AQ403" s="37">
        <f t="shared" si="7268"/>
        <v>0</v>
      </c>
      <c r="AR403" s="37">
        <f t="shared" si="7269"/>
        <v>0</v>
      </c>
      <c r="AS403" s="37">
        <f t="shared" si="7270"/>
        <v>0</v>
      </c>
      <c r="AT403" s="37">
        <f t="shared" si="7271"/>
        <v>0</v>
      </c>
      <c r="AU403" s="37">
        <f t="shared" si="7272"/>
        <v>358416</v>
      </c>
      <c r="AV403" s="37">
        <f t="shared" si="7273"/>
        <v>0</v>
      </c>
      <c r="AW403" s="37">
        <f t="shared" si="7274"/>
        <v>0</v>
      </c>
      <c r="AX403" s="37">
        <f t="shared" si="7275"/>
        <v>0</v>
      </c>
      <c r="AY403" s="37">
        <f t="shared" si="7276"/>
        <v>0</v>
      </c>
      <c r="AZ403" s="37">
        <f t="shared" si="7277"/>
        <v>0</v>
      </c>
      <c r="BA403" s="37">
        <f t="shared" si="7278"/>
        <v>0</v>
      </c>
      <c r="BO403" s="36" t="s">
        <v>12</v>
      </c>
      <c r="BP403" s="37">
        <v>402.67144719687053</v>
      </c>
      <c r="BQ403" s="37">
        <v>204</v>
      </c>
      <c r="BR403" s="37">
        <v>278</v>
      </c>
      <c r="BS403" s="37">
        <v>180</v>
      </c>
      <c r="BT403" s="37">
        <v>1064.6714471968705</v>
      </c>
      <c r="BV403" s="36" t="s">
        <v>12</v>
      </c>
      <c r="BW403" s="37">
        <v>154</v>
      </c>
      <c r="BX403" s="37">
        <v>217</v>
      </c>
      <c r="BY403" s="37">
        <v>197</v>
      </c>
      <c r="BZ403" s="37">
        <v>245</v>
      </c>
      <c r="CA403" s="37">
        <v>813</v>
      </c>
      <c r="CC403" s="36" t="s">
        <v>12</v>
      </c>
      <c r="CD403" s="37">
        <v>186</v>
      </c>
      <c r="CE403" s="37">
        <v>273</v>
      </c>
      <c r="CF403" s="37">
        <v>318</v>
      </c>
      <c r="CG403" s="37">
        <v>235</v>
      </c>
      <c r="CH403" s="37">
        <v>1012</v>
      </c>
      <c r="CJ403" s="36" t="s">
        <v>12</v>
      </c>
      <c r="CK403" s="37">
        <v>975</v>
      </c>
      <c r="CL403" s="37">
        <v>1083</v>
      </c>
      <c r="CM403" s="37">
        <v>1391</v>
      </c>
      <c r="CN403" s="37">
        <v>845</v>
      </c>
      <c r="CO403" s="37">
        <v>4294</v>
      </c>
      <c r="CQ403" s="36" t="s">
        <v>12</v>
      </c>
      <c r="CR403" s="37">
        <v>1309</v>
      </c>
      <c r="CS403" s="37">
        <v>1816</v>
      </c>
      <c r="CT403" s="37">
        <v>1474</v>
      </c>
      <c r="CU403" s="37">
        <v>1302</v>
      </c>
      <c r="CV403" s="37">
        <v>5901</v>
      </c>
      <c r="CX403" s="36" t="s">
        <v>12</v>
      </c>
      <c r="CY403" s="37">
        <v>1581</v>
      </c>
      <c r="CZ403" s="37">
        <v>1412</v>
      </c>
      <c r="DA403" s="37">
        <v>2074</v>
      </c>
      <c r="DB403" s="37">
        <v>1844</v>
      </c>
      <c r="DC403" s="37">
        <v>6911</v>
      </c>
      <c r="DE403" s="36" t="s">
        <v>12</v>
      </c>
      <c r="DF403" s="37">
        <v>0</v>
      </c>
      <c r="DH403" s="37">
        <v>0</v>
      </c>
      <c r="DI403" s="37">
        <v>0</v>
      </c>
      <c r="DL403" s="36" t="s">
        <v>12</v>
      </c>
      <c r="DM403" s="37">
        <v>0</v>
      </c>
      <c r="DO403" s="37">
        <v>0</v>
      </c>
      <c r="DS403" s="36" t="s">
        <v>12</v>
      </c>
      <c r="DZ403" s="36" t="s">
        <v>12</v>
      </c>
      <c r="EG403" s="36" t="s">
        <v>12</v>
      </c>
      <c r="EN403" s="36" t="s">
        <v>12</v>
      </c>
      <c r="EU403" s="36" t="s">
        <v>12</v>
      </c>
      <c r="FB403" s="36" t="s">
        <v>12</v>
      </c>
      <c r="FI403" s="36" t="s">
        <v>12</v>
      </c>
      <c r="FP403" s="36" t="s">
        <v>12</v>
      </c>
      <c r="FW403" s="36" t="s">
        <v>12</v>
      </c>
      <c r="GD403" s="36" t="s">
        <v>12</v>
      </c>
      <c r="GK403" s="36" t="s">
        <v>12</v>
      </c>
      <c r="GR403" s="36" t="s">
        <v>12</v>
      </c>
      <c r="GY403" s="36" t="s">
        <v>12</v>
      </c>
      <c r="HF403" s="36" t="s">
        <v>12</v>
      </c>
      <c r="HM403" s="36" t="s">
        <v>12</v>
      </c>
      <c r="HT403" s="36" t="s">
        <v>12</v>
      </c>
      <c r="IA403" s="36" t="s">
        <v>12</v>
      </c>
      <c r="IH403" s="36" t="s">
        <v>12</v>
      </c>
      <c r="IO403" s="36" t="s">
        <v>12</v>
      </c>
      <c r="IV403" s="36" t="s">
        <v>12</v>
      </c>
      <c r="JC403" s="36" t="s">
        <v>12</v>
      </c>
      <c r="JJ403" s="36" t="s">
        <v>12</v>
      </c>
      <c r="JQ403" s="36" t="s">
        <v>12</v>
      </c>
      <c r="JX403" s="36" t="s">
        <v>12</v>
      </c>
      <c r="KE403" s="36" t="s">
        <v>12</v>
      </c>
      <c r="KL403" s="36" t="s">
        <v>12</v>
      </c>
      <c r="KQ403" s="37">
        <v>358416</v>
      </c>
      <c r="KS403" s="36" t="s">
        <v>12</v>
      </c>
      <c r="KZ403" s="36" t="s">
        <v>12</v>
      </c>
      <c r="LF403" s="565"/>
      <c r="LG403" s="36" t="s">
        <v>12</v>
      </c>
      <c r="LM403" s="565"/>
      <c r="LN403" s="36" t="s">
        <v>12</v>
      </c>
      <c r="LT403" s="565"/>
      <c r="LU403" s="36" t="s">
        <v>12</v>
      </c>
      <c r="MA403" s="565"/>
      <c r="MB403" s="36" t="s">
        <v>12</v>
      </c>
      <c r="MH403" s="565"/>
    </row>
    <row r="404" spans="1:346" s="37" customFormat="1" ht="13.15" hidden="1" outlineLevel="1" x14ac:dyDescent="0.4">
      <c r="A404" s="35"/>
      <c r="B404" s="36" t="s">
        <v>367</v>
      </c>
      <c r="M404" s="37">
        <v>11910.059171597633</v>
      </c>
      <c r="N404" s="37">
        <f t="shared" si="7239"/>
        <v>54685</v>
      </c>
      <c r="O404" s="37">
        <f t="shared" si="7240"/>
        <v>62862</v>
      </c>
      <c r="P404" s="37">
        <f t="shared" si="7241"/>
        <v>59777</v>
      </c>
      <c r="Q404" s="37">
        <f t="shared" si="7242"/>
        <v>62365</v>
      </c>
      <c r="R404" s="37">
        <f t="shared" si="7243"/>
        <v>66037</v>
      </c>
      <c r="S404" s="37">
        <f t="shared" si="7244"/>
        <v>63842</v>
      </c>
      <c r="T404" s="37">
        <f t="shared" si="7245"/>
        <v>0</v>
      </c>
      <c r="U404" s="37">
        <f t="shared" si="7246"/>
        <v>0</v>
      </c>
      <c r="V404" s="37">
        <f t="shared" si="7247"/>
        <v>0</v>
      </c>
      <c r="W404" s="37">
        <f t="shared" si="7248"/>
        <v>0</v>
      </c>
      <c r="X404" s="37">
        <f t="shared" si="7249"/>
        <v>0</v>
      </c>
      <c r="Y404" s="37">
        <f t="shared" si="7250"/>
        <v>0</v>
      </c>
      <c r="Z404" s="37">
        <f t="shared" si="7251"/>
        <v>0</v>
      </c>
      <c r="AA404" s="37">
        <f t="shared" si="7252"/>
        <v>0</v>
      </c>
      <c r="AB404" s="37">
        <f t="shared" si="7253"/>
        <v>0</v>
      </c>
      <c r="AC404" s="37">
        <f t="shared" si="7254"/>
        <v>0</v>
      </c>
      <c r="AD404" s="37">
        <f t="shared" si="7255"/>
        <v>0</v>
      </c>
      <c r="AE404" s="37">
        <f t="shared" si="7256"/>
        <v>0</v>
      </c>
      <c r="AF404" s="37">
        <f t="shared" si="7257"/>
        <v>0</v>
      </c>
      <c r="AG404" s="37">
        <f t="shared" si="7258"/>
        <v>0</v>
      </c>
      <c r="AH404" s="37">
        <f t="shared" si="7259"/>
        <v>0</v>
      </c>
      <c r="AI404" s="37">
        <f t="shared" si="7260"/>
        <v>0</v>
      </c>
      <c r="AJ404" s="37">
        <f t="shared" si="7261"/>
        <v>0</v>
      </c>
      <c r="AK404" s="37">
        <f t="shared" si="7262"/>
        <v>0</v>
      </c>
      <c r="AL404" s="37">
        <f t="shared" si="7263"/>
        <v>0</v>
      </c>
      <c r="AM404" s="37">
        <f t="shared" si="7264"/>
        <v>0</v>
      </c>
      <c r="AN404" s="37">
        <f t="shared" si="7265"/>
        <v>0</v>
      </c>
      <c r="AO404" s="37">
        <f t="shared" si="7266"/>
        <v>0</v>
      </c>
      <c r="AP404" s="37">
        <f t="shared" si="7267"/>
        <v>0</v>
      </c>
      <c r="AQ404" s="37">
        <f t="shared" si="7268"/>
        <v>0</v>
      </c>
      <c r="AR404" s="37">
        <f t="shared" si="7269"/>
        <v>0</v>
      </c>
      <c r="AS404" s="37">
        <f t="shared" si="7270"/>
        <v>0</v>
      </c>
      <c r="AT404" s="37">
        <f t="shared" si="7271"/>
        <v>0</v>
      </c>
      <c r="AU404" s="37">
        <f t="shared" si="7272"/>
        <v>352029</v>
      </c>
      <c r="AV404" s="37">
        <f t="shared" si="7273"/>
        <v>0</v>
      </c>
      <c r="AW404" s="37">
        <f t="shared" si="7274"/>
        <v>0</v>
      </c>
      <c r="AX404" s="37">
        <f t="shared" si="7275"/>
        <v>0</v>
      </c>
      <c r="AY404" s="37">
        <f t="shared" si="7276"/>
        <v>0</v>
      </c>
      <c r="AZ404" s="37">
        <f t="shared" si="7277"/>
        <v>0</v>
      </c>
      <c r="BA404" s="37">
        <f t="shared" si="7278"/>
        <v>0</v>
      </c>
      <c r="BO404" s="36" t="s">
        <v>367</v>
      </c>
      <c r="BP404" s="37">
        <v>9397</v>
      </c>
      <c r="BQ404" s="37">
        <v>14288</v>
      </c>
      <c r="BR404" s="37">
        <v>17125</v>
      </c>
      <c r="BS404" s="37">
        <v>13875</v>
      </c>
      <c r="BT404" s="37">
        <v>54685</v>
      </c>
      <c r="BV404" s="36" t="s">
        <v>367</v>
      </c>
      <c r="BW404" s="37">
        <v>10532</v>
      </c>
      <c r="BX404" s="37">
        <v>16297</v>
      </c>
      <c r="BY404" s="37">
        <v>20788</v>
      </c>
      <c r="BZ404" s="37">
        <v>15245</v>
      </c>
      <c r="CA404" s="37">
        <v>62862</v>
      </c>
      <c r="CC404" s="36" t="s">
        <v>367</v>
      </c>
      <c r="CD404" s="37">
        <v>11742</v>
      </c>
      <c r="CE404" s="37">
        <v>15874</v>
      </c>
      <c r="CF404" s="37">
        <v>17423</v>
      </c>
      <c r="CG404" s="37">
        <v>14738</v>
      </c>
      <c r="CH404" s="37">
        <v>59777</v>
      </c>
      <c r="CJ404" s="36" t="s">
        <v>367</v>
      </c>
      <c r="CK404" s="37">
        <v>13994</v>
      </c>
      <c r="CL404" s="37">
        <v>16564</v>
      </c>
      <c r="CM404" s="37">
        <v>17914</v>
      </c>
      <c r="CN404" s="37">
        <v>13893</v>
      </c>
      <c r="CO404" s="37">
        <v>62365</v>
      </c>
      <c r="CQ404" s="36" t="s">
        <v>367</v>
      </c>
      <c r="CR404" s="37">
        <v>14523</v>
      </c>
      <c r="CS404" s="37">
        <v>17444</v>
      </c>
      <c r="CT404" s="37">
        <v>19239</v>
      </c>
      <c r="CU404" s="37">
        <v>14831</v>
      </c>
      <c r="CV404" s="37">
        <v>66037</v>
      </c>
      <c r="CX404" s="36" t="s">
        <v>367</v>
      </c>
      <c r="CY404" s="37">
        <v>14634</v>
      </c>
      <c r="CZ404" s="37">
        <v>14375</v>
      </c>
      <c r="DA404" s="37">
        <v>18810</v>
      </c>
      <c r="DB404" s="37">
        <v>16023</v>
      </c>
      <c r="DC404" s="37">
        <v>63842</v>
      </c>
      <c r="DE404" s="36" t="s">
        <v>367</v>
      </c>
      <c r="DF404" s="37">
        <v>0</v>
      </c>
      <c r="DG404" s="37">
        <v>0</v>
      </c>
      <c r="DH404" s="37">
        <v>0</v>
      </c>
      <c r="DI404" s="37">
        <v>0</v>
      </c>
      <c r="DJ404" s="37">
        <v>0</v>
      </c>
      <c r="DL404" s="36" t="s">
        <v>367</v>
      </c>
      <c r="DM404" s="37">
        <v>0</v>
      </c>
      <c r="DO404" s="37">
        <v>0</v>
      </c>
      <c r="DP404" s="37">
        <v>0</v>
      </c>
      <c r="DQ404" s="37">
        <v>0</v>
      </c>
      <c r="DS404" s="36" t="s">
        <v>367</v>
      </c>
      <c r="DT404" s="37">
        <v>0</v>
      </c>
      <c r="DV404" s="37">
        <v>0</v>
      </c>
      <c r="DW404" s="37">
        <v>0</v>
      </c>
      <c r="DX404" s="37">
        <v>0</v>
      </c>
      <c r="DZ404" s="36" t="s">
        <v>367</v>
      </c>
      <c r="EA404" s="37">
        <v>0</v>
      </c>
      <c r="EC404" s="37">
        <v>0</v>
      </c>
      <c r="ED404" s="37">
        <v>0</v>
      </c>
      <c r="EE404" s="37">
        <v>0</v>
      </c>
      <c r="EG404" s="36" t="s">
        <v>367</v>
      </c>
      <c r="EH404" s="37">
        <v>0</v>
      </c>
      <c r="EJ404" s="37">
        <v>0</v>
      </c>
      <c r="EK404" s="37">
        <v>0</v>
      </c>
      <c r="EL404" s="37">
        <v>0</v>
      </c>
      <c r="EN404" s="36" t="s">
        <v>367</v>
      </c>
      <c r="EO404" s="37">
        <v>0</v>
      </c>
      <c r="EP404" s="37">
        <v>0</v>
      </c>
      <c r="EQ404" s="37">
        <v>0</v>
      </c>
      <c r="ER404" s="37">
        <v>0</v>
      </c>
      <c r="ES404" s="37">
        <v>0</v>
      </c>
      <c r="EU404" s="36" t="s">
        <v>367</v>
      </c>
      <c r="EV404" s="37">
        <v>0</v>
      </c>
      <c r="EW404" s="37">
        <v>0</v>
      </c>
      <c r="EX404" s="37">
        <v>0</v>
      </c>
      <c r="EY404" s="37">
        <v>0</v>
      </c>
      <c r="EZ404" s="37">
        <v>0</v>
      </c>
      <c r="FB404" s="36" t="s">
        <v>367</v>
      </c>
      <c r="FC404" s="37">
        <v>0</v>
      </c>
      <c r="FD404" s="37">
        <v>0</v>
      </c>
      <c r="FE404" s="37">
        <v>0</v>
      </c>
      <c r="FF404" s="37">
        <v>0</v>
      </c>
      <c r="FG404" s="37">
        <v>0</v>
      </c>
      <c r="FI404" s="36" t="s">
        <v>367</v>
      </c>
      <c r="FJ404" s="37">
        <v>0</v>
      </c>
      <c r="FK404" s="37">
        <v>0</v>
      </c>
      <c r="FL404" s="37">
        <v>0</v>
      </c>
      <c r="FM404" s="37">
        <v>0</v>
      </c>
      <c r="FN404" s="37">
        <v>0</v>
      </c>
      <c r="FP404" s="36" t="s">
        <v>367</v>
      </c>
      <c r="FQ404" s="37">
        <v>0</v>
      </c>
      <c r="FR404" s="37">
        <v>0</v>
      </c>
      <c r="FS404" s="37">
        <v>0</v>
      </c>
      <c r="FT404" s="37">
        <v>0</v>
      </c>
      <c r="FU404" s="37">
        <v>0</v>
      </c>
      <c r="FW404" s="36" t="s">
        <v>367</v>
      </c>
      <c r="GD404" s="36" t="s">
        <v>367</v>
      </c>
      <c r="GK404" s="36" t="s">
        <v>367</v>
      </c>
      <c r="GR404" s="36" t="s">
        <v>367</v>
      </c>
      <c r="GY404" s="36" t="s">
        <v>367</v>
      </c>
      <c r="HF404" s="36" t="s">
        <v>367</v>
      </c>
      <c r="HM404" s="36" t="s">
        <v>367</v>
      </c>
      <c r="HT404" s="36" t="s">
        <v>367</v>
      </c>
      <c r="IA404" s="36" t="s">
        <v>367</v>
      </c>
      <c r="IH404" s="36" t="s">
        <v>367</v>
      </c>
      <c r="IO404" s="36" t="s">
        <v>367</v>
      </c>
      <c r="IV404" s="36" t="s">
        <v>367</v>
      </c>
      <c r="JC404" s="36" t="s">
        <v>367</v>
      </c>
      <c r="JJ404" s="36" t="s">
        <v>367</v>
      </c>
      <c r="JQ404" s="36" t="s">
        <v>367</v>
      </c>
      <c r="JX404" s="36" t="s">
        <v>367</v>
      </c>
      <c r="KE404" s="36" t="s">
        <v>367</v>
      </c>
      <c r="KL404" s="36" t="s">
        <v>367</v>
      </c>
      <c r="KQ404" s="37">
        <v>352029</v>
      </c>
      <c r="KS404" s="36" t="s">
        <v>367</v>
      </c>
      <c r="KZ404" s="36" t="s">
        <v>367</v>
      </c>
      <c r="LF404" s="565"/>
      <c r="LG404" s="36" t="s">
        <v>367</v>
      </c>
      <c r="LM404" s="565"/>
      <c r="LN404" s="36" t="s">
        <v>367</v>
      </c>
      <c r="LT404" s="565"/>
      <c r="LU404" s="36" t="s">
        <v>367</v>
      </c>
      <c r="MA404" s="565"/>
      <c r="MB404" s="36" t="s">
        <v>367</v>
      </c>
      <c r="MH404" s="565"/>
    </row>
    <row r="405" spans="1:346" s="37" customFormat="1" ht="13.15" hidden="1" outlineLevel="1" x14ac:dyDescent="0.4">
      <c r="A405" s="35"/>
      <c r="B405" s="36" t="s">
        <v>359</v>
      </c>
      <c r="M405" s="37">
        <v>22686.792452830188</v>
      </c>
      <c r="N405" s="37">
        <f t="shared" si="7239"/>
        <v>20128</v>
      </c>
      <c r="O405" s="37">
        <f t="shared" si="7240"/>
        <v>37960</v>
      </c>
      <c r="P405" s="37">
        <f t="shared" si="7241"/>
        <v>67806</v>
      </c>
      <c r="Q405" s="37">
        <f t="shared" si="7242"/>
        <v>60335</v>
      </c>
      <c r="R405" s="37">
        <f t="shared" si="7243"/>
        <v>59940</v>
      </c>
      <c r="S405" s="37">
        <f t="shared" si="7244"/>
        <v>71269</v>
      </c>
      <c r="T405" s="37">
        <f t="shared" si="7245"/>
        <v>82661</v>
      </c>
      <c r="U405" s="37">
        <f t="shared" si="7246"/>
        <v>103513</v>
      </c>
      <c r="V405" s="37">
        <f t="shared" si="7247"/>
        <v>111002</v>
      </c>
      <c r="W405" s="37">
        <f t="shared" si="7248"/>
        <v>0</v>
      </c>
      <c r="X405" s="37">
        <f t="shared" si="7249"/>
        <v>0</v>
      </c>
      <c r="Y405" s="37">
        <f t="shared" si="7250"/>
        <v>0</v>
      </c>
      <c r="Z405" s="37">
        <f t="shared" si="7251"/>
        <v>0</v>
      </c>
      <c r="AA405" s="37">
        <f t="shared" si="7252"/>
        <v>0</v>
      </c>
      <c r="AB405" s="37">
        <f t="shared" si="7253"/>
        <v>0</v>
      </c>
      <c r="AC405" s="37">
        <f t="shared" si="7254"/>
        <v>0</v>
      </c>
      <c r="AD405" s="37">
        <f t="shared" si="7255"/>
        <v>0</v>
      </c>
      <c r="AE405" s="37">
        <f t="shared" si="7256"/>
        <v>0</v>
      </c>
      <c r="AF405" s="37">
        <f t="shared" si="7257"/>
        <v>0</v>
      </c>
      <c r="AG405" s="37">
        <f t="shared" si="7258"/>
        <v>0</v>
      </c>
      <c r="AH405" s="37">
        <f t="shared" si="7259"/>
        <v>0</v>
      </c>
      <c r="AI405" s="37">
        <f t="shared" si="7260"/>
        <v>0</v>
      </c>
      <c r="AJ405" s="37">
        <f t="shared" si="7261"/>
        <v>0</v>
      </c>
      <c r="AK405" s="37">
        <f t="shared" si="7262"/>
        <v>0</v>
      </c>
      <c r="AL405" s="37">
        <f t="shared" si="7263"/>
        <v>0</v>
      </c>
      <c r="AM405" s="37">
        <f t="shared" si="7264"/>
        <v>0</v>
      </c>
      <c r="AN405" s="37">
        <f t="shared" si="7265"/>
        <v>0</v>
      </c>
      <c r="AO405" s="37">
        <f t="shared" si="7266"/>
        <v>0</v>
      </c>
      <c r="AP405" s="37">
        <f t="shared" si="7267"/>
        <v>0</v>
      </c>
      <c r="AQ405" s="37">
        <f t="shared" si="7268"/>
        <v>0</v>
      </c>
      <c r="AR405" s="37">
        <f t="shared" si="7269"/>
        <v>0</v>
      </c>
      <c r="AS405" s="37">
        <f t="shared" si="7270"/>
        <v>0</v>
      </c>
      <c r="AT405" s="37">
        <f t="shared" si="7271"/>
        <v>0</v>
      </c>
      <c r="AU405" s="37">
        <f t="shared" si="7272"/>
        <v>308421</v>
      </c>
      <c r="AV405" s="37">
        <f t="shared" si="7273"/>
        <v>0</v>
      </c>
      <c r="AW405" s="37">
        <f t="shared" si="7274"/>
        <v>0</v>
      </c>
      <c r="AX405" s="37">
        <f t="shared" si="7275"/>
        <v>0</v>
      </c>
      <c r="AY405" s="37">
        <f t="shared" si="7276"/>
        <v>0</v>
      </c>
      <c r="AZ405" s="37">
        <f t="shared" si="7277"/>
        <v>0</v>
      </c>
      <c r="BA405" s="37">
        <f t="shared" si="7278"/>
        <v>0</v>
      </c>
      <c r="BO405" s="36" t="s">
        <v>359</v>
      </c>
      <c r="BQ405" s="37">
        <v>4307</v>
      </c>
      <c r="BR405" s="37">
        <v>6958</v>
      </c>
      <c r="BS405" s="37">
        <v>8863</v>
      </c>
      <c r="BT405" s="37">
        <v>20128</v>
      </c>
      <c r="BV405" s="36" t="s">
        <v>359</v>
      </c>
      <c r="BW405" s="37">
        <v>7652</v>
      </c>
      <c r="BX405" s="37">
        <v>7845</v>
      </c>
      <c r="BY405" s="37">
        <v>9049</v>
      </c>
      <c r="BZ405" s="37">
        <v>13414</v>
      </c>
      <c r="CA405" s="37">
        <v>37960</v>
      </c>
      <c r="CC405" s="36" t="s">
        <v>359</v>
      </c>
      <c r="CD405" s="37">
        <v>19054</v>
      </c>
      <c r="CE405" s="37">
        <v>12926</v>
      </c>
      <c r="CF405" s="37">
        <v>17170</v>
      </c>
      <c r="CG405" s="37">
        <v>18656</v>
      </c>
      <c r="CH405" s="37">
        <v>67806</v>
      </c>
      <c r="CJ405" s="36" t="s">
        <v>359</v>
      </c>
      <c r="CK405" s="37">
        <v>15010</v>
      </c>
      <c r="CL405" s="37">
        <v>16658</v>
      </c>
      <c r="CM405" s="37">
        <v>14445</v>
      </c>
      <c r="CN405" s="37">
        <v>14222</v>
      </c>
      <c r="CO405" s="37">
        <v>60335</v>
      </c>
      <c r="CQ405" s="36" t="s">
        <v>359</v>
      </c>
      <c r="CR405" s="37">
        <v>14386</v>
      </c>
      <c r="CS405" s="37">
        <v>13724</v>
      </c>
      <c r="CT405" s="37">
        <v>15296</v>
      </c>
      <c r="CU405" s="37">
        <v>16534</v>
      </c>
      <c r="CV405" s="37">
        <v>59940</v>
      </c>
      <c r="CX405" s="36" t="s">
        <v>359</v>
      </c>
      <c r="CY405" s="37">
        <v>16953</v>
      </c>
      <c r="CZ405" s="37">
        <v>16930</v>
      </c>
      <c r="DA405" s="37">
        <v>17296</v>
      </c>
      <c r="DB405" s="37">
        <v>20090</v>
      </c>
      <c r="DC405" s="37">
        <v>71269</v>
      </c>
      <c r="DE405" s="36" t="s">
        <v>359</v>
      </c>
      <c r="DF405" s="37">
        <v>20035</v>
      </c>
      <c r="DG405" s="37">
        <v>20884</v>
      </c>
      <c r="DH405" s="37">
        <v>18965</v>
      </c>
      <c r="DI405" s="37">
        <v>22777</v>
      </c>
      <c r="DJ405" s="37">
        <v>82661</v>
      </c>
      <c r="DL405" s="36" t="s">
        <v>359</v>
      </c>
      <c r="DM405" s="37">
        <v>21987</v>
      </c>
      <c r="DN405" s="37">
        <v>24167</v>
      </c>
      <c r="DO405" s="37">
        <v>25909</v>
      </c>
      <c r="DP405" s="37">
        <v>31450</v>
      </c>
      <c r="DQ405" s="37">
        <v>103513</v>
      </c>
      <c r="DS405" s="36" t="s">
        <v>359</v>
      </c>
      <c r="DT405" s="37">
        <v>26165</v>
      </c>
      <c r="DU405" s="37">
        <v>28484</v>
      </c>
      <c r="DV405" s="37">
        <v>29263</v>
      </c>
      <c r="DW405" s="37">
        <v>27090</v>
      </c>
      <c r="DX405" s="37">
        <v>111002</v>
      </c>
      <c r="DZ405" s="36" t="s">
        <v>359</v>
      </c>
      <c r="EA405" s="37">
        <v>20353</v>
      </c>
      <c r="EB405" s="37">
        <v>24723</v>
      </c>
      <c r="EC405" s="37">
        <v>20784</v>
      </c>
      <c r="ED405" s="37">
        <v>23245</v>
      </c>
      <c r="EG405" s="36" t="s">
        <v>359</v>
      </c>
      <c r="EH405" s="37">
        <v>25693</v>
      </c>
      <c r="EI405" s="37">
        <v>23990</v>
      </c>
      <c r="EJ405" s="37">
        <v>20575</v>
      </c>
      <c r="EN405" s="36" t="s">
        <v>359</v>
      </c>
      <c r="EU405" s="36" t="s">
        <v>359</v>
      </c>
      <c r="FB405" s="36" t="s">
        <v>359</v>
      </c>
      <c r="FI405" s="36" t="s">
        <v>359</v>
      </c>
      <c r="FP405" s="36" t="s">
        <v>359</v>
      </c>
      <c r="FW405" s="36" t="s">
        <v>359</v>
      </c>
      <c r="GD405" s="36" t="s">
        <v>359</v>
      </c>
      <c r="GK405" s="36" t="s">
        <v>359</v>
      </c>
      <c r="GR405" s="36" t="s">
        <v>359</v>
      </c>
      <c r="GY405" s="36" t="s">
        <v>359</v>
      </c>
      <c r="HF405" s="36" t="s">
        <v>359</v>
      </c>
      <c r="HM405" s="36" t="s">
        <v>359</v>
      </c>
      <c r="HT405" s="36" t="s">
        <v>359</v>
      </c>
      <c r="IA405" s="36" t="s">
        <v>359</v>
      </c>
      <c r="IH405" s="36" t="s">
        <v>359</v>
      </c>
      <c r="IO405" s="36" t="s">
        <v>359</v>
      </c>
      <c r="IV405" s="36" t="s">
        <v>359</v>
      </c>
      <c r="JC405" s="36" t="s">
        <v>359</v>
      </c>
      <c r="JJ405" s="36" t="s">
        <v>359</v>
      </c>
      <c r="JQ405" s="36" t="s">
        <v>359</v>
      </c>
      <c r="JX405" s="36" t="s">
        <v>359</v>
      </c>
      <c r="KE405" s="36" t="s">
        <v>359</v>
      </c>
      <c r="KL405" s="36" t="s">
        <v>359</v>
      </c>
      <c r="KQ405" s="37">
        <v>308421</v>
      </c>
      <c r="KS405" s="36" t="s">
        <v>359</v>
      </c>
      <c r="KZ405" s="36" t="s">
        <v>359</v>
      </c>
      <c r="LF405" s="565"/>
      <c r="LG405" s="36" t="s">
        <v>359</v>
      </c>
      <c r="LM405" s="565"/>
      <c r="LN405" s="36" t="s">
        <v>359</v>
      </c>
      <c r="LT405" s="565"/>
      <c r="LU405" s="36" t="s">
        <v>359</v>
      </c>
      <c r="MA405" s="565"/>
      <c r="MB405" s="36" t="s">
        <v>359</v>
      </c>
      <c r="MH405" s="565"/>
    </row>
    <row r="406" spans="1:346" s="37" customFormat="1" ht="13.15" hidden="1" outlineLevel="1" x14ac:dyDescent="0.4">
      <c r="A406" s="35"/>
      <c r="B406" s="36" t="s">
        <v>361</v>
      </c>
      <c r="N406" s="37">
        <f t="shared" si="7239"/>
        <v>24048</v>
      </c>
      <c r="O406" s="37">
        <f t="shared" si="7240"/>
        <v>42352</v>
      </c>
      <c r="P406" s="37">
        <f t="shared" si="7241"/>
        <v>71342</v>
      </c>
      <c r="Q406" s="37">
        <f t="shared" si="7242"/>
        <v>64256</v>
      </c>
      <c r="R406" s="37">
        <f t="shared" si="7243"/>
        <v>67082</v>
      </c>
      <c r="S406" s="37">
        <f t="shared" si="7244"/>
        <v>75320</v>
      </c>
      <c r="T406" s="37">
        <f t="shared" si="7245"/>
        <v>93054</v>
      </c>
      <c r="U406" s="37">
        <f t="shared" si="7246"/>
        <v>112222</v>
      </c>
      <c r="V406" s="37">
        <f t="shared" si="7247"/>
        <v>133322</v>
      </c>
      <c r="W406" s="37">
        <f t="shared" si="7248"/>
        <v>0</v>
      </c>
      <c r="X406" s="37">
        <f t="shared" si="7249"/>
        <v>0</v>
      </c>
      <c r="Y406" s="37">
        <f t="shared" si="7250"/>
        <v>0</v>
      </c>
      <c r="Z406" s="37">
        <f t="shared" si="7251"/>
        <v>0</v>
      </c>
      <c r="AA406" s="37">
        <f t="shared" si="7252"/>
        <v>0</v>
      </c>
      <c r="AB406" s="37">
        <f t="shared" si="7253"/>
        <v>0</v>
      </c>
      <c r="AC406" s="37">
        <f t="shared" si="7254"/>
        <v>0</v>
      </c>
      <c r="AD406" s="37">
        <f t="shared" si="7255"/>
        <v>0</v>
      </c>
      <c r="AE406" s="37">
        <f t="shared" si="7256"/>
        <v>0</v>
      </c>
      <c r="AF406" s="37">
        <f t="shared" si="7257"/>
        <v>0</v>
      </c>
      <c r="AG406" s="37">
        <f t="shared" si="7258"/>
        <v>0</v>
      </c>
      <c r="AH406" s="37">
        <f t="shared" si="7259"/>
        <v>0</v>
      </c>
      <c r="AI406" s="37">
        <f t="shared" si="7260"/>
        <v>0</v>
      </c>
      <c r="AJ406" s="37">
        <f t="shared" si="7261"/>
        <v>0</v>
      </c>
      <c r="AK406" s="37">
        <f t="shared" si="7262"/>
        <v>0</v>
      </c>
      <c r="AL406" s="37">
        <f t="shared" si="7263"/>
        <v>0</v>
      </c>
      <c r="AM406" s="37">
        <f t="shared" si="7264"/>
        <v>0</v>
      </c>
      <c r="AN406" s="37">
        <f t="shared" si="7265"/>
        <v>0</v>
      </c>
      <c r="AO406" s="37">
        <f t="shared" si="7266"/>
        <v>0</v>
      </c>
      <c r="AP406" s="37">
        <f t="shared" si="7267"/>
        <v>0</v>
      </c>
      <c r="AQ406" s="37">
        <f t="shared" si="7268"/>
        <v>0</v>
      </c>
      <c r="AR406" s="37">
        <f t="shared" si="7269"/>
        <v>0</v>
      </c>
      <c r="AS406" s="37">
        <f t="shared" si="7270"/>
        <v>0</v>
      </c>
      <c r="AT406" s="37">
        <f t="shared" si="7271"/>
        <v>0</v>
      </c>
      <c r="AU406" s="37">
        <f t="shared" si="7272"/>
        <v>0</v>
      </c>
      <c r="AV406" s="37">
        <f t="shared" si="7273"/>
        <v>0</v>
      </c>
      <c r="AW406" s="37">
        <f t="shared" si="7274"/>
        <v>0</v>
      </c>
      <c r="AX406" s="37">
        <f t="shared" si="7275"/>
        <v>0</v>
      </c>
      <c r="AY406" s="37">
        <f t="shared" si="7276"/>
        <v>0</v>
      </c>
      <c r="AZ406" s="37">
        <f t="shared" si="7277"/>
        <v>0</v>
      </c>
      <c r="BA406" s="37">
        <f t="shared" si="7278"/>
        <v>0</v>
      </c>
      <c r="BO406" s="36" t="s">
        <v>361</v>
      </c>
      <c r="BQ406" s="37">
        <v>7273</v>
      </c>
      <c r="BR406" s="37">
        <v>7681</v>
      </c>
      <c r="BS406" s="37">
        <v>9094</v>
      </c>
      <c r="BT406" s="37">
        <v>24048</v>
      </c>
      <c r="BV406" s="36" t="s">
        <v>361</v>
      </c>
      <c r="BW406" s="37">
        <v>8884</v>
      </c>
      <c r="BX406" s="37">
        <v>10226</v>
      </c>
      <c r="BY406" s="37">
        <v>10171</v>
      </c>
      <c r="BZ406" s="37">
        <v>13071</v>
      </c>
      <c r="CA406" s="37">
        <v>42352</v>
      </c>
      <c r="CC406" s="36" t="s">
        <v>361</v>
      </c>
      <c r="CD406" s="37">
        <v>15655</v>
      </c>
      <c r="CE406" s="37">
        <v>20464</v>
      </c>
      <c r="CF406" s="37">
        <v>18241</v>
      </c>
      <c r="CG406" s="37">
        <v>16982</v>
      </c>
      <c r="CH406" s="37">
        <v>71342</v>
      </c>
      <c r="CJ406" s="36" t="s">
        <v>361</v>
      </c>
      <c r="CK406" s="37">
        <v>15595</v>
      </c>
      <c r="CL406" s="37">
        <v>15396</v>
      </c>
      <c r="CM406" s="37">
        <v>17111</v>
      </c>
      <c r="CN406" s="37">
        <v>16154</v>
      </c>
      <c r="CO406" s="37">
        <v>64256</v>
      </c>
      <c r="CQ406" s="36" t="s">
        <v>361</v>
      </c>
      <c r="CR406" s="37">
        <v>16180</v>
      </c>
      <c r="CS406" s="37">
        <v>16053</v>
      </c>
      <c r="CT406" s="37">
        <v>16757</v>
      </c>
      <c r="CU406" s="37">
        <v>18092</v>
      </c>
      <c r="CV406" s="37">
        <v>67082</v>
      </c>
      <c r="CX406" s="36" t="s">
        <v>361</v>
      </c>
      <c r="CY406" s="37">
        <v>18179</v>
      </c>
      <c r="CZ406" s="37">
        <v>19947</v>
      </c>
      <c r="DA406" s="37">
        <v>17901</v>
      </c>
      <c r="DB406" s="37">
        <v>19293</v>
      </c>
      <c r="DC406" s="37">
        <v>75320</v>
      </c>
      <c r="DE406" s="36" t="s">
        <v>361</v>
      </c>
      <c r="DF406" s="37">
        <v>22275</v>
      </c>
      <c r="DG406" s="37">
        <v>22474</v>
      </c>
      <c r="DH406" s="37">
        <v>23520</v>
      </c>
      <c r="DI406" s="37">
        <v>24785</v>
      </c>
      <c r="DJ406" s="37">
        <v>93054</v>
      </c>
      <c r="DL406" s="36" t="s">
        <v>361</v>
      </c>
      <c r="DM406" s="37">
        <v>25722</v>
      </c>
      <c r="DN406" s="37">
        <v>26488</v>
      </c>
      <c r="DO406" s="37">
        <v>29227</v>
      </c>
      <c r="DP406" s="37">
        <v>30785</v>
      </c>
      <c r="DQ406" s="37">
        <v>112222</v>
      </c>
      <c r="DS406" s="36" t="s">
        <v>361</v>
      </c>
      <c r="DT406" s="37">
        <v>30866</v>
      </c>
      <c r="DU406" s="37">
        <v>34691</v>
      </c>
      <c r="DV406" s="37">
        <v>32587</v>
      </c>
      <c r="DW406" s="37">
        <v>35178</v>
      </c>
      <c r="DX406" s="37">
        <v>133322</v>
      </c>
      <c r="DZ406" s="36" t="s">
        <v>361</v>
      </c>
      <c r="EA406" s="37">
        <v>35009</v>
      </c>
      <c r="EB406" s="37">
        <v>34055</v>
      </c>
      <c r="EC406" s="37">
        <v>33078</v>
      </c>
      <c r="ED406" s="37">
        <v>33037</v>
      </c>
      <c r="EG406" s="36" t="s">
        <v>361</v>
      </c>
      <c r="EH406" s="37">
        <v>35809</v>
      </c>
      <c r="EI406" s="37">
        <v>34680</v>
      </c>
      <c r="EJ406" s="37">
        <v>37156</v>
      </c>
      <c r="EN406" s="36" t="s">
        <v>361</v>
      </c>
      <c r="EU406" s="36" t="s">
        <v>361</v>
      </c>
      <c r="FB406" s="36" t="s">
        <v>361</v>
      </c>
      <c r="FI406" s="36" t="s">
        <v>361</v>
      </c>
      <c r="FP406" s="36" t="s">
        <v>361</v>
      </c>
      <c r="FW406" s="36" t="s">
        <v>361</v>
      </c>
      <c r="GD406" s="36" t="s">
        <v>361</v>
      </c>
      <c r="GK406" s="36" t="s">
        <v>361</v>
      </c>
      <c r="GR406" s="36" t="s">
        <v>361</v>
      </c>
      <c r="GY406" s="36" t="s">
        <v>361</v>
      </c>
      <c r="HF406" s="36" t="s">
        <v>361</v>
      </c>
      <c r="HM406" s="36" t="s">
        <v>361</v>
      </c>
      <c r="HT406" s="36" t="s">
        <v>361</v>
      </c>
      <c r="IA406" s="36" t="s">
        <v>361</v>
      </c>
      <c r="IH406" s="36" t="s">
        <v>361</v>
      </c>
      <c r="IO406" s="36" t="s">
        <v>361</v>
      </c>
      <c r="IV406" s="36" t="s">
        <v>361</v>
      </c>
      <c r="JC406" s="36" t="s">
        <v>361</v>
      </c>
      <c r="JJ406" s="36" t="s">
        <v>361</v>
      </c>
      <c r="JQ406" s="36" t="s">
        <v>361</v>
      </c>
      <c r="JX406" s="36" t="s">
        <v>361</v>
      </c>
      <c r="KE406" s="36" t="s">
        <v>361</v>
      </c>
      <c r="KL406" s="36" t="s">
        <v>361</v>
      </c>
      <c r="KS406" s="36" t="s">
        <v>361</v>
      </c>
      <c r="KZ406" s="36" t="s">
        <v>361</v>
      </c>
      <c r="LF406" s="565"/>
      <c r="LG406" s="36" t="s">
        <v>361</v>
      </c>
      <c r="LM406" s="565"/>
      <c r="LN406" s="36" t="s">
        <v>361</v>
      </c>
      <c r="LT406" s="565"/>
      <c r="LU406" s="36" t="s">
        <v>361</v>
      </c>
      <c r="MA406" s="565"/>
      <c r="MB406" s="36" t="s">
        <v>361</v>
      </c>
      <c r="MH406" s="565"/>
    </row>
    <row r="407" spans="1:346" s="37" customFormat="1" ht="13.15" hidden="1" outlineLevel="1" x14ac:dyDescent="0.4">
      <c r="A407" s="35"/>
      <c r="B407" s="36" t="s">
        <v>360</v>
      </c>
      <c r="N407" s="37">
        <f t="shared" si="7239"/>
        <v>0</v>
      </c>
      <c r="O407" s="37">
        <f t="shared" si="7240"/>
        <v>0</v>
      </c>
      <c r="P407" s="37">
        <f t="shared" si="7241"/>
        <v>0</v>
      </c>
      <c r="Q407" s="37">
        <f t="shared" si="7242"/>
        <v>0</v>
      </c>
      <c r="R407" s="37">
        <f t="shared" si="7243"/>
        <v>0</v>
      </c>
      <c r="S407" s="37">
        <f t="shared" si="7244"/>
        <v>0</v>
      </c>
      <c r="T407" s="37">
        <f t="shared" si="7245"/>
        <v>0</v>
      </c>
      <c r="U407" s="37">
        <f t="shared" si="7246"/>
        <v>0</v>
      </c>
      <c r="V407" s="37">
        <f t="shared" si="7247"/>
        <v>0</v>
      </c>
      <c r="W407" s="37">
        <f t="shared" si="7248"/>
        <v>0</v>
      </c>
      <c r="X407" s="37">
        <f t="shared" si="7249"/>
        <v>0</v>
      </c>
      <c r="Y407" s="37">
        <f t="shared" si="7250"/>
        <v>0</v>
      </c>
      <c r="Z407" s="37">
        <f t="shared" si="7251"/>
        <v>0</v>
      </c>
      <c r="AA407" s="37">
        <f t="shared" si="7252"/>
        <v>0</v>
      </c>
      <c r="AB407" s="37">
        <f t="shared" si="7253"/>
        <v>0</v>
      </c>
      <c r="AC407" s="37">
        <f t="shared" si="7254"/>
        <v>0</v>
      </c>
      <c r="AD407" s="37">
        <f t="shared" si="7255"/>
        <v>0</v>
      </c>
      <c r="AE407" s="37">
        <f t="shared" si="7256"/>
        <v>0</v>
      </c>
      <c r="AF407" s="37">
        <f t="shared" si="7257"/>
        <v>0</v>
      </c>
      <c r="AG407" s="37">
        <f t="shared" si="7258"/>
        <v>0</v>
      </c>
      <c r="AH407" s="37">
        <f t="shared" si="7259"/>
        <v>0</v>
      </c>
      <c r="AI407" s="37">
        <f t="shared" si="7260"/>
        <v>0</v>
      </c>
      <c r="AJ407" s="37">
        <f t="shared" si="7261"/>
        <v>0</v>
      </c>
      <c r="AK407" s="37">
        <f t="shared" si="7262"/>
        <v>0</v>
      </c>
      <c r="AL407" s="37">
        <f t="shared" si="7263"/>
        <v>0</v>
      </c>
      <c r="AM407" s="37">
        <f t="shared" si="7264"/>
        <v>0</v>
      </c>
      <c r="AN407" s="37">
        <f t="shared" si="7265"/>
        <v>0</v>
      </c>
      <c r="AO407" s="37">
        <f t="shared" si="7266"/>
        <v>0</v>
      </c>
      <c r="AP407" s="37">
        <f t="shared" si="7267"/>
        <v>0</v>
      </c>
      <c r="AQ407" s="37">
        <f t="shared" si="7268"/>
        <v>0</v>
      </c>
      <c r="AR407" s="37">
        <f t="shared" si="7269"/>
        <v>0</v>
      </c>
      <c r="AS407" s="37">
        <f t="shared" si="7270"/>
        <v>0</v>
      </c>
      <c r="AT407" s="37">
        <f t="shared" si="7271"/>
        <v>0</v>
      </c>
      <c r="AU407" s="37">
        <f t="shared" si="7272"/>
        <v>0</v>
      </c>
      <c r="AV407" s="37">
        <f t="shared" si="7273"/>
        <v>0</v>
      </c>
      <c r="AW407" s="37">
        <f t="shared" si="7274"/>
        <v>0</v>
      </c>
      <c r="AX407" s="37">
        <f t="shared" si="7275"/>
        <v>0</v>
      </c>
      <c r="AY407" s="37">
        <f t="shared" si="7276"/>
        <v>0</v>
      </c>
      <c r="AZ407" s="37">
        <f t="shared" si="7277"/>
        <v>0</v>
      </c>
      <c r="BA407" s="37">
        <f t="shared" si="7278"/>
        <v>0</v>
      </c>
      <c r="BO407" s="36" t="s">
        <v>360</v>
      </c>
      <c r="BV407" s="36" t="s">
        <v>360</v>
      </c>
      <c r="CC407" s="36" t="s">
        <v>360</v>
      </c>
      <c r="CJ407" s="36" t="s">
        <v>360</v>
      </c>
      <c r="CQ407" s="36" t="s">
        <v>360</v>
      </c>
      <c r="CX407" s="36" t="s">
        <v>360</v>
      </c>
      <c r="DE407" s="36" t="s">
        <v>360</v>
      </c>
      <c r="DL407" s="36" t="s">
        <v>360</v>
      </c>
      <c r="DM407" s="37">
        <v>5007</v>
      </c>
      <c r="DS407" s="36" t="s">
        <v>360</v>
      </c>
      <c r="DT407" s="37">
        <v>4457</v>
      </c>
      <c r="DU407" s="37">
        <v>4557</v>
      </c>
      <c r="DV407" s="37">
        <v>3912</v>
      </c>
      <c r="DW407" s="37">
        <v>4252</v>
      </c>
      <c r="DZ407" s="36" t="s">
        <v>360</v>
      </c>
      <c r="EA407" s="37">
        <v>4785</v>
      </c>
      <c r="EB407" s="37">
        <v>5358</v>
      </c>
      <c r="EC407" s="37">
        <v>4638</v>
      </c>
      <c r="ED407" s="37">
        <v>4729</v>
      </c>
      <c r="EG407" s="36" t="s">
        <v>360</v>
      </c>
      <c r="EH407" s="37">
        <v>5724</v>
      </c>
      <c r="EI407" s="37">
        <v>5709</v>
      </c>
      <c r="EJ407" s="37">
        <v>6372</v>
      </c>
      <c r="EN407" s="36" t="s">
        <v>360</v>
      </c>
      <c r="EU407" s="36" t="s">
        <v>360</v>
      </c>
      <c r="FB407" s="36" t="s">
        <v>360</v>
      </c>
      <c r="FI407" s="36" t="s">
        <v>360</v>
      </c>
      <c r="FP407" s="36" t="s">
        <v>360</v>
      </c>
      <c r="FW407" s="36" t="s">
        <v>360</v>
      </c>
      <c r="GD407" s="36" t="s">
        <v>360</v>
      </c>
      <c r="GK407" s="36" t="s">
        <v>360</v>
      </c>
      <c r="GR407" s="36" t="s">
        <v>360</v>
      </c>
      <c r="GY407" s="36" t="s">
        <v>360</v>
      </c>
      <c r="HF407" s="36" t="s">
        <v>360</v>
      </c>
      <c r="HM407" s="36" t="s">
        <v>360</v>
      </c>
      <c r="HT407" s="36" t="s">
        <v>360</v>
      </c>
      <c r="IA407" s="36" t="s">
        <v>360</v>
      </c>
      <c r="IH407" s="36" t="s">
        <v>360</v>
      </c>
      <c r="IO407" s="36" t="s">
        <v>360</v>
      </c>
      <c r="IV407" s="36" t="s">
        <v>360</v>
      </c>
      <c r="JC407" s="36" t="s">
        <v>360</v>
      </c>
      <c r="JJ407" s="36" t="s">
        <v>360</v>
      </c>
      <c r="JQ407" s="36" t="s">
        <v>360</v>
      </c>
      <c r="JX407" s="36" t="s">
        <v>360</v>
      </c>
      <c r="KE407" s="36" t="s">
        <v>360</v>
      </c>
      <c r="KL407" s="36" t="s">
        <v>360</v>
      </c>
      <c r="KS407" s="36" t="s">
        <v>360</v>
      </c>
      <c r="KZ407" s="36" t="s">
        <v>360</v>
      </c>
      <c r="LF407" s="565"/>
      <c r="LG407" s="36" t="s">
        <v>360</v>
      </c>
      <c r="LM407" s="565"/>
      <c r="LN407" s="36" t="s">
        <v>360</v>
      </c>
      <c r="LT407" s="565"/>
      <c r="LU407" s="36" t="s">
        <v>360</v>
      </c>
      <c r="MA407" s="565"/>
      <c r="MB407" s="36" t="s">
        <v>360</v>
      </c>
      <c r="MH407" s="565"/>
    </row>
    <row r="408" spans="1:346" s="37" customFormat="1" ht="13.15" hidden="1" outlineLevel="1" x14ac:dyDescent="0.4">
      <c r="A408" s="35"/>
      <c r="B408" s="36" t="s">
        <v>362</v>
      </c>
      <c r="N408" s="37">
        <f t="shared" si="7239"/>
        <v>0</v>
      </c>
      <c r="O408" s="37">
        <f t="shared" si="7240"/>
        <v>0</v>
      </c>
      <c r="P408" s="37">
        <f t="shared" si="7241"/>
        <v>0</v>
      </c>
      <c r="Q408" s="37">
        <f t="shared" si="7242"/>
        <v>0</v>
      </c>
      <c r="R408" s="37">
        <f t="shared" si="7243"/>
        <v>0</v>
      </c>
      <c r="S408" s="37">
        <f t="shared" si="7244"/>
        <v>0</v>
      </c>
      <c r="T408" s="37">
        <f t="shared" si="7245"/>
        <v>0</v>
      </c>
      <c r="U408" s="37">
        <f t="shared" si="7246"/>
        <v>0</v>
      </c>
      <c r="V408" s="37">
        <f t="shared" si="7247"/>
        <v>0</v>
      </c>
      <c r="W408" s="37">
        <f t="shared" si="7248"/>
        <v>0</v>
      </c>
      <c r="X408" s="37">
        <f t="shared" si="7249"/>
        <v>0</v>
      </c>
      <c r="Y408" s="37">
        <f t="shared" si="7250"/>
        <v>0</v>
      </c>
      <c r="Z408" s="37">
        <f t="shared" si="7251"/>
        <v>0</v>
      </c>
      <c r="AA408" s="37">
        <f t="shared" si="7252"/>
        <v>0</v>
      </c>
      <c r="AB408" s="37">
        <f t="shared" si="7253"/>
        <v>0</v>
      </c>
      <c r="AC408" s="37">
        <f t="shared" si="7254"/>
        <v>0</v>
      </c>
      <c r="AD408" s="37">
        <f t="shared" si="7255"/>
        <v>0</v>
      </c>
      <c r="AE408" s="37">
        <f t="shared" si="7256"/>
        <v>0</v>
      </c>
      <c r="AF408" s="37">
        <f t="shared" si="7257"/>
        <v>0</v>
      </c>
      <c r="AG408" s="37">
        <f t="shared" si="7258"/>
        <v>0</v>
      </c>
      <c r="AH408" s="37">
        <f t="shared" si="7259"/>
        <v>0</v>
      </c>
      <c r="AI408" s="37">
        <f t="shared" si="7260"/>
        <v>0</v>
      </c>
      <c r="AJ408" s="37">
        <f t="shared" si="7261"/>
        <v>0</v>
      </c>
      <c r="AK408" s="37">
        <f t="shared" si="7262"/>
        <v>0</v>
      </c>
      <c r="AL408" s="37">
        <f t="shared" si="7263"/>
        <v>0</v>
      </c>
      <c r="AM408" s="37">
        <f t="shared" si="7264"/>
        <v>0</v>
      </c>
      <c r="AN408" s="37">
        <f t="shared" si="7265"/>
        <v>0</v>
      </c>
      <c r="AO408" s="37">
        <f t="shared" si="7266"/>
        <v>0</v>
      </c>
      <c r="AP408" s="37">
        <f t="shared" si="7267"/>
        <v>0</v>
      </c>
      <c r="AQ408" s="37">
        <f t="shared" si="7268"/>
        <v>0</v>
      </c>
      <c r="AR408" s="37">
        <f t="shared" si="7269"/>
        <v>0</v>
      </c>
      <c r="AS408" s="37">
        <f t="shared" si="7270"/>
        <v>0</v>
      </c>
      <c r="AT408" s="37">
        <f t="shared" si="7271"/>
        <v>0</v>
      </c>
      <c r="AU408" s="37">
        <f t="shared" si="7272"/>
        <v>3194</v>
      </c>
      <c r="AV408" s="37">
        <f t="shared" si="7273"/>
        <v>0</v>
      </c>
      <c r="AW408" s="37">
        <f t="shared" si="7274"/>
        <v>0</v>
      </c>
      <c r="AX408" s="37">
        <f t="shared" si="7275"/>
        <v>0</v>
      </c>
      <c r="AY408" s="37">
        <f t="shared" si="7276"/>
        <v>0</v>
      </c>
      <c r="AZ408" s="37">
        <f t="shared" si="7277"/>
        <v>0</v>
      </c>
      <c r="BA408" s="37">
        <f t="shared" si="7278"/>
        <v>0</v>
      </c>
      <c r="BO408" s="36" t="s">
        <v>362</v>
      </c>
      <c r="BV408" s="36" t="s">
        <v>362</v>
      </c>
      <c r="CC408" s="36" t="s">
        <v>362</v>
      </c>
      <c r="CJ408" s="36" t="s">
        <v>362</v>
      </c>
      <c r="CQ408" s="36" t="s">
        <v>362</v>
      </c>
      <c r="CX408" s="36" t="s">
        <v>362</v>
      </c>
      <c r="DE408" s="36" t="s">
        <v>362</v>
      </c>
      <c r="DL408" s="36" t="s">
        <v>362</v>
      </c>
      <c r="DM408" s="37">
        <v>4280</v>
      </c>
      <c r="DS408" s="36" t="s">
        <v>362</v>
      </c>
      <c r="DT408" s="37">
        <v>5050</v>
      </c>
      <c r="DU408" s="37">
        <v>5404</v>
      </c>
      <c r="DV408" s="37">
        <v>6244</v>
      </c>
      <c r="DW408" s="37">
        <v>5982</v>
      </c>
      <c r="DZ408" s="36" t="s">
        <v>362</v>
      </c>
      <c r="EA408" s="37">
        <v>6525</v>
      </c>
      <c r="EB408" s="37">
        <v>6808</v>
      </c>
      <c r="EC408" s="37">
        <v>6668</v>
      </c>
      <c r="ED408" s="37">
        <v>6090</v>
      </c>
      <c r="EG408" s="36" t="s">
        <v>362</v>
      </c>
      <c r="EH408" s="37">
        <v>6320</v>
      </c>
      <c r="EI408" s="37">
        <v>5671</v>
      </c>
      <c r="EJ408" s="37">
        <v>6969</v>
      </c>
      <c r="EN408" s="36" t="s">
        <v>362</v>
      </c>
      <c r="EU408" s="36" t="s">
        <v>362</v>
      </c>
      <c r="FB408" s="36" t="s">
        <v>362</v>
      </c>
      <c r="FI408" s="36" t="s">
        <v>362</v>
      </c>
      <c r="FP408" s="36" t="s">
        <v>362</v>
      </c>
      <c r="FW408" s="36" t="s">
        <v>362</v>
      </c>
      <c r="GD408" s="36" t="s">
        <v>362</v>
      </c>
      <c r="GK408" s="36" t="s">
        <v>362</v>
      </c>
      <c r="GR408" s="36" t="s">
        <v>362</v>
      </c>
      <c r="GY408" s="36" t="s">
        <v>362</v>
      </c>
      <c r="HF408" s="36" t="s">
        <v>362</v>
      </c>
      <c r="HM408" s="36" t="s">
        <v>362</v>
      </c>
      <c r="HT408" s="36" t="s">
        <v>362</v>
      </c>
      <c r="IA408" s="36" t="s">
        <v>362</v>
      </c>
      <c r="IH408" s="36" t="s">
        <v>362</v>
      </c>
      <c r="IO408" s="36" t="s">
        <v>362</v>
      </c>
      <c r="IV408" s="36" t="s">
        <v>362</v>
      </c>
      <c r="JC408" s="36" t="s">
        <v>362</v>
      </c>
      <c r="JJ408" s="36" t="s">
        <v>362</v>
      </c>
      <c r="JQ408" s="36" t="s">
        <v>362</v>
      </c>
      <c r="JX408" s="36" t="s">
        <v>362</v>
      </c>
      <c r="KE408" s="36" t="s">
        <v>362</v>
      </c>
      <c r="KL408" s="36" t="s">
        <v>362</v>
      </c>
      <c r="KQ408" s="37">
        <v>3194</v>
      </c>
      <c r="KS408" s="36" t="s">
        <v>362</v>
      </c>
      <c r="KZ408" s="36" t="s">
        <v>362</v>
      </c>
      <c r="LF408" s="565"/>
      <c r="LG408" s="36" t="s">
        <v>362</v>
      </c>
      <c r="LM408" s="565"/>
      <c r="LN408" s="36" t="s">
        <v>362</v>
      </c>
      <c r="LT408" s="565"/>
      <c r="LU408" s="36" t="s">
        <v>362</v>
      </c>
      <c r="MA408" s="565"/>
      <c r="MB408" s="36" t="s">
        <v>362</v>
      </c>
      <c r="MH408" s="565"/>
    </row>
    <row r="409" spans="1:346" s="37" customFormat="1" ht="13.15" hidden="1" outlineLevel="1" x14ac:dyDescent="0.4">
      <c r="A409" s="35"/>
      <c r="B409" s="36" t="s">
        <v>363</v>
      </c>
      <c r="M409" s="37">
        <v>27697</v>
      </c>
      <c r="N409" s="37">
        <f t="shared" si="7239"/>
        <v>6572</v>
      </c>
      <c r="O409" s="37">
        <f t="shared" si="7240"/>
        <v>3227</v>
      </c>
      <c r="P409" s="37">
        <f t="shared" si="7241"/>
        <v>5446</v>
      </c>
      <c r="Q409" s="37">
        <f t="shared" si="7242"/>
        <v>10556</v>
      </c>
      <c r="R409" s="37">
        <f t="shared" si="7243"/>
        <v>33129</v>
      </c>
      <c r="S409" s="37">
        <f t="shared" si="7244"/>
        <v>41649</v>
      </c>
      <c r="T409" s="37">
        <f t="shared" si="7245"/>
        <v>43237</v>
      </c>
      <c r="U409" s="37">
        <f t="shared" si="7246"/>
        <v>34333</v>
      </c>
      <c r="V409" s="37">
        <f t="shared" si="7247"/>
        <v>4095</v>
      </c>
      <c r="W409" s="37">
        <f t="shared" si="7248"/>
        <v>0</v>
      </c>
      <c r="X409" s="37">
        <f t="shared" si="7249"/>
        <v>0</v>
      </c>
      <c r="Y409" s="37">
        <f t="shared" si="7250"/>
        <v>0</v>
      </c>
      <c r="Z409" s="37">
        <f t="shared" si="7251"/>
        <v>0</v>
      </c>
      <c r="AA409" s="37">
        <f t="shared" si="7252"/>
        <v>0</v>
      </c>
      <c r="AB409" s="37">
        <f t="shared" si="7253"/>
        <v>0</v>
      </c>
      <c r="AC409" s="37">
        <f t="shared" si="7254"/>
        <v>0</v>
      </c>
      <c r="AD409" s="37">
        <f t="shared" si="7255"/>
        <v>0</v>
      </c>
      <c r="AE409" s="37">
        <f t="shared" si="7256"/>
        <v>0</v>
      </c>
      <c r="AF409" s="37">
        <f t="shared" si="7257"/>
        <v>0</v>
      </c>
      <c r="AG409" s="37">
        <f t="shared" si="7258"/>
        <v>0</v>
      </c>
      <c r="AH409" s="37">
        <f t="shared" si="7259"/>
        <v>0</v>
      </c>
      <c r="AI409" s="37">
        <f t="shared" si="7260"/>
        <v>0</v>
      </c>
      <c r="AJ409" s="37">
        <f t="shared" si="7261"/>
        <v>0</v>
      </c>
      <c r="AK409" s="37">
        <f t="shared" si="7262"/>
        <v>0</v>
      </c>
      <c r="AL409" s="37">
        <f t="shared" si="7263"/>
        <v>0</v>
      </c>
      <c r="AM409" s="37">
        <f t="shared" si="7264"/>
        <v>0</v>
      </c>
      <c r="AN409" s="37">
        <f t="shared" si="7265"/>
        <v>0</v>
      </c>
      <c r="AO409" s="37">
        <f t="shared" si="7266"/>
        <v>0</v>
      </c>
      <c r="AP409" s="37">
        <f t="shared" si="7267"/>
        <v>0</v>
      </c>
      <c r="AQ409" s="37">
        <f t="shared" si="7268"/>
        <v>0</v>
      </c>
      <c r="AR409" s="37">
        <f t="shared" si="7269"/>
        <v>0</v>
      </c>
      <c r="AS409" s="37">
        <f t="shared" si="7270"/>
        <v>0</v>
      </c>
      <c r="AT409" s="37">
        <f t="shared" si="7271"/>
        <v>0</v>
      </c>
      <c r="AU409" s="37">
        <f t="shared" si="7272"/>
        <v>237</v>
      </c>
      <c r="AV409" s="37">
        <f t="shared" si="7273"/>
        <v>0</v>
      </c>
      <c r="AW409" s="37">
        <f t="shared" si="7274"/>
        <v>0</v>
      </c>
      <c r="AX409" s="37">
        <f t="shared" si="7275"/>
        <v>0</v>
      </c>
      <c r="AY409" s="37">
        <f t="shared" si="7276"/>
        <v>0</v>
      </c>
      <c r="AZ409" s="37">
        <f t="shared" si="7277"/>
        <v>0</v>
      </c>
      <c r="BA409" s="37">
        <f t="shared" si="7278"/>
        <v>0</v>
      </c>
      <c r="BO409" s="36" t="s">
        <v>363</v>
      </c>
      <c r="BP409" s="37">
        <v>6979</v>
      </c>
      <c r="BQ409" s="37">
        <v>-2108</v>
      </c>
      <c r="BR409" s="37">
        <v>561</v>
      </c>
      <c r="BS409" s="37">
        <v>1140</v>
      </c>
      <c r="BT409" s="37">
        <v>6572</v>
      </c>
      <c r="BV409" s="36" t="s">
        <v>363</v>
      </c>
      <c r="BW409" s="37">
        <v>694</v>
      </c>
      <c r="BX409" s="37">
        <v>760</v>
      </c>
      <c r="BY409" s="37">
        <v>733</v>
      </c>
      <c r="BZ409" s="37">
        <v>1040</v>
      </c>
      <c r="CA409" s="37">
        <v>3227</v>
      </c>
      <c r="CC409" s="36" t="s">
        <v>363</v>
      </c>
      <c r="CD409" s="37">
        <v>1053</v>
      </c>
      <c r="CE409" s="37">
        <v>1292</v>
      </c>
      <c r="CF409" s="37">
        <v>1689</v>
      </c>
      <c r="CG409" s="37">
        <v>1412</v>
      </c>
      <c r="CH409" s="37">
        <v>5446</v>
      </c>
      <c r="CJ409" s="36" t="s">
        <v>363</v>
      </c>
      <c r="CK409" s="37">
        <v>1067</v>
      </c>
      <c r="CL409" s="37">
        <v>1029</v>
      </c>
      <c r="CM409" s="37">
        <v>759</v>
      </c>
      <c r="CN409" s="37">
        <v>7701</v>
      </c>
      <c r="CO409" s="37">
        <v>10556</v>
      </c>
      <c r="CQ409" s="36" t="s">
        <v>363</v>
      </c>
      <c r="CR409" s="37">
        <v>8058</v>
      </c>
      <c r="CS409" s="37">
        <v>7812</v>
      </c>
      <c r="CT409" s="37">
        <v>7983</v>
      </c>
      <c r="CU409" s="37">
        <v>9276</v>
      </c>
      <c r="CV409" s="37">
        <v>33129</v>
      </c>
      <c r="CX409" s="36" t="s">
        <v>363</v>
      </c>
      <c r="CY409" s="37">
        <v>10237</v>
      </c>
      <c r="CZ409" s="37">
        <v>10839</v>
      </c>
      <c r="DA409" s="37">
        <v>10870</v>
      </c>
      <c r="DB409" s="37">
        <v>9703</v>
      </c>
      <c r="DC409" s="37">
        <v>41649</v>
      </c>
      <c r="DE409" s="36" t="s">
        <v>363</v>
      </c>
      <c r="DF409" s="37">
        <v>10618</v>
      </c>
      <c r="DG409" s="37">
        <v>11255</v>
      </c>
      <c r="DH409" s="37">
        <v>10407</v>
      </c>
      <c r="DI409" s="37">
        <v>10957</v>
      </c>
      <c r="DJ409" s="37">
        <v>43237</v>
      </c>
      <c r="DL409" s="36" t="s">
        <v>363</v>
      </c>
      <c r="DM409" s="37">
        <v>1010</v>
      </c>
      <c r="DN409" s="37">
        <v>10702</v>
      </c>
      <c r="DO409" s="37">
        <v>11379</v>
      </c>
      <c r="DP409" s="37">
        <v>11242</v>
      </c>
      <c r="DQ409" s="37">
        <v>34333</v>
      </c>
      <c r="DS409" s="36" t="s">
        <v>363</v>
      </c>
      <c r="DT409" s="37">
        <v>808</v>
      </c>
      <c r="DU409" s="37">
        <v>1115</v>
      </c>
      <c r="DV409" s="37">
        <v>1080</v>
      </c>
      <c r="DW409" s="37">
        <v>1092</v>
      </c>
      <c r="DX409" s="37">
        <v>4095</v>
      </c>
      <c r="DZ409" s="36" t="s">
        <v>363</v>
      </c>
      <c r="EA409" s="37">
        <v>1117</v>
      </c>
      <c r="EB409" s="37">
        <v>1116</v>
      </c>
      <c r="EC409" s="37">
        <v>1536</v>
      </c>
      <c r="ED409" s="37">
        <v>1709</v>
      </c>
      <c r="EG409" s="36" t="s">
        <v>363</v>
      </c>
      <c r="EH409" s="37">
        <v>1912</v>
      </c>
      <c r="EI409" s="37">
        <v>1618</v>
      </c>
      <c r="EJ409" s="37">
        <v>1261</v>
      </c>
      <c r="EN409" s="36" t="s">
        <v>363</v>
      </c>
      <c r="EU409" s="36" t="s">
        <v>363</v>
      </c>
      <c r="FB409" s="36" t="s">
        <v>363</v>
      </c>
      <c r="FI409" s="36" t="s">
        <v>363</v>
      </c>
      <c r="FP409" s="36" t="s">
        <v>363</v>
      </c>
      <c r="FW409" s="36" t="s">
        <v>363</v>
      </c>
      <c r="GD409" s="36" t="s">
        <v>363</v>
      </c>
      <c r="GK409" s="36" t="s">
        <v>363</v>
      </c>
      <c r="GR409" s="36" t="s">
        <v>363</v>
      </c>
      <c r="GY409" s="36" t="s">
        <v>363</v>
      </c>
      <c r="HF409" s="36" t="s">
        <v>363</v>
      </c>
      <c r="HM409" s="36" t="s">
        <v>363</v>
      </c>
      <c r="HT409" s="36" t="s">
        <v>363</v>
      </c>
      <c r="IA409" s="36" t="s">
        <v>363</v>
      </c>
      <c r="IH409" s="36" t="s">
        <v>363</v>
      </c>
      <c r="IO409" s="36" t="s">
        <v>363</v>
      </c>
      <c r="IV409" s="36" t="s">
        <v>363</v>
      </c>
      <c r="JC409" s="36" t="s">
        <v>363</v>
      </c>
      <c r="JJ409" s="36" t="s">
        <v>363</v>
      </c>
      <c r="JQ409" s="36" t="s">
        <v>363</v>
      </c>
      <c r="JX409" s="36" t="s">
        <v>363</v>
      </c>
      <c r="KE409" s="36" t="s">
        <v>363</v>
      </c>
      <c r="KL409" s="36" t="s">
        <v>363</v>
      </c>
      <c r="KQ409" s="37">
        <v>237</v>
      </c>
      <c r="KS409" s="36" t="s">
        <v>363</v>
      </c>
      <c r="KZ409" s="36" t="s">
        <v>363</v>
      </c>
      <c r="LF409" s="565"/>
      <c r="LG409" s="36" t="s">
        <v>363</v>
      </c>
      <c r="LM409" s="565"/>
      <c r="LN409" s="36" t="s">
        <v>363</v>
      </c>
      <c r="LT409" s="565"/>
      <c r="LU409" s="36" t="s">
        <v>363</v>
      </c>
      <c r="MA409" s="565"/>
      <c r="MB409" s="36" t="s">
        <v>363</v>
      </c>
      <c r="MH409" s="565"/>
    </row>
    <row r="410" spans="1:346" s="37" customFormat="1" ht="13.15" hidden="1" outlineLevel="1" x14ac:dyDescent="0.4">
      <c r="A410" s="35"/>
      <c r="B410" s="36" t="s">
        <v>368</v>
      </c>
      <c r="N410" s="37">
        <f t="shared" si="7239"/>
        <v>50748</v>
      </c>
      <c r="O410" s="37">
        <f t="shared" si="7240"/>
        <v>83539</v>
      </c>
      <c r="P410" s="37">
        <f t="shared" si="7241"/>
        <v>144594</v>
      </c>
      <c r="Q410" s="37">
        <f t="shared" si="7242"/>
        <v>135147</v>
      </c>
      <c r="R410" s="37">
        <f t="shared" si="7243"/>
        <v>160151</v>
      </c>
      <c r="S410" s="37">
        <f t="shared" si="7244"/>
        <v>188238</v>
      </c>
      <c r="T410" s="37">
        <f t="shared" si="7245"/>
        <v>218952</v>
      </c>
      <c r="U410" s="37">
        <f t="shared" si="7246"/>
        <v>259405</v>
      </c>
      <c r="V410" s="37">
        <f t="shared" si="7247"/>
        <v>288277</v>
      </c>
      <c r="W410" s="37">
        <f t="shared" si="7248"/>
        <v>275363</v>
      </c>
      <c r="X410" s="37">
        <f t="shared" si="7249"/>
        <v>293429.75</v>
      </c>
      <c r="Y410" s="37">
        <f t="shared" si="7250"/>
        <v>0</v>
      </c>
      <c r="Z410" s="37">
        <f t="shared" si="7251"/>
        <v>0</v>
      </c>
      <c r="AA410" s="37">
        <f t="shared" si="7252"/>
        <v>0</v>
      </c>
      <c r="AB410" s="37">
        <f t="shared" si="7253"/>
        <v>0</v>
      </c>
      <c r="AC410" s="37">
        <f t="shared" si="7254"/>
        <v>0</v>
      </c>
      <c r="AD410" s="37">
        <f t="shared" si="7255"/>
        <v>0</v>
      </c>
      <c r="AE410" s="37">
        <f t="shared" si="7256"/>
        <v>0</v>
      </c>
      <c r="AF410" s="37">
        <f t="shared" si="7257"/>
        <v>0</v>
      </c>
      <c r="AG410" s="37">
        <f t="shared" si="7258"/>
        <v>0</v>
      </c>
      <c r="AH410" s="37">
        <f t="shared" si="7259"/>
        <v>0</v>
      </c>
      <c r="AI410" s="37">
        <f t="shared" si="7260"/>
        <v>0</v>
      </c>
      <c r="AJ410" s="37">
        <f t="shared" si="7261"/>
        <v>0</v>
      </c>
      <c r="AK410" s="37">
        <f t="shared" si="7262"/>
        <v>0</v>
      </c>
      <c r="AL410" s="37">
        <f t="shared" si="7263"/>
        <v>0</v>
      </c>
      <c r="AM410" s="37">
        <f t="shared" si="7264"/>
        <v>0</v>
      </c>
      <c r="AN410" s="37">
        <f t="shared" si="7265"/>
        <v>0</v>
      </c>
      <c r="AO410" s="37">
        <f t="shared" si="7266"/>
        <v>0</v>
      </c>
      <c r="AP410" s="37">
        <f t="shared" si="7267"/>
        <v>0</v>
      </c>
      <c r="AQ410" s="37">
        <f t="shared" si="7268"/>
        <v>0</v>
      </c>
      <c r="AR410" s="37">
        <f t="shared" si="7269"/>
        <v>0</v>
      </c>
      <c r="AS410" s="37">
        <f t="shared" si="7270"/>
        <v>0</v>
      </c>
      <c r="AT410" s="37">
        <f t="shared" si="7271"/>
        <v>0</v>
      </c>
      <c r="AU410" s="37">
        <f t="shared" si="7272"/>
        <v>177</v>
      </c>
      <c r="AV410" s="37">
        <f t="shared" si="7273"/>
        <v>0</v>
      </c>
      <c r="AW410" s="37">
        <f t="shared" si="7274"/>
        <v>0</v>
      </c>
      <c r="AX410" s="37">
        <f t="shared" si="7275"/>
        <v>0</v>
      </c>
      <c r="AY410" s="37">
        <f t="shared" si="7276"/>
        <v>0</v>
      </c>
      <c r="AZ410" s="37">
        <f t="shared" si="7277"/>
        <v>0</v>
      </c>
      <c r="BA410" s="37">
        <f t="shared" si="7278"/>
        <v>0</v>
      </c>
      <c r="BO410" s="36" t="s">
        <v>368</v>
      </c>
      <c r="BP410" s="37">
        <v>6979</v>
      </c>
      <c r="BQ410" s="37">
        <v>9472</v>
      </c>
      <c r="BR410" s="37">
        <v>15200</v>
      </c>
      <c r="BS410" s="37">
        <v>19097</v>
      </c>
      <c r="BT410" s="37">
        <v>50748</v>
      </c>
      <c r="BV410" s="36" t="s">
        <v>368</v>
      </c>
      <c r="BW410" s="37">
        <v>17230</v>
      </c>
      <c r="BX410" s="37">
        <v>18831</v>
      </c>
      <c r="BY410" s="37">
        <v>19953</v>
      </c>
      <c r="BZ410" s="37">
        <v>27525</v>
      </c>
      <c r="CA410" s="37">
        <v>83539</v>
      </c>
      <c r="CC410" s="36" t="s">
        <v>368</v>
      </c>
      <c r="CD410" s="37">
        <v>35762</v>
      </c>
      <c r="CE410" s="37">
        <v>34682</v>
      </c>
      <c r="CF410" s="37">
        <v>37100</v>
      </c>
      <c r="CG410" s="37">
        <v>37050</v>
      </c>
      <c r="CH410" s="37">
        <v>144594</v>
      </c>
      <c r="CJ410" s="36" t="s">
        <v>368</v>
      </c>
      <c r="CK410" s="37">
        <v>31672</v>
      </c>
      <c r="CL410" s="37">
        <v>33083</v>
      </c>
      <c r="CM410" s="37">
        <v>32315</v>
      </c>
      <c r="CN410" s="37">
        <v>38077</v>
      </c>
      <c r="CO410" s="37">
        <v>135147</v>
      </c>
      <c r="CQ410" s="36" t="s">
        <v>368</v>
      </c>
      <c r="CR410" s="37">
        <v>38624</v>
      </c>
      <c r="CS410" s="37">
        <v>37589</v>
      </c>
      <c r="CT410" s="37">
        <v>40036</v>
      </c>
      <c r="CU410" s="37">
        <v>43902</v>
      </c>
      <c r="CV410" s="37">
        <v>160151</v>
      </c>
      <c r="CX410" s="36" t="s">
        <v>368</v>
      </c>
      <c r="CY410" s="37">
        <v>45369</v>
      </c>
      <c r="CZ410" s="37">
        <v>47716</v>
      </c>
      <c r="DA410" s="37">
        <v>46067</v>
      </c>
      <c r="DB410" s="37">
        <v>49086</v>
      </c>
      <c r="DC410" s="37">
        <v>188238</v>
      </c>
      <c r="DE410" s="36" t="s">
        <v>368</v>
      </c>
      <c r="DF410" s="37">
        <v>52928</v>
      </c>
      <c r="DG410" s="37">
        <v>54613</v>
      </c>
      <c r="DH410" s="37">
        <v>52892</v>
      </c>
      <c r="DI410" s="37">
        <v>58519</v>
      </c>
      <c r="DJ410" s="37">
        <v>218952</v>
      </c>
      <c r="DL410" s="36" t="s">
        <v>368</v>
      </c>
      <c r="DM410" s="37">
        <v>58056</v>
      </c>
      <c r="DN410" s="37">
        <v>61357</v>
      </c>
      <c r="DO410" s="37">
        <v>66515</v>
      </c>
      <c r="DP410" s="37">
        <v>73477</v>
      </c>
      <c r="DQ410" s="37">
        <v>259405</v>
      </c>
      <c r="DS410" s="36" t="s">
        <v>368</v>
      </c>
      <c r="DT410" s="37">
        <v>67346</v>
      </c>
      <c r="DU410" s="37">
        <v>74251</v>
      </c>
      <c r="DV410" s="37">
        <v>73086</v>
      </c>
      <c r="DW410" s="37">
        <v>73594</v>
      </c>
      <c r="DX410" s="37">
        <v>288277</v>
      </c>
      <c r="DZ410" s="36" t="s">
        <v>368</v>
      </c>
      <c r="EA410" s="37">
        <v>67789</v>
      </c>
      <c r="EB410" s="37">
        <v>72060</v>
      </c>
      <c r="EC410" s="37">
        <v>66704</v>
      </c>
      <c r="ED410" s="37">
        <v>68810</v>
      </c>
      <c r="EE410" s="37">
        <v>275363</v>
      </c>
      <c r="EG410" s="36" t="s">
        <v>368</v>
      </c>
      <c r="EH410" s="37">
        <v>75458</v>
      </c>
      <c r="EI410" s="37">
        <v>71668</v>
      </c>
      <c r="EJ410" s="37">
        <v>72333</v>
      </c>
      <c r="EK410" s="37">
        <v>73970.75</v>
      </c>
      <c r="EL410" s="37">
        <v>293429.75</v>
      </c>
      <c r="EN410" s="36" t="s">
        <v>368</v>
      </c>
      <c r="EO410" s="37">
        <v>0</v>
      </c>
      <c r="EP410" s="37">
        <v>0</v>
      </c>
      <c r="ES410" s="37">
        <v>0</v>
      </c>
      <c r="EU410" s="36" t="s">
        <v>368</v>
      </c>
      <c r="EZ410" s="37">
        <v>0</v>
      </c>
      <c r="FB410" s="36" t="s">
        <v>368</v>
      </c>
      <c r="FG410" s="37">
        <v>0</v>
      </c>
      <c r="FI410" s="36" t="s">
        <v>368</v>
      </c>
      <c r="FN410" s="37">
        <v>0</v>
      </c>
      <c r="FP410" s="36" t="s">
        <v>368</v>
      </c>
      <c r="FU410" s="37">
        <v>0</v>
      </c>
      <c r="FW410" s="36" t="s">
        <v>368</v>
      </c>
      <c r="GD410" s="36" t="s">
        <v>368</v>
      </c>
      <c r="GK410" s="36" t="s">
        <v>368</v>
      </c>
      <c r="GR410" s="36" t="s">
        <v>368</v>
      </c>
      <c r="GY410" s="36" t="s">
        <v>368</v>
      </c>
      <c r="HF410" s="36" t="s">
        <v>368</v>
      </c>
      <c r="HM410" s="36" t="s">
        <v>368</v>
      </c>
      <c r="HT410" s="36" t="s">
        <v>368</v>
      </c>
      <c r="IA410" s="36" t="s">
        <v>368</v>
      </c>
      <c r="IH410" s="36" t="s">
        <v>368</v>
      </c>
      <c r="IO410" s="36" t="s">
        <v>368</v>
      </c>
      <c r="IV410" s="36" t="s">
        <v>368</v>
      </c>
      <c r="JC410" s="36" t="s">
        <v>368</v>
      </c>
      <c r="JJ410" s="36" t="s">
        <v>368</v>
      </c>
      <c r="JQ410" s="36" t="s">
        <v>368</v>
      </c>
      <c r="JX410" s="36" t="s">
        <v>368</v>
      </c>
      <c r="KE410" s="36" t="s">
        <v>368</v>
      </c>
      <c r="KL410" s="36" t="s">
        <v>368</v>
      </c>
      <c r="KQ410" s="37">
        <v>177</v>
      </c>
      <c r="KS410" s="36" t="s">
        <v>368</v>
      </c>
      <c r="KZ410" s="36" t="s">
        <v>368</v>
      </c>
      <c r="LF410" s="565"/>
      <c r="LG410" s="36" t="s">
        <v>368</v>
      </c>
      <c r="LM410" s="565"/>
      <c r="LN410" s="36" t="s">
        <v>368</v>
      </c>
      <c r="LT410" s="565"/>
      <c r="LU410" s="36" t="s">
        <v>368</v>
      </c>
      <c r="MA410" s="565"/>
      <c r="MB410" s="36" t="s">
        <v>368</v>
      </c>
      <c r="MH410" s="565"/>
    </row>
    <row r="411" spans="1:346" s="37" customFormat="1" ht="13.15" hidden="1" outlineLevel="1" x14ac:dyDescent="0.4">
      <c r="A411" s="35"/>
      <c r="B411" s="36" t="s">
        <v>12</v>
      </c>
      <c r="H411" s="37">
        <v>715000</v>
      </c>
      <c r="I411" s="37">
        <v>735000</v>
      </c>
      <c r="J411" s="37">
        <v>718000</v>
      </c>
      <c r="K411" s="37">
        <v>747000</v>
      </c>
      <c r="L411" s="37">
        <v>787000</v>
      </c>
      <c r="M411" s="37">
        <v>873683.72644032433</v>
      </c>
      <c r="N411" s="37">
        <f t="shared" si="7239"/>
        <v>0</v>
      </c>
      <c r="O411" s="37">
        <f t="shared" si="7240"/>
        <v>0</v>
      </c>
      <c r="P411" s="37">
        <f t="shared" si="7241"/>
        <v>0</v>
      </c>
      <c r="Q411" s="37">
        <f t="shared" si="7242"/>
        <v>0</v>
      </c>
      <c r="R411" s="37">
        <f t="shared" si="7243"/>
        <v>0</v>
      </c>
      <c r="S411" s="37">
        <f t="shared" si="7244"/>
        <v>0</v>
      </c>
      <c r="T411" s="37">
        <f t="shared" si="7245"/>
        <v>0</v>
      </c>
      <c r="U411" s="37">
        <f t="shared" si="7246"/>
        <v>5837</v>
      </c>
      <c r="V411" s="37">
        <f t="shared" si="7247"/>
        <v>0</v>
      </c>
      <c r="W411" s="37">
        <f t="shared" si="7248"/>
        <v>0</v>
      </c>
      <c r="X411" s="37">
        <f t="shared" si="7249"/>
        <v>0</v>
      </c>
      <c r="Y411" s="37">
        <f t="shared" si="7250"/>
        <v>0</v>
      </c>
      <c r="Z411" s="37">
        <f t="shared" si="7251"/>
        <v>0</v>
      </c>
      <c r="AA411" s="37">
        <f t="shared" si="7252"/>
        <v>0</v>
      </c>
      <c r="AB411" s="37">
        <f t="shared" si="7253"/>
        <v>0</v>
      </c>
      <c r="AC411" s="37">
        <f t="shared" si="7254"/>
        <v>0</v>
      </c>
      <c r="AD411" s="37">
        <f t="shared" si="7255"/>
        <v>0</v>
      </c>
      <c r="AE411" s="37">
        <f t="shared" si="7256"/>
        <v>0</v>
      </c>
      <c r="AF411" s="37">
        <f t="shared" si="7257"/>
        <v>0</v>
      </c>
      <c r="AG411" s="37">
        <f t="shared" si="7258"/>
        <v>0</v>
      </c>
      <c r="AH411" s="37">
        <f t="shared" si="7259"/>
        <v>0</v>
      </c>
      <c r="AI411" s="37">
        <f t="shared" si="7260"/>
        <v>0</v>
      </c>
      <c r="AJ411" s="37">
        <f t="shared" si="7261"/>
        <v>0</v>
      </c>
      <c r="AK411" s="37">
        <f t="shared" si="7262"/>
        <v>0</v>
      </c>
      <c r="AL411" s="37">
        <f t="shared" si="7263"/>
        <v>0</v>
      </c>
      <c r="AM411" s="37">
        <f t="shared" si="7264"/>
        <v>0</v>
      </c>
      <c r="AN411" s="37">
        <f t="shared" si="7265"/>
        <v>0</v>
      </c>
      <c r="AO411" s="37">
        <f t="shared" si="7266"/>
        <v>0</v>
      </c>
      <c r="AP411" s="37">
        <f t="shared" si="7267"/>
        <v>0</v>
      </c>
      <c r="AQ411" s="37">
        <f t="shared" si="7268"/>
        <v>0</v>
      </c>
      <c r="AR411" s="37">
        <f t="shared" si="7269"/>
        <v>0</v>
      </c>
      <c r="AS411" s="37">
        <f t="shared" si="7270"/>
        <v>0</v>
      </c>
      <c r="AT411" s="37">
        <f t="shared" si="7271"/>
        <v>0</v>
      </c>
      <c r="AU411" s="37">
        <f t="shared" si="7272"/>
        <v>3608</v>
      </c>
      <c r="AV411" s="37">
        <f t="shared" si="7273"/>
        <v>0</v>
      </c>
      <c r="AW411" s="37">
        <f t="shared" si="7274"/>
        <v>0</v>
      </c>
      <c r="AX411" s="37">
        <f t="shared" si="7275"/>
        <v>0</v>
      </c>
      <c r="AY411" s="37">
        <f t="shared" si="7276"/>
        <v>0</v>
      </c>
      <c r="AZ411" s="37">
        <f t="shared" si="7277"/>
        <v>0</v>
      </c>
      <c r="BA411" s="37">
        <f t="shared" si="7278"/>
        <v>0</v>
      </c>
      <c r="BO411" s="36" t="s">
        <v>12</v>
      </c>
      <c r="BV411" s="36" t="s">
        <v>12</v>
      </c>
      <c r="CC411" s="36" t="s">
        <v>12</v>
      </c>
      <c r="CJ411" s="36" t="s">
        <v>12</v>
      </c>
      <c r="CQ411" s="36" t="s">
        <v>12</v>
      </c>
      <c r="CX411" s="36" t="s">
        <v>12</v>
      </c>
      <c r="DE411" s="36" t="s">
        <v>12</v>
      </c>
      <c r="DL411" s="36" t="s">
        <v>12</v>
      </c>
      <c r="DM411" s="37">
        <v>3078</v>
      </c>
      <c r="DN411" s="37">
        <v>2759</v>
      </c>
      <c r="DQ411" s="37">
        <v>5837</v>
      </c>
      <c r="DS411" s="36" t="s">
        <v>12</v>
      </c>
      <c r="DX411" s="37">
        <v>0</v>
      </c>
      <c r="DZ411" s="36" t="s">
        <v>12</v>
      </c>
      <c r="EG411" s="36" t="s">
        <v>12</v>
      </c>
      <c r="EN411" s="36" t="s">
        <v>12</v>
      </c>
      <c r="EU411" s="36" t="s">
        <v>12</v>
      </c>
      <c r="FB411" s="36" t="s">
        <v>12</v>
      </c>
      <c r="FI411" s="36" t="s">
        <v>12</v>
      </c>
      <c r="FP411" s="36" t="s">
        <v>12</v>
      </c>
      <c r="FW411" s="36" t="s">
        <v>12</v>
      </c>
      <c r="GD411" s="36" t="s">
        <v>12</v>
      </c>
      <c r="GK411" s="36" t="s">
        <v>12</v>
      </c>
      <c r="GR411" s="36" t="s">
        <v>12</v>
      </c>
      <c r="GY411" s="36" t="s">
        <v>12</v>
      </c>
      <c r="HF411" s="36" t="s">
        <v>12</v>
      </c>
      <c r="HM411" s="36" t="s">
        <v>12</v>
      </c>
      <c r="HT411" s="36" t="s">
        <v>12</v>
      </c>
      <c r="IA411" s="36" t="s">
        <v>12</v>
      </c>
      <c r="IH411" s="36" t="s">
        <v>12</v>
      </c>
      <c r="IO411" s="36" t="s">
        <v>12</v>
      </c>
      <c r="IV411" s="36" t="s">
        <v>12</v>
      </c>
      <c r="JC411" s="36" t="s">
        <v>12</v>
      </c>
      <c r="JJ411" s="36" t="s">
        <v>12</v>
      </c>
      <c r="JQ411" s="36" t="s">
        <v>12</v>
      </c>
      <c r="JX411" s="36" t="s">
        <v>12</v>
      </c>
      <c r="KE411" s="36" t="s">
        <v>12</v>
      </c>
      <c r="KL411" s="36" t="s">
        <v>12</v>
      </c>
      <c r="KQ411" s="37">
        <f>SUM(KQ408:KQ410)</f>
        <v>3608</v>
      </c>
      <c r="KS411" s="36" t="s">
        <v>12</v>
      </c>
      <c r="KZ411" s="36" t="s">
        <v>12</v>
      </c>
      <c r="LF411" s="565"/>
      <c r="LG411" s="36" t="s">
        <v>12</v>
      </c>
      <c r="LM411" s="565"/>
      <c r="LN411" s="36" t="s">
        <v>12</v>
      </c>
      <c r="LT411" s="565"/>
      <c r="LU411" s="36" t="s">
        <v>12</v>
      </c>
      <c r="MA411" s="565"/>
      <c r="MB411" s="36" t="s">
        <v>12</v>
      </c>
      <c r="MH411" s="565"/>
    </row>
    <row r="412" spans="1:346" s="37" customFormat="1" ht="13.15" hidden="1" outlineLevel="1" x14ac:dyDescent="0.4">
      <c r="A412" s="35"/>
      <c r="B412" s="36" t="s">
        <v>369</v>
      </c>
      <c r="N412" s="37">
        <f t="shared" si="7239"/>
        <v>970010</v>
      </c>
      <c r="O412" s="37">
        <f t="shared" si="7240"/>
        <v>1061860</v>
      </c>
      <c r="P412" s="37">
        <f t="shared" si="7241"/>
        <v>1187954</v>
      </c>
      <c r="Q412" s="37">
        <f t="shared" si="7242"/>
        <v>1149361</v>
      </c>
      <c r="R412" s="37">
        <f t="shared" si="7243"/>
        <v>1180385</v>
      </c>
      <c r="S412" s="37">
        <f t="shared" si="7244"/>
        <v>1287513</v>
      </c>
      <c r="T412" s="37">
        <f t="shared" si="7245"/>
        <v>1441092</v>
      </c>
      <c r="U412" s="37">
        <f t="shared" si="7246"/>
        <v>1554844</v>
      </c>
      <c r="V412" s="37">
        <f t="shared" si="7247"/>
        <v>1653269</v>
      </c>
      <c r="W412" s="37">
        <f t="shared" si="7248"/>
        <v>1577501</v>
      </c>
      <c r="X412" s="37">
        <f t="shared" si="7249"/>
        <v>1478738.4</v>
      </c>
      <c r="Y412" s="37">
        <f t="shared" si="7250"/>
        <v>235128</v>
      </c>
      <c r="Z412" s="37">
        <f t="shared" si="7251"/>
        <v>242050</v>
      </c>
      <c r="AA412" s="37">
        <f t="shared" si="7252"/>
        <v>276702</v>
      </c>
      <c r="AB412" s="37">
        <f t="shared" si="7253"/>
        <v>0</v>
      </c>
      <c r="AC412" s="37">
        <f t="shared" si="7254"/>
        <v>0</v>
      </c>
      <c r="AD412" s="37">
        <f t="shared" si="7255"/>
        <v>0</v>
      </c>
      <c r="AE412" s="37">
        <f t="shared" si="7256"/>
        <v>0</v>
      </c>
      <c r="AF412" s="37">
        <f t="shared" si="7257"/>
        <v>0</v>
      </c>
      <c r="AG412" s="37">
        <f t="shared" si="7258"/>
        <v>0</v>
      </c>
      <c r="AH412" s="37">
        <f t="shared" si="7259"/>
        <v>0</v>
      </c>
      <c r="AI412" s="37">
        <f t="shared" si="7260"/>
        <v>0</v>
      </c>
      <c r="AJ412" s="37">
        <f t="shared" si="7261"/>
        <v>0</v>
      </c>
      <c r="AK412" s="37">
        <f t="shared" si="7262"/>
        <v>0</v>
      </c>
      <c r="AL412" s="37">
        <f t="shared" si="7263"/>
        <v>0</v>
      </c>
      <c r="AM412" s="37">
        <f t="shared" si="7264"/>
        <v>0</v>
      </c>
      <c r="AN412" s="37">
        <f t="shared" si="7265"/>
        <v>0</v>
      </c>
      <c r="AO412" s="37">
        <f t="shared" si="7266"/>
        <v>0</v>
      </c>
      <c r="AP412" s="37">
        <f t="shared" si="7267"/>
        <v>0</v>
      </c>
      <c r="AQ412" s="37">
        <f t="shared" si="7268"/>
        <v>0</v>
      </c>
      <c r="AR412" s="37">
        <f t="shared" si="7269"/>
        <v>0</v>
      </c>
      <c r="AS412" s="37">
        <f t="shared" si="7270"/>
        <v>0</v>
      </c>
      <c r="AT412" s="37">
        <f t="shared" si="7271"/>
        <v>0</v>
      </c>
      <c r="AU412" s="37">
        <f t="shared" si="7272"/>
        <v>0</v>
      </c>
      <c r="AV412" s="37">
        <f t="shared" si="7273"/>
        <v>0</v>
      </c>
      <c r="AW412" s="37">
        <f t="shared" si="7274"/>
        <v>0</v>
      </c>
      <c r="AX412" s="37">
        <f t="shared" si="7275"/>
        <v>0</v>
      </c>
      <c r="AY412" s="37">
        <f t="shared" si="7276"/>
        <v>0</v>
      </c>
      <c r="AZ412" s="37">
        <f t="shared" si="7277"/>
        <v>0</v>
      </c>
      <c r="BA412" s="37">
        <f t="shared" si="7278"/>
        <v>0</v>
      </c>
      <c r="BO412" s="36" t="s">
        <v>369</v>
      </c>
      <c r="BP412" s="37">
        <v>215107</v>
      </c>
      <c r="BQ412" s="37">
        <v>239379</v>
      </c>
      <c r="BR412" s="37">
        <v>247937</v>
      </c>
      <c r="BS412" s="37">
        <v>267587</v>
      </c>
      <c r="BT412" s="37">
        <v>970010</v>
      </c>
      <c r="BV412" s="36" t="s">
        <v>369</v>
      </c>
      <c r="BW412" s="37">
        <v>227498</v>
      </c>
      <c r="BX412" s="37">
        <v>265637</v>
      </c>
      <c r="BY412" s="37">
        <v>270842</v>
      </c>
      <c r="BZ412" s="37">
        <v>297883</v>
      </c>
      <c r="CA412" s="37">
        <v>1061860</v>
      </c>
      <c r="CC412" s="36" t="s">
        <v>369</v>
      </c>
      <c r="CD412" s="37">
        <v>266542</v>
      </c>
      <c r="CE412" s="37">
        <v>303620</v>
      </c>
      <c r="CF412" s="37">
        <v>300017</v>
      </c>
      <c r="CG412" s="37">
        <v>317775</v>
      </c>
      <c r="CH412" s="37">
        <v>1187954</v>
      </c>
      <c r="CJ412" s="36" t="s">
        <v>369</v>
      </c>
      <c r="CK412" s="37">
        <v>276807</v>
      </c>
      <c r="CL412" s="37">
        <v>292145</v>
      </c>
      <c r="CM412" s="37">
        <v>290161</v>
      </c>
      <c r="CN412" s="37">
        <v>290248</v>
      </c>
      <c r="CO412" s="37">
        <v>1149361</v>
      </c>
      <c r="CQ412" s="36" t="s">
        <v>369</v>
      </c>
      <c r="CR412" s="37">
        <v>277133</v>
      </c>
      <c r="CS412" s="37">
        <v>302210</v>
      </c>
      <c r="CT412" s="37">
        <v>299632</v>
      </c>
      <c r="CU412" s="37">
        <v>301410</v>
      </c>
      <c r="CV412" s="37">
        <v>1180385</v>
      </c>
      <c r="CX412" s="36" t="s">
        <v>369</v>
      </c>
      <c r="CY412" s="37">
        <v>290799</v>
      </c>
      <c r="CZ412" s="37">
        <v>308720</v>
      </c>
      <c r="DA412" s="37">
        <v>336345</v>
      </c>
      <c r="DB412" s="37">
        <v>351649</v>
      </c>
      <c r="DC412" s="37">
        <v>1287513</v>
      </c>
      <c r="DE412" s="36" t="s">
        <v>369</v>
      </c>
      <c r="DF412" s="37">
        <v>333927</v>
      </c>
      <c r="DG412" s="37">
        <v>357728</v>
      </c>
      <c r="DH412" s="37">
        <v>355273</v>
      </c>
      <c r="DI412" s="37">
        <v>394164</v>
      </c>
      <c r="DJ412" s="37">
        <v>1441092</v>
      </c>
      <c r="DL412" s="36" t="s">
        <v>369</v>
      </c>
      <c r="DM412" s="37">
        <v>353241</v>
      </c>
      <c r="DN412" s="37">
        <v>400698</v>
      </c>
      <c r="DO412" s="37">
        <v>386417</v>
      </c>
      <c r="DP412" s="37">
        <v>414488</v>
      </c>
      <c r="DQ412" s="37">
        <v>1554844</v>
      </c>
      <c r="DS412" s="36" t="s">
        <v>369</v>
      </c>
      <c r="DT412" s="37">
        <v>390030</v>
      </c>
      <c r="DU412" s="37">
        <v>418522</v>
      </c>
      <c r="DV412" s="37">
        <v>420036</v>
      </c>
      <c r="DW412" s="37">
        <v>424681</v>
      </c>
      <c r="DX412" s="37">
        <v>1653269</v>
      </c>
      <c r="DZ412" s="36" t="s">
        <v>369</v>
      </c>
      <c r="EA412" s="37">
        <v>387903</v>
      </c>
      <c r="EB412" s="37">
        <v>407197</v>
      </c>
      <c r="EC412" s="37">
        <v>389663</v>
      </c>
      <c r="ED412" s="37">
        <v>392738</v>
      </c>
      <c r="EE412" s="37">
        <v>1577501</v>
      </c>
      <c r="EG412" s="36" t="s">
        <v>369</v>
      </c>
      <c r="EH412" s="37">
        <v>386104</v>
      </c>
      <c r="EI412" s="37">
        <v>364971</v>
      </c>
      <c r="EJ412" s="37">
        <v>356641</v>
      </c>
      <c r="EK412" s="37">
        <v>371022.4</v>
      </c>
      <c r="EL412" s="37">
        <v>1478738.4</v>
      </c>
      <c r="EN412" s="36" t="s">
        <v>369</v>
      </c>
      <c r="EO412" s="37">
        <v>55630</v>
      </c>
      <c r="EP412" s="37">
        <v>60367</v>
      </c>
      <c r="EQ412" s="37">
        <v>60423</v>
      </c>
      <c r="ER412" s="37">
        <v>58708</v>
      </c>
      <c r="ES412" s="37">
        <v>235128</v>
      </c>
      <c r="EU412" s="36" t="s">
        <v>369</v>
      </c>
      <c r="EV412" s="37">
        <v>56872</v>
      </c>
      <c r="EW412" s="37">
        <v>60522</v>
      </c>
      <c r="EX412" s="37">
        <v>63501</v>
      </c>
      <c r="EY412" s="37">
        <v>61155</v>
      </c>
      <c r="EZ412" s="37">
        <v>242050</v>
      </c>
      <c r="FB412" s="36" t="s">
        <v>369</v>
      </c>
      <c r="FC412" s="37">
        <v>58261</v>
      </c>
      <c r="FD412" s="37">
        <v>70898</v>
      </c>
      <c r="FE412" s="37">
        <v>77224</v>
      </c>
      <c r="FF412" s="37">
        <v>70319</v>
      </c>
      <c r="FG412" s="37">
        <v>276702</v>
      </c>
      <c r="FI412" s="36" t="s">
        <v>369</v>
      </c>
      <c r="FJ412" s="37">
        <v>0</v>
      </c>
      <c r="FK412" s="37">
        <v>0</v>
      </c>
      <c r="FL412" s="37">
        <v>0</v>
      </c>
      <c r="FM412" s="37">
        <v>0</v>
      </c>
      <c r="FN412" s="37">
        <v>0</v>
      </c>
      <c r="FP412" s="36" t="s">
        <v>369</v>
      </c>
      <c r="FQ412" s="37">
        <v>0</v>
      </c>
      <c r="FR412" s="37">
        <v>0</v>
      </c>
      <c r="FS412" s="37">
        <v>0</v>
      </c>
      <c r="FT412" s="37">
        <v>0</v>
      </c>
      <c r="FU412" s="37">
        <v>0</v>
      </c>
      <c r="FW412" s="36" t="s">
        <v>369</v>
      </c>
      <c r="GD412" s="36" t="s">
        <v>369</v>
      </c>
      <c r="GK412" s="36" t="s">
        <v>369</v>
      </c>
      <c r="GR412" s="36" t="s">
        <v>369</v>
      </c>
      <c r="GY412" s="36" t="s">
        <v>369</v>
      </c>
      <c r="HF412" s="36" t="s">
        <v>369</v>
      </c>
      <c r="HM412" s="36" t="s">
        <v>369</v>
      </c>
      <c r="HT412" s="36" t="s">
        <v>369</v>
      </c>
      <c r="IA412" s="36" t="s">
        <v>369</v>
      </c>
      <c r="IH412" s="36" t="s">
        <v>369</v>
      </c>
      <c r="IO412" s="36" t="s">
        <v>369</v>
      </c>
      <c r="IV412" s="36" t="s">
        <v>369</v>
      </c>
      <c r="JC412" s="36" t="s">
        <v>369</v>
      </c>
      <c r="JJ412" s="36" t="s">
        <v>369</v>
      </c>
      <c r="JQ412" s="36" t="s">
        <v>369</v>
      </c>
      <c r="JX412" s="36" t="s">
        <v>369</v>
      </c>
      <c r="KE412" s="36" t="s">
        <v>369</v>
      </c>
      <c r="KL412" s="36" t="s">
        <v>369</v>
      </c>
      <c r="KS412" s="36" t="s">
        <v>369</v>
      </c>
      <c r="KZ412" s="36" t="s">
        <v>369</v>
      </c>
      <c r="LF412" s="565"/>
      <c r="LG412" s="36" t="s">
        <v>369</v>
      </c>
      <c r="LM412" s="565"/>
      <c r="LN412" s="36" t="s">
        <v>369</v>
      </c>
      <c r="LT412" s="565"/>
      <c r="LU412" s="36" t="s">
        <v>369</v>
      </c>
      <c r="MA412" s="565"/>
      <c r="MB412" s="36" t="s">
        <v>369</v>
      </c>
      <c r="MH412" s="565"/>
    </row>
    <row r="413" spans="1:346" s="37" customFormat="1" ht="13.15" hidden="1" outlineLevel="1" x14ac:dyDescent="0.4">
      <c r="A413" s="35"/>
      <c r="B413" s="36"/>
      <c r="BO413" s="36"/>
      <c r="BV413" s="36"/>
      <c r="CC413" s="36"/>
      <c r="CJ413" s="36"/>
      <c r="CQ413" s="36"/>
      <c r="CX413" s="36"/>
      <c r="DE413" s="36"/>
      <c r="DL413" s="36"/>
      <c r="DS413" s="36"/>
      <c r="DZ413" s="36"/>
      <c r="EG413" s="36"/>
      <c r="EN413" s="36"/>
      <c r="EU413" s="36"/>
      <c r="FB413" s="36"/>
      <c r="FI413" s="36"/>
      <c r="FP413" s="36"/>
      <c r="FW413" s="36"/>
      <c r="GD413" s="36"/>
      <c r="GK413" s="36"/>
      <c r="GR413" s="36"/>
      <c r="GY413" s="36"/>
      <c r="HF413" s="36"/>
      <c r="HM413" s="36"/>
      <c r="HT413" s="36"/>
      <c r="IA413" s="36"/>
      <c r="IH413" s="36"/>
      <c r="IO413" s="36"/>
      <c r="IV413" s="36"/>
      <c r="JC413" s="36"/>
      <c r="JJ413" s="36"/>
      <c r="JQ413" s="36"/>
      <c r="JX413" s="36"/>
      <c r="KE413" s="36"/>
      <c r="KL413" s="36"/>
      <c r="KS413" s="36"/>
      <c r="KZ413" s="36"/>
      <c r="LF413" s="565"/>
      <c r="LG413" s="36"/>
      <c r="LM413" s="565"/>
      <c r="LN413" s="36"/>
      <c r="LT413" s="565"/>
      <c r="LU413" s="36"/>
      <c r="MA413" s="565"/>
      <c r="MB413" s="36"/>
      <c r="MH413" s="565"/>
    </row>
    <row r="414" spans="1:346" s="37" customFormat="1" ht="13.15" hidden="1" outlineLevel="1" x14ac:dyDescent="0.4">
      <c r="A414" s="35"/>
      <c r="B414" s="36" t="s">
        <v>370</v>
      </c>
      <c r="M414" s="37">
        <v>2045</v>
      </c>
      <c r="N414" s="37">
        <f t="shared" ref="N414:N420" si="7279">BT414</f>
        <v>1989</v>
      </c>
      <c r="O414" s="37">
        <f t="shared" ref="O414:O420" si="7280">CA414</f>
        <v>1990</v>
      </c>
      <c r="P414" s="37">
        <f t="shared" ref="P414:P420" si="7281">CH414</f>
        <v>1991</v>
      </c>
      <c r="Q414" s="37">
        <f t="shared" ref="Q414:Q420" si="7282">CO414</f>
        <v>1992</v>
      </c>
      <c r="R414" s="37">
        <f t="shared" ref="R414:R420" si="7283">CV414</f>
        <v>1993</v>
      </c>
      <c r="S414" s="37">
        <f t="shared" ref="S414:S420" si="7284">DC414</f>
        <v>1994</v>
      </c>
      <c r="T414" s="37">
        <f t="shared" ref="T414:T420" si="7285">DJ414</f>
        <v>1995</v>
      </c>
      <c r="U414" s="37">
        <f t="shared" ref="U414:U420" si="7286">DQ414</f>
        <v>1996</v>
      </c>
      <c r="V414" s="37">
        <f t="shared" ref="V414:V420" si="7287">DX414</f>
        <v>1997</v>
      </c>
      <c r="W414" s="37" t="str">
        <f t="shared" ref="W414:W420" si="7288">EE414</f>
        <v>1998</v>
      </c>
      <c r="X414" s="37" t="str">
        <f t="shared" ref="X414:X420" si="7289">EL414</f>
        <v>1999</v>
      </c>
      <c r="Y414" s="37">
        <f t="shared" ref="Y414:Y420" si="7290">ES414</f>
        <v>2000</v>
      </c>
      <c r="Z414" s="37">
        <f t="shared" ref="Z414:Z420" si="7291">EZ414</f>
        <v>2001</v>
      </c>
      <c r="AA414" s="37">
        <f t="shared" ref="AA414:AA420" si="7292">FG414</f>
        <v>2002</v>
      </c>
      <c r="AB414" s="37">
        <f t="shared" ref="AB414:AB420" si="7293">FN414</f>
        <v>2003</v>
      </c>
      <c r="AC414" s="37">
        <f t="shared" ref="AC414:AC420" si="7294">FU414</f>
        <v>2004</v>
      </c>
      <c r="AD414" s="37">
        <f t="shared" ref="AD414:AD420" si="7295">GB414</f>
        <v>0</v>
      </c>
      <c r="AE414" s="37">
        <f t="shared" ref="AE414:AE420" si="7296">GI414</f>
        <v>0</v>
      </c>
      <c r="AF414" s="37">
        <f t="shared" ref="AF414:AF420" si="7297">GP414</f>
        <v>0</v>
      </c>
      <c r="AG414" s="37">
        <f t="shared" ref="AG414:AG420" si="7298">GW414</f>
        <v>0</v>
      </c>
      <c r="AH414" s="37">
        <f t="shared" ref="AH414:AH420" si="7299">HD414</f>
        <v>0</v>
      </c>
      <c r="AI414" s="37">
        <f t="shared" ref="AI414:AI420" si="7300">HK414</f>
        <v>0</v>
      </c>
      <c r="AJ414" s="37">
        <f t="shared" ref="AJ414:AJ420" si="7301">HR414</f>
        <v>0</v>
      </c>
      <c r="AK414" s="37">
        <f t="shared" ref="AK414:AK420" si="7302">HY414</f>
        <v>0</v>
      </c>
      <c r="AL414" s="37">
        <f t="shared" ref="AL414:AL420" si="7303">IF414</f>
        <v>0</v>
      </c>
      <c r="AM414" s="37">
        <f t="shared" ref="AM414:AM420" si="7304">IM414</f>
        <v>0</v>
      </c>
      <c r="AN414" s="37">
        <f t="shared" ref="AN414:AN420" si="7305">IT414</f>
        <v>0</v>
      </c>
      <c r="AO414" s="37">
        <f t="shared" ref="AO414:AO420" si="7306">JA414</f>
        <v>0</v>
      </c>
      <c r="AP414" s="37">
        <f t="shared" ref="AP414:AP420" si="7307">JH414</f>
        <v>0</v>
      </c>
      <c r="AQ414" s="37">
        <f t="shared" ref="AQ414:AQ420" si="7308">JO414</f>
        <v>0</v>
      </c>
      <c r="AR414" s="37">
        <f t="shared" ref="AR414:AR420" si="7309">JV414</f>
        <v>0</v>
      </c>
      <c r="AS414" s="37">
        <f t="shared" ref="AS414:AS420" si="7310">KC414</f>
        <v>0</v>
      </c>
      <c r="AT414" s="37">
        <f t="shared" ref="AT414:AT420" si="7311">KJ414</f>
        <v>0</v>
      </c>
      <c r="AU414" s="37">
        <f t="shared" ref="AU414:AU420" si="7312">KQ414</f>
        <v>45</v>
      </c>
      <c r="AV414" s="37">
        <f t="shared" ref="AV414:AV420" si="7313">KX414</f>
        <v>0</v>
      </c>
      <c r="AW414" s="37">
        <f t="shared" ref="AW414:AW420" si="7314">LE414</f>
        <v>0</v>
      </c>
      <c r="AX414" s="37">
        <f t="shared" ref="AX414:AX420" si="7315">LL414</f>
        <v>0</v>
      </c>
      <c r="AY414" s="37">
        <f t="shared" ref="AY414:AY420" si="7316">LS414</f>
        <v>0</v>
      </c>
      <c r="AZ414" s="37">
        <f t="shared" ref="AZ414:AZ420" si="7317">LZ414</f>
        <v>0</v>
      </c>
      <c r="BA414" s="37">
        <f t="shared" ref="BA414:BA420" si="7318">MG414</f>
        <v>0</v>
      </c>
      <c r="BO414" s="36" t="s">
        <v>370</v>
      </c>
      <c r="BP414" s="37">
        <v>1989</v>
      </c>
      <c r="BQ414" s="37">
        <v>1989</v>
      </c>
      <c r="BR414" s="37">
        <v>1989</v>
      </c>
      <c r="BS414" s="37">
        <v>1989</v>
      </c>
      <c r="BT414" s="37">
        <v>1989</v>
      </c>
      <c r="BV414" s="36" t="s">
        <v>370</v>
      </c>
      <c r="BW414" s="37">
        <v>1990</v>
      </c>
      <c r="BX414" s="37">
        <v>1990</v>
      </c>
      <c r="BY414" s="37">
        <v>1990</v>
      </c>
      <c r="BZ414" s="37">
        <v>1990</v>
      </c>
      <c r="CA414" s="37">
        <v>1990</v>
      </c>
      <c r="CC414" s="36" t="s">
        <v>370</v>
      </c>
      <c r="CD414" s="37">
        <v>1991</v>
      </c>
      <c r="CE414" s="37">
        <v>1991</v>
      </c>
      <c r="CF414" s="37">
        <v>1991</v>
      </c>
      <c r="CG414" s="37">
        <v>1991</v>
      </c>
      <c r="CH414" s="37">
        <v>1991</v>
      </c>
      <c r="CJ414" s="36" t="s">
        <v>370</v>
      </c>
      <c r="CK414" s="37">
        <v>1992</v>
      </c>
      <c r="CL414" s="37">
        <v>1992</v>
      </c>
      <c r="CM414" s="37">
        <v>1992</v>
      </c>
      <c r="CN414" s="37">
        <v>1992</v>
      </c>
      <c r="CO414" s="37">
        <v>1992</v>
      </c>
      <c r="CQ414" s="36" t="s">
        <v>370</v>
      </c>
      <c r="CR414" s="37">
        <v>1993</v>
      </c>
      <c r="CS414" s="37">
        <v>1993</v>
      </c>
      <c r="CT414" s="37">
        <v>1993</v>
      </c>
      <c r="CU414" s="37">
        <v>1993</v>
      </c>
      <c r="CV414" s="37">
        <v>1993</v>
      </c>
      <c r="CX414" s="36" t="s">
        <v>370</v>
      </c>
      <c r="CY414" s="37">
        <v>1994</v>
      </c>
      <c r="CZ414" s="37">
        <v>1994</v>
      </c>
      <c r="DA414" s="37">
        <v>1994</v>
      </c>
      <c r="DB414" s="37">
        <v>1994</v>
      </c>
      <c r="DC414" s="37">
        <v>1994</v>
      </c>
      <c r="DE414" s="36" t="s">
        <v>370</v>
      </c>
      <c r="DF414" s="37">
        <v>1995</v>
      </c>
      <c r="DG414" s="37">
        <v>1995</v>
      </c>
      <c r="DH414" s="37">
        <v>1995</v>
      </c>
      <c r="DI414" s="37">
        <v>1995</v>
      </c>
      <c r="DJ414" s="37">
        <v>1995</v>
      </c>
      <c r="DL414" s="36" t="s">
        <v>370</v>
      </c>
      <c r="DM414" s="37">
        <v>1996</v>
      </c>
      <c r="DN414" s="37">
        <v>1996</v>
      </c>
      <c r="DO414" s="37">
        <v>1996</v>
      </c>
      <c r="DP414" s="37">
        <v>1996</v>
      </c>
      <c r="DQ414" s="37">
        <v>1996</v>
      </c>
      <c r="DS414" s="36" t="s">
        <v>370</v>
      </c>
      <c r="DT414" s="37">
        <v>1997</v>
      </c>
      <c r="DU414" s="37">
        <v>1997</v>
      </c>
      <c r="DV414" s="37">
        <v>1997</v>
      </c>
      <c r="DW414" s="37">
        <v>1997</v>
      </c>
      <c r="DX414" s="37">
        <v>1997</v>
      </c>
      <c r="DZ414" s="36" t="s">
        <v>370</v>
      </c>
      <c r="EA414" s="37" t="s">
        <v>338</v>
      </c>
      <c r="EB414" s="37">
        <v>1998</v>
      </c>
      <c r="EC414" s="37" t="s">
        <v>338</v>
      </c>
      <c r="ED414" s="37" t="s">
        <v>338</v>
      </c>
      <c r="EE414" s="37" t="s">
        <v>338</v>
      </c>
      <c r="EG414" s="36" t="s">
        <v>370</v>
      </c>
      <c r="EH414" s="37" t="s">
        <v>339</v>
      </c>
      <c r="EI414" s="37" t="s">
        <v>339</v>
      </c>
      <c r="EJ414" s="37" t="s">
        <v>339</v>
      </c>
      <c r="EK414" s="37" t="s">
        <v>339</v>
      </c>
      <c r="EL414" s="37" t="s">
        <v>339</v>
      </c>
      <c r="EN414" s="36" t="s">
        <v>370</v>
      </c>
      <c r="EO414" s="37" t="s">
        <v>340</v>
      </c>
      <c r="EP414" s="37" t="s">
        <v>340</v>
      </c>
      <c r="EQ414" s="37" t="s">
        <v>340</v>
      </c>
      <c r="ER414" s="37" t="s">
        <v>340</v>
      </c>
      <c r="ES414" s="37">
        <v>2000</v>
      </c>
      <c r="EU414" s="36" t="s">
        <v>370</v>
      </c>
      <c r="EV414" s="37" t="s">
        <v>341</v>
      </c>
      <c r="EW414" s="37" t="s">
        <v>341</v>
      </c>
      <c r="EX414" s="37" t="s">
        <v>341</v>
      </c>
      <c r="EY414" s="37" t="s">
        <v>341</v>
      </c>
      <c r="EZ414" s="37">
        <v>2001</v>
      </c>
      <c r="FB414" s="36" t="s">
        <v>370</v>
      </c>
      <c r="FC414" s="37" t="s">
        <v>157</v>
      </c>
      <c r="FD414" s="37" t="s">
        <v>157</v>
      </c>
      <c r="FE414" s="37" t="s">
        <v>157</v>
      </c>
      <c r="FF414" s="37" t="s">
        <v>157</v>
      </c>
      <c r="FG414" s="37">
        <v>2002</v>
      </c>
      <c r="FI414" s="36" t="s">
        <v>370</v>
      </c>
      <c r="FJ414" s="37">
        <v>2003</v>
      </c>
      <c r="FK414" s="37">
        <v>2003</v>
      </c>
      <c r="FL414" s="37">
        <v>2003</v>
      </c>
      <c r="FM414" s="37">
        <v>2003</v>
      </c>
      <c r="FN414" s="37">
        <v>2003</v>
      </c>
      <c r="FP414" s="36" t="s">
        <v>370</v>
      </c>
      <c r="FQ414" s="37">
        <v>2004</v>
      </c>
      <c r="FR414" s="37">
        <v>2004</v>
      </c>
      <c r="FS414" s="37">
        <v>2004</v>
      </c>
      <c r="FT414" s="37">
        <v>2004</v>
      </c>
      <c r="FU414" s="37">
        <v>2004</v>
      </c>
      <c r="FW414" s="36" t="s">
        <v>370</v>
      </c>
      <c r="GD414" s="36" t="s">
        <v>370</v>
      </c>
      <c r="GK414" s="36" t="s">
        <v>370</v>
      </c>
      <c r="GR414" s="36" t="s">
        <v>370</v>
      </c>
      <c r="GY414" s="36" t="s">
        <v>370</v>
      </c>
      <c r="HF414" s="36" t="s">
        <v>370</v>
      </c>
      <c r="HM414" s="36" t="s">
        <v>370</v>
      </c>
      <c r="HT414" s="36" t="s">
        <v>370</v>
      </c>
      <c r="IA414" s="36" t="s">
        <v>370</v>
      </c>
      <c r="IH414" s="36" t="s">
        <v>370</v>
      </c>
      <c r="IO414" s="36" t="s">
        <v>370</v>
      </c>
      <c r="IV414" s="36" t="s">
        <v>370</v>
      </c>
      <c r="JC414" s="36" t="s">
        <v>370</v>
      </c>
      <c r="JJ414" s="36" t="s">
        <v>370</v>
      </c>
      <c r="JQ414" s="36" t="s">
        <v>370</v>
      </c>
      <c r="JX414" s="36" t="s">
        <v>370</v>
      </c>
      <c r="KE414" s="36" t="s">
        <v>370</v>
      </c>
      <c r="KL414" s="36" t="s">
        <v>370</v>
      </c>
      <c r="KQ414" s="37">
        <v>45</v>
      </c>
      <c r="KS414" s="36" t="s">
        <v>370</v>
      </c>
      <c r="KZ414" s="36" t="s">
        <v>370</v>
      </c>
      <c r="LF414" s="565"/>
      <c r="LG414" s="36" t="s">
        <v>370</v>
      </c>
      <c r="LM414" s="565"/>
      <c r="LN414" s="36" t="s">
        <v>370</v>
      </c>
      <c r="LT414" s="565"/>
      <c r="LU414" s="36" t="s">
        <v>370</v>
      </c>
      <c r="MA414" s="565"/>
      <c r="MB414" s="36" t="s">
        <v>370</v>
      </c>
      <c r="MH414" s="565"/>
    </row>
    <row r="415" spans="1:346" s="37" customFormat="1" ht="13.15" hidden="1" outlineLevel="1" x14ac:dyDescent="0.4">
      <c r="A415" s="35"/>
      <c r="B415" s="36" t="s">
        <v>351</v>
      </c>
      <c r="M415" s="37">
        <v>2065</v>
      </c>
      <c r="N415" s="37">
        <f t="shared" si="7279"/>
        <v>2125.25</v>
      </c>
      <c r="O415" s="37">
        <f t="shared" si="7280"/>
        <v>2089.75</v>
      </c>
      <c r="P415" s="37">
        <f t="shared" si="7281"/>
        <v>2196</v>
      </c>
      <c r="Q415" s="37">
        <f t="shared" si="7282"/>
        <v>2347.75</v>
      </c>
      <c r="R415" s="37">
        <f t="shared" si="7283"/>
        <v>2347.25</v>
      </c>
      <c r="S415" s="37">
        <f t="shared" si="7284"/>
        <v>2305.25</v>
      </c>
      <c r="T415" s="37">
        <f t="shared" si="7285"/>
        <v>2431.5</v>
      </c>
      <c r="U415" s="37">
        <f t="shared" si="7286"/>
        <v>2270.5</v>
      </c>
      <c r="V415" s="37">
        <f t="shared" si="7287"/>
        <v>2132.75</v>
      </c>
      <c r="W415" s="37">
        <f t="shared" si="7288"/>
        <v>2259</v>
      </c>
      <c r="X415" s="37">
        <f t="shared" si="7289"/>
        <v>2614.5337500000001</v>
      </c>
      <c r="Y415" s="37">
        <f t="shared" si="7290"/>
        <v>0</v>
      </c>
      <c r="Z415" s="37">
        <f t="shared" si="7291"/>
        <v>0</v>
      </c>
      <c r="AA415" s="37">
        <f t="shared" si="7292"/>
        <v>0</v>
      </c>
      <c r="AB415" s="37">
        <f t="shared" si="7293"/>
        <v>0</v>
      </c>
      <c r="AC415" s="37">
        <f t="shared" si="7294"/>
        <v>0</v>
      </c>
      <c r="AD415" s="37">
        <f t="shared" si="7295"/>
        <v>0</v>
      </c>
      <c r="AE415" s="37">
        <f t="shared" si="7296"/>
        <v>0</v>
      </c>
      <c r="AF415" s="37">
        <f t="shared" si="7297"/>
        <v>0</v>
      </c>
      <c r="AG415" s="37">
        <f t="shared" si="7298"/>
        <v>0</v>
      </c>
      <c r="AH415" s="37">
        <f t="shared" si="7299"/>
        <v>0</v>
      </c>
      <c r="AI415" s="37">
        <f t="shared" si="7300"/>
        <v>0</v>
      </c>
      <c r="AJ415" s="37">
        <f t="shared" si="7301"/>
        <v>0</v>
      </c>
      <c r="AK415" s="37">
        <f t="shared" si="7302"/>
        <v>0</v>
      </c>
      <c r="AL415" s="37">
        <f t="shared" si="7303"/>
        <v>0</v>
      </c>
      <c r="AM415" s="37">
        <f t="shared" si="7304"/>
        <v>0</v>
      </c>
      <c r="AN415" s="37">
        <f t="shared" si="7305"/>
        <v>0</v>
      </c>
      <c r="AO415" s="37">
        <f t="shared" si="7306"/>
        <v>0</v>
      </c>
      <c r="AP415" s="37">
        <f t="shared" si="7307"/>
        <v>0</v>
      </c>
      <c r="AQ415" s="37">
        <f t="shared" si="7308"/>
        <v>0</v>
      </c>
      <c r="AR415" s="37">
        <f t="shared" si="7309"/>
        <v>0</v>
      </c>
      <c r="AS415" s="37">
        <f t="shared" si="7310"/>
        <v>0</v>
      </c>
      <c r="AT415" s="37">
        <f t="shared" si="7311"/>
        <v>0</v>
      </c>
      <c r="AU415" s="37">
        <f t="shared" si="7312"/>
        <v>29</v>
      </c>
      <c r="AV415" s="37">
        <f t="shared" si="7313"/>
        <v>0</v>
      </c>
      <c r="AW415" s="37">
        <f t="shared" si="7314"/>
        <v>0</v>
      </c>
      <c r="AX415" s="37">
        <f t="shared" si="7315"/>
        <v>0</v>
      </c>
      <c r="AY415" s="37">
        <f t="shared" si="7316"/>
        <v>0</v>
      </c>
      <c r="AZ415" s="37">
        <f t="shared" si="7317"/>
        <v>0</v>
      </c>
      <c r="BA415" s="37">
        <f t="shared" si="7318"/>
        <v>0</v>
      </c>
      <c r="BO415" s="36" t="s">
        <v>351</v>
      </c>
      <c r="BP415" s="37">
        <v>2003</v>
      </c>
      <c r="BQ415" s="37">
        <v>2126</v>
      </c>
      <c r="BR415" s="37">
        <v>2250</v>
      </c>
      <c r="BS415" s="37">
        <v>2122</v>
      </c>
      <c r="BT415" s="37">
        <v>2125.25</v>
      </c>
      <c r="BV415" s="36" t="s">
        <v>351</v>
      </c>
      <c r="BW415" s="37">
        <v>2070</v>
      </c>
      <c r="BX415" s="37">
        <v>2066</v>
      </c>
      <c r="BY415" s="37">
        <v>2110</v>
      </c>
      <c r="BZ415" s="37">
        <v>2113</v>
      </c>
      <c r="CA415" s="37">
        <v>2089.75</v>
      </c>
      <c r="CC415" s="36" t="s">
        <v>351</v>
      </c>
      <c r="CD415" s="37">
        <v>2090</v>
      </c>
      <c r="CE415" s="37">
        <v>2087</v>
      </c>
      <c r="CF415" s="37">
        <v>2269</v>
      </c>
      <c r="CG415" s="37">
        <v>2338</v>
      </c>
      <c r="CH415" s="37">
        <v>2196</v>
      </c>
      <c r="CJ415" s="36" t="s">
        <v>351</v>
      </c>
      <c r="CK415" s="37">
        <v>2258</v>
      </c>
      <c r="CL415" s="37">
        <v>2352</v>
      </c>
      <c r="CM415" s="37">
        <v>2412</v>
      </c>
      <c r="CN415" s="37">
        <v>2369</v>
      </c>
      <c r="CO415" s="37">
        <v>2347.75</v>
      </c>
      <c r="CQ415" s="36" t="s">
        <v>351</v>
      </c>
      <c r="CR415" s="37">
        <v>2286</v>
      </c>
      <c r="CS415" s="37">
        <v>2306</v>
      </c>
      <c r="CT415" s="37">
        <v>2426</v>
      </c>
      <c r="CU415" s="37">
        <v>2371</v>
      </c>
      <c r="CV415" s="37">
        <v>2347.25</v>
      </c>
      <c r="CX415" s="36" t="s">
        <v>351</v>
      </c>
      <c r="CY415" s="37">
        <v>2303</v>
      </c>
      <c r="CZ415" s="37">
        <v>2216</v>
      </c>
      <c r="DA415" s="37">
        <v>2384</v>
      </c>
      <c r="DB415" s="37">
        <v>2318</v>
      </c>
      <c r="DC415" s="37">
        <v>2305.25</v>
      </c>
      <c r="DE415" s="36" t="s">
        <v>351</v>
      </c>
      <c r="DF415" s="37">
        <v>2336</v>
      </c>
      <c r="DG415" s="37">
        <v>2427</v>
      </c>
      <c r="DH415" s="37">
        <v>2563</v>
      </c>
      <c r="DI415" s="37">
        <v>2400</v>
      </c>
      <c r="DJ415" s="37">
        <v>2431.5</v>
      </c>
      <c r="DL415" s="36" t="s">
        <v>351</v>
      </c>
      <c r="DM415" s="37">
        <v>2337</v>
      </c>
      <c r="DN415" s="37">
        <v>2265</v>
      </c>
      <c r="DO415" s="37">
        <v>2319</v>
      </c>
      <c r="DP415" s="37">
        <v>2161</v>
      </c>
      <c r="DQ415" s="37">
        <v>2270.5</v>
      </c>
      <c r="DS415" s="36" t="s">
        <v>351</v>
      </c>
      <c r="DT415" s="37">
        <v>2193</v>
      </c>
      <c r="DU415" s="37">
        <v>2149</v>
      </c>
      <c r="DV415" s="37">
        <v>2136</v>
      </c>
      <c r="DW415" s="37">
        <v>2053</v>
      </c>
      <c r="DX415" s="37">
        <v>2132.75</v>
      </c>
      <c r="DZ415" s="36" t="s">
        <v>351</v>
      </c>
      <c r="EA415" s="37">
        <v>2125</v>
      </c>
      <c r="EB415" s="37">
        <v>2293</v>
      </c>
      <c r="EC415" s="37">
        <v>2347</v>
      </c>
      <c r="ED415" s="37">
        <v>2271</v>
      </c>
      <c r="EE415" s="37">
        <v>2259</v>
      </c>
      <c r="EG415" s="36" t="s">
        <v>351</v>
      </c>
      <c r="EH415" s="37">
        <v>2327</v>
      </c>
      <c r="EI415" s="37">
        <v>2562</v>
      </c>
      <c r="EJ415" s="37">
        <v>2878</v>
      </c>
      <c r="EK415" s="37">
        <v>2691.1350000000002</v>
      </c>
      <c r="EL415" s="37">
        <v>2614.5337500000001</v>
      </c>
      <c r="EN415" s="36" t="s">
        <v>351</v>
      </c>
      <c r="EO415" s="37">
        <v>0</v>
      </c>
      <c r="ES415" s="37">
        <v>0</v>
      </c>
      <c r="EU415" s="36" t="s">
        <v>351</v>
      </c>
      <c r="EZ415" s="37">
        <v>0</v>
      </c>
      <c r="FB415" s="36" t="s">
        <v>351</v>
      </c>
      <c r="FG415" s="37">
        <v>0</v>
      </c>
      <c r="FI415" s="36" t="s">
        <v>351</v>
      </c>
      <c r="FN415" s="37">
        <v>0</v>
      </c>
      <c r="FP415" s="36" t="s">
        <v>351</v>
      </c>
      <c r="FU415" s="37">
        <v>0</v>
      </c>
      <c r="FW415" s="36" t="s">
        <v>351</v>
      </c>
      <c r="GD415" s="36" t="s">
        <v>351</v>
      </c>
      <c r="GK415" s="36" t="s">
        <v>351</v>
      </c>
      <c r="GR415" s="36" t="s">
        <v>351</v>
      </c>
      <c r="GY415" s="36" t="s">
        <v>351</v>
      </c>
      <c r="HF415" s="36" t="s">
        <v>351</v>
      </c>
      <c r="HM415" s="36" t="s">
        <v>351</v>
      </c>
      <c r="HT415" s="36" t="s">
        <v>351</v>
      </c>
      <c r="IA415" s="36" t="s">
        <v>351</v>
      </c>
      <c r="IH415" s="36" t="s">
        <v>351</v>
      </c>
      <c r="IO415" s="36" t="s">
        <v>351</v>
      </c>
      <c r="IV415" s="36" t="s">
        <v>351</v>
      </c>
      <c r="JC415" s="36" t="s">
        <v>351</v>
      </c>
      <c r="JJ415" s="36" t="s">
        <v>351</v>
      </c>
      <c r="JQ415" s="36" t="s">
        <v>351</v>
      </c>
      <c r="JX415" s="36" t="s">
        <v>351</v>
      </c>
      <c r="KE415" s="36" t="s">
        <v>351</v>
      </c>
      <c r="KL415" s="36" t="s">
        <v>351</v>
      </c>
      <c r="KQ415" s="37">
        <v>29</v>
      </c>
      <c r="KS415" s="36" t="s">
        <v>351</v>
      </c>
      <c r="KZ415" s="36" t="s">
        <v>351</v>
      </c>
      <c r="LF415" s="565"/>
      <c r="LG415" s="36" t="s">
        <v>351</v>
      </c>
      <c r="LM415" s="565"/>
      <c r="LN415" s="36" t="s">
        <v>351</v>
      </c>
      <c r="LT415" s="565"/>
      <c r="LU415" s="36" t="s">
        <v>351</v>
      </c>
      <c r="MA415" s="565"/>
      <c r="MB415" s="36" t="s">
        <v>351</v>
      </c>
      <c r="MH415" s="565"/>
    </row>
    <row r="416" spans="1:346" s="37" customFormat="1" ht="13.15" hidden="1" outlineLevel="1" x14ac:dyDescent="0.4">
      <c r="A416" s="35"/>
      <c r="B416" s="36" t="s">
        <v>352</v>
      </c>
      <c r="M416" s="37">
        <v>2105</v>
      </c>
      <c r="N416" s="37">
        <f t="shared" si="7279"/>
        <v>1939.25</v>
      </c>
      <c r="O416" s="37">
        <f t="shared" si="7280"/>
        <v>2061.5</v>
      </c>
      <c r="P416" s="37">
        <f t="shared" si="7281"/>
        <v>2270.5</v>
      </c>
      <c r="Q416" s="37">
        <f t="shared" si="7282"/>
        <v>2433.5</v>
      </c>
      <c r="R416" s="37">
        <f t="shared" si="7283"/>
        <v>2503.25</v>
      </c>
      <c r="S416" s="37">
        <f t="shared" si="7284"/>
        <v>2529</v>
      </c>
      <c r="T416" s="37">
        <f t="shared" si="7285"/>
        <v>2545</v>
      </c>
      <c r="U416" s="37">
        <f t="shared" si="7286"/>
        <v>2582</v>
      </c>
      <c r="V416" s="37">
        <f t="shared" si="7287"/>
        <v>2318.5</v>
      </c>
      <c r="W416" s="37">
        <f t="shared" si="7288"/>
        <v>2184.75</v>
      </c>
      <c r="X416" s="37">
        <f t="shared" si="7289"/>
        <v>2074.8249999999998</v>
      </c>
      <c r="Y416" s="37">
        <f t="shared" si="7290"/>
        <v>0</v>
      </c>
      <c r="Z416" s="37">
        <f t="shared" si="7291"/>
        <v>0</v>
      </c>
      <c r="AA416" s="37">
        <f t="shared" si="7292"/>
        <v>0</v>
      </c>
      <c r="AB416" s="37">
        <f t="shared" si="7293"/>
        <v>0</v>
      </c>
      <c r="AC416" s="37">
        <f t="shared" si="7294"/>
        <v>0</v>
      </c>
      <c r="AD416" s="37">
        <f t="shared" si="7295"/>
        <v>0</v>
      </c>
      <c r="AE416" s="37">
        <f t="shared" si="7296"/>
        <v>0</v>
      </c>
      <c r="AF416" s="37">
        <f t="shared" si="7297"/>
        <v>0</v>
      </c>
      <c r="AG416" s="37">
        <f t="shared" si="7298"/>
        <v>0</v>
      </c>
      <c r="AH416" s="37">
        <f t="shared" si="7299"/>
        <v>0</v>
      </c>
      <c r="AI416" s="37">
        <f t="shared" si="7300"/>
        <v>0</v>
      </c>
      <c r="AJ416" s="37">
        <f t="shared" si="7301"/>
        <v>0</v>
      </c>
      <c r="AK416" s="37">
        <f t="shared" si="7302"/>
        <v>0</v>
      </c>
      <c r="AL416" s="37">
        <f t="shared" si="7303"/>
        <v>0</v>
      </c>
      <c r="AM416" s="37">
        <f t="shared" si="7304"/>
        <v>0</v>
      </c>
      <c r="AN416" s="37">
        <f t="shared" si="7305"/>
        <v>0</v>
      </c>
      <c r="AO416" s="37">
        <f t="shared" si="7306"/>
        <v>0</v>
      </c>
      <c r="AP416" s="37">
        <f t="shared" si="7307"/>
        <v>0</v>
      </c>
      <c r="AQ416" s="37">
        <f t="shared" si="7308"/>
        <v>0</v>
      </c>
      <c r="AR416" s="37">
        <f t="shared" si="7309"/>
        <v>0</v>
      </c>
      <c r="AS416" s="37">
        <f t="shared" si="7310"/>
        <v>0</v>
      </c>
      <c r="AT416" s="37">
        <f t="shared" si="7311"/>
        <v>0</v>
      </c>
      <c r="AU416" s="37">
        <f t="shared" si="7312"/>
        <v>25</v>
      </c>
      <c r="AV416" s="37">
        <f t="shared" si="7313"/>
        <v>0</v>
      </c>
      <c r="AW416" s="37">
        <f t="shared" si="7314"/>
        <v>0</v>
      </c>
      <c r="AX416" s="37">
        <f t="shared" si="7315"/>
        <v>0</v>
      </c>
      <c r="AY416" s="37">
        <f t="shared" si="7316"/>
        <v>0</v>
      </c>
      <c r="AZ416" s="37">
        <f t="shared" si="7317"/>
        <v>0</v>
      </c>
      <c r="BA416" s="37">
        <f t="shared" si="7318"/>
        <v>0</v>
      </c>
      <c r="BO416" s="36" t="s">
        <v>352</v>
      </c>
      <c r="BP416" s="37">
        <v>1997</v>
      </c>
      <c r="BQ416" s="37">
        <v>1891</v>
      </c>
      <c r="BR416" s="37">
        <v>1866</v>
      </c>
      <c r="BS416" s="37">
        <v>2003</v>
      </c>
      <c r="BT416" s="37">
        <v>1939.25</v>
      </c>
      <c r="BV416" s="36" t="s">
        <v>352</v>
      </c>
      <c r="BW416" s="37">
        <v>2040</v>
      </c>
      <c r="BX416" s="37">
        <v>2023</v>
      </c>
      <c r="BY416" s="37">
        <v>2047</v>
      </c>
      <c r="BZ416" s="37">
        <v>2136</v>
      </c>
      <c r="CA416" s="37">
        <v>2061.5</v>
      </c>
      <c r="CC416" s="36" t="s">
        <v>352</v>
      </c>
      <c r="CD416" s="37">
        <v>2128</v>
      </c>
      <c r="CE416" s="37">
        <v>2362</v>
      </c>
      <c r="CF416" s="37">
        <v>2076</v>
      </c>
      <c r="CG416" s="37">
        <v>2516</v>
      </c>
      <c r="CH416" s="37">
        <v>2270.5</v>
      </c>
      <c r="CJ416" s="36" t="s">
        <v>352</v>
      </c>
      <c r="CK416" s="37">
        <v>2302</v>
      </c>
      <c r="CL416" s="37">
        <v>2475</v>
      </c>
      <c r="CM416" s="37">
        <v>2472</v>
      </c>
      <c r="CN416" s="37">
        <v>2485</v>
      </c>
      <c r="CO416" s="37">
        <v>2433.5</v>
      </c>
      <c r="CQ416" s="36" t="s">
        <v>352</v>
      </c>
      <c r="CR416" s="37">
        <v>2469</v>
      </c>
      <c r="CS416" s="37">
        <v>2463</v>
      </c>
      <c r="CT416" s="37">
        <v>2486</v>
      </c>
      <c r="CU416" s="37">
        <v>2595</v>
      </c>
      <c r="CV416" s="37">
        <v>2503.25</v>
      </c>
      <c r="CX416" s="36" t="s">
        <v>352</v>
      </c>
      <c r="CY416" s="37">
        <v>2537</v>
      </c>
      <c r="CZ416" s="37">
        <v>2580</v>
      </c>
      <c r="DA416" s="37">
        <v>2495</v>
      </c>
      <c r="DB416" s="37">
        <v>2504</v>
      </c>
      <c r="DC416" s="37">
        <v>2529</v>
      </c>
      <c r="DE416" s="36" t="s">
        <v>352</v>
      </c>
      <c r="DF416" s="37">
        <v>2457</v>
      </c>
      <c r="DG416" s="37">
        <v>2502</v>
      </c>
      <c r="DH416" s="37">
        <v>2581</v>
      </c>
      <c r="DI416" s="37">
        <v>2640</v>
      </c>
      <c r="DJ416" s="37">
        <v>2545</v>
      </c>
      <c r="DL416" s="36" t="s">
        <v>352</v>
      </c>
      <c r="DM416" s="37">
        <v>2654</v>
      </c>
      <c r="DN416" s="37">
        <v>2562</v>
      </c>
      <c r="DO416" s="37">
        <v>2567</v>
      </c>
      <c r="DP416" s="37">
        <v>2545</v>
      </c>
      <c r="DQ416" s="37">
        <v>2582</v>
      </c>
      <c r="DS416" s="36" t="s">
        <v>352</v>
      </c>
      <c r="DT416" s="37">
        <v>2344</v>
      </c>
      <c r="DU416" s="37">
        <v>2310</v>
      </c>
      <c r="DV416" s="37">
        <v>2310</v>
      </c>
      <c r="DW416" s="37">
        <v>2310</v>
      </c>
      <c r="DX416" s="37">
        <v>2318.5</v>
      </c>
      <c r="DZ416" s="36" t="s">
        <v>352</v>
      </c>
      <c r="EA416" s="37">
        <v>2235</v>
      </c>
      <c r="EB416" s="37">
        <v>2284</v>
      </c>
      <c r="EC416" s="37">
        <v>2112</v>
      </c>
      <c r="ED416" s="37">
        <v>2108</v>
      </c>
      <c r="EE416" s="37">
        <v>2184.75</v>
      </c>
      <c r="EG416" s="36" t="s">
        <v>352</v>
      </c>
      <c r="EH416" s="37">
        <v>2078</v>
      </c>
      <c r="EI416" s="37">
        <v>2068</v>
      </c>
      <c r="EJ416" s="37">
        <v>2098</v>
      </c>
      <c r="EK416" s="37">
        <v>2055.2999999999997</v>
      </c>
      <c r="EL416" s="37">
        <v>2074.8249999999998</v>
      </c>
      <c r="EN416" s="36" t="s">
        <v>352</v>
      </c>
      <c r="EO416" s="37">
        <v>0</v>
      </c>
      <c r="ES416" s="37">
        <v>0</v>
      </c>
      <c r="EU416" s="36" t="s">
        <v>352</v>
      </c>
      <c r="EZ416" s="37">
        <v>0</v>
      </c>
      <c r="FB416" s="36" t="s">
        <v>352</v>
      </c>
      <c r="FG416" s="37">
        <v>0</v>
      </c>
      <c r="FI416" s="36" t="s">
        <v>352</v>
      </c>
      <c r="FN416" s="37">
        <v>0</v>
      </c>
      <c r="FP416" s="36" t="s">
        <v>352</v>
      </c>
      <c r="FU416" s="37">
        <v>0</v>
      </c>
      <c r="FW416" s="36" t="s">
        <v>352</v>
      </c>
      <c r="GD416" s="36" t="s">
        <v>352</v>
      </c>
      <c r="GK416" s="36" t="s">
        <v>352</v>
      </c>
      <c r="GR416" s="36" t="s">
        <v>352</v>
      </c>
      <c r="GY416" s="36" t="s">
        <v>352</v>
      </c>
      <c r="HF416" s="36" t="s">
        <v>352</v>
      </c>
      <c r="HM416" s="36" t="s">
        <v>352</v>
      </c>
      <c r="HT416" s="36" t="s">
        <v>352</v>
      </c>
      <c r="IA416" s="36" t="s">
        <v>352</v>
      </c>
      <c r="IH416" s="36" t="s">
        <v>352</v>
      </c>
      <c r="IO416" s="36" t="s">
        <v>352</v>
      </c>
      <c r="IV416" s="36" t="s">
        <v>352</v>
      </c>
      <c r="JC416" s="36" t="s">
        <v>352</v>
      </c>
      <c r="JJ416" s="36" t="s">
        <v>352</v>
      </c>
      <c r="JQ416" s="36" t="s">
        <v>352</v>
      </c>
      <c r="JX416" s="36" t="s">
        <v>352</v>
      </c>
      <c r="KE416" s="36" t="s">
        <v>352</v>
      </c>
      <c r="KL416" s="36" t="s">
        <v>352</v>
      </c>
      <c r="KQ416" s="37">
        <v>25</v>
      </c>
      <c r="KS416" s="36" t="s">
        <v>352</v>
      </c>
      <c r="KZ416" s="36" t="s">
        <v>352</v>
      </c>
      <c r="LF416" s="565"/>
      <c r="LG416" s="36" t="s">
        <v>352</v>
      </c>
      <c r="LM416" s="565"/>
      <c r="LN416" s="36" t="s">
        <v>352</v>
      </c>
      <c r="LT416" s="565"/>
      <c r="LU416" s="36" t="s">
        <v>352</v>
      </c>
      <c r="MA416" s="565"/>
      <c r="MB416" s="36" t="s">
        <v>352</v>
      </c>
      <c r="MH416" s="565"/>
    </row>
    <row r="417" spans="1:346" s="37" customFormat="1" ht="13.15" hidden="1" outlineLevel="1" x14ac:dyDescent="0.4">
      <c r="A417" s="35"/>
      <c r="B417" s="36" t="s">
        <v>353</v>
      </c>
      <c r="M417" s="37">
        <v>2129</v>
      </c>
      <c r="N417" s="37">
        <f t="shared" si="7279"/>
        <v>2054.25</v>
      </c>
      <c r="O417" s="37">
        <f t="shared" si="7280"/>
        <v>2173.25</v>
      </c>
      <c r="P417" s="37">
        <f t="shared" si="7281"/>
        <v>2239</v>
      </c>
      <c r="Q417" s="37">
        <f t="shared" si="7282"/>
        <v>2254.5</v>
      </c>
      <c r="R417" s="37">
        <f t="shared" si="7283"/>
        <v>2366</v>
      </c>
      <c r="S417" s="37">
        <f t="shared" si="7284"/>
        <v>2372.75</v>
      </c>
      <c r="T417" s="37">
        <f t="shared" si="7285"/>
        <v>2344.75</v>
      </c>
      <c r="U417" s="37">
        <f t="shared" si="7286"/>
        <v>2243.5</v>
      </c>
      <c r="V417" s="37">
        <f t="shared" si="7287"/>
        <v>2084.75</v>
      </c>
      <c r="W417" s="37">
        <f t="shared" si="7288"/>
        <v>2117.75</v>
      </c>
      <c r="X417" s="37">
        <f t="shared" si="7289"/>
        <v>2136.4499999999998</v>
      </c>
      <c r="Y417" s="37">
        <f t="shared" si="7290"/>
        <v>2730.75</v>
      </c>
      <c r="Z417" s="37">
        <f t="shared" si="7291"/>
        <v>2767</v>
      </c>
      <c r="AA417" s="37">
        <f t="shared" si="7292"/>
        <v>2662.25</v>
      </c>
      <c r="AB417" s="37">
        <f t="shared" si="7293"/>
        <v>2662.25</v>
      </c>
      <c r="AC417" s="37">
        <f t="shared" si="7294"/>
        <v>2662.25</v>
      </c>
      <c r="AD417" s="37">
        <f t="shared" si="7295"/>
        <v>0</v>
      </c>
      <c r="AE417" s="37">
        <f t="shared" si="7296"/>
        <v>0</v>
      </c>
      <c r="AF417" s="37">
        <f t="shared" si="7297"/>
        <v>0</v>
      </c>
      <c r="AG417" s="37">
        <f t="shared" si="7298"/>
        <v>0</v>
      </c>
      <c r="AH417" s="37">
        <f t="shared" si="7299"/>
        <v>0</v>
      </c>
      <c r="AI417" s="37">
        <f t="shared" si="7300"/>
        <v>0</v>
      </c>
      <c r="AJ417" s="37">
        <f t="shared" si="7301"/>
        <v>0</v>
      </c>
      <c r="AK417" s="37">
        <f t="shared" si="7302"/>
        <v>0</v>
      </c>
      <c r="AL417" s="37">
        <f t="shared" si="7303"/>
        <v>0</v>
      </c>
      <c r="AM417" s="37">
        <f t="shared" si="7304"/>
        <v>0</v>
      </c>
      <c r="AN417" s="37">
        <f t="shared" si="7305"/>
        <v>0</v>
      </c>
      <c r="AO417" s="37">
        <f t="shared" si="7306"/>
        <v>0</v>
      </c>
      <c r="AP417" s="37">
        <f t="shared" si="7307"/>
        <v>0</v>
      </c>
      <c r="AQ417" s="37">
        <f t="shared" si="7308"/>
        <v>0</v>
      </c>
      <c r="AR417" s="37">
        <f t="shared" si="7309"/>
        <v>0</v>
      </c>
      <c r="AS417" s="37">
        <f t="shared" si="7310"/>
        <v>0</v>
      </c>
      <c r="AT417" s="37">
        <f t="shared" si="7311"/>
        <v>0</v>
      </c>
      <c r="AU417" s="37">
        <f t="shared" si="7312"/>
        <v>0</v>
      </c>
      <c r="AV417" s="37">
        <f t="shared" si="7313"/>
        <v>0</v>
      </c>
      <c r="AW417" s="37">
        <f t="shared" si="7314"/>
        <v>0</v>
      </c>
      <c r="AX417" s="37">
        <f t="shared" si="7315"/>
        <v>0</v>
      </c>
      <c r="AY417" s="37">
        <f t="shared" si="7316"/>
        <v>0</v>
      </c>
      <c r="AZ417" s="37">
        <f t="shared" si="7317"/>
        <v>0</v>
      </c>
      <c r="BA417" s="37">
        <f t="shared" si="7318"/>
        <v>0</v>
      </c>
      <c r="BO417" s="36" t="s">
        <v>353</v>
      </c>
      <c r="BP417" s="37">
        <v>2019</v>
      </c>
      <c r="BQ417" s="37">
        <v>2033</v>
      </c>
      <c r="BR417" s="37">
        <v>2004</v>
      </c>
      <c r="BS417" s="37">
        <v>2161</v>
      </c>
      <c r="BT417" s="37">
        <v>2054.25</v>
      </c>
      <c r="BV417" s="36" t="s">
        <v>353</v>
      </c>
      <c r="BW417" s="37">
        <v>2101</v>
      </c>
      <c r="BX417" s="37">
        <v>2130</v>
      </c>
      <c r="BY417" s="37">
        <v>2175</v>
      </c>
      <c r="BZ417" s="37">
        <v>2287</v>
      </c>
      <c r="CA417" s="37">
        <v>2173.25</v>
      </c>
      <c r="CC417" s="36" t="s">
        <v>353</v>
      </c>
      <c r="CD417" s="37">
        <v>2255</v>
      </c>
      <c r="CE417" s="37">
        <v>2279</v>
      </c>
      <c r="CF417" s="37">
        <v>2188</v>
      </c>
      <c r="CG417" s="37">
        <v>2234</v>
      </c>
      <c r="CH417" s="37">
        <v>2239</v>
      </c>
      <c r="CJ417" s="36" t="s">
        <v>353</v>
      </c>
      <c r="CK417" s="37">
        <v>2207</v>
      </c>
      <c r="CL417" s="37">
        <v>2207</v>
      </c>
      <c r="CM417" s="37">
        <v>2262</v>
      </c>
      <c r="CN417" s="37">
        <v>2342</v>
      </c>
      <c r="CO417" s="37">
        <v>2254.5</v>
      </c>
      <c r="CQ417" s="36" t="s">
        <v>353</v>
      </c>
      <c r="CR417" s="37">
        <v>2403</v>
      </c>
      <c r="CS417" s="37">
        <v>2361</v>
      </c>
      <c r="CT417" s="37">
        <v>2314</v>
      </c>
      <c r="CU417" s="37">
        <v>2386</v>
      </c>
      <c r="CV417" s="37">
        <v>2366</v>
      </c>
      <c r="CX417" s="36" t="s">
        <v>353</v>
      </c>
      <c r="CY417" s="37">
        <v>2452</v>
      </c>
      <c r="CZ417" s="37">
        <v>2367</v>
      </c>
      <c r="DA417" s="37">
        <v>2330</v>
      </c>
      <c r="DB417" s="37">
        <v>2342</v>
      </c>
      <c r="DC417" s="37">
        <v>2372.75</v>
      </c>
      <c r="DE417" s="36" t="s">
        <v>353</v>
      </c>
      <c r="DF417" s="37">
        <v>2331</v>
      </c>
      <c r="DG417" s="37">
        <v>2349</v>
      </c>
      <c r="DH417" s="37">
        <v>2346</v>
      </c>
      <c r="DI417" s="37">
        <v>2353</v>
      </c>
      <c r="DJ417" s="37">
        <v>2344.75</v>
      </c>
      <c r="DL417" s="36" t="s">
        <v>353</v>
      </c>
      <c r="DM417" s="37">
        <v>2275</v>
      </c>
      <c r="DN417" s="37">
        <v>2242</v>
      </c>
      <c r="DO417" s="37">
        <v>2216</v>
      </c>
      <c r="DP417" s="37">
        <v>2241</v>
      </c>
      <c r="DQ417" s="37">
        <v>2243.5</v>
      </c>
      <c r="DS417" s="36" t="s">
        <v>353</v>
      </c>
      <c r="DT417" s="37">
        <v>2109</v>
      </c>
      <c r="DU417" s="37">
        <v>2047</v>
      </c>
      <c r="DV417" s="37">
        <v>2036</v>
      </c>
      <c r="DW417" s="37">
        <v>2147</v>
      </c>
      <c r="DX417" s="37">
        <v>2084.75</v>
      </c>
      <c r="DZ417" s="36" t="s">
        <v>353</v>
      </c>
      <c r="EA417" s="37">
        <v>2102</v>
      </c>
      <c r="EB417" s="37">
        <v>2324</v>
      </c>
      <c r="EC417" s="37">
        <v>2029</v>
      </c>
      <c r="ED417" s="37">
        <v>2016</v>
      </c>
      <c r="EE417" s="37">
        <v>2117.75</v>
      </c>
      <c r="EG417" s="36" t="s">
        <v>353</v>
      </c>
      <c r="EH417" s="37">
        <v>2111</v>
      </c>
      <c r="EI417" s="37">
        <v>2160</v>
      </c>
      <c r="EJ417" s="37">
        <v>2158</v>
      </c>
      <c r="EK417" s="37">
        <v>2116.8000000000002</v>
      </c>
      <c r="EL417" s="37">
        <v>2136.4499999999998</v>
      </c>
      <c r="EN417" s="36" t="s">
        <v>353</v>
      </c>
      <c r="EO417" s="37">
        <v>2666</v>
      </c>
      <c r="EP417" s="37">
        <v>2687</v>
      </c>
      <c r="EQ417" s="37">
        <v>2790</v>
      </c>
      <c r="ER417" s="37">
        <v>2780</v>
      </c>
      <c r="ES417" s="37">
        <v>2730.75</v>
      </c>
      <c r="EU417" s="36" t="s">
        <v>353</v>
      </c>
      <c r="EV417" s="37">
        <v>2804</v>
      </c>
      <c r="EW417" s="37">
        <v>2731</v>
      </c>
      <c r="EX417" s="37">
        <v>2805</v>
      </c>
      <c r="EY417" s="37">
        <v>2728</v>
      </c>
      <c r="EZ417" s="37">
        <v>2767</v>
      </c>
      <c r="FB417" s="36" t="s">
        <v>353</v>
      </c>
      <c r="FC417" s="37">
        <v>2695</v>
      </c>
      <c r="FD417" s="37">
        <v>2630</v>
      </c>
      <c r="FE417" s="37">
        <v>2684</v>
      </c>
      <c r="FF417" s="37">
        <v>2640</v>
      </c>
      <c r="FG417" s="37">
        <v>2662.25</v>
      </c>
      <c r="FI417" s="36" t="s">
        <v>353</v>
      </c>
      <c r="FJ417" s="37">
        <v>2695</v>
      </c>
      <c r="FK417" s="37">
        <v>2630</v>
      </c>
      <c r="FL417" s="37">
        <v>2684</v>
      </c>
      <c r="FM417" s="37">
        <v>2640</v>
      </c>
      <c r="FN417" s="37">
        <v>2662.25</v>
      </c>
      <c r="FP417" s="36" t="s">
        <v>353</v>
      </c>
      <c r="FQ417" s="37">
        <v>2695</v>
      </c>
      <c r="FR417" s="37">
        <v>2630</v>
      </c>
      <c r="FS417" s="37">
        <v>2684</v>
      </c>
      <c r="FT417" s="37">
        <v>2640</v>
      </c>
      <c r="FU417" s="37">
        <v>2662.25</v>
      </c>
      <c r="FW417" s="36" t="s">
        <v>353</v>
      </c>
      <c r="GD417" s="36" t="s">
        <v>353</v>
      </c>
      <c r="GK417" s="36" t="s">
        <v>353</v>
      </c>
      <c r="GR417" s="36" t="s">
        <v>353</v>
      </c>
      <c r="GY417" s="36" t="s">
        <v>353</v>
      </c>
      <c r="HF417" s="36" t="s">
        <v>353</v>
      </c>
      <c r="HM417" s="36" t="s">
        <v>353</v>
      </c>
      <c r="HT417" s="36" t="s">
        <v>353</v>
      </c>
      <c r="IA417" s="36" t="s">
        <v>353</v>
      </c>
      <c r="IH417" s="36" t="s">
        <v>353</v>
      </c>
      <c r="IO417" s="36" t="s">
        <v>353</v>
      </c>
      <c r="IV417" s="36" t="s">
        <v>353</v>
      </c>
      <c r="JC417" s="36" t="s">
        <v>353</v>
      </c>
      <c r="JJ417" s="36" t="s">
        <v>353</v>
      </c>
      <c r="JQ417" s="36" t="s">
        <v>353</v>
      </c>
      <c r="JX417" s="36" t="s">
        <v>353</v>
      </c>
      <c r="KE417" s="36" t="s">
        <v>353</v>
      </c>
      <c r="KL417" s="36" t="s">
        <v>353</v>
      </c>
      <c r="KS417" s="36" t="s">
        <v>353</v>
      </c>
      <c r="KZ417" s="36" t="s">
        <v>353</v>
      </c>
      <c r="LF417" s="565"/>
      <c r="LG417" s="36" t="s">
        <v>353</v>
      </c>
      <c r="LM417" s="565"/>
      <c r="LN417" s="36" t="s">
        <v>353</v>
      </c>
      <c r="LT417" s="565"/>
      <c r="LU417" s="36" t="s">
        <v>353</v>
      </c>
      <c r="MA417" s="565"/>
      <c r="MB417" s="36" t="s">
        <v>353</v>
      </c>
      <c r="MH417" s="565"/>
    </row>
    <row r="418" spans="1:346" s="37" customFormat="1" ht="13.15" hidden="1" outlineLevel="1" x14ac:dyDescent="0.4">
      <c r="A418" s="35"/>
      <c r="B418" s="36" t="s">
        <v>354</v>
      </c>
      <c r="M418" s="37">
        <v>2685</v>
      </c>
      <c r="N418" s="37">
        <f t="shared" si="7279"/>
        <v>2171</v>
      </c>
      <c r="O418" s="37">
        <f t="shared" si="7280"/>
        <v>2356.25</v>
      </c>
      <c r="P418" s="37">
        <f t="shared" si="7281"/>
        <v>2541.25</v>
      </c>
      <c r="Q418" s="37">
        <f t="shared" si="7282"/>
        <v>2597.25</v>
      </c>
      <c r="R418" s="37">
        <f t="shared" si="7283"/>
        <v>2692.5</v>
      </c>
      <c r="S418" s="37">
        <f t="shared" si="7284"/>
        <v>2597</v>
      </c>
      <c r="T418" s="37">
        <f t="shared" si="7285"/>
        <v>0</v>
      </c>
      <c r="U418" s="37">
        <f t="shared" si="7286"/>
        <v>0</v>
      </c>
      <c r="V418" s="37">
        <f t="shared" si="7287"/>
        <v>0</v>
      </c>
      <c r="W418" s="37">
        <f t="shared" si="7288"/>
        <v>0</v>
      </c>
      <c r="X418" s="37">
        <f t="shared" si="7289"/>
        <v>0</v>
      </c>
      <c r="Y418" s="37">
        <f t="shared" si="7290"/>
        <v>0</v>
      </c>
      <c r="Z418" s="37">
        <f t="shared" si="7291"/>
        <v>0</v>
      </c>
      <c r="AA418" s="37">
        <f t="shared" si="7292"/>
        <v>0</v>
      </c>
      <c r="AB418" s="37">
        <f t="shared" si="7293"/>
        <v>0</v>
      </c>
      <c r="AC418" s="37">
        <f t="shared" si="7294"/>
        <v>0</v>
      </c>
      <c r="AD418" s="37">
        <f t="shared" si="7295"/>
        <v>0</v>
      </c>
      <c r="AE418" s="37">
        <f t="shared" si="7296"/>
        <v>0</v>
      </c>
      <c r="AF418" s="37">
        <f t="shared" si="7297"/>
        <v>0</v>
      </c>
      <c r="AG418" s="37">
        <f t="shared" si="7298"/>
        <v>0</v>
      </c>
      <c r="AH418" s="37">
        <f t="shared" si="7299"/>
        <v>0</v>
      </c>
      <c r="AI418" s="37">
        <f t="shared" si="7300"/>
        <v>0</v>
      </c>
      <c r="AJ418" s="37">
        <f t="shared" si="7301"/>
        <v>0</v>
      </c>
      <c r="AK418" s="37">
        <f t="shared" si="7302"/>
        <v>0</v>
      </c>
      <c r="AL418" s="37">
        <f t="shared" si="7303"/>
        <v>0</v>
      </c>
      <c r="AM418" s="37">
        <f t="shared" si="7304"/>
        <v>0</v>
      </c>
      <c r="AN418" s="37">
        <f t="shared" si="7305"/>
        <v>0</v>
      </c>
      <c r="AO418" s="37">
        <f t="shared" si="7306"/>
        <v>0</v>
      </c>
      <c r="AP418" s="37">
        <f t="shared" si="7307"/>
        <v>0</v>
      </c>
      <c r="AQ418" s="37">
        <f t="shared" si="7308"/>
        <v>0</v>
      </c>
      <c r="AR418" s="37">
        <f t="shared" si="7309"/>
        <v>0</v>
      </c>
      <c r="AS418" s="37">
        <f t="shared" si="7310"/>
        <v>0</v>
      </c>
      <c r="AT418" s="37">
        <f t="shared" si="7311"/>
        <v>0</v>
      </c>
      <c r="AU418" s="37">
        <f t="shared" si="7312"/>
        <v>18613</v>
      </c>
      <c r="AV418" s="37">
        <f t="shared" si="7313"/>
        <v>0</v>
      </c>
      <c r="AW418" s="37">
        <f t="shared" si="7314"/>
        <v>0</v>
      </c>
      <c r="AX418" s="37">
        <f t="shared" si="7315"/>
        <v>0</v>
      </c>
      <c r="AY418" s="37">
        <f t="shared" si="7316"/>
        <v>0</v>
      </c>
      <c r="AZ418" s="37">
        <f t="shared" si="7317"/>
        <v>0</v>
      </c>
      <c r="BA418" s="37">
        <f t="shared" si="7318"/>
        <v>0</v>
      </c>
      <c r="BO418" s="36" t="s">
        <v>354</v>
      </c>
      <c r="BP418" s="37">
        <v>2158</v>
      </c>
      <c r="BQ418" s="37">
        <v>2175</v>
      </c>
      <c r="BR418" s="37">
        <v>2270</v>
      </c>
      <c r="BS418" s="37">
        <v>2081</v>
      </c>
      <c r="BT418" s="37">
        <v>2171</v>
      </c>
      <c r="BV418" s="36" t="s">
        <v>354</v>
      </c>
      <c r="BW418" s="37">
        <v>2294</v>
      </c>
      <c r="BX418" s="37">
        <v>2284</v>
      </c>
      <c r="BY418" s="37">
        <v>2386</v>
      </c>
      <c r="BZ418" s="37">
        <v>2461</v>
      </c>
      <c r="CA418" s="37">
        <v>2356.25</v>
      </c>
      <c r="CC418" s="36" t="s">
        <v>354</v>
      </c>
      <c r="CD418" s="37">
        <v>2592</v>
      </c>
      <c r="CE418" s="37">
        <v>2564</v>
      </c>
      <c r="CF418" s="37">
        <v>2634</v>
      </c>
      <c r="CG418" s="37">
        <v>2375</v>
      </c>
      <c r="CH418" s="37">
        <v>2541.25</v>
      </c>
      <c r="CJ418" s="36" t="s">
        <v>354</v>
      </c>
      <c r="CK418" s="37">
        <v>2622</v>
      </c>
      <c r="CL418" s="37">
        <v>2511</v>
      </c>
      <c r="CM418" s="37">
        <v>2731</v>
      </c>
      <c r="CN418" s="37">
        <v>2525</v>
      </c>
      <c r="CO418" s="37">
        <v>2597.25</v>
      </c>
      <c r="CQ418" s="36" t="s">
        <v>354</v>
      </c>
      <c r="CR418" s="37">
        <v>2800</v>
      </c>
      <c r="CS418" s="37">
        <v>2564</v>
      </c>
      <c r="CT418" s="37">
        <v>2769</v>
      </c>
      <c r="CU418" s="37">
        <v>2637</v>
      </c>
      <c r="CV418" s="37">
        <v>2692.5</v>
      </c>
      <c r="CX418" s="36" t="s">
        <v>354</v>
      </c>
      <c r="CY418" s="37">
        <v>2730</v>
      </c>
      <c r="CZ418" s="37">
        <v>2461</v>
      </c>
      <c r="DA418" s="37">
        <v>2664</v>
      </c>
      <c r="DB418" s="37">
        <v>2533</v>
      </c>
      <c r="DC418" s="37">
        <v>2597</v>
      </c>
      <c r="DE418" s="36" t="s">
        <v>354</v>
      </c>
      <c r="DF418" s="37">
        <v>0</v>
      </c>
      <c r="DG418" s="37">
        <v>0</v>
      </c>
      <c r="DH418" s="37">
        <v>0</v>
      </c>
      <c r="DI418" s="37">
        <v>0</v>
      </c>
      <c r="DL418" s="36" t="s">
        <v>354</v>
      </c>
      <c r="DS418" s="36" t="s">
        <v>354</v>
      </c>
      <c r="DZ418" s="36" t="s">
        <v>354</v>
      </c>
      <c r="EG418" s="36" t="s">
        <v>354</v>
      </c>
      <c r="EN418" s="36" t="s">
        <v>354</v>
      </c>
      <c r="EU418" s="36" t="s">
        <v>354</v>
      </c>
      <c r="FB418" s="36" t="s">
        <v>354</v>
      </c>
      <c r="FI418" s="36" t="s">
        <v>354</v>
      </c>
      <c r="FP418" s="36" t="s">
        <v>354</v>
      </c>
      <c r="FW418" s="36" t="s">
        <v>354</v>
      </c>
      <c r="GD418" s="36" t="s">
        <v>354</v>
      </c>
      <c r="GK418" s="36" t="s">
        <v>354</v>
      </c>
      <c r="GR418" s="36" t="s">
        <v>354</v>
      </c>
      <c r="GY418" s="36" t="s">
        <v>354</v>
      </c>
      <c r="HF418" s="36" t="s">
        <v>354</v>
      </c>
      <c r="HM418" s="36" t="s">
        <v>354</v>
      </c>
      <c r="HT418" s="36" t="s">
        <v>354</v>
      </c>
      <c r="IA418" s="36" t="s">
        <v>354</v>
      </c>
      <c r="IH418" s="36" t="s">
        <v>354</v>
      </c>
      <c r="IO418" s="36" t="s">
        <v>354</v>
      </c>
      <c r="IV418" s="36" t="s">
        <v>354</v>
      </c>
      <c r="JC418" s="36" t="s">
        <v>354</v>
      </c>
      <c r="JJ418" s="36" t="s">
        <v>354</v>
      </c>
      <c r="JQ418" s="36" t="s">
        <v>354</v>
      </c>
      <c r="JX418" s="36" t="s">
        <v>354</v>
      </c>
      <c r="KE418" s="36" t="s">
        <v>354</v>
      </c>
      <c r="KL418" s="36" t="s">
        <v>354</v>
      </c>
      <c r="KQ418" s="37">
        <v>18613</v>
      </c>
      <c r="KS418" s="36" t="s">
        <v>354</v>
      </c>
      <c r="KZ418" s="36" t="s">
        <v>354</v>
      </c>
      <c r="LF418" s="565"/>
      <c r="LG418" s="36" t="s">
        <v>354</v>
      </c>
      <c r="LM418" s="565"/>
      <c r="LN418" s="36" t="s">
        <v>354</v>
      </c>
      <c r="LT418" s="565"/>
      <c r="LU418" s="36" t="s">
        <v>354</v>
      </c>
      <c r="MA418" s="565"/>
      <c r="MB418" s="36" t="s">
        <v>354</v>
      </c>
      <c r="MH418" s="565"/>
    </row>
    <row r="419" spans="1:346" s="37" customFormat="1" ht="13.15" hidden="1" outlineLevel="1" x14ac:dyDescent="0.4">
      <c r="A419" s="35"/>
      <c r="B419" s="36" t="s">
        <v>371</v>
      </c>
      <c r="H419" s="37">
        <v>2116</v>
      </c>
      <c r="I419" s="37">
        <v>2251</v>
      </c>
      <c r="J419" s="37">
        <v>2114</v>
      </c>
      <c r="K419" s="37">
        <v>1912</v>
      </c>
      <c r="L419" s="37">
        <v>2059</v>
      </c>
      <c r="M419" s="37">
        <v>2082</v>
      </c>
      <c r="N419" s="37">
        <f t="shared" si="7279"/>
        <v>2422.75</v>
      </c>
      <c r="O419" s="37">
        <f t="shared" si="7280"/>
        <v>2608.75</v>
      </c>
      <c r="P419" s="37">
        <f t="shared" si="7281"/>
        <v>3223.75</v>
      </c>
      <c r="Q419" s="37">
        <f t="shared" si="7282"/>
        <v>2520</v>
      </c>
      <c r="R419" s="37">
        <f t="shared" si="7283"/>
        <v>2327</v>
      </c>
      <c r="S419" s="37">
        <f t="shared" si="7284"/>
        <v>2317</v>
      </c>
      <c r="T419" s="37">
        <f t="shared" si="7285"/>
        <v>2356</v>
      </c>
      <c r="U419" s="37">
        <f t="shared" si="7286"/>
        <v>2213</v>
      </c>
      <c r="V419" s="37">
        <f t="shared" si="7287"/>
        <v>2025.75</v>
      </c>
      <c r="W419" s="37">
        <f t="shared" si="7288"/>
        <v>2046.5</v>
      </c>
      <c r="X419" s="37">
        <f t="shared" si="7289"/>
        <v>2071.4124999999999</v>
      </c>
      <c r="Y419" s="37">
        <f t="shared" si="7290"/>
        <v>0</v>
      </c>
      <c r="Z419" s="37">
        <f t="shared" si="7291"/>
        <v>0</v>
      </c>
      <c r="AA419" s="37">
        <f t="shared" si="7292"/>
        <v>0</v>
      </c>
      <c r="AB419" s="37">
        <f t="shared" si="7293"/>
        <v>0</v>
      </c>
      <c r="AC419" s="37">
        <f t="shared" si="7294"/>
        <v>0</v>
      </c>
      <c r="AD419" s="37">
        <f t="shared" si="7295"/>
        <v>0</v>
      </c>
      <c r="AE419" s="37">
        <f t="shared" si="7296"/>
        <v>0</v>
      </c>
      <c r="AF419" s="37">
        <f t="shared" si="7297"/>
        <v>0</v>
      </c>
      <c r="AG419" s="37">
        <f t="shared" si="7298"/>
        <v>0</v>
      </c>
      <c r="AH419" s="37">
        <f t="shared" si="7299"/>
        <v>0</v>
      </c>
      <c r="AI419" s="37">
        <f t="shared" si="7300"/>
        <v>0</v>
      </c>
      <c r="AJ419" s="37">
        <f t="shared" si="7301"/>
        <v>0</v>
      </c>
      <c r="AK419" s="37">
        <f t="shared" si="7302"/>
        <v>0</v>
      </c>
      <c r="AL419" s="37">
        <f t="shared" si="7303"/>
        <v>0</v>
      </c>
      <c r="AM419" s="37">
        <f t="shared" si="7304"/>
        <v>0</v>
      </c>
      <c r="AN419" s="37">
        <f t="shared" si="7305"/>
        <v>0</v>
      </c>
      <c r="AO419" s="37">
        <f t="shared" si="7306"/>
        <v>0</v>
      </c>
      <c r="AP419" s="37">
        <f t="shared" si="7307"/>
        <v>0</v>
      </c>
      <c r="AQ419" s="37">
        <f t="shared" si="7308"/>
        <v>0</v>
      </c>
      <c r="AR419" s="37">
        <f t="shared" si="7309"/>
        <v>0</v>
      </c>
      <c r="AS419" s="37">
        <f t="shared" si="7310"/>
        <v>0</v>
      </c>
      <c r="AT419" s="37">
        <f t="shared" si="7311"/>
        <v>0</v>
      </c>
      <c r="AU419" s="37">
        <f t="shared" si="7312"/>
        <v>10736</v>
      </c>
      <c r="AV419" s="37">
        <f t="shared" si="7313"/>
        <v>0</v>
      </c>
      <c r="AW419" s="37">
        <f t="shared" si="7314"/>
        <v>0</v>
      </c>
      <c r="AX419" s="37">
        <f t="shared" si="7315"/>
        <v>0</v>
      </c>
      <c r="AY419" s="37">
        <f t="shared" si="7316"/>
        <v>0</v>
      </c>
      <c r="AZ419" s="37">
        <f t="shared" si="7317"/>
        <v>0</v>
      </c>
      <c r="BA419" s="37">
        <f t="shared" si="7318"/>
        <v>0</v>
      </c>
      <c r="BO419" s="36" t="s">
        <v>371</v>
      </c>
      <c r="BP419" s="37">
        <v>2546</v>
      </c>
      <c r="BQ419" s="37">
        <v>2640</v>
      </c>
      <c r="BR419" s="37">
        <v>2302</v>
      </c>
      <c r="BS419" s="37">
        <v>2203</v>
      </c>
      <c r="BT419" s="37">
        <v>2422.75</v>
      </c>
      <c r="BV419" s="36" t="s">
        <v>371</v>
      </c>
      <c r="BW419" s="37">
        <v>2176</v>
      </c>
      <c r="BX419" s="37">
        <v>2308</v>
      </c>
      <c r="BY419" s="37">
        <v>2674</v>
      </c>
      <c r="BZ419" s="37">
        <v>3277</v>
      </c>
      <c r="CA419" s="37">
        <v>2608.75</v>
      </c>
      <c r="CC419" s="36" t="s">
        <v>371</v>
      </c>
      <c r="CD419" s="37">
        <v>4039</v>
      </c>
      <c r="CE419" s="37">
        <v>3242</v>
      </c>
      <c r="CF419" s="37">
        <v>2993</v>
      </c>
      <c r="CG419" s="37">
        <v>2621</v>
      </c>
      <c r="CH419" s="37">
        <v>3223.75</v>
      </c>
      <c r="CJ419" s="36" t="s">
        <v>371</v>
      </c>
      <c r="CK419" s="37">
        <v>2642</v>
      </c>
      <c r="CL419" s="37">
        <v>2540</v>
      </c>
      <c r="CM419" s="37">
        <v>2498</v>
      </c>
      <c r="CN419" s="37">
        <v>2400</v>
      </c>
      <c r="CO419" s="37">
        <v>2520</v>
      </c>
      <c r="CQ419" s="36" t="s">
        <v>371</v>
      </c>
      <c r="CR419" s="37">
        <v>2322</v>
      </c>
      <c r="CS419" s="37">
        <v>2333</v>
      </c>
      <c r="CT419" s="37">
        <v>2338</v>
      </c>
      <c r="CU419" s="37">
        <v>2315</v>
      </c>
      <c r="CV419" s="37">
        <v>2327</v>
      </c>
      <c r="CX419" s="36" t="s">
        <v>371</v>
      </c>
      <c r="CY419" s="37">
        <v>2282</v>
      </c>
      <c r="CZ419" s="37">
        <v>2303</v>
      </c>
      <c r="DA419" s="37">
        <v>2332</v>
      </c>
      <c r="DB419" s="37">
        <v>2351</v>
      </c>
      <c r="DC419" s="37">
        <v>2317</v>
      </c>
      <c r="DE419" s="36" t="s">
        <v>371</v>
      </c>
      <c r="DF419" s="37">
        <v>2324</v>
      </c>
      <c r="DG419" s="37">
        <v>2345</v>
      </c>
      <c r="DH419" s="37">
        <v>2387</v>
      </c>
      <c r="DI419" s="37">
        <v>2368</v>
      </c>
      <c r="DJ419" s="37">
        <v>2356</v>
      </c>
      <c r="DL419" s="36" t="s">
        <v>371</v>
      </c>
      <c r="DM419" s="37">
        <v>2304</v>
      </c>
      <c r="DN419" s="37">
        <v>2262</v>
      </c>
      <c r="DO419" s="37">
        <v>2164</v>
      </c>
      <c r="DP419" s="37">
        <v>2122</v>
      </c>
      <c r="DQ419" s="37">
        <v>2213</v>
      </c>
      <c r="DS419" s="36" t="s">
        <v>371</v>
      </c>
      <c r="DT419" s="37">
        <v>2057</v>
      </c>
      <c r="DU419" s="37">
        <v>1971</v>
      </c>
      <c r="DV419" s="37">
        <v>2012</v>
      </c>
      <c r="DW419" s="37">
        <v>2063</v>
      </c>
      <c r="DX419" s="37">
        <v>2025.75</v>
      </c>
      <c r="DZ419" s="36" t="s">
        <v>371</v>
      </c>
      <c r="EA419" s="37">
        <v>2042</v>
      </c>
      <c r="EB419" s="37">
        <v>2019</v>
      </c>
      <c r="EC419" s="37">
        <v>2060</v>
      </c>
      <c r="ED419" s="37">
        <v>2065</v>
      </c>
      <c r="EE419" s="37">
        <v>2046.5</v>
      </c>
      <c r="EG419" s="36" t="s">
        <v>371</v>
      </c>
      <c r="EH419" s="37">
        <v>2002</v>
      </c>
      <c r="EI419" s="37">
        <v>2021</v>
      </c>
      <c r="EJ419" s="37">
        <v>2177</v>
      </c>
      <c r="EK419" s="37">
        <v>2085.65</v>
      </c>
      <c r="EL419" s="37">
        <v>2071.4124999999999</v>
      </c>
      <c r="EN419" s="36" t="s">
        <v>371</v>
      </c>
      <c r="EO419" s="37">
        <v>0</v>
      </c>
      <c r="ES419" s="37">
        <v>0</v>
      </c>
      <c r="EU419" s="36" t="s">
        <v>371</v>
      </c>
      <c r="EZ419" s="37">
        <v>0</v>
      </c>
      <c r="FB419" s="36" t="s">
        <v>371</v>
      </c>
      <c r="FG419" s="37">
        <v>0</v>
      </c>
      <c r="FI419" s="36" t="s">
        <v>371</v>
      </c>
      <c r="FN419" s="37">
        <v>0</v>
      </c>
      <c r="FP419" s="36" t="s">
        <v>371</v>
      </c>
      <c r="FU419" s="37">
        <v>0</v>
      </c>
      <c r="FW419" s="36" t="s">
        <v>371</v>
      </c>
      <c r="GD419" s="36" t="s">
        <v>371</v>
      </c>
      <c r="GK419" s="36" t="s">
        <v>371</v>
      </c>
      <c r="GR419" s="36" t="s">
        <v>371</v>
      </c>
      <c r="GY419" s="36" t="s">
        <v>371</v>
      </c>
      <c r="HF419" s="36" t="s">
        <v>371</v>
      </c>
      <c r="HM419" s="36" t="s">
        <v>371</v>
      </c>
      <c r="HT419" s="36" t="s">
        <v>371</v>
      </c>
      <c r="IA419" s="36" t="s">
        <v>371</v>
      </c>
      <c r="IH419" s="36" t="s">
        <v>371</v>
      </c>
      <c r="IO419" s="36" t="s">
        <v>371</v>
      </c>
      <c r="IV419" s="36" t="s">
        <v>371</v>
      </c>
      <c r="JC419" s="36" t="s">
        <v>371</v>
      </c>
      <c r="JJ419" s="36" t="s">
        <v>371</v>
      </c>
      <c r="JQ419" s="36" t="s">
        <v>371</v>
      </c>
      <c r="JX419" s="36" t="s">
        <v>371</v>
      </c>
      <c r="KE419" s="36" t="s">
        <v>371</v>
      </c>
      <c r="KL419" s="36" t="s">
        <v>371</v>
      </c>
      <c r="KQ419" s="37">
        <v>10736</v>
      </c>
      <c r="KS419" s="36" t="s">
        <v>371</v>
      </c>
      <c r="KZ419" s="36" t="s">
        <v>371</v>
      </c>
      <c r="LF419" s="565"/>
      <c r="LG419" s="36" t="s">
        <v>371</v>
      </c>
      <c r="LM419" s="565"/>
      <c r="LN419" s="36" t="s">
        <v>371</v>
      </c>
      <c r="LT419" s="565"/>
      <c r="LU419" s="36" t="s">
        <v>371</v>
      </c>
      <c r="MA419" s="565"/>
      <c r="MB419" s="36" t="s">
        <v>371</v>
      </c>
      <c r="MH419" s="565"/>
    </row>
    <row r="420" spans="1:346" s="37" customFormat="1" ht="13.15" hidden="1" outlineLevel="1" x14ac:dyDescent="0.4">
      <c r="A420" s="35"/>
      <c r="B420" s="36" t="s">
        <v>372</v>
      </c>
      <c r="K420" s="37" t="s">
        <v>373</v>
      </c>
      <c r="N420" s="37">
        <f t="shared" si="7279"/>
        <v>2167</v>
      </c>
      <c r="O420" s="37">
        <f t="shared" si="7280"/>
        <v>2151.5</v>
      </c>
      <c r="P420" s="37">
        <f t="shared" si="7281"/>
        <v>2478</v>
      </c>
      <c r="Q420" s="37">
        <f t="shared" si="7282"/>
        <v>2394.5</v>
      </c>
      <c r="R420" s="37">
        <f t="shared" si="7283"/>
        <v>2403.75</v>
      </c>
      <c r="S420" s="37">
        <f t="shared" si="7284"/>
        <v>2383</v>
      </c>
      <c r="T420" s="37">
        <f t="shared" si="7285"/>
        <v>2437.25</v>
      </c>
      <c r="U420" s="37">
        <f t="shared" si="7286"/>
        <v>2321.25</v>
      </c>
      <c r="V420" s="37">
        <f t="shared" si="7287"/>
        <v>2147.25</v>
      </c>
      <c r="W420" s="37">
        <f t="shared" si="7288"/>
        <v>2174.25</v>
      </c>
      <c r="X420" s="37">
        <f t="shared" si="7289"/>
        <v>2298.8980546727098</v>
      </c>
      <c r="Y420" s="37">
        <f t="shared" si="7290"/>
        <v>2730.75</v>
      </c>
      <c r="Z420" s="37">
        <f t="shared" si="7291"/>
        <v>2767</v>
      </c>
      <c r="AA420" s="37">
        <f t="shared" si="7292"/>
        <v>2687.5</v>
      </c>
      <c r="AB420" s="37" t="e">
        <f t="shared" si="7293"/>
        <v>#DIV/0!</v>
      </c>
      <c r="AC420" s="37" t="e">
        <f t="shared" si="7294"/>
        <v>#DIV/0!</v>
      </c>
      <c r="AD420" s="37">
        <f t="shared" si="7295"/>
        <v>0</v>
      </c>
      <c r="AE420" s="37">
        <f t="shared" si="7296"/>
        <v>0</v>
      </c>
      <c r="AF420" s="37">
        <f t="shared" si="7297"/>
        <v>0</v>
      </c>
      <c r="AG420" s="37">
        <f t="shared" si="7298"/>
        <v>0</v>
      </c>
      <c r="AH420" s="37">
        <f t="shared" si="7299"/>
        <v>0</v>
      </c>
      <c r="AI420" s="37">
        <f t="shared" si="7300"/>
        <v>0</v>
      </c>
      <c r="AJ420" s="37">
        <f t="shared" si="7301"/>
        <v>0</v>
      </c>
      <c r="AK420" s="37">
        <f t="shared" si="7302"/>
        <v>0</v>
      </c>
      <c r="AL420" s="37">
        <f t="shared" si="7303"/>
        <v>0</v>
      </c>
      <c r="AM420" s="37">
        <f t="shared" si="7304"/>
        <v>0</v>
      </c>
      <c r="AN420" s="37">
        <f t="shared" si="7305"/>
        <v>0</v>
      </c>
      <c r="AO420" s="37">
        <f t="shared" si="7306"/>
        <v>0</v>
      </c>
      <c r="AP420" s="37">
        <f t="shared" si="7307"/>
        <v>0</v>
      </c>
      <c r="AQ420" s="37">
        <f t="shared" si="7308"/>
        <v>0</v>
      </c>
      <c r="AR420" s="37">
        <f t="shared" si="7309"/>
        <v>0</v>
      </c>
      <c r="AS420" s="37">
        <f t="shared" si="7310"/>
        <v>0</v>
      </c>
      <c r="AT420" s="37">
        <f t="shared" si="7311"/>
        <v>0</v>
      </c>
      <c r="AU420" s="37">
        <f t="shared" si="7312"/>
        <v>6403</v>
      </c>
      <c r="AV420" s="37">
        <f t="shared" si="7313"/>
        <v>0</v>
      </c>
      <c r="AW420" s="37">
        <f t="shared" si="7314"/>
        <v>0</v>
      </c>
      <c r="AX420" s="37">
        <f t="shared" si="7315"/>
        <v>0</v>
      </c>
      <c r="AY420" s="37">
        <f t="shared" si="7316"/>
        <v>0</v>
      </c>
      <c r="AZ420" s="37">
        <f t="shared" si="7317"/>
        <v>0</v>
      </c>
      <c r="BA420" s="37">
        <f t="shared" si="7318"/>
        <v>0</v>
      </c>
      <c r="BO420" s="36" t="s">
        <v>372</v>
      </c>
      <c r="BP420" s="37">
        <v>2027</v>
      </c>
      <c r="BQ420" s="37">
        <v>2436</v>
      </c>
      <c r="BR420" s="37">
        <v>2114</v>
      </c>
      <c r="BS420" s="37">
        <v>2091</v>
      </c>
      <c r="BT420" s="37">
        <v>2167</v>
      </c>
      <c r="BV420" s="36" t="s">
        <v>372</v>
      </c>
      <c r="BW420" s="37">
        <v>2084</v>
      </c>
      <c r="BX420" s="37">
        <v>2093</v>
      </c>
      <c r="BY420" s="37">
        <v>2163</v>
      </c>
      <c r="BZ420" s="37">
        <v>2266</v>
      </c>
      <c r="CA420" s="37">
        <v>2151.5</v>
      </c>
      <c r="CC420" s="36" t="s">
        <v>372</v>
      </c>
      <c r="CD420" s="37">
        <v>2512</v>
      </c>
      <c r="CE420" s="37">
        <v>2348</v>
      </c>
      <c r="CF420" s="37">
        <v>2314</v>
      </c>
      <c r="CG420" s="37">
        <v>2738</v>
      </c>
      <c r="CH420" s="37">
        <v>2478</v>
      </c>
      <c r="CJ420" s="36" t="s">
        <v>372</v>
      </c>
      <c r="CK420" s="37">
        <v>2327</v>
      </c>
      <c r="CL420" s="37">
        <v>2400</v>
      </c>
      <c r="CM420" s="37">
        <v>2437</v>
      </c>
      <c r="CN420" s="37">
        <v>2414</v>
      </c>
      <c r="CO420" s="37">
        <v>2394.5</v>
      </c>
      <c r="CQ420" s="36" t="s">
        <v>372</v>
      </c>
      <c r="CR420" s="37">
        <v>2382</v>
      </c>
      <c r="CS420" s="37">
        <v>2372</v>
      </c>
      <c r="CT420" s="37">
        <v>2436</v>
      </c>
      <c r="CU420" s="37">
        <v>2425</v>
      </c>
      <c r="CV420" s="37">
        <v>2403.75</v>
      </c>
      <c r="CX420" s="36" t="s">
        <v>372</v>
      </c>
      <c r="CY420" s="37">
        <v>2394</v>
      </c>
      <c r="CZ420" s="37">
        <v>2351</v>
      </c>
      <c r="DA420" s="37">
        <v>2409</v>
      </c>
      <c r="DB420" s="37">
        <v>2378</v>
      </c>
      <c r="DC420" s="37">
        <v>2383</v>
      </c>
      <c r="DE420" s="36" t="s">
        <v>372</v>
      </c>
      <c r="DF420" s="37">
        <v>2375</v>
      </c>
      <c r="DG420" s="37">
        <v>2420</v>
      </c>
      <c r="DH420" s="37">
        <v>2511</v>
      </c>
      <c r="DI420" s="37">
        <v>2443</v>
      </c>
      <c r="DJ420" s="37">
        <v>2437.25</v>
      </c>
      <c r="DL420" s="36" t="s">
        <v>372</v>
      </c>
      <c r="DM420" s="37">
        <v>2392</v>
      </c>
      <c r="DN420" s="37">
        <v>2320</v>
      </c>
      <c r="DO420" s="37">
        <v>2328</v>
      </c>
      <c r="DP420" s="37">
        <v>2245</v>
      </c>
      <c r="DQ420" s="37">
        <v>2321.25</v>
      </c>
      <c r="DS420" s="36" t="s">
        <v>372</v>
      </c>
      <c r="DT420" s="37">
        <v>2189</v>
      </c>
      <c r="DU420" s="37">
        <v>2136</v>
      </c>
      <c r="DV420" s="37">
        <v>2135</v>
      </c>
      <c r="DW420" s="37">
        <v>2129</v>
      </c>
      <c r="DX420" s="37">
        <v>2147.25</v>
      </c>
      <c r="DZ420" s="36" t="s">
        <v>372</v>
      </c>
      <c r="EA420" s="37">
        <v>2132</v>
      </c>
      <c r="EB420" s="37">
        <v>2242</v>
      </c>
      <c r="EC420" s="37">
        <v>2178</v>
      </c>
      <c r="ED420" s="37">
        <v>2145</v>
      </c>
      <c r="EE420" s="37">
        <v>2174.25</v>
      </c>
      <c r="EG420" s="36" t="s">
        <v>372</v>
      </c>
      <c r="EH420" s="37">
        <v>2170</v>
      </c>
      <c r="EI420" s="37">
        <v>2282</v>
      </c>
      <c r="EJ420" s="37">
        <v>2454</v>
      </c>
      <c r="EK420" s="37">
        <v>2289.5922186908392</v>
      </c>
      <c r="EL420" s="37">
        <v>2298.8980546727098</v>
      </c>
      <c r="EN420" s="36" t="s">
        <v>372</v>
      </c>
      <c r="EO420" s="37">
        <v>2666</v>
      </c>
      <c r="EP420" s="37">
        <v>2687</v>
      </c>
      <c r="EQ420" s="37">
        <v>2790</v>
      </c>
      <c r="ER420" s="37">
        <v>2780</v>
      </c>
      <c r="ES420" s="37">
        <v>2730.75</v>
      </c>
      <c r="EU420" s="36" t="s">
        <v>372</v>
      </c>
      <c r="EV420" s="37">
        <v>2804</v>
      </c>
      <c r="EW420" s="37">
        <v>2731</v>
      </c>
      <c r="EX420" s="37">
        <v>2805</v>
      </c>
      <c r="EY420" s="37">
        <v>2728</v>
      </c>
      <c r="EZ420" s="37">
        <v>2767</v>
      </c>
      <c r="FB420" s="36" t="s">
        <v>372</v>
      </c>
      <c r="FC420" s="37">
        <v>2695</v>
      </c>
      <c r="FD420" s="37">
        <v>2731</v>
      </c>
      <c r="FE420" s="37">
        <v>2684</v>
      </c>
      <c r="FF420" s="37">
        <v>2640</v>
      </c>
      <c r="FG420" s="37">
        <v>2687.5</v>
      </c>
      <c r="FI420" s="36" t="s">
        <v>372</v>
      </c>
      <c r="FJ420" s="37" t="e">
        <v>#DIV/0!</v>
      </c>
      <c r="FK420" s="37" t="e">
        <v>#DIV/0!</v>
      </c>
      <c r="FL420" s="37" t="e">
        <v>#DIV/0!</v>
      </c>
      <c r="FM420" s="37" t="e">
        <v>#DIV/0!</v>
      </c>
      <c r="FN420" s="37" t="e">
        <v>#DIV/0!</v>
      </c>
      <c r="FP420" s="36" t="s">
        <v>372</v>
      </c>
      <c r="FQ420" s="37" t="e">
        <v>#DIV/0!</v>
      </c>
      <c r="FR420" s="37" t="e">
        <v>#DIV/0!</v>
      </c>
      <c r="FS420" s="37" t="e">
        <v>#DIV/0!</v>
      </c>
      <c r="FT420" s="37" t="e">
        <v>#DIV/0!</v>
      </c>
      <c r="FU420" s="37" t="e">
        <v>#DIV/0!</v>
      </c>
      <c r="FW420" s="36" t="s">
        <v>372</v>
      </c>
      <c r="GD420" s="36" t="s">
        <v>372</v>
      </c>
      <c r="GK420" s="36" t="s">
        <v>372</v>
      </c>
      <c r="GR420" s="36" t="s">
        <v>372</v>
      </c>
      <c r="GY420" s="36" t="s">
        <v>372</v>
      </c>
      <c r="HF420" s="36" t="s">
        <v>372</v>
      </c>
      <c r="HM420" s="36" t="s">
        <v>372</v>
      </c>
      <c r="HT420" s="36" t="s">
        <v>372</v>
      </c>
      <c r="IA420" s="36" t="s">
        <v>372</v>
      </c>
      <c r="IH420" s="36" t="s">
        <v>372</v>
      </c>
      <c r="IO420" s="36" t="s">
        <v>372</v>
      </c>
      <c r="IV420" s="36" t="s">
        <v>372</v>
      </c>
      <c r="JC420" s="36" t="s">
        <v>372</v>
      </c>
      <c r="JJ420" s="36" t="s">
        <v>372</v>
      </c>
      <c r="JQ420" s="36" t="s">
        <v>372</v>
      </c>
      <c r="JX420" s="36" t="s">
        <v>372</v>
      </c>
      <c r="KE420" s="36" t="s">
        <v>372</v>
      </c>
      <c r="KL420" s="36" t="s">
        <v>372</v>
      </c>
      <c r="KQ420" s="37">
        <v>6403</v>
      </c>
      <c r="KS420" s="36" t="s">
        <v>372</v>
      </c>
      <c r="KZ420" s="36" t="s">
        <v>372</v>
      </c>
      <c r="LF420" s="565"/>
      <c r="LG420" s="36" t="s">
        <v>372</v>
      </c>
      <c r="LM420" s="565"/>
      <c r="LN420" s="36" t="s">
        <v>372</v>
      </c>
      <c r="LT420" s="565"/>
      <c r="LU420" s="36" t="s">
        <v>372</v>
      </c>
      <c r="MA420" s="565"/>
      <c r="MB420" s="36" t="s">
        <v>372</v>
      </c>
      <c r="MH420" s="565"/>
    </row>
    <row r="421" spans="1:346" s="37" customFormat="1" ht="13.15" hidden="1" outlineLevel="1" x14ac:dyDescent="0.4">
      <c r="A421" s="35"/>
      <c r="B421" s="36"/>
      <c r="BO421" s="36"/>
      <c r="BV421" s="36"/>
      <c r="CC421" s="36"/>
      <c r="CJ421" s="36"/>
      <c r="CQ421" s="36"/>
      <c r="CX421" s="36"/>
      <c r="DE421" s="36"/>
      <c r="DL421" s="36"/>
      <c r="DS421" s="36"/>
      <c r="DZ421" s="36"/>
      <c r="EG421" s="36"/>
      <c r="EN421" s="36"/>
      <c r="EU421" s="36"/>
      <c r="FB421" s="36"/>
      <c r="FI421" s="36"/>
      <c r="FP421" s="36"/>
      <c r="FW421" s="36"/>
      <c r="GD421" s="36"/>
      <c r="GK421" s="36"/>
      <c r="GR421" s="36"/>
      <c r="GY421" s="36"/>
      <c r="HF421" s="36"/>
      <c r="HM421" s="36"/>
      <c r="HT421" s="36"/>
      <c r="IA421" s="36"/>
      <c r="IH421" s="36"/>
      <c r="IO421" s="36"/>
      <c r="IV421" s="36"/>
      <c r="JC421" s="36"/>
      <c r="JJ421" s="36"/>
      <c r="JQ421" s="36"/>
      <c r="JX421" s="36"/>
      <c r="KE421" s="36"/>
      <c r="KL421" s="36"/>
      <c r="KQ421" s="37">
        <v>6366</v>
      </c>
      <c r="KS421" s="36"/>
      <c r="KZ421" s="36"/>
      <c r="LF421" s="565"/>
      <c r="LG421" s="36"/>
      <c r="LM421" s="565"/>
      <c r="LN421" s="36"/>
      <c r="LT421" s="565"/>
      <c r="LU421" s="36"/>
      <c r="MA421" s="565"/>
      <c r="MB421" s="36"/>
      <c r="MH421" s="565"/>
    </row>
    <row r="422" spans="1:346" s="37" customFormat="1" ht="13.15" hidden="1" outlineLevel="1" x14ac:dyDescent="0.4">
      <c r="A422" s="35"/>
      <c r="B422" s="36"/>
      <c r="J422" s="37">
        <v>1985</v>
      </c>
      <c r="K422" s="37">
        <v>1986</v>
      </c>
      <c r="L422" s="37">
        <v>1987</v>
      </c>
      <c r="M422" s="37">
        <v>1988</v>
      </c>
      <c r="BO422" s="36"/>
      <c r="BT422" s="37" t="s">
        <v>334</v>
      </c>
      <c r="BV422" s="36"/>
      <c r="CA422" s="37" t="s">
        <v>334</v>
      </c>
      <c r="CC422" s="36"/>
      <c r="CH422" s="37" t="s">
        <v>374</v>
      </c>
      <c r="CJ422" s="36"/>
      <c r="CQ422" s="36"/>
      <c r="CX422" s="36"/>
      <c r="DB422" s="37" t="e">
        <v>#REF!</v>
      </c>
      <c r="DE422" s="36"/>
      <c r="DL422" s="36"/>
      <c r="DS422" s="36"/>
      <c r="DZ422" s="36"/>
      <c r="EA422" s="37">
        <v>5.2354899570691088E-2</v>
      </c>
      <c r="EB422" s="37">
        <v>9.9820619927789025E-2</v>
      </c>
      <c r="EC422" s="37">
        <v>9.9235604986121065E-2</v>
      </c>
      <c r="ED422" s="37" t="e">
        <v>#REF!</v>
      </c>
      <c r="EG422" s="36"/>
      <c r="EN422" s="36"/>
      <c r="EU422" s="36"/>
      <c r="FB422" s="36"/>
      <c r="FI422" s="36"/>
      <c r="FP422" s="36"/>
      <c r="FW422" s="36"/>
      <c r="GD422" s="36"/>
      <c r="GK422" s="36"/>
      <c r="GR422" s="36"/>
      <c r="GY422" s="36"/>
      <c r="HF422" s="36"/>
      <c r="HM422" s="36"/>
      <c r="HT422" s="36"/>
      <c r="IA422" s="36"/>
      <c r="IH422" s="36"/>
      <c r="IO422" s="36"/>
      <c r="IV422" s="36"/>
      <c r="JC422" s="36"/>
      <c r="JJ422" s="36"/>
      <c r="JQ422" s="36"/>
      <c r="JX422" s="36"/>
      <c r="KE422" s="36"/>
      <c r="KL422" s="36"/>
      <c r="KQ422" s="37">
        <v>3745</v>
      </c>
      <c r="KS422" s="36"/>
      <c r="KZ422" s="36"/>
      <c r="LF422" s="565"/>
      <c r="LG422" s="36"/>
      <c r="LM422" s="565"/>
      <c r="LN422" s="36"/>
      <c r="LT422" s="565"/>
      <c r="LU422" s="36"/>
      <c r="MA422" s="565"/>
      <c r="MB422" s="36"/>
      <c r="MH422" s="565"/>
    </row>
    <row r="423" spans="1:346" s="37" customFormat="1" ht="13.15" hidden="1" outlineLevel="1" x14ac:dyDescent="0.4">
      <c r="A423" s="35"/>
      <c r="B423" s="36"/>
      <c r="BO423" s="36"/>
      <c r="BV423" s="36"/>
      <c r="CC423" s="36"/>
      <c r="CJ423" s="36"/>
      <c r="CQ423" s="36"/>
      <c r="CX423" s="36"/>
      <c r="DE423" s="36"/>
      <c r="DL423" s="36"/>
      <c r="DS423" s="36"/>
      <c r="DZ423" s="36"/>
      <c r="EG423" s="36"/>
      <c r="EN423" s="36"/>
      <c r="EU423" s="36"/>
      <c r="FB423" s="36"/>
      <c r="FI423" s="36"/>
      <c r="FP423" s="36"/>
      <c r="FW423" s="36"/>
      <c r="GD423" s="36"/>
      <c r="GK423" s="36"/>
      <c r="GR423" s="36"/>
      <c r="GY423" s="36"/>
      <c r="HF423" s="36"/>
      <c r="HM423" s="36"/>
      <c r="HT423" s="36"/>
      <c r="IA423" s="36"/>
      <c r="IH423" s="36"/>
      <c r="IO423" s="36"/>
      <c r="IV423" s="36"/>
      <c r="JC423" s="36"/>
      <c r="JJ423" s="36"/>
      <c r="JQ423" s="36"/>
      <c r="JX423" s="36"/>
      <c r="KE423" s="36"/>
      <c r="KL423" s="36"/>
      <c r="KS423" s="36"/>
      <c r="KZ423" s="36"/>
      <c r="LF423" s="565"/>
      <c r="LG423" s="36"/>
      <c r="LM423" s="565"/>
      <c r="LN423" s="36"/>
      <c r="LT423" s="565"/>
      <c r="LU423" s="36"/>
      <c r="MA423" s="565"/>
      <c r="MB423" s="36"/>
      <c r="MH423" s="565"/>
    </row>
    <row r="424" spans="1:346" s="37" customFormat="1" ht="13.15" hidden="1" outlineLevel="1" x14ac:dyDescent="0.4">
      <c r="A424" s="35"/>
      <c r="B424" s="36" t="s">
        <v>370</v>
      </c>
      <c r="BO424" s="36" t="s">
        <v>370</v>
      </c>
      <c r="BV424" s="36" t="s">
        <v>370</v>
      </c>
      <c r="CC424" s="36" t="s">
        <v>370</v>
      </c>
      <c r="CJ424" s="36" t="s">
        <v>370</v>
      </c>
      <c r="CQ424" s="36" t="s">
        <v>370</v>
      </c>
      <c r="CX424" s="36" t="s">
        <v>370</v>
      </c>
      <c r="DE424" s="36" t="s">
        <v>370</v>
      </c>
      <c r="DL424" s="36" t="s">
        <v>370</v>
      </c>
      <c r="DS424" s="36" t="s">
        <v>370</v>
      </c>
      <c r="DZ424" s="36" t="s">
        <v>370</v>
      </c>
      <c r="EG424" s="36" t="s">
        <v>370</v>
      </c>
      <c r="EN424" s="36" t="s">
        <v>370</v>
      </c>
      <c r="EU424" s="36" t="s">
        <v>370</v>
      </c>
      <c r="FB424" s="36" t="s">
        <v>370</v>
      </c>
      <c r="FI424" s="36" t="s">
        <v>370</v>
      </c>
      <c r="FP424" s="36" t="s">
        <v>370</v>
      </c>
      <c r="FW424" s="36" t="s">
        <v>370</v>
      </c>
      <c r="GD424" s="36" t="s">
        <v>370</v>
      </c>
      <c r="GK424" s="36" t="s">
        <v>370</v>
      </c>
      <c r="GR424" s="36" t="s">
        <v>370</v>
      </c>
      <c r="GY424" s="36" t="s">
        <v>370</v>
      </c>
      <c r="HF424" s="36" t="s">
        <v>370</v>
      </c>
      <c r="HM424" s="36" t="s">
        <v>370</v>
      </c>
      <c r="HT424" s="36" t="s">
        <v>370</v>
      </c>
      <c r="IA424" s="36" t="s">
        <v>370</v>
      </c>
      <c r="IH424" s="36" t="s">
        <v>370</v>
      </c>
      <c r="IO424" s="36" t="s">
        <v>370</v>
      </c>
      <c r="IV424" s="36" t="s">
        <v>370</v>
      </c>
      <c r="JC424" s="36" t="s">
        <v>370</v>
      </c>
      <c r="JJ424" s="36" t="s">
        <v>370</v>
      </c>
      <c r="JQ424" s="36" t="s">
        <v>370</v>
      </c>
      <c r="JX424" s="36" t="s">
        <v>370</v>
      </c>
      <c r="KE424" s="36" t="s">
        <v>370</v>
      </c>
      <c r="KL424" s="36" t="s">
        <v>370</v>
      </c>
      <c r="KS424" s="36" t="s">
        <v>370</v>
      </c>
      <c r="KZ424" s="36" t="s">
        <v>370</v>
      </c>
      <c r="LF424" s="565"/>
      <c r="LG424" s="36" t="s">
        <v>370</v>
      </c>
      <c r="LM424" s="565"/>
      <c r="LN424" s="36" t="s">
        <v>370</v>
      </c>
      <c r="LT424" s="565"/>
      <c r="LU424" s="36" t="s">
        <v>370</v>
      </c>
      <c r="MA424" s="565"/>
      <c r="MB424" s="36" t="s">
        <v>370</v>
      </c>
      <c r="MH424" s="565"/>
    </row>
    <row r="425" spans="1:346" s="37" customFormat="1" ht="13.15" hidden="1" outlineLevel="1" x14ac:dyDescent="0.4">
      <c r="A425" s="35"/>
      <c r="B425" s="36" t="s">
        <v>351</v>
      </c>
      <c r="BO425" s="36" t="s">
        <v>351</v>
      </c>
      <c r="BT425" s="37">
        <v>3.924205378973105E-2</v>
      </c>
      <c r="BV425" s="36" t="s">
        <v>351</v>
      </c>
      <c r="BW425" s="37">
        <v>3.3449825262106839E-2</v>
      </c>
      <c r="BX425" s="37">
        <v>-2.8222013170272814E-2</v>
      </c>
      <c r="BY425" s="37">
        <v>-6.222222222222222E-2</v>
      </c>
      <c r="BZ425" s="37">
        <v>-4.2412818096135719E-3</v>
      </c>
      <c r="CA425" s="37">
        <v>-1.6703917186213387E-2</v>
      </c>
      <c r="CC425" s="36" t="s">
        <v>351</v>
      </c>
      <c r="CD425" s="37">
        <v>9.6618357487922701E-3</v>
      </c>
      <c r="CE425" s="37">
        <v>1.016456921587609E-2</v>
      </c>
      <c r="CF425" s="37">
        <v>7.5355450236966826E-2</v>
      </c>
      <c r="CG425" s="37">
        <v>0.10648367250354945</v>
      </c>
      <c r="CH425" s="37">
        <v>5.0843402320851779E-2</v>
      </c>
      <c r="CJ425" s="36" t="s">
        <v>351</v>
      </c>
      <c r="CK425" s="37">
        <v>8.0382775119617222E-2</v>
      </c>
      <c r="CL425" s="37">
        <v>0.12697652132247245</v>
      </c>
      <c r="CM425" s="37">
        <v>6.3023358307624511E-2</v>
      </c>
      <c r="CN425" s="37">
        <v>1.3259195893926433E-2</v>
      </c>
      <c r="CO425" s="37">
        <v>6.9102914389799638E-2</v>
      </c>
      <c r="CQ425" s="36" t="s">
        <v>351</v>
      </c>
      <c r="CR425" s="37">
        <v>1.2400354295837024E-2</v>
      </c>
      <c r="CS425" s="37">
        <v>-1.9557823129251702E-2</v>
      </c>
      <c r="CT425" s="37">
        <v>5.8043117744610278E-3</v>
      </c>
      <c r="CU425" s="37">
        <v>8.4423807513718866E-4</v>
      </c>
      <c r="CV425" s="37">
        <v>-2.1296986476413587E-4</v>
      </c>
      <c r="CX425" s="36" t="s">
        <v>351</v>
      </c>
      <c r="CY425" s="37">
        <v>7.4365704286964126E-3</v>
      </c>
      <c r="CZ425" s="37">
        <v>-3.9028620988725067E-2</v>
      </c>
      <c r="DA425" s="37">
        <v>-1.7312448474855729E-2</v>
      </c>
      <c r="DB425" s="37">
        <v>-2.2353437368199072E-2</v>
      </c>
      <c r="DC425" s="37">
        <v>-1.7893279369474917E-2</v>
      </c>
      <c r="DE425" s="36" t="s">
        <v>351</v>
      </c>
      <c r="DF425" s="37">
        <v>1.4329135909683021E-2</v>
      </c>
      <c r="DG425" s="37">
        <v>9.5216606498194939E-2</v>
      </c>
      <c r="DH425" s="37">
        <v>7.508389261744966E-2</v>
      </c>
      <c r="DI425" s="37">
        <v>3.5375323554788611E-2</v>
      </c>
      <c r="DJ425" s="37">
        <v>5.4766294328163975E-2</v>
      </c>
      <c r="DL425" s="36" t="s">
        <v>351</v>
      </c>
      <c r="DM425" s="37">
        <v>4.2808219178082189E-4</v>
      </c>
      <c r="DN425" s="37">
        <v>-6.6749072929542644E-2</v>
      </c>
      <c r="DO425" s="37">
        <v>-9.5200936402653147E-2</v>
      </c>
      <c r="DP425" s="37">
        <v>-9.9583333333333329E-2</v>
      </c>
      <c r="DQ425" s="37">
        <v>-6.6214271026115573E-2</v>
      </c>
      <c r="DS425" s="36" t="s">
        <v>351</v>
      </c>
      <c r="DT425" s="37">
        <v>-6.1617458279845959E-2</v>
      </c>
      <c r="DU425" s="37">
        <v>-5.1214128035320092E-2</v>
      </c>
      <c r="DV425" s="37">
        <v>-7.8913324708926258E-2</v>
      </c>
      <c r="DW425" s="37">
        <v>-4.9976862563627947E-2</v>
      </c>
      <c r="DX425" s="37">
        <v>-6.0669456066945605E-2</v>
      </c>
      <c r="DZ425" s="36" t="s">
        <v>351</v>
      </c>
      <c r="EA425" s="37">
        <v>-3.1007751937984496E-2</v>
      </c>
      <c r="EB425" s="37">
        <v>6.7007910656119121E-2</v>
      </c>
      <c r="EC425" s="37">
        <v>9.878277153558053E-2</v>
      </c>
      <c r="ED425" s="37">
        <v>0.10618606916707257</v>
      </c>
      <c r="EE425" s="37">
        <v>5.9195873871761812E-2</v>
      </c>
      <c r="EG425" s="36" t="s">
        <v>351</v>
      </c>
      <c r="EH425" s="37">
        <v>9.5058823529411765E-2</v>
      </c>
      <c r="EI425" s="37">
        <v>0.11731356301788051</v>
      </c>
      <c r="EJ425" s="37">
        <v>0.22624627183638688</v>
      </c>
      <c r="EK425" s="37">
        <v>0.185</v>
      </c>
      <c r="EL425" s="37">
        <v>0.15738545816733071</v>
      </c>
      <c r="EN425" s="36" t="s">
        <v>351</v>
      </c>
      <c r="EP425" s="37">
        <v>-1</v>
      </c>
      <c r="ES425" s="37">
        <v>-1</v>
      </c>
      <c r="EU425" s="36" t="s">
        <v>351</v>
      </c>
      <c r="EW425" s="37" t="e">
        <v>#DIV/0!</v>
      </c>
      <c r="EZ425" s="37" t="e">
        <v>#DIV/0!</v>
      </c>
      <c r="FB425" s="36" t="s">
        <v>351</v>
      </c>
      <c r="FD425" s="37" t="e">
        <v>#DIV/0!</v>
      </c>
      <c r="FG425" s="37" t="e">
        <v>#DIV/0!</v>
      </c>
      <c r="FI425" s="36" t="s">
        <v>351</v>
      </c>
      <c r="FN425" s="37" t="e">
        <v>#DIV/0!</v>
      </c>
      <c r="FP425" s="36" t="s">
        <v>351</v>
      </c>
      <c r="FU425" s="37" t="e">
        <v>#DIV/0!</v>
      </c>
      <c r="FW425" s="36" t="s">
        <v>351</v>
      </c>
      <c r="GD425" s="36" t="s">
        <v>351</v>
      </c>
      <c r="GK425" s="36" t="s">
        <v>351</v>
      </c>
      <c r="GR425" s="36" t="s">
        <v>351</v>
      </c>
      <c r="GY425" s="36" t="s">
        <v>351</v>
      </c>
      <c r="HF425" s="36" t="s">
        <v>351</v>
      </c>
      <c r="HM425" s="36" t="s">
        <v>351</v>
      </c>
      <c r="HT425" s="36" t="s">
        <v>351</v>
      </c>
      <c r="IA425" s="36" t="s">
        <v>351</v>
      </c>
      <c r="IH425" s="36" t="s">
        <v>351</v>
      </c>
      <c r="IO425" s="36" t="s">
        <v>351</v>
      </c>
      <c r="IV425" s="36" t="s">
        <v>351</v>
      </c>
      <c r="JC425" s="36" t="s">
        <v>351</v>
      </c>
      <c r="JJ425" s="36" t="s">
        <v>351</v>
      </c>
      <c r="JQ425" s="36" t="s">
        <v>351</v>
      </c>
      <c r="JX425" s="36" t="s">
        <v>351</v>
      </c>
      <c r="KE425" s="36" t="s">
        <v>351</v>
      </c>
      <c r="KL425" s="36" t="s">
        <v>351</v>
      </c>
      <c r="KS425" s="36" t="s">
        <v>351</v>
      </c>
      <c r="KZ425" s="36" t="s">
        <v>351</v>
      </c>
      <c r="LF425" s="565"/>
      <c r="LG425" s="36" t="s">
        <v>351</v>
      </c>
      <c r="LM425" s="565"/>
      <c r="LN425" s="36" t="s">
        <v>351</v>
      </c>
      <c r="LT425" s="565"/>
      <c r="LU425" s="36" t="s">
        <v>351</v>
      </c>
      <c r="MA425" s="565"/>
      <c r="MB425" s="36" t="s">
        <v>351</v>
      </c>
      <c r="MH425" s="565"/>
    </row>
    <row r="426" spans="1:346" s="37" customFormat="1" ht="13.15" hidden="1" outlineLevel="1" x14ac:dyDescent="0.4">
      <c r="A426" s="35"/>
      <c r="B426" s="36" t="s">
        <v>352</v>
      </c>
      <c r="BO426" s="36" t="s">
        <v>352</v>
      </c>
      <c r="BT426" s="37">
        <v>-6.0895883777239708E-2</v>
      </c>
      <c r="BV426" s="36" t="s">
        <v>352</v>
      </c>
      <c r="BW426" s="37">
        <v>2.1532298447671506E-2</v>
      </c>
      <c r="BX426" s="37">
        <v>6.9804336329984132E-2</v>
      </c>
      <c r="BY426" s="37">
        <v>9.6998928188638797E-2</v>
      </c>
      <c r="BZ426" s="37">
        <v>6.6400399400898646E-2</v>
      </c>
      <c r="CA426" s="37">
        <v>6.3039834987752993E-2</v>
      </c>
      <c r="CC426" s="36" t="s">
        <v>352</v>
      </c>
      <c r="CD426" s="37">
        <v>4.3137254901960784E-2</v>
      </c>
      <c r="CE426" s="37">
        <v>0.16757291151754819</v>
      </c>
      <c r="CF426" s="37">
        <v>1.4167073766487542E-2</v>
      </c>
      <c r="CG426" s="37">
        <v>0.17790262172284643</v>
      </c>
      <c r="CH426" s="37">
        <v>0.10138248847926268</v>
      </c>
      <c r="CJ426" s="36" t="s">
        <v>352</v>
      </c>
      <c r="CK426" s="37">
        <v>8.1766917293233085E-2</v>
      </c>
      <c r="CL426" s="37">
        <v>4.7840812870448772E-2</v>
      </c>
      <c r="CM426" s="37">
        <v>0.19075144508670519</v>
      </c>
      <c r="CN426" s="37">
        <v>-1.2321144674085851E-2</v>
      </c>
      <c r="CO426" s="37">
        <v>7.1790354547456511E-2</v>
      </c>
      <c r="CQ426" s="36" t="s">
        <v>352</v>
      </c>
      <c r="CR426" s="37">
        <v>7.2545612510860127E-2</v>
      </c>
      <c r="CS426" s="37">
        <v>-4.8484848484848485E-3</v>
      </c>
      <c r="CT426" s="37">
        <v>5.6634304207119745E-3</v>
      </c>
      <c r="CU426" s="37">
        <v>4.4265593561368208E-2</v>
      </c>
      <c r="CV426" s="37">
        <v>2.8662420382165606E-2</v>
      </c>
      <c r="CX426" s="36" t="s">
        <v>352</v>
      </c>
      <c r="CY426" s="37">
        <v>2.7541514783313081E-2</v>
      </c>
      <c r="CZ426" s="37">
        <v>4.7503045066991476E-2</v>
      </c>
      <c r="DA426" s="37">
        <v>3.6202735317779565E-3</v>
      </c>
      <c r="DB426" s="37">
        <v>-3.5067437379576107E-2</v>
      </c>
      <c r="DC426" s="37">
        <v>1.028662738440028E-2</v>
      </c>
      <c r="DE426" s="36" t="s">
        <v>352</v>
      </c>
      <c r="DF426" s="37">
        <v>-3.1533307055577456E-2</v>
      </c>
      <c r="DG426" s="37">
        <v>-3.0232558139534883E-2</v>
      </c>
      <c r="DH426" s="37">
        <v>3.4468937875751504E-2</v>
      </c>
      <c r="DI426" s="37">
        <v>5.4313099041533544E-2</v>
      </c>
      <c r="DJ426" s="37">
        <v>6.3266113088177147E-3</v>
      </c>
      <c r="DL426" s="36" t="s">
        <v>352</v>
      </c>
      <c r="DM426" s="37">
        <v>8.0179080179080181E-2</v>
      </c>
      <c r="DN426" s="37">
        <v>2.3980815347721823E-2</v>
      </c>
      <c r="DO426" s="37">
        <v>-5.424254165052305E-3</v>
      </c>
      <c r="DP426" s="37">
        <v>-3.5984848484848488E-2</v>
      </c>
      <c r="DQ426" s="37">
        <v>1.4538310412573674E-2</v>
      </c>
      <c r="DS426" s="36" t="s">
        <v>352</v>
      </c>
      <c r="DT426" s="37">
        <v>-0.11680482290881689</v>
      </c>
      <c r="DU426" s="37">
        <v>-9.8360655737704916E-2</v>
      </c>
      <c r="DV426" s="37">
        <v>-0.10011686793922867</v>
      </c>
      <c r="DW426" s="37">
        <v>-9.2337917485265222E-2</v>
      </c>
      <c r="DX426" s="37">
        <v>-0.10205267234701781</v>
      </c>
      <c r="DZ426" s="36" t="s">
        <v>352</v>
      </c>
      <c r="EA426" s="37">
        <v>-4.6501706484641636E-2</v>
      </c>
      <c r="EB426" s="37">
        <v>-1.1255411255411256E-2</v>
      </c>
      <c r="EC426" s="37">
        <v>-8.5714285714285715E-2</v>
      </c>
      <c r="ED426" s="37">
        <v>-8.7445887445887452E-2</v>
      </c>
      <c r="EE426" s="37">
        <v>-5.7688160448565881E-2</v>
      </c>
      <c r="EG426" s="36" t="s">
        <v>352</v>
      </c>
      <c r="EH426" s="37">
        <v>-7.0246085011185677E-2</v>
      </c>
      <c r="EI426" s="37">
        <v>-9.4570928196147111E-2</v>
      </c>
      <c r="EJ426" s="37">
        <v>-6.628787878787879E-3</v>
      </c>
      <c r="EK426" s="37">
        <v>-2.5000000000000001E-2</v>
      </c>
      <c r="EL426" s="37">
        <v>-5.0314681313651528E-2</v>
      </c>
      <c r="EN426" s="36" t="s">
        <v>352</v>
      </c>
      <c r="EP426" s="37">
        <v>-1</v>
      </c>
      <c r="ES426" s="37">
        <v>-1</v>
      </c>
      <c r="EU426" s="36" t="s">
        <v>352</v>
      </c>
      <c r="EW426" s="37" t="e">
        <v>#DIV/0!</v>
      </c>
      <c r="EZ426" s="37" t="e">
        <v>#DIV/0!</v>
      </c>
      <c r="FB426" s="36" t="s">
        <v>352</v>
      </c>
      <c r="FD426" s="37" t="e">
        <v>#DIV/0!</v>
      </c>
      <c r="FG426" s="37" t="e">
        <v>#DIV/0!</v>
      </c>
      <c r="FI426" s="36" t="s">
        <v>352</v>
      </c>
      <c r="FN426" s="37" t="e">
        <v>#DIV/0!</v>
      </c>
      <c r="FP426" s="36" t="s">
        <v>352</v>
      </c>
      <c r="FU426" s="37" t="e">
        <v>#DIV/0!</v>
      </c>
      <c r="FW426" s="36" t="s">
        <v>352</v>
      </c>
      <c r="GD426" s="36" t="s">
        <v>352</v>
      </c>
      <c r="GK426" s="36" t="s">
        <v>352</v>
      </c>
      <c r="GR426" s="36" t="s">
        <v>352</v>
      </c>
      <c r="GY426" s="36" t="s">
        <v>352</v>
      </c>
      <c r="HF426" s="36" t="s">
        <v>352</v>
      </c>
      <c r="HM426" s="36" t="s">
        <v>352</v>
      </c>
      <c r="HT426" s="36" t="s">
        <v>352</v>
      </c>
      <c r="IA426" s="36" t="s">
        <v>352</v>
      </c>
      <c r="IH426" s="36" t="s">
        <v>352</v>
      </c>
      <c r="IO426" s="36" t="s">
        <v>352</v>
      </c>
      <c r="IV426" s="36" t="s">
        <v>352</v>
      </c>
      <c r="JC426" s="36" t="s">
        <v>352</v>
      </c>
      <c r="JJ426" s="36" t="s">
        <v>352</v>
      </c>
      <c r="JQ426" s="36" t="s">
        <v>352</v>
      </c>
      <c r="JX426" s="36" t="s">
        <v>352</v>
      </c>
      <c r="KE426" s="36" t="s">
        <v>352</v>
      </c>
      <c r="KL426" s="36" t="s">
        <v>352</v>
      </c>
      <c r="KS426" s="36" t="s">
        <v>352</v>
      </c>
      <c r="KZ426" s="36" t="s">
        <v>352</v>
      </c>
      <c r="LF426" s="565"/>
      <c r="LG426" s="36" t="s">
        <v>352</v>
      </c>
      <c r="LM426" s="565"/>
      <c r="LN426" s="36" t="s">
        <v>352</v>
      </c>
      <c r="LT426" s="565"/>
      <c r="LU426" s="36" t="s">
        <v>352</v>
      </c>
      <c r="MA426" s="565"/>
      <c r="MB426" s="36" t="s">
        <v>352</v>
      </c>
      <c r="MH426" s="565"/>
    </row>
    <row r="427" spans="1:346" s="37" customFormat="1" ht="13.15" hidden="1" outlineLevel="1" x14ac:dyDescent="0.4">
      <c r="A427" s="35"/>
      <c r="B427" s="36" t="s">
        <v>353</v>
      </c>
      <c r="BO427" s="36" t="s">
        <v>353</v>
      </c>
      <c r="BT427" s="37">
        <v>-2.4109263657957243E-2</v>
      </c>
      <c r="BV427" s="36" t="s">
        <v>353</v>
      </c>
      <c r="BW427" s="37">
        <v>4.0614165428429917E-2</v>
      </c>
      <c r="BX427" s="37">
        <v>4.7712739793408752E-2</v>
      </c>
      <c r="BY427" s="37">
        <v>8.5329341317365276E-2</v>
      </c>
      <c r="BZ427" s="37">
        <v>5.8306339657565945E-2</v>
      </c>
      <c r="CA427" s="37">
        <v>5.7928684434708534E-2</v>
      </c>
      <c r="CC427" s="36" t="s">
        <v>353</v>
      </c>
      <c r="CD427" s="37">
        <v>7.3298429319371722E-2</v>
      </c>
      <c r="CE427" s="37">
        <v>6.9953051643192488E-2</v>
      </c>
      <c r="CF427" s="37">
        <v>5.9770114942528738E-3</v>
      </c>
      <c r="CG427" s="37">
        <v>-2.3174464363795364E-2</v>
      </c>
      <c r="CH427" s="37">
        <v>3.0254227539399516E-2</v>
      </c>
      <c r="CJ427" s="36" t="s">
        <v>353</v>
      </c>
      <c r="CK427" s="37">
        <v>-2.1286031042128603E-2</v>
      </c>
      <c r="CL427" s="37">
        <v>-3.1592803861342694E-2</v>
      </c>
      <c r="CM427" s="37">
        <v>3.3820840950639856E-2</v>
      </c>
      <c r="CN427" s="37">
        <v>4.8343777976723366E-2</v>
      </c>
      <c r="CO427" s="37">
        <v>6.9227333631085306E-3</v>
      </c>
      <c r="CQ427" s="36" t="s">
        <v>353</v>
      </c>
      <c r="CR427" s="37">
        <v>8.8808337109198013E-2</v>
      </c>
      <c r="CS427" s="37">
        <v>6.9777979157226999E-2</v>
      </c>
      <c r="CT427" s="37">
        <v>2.2988505747126436E-2</v>
      </c>
      <c r="CU427" s="37">
        <v>1.8787361229718188E-2</v>
      </c>
      <c r="CV427" s="37">
        <v>4.9456642271013526E-2</v>
      </c>
      <c r="CX427" s="36" t="s">
        <v>353</v>
      </c>
      <c r="CY427" s="37">
        <v>2.0391177694548481E-2</v>
      </c>
      <c r="CZ427" s="37">
        <v>2.5412960609911056E-3</v>
      </c>
      <c r="DA427" s="37">
        <v>6.9144338807260158E-3</v>
      </c>
      <c r="DB427" s="37">
        <v>-1.8440905280804692E-2</v>
      </c>
      <c r="DC427" s="37">
        <v>2.8529163144547761E-3</v>
      </c>
      <c r="DE427" s="36" t="s">
        <v>353</v>
      </c>
      <c r="DF427" s="37">
        <v>-4.934747145187602E-2</v>
      </c>
      <c r="DG427" s="37">
        <v>-7.6045627376425855E-3</v>
      </c>
      <c r="DH427" s="37">
        <v>6.8669527896995704E-3</v>
      </c>
      <c r="DI427" s="37">
        <v>4.696840307429547E-3</v>
      </c>
      <c r="DJ427" s="37">
        <v>-1.1800653250447792E-2</v>
      </c>
      <c r="DL427" s="36" t="s">
        <v>353</v>
      </c>
      <c r="DM427" s="37">
        <v>-2.4024024024024024E-2</v>
      </c>
      <c r="DN427" s="37">
        <v>-4.5551298424861643E-2</v>
      </c>
      <c r="DO427" s="37">
        <v>-5.5413469735720373E-2</v>
      </c>
      <c r="DP427" s="37">
        <v>-4.7598810029749257E-2</v>
      </c>
      <c r="DQ427" s="37">
        <v>-4.3181575860965986E-2</v>
      </c>
      <c r="DS427" s="36" t="s">
        <v>353</v>
      </c>
      <c r="DT427" s="37">
        <v>-7.2967032967032969E-2</v>
      </c>
      <c r="DU427" s="37">
        <v>-8.6975914362176623E-2</v>
      </c>
      <c r="DV427" s="37">
        <v>-8.1227436823104696E-2</v>
      </c>
      <c r="DW427" s="37">
        <v>-4.1945560017849173E-2</v>
      </c>
      <c r="DX427" s="37">
        <v>-7.0759973256073097E-2</v>
      </c>
      <c r="DZ427" s="36" t="s">
        <v>353</v>
      </c>
      <c r="EA427" s="37">
        <v>-3.3191085822664771E-3</v>
      </c>
      <c r="EB427" s="37">
        <v>0.13531998045920859</v>
      </c>
      <c r="EC427" s="37">
        <v>-3.43811394891945E-3</v>
      </c>
      <c r="ED427" s="37">
        <v>-6.1015370284117375E-2</v>
      </c>
      <c r="EE427" s="37">
        <v>1.5829236119438782E-2</v>
      </c>
      <c r="EG427" s="36" t="s">
        <v>353</v>
      </c>
      <c r="EH427" s="37">
        <v>4.2816365366317791E-3</v>
      </c>
      <c r="EI427" s="37">
        <v>-7.0567986230636828E-2</v>
      </c>
      <c r="EJ427" s="37">
        <v>6.3578117299162143E-2</v>
      </c>
      <c r="EK427" s="37">
        <v>0.05</v>
      </c>
      <c r="EL427" s="37">
        <v>8.8301263133041281E-3</v>
      </c>
      <c r="EN427" s="36" t="s">
        <v>353</v>
      </c>
      <c r="EO427" s="37">
        <v>0.2629085741354808</v>
      </c>
      <c r="EP427" s="37">
        <v>0.24398148148148149</v>
      </c>
      <c r="EQ427" s="37">
        <v>0.2928637627432808</v>
      </c>
      <c r="ER427" s="37">
        <v>0.31330309901738462</v>
      </c>
      <c r="ES427" s="37">
        <v>0.27817173348311464</v>
      </c>
      <c r="EU427" s="36" t="s">
        <v>353</v>
      </c>
      <c r="EV427" s="37">
        <v>5.1762940735183796E-2</v>
      </c>
      <c r="EW427" s="37">
        <v>1.6375139560848531E-2</v>
      </c>
      <c r="EX427" s="37">
        <v>5.3763440860215058E-3</v>
      </c>
      <c r="EY427" s="37">
        <v>-1.870503597122302E-2</v>
      </c>
      <c r="EZ427" s="37">
        <v>1.3274741371418109E-2</v>
      </c>
      <c r="FB427" s="36" t="s">
        <v>353</v>
      </c>
      <c r="FC427" s="37">
        <v>-3.8873038516405133E-2</v>
      </c>
      <c r="FD427" s="37">
        <v>-3.6982790186744781E-2</v>
      </c>
      <c r="FE427" s="37">
        <v>-4.3137254901960784E-2</v>
      </c>
      <c r="FF427" s="37">
        <v>-3.2258064516129031E-2</v>
      </c>
      <c r="FG427" s="37">
        <v>-3.7856884712685217E-2</v>
      </c>
      <c r="FI427" s="36" t="s">
        <v>353</v>
      </c>
      <c r="FN427" s="37">
        <v>0</v>
      </c>
      <c r="FP427" s="36" t="s">
        <v>353</v>
      </c>
      <c r="FU427" s="37">
        <v>0</v>
      </c>
      <c r="FW427" s="36" t="s">
        <v>353</v>
      </c>
      <c r="GD427" s="36" t="s">
        <v>353</v>
      </c>
      <c r="GK427" s="36" t="s">
        <v>353</v>
      </c>
      <c r="GR427" s="36" t="s">
        <v>353</v>
      </c>
      <c r="GY427" s="36" t="s">
        <v>353</v>
      </c>
      <c r="HF427" s="36" t="s">
        <v>353</v>
      </c>
      <c r="HM427" s="36" t="s">
        <v>353</v>
      </c>
      <c r="HT427" s="36" t="s">
        <v>353</v>
      </c>
      <c r="IA427" s="36" t="s">
        <v>353</v>
      </c>
      <c r="IH427" s="36" t="s">
        <v>353</v>
      </c>
      <c r="IO427" s="36" t="s">
        <v>353</v>
      </c>
      <c r="IV427" s="36" t="s">
        <v>353</v>
      </c>
      <c r="JC427" s="36" t="s">
        <v>353</v>
      </c>
      <c r="JJ427" s="36" t="s">
        <v>353</v>
      </c>
      <c r="JQ427" s="36" t="s">
        <v>353</v>
      </c>
      <c r="JX427" s="36" t="s">
        <v>353</v>
      </c>
      <c r="KE427" s="36" t="s">
        <v>353</v>
      </c>
      <c r="KL427" s="36" t="s">
        <v>353</v>
      </c>
      <c r="KS427" s="36" t="s">
        <v>353</v>
      </c>
      <c r="KZ427" s="36" t="s">
        <v>353</v>
      </c>
      <c r="LF427" s="565"/>
      <c r="LG427" s="36" t="s">
        <v>353</v>
      </c>
      <c r="LM427" s="565"/>
      <c r="LN427" s="36" t="s">
        <v>353</v>
      </c>
      <c r="LT427" s="565"/>
      <c r="LU427" s="36" t="s">
        <v>353</v>
      </c>
      <c r="MA427" s="565"/>
      <c r="MB427" s="36" t="s">
        <v>353</v>
      </c>
      <c r="MH427" s="565"/>
    </row>
    <row r="428" spans="1:346" s="37" customFormat="1" ht="13.15" hidden="1" outlineLevel="1" x14ac:dyDescent="0.4">
      <c r="A428" s="35"/>
      <c r="B428" s="36" t="s">
        <v>354</v>
      </c>
      <c r="BO428" s="36" t="s">
        <v>354</v>
      </c>
      <c r="BT428" s="37">
        <v>1.9727571629873181E-2</v>
      </c>
      <c r="BV428" s="36" t="s">
        <v>354</v>
      </c>
      <c r="BW428" s="37">
        <v>6.3021316033364222E-2</v>
      </c>
      <c r="BX428" s="37">
        <v>5.0114942528735634E-2</v>
      </c>
      <c r="BY428" s="37">
        <v>5.1101321585903081E-2</v>
      </c>
      <c r="BZ428" s="37">
        <v>0.18260451705910619</v>
      </c>
      <c r="CA428" s="37">
        <v>8.5329341317365276E-2</v>
      </c>
      <c r="CC428" s="36" t="s">
        <v>354</v>
      </c>
      <c r="CD428" s="37">
        <v>0.12990409764603314</v>
      </c>
      <c r="CE428" s="37">
        <v>0.12259194395796848</v>
      </c>
      <c r="CF428" s="37">
        <v>0.10393964794635373</v>
      </c>
      <c r="CG428" s="37">
        <v>-3.4945144250304754E-2</v>
      </c>
      <c r="CH428" s="37">
        <v>7.8514588859416451E-2</v>
      </c>
      <c r="CJ428" s="36" t="s">
        <v>354</v>
      </c>
      <c r="CK428" s="37">
        <v>1.1574074074074073E-2</v>
      </c>
      <c r="CL428" s="37">
        <v>-2.0670826833073322E-2</v>
      </c>
      <c r="CM428" s="37">
        <v>3.6826119969627945E-2</v>
      </c>
      <c r="CN428" s="37">
        <v>6.3157894736842107E-2</v>
      </c>
      <c r="CO428" s="37">
        <v>2.2036399409739303E-2</v>
      </c>
      <c r="CQ428" s="36" t="s">
        <v>354</v>
      </c>
      <c r="CR428" s="37">
        <v>6.7887109077040431E-2</v>
      </c>
      <c r="CS428" s="37">
        <v>2.1107128634010354E-2</v>
      </c>
      <c r="CT428" s="37">
        <v>1.3914317099963384E-2</v>
      </c>
      <c r="CU428" s="37">
        <v>4.4356435643564354E-2</v>
      </c>
      <c r="CV428" s="37">
        <v>3.6673404562518046E-2</v>
      </c>
      <c r="CX428" s="36" t="s">
        <v>354</v>
      </c>
      <c r="CY428" s="37">
        <v>-2.5000000000000001E-2</v>
      </c>
      <c r="CZ428" s="37">
        <v>-4.0171606864274574E-2</v>
      </c>
      <c r="DA428" s="37">
        <v>-3.7919826652221017E-2</v>
      </c>
      <c r="DB428" s="37">
        <v>-3.9438756162305653E-2</v>
      </c>
      <c r="DC428" s="37">
        <v>-3.5468895078922931E-2</v>
      </c>
      <c r="DE428" s="36" t="s">
        <v>354</v>
      </c>
      <c r="DL428" s="36" t="s">
        <v>354</v>
      </c>
      <c r="DS428" s="36" t="s">
        <v>354</v>
      </c>
      <c r="DZ428" s="36" t="s">
        <v>354</v>
      </c>
      <c r="EG428" s="36" t="s">
        <v>354</v>
      </c>
      <c r="EN428" s="36" t="s">
        <v>354</v>
      </c>
      <c r="EU428" s="36" t="s">
        <v>354</v>
      </c>
      <c r="FB428" s="36" t="s">
        <v>354</v>
      </c>
      <c r="FI428" s="36" t="s">
        <v>354</v>
      </c>
      <c r="FP428" s="36" t="s">
        <v>354</v>
      </c>
      <c r="FW428" s="36" t="s">
        <v>354</v>
      </c>
      <c r="GD428" s="36" t="s">
        <v>354</v>
      </c>
      <c r="GK428" s="36" t="s">
        <v>354</v>
      </c>
      <c r="GR428" s="36" t="s">
        <v>354</v>
      </c>
      <c r="GY428" s="36" t="s">
        <v>354</v>
      </c>
      <c r="HF428" s="36" t="s">
        <v>354</v>
      </c>
      <c r="HM428" s="36" t="s">
        <v>354</v>
      </c>
      <c r="HT428" s="36" t="s">
        <v>354</v>
      </c>
      <c r="IA428" s="36" t="s">
        <v>354</v>
      </c>
      <c r="IH428" s="36" t="s">
        <v>354</v>
      </c>
      <c r="IO428" s="36" t="s">
        <v>354</v>
      </c>
      <c r="IV428" s="36" t="s">
        <v>354</v>
      </c>
      <c r="JC428" s="36" t="s">
        <v>354</v>
      </c>
      <c r="JJ428" s="36" t="s">
        <v>354</v>
      </c>
      <c r="JQ428" s="36" t="s">
        <v>354</v>
      </c>
      <c r="JX428" s="36" t="s">
        <v>354</v>
      </c>
      <c r="KE428" s="36" t="s">
        <v>354</v>
      </c>
      <c r="KL428" s="36" t="s">
        <v>354</v>
      </c>
      <c r="KS428" s="36" t="s">
        <v>354</v>
      </c>
      <c r="KZ428" s="36" t="s">
        <v>354</v>
      </c>
      <c r="LF428" s="565"/>
      <c r="LG428" s="36" t="s">
        <v>354</v>
      </c>
      <c r="LM428" s="565"/>
      <c r="LN428" s="36" t="s">
        <v>354</v>
      </c>
      <c r="LT428" s="565"/>
      <c r="LU428" s="36" t="s">
        <v>354</v>
      </c>
      <c r="MA428" s="565"/>
      <c r="MB428" s="36" t="s">
        <v>354</v>
      </c>
      <c r="MH428" s="565"/>
    </row>
    <row r="429" spans="1:346" s="37" customFormat="1" ht="13.15" hidden="1" outlineLevel="1" x14ac:dyDescent="0.4">
      <c r="A429" s="35"/>
      <c r="B429" s="36" t="s">
        <v>371</v>
      </c>
      <c r="I429" s="37">
        <v>6.379962192816635E-2</v>
      </c>
      <c r="J429" s="37">
        <v>-6.0861839182585517E-2</v>
      </c>
      <c r="K429" s="37">
        <v>-9.5553453169347213E-2</v>
      </c>
      <c r="L429" s="37">
        <v>7.6882845188284518E-2</v>
      </c>
      <c r="M429" s="37">
        <v>1.1170471102476931E-2</v>
      </c>
      <c r="N429" s="37">
        <f>BT429</f>
        <v>-9.7672253258845432E-2</v>
      </c>
      <c r="O429" s="37">
        <f>CA429</f>
        <v>7.6772262924362816E-2</v>
      </c>
      <c r="P429" s="37">
        <f>CH429</f>
        <v>0.23574508864398658</v>
      </c>
      <c r="Q429" s="37">
        <f>CO429</f>
        <v>-0.21830166731291198</v>
      </c>
      <c r="R429" s="37">
        <f>CV429</f>
        <v>-7.6587301587301593E-2</v>
      </c>
      <c r="S429" s="37">
        <f>DC429</f>
        <v>-4.2973785990545769E-3</v>
      </c>
      <c r="T429" s="37">
        <f>DJ429</f>
        <v>1.6832110487699611E-2</v>
      </c>
      <c r="U429" s="37">
        <f>DQ429</f>
        <v>-6.0696095076400676E-2</v>
      </c>
      <c r="V429" s="37">
        <f>DX429</f>
        <v>-8.4613646633529147E-2</v>
      </c>
      <c r="W429" s="37">
        <f>EE429</f>
        <v>1.0243119832160929E-2</v>
      </c>
      <c r="X429" s="37">
        <f>EL429</f>
        <v>1.2173222575128224E-2</v>
      </c>
      <c r="Y429" s="37">
        <f>ES429</f>
        <v>-1</v>
      </c>
      <c r="Z429" s="37" t="e">
        <f>EZ429</f>
        <v>#DIV/0!</v>
      </c>
      <c r="AA429" s="37" t="e">
        <f>FG429</f>
        <v>#DIV/0!</v>
      </c>
      <c r="AB429" s="37" t="e">
        <f>FN429</f>
        <v>#DIV/0!</v>
      </c>
      <c r="AC429" s="37" t="e">
        <f>FU429</f>
        <v>#DIV/0!</v>
      </c>
      <c r="AD429" s="37">
        <f>GB429</f>
        <v>0</v>
      </c>
      <c r="AE429" s="37">
        <f>GI429</f>
        <v>0</v>
      </c>
      <c r="AF429" s="37">
        <f>GP429</f>
        <v>0</v>
      </c>
      <c r="AG429" s="37">
        <f>GW429</f>
        <v>0</v>
      </c>
      <c r="AH429" s="37">
        <f>HD429</f>
        <v>0</v>
      </c>
      <c r="AI429" s="37">
        <f>HK429</f>
        <v>0</v>
      </c>
      <c r="AJ429" s="37">
        <f>HR429</f>
        <v>0</v>
      </c>
      <c r="AK429" s="37">
        <f>HY429</f>
        <v>0</v>
      </c>
      <c r="AL429" s="37">
        <f>IF429</f>
        <v>0</v>
      </c>
      <c r="AM429" s="37">
        <f>IM429</f>
        <v>0</v>
      </c>
      <c r="AN429" s="37">
        <f>IT429</f>
        <v>0</v>
      </c>
      <c r="AO429" s="37">
        <f>JA429</f>
        <v>0</v>
      </c>
      <c r="AP429" s="37">
        <f>JH429</f>
        <v>0</v>
      </c>
      <c r="AQ429" s="37">
        <f>JO429</f>
        <v>0</v>
      </c>
      <c r="AR429" s="37">
        <f>JV429</f>
        <v>0</v>
      </c>
      <c r="AS429" s="37">
        <f>KC429</f>
        <v>0</v>
      </c>
      <c r="AT429" s="37">
        <f>KJ429</f>
        <v>0</v>
      </c>
      <c r="AU429" s="37">
        <f>KQ429</f>
        <v>0</v>
      </c>
      <c r="AV429" s="37">
        <f>KX429</f>
        <v>0</v>
      </c>
      <c r="AW429" s="37">
        <f>LE429</f>
        <v>0</v>
      </c>
      <c r="AX429" s="37">
        <f>LL429</f>
        <v>0</v>
      </c>
      <c r="AY429" s="37">
        <f>LS429</f>
        <v>0</v>
      </c>
      <c r="AZ429" s="37">
        <f>LZ429</f>
        <v>0</v>
      </c>
      <c r="BA429" s="37">
        <f>MG429</f>
        <v>0</v>
      </c>
      <c r="BO429" s="36" t="s">
        <v>371</v>
      </c>
      <c r="BT429" s="37">
        <v>-9.7672253258845432E-2</v>
      </c>
      <c r="BV429" s="36" t="s">
        <v>371</v>
      </c>
      <c r="BW429" s="37">
        <v>-0.14532600157109191</v>
      </c>
      <c r="BX429" s="37">
        <v>-0.12575757575757576</v>
      </c>
      <c r="BY429" s="37">
        <v>0.16159860990443092</v>
      </c>
      <c r="BZ429" s="37">
        <v>0.48751702224239674</v>
      </c>
      <c r="CA429" s="37">
        <v>7.6772262924362816E-2</v>
      </c>
      <c r="CC429" s="36" t="s">
        <v>371</v>
      </c>
      <c r="CD429" s="37">
        <v>0.85615808823529416</v>
      </c>
      <c r="CE429" s="37">
        <v>0.40467937608318894</v>
      </c>
      <c r="CF429" s="37">
        <v>0.11929693343305908</v>
      </c>
      <c r="CG429" s="37">
        <v>-0.20018309429356118</v>
      </c>
      <c r="CH429" s="37">
        <v>0.23574508864398658</v>
      </c>
      <c r="CJ429" s="36" t="s">
        <v>371</v>
      </c>
      <c r="CK429" s="37">
        <v>-0.3458776924981431</v>
      </c>
      <c r="CL429" s="37">
        <v>-0.21653300431832204</v>
      </c>
      <c r="CM429" s="37">
        <v>-0.16538590043434681</v>
      </c>
      <c r="CN429" s="37">
        <v>-8.4318962228157199E-2</v>
      </c>
      <c r="CO429" s="37">
        <v>-0.21830166731291198</v>
      </c>
      <c r="CQ429" s="36" t="s">
        <v>371</v>
      </c>
      <c r="CR429" s="37">
        <v>-0.12112036336109008</v>
      </c>
      <c r="CS429" s="37">
        <v>-8.1496062992125987E-2</v>
      </c>
      <c r="CT429" s="37">
        <v>-6.4051240992794231E-2</v>
      </c>
      <c r="CU429" s="37">
        <v>-3.5416666666666666E-2</v>
      </c>
      <c r="CV429" s="37">
        <v>-7.6587301587301593E-2</v>
      </c>
      <c r="CX429" s="36" t="s">
        <v>371</v>
      </c>
      <c r="CY429" s="37">
        <v>-1.7226528854435832E-2</v>
      </c>
      <c r="CZ429" s="37">
        <v>-1.2858979854264894E-2</v>
      </c>
      <c r="DA429" s="37">
        <v>-2.5662959794696323E-3</v>
      </c>
      <c r="DB429" s="37">
        <v>1.5550755939524838E-2</v>
      </c>
      <c r="DC429" s="37">
        <v>-4.2973785990545769E-3</v>
      </c>
      <c r="DE429" s="36" t="s">
        <v>371</v>
      </c>
      <c r="DF429" s="37">
        <v>1.8404907975460124E-2</v>
      </c>
      <c r="DG429" s="37">
        <v>1.82370820668693E-2</v>
      </c>
      <c r="DH429" s="37">
        <v>2.358490566037736E-2</v>
      </c>
      <c r="DI429" s="37">
        <v>7.2309655465759249E-3</v>
      </c>
      <c r="DJ429" s="37">
        <v>1.6832110487699611E-2</v>
      </c>
      <c r="DL429" s="36" t="s">
        <v>371</v>
      </c>
      <c r="DM429" s="37">
        <v>-8.6058519793459545E-3</v>
      </c>
      <c r="DN429" s="37">
        <v>-3.5394456289978678E-2</v>
      </c>
      <c r="DO429" s="37">
        <v>-9.3422706325932137E-2</v>
      </c>
      <c r="DP429" s="37">
        <v>-0.10388513513513513</v>
      </c>
      <c r="DQ429" s="37">
        <v>-6.0696095076400676E-2</v>
      </c>
      <c r="DS429" s="36" t="s">
        <v>371</v>
      </c>
      <c r="DT429" s="37">
        <v>-0.1072048611111111</v>
      </c>
      <c r="DU429" s="37">
        <v>-0.1286472148541114</v>
      </c>
      <c r="DV429" s="37">
        <v>-7.0240295748613679E-2</v>
      </c>
      <c r="DW429" s="37">
        <v>-2.7803958529688973E-2</v>
      </c>
      <c r="DX429" s="37">
        <v>-8.4613646633529147E-2</v>
      </c>
      <c r="DZ429" s="36" t="s">
        <v>371</v>
      </c>
      <c r="EA429" s="37">
        <v>-7.2921730675741371E-3</v>
      </c>
      <c r="EB429" s="37">
        <v>2.4353120243531201E-2</v>
      </c>
      <c r="EC429" s="37">
        <v>2.3856858846918488E-2</v>
      </c>
      <c r="ED429" s="37">
        <v>9.6946194861851677E-4</v>
      </c>
      <c r="EE429" s="37">
        <v>1.0243119832160929E-2</v>
      </c>
      <c r="EG429" s="36" t="s">
        <v>371</v>
      </c>
      <c r="EH429" s="37">
        <v>-1.9588638589618023E-2</v>
      </c>
      <c r="EI429" s="37">
        <v>9.9058940069341253E-4</v>
      </c>
      <c r="EJ429" s="37">
        <v>5.6796116504854367E-2</v>
      </c>
      <c r="EK429" s="37">
        <v>0.01</v>
      </c>
      <c r="EL429" s="37">
        <v>1.2173222575128224E-2</v>
      </c>
      <c r="EN429" s="36" t="s">
        <v>371</v>
      </c>
      <c r="EO429" s="37">
        <v>-1</v>
      </c>
      <c r="EP429" s="37">
        <v>-1</v>
      </c>
      <c r="ES429" s="37">
        <v>-1</v>
      </c>
      <c r="EU429" s="36" t="s">
        <v>371</v>
      </c>
      <c r="EW429" s="37" t="e">
        <v>#DIV/0!</v>
      </c>
      <c r="EZ429" s="37" t="e">
        <v>#DIV/0!</v>
      </c>
      <c r="FB429" s="36" t="s">
        <v>371</v>
      </c>
      <c r="FD429" s="37" t="e">
        <v>#DIV/0!</v>
      </c>
      <c r="FG429" s="37" t="e">
        <v>#DIV/0!</v>
      </c>
      <c r="FI429" s="36" t="s">
        <v>371</v>
      </c>
      <c r="FN429" s="37" t="e">
        <v>#DIV/0!</v>
      </c>
      <c r="FP429" s="36" t="s">
        <v>371</v>
      </c>
      <c r="FU429" s="37" t="e">
        <v>#DIV/0!</v>
      </c>
      <c r="FW429" s="36" t="s">
        <v>371</v>
      </c>
      <c r="GD429" s="36" t="s">
        <v>371</v>
      </c>
      <c r="GK429" s="36" t="s">
        <v>371</v>
      </c>
      <c r="GR429" s="36" t="s">
        <v>371</v>
      </c>
      <c r="GY429" s="36" t="s">
        <v>371</v>
      </c>
      <c r="HF429" s="36" t="s">
        <v>371</v>
      </c>
      <c r="HM429" s="36" t="s">
        <v>371</v>
      </c>
      <c r="HT429" s="36" t="s">
        <v>371</v>
      </c>
      <c r="IA429" s="36" t="s">
        <v>371</v>
      </c>
      <c r="IH429" s="36" t="s">
        <v>371</v>
      </c>
      <c r="IO429" s="36" t="s">
        <v>371</v>
      </c>
      <c r="IV429" s="36" t="s">
        <v>371</v>
      </c>
      <c r="JC429" s="36" t="s">
        <v>371</v>
      </c>
      <c r="JJ429" s="36" t="s">
        <v>371</v>
      </c>
      <c r="JQ429" s="36" t="s">
        <v>371</v>
      </c>
      <c r="JX429" s="36" t="s">
        <v>371</v>
      </c>
      <c r="KE429" s="36" t="s">
        <v>371</v>
      </c>
      <c r="KL429" s="36" t="s">
        <v>371</v>
      </c>
      <c r="KS429" s="36" t="s">
        <v>371</v>
      </c>
      <c r="KZ429" s="36" t="s">
        <v>371</v>
      </c>
      <c r="LF429" s="565"/>
      <c r="LG429" s="36" t="s">
        <v>371</v>
      </c>
      <c r="LM429" s="565"/>
      <c r="LN429" s="36" t="s">
        <v>371</v>
      </c>
      <c r="LT429" s="565"/>
      <c r="LU429" s="36" t="s">
        <v>371</v>
      </c>
      <c r="MA429" s="565"/>
      <c r="MB429" s="36" t="s">
        <v>371</v>
      </c>
      <c r="MH429" s="565"/>
    </row>
    <row r="430" spans="1:346" s="37" customFormat="1" ht="13.15" hidden="1" outlineLevel="1" x14ac:dyDescent="0.4">
      <c r="A430" s="35"/>
      <c r="B430" s="36" t="s">
        <v>372</v>
      </c>
      <c r="BO430" s="36" t="s">
        <v>372</v>
      </c>
      <c r="BT430" s="37">
        <v>4.0826128722382324E-2</v>
      </c>
      <c r="BV430" s="36" t="s">
        <v>372</v>
      </c>
      <c r="BW430" s="37">
        <v>2.8120374938332512E-2</v>
      </c>
      <c r="BX430" s="37">
        <v>-0.14080459770114942</v>
      </c>
      <c r="BY430" s="37">
        <v>2.3178807947019868E-2</v>
      </c>
      <c r="BZ430" s="37">
        <v>8.3692013390722145E-2</v>
      </c>
      <c r="CA430" s="37">
        <v>-7.1527457314259349E-3</v>
      </c>
      <c r="CC430" s="36" t="s">
        <v>372</v>
      </c>
      <c r="CD430" s="37">
        <v>0.20537428023032631</v>
      </c>
      <c r="CE430" s="37">
        <v>0.12183468705207835</v>
      </c>
      <c r="CF430" s="37">
        <v>6.9810448451225152E-2</v>
      </c>
      <c r="CG430" s="37">
        <v>0.20829655781112091</v>
      </c>
      <c r="CH430" s="37">
        <v>0.15175458982105508</v>
      </c>
      <c r="CJ430" s="36" t="s">
        <v>372</v>
      </c>
      <c r="CK430" s="37">
        <v>-7.3646496815286622E-2</v>
      </c>
      <c r="CL430" s="37">
        <v>2.2146507666098807E-2</v>
      </c>
      <c r="CM430" s="37">
        <v>5.3154710458081247E-2</v>
      </c>
      <c r="CN430" s="37">
        <v>-0.1183345507669832</v>
      </c>
      <c r="CO430" s="37">
        <v>-3.3696529459241321E-2</v>
      </c>
      <c r="CQ430" s="36" t="s">
        <v>372</v>
      </c>
      <c r="CR430" s="37">
        <v>2.3635582294800173E-2</v>
      </c>
      <c r="CS430" s="37">
        <v>-1.1666666666666667E-2</v>
      </c>
      <c r="CT430" s="37">
        <v>-4.103405826836274E-4</v>
      </c>
      <c r="CU430" s="37">
        <v>4.5567522783761388E-3</v>
      </c>
      <c r="CV430" s="37">
        <v>3.8630194195030279E-3</v>
      </c>
      <c r="CX430" s="36" t="s">
        <v>372</v>
      </c>
      <c r="CY430" s="37">
        <v>5.0377833753148613E-3</v>
      </c>
      <c r="CZ430" s="37">
        <v>-8.8532883642495792E-3</v>
      </c>
      <c r="DA430" s="37">
        <v>-1.1083743842364532E-2</v>
      </c>
      <c r="DB430" s="37">
        <v>-1.9381443298969073E-2</v>
      </c>
      <c r="DC430" s="37">
        <v>-8.6323452938117523E-3</v>
      </c>
      <c r="DE430" s="36" t="s">
        <v>372</v>
      </c>
      <c r="DF430" s="37">
        <v>-7.9365079365079361E-3</v>
      </c>
      <c r="DG430" s="37">
        <v>2.9349213100808166E-2</v>
      </c>
      <c r="DH430" s="37">
        <v>4.2341220423412207E-2</v>
      </c>
      <c r="DI430" s="37">
        <v>2.7333894028595457E-2</v>
      </c>
      <c r="DJ430" s="37">
        <v>2.2765421737305915E-2</v>
      </c>
      <c r="DL430" s="36" t="s">
        <v>372</v>
      </c>
      <c r="DM430" s="37">
        <v>7.1578947368421053E-3</v>
      </c>
      <c r="DN430" s="37">
        <v>-4.1322314049586778E-2</v>
      </c>
      <c r="DO430" s="37">
        <v>-7.2879330943847076E-2</v>
      </c>
      <c r="DP430" s="37">
        <v>-8.104789193614409E-2</v>
      </c>
      <c r="DQ430" s="37">
        <v>-4.7594625089752797E-2</v>
      </c>
      <c r="DS430" s="36" t="s">
        <v>372</v>
      </c>
      <c r="DT430" s="37">
        <v>-8.4866220735785952E-2</v>
      </c>
      <c r="DU430" s="37">
        <v>-7.9310344827586213E-2</v>
      </c>
      <c r="DV430" s="37">
        <v>-8.2903780068728519E-2</v>
      </c>
      <c r="DW430" s="37">
        <v>-5.1670378619153676E-2</v>
      </c>
      <c r="DX430" s="37">
        <v>-7.4959612277867529E-2</v>
      </c>
      <c r="DZ430" s="36" t="s">
        <v>372</v>
      </c>
      <c r="EA430" s="37">
        <v>-2.6039287345820009E-2</v>
      </c>
      <c r="EB430" s="37">
        <v>4.9625468164794011E-2</v>
      </c>
      <c r="EC430" s="37">
        <v>2.0140515222482436E-2</v>
      </c>
      <c r="ED430" s="37">
        <v>7.5152653828088308E-3</v>
      </c>
      <c r="EE430" s="37">
        <v>1.2574222843171499E-2</v>
      </c>
      <c r="EG430" s="36" t="s">
        <v>372</v>
      </c>
      <c r="EH430" s="37">
        <v>1.7823639774859287E-2</v>
      </c>
      <c r="EI430" s="37">
        <v>1.784121320249777E-2</v>
      </c>
      <c r="EJ430" s="37">
        <v>0.12672176308539945</v>
      </c>
      <c r="EK430" s="37">
        <v>6.7408959762629006E-2</v>
      </c>
      <c r="EL430" s="37">
        <v>5.7329219120482833E-2</v>
      </c>
      <c r="EN430" s="36" t="s">
        <v>372</v>
      </c>
      <c r="EO430" s="37">
        <v>0.22857142857142856</v>
      </c>
      <c r="EP430" s="37">
        <v>0.17747589833479405</v>
      </c>
      <c r="EQ430" s="37">
        <v>0.13691931540342298</v>
      </c>
      <c r="ER430" s="37">
        <v>0.21419001047687433</v>
      </c>
      <c r="ES430" s="37">
        <v>0.18785171636885492</v>
      </c>
      <c r="EU430" s="36" t="s">
        <v>372</v>
      </c>
      <c r="EV430" s="37">
        <v>5.1762940735183796E-2</v>
      </c>
      <c r="EW430" s="37">
        <v>1.6375139560848531E-2</v>
      </c>
      <c r="EX430" s="37">
        <v>5.3763440860215058E-3</v>
      </c>
      <c r="EY430" s="37">
        <v>-1.870503597122302E-2</v>
      </c>
      <c r="EZ430" s="37">
        <v>1.3274741371418109E-2</v>
      </c>
      <c r="FB430" s="36" t="s">
        <v>372</v>
      </c>
      <c r="FC430" s="37">
        <v>-3.8873038516405133E-2</v>
      </c>
      <c r="FD430" s="37">
        <v>0</v>
      </c>
      <c r="FE430" s="37">
        <v>-4.3137254901960784E-2</v>
      </c>
      <c r="FF430" s="37">
        <v>-3.2258064516129031E-2</v>
      </c>
      <c r="FG430" s="37">
        <v>-2.8731478135164436E-2</v>
      </c>
      <c r="FI430" s="36" t="s">
        <v>372</v>
      </c>
      <c r="FJ430" s="37" t="e">
        <v>#DIV/0!</v>
      </c>
      <c r="FK430" s="37" t="e">
        <v>#DIV/0!</v>
      </c>
      <c r="FL430" s="37" t="e">
        <v>#DIV/0!</v>
      </c>
      <c r="FM430" s="37" t="e">
        <v>#DIV/0!</v>
      </c>
      <c r="FN430" s="37" t="e">
        <v>#DIV/0!</v>
      </c>
      <c r="FP430" s="36" t="s">
        <v>372</v>
      </c>
      <c r="FR430" s="37" t="e">
        <v>#DIV/0!</v>
      </c>
      <c r="FS430" s="37" t="e">
        <v>#DIV/0!</v>
      </c>
      <c r="FT430" s="37" t="e">
        <v>#DIV/0!</v>
      </c>
      <c r="FU430" s="37" t="e">
        <v>#DIV/0!</v>
      </c>
      <c r="FW430" s="36" t="s">
        <v>372</v>
      </c>
      <c r="GD430" s="36" t="s">
        <v>372</v>
      </c>
      <c r="GK430" s="36" t="s">
        <v>372</v>
      </c>
      <c r="GR430" s="36" t="s">
        <v>372</v>
      </c>
      <c r="GY430" s="36" t="s">
        <v>372</v>
      </c>
      <c r="HF430" s="36" t="s">
        <v>372</v>
      </c>
      <c r="HM430" s="36" t="s">
        <v>372</v>
      </c>
      <c r="HT430" s="36" t="s">
        <v>372</v>
      </c>
      <c r="IA430" s="36" t="s">
        <v>372</v>
      </c>
      <c r="IH430" s="36" t="s">
        <v>372</v>
      </c>
      <c r="IO430" s="36" t="s">
        <v>372</v>
      </c>
      <c r="IV430" s="36" t="s">
        <v>372</v>
      </c>
      <c r="JC430" s="36" t="s">
        <v>372</v>
      </c>
      <c r="JJ430" s="36" t="s">
        <v>372</v>
      </c>
      <c r="JQ430" s="36" t="s">
        <v>372</v>
      </c>
      <c r="JX430" s="36" t="s">
        <v>372</v>
      </c>
      <c r="KE430" s="36" t="s">
        <v>372</v>
      </c>
      <c r="KL430" s="36" t="s">
        <v>372</v>
      </c>
      <c r="KS430" s="36" t="s">
        <v>372</v>
      </c>
      <c r="KZ430" s="36" t="s">
        <v>372</v>
      </c>
      <c r="LF430" s="565"/>
      <c r="LG430" s="36" t="s">
        <v>372</v>
      </c>
      <c r="LM430" s="565"/>
      <c r="LN430" s="36" t="s">
        <v>372</v>
      </c>
      <c r="LT430" s="565"/>
      <c r="LU430" s="36" t="s">
        <v>372</v>
      </c>
      <c r="MA430" s="565"/>
      <c r="MB430" s="36" t="s">
        <v>372</v>
      </c>
      <c r="MH430" s="565"/>
    </row>
    <row r="431" spans="1:346" s="37" customFormat="1" ht="13.15" hidden="1" outlineLevel="1" x14ac:dyDescent="0.4">
      <c r="A431" s="35"/>
      <c r="B431" s="36"/>
      <c r="BO431" s="36"/>
      <c r="BV431" s="36"/>
      <c r="CC431" s="36"/>
      <c r="CJ431" s="36"/>
      <c r="CQ431" s="36"/>
      <c r="CX431" s="36"/>
      <c r="DE431" s="36"/>
      <c r="DL431" s="36"/>
      <c r="DS431" s="36"/>
      <c r="DZ431" s="36"/>
      <c r="EG431" s="36"/>
      <c r="EN431" s="36"/>
      <c r="EU431" s="36"/>
      <c r="FB431" s="36"/>
      <c r="FI431" s="36"/>
      <c r="FP431" s="36"/>
      <c r="FW431" s="36"/>
      <c r="GD431" s="36"/>
      <c r="GK431" s="36"/>
      <c r="GR431" s="36"/>
      <c r="GY431" s="36"/>
      <c r="HF431" s="36"/>
      <c r="HM431" s="36"/>
      <c r="HT431" s="36"/>
      <c r="IA431" s="36"/>
      <c r="IH431" s="36"/>
      <c r="IO431" s="36"/>
      <c r="IV431" s="36"/>
      <c r="JC431" s="36"/>
      <c r="JJ431" s="36"/>
      <c r="JQ431" s="36"/>
      <c r="JX431" s="36"/>
      <c r="KE431" s="36"/>
      <c r="KL431" s="36"/>
      <c r="KS431" s="36"/>
      <c r="KZ431" s="36"/>
      <c r="LF431" s="565"/>
      <c r="LG431" s="36"/>
      <c r="LM431" s="565"/>
      <c r="LN431" s="36"/>
      <c r="LT431" s="565"/>
      <c r="LU431" s="36"/>
      <c r="MA431" s="565"/>
      <c r="MB431" s="36"/>
      <c r="MH431" s="565"/>
    </row>
    <row r="432" spans="1:346" s="37" customFormat="1" ht="13.15" hidden="1" outlineLevel="1" x14ac:dyDescent="0.4">
      <c r="A432" s="35"/>
      <c r="B432" s="36"/>
      <c r="BO432" s="36"/>
      <c r="BV432" s="36"/>
      <c r="CC432" s="36"/>
      <c r="CJ432" s="36"/>
      <c r="CQ432" s="36"/>
      <c r="CX432" s="36"/>
      <c r="DE432" s="36"/>
      <c r="DL432" s="36"/>
      <c r="DS432" s="36"/>
      <c r="DZ432" s="36"/>
      <c r="EG432" s="36"/>
      <c r="EN432" s="36"/>
      <c r="EU432" s="36"/>
      <c r="FB432" s="36"/>
      <c r="FI432" s="36"/>
      <c r="FP432" s="36"/>
      <c r="FW432" s="36"/>
      <c r="GD432" s="36"/>
      <c r="GK432" s="36"/>
      <c r="GR432" s="36"/>
      <c r="GY432" s="36"/>
      <c r="HF432" s="36"/>
      <c r="HM432" s="36"/>
      <c r="HT432" s="36"/>
      <c r="IA432" s="36"/>
      <c r="IH432" s="36"/>
      <c r="IO432" s="36"/>
      <c r="IV432" s="36"/>
      <c r="JC432" s="36"/>
      <c r="JJ432" s="36"/>
      <c r="JQ432" s="36"/>
      <c r="JX432" s="36"/>
      <c r="KE432" s="36"/>
      <c r="KL432" s="36"/>
      <c r="KS432" s="36"/>
      <c r="KZ432" s="36"/>
      <c r="LF432" s="565"/>
      <c r="LG432" s="36"/>
      <c r="LM432" s="565"/>
      <c r="LN432" s="36"/>
      <c r="LT432" s="565"/>
      <c r="LU432" s="36"/>
      <c r="MA432" s="565"/>
      <c r="MB432" s="36"/>
      <c r="MH432" s="565"/>
    </row>
    <row r="433" spans="1:346" s="37" customFormat="1" ht="13.15" hidden="1" outlineLevel="1" x14ac:dyDescent="0.4">
      <c r="A433" s="35"/>
      <c r="B433" s="36" t="s">
        <v>375</v>
      </c>
      <c r="C433" s="37">
        <v>1978</v>
      </c>
      <c r="D433" s="37">
        <v>1979</v>
      </c>
      <c r="E433" s="37">
        <v>1980</v>
      </c>
      <c r="F433" s="37">
        <v>1981</v>
      </c>
      <c r="G433" s="37">
        <v>1982</v>
      </c>
      <c r="H433" s="37">
        <v>1983</v>
      </c>
      <c r="I433" s="37">
        <v>1984</v>
      </c>
      <c r="J433" s="37">
        <v>1985</v>
      </c>
      <c r="K433" s="37">
        <v>1986</v>
      </c>
      <c r="L433" s="37">
        <v>1987</v>
      </c>
      <c r="M433" s="37">
        <v>1988</v>
      </c>
      <c r="BO433" s="36" t="s">
        <v>375</v>
      </c>
      <c r="BV433" s="36" t="s">
        <v>375</v>
      </c>
      <c r="CC433" s="36" t="s">
        <v>375</v>
      </c>
      <c r="CJ433" s="36" t="s">
        <v>375</v>
      </c>
      <c r="CQ433" s="36" t="s">
        <v>375</v>
      </c>
      <c r="CX433" s="36" t="s">
        <v>375</v>
      </c>
      <c r="DE433" s="36" t="s">
        <v>375</v>
      </c>
      <c r="DL433" s="36" t="s">
        <v>375</v>
      </c>
      <c r="DS433" s="36" t="s">
        <v>375</v>
      </c>
      <c r="DZ433" s="36" t="s">
        <v>375</v>
      </c>
      <c r="EG433" s="36" t="s">
        <v>375</v>
      </c>
      <c r="EN433" s="36" t="s">
        <v>375</v>
      </c>
      <c r="EU433" s="36" t="s">
        <v>375</v>
      </c>
      <c r="FB433" s="36" t="s">
        <v>375</v>
      </c>
      <c r="FI433" s="36" t="s">
        <v>375</v>
      </c>
      <c r="FP433" s="36" t="s">
        <v>375</v>
      </c>
      <c r="FW433" s="36" t="s">
        <v>375</v>
      </c>
      <c r="GD433" s="36" t="s">
        <v>375</v>
      </c>
      <c r="GK433" s="36" t="s">
        <v>375</v>
      </c>
      <c r="GR433" s="36" t="s">
        <v>375</v>
      </c>
      <c r="GY433" s="36" t="s">
        <v>375</v>
      </c>
      <c r="HF433" s="36" t="s">
        <v>375</v>
      </c>
      <c r="HM433" s="36" t="s">
        <v>375</v>
      </c>
      <c r="HT433" s="36" t="s">
        <v>375</v>
      </c>
      <c r="IA433" s="36" t="s">
        <v>375</v>
      </c>
      <c r="IH433" s="36" t="s">
        <v>375</v>
      </c>
      <c r="IO433" s="36" t="s">
        <v>375</v>
      </c>
      <c r="IV433" s="36" t="s">
        <v>375</v>
      </c>
      <c r="JC433" s="36" t="s">
        <v>375</v>
      </c>
      <c r="JJ433" s="36" t="s">
        <v>375</v>
      </c>
      <c r="JQ433" s="36" t="s">
        <v>375</v>
      </c>
      <c r="JX433" s="36" t="s">
        <v>375</v>
      </c>
      <c r="KE433" s="36" t="s">
        <v>375</v>
      </c>
      <c r="KL433" s="36" t="s">
        <v>375</v>
      </c>
      <c r="KS433" s="36" t="s">
        <v>375</v>
      </c>
      <c r="KZ433" s="36" t="s">
        <v>375</v>
      </c>
      <c r="LF433" s="565"/>
      <c r="LG433" s="36" t="s">
        <v>375</v>
      </c>
      <c r="LM433" s="565"/>
      <c r="LN433" s="36" t="s">
        <v>375</v>
      </c>
      <c r="LT433" s="565"/>
      <c r="LU433" s="36" t="s">
        <v>375</v>
      </c>
      <c r="MA433" s="565"/>
      <c r="MB433" s="36" t="s">
        <v>375</v>
      </c>
      <c r="MH433" s="565"/>
    </row>
    <row r="434" spans="1:346" s="37" customFormat="1" ht="13.15" hidden="1" outlineLevel="1" x14ac:dyDescent="0.4">
      <c r="A434" s="35"/>
      <c r="B434" s="36" t="s">
        <v>376</v>
      </c>
      <c r="BO434" s="36" t="s">
        <v>376</v>
      </c>
      <c r="BV434" s="36" t="s">
        <v>376</v>
      </c>
      <c r="CC434" s="36" t="s">
        <v>376</v>
      </c>
      <c r="CJ434" s="36" t="s">
        <v>376</v>
      </c>
      <c r="CQ434" s="36" t="s">
        <v>376</v>
      </c>
      <c r="CX434" s="36" t="s">
        <v>376</v>
      </c>
      <c r="DE434" s="36" t="s">
        <v>376</v>
      </c>
      <c r="DL434" s="36" t="s">
        <v>376</v>
      </c>
      <c r="DS434" s="36" t="s">
        <v>376</v>
      </c>
      <c r="DZ434" s="36" t="s">
        <v>376</v>
      </c>
      <c r="EG434" s="36" t="s">
        <v>376</v>
      </c>
      <c r="EN434" s="36" t="s">
        <v>376</v>
      </c>
      <c r="EU434" s="36" t="s">
        <v>376</v>
      </c>
      <c r="FB434" s="36" t="s">
        <v>376</v>
      </c>
      <c r="FI434" s="36" t="s">
        <v>376</v>
      </c>
      <c r="FP434" s="36" t="s">
        <v>376</v>
      </c>
      <c r="FW434" s="36" t="s">
        <v>376</v>
      </c>
      <c r="GD434" s="36" t="s">
        <v>376</v>
      </c>
      <c r="GK434" s="36" t="s">
        <v>376</v>
      </c>
      <c r="GR434" s="36" t="s">
        <v>376</v>
      </c>
      <c r="GY434" s="36" t="s">
        <v>376</v>
      </c>
      <c r="HF434" s="36" t="s">
        <v>376</v>
      </c>
      <c r="HM434" s="36" t="s">
        <v>376</v>
      </c>
      <c r="HT434" s="36" t="s">
        <v>376</v>
      </c>
      <c r="IA434" s="36" t="s">
        <v>376</v>
      </c>
      <c r="IH434" s="36" t="s">
        <v>376</v>
      </c>
      <c r="IO434" s="36" t="s">
        <v>376</v>
      </c>
      <c r="IV434" s="36" t="s">
        <v>376</v>
      </c>
      <c r="JC434" s="36" t="s">
        <v>376</v>
      </c>
      <c r="JJ434" s="36" t="s">
        <v>376</v>
      </c>
      <c r="JQ434" s="36" t="s">
        <v>376</v>
      </c>
      <c r="JX434" s="36" t="s">
        <v>376</v>
      </c>
      <c r="KE434" s="36" t="s">
        <v>376</v>
      </c>
      <c r="KL434" s="36" t="s">
        <v>376</v>
      </c>
      <c r="KS434" s="36" t="s">
        <v>376</v>
      </c>
      <c r="KZ434" s="36" t="s">
        <v>376</v>
      </c>
      <c r="LF434" s="565"/>
      <c r="LG434" s="36" t="s">
        <v>376</v>
      </c>
      <c r="LM434" s="565"/>
      <c r="LN434" s="36" t="s">
        <v>376</v>
      </c>
      <c r="LT434" s="565"/>
      <c r="LU434" s="36" t="s">
        <v>376</v>
      </c>
      <c r="MA434" s="565"/>
      <c r="MB434" s="36" t="s">
        <v>376</v>
      </c>
      <c r="MH434" s="565"/>
    </row>
    <row r="435" spans="1:346" s="37" customFormat="1" ht="13.15" hidden="1" outlineLevel="1" x14ac:dyDescent="0.4">
      <c r="A435" s="35"/>
      <c r="B435" s="36" t="s">
        <v>147</v>
      </c>
      <c r="F435" s="37">
        <v>82.7</v>
      </c>
      <c r="G435" s="37">
        <v>70.7</v>
      </c>
      <c r="H435" s="37">
        <v>65.540000000000006</v>
      </c>
      <c r="I435" s="37">
        <v>82.3</v>
      </c>
      <c r="J435" s="37">
        <v>84.1</v>
      </c>
      <c r="K435" s="37">
        <v>87.8</v>
      </c>
      <c r="L435" s="37">
        <v>82</v>
      </c>
      <c r="M435" s="37">
        <v>79</v>
      </c>
      <c r="N435" s="37">
        <f t="shared" ref="N435:N442" si="7319">BT435</f>
        <v>84.4</v>
      </c>
      <c r="O435" s="37">
        <f t="shared" ref="O435:O442" si="7320">CA435</f>
        <v>99.3</v>
      </c>
      <c r="P435" s="37">
        <f t="shared" ref="P435:P442" si="7321">CH435</f>
        <v>107.3</v>
      </c>
      <c r="Q435" s="37">
        <f t="shared" ref="Q435:Q442" si="7322">CO435</f>
        <v>106.7</v>
      </c>
      <c r="R435" s="37">
        <f t="shared" ref="R435:R442" si="7323">CV435</f>
        <v>94.2</v>
      </c>
      <c r="S435" s="37">
        <f t="shared" ref="S435:S442" si="7324">DC435</f>
        <v>100</v>
      </c>
      <c r="T435" s="37">
        <f t="shared" ref="T435:T442" si="7325">DJ435</f>
        <v>93</v>
      </c>
      <c r="U435" s="37">
        <f t="shared" ref="U435:U442" si="7326">DQ435</f>
        <v>88</v>
      </c>
      <c r="V435" s="37">
        <f t="shared" ref="V435:V442" si="7327">DX435</f>
        <v>87</v>
      </c>
      <c r="W435" s="37">
        <f t="shared" ref="W435:W442" si="7328">EE435</f>
        <v>0</v>
      </c>
      <c r="X435" s="37">
        <f t="shared" ref="X435:X442" si="7329">EL435</f>
        <v>0</v>
      </c>
      <c r="Y435" s="37">
        <f t="shared" ref="Y435:Y442" si="7330">ES435</f>
        <v>0</v>
      </c>
      <c r="Z435" s="37">
        <f t="shared" ref="Z435:Z442" si="7331">EZ435</f>
        <v>0</v>
      </c>
      <c r="AA435" s="37">
        <f t="shared" ref="AA435:AA442" si="7332">FG435</f>
        <v>0</v>
      </c>
      <c r="AB435" s="37">
        <f t="shared" ref="AB435:AB442" si="7333">FN435</f>
        <v>0</v>
      </c>
      <c r="AC435" s="37">
        <f t="shared" ref="AC435:AC442" si="7334">FU435</f>
        <v>0</v>
      </c>
      <c r="AD435" s="37">
        <f t="shared" ref="AD435:AD442" si="7335">GB435</f>
        <v>0</v>
      </c>
      <c r="AE435" s="37">
        <f t="shared" ref="AE435:AE442" si="7336">GI435</f>
        <v>0</v>
      </c>
      <c r="AF435" s="37">
        <f t="shared" ref="AF435:AF442" si="7337">GP435</f>
        <v>0</v>
      </c>
      <c r="AG435" s="37">
        <f t="shared" ref="AG435:AG442" si="7338">GW435</f>
        <v>0</v>
      </c>
      <c r="AH435" s="37">
        <f t="shared" ref="AH435:AH442" si="7339">HD435</f>
        <v>0</v>
      </c>
      <c r="AI435" s="37">
        <f t="shared" ref="AI435:AI442" si="7340">HK435</f>
        <v>0</v>
      </c>
      <c r="AJ435" s="37">
        <f t="shared" ref="AJ435:AJ442" si="7341">HR435</f>
        <v>0</v>
      </c>
      <c r="AK435" s="37">
        <f t="shared" ref="AK435:AK442" si="7342">HY435</f>
        <v>0</v>
      </c>
      <c r="AL435" s="37">
        <f t="shared" ref="AL435:AL442" si="7343">IF435</f>
        <v>0</v>
      </c>
      <c r="AM435" s="37">
        <f t="shared" ref="AM435:AM442" si="7344">IM435</f>
        <v>0</v>
      </c>
      <c r="AN435" s="37">
        <f t="shared" ref="AN435:AN442" si="7345">IT435</f>
        <v>0</v>
      </c>
      <c r="AO435" s="37">
        <f t="shared" ref="AO435:AO442" si="7346">JA435</f>
        <v>0</v>
      </c>
      <c r="AP435" s="37">
        <f t="shared" ref="AP435:AP442" si="7347">JH435</f>
        <v>0</v>
      </c>
      <c r="AQ435" s="37">
        <f t="shared" ref="AQ435:AQ442" si="7348">JO435</f>
        <v>0</v>
      </c>
      <c r="AR435" s="37">
        <f t="shared" ref="AR435:AR442" si="7349">JV435</f>
        <v>0</v>
      </c>
      <c r="AS435" s="37">
        <f t="shared" ref="AS435:AS442" si="7350">KC435</f>
        <v>0</v>
      </c>
      <c r="AT435" s="37">
        <f t="shared" ref="AT435:AT442" si="7351">KJ435</f>
        <v>0</v>
      </c>
      <c r="AU435" s="37">
        <f t="shared" ref="AU435:AU442" si="7352">KQ435</f>
        <v>0</v>
      </c>
      <c r="AV435" s="37">
        <f t="shared" ref="AV435:AV442" si="7353">KX435</f>
        <v>0</v>
      </c>
      <c r="AW435" s="37">
        <f t="shared" ref="AW435:AW442" si="7354">LE435</f>
        <v>0</v>
      </c>
      <c r="AX435" s="37">
        <f t="shared" ref="AX435:AX442" si="7355">LL435</f>
        <v>0</v>
      </c>
      <c r="AY435" s="37">
        <f t="shared" ref="AY435:AY442" si="7356">LS435</f>
        <v>0</v>
      </c>
      <c r="AZ435" s="37">
        <f t="shared" ref="AZ435:AZ442" si="7357">LZ435</f>
        <v>0</v>
      </c>
      <c r="BA435" s="37">
        <f t="shared" ref="BA435:BA442" si="7358">MG435</f>
        <v>0</v>
      </c>
      <c r="BO435" s="36" t="s">
        <v>147</v>
      </c>
      <c r="BP435" s="37">
        <v>20.3</v>
      </c>
      <c r="BQ435" s="37">
        <v>22.8</v>
      </c>
      <c r="BR435" s="37">
        <v>20</v>
      </c>
      <c r="BS435" s="37">
        <v>21.3</v>
      </c>
      <c r="BT435" s="37">
        <v>84.4</v>
      </c>
      <c r="BV435" s="36" t="s">
        <v>147</v>
      </c>
      <c r="BW435" s="37">
        <v>21.8</v>
      </c>
      <c r="BX435" s="37">
        <v>26.9</v>
      </c>
      <c r="BY435" s="37">
        <v>26.9</v>
      </c>
      <c r="BZ435" s="37">
        <v>23.7</v>
      </c>
      <c r="CA435" s="37">
        <v>99.3</v>
      </c>
      <c r="CC435" s="36" t="s">
        <v>147</v>
      </c>
      <c r="CD435" s="37">
        <v>23.9</v>
      </c>
      <c r="CE435" s="37">
        <v>27.5</v>
      </c>
      <c r="CF435" s="37">
        <v>27.9</v>
      </c>
      <c r="CG435" s="37">
        <v>28</v>
      </c>
      <c r="CH435" s="37">
        <v>107.3</v>
      </c>
      <c r="CJ435" s="36" t="s">
        <v>147</v>
      </c>
      <c r="CK435" s="37">
        <v>22.7</v>
      </c>
      <c r="CL435" s="37">
        <v>29</v>
      </c>
      <c r="CM435" s="37">
        <v>27.7</v>
      </c>
      <c r="CN435" s="37">
        <v>27.3</v>
      </c>
      <c r="CO435" s="37">
        <v>106.7</v>
      </c>
      <c r="CQ435" s="36" t="s">
        <v>147</v>
      </c>
      <c r="CR435" s="37">
        <v>23</v>
      </c>
      <c r="CS435" s="37">
        <v>25</v>
      </c>
      <c r="CT435" s="37">
        <v>20.2</v>
      </c>
      <c r="CU435" s="37">
        <v>26</v>
      </c>
      <c r="CV435" s="37">
        <v>94.2</v>
      </c>
      <c r="CX435" s="36" t="s">
        <v>147</v>
      </c>
      <c r="CY435" s="37">
        <v>20</v>
      </c>
      <c r="CZ435" s="37">
        <v>26</v>
      </c>
      <c r="DA435" s="37">
        <v>30</v>
      </c>
      <c r="DB435" s="37">
        <v>24</v>
      </c>
      <c r="DC435" s="37">
        <v>100</v>
      </c>
      <c r="DE435" s="36" t="s">
        <v>147</v>
      </c>
      <c r="DF435" s="37">
        <v>23</v>
      </c>
      <c r="DG435" s="37">
        <v>22</v>
      </c>
      <c r="DH435" s="37">
        <v>26</v>
      </c>
      <c r="DI435" s="37">
        <v>22</v>
      </c>
      <c r="DJ435" s="37">
        <v>93</v>
      </c>
      <c r="DL435" s="36" t="s">
        <v>147</v>
      </c>
      <c r="DM435" s="37">
        <v>20</v>
      </c>
      <c r="DN435" s="37">
        <v>23</v>
      </c>
      <c r="DO435" s="37">
        <v>23</v>
      </c>
      <c r="DP435" s="37">
        <v>22</v>
      </c>
      <c r="DQ435" s="37">
        <v>88</v>
      </c>
      <c r="DS435" s="36" t="s">
        <v>147</v>
      </c>
      <c r="DT435" s="37">
        <v>22</v>
      </c>
      <c r="DU435" s="37">
        <v>24</v>
      </c>
      <c r="DV435" s="37">
        <v>21</v>
      </c>
      <c r="DW435" s="37">
        <v>20</v>
      </c>
      <c r="DX435" s="37">
        <v>87</v>
      </c>
      <c r="DZ435" s="36" t="s">
        <v>147</v>
      </c>
      <c r="EA435" s="37">
        <v>21</v>
      </c>
      <c r="EB435" s="37">
        <v>20</v>
      </c>
      <c r="EG435" s="36" t="s">
        <v>147</v>
      </c>
      <c r="EN435" s="36" t="s">
        <v>147</v>
      </c>
      <c r="EU435" s="36" t="s">
        <v>147</v>
      </c>
      <c r="FB435" s="36" t="s">
        <v>147</v>
      </c>
      <c r="FI435" s="36" t="s">
        <v>147</v>
      </c>
      <c r="FP435" s="36" t="s">
        <v>147</v>
      </c>
      <c r="FW435" s="36" t="s">
        <v>147</v>
      </c>
      <c r="GD435" s="36" t="s">
        <v>147</v>
      </c>
      <c r="GK435" s="36" t="s">
        <v>147</v>
      </c>
      <c r="GR435" s="36" t="s">
        <v>147</v>
      </c>
      <c r="GY435" s="36" t="s">
        <v>147</v>
      </c>
      <c r="HF435" s="36" t="s">
        <v>147</v>
      </c>
      <c r="HM435" s="36" t="s">
        <v>147</v>
      </c>
      <c r="HT435" s="36" t="s">
        <v>147</v>
      </c>
      <c r="IA435" s="36" t="s">
        <v>147</v>
      </c>
      <c r="IH435" s="36" t="s">
        <v>147</v>
      </c>
      <c r="IO435" s="36" t="s">
        <v>147</v>
      </c>
      <c r="IV435" s="36" t="s">
        <v>147</v>
      </c>
      <c r="JC435" s="36" t="s">
        <v>147</v>
      </c>
      <c r="JJ435" s="36" t="s">
        <v>147</v>
      </c>
      <c r="JQ435" s="36" t="s">
        <v>147</v>
      </c>
      <c r="JX435" s="36" t="s">
        <v>147</v>
      </c>
      <c r="KE435" s="36" t="s">
        <v>147</v>
      </c>
      <c r="KL435" s="36" t="s">
        <v>147</v>
      </c>
      <c r="KS435" s="36" t="s">
        <v>147</v>
      </c>
      <c r="KZ435" s="36" t="s">
        <v>147</v>
      </c>
      <c r="LF435" s="565"/>
      <c r="LG435" s="36" t="s">
        <v>147</v>
      </c>
      <c r="LM435" s="565"/>
      <c r="LN435" s="36" t="s">
        <v>147</v>
      </c>
      <c r="LT435" s="565"/>
      <c r="LU435" s="36" t="s">
        <v>147</v>
      </c>
      <c r="MA435" s="565"/>
      <c r="MB435" s="36" t="s">
        <v>147</v>
      </c>
      <c r="MH435" s="565"/>
    </row>
    <row r="436" spans="1:346" s="37" customFormat="1" ht="13.15" hidden="1" outlineLevel="1" x14ac:dyDescent="0.4">
      <c r="A436" s="35"/>
      <c r="B436" s="36" t="s">
        <v>377</v>
      </c>
      <c r="F436" s="37">
        <v>60.8</v>
      </c>
      <c r="G436" s="37">
        <v>57.2</v>
      </c>
      <c r="H436" s="37">
        <v>54</v>
      </c>
      <c r="I436" s="37">
        <v>44.4</v>
      </c>
      <c r="J436" s="37">
        <v>39.700000000000003</v>
      </c>
      <c r="K436" s="37">
        <v>43.6</v>
      </c>
      <c r="L436" s="37">
        <v>50</v>
      </c>
      <c r="M436" s="37">
        <v>58</v>
      </c>
      <c r="N436" s="37">
        <f t="shared" si="7319"/>
        <v>68</v>
      </c>
      <c r="O436" s="37">
        <f t="shared" si="7320"/>
        <v>69.099999999999994</v>
      </c>
      <c r="P436" s="37">
        <f t="shared" si="7321"/>
        <v>48.4</v>
      </c>
      <c r="Q436" s="37">
        <f t="shared" si="7322"/>
        <v>93.4</v>
      </c>
      <c r="R436" s="37">
        <f t="shared" si="7323"/>
        <v>112.6</v>
      </c>
      <c r="S436" s="37">
        <f t="shared" si="7324"/>
        <v>124</v>
      </c>
      <c r="T436" s="37">
        <f t="shared" si="7325"/>
        <v>189</v>
      </c>
      <c r="U436" s="37">
        <f t="shared" si="7326"/>
        <v>251</v>
      </c>
      <c r="V436" s="37">
        <f t="shared" si="7327"/>
        <v>228</v>
      </c>
      <c r="W436" s="37">
        <f t="shared" si="7328"/>
        <v>0</v>
      </c>
      <c r="X436" s="37">
        <f t="shared" si="7329"/>
        <v>0</v>
      </c>
      <c r="Y436" s="37">
        <f t="shared" si="7330"/>
        <v>0</v>
      </c>
      <c r="Z436" s="37">
        <f t="shared" si="7331"/>
        <v>0</v>
      </c>
      <c r="AA436" s="37">
        <f t="shared" si="7332"/>
        <v>0</v>
      </c>
      <c r="AB436" s="37">
        <f t="shared" si="7333"/>
        <v>0</v>
      </c>
      <c r="AC436" s="37">
        <f t="shared" si="7334"/>
        <v>0</v>
      </c>
      <c r="AD436" s="37">
        <f t="shared" si="7335"/>
        <v>0</v>
      </c>
      <c r="AE436" s="37">
        <f t="shared" si="7336"/>
        <v>0</v>
      </c>
      <c r="AF436" s="37">
        <f t="shared" si="7337"/>
        <v>0</v>
      </c>
      <c r="AG436" s="37">
        <f t="shared" si="7338"/>
        <v>0</v>
      </c>
      <c r="AH436" s="37">
        <f t="shared" si="7339"/>
        <v>0</v>
      </c>
      <c r="AI436" s="37">
        <f t="shared" si="7340"/>
        <v>0</v>
      </c>
      <c r="AJ436" s="37">
        <f t="shared" si="7341"/>
        <v>0</v>
      </c>
      <c r="AK436" s="37">
        <f t="shared" si="7342"/>
        <v>0</v>
      </c>
      <c r="AL436" s="37">
        <f t="shared" si="7343"/>
        <v>0</v>
      </c>
      <c r="AM436" s="37">
        <f t="shared" si="7344"/>
        <v>0</v>
      </c>
      <c r="AN436" s="37">
        <f t="shared" si="7345"/>
        <v>0</v>
      </c>
      <c r="AO436" s="37">
        <f t="shared" si="7346"/>
        <v>0</v>
      </c>
      <c r="AP436" s="37">
        <f t="shared" si="7347"/>
        <v>0</v>
      </c>
      <c r="AQ436" s="37">
        <f t="shared" si="7348"/>
        <v>0</v>
      </c>
      <c r="AR436" s="37">
        <f t="shared" si="7349"/>
        <v>0</v>
      </c>
      <c r="AS436" s="37">
        <f t="shared" si="7350"/>
        <v>0</v>
      </c>
      <c r="AT436" s="37">
        <f t="shared" si="7351"/>
        <v>0</v>
      </c>
      <c r="AU436" s="37">
        <f t="shared" si="7352"/>
        <v>0</v>
      </c>
      <c r="AV436" s="37">
        <f t="shared" si="7353"/>
        <v>0</v>
      </c>
      <c r="AW436" s="37">
        <f t="shared" si="7354"/>
        <v>0</v>
      </c>
      <c r="AX436" s="37">
        <f t="shared" si="7355"/>
        <v>0</v>
      </c>
      <c r="AY436" s="37">
        <f t="shared" si="7356"/>
        <v>0</v>
      </c>
      <c r="AZ436" s="37">
        <f t="shared" si="7357"/>
        <v>0</v>
      </c>
      <c r="BA436" s="37">
        <f t="shared" si="7358"/>
        <v>0</v>
      </c>
      <c r="BO436" s="36" t="s">
        <v>377</v>
      </c>
      <c r="BP436" s="37">
        <v>15.1</v>
      </c>
      <c r="BQ436" s="37">
        <v>18.5</v>
      </c>
      <c r="BR436" s="37">
        <v>15.4</v>
      </c>
      <c r="BS436" s="37">
        <v>19</v>
      </c>
      <c r="BT436" s="37">
        <v>68</v>
      </c>
      <c r="BV436" s="36" t="s">
        <v>377</v>
      </c>
      <c r="BW436" s="37">
        <v>14.8</v>
      </c>
      <c r="BX436" s="37">
        <v>20</v>
      </c>
      <c r="BY436" s="37">
        <v>15.8</v>
      </c>
      <c r="BZ436" s="37">
        <v>18.5</v>
      </c>
      <c r="CA436" s="37">
        <v>69.099999999999994</v>
      </c>
      <c r="CC436" s="36" t="s">
        <v>377</v>
      </c>
      <c r="CD436" s="37">
        <v>11.7</v>
      </c>
      <c r="CE436" s="37">
        <v>10.5</v>
      </c>
      <c r="CF436" s="37">
        <v>11.6</v>
      </c>
      <c r="CG436" s="37">
        <v>14.6</v>
      </c>
      <c r="CH436" s="37">
        <v>48.4</v>
      </c>
      <c r="CJ436" s="36" t="s">
        <v>377</v>
      </c>
      <c r="CK436" s="37">
        <v>13.5</v>
      </c>
      <c r="CL436" s="37">
        <v>16.2</v>
      </c>
      <c r="CM436" s="37">
        <v>23.3</v>
      </c>
      <c r="CN436" s="37">
        <v>40.4</v>
      </c>
      <c r="CO436" s="37">
        <v>93.4</v>
      </c>
      <c r="CQ436" s="36" t="s">
        <v>377</v>
      </c>
      <c r="CR436" s="37">
        <v>26</v>
      </c>
      <c r="CS436" s="37">
        <v>28.6</v>
      </c>
      <c r="CT436" s="37">
        <v>20</v>
      </c>
      <c r="CU436" s="37">
        <v>38</v>
      </c>
      <c r="CV436" s="37">
        <v>112.6</v>
      </c>
      <c r="CX436" s="36" t="s">
        <v>377</v>
      </c>
      <c r="CY436" s="37">
        <v>21</v>
      </c>
      <c r="CZ436" s="37">
        <v>24</v>
      </c>
      <c r="DA436" s="37">
        <v>28</v>
      </c>
      <c r="DB436" s="37">
        <v>51</v>
      </c>
      <c r="DC436" s="37">
        <v>124</v>
      </c>
      <c r="DE436" s="36" t="s">
        <v>377</v>
      </c>
      <c r="DF436" s="37">
        <v>34</v>
      </c>
      <c r="DG436" s="37">
        <v>37</v>
      </c>
      <c r="DH436" s="37">
        <v>56</v>
      </c>
      <c r="DI436" s="37">
        <v>62</v>
      </c>
      <c r="DJ436" s="37">
        <v>189</v>
      </c>
      <c r="DL436" s="36" t="s">
        <v>377</v>
      </c>
      <c r="DM436" s="37">
        <v>49</v>
      </c>
      <c r="DN436" s="37">
        <v>66</v>
      </c>
      <c r="DO436" s="37">
        <v>62</v>
      </c>
      <c r="DP436" s="37">
        <v>74</v>
      </c>
      <c r="DQ436" s="37">
        <v>251</v>
      </c>
      <c r="DS436" s="36" t="s">
        <v>377</v>
      </c>
      <c r="DT436" s="37">
        <v>43</v>
      </c>
      <c r="DU436" s="37">
        <v>54</v>
      </c>
      <c r="DV436" s="37">
        <v>60</v>
      </c>
      <c r="DW436" s="37">
        <v>71</v>
      </c>
      <c r="DX436" s="37">
        <v>228</v>
      </c>
      <c r="DZ436" s="36" t="s">
        <v>377</v>
      </c>
      <c r="EA436" s="37">
        <v>40</v>
      </c>
      <c r="EB436" s="37">
        <v>52</v>
      </c>
      <c r="EG436" s="36" t="s">
        <v>377</v>
      </c>
      <c r="EN436" s="36" t="s">
        <v>377</v>
      </c>
      <c r="EU436" s="36" t="s">
        <v>377</v>
      </c>
      <c r="FB436" s="36" t="s">
        <v>377</v>
      </c>
      <c r="FI436" s="36" t="s">
        <v>377</v>
      </c>
      <c r="FP436" s="36" t="s">
        <v>377</v>
      </c>
      <c r="FW436" s="36" t="s">
        <v>377</v>
      </c>
      <c r="GD436" s="36" t="s">
        <v>377</v>
      </c>
      <c r="GK436" s="36" t="s">
        <v>377</v>
      </c>
      <c r="GR436" s="36" t="s">
        <v>377</v>
      </c>
      <c r="GY436" s="36" t="s">
        <v>377</v>
      </c>
      <c r="HF436" s="36" t="s">
        <v>377</v>
      </c>
      <c r="HM436" s="36" t="s">
        <v>377</v>
      </c>
      <c r="HT436" s="36" t="s">
        <v>377</v>
      </c>
      <c r="IA436" s="36" t="s">
        <v>377</v>
      </c>
      <c r="IH436" s="36" t="s">
        <v>377</v>
      </c>
      <c r="IO436" s="36" t="s">
        <v>377</v>
      </c>
      <c r="IV436" s="36" t="s">
        <v>377</v>
      </c>
      <c r="JC436" s="36" t="s">
        <v>377</v>
      </c>
      <c r="JJ436" s="36" t="s">
        <v>377</v>
      </c>
      <c r="JQ436" s="36" t="s">
        <v>377</v>
      </c>
      <c r="JX436" s="36" t="s">
        <v>377</v>
      </c>
      <c r="KE436" s="36" t="s">
        <v>377</v>
      </c>
      <c r="KL436" s="36" t="s">
        <v>377</v>
      </c>
      <c r="KS436" s="36" t="s">
        <v>377</v>
      </c>
      <c r="KZ436" s="36" t="s">
        <v>377</v>
      </c>
      <c r="LF436" s="565"/>
      <c r="LG436" s="36" t="s">
        <v>377</v>
      </c>
      <c r="LM436" s="565"/>
      <c r="LN436" s="36" t="s">
        <v>377</v>
      </c>
      <c r="LT436" s="565"/>
      <c r="LU436" s="36" t="s">
        <v>377</v>
      </c>
      <c r="MA436" s="565"/>
      <c r="MB436" s="36" t="s">
        <v>377</v>
      </c>
      <c r="MH436" s="565"/>
    </row>
    <row r="437" spans="1:346" s="37" customFormat="1" ht="13.15" hidden="1" outlineLevel="1" x14ac:dyDescent="0.4">
      <c r="A437" s="35"/>
      <c r="B437" s="36" t="s">
        <v>378</v>
      </c>
      <c r="F437" s="37">
        <v>27.4</v>
      </c>
      <c r="G437" s="37">
        <v>21</v>
      </c>
      <c r="H437" s="37">
        <v>23.4</v>
      </c>
      <c r="I437" s="37">
        <v>25.9</v>
      </c>
      <c r="J437" s="37">
        <v>28.7</v>
      </c>
      <c r="K437" s="37">
        <v>29.7</v>
      </c>
      <c r="L437" s="37">
        <v>29</v>
      </c>
      <c r="M437" s="37">
        <v>32</v>
      </c>
      <c r="N437" s="37">
        <f t="shared" si="7319"/>
        <v>38.9</v>
      </c>
      <c r="O437" s="37">
        <f t="shared" si="7320"/>
        <v>43.4</v>
      </c>
      <c r="P437" s="37">
        <f t="shared" si="7321"/>
        <v>43.900000000000006</v>
      </c>
      <c r="Q437" s="37">
        <f t="shared" si="7322"/>
        <v>59.5</v>
      </c>
      <c r="R437" s="37">
        <f t="shared" si="7323"/>
        <v>85.3</v>
      </c>
      <c r="S437" s="37">
        <f t="shared" si="7324"/>
        <v>105</v>
      </c>
      <c r="T437" s="37">
        <f t="shared" si="7325"/>
        <v>120</v>
      </c>
      <c r="U437" s="37">
        <f t="shared" si="7326"/>
        <v>125</v>
      </c>
      <c r="V437" s="37">
        <f t="shared" si="7327"/>
        <v>129</v>
      </c>
      <c r="W437" s="37">
        <f t="shared" si="7328"/>
        <v>0</v>
      </c>
      <c r="X437" s="37">
        <f t="shared" si="7329"/>
        <v>0</v>
      </c>
      <c r="Y437" s="37">
        <f t="shared" si="7330"/>
        <v>0</v>
      </c>
      <c r="Z437" s="37">
        <f t="shared" si="7331"/>
        <v>0</v>
      </c>
      <c r="AA437" s="37">
        <f t="shared" si="7332"/>
        <v>0</v>
      </c>
      <c r="AB437" s="37">
        <f t="shared" si="7333"/>
        <v>0</v>
      </c>
      <c r="AC437" s="37">
        <f t="shared" si="7334"/>
        <v>0</v>
      </c>
      <c r="AD437" s="37">
        <f t="shared" si="7335"/>
        <v>0</v>
      </c>
      <c r="AE437" s="37">
        <f t="shared" si="7336"/>
        <v>0</v>
      </c>
      <c r="AF437" s="37">
        <f t="shared" si="7337"/>
        <v>0</v>
      </c>
      <c r="AG437" s="37">
        <f t="shared" si="7338"/>
        <v>0</v>
      </c>
      <c r="AH437" s="37">
        <f t="shared" si="7339"/>
        <v>0</v>
      </c>
      <c r="AI437" s="37">
        <f t="shared" si="7340"/>
        <v>0</v>
      </c>
      <c r="AJ437" s="37">
        <f t="shared" si="7341"/>
        <v>0</v>
      </c>
      <c r="AK437" s="37">
        <f t="shared" si="7342"/>
        <v>0</v>
      </c>
      <c r="AL437" s="37">
        <f t="shared" si="7343"/>
        <v>0</v>
      </c>
      <c r="AM437" s="37">
        <f t="shared" si="7344"/>
        <v>0</v>
      </c>
      <c r="AN437" s="37">
        <f t="shared" si="7345"/>
        <v>0</v>
      </c>
      <c r="AO437" s="37">
        <f t="shared" si="7346"/>
        <v>0</v>
      </c>
      <c r="AP437" s="37">
        <f t="shared" si="7347"/>
        <v>0</v>
      </c>
      <c r="AQ437" s="37">
        <f t="shared" si="7348"/>
        <v>0</v>
      </c>
      <c r="AR437" s="37">
        <f t="shared" si="7349"/>
        <v>0</v>
      </c>
      <c r="AS437" s="37">
        <f t="shared" si="7350"/>
        <v>0</v>
      </c>
      <c r="AT437" s="37">
        <f t="shared" si="7351"/>
        <v>0</v>
      </c>
      <c r="AU437" s="37">
        <f t="shared" si="7352"/>
        <v>0</v>
      </c>
      <c r="AV437" s="37">
        <f t="shared" si="7353"/>
        <v>0</v>
      </c>
      <c r="AW437" s="37">
        <f t="shared" si="7354"/>
        <v>0</v>
      </c>
      <c r="AX437" s="37">
        <f t="shared" si="7355"/>
        <v>0</v>
      </c>
      <c r="AY437" s="37">
        <f t="shared" si="7356"/>
        <v>0</v>
      </c>
      <c r="AZ437" s="37">
        <f t="shared" si="7357"/>
        <v>0</v>
      </c>
      <c r="BA437" s="37">
        <f t="shared" si="7358"/>
        <v>0</v>
      </c>
      <c r="BO437" s="36" t="s">
        <v>378</v>
      </c>
      <c r="BP437" s="37">
        <v>9.9</v>
      </c>
      <c r="BQ437" s="37">
        <v>10</v>
      </c>
      <c r="BR437" s="37">
        <v>10.4</v>
      </c>
      <c r="BS437" s="37">
        <v>8.6</v>
      </c>
      <c r="BT437" s="37">
        <v>38.9</v>
      </c>
      <c r="BV437" s="36" t="s">
        <v>378</v>
      </c>
      <c r="BW437" s="37">
        <v>9.6</v>
      </c>
      <c r="BX437" s="37">
        <v>10.6</v>
      </c>
      <c r="BY437" s="37">
        <v>11.3</v>
      </c>
      <c r="BZ437" s="37">
        <v>11.9</v>
      </c>
      <c r="CA437" s="37">
        <v>43.4</v>
      </c>
      <c r="CC437" s="36" t="s">
        <v>378</v>
      </c>
      <c r="CD437" s="37">
        <v>11.6</v>
      </c>
      <c r="CE437" s="37">
        <v>11.5</v>
      </c>
      <c r="CF437" s="37">
        <v>11.3</v>
      </c>
      <c r="CG437" s="37">
        <v>9.5</v>
      </c>
      <c r="CH437" s="37">
        <v>43.900000000000006</v>
      </c>
      <c r="CJ437" s="36" t="s">
        <v>378</v>
      </c>
      <c r="CK437" s="37">
        <v>11.2</v>
      </c>
      <c r="CL437" s="37">
        <v>12.8</v>
      </c>
      <c r="CM437" s="37">
        <v>13</v>
      </c>
      <c r="CN437" s="37">
        <v>22.5</v>
      </c>
      <c r="CO437" s="37">
        <v>59.5</v>
      </c>
      <c r="CQ437" s="36" t="s">
        <v>378</v>
      </c>
      <c r="CR437" s="37">
        <v>22</v>
      </c>
      <c r="CS437" s="37">
        <v>21.8</v>
      </c>
      <c r="CT437" s="37">
        <v>18.5</v>
      </c>
      <c r="CU437" s="37">
        <v>23</v>
      </c>
      <c r="CV437" s="37">
        <v>85.3</v>
      </c>
      <c r="CX437" s="36" t="s">
        <v>378</v>
      </c>
      <c r="CY437" s="37">
        <v>23</v>
      </c>
      <c r="CZ437" s="37">
        <v>26</v>
      </c>
      <c r="DA437" s="37">
        <v>27</v>
      </c>
      <c r="DB437" s="37">
        <v>29</v>
      </c>
      <c r="DC437" s="37">
        <v>105</v>
      </c>
      <c r="DE437" s="36" t="s">
        <v>378</v>
      </c>
      <c r="DF437" s="37">
        <v>32</v>
      </c>
      <c r="DG437" s="37">
        <v>31</v>
      </c>
      <c r="DH437" s="37">
        <v>27</v>
      </c>
      <c r="DI437" s="37">
        <v>30</v>
      </c>
      <c r="DJ437" s="37">
        <v>120</v>
      </c>
      <c r="DL437" s="36" t="s">
        <v>378</v>
      </c>
      <c r="DM437" s="37">
        <v>31</v>
      </c>
      <c r="DN437" s="37">
        <v>32</v>
      </c>
      <c r="DO437" s="37">
        <v>30</v>
      </c>
      <c r="DP437" s="37">
        <v>32</v>
      </c>
      <c r="DQ437" s="37">
        <v>125</v>
      </c>
      <c r="DS437" s="36" t="s">
        <v>378</v>
      </c>
      <c r="DT437" s="37">
        <v>35</v>
      </c>
      <c r="DU437" s="37">
        <v>34</v>
      </c>
      <c r="DV437" s="37">
        <v>30</v>
      </c>
      <c r="DW437" s="37">
        <v>30</v>
      </c>
      <c r="DX437" s="37">
        <v>129</v>
      </c>
      <c r="DZ437" s="36" t="s">
        <v>378</v>
      </c>
      <c r="EA437" s="37">
        <v>31</v>
      </c>
      <c r="EB437" s="37">
        <v>33</v>
      </c>
      <c r="EG437" s="36" t="s">
        <v>378</v>
      </c>
      <c r="EN437" s="36" t="s">
        <v>378</v>
      </c>
      <c r="EU437" s="36" t="s">
        <v>378</v>
      </c>
      <c r="FB437" s="36" t="s">
        <v>378</v>
      </c>
      <c r="FI437" s="36" t="s">
        <v>378</v>
      </c>
      <c r="FP437" s="36" t="s">
        <v>378</v>
      </c>
      <c r="FW437" s="36" t="s">
        <v>378</v>
      </c>
      <c r="GD437" s="36" t="s">
        <v>378</v>
      </c>
      <c r="GK437" s="36" t="s">
        <v>378</v>
      </c>
      <c r="GR437" s="36" t="s">
        <v>378</v>
      </c>
      <c r="GY437" s="36" t="s">
        <v>378</v>
      </c>
      <c r="HF437" s="36" t="s">
        <v>378</v>
      </c>
      <c r="HM437" s="36" t="s">
        <v>378</v>
      </c>
      <c r="HT437" s="36" t="s">
        <v>378</v>
      </c>
      <c r="IA437" s="36" t="s">
        <v>378</v>
      </c>
      <c r="IH437" s="36" t="s">
        <v>378</v>
      </c>
      <c r="IO437" s="36" t="s">
        <v>378</v>
      </c>
      <c r="IV437" s="36" t="s">
        <v>378</v>
      </c>
      <c r="JC437" s="36" t="s">
        <v>378</v>
      </c>
      <c r="JJ437" s="36" t="s">
        <v>378</v>
      </c>
      <c r="JQ437" s="36" t="s">
        <v>378</v>
      </c>
      <c r="JX437" s="36" t="s">
        <v>378</v>
      </c>
      <c r="KE437" s="36" t="s">
        <v>378</v>
      </c>
      <c r="KL437" s="36" t="s">
        <v>378</v>
      </c>
      <c r="KS437" s="36" t="s">
        <v>378</v>
      </c>
      <c r="KZ437" s="36" t="s">
        <v>378</v>
      </c>
      <c r="LF437" s="565"/>
      <c r="LG437" s="36" t="s">
        <v>378</v>
      </c>
      <c r="LM437" s="565"/>
      <c r="LN437" s="36" t="s">
        <v>378</v>
      </c>
      <c r="LT437" s="565"/>
      <c r="LU437" s="36" t="s">
        <v>378</v>
      </c>
      <c r="MA437" s="565"/>
      <c r="MB437" s="36" t="s">
        <v>378</v>
      </c>
      <c r="MH437" s="565"/>
    </row>
    <row r="438" spans="1:346" s="37" customFormat="1" ht="13.15" hidden="1" outlineLevel="1" x14ac:dyDescent="0.4">
      <c r="A438" s="35"/>
      <c r="B438" s="36" t="s">
        <v>379</v>
      </c>
      <c r="F438" s="37">
        <v>54.2</v>
      </c>
      <c r="G438" s="37">
        <v>45.5</v>
      </c>
      <c r="H438" s="37">
        <v>31.5</v>
      </c>
      <c r="I438" s="37">
        <v>35.5</v>
      </c>
      <c r="J438" s="37">
        <v>33.4</v>
      </c>
      <c r="K438" s="37">
        <v>29.8</v>
      </c>
      <c r="L438" s="37">
        <v>29</v>
      </c>
      <c r="M438" s="37">
        <v>35</v>
      </c>
      <c r="N438" s="37">
        <f t="shared" si="7319"/>
        <v>44.8</v>
      </c>
      <c r="O438" s="37">
        <f t="shared" si="7320"/>
        <v>44</v>
      </c>
      <c r="P438" s="37">
        <f t="shared" si="7321"/>
        <v>32.6</v>
      </c>
      <c r="Q438" s="37">
        <f t="shared" si="7322"/>
        <v>25</v>
      </c>
      <c r="R438" s="37">
        <f t="shared" si="7323"/>
        <v>0</v>
      </c>
      <c r="S438" s="37">
        <f t="shared" si="7324"/>
        <v>0</v>
      </c>
      <c r="T438" s="37">
        <f t="shared" si="7325"/>
        <v>0</v>
      </c>
      <c r="U438" s="37">
        <f t="shared" si="7326"/>
        <v>0</v>
      </c>
      <c r="V438" s="37">
        <f t="shared" si="7327"/>
        <v>0</v>
      </c>
      <c r="W438" s="37">
        <f t="shared" si="7328"/>
        <v>0</v>
      </c>
      <c r="X438" s="37">
        <f t="shared" si="7329"/>
        <v>0</v>
      </c>
      <c r="Y438" s="37">
        <f t="shared" si="7330"/>
        <v>0</v>
      </c>
      <c r="Z438" s="37">
        <f t="shared" si="7331"/>
        <v>0</v>
      </c>
      <c r="AA438" s="37">
        <f t="shared" si="7332"/>
        <v>0</v>
      </c>
      <c r="AB438" s="37">
        <f t="shared" si="7333"/>
        <v>0</v>
      </c>
      <c r="AC438" s="37">
        <f t="shared" si="7334"/>
        <v>0</v>
      </c>
      <c r="AD438" s="37">
        <f t="shared" si="7335"/>
        <v>0</v>
      </c>
      <c r="AE438" s="37">
        <f t="shared" si="7336"/>
        <v>0</v>
      </c>
      <c r="AF438" s="37">
        <f t="shared" si="7337"/>
        <v>0</v>
      </c>
      <c r="AG438" s="37">
        <f t="shared" si="7338"/>
        <v>0</v>
      </c>
      <c r="AH438" s="37">
        <f t="shared" si="7339"/>
        <v>0</v>
      </c>
      <c r="AI438" s="37">
        <f t="shared" si="7340"/>
        <v>0</v>
      </c>
      <c r="AJ438" s="37">
        <f t="shared" si="7341"/>
        <v>0</v>
      </c>
      <c r="AK438" s="37">
        <f t="shared" si="7342"/>
        <v>0</v>
      </c>
      <c r="AL438" s="37">
        <f t="shared" si="7343"/>
        <v>0</v>
      </c>
      <c r="AM438" s="37">
        <f t="shared" si="7344"/>
        <v>0</v>
      </c>
      <c r="AN438" s="37">
        <f t="shared" si="7345"/>
        <v>0</v>
      </c>
      <c r="AO438" s="37">
        <f t="shared" si="7346"/>
        <v>0</v>
      </c>
      <c r="AP438" s="37">
        <f t="shared" si="7347"/>
        <v>0</v>
      </c>
      <c r="AQ438" s="37">
        <f t="shared" si="7348"/>
        <v>0</v>
      </c>
      <c r="AR438" s="37">
        <f t="shared" si="7349"/>
        <v>0</v>
      </c>
      <c r="AS438" s="37">
        <f t="shared" si="7350"/>
        <v>0</v>
      </c>
      <c r="AT438" s="37">
        <f t="shared" si="7351"/>
        <v>0</v>
      </c>
      <c r="AU438" s="37">
        <f t="shared" si="7352"/>
        <v>0</v>
      </c>
      <c r="AV438" s="37">
        <f t="shared" si="7353"/>
        <v>0</v>
      </c>
      <c r="AW438" s="37">
        <f t="shared" si="7354"/>
        <v>0</v>
      </c>
      <c r="AX438" s="37">
        <f t="shared" si="7355"/>
        <v>0</v>
      </c>
      <c r="AY438" s="37">
        <f t="shared" si="7356"/>
        <v>0</v>
      </c>
      <c r="AZ438" s="37">
        <f t="shared" si="7357"/>
        <v>0</v>
      </c>
      <c r="BA438" s="37">
        <f t="shared" si="7358"/>
        <v>0</v>
      </c>
      <c r="BO438" s="36" t="s">
        <v>379</v>
      </c>
      <c r="BP438" s="37">
        <v>10.7</v>
      </c>
      <c r="BQ438" s="37">
        <v>11</v>
      </c>
      <c r="BR438" s="37">
        <v>12.4</v>
      </c>
      <c r="BS438" s="37">
        <v>10.7</v>
      </c>
      <c r="BT438" s="37">
        <v>44.8</v>
      </c>
      <c r="BV438" s="36" t="s">
        <v>379</v>
      </c>
      <c r="BW438" s="37">
        <v>12.1</v>
      </c>
      <c r="BX438" s="37">
        <v>10.4</v>
      </c>
      <c r="BY438" s="37">
        <v>10.5</v>
      </c>
      <c r="BZ438" s="37">
        <v>11</v>
      </c>
      <c r="CA438" s="37">
        <v>44</v>
      </c>
      <c r="CC438" s="36" t="s">
        <v>379</v>
      </c>
      <c r="CD438" s="37">
        <v>7</v>
      </c>
      <c r="CE438" s="37">
        <v>7.4</v>
      </c>
      <c r="CF438" s="37">
        <v>8.1</v>
      </c>
      <c r="CG438" s="37">
        <v>10.1</v>
      </c>
      <c r="CH438" s="37">
        <v>32.6</v>
      </c>
      <c r="CJ438" s="36" t="s">
        <v>379</v>
      </c>
      <c r="CK438" s="37">
        <v>6.9</v>
      </c>
      <c r="CL438" s="37">
        <v>8.5</v>
      </c>
      <c r="CM438" s="37">
        <v>9.6</v>
      </c>
      <c r="CO438" s="37">
        <v>25</v>
      </c>
      <c r="CQ438" s="36" t="s">
        <v>379</v>
      </c>
      <c r="CV438" s="37">
        <v>0</v>
      </c>
      <c r="CX438" s="36" t="s">
        <v>379</v>
      </c>
      <c r="DC438" s="37">
        <v>0</v>
      </c>
      <c r="DE438" s="36" t="s">
        <v>379</v>
      </c>
      <c r="DJ438" s="37">
        <v>0</v>
      </c>
      <c r="DL438" s="36" t="s">
        <v>379</v>
      </c>
      <c r="DQ438" s="37">
        <v>0</v>
      </c>
      <c r="DS438" s="36" t="s">
        <v>379</v>
      </c>
      <c r="DX438" s="37">
        <v>0</v>
      </c>
      <c r="DZ438" s="36" t="s">
        <v>379</v>
      </c>
      <c r="EG438" s="36" t="s">
        <v>379</v>
      </c>
      <c r="EN438" s="36" t="s">
        <v>379</v>
      </c>
      <c r="EU438" s="36" t="s">
        <v>379</v>
      </c>
      <c r="FB438" s="36" t="s">
        <v>379</v>
      </c>
      <c r="FI438" s="36" t="s">
        <v>379</v>
      </c>
      <c r="FP438" s="36" t="s">
        <v>379</v>
      </c>
      <c r="FW438" s="36" t="s">
        <v>379</v>
      </c>
      <c r="GD438" s="36" t="s">
        <v>379</v>
      </c>
      <c r="GK438" s="36" t="s">
        <v>379</v>
      </c>
      <c r="GR438" s="36" t="s">
        <v>379</v>
      </c>
      <c r="GY438" s="36" t="s">
        <v>379</v>
      </c>
      <c r="HF438" s="36" t="s">
        <v>379</v>
      </c>
      <c r="HM438" s="36" t="s">
        <v>379</v>
      </c>
      <c r="HT438" s="36" t="s">
        <v>379</v>
      </c>
      <c r="IA438" s="36" t="s">
        <v>379</v>
      </c>
      <c r="IH438" s="36" t="s">
        <v>379</v>
      </c>
      <c r="IO438" s="36" t="s">
        <v>379</v>
      </c>
      <c r="IV438" s="36" t="s">
        <v>379</v>
      </c>
      <c r="JC438" s="36" t="s">
        <v>379</v>
      </c>
      <c r="JJ438" s="36" t="s">
        <v>379</v>
      </c>
      <c r="JQ438" s="36" t="s">
        <v>379</v>
      </c>
      <c r="JX438" s="36" t="s">
        <v>379</v>
      </c>
      <c r="KE438" s="36" t="s">
        <v>379</v>
      </c>
      <c r="KL438" s="36" t="s">
        <v>379</v>
      </c>
      <c r="KS438" s="36" t="s">
        <v>379</v>
      </c>
      <c r="KZ438" s="36" t="s">
        <v>379</v>
      </c>
      <c r="LF438" s="565"/>
      <c r="LG438" s="36" t="s">
        <v>379</v>
      </c>
      <c r="LM438" s="565"/>
      <c r="LN438" s="36" t="s">
        <v>379</v>
      </c>
      <c r="LT438" s="565"/>
      <c r="LU438" s="36" t="s">
        <v>379</v>
      </c>
      <c r="MA438" s="565"/>
      <c r="MB438" s="36" t="s">
        <v>379</v>
      </c>
      <c r="MH438" s="565"/>
    </row>
    <row r="439" spans="1:346" s="37" customFormat="1" ht="13.15" hidden="1" outlineLevel="1" x14ac:dyDescent="0.4">
      <c r="A439" s="35"/>
      <c r="B439" s="36" t="s">
        <v>380</v>
      </c>
      <c r="F439" s="37">
        <v>18.7</v>
      </c>
      <c r="G439" s="37">
        <v>8.3000000000000007</v>
      </c>
      <c r="H439" s="37">
        <v>7.1</v>
      </c>
      <c r="I439" s="37">
        <v>12.6</v>
      </c>
      <c r="J439" s="37">
        <v>12.6</v>
      </c>
      <c r="K439" s="37">
        <v>16.399999999999999</v>
      </c>
      <c r="L439" s="37">
        <v>17</v>
      </c>
      <c r="M439" s="37">
        <v>20</v>
      </c>
      <c r="N439" s="37">
        <f t="shared" si="7319"/>
        <v>26.700000000000003</v>
      </c>
      <c r="O439" s="37">
        <f t="shared" si="7320"/>
        <v>29.500000000000004</v>
      </c>
      <c r="P439" s="37">
        <f t="shared" si="7321"/>
        <v>34</v>
      </c>
      <c r="Q439" s="37">
        <f t="shared" si="7322"/>
        <v>25.7</v>
      </c>
      <c r="R439" s="37">
        <f t="shared" si="7323"/>
        <v>0</v>
      </c>
      <c r="S439" s="37">
        <f t="shared" si="7324"/>
        <v>0</v>
      </c>
      <c r="T439" s="37">
        <f t="shared" si="7325"/>
        <v>0</v>
      </c>
      <c r="U439" s="37">
        <f t="shared" si="7326"/>
        <v>0</v>
      </c>
      <c r="V439" s="37">
        <f t="shared" si="7327"/>
        <v>0</v>
      </c>
      <c r="W439" s="37">
        <f t="shared" si="7328"/>
        <v>0</v>
      </c>
      <c r="X439" s="37">
        <f t="shared" si="7329"/>
        <v>0</v>
      </c>
      <c r="Y439" s="37">
        <f t="shared" si="7330"/>
        <v>0</v>
      </c>
      <c r="Z439" s="37">
        <f t="shared" si="7331"/>
        <v>0</v>
      </c>
      <c r="AA439" s="37">
        <f t="shared" si="7332"/>
        <v>0</v>
      </c>
      <c r="AB439" s="37">
        <f t="shared" si="7333"/>
        <v>0</v>
      </c>
      <c r="AC439" s="37">
        <f t="shared" si="7334"/>
        <v>0</v>
      </c>
      <c r="AD439" s="37">
        <f t="shared" si="7335"/>
        <v>0</v>
      </c>
      <c r="AE439" s="37">
        <f t="shared" si="7336"/>
        <v>0</v>
      </c>
      <c r="AF439" s="37">
        <f t="shared" si="7337"/>
        <v>0</v>
      </c>
      <c r="AG439" s="37">
        <f t="shared" si="7338"/>
        <v>0</v>
      </c>
      <c r="AH439" s="37">
        <f t="shared" si="7339"/>
        <v>0</v>
      </c>
      <c r="AI439" s="37">
        <f t="shared" si="7340"/>
        <v>0</v>
      </c>
      <c r="AJ439" s="37">
        <f t="shared" si="7341"/>
        <v>0</v>
      </c>
      <c r="AK439" s="37">
        <f t="shared" si="7342"/>
        <v>0</v>
      </c>
      <c r="AL439" s="37">
        <f t="shared" si="7343"/>
        <v>0</v>
      </c>
      <c r="AM439" s="37">
        <f t="shared" si="7344"/>
        <v>0</v>
      </c>
      <c r="AN439" s="37">
        <f t="shared" si="7345"/>
        <v>0</v>
      </c>
      <c r="AO439" s="37">
        <f t="shared" si="7346"/>
        <v>0</v>
      </c>
      <c r="AP439" s="37">
        <f t="shared" si="7347"/>
        <v>0</v>
      </c>
      <c r="AQ439" s="37">
        <f t="shared" si="7348"/>
        <v>0</v>
      </c>
      <c r="AR439" s="37">
        <f t="shared" si="7349"/>
        <v>0</v>
      </c>
      <c r="AS439" s="37">
        <f t="shared" si="7350"/>
        <v>0</v>
      </c>
      <c r="AT439" s="37">
        <f t="shared" si="7351"/>
        <v>0</v>
      </c>
      <c r="AU439" s="37">
        <f t="shared" si="7352"/>
        <v>0</v>
      </c>
      <c r="AV439" s="37">
        <f t="shared" si="7353"/>
        <v>0</v>
      </c>
      <c r="AW439" s="37">
        <f t="shared" si="7354"/>
        <v>0</v>
      </c>
      <c r="AX439" s="37">
        <f t="shared" si="7355"/>
        <v>0</v>
      </c>
      <c r="AY439" s="37">
        <f t="shared" si="7356"/>
        <v>0</v>
      </c>
      <c r="AZ439" s="37">
        <f t="shared" si="7357"/>
        <v>0</v>
      </c>
      <c r="BA439" s="37">
        <f t="shared" si="7358"/>
        <v>0</v>
      </c>
      <c r="BO439" s="36" t="s">
        <v>380</v>
      </c>
      <c r="BP439" s="37">
        <v>6.5</v>
      </c>
      <c r="BQ439" s="37">
        <v>6.4</v>
      </c>
      <c r="BR439" s="37">
        <v>7.4</v>
      </c>
      <c r="BS439" s="37">
        <v>6.4</v>
      </c>
      <c r="BT439" s="37">
        <v>26.700000000000003</v>
      </c>
      <c r="BV439" s="36" t="s">
        <v>380</v>
      </c>
      <c r="BW439" s="37">
        <v>6.2</v>
      </c>
      <c r="BX439" s="37">
        <v>7.7</v>
      </c>
      <c r="BY439" s="37">
        <v>8.3000000000000007</v>
      </c>
      <c r="BZ439" s="37">
        <v>7.3</v>
      </c>
      <c r="CA439" s="37">
        <v>29.500000000000004</v>
      </c>
      <c r="CC439" s="36" t="s">
        <v>380</v>
      </c>
      <c r="CD439" s="37">
        <v>9.3000000000000007</v>
      </c>
      <c r="CE439" s="37">
        <v>9.6999999999999993</v>
      </c>
      <c r="CF439" s="37">
        <v>8.1</v>
      </c>
      <c r="CG439" s="37">
        <v>6.9</v>
      </c>
      <c r="CH439" s="37">
        <v>34</v>
      </c>
      <c r="CJ439" s="36" t="s">
        <v>380</v>
      </c>
      <c r="CK439" s="37">
        <v>7.2</v>
      </c>
      <c r="CL439" s="37">
        <v>9</v>
      </c>
      <c r="CM439" s="37">
        <v>9.5</v>
      </c>
      <c r="CO439" s="37">
        <v>25.7</v>
      </c>
      <c r="CQ439" s="36" t="s">
        <v>380</v>
      </c>
      <c r="CV439" s="37">
        <v>0</v>
      </c>
      <c r="CX439" s="36" t="s">
        <v>380</v>
      </c>
      <c r="DC439" s="37">
        <v>0</v>
      </c>
      <c r="DE439" s="36" t="s">
        <v>380</v>
      </c>
      <c r="DJ439" s="37">
        <v>0</v>
      </c>
      <c r="DL439" s="36" t="s">
        <v>380</v>
      </c>
      <c r="DQ439" s="37">
        <v>0</v>
      </c>
      <c r="DS439" s="36" t="s">
        <v>380</v>
      </c>
      <c r="DX439" s="37">
        <v>0</v>
      </c>
      <c r="DZ439" s="36" t="s">
        <v>380</v>
      </c>
      <c r="EG439" s="36" t="s">
        <v>380</v>
      </c>
      <c r="EN439" s="36" t="s">
        <v>380</v>
      </c>
      <c r="EU439" s="36" t="s">
        <v>380</v>
      </c>
      <c r="FB439" s="36" t="s">
        <v>380</v>
      </c>
      <c r="FI439" s="36" t="s">
        <v>380</v>
      </c>
      <c r="FP439" s="36" t="s">
        <v>380</v>
      </c>
      <c r="FW439" s="36" t="s">
        <v>380</v>
      </c>
      <c r="GD439" s="36" t="s">
        <v>380</v>
      </c>
      <c r="GK439" s="36" t="s">
        <v>380</v>
      </c>
      <c r="GR439" s="36" t="s">
        <v>380</v>
      </c>
      <c r="GY439" s="36" t="s">
        <v>380</v>
      </c>
      <c r="HF439" s="36" t="s">
        <v>380</v>
      </c>
      <c r="HM439" s="36" t="s">
        <v>380</v>
      </c>
      <c r="HT439" s="36" t="s">
        <v>380</v>
      </c>
      <c r="IA439" s="36" t="s">
        <v>380</v>
      </c>
      <c r="IH439" s="36" t="s">
        <v>380</v>
      </c>
      <c r="IO439" s="36" t="s">
        <v>380</v>
      </c>
      <c r="IV439" s="36" t="s">
        <v>380</v>
      </c>
      <c r="JC439" s="36" t="s">
        <v>380</v>
      </c>
      <c r="JJ439" s="36" t="s">
        <v>380</v>
      </c>
      <c r="JQ439" s="36" t="s">
        <v>380</v>
      </c>
      <c r="JX439" s="36" t="s">
        <v>380</v>
      </c>
      <c r="KE439" s="36" t="s">
        <v>380</v>
      </c>
      <c r="KL439" s="36" t="s">
        <v>380</v>
      </c>
      <c r="KS439" s="36" t="s">
        <v>380</v>
      </c>
      <c r="KZ439" s="36" t="s">
        <v>380</v>
      </c>
      <c r="LF439" s="565"/>
      <c r="LG439" s="36" t="s">
        <v>380</v>
      </c>
      <c r="LM439" s="565"/>
      <c r="LN439" s="36" t="s">
        <v>380</v>
      </c>
      <c r="LT439" s="565"/>
      <c r="LU439" s="36" t="s">
        <v>380</v>
      </c>
      <c r="MA439" s="565"/>
      <c r="MB439" s="36" t="s">
        <v>380</v>
      </c>
      <c r="MH439" s="565"/>
    </row>
    <row r="440" spans="1:346" s="37" customFormat="1" ht="13.15" hidden="1" outlineLevel="1" x14ac:dyDescent="0.4">
      <c r="A440" s="35"/>
      <c r="B440" s="36" t="s">
        <v>381</v>
      </c>
      <c r="F440" s="37">
        <v>243.8</v>
      </c>
      <c r="G440" s="37">
        <v>202.70000000000002</v>
      </c>
      <c r="H440" s="37">
        <v>181.54</v>
      </c>
      <c r="I440" s="37">
        <v>200.7</v>
      </c>
      <c r="J440" s="37">
        <v>198.5</v>
      </c>
      <c r="K440" s="37">
        <v>207.3</v>
      </c>
      <c r="L440" s="37">
        <v>207</v>
      </c>
      <c r="M440" s="37">
        <v>224</v>
      </c>
      <c r="N440" s="37">
        <f t="shared" si="7319"/>
        <v>262.79999999999995</v>
      </c>
      <c r="O440" s="37">
        <f t="shared" si="7320"/>
        <v>285.3</v>
      </c>
      <c r="P440" s="37">
        <f t="shared" si="7321"/>
        <v>266.2</v>
      </c>
      <c r="Q440" s="37">
        <f t="shared" si="7322"/>
        <v>310.3</v>
      </c>
      <c r="R440" s="37">
        <f t="shared" si="7323"/>
        <v>292.10000000000002</v>
      </c>
      <c r="S440" s="37">
        <f t="shared" si="7324"/>
        <v>329</v>
      </c>
      <c r="T440" s="37">
        <f t="shared" si="7325"/>
        <v>402</v>
      </c>
      <c r="U440" s="37">
        <f t="shared" si="7326"/>
        <v>464</v>
      </c>
      <c r="V440" s="37">
        <f t="shared" si="7327"/>
        <v>444</v>
      </c>
      <c r="W440" s="37">
        <f t="shared" si="7328"/>
        <v>0</v>
      </c>
      <c r="X440" s="37">
        <f t="shared" si="7329"/>
        <v>0</v>
      </c>
      <c r="Y440" s="37">
        <f t="shared" si="7330"/>
        <v>0</v>
      </c>
      <c r="Z440" s="37">
        <f t="shared" si="7331"/>
        <v>0</v>
      </c>
      <c r="AA440" s="37">
        <f t="shared" si="7332"/>
        <v>0</v>
      </c>
      <c r="AB440" s="37">
        <f t="shared" si="7333"/>
        <v>0</v>
      </c>
      <c r="AC440" s="37">
        <f t="shared" si="7334"/>
        <v>0</v>
      </c>
      <c r="AD440" s="37">
        <f t="shared" si="7335"/>
        <v>0</v>
      </c>
      <c r="AE440" s="37">
        <f t="shared" si="7336"/>
        <v>0</v>
      </c>
      <c r="AF440" s="37">
        <f t="shared" si="7337"/>
        <v>0</v>
      </c>
      <c r="AG440" s="37">
        <f t="shared" si="7338"/>
        <v>0</v>
      </c>
      <c r="AH440" s="37">
        <f t="shared" si="7339"/>
        <v>0</v>
      </c>
      <c r="AI440" s="37">
        <f t="shared" si="7340"/>
        <v>0</v>
      </c>
      <c r="AJ440" s="37">
        <f t="shared" si="7341"/>
        <v>0</v>
      </c>
      <c r="AK440" s="37">
        <f t="shared" si="7342"/>
        <v>0</v>
      </c>
      <c r="AL440" s="37">
        <f t="shared" si="7343"/>
        <v>0</v>
      </c>
      <c r="AM440" s="37">
        <f t="shared" si="7344"/>
        <v>0</v>
      </c>
      <c r="AN440" s="37">
        <f t="shared" si="7345"/>
        <v>0</v>
      </c>
      <c r="AO440" s="37">
        <f t="shared" si="7346"/>
        <v>0</v>
      </c>
      <c r="AP440" s="37">
        <f t="shared" si="7347"/>
        <v>0</v>
      </c>
      <c r="AQ440" s="37">
        <f t="shared" si="7348"/>
        <v>0</v>
      </c>
      <c r="AR440" s="37">
        <f t="shared" si="7349"/>
        <v>0</v>
      </c>
      <c r="AS440" s="37">
        <f t="shared" si="7350"/>
        <v>0</v>
      </c>
      <c r="AT440" s="37">
        <f t="shared" si="7351"/>
        <v>0</v>
      </c>
      <c r="AU440" s="37">
        <f t="shared" si="7352"/>
        <v>0</v>
      </c>
      <c r="AV440" s="37">
        <f t="shared" si="7353"/>
        <v>0</v>
      </c>
      <c r="AW440" s="37">
        <f t="shared" si="7354"/>
        <v>0</v>
      </c>
      <c r="AX440" s="37">
        <f t="shared" si="7355"/>
        <v>0</v>
      </c>
      <c r="AY440" s="37">
        <f t="shared" si="7356"/>
        <v>0</v>
      </c>
      <c r="AZ440" s="37">
        <f t="shared" si="7357"/>
        <v>0</v>
      </c>
      <c r="BA440" s="37">
        <f t="shared" si="7358"/>
        <v>0</v>
      </c>
      <c r="BO440" s="36" t="s">
        <v>381</v>
      </c>
      <c r="BP440" s="37">
        <v>62.5</v>
      </c>
      <c r="BQ440" s="37">
        <v>68.7</v>
      </c>
      <c r="BR440" s="37">
        <v>65.599999999999994</v>
      </c>
      <c r="BS440" s="37">
        <v>66</v>
      </c>
      <c r="BT440" s="37">
        <v>262.79999999999995</v>
      </c>
      <c r="BV440" s="36" t="s">
        <v>381</v>
      </c>
      <c r="BW440" s="37">
        <v>64.5</v>
      </c>
      <c r="BX440" s="37">
        <v>75.600000000000009</v>
      </c>
      <c r="BY440" s="37">
        <v>72.8</v>
      </c>
      <c r="BZ440" s="37">
        <v>72.399999999999991</v>
      </c>
      <c r="CA440" s="37">
        <v>285.3</v>
      </c>
      <c r="CC440" s="36" t="s">
        <v>381</v>
      </c>
      <c r="CD440" s="37">
        <v>63.5</v>
      </c>
      <c r="CE440" s="37">
        <v>66.599999999999994</v>
      </c>
      <c r="CF440" s="37">
        <v>67</v>
      </c>
      <c r="CG440" s="37">
        <v>69.100000000000009</v>
      </c>
      <c r="CH440" s="37">
        <v>266.2</v>
      </c>
      <c r="CJ440" s="36" t="s">
        <v>381</v>
      </c>
      <c r="CK440" s="37">
        <v>61.500000000000007</v>
      </c>
      <c r="CL440" s="37">
        <v>75.5</v>
      </c>
      <c r="CM440" s="37">
        <v>83.1</v>
      </c>
      <c r="CN440" s="37">
        <v>90.2</v>
      </c>
      <c r="CO440" s="37">
        <v>310.3</v>
      </c>
      <c r="CQ440" s="36" t="s">
        <v>381</v>
      </c>
      <c r="CR440" s="37">
        <v>71</v>
      </c>
      <c r="CS440" s="37">
        <v>75.400000000000006</v>
      </c>
      <c r="CT440" s="37">
        <v>58.7</v>
      </c>
      <c r="CU440" s="37">
        <v>87</v>
      </c>
      <c r="CV440" s="37">
        <v>292.10000000000002</v>
      </c>
      <c r="CX440" s="36" t="s">
        <v>381</v>
      </c>
      <c r="CY440" s="37">
        <v>64</v>
      </c>
      <c r="CZ440" s="37">
        <v>76</v>
      </c>
      <c r="DA440" s="37">
        <v>85</v>
      </c>
      <c r="DB440" s="37">
        <v>104</v>
      </c>
      <c r="DC440" s="37">
        <v>329</v>
      </c>
      <c r="DE440" s="36" t="s">
        <v>381</v>
      </c>
      <c r="DF440" s="37">
        <v>89</v>
      </c>
      <c r="DG440" s="37">
        <v>90</v>
      </c>
      <c r="DH440" s="37">
        <v>109</v>
      </c>
      <c r="DI440" s="37">
        <v>114</v>
      </c>
      <c r="DJ440" s="37">
        <v>402</v>
      </c>
      <c r="DL440" s="36" t="s">
        <v>381</v>
      </c>
      <c r="DM440" s="37">
        <v>100</v>
      </c>
      <c r="DN440" s="37">
        <v>121</v>
      </c>
      <c r="DO440" s="37">
        <v>115</v>
      </c>
      <c r="DP440" s="37">
        <v>128</v>
      </c>
      <c r="DQ440" s="37">
        <v>464</v>
      </c>
      <c r="DS440" s="36" t="s">
        <v>381</v>
      </c>
      <c r="DT440" s="37">
        <v>100</v>
      </c>
      <c r="DU440" s="37">
        <v>112</v>
      </c>
      <c r="DV440" s="37">
        <v>111</v>
      </c>
      <c r="DW440" s="37">
        <v>121</v>
      </c>
      <c r="DX440" s="37">
        <v>444</v>
      </c>
      <c r="DZ440" s="36" t="s">
        <v>381</v>
      </c>
      <c r="EA440" s="37">
        <v>92</v>
      </c>
      <c r="EB440" s="37">
        <v>105</v>
      </c>
      <c r="EG440" s="36" t="s">
        <v>381</v>
      </c>
      <c r="EN440" s="36" t="s">
        <v>381</v>
      </c>
      <c r="EU440" s="36" t="s">
        <v>381</v>
      </c>
      <c r="FB440" s="36" t="s">
        <v>381</v>
      </c>
      <c r="FI440" s="36" t="s">
        <v>381</v>
      </c>
      <c r="FP440" s="36" t="s">
        <v>381</v>
      </c>
      <c r="FW440" s="36" t="s">
        <v>381</v>
      </c>
      <c r="GD440" s="36" t="s">
        <v>381</v>
      </c>
      <c r="GK440" s="36" t="s">
        <v>381</v>
      </c>
      <c r="GR440" s="36" t="s">
        <v>381</v>
      </c>
      <c r="GY440" s="36" t="s">
        <v>381</v>
      </c>
      <c r="HF440" s="36" t="s">
        <v>381</v>
      </c>
      <c r="HM440" s="36" t="s">
        <v>381</v>
      </c>
      <c r="HT440" s="36" t="s">
        <v>381</v>
      </c>
      <c r="IA440" s="36" t="s">
        <v>381</v>
      </c>
      <c r="IH440" s="36" t="s">
        <v>381</v>
      </c>
      <c r="IO440" s="36" t="s">
        <v>381</v>
      </c>
      <c r="IV440" s="36" t="s">
        <v>381</v>
      </c>
      <c r="JC440" s="36" t="s">
        <v>381</v>
      </c>
      <c r="JJ440" s="36" t="s">
        <v>381</v>
      </c>
      <c r="JQ440" s="36" t="s">
        <v>381</v>
      </c>
      <c r="JX440" s="36" t="s">
        <v>381</v>
      </c>
      <c r="KE440" s="36" t="s">
        <v>381</v>
      </c>
      <c r="KL440" s="36" t="s">
        <v>381</v>
      </c>
      <c r="KS440" s="36" t="s">
        <v>381</v>
      </c>
      <c r="KZ440" s="36" t="s">
        <v>381</v>
      </c>
      <c r="LF440" s="565"/>
      <c r="LG440" s="36" t="s">
        <v>381</v>
      </c>
      <c r="LM440" s="565"/>
      <c r="LN440" s="36" t="s">
        <v>381</v>
      </c>
      <c r="LT440" s="565"/>
      <c r="LU440" s="36" t="s">
        <v>381</v>
      </c>
      <c r="MA440" s="565"/>
      <c r="MB440" s="36" t="s">
        <v>381</v>
      </c>
      <c r="MH440" s="565"/>
    </row>
    <row r="441" spans="1:346" s="37" customFormat="1" ht="13.15" hidden="1" outlineLevel="1" x14ac:dyDescent="0.4">
      <c r="A441" s="35"/>
      <c r="B441" s="36" t="s">
        <v>382</v>
      </c>
      <c r="I441" s="37">
        <v>69.300000000000011</v>
      </c>
      <c r="J441" s="37">
        <v>44.5</v>
      </c>
      <c r="K441" s="37">
        <v>18.699999999999989</v>
      </c>
      <c r="L441" s="37">
        <v>20</v>
      </c>
      <c r="M441" s="37">
        <v>39</v>
      </c>
      <c r="N441" s="37">
        <f t="shared" si="7319"/>
        <v>39.200000000000003</v>
      </c>
      <c r="O441" s="37">
        <f t="shared" si="7320"/>
        <v>83.7</v>
      </c>
      <c r="P441" s="37">
        <f t="shared" si="7321"/>
        <v>70.599999999999994</v>
      </c>
      <c r="Q441" s="37">
        <f t="shared" si="7322"/>
        <v>115.30000000000001</v>
      </c>
      <c r="R441" s="37">
        <f t="shared" si="7323"/>
        <v>124.80000000000001</v>
      </c>
      <c r="S441" s="37">
        <f t="shared" si="7324"/>
        <v>120</v>
      </c>
      <c r="T441" s="37">
        <f t="shared" si="7325"/>
        <v>152</v>
      </c>
      <c r="U441" s="37">
        <f t="shared" si="7326"/>
        <v>158</v>
      </c>
      <c r="V441" s="37">
        <f t="shared" si="7327"/>
        <v>174</v>
      </c>
      <c r="W441" s="37">
        <f t="shared" si="7328"/>
        <v>0</v>
      </c>
      <c r="X441" s="37">
        <f t="shared" si="7329"/>
        <v>0</v>
      </c>
      <c r="Y441" s="37">
        <f t="shared" si="7330"/>
        <v>0</v>
      </c>
      <c r="Z441" s="37">
        <f t="shared" si="7331"/>
        <v>0</v>
      </c>
      <c r="AA441" s="37">
        <f t="shared" si="7332"/>
        <v>0</v>
      </c>
      <c r="AB441" s="37">
        <f t="shared" si="7333"/>
        <v>0</v>
      </c>
      <c r="AC441" s="37">
        <f t="shared" si="7334"/>
        <v>0</v>
      </c>
      <c r="AD441" s="37">
        <f t="shared" si="7335"/>
        <v>0</v>
      </c>
      <c r="AE441" s="37">
        <f t="shared" si="7336"/>
        <v>0</v>
      </c>
      <c r="AF441" s="37">
        <f t="shared" si="7337"/>
        <v>0</v>
      </c>
      <c r="AG441" s="37">
        <f t="shared" si="7338"/>
        <v>0</v>
      </c>
      <c r="AH441" s="37">
        <f t="shared" si="7339"/>
        <v>0</v>
      </c>
      <c r="AI441" s="37">
        <f t="shared" si="7340"/>
        <v>0</v>
      </c>
      <c r="AJ441" s="37">
        <f t="shared" si="7341"/>
        <v>0</v>
      </c>
      <c r="AK441" s="37">
        <f t="shared" si="7342"/>
        <v>0</v>
      </c>
      <c r="AL441" s="37">
        <f t="shared" si="7343"/>
        <v>0</v>
      </c>
      <c r="AM441" s="37">
        <f t="shared" si="7344"/>
        <v>0</v>
      </c>
      <c r="AN441" s="37">
        <f t="shared" si="7345"/>
        <v>0</v>
      </c>
      <c r="AO441" s="37">
        <f t="shared" si="7346"/>
        <v>0</v>
      </c>
      <c r="AP441" s="37">
        <f t="shared" si="7347"/>
        <v>0</v>
      </c>
      <c r="AQ441" s="37">
        <f t="shared" si="7348"/>
        <v>0</v>
      </c>
      <c r="AR441" s="37">
        <f t="shared" si="7349"/>
        <v>0</v>
      </c>
      <c r="AS441" s="37">
        <f t="shared" si="7350"/>
        <v>0</v>
      </c>
      <c r="AT441" s="37">
        <f t="shared" si="7351"/>
        <v>0</v>
      </c>
      <c r="AU441" s="37">
        <f t="shared" si="7352"/>
        <v>0</v>
      </c>
      <c r="AV441" s="37">
        <f t="shared" si="7353"/>
        <v>0</v>
      </c>
      <c r="AW441" s="37">
        <f t="shared" si="7354"/>
        <v>0</v>
      </c>
      <c r="AX441" s="37">
        <f t="shared" si="7355"/>
        <v>0</v>
      </c>
      <c r="AY441" s="37">
        <f t="shared" si="7356"/>
        <v>0</v>
      </c>
      <c r="AZ441" s="37">
        <f t="shared" si="7357"/>
        <v>0</v>
      </c>
      <c r="BA441" s="37">
        <f t="shared" si="7358"/>
        <v>0</v>
      </c>
      <c r="BO441" s="36" t="s">
        <v>382</v>
      </c>
      <c r="BP441" s="37">
        <v>7.3</v>
      </c>
      <c r="BQ441" s="37">
        <v>8.3000000000000007</v>
      </c>
      <c r="BR441" s="37">
        <v>10.3</v>
      </c>
      <c r="BS441" s="37">
        <v>13.3</v>
      </c>
      <c r="BT441" s="37">
        <v>39.200000000000003</v>
      </c>
      <c r="BV441" s="36" t="s">
        <v>382</v>
      </c>
      <c r="BW441" s="37">
        <v>19.2</v>
      </c>
      <c r="BX441" s="37">
        <v>22.3</v>
      </c>
      <c r="BY441" s="37">
        <v>23.2</v>
      </c>
      <c r="BZ441" s="37">
        <v>19</v>
      </c>
      <c r="CA441" s="37">
        <v>83.7</v>
      </c>
      <c r="CC441" s="36" t="s">
        <v>382</v>
      </c>
      <c r="CD441" s="37">
        <v>20.7</v>
      </c>
      <c r="CE441" s="37">
        <v>15.5</v>
      </c>
      <c r="CF441" s="37">
        <v>16.399999999999999</v>
      </c>
      <c r="CG441" s="37">
        <v>18</v>
      </c>
      <c r="CH441" s="37">
        <v>70.599999999999994</v>
      </c>
      <c r="CJ441" s="36" t="s">
        <v>382</v>
      </c>
      <c r="CK441" s="37">
        <v>25.9</v>
      </c>
      <c r="CL441" s="37">
        <v>25.3</v>
      </c>
      <c r="CM441" s="37">
        <v>30.1</v>
      </c>
      <c r="CN441" s="37">
        <v>34</v>
      </c>
      <c r="CO441" s="37">
        <v>115.30000000000001</v>
      </c>
      <c r="CQ441" s="36" t="s">
        <v>382</v>
      </c>
      <c r="CR441" s="37">
        <v>29.3</v>
      </c>
      <c r="CS441" s="37">
        <v>31.1</v>
      </c>
      <c r="CT441" s="37">
        <v>29.4</v>
      </c>
      <c r="CU441" s="37">
        <v>35</v>
      </c>
      <c r="CV441" s="37">
        <v>124.80000000000001</v>
      </c>
      <c r="CX441" s="36" t="s">
        <v>382</v>
      </c>
      <c r="CY441" s="37">
        <v>28</v>
      </c>
      <c r="CZ441" s="37">
        <v>33</v>
      </c>
      <c r="DA441" s="37">
        <v>29</v>
      </c>
      <c r="DB441" s="37">
        <v>30</v>
      </c>
      <c r="DC441" s="37">
        <v>120</v>
      </c>
      <c r="DE441" s="36" t="s">
        <v>382</v>
      </c>
      <c r="DF441" s="37">
        <v>39</v>
      </c>
      <c r="DG441" s="37">
        <v>31</v>
      </c>
      <c r="DH441" s="37">
        <v>43</v>
      </c>
      <c r="DI441" s="37">
        <v>39</v>
      </c>
      <c r="DJ441" s="37">
        <v>152</v>
      </c>
      <c r="DL441" s="36" t="s">
        <v>382</v>
      </c>
      <c r="DM441" s="37">
        <v>31</v>
      </c>
      <c r="DN441" s="37">
        <v>37</v>
      </c>
      <c r="DO441" s="37">
        <v>49</v>
      </c>
      <c r="DP441" s="37">
        <v>41</v>
      </c>
      <c r="DQ441" s="37">
        <v>158</v>
      </c>
      <c r="DS441" s="36" t="s">
        <v>382</v>
      </c>
      <c r="DT441" s="37">
        <v>24</v>
      </c>
      <c r="DU441" s="37">
        <v>40</v>
      </c>
      <c r="DV441" s="37">
        <v>55</v>
      </c>
      <c r="DW441" s="37">
        <v>55</v>
      </c>
      <c r="DX441" s="37">
        <v>174</v>
      </c>
      <c r="DZ441" s="36" t="s">
        <v>382</v>
      </c>
      <c r="EA441" s="37">
        <v>25</v>
      </c>
      <c r="EB441" s="37">
        <v>45</v>
      </c>
      <c r="EG441" s="36" t="s">
        <v>382</v>
      </c>
      <c r="EN441" s="36" t="s">
        <v>382</v>
      </c>
      <c r="EU441" s="36" t="s">
        <v>382</v>
      </c>
      <c r="FB441" s="36" t="s">
        <v>382</v>
      </c>
      <c r="FI441" s="36" t="s">
        <v>382</v>
      </c>
      <c r="FP441" s="36" t="s">
        <v>382</v>
      </c>
      <c r="FW441" s="36" t="s">
        <v>382</v>
      </c>
      <c r="GD441" s="36" t="s">
        <v>382</v>
      </c>
      <c r="GK441" s="36" t="s">
        <v>382</v>
      </c>
      <c r="GR441" s="36" t="s">
        <v>382</v>
      </c>
      <c r="GY441" s="36" t="s">
        <v>382</v>
      </c>
      <c r="HF441" s="36" t="s">
        <v>382</v>
      </c>
      <c r="HM441" s="36" t="s">
        <v>382</v>
      </c>
      <c r="HT441" s="36" t="s">
        <v>382</v>
      </c>
      <c r="IA441" s="36" t="s">
        <v>382</v>
      </c>
      <c r="IH441" s="36" t="s">
        <v>382</v>
      </c>
      <c r="IO441" s="36" t="s">
        <v>382</v>
      </c>
      <c r="IV441" s="36" t="s">
        <v>382</v>
      </c>
      <c r="JC441" s="36" t="s">
        <v>382</v>
      </c>
      <c r="JJ441" s="36" t="s">
        <v>382</v>
      </c>
      <c r="JQ441" s="36" t="s">
        <v>382</v>
      </c>
      <c r="JX441" s="36" t="s">
        <v>382</v>
      </c>
      <c r="KE441" s="36" t="s">
        <v>382</v>
      </c>
      <c r="KL441" s="36" t="s">
        <v>382</v>
      </c>
      <c r="KS441" s="36" t="s">
        <v>382</v>
      </c>
      <c r="KZ441" s="36" t="s">
        <v>382</v>
      </c>
      <c r="LF441" s="565"/>
      <c r="LG441" s="36" t="s">
        <v>382</v>
      </c>
      <c r="LM441" s="565"/>
      <c r="LN441" s="36" t="s">
        <v>382</v>
      </c>
      <c r="LT441" s="565"/>
      <c r="LU441" s="36" t="s">
        <v>382</v>
      </c>
      <c r="MA441" s="565"/>
      <c r="MB441" s="36" t="s">
        <v>382</v>
      </c>
      <c r="MH441" s="565"/>
    </row>
    <row r="442" spans="1:346" s="37" customFormat="1" ht="13.15" hidden="1" outlineLevel="1" x14ac:dyDescent="0.4">
      <c r="A442" s="35"/>
      <c r="B442" s="36" t="s">
        <v>383</v>
      </c>
      <c r="I442" s="37">
        <v>270</v>
      </c>
      <c r="J442" s="37">
        <v>243</v>
      </c>
      <c r="K442" s="37">
        <v>226</v>
      </c>
      <c r="L442" s="37">
        <v>227</v>
      </c>
      <c r="M442" s="37">
        <v>263</v>
      </c>
      <c r="N442" s="37">
        <f t="shared" si="7319"/>
        <v>302</v>
      </c>
      <c r="O442" s="37">
        <f t="shared" si="7320"/>
        <v>369</v>
      </c>
      <c r="P442" s="37">
        <f t="shared" si="7321"/>
        <v>352.30000000000007</v>
      </c>
      <c r="Q442" s="37">
        <f t="shared" si="7322"/>
        <v>443.5</v>
      </c>
      <c r="R442" s="37">
        <f t="shared" si="7323"/>
        <v>416.9</v>
      </c>
      <c r="S442" s="37">
        <f t="shared" si="7324"/>
        <v>449</v>
      </c>
      <c r="T442" s="37">
        <f t="shared" si="7325"/>
        <v>554</v>
      </c>
      <c r="U442" s="37">
        <f t="shared" si="7326"/>
        <v>622</v>
      </c>
      <c r="V442" s="37">
        <f t="shared" si="7327"/>
        <v>618</v>
      </c>
      <c r="W442" s="37">
        <f t="shared" si="7328"/>
        <v>0</v>
      </c>
      <c r="X442" s="37">
        <f t="shared" si="7329"/>
        <v>0</v>
      </c>
      <c r="Y442" s="37">
        <f t="shared" si="7330"/>
        <v>0</v>
      </c>
      <c r="Z442" s="37">
        <f t="shared" si="7331"/>
        <v>0</v>
      </c>
      <c r="AA442" s="37">
        <f t="shared" si="7332"/>
        <v>0</v>
      </c>
      <c r="AB442" s="37">
        <f t="shared" si="7333"/>
        <v>0</v>
      </c>
      <c r="AC442" s="37">
        <f t="shared" si="7334"/>
        <v>0</v>
      </c>
      <c r="AD442" s="37">
        <f t="shared" si="7335"/>
        <v>0</v>
      </c>
      <c r="AE442" s="37">
        <f t="shared" si="7336"/>
        <v>0</v>
      </c>
      <c r="AF442" s="37">
        <f t="shared" si="7337"/>
        <v>0</v>
      </c>
      <c r="AG442" s="37">
        <f t="shared" si="7338"/>
        <v>0</v>
      </c>
      <c r="AH442" s="37">
        <f t="shared" si="7339"/>
        <v>0</v>
      </c>
      <c r="AI442" s="37">
        <f t="shared" si="7340"/>
        <v>0</v>
      </c>
      <c r="AJ442" s="37">
        <f t="shared" si="7341"/>
        <v>0</v>
      </c>
      <c r="AK442" s="37">
        <f t="shared" si="7342"/>
        <v>0</v>
      </c>
      <c r="AL442" s="37">
        <f t="shared" si="7343"/>
        <v>0</v>
      </c>
      <c r="AM442" s="37">
        <f t="shared" si="7344"/>
        <v>0</v>
      </c>
      <c r="AN442" s="37">
        <f t="shared" si="7345"/>
        <v>0</v>
      </c>
      <c r="AO442" s="37">
        <f t="shared" si="7346"/>
        <v>0</v>
      </c>
      <c r="AP442" s="37">
        <f t="shared" si="7347"/>
        <v>0</v>
      </c>
      <c r="AQ442" s="37">
        <f t="shared" si="7348"/>
        <v>0</v>
      </c>
      <c r="AR442" s="37">
        <f t="shared" si="7349"/>
        <v>0</v>
      </c>
      <c r="AS442" s="37">
        <f t="shared" si="7350"/>
        <v>0</v>
      </c>
      <c r="AT442" s="37">
        <f t="shared" si="7351"/>
        <v>0</v>
      </c>
      <c r="AU442" s="37">
        <f t="shared" si="7352"/>
        <v>0</v>
      </c>
      <c r="AV442" s="37">
        <f t="shared" si="7353"/>
        <v>0</v>
      </c>
      <c r="AW442" s="37">
        <f t="shared" si="7354"/>
        <v>0</v>
      </c>
      <c r="AX442" s="37">
        <f t="shared" si="7355"/>
        <v>0</v>
      </c>
      <c r="AY442" s="37">
        <f t="shared" si="7356"/>
        <v>0</v>
      </c>
      <c r="AZ442" s="37">
        <f t="shared" si="7357"/>
        <v>0</v>
      </c>
      <c r="BA442" s="37">
        <f t="shared" si="7358"/>
        <v>0</v>
      </c>
      <c r="BO442" s="36" t="s">
        <v>383</v>
      </c>
      <c r="BP442" s="37">
        <v>69.8</v>
      </c>
      <c r="BQ442" s="37">
        <v>77</v>
      </c>
      <c r="BR442" s="37">
        <v>75.899999999999991</v>
      </c>
      <c r="BS442" s="37">
        <v>79.3</v>
      </c>
      <c r="BT442" s="37">
        <v>302</v>
      </c>
      <c r="BV442" s="36" t="s">
        <v>383</v>
      </c>
      <c r="BW442" s="37">
        <v>83.7</v>
      </c>
      <c r="BX442" s="37">
        <v>97.9</v>
      </c>
      <c r="BY442" s="37">
        <v>96</v>
      </c>
      <c r="BZ442" s="37">
        <v>91.399999999999991</v>
      </c>
      <c r="CA442" s="37">
        <v>369</v>
      </c>
      <c r="CC442" s="36" t="s">
        <v>383</v>
      </c>
      <c r="CD442" s="37">
        <v>89.3</v>
      </c>
      <c r="CE442" s="37">
        <v>87</v>
      </c>
      <c r="CF442" s="37">
        <v>88.9</v>
      </c>
      <c r="CG442" s="37">
        <v>87.100000000000009</v>
      </c>
      <c r="CH442" s="37">
        <v>352.30000000000007</v>
      </c>
      <c r="CJ442" s="36" t="s">
        <v>383</v>
      </c>
      <c r="CK442" s="37">
        <v>92.4</v>
      </c>
      <c r="CL442" s="37">
        <v>107.5</v>
      </c>
      <c r="CM442" s="37">
        <v>119.39999999999999</v>
      </c>
      <c r="CN442" s="37">
        <v>124.2</v>
      </c>
      <c r="CO442" s="37">
        <v>443.5</v>
      </c>
      <c r="CQ442" s="36" t="s">
        <v>383</v>
      </c>
      <c r="CR442" s="37">
        <v>100.3</v>
      </c>
      <c r="CS442" s="37">
        <v>106.5</v>
      </c>
      <c r="CT442" s="37">
        <v>88.1</v>
      </c>
      <c r="CU442" s="37">
        <v>122</v>
      </c>
      <c r="CV442" s="37">
        <v>416.9</v>
      </c>
      <c r="CX442" s="36" t="s">
        <v>383</v>
      </c>
      <c r="CY442" s="37">
        <v>92</v>
      </c>
      <c r="CZ442" s="37">
        <v>109</v>
      </c>
      <c r="DA442" s="37">
        <v>114</v>
      </c>
      <c r="DB442" s="37">
        <v>134</v>
      </c>
      <c r="DC442" s="37">
        <v>449</v>
      </c>
      <c r="DE442" s="36" t="s">
        <v>383</v>
      </c>
      <c r="DF442" s="37">
        <v>128</v>
      </c>
      <c r="DG442" s="37">
        <v>121</v>
      </c>
      <c r="DH442" s="37">
        <v>152</v>
      </c>
      <c r="DI442" s="37">
        <v>153</v>
      </c>
      <c r="DJ442" s="37">
        <v>554</v>
      </c>
      <c r="DL442" s="36" t="s">
        <v>383</v>
      </c>
      <c r="DM442" s="37">
        <v>131</v>
      </c>
      <c r="DN442" s="37">
        <v>158</v>
      </c>
      <c r="DO442" s="37">
        <v>164</v>
      </c>
      <c r="DP442" s="37">
        <v>169</v>
      </c>
      <c r="DQ442" s="37">
        <v>622</v>
      </c>
      <c r="DS442" s="36" t="s">
        <v>383</v>
      </c>
      <c r="DT442" s="37">
        <v>124</v>
      </c>
      <c r="DU442" s="37">
        <v>152</v>
      </c>
      <c r="DV442" s="37">
        <v>166</v>
      </c>
      <c r="DW442" s="37">
        <v>176</v>
      </c>
      <c r="DX442" s="37">
        <v>618</v>
      </c>
      <c r="DZ442" s="36" t="s">
        <v>383</v>
      </c>
      <c r="EA442" s="37">
        <v>117</v>
      </c>
      <c r="EB442" s="37">
        <v>150</v>
      </c>
      <c r="EG442" s="36" t="s">
        <v>383</v>
      </c>
      <c r="EN442" s="36" t="s">
        <v>383</v>
      </c>
      <c r="EU442" s="36" t="s">
        <v>383</v>
      </c>
      <c r="FB442" s="36" t="s">
        <v>383</v>
      </c>
      <c r="FI442" s="36" t="s">
        <v>383</v>
      </c>
      <c r="FP442" s="36" t="s">
        <v>383</v>
      </c>
      <c r="FW442" s="36" t="s">
        <v>383</v>
      </c>
      <c r="GD442" s="36" t="s">
        <v>383</v>
      </c>
      <c r="GK442" s="36" t="s">
        <v>383</v>
      </c>
      <c r="GR442" s="36" t="s">
        <v>383</v>
      </c>
      <c r="GY442" s="36" t="s">
        <v>383</v>
      </c>
      <c r="HF442" s="36" t="s">
        <v>383</v>
      </c>
      <c r="HM442" s="36" t="s">
        <v>383</v>
      </c>
      <c r="HT442" s="36" t="s">
        <v>383</v>
      </c>
      <c r="IA442" s="36" t="s">
        <v>383</v>
      </c>
      <c r="IH442" s="36" t="s">
        <v>383</v>
      </c>
      <c r="IO442" s="36" t="s">
        <v>383</v>
      </c>
      <c r="IV442" s="36" t="s">
        <v>383</v>
      </c>
      <c r="JC442" s="36" t="s">
        <v>383</v>
      </c>
      <c r="JJ442" s="36" t="s">
        <v>383</v>
      </c>
      <c r="JQ442" s="36" t="s">
        <v>383</v>
      </c>
      <c r="JX442" s="36" t="s">
        <v>383</v>
      </c>
      <c r="KE442" s="36" t="s">
        <v>383</v>
      </c>
      <c r="KL442" s="36" t="s">
        <v>383</v>
      </c>
      <c r="KS442" s="36" t="s">
        <v>383</v>
      </c>
      <c r="KZ442" s="36" t="s">
        <v>383</v>
      </c>
      <c r="LF442" s="565"/>
      <c r="LG442" s="36" t="s">
        <v>383</v>
      </c>
      <c r="LM442" s="565"/>
      <c r="LN442" s="36" t="s">
        <v>383</v>
      </c>
      <c r="LT442" s="565"/>
      <c r="LU442" s="36" t="s">
        <v>383</v>
      </c>
      <c r="MA442" s="565"/>
      <c r="MB442" s="36" t="s">
        <v>383</v>
      </c>
      <c r="MH442" s="565"/>
    </row>
    <row r="443" spans="1:346" s="37" customFormat="1" ht="13.15" hidden="1" outlineLevel="1" x14ac:dyDescent="0.4">
      <c r="A443" s="35"/>
      <c r="B443" s="36"/>
      <c r="BO443" s="36"/>
      <c r="BV443" s="36"/>
      <c r="CC443" s="36"/>
      <c r="CJ443" s="36"/>
      <c r="CQ443" s="36"/>
      <c r="CX443" s="36"/>
      <c r="DE443" s="36"/>
      <c r="DL443" s="36"/>
      <c r="DS443" s="36"/>
      <c r="DZ443" s="36"/>
      <c r="EG443" s="36"/>
      <c r="EN443" s="36"/>
      <c r="EU443" s="36"/>
      <c r="FB443" s="36"/>
      <c r="FI443" s="36"/>
      <c r="FP443" s="36"/>
      <c r="FW443" s="36"/>
      <c r="GD443" s="36"/>
      <c r="GK443" s="36"/>
      <c r="GR443" s="36"/>
      <c r="GY443" s="36"/>
      <c r="HF443" s="36"/>
      <c r="HM443" s="36"/>
      <c r="HT443" s="36"/>
      <c r="IA443" s="36"/>
      <c r="IH443" s="36"/>
      <c r="IO443" s="36"/>
      <c r="IV443" s="36"/>
      <c r="JC443" s="36"/>
      <c r="JJ443" s="36"/>
      <c r="JQ443" s="36"/>
      <c r="JX443" s="36"/>
      <c r="KE443" s="36"/>
      <c r="KL443" s="36"/>
      <c r="KS443" s="36"/>
      <c r="KZ443" s="36"/>
      <c r="LF443" s="565"/>
      <c r="LG443" s="36"/>
      <c r="LM443" s="565"/>
      <c r="LN443" s="36"/>
      <c r="LT443" s="565"/>
      <c r="LU443" s="36"/>
      <c r="MA443" s="565"/>
      <c r="MB443" s="36"/>
      <c r="MH443" s="565"/>
    </row>
    <row r="444" spans="1:346" s="37" customFormat="1" ht="13.15" hidden="1" outlineLevel="1" x14ac:dyDescent="0.4">
      <c r="A444" s="35"/>
      <c r="B444" s="36" t="s">
        <v>384</v>
      </c>
      <c r="BO444" s="36" t="s">
        <v>384</v>
      </c>
      <c r="BV444" s="36" t="s">
        <v>384</v>
      </c>
      <c r="CC444" s="36" t="s">
        <v>384</v>
      </c>
      <c r="CJ444" s="36" t="s">
        <v>384</v>
      </c>
      <c r="CQ444" s="36" t="s">
        <v>384</v>
      </c>
      <c r="CX444" s="36" t="s">
        <v>384</v>
      </c>
      <c r="DE444" s="36" t="s">
        <v>384</v>
      </c>
      <c r="DL444" s="36" t="s">
        <v>384</v>
      </c>
      <c r="DS444" s="36" t="s">
        <v>384</v>
      </c>
      <c r="DZ444" s="36" t="s">
        <v>384</v>
      </c>
      <c r="EG444" s="36" t="s">
        <v>384</v>
      </c>
      <c r="EN444" s="36" t="s">
        <v>384</v>
      </c>
      <c r="EU444" s="36" t="s">
        <v>384</v>
      </c>
      <c r="FB444" s="36" t="s">
        <v>384</v>
      </c>
      <c r="FI444" s="36" t="s">
        <v>384</v>
      </c>
      <c r="FP444" s="36" t="s">
        <v>384</v>
      </c>
      <c r="FW444" s="36" t="s">
        <v>384</v>
      </c>
      <c r="GD444" s="36" t="s">
        <v>384</v>
      </c>
      <c r="GK444" s="36" t="s">
        <v>384</v>
      </c>
      <c r="GR444" s="36" t="s">
        <v>384</v>
      </c>
      <c r="GY444" s="36" t="s">
        <v>384</v>
      </c>
      <c r="HF444" s="36" t="s">
        <v>384</v>
      </c>
      <c r="HM444" s="36" t="s">
        <v>384</v>
      </c>
      <c r="HT444" s="36" t="s">
        <v>384</v>
      </c>
      <c r="IA444" s="36" t="s">
        <v>384</v>
      </c>
      <c r="IH444" s="36" t="s">
        <v>384</v>
      </c>
      <c r="IO444" s="36" t="s">
        <v>384</v>
      </c>
      <c r="IV444" s="36" t="s">
        <v>384</v>
      </c>
      <c r="JC444" s="36" t="s">
        <v>384</v>
      </c>
      <c r="JJ444" s="36" t="s">
        <v>384</v>
      </c>
      <c r="JQ444" s="36" t="s">
        <v>384</v>
      </c>
      <c r="JX444" s="36" t="s">
        <v>384</v>
      </c>
      <c r="KE444" s="36" t="s">
        <v>384</v>
      </c>
      <c r="KL444" s="36" t="s">
        <v>384</v>
      </c>
      <c r="KS444" s="36" t="s">
        <v>384</v>
      </c>
      <c r="KZ444" s="36" t="s">
        <v>384</v>
      </c>
      <c r="LF444" s="565"/>
      <c r="LG444" s="36" t="s">
        <v>384</v>
      </c>
      <c r="LM444" s="565"/>
      <c r="LN444" s="36" t="s">
        <v>384</v>
      </c>
      <c r="LT444" s="565"/>
      <c r="LU444" s="36" t="s">
        <v>384</v>
      </c>
      <c r="MA444" s="565"/>
      <c r="MB444" s="36" t="s">
        <v>384</v>
      </c>
      <c r="MH444" s="565"/>
    </row>
    <row r="445" spans="1:346" s="37" customFormat="1" ht="13.15" hidden="1" outlineLevel="1" x14ac:dyDescent="0.4">
      <c r="A445" s="35"/>
      <c r="B445" s="36" t="s">
        <v>147</v>
      </c>
      <c r="F445" s="37">
        <v>16900</v>
      </c>
      <c r="G445" s="37">
        <v>14700</v>
      </c>
      <c r="H445" s="37">
        <v>14700</v>
      </c>
      <c r="I445" s="37">
        <v>18700</v>
      </c>
      <c r="J445" s="37">
        <v>20300</v>
      </c>
      <c r="K445" s="37">
        <v>22200</v>
      </c>
      <c r="L445" s="37">
        <v>23634</v>
      </c>
      <c r="M445" s="37">
        <v>21298</v>
      </c>
      <c r="N445" s="37">
        <f t="shared" ref="N445:N450" si="7359">BT445</f>
        <v>5607</v>
      </c>
      <c r="O445" s="37">
        <f t="shared" ref="O445:O450" si="7360">CA445</f>
        <v>5937</v>
      </c>
      <c r="P445" s="37">
        <f t="shared" ref="P445:P450" si="7361">CH445</f>
        <v>6109</v>
      </c>
      <c r="Q445" s="37">
        <f t="shared" ref="Q445:Q450" si="7362">CO445</f>
        <v>6698</v>
      </c>
      <c r="R445" s="37">
        <f t="shared" ref="R445:R450" si="7363">CV445</f>
        <v>5919</v>
      </c>
      <c r="S445" s="37">
        <f t="shared" ref="S445:S450" si="7364">DC445</f>
        <v>5510</v>
      </c>
      <c r="T445" s="37">
        <f t="shared" ref="T445:T450" si="7365">DJ445</f>
        <v>6112</v>
      </c>
      <c r="U445" s="37">
        <f t="shared" ref="U445:U450" si="7366">DQ445</f>
        <v>5540</v>
      </c>
      <c r="V445" s="37">
        <f t="shared" ref="V445:V450" si="7367">DX445</f>
        <v>5445</v>
      </c>
      <c r="W445" s="37">
        <f t="shared" ref="W445:W450" si="7368">EE445</f>
        <v>0</v>
      </c>
      <c r="X445" s="37">
        <f t="shared" ref="X445:X450" si="7369">EL445</f>
        <v>0</v>
      </c>
      <c r="Y445" s="37">
        <f t="shared" ref="Y445:Y450" si="7370">ES445</f>
        <v>0</v>
      </c>
      <c r="Z445" s="37">
        <f t="shared" ref="Z445:Z450" si="7371">EZ445</f>
        <v>0</v>
      </c>
      <c r="AA445" s="37">
        <f t="shared" ref="AA445:AA450" si="7372">FG445</f>
        <v>0</v>
      </c>
      <c r="AB445" s="37">
        <f t="shared" ref="AB445:AB450" si="7373">FN445</f>
        <v>0</v>
      </c>
      <c r="AC445" s="37">
        <f t="shared" ref="AC445:AC450" si="7374">FU445</f>
        <v>0</v>
      </c>
      <c r="AD445" s="37">
        <f t="shared" ref="AD445:AD450" si="7375">GB445</f>
        <v>0</v>
      </c>
      <c r="AE445" s="37">
        <f t="shared" ref="AE445:AE450" si="7376">GI445</f>
        <v>0</v>
      </c>
      <c r="AF445" s="37">
        <f t="shared" ref="AF445:AF450" si="7377">GP445</f>
        <v>0</v>
      </c>
      <c r="AG445" s="37">
        <f t="shared" ref="AG445:AG450" si="7378">GW445</f>
        <v>0</v>
      </c>
      <c r="AH445" s="37">
        <f t="shared" ref="AH445:AH450" si="7379">HD445</f>
        <v>0</v>
      </c>
      <c r="AI445" s="37">
        <f t="shared" ref="AI445:AI450" si="7380">HK445</f>
        <v>0</v>
      </c>
      <c r="AJ445" s="37">
        <f t="shared" ref="AJ445:AJ450" si="7381">HR445</f>
        <v>0</v>
      </c>
      <c r="AK445" s="37">
        <f t="shared" ref="AK445:AK450" si="7382">HY445</f>
        <v>0</v>
      </c>
      <c r="AL445" s="37">
        <f t="shared" ref="AL445:AL450" si="7383">IF445</f>
        <v>0</v>
      </c>
      <c r="AM445" s="37">
        <f t="shared" ref="AM445:AM450" si="7384">IM445</f>
        <v>0</v>
      </c>
      <c r="AN445" s="37">
        <f t="shared" ref="AN445:AN450" si="7385">IT445</f>
        <v>0</v>
      </c>
      <c r="AO445" s="37">
        <f t="shared" ref="AO445:AO450" si="7386">JA445</f>
        <v>0</v>
      </c>
      <c r="AP445" s="37">
        <f t="shared" ref="AP445:AP450" si="7387">JH445</f>
        <v>0</v>
      </c>
      <c r="AQ445" s="37">
        <f t="shared" ref="AQ445:AQ450" si="7388">JO445</f>
        <v>0</v>
      </c>
      <c r="AR445" s="37">
        <f t="shared" ref="AR445:AR450" si="7389">JV445</f>
        <v>0</v>
      </c>
      <c r="AS445" s="37">
        <f t="shared" ref="AS445:AS450" si="7390">KC445</f>
        <v>0</v>
      </c>
      <c r="AT445" s="37">
        <f t="shared" ref="AT445:AT450" si="7391">KJ445</f>
        <v>0</v>
      </c>
      <c r="AU445" s="37">
        <f t="shared" ref="AU445:AU450" si="7392">KQ445</f>
        <v>0</v>
      </c>
      <c r="AV445" s="37">
        <f t="shared" ref="AV445:AV450" si="7393">KX445</f>
        <v>0</v>
      </c>
      <c r="AW445" s="37">
        <f t="shared" ref="AW445:AW450" si="7394">LE445</f>
        <v>0</v>
      </c>
      <c r="AX445" s="37">
        <f t="shared" ref="AX445:AX450" si="7395">LL445</f>
        <v>0</v>
      </c>
      <c r="AY445" s="37">
        <f t="shared" ref="AY445:AY450" si="7396">LS445</f>
        <v>0</v>
      </c>
      <c r="AZ445" s="37">
        <f t="shared" ref="AZ445:AZ450" si="7397">LZ445</f>
        <v>0</v>
      </c>
      <c r="BA445" s="37">
        <f t="shared" ref="BA445:BA450" si="7398">MG445</f>
        <v>0</v>
      </c>
      <c r="BO445" s="36" t="s">
        <v>147</v>
      </c>
      <c r="BS445" s="37">
        <v>5607</v>
      </c>
      <c r="BT445" s="37">
        <v>5607</v>
      </c>
      <c r="BV445" s="36" t="s">
        <v>147</v>
      </c>
      <c r="BZ445" s="37">
        <v>5937</v>
      </c>
      <c r="CA445" s="37">
        <v>5937</v>
      </c>
      <c r="CC445" s="36" t="s">
        <v>147</v>
      </c>
      <c r="CG445" s="37">
        <v>6109</v>
      </c>
      <c r="CH445" s="37">
        <v>6109</v>
      </c>
      <c r="CJ445" s="36" t="s">
        <v>147</v>
      </c>
      <c r="CN445" s="37">
        <v>6698</v>
      </c>
      <c r="CO445" s="37">
        <v>6698</v>
      </c>
      <c r="CQ445" s="36" t="s">
        <v>147</v>
      </c>
      <c r="CU445" s="37">
        <v>5919</v>
      </c>
      <c r="CV445" s="37">
        <v>5919</v>
      </c>
      <c r="CX445" s="36" t="s">
        <v>147</v>
      </c>
      <c r="DB445" s="37">
        <v>5510</v>
      </c>
      <c r="DC445" s="37">
        <v>5510</v>
      </c>
      <c r="DE445" s="36" t="s">
        <v>147</v>
      </c>
      <c r="DI445" s="37">
        <v>6112</v>
      </c>
      <c r="DJ445" s="37">
        <v>6112</v>
      </c>
      <c r="DL445" s="36" t="s">
        <v>147</v>
      </c>
      <c r="DP445" s="37">
        <v>5540</v>
      </c>
      <c r="DQ445" s="37">
        <v>5540</v>
      </c>
      <c r="DS445" s="36" t="s">
        <v>147</v>
      </c>
      <c r="DW445" s="37">
        <v>5445</v>
      </c>
      <c r="DX445" s="37">
        <v>5445</v>
      </c>
      <c r="DZ445" s="36" t="s">
        <v>147</v>
      </c>
      <c r="EG445" s="36" t="s">
        <v>147</v>
      </c>
      <c r="EN445" s="36" t="s">
        <v>147</v>
      </c>
      <c r="EU445" s="36" t="s">
        <v>147</v>
      </c>
      <c r="FB445" s="36" t="s">
        <v>147</v>
      </c>
      <c r="FI445" s="36" t="s">
        <v>147</v>
      </c>
      <c r="FP445" s="36" t="s">
        <v>147</v>
      </c>
      <c r="FW445" s="36" t="s">
        <v>147</v>
      </c>
      <c r="GD445" s="36" t="s">
        <v>147</v>
      </c>
      <c r="GK445" s="36" t="s">
        <v>147</v>
      </c>
      <c r="GR445" s="36" t="s">
        <v>147</v>
      </c>
      <c r="GY445" s="36" t="s">
        <v>147</v>
      </c>
      <c r="HF445" s="36" t="s">
        <v>147</v>
      </c>
      <c r="HM445" s="36" t="s">
        <v>147</v>
      </c>
      <c r="HT445" s="36" t="s">
        <v>147</v>
      </c>
      <c r="IA445" s="36" t="s">
        <v>147</v>
      </c>
      <c r="IH445" s="36" t="s">
        <v>147</v>
      </c>
      <c r="IO445" s="36" t="s">
        <v>147</v>
      </c>
      <c r="IV445" s="36" t="s">
        <v>147</v>
      </c>
      <c r="JC445" s="36" t="s">
        <v>147</v>
      </c>
      <c r="JJ445" s="36" t="s">
        <v>147</v>
      </c>
      <c r="JQ445" s="36" t="s">
        <v>147</v>
      </c>
      <c r="JX445" s="36" t="s">
        <v>147</v>
      </c>
      <c r="KE445" s="36" t="s">
        <v>147</v>
      </c>
      <c r="KL445" s="36" t="s">
        <v>147</v>
      </c>
      <c r="KS445" s="36" t="s">
        <v>147</v>
      </c>
      <c r="KZ445" s="36" t="s">
        <v>147</v>
      </c>
      <c r="LF445" s="565"/>
      <c r="LG445" s="36" t="s">
        <v>147</v>
      </c>
      <c r="LM445" s="565"/>
      <c r="LN445" s="36" t="s">
        <v>147</v>
      </c>
      <c r="LT445" s="565"/>
      <c r="LU445" s="36" t="s">
        <v>147</v>
      </c>
      <c r="MA445" s="565"/>
      <c r="MB445" s="36" t="s">
        <v>147</v>
      </c>
      <c r="MH445" s="565"/>
    </row>
    <row r="446" spans="1:346" s="37" customFormat="1" ht="13.15" hidden="1" outlineLevel="1" x14ac:dyDescent="0.4">
      <c r="A446" s="35"/>
      <c r="B446" s="36" t="s">
        <v>377</v>
      </c>
      <c r="F446" s="37">
        <v>5900</v>
      </c>
      <c r="G446" s="37">
        <v>7400</v>
      </c>
      <c r="H446" s="37">
        <v>7100</v>
      </c>
      <c r="I446" s="37">
        <v>5700</v>
      </c>
      <c r="J446" s="37">
        <v>5700</v>
      </c>
      <c r="K446" s="37">
        <v>6600</v>
      </c>
      <c r="L446" s="37">
        <v>7105</v>
      </c>
      <c r="M446" s="37">
        <v>7112</v>
      </c>
      <c r="N446" s="37">
        <f t="shared" si="7359"/>
        <v>1902</v>
      </c>
      <c r="O446" s="37">
        <f t="shared" si="7360"/>
        <v>2203</v>
      </c>
      <c r="P446" s="37">
        <f t="shared" si="7361"/>
        <v>1678</v>
      </c>
      <c r="Q446" s="37">
        <f t="shared" si="7362"/>
        <v>5608</v>
      </c>
      <c r="R446" s="37">
        <f t="shared" si="7363"/>
        <v>5588</v>
      </c>
      <c r="S446" s="37">
        <f t="shared" si="7364"/>
        <v>6917</v>
      </c>
      <c r="T446" s="37">
        <f t="shared" si="7365"/>
        <v>6607</v>
      </c>
      <c r="U446" s="37">
        <f t="shared" si="7366"/>
        <v>8692</v>
      </c>
      <c r="V446" s="37">
        <f t="shared" si="7367"/>
        <v>8462</v>
      </c>
      <c r="W446" s="37">
        <f t="shared" si="7368"/>
        <v>0</v>
      </c>
      <c r="X446" s="37">
        <f t="shared" si="7369"/>
        <v>0</v>
      </c>
      <c r="Y446" s="37">
        <f t="shared" si="7370"/>
        <v>0</v>
      </c>
      <c r="Z446" s="37">
        <f t="shared" si="7371"/>
        <v>0</v>
      </c>
      <c r="AA446" s="37">
        <f t="shared" si="7372"/>
        <v>0</v>
      </c>
      <c r="AB446" s="37">
        <f t="shared" si="7373"/>
        <v>0</v>
      </c>
      <c r="AC446" s="37">
        <f t="shared" si="7374"/>
        <v>0</v>
      </c>
      <c r="AD446" s="37">
        <f t="shared" si="7375"/>
        <v>0</v>
      </c>
      <c r="AE446" s="37">
        <f t="shared" si="7376"/>
        <v>0</v>
      </c>
      <c r="AF446" s="37">
        <f t="shared" si="7377"/>
        <v>0</v>
      </c>
      <c r="AG446" s="37">
        <f t="shared" si="7378"/>
        <v>0</v>
      </c>
      <c r="AH446" s="37">
        <f t="shared" si="7379"/>
        <v>0</v>
      </c>
      <c r="AI446" s="37">
        <f t="shared" si="7380"/>
        <v>0</v>
      </c>
      <c r="AJ446" s="37">
        <f t="shared" si="7381"/>
        <v>0</v>
      </c>
      <c r="AK446" s="37">
        <f t="shared" si="7382"/>
        <v>0</v>
      </c>
      <c r="AL446" s="37">
        <f t="shared" si="7383"/>
        <v>0</v>
      </c>
      <c r="AM446" s="37">
        <f t="shared" si="7384"/>
        <v>0</v>
      </c>
      <c r="AN446" s="37">
        <f t="shared" si="7385"/>
        <v>0</v>
      </c>
      <c r="AO446" s="37">
        <f t="shared" si="7386"/>
        <v>0</v>
      </c>
      <c r="AP446" s="37">
        <f t="shared" si="7387"/>
        <v>0</v>
      </c>
      <c r="AQ446" s="37">
        <f t="shared" si="7388"/>
        <v>0</v>
      </c>
      <c r="AR446" s="37">
        <f t="shared" si="7389"/>
        <v>0</v>
      </c>
      <c r="AS446" s="37">
        <f t="shared" si="7390"/>
        <v>0</v>
      </c>
      <c r="AT446" s="37">
        <f t="shared" si="7391"/>
        <v>0</v>
      </c>
      <c r="AU446" s="37">
        <f t="shared" si="7392"/>
        <v>0</v>
      </c>
      <c r="AV446" s="37">
        <f t="shared" si="7393"/>
        <v>0</v>
      </c>
      <c r="AW446" s="37">
        <f t="shared" si="7394"/>
        <v>0</v>
      </c>
      <c r="AX446" s="37">
        <f t="shared" si="7395"/>
        <v>0</v>
      </c>
      <c r="AY446" s="37">
        <f t="shared" si="7396"/>
        <v>0</v>
      </c>
      <c r="AZ446" s="37">
        <f t="shared" si="7397"/>
        <v>0</v>
      </c>
      <c r="BA446" s="37">
        <f t="shared" si="7398"/>
        <v>0</v>
      </c>
      <c r="BO446" s="36" t="s">
        <v>377</v>
      </c>
      <c r="BS446" s="37">
        <v>1902</v>
      </c>
      <c r="BT446" s="37">
        <v>1902</v>
      </c>
      <c r="BV446" s="36" t="s">
        <v>377</v>
      </c>
      <c r="BZ446" s="37">
        <v>2203</v>
      </c>
      <c r="CA446" s="37">
        <v>2203</v>
      </c>
      <c r="CC446" s="36" t="s">
        <v>377</v>
      </c>
      <c r="CG446" s="37">
        <v>1678</v>
      </c>
      <c r="CH446" s="37">
        <v>1678</v>
      </c>
      <c r="CJ446" s="36" t="s">
        <v>377</v>
      </c>
      <c r="CN446" s="37">
        <v>5608</v>
      </c>
      <c r="CO446" s="37">
        <v>5608</v>
      </c>
      <c r="CQ446" s="36" t="s">
        <v>377</v>
      </c>
      <c r="CU446" s="37">
        <v>5588</v>
      </c>
      <c r="CV446" s="37">
        <v>5588</v>
      </c>
      <c r="CX446" s="36" t="s">
        <v>377</v>
      </c>
      <c r="DB446" s="37">
        <v>6917</v>
      </c>
      <c r="DC446" s="37">
        <v>6917</v>
      </c>
      <c r="DE446" s="36" t="s">
        <v>377</v>
      </c>
      <c r="DI446" s="37">
        <v>6607</v>
      </c>
      <c r="DJ446" s="37">
        <v>6607</v>
      </c>
      <c r="DL446" s="36" t="s">
        <v>377</v>
      </c>
      <c r="DP446" s="37">
        <v>8692</v>
      </c>
      <c r="DQ446" s="37">
        <v>8692</v>
      </c>
      <c r="DS446" s="36" t="s">
        <v>377</v>
      </c>
      <c r="DW446" s="37">
        <v>8462</v>
      </c>
      <c r="DX446" s="37">
        <v>8462</v>
      </c>
      <c r="DZ446" s="36" t="s">
        <v>377</v>
      </c>
      <c r="EG446" s="36" t="s">
        <v>377</v>
      </c>
      <c r="EN446" s="36" t="s">
        <v>377</v>
      </c>
      <c r="EU446" s="36" t="s">
        <v>377</v>
      </c>
      <c r="FB446" s="36" t="s">
        <v>377</v>
      </c>
      <c r="FI446" s="36" t="s">
        <v>377</v>
      </c>
      <c r="FP446" s="36" t="s">
        <v>377</v>
      </c>
      <c r="FW446" s="36" t="s">
        <v>377</v>
      </c>
      <c r="GD446" s="36" t="s">
        <v>377</v>
      </c>
      <c r="GK446" s="36" t="s">
        <v>377</v>
      </c>
      <c r="GR446" s="36" t="s">
        <v>377</v>
      </c>
      <c r="GY446" s="36" t="s">
        <v>377</v>
      </c>
      <c r="HF446" s="36" t="s">
        <v>377</v>
      </c>
      <c r="HM446" s="36" t="s">
        <v>377</v>
      </c>
      <c r="HT446" s="36" t="s">
        <v>377</v>
      </c>
      <c r="IA446" s="36" t="s">
        <v>377</v>
      </c>
      <c r="IH446" s="36" t="s">
        <v>377</v>
      </c>
      <c r="IO446" s="36" t="s">
        <v>377</v>
      </c>
      <c r="IV446" s="36" t="s">
        <v>377</v>
      </c>
      <c r="JC446" s="36" t="s">
        <v>377</v>
      </c>
      <c r="JJ446" s="36" t="s">
        <v>377</v>
      </c>
      <c r="JQ446" s="36" t="s">
        <v>377</v>
      </c>
      <c r="JX446" s="36" t="s">
        <v>377</v>
      </c>
      <c r="KE446" s="36" t="s">
        <v>377</v>
      </c>
      <c r="KL446" s="36" t="s">
        <v>377</v>
      </c>
      <c r="KS446" s="36" t="s">
        <v>377</v>
      </c>
      <c r="KZ446" s="36" t="s">
        <v>377</v>
      </c>
      <c r="LF446" s="565"/>
      <c r="LG446" s="36" t="s">
        <v>377</v>
      </c>
      <c r="LM446" s="565"/>
      <c r="LN446" s="36" t="s">
        <v>377</v>
      </c>
      <c r="LT446" s="565"/>
      <c r="LU446" s="36" t="s">
        <v>377</v>
      </c>
      <c r="MA446" s="565"/>
      <c r="MB446" s="36" t="s">
        <v>377</v>
      </c>
      <c r="MH446" s="565"/>
    </row>
    <row r="447" spans="1:346" s="37" customFormat="1" ht="13.15" hidden="1" outlineLevel="1" x14ac:dyDescent="0.4">
      <c r="A447" s="35"/>
      <c r="B447" s="36" t="s">
        <v>378</v>
      </c>
      <c r="F447" s="37">
        <v>1900</v>
      </c>
      <c r="G447" s="37">
        <v>1700</v>
      </c>
      <c r="H447" s="37">
        <v>1900</v>
      </c>
      <c r="I447" s="37">
        <v>2100</v>
      </c>
      <c r="J447" s="37">
        <v>2300</v>
      </c>
      <c r="K447" s="37">
        <v>2700</v>
      </c>
      <c r="L447" s="37">
        <v>2798</v>
      </c>
      <c r="M447" s="37">
        <v>3001</v>
      </c>
      <c r="N447" s="37">
        <f t="shared" si="7359"/>
        <v>786</v>
      </c>
      <c r="O447" s="37">
        <f t="shared" si="7360"/>
        <v>957</v>
      </c>
      <c r="P447" s="37">
        <f t="shared" si="7361"/>
        <v>950</v>
      </c>
      <c r="Q447" s="37">
        <f t="shared" si="7362"/>
        <v>2453</v>
      </c>
      <c r="R447" s="37">
        <f t="shared" si="7363"/>
        <v>2864</v>
      </c>
      <c r="S447" s="37">
        <f t="shared" si="7364"/>
        <v>3467</v>
      </c>
      <c r="T447" s="37">
        <f t="shared" si="7365"/>
        <v>3275</v>
      </c>
      <c r="U447" s="37">
        <f t="shared" si="7366"/>
        <v>3288</v>
      </c>
      <c r="V447" s="37">
        <f t="shared" si="7367"/>
        <v>3384</v>
      </c>
      <c r="W447" s="37">
        <f t="shared" si="7368"/>
        <v>0</v>
      </c>
      <c r="X447" s="37">
        <f t="shared" si="7369"/>
        <v>0</v>
      </c>
      <c r="Y447" s="37">
        <f t="shared" si="7370"/>
        <v>0</v>
      </c>
      <c r="Z447" s="37">
        <f t="shared" si="7371"/>
        <v>0</v>
      </c>
      <c r="AA447" s="37">
        <f t="shared" si="7372"/>
        <v>0</v>
      </c>
      <c r="AB447" s="37">
        <f t="shared" si="7373"/>
        <v>0</v>
      </c>
      <c r="AC447" s="37">
        <f t="shared" si="7374"/>
        <v>0</v>
      </c>
      <c r="AD447" s="37">
        <f t="shared" si="7375"/>
        <v>0</v>
      </c>
      <c r="AE447" s="37">
        <f t="shared" si="7376"/>
        <v>0</v>
      </c>
      <c r="AF447" s="37">
        <f t="shared" si="7377"/>
        <v>0</v>
      </c>
      <c r="AG447" s="37">
        <f t="shared" si="7378"/>
        <v>0</v>
      </c>
      <c r="AH447" s="37">
        <f t="shared" si="7379"/>
        <v>0</v>
      </c>
      <c r="AI447" s="37">
        <f t="shared" si="7380"/>
        <v>0</v>
      </c>
      <c r="AJ447" s="37">
        <f t="shared" si="7381"/>
        <v>0</v>
      </c>
      <c r="AK447" s="37">
        <f t="shared" si="7382"/>
        <v>0</v>
      </c>
      <c r="AL447" s="37">
        <f t="shared" si="7383"/>
        <v>0</v>
      </c>
      <c r="AM447" s="37">
        <f t="shared" si="7384"/>
        <v>0</v>
      </c>
      <c r="AN447" s="37">
        <f t="shared" si="7385"/>
        <v>0</v>
      </c>
      <c r="AO447" s="37">
        <f t="shared" si="7386"/>
        <v>0</v>
      </c>
      <c r="AP447" s="37">
        <f t="shared" si="7387"/>
        <v>0</v>
      </c>
      <c r="AQ447" s="37">
        <f t="shared" si="7388"/>
        <v>0</v>
      </c>
      <c r="AR447" s="37">
        <f t="shared" si="7389"/>
        <v>0</v>
      </c>
      <c r="AS447" s="37">
        <f t="shared" si="7390"/>
        <v>0</v>
      </c>
      <c r="AT447" s="37">
        <f t="shared" si="7391"/>
        <v>0</v>
      </c>
      <c r="AU447" s="37">
        <f t="shared" si="7392"/>
        <v>0</v>
      </c>
      <c r="AV447" s="37">
        <f t="shared" si="7393"/>
        <v>0</v>
      </c>
      <c r="AW447" s="37">
        <f t="shared" si="7394"/>
        <v>0</v>
      </c>
      <c r="AX447" s="37">
        <f t="shared" si="7395"/>
        <v>0</v>
      </c>
      <c r="AY447" s="37">
        <f t="shared" si="7396"/>
        <v>0</v>
      </c>
      <c r="AZ447" s="37">
        <f t="shared" si="7397"/>
        <v>0</v>
      </c>
      <c r="BA447" s="37">
        <f t="shared" si="7398"/>
        <v>0</v>
      </c>
      <c r="BO447" s="36" t="s">
        <v>378</v>
      </c>
      <c r="BS447" s="37">
        <v>786</v>
      </c>
      <c r="BT447" s="37">
        <v>786</v>
      </c>
      <c r="BV447" s="36" t="s">
        <v>378</v>
      </c>
      <c r="BZ447" s="37">
        <v>957</v>
      </c>
      <c r="CA447" s="37">
        <v>957</v>
      </c>
      <c r="CC447" s="36" t="s">
        <v>378</v>
      </c>
      <c r="CG447" s="37">
        <v>950</v>
      </c>
      <c r="CH447" s="37">
        <v>950</v>
      </c>
      <c r="CJ447" s="36" t="s">
        <v>378</v>
      </c>
      <c r="CN447" s="37">
        <v>2453</v>
      </c>
      <c r="CO447" s="37">
        <v>2453</v>
      </c>
      <c r="CQ447" s="36" t="s">
        <v>378</v>
      </c>
      <c r="CU447" s="37">
        <v>2864</v>
      </c>
      <c r="CV447" s="37">
        <v>2864</v>
      </c>
      <c r="CX447" s="36" t="s">
        <v>378</v>
      </c>
      <c r="DB447" s="37">
        <v>3467</v>
      </c>
      <c r="DC447" s="37">
        <v>3467</v>
      </c>
      <c r="DE447" s="36" t="s">
        <v>378</v>
      </c>
      <c r="DI447" s="37">
        <v>3275</v>
      </c>
      <c r="DJ447" s="37">
        <v>3275</v>
      </c>
      <c r="DL447" s="36" t="s">
        <v>378</v>
      </c>
      <c r="DP447" s="37">
        <v>3288</v>
      </c>
      <c r="DQ447" s="37">
        <v>3288</v>
      </c>
      <c r="DS447" s="36" t="s">
        <v>378</v>
      </c>
      <c r="DW447" s="37">
        <v>3384</v>
      </c>
      <c r="DX447" s="37">
        <v>3384</v>
      </c>
      <c r="DZ447" s="36" t="s">
        <v>378</v>
      </c>
      <c r="EG447" s="36" t="s">
        <v>378</v>
      </c>
      <c r="EN447" s="36" t="s">
        <v>378</v>
      </c>
      <c r="EU447" s="36" t="s">
        <v>378</v>
      </c>
      <c r="FB447" s="36" t="s">
        <v>378</v>
      </c>
      <c r="FI447" s="36" t="s">
        <v>378</v>
      </c>
      <c r="FP447" s="36" t="s">
        <v>378</v>
      </c>
      <c r="FW447" s="36" t="s">
        <v>378</v>
      </c>
      <c r="GD447" s="36" t="s">
        <v>378</v>
      </c>
      <c r="GK447" s="36" t="s">
        <v>378</v>
      </c>
      <c r="GR447" s="36" t="s">
        <v>378</v>
      </c>
      <c r="GY447" s="36" t="s">
        <v>378</v>
      </c>
      <c r="HF447" s="36" t="s">
        <v>378</v>
      </c>
      <c r="HM447" s="36" t="s">
        <v>378</v>
      </c>
      <c r="HT447" s="36" t="s">
        <v>378</v>
      </c>
      <c r="IA447" s="36" t="s">
        <v>378</v>
      </c>
      <c r="IH447" s="36" t="s">
        <v>378</v>
      </c>
      <c r="IO447" s="36" t="s">
        <v>378</v>
      </c>
      <c r="IV447" s="36" t="s">
        <v>378</v>
      </c>
      <c r="JC447" s="36" t="s">
        <v>378</v>
      </c>
      <c r="JJ447" s="36" t="s">
        <v>378</v>
      </c>
      <c r="JQ447" s="36" t="s">
        <v>378</v>
      </c>
      <c r="JX447" s="36" t="s">
        <v>378</v>
      </c>
      <c r="KE447" s="36" t="s">
        <v>378</v>
      </c>
      <c r="KL447" s="36" t="s">
        <v>378</v>
      </c>
      <c r="KS447" s="36" t="s">
        <v>378</v>
      </c>
      <c r="KZ447" s="36" t="s">
        <v>378</v>
      </c>
      <c r="LF447" s="565"/>
      <c r="LG447" s="36" t="s">
        <v>378</v>
      </c>
      <c r="LM447" s="565"/>
      <c r="LN447" s="36" t="s">
        <v>378</v>
      </c>
      <c r="LT447" s="565"/>
      <c r="LU447" s="36" t="s">
        <v>378</v>
      </c>
      <c r="MA447" s="565"/>
      <c r="MB447" s="36" t="s">
        <v>378</v>
      </c>
      <c r="MH447" s="565"/>
    </row>
    <row r="448" spans="1:346" s="37" customFormat="1" ht="13.15" hidden="1" outlineLevel="1" x14ac:dyDescent="0.4">
      <c r="A448" s="35"/>
      <c r="B448" s="36" t="s">
        <v>379</v>
      </c>
      <c r="F448" s="37">
        <v>3700</v>
      </c>
      <c r="G448" s="37">
        <v>3800</v>
      </c>
      <c r="H448" s="37">
        <v>3200</v>
      </c>
      <c r="I448" s="37">
        <v>4300</v>
      </c>
      <c r="J448" s="37">
        <v>4300</v>
      </c>
      <c r="K448" s="37">
        <v>3700</v>
      </c>
      <c r="L448" s="37">
        <v>3908</v>
      </c>
      <c r="M448" s="37">
        <v>3976</v>
      </c>
      <c r="N448" s="37">
        <f t="shared" si="7359"/>
        <v>1400</v>
      </c>
      <c r="O448" s="37">
        <f t="shared" si="7360"/>
        <v>1321</v>
      </c>
      <c r="P448" s="37">
        <f t="shared" si="7361"/>
        <v>1320</v>
      </c>
      <c r="Q448" s="37">
        <f t="shared" si="7362"/>
        <v>0</v>
      </c>
      <c r="R448" s="37">
        <f t="shared" si="7363"/>
        <v>0</v>
      </c>
      <c r="S448" s="37">
        <f t="shared" si="7364"/>
        <v>0</v>
      </c>
      <c r="T448" s="37">
        <f t="shared" si="7365"/>
        <v>0</v>
      </c>
      <c r="U448" s="37">
        <f t="shared" si="7366"/>
        <v>0</v>
      </c>
      <c r="V448" s="37">
        <f t="shared" si="7367"/>
        <v>0</v>
      </c>
      <c r="W448" s="37">
        <f t="shared" si="7368"/>
        <v>0</v>
      </c>
      <c r="X448" s="37">
        <f t="shared" si="7369"/>
        <v>0</v>
      </c>
      <c r="Y448" s="37">
        <f t="shared" si="7370"/>
        <v>0</v>
      </c>
      <c r="Z448" s="37">
        <f t="shared" si="7371"/>
        <v>0</v>
      </c>
      <c r="AA448" s="37">
        <f t="shared" si="7372"/>
        <v>0</v>
      </c>
      <c r="AB448" s="37">
        <f t="shared" si="7373"/>
        <v>0</v>
      </c>
      <c r="AC448" s="37">
        <f t="shared" si="7374"/>
        <v>0</v>
      </c>
      <c r="AD448" s="37">
        <f t="shared" si="7375"/>
        <v>0</v>
      </c>
      <c r="AE448" s="37">
        <f t="shared" si="7376"/>
        <v>0</v>
      </c>
      <c r="AF448" s="37">
        <f t="shared" si="7377"/>
        <v>0</v>
      </c>
      <c r="AG448" s="37">
        <f t="shared" si="7378"/>
        <v>0</v>
      </c>
      <c r="AH448" s="37">
        <f t="shared" si="7379"/>
        <v>0</v>
      </c>
      <c r="AI448" s="37">
        <f t="shared" si="7380"/>
        <v>0</v>
      </c>
      <c r="AJ448" s="37">
        <f t="shared" si="7381"/>
        <v>0</v>
      </c>
      <c r="AK448" s="37">
        <f t="shared" si="7382"/>
        <v>0</v>
      </c>
      <c r="AL448" s="37">
        <f t="shared" si="7383"/>
        <v>0</v>
      </c>
      <c r="AM448" s="37">
        <f t="shared" si="7384"/>
        <v>0</v>
      </c>
      <c r="AN448" s="37">
        <f t="shared" si="7385"/>
        <v>0</v>
      </c>
      <c r="AO448" s="37">
        <f t="shared" si="7386"/>
        <v>0</v>
      </c>
      <c r="AP448" s="37">
        <f t="shared" si="7387"/>
        <v>0</v>
      </c>
      <c r="AQ448" s="37">
        <f t="shared" si="7388"/>
        <v>0</v>
      </c>
      <c r="AR448" s="37">
        <f t="shared" si="7389"/>
        <v>0</v>
      </c>
      <c r="AS448" s="37">
        <f t="shared" si="7390"/>
        <v>0</v>
      </c>
      <c r="AT448" s="37">
        <f t="shared" si="7391"/>
        <v>0</v>
      </c>
      <c r="AU448" s="37">
        <f t="shared" si="7392"/>
        <v>0</v>
      </c>
      <c r="AV448" s="37">
        <f t="shared" si="7393"/>
        <v>0</v>
      </c>
      <c r="AW448" s="37">
        <f t="shared" si="7394"/>
        <v>0</v>
      </c>
      <c r="AX448" s="37">
        <f t="shared" si="7395"/>
        <v>0</v>
      </c>
      <c r="AY448" s="37">
        <f t="shared" si="7396"/>
        <v>0</v>
      </c>
      <c r="AZ448" s="37">
        <f t="shared" si="7397"/>
        <v>0</v>
      </c>
      <c r="BA448" s="37">
        <f t="shared" si="7398"/>
        <v>0</v>
      </c>
      <c r="BO448" s="36" t="s">
        <v>379</v>
      </c>
      <c r="BS448" s="37">
        <v>1400</v>
      </c>
      <c r="BT448" s="37">
        <v>1400</v>
      </c>
      <c r="BV448" s="36" t="s">
        <v>379</v>
      </c>
      <c r="BZ448" s="37">
        <v>1321</v>
      </c>
      <c r="CA448" s="37">
        <v>1321</v>
      </c>
      <c r="CC448" s="36" t="s">
        <v>379</v>
      </c>
      <c r="CG448" s="37">
        <v>1320</v>
      </c>
      <c r="CH448" s="37">
        <v>1320</v>
      </c>
      <c r="CJ448" s="36" t="s">
        <v>379</v>
      </c>
      <c r="CO448" s="37">
        <v>0</v>
      </c>
      <c r="CQ448" s="36" t="s">
        <v>379</v>
      </c>
      <c r="CV448" s="37">
        <v>0</v>
      </c>
      <c r="CX448" s="36" t="s">
        <v>379</v>
      </c>
      <c r="DC448" s="37">
        <v>0</v>
      </c>
      <c r="DE448" s="36" t="s">
        <v>379</v>
      </c>
      <c r="DJ448" s="37">
        <v>0</v>
      </c>
      <c r="DL448" s="36" t="s">
        <v>379</v>
      </c>
      <c r="DQ448" s="37">
        <v>0</v>
      </c>
      <c r="DS448" s="36" t="s">
        <v>379</v>
      </c>
      <c r="DX448" s="37">
        <v>0</v>
      </c>
      <c r="DZ448" s="36" t="s">
        <v>379</v>
      </c>
      <c r="EG448" s="36" t="s">
        <v>379</v>
      </c>
      <c r="EN448" s="36" t="s">
        <v>379</v>
      </c>
      <c r="EU448" s="36" t="s">
        <v>379</v>
      </c>
      <c r="FB448" s="36" t="s">
        <v>379</v>
      </c>
      <c r="FI448" s="36" t="s">
        <v>379</v>
      </c>
      <c r="FP448" s="36" t="s">
        <v>379</v>
      </c>
      <c r="FW448" s="36" t="s">
        <v>379</v>
      </c>
      <c r="GD448" s="36" t="s">
        <v>379</v>
      </c>
      <c r="GK448" s="36" t="s">
        <v>379</v>
      </c>
      <c r="GR448" s="36" t="s">
        <v>379</v>
      </c>
      <c r="GY448" s="36" t="s">
        <v>379</v>
      </c>
      <c r="HF448" s="36" t="s">
        <v>379</v>
      </c>
      <c r="HM448" s="36" t="s">
        <v>379</v>
      </c>
      <c r="HT448" s="36" t="s">
        <v>379</v>
      </c>
      <c r="IA448" s="36" t="s">
        <v>379</v>
      </c>
      <c r="IH448" s="36" t="s">
        <v>379</v>
      </c>
      <c r="IO448" s="36" t="s">
        <v>379</v>
      </c>
      <c r="IV448" s="36" t="s">
        <v>379</v>
      </c>
      <c r="JC448" s="36" t="s">
        <v>379</v>
      </c>
      <c r="JJ448" s="36" t="s">
        <v>379</v>
      </c>
      <c r="JQ448" s="36" t="s">
        <v>379</v>
      </c>
      <c r="JX448" s="36" t="s">
        <v>379</v>
      </c>
      <c r="KE448" s="36" t="s">
        <v>379</v>
      </c>
      <c r="KL448" s="36" t="s">
        <v>379</v>
      </c>
      <c r="KS448" s="36" t="s">
        <v>379</v>
      </c>
      <c r="KZ448" s="36" t="s">
        <v>379</v>
      </c>
      <c r="LF448" s="565"/>
      <c r="LG448" s="36" t="s">
        <v>379</v>
      </c>
      <c r="LM448" s="565"/>
      <c r="LN448" s="36" t="s">
        <v>379</v>
      </c>
      <c r="LT448" s="565"/>
      <c r="LU448" s="36" t="s">
        <v>379</v>
      </c>
      <c r="MA448" s="565"/>
      <c r="MB448" s="36" t="s">
        <v>379</v>
      </c>
      <c r="MH448" s="565"/>
    </row>
    <row r="449" spans="1:346" s="37" customFormat="1" ht="13.15" hidden="1" outlineLevel="1" x14ac:dyDescent="0.4">
      <c r="A449" s="35"/>
      <c r="B449" s="36" t="s">
        <v>380</v>
      </c>
      <c r="F449" s="37">
        <v>1300</v>
      </c>
      <c r="G449" s="37">
        <v>500</v>
      </c>
      <c r="H449" s="37">
        <v>700</v>
      </c>
      <c r="I449" s="37">
        <v>1500</v>
      </c>
      <c r="J449" s="37">
        <v>1700</v>
      </c>
      <c r="K449" s="37">
        <v>2500</v>
      </c>
      <c r="L449" s="37">
        <v>2763</v>
      </c>
      <c r="M449" s="37">
        <v>2853</v>
      </c>
      <c r="N449" s="37">
        <f t="shared" si="7359"/>
        <v>794</v>
      </c>
      <c r="O449" s="37">
        <f t="shared" si="7360"/>
        <v>908</v>
      </c>
      <c r="P449" s="37">
        <f t="shared" si="7361"/>
        <v>868</v>
      </c>
      <c r="Q449" s="37">
        <f t="shared" si="7362"/>
        <v>0</v>
      </c>
      <c r="R449" s="37">
        <f t="shared" si="7363"/>
        <v>0</v>
      </c>
      <c r="S449" s="37">
        <f t="shared" si="7364"/>
        <v>0</v>
      </c>
      <c r="T449" s="37">
        <f t="shared" si="7365"/>
        <v>0</v>
      </c>
      <c r="U449" s="37">
        <f t="shared" si="7366"/>
        <v>0</v>
      </c>
      <c r="V449" s="37">
        <f t="shared" si="7367"/>
        <v>0</v>
      </c>
      <c r="W449" s="37">
        <f t="shared" si="7368"/>
        <v>0</v>
      </c>
      <c r="X449" s="37">
        <f t="shared" si="7369"/>
        <v>0</v>
      </c>
      <c r="Y449" s="37">
        <f t="shared" si="7370"/>
        <v>0</v>
      </c>
      <c r="Z449" s="37">
        <f t="shared" si="7371"/>
        <v>0</v>
      </c>
      <c r="AA449" s="37">
        <f t="shared" si="7372"/>
        <v>0</v>
      </c>
      <c r="AB449" s="37">
        <f t="shared" si="7373"/>
        <v>0</v>
      </c>
      <c r="AC449" s="37">
        <f t="shared" si="7374"/>
        <v>0</v>
      </c>
      <c r="AD449" s="37">
        <f t="shared" si="7375"/>
        <v>0</v>
      </c>
      <c r="AE449" s="37">
        <f t="shared" si="7376"/>
        <v>0</v>
      </c>
      <c r="AF449" s="37">
        <f t="shared" si="7377"/>
        <v>0</v>
      </c>
      <c r="AG449" s="37">
        <f t="shared" si="7378"/>
        <v>0</v>
      </c>
      <c r="AH449" s="37">
        <f t="shared" si="7379"/>
        <v>0</v>
      </c>
      <c r="AI449" s="37">
        <f t="shared" si="7380"/>
        <v>0</v>
      </c>
      <c r="AJ449" s="37">
        <f t="shared" si="7381"/>
        <v>0</v>
      </c>
      <c r="AK449" s="37">
        <f t="shared" si="7382"/>
        <v>0</v>
      </c>
      <c r="AL449" s="37">
        <f t="shared" si="7383"/>
        <v>0</v>
      </c>
      <c r="AM449" s="37">
        <f t="shared" si="7384"/>
        <v>0</v>
      </c>
      <c r="AN449" s="37">
        <f t="shared" si="7385"/>
        <v>0</v>
      </c>
      <c r="AO449" s="37">
        <f t="shared" si="7386"/>
        <v>0</v>
      </c>
      <c r="AP449" s="37">
        <f t="shared" si="7387"/>
        <v>0</v>
      </c>
      <c r="AQ449" s="37">
        <f t="shared" si="7388"/>
        <v>0</v>
      </c>
      <c r="AR449" s="37">
        <f t="shared" si="7389"/>
        <v>0</v>
      </c>
      <c r="AS449" s="37">
        <f t="shared" si="7390"/>
        <v>0</v>
      </c>
      <c r="AT449" s="37">
        <f t="shared" si="7391"/>
        <v>0</v>
      </c>
      <c r="AU449" s="37">
        <f t="shared" si="7392"/>
        <v>0</v>
      </c>
      <c r="AV449" s="37">
        <f t="shared" si="7393"/>
        <v>0</v>
      </c>
      <c r="AW449" s="37">
        <f t="shared" si="7394"/>
        <v>0</v>
      </c>
      <c r="AX449" s="37">
        <f t="shared" si="7395"/>
        <v>0</v>
      </c>
      <c r="AY449" s="37">
        <f t="shared" si="7396"/>
        <v>0</v>
      </c>
      <c r="AZ449" s="37">
        <f t="shared" si="7397"/>
        <v>0</v>
      </c>
      <c r="BA449" s="37">
        <f t="shared" si="7398"/>
        <v>0</v>
      </c>
      <c r="BO449" s="36" t="s">
        <v>380</v>
      </c>
      <c r="BS449" s="37">
        <v>794</v>
      </c>
      <c r="BT449" s="37">
        <v>794</v>
      </c>
      <c r="BV449" s="36" t="s">
        <v>380</v>
      </c>
      <c r="BZ449" s="37">
        <v>908</v>
      </c>
      <c r="CA449" s="37">
        <v>908</v>
      </c>
      <c r="CC449" s="36" t="s">
        <v>380</v>
      </c>
      <c r="CG449" s="37">
        <v>868</v>
      </c>
      <c r="CH449" s="37">
        <v>868</v>
      </c>
      <c r="CJ449" s="36" t="s">
        <v>380</v>
      </c>
      <c r="CO449" s="37">
        <v>0</v>
      </c>
      <c r="CQ449" s="36" t="s">
        <v>380</v>
      </c>
      <c r="CV449" s="37">
        <v>0</v>
      </c>
      <c r="CX449" s="36" t="s">
        <v>380</v>
      </c>
      <c r="DC449" s="37">
        <v>0</v>
      </c>
      <c r="DE449" s="36" t="s">
        <v>380</v>
      </c>
      <c r="DJ449" s="37">
        <v>0</v>
      </c>
      <c r="DL449" s="36" t="s">
        <v>380</v>
      </c>
      <c r="DQ449" s="37">
        <v>0</v>
      </c>
      <c r="DS449" s="36" t="s">
        <v>380</v>
      </c>
      <c r="DX449" s="37">
        <v>0</v>
      </c>
      <c r="DZ449" s="36" t="s">
        <v>380</v>
      </c>
      <c r="EG449" s="36" t="s">
        <v>380</v>
      </c>
      <c r="EN449" s="36" t="s">
        <v>380</v>
      </c>
      <c r="EU449" s="36" t="s">
        <v>380</v>
      </c>
      <c r="FB449" s="36" t="s">
        <v>380</v>
      </c>
      <c r="FI449" s="36" t="s">
        <v>380</v>
      </c>
      <c r="FP449" s="36" t="s">
        <v>380</v>
      </c>
      <c r="FW449" s="36" t="s">
        <v>380</v>
      </c>
      <c r="GD449" s="36" t="s">
        <v>380</v>
      </c>
      <c r="GK449" s="36" t="s">
        <v>380</v>
      </c>
      <c r="GR449" s="36" t="s">
        <v>380</v>
      </c>
      <c r="GY449" s="36" t="s">
        <v>380</v>
      </c>
      <c r="HF449" s="36" t="s">
        <v>380</v>
      </c>
      <c r="HM449" s="36" t="s">
        <v>380</v>
      </c>
      <c r="HT449" s="36" t="s">
        <v>380</v>
      </c>
      <c r="IA449" s="36" t="s">
        <v>380</v>
      </c>
      <c r="IH449" s="36" t="s">
        <v>380</v>
      </c>
      <c r="IO449" s="36" t="s">
        <v>380</v>
      </c>
      <c r="IV449" s="36" t="s">
        <v>380</v>
      </c>
      <c r="JC449" s="36" t="s">
        <v>380</v>
      </c>
      <c r="JJ449" s="36" t="s">
        <v>380</v>
      </c>
      <c r="JQ449" s="36" t="s">
        <v>380</v>
      </c>
      <c r="JX449" s="36" t="s">
        <v>380</v>
      </c>
      <c r="KE449" s="36" t="s">
        <v>380</v>
      </c>
      <c r="KL449" s="36" t="s">
        <v>380</v>
      </c>
      <c r="KS449" s="36" t="s">
        <v>380</v>
      </c>
      <c r="KZ449" s="36" t="s">
        <v>380</v>
      </c>
      <c r="LF449" s="565"/>
      <c r="LG449" s="36" t="s">
        <v>380</v>
      </c>
      <c r="LM449" s="565"/>
      <c r="LN449" s="36" t="s">
        <v>380</v>
      </c>
      <c r="LT449" s="565"/>
      <c r="LU449" s="36" t="s">
        <v>380</v>
      </c>
      <c r="MA449" s="565"/>
      <c r="MB449" s="36" t="s">
        <v>380</v>
      </c>
      <c r="MH449" s="565"/>
    </row>
    <row r="450" spans="1:346" s="37" customFormat="1" ht="13.15" hidden="1" outlineLevel="1" x14ac:dyDescent="0.4">
      <c r="A450" s="35"/>
      <c r="B450" s="36" t="s">
        <v>385</v>
      </c>
      <c r="F450" s="37">
        <v>29700</v>
      </c>
      <c r="G450" s="37">
        <v>28100</v>
      </c>
      <c r="H450" s="37">
        <v>27600</v>
      </c>
      <c r="I450" s="37">
        <v>32300</v>
      </c>
      <c r="J450" s="37">
        <v>34300</v>
      </c>
      <c r="K450" s="37">
        <v>37700</v>
      </c>
      <c r="L450" s="37">
        <v>40208</v>
      </c>
      <c r="M450" s="37">
        <v>38240</v>
      </c>
      <c r="N450" s="37">
        <f t="shared" si="7359"/>
        <v>10489</v>
      </c>
      <c r="O450" s="37">
        <f t="shared" si="7360"/>
        <v>11326</v>
      </c>
      <c r="P450" s="37">
        <f t="shared" si="7361"/>
        <v>10925</v>
      </c>
      <c r="Q450" s="37">
        <f t="shared" si="7362"/>
        <v>14759</v>
      </c>
      <c r="R450" s="37">
        <f t="shared" si="7363"/>
        <v>14371</v>
      </c>
      <c r="S450" s="37">
        <f t="shared" si="7364"/>
        <v>15894</v>
      </c>
      <c r="T450" s="37">
        <f t="shared" si="7365"/>
        <v>15994</v>
      </c>
      <c r="U450" s="37">
        <f t="shared" si="7366"/>
        <v>17520</v>
      </c>
      <c r="V450" s="37">
        <f t="shared" si="7367"/>
        <v>17291</v>
      </c>
      <c r="W450" s="37">
        <f t="shared" si="7368"/>
        <v>0</v>
      </c>
      <c r="X450" s="37">
        <f t="shared" si="7369"/>
        <v>0</v>
      </c>
      <c r="Y450" s="37">
        <f t="shared" si="7370"/>
        <v>0</v>
      </c>
      <c r="Z450" s="37">
        <f t="shared" si="7371"/>
        <v>0</v>
      </c>
      <c r="AA450" s="37">
        <f t="shared" si="7372"/>
        <v>0</v>
      </c>
      <c r="AB450" s="37">
        <f t="shared" si="7373"/>
        <v>0</v>
      </c>
      <c r="AC450" s="37">
        <f t="shared" si="7374"/>
        <v>0</v>
      </c>
      <c r="AD450" s="37">
        <f t="shared" si="7375"/>
        <v>0</v>
      </c>
      <c r="AE450" s="37">
        <f t="shared" si="7376"/>
        <v>0</v>
      </c>
      <c r="AF450" s="37">
        <f t="shared" si="7377"/>
        <v>0</v>
      </c>
      <c r="AG450" s="37">
        <f t="shared" si="7378"/>
        <v>0</v>
      </c>
      <c r="AH450" s="37">
        <f t="shared" si="7379"/>
        <v>0</v>
      </c>
      <c r="AI450" s="37">
        <f t="shared" si="7380"/>
        <v>0</v>
      </c>
      <c r="AJ450" s="37">
        <f t="shared" si="7381"/>
        <v>0</v>
      </c>
      <c r="AK450" s="37">
        <f t="shared" si="7382"/>
        <v>0</v>
      </c>
      <c r="AL450" s="37">
        <f t="shared" si="7383"/>
        <v>0</v>
      </c>
      <c r="AM450" s="37">
        <f t="shared" si="7384"/>
        <v>0</v>
      </c>
      <c r="AN450" s="37">
        <f t="shared" si="7385"/>
        <v>0</v>
      </c>
      <c r="AO450" s="37">
        <f t="shared" si="7386"/>
        <v>0</v>
      </c>
      <c r="AP450" s="37">
        <f t="shared" si="7387"/>
        <v>0</v>
      </c>
      <c r="AQ450" s="37">
        <f t="shared" si="7388"/>
        <v>0</v>
      </c>
      <c r="AR450" s="37">
        <f t="shared" si="7389"/>
        <v>0</v>
      </c>
      <c r="AS450" s="37">
        <f t="shared" si="7390"/>
        <v>0</v>
      </c>
      <c r="AT450" s="37">
        <f t="shared" si="7391"/>
        <v>0</v>
      </c>
      <c r="AU450" s="37">
        <f t="shared" si="7392"/>
        <v>0</v>
      </c>
      <c r="AV450" s="37">
        <f t="shared" si="7393"/>
        <v>0</v>
      </c>
      <c r="AW450" s="37">
        <f t="shared" si="7394"/>
        <v>0</v>
      </c>
      <c r="AX450" s="37">
        <f t="shared" si="7395"/>
        <v>0</v>
      </c>
      <c r="AY450" s="37">
        <f t="shared" si="7396"/>
        <v>0</v>
      </c>
      <c r="AZ450" s="37">
        <f t="shared" si="7397"/>
        <v>0</v>
      </c>
      <c r="BA450" s="37">
        <f t="shared" si="7398"/>
        <v>0</v>
      </c>
      <c r="BO450" s="36" t="s">
        <v>385</v>
      </c>
      <c r="BS450" s="37">
        <v>10489</v>
      </c>
      <c r="BT450" s="37">
        <v>10489</v>
      </c>
      <c r="BV450" s="36" t="s">
        <v>385</v>
      </c>
      <c r="BZ450" s="37">
        <v>11326</v>
      </c>
      <c r="CA450" s="37">
        <v>11326</v>
      </c>
      <c r="CC450" s="36" t="s">
        <v>385</v>
      </c>
      <c r="CG450" s="37">
        <v>10925</v>
      </c>
      <c r="CH450" s="37">
        <v>10925</v>
      </c>
      <c r="CJ450" s="36" t="s">
        <v>385</v>
      </c>
      <c r="CN450" s="37">
        <v>14759</v>
      </c>
      <c r="CO450" s="37">
        <v>14759</v>
      </c>
      <c r="CQ450" s="36" t="s">
        <v>385</v>
      </c>
      <c r="CU450" s="37">
        <v>14371</v>
      </c>
      <c r="CV450" s="37">
        <v>14371</v>
      </c>
      <c r="CX450" s="36" t="s">
        <v>385</v>
      </c>
      <c r="DB450" s="37">
        <v>15894</v>
      </c>
      <c r="DC450" s="37">
        <v>15894</v>
      </c>
      <c r="DE450" s="36" t="s">
        <v>385</v>
      </c>
      <c r="DI450" s="37">
        <v>15994</v>
      </c>
      <c r="DJ450" s="37">
        <v>15994</v>
      </c>
      <c r="DL450" s="36" t="s">
        <v>385</v>
      </c>
      <c r="DP450" s="37">
        <v>17520</v>
      </c>
      <c r="DQ450" s="37">
        <v>17520</v>
      </c>
      <c r="DS450" s="36" t="s">
        <v>385</v>
      </c>
      <c r="DW450" s="37">
        <v>17291</v>
      </c>
      <c r="DX450" s="37">
        <v>17291</v>
      </c>
      <c r="DZ450" s="36" t="s">
        <v>385</v>
      </c>
      <c r="ED450" s="37">
        <v>17291</v>
      </c>
      <c r="EG450" s="36" t="s">
        <v>385</v>
      </c>
      <c r="EK450" s="37">
        <v>17291</v>
      </c>
      <c r="EN450" s="36" t="s">
        <v>385</v>
      </c>
      <c r="ER450" s="37">
        <v>17291</v>
      </c>
      <c r="EU450" s="36" t="s">
        <v>385</v>
      </c>
      <c r="FB450" s="36" t="s">
        <v>385</v>
      </c>
      <c r="FI450" s="36" t="s">
        <v>385</v>
      </c>
      <c r="FP450" s="36" t="s">
        <v>385</v>
      </c>
      <c r="FW450" s="36" t="s">
        <v>385</v>
      </c>
      <c r="GD450" s="36" t="s">
        <v>385</v>
      </c>
      <c r="GK450" s="36" t="s">
        <v>385</v>
      </c>
      <c r="GR450" s="36" t="s">
        <v>385</v>
      </c>
      <c r="GY450" s="36" t="s">
        <v>385</v>
      </c>
      <c r="HF450" s="36" t="s">
        <v>385</v>
      </c>
      <c r="HM450" s="36" t="s">
        <v>385</v>
      </c>
      <c r="HT450" s="36" t="s">
        <v>385</v>
      </c>
      <c r="IA450" s="36" t="s">
        <v>385</v>
      </c>
      <c r="IH450" s="36" t="s">
        <v>385</v>
      </c>
      <c r="IO450" s="36" t="s">
        <v>385</v>
      </c>
      <c r="IV450" s="36" t="s">
        <v>385</v>
      </c>
      <c r="JC450" s="36" t="s">
        <v>385</v>
      </c>
      <c r="JJ450" s="36" t="s">
        <v>385</v>
      </c>
      <c r="JQ450" s="36" t="s">
        <v>385</v>
      </c>
      <c r="JX450" s="36" t="s">
        <v>385</v>
      </c>
      <c r="KE450" s="36" t="s">
        <v>385</v>
      </c>
      <c r="KL450" s="36" t="s">
        <v>385</v>
      </c>
      <c r="KS450" s="36" t="s">
        <v>385</v>
      </c>
      <c r="KZ450" s="36" t="s">
        <v>385</v>
      </c>
      <c r="LF450" s="565"/>
      <c r="LG450" s="36" t="s">
        <v>385</v>
      </c>
      <c r="LM450" s="565"/>
      <c r="LN450" s="36" t="s">
        <v>385</v>
      </c>
      <c r="LT450" s="565"/>
      <c r="LU450" s="36" t="s">
        <v>385</v>
      </c>
      <c r="MA450" s="565"/>
      <c r="MB450" s="36" t="s">
        <v>385</v>
      </c>
      <c r="MH450" s="565"/>
    </row>
    <row r="451" spans="1:346" s="37" customFormat="1" ht="13.15" hidden="1" outlineLevel="1" x14ac:dyDescent="0.4">
      <c r="A451" s="35"/>
      <c r="B451" s="36"/>
      <c r="C451" s="37">
        <v>1978</v>
      </c>
      <c r="D451" s="37">
        <v>1979</v>
      </c>
      <c r="E451" s="37">
        <v>1980</v>
      </c>
      <c r="BO451" s="36"/>
      <c r="BV451" s="36"/>
      <c r="CC451" s="36"/>
      <c r="CJ451" s="36"/>
      <c r="CQ451" s="36"/>
      <c r="CX451" s="36"/>
      <c r="DE451" s="36"/>
      <c r="DL451" s="36"/>
      <c r="DS451" s="36"/>
      <c r="DZ451" s="36"/>
      <c r="EG451" s="36"/>
      <c r="EN451" s="36"/>
      <c r="EU451" s="36"/>
      <c r="FB451" s="36"/>
      <c r="FI451" s="36"/>
      <c r="FP451" s="36"/>
      <c r="FW451" s="36"/>
      <c r="GD451" s="36"/>
      <c r="GK451" s="36"/>
      <c r="GR451" s="36"/>
      <c r="GY451" s="36"/>
      <c r="HF451" s="36"/>
      <c r="HM451" s="36"/>
      <c r="HT451" s="36"/>
      <c r="IA451" s="36"/>
      <c r="IH451" s="36"/>
      <c r="IO451" s="36"/>
      <c r="IV451" s="36"/>
      <c r="JC451" s="36"/>
      <c r="JJ451" s="36"/>
      <c r="JQ451" s="36"/>
      <c r="JX451" s="36"/>
      <c r="KE451" s="36"/>
      <c r="KL451" s="36"/>
      <c r="KS451" s="36"/>
      <c r="KZ451" s="36"/>
      <c r="LF451" s="565"/>
      <c r="LG451" s="36"/>
      <c r="LM451" s="565"/>
      <c r="LN451" s="36"/>
      <c r="LT451" s="565"/>
      <c r="LU451" s="36"/>
      <c r="MA451" s="565"/>
      <c r="MB451" s="36"/>
      <c r="MH451" s="565"/>
    </row>
    <row r="452" spans="1:346" s="37" customFormat="1" ht="13.15" hidden="1" outlineLevel="1" x14ac:dyDescent="0.4">
      <c r="A452" s="35"/>
      <c r="B452" s="36" t="s">
        <v>386</v>
      </c>
      <c r="BO452" s="36" t="s">
        <v>386</v>
      </c>
      <c r="BV452" s="36" t="s">
        <v>386</v>
      </c>
      <c r="CC452" s="36" t="s">
        <v>386</v>
      </c>
      <c r="CJ452" s="36" t="s">
        <v>386</v>
      </c>
      <c r="CQ452" s="36" t="s">
        <v>386</v>
      </c>
      <c r="CX452" s="36" t="s">
        <v>386</v>
      </c>
      <c r="DE452" s="36" t="s">
        <v>386</v>
      </c>
      <c r="DL452" s="36" t="s">
        <v>386</v>
      </c>
      <c r="DS452" s="36" t="s">
        <v>386</v>
      </c>
      <c r="DZ452" s="36" t="s">
        <v>386</v>
      </c>
      <c r="EG452" s="36" t="s">
        <v>386</v>
      </c>
      <c r="EN452" s="36" t="s">
        <v>386</v>
      </c>
      <c r="EU452" s="36" t="s">
        <v>386</v>
      </c>
      <c r="FB452" s="36" t="s">
        <v>386</v>
      </c>
      <c r="FI452" s="36" t="s">
        <v>386</v>
      </c>
      <c r="FP452" s="36" t="s">
        <v>386</v>
      </c>
      <c r="FW452" s="36" t="s">
        <v>386</v>
      </c>
      <c r="GD452" s="36" t="s">
        <v>386</v>
      </c>
      <c r="GK452" s="36" t="s">
        <v>386</v>
      </c>
      <c r="GR452" s="36" t="s">
        <v>386</v>
      </c>
      <c r="GY452" s="36" t="s">
        <v>386</v>
      </c>
      <c r="HF452" s="36" t="s">
        <v>386</v>
      </c>
      <c r="HM452" s="36" t="s">
        <v>386</v>
      </c>
      <c r="HT452" s="36" t="s">
        <v>386</v>
      </c>
      <c r="IA452" s="36" t="s">
        <v>386</v>
      </c>
      <c r="IH452" s="36" t="s">
        <v>386</v>
      </c>
      <c r="IO452" s="36" t="s">
        <v>386</v>
      </c>
      <c r="IV452" s="36" t="s">
        <v>386</v>
      </c>
      <c r="JC452" s="36" t="s">
        <v>386</v>
      </c>
      <c r="JJ452" s="36" t="s">
        <v>386</v>
      </c>
      <c r="JQ452" s="36" t="s">
        <v>386</v>
      </c>
      <c r="JX452" s="36" t="s">
        <v>386</v>
      </c>
      <c r="KE452" s="36" t="s">
        <v>386</v>
      </c>
      <c r="KL452" s="36" t="s">
        <v>386</v>
      </c>
      <c r="KS452" s="36" t="s">
        <v>386</v>
      </c>
      <c r="KZ452" s="36" t="s">
        <v>386</v>
      </c>
      <c r="LF452" s="565"/>
      <c r="LG452" s="36" t="s">
        <v>386</v>
      </c>
      <c r="LM452" s="565"/>
      <c r="LN452" s="36" t="s">
        <v>386</v>
      </c>
      <c r="LT452" s="565"/>
      <c r="LU452" s="36" t="s">
        <v>386</v>
      </c>
      <c r="MA452" s="565"/>
      <c r="MB452" s="36" t="s">
        <v>386</v>
      </c>
      <c r="MH452" s="565"/>
    </row>
    <row r="453" spans="1:346" s="37" customFormat="1" ht="13.15" hidden="1" outlineLevel="1" x14ac:dyDescent="0.4">
      <c r="A453" s="35"/>
      <c r="B453" s="36" t="s">
        <v>147</v>
      </c>
      <c r="BO453" s="36" t="s">
        <v>147</v>
      </c>
      <c r="BS453" s="37">
        <v>3650</v>
      </c>
      <c r="BT453" s="37">
        <v>3650</v>
      </c>
      <c r="BV453" s="36" t="s">
        <v>147</v>
      </c>
      <c r="BZ453" s="37">
        <v>3743</v>
      </c>
      <c r="CA453" s="37">
        <v>3743</v>
      </c>
      <c r="CC453" s="36" t="s">
        <v>147</v>
      </c>
      <c r="CG453" s="37">
        <v>4755</v>
      </c>
      <c r="CH453" s="37">
        <v>4755</v>
      </c>
      <c r="CJ453" s="36" t="s">
        <v>147</v>
      </c>
      <c r="CN453" s="37">
        <v>4502</v>
      </c>
      <c r="CO453" s="37">
        <v>4502</v>
      </c>
      <c r="CQ453" s="36" t="s">
        <v>147</v>
      </c>
      <c r="CU453" s="37">
        <v>4091</v>
      </c>
      <c r="CV453" s="37">
        <v>4091</v>
      </c>
      <c r="CX453" s="36" t="s">
        <v>147</v>
      </c>
      <c r="DB453" s="37">
        <v>4159</v>
      </c>
      <c r="DC453" s="37">
        <v>4159</v>
      </c>
      <c r="DE453" s="36" t="s">
        <v>147</v>
      </c>
      <c r="DI453" s="37">
        <v>3382</v>
      </c>
      <c r="DJ453" s="37">
        <v>3382</v>
      </c>
      <c r="DL453" s="36" t="s">
        <v>147</v>
      </c>
      <c r="DS453" s="36" t="s">
        <v>147</v>
      </c>
      <c r="DZ453" s="36" t="s">
        <v>147</v>
      </c>
      <c r="EG453" s="36" t="s">
        <v>147</v>
      </c>
      <c r="EN453" s="36" t="s">
        <v>147</v>
      </c>
      <c r="EU453" s="36" t="s">
        <v>147</v>
      </c>
      <c r="FB453" s="36" t="s">
        <v>147</v>
      </c>
      <c r="FI453" s="36" t="s">
        <v>147</v>
      </c>
      <c r="FP453" s="36" t="s">
        <v>147</v>
      </c>
      <c r="FW453" s="36" t="s">
        <v>147</v>
      </c>
      <c r="GD453" s="36" t="s">
        <v>147</v>
      </c>
      <c r="GK453" s="36" t="s">
        <v>147</v>
      </c>
      <c r="GR453" s="36" t="s">
        <v>147</v>
      </c>
      <c r="GY453" s="36" t="s">
        <v>147</v>
      </c>
      <c r="HF453" s="36" t="s">
        <v>147</v>
      </c>
      <c r="HM453" s="36" t="s">
        <v>147</v>
      </c>
      <c r="HT453" s="36" t="s">
        <v>147</v>
      </c>
      <c r="IA453" s="36" t="s">
        <v>147</v>
      </c>
      <c r="IH453" s="36" t="s">
        <v>147</v>
      </c>
      <c r="IO453" s="36" t="s">
        <v>147</v>
      </c>
      <c r="IV453" s="36" t="s">
        <v>147</v>
      </c>
      <c r="JC453" s="36" t="s">
        <v>147</v>
      </c>
      <c r="JJ453" s="36" t="s">
        <v>147</v>
      </c>
      <c r="JQ453" s="36" t="s">
        <v>147</v>
      </c>
      <c r="JX453" s="36" t="s">
        <v>147</v>
      </c>
      <c r="KE453" s="36" t="s">
        <v>147</v>
      </c>
      <c r="KL453" s="36" t="s">
        <v>147</v>
      </c>
      <c r="KS453" s="36" t="s">
        <v>147</v>
      </c>
      <c r="KZ453" s="36" t="s">
        <v>147</v>
      </c>
      <c r="LF453" s="565"/>
      <c r="LG453" s="36" t="s">
        <v>147</v>
      </c>
      <c r="LM453" s="565"/>
      <c r="LN453" s="36" t="s">
        <v>147</v>
      </c>
      <c r="LT453" s="565"/>
      <c r="LU453" s="36" t="s">
        <v>147</v>
      </c>
      <c r="MA453" s="565"/>
      <c r="MB453" s="36" t="s">
        <v>147</v>
      </c>
      <c r="MH453" s="565"/>
    </row>
    <row r="454" spans="1:346" s="37" customFormat="1" ht="13.15" hidden="1" outlineLevel="1" x14ac:dyDescent="0.4">
      <c r="A454" s="35"/>
      <c r="B454" s="36" t="s">
        <v>377</v>
      </c>
      <c r="BO454" s="36" t="s">
        <v>377</v>
      </c>
      <c r="BS454" s="37">
        <v>2447</v>
      </c>
      <c r="BT454" s="37">
        <v>2447</v>
      </c>
      <c r="BV454" s="36" t="s">
        <v>377</v>
      </c>
      <c r="BZ454" s="37">
        <v>2633</v>
      </c>
      <c r="CA454" s="37">
        <v>2633</v>
      </c>
      <c r="CC454" s="36" t="s">
        <v>377</v>
      </c>
      <c r="CG454" s="37">
        <v>1904</v>
      </c>
      <c r="CH454" s="37">
        <v>1904</v>
      </c>
      <c r="CJ454" s="36" t="s">
        <v>377</v>
      </c>
      <c r="CN454" s="37">
        <v>6119</v>
      </c>
      <c r="CO454" s="37">
        <v>6119</v>
      </c>
      <c r="CQ454" s="36" t="s">
        <v>377</v>
      </c>
      <c r="CU454" s="37">
        <v>5986</v>
      </c>
      <c r="CV454" s="37">
        <v>5986</v>
      </c>
      <c r="CX454" s="36" t="s">
        <v>377</v>
      </c>
      <c r="DB454" s="37">
        <v>6613</v>
      </c>
      <c r="DC454" s="37">
        <v>6613</v>
      </c>
      <c r="DE454" s="36" t="s">
        <v>377</v>
      </c>
      <c r="DI454" s="37">
        <v>6910</v>
      </c>
      <c r="DJ454" s="37">
        <v>6910</v>
      </c>
      <c r="DL454" s="36" t="s">
        <v>377</v>
      </c>
      <c r="DS454" s="36" t="s">
        <v>377</v>
      </c>
      <c r="DZ454" s="36" t="s">
        <v>377</v>
      </c>
      <c r="EG454" s="36" t="s">
        <v>377</v>
      </c>
      <c r="EN454" s="36" t="s">
        <v>377</v>
      </c>
      <c r="EU454" s="36" t="s">
        <v>377</v>
      </c>
      <c r="FB454" s="36" t="s">
        <v>377</v>
      </c>
      <c r="FI454" s="36" t="s">
        <v>377</v>
      </c>
      <c r="FP454" s="36" t="s">
        <v>377</v>
      </c>
      <c r="FW454" s="36" t="s">
        <v>377</v>
      </c>
      <c r="GD454" s="36" t="s">
        <v>377</v>
      </c>
      <c r="GK454" s="36" t="s">
        <v>377</v>
      </c>
      <c r="GR454" s="36" t="s">
        <v>377</v>
      </c>
      <c r="GY454" s="36" t="s">
        <v>377</v>
      </c>
      <c r="HF454" s="36" t="s">
        <v>377</v>
      </c>
      <c r="HM454" s="36" t="s">
        <v>377</v>
      </c>
      <c r="HT454" s="36" t="s">
        <v>377</v>
      </c>
      <c r="IA454" s="36" t="s">
        <v>377</v>
      </c>
      <c r="IH454" s="36" t="s">
        <v>377</v>
      </c>
      <c r="IO454" s="36" t="s">
        <v>377</v>
      </c>
      <c r="IV454" s="36" t="s">
        <v>377</v>
      </c>
      <c r="JC454" s="36" t="s">
        <v>377</v>
      </c>
      <c r="JJ454" s="36" t="s">
        <v>377</v>
      </c>
      <c r="JQ454" s="36" t="s">
        <v>377</v>
      </c>
      <c r="JX454" s="36" t="s">
        <v>377</v>
      </c>
      <c r="KE454" s="36" t="s">
        <v>377</v>
      </c>
      <c r="KL454" s="36" t="s">
        <v>377</v>
      </c>
      <c r="KS454" s="36" t="s">
        <v>377</v>
      </c>
      <c r="KZ454" s="36" t="s">
        <v>377</v>
      </c>
      <c r="LF454" s="565"/>
      <c r="LG454" s="36" t="s">
        <v>377</v>
      </c>
      <c r="LM454" s="565"/>
      <c r="LN454" s="36" t="s">
        <v>377</v>
      </c>
      <c r="LT454" s="565"/>
      <c r="LU454" s="36" t="s">
        <v>377</v>
      </c>
      <c r="MA454" s="565"/>
      <c r="MB454" s="36" t="s">
        <v>377</v>
      </c>
      <c r="MH454" s="565"/>
    </row>
    <row r="455" spans="1:346" s="37" customFormat="1" ht="13.15" hidden="1" outlineLevel="1" x14ac:dyDescent="0.4">
      <c r="A455" s="35"/>
      <c r="B455" s="36" t="s">
        <v>378</v>
      </c>
      <c r="BO455" s="36" t="s">
        <v>378</v>
      </c>
      <c r="BS455" s="37">
        <v>820</v>
      </c>
      <c r="BT455" s="37">
        <v>820</v>
      </c>
      <c r="BV455" s="36" t="s">
        <v>378</v>
      </c>
      <c r="BZ455" s="37">
        <v>947</v>
      </c>
      <c r="CA455" s="37">
        <v>947</v>
      </c>
      <c r="CC455" s="36" t="s">
        <v>378</v>
      </c>
      <c r="CG455" s="37">
        <v>1012</v>
      </c>
      <c r="CH455" s="37">
        <v>1012</v>
      </c>
      <c r="CJ455" s="36" t="s">
        <v>378</v>
      </c>
      <c r="CN455" s="37">
        <v>2664</v>
      </c>
      <c r="CO455" s="37">
        <v>2664</v>
      </c>
      <c r="CQ455" s="36" t="s">
        <v>378</v>
      </c>
      <c r="CU455" s="37">
        <v>2864</v>
      </c>
      <c r="CV455" s="37">
        <v>2864</v>
      </c>
      <c r="CX455" s="36" t="s">
        <v>378</v>
      </c>
      <c r="DB455" s="37">
        <v>3634</v>
      </c>
      <c r="DC455" s="37">
        <v>3634</v>
      </c>
      <c r="DE455" s="36" t="s">
        <v>378</v>
      </c>
      <c r="DI455" s="37">
        <v>3243</v>
      </c>
      <c r="DJ455" s="37">
        <v>3243</v>
      </c>
      <c r="DL455" s="36" t="s">
        <v>378</v>
      </c>
      <c r="DS455" s="36" t="s">
        <v>378</v>
      </c>
      <c r="DZ455" s="36" t="s">
        <v>378</v>
      </c>
      <c r="EG455" s="36" t="s">
        <v>378</v>
      </c>
      <c r="EN455" s="36" t="s">
        <v>378</v>
      </c>
      <c r="EU455" s="36" t="s">
        <v>378</v>
      </c>
      <c r="FB455" s="36" t="s">
        <v>378</v>
      </c>
      <c r="FI455" s="36" t="s">
        <v>378</v>
      </c>
      <c r="FP455" s="36" t="s">
        <v>378</v>
      </c>
      <c r="FW455" s="36" t="s">
        <v>378</v>
      </c>
      <c r="GD455" s="36" t="s">
        <v>378</v>
      </c>
      <c r="GK455" s="36" t="s">
        <v>378</v>
      </c>
      <c r="GR455" s="36" t="s">
        <v>378</v>
      </c>
      <c r="GY455" s="36" t="s">
        <v>378</v>
      </c>
      <c r="HF455" s="36" t="s">
        <v>378</v>
      </c>
      <c r="HM455" s="36" t="s">
        <v>378</v>
      </c>
      <c r="HT455" s="36" t="s">
        <v>378</v>
      </c>
      <c r="IA455" s="36" t="s">
        <v>378</v>
      </c>
      <c r="IH455" s="36" t="s">
        <v>378</v>
      </c>
      <c r="IO455" s="36" t="s">
        <v>378</v>
      </c>
      <c r="IV455" s="36" t="s">
        <v>378</v>
      </c>
      <c r="JC455" s="36" t="s">
        <v>378</v>
      </c>
      <c r="JJ455" s="36" t="s">
        <v>378</v>
      </c>
      <c r="JQ455" s="36" t="s">
        <v>378</v>
      </c>
      <c r="JX455" s="36" t="s">
        <v>378</v>
      </c>
      <c r="KE455" s="36" t="s">
        <v>378</v>
      </c>
      <c r="KL455" s="36" t="s">
        <v>378</v>
      </c>
      <c r="KS455" s="36" t="s">
        <v>378</v>
      </c>
      <c r="KZ455" s="36" t="s">
        <v>378</v>
      </c>
      <c r="LF455" s="565"/>
      <c r="LG455" s="36" t="s">
        <v>378</v>
      </c>
      <c r="LM455" s="565"/>
      <c r="LN455" s="36" t="s">
        <v>378</v>
      </c>
      <c r="LT455" s="565"/>
      <c r="LU455" s="36" t="s">
        <v>378</v>
      </c>
      <c r="MA455" s="565"/>
      <c r="MB455" s="36" t="s">
        <v>378</v>
      </c>
      <c r="MH455" s="565"/>
    </row>
    <row r="456" spans="1:346" s="37" customFormat="1" ht="13.15" hidden="1" outlineLevel="1" x14ac:dyDescent="0.4">
      <c r="A456" s="35"/>
      <c r="B456" s="36" t="s">
        <v>379</v>
      </c>
      <c r="BO456" s="36" t="s">
        <v>379</v>
      </c>
      <c r="BS456" s="37">
        <v>1625</v>
      </c>
      <c r="BT456" s="37">
        <v>1625</v>
      </c>
      <c r="BV456" s="36" t="s">
        <v>379</v>
      </c>
      <c r="BZ456" s="37">
        <v>1560</v>
      </c>
      <c r="CA456" s="37">
        <v>1560</v>
      </c>
      <c r="CC456" s="36" t="s">
        <v>379</v>
      </c>
      <c r="CG456" s="37">
        <v>1580</v>
      </c>
      <c r="CH456" s="37">
        <v>1580</v>
      </c>
      <c r="CJ456" s="36" t="s">
        <v>379</v>
      </c>
      <c r="CQ456" s="36" t="s">
        <v>379</v>
      </c>
      <c r="CX456" s="36" t="s">
        <v>379</v>
      </c>
      <c r="DE456" s="36" t="s">
        <v>379</v>
      </c>
      <c r="DL456" s="36" t="s">
        <v>379</v>
      </c>
      <c r="DS456" s="36" t="s">
        <v>379</v>
      </c>
      <c r="DZ456" s="36" t="s">
        <v>379</v>
      </c>
      <c r="EG456" s="36" t="s">
        <v>379</v>
      </c>
      <c r="EN456" s="36" t="s">
        <v>379</v>
      </c>
      <c r="EU456" s="36" t="s">
        <v>379</v>
      </c>
      <c r="FB456" s="36" t="s">
        <v>379</v>
      </c>
      <c r="FI456" s="36" t="s">
        <v>379</v>
      </c>
      <c r="FP456" s="36" t="s">
        <v>379</v>
      </c>
      <c r="FW456" s="36" t="s">
        <v>379</v>
      </c>
      <c r="GD456" s="36" t="s">
        <v>379</v>
      </c>
      <c r="GK456" s="36" t="s">
        <v>379</v>
      </c>
      <c r="GR456" s="36" t="s">
        <v>379</v>
      </c>
      <c r="GY456" s="36" t="s">
        <v>379</v>
      </c>
      <c r="HF456" s="36" t="s">
        <v>379</v>
      </c>
      <c r="HM456" s="36" t="s">
        <v>379</v>
      </c>
      <c r="HT456" s="36" t="s">
        <v>379</v>
      </c>
      <c r="IA456" s="36" t="s">
        <v>379</v>
      </c>
      <c r="IH456" s="36" t="s">
        <v>379</v>
      </c>
      <c r="IO456" s="36" t="s">
        <v>379</v>
      </c>
      <c r="IV456" s="36" t="s">
        <v>379</v>
      </c>
      <c r="JC456" s="36" t="s">
        <v>379</v>
      </c>
      <c r="JJ456" s="36" t="s">
        <v>379</v>
      </c>
      <c r="JQ456" s="36" t="s">
        <v>379</v>
      </c>
      <c r="JX456" s="36" t="s">
        <v>379</v>
      </c>
      <c r="KE456" s="36" t="s">
        <v>379</v>
      </c>
      <c r="KL456" s="36" t="s">
        <v>379</v>
      </c>
      <c r="KS456" s="36" t="s">
        <v>379</v>
      </c>
      <c r="KZ456" s="36" t="s">
        <v>379</v>
      </c>
      <c r="LF456" s="565"/>
      <c r="LG456" s="36" t="s">
        <v>379</v>
      </c>
      <c r="LM456" s="565"/>
      <c r="LN456" s="36" t="s">
        <v>379</v>
      </c>
      <c r="LT456" s="565"/>
      <c r="LU456" s="36" t="s">
        <v>379</v>
      </c>
      <c r="MA456" s="565"/>
      <c r="MB456" s="36" t="s">
        <v>379</v>
      </c>
      <c r="MH456" s="565"/>
    </row>
    <row r="457" spans="1:346" s="37" customFormat="1" ht="13.15" hidden="1" outlineLevel="1" x14ac:dyDescent="0.4">
      <c r="A457" s="35"/>
      <c r="B457" s="36" t="s">
        <v>380</v>
      </c>
      <c r="BO457" s="36" t="s">
        <v>380</v>
      </c>
      <c r="BS457" s="37">
        <v>839</v>
      </c>
      <c r="BT457" s="37">
        <v>839</v>
      </c>
      <c r="BV457" s="36" t="s">
        <v>380</v>
      </c>
      <c r="BZ457" s="37">
        <v>911</v>
      </c>
      <c r="CA457" s="37">
        <v>911</v>
      </c>
      <c r="CC457" s="36" t="s">
        <v>380</v>
      </c>
      <c r="CG457" s="37">
        <v>984</v>
      </c>
      <c r="CH457" s="37">
        <v>984</v>
      </c>
      <c r="CJ457" s="36" t="s">
        <v>380</v>
      </c>
      <c r="CQ457" s="36" t="s">
        <v>380</v>
      </c>
      <c r="CX457" s="36" t="s">
        <v>380</v>
      </c>
      <c r="DE457" s="36" t="s">
        <v>380</v>
      </c>
      <c r="DL457" s="36" t="s">
        <v>380</v>
      </c>
      <c r="DS457" s="36" t="s">
        <v>380</v>
      </c>
      <c r="DZ457" s="36" t="s">
        <v>380</v>
      </c>
      <c r="EG457" s="36" t="s">
        <v>380</v>
      </c>
      <c r="EN457" s="36" t="s">
        <v>380</v>
      </c>
      <c r="EU457" s="36" t="s">
        <v>380</v>
      </c>
      <c r="FB457" s="36" t="s">
        <v>380</v>
      </c>
      <c r="FI457" s="36" t="s">
        <v>380</v>
      </c>
      <c r="FP457" s="36" t="s">
        <v>380</v>
      </c>
      <c r="FW457" s="36" t="s">
        <v>380</v>
      </c>
      <c r="GD457" s="36" t="s">
        <v>380</v>
      </c>
      <c r="GK457" s="36" t="s">
        <v>380</v>
      </c>
      <c r="GR457" s="36" t="s">
        <v>380</v>
      </c>
      <c r="GY457" s="36" t="s">
        <v>380</v>
      </c>
      <c r="HF457" s="36" t="s">
        <v>380</v>
      </c>
      <c r="HM457" s="36" t="s">
        <v>380</v>
      </c>
      <c r="HT457" s="36" t="s">
        <v>380</v>
      </c>
      <c r="IA457" s="36" t="s">
        <v>380</v>
      </c>
      <c r="IH457" s="36" t="s">
        <v>380</v>
      </c>
      <c r="IO457" s="36" t="s">
        <v>380</v>
      </c>
      <c r="IV457" s="36" t="s">
        <v>380</v>
      </c>
      <c r="JC457" s="36" t="s">
        <v>380</v>
      </c>
      <c r="JJ457" s="36" t="s">
        <v>380</v>
      </c>
      <c r="JQ457" s="36" t="s">
        <v>380</v>
      </c>
      <c r="JX457" s="36" t="s">
        <v>380</v>
      </c>
      <c r="KE457" s="36" t="s">
        <v>380</v>
      </c>
      <c r="KL457" s="36" t="s">
        <v>380</v>
      </c>
      <c r="KS457" s="36" t="s">
        <v>380</v>
      </c>
      <c r="KZ457" s="36" t="s">
        <v>380</v>
      </c>
      <c r="LF457" s="565"/>
      <c r="LG457" s="36" t="s">
        <v>380</v>
      </c>
      <c r="LM457" s="565"/>
      <c r="LN457" s="36" t="s">
        <v>380</v>
      </c>
      <c r="LT457" s="565"/>
      <c r="LU457" s="36" t="s">
        <v>380</v>
      </c>
      <c r="MA457" s="565"/>
      <c r="MB457" s="36" t="s">
        <v>380</v>
      </c>
      <c r="MH457" s="565"/>
    </row>
    <row r="458" spans="1:346" s="37" customFormat="1" ht="13.15" hidden="1" outlineLevel="1" x14ac:dyDescent="0.4">
      <c r="A458" s="35"/>
      <c r="B458" s="36" t="s">
        <v>387</v>
      </c>
      <c r="F458" s="37">
        <v>21500</v>
      </c>
      <c r="G458" s="37">
        <v>18400</v>
      </c>
      <c r="H458" s="37">
        <v>19100</v>
      </c>
      <c r="I458" s="37">
        <v>23800</v>
      </c>
      <c r="J458" s="37">
        <v>25900</v>
      </c>
      <c r="K458" s="37">
        <v>31700</v>
      </c>
      <c r="L458" s="37">
        <v>33300</v>
      </c>
      <c r="M458" s="37">
        <v>35100</v>
      </c>
      <c r="N458" s="37">
        <f>BT458</f>
        <v>9381</v>
      </c>
      <c r="O458" s="37">
        <f>CA458</f>
        <v>9794</v>
      </c>
      <c r="P458" s="37">
        <f>CH458</f>
        <v>10235</v>
      </c>
      <c r="Q458" s="37">
        <f>CO458</f>
        <v>13285</v>
      </c>
      <c r="R458" s="37">
        <f>CV458</f>
        <v>12941</v>
      </c>
      <c r="S458" s="37">
        <f>DC458</f>
        <v>14406</v>
      </c>
      <c r="T458" s="37">
        <f>DJ458</f>
        <v>13535</v>
      </c>
      <c r="U458" s="37">
        <f>DQ458</f>
        <v>14878</v>
      </c>
      <c r="V458" s="37">
        <f>DX458</f>
        <v>0</v>
      </c>
      <c r="W458" s="37">
        <f>EE458</f>
        <v>0</v>
      </c>
      <c r="X458" s="37">
        <f>EL458</f>
        <v>0</v>
      </c>
      <c r="Y458" s="37">
        <f>ES458</f>
        <v>0</v>
      </c>
      <c r="Z458" s="37">
        <f>EZ458</f>
        <v>0</v>
      </c>
      <c r="AA458" s="37">
        <f>FG458</f>
        <v>0</v>
      </c>
      <c r="AB458" s="37">
        <f>FN458</f>
        <v>0</v>
      </c>
      <c r="AC458" s="37">
        <f>FU458</f>
        <v>0</v>
      </c>
      <c r="AD458" s="37">
        <f>GB458</f>
        <v>0</v>
      </c>
      <c r="AE458" s="37">
        <f>GI458</f>
        <v>0</v>
      </c>
      <c r="AF458" s="37">
        <f>GP458</f>
        <v>0</v>
      </c>
      <c r="AG458" s="37">
        <f>GW458</f>
        <v>0</v>
      </c>
      <c r="AH458" s="37">
        <f>HD458</f>
        <v>0</v>
      </c>
      <c r="AI458" s="37">
        <f>HK458</f>
        <v>0</v>
      </c>
      <c r="AJ458" s="37">
        <f>HR458</f>
        <v>0</v>
      </c>
      <c r="AK458" s="37">
        <f>HY458</f>
        <v>0</v>
      </c>
      <c r="AL458" s="37">
        <f>IF458</f>
        <v>0</v>
      </c>
      <c r="AM458" s="37">
        <f>IM458</f>
        <v>0</v>
      </c>
      <c r="AN458" s="37">
        <f>IT458</f>
        <v>0</v>
      </c>
      <c r="AO458" s="37">
        <f>JA458</f>
        <v>0</v>
      </c>
      <c r="AP458" s="37">
        <f>JH458</f>
        <v>0</v>
      </c>
      <c r="AQ458" s="37">
        <f>JO458</f>
        <v>0</v>
      </c>
      <c r="AR458" s="37">
        <f>JV458</f>
        <v>0</v>
      </c>
      <c r="AS458" s="37">
        <f>KC458</f>
        <v>0</v>
      </c>
      <c r="AT458" s="37">
        <f>KJ458</f>
        <v>0</v>
      </c>
      <c r="AU458" s="37">
        <f>KQ458</f>
        <v>0</v>
      </c>
      <c r="AV458" s="37">
        <f>KX458</f>
        <v>0</v>
      </c>
      <c r="AW458" s="37">
        <f>LE458</f>
        <v>0</v>
      </c>
      <c r="AX458" s="37">
        <f>LL458</f>
        <v>0</v>
      </c>
      <c r="AY458" s="37">
        <f>LS458</f>
        <v>0</v>
      </c>
      <c r="AZ458" s="37">
        <f>LZ458</f>
        <v>0</v>
      </c>
      <c r="BA458" s="37">
        <f>MG458</f>
        <v>0</v>
      </c>
      <c r="BO458" s="36" t="s">
        <v>387</v>
      </c>
      <c r="BS458" s="37">
        <v>9381</v>
      </c>
      <c r="BT458" s="37">
        <v>9381</v>
      </c>
      <c r="BV458" s="36" t="s">
        <v>387</v>
      </c>
      <c r="BZ458" s="37">
        <v>9794</v>
      </c>
      <c r="CA458" s="37">
        <v>9794</v>
      </c>
      <c r="CC458" s="36" t="s">
        <v>387</v>
      </c>
      <c r="CG458" s="37">
        <v>10235</v>
      </c>
      <c r="CH458" s="37">
        <v>10235</v>
      </c>
      <c r="CJ458" s="36" t="s">
        <v>387</v>
      </c>
      <c r="CN458" s="37">
        <v>13285</v>
      </c>
      <c r="CO458" s="37">
        <v>13285</v>
      </c>
      <c r="CQ458" s="36" t="s">
        <v>387</v>
      </c>
      <c r="CU458" s="37">
        <v>12941</v>
      </c>
      <c r="CV458" s="37">
        <v>12941</v>
      </c>
      <c r="CX458" s="36" t="s">
        <v>387</v>
      </c>
      <c r="DB458" s="37">
        <v>14406</v>
      </c>
      <c r="DC458" s="37">
        <v>14406</v>
      </c>
      <c r="DE458" s="36" t="s">
        <v>387</v>
      </c>
      <c r="DI458" s="37">
        <v>13535</v>
      </c>
      <c r="DJ458" s="37">
        <v>13535</v>
      </c>
      <c r="DL458" s="36" t="s">
        <v>387</v>
      </c>
      <c r="DP458" s="37">
        <v>14878</v>
      </c>
      <c r="DQ458" s="37">
        <v>14878</v>
      </c>
      <c r="DS458" s="36" t="s">
        <v>387</v>
      </c>
      <c r="DZ458" s="36" t="s">
        <v>387</v>
      </c>
      <c r="EG458" s="36" t="s">
        <v>387</v>
      </c>
      <c r="EN458" s="36" t="s">
        <v>387</v>
      </c>
      <c r="EU458" s="36" t="s">
        <v>387</v>
      </c>
      <c r="FB458" s="36" t="s">
        <v>387</v>
      </c>
      <c r="FI458" s="36" t="s">
        <v>387</v>
      </c>
      <c r="FP458" s="36" t="s">
        <v>387</v>
      </c>
      <c r="FW458" s="36" t="s">
        <v>387</v>
      </c>
      <c r="GD458" s="36" t="s">
        <v>387</v>
      </c>
      <c r="GK458" s="36" t="s">
        <v>387</v>
      </c>
      <c r="GR458" s="36" t="s">
        <v>387</v>
      </c>
      <c r="GY458" s="36" t="s">
        <v>387</v>
      </c>
      <c r="HF458" s="36" t="s">
        <v>387</v>
      </c>
      <c r="HM458" s="36" t="s">
        <v>387</v>
      </c>
      <c r="HT458" s="36" t="s">
        <v>387</v>
      </c>
      <c r="IA458" s="36" t="s">
        <v>387</v>
      </c>
      <c r="IH458" s="36" t="s">
        <v>387</v>
      </c>
      <c r="IO458" s="36" t="s">
        <v>387</v>
      </c>
      <c r="IV458" s="36" t="s">
        <v>387</v>
      </c>
      <c r="JC458" s="36" t="s">
        <v>387</v>
      </c>
      <c r="JJ458" s="36" t="s">
        <v>387</v>
      </c>
      <c r="JQ458" s="36" t="s">
        <v>387</v>
      </c>
      <c r="JX458" s="36" t="s">
        <v>387</v>
      </c>
      <c r="KE458" s="36" t="s">
        <v>387</v>
      </c>
      <c r="KL458" s="36" t="s">
        <v>387</v>
      </c>
      <c r="KS458" s="36" t="s">
        <v>387</v>
      </c>
      <c r="KZ458" s="36" t="s">
        <v>387</v>
      </c>
      <c r="LF458" s="565"/>
      <c r="LG458" s="36" t="s">
        <v>387</v>
      </c>
      <c r="LM458" s="565"/>
      <c r="LN458" s="36" t="s">
        <v>387</v>
      </c>
      <c r="LT458" s="565"/>
      <c r="LU458" s="36" t="s">
        <v>387</v>
      </c>
      <c r="MA458" s="565"/>
      <c r="MB458" s="36" t="s">
        <v>387</v>
      </c>
      <c r="MH458" s="565"/>
    </row>
    <row r="459" spans="1:346" s="37" customFormat="1" ht="13.15" hidden="1" outlineLevel="1" x14ac:dyDescent="0.4">
      <c r="A459" s="35"/>
      <c r="B459" s="36"/>
      <c r="BO459" s="36"/>
      <c r="BV459" s="36"/>
      <c r="CC459" s="36"/>
      <c r="CJ459" s="36"/>
      <c r="CQ459" s="36"/>
      <c r="CX459" s="36"/>
      <c r="DE459" s="36"/>
      <c r="DL459" s="36"/>
      <c r="DS459" s="36"/>
      <c r="DZ459" s="36"/>
      <c r="EG459" s="36"/>
      <c r="EN459" s="36"/>
      <c r="EU459" s="36"/>
      <c r="FB459" s="36"/>
      <c r="FI459" s="36"/>
      <c r="FP459" s="36"/>
      <c r="FW459" s="36"/>
      <c r="GD459" s="36"/>
      <c r="GK459" s="36"/>
      <c r="GR459" s="36"/>
      <c r="GY459" s="36"/>
      <c r="HF459" s="36"/>
      <c r="HM459" s="36"/>
      <c r="HT459" s="36"/>
      <c r="IA459" s="36"/>
      <c r="IH459" s="36"/>
      <c r="IO459" s="36"/>
      <c r="IV459" s="36"/>
      <c r="JC459" s="36"/>
      <c r="JJ459" s="36"/>
      <c r="JQ459" s="36"/>
      <c r="JX459" s="36"/>
      <c r="KE459" s="36"/>
      <c r="KL459" s="36"/>
      <c r="KS459" s="36"/>
      <c r="KZ459" s="36"/>
      <c r="LF459" s="565"/>
      <c r="LG459" s="36"/>
      <c r="LM459" s="565"/>
      <c r="LN459" s="36"/>
      <c r="LT459" s="565"/>
      <c r="LU459" s="36"/>
      <c r="MA459" s="565"/>
      <c r="MB459" s="36"/>
      <c r="MH459" s="565"/>
    </row>
    <row r="460" spans="1:346" s="37" customFormat="1" ht="13.15" hidden="1" outlineLevel="1" x14ac:dyDescent="0.4">
      <c r="A460" s="35"/>
      <c r="B460" s="36" t="s">
        <v>388</v>
      </c>
      <c r="BO460" s="36" t="s">
        <v>388</v>
      </c>
      <c r="BV460" s="36" t="s">
        <v>388</v>
      </c>
      <c r="CC460" s="36" t="s">
        <v>388</v>
      </c>
      <c r="CJ460" s="36" t="s">
        <v>388</v>
      </c>
      <c r="CQ460" s="36" t="s">
        <v>388</v>
      </c>
      <c r="CX460" s="36" t="s">
        <v>388</v>
      </c>
      <c r="DE460" s="36" t="s">
        <v>388</v>
      </c>
      <c r="DL460" s="36" t="s">
        <v>388</v>
      </c>
      <c r="DS460" s="36" t="s">
        <v>388</v>
      </c>
      <c r="DZ460" s="36" t="s">
        <v>388</v>
      </c>
      <c r="EG460" s="36" t="s">
        <v>388</v>
      </c>
      <c r="EN460" s="36" t="s">
        <v>388</v>
      </c>
      <c r="EU460" s="36" t="s">
        <v>388</v>
      </c>
      <c r="FB460" s="36" t="s">
        <v>388</v>
      </c>
      <c r="FI460" s="36" t="s">
        <v>388</v>
      </c>
      <c r="FP460" s="36" t="s">
        <v>388</v>
      </c>
      <c r="FW460" s="36" t="s">
        <v>388</v>
      </c>
      <c r="GD460" s="36" t="s">
        <v>388</v>
      </c>
      <c r="GK460" s="36" t="s">
        <v>388</v>
      </c>
      <c r="GR460" s="36" t="s">
        <v>388</v>
      </c>
      <c r="GY460" s="36" t="s">
        <v>388</v>
      </c>
      <c r="HF460" s="36" t="s">
        <v>388</v>
      </c>
      <c r="HM460" s="36" t="s">
        <v>388</v>
      </c>
      <c r="HT460" s="36" t="s">
        <v>388</v>
      </c>
      <c r="IA460" s="36" t="s">
        <v>388</v>
      </c>
      <c r="IH460" s="36" t="s">
        <v>388</v>
      </c>
      <c r="IO460" s="36" t="s">
        <v>388</v>
      </c>
      <c r="IV460" s="36" t="s">
        <v>388</v>
      </c>
      <c r="JC460" s="36" t="s">
        <v>388</v>
      </c>
      <c r="JJ460" s="36" t="s">
        <v>388</v>
      </c>
      <c r="JQ460" s="36" t="s">
        <v>388</v>
      </c>
      <c r="JX460" s="36" t="s">
        <v>388</v>
      </c>
      <c r="KE460" s="36" t="s">
        <v>388</v>
      </c>
      <c r="KL460" s="36" t="s">
        <v>388</v>
      </c>
      <c r="KS460" s="36" t="s">
        <v>388</v>
      </c>
      <c r="KZ460" s="36" t="s">
        <v>388</v>
      </c>
      <c r="LF460" s="565"/>
      <c r="LG460" s="36" t="s">
        <v>388</v>
      </c>
      <c r="LM460" s="565"/>
      <c r="LN460" s="36" t="s">
        <v>388</v>
      </c>
      <c r="LT460" s="565"/>
      <c r="LU460" s="36" t="s">
        <v>388</v>
      </c>
      <c r="MA460" s="565"/>
      <c r="MB460" s="36" t="s">
        <v>388</v>
      </c>
      <c r="MH460" s="565"/>
    </row>
    <row r="461" spans="1:346" s="37" customFormat="1" ht="13.15" hidden="1" outlineLevel="1" x14ac:dyDescent="0.4">
      <c r="A461" s="35"/>
      <c r="B461" s="36" t="s">
        <v>147</v>
      </c>
      <c r="BO461" s="36" t="s">
        <v>147</v>
      </c>
      <c r="BS461" s="37">
        <v>0.58356164383561648</v>
      </c>
      <c r="BT461" s="37">
        <v>2.3123287671232879</v>
      </c>
      <c r="BV461" s="36" t="s">
        <v>147</v>
      </c>
      <c r="BZ461" s="37">
        <v>0.63318193962062519</v>
      </c>
      <c r="CA461" s="37">
        <v>2.6529521773978089</v>
      </c>
      <c r="CC461" s="36" t="s">
        <v>147</v>
      </c>
      <c r="CG461" s="37">
        <v>0.58885383806519453</v>
      </c>
      <c r="CH461" s="37">
        <v>2.2565720294426916</v>
      </c>
      <c r="CJ461" s="36" t="s">
        <v>147</v>
      </c>
      <c r="CN461" s="37">
        <v>0.60639715681919149</v>
      </c>
      <c r="CO461" s="37">
        <v>2.3700577521101733</v>
      </c>
      <c r="CQ461" s="36" t="s">
        <v>147</v>
      </c>
      <c r="CU461" s="37">
        <v>0.63554143241261307</v>
      </c>
      <c r="CV461" s="37">
        <v>2.3026154974333903</v>
      </c>
      <c r="CX461" s="36" t="s">
        <v>147</v>
      </c>
      <c r="DB461" s="37">
        <v>0.57706179370040878</v>
      </c>
      <c r="DC461" s="37">
        <v>2.4044241404183699</v>
      </c>
      <c r="DE461" s="36" t="s">
        <v>147</v>
      </c>
      <c r="DI461" s="37">
        <v>0.65050266114725019</v>
      </c>
      <c r="DJ461" s="37">
        <v>2.7498521584861031</v>
      </c>
      <c r="DL461" s="36" t="s">
        <v>147</v>
      </c>
      <c r="DS461" s="36" t="s">
        <v>147</v>
      </c>
      <c r="DZ461" s="36" t="s">
        <v>147</v>
      </c>
      <c r="EG461" s="36" t="s">
        <v>147</v>
      </c>
      <c r="EN461" s="36" t="s">
        <v>147</v>
      </c>
      <c r="EU461" s="36" t="s">
        <v>147</v>
      </c>
      <c r="FB461" s="36" t="s">
        <v>147</v>
      </c>
      <c r="FI461" s="36" t="s">
        <v>147</v>
      </c>
      <c r="FP461" s="36" t="s">
        <v>147</v>
      </c>
      <c r="FW461" s="36" t="s">
        <v>147</v>
      </c>
      <c r="GD461" s="36" t="s">
        <v>147</v>
      </c>
      <c r="GK461" s="36" t="s">
        <v>147</v>
      </c>
      <c r="GR461" s="36" t="s">
        <v>147</v>
      </c>
      <c r="GY461" s="36" t="s">
        <v>147</v>
      </c>
      <c r="HF461" s="36" t="s">
        <v>147</v>
      </c>
      <c r="HM461" s="36" t="s">
        <v>147</v>
      </c>
      <c r="HT461" s="36" t="s">
        <v>147</v>
      </c>
      <c r="IA461" s="36" t="s">
        <v>147</v>
      </c>
      <c r="IH461" s="36" t="s">
        <v>147</v>
      </c>
      <c r="IO461" s="36" t="s">
        <v>147</v>
      </c>
      <c r="IV461" s="36" t="s">
        <v>147</v>
      </c>
      <c r="JC461" s="36" t="s">
        <v>147</v>
      </c>
      <c r="JJ461" s="36" t="s">
        <v>147</v>
      </c>
      <c r="JQ461" s="36" t="s">
        <v>147</v>
      </c>
      <c r="JX461" s="36" t="s">
        <v>147</v>
      </c>
      <c r="KE461" s="36" t="s">
        <v>147</v>
      </c>
      <c r="KL461" s="36" t="s">
        <v>147</v>
      </c>
      <c r="KS461" s="36" t="s">
        <v>147</v>
      </c>
      <c r="KZ461" s="36" t="s">
        <v>147</v>
      </c>
      <c r="LF461" s="565"/>
      <c r="LG461" s="36" t="s">
        <v>147</v>
      </c>
      <c r="LM461" s="565"/>
      <c r="LN461" s="36" t="s">
        <v>147</v>
      </c>
      <c r="LT461" s="565"/>
      <c r="LU461" s="36" t="s">
        <v>147</v>
      </c>
      <c r="MA461" s="565"/>
      <c r="MB461" s="36" t="s">
        <v>147</v>
      </c>
      <c r="MH461" s="565"/>
    </row>
    <row r="462" spans="1:346" s="37" customFormat="1" ht="13.15" hidden="1" outlineLevel="1" x14ac:dyDescent="0.4">
      <c r="A462" s="35"/>
      <c r="B462" s="36" t="s">
        <v>377</v>
      </c>
      <c r="BO462" s="36" t="s">
        <v>377</v>
      </c>
      <c r="BS462" s="37">
        <v>0.77646097261953417</v>
      </c>
      <c r="BT462" s="37">
        <v>2.7789129546383329</v>
      </c>
      <c r="BV462" s="36" t="s">
        <v>377</v>
      </c>
      <c r="BZ462" s="37">
        <v>0.70262058488416257</v>
      </c>
      <c r="CA462" s="37">
        <v>2.6243828332700341</v>
      </c>
      <c r="CC462" s="36" t="s">
        <v>377</v>
      </c>
      <c r="CG462" s="37">
        <v>0.76680672268907557</v>
      </c>
      <c r="CH462" s="37">
        <v>2.5420168067226889</v>
      </c>
      <c r="CJ462" s="36" t="s">
        <v>377</v>
      </c>
      <c r="CN462" s="37">
        <v>0.66023860107860766</v>
      </c>
      <c r="CO462" s="37">
        <v>1.5263932015035138</v>
      </c>
      <c r="CQ462" s="36" t="s">
        <v>377</v>
      </c>
      <c r="CU462" s="37">
        <v>0.63481456732375541</v>
      </c>
      <c r="CV462" s="37">
        <v>1.8810557968593384</v>
      </c>
      <c r="CX462" s="36" t="s">
        <v>377</v>
      </c>
      <c r="DB462" s="37">
        <v>0.77120822622107965</v>
      </c>
      <c r="DC462" s="37">
        <v>1.8750945108120369</v>
      </c>
      <c r="DE462" s="36" t="s">
        <v>377</v>
      </c>
      <c r="DI462" s="37">
        <v>0.89725036179450068</v>
      </c>
      <c r="DJ462" s="37">
        <v>2.7351664254703327</v>
      </c>
      <c r="DL462" s="36" t="s">
        <v>377</v>
      </c>
      <c r="DS462" s="36" t="s">
        <v>377</v>
      </c>
      <c r="DZ462" s="36" t="s">
        <v>377</v>
      </c>
      <c r="EG462" s="36" t="s">
        <v>377</v>
      </c>
      <c r="EN462" s="36" t="s">
        <v>377</v>
      </c>
      <c r="EU462" s="36" t="s">
        <v>377</v>
      </c>
      <c r="FB462" s="36" t="s">
        <v>377</v>
      </c>
      <c r="FI462" s="36" t="s">
        <v>377</v>
      </c>
      <c r="FP462" s="36" t="s">
        <v>377</v>
      </c>
      <c r="FW462" s="36" t="s">
        <v>377</v>
      </c>
      <c r="GD462" s="36" t="s">
        <v>377</v>
      </c>
      <c r="GK462" s="36" t="s">
        <v>377</v>
      </c>
      <c r="GR462" s="36" t="s">
        <v>377</v>
      </c>
      <c r="GY462" s="36" t="s">
        <v>377</v>
      </c>
      <c r="HF462" s="36" t="s">
        <v>377</v>
      </c>
      <c r="HM462" s="36" t="s">
        <v>377</v>
      </c>
      <c r="HT462" s="36" t="s">
        <v>377</v>
      </c>
      <c r="IA462" s="36" t="s">
        <v>377</v>
      </c>
      <c r="IH462" s="36" t="s">
        <v>377</v>
      </c>
      <c r="IO462" s="36" t="s">
        <v>377</v>
      </c>
      <c r="IV462" s="36" t="s">
        <v>377</v>
      </c>
      <c r="JC462" s="36" t="s">
        <v>377</v>
      </c>
      <c r="JJ462" s="36" t="s">
        <v>377</v>
      </c>
      <c r="JQ462" s="36" t="s">
        <v>377</v>
      </c>
      <c r="JX462" s="36" t="s">
        <v>377</v>
      </c>
      <c r="KE462" s="36" t="s">
        <v>377</v>
      </c>
      <c r="KL462" s="36" t="s">
        <v>377</v>
      </c>
      <c r="KS462" s="36" t="s">
        <v>377</v>
      </c>
      <c r="KZ462" s="36" t="s">
        <v>377</v>
      </c>
      <c r="LF462" s="565"/>
      <c r="LG462" s="36" t="s">
        <v>377</v>
      </c>
      <c r="LM462" s="565"/>
      <c r="LN462" s="36" t="s">
        <v>377</v>
      </c>
      <c r="LT462" s="565"/>
      <c r="LU462" s="36" t="s">
        <v>377</v>
      </c>
      <c r="MA462" s="565"/>
      <c r="MB462" s="36" t="s">
        <v>377</v>
      </c>
      <c r="MH462" s="565"/>
    </row>
    <row r="463" spans="1:346" s="37" customFormat="1" ht="13.15" hidden="1" outlineLevel="1" x14ac:dyDescent="0.4">
      <c r="A463" s="35"/>
      <c r="B463" s="36" t="s">
        <v>378</v>
      </c>
      <c r="BO463" s="36" t="s">
        <v>378</v>
      </c>
      <c r="BS463" s="37">
        <v>1.0487804878048779</v>
      </c>
      <c r="BT463" s="37">
        <v>4.7439024390243905</v>
      </c>
      <c r="BV463" s="36" t="s">
        <v>378</v>
      </c>
      <c r="BZ463" s="37">
        <v>1.2565997888067582</v>
      </c>
      <c r="CA463" s="37">
        <v>4.5828933474128828</v>
      </c>
      <c r="CC463" s="36" t="s">
        <v>378</v>
      </c>
      <c r="CG463" s="37">
        <v>0.93873517786561256</v>
      </c>
      <c r="CH463" s="37">
        <v>4.337944664031621</v>
      </c>
      <c r="CJ463" s="36" t="s">
        <v>378</v>
      </c>
      <c r="CN463" s="37">
        <v>0.84459459459459463</v>
      </c>
      <c r="CO463" s="37">
        <v>2.2334834834834836</v>
      </c>
      <c r="CQ463" s="36" t="s">
        <v>378</v>
      </c>
      <c r="CU463" s="37">
        <v>0.80307262569832405</v>
      </c>
      <c r="CV463" s="37">
        <v>2.9783519553072626</v>
      </c>
      <c r="CX463" s="36" t="s">
        <v>378</v>
      </c>
      <c r="DB463" s="37">
        <v>0.79801871216290587</v>
      </c>
      <c r="DC463" s="37">
        <v>2.8893780957622455</v>
      </c>
      <c r="DE463" s="36" t="s">
        <v>378</v>
      </c>
      <c r="DI463" s="37">
        <v>0.92506938020351526</v>
      </c>
      <c r="DJ463" s="37">
        <v>3.700277520814061</v>
      </c>
      <c r="DL463" s="36" t="s">
        <v>378</v>
      </c>
      <c r="DS463" s="36" t="s">
        <v>378</v>
      </c>
      <c r="DZ463" s="36" t="s">
        <v>378</v>
      </c>
      <c r="EG463" s="36" t="s">
        <v>378</v>
      </c>
      <c r="EN463" s="36" t="s">
        <v>378</v>
      </c>
      <c r="EU463" s="36" t="s">
        <v>378</v>
      </c>
      <c r="FB463" s="36" t="s">
        <v>378</v>
      </c>
      <c r="FI463" s="36" t="s">
        <v>378</v>
      </c>
      <c r="FP463" s="36" t="s">
        <v>378</v>
      </c>
      <c r="FW463" s="36" t="s">
        <v>378</v>
      </c>
      <c r="GD463" s="36" t="s">
        <v>378</v>
      </c>
      <c r="GK463" s="36" t="s">
        <v>378</v>
      </c>
      <c r="GR463" s="36" t="s">
        <v>378</v>
      </c>
      <c r="GY463" s="36" t="s">
        <v>378</v>
      </c>
      <c r="HF463" s="36" t="s">
        <v>378</v>
      </c>
      <c r="HM463" s="36" t="s">
        <v>378</v>
      </c>
      <c r="HT463" s="36" t="s">
        <v>378</v>
      </c>
      <c r="IA463" s="36" t="s">
        <v>378</v>
      </c>
      <c r="IH463" s="36" t="s">
        <v>378</v>
      </c>
      <c r="IO463" s="36" t="s">
        <v>378</v>
      </c>
      <c r="IV463" s="36" t="s">
        <v>378</v>
      </c>
      <c r="JC463" s="36" t="s">
        <v>378</v>
      </c>
      <c r="JJ463" s="36" t="s">
        <v>378</v>
      </c>
      <c r="JQ463" s="36" t="s">
        <v>378</v>
      </c>
      <c r="JX463" s="36" t="s">
        <v>378</v>
      </c>
      <c r="KE463" s="36" t="s">
        <v>378</v>
      </c>
      <c r="KL463" s="36" t="s">
        <v>378</v>
      </c>
      <c r="KS463" s="36" t="s">
        <v>378</v>
      </c>
      <c r="KZ463" s="36" t="s">
        <v>378</v>
      </c>
      <c r="LF463" s="565"/>
      <c r="LG463" s="36" t="s">
        <v>378</v>
      </c>
      <c r="LM463" s="565"/>
      <c r="LN463" s="36" t="s">
        <v>378</v>
      </c>
      <c r="LT463" s="565"/>
      <c r="LU463" s="36" t="s">
        <v>378</v>
      </c>
      <c r="MA463" s="565"/>
      <c r="MB463" s="36" t="s">
        <v>378</v>
      </c>
      <c r="MH463" s="565"/>
    </row>
    <row r="464" spans="1:346" s="37" customFormat="1" ht="13.15" hidden="1" outlineLevel="1" x14ac:dyDescent="0.4">
      <c r="A464" s="35"/>
      <c r="B464" s="36" t="s">
        <v>379</v>
      </c>
      <c r="BO464" s="36" t="s">
        <v>379</v>
      </c>
      <c r="BS464" s="37">
        <v>0.65846153846153843</v>
      </c>
      <c r="BT464" s="37">
        <v>2.7569230769230768</v>
      </c>
      <c r="BV464" s="36" t="s">
        <v>379</v>
      </c>
      <c r="BZ464" s="37">
        <v>0.70512820512820518</v>
      </c>
      <c r="CA464" s="37">
        <v>2.8205128205128207</v>
      </c>
      <c r="CC464" s="36" t="s">
        <v>379</v>
      </c>
      <c r="CG464" s="37">
        <v>0.63924050632911389</v>
      </c>
      <c r="CH464" s="37">
        <v>2.0632911392405062</v>
      </c>
      <c r="CJ464" s="36" t="s">
        <v>379</v>
      </c>
      <c r="CO464" s="37" t="e">
        <v>#DIV/0!</v>
      </c>
      <c r="CQ464" s="36" t="s">
        <v>379</v>
      </c>
      <c r="CX464" s="36" t="s">
        <v>379</v>
      </c>
      <c r="DE464" s="36" t="s">
        <v>379</v>
      </c>
      <c r="DL464" s="36" t="s">
        <v>379</v>
      </c>
      <c r="DS464" s="36" t="s">
        <v>379</v>
      </c>
      <c r="DZ464" s="36" t="s">
        <v>379</v>
      </c>
      <c r="EG464" s="36" t="s">
        <v>379</v>
      </c>
      <c r="EN464" s="36" t="s">
        <v>379</v>
      </c>
      <c r="EU464" s="36" t="s">
        <v>379</v>
      </c>
      <c r="FB464" s="36" t="s">
        <v>379</v>
      </c>
      <c r="FI464" s="36" t="s">
        <v>379</v>
      </c>
      <c r="FP464" s="36" t="s">
        <v>379</v>
      </c>
      <c r="FW464" s="36" t="s">
        <v>379</v>
      </c>
      <c r="GD464" s="36" t="s">
        <v>379</v>
      </c>
      <c r="GK464" s="36" t="s">
        <v>379</v>
      </c>
      <c r="GR464" s="36" t="s">
        <v>379</v>
      </c>
      <c r="GY464" s="36" t="s">
        <v>379</v>
      </c>
      <c r="HF464" s="36" t="s">
        <v>379</v>
      </c>
      <c r="HM464" s="36" t="s">
        <v>379</v>
      </c>
      <c r="HT464" s="36" t="s">
        <v>379</v>
      </c>
      <c r="IA464" s="36" t="s">
        <v>379</v>
      </c>
      <c r="IH464" s="36" t="s">
        <v>379</v>
      </c>
      <c r="IO464" s="36" t="s">
        <v>379</v>
      </c>
      <c r="IV464" s="36" t="s">
        <v>379</v>
      </c>
      <c r="JC464" s="36" t="s">
        <v>379</v>
      </c>
      <c r="JJ464" s="36" t="s">
        <v>379</v>
      </c>
      <c r="JQ464" s="36" t="s">
        <v>379</v>
      </c>
      <c r="JX464" s="36" t="s">
        <v>379</v>
      </c>
      <c r="KE464" s="36" t="s">
        <v>379</v>
      </c>
      <c r="KL464" s="36" t="s">
        <v>379</v>
      </c>
      <c r="KS464" s="36" t="s">
        <v>379</v>
      </c>
      <c r="KZ464" s="36" t="s">
        <v>379</v>
      </c>
      <c r="LF464" s="565"/>
      <c r="LG464" s="36" t="s">
        <v>379</v>
      </c>
      <c r="LM464" s="565"/>
      <c r="LN464" s="36" t="s">
        <v>379</v>
      </c>
      <c r="LT464" s="565"/>
      <c r="LU464" s="36" t="s">
        <v>379</v>
      </c>
      <c r="MA464" s="565"/>
      <c r="MB464" s="36" t="s">
        <v>379</v>
      </c>
      <c r="MH464" s="565"/>
    </row>
    <row r="465" spans="1:346" s="37" customFormat="1" ht="13.15" hidden="1" outlineLevel="1" x14ac:dyDescent="0.4">
      <c r="A465" s="35"/>
      <c r="B465" s="36" t="s">
        <v>380</v>
      </c>
      <c r="F465" s="37">
        <v>1.1339534883720932</v>
      </c>
      <c r="G465" s="37">
        <v>1.1016304347826089</v>
      </c>
      <c r="H465" s="37">
        <v>0.95047120418848174</v>
      </c>
      <c r="I465" s="37">
        <v>0.84327731092436964</v>
      </c>
      <c r="J465" s="37">
        <v>0.76640926640926643</v>
      </c>
      <c r="K465" s="37">
        <v>0.65394321766561514</v>
      </c>
      <c r="L465" s="37">
        <v>0.6216216216216216</v>
      </c>
      <c r="M465" s="37">
        <v>0.63817663817663817</v>
      </c>
      <c r="N465" s="37">
        <f>BT465</f>
        <v>3.1823599523241959</v>
      </c>
      <c r="O465" s="37">
        <f>CA465</f>
        <v>3.2381997804610325</v>
      </c>
      <c r="P465" s="37">
        <f>CH465</f>
        <v>3.4552845528455287</v>
      </c>
      <c r="Q465" s="37" t="e">
        <f>CO465</f>
        <v>#DIV/0!</v>
      </c>
      <c r="R465" s="37">
        <f>CV465</f>
        <v>0</v>
      </c>
      <c r="S465" s="37">
        <f>DC465</f>
        <v>0</v>
      </c>
      <c r="T465" s="37">
        <f>DJ465</f>
        <v>0</v>
      </c>
      <c r="U465" s="37">
        <f>DQ465</f>
        <v>0</v>
      </c>
      <c r="V465" s="37">
        <f>DX465</f>
        <v>0</v>
      </c>
      <c r="W465" s="37">
        <f>EE465</f>
        <v>0</v>
      </c>
      <c r="X465" s="37">
        <f>EL465</f>
        <v>0</v>
      </c>
      <c r="Y465" s="37">
        <f>ES465</f>
        <v>0</v>
      </c>
      <c r="Z465" s="37">
        <f>EZ465</f>
        <v>0</v>
      </c>
      <c r="AA465" s="37">
        <f>FG465</f>
        <v>0</v>
      </c>
      <c r="AB465" s="37">
        <f>FN465</f>
        <v>0</v>
      </c>
      <c r="AC465" s="37">
        <f>FU465</f>
        <v>0</v>
      </c>
      <c r="AD465" s="37">
        <f>GB465</f>
        <v>0</v>
      </c>
      <c r="AE465" s="37">
        <f>GI465</f>
        <v>0</v>
      </c>
      <c r="AF465" s="37">
        <f>GP465</f>
        <v>0</v>
      </c>
      <c r="AG465" s="37">
        <f>GW465</f>
        <v>0</v>
      </c>
      <c r="AH465" s="37">
        <f>HD465</f>
        <v>0</v>
      </c>
      <c r="AI465" s="37">
        <f>HK465</f>
        <v>0</v>
      </c>
      <c r="AJ465" s="37">
        <f>HR465</f>
        <v>0</v>
      </c>
      <c r="AK465" s="37">
        <f>HY465</f>
        <v>0</v>
      </c>
      <c r="AL465" s="37">
        <f>IF465</f>
        <v>0</v>
      </c>
      <c r="AM465" s="37">
        <f>IM465</f>
        <v>0</v>
      </c>
      <c r="AN465" s="37">
        <f>IT465</f>
        <v>0</v>
      </c>
      <c r="AO465" s="37">
        <f>JA465</f>
        <v>0</v>
      </c>
      <c r="AP465" s="37">
        <f>JH465</f>
        <v>0</v>
      </c>
      <c r="AQ465" s="37">
        <f>JO465</f>
        <v>0</v>
      </c>
      <c r="AR465" s="37">
        <f>JV465</f>
        <v>0</v>
      </c>
      <c r="AS465" s="37">
        <f>KC465</f>
        <v>0</v>
      </c>
      <c r="AT465" s="37">
        <f>KJ465</f>
        <v>0</v>
      </c>
      <c r="AU465" s="37">
        <f>KQ465</f>
        <v>0</v>
      </c>
      <c r="AV465" s="37">
        <f>KX465</f>
        <v>0</v>
      </c>
      <c r="AW465" s="37">
        <f>LE465</f>
        <v>0</v>
      </c>
      <c r="AX465" s="37">
        <f>LL465</f>
        <v>0</v>
      </c>
      <c r="AY465" s="37">
        <f>LS465</f>
        <v>0</v>
      </c>
      <c r="AZ465" s="37">
        <f>LZ465</f>
        <v>0</v>
      </c>
      <c r="BA465" s="37">
        <f>MG465</f>
        <v>0</v>
      </c>
      <c r="BO465" s="36" t="s">
        <v>380</v>
      </c>
      <c r="BS465" s="37">
        <v>0.76281287246722285</v>
      </c>
      <c r="BT465" s="37">
        <v>3.1823599523241959</v>
      </c>
      <c r="BV465" s="36" t="s">
        <v>380</v>
      </c>
      <c r="BZ465" s="37">
        <v>0.80131723380900111</v>
      </c>
      <c r="CA465" s="37">
        <v>3.2381997804610325</v>
      </c>
      <c r="CC465" s="36" t="s">
        <v>380</v>
      </c>
      <c r="CG465" s="37">
        <v>0.70121951219512202</v>
      </c>
      <c r="CH465" s="37">
        <v>3.4552845528455287</v>
      </c>
      <c r="CJ465" s="36" t="s">
        <v>380</v>
      </c>
      <c r="CO465" s="37" t="e">
        <v>#DIV/0!</v>
      </c>
      <c r="CQ465" s="36" t="s">
        <v>380</v>
      </c>
      <c r="CX465" s="36" t="s">
        <v>380</v>
      </c>
      <c r="DE465" s="36" t="s">
        <v>380</v>
      </c>
      <c r="DL465" s="36" t="s">
        <v>380</v>
      </c>
      <c r="DS465" s="36" t="s">
        <v>380</v>
      </c>
      <c r="DZ465" s="36" t="s">
        <v>380</v>
      </c>
      <c r="EG465" s="36" t="s">
        <v>380</v>
      </c>
      <c r="EN465" s="36" t="s">
        <v>380</v>
      </c>
      <c r="EU465" s="36" t="s">
        <v>380</v>
      </c>
      <c r="FB465" s="36" t="s">
        <v>380</v>
      </c>
      <c r="FI465" s="36" t="s">
        <v>380</v>
      </c>
      <c r="FP465" s="36" t="s">
        <v>380</v>
      </c>
      <c r="FW465" s="36" t="s">
        <v>380</v>
      </c>
      <c r="GD465" s="36" t="s">
        <v>380</v>
      </c>
      <c r="GK465" s="36" t="s">
        <v>380</v>
      </c>
      <c r="GR465" s="36" t="s">
        <v>380</v>
      </c>
      <c r="GY465" s="36" t="s">
        <v>380</v>
      </c>
      <c r="HF465" s="36" t="s">
        <v>380</v>
      </c>
      <c r="HM465" s="36" t="s">
        <v>380</v>
      </c>
      <c r="HT465" s="36" t="s">
        <v>380</v>
      </c>
      <c r="IA465" s="36" t="s">
        <v>380</v>
      </c>
      <c r="IH465" s="36" t="s">
        <v>380</v>
      </c>
      <c r="IO465" s="36" t="s">
        <v>380</v>
      </c>
      <c r="IV465" s="36" t="s">
        <v>380</v>
      </c>
      <c r="JC465" s="36" t="s">
        <v>380</v>
      </c>
      <c r="JJ465" s="36" t="s">
        <v>380</v>
      </c>
      <c r="JQ465" s="36" t="s">
        <v>380</v>
      </c>
      <c r="JX465" s="36" t="s">
        <v>380</v>
      </c>
      <c r="KE465" s="36" t="s">
        <v>380</v>
      </c>
      <c r="KL465" s="36" t="s">
        <v>380</v>
      </c>
      <c r="KS465" s="36" t="s">
        <v>380</v>
      </c>
      <c r="KZ465" s="36" t="s">
        <v>380</v>
      </c>
      <c r="LF465" s="565"/>
      <c r="LG465" s="36" t="s">
        <v>380</v>
      </c>
      <c r="LM465" s="565"/>
      <c r="LN465" s="36" t="s">
        <v>380</v>
      </c>
      <c r="LT465" s="565"/>
      <c r="LU465" s="36" t="s">
        <v>380</v>
      </c>
      <c r="MA465" s="565"/>
      <c r="MB465" s="36" t="s">
        <v>380</v>
      </c>
      <c r="MH465" s="565"/>
    </row>
    <row r="466" spans="1:346" s="37" customFormat="1" ht="13.15" hidden="1" outlineLevel="1" x14ac:dyDescent="0.4">
      <c r="A466" s="35"/>
      <c r="B466" s="36" t="s">
        <v>389</v>
      </c>
      <c r="BO466" s="36" t="s">
        <v>389</v>
      </c>
      <c r="BS466" s="37">
        <v>0.70354972817396866</v>
      </c>
      <c r="BT466" s="37">
        <v>2.8014070994563474</v>
      </c>
      <c r="BV466" s="36" t="s">
        <v>389</v>
      </c>
      <c r="BZ466" s="37">
        <v>0.73922809883602192</v>
      </c>
      <c r="CA466" s="37">
        <v>2.9130079640596285</v>
      </c>
      <c r="CC466" s="36" t="s">
        <v>389</v>
      </c>
      <c r="CG466" s="37">
        <v>0.67513434294088925</v>
      </c>
      <c r="CH466" s="37">
        <v>2.6008793356130924</v>
      </c>
      <c r="CJ466" s="36" t="s">
        <v>389</v>
      </c>
      <c r="CN466" s="37">
        <v>0.67896123447497181</v>
      </c>
      <c r="CO466" s="37">
        <v>2.3357169740308619</v>
      </c>
      <c r="CQ466" s="36" t="s">
        <v>389</v>
      </c>
      <c r="CU466" s="37">
        <v>0.67228189475311029</v>
      </c>
      <c r="CV466" s="37">
        <v>2.2571671431883162</v>
      </c>
      <c r="CX466" s="36" t="s">
        <v>389</v>
      </c>
      <c r="DB466" s="37">
        <v>0.72192142162987638</v>
      </c>
      <c r="DC466" s="37">
        <v>2.2837706511175901</v>
      </c>
      <c r="DE466" s="36" t="s">
        <v>389</v>
      </c>
      <c r="DI466" s="37">
        <v>0.84226080531954206</v>
      </c>
      <c r="DJ466" s="37">
        <v>2.9700775766531216</v>
      </c>
      <c r="DL466" s="36" t="s">
        <v>389</v>
      </c>
      <c r="DP466" s="37">
        <v>0.86033068960881842</v>
      </c>
      <c r="DQ466" s="37">
        <v>3.1186987498319665</v>
      </c>
      <c r="DS466" s="36" t="s">
        <v>389</v>
      </c>
      <c r="DZ466" s="36" t="s">
        <v>389</v>
      </c>
      <c r="EG466" s="36" t="s">
        <v>389</v>
      </c>
      <c r="EN466" s="36" t="s">
        <v>389</v>
      </c>
      <c r="EU466" s="36" t="s">
        <v>389</v>
      </c>
      <c r="FB466" s="36" t="s">
        <v>389</v>
      </c>
      <c r="FI466" s="36" t="s">
        <v>389</v>
      </c>
      <c r="FP466" s="36" t="s">
        <v>389</v>
      </c>
      <c r="FW466" s="36" t="s">
        <v>389</v>
      </c>
      <c r="GD466" s="36" t="s">
        <v>389</v>
      </c>
      <c r="GK466" s="36" t="s">
        <v>389</v>
      </c>
      <c r="GR466" s="36" t="s">
        <v>389</v>
      </c>
      <c r="GY466" s="36" t="s">
        <v>389</v>
      </c>
      <c r="HF466" s="36" t="s">
        <v>389</v>
      </c>
      <c r="HM466" s="36" t="s">
        <v>389</v>
      </c>
      <c r="HT466" s="36" t="s">
        <v>389</v>
      </c>
      <c r="IA466" s="36" t="s">
        <v>389</v>
      </c>
      <c r="IH466" s="36" t="s">
        <v>389</v>
      </c>
      <c r="IO466" s="36" t="s">
        <v>389</v>
      </c>
      <c r="IV466" s="36" t="s">
        <v>389</v>
      </c>
      <c r="JC466" s="36" t="s">
        <v>389</v>
      </c>
      <c r="JJ466" s="36" t="s">
        <v>389</v>
      </c>
      <c r="JQ466" s="36" t="s">
        <v>389</v>
      </c>
      <c r="JX466" s="36" t="s">
        <v>389</v>
      </c>
      <c r="KE466" s="36" t="s">
        <v>389</v>
      </c>
      <c r="KL466" s="36" t="s">
        <v>389</v>
      </c>
      <c r="KS466" s="36" t="s">
        <v>389</v>
      </c>
      <c r="KZ466" s="36" t="s">
        <v>389</v>
      </c>
      <c r="LF466" s="565"/>
      <c r="LG466" s="36" t="s">
        <v>389</v>
      </c>
      <c r="LM466" s="565"/>
      <c r="LN466" s="36" t="s">
        <v>389</v>
      </c>
      <c r="LT466" s="565"/>
      <c r="LU466" s="36" t="s">
        <v>389</v>
      </c>
      <c r="MA466" s="565"/>
      <c r="MB466" s="36" t="s">
        <v>389</v>
      </c>
      <c r="MH466" s="565"/>
    </row>
    <row r="467" spans="1:346" s="37" customFormat="1" ht="13.15" hidden="1" outlineLevel="1" x14ac:dyDescent="0.4">
      <c r="A467" s="35"/>
      <c r="B467" s="36"/>
      <c r="BO467" s="36"/>
      <c r="BV467" s="36"/>
      <c r="CC467" s="36"/>
      <c r="CJ467" s="36"/>
      <c r="CQ467" s="36"/>
      <c r="CX467" s="36"/>
      <c r="DE467" s="36"/>
      <c r="DL467" s="36"/>
      <c r="DS467" s="36"/>
      <c r="DZ467" s="36"/>
      <c r="ED467" s="37" t="e">
        <v>#REF!</v>
      </c>
      <c r="EG467" s="36"/>
      <c r="EN467" s="36"/>
      <c r="EU467" s="36"/>
      <c r="FB467" s="36"/>
      <c r="FI467" s="36"/>
      <c r="FP467" s="36"/>
      <c r="FW467" s="36"/>
      <c r="GD467" s="36"/>
      <c r="GK467" s="36"/>
      <c r="GR467" s="36"/>
      <c r="GY467" s="36"/>
      <c r="HF467" s="36"/>
      <c r="HM467" s="36"/>
      <c r="HT467" s="36"/>
      <c r="IA467" s="36"/>
      <c r="IH467" s="36"/>
      <c r="IO467" s="36"/>
      <c r="IV467" s="36"/>
      <c r="JC467" s="36"/>
      <c r="JJ467" s="36"/>
      <c r="JQ467" s="36"/>
      <c r="JX467" s="36"/>
      <c r="KE467" s="36"/>
      <c r="KL467" s="36"/>
      <c r="KS467" s="36"/>
      <c r="KZ467" s="36"/>
      <c r="LF467" s="565"/>
      <c r="LG467" s="36"/>
      <c r="LM467" s="565"/>
      <c r="LN467" s="36"/>
      <c r="LT467" s="565"/>
      <c r="LU467" s="36"/>
      <c r="MA467" s="565"/>
      <c r="MB467" s="36"/>
      <c r="MH467" s="565"/>
    </row>
    <row r="468" spans="1:346" s="37" customFormat="1" ht="13.15" hidden="1" outlineLevel="1" x14ac:dyDescent="0.4">
      <c r="A468" s="35"/>
      <c r="B468" s="36" t="s">
        <v>502</v>
      </c>
      <c r="BO468" s="36" t="s">
        <v>502</v>
      </c>
      <c r="BS468" s="37">
        <v>1989</v>
      </c>
      <c r="BT468" s="37">
        <v>1989</v>
      </c>
      <c r="BV468" s="36" t="s">
        <v>502</v>
      </c>
      <c r="BZ468" s="37">
        <v>1990</v>
      </c>
      <c r="CA468" s="37">
        <v>1990</v>
      </c>
      <c r="CC468" s="36" t="s">
        <v>502</v>
      </c>
      <c r="CG468" s="37">
        <v>1991</v>
      </c>
      <c r="CH468" s="37">
        <v>1991</v>
      </c>
      <c r="CJ468" s="36" t="s">
        <v>502</v>
      </c>
      <c r="CN468" s="37">
        <v>1992</v>
      </c>
      <c r="CO468" s="37">
        <v>1992</v>
      </c>
      <c r="CQ468" s="36" t="s">
        <v>502</v>
      </c>
      <c r="CU468" s="37">
        <v>1993</v>
      </c>
      <c r="CV468" s="37">
        <v>1993</v>
      </c>
      <c r="CX468" s="36" t="s">
        <v>502</v>
      </c>
      <c r="DB468" s="37">
        <v>1994</v>
      </c>
      <c r="DC468" s="37">
        <v>1994</v>
      </c>
      <c r="DE468" s="36" t="s">
        <v>502</v>
      </c>
      <c r="DI468" s="37">
        <v>1995</v>
      </c>
      <c r="DJ468" s="37">
        <v>1995</v>
      </c>
      <c r="DL468" s="36" t="s">
        <v>502</v>
      </c>
      <c r="DP468" s="37">
        <v>1996</v>
      </c>
      <c r="DQ468" s="37">
        <v>1996</v>
      </c>
      <c r="DS468" s="36" t="s">
        <v>502</v>
      </c>
      <c r="DW468" s="37">
        <v>1997</v>
      </c>
      <c r="DX468" s="37">
        <v>1997</v>
      </c>
      <c r="DZ468" s="36" t="s">
        <v>502</v>
      </c>
      <c r="ED468" s="37" t="s">
        <v>338</v>
      </c>
      <c r="EE468" s="37" t="s">
        <v>338</v>
      </c>
      <c r="EG468" s="36" t="s">
        <v>502</v>
      </c>
      <c r="EK468" s="37" t="s">
        <v>339</v>
      </c>
      <c r="EL468" s="37" t="s">
        <v>339</v>
      </c>
      <c r="EN468" s="36" t="s">
        <v>502</v>
      </c>
      <c r="ER468" s="37" t="s">
        <v>340</v>
      </c>
      <c r="ES468" s="37">
        <v>2000</v>
      </c>
      <c r="EU468" s="36" t="s">
        <v>502</v>
      </c>
      <c r="EZ468" s="37">
        <v>2001</v>
      </c>
      <c r="FB468" s="36" t="s">
        <v>502</v>
      </c>
      <c r="FG468" s="37">
        <v>2002</v>
      </c>
      <c r="FI468" s="36" t="s">
        <v>502</v>
      </c>
      <c r="FN468" s="37">
        <v>2003</v>
      </c>
      <c r="FP468" s="36" t="s">
        <v>502</v>
      </c>
      <c r="FU468" s="37">
        <v>2004</v>
      </c>
      <c r="FW468" s="36" t="s">
        <v>502</v>
      </c>
      <c r="GD468" s="36" t="s">
        <v>502</v>
      </c>
      <c r="GK468" s="36" t="s">
        <v>502</v>
      </c>
      <c r="GR468" s="36" t="s">
        <v>502</v>
      </c>
      <c r="GY468" s="36" t="s">
        <v>502</v>
      </c>
      <c r="HF468" s="36" t="s">
        <v>502</v>
      </c>
      <c r="HM468" s="36" t="s">
        <v>502</v>
      </c>
      <c r="HT468" s="36" t="s">
        <v>502</v>
      </c>
      <c r="IA468" s="36" t="s">
        <v>502</v>
      </c>
      <c r="IH468" s="36" t="s">
        <v>502</v>
      </c>
      <c r="IO468" s="36" t="s">
        <v>502</v>
      </c>
      <c r="IV468" s="36" t="s">
        <v>502</v>
      </c>
      <c r="JC468" s="36" t="s">
        <v>502</v>
      </c>
      <c r="JJ468" s="36" t="s">
        <v>502</v>
      </c>
      <c r="JQ468" s="36" t="s">
        <v>502</v>
      </c>
      <c r="JX468" s="36" t="s">
        <v>502</v>
      </c>
      <c r="KE468" s="36" t="s">
        <v>502</v>
      </c>
      <c r="KL468" s="36" t="s">
        <v>502</v>
      </c>
      <c r="KS468" s="36" t="s">
        <v>502</v>
      </c>
      <c r="KZ468" s="36" t="s">
        <v>502</v>
      </c>
      <c r="LF468" s="565"/>
      <c r="LG468" s="36" t="s">
        <v>502</v>
      </c>
      <c r="LM468" s="565"/>
      <c r="LN468" s="36" t="s">
        <v>502</v>
      </c>
      <c r="LT468" s="565"/>
      <c r="LU468" s="36" t="s">
        <v>502</v>
      </c>
      <c r="MA468" s="565"/>
      <c r="MB468" s="36" t="s">
        <v>502</v>
      </c>
      <c r="MH468" s="565"/>
    </row>
    <row r="469" spans="1:346" s="37" customFormat="1" ht="13.15" hidden="1" outlineLevel="1" x14ac:dyDescent="0.4">
      <c r="A469" s="35"/>
      <c r="B469" s="36" t="s">
        <v>147</v>
      </c>
      <c r="F469" s="37">
        <v>4.8934911242603549</v>
      </c>
      <c r="G469" s="37">
        <v>4.8095238095238093</v>
      </c>
      <c r="H469" s="37">
        <v>4.4585034013605442</v>
      </c>
      <c r="I469" s="37">
        <v>4.4010695187165769</v>
      </c>
      <c r="J469" s="37">
        <v>4.1428571428571423</v>
      </c>
      <c r="K469" s="37">
        <v>3.9549549549549545</v>
      </c>
      <c r="L469" s="37">
        <v>3.4695777270034696</v>
      </c>
      <c r="M469" s="37">
        <v>3.7092684759132313</v>
      </c>
      <c r="N469" s="37">
        <f t="shared" ref="N469:N474" si="7399">BT469</f>
        <v>15.052612805421795</v>
      </c>
      <c r="O469" s="37">
        <f t="shared" ref="O469:O474" si="7400">CA469</f>
        <v>16.725618999494692</v>
      </c>
      <c r="P469" s="37">
        <f t="shared" ref="P469:P474" si="7401">CH469</f>
        <v>17.564249467998035</v>
      </c>
      <c r="Q469" s="37">
        <f t="shared" ref="Q469:Q474" si="7402">CO469</f>
        <v>15.930128396536281</v>
      </c>
      <c r="R469" s="37">
        <f t="shared" ref="R469:R474" si="7403">CV469</f>
        <v>15.914850481500254</v>
      </c>
      <c r="S469" s="37">
        <f t="shared" ref="S469:S474" si="7404">DC469</f>
        <v>18.148820326678766</v>
      </c>
      <c r="T469" s="37">
        <f t="shared" ref="T469:T474" si="7405">DJ469</f>
        <v>15.215968586387435</v>
      </c>
      <c r="U469" s="37">
        <f t="shared" ref="U469:U474" si="7406">DQ469</f>
        <v>15.884476534296029</v>
      </c>
      <c r="V469" s="37">
        <f t="shared" ref="V469:V474" si="7407">DX469</f>
        <v>15.977961432506886</v>
      </c>
      <c r="W469" s="37">
        <f t="shared" ref="W469:W474" si="7408">EE469</f>
        <v>0</v>
      </c>
      <c r="X469" s="37">
        <f t="shared" ref="X469:X474" si="7409">EL469</f>
        <v>0</v>
      </c>
      <c r="Y469" s="37">
        <f t="shared" ref="Y469:Y474" si="7410">ES469</f>
        <v>0</v>
      </c>
      <c r="Z469" s="37">
        <f t="shared" ref="Z469:Z474" si="7411">EZ469</f>
        <v>0</v>
      </c>
      <c r="AA469" s="37">
        <f t="shared" ref="AA469:AA474" si="7412">FG469</f>
        <v>0</v>
      </c>
      <c r="AB469" s="37">
        <f t="shared" ref="AB469:AB474" si="7413">FN469</f>
        <v>0</v>
      </c>
      <c r="AC469" s="37">
        <f t="shared" ref="AC469:AC474" si="7414">FU469</f>
        <v>0</v>
      </c>
      <c r="AD469" s="37">
        <f t="shared" ref="AD469:AD474" si="7415">GB469</f>
        <v>0</v>
      </c>
      <c r="AE469" s="37">
        <f t="shared" ref="AE469:AE474" si="7416">GI469</f>
        <v>0</v>
      </c>
      <c r="AF469" s="37">
        <f t="shared" ref="AF469:AF474" si="7417">GP469</f>
        <v>0</v>
      </c>
      <c r="AG469" s="37">
        <f t="shared" ref="AG469:AG474" si="7418">GW469</f>
        <v>0</v>
      </c>
      <c r="AH469" s="37">
        <f t="shared" ref="AH469:AH474" si="7419">HD469</f>
        <v>0</v>
      </c>
      <c r="AI469" s="37">
        <f t="shared" ref="AI469:AI474" si="7420">HK469</f>
        <v>0</v>
      </c>
      <c r="AJ469" s="37">
        <f t="shared" ref="AJ469:AJ474" si="7421">HR469</f>
        <v>0</v>
      </c>
      <c r="AK469" s="37">
        <f t="shared" ref="AK469:AK474" si="7422">HY469</f>
        <v>0</v>
      </c>
      <c r="AL469" s="37">
        <f t="shared" ref="AL469:AL474" si="7423">IF469</f>
        <v>0</v>
      </c>
      <c r="AM469" s="37">
        <f t="shared" ref="AM469:AM474" si="7424">IM469</f>
        <v>0</v>
      </c>
      <c r="AN469" s="37">
        <f t="shared" ref="AN469:AN474" si="7425">IT469</f>
        <v>0</v>
      </c>
      <c r="AO469" s="37">
        <f t="shared" ref="AO469:AO474" si="7426">JA469</f>
        <v>0</v>
      </c>
      <c r="AP469" s="37">
        <f t="shared" ref="AP469:AP474" si="7427">JH469</f>
        <v>0</v>
      </c>
      <c r="AQ469" s="37">
        <f t="shared" ref="AQ469:AQ474" si="7428">JO469</f>
        <v>0</v>
      </c>
      <c r="AR469" s="37">
        <f t="shared" ref="AR469:AR474" si="7429">JV469</f>
        <v>0</v>
      </c>
      <c r="AS469" s="37">
        <f t="shared" ref="AS469:AS474" si="7430">KC469</f>
        <v>0</v>
      </c>
      <c r="AT469" s="37">
        <f t="shared" ref="AT469:AT474" si="7431">KJ469</f>
        <v>0</v>
      </c>
      <c r="AU469" s="37">
        <f t="shared" ref="AU469:AU474" si="7432">KQ469</f>
        <v>0</v>
      </c>
      <c r="AV469" s="37">
        <f t="shared" ref="AV469:AV474" si="7433">KX469</f>
        <v>0</v>
      </c>
      <c r="AW469" s="37">
        <f t="shared" ref="AW469:AW474" si="7434">LE469</f>
        <v>0</v>
      </c>
      <c r="AX469" s="37">
        <f t="shared" ref="AX469:AX474" si="7435">LL469</f>
        <v>0</v>
      </c>
      <c r="AY469" s="37">
        <f t="shared" ref="AY469:AY474" si="7436">LS469</f>
        <v>0</v>
      </c>
      <c r="AZ469" s="37">
        <f t="shared" ref="AZ469:AZ474" si="7437">LZ469</f>
        <v>0</v>
      </c>
      <c r="BA469" s="37">
        <f t="shared" ref="BA469:BA474" si="7438">MG469</f>
        <v>0</v>
      </c>
      <c r="BO469" s="36" t="s">
        <v>147</v>
      </c>
      <c r="BQ469" s="37" t="e">
        <v>#DIV/0!</v>
      </c>
      <c r="BR469" s="37" t="e">
        <v>#DIV/0!</v>
      </c>
      <c r="BS469" s="37">
        <v>3.7988228999464955</v>
      </c>
      <c r="BT469" s="37">
        <v>15.052612805421795</v>
      </c>
      <c r="BV469" s="36" t="s">
        <v>147</v>
      </c>
      <c r="BX469" s="37" t="e">
        <v>#DIV/0!</v>
      </c>
      <c r="BY469" s="37" t="e">
        <v>#DIV/0!</v>
      </c>
      <c r="BZ469" s="37">
        <v>3.9919151086407281</v>
      </c>
      <c r="CA469" s="37">
        <v>16.725618999494692</v>
      </c>
      <c r="CC469" s="36" t="s">
        <v>147</v>
      </c>
      <c r="CE469" s="37" t="e">
        <v>#DIV/0!</v>
      </c>
      <c r="CF469" s="37" t="e">
        <v>#DIV/0!</v>
      </c>
      <c r="CG469" s="37">
        <v>4.5834015387133737</v>
      </c>
      <c r="CH469" s="37">
        <v>17.564249467998035</v>
      </c>
      <c r="CJ469" s="36" t="s">
        <v>147</v>
      </c>
      <c r="CL469" s="37" t="e">
        <v>#DIV/0!</v>
      </c>
      <c r="CM469" s="37" t="e">
        <v>#DIV/0!</v>
      </c>
      <c r="CN469" s="37">
        <v>4.0758435353836964</v>
      </c>
      <c r="CO469" s="37">
        <v>15.930128396536281</v>
      </c>
      <c r="CQ469" s="36" t="s">
        <v>147</v>
      </c>
      <c r="CS469" s="37" t="e">
        <v>#DIV/0!</v>
      </c>
      <c r="CT469" s="37" t="e">
        <v>#DIV/0!</v>
      </c>
      <c r="CU469" s="37">
        <v>4.3926338908599423</v>
      </c>
      <c r="CV469" s="37">
        <v>15.914850481500254</v>
      </c>
      <c r="CX469" s="36" t="s">
        <v>147</v>
      </c>
      <c r="CZ469" s="37" t="e">
        <v>#DIV/0!</v>
      </c>
      <c r="DA469" s="37" t="e">
        <v>#DIV/0!</v>
      </c>
      <c r="DB469" s="37">
        <v>4.3557168784029043</v>
      </c>
      <c r="DC469" s="37">
        <v>18.148820326678766</v>
      </c>
      <c r="DE469" s="36" t="s">
        <v>147</v>
      </c>
      <c r="DG469" s="37" t="e">
        <v>#DIV/0!</v>
      </c>
      <c r="DH469" s="37" t="e">
        <v>#DIV/0!</v>
      </c>
      <c r="DI469" s="37">
        <v>3.5994764397905756</v>
      </c>
      <c r="DJ469" s="37">
        <v>15.215968586387435</v>
      </c>
      <c r="DL469" s="36" t="s">
        <v>147</v>
      </c>
      <c r="DN469" s="37">
        <v>4.3499999999999996</v>
      </c>
      <c r="DO469" s="37" t="e">
        <v>#DIV/0!</v>
      </c>
      <c r="DP469" s="37">
        <v>3.9711191335740073</v>
      </c>
      <c r="DQ469" s="37">
        <v>15.884476534296029</v>
      </c>
      <c r="DS469" s="36" t="s">
        <v>147</v>
      </c>
      <c r="DU469" s="37">
        <v>3.93</v>
      </c>
      <c r="DV469" s="37" t="e">
        <v>#DIV/0!</v>
      </c>
      <c r="DW469" s="37">
        <v>3.6730945821854912</v>
      </c>
      <c r="DX469" s="37">
        <v>15.977961432506886</v>
      </c>
      <c r="DZ469" s="36" t="s">
        <v>147</v>
      </c>
      <c r="EB469" s="37">
        <v>3.6</v>
      </c>
      <c r="EG469" s="36" t="s">
        <v>147</v>
      </c>
      <c r="EN469" s="36" t="s">
        <v>147</v>
      </c>
      <c r="EU469" s="36" t="s">
        <v>147</v>
      </c>
      <c r="FB469" s="36" t="s">
        <v>147</v>
      </c>
      <c r="FI469" s="36" t="s">
        <v>147</v>
      </c>
      <c r="FP469" s="36" t="s">
        <v>147</v>
      </c>
      <c r="FW469" s="36" t="s">
        <v>147</v>
      </c>
      <c r="GD469" s="36" t="s">
        <v>147</v>
      </c>
      <c r="GK469" s="36" t="s">
        <v>147</v>
      </c>
      <c r="GR469" s="36" t="s">
        <v>147</v>
      </c>
      <c r="GY469" s="36" t="s">
        <v>147</v>
      </c>
      <c r="HF469" s="36" t="s">
        <v>147</v>
      </c>
      <c r="HM469" s="36" t="s">
        <v>147</v>
      </c>
      <c r="HT469" s="36" t="s">
        <v>147</v>
      </c>
      <c r="IA469" s="36" t="s">
        <v>147</v>
      </c>
      <c r="IH469" s="36" t="s">
        <v>147</v>
      </c>
      <c r="IO469" s="36" t="s">
        <v>147</v>
      </c>
      <c r="IV469" s="36" t="s">
        <v>147</v>
      </c>
      <c r="JC469" s="36" t="s">
        <v>147</v>
      </c>
      <c r="JJ469" s="36" t="s">
        <v>147</v>
      </c>
      <c r="JQ469" s="36" t="s">
        <v>147</v>
      </c>
      <c r="JX469" s="36" t="s">
        <v>147</v>
      </c>
      <c r="KE469" s="36" t="s">
        <v>147</v>
      </c>
      <c r="KL469" s="36" t="s">
        <v>147</v>
      </c>
      <c r="KS469" s="36" t="s">
        <v>147</v>
      </c>
      <c r="KZ469" s="36" t="s">
        <v>147</v>
      </c>
      <c r="LF469" s="565"/>
      <c r="LG469" s="36" t="s">
        <v>147</v>
      </c>
      <c r="LM469" s="565"/>
      <c r="LN469" s="36" t="s">
        <v>147</v>
      </c>
      <c r="LT469" s="565"/>
      <c r="LU469" s="36" t="s">
        <v>147</v>
      </c>
      <c r="MA469" s="565"/>
      <c r="MB469" s="36" t="s">
        <v>147</v>
      </c>
      <c r="MH469" s="565"/>
    </row>
    <row r="470" spans="1:346" s="37" customFormat="1" ht="13.15" hidden="1" outlineLevel="1" x14ac:dyDescent="0.4">
      <c r="A470" s="35"/>
      <c r="B470" s="36" t="s">
        <v>377</v>
      </c>
      <c r="F470" s="37">
        <v>10.305084745762711</v>
      </c>
      <c r="G470" s="37">
        <v>7.7297297297297298</v>
      </c>
      <c r="H470" s="37">
        <v>7.605633802816901</v>
      </c>
      <c r="I470" s="37">
        <v>7.7894736842105257</v>
      </c>
      <c r="J470" s="37">
        <v>6.9649122807017543</v>
      </c>
      <c r="K470" s="37">
        <v>6.6060606060606064</v>
      </c>
      <c r="L470" s="37">
        <v>7.0372976776917664</v>
      </c>
      <c r="M470" s="37">
        <v>8.1552305961754783</v>
      </c>
      <c r="N470" s="37">
        <f t="shared" si="7399"/>
        <v>35.751840168243952</v>
      </c>
      <c r="O470" s="37">
        <f t="shared" si="7400"/>
        <v>31.366318656377665</v>
      </c>
      <c r="P470" s="37">
        <f t="shared" si="7401"/>
        <v>28.843861740166865</v>
      </c>
      <c r="Q470" s="37">
        <f t="shared" si="7402"/>
        <v>16.654778887303856</v>
      </c>
      <c r="R470" s="37">
        <f t="shared" si="7403"/>
        <v>20.150322118826054</v>
      </c>
      <c r="S470" s="37">
        <f t="shared" si="7404"/>
        <v>17.926846898944632</v>
      </c>
      <c r="T470" s="37">
        <f t="shared" si="7405"/>
        <v>28.606023914030576</v>
      </c>
      <c r="U470" s="37">
        <f t="shared" si="7406"/>
        <v>28.87712839392545</v>
      </c>
      <c r="V470" s="37">
        <f t="shared" si="7407"/>
        <v>26.943984873552353</v>
      </c>
      <c r="W470" s="37">
        <f t="shared" si="7408"/>
        <v>0</v>
      </c>
      <c r="X470" s="37">
        <f t="shared" si="7409"/>
        <v>0</v>
      </c>
      <c r="Y470" s="37">
        <f t="shared" si="7410"/>
        <v>0</v>
      </c>
      <c r="Z470" s="37">
        <f t="shared" si="7411"/>
        <v>0</v>
      </c>
      <c r="AA470" s="37">
        <f t="shared" si="7412"/>
        <v>0</v>
      </c>
      <c r="AB470" s="37">
        <f t="shared" si="7413"/>
        <v>0</v>
      </c>
      <c r="AC470" s="37">
        <f t="shared" si="7414"/>
        <v>0</v>
      </c>
      <c r="AD470" s="37">
        <f t="shared" si="7415"/>
        <v>0</v>
      </c>
      <c r="AE470" s="37">
        <f t="shared" si="7416"/>
        <v>0</v>
      </c>
      <c r="AF470" s="37">
        <f t="shared" si="7417"/>
        <v>0</v>
      </c>
      <c r="AG470" s="37">
        <f t="shared" si="7418"/>
        <v>0</v>
      </c>
      <c r="AH470" s="37">
        <f t="shared" si="7419"/>
        <v>0</v>
      </c>
      <c r="AI470" s="37">
        <f t="shared" si="7420"/>
        <v>0</v>
      </c>
      <c r="AJ470" s="37">
        <f t="shared" si="7421"/>
        <v>0</v>
      </c>
      <c r="AK470" s="37">
        <f t="shared" si="7422"/>
        <v>0</v>
      </c>
      <c r="AL470" s="37">
        <f t="shared" si="7423"/>
        <v>0</v>
      </c>
      <c r="AM470" s="37">
        <f t="shared" si="7424"/>
        <v>0</v>
      </c>
      <c r="AN470" s="37">
        <f t="shared" si="7425"/>
        <v>0</v>
      </c>
      <c r="AO470" s="37">
        <f t="shared" si="7426"/>
        <v>0</v>
      </c>
      <c r="AP470" s="37">
        <f t="shared" si="7427"/>
        <v>0</v>
      </c>
      <c r="AQ470" s="37">
        <f t="shared" si="7428"/>
        <v>0</v>
      </c>
      <c r="AR470" s="37">
        <f t="shared" si="7429"/>
        <v>0</v>
      </c>
      <c r="AS470" s="37">
        <f t="shared" si="7430"/>
        <v>0</v>
      </c>
      <c r="AT470" s="37">
        <f t="shared" si="7431"/>
        <v>0</v>
      </c>
      <c r="AU470" s="37">
        <f t="shared" si="7432"/>
        <v>0</v>
      </c>
      <c r="AV470" s="37">
        <f t="shared" si="7433"/>
        <v>0</v>
      </c>
      <c r="AW470" s="37">
        <f t="shared" si="7434"/>
        <v>0</v>
      </c>
      <c r="AX470" s="37">
        <f t="shared" si="7435"/>
        <v>0</v>
      </c>
      <c r="AY470" s="37">
        <f t="shared" si="7436"/>
        <v>0</v>
      </c>
      <c r="AZ470" s="37">
        <f t="shared" si="7437"/>
        <v>0</v>
      </c>
      <c r="BA470" s="37">
        <f t="shared" si="7438"/>
        <v>0</v>
      </c>
      <c r="BO470" s="36" t="s">
        <v>377</v>
      </c>
      <c r="BQ470" s="37" t="e">
        <v>#DIV/0!</v>
      </c>
      <c r="BR470" s="37" t="e">
        <v>#DIV/0!</v>
      </c>
      <c r="BS470" s="37">
        <v>9.989484752891693</v>
      </c>
      <c r="BT470" s="37">
        <v>35.751840168243952</v>
      </c>
      <c r="BV470" s="36" t="s">
        <v>377</v>
      </c>
      <c r="BX470" s="37" t="e">
        <v>#DIV/0!</v>
      </c>
      <c r="BY470" s="37" t="e">
        <v>#DIV/0!</v>
      </c>
      <c r="BZ470" s="37">
        <v>8.3976395823876544</v>
      </c>
      <c r="CA470" s="37">
        <v>31.366318656377665</v>
      </c>
      <c r="CC470" s="36" t="s">
        <v>377</v>
      </c>
      <c r="CE470" s="37" t="e">
        <v>#DIV/0!</v>
      </c>
      <c r="CF470" s="37" t="e">
        <v>#DIV/0!</v>
      </c>
      <c r="CG470" s="37">
        <v>8.7008343265792618</v>
      </c>
      <c r="CH470" s="37">
        <v>28.843861740166865</v>
      </c>
      <c r="CJ470" s="36" t="s">
        <v>377</v>
      </c>
      <c r="CL470" s="37" t="e">
        <v>#DIV/0!</v>
      </c>
      <c r="CM470" s="37" t="e">
        <v>#DIV/0!</v>
      </c>
      <c r="CN470" s="37">
        <v>7.2039942938659056</v>
      </c>
      <c r="CO470" s="37">
        <v>16.654778887303856</v>
      </c>
      <c r="CQ470" s="36" t="s">
        <v>377</v>
      </c>
      <c r="CS470" s="37" t="e">
        <v>#DIV/0!</v>
      </c>
      <c r="CT470" s="37" t="e">
        <v>#DIV/0!</v>
      </c>
      <c r="CU470" s="37">
        <v>6.8002863278453827</v>
      </c>
      <c r="CV470" s="37">
        <v>20.150322118826054</v>
      </c>
      <c r="CX470" s="36" t="s">
        <v>377</v>
      </c>
      <c r="CZ470" s="37" t="e">
        <v>#DIV/0!</v>
      </c>
      <c r="DA470" s="37" t="e">
        <v>#DIV/0!</v>
      </c>
      <c r="DB470" s="37">
        <v>7.3731386439207744</v>
      </c>
      <c r="DC470" s="37">
        <v>17.926846898944632</v>
      </c>
      <c r="DE470" s="36" t="s">
        <v>377</v>
      </c>
      <c r="DG470" s="37" t="e">
        <v>#DIV/0!</v>
      </c>
      <c r="DH470" s="37" t="e">
        <v>#DIV/0!</v>
      </c>
      <c r="DI470" s="37">
        <v>9.3839866807930985</v>
      </c>
      <c r="DJ470" s="37">
        <v>28.606023914030576</v>
      </c>
      <c r="DL470" s="36" t="s">
        <v>377</v>
      </c>
      <c r="DN470" s="37">
        <v>8.69</v>
      </c>
      <c r="DO470" s="37" t="e">
        <v>#DIV/0!</v>
      </c>
      <c r="DP470" s="37">
        <v>8.5135757017947533</v>
      </c>
      <c r="DQ470" s="37">
        <v>28.87712839392545</v>
      </c>
      <c r="DS470" s="36" t="s">
        <v>377</v>
      </c>
      <c r="DU470" s="37">
        <v>7.39</v>
      </c>
      <c r="DV470" s="37" t="e">
        <v>#DIV/0!</v>
      </c>
      <c r="DW470" s="37">
        <v>8.3904514299220043</v>
      </c>
      <c r="DX470" s="37">
        <v>26.943984873552353</v>
      </c>
      <c r="DZ470" s="36" t="s">
        <v>377</v>
      </c>
      <c r="EB470" s="37">
        <v>7.13</v>
      </c>
      <c r="EG470" s="36" t="s">
        <v>377</v>
      </c>
      <c r="EN470" s="36" t="s">
        <v>377</v>
      </c>
      <c r="EU470" s="36" t="s">
        <v>377</v>
      </c>
      <c r="FB470" s="36" t="s">
        <v>377</v>
      </c>
      <c r="FI470" s="36" t="s">
        <v>377</v>
      </c>
      <c r="FP470" s="36" t="s">
        <v>377</v>
      </c>
      <c r="FW470" s="36" t="s">
        <v>377</v>
      </c>
      <c r="GD470" s="36" t="s">
        <v>377</v>
      </c>
      <c r="GK470" s="36" t="s">
        <v>377</v>
      </c>
      <c r="GR470" s="36" t="s">
        <v>377</v>
      </c>
      <c r="GY470" s="36" t="s">
        <v>377</v>
      </c>
      <c r="HF470" s="36" t="s">
        <v>377</v>
      </c>
      <c r="HM470" s="36" t="s">
        <v>377</v>
      </c>
      <c r="HT470" s="36" t="s">
        <v>377</v>
      </c>
      <c r="IA470" s="36" t="s">
        <v>377</v>
      </c>
      <c r="IH470" s="36" t="s">
        <v>377</v>
      </c>
      <c r="IO470" s="36" t="s">
        <v>377</v>
      </c>
      <c r="IV470" s="36" t="s">
        <v>377</v>
      </c>
      <c r="JC470" s="36" t="s">
        <v>377</v>
      </c>
      <c r="JJ470" s="36" t="s">
        <v>377</v>
      </c>
      <c r="JQ470" s="36" t="s">
        <v>377</v>
      </c>
      <c r="JX470" s="36" t="s">
        <v>377</v>
      </c>
      <c r="KE470" s="36" t="s">
        <v>377</v>
      </c>
      <c r="KL470" s="36" t="s">
        <v>377</v>
      </c>
      <c r="KS470" s="36" t="s">
        <v>377</v>
      </c>
      <c r="KZ470" s="36" t="s">
        <v>377</v>
      </c>
      <c r="LF470" s="565"/>
      <c r="LG470" s="36" t="s">
        <v>377</v>
      </c>
      <c r="LM470" s="565"/>
      <c r="LN470" s="36" t="s">
        <v>377</v>
      </c>
      <c r="LT470" s="565"/>
      <c r="LU470" s="36" t="s">
        <v>377</v>
      </c>
      <c r="MA470" s="565"/>
      <c r="MB470" s="36" t="s">
        <v>377</v>
      </c>
      <c r="MH470" s="565"/>
    </row>
    <row r="471" spans="1:346" s="37" customFormat="1" ht="13.15" hidden="1" outlineLevel="1" x14ac:dyDescent="0.4">
      <c r="A471" s="35"/>
      <c r="B471" s="36" t="s">
        <v>378</v>
      </c>
      <c r="F471" s="37">
        <v>14.421052631578947</v>
      </c>
      <c r="G471" s="37">
        <v>12.352941176470587</v>
      </c>
      <c r="H471" s="37">
        <v>12.315789473684211</v>
      </c>
      <c r="I471" s="37">
        <v>12.333333333333334</v>
      </c>
      <c r="J471" s="37">
        <v>12.478260869565217</v>
      </c>
      <c r="K471" s="37">
        <v>11</v>
      </c>
      <c r="L471" s="37">
        <v>10.364546104360256</v>
      </c>
      <c r="M471" s="37">
        <v>10.663112295901367</v>
      </c>
      <c r="N471" s="37">
        <f t="shared" si="7399"/>
        <v>49.491094147582693</v>
      </c>
      <c r="O471" s="37">
        <f t="shared" si="7400"/>
        <v>45.350052246603966</v>
      </c>
      <c r="P471" s="37">
        <f t="shared" si="7401"/>
        <v>46.21052631578948</v>
      </c>
      <c r="Q471" s="37">
        <f t="shared" si="7402"/>
        <v>24.256013045250711</v>
      </c>
      <c r="R471" s="37">
        <f t="shared" si="7403"/>
        <v>29.783519553072622</v>
      </c>
      <c r="S471" s="37">
        <f t="shared" si="7404"/>
        <v>30.285549466397462</v>
      </c>
      <c r="T471" s="37">
        <f t="shared" si="7405"/>
        <v>36.641221374045806</v>
      </c>
      <c r="U471" s="37">
        <f t="shared" si="7406"/>
        <v>38.017031630170315</v>
      </c>
      <c r="V471" s="37">
        <f t="shared" si="7407"/>
        <v>38.120567375886523</v>
      </c>
      <c r="W471" s="37">
        <f t="shared" si="7408"/>
        <v>0</v>
      </c>
      <c r="X471" s="37">
        <f t="shared" si="7409"/>
        <v>0</v>
      </c>
      <c r="Y471" s="37">
        <f t="shared" si="7410"/>
        <v>0</v>
      </c>
      <c r="Z471" s="37">
        <f t="shared" si="7411"/>
        <v>0</v>
      </c>
      <c r="AA471" s="37">
        <f t="shared" si="7412"/>
        <v>0</v>
      </c>
      <c r="AB471" s="37">
        <f t="shared" si="7413"/>
        <v>0</v>
      </c>
      <c r="AC471" s="37">
        <f t="shared" si="7414"/>
        <v>0</v>
      </c>
      <c r="AD471" s="37">
        <f t="shared" si="7415"/>
        <v>0</v>
      </c>
      <c r="AE471" s="37">
        <f t="shared" si="7416"/>
        <v>0</v>
      </c>
      <c r="AF471" s="37">
        <f t="shared" si="7417"/>
        <v>0</v>
      </c>
      <c r="AG471" s="37">
        <f t="shared" si="7418"/>
        <v>0</v>
      </c>
      <c r="AH471" s="37">
        <f t="shared" si="7419"/>
        <v>0</v>
      </c>
      <c r="AI471" s="37">
        <f t="shared" si="7420"/>
        <v>0</v>
      </c>
      <c r="AJ471" s="37">
        <f t="shared" si="7421"/>
        <v>0</v>
      </c>
      <c r="AK471" s="37">
        <f t="shared" si="7422"/>
        <v>0</v>
      </c>
      <c r="AL471" s="37">
        <f t="shared" si="7423"/>
        <v>0</v>
      </c>
      <c r="AM471" s="37">
        <f t="shared" si="7424"/>
        <v>0</v>
      </c>
      <c r="AN471" s="37">
        <f t="shared" si="7425"/>
        <v>0</v>
      </c>
      <c r="AO471" s="37">
        <f t="shared" si="7426"/>
        <v>0</v>
      </c>
      <c r="AP471" s="37">
        <f t="shared" si="7427"/>
        <v>0</v>
      </c>
      <c r="AQ471" s="37">
        <f t="shared" si="7428"/>
        <v>0</v>
      </c>
      <c r="AR471" s="37">
        <f t="shared" si="7429"/>
        <v>0</v>
      </c>
      <c r="AS471" s="37">
        <f t="shared" si="7430"/>
        <v>0</v>
      </c>
      <c r="AT471" s="37">
        <f t="shared" si="7431"/>
        <v>0</v>
      </c>
      <c r="AU471" s="37">
        <f t="shared" si="7432"/>
        <v>0</v>
      </c>
      <c r="AV471" s="37">
        <f t="shared" si="7433"/>
        <v>0</v>
      </c>
      <c r="AW471" s="37">
        <f t="shared" si="7434"/>
        <v>0</v>
      </c>
      <c r="AX471" s="37">
        <f t="shared" si="7435"/>
        <v>0</v>
      </c>
      <c r="AY471" s="37">
        <f t="shared" si="7436"/>
        <v>0</v>
      </c>
      <c r="AZ471" s="37">
        <f t="shared" si="7437"/>
        <v>0</v>
      </c>
      <c r="BA471" s="37">
        <f t="shared" si="7438"/>
        <v>0</v>
      </c>
      <c r="BO471" s="36" t="s">
        <v>378</v>
      </c>
      <c r="BQ471" s="37" t="e">
        <v>#DIV/0!</v>
      </c>
      <c r="BR471" s="37" t="e">
        <v>#DIV/0!</v>
      </c>
      <c r="BS471" s="37">
        <v>10.94147582697201</v>
      </c>
      <c r="BT471" s="37">
        <v>49.491094147582693</v>
      </c>
      <c r="BV471" s="36" t="s">
        <v>378</v>
      </c>
      <c r="BX471" s="37" t="e">
        <v>#DIV/0!</v>
      </c>
      <c r="BY471" s="37" t="e">
        <v>#DIV/0!</v>
      </c>
      <c r="BZ471" s="37">
        <v>12.434691745036574</v>
      </c>
      <c r="CA471" s="37">
        <v>45.350052246603966</v>
      </c>
      <c r="CC471" s="36" t="s">
        <v>378</v>
      </c>
      <c r="CE471" s="37" t="e">
        <v>#DIV/0!</v>
      </c>
      <c r="CF471" s="37" t="e">
        <v>#DIV/0!</v>
      </c>
      <c r="CG471" s="37">
        <v>10</v>
      </c>
      <c r="CH471" s="37">
        <v>46.21052631578948</v>
      </c>
      <c r="CJ471" s="36" t="s">
        <v>378</v>
      </c>
      <c r="CL471" s="37" t="e">
        <v>#DIV/0!</v>
      </c>
      <c r="CM471" s="37" t="e">
        <v>#DIV/0!</v>
      </c>
      <c r="CN471" s="37">
        <v>9.1724419078679169</v>
      </c>
      <c r="CO471" s="37">
        <v>24.256013045250711</v>
      </c>
      <c r="CQ471" s="36" t="s">
        <v>378</v>
      </c>
      <c r="CS471" s="37" t="e">
        <v>#DIV/0!</v>
      </c>
      <c r="CT471" s="37" t="e">
        <v>#DIV/0!</v>
      </c>
      <c r="CU471" s="37">
        <v>8.0307262569832396</v>
      </c>
      <c r="CV471" s="37">
        <v>29.783519553072622</v>
      </c>
      <c r="CX471" s="36" t="s">
        <v>378</v>
      </c>
      <c r="CZ471" s="37" t="e">
        <v>#DIV/0!</v>
      </c>
      <c r="DA471" s="37" t="e">
        <v>#DIV/0!</v>
      </c>
      <c r="DB471" s="37">
        <v>8.3645803288145366</v>
      </c>
      <c r="DC471" s="37">
        <v>30.285549466397462</v>
      </c>
      <c r="DE471" s="36" t="s">
        <v>378</v>
      </c>
      <c r="DG471" s="37" t="e">
        <v>#DIV/0!</v>
      </c>
      <c r="DH471" s="37" t="e">
        <v>#DIV/0!</v>
      </c>
      <c r="DI471" s="37">
        <v>9.1603053435114514</v>
      </c>
      <c r="DJ471" s="37">
        <v>36.641221374045806</v>
      </c>
      <c r="DL471" s="36" t="s">
        <v>378</v>
      </c>
      <c r="DN471" s="37">
        <v>10.25</v>
      </c>
      <c r="DO471" s="37" t="e">
        <v>#DIV/0!</v>
      </c>
      <c r="DP471" s="37">
        <v>9.7323600973236015</v>
      </c>
      <c r="DQ471" s="37">
        <v>38.017031630170315</v>
      </c>
      <c r="DS471" s="36" t="s">
        <v>378</v>
      </c>
      <c r="DU471" s="37">
        <v>9.33</v>
      </c>
      <c r="DV471" s="37" t="e">
        <v>#DIV/0!</v>
      </c>
      <c r="DW471" s="37">
        <v>8.8652482269503547</v>
      </c>
      <c r="DX471" s="37">
        <v>38.120567375886523</v>
      </c>
      <c r="DZ471" s="36" t="s">
        <v>378</v>
      </c>
      <c r="EB471" s="37">
        <v>8.58</v>
      </c>
      <c r="EG471" s="36" t="s">
        <v>378</v>
      </c>
      <c r="EN471" s="36" t="s">
        <v>378</v>
      </c>
      <c r="EU471" s="36" t="s">
        <v>378</v>
      </c>
      <c r="FB471" s="36" t="s">
        <v>378</v>
      </c>
      <c r="FI471" s="36" t="s">
        <v>378</v>
      </c>
      <c r="FP471" s="36" t="s">
        <v>378</v>
      </c>
      <c r="FW471" s="36" t="s">
        <v>378</v>
      </c>
      <c r="GD471" s="36" t="s">
        <v>378</v>
      </c>
      <c r="GK471" s="36" t="s">
        <v>378</v>
      </c>
      <c r="GR471" s="36" t="s">
        <v>378</v>
      </c>
      <c r="GY471" s="36" t="s">
        <v>378</v>
      </c>
      <c r="HF471" s="36" t="s">
        <v>378</v>
      </c>
      <c r="HM471" s="36" t="s">
        <v>378</v>
      </c>
      <c r="HT471" s="36" t="s">
        <v>378</v>
      </c>
      <c r="IA471" s="36" t="s">
        <v>378</v>
      </c>
      <c r="IH471" s="36" t="s">
        <v>378</v>
      </c>
      <c r="IO471" s="36" t="s">
        <v>378</v>
      </c>
      <c r="IV471" s="36" t="s">
        <v>378</v>
      </c>
      <c r="JC471" s="36" t="s">
        <v>378</v>
      </c>
      <c r="JJ471" s="36" t="s">
        <v>378</v>
      </c>
      <c r="JQ471" s="36" t="s">
        <v>378</v>
      </c>
      <c r="JX471" s="36" t="s">
        <v>378</v>
      </c>
      <c r="KE471" s="36" t="s">
        <v>378</v>
      </c>
      <c r="KL471" s="36" t="s">
        <v>378</v>
      </c>
      <c r="KS471" s="36" t="s">
        <v>378</v>
      </c>
      <c r="KZ471" s="36" t="s">
        <v>378</v>
      </c>
      <c r="LF471" s="565"/>
      <c r="LG471" s="36" t="s">
        <v>378</v>
      </c>
      <c r="LM471" s="565"/>
      <c r="LN471" s="36" t="s">
        <v>378</v>
      </c>
      <c r="LT471" s="565"/>
      <c r="LU471" s="36" t="s">
        <v>378</v>
      </c>
      <c r="MA471" s="565"/>
      <c r="MB471" s="36" t="s">
        <v>378</v>
      </c>
      <c r="MH471" s="565"/>
    </row>
    <row r="472" spans="1:346" s="37" customFormat="1" ht="13.15" hidden="1" outlineLevel="1" x14ac:dyDescent="0.4">
      <c r="A472" s="35"/>
      <c r="B472" s="36" t="s">
        <v>379</v>
      </c>
      <c r="F472" s="37">
        <v>14.648648648648649</v>
      </c>
      <c r="G472" s="37">
        <v>11.973684210526315</v>
      </c>
      <c r="H472" s="37">
        <v>9.84375</v>
      </c>
      <c r="I472" s="37">
        <v>8.2558139534883725</v>
      </c>
      <c r="J472" s="37">
        <v>7.7674418604651159</v>
      </c>
      <c r="K472" s="37">
        <v>8.0540540540540544</v>
      </c>
      <c r="L472" s="37">
        <v>7.420675537359263</v>
      </c>
      <c r="M472" s="37">
        <v>8.8028169014084519</v>
      </c>
      <c r="N472" s="37">
        <f t="shared" si="7399"/>
        <v>32</v>
      </c>
      <c r="O472" s="37">
        <f t="shared" si="7400"/>
        <v>33.308099924299775</v>
      </c>
      <c r="P472" s="37">
        <f t="shared" si="7401"/>
        <v>24.696969696969695</v>
      </c>
      <c r="Q472" s="37" t="e">
        <f t="shared" si="7402"/>
        <v>#DIV/0!</v>
      </c>
      <c r="R472" s="37">
        <f t="shared" si="7403"/>
        <v>0</v>
      </c>
      <c r="S472" s="37">
        <f t="shared" si="7404"/>
        <v>0</v>
      </c>
      <c r="T472" s="37">
        <f t="shared" si="7405"/>
        <v>0</v>
      </c>
      <c r="U472" s="37">
        <f t="shared" si="7406"/>
        <v>0</v>
      </c>
      <c r="V472" s="37">
        <f t="shared" si="7407"/>
        <v>0</v>
      </c>
      <c r="W472" s="37">
        <f t="shared" si="7408"/>
        <v>0</v>
      </c>
      <c r="X472" s="37">
        <f t="shared" si="7409"/>
        <v>0</v>
      </c>
      <c r="Y472" s="37">
        <f t="shared" si="7410"/>
        <v>0</v>
      </c>
      <c r="Z472" s="37">
        <f t="shared" si="7411"/>
        <v>0</v>
      </c>
      <c r="AA472" s="37">
        <f t="shared" si="7412"/>
        <v>0</v>
      </c>
      <c r="AB472" s="37">
        <f t="shared" si="7413"/>
        <v>0</v>
      </c>
      <c r="AC472" s="37">
        <f t="shared" si="7414"/>
        <v>0</v>
      </c>
      <c r="AD472" s="37">
        <f t="shared" si="7415"/>
        <v>0</v>
      </c>
      <c r="AE472" s="37">
        <f t="shared" si="7416"/>
        <v>0</v>
      </c>
      <c r="AF472" s="37">
        <f t="shared" si="7417"/>
        <v>0</v>
      </c>
      <c r="AG472" s="37">
        <f t="shared" si="7418"/>
        <v>0</v>
      </c>
      <c r="AH472" s="37">
        <f t="shared" si="7419"/>
        <v>0</v>
      </c>
      <c r="AI472" s="37">
        <f t="shared" si="7420"/>
        <v>0</v>
      </c>
      <c r="AJ472" s="37">
        <f t="shared" si="7421"/>
        <v>0</v>
      </c>
      <c r="AK472" s="37">
        <f t="shared" si="7422"/>
        <v>0</v>
      </c>
      <c r="AL472" s="37">
        <f t="shared" si="7423"/>
        <v>0</v>
      </c>
      <c r="AM472" s="37">
        <f t="shared" si="7424"/>
        <v>0</v>
      </c>
      <c r="AN472" s="37">
        <f t="shared" si="7425"/>
        <v>0</v>
      </c>
      <c r="AO472" s="37">
        <f t="shared" si="7426"/>
        <v>0</v>
      </c>
      <c r="AP472" s="37">
        <f t="shared" si="7427"/>
        <v>0</v>
      </c>
      <c r="AQ472" s="37">
        <f t="shared" si="7428"/>
        <v>0</v>
      </c>
      <c r="AR472" s="37">
        <f t="shared" si="7429"/>
        <v>0</v>
      </c>
      <c r="AS472" s="37">
        <f t="shared" si="7430"/>
        <v>0</v>
      </c>
      <c r="AT472" s="37">
        <f t="shared" si="7431"/>
        <v>0</v>
      </c>
      <c r="AU472" s="37">
        <f t="shared" si="7432"/>
        <v>0</v>
      </c>
      <c r="AV472" s="37">
        <f t="shared" si="7433"/>
        <v>0</v>
      </c>
      <c r="AW472" s="37">
        <f t="shared" si="7434"/>
        <v>0</v>
      </c>
      <c r="AX472" s="37">
        <f t="shared" si="7435"/>
        <v>0</v>
      </c>
      <c r="AY472" s="37">
        <f t="shared" si="7436"/>
        <v>0</v>
      </c>
      <c r="AZ472" s="37">
        <f t="shared" si="7437"/>
        <v>0</v>
      </c>
      <c r="BA472" s="37">
        <f t="shared" si="7438"/>
        <v>0</v>
      </c>
      <c r="BO472" s="36" t="s">
        <v>379</v>
      </c>
      <c r="BQ472" s="37" t="e">
        <v>#DIV/0!</v>
      </c>
      <c r="BR472" s="37" t="e">
        <v>#DIV/0!</v>
      </c>
      <c r="BS472" s="37">
        <v>7.6428571428571423</v>
      </c>
      <c r="BT472" s="37">
        <v>32</v>
      </c>
      <c r="BV472" s="36" t="s">
        <v>379</v>
      </c>
      <c r="BX472" s="37" t="e">
        <v>#DIV/0!</v>
      </c>
      <c r="BY472" s="37" t="e">
        <v>#DIV/0!</v>
      </c>
      <c r="BZ472" s="37">
        <v>8.3270249810749437</v>
      </c>
      <c r="CA472" s="37">
        <v>33.308099924299775</v>
      </c>
      <c r="CC472" s="36" t="s">
        <v>379</v>
      </c>
      <c r="CE472" s="37" t="e">
        <v>#DIV/0!</v>
      </c>
      <c r="CF472" s="37" t="e">
        <v>#DIV/0!</v>
      </c>
      <c r="CG472" s="37">
        <v>7.6515151515151514</v>
      </c>
      <c r="CH472" s="37">
        <v>24.696969696969695</v>
      </c>
      <c r="CJ472" s="36" t="s">
        <v>379</v>
      </c>
      <c r="CL472" s="37" t="e">
        <v>#DIV/0!</v>
      </c>
      <c r="CM472" s="37" t="e">
        <v>#DIV/0!</v>
      </c>
      <c r="CO472" s="37" t="e">
        <v>#DIV/0!</v>
      </c>
      <c r="CQ472" s="36" t="s">
        <v>379</v>
      </c>
      <c r="CX472" s="36" t="s">
        <v>379</v>
      </c>
      <c r="DE472" s="36" t="s">
        <v>379</v>
      </c>
      <c r="DL472" s="36" t="s">
        <v>379</v>
      </c>
      <c r="DS472" s="36" t="s">
        <v>379</v>
      </c>
      <c r="DZ472" s="36" t="s">
        <v>379</v>
      </c>
      <c r="EG472" s="36" t="s">
        <v>379</v>
      </c>
      <c r="EN472" s="36" t="s">
        <v>379</v>
      </c>
      <c r="EU472" s="36" t="s">
        <v>379</v>
      </c>
      <c r="FB472" s="36" t="s">
        <v>379</v>
      </c>
      <c r="FI472" s="36" t="s">
        <v>379</v>
      </c>
      <c r="FP472" s="36" t="s">
        <v>379</v>
      </c>
      <c r="FW472" s="36" t="s">
        <v>379</v>
      </c>
      <c r="GD472" s="36" t="s">
        <v>379</v>
      </c>
      <c r="GK472" s="36" t="s">
        <v>379</v>
      </c>
      <c r="GR472" s="36" t="s">
        <v>379</v>
      </c>
      <c r="GY472" s="36" t="s">
        <v>379</v>
      </c>
      <c r="HF472" s="36" t="s">
        <v>379</v>
      </c>
      <c r="HM472" s="36" t="s">
        <v>379</v>
      </c>
      <c r="HT472" s="36" t="s">
        <v>379</v>
      </c>
      <c r="IA472" s="36" t="s">
        <v>379</v>
      </c>
      <c r="IH472" s="36" t="s">
        <v>379</v>
      </c>
      <c r="IO472" s="36" t="s">
        <v>379</v>
      </c>
      <c r="IV472" s="36" t="s">
        <v>379</v>
      </c>
      <c r="JC472" s="36" t="s">
        <v>379</v>
      </c>
      <c r="JJ472" s="36" t="s">
        <v>379</v>
      </c>
      <c r="JQ472" s="36" t="s">
        <v>379</v>
      </c>
      <c r="JX472" s="36" t="s">
        <v>379</v>
      </c>
      <c r="KE472" s="36" t="s">
        <v>379</v>
      </c>
      <c r="KL472" s="36" t="s">
        <v>379</v>
      </c>
      <c r="KS472" s="36" t="s">
        <v>379</v>
      </c>
      <c r="KZ472" s="36" t="s">
        <v>379</v>
      </c>
      <c r="LF472" s="565"/>
      <c r="LG472" s="36" t="s">
        <v>379</v>
      </c>
      <c r="LM472" s="565"/>
      <c r="LN472" s="36" t="s">
        <v>379</v>
      </c>
      <c r="LT472" s="565"/>
      <c r="LU472" s="36" t="s">
        <v>379</v>
      </c>
      <c r="MA472" s="565"/>
      <c r="MB472" s="36" t="s">
        <v>379</v>
      </c>
      <c r="MH472" s="565"/>
    </row>
    <row r="473" spans="1:346" s="37" customFormat="1" ht="13.15" hidden="1" outlineLevel="1" x14ac:dyDescent="0.4">
      <c r="A473" s="35"/>
      <c r="B473" s="36" t="s">
        <v>380</v>
      </c>
      <c r="F473" s="37">
        <v>14.384615384615385</v>
      </c>
      <c r="G473" s="37">
        <v>16.600000000000001</v>
      </c>
      <c r="H473" s="37">
        <v>10.142857142857142</v>
      </c>
      <c r="I473" s="37">
        <v>8.4</v>
      </c>
      <c r="J473" s="37">
        <v>7.4117647058823533</v>
      </c>
      <c r="K473" s="37">
        <v>6.56</v>
      </c>
      <c r="L473" s="37">
        <v>6.152732537097358</v>
      </c>
      <c r="M473" s="37">
        <v>7.0101647388713637</v>
      </c>
      <c r="N473" s="37">
        <f t="shared" si="7399"/>
        <v>33.627204030226707</v>
      </c>
      <c r="O473" s="37">
        <f t="shared" si="7400"/>
        <v>32.48898678414097</v>
      </c>
      <c r="P473" s="37">
        <f t="shared" si="7401"/>
        <v>39.170506912442391</v>
      </c>
      <c r="Q473" s="37" t="e">
        <f t="shared" si="7402"/>
        <v>#DIV/0!</v>
      </c>
      <c r="R473" s="37">
        <f t="shared" si="7403"/>
        <v>0</v>
      </c>
      <c r="S473" s="37">
        <f t="shared" si="7404"/>
        <v>0</v>
      </c>
      <c r="T473" s="37">
        <f t="shared" si="7405"/>
        <v>0</v>
      </c>
      <c r="U473" s="37">
        <f t="shared" si="7406"/>
        <v>0</v>
      </c>
      <c r="V473" s="37">
        <f t="shared" si="7407"/>
        <v>0</v>
      </c>
      <c r="W473" s="37">
        <f t="shared" si="7408"/>
        <v>0</v>
      </c>
      <c r="X473" s="37">
        <f t="shared" si="7409"/>
        <v>0</v>
      </c>
      <c r="Y473" s="37">
        <f t="shared" si="7410"/>
        <v>0</v>
      </c>
      <c r="Z473" s="37">
        <f t="shared" si="7411"/>
        <v>0</v>
      </c>
      <c r="AA473" s="37">
        <f t="shared" si="7412"/>
        <v>0</v>
      </c>
      <c r="AB473" s="37">
        <f t="shared" si="7413"/>
        <v>0</v>
      </c>
      <c r="AC473" s="37">
        <f t="shared" si="7414"/>
        <v>0</v>
      </c>
      <c r="AD473" s="37">
        <f t="shared" si="7415"/>
        <v>0</v>
      </c>
      <c r="AE473" s="37">
        <f t="shared" si="7416"/>
        <v>0</v>
      </c>
      <c r="AF473" s="37">
        <f t="shared" si="7417"/>
        <v>0</v>
      </c>
      <c r="AG473" s="37">
        <f t="shared" si="7418"/>
        <v>0</v>
      </c>
      <c r="AH473" s="37">
        <f t="shared" si="7419"/>
        <v>0</v>
      </c>
      <c r="AI473" s="37">
        <f t="shared" si="7420"/>
        <v>0</v>
      </c>
      <c r="AJ473" s="37">
        <f t="shared" si="7421"/>
        <v>0</v>
      </c>
      <c r="AK473" s="37">
        <f t="shared" si="7422"/>
        <v>0</v>
      </c>
      <c r="AL473" s="37">
        <f t="shared" si="7423"/>
        <v>0</v>
      </c>
      <c r="AM473" s="37">
        <f t="shared" si="7424"/>
        <v>0</v>
      </c>
      <c r="AN473" s="37">
        <f t="shared" si="7425"/>
        <v>0</v>
      </c>
      <c r="AO473" s="37">
        <f t="shared" si="7426"/>
        <v>0</v>
      </c>
      <c r="AP473" s="37">
        <f t="shared" si="7427"/>
        <v>0</v>
      </c>
      <c r="AQ473" s="37">
        <f t="shared" si="7428"/>
        <v>0</v>
      </c>
      <c r="AR473" s="37">
        <f t="shared" si="7429"/>
        <v>0</v>
      </c>
      <c r="AS473" s="37">
        <f t="shared" si="7430"/>
        <v>0</v>
      </c>
      <c r="AT473" s="37">
        <f t="shared" si="7431"/>
        <v>0</v>
      </c>
      <c r="AU473" s="37">
        <f t="shared" si="7432"/>
        <v>0</v>
      </c>
      <c r="AV473" s="37">
        <f t="shared" si="7433"/>
        <v>0</v>
      </c>
      <c r="AW473" s="37">
        <f t="shared" si="7434"/>
        <v>0</v>
      </c>
      <c r="AX473" s="37">
        <f t="shared" si="7435"/>
        <v>0</v>
      </c>
      <c r="AY473" s="37">
        <f t="shared" si="7436"/>
        <v>0</v>
      </c>
      <c r="AZ473" s="37">
        <f t="shared" si="7437"/>
        <v>0</v>
      </c>
      <c r="BA473" s="37">
        <f t="shared" si="7438"/>
        <v>0</v>
      </c>
      <c r="BO473" s="36" t="s">
        <v>380</v>
      </c>
      <c r="BQ473" s="37" t="e">
        <v>#DIV/0!</v>
      </c>
      <c r="BR473" s="37" t="e">
        <v>#DIV/0!</v>
      </c>
      <c r="BS473" s="37">
        <v>8.0604534005037785</v>
      </c>
      <c r="BT473" s="37">
        <v>33.627204030226707</v>
      </c>
      <c r="BV473" s="36" t="s">
        <v>380</v>
      </c>
      <c r="BX473" s="37" t="e">
        <v>#DIV/0!</v>
      </c>
      <c r="BY473" s="37" t="e">
        <v>#DIV/0!</v>
      </c>
      <c r="BZ473" s="37">
        <v>8.0396475770925111</v>
      </c>
      <c r="CA473" s="37">
        <v>32.48898678414097</v>
      </c>
      <c r="CC473" s="36" t="s">
        <v>380</v>
      </c>
      <c r="CE473" s="37" t="e">
        <v>#DIV/0!</v>
      </c>
      <c r="CF473" s="37" t="e">
        <v>#DIV/0!</v>
      </c>
      <c r="CG473" s="37">
        <v>7.9493087557603692</v>
      </c>
      <c r="CH473" s="37">
        <v>39.170506912442391</v>
      </c>
      <c r="CJ473" s="36" t="s">
        <v>380</v>
      </c>
      <c r="CL473" s="37" t="e">
        <v>#DIV/0!</v>
      </c>
      <c r="CM473" s="37" t="e">
        <v>#DIV/0!</v>
      </c>
      <c r="CO473" s="37" t="e">
        <v>#DIV/0!</v>
      </c>
      <c r="CQ473" s="36" t="s">
        <v>380</v>
      </c>
      <c r="CX473" s="36" t="s">
        <v>380</v>
      </c>
      <c r="DE473" s="36" t="s">
        <v>380</v>
      </c>
      <c r="DL473" s="36" t="s">
        <v>380</v>
      </c>
      <c r="DS473" s="36" t="s">
        <v>380</v>
      </c>
      <c r="DZ473" s="36" t="s">
        <v>380</v>
      </c>
      <c r="EG473" s="36" t="s">
        <v>380</v>
      </c>
      <c r="EN473" s="36" t="s">
        <v>380</v>
      </c>
      <c r="EU473" s="36" t="s">
        <v>380</v>
      </c>
      <c r="FB473" s="36" t="s">
        <v>380</v>
      </c>
      <c r="FI473" s="36" t="s">
        <v>380</v>
      </c>
      <c r="FP473" s="36" t="s">
        <v>380</v>
      </c>
      <c r="FW473" s="36" t="s">
        <v>380</v>
      </c>
      <c r="GD473" s="36" t="s">
        <v>380</v>
      </c>
      <c r="GK473" s="36" t="s">
        <v>380</v>
      </c>
      <c r="GR473" s="36" t="s">
        <v>380</v>
      </c>
      <c r="GY473" s="36" t="s">
        <v>380</v>
      </c>
      <c r="HF473" s="36" t="s">
        <v>380</v>
      </c>
      <c r="HM473" s="36" t="s">
        <v>380</v>
      </c>
      <c r="HT473" s="36" t="s">
        <v>380</v>
      </c>
      <c r="IA473" s="36" t="s">
        <v>380</v>
      </c>
      <c r="IH473" s="36" t="s">
        <v>380</v>
      </c>
      <c r="IO473" s="36" t="s">
        <v>380</v>
      </c>
      <c r="IV473" s="36" t="s">
        <v>380</v>
      </c>
      <c r="JC473" s="36" t="s">
        <v>380</v>
      </c>
      <c r="JJ473" s="36" t="s">
        <v>380</v>
      </c>
      <c r="JQ473" s="36" t="s">
        <v>380</v>
      </c>
      <c r="JX473" s="36" t="s">
        <v>380</v>
      </c>
      <c r="KE473" s="36" t="s">
        <v>380</v>
      </c>
      <c r="KL473" s="36" t="s">
        <v>380</v>
      </c>
      <c r="KS473" s="36" t="s">
        <v>380</v>
      </c>
      <c r="KZ473" s="36" t="s">
        <v>380</v>
      </c>
      <c r="LF473" s="565"/>
      <c r="LG473" s="36" t="s">
        <v>380</v>
      </c>
      <c r="LM473" s="565"/>
      <c r="LN473" s="36" t="s">
        <v>380</v>
      </c>
      <c r="LT473" s="565"/>
      <c r="LU473" s="36" t="s">
        <v>380</v>
      </c>
      <c r="MA473" s="565"/>
      <c r="MB473" s="36" t="s">
        <v>380</v>
      </c>
      <c r="MH473" s="565"/>
    </row>
    <row r="474" spans="1:346" s="37" customFormat="1" ht="13.15" hidden="1" outlineLevel="1" x14ac:dyDescent="0.4">
      <c r="A474" s="35"/>
      <c r="B474" s="36" t="s">
        <v>389</v>
      </c>
      <c r="F474" s="37">
        <v>8.2087542087542094</v>
      </c>
      <c r="G474" s="37">
        <v>7.2135231316725985</v>
      </c>
      <c r="H474" s="37">
        <v>6.577536231884058</v>
      </c>
      <c r="I474" s="37">
        <v>6.2136222910216716</v>
      </c>
      <c r="J474" s="37">
        <v>5.7871720116618084</v>
      </c>
      <c r="K474" s="37">
        <v>5.498673740053051</v>
      </c>
      <c r="L474" s="37">
        <v>5.1482292081177876</v>
      </c>
      <c r="M474" s="37">
        <v>5.8577405857740592</v>
      </c>
      <c r="N474" s="37">
        <f t="shared" si="7399"/>
        <v>25.054819334540941</v>
      </c>
      <c r="O474" s="37">
        <f t="shared" si="7400"/>
        <v>25.18982871269645</v>
      </c>
      <c r="P474" s="37">
        <f t="shared" si="7401"/>
        <v>24.366132723112127</v>
      </c>
      <c r="Q474" s="37">
        <f t="shared" si="7402"/>
        <v>21.024459651737924</v>
      </c>
      <c r="R474" s="37">
        <f t="shared" si="7403"/>
        <v>20.325655834667039</v>
      </c>
      <c r="S474" s="37">
        <f t="shared" si="7404"/>
        <v>20.69963508242104</v>
      </c>
      <c r="T474" s="37">
        <f t="shared" si="7405"/>
        <v>25.134425409528571</v>
      </c>
      <c r="U474" s="37">
        <f t="shared" si="7406"/>
        <v>26.484018264840184</v>
      </c>
      <c r="V474" s="37">
        <f t="shared" si="7407"/>
        <v>25.678098432710659</v>
      </c>
      <c r="W474" s="37">
        <f t="shared" si="7408"/>
        <v>0</v>
      </c>
      <c r="X474" s="37">
        <f t="shared" si="7409"/>
        <v>0</v>
      </c>
      <c r="Y474" s="37">
        <f t="shared" si="7410"/>
        <v>0</v>
      </c>
      <c r="Z474" s="37">
        <f t="shared" si="7411"/>
        <v>0</v>
      </c>
      <c r="AA474" s="37">
        <f t="shared" si="7412"/>
        <v>0</v>
      </c>
      <c r="AB474" s="37">
        <f t="shared" si="7413"/>
        <v>0</v>
      </c>
      <c r="AC474" s="37">
        <f t="shared" si="7414"/>
        <v>0</v>
      </c>
      <c r="AD474" s="37">
        <f t="shared" si="7415"/>
        <v>0</v>
      </c>
      <c r="AE474" s="37">
        <f t="shared" si="7416"/>
        <v>0</v>
      </c>
      <c r="AF474" s="37">
        <f t="shared" si="7417"/>
        <v>0</v>
      </c>
      <c r="AG474" s="37">
        <f t="shared" si="7418"/>
        <v>0</v>
      </c>
      <c r="AH474" s="37">
        <f t="shared" si="7419"/>
        <v>0</v>
      </c>
      <c r="AI474" s="37">
        <f t="shared" si="7420"/>
        <v>0</v>
      </c>
      <c r="AJ474" s="37">
        <f t="shared" si="7421"/>
        <v>0</v>
      </c>
      <c r="AK474" s="37">
        <f t="shared" si="7422"/>
        <v>0</v>
      </c>
      <c r="AL474" s="37">
        <f t="shared" si="7423"/>
        <v>0</v>
      </c>
      <c r="AM474" s="37">
        <f t="shared" si="7424"/>
        <v>0</v>
      </c>
      <c r="AN474" s="37">
        <f t="shared" si="7425"/>
        <v>0</v>
      </c>
      <c r="AO474" s="37">
        <f t="shared" si="7426"/>
        <v>0</v>
      </c>
      <c r="AP474" s="37">
        <f t="shared" si="7427"/>
        <v>0</v>
      </c>
      <c r="AQ474" s="37">
        <f t="shared" si="7428"/>
        <v>0</v>
      </c>
      <c r="AR474" s="37">
        <f t="shared" si="7429"/>
        <v>0</v>
      </c>
      <c r="AS474" s="37">
        <f t="shared" si="7430"/>
        <v>0</v>
      </c>
      <c r="AT474" s="37">
        <f t="shared" si="7431"/>
        <v>0</v>
      </c>
      <c r="AU474" s="37">
        <f t="shared" si="7432"/>
        <v>0</v>
      </c>
      <c r="AV474" s="37">
        <f t="shared" si="7433"/>
        <v>0</v>
      </c>
      <c r="AW474" s="37">
        <f t="shared" si="7434"/>
        <v>0</v>
      </c>
      <c r="AX474" s="37">
        <f t="shared" si="7435"/>
        <v>0</v>
      </c>
      <c r="AY474" s="37">
        <f t="shared" si="7436"/>
        <v>0</v>
      </c>
      <c r="AZ474" s="37">
        <f t="shared" si="7437"/>
        <v>0</v>
      </c>
      <c r="BA474" s="37">
        <f t="shared" si="7438"/>
        <v>0</v>
      </c>
      <c r="BO474" s="36" t="s">
        <v>389</v>
      </c>
      <c r="BQ474" s="37" t="e">
        <v>#DIV/0!</v>
      </c>
      <c r="BR474" s="37" t="e">
        <v>#DIV/0!</v>
      </c>
      <c r="BS474" s="37">
        <v>6.2923062255696447</v>
      </c>
      <c r="BT474" s="37">
        <v>25.054819334540941</v>
      </c>
      <c r="BV474" s="36" t="s">
        <v>389</v>
      </c>
      <c r="BX474" s="37" t="e">
        <v>#DIV/0!</v>
      </c>
      <c r="BY474" s="37" t="e">
        <v>#DIV/0!</v>
      </c>
      <c r="BZ474" s="37">
        <v>6.3923715345223373</v>
      </c>
      <c r="CA474" s="37">
        <v>25.18982871269645</v>
      </c>
      <c r="CC474" s="36" t="s">
        <v>389</v>
      </c>
      <c r="CE474" s="37" t="e">
        <v>#DIV/0!</v>
      </c>
      <c r="CF474" s="37" t="e">
        <v>#DIV/0!</v>
      </c>
      <c r="CG474" s="37">
        <v>6.3249427917620142</v>
      </c>
      <c r="CH474" s="37">
        <v>24.366132723112127</v>
      </c>
      <c r="CJ474" s="36" t="s">
        <v>389</v>
      </c>
      <c r="CL474" s="37" t="e">
        <v>#DIV/0!</v>
      </c>
      <c r="CM474" s="37" t="e">
        <v>#DIV/0!</v>
      </c>
      <c r="CN474" s="37">
        <v>6.111525171082052</v>
      </c>
      <c r="CO474" s="37">
        <v>21.024459651737924</v>
      </c>
      <c r="CQ474" s="36" t="s">
        <v>389</v>
      </c>
      <c r="CS474" s="37" t="e">
        <v>#DIV/0!</v>
      </c>
      <c r="CT474" s="37" t="e">
        <v>#DIV/0!</v>
      </c>
      <c r="CU474" s="37">
        <v>6.053858464964164</v>
      </c>
      <c r="CV474" s="37">
        <v>20.325655834667039</v>
      </c>
      <c r="CX474" s="36" t="s">
        <v>389</v>
      </c>
      <c r="CZ474" s="37" t="e">
        <v>#DIV/0!</v>
      </c>
      <c r="DA474" s="37" t="e">
        <v>#DIV/0!</v>
      </c>
      <c r="DB474" s="37">
        <v>6.5433496917075624</v>
      </c>
      <c r="DC474" s="37">
        <v>20.69963508242104</v>
      </c>
      <c r="DE474" s="36" t="s">
        <v>389</v>
      </c>
      <c r="DG474" s="37" t="e">
        <v>#DIV/0!</v>
      </c>
      <c r="DH474" s="37" t="e">
        <v>#DIV/0!</v>
      </c>
      <c r="DI474" s="37">
        <v>7.1276728773289983</v>
      </c>
      <c r="DJ474" s="37">
        <v>25.134425409528571</v>
      </c>
      <c r="DL474" s="36" t="s">
        <v>389</v>
      </c>
      <c r="DN474" s="37">
        <v>7.54</v>
      </c>
      <c r="DO474" s="37" t="e">
        <v>#DIV/0!</v>
      </c>
      <c r="DP474" s="37">
        <v>7.3059360730593603</v>
      </c>
      <c r="DQ474" s="37">
        <v>26.484018264840184</v>
      </c>
      <c r="DS474" s="36" t="s">
        <v>389</v>
      </c>
      <c r="DU474" s="37">
        <v>6.55</v>
      </c>
      <c r="DV474" s="37" t="e">
        <v>#DIV/0!</v>
      </c>
      <c r="DW474" s="37">
        <v>6.9978601584639408</v>
      </c>
      <c r="DX474" s="37">
        <v>25.678098432710659</v>
      </c>
      <c r="DZ474" s="36" t="s">
        <v>389</v>
      </c>
      <c r="EB474" s="37">
        <v>6.3</v>
      </c>
      <c r="EC474" s="37" t="e">
        <v>#DIV/0!</v>
      </c>
      <c r="ED474" s="37">
        <v>6.9978601584639408</v>
      </c>
      <c r="EG474" s="36" t="s">
        <v>389</v>
      </c>
      <c r="EI474" s="37">
        <v>6.3</v>
      </c>
      <c r="EJ474" s="37" t="e">
        <v>#DIV/0!</v>
      </c>
      <c r="EK474" s="37">
        <v>6.9978601584639408</v>
      </c>
      <c r="EN474" s="36" t="s">
        <v>389</v>
      </c>
      <c r="EP474" s="37">
        <v>6.3</v>
      </c>
      <c r="EQ474" s="37" t="e">
        <v>#DIV/0!</v>
      </c>
      <c r="ER474" s="37">
        <v>6.9978601584639408</v>
      </c>
      <c r="EU474" s="36" t="s">
        <v>389</v>
      </c>
      <c r="EW474" s="37">
        <v>6.3</v>
      </c>
      <c r="EX474" s="37" t="e">
        <v>#DIV/0!</v>
      </c>
      <c r="EY474" s="37">
        <v>6.9978601584639408</v>
      </c>
      <c r="FB474" s="36" t="s">
        <v>389</v>
      </c>
      <c r="FD474" s="37">
        <v>6.3</v>
      </c>
      <c r="FE474" s="37" t="e">
        <v>#DIV/0!</v>
      </c>
      <c r="FF474" s="37">
        <v>6.9978601584639408</v>
      </c>
      <c r="FI474" s="36" t="s">
        <v>389</v>
      </c>
      <c r="FK474" s="37">
        <v>6.3</v>
      </c>
      <c r="FL474" s="37" t="e">
        <v>#DIV/0!</v>
      </c>
      <c r="FM474" s="37">
        <v>6.9978601584639408</v>
      </c>
      <c r="FP474" s="36" t="s">
        <v>389</v>
      </c>
      <c r="FW474" s="36" t="s">
        <v>389</v>
      </c>
      <c r="GD474" s="36" t="s">
        <v>389</v>
      </c>
      <c r="GK474" s="36" t="s">
        <v>389</v>
      </c>
      <c r="GR474" s="36" t="s">
        <v>389</v>
      </c>
      <c r="GY474" s="36" t="s">
        <v>389</v>
      </c>
      <c r="HF474" s="36" t="s">
        <v>389</v>
      </c>
      <c r="HM474" s="36" t="s">
        <v>389</v>
      </c>
      <c r="HT474" s="36" t="s">
        <v>389</v>
      </c>
      <c r="IA474" s="36" t="s">
        <v>389</v>
      </c>
      <c r="IH474" s="36" t="s">
        <v>389</v>
      </c>
      <c r="IO474" s="36" t="s">
        <v>389</v>
      </c>
      <c r="IV474" s="36" t="s">
        <v>389</v>
      </c>
      <c r="JC474" s="36" t="s">
        <v>389</v>
      </c>
      <c r="JJ474" s="36" t="s">
        <v>389</v>
      </c>
      <c r="JQ474" s="36" t="s">
        <v>389</v>
      </c>
      <c r="JX474" s="36" t="s">
        <v>389</v>
      </c>
      <c r="KE474" s="36" t="s">
        <v>389</v>
      </c>
      <c r="KL474" s="36" t="s">
        <v>389</v>
      </c>
      <c r="KS474" s="36" t="s">
        <v>389</v>
      </c>
      <c r="KZ474" s="36" t="s">
        <v>389</v>
      </c>
      <c r="LF474" s="565"/>
      <c r="LG474" s="36" t="s">
        <v>389</v>
      </c>
      <c r="LM474" s="565"/>
      <c r="LN474" s="36" t="s">
        <v>389</v>
      </c>
      <c r="LT474" s="565"/>
      <c r="LU474" s="36" t="s">
        <v>389</v>
      </c>
      <c r="MA474" s="565"/>
      <c r="MB474" s="36" t="s">
        <v>389</v>
      </c>
      <c r="MH474" s="565"/>
    </row>
    <row r="475" spans="1:346" s="37" customFormat="1" ht="13.15" hidden="1" outlineLevel="1" x14ac:dyDescent="0.4">
      <c r="A475" s="35"/>
      <c r="B475" s="36"/>
      <c r="BO475" s="36"/>
      <c r="BV475" s="36"/>
      <c r="CC475" s="36"/>
      <c r="CJ475" s="36"/>
      <c r="CQ475" s="36"/>
      <c r="CX475" s="36"/>
      <c r="DE475" s="36"/>
      <c r="DL475" s="36"/>
      <c r="DS475" s="36"/>
      <c r="DZ475" s="36"/>
      <c r="EG475" s="36"/>
      <c r="EN475" s="36"/>
      <c r="EU475" s="36"/>
      <c r="FB475" s="36"/>
      <c r="FI475" s="36"/>
      <c r="FP475" s="36"/>
      <c r="FW475" s="36"/>
      <c r="GD475" s="36"/>
      <c r="GK475" s="36"/>
      <c r="GR475" s="36"/>
      <c r="GY475" s="36"/>
      <c r="HF475" s="36"/>
      <c r="HM475" s="36"/>
      <c r="HT475" s="36"/>
      <c r="IA475" s="36"/>
      <c r="IH475" s="36"/>
      <c r="IO475" s="36"/>
      <c r="IV475" s="36"/>
      <c r="JC475" s="36"/>
      <c r="JJ475" s="36"/>
      <c r="JQ475" s="36"/>
      <c r="JX475" s="36"/>
      <c r="KE475" s="36"/>
      <c r="KL475" s="36"/>
      <c r="KS475" s="36"/>
      <c r="KZ475" s="36"/>
      <c r="LF475" s="565"/>
      <c r="LG475" s="36"/>
      <c r="LM475" s="565"/>
      <c r="LN475" s="36"/>
      <c r="LT475" s="565"/>
      <c r="LU475" s="36"/>
      <c r="MA475" s="565"/>
      <c r="MB475" s="36"/>
      <c r="MH475" s="565"/>
    </row>
    <row r="476" spans="1:346" s="37" customFormat="1" ht="13.15" hidden="1" outlineLevel="1" x14ac:dyDescent="0.4">
      <c r="A476" s="35"/>
      <c r="B476" s="36" t="s">
        <v>346</v>
      </c>
      <c r="BO476" s="36" t="s">
        <v>346</v>
      </c>
      <c r="BV476" s="36" t="s">
        <v>346</v>
      </c>
      <c r="CC476" s="36" t="s">
        <v>346</v>
      </c>
      <c r="CJ476" s="36" t="s">
        <v>346</v>
      </c>
      <c r="CQ476" s="36" t="s">
        <v>346</v>
      </c>
      <c r="CX476" s="36" t="s">
        <v>346</v>
      </c>
      <c r="DE476" s="36" t="s">
        <v>346</v>
      </c>
      <c r="DL476" s="36" t="s">
        <v>346</v>
      </c>
      <c r="DS476" s="36" t="s">
        <v>346</v>
      </c>
      <c r="DZ476" s="36" t="s">
        <v>346</v>
      </c>
      <c r="EG476" s="36" t="s">
        <v>346</v>
      </c>
      <c r="EN476" s="36" t="s">
        <v>346</v>
      </c>
      <c r="EU476" s="36" t="s">
        <v>346</v>
      </c>
      <c r="FB476" s="36" t="s">
        <v>346</v>
      </c>
      <c r="FI476" s="36" t="s">
        <v>346</v>
      </c>
      <c r="FP476" s="36" t="s">
        <v>346</v>
      </c>
      <c r="FW476" s="36" t="s">
        <v>346</v>
      </c>
      <c r="GD476" s="36" t="s">
        <v>346</v>
      </c>
      <c r="GK476" s="36" t="s">
        <v>346</v>
      </c>
      <c r="GR476" s="36" t="s">
        <v>346</v>
      </c>
      <c r="GY476" s="36" t="s">
        <v>346</v>
      </c>
      <c r="HF476" s="36" t="s">
        <v>346</v>
      </c>
      <c r="HM476" s="36" t="s">
        <v>346</v>
      </c>
      <c r="HT476" s="36" t="s">
        <v>346</v>
      </c>
      <c r="IA476" s="36" t="s">
        <v>346</v>
      </c>
      <c r="IH476" s="36" t="s">
        <v>346</v>
      </c>
      <c r="IO476" s="36" t="s">
        <v>346</v>
      </c>
      <c r="IV476" s="36" t="s">
        <v>346</v>
      </c>
      <c r="JC476" s="36" t="s">
        <v>346</v>
      </c>
      <c r="JJ476" s="36" t="s">
        <v>346</v>
      </c>
      <c r="JQ476" s="36" t="s">
        <v>346</v>
      </c>
      <c r="JX476" s="36" t="s">
        <v>346</v>
      </c>
      <c r="KE476" s="36" t="s">
        <v>346</v>
      </c>
      <c r="KL476" s="36" t="s">
        <v>346</v>
      </c>
      <c r="KS476" s="36" t="s">
        <v>346</v>
      </c>
      <c r="KZ476" s="36" t="s">
        <v>346</v>
      </c>
      <c r="LF476" s="565"/>
      <c r="LG476" s="36" t="s">
        <v>346</v>
      </c>
      <c r="LM476" s="565"/>
      <c r="LN476" s="36" t="s">
        <v>346</v>
      </c>
      <c r="LT476" s="565"/>
      <c r="LU476" s="36" t="s">
        <v>346</v>
      </c>
      <c r="MA476" s="565"/>
      <c r="MB476" s="36" t="s">
        <v>346</v>
      </c>
      <c r="MH476" s="565"/>
    </row>
    <row r="477" spans="1:346" s="37" customFormat="1" ht="13.15" hidden="1" outlineLevel="1" x14ac:dyDescent="0.4">
      <c r="A477" s="35"/>
      <c r="B477" s="36" t="s">
        <v>318</v>
      </c>
      <c r="BO477" s="36" t="s">
        <v>318</v>
      </c>
      <c r="BV477" s="36" t="s">
        <v>318</v>
      </c>
      <c r="CC477" s="36" t="s">
        <v>318</v>
      </c>
      <c r="CJ477" s="36" t="s">
        <v>318</v>
      </c>
      <c r="CQ477" s="36" t="s">
        <v>318</v>
      </c>
      <c r="CX477" s="36" t="s">
        <v>318</v>
      </c>
      <c r="DE477" s="36" t="s">
        <v>318</v>
      </c>
      <c r="DL477" s="36" t="s">
        <v>318</v>
      </c>
      <c r="DS477" s="36" t="s">
        <v>318</v>
      </c>
      <c r="DZ477" s="36" t="s">
        <v>318</v>
      </c>
      <c r="EG477" s="36" t="s">
        <v>318</v>
      </c>
      <c r="EN477" s="36" t="s">
        <v>318</v>
      </c>
      <c r="EU477" s="36" t="s">
        <v>318</v>
      </c>
      <c r="FB477" s="36" t="s">
        <v>318</v>
      </c>
      <c r="FI477" s="36" t="s">
        <v>318</v>
      </c>
      <c r="FP477" s="36" t="s">
        <v>318</v>
      </c>
      <c r="FW477" s="36" t="s">
        <v>318</v>
      </c>
      <c r="GD477" s="36" t="s">
        <v>318</v>
      </c>
      <c r="GK477" s="36" t="s">
        <v>318</v>
      </c>
      <c r="GR477" s="36" t="s">
        <v>318</v>
      </c>
      <c r="GY477" s="36" t="s">
        <v>318</v>
      </c>
      <c r="HF477" s="36" t="s">
        <v>318</v>
      </c>
      <c r="HM477" s="36" t="s">
        <v>318</v>
      </c>
      <c r="HT477" s="36" t="s">
        <v>318</v>
      </c>
      <c r="IA477" s="36" t="s">
        <v>318</v>
      </c>
      <c r="IH477" s="36" t="s">
        <v>318</v>
      </c>
      <c r="IO477" s="36" t="s">
        <v>318</v>
      </c>
      <c r="IV477" s="36" t="s">
        <v>318</v>
      </c>
      <c r="JC477" s="36" t="s">
        <v>318</v>
      </c>
      <c r="JJ477" s="36" t="s">
        <v>318</v>
      </c>
      <c r="JQ477" s="36" t="s">
        <v>318</v>
      </c>
      <c r="JX477" s="36" t="s">
        <v>318</v>
      </c>
      <c r="KE477" s="36" t="s">
        <v>318</v>
      </c>
      <c r="KL477" s="36" t="s">
        <v>318</v>
      </c>
      <c r="KS477" s="36" t="s">
        <v>318</v>
      </c>
      <c r="KZ477" s="36" t="s">
        <v>318</v>
      </c>
      <c r="LF477" s="565"/>
      <c r="LG477" s="36" t="s">
        <v>318</v>
      </c>
      <c r="LM477" s="565"/>
      <c r="LN477" s="36" t="s">
        <v>318</v>
      </c>
      <c r="LT477" s="565"/>
      <c r="LU477" s="36" t="s">
        <v>318</v>
      </c>
      <c r="MA477" s="565"/>
      <c r="MB477" s="36" t="s">
        <v>318</v>
      </c>
      <c r="MH477" s="565"/>
    </row>
    <row r="478" spans="1:346" s="37" customFormat="1" ht="13.15" hidden="1" outlineLevel="1" x14ac:dyDescent="0.4">
      <c r="A478" s="35"/>
      <c r="B478" s="36" t="s">
        <v>147</v>
      </c>
      <c r="G478" s="37">
        <v>-0.14510278113663844</v>
      </c>
      <c r="H478" s="37">
        <v>-7.2984441301272934E-2</v>
      </c>
      <c r="I478" s="37">
        <v>0.25572169667378686</v>
      </c>
      <c r="J478" s="37">
        <v>2.1871202916160355E-2</v>
      </c>
      <c r="K478" s="37">
        <v>4.3995243757431662E-2</v>
      </c>
      <c r="L478" s="37">
        <v>-6.6059225512528449E-2</v>
      </c>
      <c r="M478" s="37">
        <v>-3.6585365853658534E-2</v>
      </c>
      <c r="N478" s="37">
        <f t="shared" ref="N478:N484" si="7439">BT478</f>
        <v>6.8354430379746908E-2</v>
      </c>
      <c r="O478" s="37">
        <f t="shared" ref="O478:O484" si="7440">CA478</f>
        <v>0.17654028436018945</v>
      </c>
      <c r="P478" s="37">
        <f t="shared" ref="P478:P484" si="7441">CH478</f>
        <v>8.0563947633434038E-2</v>
      </c>
      <c r="Q478" s="37">
        <f t="shared" ref="Q478:Q484" si="7442">CO478</f>
        <v>-5.5917986952469185E-3</v>
      </c>
      <c r="R478" s="37">
        <f t="shared" ref="R478:R484" si="7443">CV478</f>
        <v>-0.11715089034676664</v>
      </c>
      <c r="S478" s="37">
        <f t="shared" ref="S478:S484" si="7444">DC478</f>
        <v>6.1571125265392747E-2</v>
      </c>
      <c r="T478" s="37">
        <f t="shared" ref="T478:T484" si="7445">DJ478</f>
        <v>-7.0000000000000007E-2</v>
      </c>
      <c r="U478" s="37">
        <f t="shared" ref="U478:U484" si="7446">DQ478</f>
        <v>-5.3763440860215055E-2</v>
      </c>
      <c r="V478" s="37">
        <f t="shared" ref="V478:V484" si="7447">DX478</f>
        <v>-1.1363636363636364E-2</v>
      </c>
      <c r="W478" s="37">
        <f t="shared" ref="W478:W484" si="7448">EE478</f>
        <v>-0.52873563218390807</v>
      </c>
      <c r="X478" s="37">
        <f t="shared" ref="X478:X484" si="7449">EL478</f>
        <v>-1</v>
      </c>
      <c r="Y478" s="37">
        <f t="shared" ref="Y478:Y484" si="7450">ES478</f>
        <v>0</v>
      </c>
      <c r="Z478" s="37">
        <f t="shared" ref="Z478:Z484" si="7451">EZ478</f>
        <v>0</v>
      </c>
      <c r="AA478" s="37">
        <f t="shared" ref="AA478:AA484" si="7452">FG478</f>
        <v>0</v>
      </c>
      <c r="AB478" s="37">
        <f t="shared" ref="AB478:AB484" si="7453">FN478</f>
        <v>0</v>
      </c>
      <c r="AC478" s="37">
        <f t="shared" ref="AC478:AC484" si="7454">FU478</f>
        <v>0</v>
      </c>
      <c r="AD478" s="37">
        <f t="shared" ref="AD478:AD484" si="7455">GB478</f>
        <v>0</v>
      </c>
      <c r="AE478" s="37">
        <f t="shared" ref="AE478:AE484" si="7456">GI478</f>
        <v>0</v>
      </c>
      <c r="AF478" s="37">
        <f t="shared" ref="AF478:AF484" si="7457">GP478</f>
        <v>0</v>
      </c>
      <c r="AG478" s="37">
        <f t="shared" ref="AG478:AG484" si="7458">GW478</f>
        <v>0</v>
      </c>
      <c r="AH478" s="37">
        <f t="shared" ref="AH478:AH484" si="7459">HD478</f>
        <v>0</v>
      </c>
      <c r="AI478" s="37">
        <f t="shared" ref="AI478:AI484" si="7460">HK478</f>
        <v>0</v>
      </c>
      <c r="AJ478" s="37">
        <f t="shared" ref="AJ478:AJ484" si="7461">HR478</f>
        <v>0</v>
      </c>
      <c r="AK478" s="37">
        <f t="shared" ref="AK478:AK484" si="7462">HY478</f>
        <v>0</v>
      </c>
      <c r="AL478" s="37">
        <f t="shared" ref="AL478:AL484" si="7463">IF478</f>
        <v>0</v>
      </c>
      <c r="AM478" s="37">
        <f t="shared" ref="AM478:AM484" si="7464">IM478</f>
        <v>0</v>
      </c>
      <c r="AN478" s="37">
        <f t="shared" ref="AN478:AN484" si="7465">IT478</f>
        <v>0</v>
      </c>
      <c r="AO478" s="37">
        <f t="shared" ref="AO478:AO484" si="7466">JA478</f>
        <v>0</v>
      </c>
      <c r="AP478" s="37">
        <f t="shared" ref="AP478:AP484" si="7467">JH478</f>
        <v>0</v>
      </c>
      <c r="AQ478" s="37">
        <f t="shared" ref="AQ478:AQ484" si="7468">JO478</f>
        <v>0</v>
      </c>
      <c r="AR478" s="37">
        <f t="shared" ref="AR478:AR484" si="7469">JV478</f>
        <v>0</v>
      </c>
      <c r="AS478" s="37">
        <f t="shared" ref="AS478:AS484" si="7470">KC478</f>
        <v>0</v>
      </c>
      <c r="AT478" s="37">
        <f t="shared" ref="AT478:AT484" si="7471">KJ478</f>
        <v>0</v>
      </c>
      <c r="AU478" s="37">
        <f t="shared" ref="AU478:AU484" si="7472">KQ478</f>
        <v>0</v>
      </c>
      <c r="AV478" s="37">
        <f t="shared" ref="AV478:AV484" si="7473">KX478</f>
        <v>0</v>
      </c>
      <c r="AW478" s="37">
        <f t="shared" ref="AW478:AW484" si="7474">LE478</f>
        <v>0</v>
      </c>
      <c r="AX478" s="37">
        <f t="shared" ref="AX478:AX484" si="7475">LL478</f>
        <v>0</v>
      </c>
      <c r="AY478" s="37">
        <f t="shared" ref="AY478:AY484" si="7476">LS478</f>
        <v>0</v>
      </c>
      <c r="AZ478" s="37">
        <f t="shared" ref="AZ478:AZ484" si="7477">LZ478</f>
        <v>0</v>
      </c>
      <c r="BA478" s="37">
        <f t="shared" ref="BA478:BA484" si="7478">MG478</f>
        <v>0</v>
      </c>
      <c r="BO478" s="36" t="s">
        <v>147</v>
      </c>
      <c r="BT478" s="37">
        <v>6.8354430379746908E-2</v>
      </c>
      <c r="BV478" s="36" t="s">
        <v>147</v>
      </c>
      <c r="BW478" s="37">
        <v>7.389162561576354E-2</v>
      </c>
      <c r="BX478" s="37">
        <v>0.17982456140350866</v>
      </c>
      <c r="BY478" s="37">
        <v>0.34499999999999992</v>
      </c>
      <c r="BZ478" s="37">
        <v>0.1126760563380281</v>
      </c>
      <c r="CA478" s="37">
        <v>0.17654028436018945</v>
      </c>
      <c r="CC478" s="36" t="s">
        <v>147</v>
      </c>
      <c r="CD478" s="37">
        <v>9.6330275229357692E-2</v>
      </c>
      <c r="CE478" s="37">
        <v>2.2304832713754701E-2</v>
      </c>
      <c r="CF478" s="37">
        <v>3.717472118959108E-2</v>
      </c>
      <c r="CG478" s="37">
        <v>0.18143459915611818</v>
      </c>
      <c r="CH478" s="37">
        <v>8.0563947633434038E-2</v>
      </c>
      <c r="CJ478" s="36" t="s">
        <v>147</v>
      </c>
      <c r="CK478" s="37">
        <v>-5.0209205020920473E-2</v>
      </c>
      <c r="CL478" s="37">
        <v>5.4545454545454543E-2</v>
      </c>
      <c r="CM478" s="37">
        <v>-7.168458781361982E-3</v>
      </c>
      <c r="CN478" s="37">
        <v>-2.4999999999999974E-2</v>
      </c>
      <c r="CO478" s="37">
        <v>-5.5917986952469185E-3</v>
      </c>
      <c r="CQ478" s="36" t="s">
        <v>147</v>
      </c>
      <c r="CR478" s="37">
        <v>1.3215859030837036E-2</v>
      </c>
      <c r="CS478" s="37">
        <v>-0.13793103448275862</v>
      </c>
      <c r="CT478" s="37">
        <v>-0.27075812274368233</v>
      </c>
      <c r="CU478" s="37">
        <v>-4.7619047619047644E-2</v>
      </c>
      <c r="CV478" s="37">
        <v>-0.11715089034676664</v>
      </c>
      <c r="CX478" s="36" t="s">
        <v>147</v>
      </c>
      <c r="CY478" s="37">
        <v>-0.13043478260869565</v>
      </c>
      <c r="CZ478" s="37">
        <v>0.04</v>
      </c>
      <c r="DA478" s="37">
        <v>0.48514851485148519</v>
      </c>
      <c r="DB478" s="37">
        <v>-7.6923076923076927E-2</v>
      </c>
      <c r="DC478" s="37">
        <v>6.1571125265392747E-2</v>
      </c>
      <c r="DE478" s="36" t="s">
        <v>147</v>
      </c>
      <c r="DF478" s="37">
        <v>0.15</v>
      </c>
      <c r="DG478" s="37">
        <v>-0.15384615384615385</v>
      </c>
      <c r="DH478" s="37">
        <v>-0.13333333333333333</v>
      </c>
      <c r="DI478" s="37">
        <v>-8.3333333333333329E-2</v>
      </c>
      <c r="DJ478" s="37">
        <v>-7.0000000000000007E-2</v>
      </c>
      <c r="DL478" s="36" t="s">
        <v>147</v>
      </c>
      <c r="DM478" s="37">
        <v>-0.13043478260869565</v>
      </c>
      <c r="DN478" s="37">
        <v>4.5454545454545456E-2</v>
      </c>
      <c r="DO478" s="37">
        <v>-0.11538461538461539</v>
      </c>
      <c r="DP478" s="37">
        <v>0</v>
      </c>
      <c r="DQ478" s="37">
        <v>-5.3763440860215055E-2</v>
      </c>
      <c r="DS478" s="36" t="s">
        <v>147</v>
      </c>
      <c r="DT478" s="37">
        <v>0.1</v>
      </c>
      <c r="DU478" s="37">
        <v>4.3478260869565216E-2</v>
      </c>
      <c r="DV478" s="37">
        <v>-8.6956521739130432E-2</v>
      </c>
      <c r="DW478" s="37">
        <v>-9.0909090909090912E-2</v>
      </c>
      <c r="DX478" s="37">
        <v>-1.1363636363636364E-2</v>
      </c>
      <c r="DZ478" s="36" t="s">
        <v>147</v>
      </c>
      <c r="EA478" s="37">
        <v>-4.5454545454545456E-2</v>
      </c>
      <c r="EB478" s="37">
        <v>-0.16666666666666666</v>
      </c>
      <c r="EE478" s="37">
        <v>-0.52873563218390807</v>
      </c>
      <c r="EG478" s="36" t="s">
        <v>147</v>
      </c>
      <c r="EL478" s="37">
        <v>-1</v>
      </c>
      <c r="EN478" s="36" t="s">
        <v>147</v>
      </c>
      <c r="EU478" s="36" t="s">
        <v>147</v>
      </c>
      <c r="FB478" s="36" t="s">
        <v>147</v>
      </c>
      <c r="FI478" s="36" t="s">
        <v>147</v>
      </c>
      <c r="FP478" s="36" t="s">
        <v>147</v>
      </c>
      <c r="FW478" s="36" t="s">
        <v>147</v>
      </c>
      <c r="GD478" s="36" t="s">
        <v>147</v>
      </c>
      <c r="GK478" s="36" t="s">
        <v>147</v>
      </c>
      <c r="GR478" s="36" t="s">
        <v>147</v>
      </c>
      <c r="GY478" s="36" t="s">
        <v>147</v>
      </c>
      <c r="HF478" s="36" t="s">
        <v>147</v>
      </c>
      <c r="HM478" s="36" t="s">
        <v>147</v>
      </c>
      <c r="HT478" s="36" t="s">
        <v>147</v>
      </c>
      <c r="IA478" s="36" t="s">
        <v>147</v>
      </c>
      <c r="IH478" s="36" t="s">
        <v>147</v>
      </c>
      <c r="IO478" s="36" t="s">
        <v>147</v>
      </c>
      <c r="IV478" s="36" t="s">
        <v>147</v>
      </c>
      <c r="JC478" s="36" t="s">
        <v>147</v>
      </c>
      <c r="JJ478" s="36" t="s">
        <v>147</v>
      </c>
      <c r="JQ478" s="36" t="s">
        <v>147</v>
      </c>
      <c r="JX478" s="36" t="s">
        <v>147</v>
      </c>
      <c r="KE478" s="36" t="s">
        <v>147</v>
      </c>
      <c r="KL478" s="36" t="s">
        <v>147</v>
      </c>
      <c r="KS478" s="36" t="s">
        <v>147</v>
      </c>
      <c r="KZ478" s="36" t="s">
        <v>147</v>
      </c>
      <c r="LF478" s="565"/>
      <c r="LG478" s="36" t="s">
        <v>147</v>
      </c>
      <c r="LM478" s="565"/>
      <c r="LN478" s="36" t="s">
        <v>147</v>
      </c>
      <c r="LT478" s="565"/>
      <c r="LU478" s="36" t="s">
        <v>147</v>
      </c>
      <c r="MA478" s="565"/>
      <c r="MB478" s="36" t="s">
        <v>147</v>
      </c>
      <c r="MH478" s="565"/>
    </row>
    <row r="479" spans="1:346" s="37" customFormat="1" ht="13.15" hidden="1" outlineLevel="1" x14ac:dyDescent="0.4">
      <c r="A479" s="35"/>
      <c r="B479" s="36" t="s">
        <v>377</v>
      </c>
      <c r="G479" s="37">
        <v>-5.921052631578938E-2</v>
      </c>
      <c r="H479" s="37">
        <v>-5.5944055944055993E-2</v>
      </c>
      <c r="I479" s="37">
        <v>-0.17777777777777781</v>
      </c>
      <c r="J479" s="37">
        <v>-0.10585585585585576</v>
      </c>
      <c r="K479" s="37">
        <v>9.8236775818639752E-2</v>
      </c>
      <c r="L479" s="37">
        <v>0.14678899082568803</v>
      </c>
      <c r="M479" s="37">
        <v>0.16</v>
      </c>
      <c r="N479" s="37">
        <f t="shared" si="7439"/>
        <v>0.17241379310344829</v>
      </c>
      <c r="O479" s="37">
        <f t="shared" si="7440"/>
        <v>1.6176470588235209E-2</v>
      </c>
      <c r="P479" s="37">
        <f t="shared" si="7441"/>
        <v>-0.29956584659913166</v>
      </c>
      <c r="Q479" s="37">
        <f t="shared" si="7442"/>
        <v>0.9297520661157026</v>
      </c>
      <c r="R479" s="37">
        <f t="shared" si="7443"/>
        <v>0.20556745182012834</v>
      </c>
      <c r="S479" s="37">
        <f t="shared" si="7444"/>
        <v>0.10124333925399651</v>
      </c>
      <c r="T479" s="37">
        <f t="shared" si="7445"/>
        <v>0.52419354838709675</v>
      </c>
      <c r="U479" s="37">
        <f t="shared" si="7446"/>
        <v>0.32804232804232802</v>
      </c>
      <c r="V479" s="37">
        <f t="shared" si="7447"/>
        <v>-9.1633466135458169E-2</v>
      </c>
      <c r="W479" s="37">
        <f t="shared" si="7448"/>
        <v>-0.59649122807017541</v>
      </c>
      <c r="X479" s="37">
        <f t="shared" si="7449"/>
        <v>-1</v>
      </c>
      <c r="Y479" s="37">
        <f t="shared" si="7450"/>
        <v>0</v>
      </c>
      <c r="Z479" s="37">
        <f t="shared" si="7451"/>
        <v>0</v>
      </c>
      <c r="AA479" s="37">
        <f t="shared" si="7452"/>
        <v>0</v>
      </c>
      <c r="AB479" s="37">
        <f t="shared" si="7453"/>
        <v>0</v>
      </c>
      <c r="AC479" s="37">
        <f t="shared" si="7454"/>
        <v>0</v>
      </c>
      <c r="AD479" s="37">
        <f t="shared" si="7455"/>
        <v>0</v>
      </c>
      <c r="AE479" s="37">
        <f t="shared" si="7456"/>
        <v>0</v>
      </c>
      <c r="AF479" s="37">
        <f t="shared" si="7457"/>
        <v>0</v>
      </c>
      <c r="AG479" s="37">
        <f t="shared" si="7458"/>
        <v>0</v>
      </c>
      <c r="AH479" s="37">
        <f t="shared" si="7459"/>
        <v>0</v>
      </c>
      <c r="AI479" s="37">
        <f t="shared" si="7460"/>
        <v>0</v>
      </c>
      <c r="AJ479" s="37">
        <f t="shared" si="7461"/>
        <v>0</v>
      </c>
      <c r="AK479" s="37">
        <f t="shared" si="7462"/>
        <v>0</v>
      </c>
      <c r="AL479" s="37">
        <f t="shared" si="7463"/>
        <v>0</v>
      </c>
      <c r="AM479" s="37">
        <f t="shared" si="7464"/>
        <v>0</v>
      </c>
      <c r="AN479" s="37">
        <f t="shared" si="7465"/>
        <v>0</v>
      </c>
      <c r="AO479" s="37">
        <f t="shared" si="7466"/>
        <v>0</v>
      </c>
      <c r="AP479" s="37">
        <f t="shared" si="7467"/>
        <v>0</v>
      </c>
      <c r="AQ479" s="37">
        <f t="shared" si="7468"/>
        <v>0</v>
      </c>
      <c r="AR479" s="37">
        <f t="shared" si="7469"/>
        <v>0</v>
      </c>
      <c r="AS479" s="37">
        <f t="shared" si="7470"/>
        <v>0</v>
      </c>
      <c r="AT479" s="37">
        <f t="shared" si="7471"/>
        <v>0</v>
      </c>
      <c r="AU479" s="37">
        <f t="shared" si="7472"/>
        <v>0</v>
      </c>
      <c r="AV479" s="37">
        <f t="shared" si="7473"/>
        <v>0</v>
      </c>
      <c r="AW479" s="37">
        <f t="shared" si="7474"/>
        <v>0</v>
      </c>
      <c r="AX479" s="37">
        <f t="shared" si="7475"/>
        <v>0</v>
      </c>
      <c r="AY479" s="37">
        <f t="shared" si="7476"/>
        <v>0</v>
      </c>
      <c r="AZ479" s="37">
        <f t="shared" si="7477"/>
        <v>0</v>
      </c>
      <c r="BA479" s="37">
        <f t="shared" si="7478"/>
        <v>0</v>
      </c>
      <c r="BO479" s="36" t="s">
        <v>377</v>
      </c>
      <c r="BT479" s="37">
        <v>0.17241379310344829</v>
      </c>
      <c r="BV479" s="36" t="s">
        <v>377</v>
      </c>
      <c r="BW479" s="37">
        <v>-1.9867549668874104E-2</v>
      </c>
      <c r="BX479" s="37">
        <v>8.1081081081081086E-2</v>
      </c>
      <c r="BY479" s="37">
        <v>2.5974025974025997E-2</v>
      </c>
      <c r="BZ479" s="37">
        <v>-2.6315789473684209E-2</v>
      </c>
      <c r="CA479" s="37">
        <v>1.6176470588235209E-2</v>
      </c>
      <c r="CC479" s="36" t="s">
        <v>377</v>
      </c>
      <c r="CD479" s="37">
        <v>-0.20945945945945954</v>
      </c>
      <c r="CE479" s="37">
        <v>-0.47499999999999998</v>
      </c>
      <c r="CF479" s="37">
        <v>-0.26582278481012661</v>
      </c>
      <c r="CG479" s="37">
        <v>-0.21081081081081082</v>
      </c>
      <c r="CH479" s="37">
        <v>-0.29956584659913166</v>
      </c>
      <c r="CJ479" s="36" t="s">
        <v>377</v>
      </c>
      <c r="CK479" s="37">
        <v>0.15384615384615391</v>
      </c>
      <c r="CL479" s="37">
        <v>0.54285714285714282</v>
      </c>
      <c r="CM479" s="37">
        <v>1.0086206896551726</v>
      </c>
      <c r="CN479" s="37">
        <v>1.7671232876712328</v>
      </c>
      <c r="CO479" s="37">
        <v>0.9297520661157026</v>
      </c>
      <c r="CQ479" s="36" t="s">
        <v>377</v>
      </c>
      <c r="CR479" s="37">
        <v>0.92592592592592593</v>
      </c>
      <c r="CS479" s="37">
        <v>0.76543209876543228</v>
      </c>
      <c r="CT479" s="37">
        <v>-0.14163090128755368</v>
      </c>
      <c r="CU479" s="37">
        <v>-5.9405940594059375E-2</v>
      </c>
      <c r="CV479" s="37">
        <v>0.20556745182012834</v>
      </c>
      <c r="CX479" s="36" t="s">
        <v>377</v>
      </c>
      <c r="CY479" s="37">
        <v>-0.19230769230769232</v>
      </c>
      <c r="CZ479" s="37">
        <v>-0.16083916083916089</v>
      </c>
      <c r="DA479" s="37">
        <v>0.4</v>
      </c>
      <c r="DB479" s="37">
        <v>0.34210526315789475</v>
      </c>
      <c r="DC479" s="37">
        <v>0.10124333925399651</v>
      </c>
      <c r="DE479" s="36" t="s">
        <v>377</v>
      </c>
      <c r="DF479" s="37">
        <v>0.61904761904761907</v>
      </c>
      <c r="DG479" s="37">
        <v>0.54166666666666663</v>
      </c>
      <c r="DH479" s="37">
        <v>1</v>
      </c>
      <c r="DI479" s="37">
        <v>0.21568627450980393</v>
      </c>
      <c r="DJ479" s="37">
        <v>0.52419354838709675</v>
      </c>
      <c r="DL479" s="36" t="s">
        <v>377</v>
      </c>
      <c r="DM479" s="37">
        <v>0.44117647058823528</v>
      </c>
      <c r="DN479" s="37">
        <v>0.78378378378378377</v>
      </c>
      <c r="DO479" s="37">
        <v>0.10714285714285714</v>
      </c>
      <c r="DP479" s="37">
        <v>0.19354838709677419</v>
      </c>
      <c r="DQ479" s="37">
        <v>0.32804232804232802</v>
      </c>
      <c r="DS479" s="36" t="s">
        <v>377</v>
      </c>
      <c r="DT479" s="37">
        <v>-0.12244897959183673</v>
      </c>
      <c r="DU479" s="37">
        <v>-0.18181818181818182</v>
      </c>
      <c r="DV479" s="37">
        <v>-3.2258064516129031E-2</v>
      </c>
      <c r="DW479" s="37">
        <v>-4.0540540540540543E-2</v>
      </c>
      <c r="DX479" s="37">
        <v>-9.1633466135458169E-2</v>
      </c>
      <c r="DZ479" s="36" t="s">
        <v>377</v>
      </c>
      <c r="EA479" s="37">
        <v>-6.9767441860465115E-2</v>
      </c>
      <c r="EB479" s="37">
        <v>-3.7037037037037035E-2</v>
      </c>
      <c r="EE479" s="37">
        <v>-0.59649122807017541</v>
      </c>
      <c r="EG479" s="36" t="s">
        <v>377</v>
      </c>
      <c r="EL479" s="37">
        <v>-1</v>
      </c>
      <c r="EN479" s="36" t="s">
        <v>377</v>
      </c>
      <c r="EU479" s="36" t="s">
        <v>377</v>
      </c>
      <c r="FB479" s="36" t="s">
        <v>377</v>
      </c>
      <c r="FI479" s="36" t="s">
        <v>377</v>
      </c>
      <c r="FP479" s="36" t="s">
        <v>377</v>
      </c>
      <c r="FW479" s="36" t="s">
        <v>377</v>
      </c>
      <c r="GD479" s="36" t="s">
        <v>377</v>
      </c>
      <c r="GK479" s="36" t="s">
        <v>377</v>
      </c>
      <c r="GR479" s="36" t="s">
        <v>377</v>
      </c>
      <c r="GY479" s="36" t="s">
        <v>377</v>
      </c>
      <c r="HF479" s="36" t="s">
        <v>377</v>
      </c>
      <c r="HM479" s="36" t="s">
        <v>377</v>
      </c>
      <c r="HT479" s="36" t="s">
        <v>377</v>
      </c>
      <c r="IA479" s="36" t="s">
        <v>377</v>
      </c>
      <c r="IH479" s="36" t="s">
        <v>377</v>
      </c>
      <c r="IO479" s="36" t="s">
        <v>377</v>
      </c>
      <c r="IV479" s="36" t="s">
        <v>377</v>
      </c>
      <c r="JC479" s="36" t="s">
        <v>377</v>
      </c>
      <c r="JJ479" s="36" t="s">
        <v>377</v>
      </c>
      <c r="JQ479" s="36" t="s">
        <v>377</v>
      </c>
      <c r="JX479" s="36" t="s">
        <v>377</v>
      </c>
      <c r="KE479" s="36" t="s">
        <v>377</v>
      </c>
      <c r="KL479" s="36" t="s">
        <v>377</v>
      </c>
      <c r="KS479" s="36" t="s">
        <v>377</v>
      </c>
      <c r="KZ479" s="36" t="s">
        <v>377</v>
      </c>
      <c r="LF479" s="565"/>
      <c r="LG479" s="36" t="s">
        <v>377</v>
      </c>
      <c r="LM479" s="565"/>
      <c r="LN479" s="36" t="s">
        <v>377</v>
      </c>
      <c r="LT479" s="565"/>
      <c r="LU479" s="36" t="s">
        <v>377</v>
      </c>
      <c r="MA479" s="565"/>
      <c r="MB479" s="36" t="s">
        <v>377</v>
      </c>
      <c r="MH479" s="565"/>
    </row>
    <row r="480" spans="1:346" s="37" customFormat="1" ht="13.15" hidden="1" outlineLevel="1" x14ac:dyDescent="0.4">
      <c r="A480" s="35"/>
      <c r="B480" s="36" t="s">
        <v>378</v>
      </c>
      <c r="G480" s="37">
        <v>-0.23357664233576639</v>
      </c>
      <c r="H480" s="37">
        <v>0.11428571428571421</v>
      </c>
      <c r="I480" s="37">
        <v>0.10683760683760685</v>
      </c>
      <c r="J480" s="37">
        <v>0.10810810810810814</v>
      </c>
      <c r="K480" s="37">
        <v>3.484320557491289E-2</v>
      </c>
      <c r="L480" s="37">
        <v>-2.3569023569023545E-2</v>
      </c>
      <c r="M480" s="37">
        <v>0.10344827586206896</v>
      </c>
      <c r="N480" s="37">
        <f t="shared" si="7439"/>
        <v>0.21562499999999996</v>
      </c>
      <c r="O480" s="37">
        <f t="shared" si="7440"/>
        <v>0.11568123393316196</v>
      </c>
      <c r="P480" s="37">
        <f t="shared" si="7441"/>
        <v>1.1520737327189104E-2</v>
      </c>
      <c r="Q480" s="37">
        <f t="shared" si="7442"/>
        <v>0.35535307517084264</v>
      </c>
      <c r="R480" s="37">
        <f t="shared" si="7443"/>
        <v>0.43361344537815122</v>
      </c>
      <c r="S480" s="37">
        <f t="shared" si="7444"/>
        <v>0.23094958968347015</v>
      </c>
      <c r="T480" s="37">
        <f t="shared" si="7445"/>
        <v>0.14285714285714285</v>
      </c>
      <c r="U480" s="37">
        <f t="shared" si="7446"/>
        <v>4.1666666666666664E-2</v>
      </c>
      <c r="V480" s="37">
        <f t="shared" si="7447"/>
        <v>3.2000000000000001E-2</v>
      </c>
      <c r="W480" s="37">
        <f t="shared" si="7448"/>
        <v>-0.50387596899224807</v>
      </c>
      <c r="X480" s="37">
        <f t="shared" si="7449"/>
        <v>-1</v>
      </c>
      <c r="Y480" s="37">
        <f t="shared" si="7450"/>
        <v>0</v>
      </c>
      <c r="Z480" s="37">
        <f t="shared" si="7451"/>
        <v>0</v>
      </c>
      <c r="AA480" s="37">
        <f t="shared" si="7452"/>
        <v>0</v>
      </c>
      <c r="AB480" s="37">
        <f t="shared" si="7453"/>
        <v>0</v>
      </c>
      <c r="AC480" s="37">
        <f t="shared" si="7454"/>
        <v>0</v>
      </c>
      <c r="AD480" s="37">
        <f t="shared" si="7455"/>
        <v>0</v>
      </c>
      <c r="AE480" s="37">
        <f t="shared" si="7456"/>
        <v>0</v>
      </c>
      <c r="AF480" s="37">
        <f t="shared" si="7457"/>
        <v>0</v>
      </c>
      <c r="AG480" s="37">
        <f t="shared" si="7458"/>
        <v>0</v>
      </c>
      <c r="AH480" s="37">
        <f t="shared" si="7459"/>
        <v>0</v>
      </c>
      <c r="AI480" s="37">
        <f t="shared" si="7460"/>
        <v>0</v>
      </c>
      <c r="AJ480" s="37">
        <f t="shared" si="7461"/>
        <v>0</v>
      </c>
      <c r="AK480" s="37">
        <f t="shared" si="7462"/>
        <v>0</v>
      </c>
      <c r="AL480" s="37">
        <f t="shared" si="7463"/>
        <v>0</v>
      </c>
      <c r="AM480" s="37">
        <f t="shared" si="7464"/>
        <v>0</v>
      </c>
      <c r="AN480" s="37">
        <f t="shared" si="7465"/>
        <v>0</v>
      </c>
      <c r="AO480" s="37">
        <f t="shared" si="7466"/>
        <v>0</v>
      </c>
      <c r="AP480" s="37">
        <f t="shared" si="7467"/>
        <v>0</v>
      </c>
      <c r="AQ480" s="37">
        <f t="shared" si="7468"/>
        <v>0</v>
      </c>
      <c r="AR480" s="37">
        <f t="shared" si="7469"/>
        <v>0</v>
      </c>
      <c r="AS480" s="37">
        <f t="shared" si="7470"/>
        <v>0</v>
      </c>
      <c r="AT480" s="37">
        <f t="shared" si="7471"/>
        <v>0</v>
      </c>
      <c r="AU480" s="37">
        <f t="shared" si="7472"/>
        <v>0</v>
      </c>
      <c r="AV480" s="37">
        <f t="shared" si="7473"/>
        <v>0</v>
      </c>
      <c r="AW480" s="37">
        <f t="shared" si="7474"/>
        <v>0</v>
      </c>
      <c r="AX480" s="37">
        <f t="shared" si="7475"/>
        <v>0</v>
      </c>
      <c r="AY480" s="37">
        <f t="shared" si="7476"/>
        <v>0</v>
      </c>
      <c r="AZ480" s="37">
        <f t="shared" si="7477"/>
        <v>0</v>
      </c>
      <c r="BA480" s="37">
        <f t="shared" si="7478"/>
        <v>0</v>
      </c>
      <c r="BO480" s="36" t="s">
        <v>378</v>
      </c>
      <c r="BT480" s="37">
        <v>0.21562499999999996</v>
      </c>
      <c r="BV480" s="36" t="s">
        <v>378</v>
      </c>
      <c r="BW480" s="37">
        <v>-3.0303030303030373E-2</v>
      </c>
      <c r="BX480" s="37">
        <v>5.9999999999999963E-2</v>
      </c>
      <c r="BY480" s="37">
        <v>8.6538461538461564E-2</v>
      </c>
      <c r="BZ480" s="37">
        <v>0.38372093023255821</v>
      </c>
      <c r="CA480" s="37">
        <v>0.11568123393316196</v>
      </c>
      <c r="CC480" s="36" t="s">
        <v>378</v>
      </c>
      <c r="CD480" s="37">
        <v>0.20833333333333334</v>
      </c>
      <c r="CE480" s="37">
        <v>8.4905660377358527E-2</v>
      </c>
      <c r="CF480" s="37">
        <v>0</v>
      </c>
      <c r="CG480" s="37">
        <v>-0.2016806722689076</v>
      </c>
      <c r="CH480" s="37">
        <v>1.1520737327189104E-2</v>
      </c>
      <c r="CJ480" s="36" t="s">
        <v>378</v>
      </c>
      <c r="CK480" s="37">
        <v>-3.4482758620689689E-2</v>
      </c>
      <c r="CL480" s="37">
        <v>0.11304347826086962</v>
      </c>
      <c r="CM480" s="37">
        <v>0.15044247787610612</v>
      </c>
      <c r="CN480" s="37">
        <v>1.368421052631579</v>
      </c>
      <c r="CO480" s="37">
        <v>0.35535307517084264</v>
      </c>
      <c r="CQ480" s="36" t="s">
        <v>378</v>
      </c>
      <c r="CR480" s="37">
        <v>0.96428571428571441</v>
      </c>
      <c r="CS480" s="37">
        <v>0.703125</v>
      </c>
      <c r="CT480" s="37">
        <v>0.42307692307692307</v>
      </c>
      <c r="CU480" s="37">
        <v>2.2222222222222223E-2</v>
      </c>
      <c r="CV480" s="37">
        <v>0.43361344537815122</v>
      </c>
      <c r="CX480" s="36" t="s">
        <v>378</v>
      </c>
      <c r="CY480" s="37">
        <v>4.5454545454545456E-2</v>
      </c>
      <c r="CZ480" s="37">
        <v>0.19266055045871555</v>
      </c>
      <c r="DA480" s="37">
        <v>0.45945945945945948</v>
      </c>
      <c r="DB480" s="37">
        <v>0.2608695652173913</v>
      </c>
      <c r="DC480" s="37">
        <v>0.23094958968347015</v>
      </c>
      <c r="DE480" s="36" t="s">
        <v>378</v>
      </c>
      <c r="DF480" s="37">
        <v>0.39130434782608697</v>
      </c>
      <c r="DG480" s="37">
        <v>0.19230769230769232</v>
      </c>
      <c r="DH480" s="37">
        <v>0</v>
      </c>
      <c r="DI480" s="37">
        <v>3.4482758620689655E-2</v>
      </c>
      <c r="DJ480" s="37">
        <v>0.14285714285714285</v>
      </c>
      <c r="DL480" s="36" t="s">
        <v>378</v>
      </c>
      <c r="DM480" s="37">
        <v>-3.125E-2</v>
      </c>
      <c r="DN480" s="37">
        <v>3.2258064516129031E-2</v>
      </c>
      <c r="DO480" s="37">
        <v>0.1111111111111111</v>
      </c>
      <c r="DP480" s="37">
        <v>6.6666666666666666E-2</v>
      </c>
      <c r="DQ480" s="37">
        <v>4.1666666666666664E-2</v>
      </c>
      <c r="DS480" s="36" t="s">
        <v>378</v>
      </c>
      <c r="DT480" s="37">
        <v>0.12903225806451613</v>
      </c>
      <c r="DU480" s="37">
        <v>6.25E-2</v>
      </c>
      <c r="DV480" s="37">
        <v>0</v>
      </c>
      <c r="DW480" s="37">
        <v>-6.25E-2</v>
      </c>
      <c r="DX480" s="37">
        <v>3.2000000000000001E-2</v>
      </c>
      <c r="DZ480" s="36" t="s">
        <v>378</v>
      </c>
      <c r="EA480" s="37">
        <v>-0.11428571428571428</v>
      </c>
      <c r="EB480" s="37">
        <v>-2.9411764705882353E-2</v>
      </c>
      <c r="EE480" s="37">
        <v>-0.50387596899224807</v>
      </c>
      <c r="EG480" s="36" t="s">
        <v>378</v>
      </c>
      <c r="EL480" s="37">
        <v>-1</v>
      </c>
      <c r="EN480" s="36" t="s">
        <v>378</v>
      </c>
      <c r="EU480" s="36" t="s">
        <v>378</v>
      </c>
      <c r="FB480" s="36" t="s">
        <v>378</v>
      </c>
      <c r="FI480" s="36" t="s">
        <v>378</v>
      </c>
      <c r="FP480" s="36" t="s">
        <v>378</v>
      </c>
      <c r="FW480" s="36" t="s">
        <v>378</v>
      </c>
      <c r="GD480" s="36" t="s">
        <v>378</v>
      </c>
      <c r="GK480" s="36" t="s">
        <v>378</v>
      </c>
      <c r="GR480" s="36" t="s">
        <v>378</v>
      </c>
      <c r="GY480" s="36" t="s">
        <v>378</v>
      </c>
      <c r="HF480" s="36" t="s">
        <v>378</v>
      </c>
      <c r="HM480" s="36" t="s">
        <v>378</v>
      </c>
      <c r="HT480" s="36" t="s">
        <v>378</v>
      </c>
      <c r="IA480" s="36" t="s">
        <v>378</v>
      </c>
      <c r="IH480" s="36" t="s">
        <v>378</v>
      </c>
      <c r="IO480" s="36" t="s">
        <v>378</v>
      </c>
      <c r="IV480" s="36" t="s">
        <v>378</v>
      </c>
      <c r="JC480" s="36" t="s">
        <v>378</v>
      </c>
      <c r="JJ480" s="36" t="s">
        <v>378</v>
      </c>
      <c r="JQ480" s="36" t="s">
        <v>378</v>
      </c>
      <c r="JX480" s="36" t="s">
        <v>378</v>
      </c>
      <c r="KE480" s="36" t="s">
        <v>378</v>
      </c>
      <c r="KL480" s="36" t="s">
        <v>378</v>
      </c>
      <c r="KS480" s="36" t="s">
        <v>378</v>
      </c>
      <c r="KZ480" s="36" t="s">
        <v>378</v>
      </c>
      <c r="LF480" s="565"/>
      <c r="LG480" s="36" t="s">
        <v>378</v>
      </c>
      <c r="LM480" s="565"/>
      <c r="LN480" s="36" t="s">
        <v>378</v>
      </c>
      <c r="LT480" s="565"/>
      <c r="LU480" s="36" t="s">
        <v>378</v>
      </c>
      <c r="MA480" s="565"/>
      <c r="MB480" s="36" t="s">
        <v>378</v>
      </c>
      <c r="MH480" s="565"/>
    </row>
    <row r="481" spans="1:346" s="37" customFormat="1" ht="13.15" hidden="1" outlineLevel="1" x14ac:dyDescent="0.4">
      <c r="A481" s="35"/>
      <c r="B481" s="36" t="s">
        <v>379</v>
      </c>
      <c r="G481" s="37">
        <v>-0.16051660516605171</v>
      </c>
      <c r="H481" s="37">
        <v>-0.30769230769230771</v>
      </c>
      <c r="I481" s="37">
        <v>0.12698412698412698</v>
      </c>
      <c r="J481" s="37">
        <v>-5.9154929577464828E-2</v>
      </c>
      <c r="K481" s="37">
        <v>-0.1077844311377245</v>
      </c>
      <c r="L481" s="37">
        <v>-2.6845637583892641E-2</v>
      </c>
      <c r="M481" s="37">
        <v>0.20689655172413793</v>
      </c>
      <c r="N481" s="37">
        <f t="shared" si="7439"/>
        <v>0.27999999999999992</v>
      </c>
      <c r="O481" s="37">
        <f t="shared" si="7440"/>
        <v>-1.7857142857142794E-2</v>
      </c>
      <c r="P481" s="37">
        <f t="shared" si="7441"/>
        <v>-0.25909090909090904</v>
      </c>
      <c r="Q481" s="37">
        <f t="shared" si="7442"/>
        <v>-0.23312883435582826</v>
      </c>
      <c r="R481" s="37">
        <f t="shared" si="7443"/>
        <v>0</v>
      </c>
      <c r="S481" s="37">
        <f t="shared" si="7444"/>
        <v>0</v>
      </c>
      <c r="T481" s="37">
        <f t="shared" si="7445"/>
        <v>0</v>
      </c>
      <c r="U481" s="37">
        <f t="shared" si="7446"/>
        <v>0</v>
      </c>
      <c r="V481" s="37">
        <f t="shared" si="7447"/>
        <v>0</v>
      </c>
      <c r="W481" s="37">
        <f t="shared" si="7448"/>
        <v>0</v>
      </c>
      <c r="X481" s="37">
        <f t="shared" si="7449"/>
        <v>0</v>
      </c>
      <c r="Y481" s="37">
        <f t="shared" si="7450"/>
        <v>0</v>
      </c>
      <c r="Z481" s="37">
        <f t="shared" si="7451"/>
        <v>0</v>
      </c>
      <c r="AA481" s="37">
        <f t="shared" si="7452"/>
        <v>0</v>
      </c>
      <c r="AB481" s="37">
        <f t="shared" si="7453"/>
        <v>0</v>
      </c>
      <c r="AC481" s="37">
        <f t="shared" si="7454"/>
        <v>0</v>
      </c>
      <c r="AD481" s="37">
        <f t="shared" si="7455"/>
        <v>0</v>
      </c>
      <c r="AE481" s="37">
        <f t="shared" si="7456"/>
        <v>0</v>
      </c>
      <c r="AF481" s="37">
        <f t="shared" si="7457"/>
        <v>0</v>
      </c>
      <c r="AG481" s="37">
        <f t="shared" si="7458"/>
        <v>0</v>
      </c>
      <c r="AH481" s="37">
        <f t="shared" si="7459"/>
        <v>0</v>
      </c>
      <c r="AI481" s="37">
        <f t="shared" si="7460"/>
        <v>0</v>
      </c>
      <c r="AJ481" s="37">
        <f t="shared" si="7461"/>
        <v>0</v>
      </c>
      <c r="AK481" s="37">
        <f t="shared" si="7462"/>
        <v>0</v>
      </c>
      <c r="AL481" s="37">
        <f t="shared" si="7463"/>
        <v>0</v>
      </c>
      <c r="AM481" s="37">
        <f t="shared" si="7464"/>
        <v>0</v>
      </c>
      <c r="AN481" s="37">
        <f t="shared" si="7465"/>
        <v>0</v>
      </c>
      <c r="AO481" s="37">
        <f t="shared" si="7466"/>
        <v>0</v>
      </c>
      <c r="AP481" s="37">
        <f t="shared" si="7467"/>
        <v>0</v>
      </c>
      <c r="AQ481" s="37">
        <f t="shared" si="7468"/>
        <v>0</v>
      </c>
      <c r="AR481" s="37">
        <f t="shared" si="7469"/>
        <v>0</v>
      </c>
      <c r="AS481" s="37">
        <f t="shared" si="7470"/>
        <v>0</v>
      </c>
      <c r="AT481" s="37">
        <f t="shared" si="7471"/>
        <v>0</v>
      </c>
      <c r="AU481" s="37">
        <f t="shared" si="7472"/>
        <v>0</v>
      </c>
      <c r="AV481" s="37">
        <f t="shared" si="7473"/>
        <v>0</v>
      </c>
      <c r="AW481" s="37">
        <f t="shared" si="7474"/>
        <v>0</v>
      </c>
      <c r="AX481" s="37">
        <f t="shared" si="7475"/>
        <v>0</v>
      </c>
      <c r="AY481" s="37">
        <f t="shared" si="7476"/>
        <v>0</v>
      </c>
      <c r="AZ481" s="37">
        <f t="shared" si="7477"/>
        <v>0</v>
      </c>
      <c r="BA481" s="37">
        <f t="shared" si="7478"/>
        <v>0</v>
      </c>
      <c r="BO481" s="36" t="s">
        <v>379</v>
      </c>
      <c r="BT481" s="37">
        <v>0.27999999999999992</v>
      </c>
      <c r="BV481" s="36" t="s">
        <v>379</v>
      </c>
      <c r="BW481" s="37">
        <v>0.13084112149532715</v>
      </c>
      <c r="BX481" s="37">
        <v>-5.4545454545454515E-2</v>
      </c>
      <c r="BY481" s="37">
        <v>-0.15322580645161293</v>
      </c>
      <c r="BZ481" s="37">
        <v>2.8037383177570162E-2</v>
      </c>
      <c r="CA481" s="37">
        <v>-1.7857142857142794E-2</v>
      </c>
      <c r="CC481" s="36" t="s">
        <v>379</v>
      </c>
      <c r="CD481" s="37">
        <v>-0.42148760330578511</v>
      </c>
      <c r="CE481" s="37">
        <v>-0.28846153846153844</v>
      </c>
      <c r="CF481" s="37">
        <v>-0.22857142857142859</v>
      </c>
      <c r="CG481" s="37">
        <v>-8.1818181818181845E-2</v>
      </c>
      <c r="CH481" s="37">
        <v>-0.25909090909090904</v>
      </c>
      <c r="CJ481" s="36" t="s">
        <v>379</v>
      </c>
      <c r="CK481" s="37">
        <v>-1.4285714285714235E-2</v>
      </c>
      <c r="CL481" s="37">
        <v>0.1486486486486486</v>
      </c>
      <c r="CM481" s="37">
        <v>0.1851851851851852</v>
      </c>
      <c r="CN481" s="37">
        <v>-1</v>
      </c>
      <c r="CO481" s="37">
        <v>-0.23312883435582826</v>
      </c>
      <c r="CQ481" s="36" t="s">
        <v>379</v>
      </c>
      <c r="CX481" s="36" t="s">
        <v>379</v>
      </c>
      <c r="DE481" s="36" t="s">
        <v>379</v>
      </c>
      <c r="DL481" s="36" t="s">
        <v>379</v>
      </c>
      <c r="DS481" s="36" t="s">
        <v>379</v>
      </c>
      <c r="DZ481" s="36" t="s">
        <v>379</v>
      </c>
      <c r="EG481" s="36" t="s">
        <v>379</v>
      </c>
      <c r="EN481" s="36" t="s">
        <v>379</v>
      </c>
      <c r="EU481" s="36" t="s">
        <v>379</v>
      </c>
      <c r="FB481" s="36" t="s">
        <v>379</v>
      </c>
      <c r="FI481" s="36" t="s">
        <v>379</v>
      </c>
      <c r="FP481" s="36" t="s">
        <v>379</v>
      </c>
      <c r="FW481" s="36" t="s">
        <v>379</v>
      </c>
      <c r="GD481" s="36" t="s">
        <v>379</v>
      </c>
      <c r="GK481" s="36" t="s">
        <v>379</v>
      </c>
      <c r="GR481" s="36" t="s">
        <v>379</v>
      </c>
      <c r="GY481" s="36" t="s">
        <v>379</v>
      </c>
      <c r="HF481" s="36" t="s">
        <v>379</v>
      </c>
      <c r="HM481" s="36" t="s">
        <v>379</v>
      </c>
      <c r="HT481" s="36" t="s">
        <v>379</v>
      </c>
      <c r="IA481" s="36" t="s">
        <v>379</v>
      </c>
      <c r="IH481" s="36" t="s">
        <v>379</v>
      </c>
      <c r="IO481" s="36" t="s">
        <v>379</v>
      </c>
      <c r="IV481" s="36" t="s">
        <v>379</v>
      </c>
      <c r="JC481" s="36" t="s">
        <v>379</v>
      </c>
      <c r="JJ481" s="36" t="s">
        <v>379</v>
      </c>
      <c r="JQ481" s="36" t="s">
        <v>379</v>
      </c>
      <c r="JX481" s="36" t="s">
        <v>379</v>
      </c>
      <c r="KE481" s="36" t="s">
        <v>379</v>
      </c>
      <c r="KL481" s="36" t="s">
        <v>379</v>
      </c>
      <c r="KS481" s="36" t="s">
        <v>379</v>
      </c>
      <c r="KZ481" s="36" t="s">
        <v>379</v>
      </c>
      <c r="LF481" s="565"/>
      <c r="LG481" s="36" t="s">
        <v>379</v>
      </c>
      <c r="LM481" s="565"/>
      <c r="LN481" s="36" t="s">
        <v>379</v>
      </c>
      <c r="LT481" s="565"/>
      <c r="LU481" s="36" t="s">
        <v>379</v>
      </c>
      <c r="MA481" s="565"/>
      <c r="MB481" s="36" t="s">
        <v>379</v>
      </c>
      <c r="MH481" s="565"/>
    </row>
    <row r="482" spans="1:346" s="37" customFormat="1" ht="13.15" hidden="1" outlineLevel="1" x14ac:dyDescent="0.4">
      <c r="A482" s="35"/>
      <c r="B482" s="36" t="s">
        <v>380</v>
      </c>
      <c r="G482" s="37">
        <v>-0.55614973262032075</v>
      </c>
      <c r="H482" s="37">
        <v>-0.14457831325301215</v>
      </c>
      <c r="I482" s="37">
        <v>0.77464788732394374</v>
      </c>
      <c r="J482" s="37">
        <v>0</v>
      </c>
      <c r="K482" s="37">
        <v>0.30158730158730152</v>
      </c>
      <c r="L482" s="37">
        <v>3.6585365853658625E-2</v>
      </c>
      <c r="M482" s="37">
        <v>0.17647058823529413</v>
      </c>
      <c r="N482" s="37">
        <f t="shared" si="7439"/>
        <v>0.33500000000000013</v>
      </c>
      <c r="O482" s="37">
        <f t="shared" si="7440"/>
        <v>0.10486891385767792</v>
      </c>
      <c r="P482" s="37">
        <f t="shared" si="7441"/>
        <v>0.1525423728813558</v>
      </c>
      <c r="Q482" s="37">
        <f t="shared" si="7442"/>
        <v>-0.24411764705882355</v>
      </c>
      <c r="R482" s="37">
        <f t="shared" si="7443"/>
        <v>0</v>
      </c>
      <c r="S482" s="37">
        <f t="shared" si="7444"/>
        <v>0</v>
      </c>
      <c r="T482" s="37">
        <f t="shared" si="7445"/>
        <v>0</v>
      </c>
      <c r="U482" s="37">
        <f t="shared" si="7446"/>
        <v>0</v>
      </c>
      <c r="V482" s="37">
        <f t="shared" si="7447"/>
        <v>0</v>
      </c>
      <c r="W482" s="37">
        <f t="shared" si="7448"/>
        <v>0</v>
      </c>
      <c r="X482" s="37">
        <f t="shared" si="7449"/>
        <v>0</v>
      </c>
      <c r="Y482" s="37">
        <f t="shared" si="7450"/>
        <v>0</v>
      </c>
      <c r="Z482" s="37">
        <f t="shared" si="7451"/>
        <v>0</v>
      </c>
      <c r="AA482" s="37">
        <f t="shared" si="7452"/>
        <v>0</v>
      </c>
      <c r="AB482" s="37">
        <f t="shared" si="7453"/>
        <v>0</v>
      </c>
      <c r="AC482" s="37">
        <f t="shared" si="7454"/>
        <v>0</v>
      </c>
      <c r="AD482" s="37">
        <f t="shared" si="7455"/>
        <v>0</v>
      </c>
      <c r="AE482" s="37">
        <f t="shared" si="7456"/>
        <v>0</v>
      </c>
      <c r="AF482" s="37">
        <f t="shared" si="7457"/>
        <v>0</v>
      </c>
      <c r="AG482" s="37">
        <f t="shared" si="7458"/>
        <v>0</v>
      </c>
      <c r="AH482" s="37">
        <f t="shared" si="7459"/>
        <v>0</v>
      </c>
      <c r="AI482" s="37">
        <f t="shared" si="7460"/>
        <v>0</v>
      </c>
      <c r="AJ482" s="37">
        <f t="shared" si="7461"/>
        <v>0</v>
      </c>
      <c r="AK482" s="37">
        <f t="shared" si="7462"/>
        <v>0</v>
      </c>
      <c r="AL482" s="37">
        <f t="shared" si="7463"/>
        <v>0</v>
      </c>
      <c r="AM482" s="37">
        <f t="shared" si="7464"/>
        <v>0</v>
      </c>
      <c r="AN482" s="37">
        <f t="shared" si="7465"/>
        <v>0</v>
      </c>
      <c r="AO482" s="37">
        <f t="shared" si="7466"/>
        <v>0</v>
      </c>
      <c r="AP482" s="37">
        <f t="shared" si="7467"/>
        <v>0</v>
      </c>
      <c r="AQ482" s="37">
        <f t="shared" si="7468"/>
        <v>0</v>
      </c>
      <c r="AR482" s="37">
        <f t="shared" si="7469"/>
        <v>0</v>
      </c>
      <c r="AS482" s="37">
        <f t="shared" si="7470"/>
        <v>0</v>
      </c>
      <c r="AT482" s="37">
        <f t="shared" si="7471"/>
        <v>0</v>
      </c>
      <c r="AU482" s="37">
        <f t="shared" si="7472"/>
        <v>0</v>
      </c>
      <c r="AV482" s="37">
        <f t="shared" si="7473"/>
        <v>0</v>
      </c>
      <c r="AW482" s="37">
        <f t="shared" si="7474"/>
        <v>0</v>
      </c>
      <c r="AX482" s="37">
        <f t="shared" si="7475"/>
        <v>0</v>
      </c>
      <c r="AY482" s="37">
        <f t="shared" si="7476"/>
        <v>0</v>
      </c>
      <c r="AZ482" s="37">
        <f t="shared" si="7477"/>
        <v>0</v>
      </c>
      <c r="BA482" s="37">
        <f t="shared" si="7478"/>
        <v>0</v>
      </c>
      <c r="BO482" s="36" t="s">
        <v>380</v>
      </c>
      <c r="BT482" s="37">
        <v>0.33500000000000013</v>
      </c>
      <c r="BV482" s="36" t="s">
        <v>380</v>
      </c>
      <c r="BW482" s="37">
        <v>-4.6153846153846129E-2</v>
      </c>
      <c r="BX482" s="37">
        <v>0.20312499999999997</v>
      </c>
      <c r="BY482" s="37">
        <v>0.12162162162162167</v>
      </c>
      <c r="BZ482" s="37">
        <v>0.14062499999999992</v>
      </c>
      <c r="CA482" s="37">
        <v>0.10486891385767792</v>
      </c>
      <c r="CC482" s="36" t="s">
        <v>380</v>
      </c>
      <c r="CD482" s="37">
        <v>0.50000000000000011</v>
      </c>
      <c r="CE482" s="37">
        <v>0.2597402597402596</v>
      </c>
      <c r="CF482" s="37">
        <v>-2.4096385542168801E-2</v>
      </c>
      <c r="CG482" s="37">
        <v>-5.4794520547945133E-2</v>
      </c>
      <c r="CH482" s="37">
        <v>0.1525423728813558</v>
      </c>
      <c r="CJ482" s="36" t="s">
        <v>380</v>
      </c>
      <c r="CK482" s="37">
        <v>-0.22580645161290328</v>
      </c>
      <c r="CL482" s="37">
        <v>-7.2164948453608185E-2</v>
      </c>
      <c r="CM482" s="37">
        <v>0.17283950617283955</v>
      </c>
      <c r="CN482" s="37">
        <v>-1</v>
      </c>
      <c r="CO482" s="37">
        <v>-0.24411764705882355</v>
      </c>
      <c r="CQ482" s="36" t="s">
        <v>380</v>
      </c>
      <c r="CX482" s="36" t="s">
        <v>380</v>
      </c>
      <c r="DE482" s="36" t="s">
        <v>380</v>
      </c>
      <c r="DL482" s="36" t="s">
        <v>380</v>
      </c>
      <c r="DS482" s="36" t="s">
        <v>380</v>
      </c>
      <c r="DZ482" s="36" t="s">
        <v>380</v>
      </c>
      <c r="EG482" s="36" t="s">
        <v>380</v>
      </c>
      <c r="EN482" s="36" t="s">
        <v>380</v>
      </c>
      <c r="EU482" s="36" t="s">
        <v>380</v>
      </c>
      <c r="FB482" s="36" t="s">
        <v>380</v>
      </c>
      <c r="FI482" s="36" t="s">
        <v>380</v>
      </c>
      <c r="FP482" s="36" t="s">
        <v>380</v>
      </c>
      <c r="FW482" s="36" t="s">
        <v>380</v>
      </c>
      <c r="GD482" s="36" t="s">
        <v>380</v>
      </c>
      <c r="GK482" s="36" t="s">
        <v>380</v>
      </c>
      <c r="GR482" s="36" t="s">
        <v>380</v>
      </c>
      <c r="GY482" s="36" t="s">
        <v>380</v>
      </c>
      <c r="HF482" s="36" t="s">
        <v>380</v>
      </c>
      <c r="HM482" s="36" t="s">
        <v>380</v>
      </c>
      <c r="HT482" s="36" t="s">
        <v>380</v>
      </c>
      <c r="IA482" s="36" t="s">
        <v>380</v>
      </c>
      <c r="IH482" s="36" t="s">
        <v>380</v>
      </c>
      <c r="IO482" s="36" t="s">
        <v>380</v>
      </c>
      <c r="IV482" s="36" t="s">
        <v>380</v>
      </c>
      <c r="JC482" s="36" t="s">
        <v>380</v>
      </c>
      <c r="JJ482" s="36" t="s">
        <v>380</v>
      </c>
      <c r="JQ482" s="36" t="s">
        <v>380</v>
      </c>
      <c r="JX482" s="36" t="s">
        <v>380</v>
      </c>
      <c r="KE482" s="36" t="s">
        <v>380</v>
      </c>
      <c r="KL482" s="36" t="s">
        <v>380</v>
      </c>
      <c r="KS482" s="36" t="s">
        <v>380</v>
      </c>
      <c r="KZ482" s="36" t="s">
        <v>380</v>
      </c>
      <c r="LF482" s="565"/>
      <c r="LG482" s="36" t="s">
        <v>380</v>
      </c>
      <c r="LM482" s="565"/>
      <c r="LN482" s="36" t="s">
        <v>380</v>
      </c>
      <c r="LT482" s="565"/>
      <c r="LU482" s="36" t="s">
        <v>380</v>
      </c>
      <c r="MA482" s="565"/>
      <c r="MB482" s="36" t="s">
        <v>380</v>
      </c>
      <c r="MH482" s="565"/>
    </row>
    <row r="483" spans="1:346" s="37" customFormat="1" ht="13.15" hidden="1" outlineLevel="1" x14ac:dyDescent="0.4">
      <c r="A483" s="35"/>
      <c r="B483" s="36" t="s">
        <v>381</v>
      </c>
      <c r="G483" s="37">
        <v>-0.16858080393765379</v>
      </c>
      <c r="H483" s="37">
        <v>-0.10439072520966958</v>
      </c>
      <c r="I483" s="37">
        <v>0.10554147846204692</v>
      </c>
      <c r="J483" s="37">
        <v>-1.0961634280019875E-2</v>
      </c>
      <c r="K483" s="37">
        <v>4.4332493702770835E-2</v>
      </c>
      <c r="L483" s="37">
        <v>-1.4471780028944108E-3</v>
      </c>
      <c r="M483" s="37">
        <v>8.2125603864734303E-2</v>
      </c>
      <c r="N483" s="37">
        <f t="shared" si="7439"/>
        <v>0.17321428571428552</v>
      </c>
      <c r="O483" s="37">
        <f t="shared" si="7440"/>
        <v>8.5616438356164615E-2</v>
      </c>
      <c r="P483" s="37">
        <f t="shared" si="7441"/>
        <v>-6.6947073256221595E-2</v>
      </c>
      <c r="Q483" s="37">
        <f t="shared" si="7442"/>
        <v>0.16566491359879798</v>
      </c>
      <c r="R483" s="37">
        <f t="shared" si="7443"/>
        <v>-5.8652916532387973E-2</v>
      </c>
      <c r="S483" s="37">
        <f t="shared" si="7444"/>
        <v>0.12632660047928781</v>
      </c>
      <c r="T483" s="37">
        <f t="shared" si="7445"/>
        <v>0.22188449848024316</v>
      </c>
      <c r="U483" s="37">
        <f t="shared" si="7446"/>
        <v>0.15422885572139303</v>
      </c>
      <c r="V483" s="37">
        <f t="shared" si="7447"/>
        <v>-4.3103448275862072E-2</v>
      </c>
      <c r="W483" s="37">
        <f t="shared" si="7448"/>
        <v>-3.3783783783783786E-2</v>
      </c>
      <c r="X483" s="37">
        <f t="shared" si="7449"/>
        <v>-0.24475524475524477</v>
      </c>
      <c r="Y483" s="37">
        <f t="shared" si="7450"/>
        <v>0</v>
      </c>
      <c r="Z483" s="37">
        <f t="shared" si="7451"/>
        <v>0</v>
      </c>
      <c r="AA483" s="37">
        <f t="shared" si="7452"/>
        <v>0</v>
      </c>
      <c r="AB483" s="37">
        <f t="shared" si="7453"/>
        <v>0</v>
      </c>
      <c r="AC483" s="37">
        <f t="shared" si="7454"/>
        <v>0</v>
      </c>
      <c r="AD483" s="37">
        <f t="shared" si="7455"/>
        <v>0</v>
      </c>
      <c r="AE483" s="37">
        <f t="shared" si="7456"/>
        <v>0</v>
      </c>
      <c r="AF483" s="37">
        <f t="shared" si="7457"/>
        <v>0</v>
      </c>
      <c r="AG483" s="37">
        <f t="shared" si="7458"/>
        <v>0</v>
      </c>
      <c r="AH483" s="37">
        <f t="shared" si="7459"/>
        <v>0</v>
      </c>
      <c r="AI483" s="37">
        <f t="shared" si="7460"/>
        <v>0</v>
      </c>
      <c r="AJ483" s="37">
        <f t="shared" si="7461"/>
        <v>0</v>
      </c>
      <c r="AK483" s="37">
        <f t="shared" si="7462"/>
        <v>0</v>
      </c>
      <c r="AL483" s="37">
        <f t="shared" si="7463"/>
        <v>0</v>
      </c>
      <c r="AM483" s="37">
        <f t="shared" si="7464"/>
        <v>0</v>
      </c>
      <c r="AN483" s="37">
        <f t="shared" si="7465"/>
        <v>0</v>
      </c>
      <c r="AO483" s="37">
        <f t="shared" si="7466"/>
        <v>0</v>
      </c>
      <c r="AP483" s="37">
        <f t="shared" si="7467"/>
        <v>0</v>
      </c>
      <c r="AQ483" s="37">
        <f t="shared" si="7468"/>
        <v>0</v>
      </c>
      <c r="AR483" s="37">
        <f t="shared" si="7469"/>
        <v>0</v>
      </c>
      <c r="AS483" s="37">
        <f t="shared" si="7470"/>
        <v>0</v>
      </c>
      <c r="AT483" s="37">
        <f t="shared" si="7471"/>
        <v>0</v>
      </c>
      <c r="AU483" s="37">
        <f t="shared" si="7472"/>
        <v>0</v>
      </c>
      <c r="AV483" s="37">
        <f t="shared" si="7473"/>
        <v>0</v>
      </c>
      <c r="AW483" s="37">
        <f t="shared" si="7474"/>
        <v>0</v>
      </c>
      <c r="AX483" s="37">
        <f t="shared" si="7475"/>
        <v>0</v>
      </c>
      <c r="AY483" s="37">
        <f t="shared" si="7476"/>
        <v>0</v>
      </c>
      <c r="AZ483" s="37">
        <f t="shared" si="7477"/>
        <v>0</v>
      </c>
      <c r="BA483" s="37">
        <f t="shared" si="7478"/>
        <v>0</v>
      </c>
      <c r="BO483" s="36" t="s">
        <v>381</v>
      </c>
      <c r="BT483" s="37">
        <v>0.17321428571428552</v>
      </c>
      <c r="BV483" s="36" t="s">
        <v>381</v>
      </c>
      <c r="BZ483" s="37">
        <v>9.6969696969696845E-2</v>
      </c>
      <c r="CA483" s="37">
        <v>8.5616438356164615E-2</v>
      </c>
      <c r="CC483" s="36" t="s">
        <v>381</v>
      </c>
      <c r="CG483" s="37">
        <v>-4.5580110497237342E-2</v>
      </c>
      <c r="CH483" s="37">
        <v>-6.6947073256221595E-2</v>
      </c>
      <c r="CJ483" s="36" t="s">
        <v>381</v>
      </c>
      <c r="CN483" s="37">
        <v>0.30535455861070898</v>
      </c>
      <c r="CO483" s="37">
        <v>0.16566491359879798</v>
      </c>
      <c r="CQ483" s="36" t="s">
        <v>381</v>
      </c>
      <c r="CU483" s="37">
        <v>-3.54767184035477E-2</v>
      </c>
      <c r="CV483" s="37">
        <v>-5.8652916532387973E-2</v>
      </c>
      <c r="CX483" s="36" t="s">
        <v>381</v>
      </c>
      <c r="DB483" s="37">
        <v>0.19540229885057472</v>
      </c>
      <c r="DC483" s="37">
        <v>0.12632660047928781</v>
      </c>
      <c r="DE483" s="36" t="s">
        <v>381</v>
      </c>
      <c r="DI483" s="37">
        <v>9.6153846153846159E-2</v>
      </c>
      <c r="DJ483" s="37">
        <v>0.22188449848024316</v>
      </c>
      <c r="DL483" s="36" t="s">
        <v>381</v>
      </c>
      <c r="DP483" s="37">
        <v>0.12280701754385964</v>
      </c>
      <c r="DQ483" s="37">
        <v>0.15422885572139303</v>
      </c>
      <c r="DS483" s="36" t="s">
        <v>381</v>
      </c>
      <c r="DW483" s="37">
        <v>-5.46875E-2</v>
      </c>
      <c r="DX483" s="37">
        <v>-4.3103448275862072E-2</v>
      </c>
      <c r="DZ483" s="36" t="s">
        <v>381</v>
      </c>
      <c r="ED483" s="37">
        <v>0</v>
      </c>
      <c r="EE483" s="37">
        <v>-3.3783783783783786E-2</v>
      </c>
      <c r="EG483" s="36" t="s">
        <v>381</v>
      </c>
      <c r="EK483" s="37">
        <v>0</v>
      </c>
      <c r="EL483" s="37">
        <v>-0.24475524475524477</v>
      </c>
      <c r="EN483" s="36" t="s">
        <v>381</v>
      </c>
      <c r="ER483" s="37">
        <v>-1</v>
      </c>
      <c r="EU483" s="36" t="s">
        <v>381</v>
      </c>
      <c r="FB483" s="36" t="s">
        <v>381</v>
      </c>
      <c r="FI483" s="36" t="s">
        <v>381</v>
      </c>
      <c r="FP483" s="36" t="s">
        <v>381</v>
      </c>
      <c r="FW483" s="36" t="s">
        <v>381</v>
      </c>
      <c r="GD483" s="36" t="s">
        <v>381</v>
      </c>
      <c r="GK483" s="36" t="s">
        <v>381</v>
      </c>
      <c r="GR483" s="36" t="s">
        <v>381</v>
      </c>
      <c r="GY483" s="36" t="s">
        <v>381</v>
      </c>
      <c r="HF483" s="36" t="s">
        <v>381</v>
      </c>
      <c r="HM483" s="36" t="s">
        <v>381</v>
      </c>
      <c r="HT483" s="36" t="s">
        <v>381</v>
      </c>
      <c r="IA483" s="36" t="s">
        <v>381</v>
      </c>
      <c r="IH483" s="36" t="s">
        <v>381</v>
      </c>
      <c r="IO483" s="36" t="s">
        <v>381</v>
      </c>
      <c r="IV483" s="36" t="s">
        <v>381</v>
      </c>
      <c r="JC483" s="36" t="s">
        <v>381</v>
      </c>
      <c r="JJ483" s="36" t="s">
        <v>381</v>
      </c>
      <c r="JQ483" s="36" t="s">
        <v>381</v>
      </c>
      <c r="JX483" s="36" t="s">
        <v>381</v>
      </c>
      <c r="KE483" s="36" t="s">
        <v>381</v>
      </c>
      <c r="KL483" s="36" t="s">
        <v>381</v>
      </c>
      <c r="KS483" s="36" t="s">
        <v>381</v>
      </c>
      <c r="KZ483" s="36" t="s">
        <v>381</v>
      </c>
      <c r="LF483" s="565"/>
      <c r="LG483" s="36" t="s">
        <v>381</v>
      </c>
      <c r="LM483" s="565"/>
      <c r="LN483" s="36" t="s">
        <v>381</v>
      </c>
      <c r="LT483" s="565"/>
      <c r="LU483" s="36" t="s">
        <v>381</v>
      </c>
      <c r="MA483" s="565"/>
      <c r="MB483" s="36" t="s">
        <v>381</v>
      </c>
      <c r="MH483" s="565"/>
    </row>
    <row r="484" spans="1:346" s="37" customFormat="1" ht="13.15" hidden="1" outlineLevel="1" x14ac:dyDescent="0.4">
      <c r="A484" s="35"/>
      <c r="B484" s="36" t="s">
        <v>382</v>
      </c>
      <c r="J484" s="37">
        <v>-0.357864357864358</v>
      </c>
      <c r="K484" s="37">
        <v>-0.57977528089887664</v>
      </c>
      <c r="L484" s="37">
        <v>6.951871657754076E-2</v>
      </c>
      <c r="M484" s="37">
        <v>0.95</v>
      </c>
      <c r="N484" s="37">
        <f t="shared" si="7439"/>
        <v>5.1282051282052011E-3</v>
      </c>
      <c r="O484" s="37">
        <f t="shared" si="7440"/>
        <v>1.135204081632653</v>
      </c>
      <c r="P484" s="37">
        <f t="shared" si="7441"/>
        <v>-0.15651135005973726</v>
      </c>
      <c r="Q484" s="37">
        <f t="shared" si="7442"/>
        <v>0.63314447592068013</v>
      </c>
      <c r="R484" s="37">
        <f t="shared" si="7443"/>
        <v>8.2393755420641798E-2</v>
      </c>
      <c r="S484" s="37">
        <f t="shared" si="7444"/>
        <v>-3.8461538461538547E-2</v>
      </c>
      <c r="T484" s="37">
        <f t="shared" si="7445"/>
        <v>0.26666666666666666</v>
      </c>
      <c r="U484" s="37">
        <f t="shared" si="7446"/>
        <v>3.9473684210526314E-2</v>
      </c>
      <c r="V484" s="37">
        <f t="shared" si="7447"/>
        <v>0.10126582278481013</v>
      </c>
      <c r="W484" s="37">
        <f t="shared" si="7448"/>
        <v>3.4482758620689655E-2</v>
      </c>
      <c r="X484" s="37">
        <f t="shared" si="7449"/>
        <v>-0.25</v>
      </c>
      <c r="Y484" s="37">
        <f t="shared" si="7450"/>
        <v>0</v>
      </c>
      <c r="Z484" s="37">
        <f t="shared" si="7451"/>
        <v>0</v>
      </c>
      <c r="AA484" s="37">
        <f t="shared" si="7452"/>
        <v>0</v>
      </c>
      <c r="AB484" s="37">
        <f t="shared" si="7453"/>
        <v>0</v>
      </c>
      <c r="AC484" s="37">
        <f t="shared" si="7454"/>
        <v>0</v>
      </c>
      <c r="AD484" s="37">
        <f t="shared" si="7455"/>
        <v>0</v>
      </c>
      <c r="AE484" s="37">
        <f t="shared" si="7456"/>
        <v>0</v>
      </c>
      <c r="AF484" s="37">
        <f t="shared" si="7457"/>
        <v>0</v>
      </c>
      <c r="AG484" s="37">
        <f t="shared" si="7458"/>
        <v>0</v>
      </c>
      <c r="AH484" s="37">
        <f t="shared" si="7459"/>
        <v>0</v>
      </c>
      <c r="AI484" s="37">
        <f t="shared" si="7460"/>
        <v>0</v>
      </c>
      <c r="AJ484" s="37">
        <f t="shared" si="7461"/>
        <v>0</v>
      </c>
      <c r="AK484" s="37">
        <f t="shared" si="7462"/>
        <v>0</v>
      </c>
      <c r="AL484" s="37">
        <f t="shared" si="7463"/>
        <v>0</v>
      </c>
      <c r="AM484" s="37">
        <f t="shared" si="7464"/>
        <v>0</v>
      </c>
      <c r="AN484" s="37">
        <f t="shared" si="7465"/>
        <v>0</v>
      </c>
      <c r="AO484" s="37">
        <f t="shared" si="7466"/>
        <v>0</v>
      </c>
      <c r="AP484" s="37">
        <f t="shared" si="7467"/>
        <v>0</v>
      </c>
      <c r="AQ484" s="37">
        <f t="shared" si="7468"/>
        <v>0</v>
      </c>
      <c r="AR484" s="37">
        <f t="shared" si="7469"/>
        <v>0</v>
      </c>
      <c r="AS484" s="37">
        <f t="shared" si="7470"/>
        <v>0</v>
      </c>
      <c r="AT484" s="37">
        <f t="shared" si="7471"/>
        <v>0</v>
      </c>
      <c r="AU484" s="37">
        <f t="shared" si="7472"/>
        <v>0</v>
      </c>
      <c r="AV484" s="37">
        <f t="shared" si="7473"/>
        <v>0</v>
      </c>
      <c r="AW484" s="37">
        <f t="shared" si="7474"/>
        <v>0</v>
      </c>
      <c r="AX484" s="37">
        <f t="shared" si="7475"/>
        <v>0</v>
      </c>
      <c r="AY484" s="37">
        <f t="shared" si="7476"/>
        <v>0</v>
      </c>
      <c r="AZ484" s="37">
        <f t="shared" si="7477"/>
        <v>0</v>
      </c>
      <c r="BA484" s="37">
        <f t="shared" si="7478"/>
        <v>0</v>
      </c>
      <c r="BO484" s="36" t="s">
        <v>382</v>
      </c>
      <c r="BT484" s="37">
        <v>5.1282051282052011E-3</v>
      </c>
      <c r="BV484" s="36" t="s">
        <v>382</v>
      </c>
      <c r="BW484" s="37">
        <v>1.6301369863013697</v>
      </c>
      <c r="BX484" s="37">
        <v>1.6867469879518071</v>
      </c>
      <c r="BY484" s="37">
        <v>1.2524271844660191</v>
      </c>
      <c r="BZ484" s="37">
        <v>0.42857142857142849</v>
      </c>
      <c r="CA484" s="37">
        <v>1.135204081632653</v>
      </c>
      <c r="CC484" s="36" t="s">
        <v>382</v>
      </c>
      <c r="CD484" s="37">
        <v>7.8125E-2</v>
      </c>
      <c r="CE484" s="37">
        <v>-0.30493273542600902</v>
      </c>
      <c r="CF484" s="37">
        <v>-0.2931034482758621</v>
      </c>
      <c r="CG484" s="37">
        <v>-5.2631578947368418E-2</v>
      </c>
      <c r="CH484" s="37">
        <v>-0.15651135005973726</v>
      </c>
      <c r="CJ484" s="36" t="s">
        <v>382</v>
      </c>
      <c r="CK484" s="37">
        <v>0.25120772946859898</v>
      </c>
      <c r="CL484" s="37">
        <v>0.63225806451612909</v>
      </c>
      <c r="CM484" s="37">
        <v>0.83536585365853688</v>
      </c>
      <c r="CN484" s="37">
        <v>0.88888888888888884</v>
      </c>
      <c r="CO484" s="37">
        <v>0.63314447592068013</v>
      </c>
      <c r="CQ484" s="36" t="s">
        <v>382</v>
      </c>
      <c r="CR484" s="37">
        <v>0.13127413127413137</v>
      </c>
      <c r="CS484" s="37">
        <v>0.22924901185770752</v>
      </c>
      <c r="CT484" s="37">
        <v>-2.3255813953488465E-2</v>
      </c>
      <c r="CU484" s="37">
        <v>2.9411764705882353E-2</v>
      </c>
      <c r="CV484" s="37">
        <v>8.2393755420641798E-2</v>
      </c>
      <c r="CX484" s="36" t="s">
        <v>382</v>
      </c>
      <c r="CY484" s="37">
        <v>-4.4368600682593878E-2</v>
      </c>
      <c r="CZ484" s="37">
        <v>6.1093247588424389E-2</v>
      </c>
      <c r="DA484" s="37">
        <v>-1.3605442176870701E-2</v>
      </c>
      <c r="DB484" s="37">
        <v>-0.14285714285714285</v>
      </c>
      <c r="DC484" s="37">
        <v>-3.8461538461538547E-2</v>
      </c>
      <c r="DE484" s="36" t="s">
        <v>382</v>
      </c>
      <c r="DF484" s="37">
        <v>0.39285714285714285</v>
      </c>
      <c r="DG484" s="37">
        <v>-6.0606060606060608E-2</v>
      </c>
      <c r="DH484" s="37">
        <v>0.48275862068965519</v>
      </c>
      <c r="DI484" s="37">
        <v>0.3</v>
      </c>
      <c r="DJ484" s="37">
        <v>0.26666666666666666</v>
      </c>
      <c r="DL484" s="36" t="s">
        <v>382</v>
      </c>
      <c r="DM484" s="37">
        <v>-0.20512820512820512</v>
      </c>
      <c r="DN484" s="37">
        <v>0.19354838709677419</v>
      </c>
      <c r="DO484" s="37">
        <v>0.13953488372093023</v>
      </c>
      <c r="DP484" s="37">
        <v>5.128205128205128E-2</v>
      </c>
      <c r="DQ484" s="37">
        <v>3.9473684210526314E-2</v>
      </c>
      <c r="DS484" s="36" t="s">
        <v>382</v>
      </c>
      <c r="DT484" s="37">
        <v>-0.22580645161290322</v>
      </c>
      <c r="DU484" s="37">
        <v>8.1081081081081086E-2</v>
      </c>
      <c r="DV484" s="37">
        <v>0.12244897959183673</v>
      </c>
      <c r="DW484" s="37">
        <v>0.34146341463414637</v>
      </c>
      <c r="DX484" s="37">
        <v>0.10126582278481013</v>
      </c>
      <c r="DZ484" s="36" t="s">
        <v>382</v>
      </c>
      <c r="EA484" s="37">
        <v>4.1666666666666664E-2</v>
      </c>
      <c r="EB484" s="37">
        <v>0.125</v>
      </c>
      <c r="EE484" s="37">
        <v>3.4482758620689655E-2</v>
      </c>
      <c r="EG484" s="36" t="s">
        <v>382</v>
      </c>
      <c r="EL484" s="37">
        <v>-0.25</v>
      </c>
      <c r="EN484" s="36" t="s">
        <v>382</v>
      </c>
      <c r="EU484" s="36" t="s">
        <v>382</v>
      </c>
      <c r="FB484" s="36" t="s">
        <v>382</v>
      </c>
      <c r="FI484" s="36" t="s">
        <v>382</v>
      </c>
      <c r="FP484" s="36" t="s">
        <v>382</v>
      </c>
      <c r="FW484" s="36" t="s">
        <v>382</v>
      </c>
      <c r="GD484" s="36" t="s">
        <v>382</v>
      </c>
      <c r="GK484" s="36" t="s">
        <v>382</v>
      </c>
      <c r="GR484" s="36" t="s">
        <v>382</v>
      </c>
      <c r="GY484" s="36" t="s">
        <v>382</v>
      </c>
      <c r="HF484" s="36" t="s">
        <v>382</v>
      </c>
      <c r="HM484" s="36" t="s">
        <v>382</v>
      </c>
      <c r="HT484" s="36" t="s">
        <v>382</v>
      </c>
      <c r="IA484" s="36" t="s">
        <v>382</v>
      </c>
      <c r="IH484" s="36" t="s">
        <v>382</v>
      </c>
      <c r="IO484" s="36" t="s">
        <v>382</v>
      </c>
      <c r="IV484" s="36" t="s">
        <v>382</v>
      </c>
      <c r="JC484" s="36" t="s">
        <v>382</v>
      </c>
      <c r="JJ484" s="36" t="s">
        <v>382</v>
      </c>
      <c r="JQ484" s="36" t="s">
        <v>382</v>
      </c>
      <c r="JX484" s="36" t="s">
        <v>382</v>
      </c>
      <c r="KE484" s="36" t="s">
        <v>382</v>
      </c>
      <c r="KL484" s="36" t="s">
        <v>382</v>
      </c>
      <c r="KS484" s="36" t="s">
        <v>382</v>
      </c>
      <c r="KZ484" s="36" t="s">
        <v>382</v>
      </c>
      <c r="LF484" s="565"/>
      <c r="LG484" s="36" t="s">
        <v>382</v>
      </c>
      <c r="LM484" s="565"/>
      <c r="LN484" s="36" t="s">
        <v>382</v>
      </c>
      <c r="LT484" s="565"/>
      <c r="LU484" s="36" t="s">
        <v>382</v>
      </c>
      <c r="MA484" s="565"/>
      <c r="MB484" s="36" t="s">
        <v>382</v>
      </c>
      <c r="MH484" s="565"/>
    </row>
    <row r="485" spans="1:346" s="37" customFormat="1" ht="13.15" hidden="1" outlineLevel="1" x14ac:dyDescent="0.4">
      <c r="A485" s="35"/>
      <c r="B485" s="36" t="s">
        <v>12</v>
      </c>
      <c r="BO485" s="36" t="s">
        <v>12</v>
      </c>
      <c r="BV485" s="36" t="s">
        <v>12</v>
      </c>
      <c r="CC485" s="36" t="s">
        <v>12</v>
      </c>
      <c r="CJ485" s="36" t="s">
        <v>12</v>
      </c>
      <c r="CK485" s="37">
        <v>-1.9607843137254832E-2</v>
      </c>
      <c r="CL485" s="37">
        <v>0.36734693877551017</v>
      </c>
      <c r="CM485" s="37">
        <v>0.12727272727272732</v>
      </c>
      <c r="CN485" s="37" t="e">
        <v>#DIV/0!</v>
      </c>
      <c r="CO485" s="37">
        <v>0.15483870967741925</v>
      </c>
      <c r="CQ485" s="36" t="s">
        <v>12</v>
      </c>
      <c r="CX485" s="36" t="s">
        <v>12</v>
      </c>
      <c r="DE485" s="36" t="s">
        <v>12</v>
      </c>
      <c r="DL485" s="36" t="s">
        <v>12</v>
      </c>
      <c r="DS485" s="36" t="s">
        <v>12</v>
      </c>
      <c r="DZ485" s="36" t="s">
        <v>12</v>
      </c>
      <c r="EG485" s="36" t="s">
        <v>12</v>
      </c>
      <c r="EN485" s="36" t="s">
        <v>12</v>
      </c>
      <c r="EU485" s="36" t="s">
        <v>12</v>
      </c>
      <c r="FB485" s="36" t="s">
        <v>12</v>
      </c>
      <c r="FI485" s="36" t="s">
        <v>12</v>
      </c>
      <c r="FP485" s="36" t="s">
        <v>12</v>
      </c>
      <c r="FW485" s="36" t="s">
        <v>12</v>
      </c>
      <c r="GD485" s="36" t="s">
        <v>12</v>
      </c>
      <c r="GK485" s="36" t="s">
        <v>12</v>
      </c>
      <c r="GR485" s="36" t="s">
        <v>12</v>
      </c>
      <c r="GY485" s="36" t="s">
        <v>12</v>
      </c>
      <c r="HF485" s="36" t="s">
        <v>12</v>
      </c>
      <c r="HM485" s="36" t="s">
        <v>12</v>
      </c>
      <c r="HT485" s="36" t="s">
        <v>12</v>
      </c>
      <c r="IA485" s="36" t="s">
        <v>12</v>
      </c>
      <c r="IH485" s="36" t="s">
        <v>12</v>
      </c>
      <c r="IO485" s="36" t="s">
        <v>12</v>
      </c>
      <c r="IV485" s="36" t="s">
        <v>12</v>
      </c>
      <c r="JC485" s="36" t="s">
        <v>12</v>
      </c>
      <c r="JJ485" s="36" t="s">
        <v>12</v>
      </c>
      <c r="JQ485" s="36" t="s">
        <v>12</v>
      </c>
      <c r="JX485" s="36" t="s">
        <v>12</v>
      </c>
      <c r="KE485" s="36" t="s">
        <v>12</v>
      </c>
      <c r="KL485" s="36" t="s">
        <v>12</v>
      </c>
      <c r="KS485" s="36" t="s">
        <v>12</v>
      </c>
      <c r="KZ485" s="36" t="s">
        <v>12</v>
      </c>
      <c r="LF485" s="565"/>
      <c r="LG485" s="36" t="s">
        <v>12</v>
      </c>
      <c r="LM485" s="565"/>
      <c r="LN485" s="36" t="s">
        <v>12</v>
      </c>
      <c r="LT485" s="565"/>
      <c r="LU485" s="36" t="s">
        <v>12</v>
      </c>
      <c r="MA485" s="565"/>
      <c r="MB485" s="36" t="s">
        <v>12</v>
      </c>
      <c r="MH485" s="565"/>
    </row>
    <row r="486" spans="1:346" s="37" customFormat="1" ht="13.15" hidden="1" outlineLevel="1" x14ac:dyDescent="0.4">
      <c r="A486" s="35"/>
      <c r="B486" s="36" t="s">
        <v>383</v>
      </c>
      <c r="J486" s="37">
        <v>-0.1</v>
      </c>
      <c r="K486" s="37">
        <v>-6.9958847736625515E-2</v>
      </c>
      <c r="L486" s="37">
        <v>4.4247787610619468E-3</v>
      </c>
      <c r="M486" s="37">
        <v>0.15859030837004406</v>
      </c>
      <c r="N486" s="37">
        <f>BT486</f>
        <v>0.14828897338403041</v>
      </c>
      <c r="O486" s="37">
        <f>CA486</f>
        <v>0.22185430463576158</v>
      </c>
      <c r="P486" s="37">
        <f>CH486</f>
        <v>-4.5257452574525563E-2</v>
      </c>
      <c r="Q486" s="37">
        <f>CO486</f>
        <v>0.25887028101050219</v>
      </c>
      <c r="R486" s="37">
        <f>CV486</f>
        <v>-5.9977452085682129E-2</v>
      </c>
      <c r="S486" s="37">
        <f>DC486</f>
        <v>7.6996881746222171E-2</v>
      </c>
      <c r="T486" s="37">
        <f>DJ486</f>
        <v>0.23385300668151449</v>
      </c>
      <c r="U486" s="37">
        <f>DQ486</f>
        <v>0.12274368231046931</v>
      </c>
      <c r="V486" s="37">
        <f>DX486</f>
        <v>-6.4308681672025723E-3</v>
      </c>
      <c r="W486" s="37">
        <f>EE486</f>
        <v>-0.42271844660194174</v>
      </c>
      <c r="X486" s="37">
        <f>EL486</f>
        <v>-0.34384460141271433</v>
      </c>
      <c r="Y486" s="37">
        <f>ES486</f>
        <v>0</v>
      </c>
      <c r="Z486" s="37">
        <f>EZ486</f>
        <v>0</v>
      </c>
      <c r="AA486" s="37">
        <f>FG486</f>
        <v>0</v>
      </c>
      <c r="AB486" s="37">
        <f>FN486</f>
        <v>0</v>
      </c>
      <c r="AC486" s="37">
        <f>FU486</f>
        <v>0</v>
      </c>
      <c r="AD486" s="37">
        <f>GB486</f>
        <v>0</v>
      </c>
      <c r="AE486" s="37">
        <f>GI486</f>
        <v>0</v>
      </c>
      <c r="AF486" s="37">
        <f>GP486</f>
        <v>0</v>
      </c>
      <c r="AG486" s="37">
        <f>GW486</f>
        <v>0</v>
      </c>
      <c r="AH486" s="37">
        <f>HD486</f>
        <v>0</v>
      </c>
      <c r="AI486" s="37">
        <f>HK486</f>
        <v>0</v>
      </c>
      <c r="AJ486" s="37">
        <f>HR486</f>
        <v>0</v>
      </c>
      <c r="AK486" s="37">
        <f>HY486</f>
        <v>0</v>
      </c>
      <c r="AL486" s="37">
        <f>IF486</f>
        <v>0</v>
      </c>
      <c r="AM486" s="37">
        <f>IM486</f>
        <v>0</v>
      </c>
      <c r="AN486" s="37">
        <f>IT486</f>
        <v>0</v>
      </c>
      <c r="AO486" s="37">
        <f>JA486</f>
        <v>0</v>
      </c>
      <c r="AP486" s="37">
        <f>JH486</f>
        <v>0</v>
      </c>
      <c r="AQ486" s="37">
        <f>JO486</f>
        <v>0</v>
      </c>
      <c r="AR486" s="37">
        <f>JV486</f>
        <v>0</v>
      </c>
      <c r="AS486" s="37">
        <f>KC486</f>
        <v>0</v>
      </c>
      <c r="AT486" s="37">
        <f>KJ486</f>
        <v>0</v>
      </c>
      <c r="AU486" s="37">
        <f>KQ486</f>
        <v>0</v>
      </c>
      <c r="AV486" s="37">
        <f>KX486</f>
        <v>0</v>
      </c>
      <c r="AW486" s="37">
        <f>LE486</f>
        <v>0</v>
      </c>
      <c r="AX486" s="37">
        <f>LL486</f>
        <v>0</v>
      </c>
      <c r="AY486" s="37">
        <f>LS486</f>
        <v>0</v>
      </c>
      <c r="AZ486" s="37">
        <f>LZ486</f>
        <v>0</v>
      </c>
      <c r="BA486" s="37">
        <f>MG486</f>
        <v>0</v>
      </c>
      <c r="BO486" s="36" t="s">
        <v>383</v>
      </c>
      <c r="BT486" s="37">
        <v>0.14828897338403041</v>
      </c>
      <c r="BV486" s="36" t="s">
        <v>383</v>
      </c>
      <c r="BW486" s="37">
        <v>0.19914040114613191</v>
      </c>
      <c r="BX486" s="37">
        <v>0.27142857142857152</v>
      </c>
      <c r="BY486" s="37">
        <v>0.26482213438735192</v>
      </c>
      <c r="BZ486" s="37">
        <v>0.1525851197982345</v>
      </c>
      <c r="CA486" s="37">
        <v>0.22185430463576158</v>
      </c>
      <c r="CC486" s="36" t="s">
        <v>383</v>
      </c>
      <c r="CD486" s="37">
        <v>6.6905615292711995E-2</v>
      </c>
      <c r="CE486" s="37">
        <v>-0.11133810010214509</v>
      </c>
      <c r="CF486" s="37">
        <v>-7.3958333333333279E-2</v>
      </c>
      <c r="CG486" s="37">
        <v>-4.7045951859956053E-2</v>
      </c>
      <c r="CH486" s="37">
        <v>-4.5257452574525563E-2</v>
      </c>
      <c r="CJ486" s="36" t="s">
        <v>383</v>
      </c>
      <c r="CK486" s="37">
        <v>3.4714445688689907E-2</v>
      </c>
      <c r="CL486" s="37">
        <v>0.23563218390804597</v>
      </c>
      <c r="CM486" s="37">
        <v>0.34308211473565786</v>
      </c>
      <c r="CN486" s="37">
        <v>0.42594718714121688</v>
      </c>
      <c r="CO486" s="37">
        <v>0.25887028101050219</v>
      </c>
      <c r="CQ486" s="36" t="s">
        <v>383</v>
      </c>
      <c r="CR486" s="37">
        <v>8.5497835497835406E-2</v>
      </c>
      <c r="CS486" s="37">
        <v>-9.3023255813953487E-3</v>
      </c>
      <c r="CT486" s="37">
        <v>-0.26214405360134002</v>
      </c>
      <c r="CU486" s="37">
        <v>-1.7713365539452519E-2</v>
      </c>
      <c r="CV486" s="37">
        <v>-5.9977452085682129E-2</v>
      </c>
      <c r="CX486" s="36" t="s">
        <v>383</v>
      </c>
      <c r="CY486" s="37">
        <v>-8.2751744765702864E-2</v>
      </c>
      <c r="CZ486" s="37">
        <v>2.3474178403755867E-2</v>
      </c>
      <c r="DA486" s="37">
        <v>0.29398410896708294</v>
      </c>
      <c r="DB486" s="37">
        <v>9.8360655737704916E-2</v>
      </c>
      <c r="DC486" s="37">
        <v>7.6996881746222171E-2</v>
      </c>
      <c r="DE486" s="36" t="s">
        <v>383</v>
      </c>
      <c r="DF486" s="37">
        <v>0.39130434782608697</v>
      </c>
      <c r="DG486" s="37">
        <v>0.11009174311926606</v>
      </c>
      <c r="DH486" s="37">
        <v>0.33333333333333331</v>
      </c>
      <c r="DI486" s="37">
        <v>0.1417910447761194</v>
      </c>
      <c r="DJ486" s="37">
        <v>0.23385300668151449</v>
      </c>
      <c r="DL486" s="36" t="s">
        <v>383</v>
      </c>
      <c r="DM486" s="37">
        <v>2.34375E-2</v>
      </c>
      <c r="DN486" s="37">
        <v>0.30578512396694213</v>
      </c>
      <c r="DO486" s="37">
        <v>7.8947368421052627E-2</v>
      </c>
      <c r="DP486" s="37">
        <v>0.10457516339869281</v>
      </c>
      <c r="DQ486" s="37">
        <v>0.12274368231046931</v>
      </c>
      <c r="DS486" s="36" t="s">
        <v>383</v>
      </c>
      <c r="DT486" s="37">
        <v>-5.3435114503816793E-2</v>
      </c>
      <c r="DU486" s="37">
        <v>-3.7974683544303799E-2</v>
      </c>
      <c r="DV486" s="37">
        <v>1.2195121951219513E-2</v>
      </c>
      <c r="DW486" s="37">
        <v>4.142011834319527E-2</v>
      </c>
      <c r="DX486" s="37">
        <v>-6.4308681672025723E-3</v>
      </c>
      <c r="DZ486" s="36" t="s">
        <v>383</v>
      </c>
      <c r="EA486" s="37">
        <v>-5.6451612903225805E-2</v>
      </c>
      <c r="EB486" s="37">
        <v>-1.3157894736842105E-2</v>
      </c>
      <c r="EC486" s="37">
        <v>-1</v>
      </c>
      <c r="EE486" s="37">
        <v>-0.42271844660194174</v>
      </c>
      <c r="EG486" s="36" t="s">
        <v>383</v>
      </c>
      <c r="EH486" s="37">
        <v>-0.49</v>
      </c>
      <c r="EJ486" s="37" t="e">
        <v>#DIV/0!</v>
      </c>
      <c r="EL486" s="37">
        <v>-0.34384460141271433</v>
      </c>
      <c r="EN486" s="36" t="s">
        <v>383</v>
      </c>
      <c r="EU486" s="36" t="s">
        <v>383</v>
      </c>
      <c r="FB486" s="36" t="s">
        <v>383</v>
      </c>
      <c r="FI486" s="36" t="s">
        <v>383</v>
      </c>
      <c r="FP486" s="36" t="s">
        <v>383</v>
      </c>
      <c r="FW486" s="36" t="s">
        <v>383</v>
      </c>
      <c r="GD486" s="36" t="s">
        <v>383</v>
      </c>
      <c r="GK486" s="36" t="s">
        <v>383</v>
      </c>
      <c r="GR486" s="36" t="s">
        <v>383</v>
      </c>
      <c r="GY486" s="36" t="s">
        <v>383</v>
      </c>
      <c r="HF486" s="36" t="s">
        <v>383</v>
      </c>
      <c r="HM486" s="36" t="s">
        <v>383</v>
      </c>
      <c r="HT486" s="36" t="s">
        <v>383</v>
      </c>
      <c r="IA486" s="36" t="s">
        <v>383</v>
      </c>
      <c r="IH486" s="36" t="s">
        <v>383</v>
      </c>
      <c r="IO486" s="36" t="s">
        <v>383</v>
      </c>
      <c r="IV486" s="36" t="s">
        <v>383</v>
      </c>
      <c r="JC486" s="36" t="s">
        <v>383</v>
      </c>
      <c r="JJ486" s="36" t="s">
        <v>383</v>
      </c>
      <c r="JQ486" s="36" t="s">
        <v>383</v>
      </c>
      <c r="JX486" s="36" t="s">
        <v>383</v>
      </c>
      <c r="KE486" s="36" t="s">
        <v>383</v>
      </c>
      <c r="KL486" s="36" t="s">
        <v>383</v>
      </c>
      <c r="KS486" s="36" t="s">
        <v>383</v>
      </c>
      <c r="KZ486" s="36" t="s">
        <v>383</v>
      </c>
      <c r="LF486" s="565"/>
      <c r="LG486" s="36" t="s">
        <v>383</v>
      </c>
      <c r="LM486" s="565"/>
      <c r="LN486" s="36" t="s">
        <v>383</v>
      </c>
      <c r="LT486" s="565"/>
      <c r="LU486" s="36" t="s">
        <v>383</v>
      </c>
      <c r="MA486" s="565"/>
      <c r="MB486" s="36" t="s">
        <v>383</v>
      </c>
      <c r="MH486" s="565"/>
    </row>
    <row r="487" spans="1:346" s="37" customFormat="1" ht="13.15" hidden="1" outlineLevel="1" x14ac:dyDescent="0.4">
      <c r="A487" s="35"/>
      <c r="B487" s="36"/>
      <c r="BO487" s="36"/>
      <c r="BV487" s="36"/>
      <c r="CC487" s="36"/>
      <c r="CJ487" s="36"/>
      <c r="CQ487" s="36"/>
      <c r="CX487" s="36"/>
      <c r="DE487" s="36"/>
      <c r="DL487" s="36"/>
      <c r="DS487" s="36"/>
      <c r="DZ487" s="36"/>
      <c r="EG487" s="36"/>
      <c r="EN487" s="36"/>
      <c r="EU487" s="36"/>
      <c r="FB487" s="36"/>
      <c r="FI487" s="36"/>
      <c r="FP487" s="36"/>
      <c r="FW487" s="36"/>
      <c r="GD487" s="36"/>
      <c r="GK487" s="36"/>
      <c r="GR487" s="36"/>
      <c r="GY487" s="36"/>
      <c r="HF487" s="36"/>
      <c r="HM487" s="36"/>
      <c r="HT487" s="36"/>
      <c r="IA487" s="36"/>
      <c r="IH487" s="36"/>
      <c r="IO487" s="36"/>
      <c r="IV487" s="36"/>
      <c r="JC487" s="36"/>
      <c r="JJ487" s="36"/>
      <c r="JQ487" s="36"/>
      <c r="JX487" s="36"/>
      <c r="KE487" s="36"/>
      <c r="KL487" s="36"/>
      <c r="KS487" s="36"/>
      <c r="KZ487" s="36"/>
      <c r="LF487" s="565"/>
      <c r="LG487" s="36"/>
      <c r="LM487" s="565"/>
      <c r="LN487" s="36"/>
      <c r="LT487" s="565"/>
      <c r="LU487" s="36"/>
      <c r="MA487" s="565"/>
      <c r="MB487" s="36"/>
      <c r="MH487" s="565"/>
    </row>
    <row r="488" spans="1:346" s="37" customFormat="1" ht="13.15" hidden="1" outlineLevel="1" x14ac:dyDescent="0.4">
      <c r="A488" s="35"/>
      <c r="B488" s="36" t="s">
        <v>384</v>
      </c>
      <c r="BO488" s="36" t="s">
        <v>384</v>
      </c>
      <c r="BV488" s="36" t="s">
        <v>384</v>
      </c>
      <c r="CC488" s="36" t="s">
        <v>384</v>
      </c>
      <c r="CJ488" s="36" t="s">
        <v>384</v>
      </c>
      <c r="CQ488" s="36" t="s">
        <v>384</v>
      </c>
      <c r="CX488" s="36" t="s">
        <v>384</v>
      </c>
      <c r="DE488" s="36" t="s">
        <v>384</v>
      </c>
      <c r="DL488" s="36" t="s">
        <v>384</v>
      </c>
      <c r="DS488" s="36" t="s">
        <v>384</v>
      </c>
      <c r="DZ488" s="36" t="s">
        <v>384</v>
      </c>
      <c r="EG488" s="36" t="s">
        <v>384</v>
      </c>
      <c r="EN488" s="36" t="s">
        <v>384</v>
      </c>
      <c r="EU488" s="36" t="s">
        <v>384</v>
      </c>
      <c r="FB488" s="36" t="s">
        <v>384</v>
      </c>
      <c r="FI488" s="36" t="s">
        <v>384</v>
      </c>
      <c r="FP488" s="36" t="s">
        <v>384</v>
      </c>
      <c r="FW488" s="36" t="s">
        <v>384</v>
      </c>
      <c r="GD488" s="36" t="s">
        <v>384</v>
      </c>
      <c r="GK488" s="36" t="s">
        <v>384</v>
      </c>
      <c r="GR488" s="36" t="s">
        <v>384</v>
      </c>
      <c r="GY488" s="36" t="s">
        <v>384</v>
      </c>
      <c r="HF488" s="36" t="s">
        <v>384</v>
      </c>
      <c r="HM488" s="36" t="s">
        <v>384</v>
      </c>
      <c r="HT488" s="36" t="s">
        <v>384</v>
      </c>
      <c r="IA488" s="36" t="s">
        <v>384</v>
      </c>
      <c r="IH488" s="36" t="s">
        <v>384</v>
      </c>
      <c r="IO488" s="36" t="s">
        <v>384</v>
      </c>
      <c r="IV488" s="36" t="s">
        <v>384</v>
      </c>
      <c r="JC488" s="36" t="s">
        <v>384</v>
      </c>
      <c r="JJ488" s="36" t="s">
        <v>384</v>
      </c>
      <c r="JQ488" s="36" t="s">
        <v>384</v>
      </c>
      <c r="JX488" s="36" t="s">
        <v>384</v>
      </c>
      <c r="KE488" s="36" t="s">
        <v>384</v>
      </c>
      <c r="KL488" s="36" t="s">
        <v>384</v>
      </c>
      <c r="KS488" s="36" t="s">
        <v>384</v>
      </c>
      <c r="KZ488" s="36" t="s">
        <v>384</v>
      </c>
      <c r="LF488" s="565"/>
      <c r="LG488" s="36" t="s">
        <v>384</v>
      </c>
      <c r="LM488" s="565"/>
      <c r="LN488" s="36" t="s">
        <v>384</v>
      </c>
      <c r="LT488" s="565"/>
      <c r="LU488" s="36" t="s">
        <v>384</v>
      </c>
      <c r="MA488" s="565"/>
      <c r="MB488" s="36" t="s">
        <v>384</v>
      </c>
      <c r="MH488" s="565"/>
    </row>
    <row r="489" spans="1:346" s="37" customFormat="1" ht="13.15" hidden="1" outlineLevel="1" x14ac:dyDescent="0.4">
      <c r="A489" s="35"/>
      <c r="B489" s="36" t="s">
        <v>147</v>
      </c>
      <c r="G489" s="37">
        <v>-0.13017751479289941</v>
      </c>
      <c r="H489" s="37">
        <v>0</v>
      </c>
      <c r="I489" s="37">
        <v>0.27210884353741499</v>
      </c>
      <c r="J489" s="37">
        <v>8.5561497326203204E-2</v>
      </c>
      <c r="K489" s="37">
        <v>9.3596059113300489E-2</v>
      </c>
      <c r="L489" s="37">
        <v>6.4594594594594601E-2</v>
      </c>
      <c r="M489" s="37">
        <v>-9.884065329609884E-2</v>
      </c>
      <c r="N489" s="37">
        <f t="shared" ref="N489:N494" si="7479">BT489</f>
        <v>-0.73673584374119638</v>
      </c>
      <c r="O489" s="37">
        <f t="shared" ref="O489:O494" si="7480">CA489</f>
        <v>5.8855002675227391E-2</v>
      </c>
      <c r="P489" s="37">
        <f t="shared" ref="P489:P494" si="7481">CH489</f>
        <v>2.8970860704059288E-2</v>
      </c>
      <c r="Q489" s="37">
        <f t="shared" ref="Q489:Q494" si="7482">CO489</f>
        <v>9.6415125225077752E-2</v>
      </c>
      <c r="R489" s="37">
        <f t="shared" ref="R489:R494" si="7483">CV489</f>
        <v>-0.11630337414153478</v>
      </c>
      <c r="S489" s="37">
        <f t="shared" ref="S489:S494" si="7484">DC489</f>
        <v>-6.9099510052373705E-2</v>
      </c>
      <c r="T489" s="37">
        <f t="shared" ref="T489:T494" si="7485">DJ489</f>
        <v>0.10925589836660617</v>
      </c>
      <c r="U489" s="37">
        <f t="shared" ref="U489:U494" si="7486">DQ489</f>
        <v>-9.3586387434554968E-2</v>
      </c>
      <c r="V489" s="37">
        <f t="shared" ref="V489:V494" si="7487">DX489</f>
        <v>-1.7148014440433214E-2</v>
      </c>
      <c r="W489" s="37">
        <f t="shared" ref="W489:W494" si="7488">EE489</f>
        <v>0</v>
      </c>
      <c r="X489" s="37">
        <f t="shared" ref="X489:X494" si="7489">EL489</f>
        <v>0</v>
      </c>
      <c r="Y489" s="37">
        <f t="shared" ref="Y489:Y494" si="7490">ES489</f>
        <v>0</v>
      </c>
      <c r="Z489" s="37">
        <f t="shared" ref="Z489:Z494" si="7491">EZ489</f>
        <v>0</v>
      </c>
      <c r="AA489" s="37">
        <f t="shared" ref="AA489:AA494" si="7492">FG489</f>
        <v>0</v>
      </c>
      <c r="AB489" s="37">
        <f t="shared" ref="AB489:AB494" si="7493">FN489</f>
        <v>0</v>
      </c>
      <c r="AC489" s="37">
        <f t="shared" ref="AC489:AC494" si="7494">FU489</f>
        <v>0</v>
      </c>
      <c r="AD489" s="37">
        <f t="shared" ref="AD489:AD494" si="7495">GB489</f>
        <v>0</v>
      </c>
      <c r="AE489" s="37">
        <f t="shared" ref="AE489:AE494" si="7496">GI489</f>
        <v>0</v>
      </c>
      <c r="AF489" s="37">
        <f t="shared" ref="AF489:AF494" si="7497">GP489</f>
        <v>0</v>
      </c>
      <c r="AG489" s="37">
        <f t="shared" ref="AG489:AG494" si="7498">GW489</f>
        <v>0</v>
      </c>
      <c r="AH489" s="37">
        <f t="shared" ref="AH489:AH494" si="7499">HD489</f>
        <v>0</v>
      </c>
      <c r="AI489" s="37">
        <f t="shared" ref="AI489:AI494" si="7500">HK489</f>
        <v>0</v>
      </c>
      <c r="AJ489" s="37">
        <f t="shared" ref="AJ489:AJ494" si="7501">HR489</f>
        <v>0</v>
      </c>
      <c r="AK489" s="37">
        <f t="shared" ref="AK489:AK494" si="7502">HY489</f>
        <v>0</v>
      </c>
      <c r="AL489" s="37">
        <f t="shared" ref="AL489:AL494" si="7503">IF489</f>
        <v>0</v>
      </c>
      <c r="AM489" s="37">
        <f t="shared" ref="AM489:AM494" si="7504">IM489</f>
        <v>0</v>
      </c>
      <c r="AN489" s="37">
        <f t="shared" ref="AN489:AN494" si="7505">IT489</f>
        <v>0</v>
      </c>
      <c r="AO489" s="37">
        <f t="shared" ref="AO489:AO494" si="7506">JA489</f>
        <v>0</v>
      </c>
      <c r="AP489" s="37">
        <f t="shared" ref="AP489:AP494" si="7507">JH489</f>
        <v>0</v>
      </c>
      <c r="AQ489" s="37">
        <f t="shared" ref="AQ489:AQ494" si="7508">JO489</f>
        <v>0</v>
      </c>
      <c r="AR489" s="37">
        <f t="shared" ref="AR489:AR494" si="7509">JV489</f>
        <v>0</v>
      </c>
      <c r="AS489" s="37">
        <f t="shared" ref="AS489:AS494" si="7510">KC489</f>
        <v>0</v>
      </c>
      <c r="AT489" s="37">
        <f t="shared" ref="AT489:AT494" si="7511">KJ489</f>
        <v>0</v>
      </c>
      <c r="AU489" s="37">
        <f t="shared" ref="AU489:AU494" si="7512">KQ489</f>
        <v>0</v>
      </c>
      <c r="AV489" s="37">
        <f t="shared" ref="AV489:AV494" si="7513">KX489</f>
        <v>0</v>
      </c>
      <c r="AW489" s="37">
        <f t="shared" ref="AW489:AW494" si="7514">LE489</f>
        <v>0</v>
      </c>
      <c r="AX489" s="37">
        <f t="shared" ref="AX489:AX494" si="7515">LL489</f>
        <v>0</v>
      </c>
      <c r="AY489" s="37">
        <f t="shared" ref="AY489:AY494" si="7516">LS489</f>
        <v>0</v>
      </c>
      <c r="AZ489" s="37">
        <f t="shared" ref="AZ489:AZ494" si="7517">LZ489</f>
        <v>0</v>
      </c>
      <c r="BA489" s="37">
        <f t="shared" ref="BA489:BA494" si="7518">MG489</f>
        <v>0</v>
      </c>
      <c r="BO489" s="36" t="s">
        <v>147</v>
      </c>
      <c r="BT489" s="37">
        <v>-0.73673584374119638</v>
      </c>
      <c r="BV489" s="36" t="s">
        <v>147</v>
      </c>
      <c r="BW489" s="37" t="e">
        <v>#DIV/0!</v>
      </c>
      <c r="BX489" s="37" t="e">
        <v>#DIV/0!</v>
      </c>
      <c r="BY489" s="37" t="e">
        <v>#DIV/0!</v>
      </c>
      <c r="BZ489" s="37">
        <v>5.8855002675227391E-2</v>
      </c>
      <c r="CA489" s="37">
        <v>5.8855002675227391E-2</v>
      </c>
      <c r="CC489" s="36" t="s">
        <v>147</v>
      </c>
      <c r="CD489" s="37" t="e">
        <v>#DIV/0!</v>
      </c>
      <c r="CE489" s="37" t="e">
        <v>#DIV/0!</v>
      </c>
      <c r="CF489" s="37" t="e">
        <v>#DIV/0!</v>
      </c>
      <c r="CG489" s="37">
        <v>2.8970860704059288E-2</v>
      </c>
      <c r="CH489" s="37">
        <v>2.8970860704059288E-2</v>
      </c>
      <c r="CJ489" s="36" t="s">
        <v>147</v>
      </c>
      <c r="CK489" s="37" t="e">
        <v>#DIV/0!</v>
      </c>
      <c r="CL489" s="37" t="e">
        <v>#DIV/0!</v>
      </c>
      <c r="CM489" s="37" t="e">
        <v>#DIV/0!</v>
      </c>
      <c r="CN489" s="37">
        <v>9.6415125225077752E-2</v>
      </c>
      <c r="CO489" s="37">
        <v>9.6415125225077752E-2</v>
      </c>
      <c r="CQ489" s="36" t="s">
        <v>147</v>
      </c>
      <c r="CR489" s="37" t="e">
        <v>#DIV/0!</v>
      </c>
      <c r="CS489" s="37" t="e">
        <v>#DIV/0!</v>
      </c>
      <c r="CT489" s="37" t="e">
        <v>#DIV/0!</v>
      </c>
      <c r="CU489" s="37">
        <v>-0.11630337414153478</v>
      </c>
      <c r="CV489" s="37">
        <v>-0.11630337414153478</v>
      </c>
      <c r="CX489" s="36" t="s">
        <v>147</v>
      </c>
      <c r="CY489" s="37" t="e">
        <v>#DIV/0!</v>
      </c>
      <c r="CZ489" s="37" t="e">
        <v>#DIV/0!</v>
      </c>
      <c r="DA489" s="37" t="e">
        <v>#DIV/0!</v>
      </c>
      <c r="DB489" s="37">
        <v>-6.9099510052373705E-2</v>
      </c>
      <c r="DC489" s="37">
        <v>-6.9099510052373705E-2</v>
      </c>
      <c r="DE489" s="36" t="s">
        <v>147</v>
      </c>
      <c r="DF489" s="37" t="e">
        <v>#DIV/0!</v>
      </c>
      <c r="DG489" s="37" t="e">
        <v>#DIV/0!</v>
      </c>
      <c r="DH489" s="37" t="e">
        <v>#DIV/0!</v>
      </c>
      <c r="DI489" s="37">
        <v>0.10925589836660617</v>
      </c>
      <c r="DJ489" s="37">
        <v>0.10925589836660617</v>
      </c>
      <c r="DL489" s="36" t="s">
        <v>147</v>
      </c>
      <c r="DM489" s="37" t="e">
        <v>#DIV/0!</v>
      </c>
      <c r="DN489" s="37" t="e">
        <v>#DIV/0!</v>
      </c>
      <c r="DO489" s="37" t="e">
        <v>#DIV/0!</v>
      </c>
      <c r="DP489" s="37">
        <v>-9.3586387434554968E-2</v>
      </c>
      <c r="DQ489" s="37">
        <v>-9.3586387434554968E-2</v>
      </c>
      <c r="DS489" s="36" t="s">
        <v>147</v>
      </c>
      <c r="DT489" s="37" t="e">
        <v>#DIV/0!</v>
      </c>
      <c r="DU489" s="37" t="e">
        <v>#DIV/0!</v>
      </c>
      <c r="DV489" s="37" t="e">
        <v>#DIV/0!</v>
      </c>
      <c r="DW489" s="37">
        <v>-1.7148014440433214E-2</v>
      </c>
      <c r="DX489" s="37">
        <v>-1.7148014440433214E-2</v>
      </c>
      <c r="DZ489" s="36" t="s">
        <v>147</v>
      </c>
      <c r="EA489" s="37" t="e">
        <v>#DIV/0!</v>
      </c>
      <c r="EB489" s="37" t="e">
        <v>#DIV/0!</v>
      </c>
      <c r="EG489" s="36" t="s">
        <v>147</v>
      </c>
      <c r="EN489" s="36" t="s">
        <v>147</v>
      </c>
      <c r="EU489" s="36" t="s">
        <v>147</v>
      </c>
      <c r="FB489" s="36" t="s">
        <v>147</v>
      </c>
      <c r="FI489" s="36" t="s">
        <v>147</v>
      </c>
      <c r="FP489" s="36" t="s">
        <v>147</v>
      </c>
      <c r="FW489" s="36" t="s">
        <v>147</v>
      </c>
      <c r="GD489" s="36" t="s">
        <v>147</v>
      </c>
      <c r="GK489" s="36" t="s">
        <v>147</v>
      </c>
      <c r="GR489" s="36" t="s">
        <v>147</v>
      </c>
      <c r="GY489" s="36" t="s">
        <v>147</v>
      </c>
      <c r="HF489" s="36" t="s">
        <v>147</v>
      </c>
      <c r="HM489" s="36" t="s">
        <v>147</v>
      </c>
      <c r="HT489" s="36" t="s">
        <v>147</v>
      </c>
      <c r="IA489" s="36" t="s">
        <v>147</v>
      </c>
      <c r="IH489" s="36" t="s">
        <v>147</v>
      </c>
      <c r="IO489" s="36" t="s">
        <v>147</v>
      </c>
      <c r="IV489" s="36" t="s">
        <v>147</v>
      </c>
      <c r="JC489" s="36" t="s">
        <v>147</v>
      </c>
      <c r="JJ489" s="36" t="s">
        <v>147</v>
      </c>
      <c r="JQ489" s="36" t="s">
        <v>147</v>
      </c>
      <c r="JX489" s="36" t="s">
        <v>147</v>
      </c>
      <c r="KE489" s="36" t="s">
        <v>147</v>
      </c>
      <c r="KL489" s="36" t="s">
        <v>147</v>
      </c>
      <c r="KS489" s="36" t="s">
        <v>147</v>
      </c>
      <c r="KZ489" s="36" t="s">
        <v>147</v>
      </c>
      <c r="LF489" s="565"/>
      <c r="LG489" s="36" t="s">
        <v>147</v>
      </c>
      <c r="LM489" s="565"/>
      <c r="LN489" s="36" t="s">
        <v>147</v>
      </c>
      <c r="LT489" s="565"/>
      <c r="LU489" s="36" t="s">
        <v>147</v>
      </c>
      <c r="MA489" s="565"/>
      <c r="MB489" s="36" t="s">
        <v>147</v>
      </c>
      <c r="MH489" s="565"/>
    </row>
    <row r="490" spans="1:346" s="37" customFormat="1" ht="13.15" hidden="1" outlineLevel="1" x14ac:dyDescent="0.4">
      <c r="A490" s="35"/>
      <c r="B490" s="36" t="s">
        <v>377</v>
      </c>
      <c r="G490" s="37">
        <v>0.25423728813559321</v>
      </c>
      <c r="H490" s="37">
        <v>-4.0540540540540543E-2</v>
      </c>
      <c r="I490" s="37">
        <v>-0.19718309859154928</v>
      </c>
      <c r="J490" s="37">
        <v>0</v>
      </c>
      <c r="K490" s="37">
        <v>0.15789473684210525</v>
      </c>
      <c r="L490" s="37">
        <v>7.6515151515151508E-2</v>
      </c>
      <c r="M490" s="37">
        <v>9.8522167487684722E-4</v>
      </c>
      <c r="N490" s="37">
        <f t="shared" si="7479"/>
        <v>-0.73256467941507308</v>
      </c>
      <c r="O490" s="37">
        <f t="shared" si="7480"/>
        <v>0.15825446898002102</v>
      </c>
      <c r="P490" s="37">
        <f t="shared" si="7481"/>
        <v>-0.23831139355424422</v>
      </c>
      <c r="Q490" s="37">
        <f t="shared" si="7482"/>
        <v>2.3420738974970203</v>
      </c>
      <c r="R490" s="37">
        <f t="shared" si="7483"/>
        <v>-3.566333808844508E-3</v>
      </c>
      <c r="S490" s="37">
        <f t="shared" si="7484"/>
        <v>0.23783106657122405</v>
      </c>
      <c r="T490" s="37">
        <f t="shared" si="7485"/>
        <v>-4.4817117247361572E-2</v>
      </c>
      <c r="U490" s="37">
        <f t="shared" si="7486"/>
        <v>0.31557439079763888</v>
      </c>
      <c r="V490" s="37">
        <f t="shared" si="7487"/>
        <v>-2.6461113667740451E-2</v>
      </c>
      <c r="W490" s="37">
        <f t="shared" si="7488"/>
        <v>0</v>
      </c>
      <c r="X490" s="37">
        <f t="shared" si="7489"/>
        <v>0</v>
      </c>
      <c r="Y490" s="37">
        <f t="shared" si="7490"/>
        <v>0</v>
      </c>
      <c r="Z490" s="37">
        <f t="shared" si="7491"/>
        <v>0</v>
      </c>
      <c r="AA490" s="37">
        <f t="shared" si="7492"/>
        <v>0</v>
      </c>
      <c r="AB490" s="37">
        <f t="shared" si="7493"/>
        <v>0</v>
      </c>
      <c r="AC490" s="37">
        <f t="shared" si="7494"/>
        <v>0</v>
      </c>
      <c r="AD490" s="37">
        <f t="shared" si="7495"/>
        <v>0</v>
      </c>
      <c r="AE490" s="37">
        <f t="shared" si="7496"/>
        <v>0</v>
      </c>
      <c r="AF490" s="37">
        <f t="shared" si="7497"/>
        <v>0</v>
      </c>
      <c r="AG490" s="37">
        <f t="shared" si="7498"/>
        <v>0</v>
      </c>
      <c r="AH490" s="37">
        <f t="shared" si="7499"/>
        <v>0</v>
      </c>
      <c r="AI490" s="37">
        <f t="shared" si="7500"/>
        <v>0</v>
      </c>
      <c r="AJ490" s="37">
        <f t="shared" si="7501"/>
        <v>0</v>
      </c>
      <c r="AK490" s="37">
        <f t="shared" si="7502"/>
        <v>0</v>
      </c>
      <c r="AL490" s="37">
        <f t="shared" si="7503"/>
        <v>0</v>
      </c>
      <c r="AM490" s="37">
        <f t="shared" si="7504"/>
        <v>0</v>
      </c>
      <c r="AN490" s="37">
        <f t="shared" si="7505"/>
        <v>0</v>
      </c>
      <c r="AO490" s="37">
        <f t="shared" si="7506"/>
        <v>0</v>
      </c>
      <c r="AP490" s="37">
        <f t="shared" si="7507"/>
        <v>0</v>
      </c>
      <c r="AQ490" s="37">
        <f t="shared" si="7508"/>
        <v>0</v>
      </c>
      <c r="AR490" s="37">
        <f t="shared" si="7509"/>
        <v>0</v>
      </c>
      <c r="AS490" s="37">
        <f t="shared" si="7510"/>
        <v>0</v>
      </c>
      <c r="AT490" s="37">
        <f t="shared" si="7511"/>
        <v>0</v>
      </c>
      <c r="AU490" s="37">
        <f t="shared" si="7512"/>
        <v>0</v>
      </c>
      <c r="AV490" s="37">
        <f t="shared" si="7513"/>
        <v>0</v>
      </c>
      <c r="AW490" s="37">
        <f t="shared" si="7514"/>
        <v>0</v>
      </c>
      <c r="AX490" s="37">
        <f t="shared" si="7515"/>
        <v>0</v>
      </c>
      <c r="AY490" s="37">
        <f t="shared" si="7516"/>
        <v>0</v>
      </c>
      <c r="AZ490" s="37">
        <f t="shared" si="7517"/>
        <v>0</v>
      </c>
      <c r="BA490" s="37">
        <f t="shared" si="7518"/>
        <v>0</v>
      </c>
      <c r="BO490" s="36" t="s">
        <v>377</v>
      </c>
      <c r="BT490" s="37">
        <v>-0.73256467941507308</v>
      </c>
      <c r="BV490" s="36" t="s">
        <v>377</v>
      </c>
      <c r="BW490" s="37" t="e">
        <v>#DIV/0!</v>
      </c>
      <c r="BX490" s="37" t="e">
        <v>#DIV/0!</v>
      </c>
      <c r="BY490" s="37" t="e">
        <v>#DIV/0!</v>
      </c>
      <c r="BZ490" s="37">
        <v>0.15825446898002102</v>
      </c>
      <c r="CA490" s="37">
        <v>0.15825446898002102</v>
      </c>
      <c r="CC490" s="36" t="s">
        <v>377</v>
      </c>
      <c r="CD490" s="37" t="e">
        <v>#DIV/0!</v>
      </c>
      <c r="CE490" s="37" t="e">
        <v>#DIV/0!</v>
      </c>
      <c r="CF490" s="37" t="e">
        <v>#DIV/0!</v>
      </c>
      <c r="CG490" s="37">
        <v>-0.23831139355424422</v>
      </c>
      <c r="CH490" s="37">
        <v>-0.23831139355424422</v>
      </c>
      <c r="CJ490" s="36" t="s">
        <v>377</v>
      </c>
      <c r="CK490" s="37" t="e">
        <v>#DIV/0!</v>
      </c>
      <c r="CL490" s="37" t="e">
        <v>#DIV/0!</v>
      </c>
      <c r="CM490" s="37" t="e">
        <v>#DIV/0!</v>
      </c>
      <c r="CN490" s="37">
        <v>2.3420738974970203</v>
      </c>
      <c r="CO490" s="37">
        <v>2.3420738974970203</v>
      </c>
      <c r="CQ490" s="36" t="s">
        <v>377</v>
      </c>
      <c r="CR490" s="37" t="e">
        <v>#DIV/0!</v>
      </c>
      <c r="CS490" s="37" t="e">
        <v>#DIV/0!</v>
      </c>
      <c r="CT490" s="37" t="e">
        <v>#DIV/0!</v>
      </c>
      <c r="CU490" s="37">
        <v>-3.566333808844508E-3</v>
      </c>
      <c r="CV490" s="37">
        <v>-3.566333808844508E-3</v>
      </c>
      <c r="CX490" s="36" t="s">
        <v>377</v>
      </c>
      <c r="CY490" s="37" t="e">
        <v>#DIV/0!</v>
      </c>
      <c r="CZ490" s="37" t="e">
        <v>#DIV/0!</v>
      </c>
      <c r="DA490" s="37" t="e">
        <v>#DIV/0!</v>
      </c>
      <c r="DB490" s="37">
        <v>0.23783106657122405</v>
      </c>
      <c r="DC490" s="37">
        <v>0.23783106657122405</v>
      </c>
      <c r="DE490" s="36" t="s">
        <v>377</v>
      </c>
      <c r="DF490" s="37" t="e">
        <v>#DIV/0!</v>
      </c>
      <c r="DG490" s="37" t="e">
        <v>#DIV/0!</v>
      </c>
      <c r="DH490" s="37" t="e">
        <v>#DIV/0!</v>
      </c>
      <c r="DI490" s="37">
        <v>-4.4817117247361572E-2</v>
      </c>
      <c r="DJ490" s="37">
        <v>-4.4817117247361572E-2</v>
      </c>
      <c r="DL490" s="36" t="s">
        <v>377</v>
      </c>
      <c r="DM490" s="37" t="e">
        <v>#DIV/0!</v>
      </c>
      <c r="DN490" s="37" t="e">
        <v>#DIV/0!</v>
      </c>
      <c r="DO490" s="37" t="e">
        <v>#DIV/0!</v>
      </c>
      <c r="DP490" s="37">
        <v>0.31557439079763888</v>
      </c>
      <c r="DQ490" s="37">
        <v>0.31557439079763888</v>
      </c>
      <c r="DS490" s="36" t="s">
        <v>377</v>
      </c>
      <c r="DT490" s="37" t="e">
        <v>#DIV/0!</v>
      </c>
      <c r="DU490" s="37" t="e">
        <v>#DIV/0!</v>
      </c>
      <c r="DV490" s="37" t="e">
        <v>#DIV/0!</v>
      </c>
      <c r="DW490" s="37">
        <v>-2.6461113667740451E-2</v>
      </c>
      <c r="DX490" s="37">
        <v>-2.6461113667740451E-2</v>
      </c>
      <c r="DZ490" s="36" t="s">
        <v>377</v>
      </c>
      <c r="EA490" s="37" t="e">
        <v>#DIV/0!</v>
      </c>
      <c r="EB490" s="37" t="e">
        <v>#DIV/0!</v>
      </c>
      <c r="EG490" s="36" t="s">
        <v>377</v>
      </c>
      <c r="EN490" s="36" t="s">
        <v>377</v>
      </c>
      <c r="EU490" s="36" t="s">
        <v>377</v>
      </c>
      <c r="FB490" s="36" t="s">
        <v>377</v>
      </c>
      <c r="FI490" s="36" t="s">
        <v>377</v>
      </c>
      <c r="FP490" s="36" t="s">
        <v>377</v>
      </c>
      <c r="FW490" s="36" t="s">
        <v>377</v>
      </c>
      <c r="GD490" s="36" t="s">
        <v>377</v>
      </c>
      <c r="GK490" s="36" t="s">
        <v>377</v>
      </c>
      <c r="GR490" s="36" t="s">
        <v>377</v>
      </c>
      <c r="GY490" s="36" t="s">
        <v>377</v>
      </c>
      <c r="HF490" s="36" t="s">
        <v>377</v>
      </c>
      <c r="HM490" s="36" t="s">
        <v>377</v>
      </c>
      <c r="HT490" s="36" t="s">
        <v>377</v>
      </c>
      <c r="IA490" s="36" t="s">
        <v>377</v>
      </c>
      <c r="IH490" s="36" t="s">
        <v>377</v>
      </c>
      <c r="IO490" s="36" t="s">
        <v>377</v>
      </c>
      <c r="IV490" s="36" t="s">
        <v>377</v>
      </c>
      <c r="JC490" s="36" t="s">
        <v>377</v>
      </c>
      <c r="JJ490" s="36" t="s">
        <v>377</v>
      </c>
      <c r="JQ490" s="36" t="s">
        <v>377</v>
      </c>
      <c r="JX490" s="36" t="s">
        <v>377</v>
      </c>
      <c r="KE490" s="36" t="s">
        <v>377</v>
      </c>
      <c r="KL490" s="36" t="s">
        <v>377</v>
      </c>
      <c r="KS490" s="36" t="s">
        <v>377</v>
      </c>
      <c r="KZ490" s="36" t="s">
        <v>377</v>
      </c>
      <c r="LF490" s="565"/>
      <c r="LG490" s="36" t="s">
        <v>377</v>
      </c>
      <c r="LM490" s="565"/>
      <c r="LN490" s="36" t="s">
        <v>377</v>
      </c>
      <c r="LT490" s="565"/>
      <c r="LU490" s="36" t="s">
        <v>377</v>
      </c>
      <c r="MA490" s="565"/>
      <c r="MB490" s="36" t="s">
        <v>377</v>
      </c>
      <c r="MH490" s="565"/>
    </row>
    <row r="491" spans="1:346" s="37" customFormat="1" ht="13.15" hidden="1" outlineLevel="1" x14ac:dyDescent="0.4">
      <c r="A491" s="35"/>
      <c r="B491" s="36" t="s">
        <v>378</v>
      </c>
      <c r="G491" s="37">
        <v>-0.10526315789473684</v>
      </c>
      <c r="H491" s="37">
        <v>0.11764705882352941</v>
      </c>
      <c r="I491" s="37">
        <v>0.10526315789473684</v>
      </c>
      <c r="J491" s="37">
        <v>9.5238095238095233E-2</v>
      </c>
      <c r="K491" s="37">
        <v>0.17391304347826086</v>
      </c>
      <c r="L491" s="37">
        <v>3.6296296296296299E-2</v>
      </c>
      <c r="M491" s="37">
        <v>7.2551822730521798E-2</v>
      </c>
      <c r="N491" s="37">
        <f t="shared" si="7479"/>
        <v>-0.7380873042319227</v>
      </c>
      <c r="O491" s="37">
        <f t="shared" si="7480"/>
        <v>0.21755725190839695</v>
      </c>
      <c r="P491" s="37">
        <f t="shared" si="7481"/>
        <v>-7.3145245559038665E-3</v>
      </c>
      <c r="Q491" s="37">
        <f t="shared" si="7482"/>
        <v>1.5821052631578947</v>
      </c>
      <c r="R491" s="37">
        <f t="shared" si="7483"/>
        <v>0.16754993885038727</v>
      </c>
      <c r="S491" s="37">
        <f t="shared" si="7484"/>
        <v>0.21054469273743018</v>
      </c>
      <c r="T491" s="37">
        <f t="shared" si="7485"/>
        <v>-5.5379290452841075E-2</v>
      </c>
      <c r="U491" s="37">
        <f t="shared" si="7486"/>
        <v>3.9694656488549621E-3</v>
      </c>
      <c r="V491" s="37">
        <f t="shared" si="7487"/>
        <v>2.9197080291970802E-2</v>
      </c>
      <c r="W491" s="37">
        <f t="shared" si="7488"/>
        <v>0</v>
      </c>
      <c r="X491" s="37">
        <f t="shared" si="7489"/>
        <v>0</v>
      </c>
      <c r="Y491" s="37">
        <f t="shared" si="7490"/>
        <v>0</v>
      </c>
      <c r="Z491" s="37">
        <f t="shared" si="7491"/>
        <v>0</v>
      </c>
      <c r="AA491" s="37">
        <f t="shared" si="7492"/>
        <v>0</v>
      </c>
      <c r="AB491" s="37">
        <f t="shared" si="7493"/>
        <v>0</v>
      </c>
      <c r="AC491" s="37">
        <f t="shared" si="7494"/>
        <v>0</v>
      </c>
      <c r="AD491" s="37">
        <f t="shared" si="7495"/>
        <v>0</v>
      </c>
      <c r="AE491" s="37">
        <f t="shared" si="7496"/>
        <v>0</v>
      </c>
      <c r="AF491" s="37">
        <f t="shared" si="7497"/>
        <v>0</v>
      </c>
      <c r="AG491" s="37">
        <f t="shared" si="7498"/>
        <v>0</v>
      </c>
      <c r="AH491" s="37">
        <f t="shared" si="7499"/>
        <v>0</v>
      </c>
      <c r="AI491" s="37">
        <f t="shared" si="7500"/>
        <v>0</v>
      </c>
      <c r="AJ491" s="37">
        <f t="shared" si="7501"/>
        <v>0</v>
      </c>
      <c r="AK491" s="37">
        <f t="shared" si="7502"/>
        <v>0</v>
      </c>
      <c r="AL491" s="37">
        <f t="shared" si="7503"/>
        <v>0</v>
      </c>
      <c r="AM491" s="37">
        <f t="shared" si="7504"/>
        <v>0</v>
      </c>
      <c r="AN491" s="37">
        <f t="shared" si="7505"/>
        <v>0</v>
      </c>
      <c r="AO491" s="37">
        <f t="shared" si="7506"/>
        <v>0</v>
      </c>
      <c r="AP491" s="37">
        <f t="shared" si="7507"/>
        <v>0</v>
      </c>
      <c r="AQ491" s="37">
        <f t="shared" si="7508"/>
        <v>0</v>
      </c>
      <c r="AR491" s="37">
        <f t="shared" si="7509"/>
        <v>0</v>
      </c>
      <c r="AS491" s="37">
        <f t="shared" si="7510"/>
        <v>0</v>
      </c>
      <c r="AT491" s="37">
        <f t="shared" si="7511"/>
        <v>0</v>
      </c>
      <c r="AU491" s="37">
        <f t="shared" si="7512"/>
        <v>0</v>
      </c>
      <c r="AV491" s="37">
        <f t="shared" si="7513"/>
        <v>0</v>
      </c>
      <c r="AW491" s="37">
        <f t="shared" si="7514"/>
        <v>0</v>
      </c>
      <c r="AX491" s="37">
        <f t="shared" si="7515"/>
        <v>0</v>
      </c>
      <c r="AY491" s="37">
        <f t="shared" si="7516"/>
        <v>0</v>
      </c>
      <c r="AZ491" s="37">
        <f t="shared" si="7517"/>
        <v>0</v>
      </c>
      <c r="BA491" s="37">
        <f t="shared" si="7518"/>
        <v>0</v>
      </c>
      <c r="BO491" s="36" t="s">
        <v>378</v>
      </c>
      <c r="BT491" s="37">
        <v>-0.7380873042319227</v>
      </c>
      <c r="BV491" s="36" t="s">
        <v>378</v>
      </c>
      <c r="BW491" s="37" t="e">
        <v>#DIV/0!</v>
      </c>
      <c r="BX491" s="37" t="e">
        <v>#DIV/0!</v>
      </c>
      <c r="BY491" s="37" t="e">
        <v>#DIV/0!</v>
      </c>
      <c r="BZ491" s="37">
        <v>0.21755725190839695</v>
      </c>
      <c r="CA491" s="37">
        <v>0.21755725190839695</v>
      </c>
      <c r="CC491" s="36" t="s">
        <v>378</v>
      </c>
      <c r="CD491" s="37" t="e">
        <v>#DIV/0!</v>
      </c>
      <c r="CE491" s="37" t="e">
        <v>#DIV/0!</v>
      </c>
      <c r="CF491" s="37" t="e">
        <v>#DIV/0!</v>
      </c>
      <c r="CG491" s="37">
        <v>-7.3145245559038665E-3</v>
      </c>
      <c r="CH491" s="37">
        <v>-7.3145245559038665E-3</v>
      </c>
      <c r="CJ491" s="36" t="s">
        <v>378</v>
      </c>
      <c r="CK491" s="37" t="e">
        <v>#DIV/0!</v>
      </c>
      <c r="CL491" s="37" t="e">
        <v>#DIV/0!</v>
      </c>
      <c r="CM491" s="37" t="e">
        <v>#DIV/0!</v>
      </c>
      <c r="CN491" s="37">
        <v>1.5821052631578947</v>
      </c>
      <c r="CO491" s="37">
        <v>1.5821052631578947</v>
      </c>
      <c r="CQ491" s="36" t="s">
        <v>378</v>
      </c>
      <c r="CR491" s="37" t="e">
        <v>#DIV/0!</v>
      </c>
      <c r="CS491" s="37" t="e">
        <v>#DIV/0!</v>
      </c>
      <c r="CT491" s="37" t="e">
        <v>#DIV/0!</v>
      </c>
      <c r="CU491" s="37">
        <v>0.16754993885038727</v>
      </c>
      <c r="CV491" s="37">
        <v>0.16754993885038727</v>
      </c>
      <c r="CX491" s="36" t="s">
        <v>378</v>
      </c>
      <c r="CY491" s="37" t="e">
        <v>#DIV/0!</v>
      </c>
      <c r="CZ491" s="37" t="e">
        <v>#DIV/0!</v>
      </c>
      <c r="DA491" s="37" t="e">
        <v>#DIV/0!</v>
      </c>
      <c r="DB491" s="37">
        <v>0.21054469273743018</v>
      </c>
      <c r="DC491" s="37">
        <v>0.21054469273743018</v>
      </c>
      <c r="DE491" s="36" t="s">
        <v>378</v>
      </c>
      <c r="DF491" s="37" t="e">
        <v>#DIV/0!</v>
      </c>
      <c r="DG491" s="37" t="e">
        <v>#DIV/0!</v>
      </c>
      <c r="DH491" s="37" t="e">
        <v>#DIV/0!</v>
      </c>
      <c r="DI491" s="37">
        <v>-5.5379290452841075E-2</v>
      </c>
      <c r="DJ491" s="37">
        <v>-5.5379290452841075E-2</v>
      </c>
      <c r="DL491" s="36" t="s">
        <v>378</v>
      </c>
      <c r="DM491" s="37" t="e">
        <v>#DIV/0!</v>
      </c>
      <c r="DN491" s="37" t="e">
        <v>#DIV/0!</v>
      </c>
      <c r="DO491" s="37" t="e">
        <v>#DIV/0!</v>
      </c>
      <c r="DP491" s="37">
        <v>3.9694656488549621E-3</v>
      </c>
      <c r="DQ491" s="37">
        <v>3.9694656488549621E-3</v>
      </c>
      <c r="DS491" s="36" t="s">
        <v>378</v>
      </c>
      <c r="DT491" s="37" t="e">
        <v>#DIV/0!</v>
      </c>
      <c r="DU491" s="37" t="e">
        <v>#DIV/0!</v>
      </c>
      <c r="DV491" s="37" t="e">
        <v>#DIV/0!</v>
      </c>
      <c r="DW491" s="37">
        <v>2.9197080291970802E-2</v>
      </c>
      <c r="DX491" s="37">
        <v>2.9197080291970802E-2</v>
      </c>
      <c r="DZ491" s="36" t="s">
        <v>378</v>
      </c>
      <c r="EA491" s="37" t="e">
        <v>#DIV/0!</v>
      </c>
      <c r="EB491" s="37" t="e">
        <v>#DIV/0!</v>
      </c>
      <c r="EG491" s="36" t="s">
        <v>378</v>
      </c>
      <c r="EN491" s="36" t="s">
        <v>378</v>
      </c>
      <c r="EU491" s="36" t="s">
        <v>378</v>
      </c>
      <c r="FB491" s="36" t="s">
        <v>378</v>
      </c>
      <c r="FI491" s="36" t="s">
        <v>378</v>
      </c>
      <c r="FP491" s="36" t="s">
        <v>378</v>
      </c>
      <c r="FW491" s="36" t="s">
        <v>378</v>
      </c>
      <c r="GD491" s="36" t="s">
        <v>378</v>
      </c>
      <c r="GK491" s="36" t="s">
        <v>378</v>
      </c>
      <c r="GR491" s="36" t="s">
        <v>378</v>
      </c>
      <c r="GY491" s="36" t="s">
        <v>378</v>
      </c>
      <c r="HF491" s="36" t="s">
        <v>378</v>
      </c>
      <c r="HM491" s="36" t="s">
        <v>378</v>
      </c>
      <c r="HT491" s="36" t="s">
        <v>378</v>
      </c>
      <c r="IA491" s="36" t="s">
        <v>378</v>
      </c>
      <c r="IH491" s="36" t="s">
        <v>378</v>
      </c>
      <c r="IO491" s="36" t="s">
        <v>378</v>
      </c>
      <c r="IV491" s="36" t="s">
        <v>378</v>
      </c>
      <c r="JC491" s="36" t="s">
        <v>378</v>
      </c>
      <c r="JJ491" s="36" t="s">
        <v>378</v>
      </c>
      <c r="JQ491" s="36" t="s">
        <v>378</v>
      </c>
      <c r="JX491" s="36" t="s">
        <v>378</v>
      </c>
      <c r="KE491" s="36" t="s">
        <v>378</v>
      </c>
      <c r="KL491" s="36" t="s">
        <v>378</v>
      </c>
      <c r="KS491" s="36" t="s">
        <v>378</v>
      </c>
      <c r="KZ491" s="36" t="s">
        <v>378</v>
      </c>
      <c r="LF491" s="565"/>
      <c r="LG491" s="36" t="s">
        <v>378</v>
      </c>
      <c r="LM491" s="565"/>
      <c r="LN491" s="36" t="s">
        <v>378</v>
      </c>
      <c r="LT491" s="565"/>
      <c r="LU491" s="36" t="s">
        <v>378</v>
      </c>
      <c r="MA491" s="565"/>
      <c r="MB491" s="36" t="s">
        <v>378</v>
      </c>
      <c r="MH491" s="565"/>
    </row>
    <row r="492" spans="1:346" s="37" customFormat="1" ht="13.15" hidden="1" outlineLevel="1" x14ac:dyDescent="0.4">
      <c r="A492" s="35"/>
      <c r="B492" s="36" t="s">
        <v>379</v>
      </c>
      <c r="G492" s="37">
        <v>2.7027027027027029E-2</v>
      </c>
      <c r="H492" s="37">
        <v>-0.15789473684210525</v>
      </c>
      <c r="I492" s="37">
        <v>0.34375</v>
      </c>
      <c r="J492" s="37">
        <v>0</v>
      </c>
      <c r="K492" s="37">
        <v>-0.13953488372093023</v>
      </c>
      <c r="L492" s="37">
        <v>5.6216216216216218E-2</v>
      </c>
      <c r="M492" s="37">
        <v>1.7400204708290685E-2</v>
      </c>
      <c r="N492" s="37">
        <f t="shared" si="7479"/>
        <v>-0.647887323943662</v>
      </c>
      <c r="O492" s="37">
        <f t="shared" si="7480"/>
        <v>-5.6428571428571425E-2</v>
      </c>
      <c r="P492" s="37">
        <f t="shared" si="7481"/>
        <v>-7.5700227100681302E-4</v>
      </c>
      <c r="Q492" s="37">
        <f t="shared" si="7482"/>
        <v>-1</v>
      </c>
      <c r="R492" s="37">
        <f t="shared" si="7483"/>
        <v>0</v>
      </c>
      <c r="S492" s="37">
        <f t="shared" si="7484"/>
        <v>0</v>
      </c>
      <c r="T492" s="37">
        <f t="shared" si="7485"/>
        <v>0</v>
      </c>
      <c r="U492" s="37">
        <f t="shared" si="7486"/>
        <v>0</v>
      </c>
      <c r="V492" s="37">
        <f t="shared" si="7487"/>
        <v>0</v>
      </c>
      <c r="W492" s="37">
        <f t="shared" si="7488"/>
        <v>0</v>
      </c>
      <c r="X492" s="37">
        <f t="shared" si="7489"/>
        <v>0</v>
      </c>
      <c r="Y492" s="37">
        <f t="shared" si="7490"/>
        <v>0</v>
      </c>
      <c r="Z492" s="37">
        <f t="shared" si="7491"/>
        <v>0</v>
      </c>
      <c r="AA492" s="37">
        <f t="shared" si="7492"/>
        <v>0</v>
      </c>
      <c r="AB492" s="37">
        <f t="shared" si="7493"/>
        <v>0</v>
      </c>
      <c r="AC492" s="37">
        <f t="shared" si="7494"/>
        <v>0</v>
      </c>
      <c r="AD492" s="37">
        <f t="shared" si="7495"/>
        <v>0</v>
      </c>
      <c r="AE492" s="37">
        <f t="shared" si="7496"/>
        <v>0</v>
      </c>
      <c r="AF492" s="37">
        <f t="shared" si="7497"/>
        <v>0</v>
      </c>
      <c r="AG492" s="37">
        <f t="shared" si="7498"/>
        <v>0</v>
      </c>
      <c r="AH492" s="37">
        <f t="shared" si="7499"/>
        <v>0</v>
      </c>
      <c r="AI492" s="37">
        <f t="shared" si="7500"/>
        <v>0</v>
      </c>
      <c r="AJ492" s="37">
        <f t="shared" si="7501"/>
        <v>0</v>
      </c>
      <c r="AK492" s="37">
        <f t="shared" si="7502"/>
        <v>0</v>
      </c>
      <c r="AL492" s="37">
        <f t="shared" si="7503"/>
        <v>0</v>
      </c>
      <c r="AM492" s="37">
        <f t="shared" si="7504"/>
        <v>0</v>
      </c>
      <c r="AN492" s="37">
        <f t="shared" si="7505"/>
        <v>0</v>
      </c>
      <c r="AO492" s="37">
        <f t="shared" si="7506"/>
        <v>0</v>
      </c>
      <c r="AP492" s="37">
        <f t="shared" si="7507"/>
        <v>0</v>
      </c>
      <c r="AQ492" s="37">
        <f t="shared" si="7508"/>
        <v>0</v>
      </c>
      <c r="AR492" s="37">
        <f t="shared" si="7509"/>
        <v>0</v>
      </c>
      <c r="AS492" s="37">
        <f t="shared" si="7510"/>
        <v>0</v>
      </c>
      <c r="AT492" s="37">
        <f t="shared" si="7511"/>
        <v>0</v>
      </c>
      <c r="AU492" s="37">
        <f t="shared" si="7512"/>
        <v>0</v>
      </c>
      <c r="AV492" s="37">
        <f t="shared" si="7513"/>
        <v>0</v>
      </c>
      <c r="AW492" s="37">
        <f t="shared" si="7514"/>
        <v>0</v>
      </c>
      <c r="AX492" s="37">
        <f t="shared" si="7515"/>
        <v>0</v>
      </c>
      <c r="AY492" s="37">
        <f t="shared" si="7516"/>
        <v>0</v>
      </c>
      <c r="AZ492" s="37">
        <f t="shared" si="7517"/>
        <v>0</v>
      </c>
      <c r="BA492" s="37">
        <f t="shared" si="7518"/>
        <v>0</v>
      </c>
      <c r="BO492" s="36" t="s">
        <v>379</v>
      </c>
      <c r="BT492" s="37">
        <v>-0.647887323943662</v>
      </c>
      <c r="BV492" s="36" t="s">
        <v>379</v>
      </c>
      <c r="BW492" s="37" t="e">
        <v>#DIV/0!</v>
      </c>
      <c r="BX492" s="37" t="e">
        <v>#DIV/0!</v>
      </c>
      <c r="BY492" s="37" t="e">
        <v>#DIV/0!</v>
      </c>
      <c r="BZ492" s="37">
        <v>-5.6428571428571425E-2</v>
      </c>
      <c r="CA492" s="37">
        <v>-5.6428571428571425E-2</v>
      </c>
      <c r="CC492" s="36" t="s">
        <v>379</v>
      </c>
      <c r="CD492" s="37" t="e">
        <v>#DIV/0!</v>
      </c>
      <c r="CE492" s="37" t="e">
        <v>#DIV/0!</v>
      </c>
      <c r="CF492" s="37" t="e">
        <v>#DIV/0!</v>
      </c>
      <c r="CG492" s="37">
        <v>-7.5700227100681302E-4</v>
      </c>
      <c r="CH492" s="37">
        <v>-7.5700227100681302E-4</v>
      </c>
      <c r="CJ492" s="36" t="s">
        <v>379</v>
      </c>
      <c r="CK492" s="37" t="e">
        <v>#DIV/0!</v>
      </c>
      <c r="CL492" s="37" t="e">
        <v>#DIV/0!</v>
      </c>
      <c r="CM492" s="37" t="e">
        <v>#DIV/0!</v>
      </c>
      <c r="CN492" s="37">
        <v>-1</v>
      </c>
      <c r="CO492" s="37">
        <v>-1</v>
      </c>
      <c r="CQ492" s="36" t="s">
        <v>379</v>
      </c>
      <c r="CX492" s="36" t="s">
        <v>379</v>
      </c>
      <c r="DE492" s="36" t="s">
        <v>379</v>
      </c>
      <c r="DL492" s="36" t="s">
        <v>379</v>
      </c>
      <c r="DS492" s="36" t="s">
        <v>379</v>
      </c>
      <c r="DZ492" s="36" t="s">
        <v>379</v>
      </c>
      <c r="EG492" s="36" t="s">
        <v>379</v>
      </c>
      <c r="EN492" s="36" t="s">
        <v>379</v>
      </c>
      <c r="EU492" s="36" t="s">
        <v>379</v>
      </c>
      <c r="FB492" s="36" t="s">
        <v>379</v>
      </c>
      <c r="FI492" s="36" t="s">
        <v>379</v>
      </c>
      <c r="FP492" s="36" t="s">
        <v>379</v>
      </c>
      <c r="FW492" s="36" t="s">
        <v>379</v>
      </c>
      <c r="GD492" s="36" t="s">
        <v>379</v>
      </c>
      <c r="GK492" s="36" t="s">
        <v>379</v>
      </c>
      <c r="GR492" s="36" t="s">
        <v>379</v>
      </c>
      <c r="GY492" s="36" t="s">
        <v>379</v>
      </c>
      <c r="HF492" s="36" t="s">
        <v>379</v>
      </c>
      <c r="HM492" s="36" t="s">
        <v>379</v>
      </c>
      <c r="HT492" s="36" t="s">
        <v>379</v>
      </c>
      <c r="IA492" s="36" t="s">
        <v>379</v>
      </c>
      <c r="IH492" s="36" t="s">
        <v>379</v>
      </c>
      <c r="IO492" s="36" t="s">
        <v>379</v>
      </c>
      <c r="IV492" s="36" t="s">
        <v>379</v>
      </c>
      <c r="JC492" s="36" t="s">
        <v>379</v>
      </c>
      <c r="JJ492" s="36" t="s">
        <v>379</v>
      </c>
      <c r="JQ492" s="36" t="s">
        <v>379</v>
      </c>
      <c r="JX492" s="36" t="s">
        <v>379</v>
      </c>
      <c r="KE492" s="36" t="s">
        <v>379</v>
      </c>
      <c r="KL492" s="36" t="s">
        <v>379</v>
      </c>
      <c r="KS492" s="36" t="s">
        <v>379</v>
      </c>
      <c r="KZ492" s="36" t="s">
        <v>379</v>
      </c>
      <c r="LF492" s="565"/>
      <c r="LG492" s="36" t="s">
        <v>379</v>
      </c>
      <c r="LM492" s="565"/>
      <c r="LN492" s="36" t="s">
        <v>379</v>
      </c>
      <c r="LT492" s="565"/>
      <c r="LU492" s="36" t="s">
        <v>379</v>
      </c>
      <c r="MA492" s="565"/>
      <c r="MB492" s="36" t="s">
        <v>379</v>
      </c>
      <c r="MH492" s="565"/>
    </row>
    <row r="493" spans="1:346" s="37" customFormat="1" ht="13.15" hidden="1" outlineLevel="1" x14ac:dyDescent="0.4">
      <c r="A493" s="35"/>
      <c r="B493" s="36" t="s">
        <v>380</v>
      </c>
      <c r="G493" s="37">
        <v>-0.61538461538461542</v>
      </c>
      <c r="H493" s="37">
        <v>0.4</v>
      </c>
      <c r="I493" s="37">
        <v>1.1428571428571428</v>
      </c>
      <c r="J493" s="37">
        <v>0.13333333333333333</v>
      </c>
      <c r="K493" s="37">
        <v>0.47058823529411764</v>
      </c>
      <c r="L493" s="37">
        <v>0.1052</v>
      </c>
      <c r="M493" s="37">
        <v>3.2573289902280131E-2</v>
      </c>
      <c r="N493" s="37">
        <f t="shared" si="7479"/>
        <v>-0.72169645986680686</v>
      </c>
      <c r="O493" s="37">
        <f t="shared" si="7480"/>
        <v>0.14357682619647355</v>
      </c>
      <c r="P493" s="37">
        <f t="shared" si="7481"/>
        <v>-4.405286343612335E-2</v>
      </c>
      <c r="Q493" s="37">
        <f t="shared" si="7482"/>
        <v>-1</v>
      </c>
      <c r="R493" s="37">
        <f t="shared" si="7483"/>
        <v>0</v>
      </c>
      <c r="S493" s="37">
        <f t="shared" si="7484"/>
        <v>0</v>
      </c>
      <c r="T493" s="37">
        <f t="shared" si="7485"/>
        <v>0</v>
      </c>
      <c r="U493" s="37">
        <f t="shared" si="7486"/>
        <v>0</v>
      </c>
      <c r="V493" s="37">
        <f t="shared" si="7487"/>
        <v>0</v>
      </c>
      <c r="W493" s="37">
        <f t="shared" si="7488"/>
        <v>0</v>
      </c>
      <c r="X493" s="37">
        <f t="shared" si="7489"/>
        <v>0</v>
      </c>
      <c r="Y493" s="37">
        <f t="shared" si="7490"/>
        <v>0</v>
      </c>
      <c r="Z493" s="37">
        <f t="shared" si="7491"/>
        <v>0</v>
      </c>
      <c r="AA493" s="37">
        <f t="shared" si="7492"/>
        <v>0</v>
      </c>
      <c r="AB493" s="37">
        <f t="shared" si="7493"/>
        <v>0</v>
      </c>
      <c r="AC493" s="37">
        <f t="shared" si="7494"/>
        <v>0</v>
      </c>
      <c r="AD493" s="37">
        <f t="shared" si="7495"/>
        <v>0</v>
      </c>
      <c r="AE493" s="37">
        <f t="shared" si="7496"/>
        <v>0</v>
      </c>
      <c r="AF493" s="37">
        <f t="shared" si="7497"/>
        <v>0</v>
      </c>
      <c r="AG493" s="37">
        <f t="shared" si="7498"/>
        <v>0</v>
      </c>
      <c r="AH493" s="37">
        <f t="shared" si="7499"/>
        <v>0</v>
      </c>
      <c r="AI493" s="37">
        <f t="shared" si="7500"/>
        <v>0</v>
      </c>
      <c r="AJ493" s="37">
        <f t="shared" si="7501"/>
        <v>0</v>
      </c>
      <c r="AK493" s="37">
        <f t="shared" si="7502"/>
        <v>0</v>
      </c>
      <c r="AL493" s="37">
        <f t="shared" si="7503"/>
        <v>0</v>
      </c>
      <c r="AM493" s="37">
        <f t="shared" si="7504"/>
        <v>0</v>
      </c>
      <c r="AN493" s="37">
        <f t="shared" si="7505"/>
        <v>0</v>
      </c>
      <c r="AO493" s="37">
        <f t="shared" si="7506"/>
        <v>0</v>
      </c>
      <c r="AP493" s="37">
        <f t="shared" si="7507"/>
        <v>0</v>
      </c>
      <c r="AQ493" s="37">
        <f t="shared" si="7508"/>
        <v>0</v>
      </c>
      <c r="AR493" s="37">
        <f t="shared" si="7509"/>
        <v>0</v>
      </c>
      <c r="AS493" s="37">
        <f t="shared" si="7510"/>
        <v>0</v>
      </c>
      <c r="AT493" s="37">
        <f t="shared" si="7511"/>
        <v>0</v>
      </c>
      <c r="AU493" s="37">
        <f t="shared" si="7512"/>
        <v>0</v>
      </c>
      <c r="AV493" s="37">
        <f t="shared" si="7513"/>
        <v>0</v>
      </c>
      <c r="AW493" s="37">
        <f t="shared" si="7514"/>
        <v>0</v>
      </c>
      <c r="AX493" s="37">
        <f t="shared" si="7515"/>
        <v>0</v>
      </c>
      <c r="AY493" s="37">
        <f t="shared" si="7516"/>
        <v>0</v>
      </c>
      <c r="AZ493" s="37">
        <f t="shared" si="7517"/>
        <v>0</v>
      </c>
      <c r="BA493" s="37">
        <f t="shared" si="7518"/>
        <v>0</v>
      </c>
      <c r="BO493" s="36" t="s">
        <v>380</v>
      </c>
      <c r="BT493" s="37">
        <v>-0.72169645986680686</v>
      </c>
      <c r="BV493" s="36" t="s">
        <v>380</v>
      </c>
      <c r="BW493" s="37" t="e">
        <v>#DIV/0!</v>
      </c>
      <c r="BX493" s="37" t="e">
        <v>#DIV/0!</v>
      </c>
      <c r="BY493" s="37" t="e">
        <v>#DIV/0!</v>
      </c>
      <c r="BZ493" s="37">
        <v>0.14357682619647355</v>
      </c>
      <c r="CA493" s="37">
        <v>0.14357682619647355</v>
      </c>
      <c r="CC493" s="36" t="s">
        <v>380</v>
      </c>
      <c r="CD493" s="37" t="e">
        <v>#DIV/0!</v>
      </c>
      <c r="CE493" s="37" t="e">
        <v>#DIV/0!</v>
      </c>
      <c r="CF493" s="37" t="e">
        <v>#DIV/0!</v>
      </c>
      <c r="CG493" s="37">
        <v>-4.405286343612335E-2</v>
      </c>
      <c r="CH493" s="37">
        <v>-4.405286343612335E-2</v>
      </c>
      <c r="CJ493" s="36" t="s">
        <v>380</v>
      </c>
      <c r="CK493" s="37" t="e">
        <v>#DIV/0!</v>
      </c>
      <c r="CL493" s="37" t="e">
        <v>#DIV/0!</v>
      </c>
      <c r="CM493" s="37" t="e">
        <v>#DIV/0!</v>
      </c>
      <c r="CN493" s="37">
        <v>-1</v>
      </c>
      <c r="CO493" s="37">
        <v>-1</v>
      </c>
      <c r="CQ493" s="36" t="s">
        <v>380</v>
      </c>
      <c r="CX493" s="36" t="s">
        <v>380</v>
      </c>
      <c r="DE493" s="36" t="s">
        <v>380</v>
      </c>
      <c r="DL493" s="36" t="s">
        <v>380</v>
      </c>
      <c r="DS493" s="36" t="s">
        <v>380</v>
      </c>
      <c r="DZ493" s="36" t="s">
        <v>380</v>
      </c>
      <c r="EG493" s="36" t="s">
        <v>380</v>
      </c>
      <c r="EN493" s="36" t="s">
        <v>380</v>
      </c>
      <c r="EU493" s="36" t="s">
        <v>380</v>
      </c>
      <c r="FB493" s="36" t="s">
        <v>380</v>
      </c>
      <c r="FI493" s="36" t="s">
        <v>380</v>
      </c>
      <c r="FP493" s="36" t="s">
        <v>380</v>
      </c>
      <c r="FW493" s="36" t="s">
        <v>380</v>
      </c>
      <c r="GD493" s="36" t="s">
        <v>380</v>
      </c>
      <c r="GK493" s="36" t="s">
        <v>380</v>
      </c>
      <c r="GR493" s="36" t="s">
        <v>380</v>
      </c>
      <c r="GY493" s="36" t="s">
        <v>380</v>
      </c>
      <c r="HF493" s="36" t="s">
        <v>380</v>
      </c>
      <c r="HM493" s="36" t="s">
        <v>380</v>
      </c>
      <c r="HT493" s="36" t="s">
        <v>380</v>
      </c>
      <c r="IA493" s="36" t="s">
        <v>380</v>
      </c>
      <c r="IH493" s="36" t="s">
        <v>380</v>
      </c>
      <c r="IO493" s="36" t="s">
        <v>380</v>
      </c>
      <c r="IV493" s="36" t="s">
        <v>380</v>
      </c>
      <c r="JC493" s="36" t="s">
        <v>380</v>
      </c>
      <c r="JJ493" s="36" t="s">
        <v>380</v>
      </c>
      <c r="JQ493" s="36" t="s">
        <v>380</v>
      </c>
      <c r="JX493" s="36" t="s">
        <v>380</v>
      </c>
      <c r="KE493" s="36" t="s">
        <v>380</v>
      </c>
      <c r="KL493" s="36" t="s">
        <v>380</v>
      </c>
      <c r="KS493" s="36" t="s">
        <v>380</v>
      </c>
      <c r="KZ493" s="36" t="s">
        <v>380</v>
      </c>
      <c r="LF493" s="565"/>
      <c r="LG493" s="36" t="s">
        <v>380</v>
      </c>
      <c r="LM493" s="565"/>
      <c r="LN493" s="36" t="s">
        <v>380</v>
      </c>
      <c r="LT493" s="565"/>
      <c r="LU493" s="36" t="s">
        <v>380</v>
      </c>
      <c r="MA493" s="565"/>
      <c r="MB493" s="36" t="s">
        <v>380</v>
      </c>
      <c r="MH493" s="565"/>
    </row>
    <row r="494" spans="1:346" s="37" customFormat="1" ht="13.15" hidden="1" outlineLevel="1" x14ac:dyDescent="0.4">
      <c r="A494" s="35"/>
      <c r="B494" s="36" t="s">
        <v>385</v>
      </c>
      <c r="G494" s="37">
        <v>-5.387205387205387E-2</v>
      </c>
      <c r="H494" s="37">
        <v>-1.7793594306049824E-2</v>
      </c>
      <c r="I494" s="37">
        <v>0.17028985507246377</v>
      </c>
      <c r="J494" s="37">
        <v>6.1919504643962849E-2</v>
      </c>
      <c r="K494" s="37">
        <v>9.9125364431486881E-2</v>
      </c>
      <c r="L494" s="37">
        <v>6.6525198938992045E-2</v>
      </c>
      <c r="M494" s="37">
        <v>-4.8945483485873457E-2</v>
      </c>
      <c r="N494" s="37">
        <f t="shared" si="7479"/>
        <v>-0.72570606694560669</v>
      </c>
      <c r="O494" s="37">
        <f t="shared" si="7480"/>
        <v>7.979788349699686E-2</v>
      </c>
      <c r="P494" s="37">
        <f t="shared" si="7481"/>
        <v>-3.5405262228500795E-2</v>
      </c>
      <c r="Q494" s="37">
        <f t="shared" si="7482"/>
        <v>0.35093821510297485</v>
      </c>
      <c r="R494" s="37">
        <f t="shared" si="7483"/>
        <v>-2.6289043973168915E-2</v>
      </c>
      <c r="S494" s="37">
        <f t="shared" si="7484"/>
        <v>0.10597731542690139</v>
      </c>
      <c r="T494" s="37">
        <f t="shared" si="7485"/>
        <v>6.2916823958726565E-3</v>
      </c>
      <c r="U494" s="37">
        <f t="shared" si="7486"/>
        <v>9.5410779042140806E-2</v>
      </c>
      <c r="V494" s="37">
        <f t="shared" si="7487"/>
        <v>-1.3070776255707763E-2</v>
      </c>
      <c r="W494" s="37">
        <f t="shared" si="7488"/>
        <v>0</v>
      </c>
      <c r="X494" s="37">
        <f t="shared" si="7489"/>
        <v>0</v>
      </c>
      <c r="Y494" s="37">
        <f t="shared" si="7490"/>
        <v>0</v>
      </c>
      <c r="Z494" s="37">
        <f t="shared" si="7491"/>
        <v>0</v>
      </c>
      <c r="AA494" s="37">
        <f t="shared" si="7492"/>
        <v>0</v>
      </c>
      <c r="AB494" s="37">
        <f t="shared" si="7493"/>
        <v>0</v>
      </c>
      <c r="AC494" s="37">
        <f t="shared" si="7494"/>
        <v>0</v>
      </c>
      <c r="AD494" s="37">
        <f t="shared" si="7495"/>
        <v>0</v>
      </c>
      <c r="AE494" s="37">
        <f t="shared" si="7496"/>
        <v>0</v>
      </c>
      <c r="AF494" s="37">
        <f t="shared" si="7497"/>
        <v>0</v>
      </c>
      <c r="AG494" s="37">
        <f t="shared" si="7498"/>
        <v>0</v>
      </c>
      <c r="AH494" s="37">
        <f t="shared" si="7499"/>
        <v>0</v>
      </c>
      <c r="AI494" s="37">
        <f t="shared" si="7500"/>
        <v>0</v>
      </c>
      <c r="AJ494" s="37">
        <f t="shared" si="7501"/>
        <v>0</v>
      </c>
      <c r="AK494" s="37">
        <f t="shared" si="7502"/>
        <v>0</v>
      </c>
      <c r="AL494" s="37">
        <f t="shared" si="7503"/>
        <v>0</v>
      </c>
      <c r="AM494" s="37">
        <f t="shared" si="7504"/>
        <v>0</v>
      </c>
      <c r="AN494" s="37">
        <f t="shared" si="7505"/>
        <v>0</v>
      </c>
      <c r="AO494" s="37">
        <f t="shared" si="7506"/>
        <v>0</v>
      </c>
      <c r="AP494" s="37">
        <f t="shared" si="7507"/>
        <v>0</v>
      </c>
      <c r="AQ494" s="37">
        <f t="shared" si="7508"/>
        <v>0</v>
      </c>
      <c r="AR494" s="37">
        <f t="shared" si="7509"/>
        <v>0</v>
      </c>
      <c r="AS494" s="37">
        <f t="shared" si="7510"/>
        <v>0</v>
      </c>
      <c r="AT494" s="37">
        <f t="shared" si="7511"/>
        <v>0</v>
      </c>
      <c r="AU494" s="37">
        <f t="shared" si="7512"/>
        <v>0</v>
      </c>
      <c r="AV494" s="37">
        <f t="shared" si="7513"/>
        <v>0</v>
      </c>
      <c r="AW494" s="37">
        <f t="shared" si="7514"/>
        <v>0</v>
      </c>
      <c r="AX494" s="37">
        <f t="shared" si="7515"/>
        <v>0</v>
      </c>
      <c r="AY494" s="37">
        <f t="shared" si="7516"/>
        <v>0</v>
      </c>
      <c r="AZ494" s="37">
        <f t="shared" si="7517"/>
        <v>0</v>
      </c>
      <c r="BA494" s="37">
        <f t="shared" si="7518"/>
        <v>0</v>
      </c>
      <c r="BO494" s="36" t="s">
        <v>385</v>
      </c>
      <c r="BT494" s="37">
        <v>-0.72570606694560669</v>
      </c>
      <c r="BV494" s="36" t="s">
        <v>385</v>
      </c>
      <c r="BW494" s="37" t="e">
        <v>#DIV/0!</v>
      </c>
      <c r="BX494" s="37" t="e">
        <v>#DIV/0!</v>
      </c>
      <c r="BY494" s="37" t="e">
        <v>#DIV/0!</v>
      </c>
      <c r="BZ494" s="37">
        <v>7.979788349699686E-2</v>
      </c>
      <c r="CA494" s="37">
        <v>7.979788349699686E-2</v>
      </c>
      <c r="CC494" s="36" t="s">
        <v>385</v>
      </c>
      <c r="CD494" s="37" t="e">
        <v>#DIV/0!</v>
      </c>
      <c r="CE494" s="37" t="e">
        <v>#DIV/0!</v>
      </c>
      <c r="CF494" s="37" t="e">
        <v>#DIV/0!</v>
      </c>
      <c r="CG494" s="37">
        <v>-3.5405262228500795E-2</v>
      </c>
      <c r="CH494" s="37">
        <v>-3.5405262228500795E-2</v>
      </c>
      <c r="CJ494" s="36" t="s">
        <v>385</v>
      </c>
      <c r="CK494" s="37" t="e">
        <v>#DIV/0!</v>
      </c>
      <c r="CL494" s="37" t="e">
        <v>#DIV/0!</v>
      </c>
      <c r="CM494" s="37" t="e">
        <v>#DIV/0!</v>
      </c>
      <c r="CN494" s="37">
        <v>0.35093821510297485</v>
      </c>
      <c r="CO494" s="37">
        <v>0.35093821510297485</v>
      </c>
      <c r="CQ494" s="36" t="s">
        <v>385</v>
      </c>
      <c r="CR494" s="37" t="e">
        <v>#DIV/0!</v>
      </c>
      <c r="CS494" s="37" t="e">
        <v>#DIV/0!</v>
      </c>
      <c r="CT494" s="37" t="e">
        <v>#DIV/0!</v>
      </c>
      <c r="CU494" s="37">
        <v>-2.6289043973168915E-2</v>
      </c>
      <c r="CV494" s="37">
        <v>-2.6289043973168915E-2</v>
      </c>
      <c r="CX494" s="36" t="s">
        <v>385</v>
      </c>
      <c r="CY494" s="37" t="e">
        <v>#DIV/0!</v>
      </c>
      <c r="CZ494" s="37" t="e">
        <v>#DIV/0!</v>
      </c>
      <c r="DA494" s="37" t="e">
        <v>#DIV/0!</v>
      </c>
      <c r="DB494" s="37">
        <v>0.10597731542690139</v>
      </c>
      <c r="DC494" s="37">
        <v>0.10597731542690139</v>
      </c>
      <c r="DE494" s="36" t="s">
        <v>385</v>
      </c>
      <c r="DF494" s="37" t="e">
        <v>#DIV/0!</v>
      </c>
      <c r="DG494" s="37" t="e">
        <v>#DIV/0!</v>
      </c>
      <c r="DH494" s="37" t="e">
        <v>#DIV/0!</v>
      </c>
      <c r="DI494" s="37">
        <v>6.2916823958726565E-3</v>
      </c>
      <c r="DJ494" s="37">
        <v>6.2916823958726565E-3</v>
      </c>
      <c r="DL494" s="36" t="s">
        <v>385</v>
      </c>
      <c r="DM494" s="37" t="e">
        <v>#DIV/0!</v>
      </c>
      <c r="DN494" s="37" t="e">
        <v>#DIV/0!</v>
      </c>
      <c r="DO494" s="37" t="e">
        <v>#DIV/0!</v>
      </c>
      <c r="DP494" s="37">
        <v>9.5410779042140806E-2</v>
      </c>
      <c r="DQ494" s="37">
        <v>9.5410779042140806E-2</v>
      </c>
      <c r="DS494" s="36" t="s">
        <v>385</v>
      </c>
      <c r="DT494" s="37" t="e">
        <v>#DIV/0!</v>
      </c>
      <c r="DU494" s="37" t="e">
        <v>#DIV/0!</v>
      </c>
      <c r="DV494" s="37" t="e">
        <v>#DIV/0!</v>
      </c>
      <c r="DW494" s="37">
        <v>-1.3070776255707763E-2</v>
      </c>
      <c r="DX494" s="37">
        <v>-1.3070776255707763E-2</v>
      </c>
      <c r="DZ494" s="36" t="s">
        <v>385</v>
      </c>
      <c r="EA494" s="37" t="e">
        <v>#DIV/0!</v>
      </c>
      <c r="EB494" s="37" t="e">
        <v>#DIV/0!</v>
      </c>
      <c r="EG494" s="36" t="s">
        <v>385</v>
      </c>
      <c r="EN494" s="36" t="s">
        <v>385</v>
      </c>
      <c r="EU494" s="36" t="s">
        <v>385</v>
      </c>
      <c r="FB494" s="36" t="s">
        <v>385</v>
      </c>
      <c r="FI494" s="36" t="s">
        <v>385</v>
      </c>
      <c r="FP494" s="36" t="s">
        <v>385</v>
      </c>
      <c r="FW494" s="36" t="s">
        <v>385</v>
      </c>
      <c r="GD494" s="36" t="s">
        <v>385</v>
      </c>
      <c r="GK494" s="36" t="s">
        <v>385</v>
      </c>
      <c r="GR494" s="36" t="s">
        <v>385</v>
      </c>
      <c r="GY494" s="36" t="s">
        <v>385</v>
      </c>
      <c r="HF494" s="36" t="s">
        <v>385</v>
      </c>
      <c r="HM494" s="36" t="s">
        <v>385</v>
      </c>
      <c r="HT494" s="36" t="s">
        <v>385</v>
      </c>
      <c r="IA494" s="36" t="s">
        <v>385</v>
      </c>
      <c r="IH494" s="36" t="s">
        <v>385</v>
      </c>
      <c r="IO494" s="36" t="s">
        <v>385</v>
      </c>
      <c r="IV494" s="36" t="s">
        <v>385</v>
      </c>
      <c r="JC494" s="36" t="s">
        <v>385</v>
      </c>
      <c r="JJ494" s="36" t="s">
        <v>385</v>
      </c>
      <c r="JQ494" s="36" t="s">
        <v>385</v>
      </c>
      <c r="JX494" s="36" t="s">
        <v>385</v>
      </c>
      <c r="KE494" s="36" t="s">
        <v>385</v>
      </c>
      <c r="KL494" s="36" t="s">
        <v>385</v>
      </c>
      <c r="KS494" s="36" t="s">
        <v>385</v>
      </c>
      <c r="KZ494" s="36" t="s">
        <v>385</v>
      </c>
      <c r="LF494" s="565"/>
      <c r="LG494" s="36" t="s">
        <v>385</v>
      </c>
      <c r="LM494" s="565"/>
      <c r="LN494" s="36" t="s">
        <v>385</v>
      </c>
      <c r="LT494" s="565"/>
      <c r="LU494" s="36" t="s">
        <v>385</v>
      </c>
      <c r="MA494" s="565"/>
      <c r="MB494" s="36" t="s">
        <v>385</v>
      </c>
      <c r="MH494" s="565"/>
    </row>
    <row r="495" spans="1:346" s="37" customFormat="1" ht="13.15" hidden="1" outlineLevel="1" x14ac:dyDescent="0.4">
      <c r="A495" s="35"/>
      <c r="B495" s="36"/>
      <c r="BO495" s="36"/>
      <c r="BV495" s="36"/>
      <c r="CC495" s="36"/>
      <c r="CJ495" s="36"/>
      <c r="CQ495" s="36"/>
      <c r="CX495" s="36"/>
      <c r="DE495" s="36"/>
      <c r="DL495" s="36"/>
      <c r="DS495" s="36"/>
      <c r="DZ495" s="36"/>
      <c r="EG495" s="36"/>
      <c r="EN495" s="36"/>
      <c r="EU495" s="36"/>
      <c r="FB495" s="36"/>
      <c r="FI495" s="36"/>
      <c r="FP495" s="36"/>
      <c r="FW495" s="36"/>
      <c r="GD495" s="36"/>
      <c r="GK495" s="36"/>
      <c r="GR495" s="36"/>
      <c r="GY495" s="36"/>
      <c r="HF495" s="36"/>
      <c r="HM495" s="36"/>
      <c r="HT495" s="36"/>
      <c r="IA495" s="36"/>
      <c r="IH495" s="36"/>
      <c r="IO495" s="36"/>
      <c r="IV495" s="36"/>
      <c r="JC495" s="36"/>
      <c r="JJ495" s="36"/>
      <c r="JQ495" s="36"/>
      <c r="JX495" s="36"/>
      <c r="KE495" s="36"/>
      <c r="KL495" s="36"/>
      <c r="KS495" s="36"/>
      <c r="KZ495" s="36"/>
      <c r="LF495" s="565"/>
      <c r="LG495" s="36"/>
      <c r="LM495" s="565"/>
      <c r="LN495" s="36"/>
      <c r="LT495" s="565"/>
      <c r="LU495" s="36"/>
      <c r="MA495" s="565"/>
      <c r="MB495" s="36"/>
      <c r="MH495" s="565"/>
    </row>
    <row r="496" spans="1:346" s="37" customFormat="1" ht="13.15" hidden="1" outlineLevel="1" x14ac:dyDescent="0.4">
      <c r="A496" s="35"/>
      <c r="B496" s="36" t="s">
        <v>386</v>
      </c>
      <c r="BO496" s="36" t="s">
        <v>386</v>
      </c>
      <c r="BV496" s="36" t="s">
        <v>386</v>
      </c>
      <c r="CC496" s="36" t="s">
        <v>386</v>
      </c>
      <c r="CJ496" s="36" t="s">
        <v>386</v>
      </c>
      <c r="CQ496" s="36" t="s">
        <v>386</v>
      </c>
      <c r="CX496" s="36" t="s">
        <v>386</v>
      </c>
      <c r="DE496" s="36" t="s">
        <v>386</v>
      </c>
      <c r="DL496" s="36" t="s">
        <v>386</v>
      </c>
      <c r="DS496" s="36" t="s">
        <v>386</v>
      </c>
      <c r="DZ496" s="36" t="s">
        <v>386</v>
      </c>
      <c r="EG496" s="36" t="s">
        <v>386</v>
      </c>
      <c r="EN496" s="36" t="s">
        <v>386</v>
      </c>
      <c r="EU496" s="36" t="s">
        <v>386</v>
      </c>
      <c r="FB496" s="36" t="s">
        <v>386</v>
      </c>
      <c r="FI496" s="36" t="s">
        <v>386</v>
      </c>
      <c r="FP496" s="36" t="s">
        <v>386</v>
      </c>
      <c r="FW496" s="36" t="s">
        <v>386</v>
      </c>
      <c r="GD496" s="36" t="s">
        <v>386</v>
      </c>
      <c r="GK496" s="36" t="s">
        <v>386</v>
      </c>
      <c r="GR496" s="36" t="s">
        <v>386</v>
      </c>
      <c r="GY496" s="36" t="s">
        <v>386</v>
      </c>
      <c r="HF496" s="36" t="s">
        <v>386</v>
      </c>
      <c r="HM496" s="36" t="s">
        <v>386</v>
      </c>
      <c r="HT496" s="36" t="s">
        <v>386</v>
      </c>
      <c r="IA496" s="36" t="s">
        <v>386</v>
      </c>
      <c r="IH496" s="36" t="s">
        <v>386</v>
      </c>
      <c r="IO496" s="36" t="s">
        <v>386</v>
      </c>
      <c r="IV496" s="36" t="s">
        <v>386</v>
      </c>
      <c r="JC496" s="36" t="s">
        <v>386</v>
      </c>
      <c r="JJ496" s="36" t="s">
        <v>386</v>
      </c>
      <c r="JQ496" s="36" t="s">
        <v>386</v>
      </c>
      <c r="JX496" s="36" t="s">
        <v>386</v>
      </c>
      <c r="KE496" s="36" t="s">
        <v>386</v>
      </c>
      <c r="KL496" s="36" t="s">
        <v>386</v>
      </c>
      <c r="KS496" s="36" t="s">
        <v>386</v>
      </c>
      <c r="KZ496" s="36" t="s">
        <v>386</v>
      </c>
      <c r="LF496" s="565"/>
      <c r="LG496" s="36" t="s">
        <v>386</v>
      </c>
      <c r="LM496" s="565"/>
      <c r="LN496" s="36" t="s">
        <v>386</v>
      </c>
      <c r="LT496" s="565"/>
      <c r="LU496" s="36" t="s">
        <v>386</v>
      </c>
      <c r="MA496" s="565"/>
      <c r="MB496" s="36" t="s">
        <v>386</v>
      </c>
      <c r="MH496" s="565"/>
    </row>
    <row r="497" spans="1:346" s="37" customFormat="1" ht="13.15" hidden="1" outlineLevel="1" x14ac:dyDescent="0.4">
      <c r="A497" s="35"/>
      <c r="B497" s="36" t="s">
        <v>147</v>
      </c>
      <c r="BO497" s="36" t="s">
        <v>147</v>
      </c>
      <c r="BV497" s="36" t="s">
        <v>147</v>
      </c>
      <c r="BW497" s="37" t="e">
        <v>#DIV/0!</v>
      </c>
      <c r="BX497" s="37" t="e">
        <v>#DIV/0!</v>
      </c>
      <c r="BY497" s="37" t="e">
        <v>#DIV/0!</v>
      </c>
      <c r="BZ497" s="37">
        <v>2.5479452054794519E-2</v>
      </c>
      <c r="CA497" s="37">
        <v>2.5479452054794519E-2</v>
      </c>
      <c r="CC497" s="36" t="s">
        <v>147</v>
      </c>
      <c r="CD497" s="37" t="e">
        <v>#DIV/0!</v>
      </c>
      <c r="CE497" s="37" t="e">
        <v>#DIV/0!</v>
      </c>
      <c r="CF497" s="37" t="e">
        <v>#DIV/0!</v>
      </c>
      <c r="CG497" s="37">
        <v>0.27037135987176064</v>
      </c>
      <c r="CH497" s="37">
        <v>0.27037135987176064</v>
      </c>
      <c r="CJ497" s="36" t="s">
        <v>147</v>
      </c>
      <c r="CK497" s="37" t="e">
        <v>#DIV/0!</v>
      </c>
      <c r="CL497" s="37" t="e">
        <v>#DIV/0!</v>
      </c>
      <c r="CM497" s="37" t="e">
        <v>#DIV/0!</v>
      </c>
      <c r="CN497" s="37">
        <v>-5.3207150368033647E-2</v>
      </c>
      <c r="CO497" s="37">
        <v>-5.3207150368033647E-2</v>
      </c>
      <c r="CQ497" s="36" t="s">
        <v>147</v>
      </c>
      <c r="CR497" s="37" t="e">
        <v>#DIV/0!</v>
      </c>
      <c r="CS497" s="37" t="e">
        <v>#DIV/0!</v>
      </c>
      <c r="CT497" s="37" t="e">
        <v>#DIV/0!</v>
      </c>
      <c r="CU497" s="37">
        <v>-9.1292758773878283E-2</v>
      </c>
      <c r="CV497" s="37">
        <v>-9.1292758773878283E-2</v>
      </c>
      <c r="CX497" s="36" t="s">
        <v>147</v>
      </c>
      <c r="CY497" s="37" t="e">
        <v>#DIV/0!</v>
      </c>
      <c r="CZ497" s="37" t="e">
        <v>#DIV/0!</v>
      </c>
      <c r="DA497" s="37" t="e">
        <v>#DIV/0!</v>
      </c>
      <c r="DB497" s="37">
        <v>1.6621852847714495E-2</v>
      </c>
      <c r="DC497" s="37">
        <v>1.6621852847714495E-2</v>
      </c>
      <c r="DE497" s="36" t="s">
        <v>147</v>
      </c>
      <c r="DF497" s="37" t="e">
        <v>#DIV/0!</v>
      </c>
      <c r="DG497" s="37" t="e">
        <v>#DIV/0!</v>
      </c>
      <c r="DH497" s="37" t="e">
        <v>#DIV/0!</v>
      </c>
      <c r="DI497" s="37">
        <v>-0.18682375571050733</v>
      </c>
      <c r="DJ497" s="37">
        <v>-0.18682375571050733</v>
      </c>
      <c r="DL497" s="36" t="s">
        <v>147</v>
      </c>
      <c r="DM497" s="37" t="e">
        <v>#DIV/0!</v>
      </c>
      <c r="DO497" s="37" t="e">
        <v>#DIV/0!</v>
      </c>
      <c r="DS497" s="36" t="s">
        <v>147</v>
      </c>
      <c r="DT497" s="37" t="e">
        <v>#DIV/0!</v>
      </c>
      <c r="DZ497" s="36" t="s">
        <v>147</v>
      </c>
      <c r="EG497" s="36" t="s">
        <v>147</v>
      </c>
      <c r="EN497" s="36" t="s">
        <v>147</v>
      </c>
      <c r="EU497" s="36" t="s">
        <v>147</v>
      </c>
      <c r="FB497" s="36" t="s">
        <v>147</v>
      </c>
      <c r="FI497" s="36" t="s">
        <v>147</v>
      </c>
      <c r="FP497" s="36" t="s">
        <v>147</v>
      </c>
      <c r="FW497" s="36" t="s">
        <v>147</v>
      </c>
      <c r="GD497" s="36" t="s">
        <v>147</v>
      </c>
      <c r="GK497" s="36" t="s">
        <v>147</v>
      </c>
      <c r="GR497" s="36" t="s">
        <v>147</v>
      </c>
      <c r="GY497" s="36" t="s">
        <v>147</v>
      </c>
      <c r="HF497" s="36" t="s">
        <v>147</v>
      </c>
      <c r="HM497" s="36" t="s">
        <v>147</v>
      </c>
      <c r="HT497" s="36" t="s">
        <v>147</v>
      </c>
      <c r="IA497" s="36" t="s">
        <v>147</v>
      </c>
      <c r="IH497" s="36" t="s">
        <v>147</v>
      </c>
      <c r="IO497" s="36" t="s">
        <v>147</v>
      </c>
      <c r="IV497" s="36" t="s">
        <v>147</v>
      </c>
      <c r="JC497" s="36" t="s">
        <v>147</v>
      </c>
      <c r="JJ497" s="36" t="s">
        <v>147</v>
      </c>
      <c r="JQ497" s="36" t="s">
        <v>147</v>
      </c>
      <c r="JX497" s="36" t="s">
        <v>147</v>
      </c>
      <c r="KE497" s="36" t="s">
        <v>147</v>
      </c>
      <c r="KL497" s="36" t="s">
        <v>147</v>
      </c>
      <c r="KS497" s="36" t="s">
        <v>147</v>
      </c>
      <c r="KZ497" s="36" t="s">
        <v>147</v>
      </c>
      <c r="LF497" s="565"/>
      <c r="LG497" s="36" t="s">
        <v>147</v>
      </c>
      <c r="LM497" s="565"/>
      <c r="LN497" s="36" t="s">
        <v>147</v>
      </c>
      <c r="LT497" s="565"/>
      <c r="LU497" s="36" t="s">
        <v>147</v>
      </c>
      <c r="MA497" s="565"/>
      <c r="MB497" s="36" t="s">
        <v>147</v>
      </c>
      <c r="MH497" s="565"/>
    </row>
    <row r="498" spans="1:346" s="37" customFormat="1" ht="13.15" hidden="1" outlineLevel="1" x14ac:dyDescent="0.4">
      <c r="A498" s="35"/>
      <c r="B498" s="36" t="s">
        <v>377</v>
      </c>
      <c r="BO498" s="36" t="s">
        <v>377</v>
      </c>
      <c r="BV498" s="36" t="s">
        <v>377</v>
      </c>
      <c r="BW498" s="37" t="e">
        <v>#DIV/0!</v>
      </c>
      <c r="BX498" s="37" t="e">
        <v>#DIV/0!</v>
      </c>
      <c r="BY498" s="37" t="e">
        <v>#DIV/0!</v>
      </c>
      <c r="BZ498" s="37">
        <v>7.6011442582754399E-2</v>
      </c>
      <c r="CA498" s="37">
        <v>7.6011442582754399E-2</v>
      </c>
      <c r="CC498" s="36" t="s">
        <v>377</v>
      </c>
      <c r="CD498" s="37" t="e">
        <v>#DIV/0!</v>
      </c>
      <c r="CE498" s="37" t="e">
        <v>#DIV/0!</v>
      </c>
      <c r="CF498" s="37" t="e">
        <v>#DIV/0!</v>
      </c>
      <c r="CG498" s="37">
        <v>-0.27687048993543484</v>
      </c>
      <c r="CH498" s="37">
        <v>-0.27687048993543484</v>
      </c>
      <c r="CJ498" s="36" t="s">
        <v>377</v>
      </c>
      <c r="CK498" s="37" t="e">
        <v>#DIV/0!</v>
      </c>
      <c r="CL498" s="37" t="e">
        <v>#DIV/0!</v>
      </c>
      <c r="CM498" s="37" t="e">
        <v>#DIV/0!</v>
      </c>
      <c r="CN498" s="37">
        <v>2.2137605042016806</v>
      </c>
      <c r="CO498" s="37">
        <v>2.2137605042016806</v>
      </c>
      <c r="CQ498" s="36" t="s">
        <v>377</v>
      </c>
      <c r="CR498" s="37" t="e">
        <v>#DIV/0!</v>
      </c>
      <c r="CS498" s="37" t="e">
        <v>#DIV/0!</v>
      </c>
      <c r="CT498" s="37" t="e">
        <v>#DIV/0!</v>
      </c>
      <c r="CU498" s="37">
        <v>-2.1735577708775943E-2</v>
      </c>
      <c r="CV498" s="37">
        <v>-2.1735577708775943E-2</v>
      </c>
      <c r="CX498" s="36" t="s">
        <v>377</v>
      </c>
      <c r="CY498" s="37" t="e">
        <v>#DIV/0!</v>
      </c>
      <c r="CZ498" s="37" t="e">
        <v>#DIV/0!</v>
      </c>
      <c r="DA498" s="37" t="e">
        <v>#DIV/0!</v>
      </c>
      <c r="DB498" s="37">
        <v>0.10474440360841965</v>
      </c>
      <c r="DC498" s="37">
        <v>0.10474440360841965</v>
      </c>
      <c r="DE498" s="36" t="s">
        <v>377</v>
      </c>
      <c r="DF498" s="37" t="e">
        <v>#DIV/0!</v>
      </c>
      <c r="DG498" s="37" t="e">
        <v>#DIV/0!</v>
      </c>
      <c r="DH498" s="37" t="e">
        <v>#DIV/0!</v>
      </c>
      <c r="DI498" s="37">
        <v>4.4911537879933468E-2</v>
      </c>
      <c r="DJ498" s="37">
        <v>4.4911537879933468E-2</v>
      </c>
      <c r="DL498" s="36" t="s">
        <v>377</v>
      </c>
      <c r="DM498" s="37" t="e">
        <v>#DIV/0!</v>
      </c>
      <c r="DO498" s="37" t="e">
        <v>#DIV/0!</v>
      </c>
      <c r="DS498" s="36" t="s">
        <v>377</v>
      </c>
      <c r="DT498" s="37" t="e">
        <v>#DIV/0!</v>
      </c>
      <c r="DZ498" s="36" t="s">
        <v>377</v>
      </c>
      <c r="EG498" s="36" t="s">
        <v>377</v>
      </c>
      <c r="EN498" s="36" t="s">
        <v>377</v>
      </c>
      <c r="EU498" s="36" t="s">
        <v>377</v>
      </c>
      <c r="FB498" s="36" t="s">
        <v>377</v>
      </c>
      <c r="FI498" s="36" t="s">
        <v>377</v>
      </c>
      <c r="FP498" s="36" t="s">
        <v>377</v>
      </c>
      <c r="FW498" s="36" t="s">
        <v>377</v>
      </c>
      <c r="GD498" s="36" t="s">
        <v>377</v>
      </c>
      <c r="GK498" s="36" t="s">
        <v>377</v>
      </c>
      <c r="GR498" s="36" t="s">
        <v>377</v>
      </c>
      <c r="GY498" s="36" t="s">
        <v>377</v>
      </c>
      <c r="HF498" s="36" t="s">
        <v>377</v>
      </c>
      <c r="HM498" s="36" t="s">
        <v>377</v>
      </c>
      <c r="HT498" s="36" t="s">
        <v>377</v>
      </c>
      <c r="IA498" s="36" t="s">
        <v>377</v>
      </c>
      <c r="IH498" s="36" t="s">
        <v>377</v>
      </c>
      <c r="IO498" s="36" t="s">
        <v>377</v>
      </c>
      <c r="IV498" s="36" t="s">
        <v>377</v>
      </c>
      <c r="JC498" s="36" t="s">
        <v>377</v>
      </c>
      <c r="JJ498" s="36" t="s">
        <v>377</v>
      </c>
      <c r="JQ498" s="36" t="s">
        <v>377</v>
      </c>
      <c r="JX498" s="36" t="s">
        <v>377</v>
      </c>
      <c r="KE498" s="36" t="s">
        <v>377</v>
      </c>
      <c r="KL498" s="36" t="s">
        <v>377</v>
      </c>
      <c r="KS498" s="36" t="s">
        <v>377</v>
      </c>
      <c r="KZ498" s="36" t="s">
        <v>377</v>
      </c>
      <c r="LF498" s="565"/>
      <c r="LG498" s="36" t="s">
        <v>377</v>
      </c>
      <c r="LM498" s="565"/>
      <c r="LN498" s="36" t="s">
        <v>377</v>
      </c>
      <c r="LT498" s="565"/>
      <c r="LU498" s="36" t="s">
        <v>377</v>
      </c>
      <c r="MA498" s="565"/>
      <c r="MB498" s="36" t="s">
        <v>377</v>
      </c>
      <c r="MH498" s="565"/>
    </row>
    <row r="499" spans="1:346" s="37" customFormat="1" ht="13.15" hidden="1" outlineLevel="1" x14ac:dyDescent="0.4">
      <c r="A499" s="35"/>
      <c r="B499" s="36" t="s">
        <v>378</v>
      </c>
      <c r="BO499" s="36" t="s">
        <v>378</v>
      </c>
      <c r="BV499" s="36" t="s">
        <v>378</v>
      </c>
      <c r="BW499" s="37" t="e">
        <v>#DIV/0!</v>
      </c>
      <c r="BX499" s="37" t="e">
        <v>#DIV/0!</v>
      </c>
      <c r="BY499" s="37" t="e">
        <v>#DIV/0!</v>
      </c>
      <c r="BZ499" s="37">
        <v>0.1548780487804878</v>
      </c>
      <c r="CA499" s="37">
        <v>0.1548780487804878</v>
      </c>
      <c r="CC499" s="36" t="s">
        <v>378</v>
      </c>
      <c r="CD499" s="37" t="e">
        <v>#DIV/0!</v>
      </c>
      <c r="CE499" s="37" t="e">
        <v>#DIV/0!</v>
      </c>
      <c r="CF499" s="37" t="e">
        <v>#DIV/0!</v>
      </c>
      <c r="CG499" s="37">
        <v>6.863780359028511E-2</v>
      </c>
      <c r="CH499" s="37">
        <v>6.863780359028511E-2</v>
      </c>
      <c r="CJ499" s="36" t="s">
        <v>378</v>
      </c>
      <c r="CK499" s="37" t="e">
        <v>#DIV/0!</v>
      </c>
      <c r="CL499" s="37" t="e">
        <v>#DIV/0!</v>
      </c>
      <c r="CM499" s="37" t="e">
        <v>#DIV/0!</v>
      </c>
      <c r="CN499" s="37">
        <v>1.6324110671936758</v>
      </c>
      <c r="CO499" s="37">
        <v>1.6324110671936758</v>
      </c>
      <c r="CQ499" s="36" t="s">
        <v>378</v>
      </c>
      <c r="CR499" s="37" t="e">
        <v>#DIV/0!</v>
      </c>
      <c r="CS499" s="37" t="e">
        <v>#DIV/0!</v>
      </c>
      <c r="CT499" s="37" t="e">
        <v>#DIV/0!</v>
      </c>
      <c r="CU499" s="37">
        <v>7.5075075075075076E-2</v>
      </c>
      <c r="CV499" s="37">
        <v>7.5075075075075076E-2</v>
      </c>
      <c r="CX499" s="36" t="s">
        <v>378</v>
      </c>
      <c r="CY499" s="37" t="e">
        <v>#DIV/0!</v>
      </c>
      <c r="CZ499" s="37" t="e">
        <v>#DIV/0!</v>
      </c>
      <c r="DA499" s="37" t="e">
        <v>#DIV/0!</v>
      </c>
      <c r="DB499" s="37">
        <v>0.26885474860335196</v>
      </c>
      <c r="DC499" s="37">
        <v>0.26885474860335196</v>
      </c>
      <c r="DE499" s="36" t="s">
        <v>378</v>
      </c>
      <c r="DF499" s="37" t="e">
        <v>#DIV/0!</v>
      </c>
      <c r="DG499" s="37" t="e">
        <v>#DIV/0!</v>
      </c>
      <c r="DH499" s="37" t="e">
        <v>#DIV/0!</v>
      </c>
      <c r="DI499" s="37">
        <v>-0.10759493670886076</v>
      </c>
      <c r="DJ499" s="37">
        <v>-0.10759493670886076</v>
      </c>
      <c r="DL499" s="36" t="s">
        <v>378</v>
      </c>
      <c r="DM499" s="37" t="e">
        <v>#DIV/0!</v>
      </c>
      <c r="DO499" s="37" t="e">
        <v>#DIV/0!</v>
      </c>
      <c r="DS499" s="36" t="s">
        <v>378</v>
      </c>
      <c r="DT499" s="37" t="e">
        <v>#DIV/0!</v>
      </c>
      <c r="DZ499" s="36" t="s">
        <v>378</v>
      </c>
      <c r="EG499" s="36" t="s">
        <v>378</v>
      </c>
      <c r="EN499" s="36" t="s">
        <v>378</v>
      </c>
      <c r="EU499" s="36" t="s">
        <v>378</v>
      </c>
      <c r="FB499" s="36" t="s">
        <v>378</v>
      </c>
      <c r="FI499" s="36" t="s">
        <v>378</v>
      </c>
      <c r="FP499" s="36" t="s">
        <v>378</v>
      </c>
      <c r="FW499" s="36" t="s">
        <v>378</v>
      </c>
      <c r="GD499" s="36" t="s">
        <v>378</v>
      </c>
      <c r="GK499" s="36" t="s">
        <v>378</v>
      </c>
      <c r="GR499" s="36" t="s">
        <v>378</v>
      </c>
      <c r="GY499" s="36" t="s">
        <v>378</v>
      </c>
      <c r="HF499" s="36" t="s">
        <v>378</v>
      </c>
      <c r="HM499" s="36" t="s">
        <v>378</v>
      </c>
      <c r="HT499" s="36" t="s">
        <v>378</v>
      </c>
      <c r="IA499" s="36" t="s">
        <v>378</v>
      </c>
      <c r="IH499" s="36" t="s">
        <v>378</v>
      </c>
      <c r="IO499" s="36" t="s">
        <v>378</v>
      </c>
      <c r="IV499" s="36" t="s">
        <v>378</v>
      </c>
      <c r="JC499" s="36" t="s">
        <v>378</v>
      </c>
      <c r="JJ499" s="36" t="s">
        <v>378</v>
      </c>
      <c r="JQ499" s="36" t="s">
        <v>378</v>
      </c>
      <c r="JX499" s="36" t="s">
        <v>378</v>
      </c>
      <c r="KE499" s="36" t="s">
        <v>378</v>
      </c>
      <c r="KL499" s="36" t="s">
        <v>378</v>
      </c>
      <c r="KS499" s="36" t="s">
        <v>378</v>
      </c>
      <c r="KZ499" s="36" t="s">
        <v>378</v>
      </c>
      <c r="LF499" s="565"/>
      <c r="LG499" s="36" t="s">
        <v>378</v>
      </c>
      <c r="LM499" s="565"/>
      <c r="LN499" s="36" t="s">
        <v>378</v>
      </c>
      <c r="LT499" s="565"/>
      <c r="LU499" s="36" t="s">
        <v>378</v>
      </c>
      <c r="MA499" s="565"/>
      <c r="MB499" s="36" t="s">
        <v>378</v>
      </c>
      <c r="MH499" s="565"/>
    </row>
    <row r="500" spans="1:346" s="37" customFormat="1" ht="13.15" hidden="1" outlineLevel="1" x14ac:dyDescent="0.4">
      <c r="A500" s="35"/>
      <c r="B500" s="36" t="s">
        <v>379</v>
      </c>
      <c r="BO500" s="36" t="s">
        <v>379</v>
      </c>
      <c r="BV500" s="36" t="s">
        <v>379</v>
      </c>
      <c r="BW500" s="37" t="e">
        <v>#DIV/0!</v>
      </c>
      <c r="BX500" s="37" t="e">
        <v>#DIV/0!</v>
      </c>
      <c r="BY500" s="37" t="e">
        <v>#DIV/0!</v>
      </c>
      <c r="BZ500" s="37">
        <v>-0.04</v>
      </c>
      <c r="CA500" s="37">
        <v>-0.04</v>
      </c>
      <c r="CC500" s="36" t="s">
        <v>379</v>
      </c>
      <c r="CD500" s="37" t="e">
        <v>#DIV/0!</v>
      </c>
      <c r="CE500" s="37" t="e">
        <v>#DIV/0!</v>
      </c>
      <c r="CF500" s="37" t="e">
        <v>#DIV/0!</v>
      </c>
      <c r="CG500" s="37">
        <v>1.282051282051282E-2</v>
      </c>
      <c r="CH500" s="37">
        <v>1.282051282051282E-2</v>
      </c>
      <c r="CJ500" s="36" t="s">
        <v>379</v>
      </c>
      <c r="CK500" s="37" t="e">
        <v>#DIV/0!</v>
      </c>
      <c r="CL500" s="37" t="e">
        <v>#DIV/0!</v>
      </c>
      <c r="CM500" s="37" t="e">
        <v>#DIV/0!</v>
      </c>
      <c r="CN500" s="37">
        <v>-1</v>
      </c>
      <c r="CO500" s="37">
        <v>-1</v>
      </c>
      <c r="CQ500" s="36" t="s">
        <v>379</v>
      </c>
      <c r="CX500" s="36" t="s">
        <v>379</v>
      </c>
      <c r="DE500" s="36" t="s">
        <v>379</v>
      </c>
      <c r="DL500" s="36" t="s">
        <v>379</v>
      </c>
      <c r="DS500" s="36" t="s">
        <v>379</v>
      </c>
      <c r="DZ500" s="36" t="s">
        <v>379</v>
      </c>
      <c r="EG500" s="36" t="s">
        <v>379</v>
      </c>
      <c r="EN500" s="36" t="s">
        <v>379</v>
      </c>
      <c r="EU500" s="36" t="s">
        <v>379</v>
      </c>
      <c r="FB500" s="36" t="s">
        <v>379</v>
      </c>
      <c r="FI500" s="36" t="s">
        <v>379</v>
      </c>
      <c r="FP500" s="36" t="s">
        <v>379</v>
      </c>
      <c r="FW500" s="36" t="s">
        <v>379</v>
      </c>
      <c r="GD500" s="36" t="s">
        <v>379</v>
      </c>
      <c r="GK500" s="36" t="s">
        <v>379</v>
      </c>
      <c r="GR500" s="36" t="s">
        <v>379</v>
      </c>
      <c r="GY500" s="36" t="s">
        <v>379</v>
      </c>
      <c r="HF500" s="36" t="s">
        <v>379</v>
      </c>
      <c r="HM500" s="36" t="s">
        <v>379</v>
      </c>
      <c r="HT500" s="36" t="s">
        <v>379</v>
      </c>
      <c r="IA500" s="36" t="s">
        <v>379</v>
      </c>
      <c r="IH500" s="36" t="s">
        <v>379</v>
      </c>
      <c r="IO500" s="36" t="s">
        <v>379</v>
      </c>
      <c r="IV500" s="36" t="s">
        <v>379</v>
      </c>
      <c r="JC500" s="36" t="s">
        <v>379</v>
      </c>
      <c r="JJ500" s="36" t="s">
        <v>379</v>
      </c>
      <c r="JQ500" s="36" t="s">
        <v>379</v>
      </c>
      <c r="JX500" s="36" t="s">
        <v>379</v>
      </c>
      <c r="KE500" s="36" t="s">
        <v>379</v>
      </c>
      <c r="KL500" s="36" t="s">
        <v>379</v>
      </c>
      <c r="KS500" s="36" t="s">
        <v>379</v>
      </c>
      <c r="KZ500" s="36" t="s">
        <v>379</v>
      </c>
      <c r="LF500" s="565"/>
      <c r="LG500" s="36" t="s">
        <v>379</v>
      </c>
      <c r="LM500" s="565"/>
      <c r="LN500" s="36" t="s">
        <v>379</v>
      </c>
      <c r="LT500" s="565"/>
      <c r="LU500" s="36" t="s">
        <v>379</v>
      </c>
      <c r="MA500" s="565"/>
      <c r="MB500" s="36" t="s">
        <v>379</v>
      </c>
      <c r="MH500" s="565"/>
    </row>
    <row r="501" spans="1:346" s="37" customFormat="1" ht="13.15" hidden="1" outlineLevel="1" x14ac:dyDescent="0.4">
      <c r="A501" s="35"/>
      <c r="B501" s="36" t="s">
        <v>380</v>
      </c>
      <c r="BO501" s="36" t="s">
        <v>380</v>
      </c>
      <c r="BV501" s="36" t="s">
        <v>380</v>
      </c>
      <c r="BW501" s="37" t="e">
        <v>#DIV/0!</v>
      </c>
      <c r="BX501" s="37" t="e">
        <v>#DIV/0!</v>
      </c>
      <c r="BY501" s="37" t="e">
        <v>#DIV/0!</v>
      </c>
      <c r="BZ501" s="37">
        <v>8.5816448152562577E-2</v>
      </c>
      <c r="CA501" s="37">
        <v>8.5816448152562577E-2</v>
      </c>
      <c r="CC501" s="36" t="s">
        <v>380</v>
      </c>
      <c r="CD501" s="37" t="e">
        <v>#DIV/0!</v>
      </c>
      <c r="CE501" s="37" t="e">
        <v>#DIV/0!</v>
      </c>
      <c r="CF501" s="37" t="e">
        <v>#DIV/0!</v>
      </c>
      <c r="CG501" s="37">
        <v>8.0131723380900105E-2</v>
      </c>
      <c r="CH501" s="37">
        <v>8.0131723380900105E-2</v>
      </c>
      <c r="CJ501" s="36" t="s">
        <v>380</v>
      </c>
      <c r="CK501" s="37" t="e">
        <v>#DIV/0!</v>
      </c>
      <c r="CL501" s="37" t="e">
        <v>#DIV/0!</v>
      </c>
      <c r="CM501" s="37" t="e">
        <v>#DIV/0!</v>
      </c>
      <c r="CN501" s="37">
        <v>-1</v>
      </c>
      <c r="CO501" s="37">
        <v>-1</v>
      </c>
      <c r="CQ501" s="36" t="s">
        <v>380</v>
      </c>
      <c r="CX501" s="36" t="s">
        <v>380</v>
      </c>
      <c r="DE501" s="36" t="s">
        <v>380</v>
      </c>
      <c r="DL501" s="36" t="s">
        <v>380</v>
      </c>
      <c r="DS501" s="36" t="s">
        <v>380</v>
      </c>
      <c r="DZ501" s="36" t="s">
        <v>380</v>
      </c>
      <c r="EG501" s="36" t="s">
        <v>380</v>
      </c>
      <c r="EN501" s="36" t="s">
        <v>380</v>
      </c>
      <c r="EU501" s="36" t="s">
        <v>380</v>
      </c>
      <c r="FB501" s="36" t="s">
        <v>380</v>
      </c>
      <c r="FI501" s="36" t="s">
        <v>380</v>
      </c>
      <c r="FP501" s="36" t="s">
        <v>380</v>
      </c>
      <c r="FW501" s="36" t="s">
        <v>380</v>
      </c>
      <c r="GD501" s="36" t="s">
        <v>380</v>
      </c>
      <c r="GK501" s="36" t="s">
        <v>380</v>
      </c>
      <c r="GR501" s="36" t="s">
        <v>380</v>
      </c>
      <c r="GY501" s="36" t="s">
        <v>380</v>
      </c>
      <c r="HF501" s="36" t="s">
        <v>380</v>
      </c>
      <c r="HM501" s="36" t="s">
        <v>380</v>
      </c>
      <c r="HT501" s="36" t="s">
        <v>380</v>
      </c>
      <c r="IA501" s="36" t="s">
        <v>380</v>
      </c>
      <c r="IH501" s="36" t="s">
        <v>380</v>
      </c>
      <c r="IO501" s="36" t="s">
        <v>380</v>
      </c>
      <c r="IV501" s="36" t="s">
        <v>380</v>
      </c>
      <c r="JC501" s="36" t="s">
        <v>380</v>
      </c>
      <c r="JJ501" s="36" t="s">
        <v>380</v>
      </c>
      <c r="JQ501" s="36" t="s">
        <v>380</v>
      </c>
      <c r="JX501" s="36" t="s">
        <v>380</v>
      </c>
      <c r="KE501" s="36" t="s">
        <v>380</v>
      </c>
      <c r="KL501" s="36" t="s">
        <v>380</v>
      </c>
      <c r="KS501" s="36" t="s">
        <v>380</v>
      </c>
      <c r="KZ501" s="36" t="s">
        <v>380</v>
      </c>
      <c r="LF501" s="565"/>
      <c r="LG501" s="36" t="s">
        <v>380</v>
      </c>
      <c r="LM501" s="565"/>
      <c r="LN501" s="36" t="s">
        <v>380</v>
      </c>
      <c r="LT501" s="565"/>
      <c r="LU501" s="36" t="s">
        <v>380</v>
      </c>
      <c r="MA501" s="565"/>
      <c r="MB501" s="36" t="s">
        <v>380</v>
      </c>
      <c r="MH501" s="565"/>
    </row>
    <row r="502" spans="1:346" s="37" customFormat="1" ht="13.15" hidden="1" outlineLevel="1" x14ac:dyDescent="0.4">
      <c r="A502" s="35"/>
      <c r="B502" s="36" t="s">
        <v>387</v>
      </c>
      <c r="G502" s="37">
        <v>-0.14418604651162792</v>
      </c>
      <c r="H502" s="37">
        <v>3.8043478260869568E-2</v>
      </c>
      <c r="I502" s="37">
        <v>0.24607329842931938</v>
      </c>
      <c r="J502" s="37">
        <v>8.8235294117647065E-2</v>
      </c>
      <c r="K502" s="37">
        <v>0.22393822393822393</v>
      </c>
      <c r="L502" s="37">
        <v>5.0473186119873815E-2</v>
      </c>
      <c r="M502" s="37">
        <v>5.4054054054054057E-2</v>
      </c>
      <c r="N502" s="37">
        <f>BT502</f>
        <v>-0.73273504273504275</v>
      </c>
      <c r="O502" s="37">
        <f>CA502</f>
        <v>4.40251572327044E-2</v>
      </c>
      <c r="P502" s="37">
        <f>CH502</f>
        <v>4.5027567898713497E-2</v>
      </c>
      <c r="Q502" s="37">
        <f>CO502</f>
        <v>0.29799706888128968</v>
      </c>
      <c r="R502" s="37">
        <f>CV502</f>
        <v>-2.5893865261573203E-2</v>
      </c>
      <c r="S502" s="37">
        <f>DC502</f>
        <v>0.11320608917394329</v>
      </c>
      <c r="T502" s="37">
        <f>DJ502</f>
        <v>-6.0460919061502152E-2</v>
      </c>
      <c r="U502" s="37">
        <f>DQ502</f>
        <v>9.9224233468784631E-2</v>
      </c>
      <c r="V502" s="37">
        <f>DX502</f>
        <v>0</v>
      </c>
      <c r="W502" s="37">
        <f>EE502</f>
        <v>0</v>
      </c>
      <c r="X502" s="37">
        <f>EL502</f>
        <v>0</v>
      </c>
      <c r="Y502" s="37">
        <f>ES502</f>
        <v>0</v>
      </c>
      <c r="Z502" s="37">
        <f>EZ502</f>
        <v>0</v>
      </c>
      <c r="AA502" s="37">
        <f>FG502</f>
        <v>0</v>
      </c>
      <c r="AB502" s="37">
        <f>FN502</f>
        <v>0</v>
      </c>
      <c r="AC502" s="37">
        <f>FU502</f>
        <v>0</v>
      </c>
      <c r="AD502" s="37">
        <f>GB502</f>
        <v>0</v>
      </c>
      <c r="AE502" s="37">
        <f>GI502</f>
        <v>0</v>
      </c>
      <c r="AF502" s="37">
        <f>GP502</f>
        <v>0</v>
      </c>
      <c r="AG502" s="37">
        <f>GW502</f>
        <v>0</v>
      </c>
      <c r="AH502" s="37">
        <f>HD502</f>
        <v>0</v>
      </c>
      <c r="AI502" s="37">
        <f>HK502</f>
        <v>0</v>
      </c>
      <c r="AJ502" s="37">
        <f>HR502</f>
        <v>0</v>
      </c>
      <c r="AK502" s="37">
        <f>HY502</f>
        <v>0</v>
      </c>
      <c r="AL502" s="37">
        <f>IF502</f>
        <v>0</v>
      </c>
      <c r="AM502" s="37">
        <f>IM502</f>
        <v>0</v>
      </c>
      <c r="AN502" s="37">
        <f>IT502</f>
        <v>0</v>
      </c>
      <c r="AO502" s="37">
        <f>JA502</f>
        <v>0</v>
      </c>
      <c r="AP502" s="37">
        <f>JH502</f>
        <v>0</v>
      </c>
      <c r="AQ502" s="37">
        <f>JO502</f>
        <v>0</v>
      </c>
      <c r="AR502" s="37">
        <f>JV502</f>
        <v>0</v>
      </c>
      <c r="AS502" s="37">
        <f>KC502</f>
        <v>0</v>
      </c>
      <c r="AT502" s="37">
        <f>KJ502</f>
        <v>0</v>
      </c>
      <c r="AU502" s="37">
        <f>KQ502</f>
        <v>0</v>
      </c>
      <c r="AV502" s="37">
        <f>KX502</f>
        <v>0</v>
      </c>
      <c r="AW502" s="37">
        <f>LE502</f>
        <v>0</v>
      </c>
      <c r="AX502" s="37">
        <f>LL502</f>
        <v>0</v>
      </c>
      <c r="AY502" s="37">
        <f>LS502</f>
        <v>0</v>
      </c>
      <c r="AZ502" s="37">
        <f>LZ502</f>
        <v>0</v>
      </c>
      <c r="BA502" s="37">
        <f>MG502</f>
        <v>0</v>
      </c>
      <c r="BO502" s="36" t="s">
        <v>387</v>
      </c>
      <c r="BT502" s="37">
        <v>-0.73273504273504275</v>
      </c>
      <c r="BV502" s="36" t="s">
        <v>387</v>
      </c>
      <c r="BW502" s="37" t="e">
        <v>#DIV/0!</v>
      </c>
      <c r="BX502" s="37" t="e">
        <v>#DIV/0!</v>
      </c>
      <c r="BY502" s="37" t="e">
        <v>#DIV/0!</v>
      </c>
      <c r="BZ502" s="37">
        <v>4.40251572327044E-2</v>
      </c>
      <c r="CA502" s="37">
        <v>4.40251572327044E-2</v>
      </c>
      <c r="CC502" s="36" t="s">
        <v>387</v>
      </c>
      <c r="CD502" s="37" t="e">
        <v>#DIV/0!</v>
      </c>
      <c r="CE502" s="37" t="e">
        <v>#DIV/0!</v>
      </c>
      <c r="CF502" s="37" t="e">
        <v>#DIV/0!</v>
      </c>
      <c r="CG502" s="37">
        <v>4.5027567898713497E-2</v>
      </c>
      <c r="CH502" s="37">
        <v>4.5027567898713497E-2</v>
      </c>
      <c r="CJ502" s="36" t="s">
        <v>387</v>
      </c>
      <c r="CK502" s="37" t="e">
        <v>#DIV/0!</v>
      </c>
      <c r="CL502" s="37" t="e">
        <v>#DIV/0!</v>
      </c>
      <c r="CM502" s="37" t="e">
        <v>#DIV/0!</v>
      </c>
      <c r="CN502" s="37">
        <v>0.29799706888128968</v>
      </c>
      <c r="CO502" s="37">
        <v>0.29799706888128968</v>
      </c>
      <c r="CQ502" s="36" t="s">
        <v>387</v>
      </c>
      <c r="CR502" s="37" t="e">
        <v>#DIV/0!</v>
      </c>
      <c r="CS502" s="37" t="e">
        <v>#DIV/0!</v>
      </c>
      <c r="CT502" s="37" t="e">
        <v>#DIV/0!</v>
      </c>
      <c r="CU502" s="37">
        <v>-2.5893865261573203E-2</v>
      </c>
      <c r="CV502" s="37">
        <v>-2.5893865261573203E-2</v>
      </c>
      <c r="CX502" s="36" t="s">
        <v>387</v>
      </c>
      <c r="CY502" s="37" t="e">
        <v>#DIV/0!</v>
      </c>
      <c r="CZ502" s="37" t="e">
        <v>#DIV/0!</v>
      </c>
      <c r="DA502" s="37" t="e">
        <v>#DIV/0!</v>
      </c>
      <c r="DB502" s="37">
        <v>0.11320608917394329</v>
      </c>
      <c r="DC502" s="37">
        <v>0.11320608917394329</v>
      </c>
      <c r="DE502" s="36" t="s">
        <v>387</v>
      </c>
      <c r="DF502" s="37" t="e">
        <v>#DIV/0!</v>
      </c>
      <c r="DG502" s="37" t="e">
        <v>#DIV/0!</v>
      </c>
      <c r="DH502" s="37" t="e">
        <v>#DIV/0!</v>
      </c>
      <c r="DI502" s="37">
        <v>-6.0460919061502152E-2</v>
      </c>
      <c r="DJ502" s="37">
        <v>-6.0460919061502152E-2</v>
      </c>
      <c r="DL502" s="36" t="s">
        <v>387</v>
      </c>
      <c r="DM502" s="37" t="e">
        <v>#DIV/0!</v>
      </c>
      <c r="DN502" s="37" t="e">
        <v>#DIV/0!</v>
      </c>
      <c r="DO502" s="37" t="e">
        <v>#DIV/0!</v>
      </c>
      <c r="DP502" s="37">
        <v>9.9224233468784631E-2</v>
      </c>
      <c r="DQ502" s="37">
        <v>9.9224233468784631E-2</v>
      </c>
      <c r="DS502" s="36" t="s">
        <v>387</v>
      </c>
      <c r="DT502" s="37" t="e">
        <v>#DIV/0!</v>
      </c>
      <c r="DU502" s="37" t="e">
        <v>#DIV/0!</v>
      </c>
      <c r="DZ502" s="36" t="s">
        <v>387</v>
      </c>
      <c r="EB502" s="37" t="e">
        <v>#DIV/0!</v>
      </c>
      <c r="EG502" s="36" t="s">
        <v>387</v>
      </c>
      <c r="EN502" s="36" t="s">
        <v>387</v>
      </c>
      <c r="EU502" s="36" t="s">
        <v>387</v>
      </c>
      <c r="FB502" s="36" t="s">
        <v>387</v>
      </c>
      <c r="FI502" s="36" t="s">
        <v>387</v>
      </c>
      <c r="FP502" s="36" t="s">
        <v>387</v>
      </c>
      <c r="FW502" s="36" t="s">
        <v>387</v>
      </c>
      <c r="GD502" s="36" t="s">
        <v>387</v>
      </c>
      <c r="GK502" s="36" t="s">
        <v>387</v>
      </c>
      <c r="GR502" s="36" t="s">
        <v>387</v>
      </c>
      <c r="GY502" s="36" t="s">
        <v>387</v>
      </c>
      <c r="HF502" s="36" t="s">
        <v>387</v>
      </c>
      <c r="HM502" s="36" t="s">
        <v>387</v>
      </c>
      <c r="HT502" s="36" t="s">
        <v>387</v>
      </c>
      <c r="IA502" s="36" t="s">
        <v>387</v>
      </c>
      <c r="IH502" s="36" t="s">
        <v>387</v>
      </c>
      <c r="IO502" s="36" t="s">
        <v>387</v>
      </c>
      <c r="IV502" s="36" t="s">
        <v>387</v>
      </c>
      <c r="JC502" s="36" t="s">
        <v>387</v>
      </c>
      <c r="JJ502" s="36" t="s">
        <v>387</v>
      </c>
      <c r="JQ502" s="36" t="s">
        <v>387</v>
      </c>
      <c r="JX502" s="36" t="s">
        <v>387</v>
      </c>
      <c r="KE502" s="36" t="s">
        <v>387</v>
      </c>
      <c r="KL502" s="36" t="s">
        <v>387</v>
      </c>
      <c r="KS502" s="36" t="s">
        <v>387</v>
      </c>
      <c r="KZ502" s="36" t="s">
        <v>387</v>
      </c>
      <c r="LF502" s="565"/>
      <c r="LG502" s="36" t="s">
        <v>387</v>
      </c>
      <c r="LM502" s="565"/>
      <c r="LN502" s="36" t="s">
        <v>387</v>
      </c>
      <c r="LT502" s="565"/>
      <c r="LU502" s="36" t="s">
        <v>387</v>
      </c>
      <c r="MA502" s="565"/>
      <c r="MB502" s="36" t="s">
        <v>387</v>
      </c>
      <c r="MH502" s="565"/>
    </row>
    <row r="503" spans="1:346" s="37" customFormat="1" ht="13.15" hidden="1" outlineLevel="1" x14ac:dyDescent="0.4">
      <c r="A503" s="35"/>
      <c r="B503" s="36"/>
      <c r="BO503" s="36"/>
      <c r="BV503" s="36"/>
      <c r="CC503" s="36"/>
      <c r="CJ503" s="36"/>
      <c r="CQ503" s="36"/>
      <c r="CX503" s="36"/>
      <c r="DE503" s="36"/>
      <c r="DL503" s="36"/>
      <c r="DS503" s="36"/>
      <c r="DZ503" s="36"/>
      <c r="EG503" s="36"/>
      <c r="EN503" s="36"/>
      <c r="EU503" s="36"/>
      <c r="FB503" s="36"/>
      <c r="FI503" s="36"/>
      <c r="FP503" s="36"/>
      <c r="FW503" s="36"/>
      <c r="GD503" s="36"/>
      <c r="GK503" s="36"/>
      <c r="GR503" s="36"/>
      <c r="GY503" s="36"/>
      <c r="HF503" s="36"/>
      <c r="HM503" s="36"/>
      <c r="HT503" s="36"/>
      <c r="IA503" s="36"/>
      <c r="IH503" s="36"/>
      <c r="IO503" s="36"/>
      <c r="IV503" s="36"/>
      <c r="JC503" s="36"/>
      <c r="JJ503" s="36"/>
      <c r="JQ503" s="36"/>
      <c r="JX503" s="36"/>
      <c r="KE503" s="36"/>
      <c r="KL503" s="36"/>
      <c r="KS503" s="36"/>
      <c r="KZ503" s="36"/>
      <c r="LF503" s="565"/>
      <c r="LG503" s="36"/>
      <c r="LM503" s="565"/>
      <c r="LN503" s="36"/>
      <c r="LT503" s="565"/>
      <c r="LU503" s="36"/>
      <c r="MA503" s="565"/>
      <c r="MB503" s="36"/>
      <c r="MH503" s="565"/>
    </row>
    <row r="504" spans="1:346" s="37" customFormat="1" ht="13.15" hidden="1" outlineLevel="1" x14ac:dyDescent="0.4">
      <c r="A504" s="35"/>
      <c r="B504" s="36" t="s">
        <v>388</v>
      </c>
      <c r="BO504" s="36" t="s">
        <v>388</v>
      </c>
      <c r="BV504" s="36" t="s">
        <v>388</v>
      </c>
      <c r="CC504" s="36" t="s">
        <v>388</v>
      </c>
      <c r="CJ504" s="36" t="s">
        <v>388</v>
      </c>
      <c r="CQ504" s="36" t="s">
        <v>388</v>
      </c>
      <c r="CX504" s="36" t="s">
        <v>388</v>
      </c>
      <c r="DE504" s="36" t="s">
        <v>388</v>
      </c>
      <c r="DL504" s="36" t="s">
        <v>388</v>
      </c>
      <c r="DS504" s="36" t="s">
        <v>388</v>
      </c>
      <c r="DZ504" s="36" t="s">
        <v>388</v>
      </c>
      <c r="EG504" s="36" t="s">
        <v>388</v>
      </c>
      <c r="EN504" s="36" t="s">
        <v>388</v>
      </c>
      <c r="EU504" s="36" t="s">
        <v>388</v>
      </c>
      <c r="FB504" s="36" t="s">
        <v>388</v>
      </c>
      <c r="FI504" s="36" t="s">
        <v>388</v>
      </c>
      <c r="FP504" s="36" t="s">
        <v>388</v>
      </c>
      <c r="FW504" s="36" t="s">
        <v>388</v>
      </c>
      <c r="GD504" s="36" t="s">
        <v>388</v>
      </c>
      <c r="GK504" s="36" t="s">
        <v>388</v>
      </c>
      <c r="GR504" s="36" t="s">
        <v>388</v>
      </c>
      <c r="GY504" s="36" t="s">
        <v>388</v>
      </c>
      <c r="HF504" s="36" t="s">
        <v>388</v>
      </c>
      <c r="HM504" s="36" t="s">
        <v>388</v>
      </c>
      <c r="HT504" s="36" t="s">
        <v>388</v>
      </c>
      <c r="IA504" s="36" t="s">
        <v>388</v>
      </c>
      <c r="IH504" s="36" t="s">
        <v>388</v>
      </c>
      <c r="IO504" s="36" t="s">
        <v>388</v>
      </c>
      <c r="IV504" s="36" t="s">
        <v>388</v>
      </c>
      <c r="JC504" s="36" t="s">
        <v>388</v>
      </c>
      <c r="JJ504" s="36" t="s">
        <v>388</v>
      </c>
      <c r="JQ504" s="36" t="s">
        <v>388</v>
      </c>
      <c r="JX504" s="36" t="s">
        <v>388</v>
      </c>
      <c r="KE504" s="36" t="s">
        <v>388</v>
      </c>
      <c r="KL504" s="36" t="s">
        <v>388</v>
      </c>
      <c r="KS504" s="36" t="s">
        <v>388</v>
      </c>
      <c r="KZ504" s="36" t="s">
        <v>388</v>
      </c>
      <c r="LF504" s="565"/>
      <c r="LG504" s="36" t="s">
        <v>388</v>
      </c>
      <c r="LM504" s="565"/>
      <c r="LN504" s="36" t="s">
        <v>388</v>
      </c>
      <c r="LT504" s="565"/>
      <c r="LU504" s="36" t="s">
        <v>388</v>
      </c>
      <c r="MA504" s="565"/>
      <c r="MB504" s="36" t="s">
        <v>388</v>
      </c>
      <c r="MH504" s="565"/>
    </row>
    <row r="505" spans="1:346" s="37" customFormat="1" ht="13.15" hidden="1" outlineLevel="1" x14ac:dyDescent="0.4">
      <c r="A505" s="35"/>
      <c r="B505" s="36" t="s">
        <v>147</v>
      </c>
      <c r="BO505" s="36" t="s">
        <v>147</v>
      </c>
      <c r="BV505" s="36" t="s">
        <v>147</v>
      </c>
      <c r="BW505" s="37" t="e">
        <v>#DIV/0!</v>
      </c>
      <c r="BX505" s="37" t="e">
        <v>#DIV/0!</v>
      </c>
      <c r="BY505" s="37" t="e">
        <v>#DIV/0!</v>
      </c>
      <c r="BZ505" s="37">
        <v>8.5030084326423366E-2</v>
      </c>
      <c r="CA505" s="37">
        <v>0.14730751747654042</v>
      </c>
      <c r="CC505" s="36" t="s">
        <v>147</v>
      </c>
      <c r="CD505" s="37" t="e">
        <v>#DIV/0!</v>
      </c>
      <c r="CE505" s="37" t="e">
        <v>#DIV/0!</v>
      </c>
      <c r="CF505" s="37" t="e">
        <v>#DIV/0!</v>
      </c>
      <c r="CG505" s="37">
        <v>-7.0008474313070432E-2</v>
      </c>
      <c r="CH505" s="37">
        <v>-0.14941096614259858</v>
      </c>
      <c r="CJ505" s="36" t="s">
        <v>147</v>
      </c>
      <c r="CK505" s="37" t="e">
        <v>#DIV/0!</v>
      </c>
      <c r="CL505" s="37" t="e">
        <v>#DIV/0!</v>
      </c>
      <c r="CM505" s="37" t="e">
        <v>#DIV/0!</v>
      </c>
      <c r="CN505" s="37">
        <v>2.9792314526876962E-2</v>
      </c>
      <c r="CO505" s="37">
        <v>5.0291203288338818E-2</v>
      </c>
      <c r="CQ505" s="36" t="s">
        <v>147</v>
      </c>
      <c r="CR505" s="37" t="e">
        <v>#DIV/0!</v>
      </c>
      <c r="CS505" s="37" t="e">
        <v>#DIV/0!</v>
      </c>
      <c r="CT505" s="37" t="e">
        <v>#DIV/0!</v>
      </c>
      <c r="CU505" s="37">
        <v>4.8061365832082044E-2</v>
      </c>
      <c r="CV505" s="37">
        <v>-2.8455954128854457E-2</v>
      </c>
      <c r="CX505" s="36" t="s">
        <v>147</v>
      </c>
      <c r="CY505" s="37" t="e">
        <v>#DIV/0!</v>
      </c>
      <c r="CZ505" s="37" t="e">
        <v>#DIV/0!</v>
      </c>
      <c r="DA505" s="37" t="e">
        <v>#DIV/0!</v>
      </c>
      <c r="DB505" s="37">
        <v>-9.2015462296779912E-2</v>
      </c>
      <c r="DC505" s="37">
        <v>4.4214348030950271E-2</v>
      </c>
      <c r="DE505" s="36" t="s">
        <v>147</v>
      </c>
      <c r="DF505" s="37" t="e">
        <v>#DIV/0!</v>
      </c>
      <c r="DG505" s="37" t="e">
        <v>#DIV/0!</v>
      </c>
      <c r="DH505" s="37" t="e">
        <v>#DIV/0!</v>
      </c>
      <c r="DI505" s="37">
        <v>0.12726690321308892</v>
      </c>
      <c r="DJ505" s="37">
        <v>0.14366351271437022</v>
      </c>
      <c r="DL505" s="36" t="s">
        <v>147</v>
      </c>
      <c r="DM505" s="37" t="e">
        <v>#DIV/0!</v>
      </c>
      <c r="DS505" s="36" t="s">
        <v>147</v>
      </c>
      <c r="DZ505" s="36" t="s">
        <v>147</v>
      </c>
      <c r="EG505" s="36" t="s">
        <v>147</v>
      </c>
      <c r="EN505" s="36" t="s">
        <v>147</v>
      </c>
      <c r="EU505" s="36" t="s">
        <v>147</v>
      </c>
      <c r="FB505" s="36" t="s">
        <v>147</v>
      </c>
      <c r="FI505" s="36" t="s">
        <v>147</v>
      </c>
      <c r="FP505" s="36" t="s">
        <v>147</v>
      </c>
      <c r="FW505" s="36" t="s">
        <v>147</v>
      </c>
      <c r="GD505" s="36" t="s">
        <v>147</v>
      </c>
      <c r="GK505" s="36" t="s">
        <v>147</v>
      </c>
      <c r="GR505" s="36" t="s">
        <v>147</v>
      </c>
      <c r="GY505" s="36" t="s">
        <v>147</v>
      </c>
      <c r="HF505" s="36" t="s">
        <v>147</v>
      </c>
      <c r="HM505" s="36" t="s">
        <v>147</v>
      </c>
      <c r="HT505" s="36" t="s">
        <v>147</v>
      </c>
      <c r="IA505" s="36" t="s">
        <v>147</v>
      </c>
      <c r="IH505" s="36" t="s">
        <v>147</v>
      </c>
      <c r="IO505" s="36" t="s">
        <v>147</v>
      </c>
      <c r="IV505" s="36" t="s">
        <v>147</v>
      </c>
      <c r="JC505" s="36" t="s">
        <v>147</v>
      </c>
      <c r="JJ505" s="36" t="s">
        <v>147</v>
      </c>
      <c r="JQ505" s="36" t="s">
        <v>147</v>
      </c>
      <c r="JX505" s="36" t="s">
        <v>147</v>
      </c>
      <c r="KE505" s="36" t="s">
        <v>147</v>
      </c>
      <c r="KL505" s="36" t="s">
        <v>147</v>
      </c>
      <c r="KS505" s="36" t="s">
        <v>147</v>
      </c>
      <c r="KZ505" s="36" t="s">
        <v>147</v>
      </c>
      <c r="LF505" s="565"/>
      <c r="LG505" s="36" t="s">
        <v>147</v>
      </c>
      <c r="LM505" s="565"/>
      <c r="LN505" s="36" t="s">
        <v>147</v>
      </c>
      <c r="LT505" s="565"/>
      <c r="LU505" s="36" t="s">
        <v>147</v>
      </c>
      <c r="MA505" s="565"/>
      <c r="MB505" s="36" t="s">
        <v>147</v>
      </c>
      <c r="MH505" s="565"/>
    </row>
    <row r="506" spans="1:346" s="37" customFormat="1" ht="13.15" hidden="1" outlineLevel="1" x14ac:dyDescent="0.4">
      <c r="A506" s="35"/>
      <c r="B506" s="36" t="s">
        <v>377</v>
      </c>
      <c r="BO506" s="36" t="s">
        <v>377</v>
      </c>
      <c r="BV506" s="36" t="s">
        <v>377</v>
      </c>
      <c r="BW506" s="37" t="e">
        <v>#DIV/0!</v>
      </c>
      <c r="BX506" s="37" t="e">
        <v>#DIV/0!</v>
      </c>
      <c r="BY506" s="37" t="e">
        <v>#DIV/0!</v>
      </c>
      <c r="BZ506" s="37">
        <v>-9.5098646730765429E-2</v>
      </c>
      <c r="CA506" s="37">
        <v>-5.5608118674739283E-2</v>
      </c>
      <c r="CC506" s="36" t="s">
        <v>377</v>
      </c>
      <c r="CD506" s="37" t="e">
        <v>#DIV/0!</v>
      </c>
      <c r="CE506" s="37" t="e">
        <v>#DIV/0!</v>
      </c>
      <c r="CF506" s="37" t="e">
        <v>#DIV/0!</v>
      </c>
      <c r="CG506" s="37">
        <v>9.1352486940722122E-2</v>
      </c>
      <c r="CH506" s="37">
        <v>-3.1384912865290854E-2</v>
      </c>
      <c r="CJ506" s="36" t="s">
        <v>377</v>
      </c>
      <c r="CK506" s="37" t="e">
        <v>#DIV/0!</v>
      </c>
      <c r="CL506" s="37" t="e">
        <v>#DIV/0!</v>
      </c>
      <c r="CM506" s="37" t="e">
        <v>#DIV/0!</v>
      </c>
      <c r="CN506" s="37">
        <v>-0.13897650927830885</v>
      </c>
      <c r="CO506" s="37">
        <v>-0.39953457527630365</v>
      </c>
      <c r="CQ506" s="36" t="s">
        <v>377</v>
      </c>
      <c r="CR506" s="37" t="e">
        <v>#DIV/0!</v>
      </c>
      <c r="CS506" s="37" t="e">
        <v>#DIV/0!</v>
      </c>
      <c r="CT506" s="37" t="e">
        <v>#DIV/0!</v>
      </c>
      <c r="CU506" s="37">
        <v>-3.8507342214341808E-2</v>
      </c>
      <c r="CV506" s="37">
        <v>0.23235336413086627</v>
      </c>
      <c r="CX506" s="36" t="s">
        <v>377</v>
      </c>
      <c r="CY506" s="37" t="e">
        <v>#DIV/0!</v>
      </c>
      <c r="CZ506" s="37" t="e">
        <v>#DIV/0!</v>
      </c>
      <c r="DA506" s="37" t="e">
        <v>#DIV/0!</v>
      </c>
      <c r="DB506" s="37">
        <v>0.21485590583141656</v>
      </c>
      <c r="DC506" s="37">
        <v>-3.1691170763007829E-3</v>
      </c>
      <c r="DE506" s="36" t="s">
        <v>377</v>
      </c>
      <c r="DF506" s="37" t="e">
        <v>#DIV/0!</v>
      </c>
      <c r="DG506" s="37" t="e">
        <v>#DIV/0!</v>
      </c>
      <c r="DH506" s="37" t="e">
        <v>#DIV/0!</v>
      </c>
      <c r="DI506" s="37">
        <v>0.16343463579353595</v>
      </c>
      <c r="DJ506" s="37">
        <v>0.45868190093833144</v>
      </c>
      <c r="DL506" s="36" t="s">
        <v>377</v>
      </c>
      <c r="DM506" s="37" t="e">
        <v>#DIV/0!</v>
      </c>
      <c r="DS506" s="36" t="s">
        <v>377</v>
      </c>
      <c r="DZ506" s="36" t="s">
        <v>377</v>
      </c>
      <c r="EG506" s="36" t="s">
        <v>377</v>
      </c>
      <c r="EN506" s="36" t="s">
        <v>377</v>
      </c>
      <c r="EU506" s="36" t="s">
        <v>377</v>
      </c>
      <c r="FB506" s="36" t="s">
        <v>377</v>
      </c>
      <c r="FI506" s="36" t="s">
        <v>377</v>
      </c>
      <c r="FP506" s="36" t="s">
        <v>377</v>
      </c>
      <c r="FW506" s="36" t="s">
        <v>377</v>
      </c>
      <c r="GD506" s="36" t="s">
        <v>377</v>
      </c>
      <c r="GK506" s="36" t="s">
        <v>377</v>
      </c>
      <c r="GR506" s="36" t="s">
        <v>377</v>
      </c>
      <c r="GY506" s="36" t="s">
        <v>377</v>
      </c>
      <c r="HF506" s="36" t="s">
        <v>377</v>
      </c>
      <c r="HM506" s="36" t="s">
        <v>377</v>
      </c>
      <c r="HT506" s="36" t="s">
        <v>377</v>
      </c>
      <c r="IA506" s="36" t="s">
        <v>377</v>
      </c>
      <c r="IH506" s="36" t="s">
        <v>377</v>
      </c>
      <c r="IO506" s="36" t="s">
        <v>377</v>
      </c>
      <c r="IV506" s="36" t="s">
        <v>377</v>
      </c>
      <c r="JC506" s="36" t="s">
        <v>377</v>
      </c>
      <c r="JJ506" s="36" t="s">
        <v>377</v>
      </c>
      <c r="JQ506" s="36" t="s">
        <v>377</v>
      </c>
      <c r="JX506" s="36" t="s">
        <v>377</v>
      </c>
      <c r="KE506" s="36" t="s">
        <v>377</v>
      </c>
      <c r="KL506" s="36" t="s">
        <v>377</v>
      </c>
      <c r="KS506" s="36" t="s">
        <v>377</v>
      </c>
      <c r="KZ506" s="36" t="s">
        <v>377</v>
      </c>
      <c r="LF506" s="565"/>
      <c r="LG506" s="36" t="s">
        <v>377</v>
      </c>
      <c r="LM506" s="565"/>
      <c r="LN506" s="36" t="s">
        <v>377</v>
      </c>
      <c r="LT506" s="565"/>
      <c r="LU506" s="36" t="s">
        <v>377</v>
      </c>
      <c r="MA506" s="565"/>
      <c r="MB506" s="36" t="s">
        <v>377</v>
      </c>
      <c r="MH506" s="565"/>
    </row>
    <row r="507" spans="1:346" s="37" customFormat="1" ht="13.15" hidden="1" outlineLevel="1" x14ac:dyDescent="0.4">
      <c r="A507" s="35"/>
      <c r="B507" s="36" t="s">
        <v>378</v>
      </c>
      <c r="BO507" s="36" t="s">
        <v>378</v>
      </c>
      <c r="BV507" s="36" t="s">
        <v>378</v>
      </c>
      <c r="BW507" s="37" t="e">
        <v>#DIV/0!</v>
      </c>
      <c r="BX507" s="37" t="e">
        <v>#DIV/0!</v>
      </c>
      <c r="BY507" s="37" t="e">
        <v>#DIV/0!</v>
      </c>
      <c r="BZ507" s="37">
        <v>0.19815328700179285</v>
      </c>
      <c r="CA507" s="37">
        <v>-3.3940219825562029E-2</v>
      </c>
      <c r="CC507" s="36" t="s">
        <v>378</v>
      </c>
      <c r="CD507" s="37" t="e">
        <v>#DIV/0!</v>
      </c>
      <c r="CE507" s="37" t="e">
        <v>#DIV/0!</v>
      </c>
      <c r="CF507" s="37" t="e">
        <v>#DIV/0!</v>
      </c>
      <c r="CG507" s="37">
        <v>-0.2529561231607268</v>
      </c>
      <c r="CH507" s="37">
        <v>-5.3448479991256882E-2</v>
      </c>
      <c r="CJ507" s="36" t="s">
        <v>378</v>
      </c>
      <c r="CK507" s="37" t="e">
        <v>#DIV/0!</v>
      </c>
      <c r="CL507" s="37" t="e">
        <v>#DIV/0!</v>
      </c>
      <c r="CM507" s="37" t="e">
        <v>#DIV/0!</v>
      </c>
      <c r="CN507" s="37">
        <v>-0.100284495021337</v>
      </c>
      <c r="CO507" s="37">
        <v>-0.48512863660927447</v>
      </c>
      <c r="CQ507" s="36" t="s">
        <v>378</v>
      </c>
      <c r="CR507" s="37" t="e">
        <v>#DIV/0!</v>
      </c>
      <c r="CS507" s="37" t="e">
        <v>#DIV/0!</v>
      </c>
      <c r="CT507" s="37" t="e">
        <v>#DIV/0!</v>
      </c>
      <c r="CU507" s="37">
        <v>-4.9162011173184361E-2</v>
      </c>
      <c r="CV507" s="37">
        <v>0.33350077461152056</v>
      </c>
      <c r="CX507" s="36" t="s">
        <v>378</v>
      </c>
      <c r="CY507" s="37" t="e">
        <v>#DIV/0!</v>
      </c>
      <c r="CZ507" s="37" t="e">
        <v>#DIV/0!</v>
      </c>
      <c r="DA507" s="37" t="e">
        <v>#DIV/0!</v>
      </c>
      <c r="DB507" s="37">
        <v>-6.2932210284511536E-3</v>
      </c>
      <c r="DC507" s="37">
        <v>-2.9873520953919E-2</v>
      </c>
      <c r="DE507" s="36" t="s">
        <v>378</v>
      </c>
      <c r="DF507" s="37" t="e">
        <v>#DIV/0!</v>
      </c>
      <c r="DG507" s="37" t="e">
        <v>#DIV/0!</v>
      </c>
      <c r="DH507" s="37" t="e">
        <v>#DIV/0!</v>
      </c>
      <c r="DI507" s="37">
        <v>0.15920763022743947</v>
      </c>
      <c r="DJ507" s="37">
        <v>0.28064842958459979</v>
      </c>
      <c r="DL507" s="36" t="s">
        <v>378</v>
      </c>
      <c r="DM507" s="37" t="e">
        <v>#DIV/0!</v>
      </c>
      <c r="DS507" s="36" t="s">
        <v>378</v>
      </c>
      <c r="DZ507" s="36" t="s">
        <v>378</v>
      </c>
      <c r="EG507" s="36" t="s">
        <v>378</v>
      </c>
      <c r="EN507" s="36" t="s">
        <v>378</v>
      </c>
      <c r="EU507" s="36" t="s">
        <v>378</v>
      </c>
      <c r="FB507" s="36" t="s">
        <v>378</v>
      </c>
      <c r="FI507" s="36" t="s">
        <v>378</v>
      </c>
      <c r="FP507" s="36" t="s">
        <v>378</v>
      </c>
      <c r="FW507" s="36" t="s">
        <v>378</v>
      </c>
      <c r="GD507" s="36" t="s">
        <v>378</v>
      </c>
      <c r="GK507" s="36" t="s">
        <v>378</v>
      </c>
      <c r="GR507" s="36" t="s">
        <v>378</v>
      </c>
      <c r="GY507" s="36" t="s">
        <v>378</v>
      </c>
      <c r="HF507" s="36" t="s">
        <v>378</v>
      </c>
      <c r="HM507" s="36" t="s">
        <v>378</v>
      </c>
      <c r="HT507" s="36" t="s">
        <v>378</v>
      </c>
      <c r="IA507" s="36" t="s">
        <v>378</v>
      </c>
      <c r="IH507" s="36" t="s">
        <v>378</v>
      </c>
      <c r="IO507" s="36" t="s">
        <v>378</v>
      </c>
      <c r="IV507" s="36" t="s">
        <v>378</v>
      </c>
      <c r="JC507" s="36" t="s">
        <v>378</v>
      </c>
      <c r="JJ507" s="36" t="s">
        <v>378</v>
      </c>
      <c r="JQ507" s="36" t="s">
        <v>378</v>
      </c>
      <c r="JX507" s="36" t="s">
        <v>378</v>
      </c>
      <c r="KE507" s="36" t="s">
        <v>378</v>
      </c>
      <c r="KL507" s="36" t="s">
        <v>378</v>
      </c>
      <c r="KS507" s="36" t="s">
        <v>378</v>
      </c>
      <c r="KZ507" s="36" t="s">
        <v>378</v>
      </c>
      <c r="LF507" s="565"/>
      <c r="LG507" s="36" t="s">
        <v>378</v>
      </c>
      <c r="LM507" s="565"/>
      <c r="LN507" s="36" t="s">
        <v>378</v>
      </c>
      <c r="LT507" s="565"/>
      <c r="LU507" s="36" t="s">
        <v>378</v>
      </c>
      <c r="MA507" s="565"/>
      <c r="MB507" s="36" t="s">
        <v>378</v>
      </c>
      <c r="MH507" s="565"/>
    </row>
    <row r="508" spans="1:346" s="37" customFormat="1" ht="13.15" hidden="1" outlineLevel="1" x14ac:dyDescent="0.4">
      <c r="A508" s="35"/>
      <c r="B508" s="36" t="s">
        <v>379</v>
      </c>
      <c r="BO508" s="36" t="s">
        <v>379</v>
      </c>
      <c r="BV508" s="36" t="s">
        <v>379</v>
      </c>
      <c r="BW508" s="37" t="e">
        <v>#DIV/0!</v>
      </c>
      <c r="BX508" s="37" t="e">
        <v>#DIV/0!</v>
      </c>
      <c r="BY508" s="37" t="e">
        <v>#DIV/0!</v>
      </c>
      <c r="BZ508" s="37">
        <v>7.08722741433023E-2</v>
      </c>
      <c r="CA508" s="37">
        <v>2.3065476190476303E-2</v>
      </c>
      <c r="CC508" s="36" t="s">
        <v>379</v>
      </c>
      <c r="CD508" s="37" t="e">
        <v>#DIV/0!</v>
      </c>
      <c r="CE508" s="37" t="e">
        <v>#DIV/0!</v>
      </c>
      <c r="CF508" s="37" t="e">
        <v>#DIV/0!</v>
      </c>
      <c r="CG508" s="37">
        <v>-9.3440736478711275E-2</v>
      </c>
      <c r="CH508" s="37">
        <v>-0.26846950517836604</v>
      </c>
      <c r="CJ508" s="36" t="s">
        <v>379</v>
      </c>
      <c r="CK508" s="37" t="e">
        <v>#DIV/0!</v>
      </c>
      <c r="CL508" s="37" t="e">
        <v>#DIV/0!</v>
      </c>
      <c r="CM508" s="37" t="e">
        <v>#DIV/0!</v>
      </c>
      <c r="CN508" s="37">
        <v>-1</v>
      </c>
      <c r="CO508" s="37" t="e">
        <v>#DIV/0!</v>
      </c>
      <c r="CQ508" s="36" t="s">
        <v>379</v>
      </c>
      <c r="CX508" s="36" t="s">
        <v>379</v>
      </c>
      <c r="DE508" s="36" t="s">
        <v>379</v>
      </c>
      <c r="DL508" s="36" t="s">
        <v>379</v>
      </c>
      <c r="DS508" s="36" t="s">
        <v>379</v>
      </c>
      <c r="DZ508" s="36" t="s">
        <v>379</v>
      </c>
      <c r="EG508" s="36" t="s">
        <v>379</v>
      </c>
      <c r="EN508" s="36" t="s">
        <v>379</v>
      </c>
      <c r="EU508" s="36" t="s">
        <v>379</v>
      </c>
      <c r="FB508" s="36" t="s">
        <v>379</v>
      </c>
      <c r="FI508" s="36" t="s">
        <v>379</v>
      </c>
      <c r="FP508" s="36" t="s">
        <v>379</v>
      </c>
      <c r="FW508" s="36" t="s">
        <v>379</v>
      </c>
      <c r="GD508" s="36" t="s">
        <v>379</v>
      </c>
      <c r="GK508" s="36" t="s">
        <v>379</v>
      </c>
      <c r="GR508" s="36" t="s">
        <v>379</v>
      </c>
      <c r="GY508" s="36" t="s">
        <v>379</v>
      </c>
      <c r="HF508" s="36" t="s">
        <v>379</v>
      </c>
      <c r="HM508" s="36" t="s">
        <v>379</v>
      </c>
      <c r="HT508" s="36" t="s">
        <v>379</v>
      </c>
      <c r="IA508" s="36" t="s">
        <v>379</v>
      </c>
      <c r="IH508" s="36" t="s">
        <v>379</v>
      </c>
      <c r="IO508" s="36" t="s">
        <v>379</v>
      </c>
      <c r="IV508" s="36" t="s">
        <v>379</v>
      </c>
      <c r="JC508" s="36" t="s">
        <v>379</v>
      </c>
      <c r="JJ508" s="36" t="s">
        <v>379</v>
      </c>
      <c r="JQ508" s="36" t="s">
        <v>379</v>
      </c>
      <c r="JX508" s="36" t="s">
        <v>379</v>
      </c>
      <c r="KE508" s="36" t="s">
        <v>379</v>
      </c>
      <c r="KL508" s="36" t="s">
        <v>379</v>
      </c>
      <c r="KS508" s="36" t="s">
        <v>379</v>
      </c>
      <c r="KZ508" s="36" t="s">
        <v>379</v>
      </c>
      <c r="LF508" s="565"/>
      <c r="LG508" s="36" t="s">
        <v>379</v>
      </c>
      <c r="LM508" s="565"/>
      <c r="LN508" s="36" t="s">
        <v>379</v>
      </c>
      <c r="LT508" s="565"/>
      <c r="LU508" s="36" t="s">
        <v>379</v>
      </c>
      <c r="MA508" s="565"/>
      <c r="MB508" s="36" t="s">
        <v>379</v>
      </c>
      <c r="MH508" s="565"/>
    </row>
    <row r="509" spans="1:346" s="37" customFormat="1" ht="13.15" hidden="1" outlineLevel="1" x14ac:dyDescent="0.4">
      <c r="A509" s="35"/>
      <c r="B509" s="36" t="s">
        <v>380</v>
      </c>
      <c r="BO509" s="36" t="s">
        <v>380</v>
      </c>
      <c r="BV509" s="36" t="s">
        <v>380</v>
      </c>
      <c r="BW509" s="37" t="e">
        <v>#DIV/0!</v>
      </c>
      <c r="BX509" s="37" t="e">
        <v>#DIV/0!</v>
      </c>
      <c r="BY509" s="37" t="e">
        <v>#DIV/0!</v>
      </c>
      <c r="BZ509" s="37">
        <v>5.0476811196487441E-2</v>
      </c>
      <c r="CA509" s="37">
        <v>1.7546672586818701E-2</v>
      </c>
      <c r="CC509" s="36" t="s">
        <v>380</v>
      </c>
      <c r="CD509" s="37" t="e">
        <v>#DIV/0!</v>
      </c>
      <c r="CE509" s="37" t="e">
        <v>#DIV/0!</v>
      </c>
      <c r="CF509" s="37" t="e">
        <v>#DIV/0!</v>
      </c>
      <c r="CG509" s="37">
        <v>-0.12491647176745732</v>
      </c>
      <c r="CH509" s="37">
        <v>6.7038721234669821E-2</v>
      </c>
      <c r="CJ509" s="36" t="s">
        <v>380</v>
      </c>
      <c r="CK509" s="37" t="e">
        <v>#DIV/0!</v>
      </c>
      <c r="CL509" s="37" t="e">
        <v>#DIV/0!</v>
      </c>
      <c r="CM509" s="37" t="e">
        <v>#DIV/0!</v>
      </c>
      <c r="CN509" s="37">
        <v>-1</v>
      </c>
      <c r="CO509" s="37" t="e">
        <v>#DIV/0!</v>
      </c>
      <c r="CQ509" s="36" t="s">
        <v>380</v>
      </c>
      <c r="CX509" s="36" t="s">
        <v>380</v>
      </c>
      <c r="DE509" s="36" t="s">
        <v>380</v>
      </c>
      <c r="DL509" s="36" t="s">
        <v>380</v>
      </c>
      <c r="DS509" s="36" t="s">
        <v>380</v>
      </c>
      <c r="DZ509" s="36" t="s">
        <v>380</v>
      </c>
      <c r="EG509" s="36" t="s">
        <v>380</v>
      </c>
      <c r="EN509" s="36" t="s">
        <v>380</v>
      </c>
      <c r="EU509" s="36" t="s">
        <v>380</v>
      </c>
      <c r="FB509" s="36" t="s">
        <v>380</v>
      </c>
      <c r="FI509" s="36" t="s">
        <v>380</v>
      </c>
      <c r="FP509" s="36" t="s">
        <v>380</v>
      </c>
      <c r="FW509" s="36" t="s">
        <v>380</v>
      </c>
      <c r="GD509" s="36" t="s">
        <v>380</v>
      </c>
      <c r="GK509" s="36" t="s">
        <v>380</v>
      </c>
      <c r="GR509" s="36" t="s">
        <v>380</v>
      </c>
      <c r="GY509" s="36" t="s">
        <v>380</v>
      </c>
      <c r="HF509" s="36" t="s">
        <v>380</v>
      </c>
      <c r="HM509" s="36" t="s">
        <v>380</v>
      </c>
      <c r="HT509" s="36" t="s">
        <v>380</v>
      </c>
      <c r="IA509" s="36" t="s">
        <v>380</v>
      </c>
      <c r="IH509" s="36" t="s">
        <v>380</v>
      </c>
      <c r="IO509" s="36" t="s">
        <v>380</v>
      </c>
      <c r="IV509" s="36" t="s">
        <v>380</v>
      </c>
      <c r="JC509" s="36" t="s">
        <v>380</v>
      </c>
      <c r="JJ509" s="36" t="s">
        <v>380</v>
      </c>
      <c r="JQ509" s="36" t="s">
        <v>380</v>
      </c>
      <c r="JX509" s="36" t="s">
        <v>380</v>
      </c>
      <c r="KE509" s="36" t="s">
        <v>380</v>
      </c>
      <c r="KL509" s="36" t="s">
        <v>380</v>
      </c>
      <c r="KS509" s="36" t="s">
        <v>380</v>
      </c>
      <c r="KZ509" s="36" t="s">
        <v>380</v>
      </c>
      <c r="LF509" s="565"/>
      <c r="LG509" s="36" t="s">
        <v>380</v>
      </c>
      <c r="LM509" s="565"/>
      <c r="LN509" s="36" t="s">
        <v>380</v>
      </c>
      <c r="LT509" s="565"/>
      <c r="LU509" s="36" t="s">
        <v>380</v>
      </c>
      <c r="MA509" s="565"/>
      <c r="MB509" s="36" t="s">
        <v>380</v>
      </c>
      <c r="MH509" s="565"/>
    </row>
    <row r="510" spans="1:346" s="37" customFormat="1" ht="13.15" hidden="1" outlineLevel="1" x14ac:dyDescent="0.4">
      <c r="A510" s="35"/>
      <c r="B510" s="36" t="s">
        <v>389</v>
      </c>
      <c r="G510" s="37">
        <v>-2.8504743731497622E-2</v>
      </c>
      <c r="H510" s="37">
        <v>-0.13721410177266596</v>
      </c>
      <c r="I510" s="37">
        <v>-0.11277973787289529</v>
      </c>
      <c r="J510" s="37">
        <v>-9.1153934203261414E-2</v>
      </c>
      <c r="K510" s="37">
        <v>-0.14674411397786238</v>
      </c>
      <c r="L510" s="37">
        <v>-4.942569197272529E-2</v>
      </c>
      <c r="M510" s="37">
        <v>2.6631983153722304E-2</v>
      </c>
      <c r="N510" s="37">
        <f>BT510</f>
        <v>3.3897048745945444</v>
      </c>
      <c r="O510" s="37">
        <f>CA510</f>
        <v>3.9837431919458918E-2</v>
      </c>
      <c r="P510" s="37">
        <f>CH510</f>
        <v>-0.1071499399581274</v>
      </c>
      <c r="Q510" s="37">
        <f>CO510</f>
        <v>-0.10195104323043309</v>
      </c>
      <c r="R510" s="37">
        <f>CV510</f>
        <v>-3.3629858290145621E-2</v>
      </c>
      <c r="S510" s="37">
        <f>DC510</f>
        <v>1.1786237456786499E-2</v>
      </c>
      <c r="T510" s="37">
        <f>DJ510</f>
        <v>0.30051481973449434</v>
      </c>
      <c r="U510" s="37">
        <f>DQ510</f>
        <v>5.0039492014320057E-2</v>
      </c>
      <c r="V510" s="37">
        <f>DX510</f>
        <v>0</v>
      </c>
      <c r="W510" s="37">
        <f>EE510</f>
        <v>0</v>
      </c>
      <c r="X510" s="37">
        <f>EL510</f>
        <v>0</v>
      </c>
      <c r="Y510" s="37">
        <f>ES510</f>
        <v>0</v>
      </c>
      <c r="Z510" s="37">
        <f>EZ510</f>
        <v>0</v>
      </c>
      <c r="AA510" s="37">
        <f>FG510</f>
        <v>0</v>
      </c>
      <c r="AB510" s="37">
        <f>FN510</f>
        <v>0</v>
      </c>
      <c r="AC510" s="37">
        <f>FU510</f>
        <v>0</v>
      </c>
      <c r="AD510" s="37">
        <f>GB510</f>
        <v>0</v>
      </c>
      <c r="AE510" s="37">
        <f>GI510</f>
        <v>0</v>
      </c>
      <c r="AF510" s="37">
        <f>GP510</f>
        <v>0</v>
      </c>
      <c r="AG510" s="37">
        <f>GW510</f>
        <v>0</v>
      </c>
      <c r="AH510" s="37">
        <f>HD510</f>
        <v>0</v>
      </c>
      <c r="AI510" s="37">
        <f>HK510</f>
        <v>0</v>
      </c>
      <c r="AJ510" s="37">
        <f>HR510</f>
        <v>0</v>
      </c>
      <c r="AK510" s="37">
        <f>HY510</f>
        <v>0</v>
      </c>
      <c r="AL510" s="37">
        <f>IF510</f>
        <v>0</v>
      </c>
      <c r="AM510" s="37">
        <f>IM510</f>
        <v>0</v>
      </c>
      <c r="AN510" s="37">
        <f>IT510</f>
        <v>0</v>
      </c>
      <c r="AO510" s="37">
        <f>JA510</f>
        <v>0</v>
      </c>
      <c r="AP510" s="37">
        <f>JH510</f>
        <v>0</v>
      </c>
      <c r="AQ510" s="37">
        <f>JO510</f>
        <v>0</v>
      </c>
      <c r="AR510" s="37">
        <f>JV510</f>
        <v>0</v>
      </c>
      <c r="AS510" s="37">
        <f>KC510</f>
        <v>0</v>
      </c>
      <c r="AT510" s="37">
        <f>KJ510</f>
        <v>0</v>
      </c>
      <c r="AU510" s="37">
        <f>KQ510</f>
        <v>0</v>
      </c>
      <c r="AV510" s="37">
        <f>KX510</f>
        <v>0</v>
      </c>
      <c r="AW510" s="37">
        <f>LE510</f>
        <v>0</v>
      </c>
      <c r="AX510" s="37">
        <f>LL510</f>
        <v>0</v>
      </c>
      <c r="AY510" s="37">
        <f>LS510</f>
        <v>0</v>
      </c>
      <c r="AZ510" s="37">
        <f>LZ510</f>
        <v>0</v>
      </c>
      <c r="BA510" s="37">
        <f>MG510</f>
        <v>0</v>
      </c>
      <c r="BO510" s="36" t="s">
        <v>389</v>
      </c>
      <c r="BT510" s="37">
        <v>3.3897048745945444</v>
      </c>
      <c r="BV510" s="36" t="s">
        <v>389</v>
      </c>
      <c r="BW510" s="37" t="e">
        <v>#DIV/0!</v>
      </c>
      <c r="BX510" s="37" t="e">
        <v>#DIV/0!</v>
      </c>
      <c r="BY510" s="37" t="e">
        <v>#DIV/0!</v>
      </c>
      <c r="BZ510" s="37">
        <v>5.0711938663745702E-2</v>
      </c>
      <c r="CA510" s="37">
        <v>3.9837431919458918E-2</v>
      </c>
      <c r="CC510" s="36" t="s">
        <v>389</v>
      </c>
      <c r="CD510" s="37" t="e">
        <v>#DIV/0!</v>
      </c>
      <c r="CE510" s="37" t="e">
        <v>#DIV/0!</v>
      </c>
      <c r="CF510" s="37" t="e">
        <v>#DIV/0!</v>
      </c>
      <c r="CG510" s="37">
        <v>-8.6703625032725065E-2</v>
      </c>
      <c r="CH510" s="37">
        <v>-0.1071499399581274</v>
      </c>
      <c r="CJ510" s="36" t="s">
        <v>389</v>
      </c>
      <c r="CK510" s="37" t="e">
        <v>#DIV/0!</v>
      </c>
      <c r="CL510" s="37" t="e">
        <v>#DIV/0!</v>
      </c>
      <c r="CM510" s="37" t="e">
        <v>#DIV/0!</v>
      </c>
      <c r="CN510" s="37">
        <v>5.6683407889052016E-3</v>
      </c>
      <c r="CO510" s="37">
        <v>-0.10195104323043309</v>
      </c>
      <c r="CQ510" s="36" t="s">
        <v>389</v>
      </c>
      <c r="CR510" s="37" t="e">
        <v>#DIV/0!</v>
      </c>
      <c r="CS510" s="37" t="e">
        <v>#DIV/0!</v>
      </c>
      <c r="CT510" s="37" t="e">
        <v>#DIV/0!</v>
      </c>
      <c r="CU510" s="37">
        <v>-9.8375862754911652E-3</v>
      </c>
      <c r="CV510" s="37">
        <v>-3.3629858290145621E-2</v>
      </c>
      <c r="CX510" s="36" t="s">
        <v>389</v>
      </c>
      <c r="CY510" s="37" t="e">
        <v>#DIV/0!</v>
      </c>
      <c r="CZ510" s="37" t="e">
        <v>#DIV/0!</v>
      </c>
      <c r="DA510" s="37" t="e">
        <v>#DIV/0!</v>
      </c>
      <c r="DB510" s="37">
        <v>7.3837369806003444E-2</v>
      </c>
      <c r="DC510" s="37">
        <v>1.1786237456786499E-2</v>
      </c>
      <c r="DE510" s="36" t="s">
        <v>389</v>
      </c>
      <c r="DF510" s="37" t="e">
        <v>#DIV/0!</v>
      </c>
      <c r="DG510" s="37" t="e">
        <v>#DIV/0!</v>
      </c>
      <c r="DH510" s="37" t="e">
        <v>#DIV/0!</v>
      </c>
      <c r="DI510" s="37">
        <v>0.16669318859935808</v>
      </c>
      <c r="DJ510" s="37">
        <v>0.30051481973449434</v>
      </c>
      <c r="DL510" s="36" t="s">
        <v>389</v>
      </c>
      <c r="DM510" s="37" t="e">
        <v>#DIV/0!</v>
      </c>
      <c r="DN510" s="37" t="e">
        <v>#DIV/0!</v>
      </c>
      <c r="DP510" s="37">
        <v>2.145402489959259E-2</v>
      </c>
      <c r="DQ510" s="37">
        <v>5.0039492014320057E-2</v>
      </c>
      <c r="DS510" s="36" t="s">
        <v>389</v>
      </c>
      <c r="DT510" s="37" t="e">
        <v>#DIV/0!</v>
      </c>
      <c r="DU510" s="37" t="e">
        <v>#DIV/0!</v>
      </c>
      <c r="DZ510" s="36" t="s">
        <v>389</v>
      </c>
      <c r="EG510" s="36" t="s">
        <v>389</v>
      </c>
      <c r="EN510" s="36" t="s">
        <v>389</v>
      </c>
      <c r="EU510" s="36" t="s">
        <v>389</v>
      </c>
      <c r="FB510" s="36" t="s">
        <v>389</v>
      </c>
      <c r="FI510" s="36" t="s">
        <v>389</v>
      </c>
      <c r="FP510" s="36" t="s">
        <v>389</v>
      </c>
      <c r="FW510" s="36" t="s">
        <v>389</v>
      </c>
      <c r="GD510" s="36" t="s">
        <v>389</v>
      </c>
      <c r="GK510" s="36" t="s">
        <v>389</v>
      </c>
      <c r="GR510" s="36" t="s">
        <v>389</v>
      </c>
      <c r="GY510" s="36" t="s">
        <v>389</v>
      </c>
      <c r="HF510" s="36" t="s">
        <v>389</v>
      </c>
      <c r="HM510" s="36" t="s">
        <v>389</v>
      </c>
      <c r="HT510" s="36" t="s">
        <v>389</v>
      </c>
      <c r="IA510" s="36" t="s">
        <v>389</v>
      </c>
      <c r="IH510" s="36" t="s">
        <v>389</v>
      </c>
      <c r="IO510" s="36" t="s">
        <v>389</v>
      </c>
      <c r="IV510" s="36" t="s">
        <v>389</v>
      </c>
      <c r="JC510" s="36" t="s">
        <v>389</v>
      </c>
      <c r="JJ510" s="36" t="s">
        <v>389</v>
      </c>
      <c r="JQ510" s="36" t="s">
        <v>389</v>
      </c>
      <c r="JX510" s="36" t="s">
        <v>389</v>
      </c>
      <c r="KE510" s="36" t="s">
        <v>389</v>
      </c>
      <c r="KL510" s="36" t="s">
        <v>389</v>
      </c>
      <c r="KS510" s="36" t="s">
        <v>389</v>
      </c>
      <c r="KZ510" s="36" t="s">
        <v>389</v>
      </c>
      <c r="LF510" s="565"/>
      <c r="LG510" s="36" t="s">
        <v>389</v>
      </c>
      <c r="LM510" s="565"/>
      <c r="LN510" s="36" t="s">
        <v>389</v>
      </c>
      <c r="LT510" s="565"/>
      <c r="LU510" s="36" t="s">
        <v>389</v>
      </c>
      <c r="MA510" s="565"/>
      <c r="MB510" s="36" t="s">
        <v>389</v>
      </c>
      <c r="MH510" s="565"/>
    </row>
    <row r="511" spans="1:346" s="37" customFormat="1" ht="13.15" hidden="1" outlineLevel="1" x14ac:dyDescent="0.4">
      <c r="A511" s="35"/>
      <c r="B511" s="36"/>
      <c r="BO511" s="36"/>
      <c r="BV511" s="36"/>
      <c r="CC511" s="36"/>
      <c r="CJ511" s="36"/>
      <c r="CQ511" s="36"/>
      <c r="CX511" s="36"/>
      <c r="DE511" s="36"/>
      <c r="DL511" s="36"/>
      <c r="DS511" s="36"/>
      <c r="DZ511" s="36"/>
      <c r="EG511" s="36"/>
      <c r="EN511" s="36"/>
      <c r="EU511" s="36"/>
      <c r="FB511" s="36"/>
      <c r="FI511" s="36"/>
      <c r="FP511" s="36"/>
      <c r="FW511" s="36"/>
      <c r="GD511" s="36"/>
      <c r="GK511" s="36"/>
      <c r="GR511" s="36"/>
      <c r="GY511" s="36"/>
      <c r="HF511" s="36"/>
      <c r="HM511" s="36"/>
      <c r="HT511" s="36"/>
      <c r="IA511" s="36"/>
      <c r="IH511" s="36"/>
      <c r="IO511" s="36"/>
      <c r="IV511" s="36"/>
      <c r="JC511" s="36"/>
      <c r="JJ511" s="36"/>
      <c r="JQ511" s="36"/>
      <c r="JX511" s="36"/>
      <c r="KE511" s="36"/>
      <c r="KL511" s="36"/>
      <c r="KS511" s="36"/>
      <c r="KZ511" s="36"/>
      <c r="LF511" s="565"/>
      <c r="LG511" s="36"/>
      <c r="LM511" s="565"/>
      <c r="LN511" s="36"/>
      <c r="LT511" s="565"/>
      <c r="LU511" s="36"/>
      <c r="MA511" s="565"/>
      <c r="MB511" s="36"/>
      <c r="MH511" s="565"/>
    </row>
    <row r="512" spans="1:346" s="37" customFormat="1" ht="13.15" hidden="1" outlineLevel="1" x14ac:dyDescent="0.4">
      <c r="A512" s="35"/>
      <c r="B512" s="36" t="s">
        <v>502</v>
      </c>
      <c r="BO512" s="36" t="s">
        <v>502</v>
      </c>
      <c r="BV512" s="36" t="s">
        <v>502</v>
      </c>
      <c r="CC512" s="36" t="s">
        <v>502</v>
      </c>
      <c r="CJ512" s="36" t="s">
        <v>502</v>
      </c>
      <c r="CQ512" s="36" t="s">
        <v>502</v>
      </c>
      <c r="CX512" s="36" t="s">
        <v>502</v>
      </c>
      <c r="DE512" s="36" t="s">
        <v>502</v>
      </c>
      <c r="DL512" s="36" t="s">
        <v>502</v>
      </c>
      <c r="DS512" s="36" t="s">
        <v>502</v>
      </c>
      <c r="DZ512" s="36" t="s">
        <v>502</v>
      </c>
      <c r="EG512" s="36" t="s">
        <v>502</v>
      </c>
      <c r="EN512" s="36" t="s">
        <v>502</v>
      </c>
      <c r="EU512" s="36" t="s">
        <v>502</v>
      </c>
      <c r="FB512" s="36" t="s">
        <v>502</v>
      </c>
      <c r="FI512" s="36" t="s">
        <v>502</v>
      </c>
      <c r="FP512" s="36" t="s">
        <v>502</v>
      </c>
      <c r="FW512" s="36" t="s">
        <v>502</v>
      </c>
      <c r="GD512" s="36" t="s">
        <v>502</v>
      </c>
      <c r="GK512" s="36" t="s">
        <v>502</v>
      </c>
      <c r="GR512" s="36" t="s">
        <v>502</v>
      </c>
      <c r="GY512" s="36" t="s">
        <v>502</v>
      </c>
      <c r="HF512" s="36" t="s">
        <v>502</v>
      </c>
      <c r="HM512" s="36" t="s">
        <v>502</v>
      </c>
      <c r="HT512" s="36" t="s">
        <v>502</v>
      </c>
      <c r="IA512" s="36" t="s">
        <v>502</v>
      </c>
      <c r="IH512" s="36" t="s">
        <v>502</v>
      </c>
      <c r="IO512" s="36" t="s">
        <v>502</v>
      </c>
      <c r="IV512" s="36" t="s">
        <v>502</v>
      </c>
      <c r="JC512" s="36" t="s">
        <v>502</v>
      </c>
      <c r="JJ512" s="36" t="s">
        <v>502</v>
      </c>
      <c r="JQ512" s="36" t="s">
        <v>502</v>
      </c>
      <c r="JX512" s="36" t="s">
        <v>502</v>
      </c>
      <c r="KE512" s="36" t="s">
        <v>502</v>
      </c>
      <c r="KL512" s="36" t="s">
        <v>502</v>
      </c>
      <c r="KS512" s="36" t="s">
        <v>502</v>
      </c>
      <c r="KZ512" s="36" t="s">
        <v>502</v>
      </c>
      <c r="LF512" s="565"/>
      <c r="LG512" s="36" t="s">
        <v>502</v>
      </c>
      <c r="LM512" s="565"/>
      <c r="LN512" s="36" t="s">
        <v>502</v>
      </c>
      <c r="LT512" s="565"/>
      <c r="LU512" s="36" t="s">
        <v>502</v>
      </c>
      <c r="MA512" s="565"/>
      <c r="MB512" s="36" t="s">
        <v>502</v>
      </c>
      <c r="MH512" s="565"/>
    </row>
    <row r="513" spans="1:346" s="37" customFormat="1" ht="13.15" hidden="1" outlineLevel="1" x14ac:dyDescent="0.4">
      <c r="A513" s="35"/>
      <c r="B513" s="36" t="s">
        <v>147</v>
      </c>
      <c r="G513" s="37">
        <v>-1.715897967409457E-2</v>
      </c>
      <c r="H513" s="37">
        <v>-7.2984441301272934E-2</v>
      </c>
      <c r="I513" s="37">
        <v>-1.28818748072371E-2</v>
      </c>
      <c r="J513" s="37">
        <v>-5.8670369727477849E-2</v>
      </c>
      <c r="K513" s="37">
        <v>-4.5355700528114308E-2</v>
      </c>
      <c r="L513" s="37">
        <v>-0.12272636059821147</v>
      </c>
      <c r="M513" s="37">
        <v>6.9083550728454984E-2</v>
      </c>
      <c r="N513" s="37">
        <f t="shared" ref="N513:N518" si="7519">BT513</f>
        <v>3.058108196580676</v>
      </c>
      <c r="O513" s="37">
        <f t="shared" ref="O513:O518" si="7520">CA513</f>
        <v>0.11114390675553003</v>
      </c>
      <c r="P513" s="37">
        <f t="shared" ref="P513:P518" si="7521">CH513</f>
        <v>5.0140474234686282E-2</v>
      </c>
      <c r="Q513" s="37">
        <f t="shared" ref="Q513:Q518" si="7522">CO513</f>
        <v>-9.3036771906429228E-2</v>
      </c>
      <c r="R513" s="37">
        <f t="shared" ref="R513:R518" si="7523">CV513</f>
        <v>-9.5905787170859336E-4</v>
      </c>
      <c r="S513" s="37">
        <f t="shared" ref="S513:S518" si="7524">DC513</f>
        <v>0.14037014345659887</v>
      </c>
      <c r="T513" s="37">
        <f t="shared" ref="T513:T518" si="7525">DJ513</f>
        <v>-0.16160013089005237</v>
      </c>
      <c r="U513" s="37">
        <f t="shared" ref="U513:U518" si="7526">DQ513</f>
        <v>4.3934629866852988E-2</v>
      </c>
      <c r="V513" s="37">
        <f t="shared" ref="V513:V518" si="7527">DX513</f>
        <v>5.8852992737289476E-3</v>
      </c>
      <c r="W513" s="37">
        <f t="shared" ref="W513:W518" si="7528">EE513</f>
        <v>0</v>
      </c>
      <c r="X513" s="37">
        <f t="shared" ref="X513:X518" si="7529">EL513</f>
        <v>0</v>
      </c>
      <c r="Y513" s="37">
        <f t="shared" ref="Y513:Y518" si="7530">ES513</f>
        <v>0</v>
      </c>
      <c r="Z513" s="37">
        <f t="shared" ref="Z513:Z518" si="7531">EZ513</f>
        <v>0</v>
      </c>
      <c r="AA513" s="37">
        <f t="shared" ref="AA513:AA518" si="7532">FG513</f>
        <v>0</v>
      </c>
      <c r="AB513" s="37">
        <f t="shared" ref="AB513:AB518" si="7533">FN513</f>
        <v>0</v>
      </c>
      <c r="AC513" s="37">
        <f t="shared" ref="AC513:AC518" si="7534">FU513</f>
        <v>0</v>
      </c>
      <c r="AD513" s="37">
        <f t="shared" ref="AD513:AD518" si="7535">GB513</f>
        <v>0</v>
      </c>
      <c r="AE513" s="37">
        <f t="shared" ref="AE513:AE518" si="7536">GI513</f>
        <v>0</v>
      </c>
      <c r="AF513" s="37">
        <f t="shared" ref="AF513:AF518" si="7537">GP513</f>
        <v>0</v>
      </c>
      <c r="AG513" s="37">
        <f t="shared" ref="AG513:AG518" si="7538">GW513</f>
        <v>0</v>
      </c>
      <c r="AH513" s="37">
        <f t="shared" ref="AH513:AH518" si="7539">HD513</f>
        <v>0</v>
      </c>
      <c r="AI513" s="37">
        <f t="shared" ref="AI513:AI518" si="7540">HK513</f>
        <v>0</v>
      </c>
      <c r="AJ513" s="37">
        <f t="shared" ref="AJ513:AJ518" si="7541">HR513</f>
        <v>0</v>
      </c>
      <c r="AK513" s="37">
        <f t="shared" ref="AK513:AK518" si="7542">HY513</f>
        <v>0</v>
      </c>
      <c r="AL513" s="37">
        <f t="shared" ref="AL513:AL518" si="7543">IF513</f>
        <v>0</v>
      </c>
      <c r="AM513" s="37">
        <f t="shared" ref="AM513:AM518" si="7544">IM513</f>
        <v>0</v>
      </c>
      <c r="AN513" s="37">
        <f t="shared" ref="AN513:AN518" si="7545">IT513</f>
        <v>0</v>
      </c>
      <c r="AO513" s="37">
        <f t="shared" ref="AO513:AO518" si="7546">JA513</f>
        <v>0</v>
      </c>
      <c r="AP513" s="37">
        <f t="shared" ref="AP513:AP518" si="7547">JH513</f>
        <v>0</v>
      </c>
      <c r="AQ513" s="37">
        <f t="shared" ref="AQ513:AQ518" si="7548">JO513</f>
        <v>0</v>
      </c>
      <c r="AR513" s="37">
        <f t="shared" ref="AR513:AR518" si="7549">JV513</f>
        <v>0</v>
      </c>
      <c r="AS513" s="37">
        <f t="shared" ref="AS513:AS518" si="7550">KC513</f>
        <v>0</v>
      </c>
      <c r="AT513" s="37">
        <f t="shared" ref="AT513:AT518" si="7551">KJ513</f>
        <v>0</v>
      </c>
      <c r="AU513" s="37">
        <f t="shared" ref="AU513:AU518" si="7552">KQ513</f>
        <v>0</v>
      </c>
      <c r="AV513" s="37">
        <f t="shared" ref="AV513:AV518" si="7553">KX513</f>
        <v>0</v>
      </c>
      <c r="AW513" s="37">
        <f t="shared" ref="AW513:AW518" si="7554">LE513</f>
        <v>0</v>
      </c>
      <c r="AX513" s="37">
        <f t="shared" ref="AX513:AX518" si="7555">LL513</f>
        <v>0</v>
      </c>
      <c r="AY513" s="37">
        <f t="shared" ref="AY513:AY518" si="7556">LS513</f>
        <v>0</v>
      </c>
      <c r="AZ513" s="37">
        <f t="shared" ref="AZ513:AZ518" si="7557">LZ513</f>
        <v>0</v>
      </c>
      <c r="BA513" s="37">
        <f t="shared" ref="BA513:BA518" si="7558">MG513</f>
        <v>0</v>
      </c>
      <c r="BO513" s="36" t="s">
        <v>147</v>
      </c>
      <c r="BT513" s="37">
        <v>3.058108196580676</v>
      </c>
      <c r="BV513" s="36" t="s">
        <v>147</v>
      </c>
      <c r="BW513" s="37" t="e">
        <v>#DIV/0!</v>
      </c>
      <c r="BX513" s="37" t="e">
        <v>#DIV/0!</v>
      </c>
      <c r="BY513" s="37" t="e">
        <v>#DIV/0!</v>
      </c>
      <c r="BZ513" s="37">
        <v>5.0829484232326867E-2</v>
      </c>
      <c r="CA513" s="37">
        <v>0.11114390675553003</v>
      </c>
      <c r="CC513" s="36" t="s">
        <v>147</v>
      </c>
      <c r="CD513" s="37" t="e">
        <v>#DIV/0!</v>
      </c>
      <c r="CE513" s="37" t="e">
        <v>#DIV/0!</v>
      </c>
      <c r="CF513" s="37" t="e">
        <v>#DIV/0!</v>
      </c>
      <c r="CG513" s="37">
        <v>0.14817109431819819</v>
      </c>
      <c r="CH513" s="37">
        <v>5.0140474234686282E-2</v>
      </c>
      <c r="CJ513" s="36" t="s">
        <v>147</v>
      </c>
      <c r="CK513" s="37" t="e">
        <v>#DIV/0!</v>
      </c>
      <c r="CL513" s="37" t="e">
        <v>#DIV/0!</v>
      </c>
      <c r="CM513" s="37" t="e">
        <v>#DIV/0!</v>
      </c>
      <c r="CN513" s="37">
        <v>-0.11073828008360712</v>
      </c>
      <c r="CO513" s="37">
        <v>-9.3036771906429228E-2</v>
      </c>
      <c r="CQ513" s="36" t="s">
        <v>147</v>
      </c>
      <c r="CR513" s="37" t="e">
        <v>#DIV/0!</v>
      </c>
      <c r="CS513" s="37" t="e">
        <v>#DIV/0!</v>
      </c>
      <c r="CT513" s="37" t="e">
        <v>#DIV/0!</v>
      </c>
      <c r="CU513" s="37">
        <v>7.7723875493769051E-2</v>
      </c>
      <c r="CV513" s="37">
        <v>-9.5905787170859336E-4</v>
      </c>
      <c r="CX513" s="36" t="s">
        <v>147</v>
      </c>
      <c r="CY513" s="37" t="e">
        <v>#DIV/0!</v>
      </c>
      <c r="CZ513" s="37" t="e">
        <v>#DIV/0!</v>
      </c>
      <c r="DA513" s="37" t="e">
        <v>#DIV/0!</v>
      </c>
      <c r="DB513" s="37">
        <v>-8.4042998743541365E-3</v>
      </c>
      <c r="DC513" s="37">
        <v>0.14037014345659887</v>
      </c>
      <c r="DE513" s="36" t="s">
        <v>147</v>
      </c>
      <c r="DF513" s="37" t="e">
        <v>#DIV/0!</v>
      </c>
      <c r="DG513" s="37" t="e">
        <v>#DIV/0!</v>
      </c>
      <c r="DH513" s="37" t="e">
        <v>#DIV/0!</v>
      </c>
      <c r="DI513" s="37">
        <v>-0.17362020069808046</v>
      </c>
      <c r="DJ513" s="37">
        <v>-0.16160013089005237</v>
      </c>
      <c r="DL513" s="36" t="s">
        <v>147</v>
      </c>
      <c r="DM513" s="37" t="e">
        <v>#DIV/0!</v>
      </c>
      <c r="DN513" s="37" t="e">
        <v>#DIV/0!</v>
      </c>
      <c r="DO513" s="37" t="e">
        <v>#DIV/0!</v>
      </c>
      <c r="DP513" s="37">
        <v>0.10324909747292428</v>
      </c>
      <c r="DQ513" s="37">
        <v>4.3934629866852988E-2</v>
      </c>
      <c r="DS513" s="36" t="s">
        <v>147</v>
      </c>
      <c r="DT513" s="37" t="e">
        <v>#DIV/0!</v>
      </c>
      <c r="DU513" s="37">
        <v>-9.6551724137930922E-2</v>
      </c>
      <c r="DV513" s="37" t="e">
        <v>#DIV/0!</v>
      </c>
      <c r="DW513" s="37">
        <v>-7.5048000667835402E-2</v>
      </c>
      <c r="DX513" s="37">
        <v>5.8852992737289476E-3</v>
      </c>
      <c r="DZ513" s="36" t="s">
        <v>147</v>
      </c>
      <c r="EA513" s="37" t="e">
        <v>#DIV/0!</v>
      </c>
      <c r="EB513" s="37">
        <v>-8.3969465648854977E-2</v>
      </c>
      <c r="EG513" s="36" t="s">
        <v>147</v>
      </c>
      <c r="EN513" s="36" t="s">
        <v>147</v>
      </c>
      <c r="EU513" s="36" t="s">
        <v>147</v>
      </c>
      <c r="FB513" s="36" t="s">
        <v>147</v>
      </c>
      <c r="FI513" s="36" t="s">
        <v>147</v>
      </c>
      <c r="FP513" s="36" t="s">
        <v>147</v>
      </c>
      <c r="FW513" s="36" t="s">
        <v>147</v>
      </c>
      <c r="GD513" s="36" t="s">
        <v>147</v>
      </c>
      <c r="GK513" s="36" t="s">
        <v>147</v>
      </c>
      <c r="GR513" s="36" t="s">
        <v>147</v>
      </c>
      <c r="GY513" s="36" t="s">
        <v>147</v>
      </c>
      <c r="HF513" s="36" t="s">
        <v>147</v>
      </c>
      <c r="HM513" s="36" t="s">
        <v>147</v>
      </c>
      <c r="HT513" s="36" t="s">
        <v>147</v>
      </c>
      <c r="IA513" s="36" t="s">
        <v>147</v>
      </c>
      <c r="IH513" s="36" t="s">
        <v>147</v>
      </c>
      <c r="IO513" s="36" t="s">
        <v>147</v>
      </c>
      <c r="IV513" s="36" t="s">
        <v>147</v>
      </c>
      <c r="JC513" s="36" t="s">
        <v>147</v>
      </c>
      <c r="JJ513" s="36" t="s">
        <v>147</v>
      </c>
      <c r="JQ513" s="36" t="s">
        <v>147</v>
      </c>
      <c r="JX513" s="36" t="s">
        <v>147</v>
      </c>
      <c r="KE513" s="36" t="s">
        <v>147</v>
      </c>
      <c r="KL513" s="36" t="s">
        <v>147</v>
      </c>
      <c r="KS513" s="36" t="s">
        <v>147</v>
      </c>
      <c r="KZ513" s="36" t="s">
        <v>147</v>
      </c>
      <c r="LF513" s="565"/>
      <c r="LG513" s="36" t="s">
        <v>147</v>
      </c>
      <c r="LM513" s="565"/>
      <c r="LN513" s="36" t="s">
        <v>147</v>
      </c>
      <c r="LT513" s="565"/>
      <c r="LU513" s="36" t="s">
        <v>147</v>
      </c>
      <c r="MA513" s="565"/>
      <c r="MB513" s="36" t="s">
        <v>147</v>
      </c>
      <c r="MH513" s="565"/>
    </row>
    <row r="514" spans="1:346" s="37" customFormat="1" ht="13.15" hidden="1" outlineLevel="1" x14ac:dyDescent="0.4">
      <c r="A514" s="35"/>
      <c r="B514" s="36" t="s">
        <v>377</v>
      </c>
      <c r="G514" s="37">
        <v>-0.24991109530583208</v>
      </c>
      <c r="H514" s="37">
        <v>-1.6054368167044284E-2</v>
      </c>
      <c r="I514" s="37">
        <v>2.4171539961013608E-2</v>
      </c>
      <c r="J514" s="37">
        <v>-0.1058558558558558</v>
      </c>
      <c r="K514" s="37">
        <v>-5.1522784520265562E-2</v>
      </c>
      <c r="L514" s="37">
        <v>6.5279006256093022E-2</v>
      </c>
      <c r="M514" s="37">
        <v>0.15885826771653547</v>
      </c>
      <c r="N514" s="37">
        <f t="shared" si="7519"/>
        <v>3.3839152978715688</v>
      </c>
      <c r="O514" s="37">
        <f t="shared" si="7520"/>
        <v>-0.12266561640543644</v>
      </c>
      <c r="P514" s="37">
        <f t="shared" si="7521"/>
        <v>-8.0419284897429694E-2</v>
      </c>
      <c r="Q514" s="37">
        <f t="shared" si="7522"/>
        <v>-0.42258845097322584</v>
      </c>
      <c r="R514" s="37">
        <f t="shared" si="7523"/>
        <v>0.20988229595692168</v>
      </c>
      <c r="S514" s="37">
        <f t="shared" si="7524"/>
        <v>-0.11034440078772102</v>
      </c>
      <c r="T514" s="37">
        <f t="shared" si="7525"/>
        <v>0.59570860817217308</v>
      </c>
      <c r="U514" s="37">
        <f t="shared" si="7526"/>
        <v>9.477181474420256E-3</v>
      </c>
      <c r="V514" s="37">
        <f t="shared" si="7527"/>
        <v>-6.6943758880808599E-2</v>
      </c>
      <c r="W514" s="37">
        <f t="shared" si="7528"/>
        <v>0</v>
      </c>
      <c r="X514" s="37">
        <f t="shared" si="7529"/>
        <v>0</v>
      </c>
      <c r="Y514" s="37">
        <f t="shared" si="7530"/>
        <v>0</v>
      </c>
      <c r="Z514" s="37">
        <f t="shared" si="7531"/>
        <v>0</v>
      </c>
      <c r="AA514" s="37">
        <f t="shared" si="7532"/>
        <v>0</v>
      </c>
      <c r="AB514" s="37">
        <f t="shared" si="7533"/>
        <v>0</v>
      </c>
      <c r="AC514" s="37">
        <f t="shared" si="7534"/>
        <v>0</v>
      </c>
      <c r="AD514" s="37">
        <f t="shared" si="7535"/>
        <v>0</v>
      </c>
      <c r="AE514" s="37">
        <f t="shared" si="7536"/>
        <v>0</v>
      </c>
      <c r="AF514" s="37">
        <f t="shared" si="7537"/>
        <v>0</v>
      </c>
      <c r="AG514" s="37">
        <f t="shared" si="7538"/>
        <v>0</v>
      </c>
      <c r="AH514" s="37">
        <f t="shared" si="7539"/>
        <v>0</v>
      </c>
      <c r="AI514" s="37">
        <f t="shared" si="7540"/>
        <v>0</v>
      </c>
      <c r="AJ514" s="37">
        <f t="shared" si="7541"/>
        <v>0</v>
      </c>
      <c r="AK514" s="37">
        <f t="shared" si="7542"/>
        <v>0</v>
      </c>
      <c r="AL514" s="37">
        <f t="shared" si="7543"/>
        <v>0</v>
      </c>
      <c r="AM514" s="37">
        <f t="shared" si="7544"/>
        <v>0</v>
      </c>
      <c r="AN514" s="37">
        <f t="shared" si="7545"/>
        <v>0</v>
      </c>
      <c r="AO514" s="37">
        <f t="shared" si="7546"/>
        <v>0</v>
      </c>
      <c r="AP514" s="37">
        <f t="shared" si="7547"/>
        <v>0</v>
      </c>
      <c r="AQ514" s="37">
        <f t="shared" si="7548"/>
        <v>0</v>
      </c>
      <c r="AR514" s="37">
        <f t="shared" si="7549"/>
        <v>0</v>
      </c>
      <c r="AS514" s="37">
        <f t="shared" si="7550"/>
        <v>0</v>
      </c>
      <c r="AT514" s="37">
        <f t="shared" si="7551"/>
        <v>0</v>
      </c>
      <c r="AU514" s="37">
        <f t="shared" si="7552"/>
        <v>0</v>
      </c>
      <c r="AV514" s="37">
        <f t="shared" si="7553"/>
        <v>0</v>
      </c>
      <c r="AW514" s="37">
        <f t="shared" si="7554"/>
        <v>0</v>
      </c>
      <c r="AX514" s="37">
        <f t="shared" si="7555"/>
        <v>0</v>
      </c>
      <c r="AY514" s="37">
        <f t="shared" si="7556"/>
        <v>0</v>
      </c>
      <c r="AZ514" s="37">
        <f t="shared" si="7557"/>
        <v>0</v>
      </c>
      <c r="BA514" s="37">
        <f t="shared" si="7558"/>
        <v>0</v>
      </c>
      <c r="BO514" s="36" t="s">
        <v>377</v>
      </c>
      <c r="BT514" s="37">
        <v>3.3839152978715688</v>
      </c>
      <c r="BV514" s="36" t="s">
        <v>377</v>
      </c>
      <c r="BW514" s="37" t="e">
        <v>#DIV/0!</v>
      </c>
      <c r="BX514" s="37" t="e">
        <v>#DIV/0!</v>
      </c>
      <c r="BY514" s="37" t="e">
        <v>#DIV/0!</v>
      </c>
      <c r="BZ514" s="37">
        <v>-0.15935207969993059</v>
      </c>
      <c r="CA514" s="37">
        <v>-0.12266561640543644</v>
      </c>
      <c r="CC514" s="36" t="s">
        <v>377</v>
      </c>
      <c r="CD514" s="37" t="e">
        <v>#DIV/0!</v>
      </c>
      <c r="CE514" s="37" t="e">
        <v>#DIV/0!</v>
      </c>
      <c r="CF514" s="37" t="e">
        <v>#DIV/0!</v>
      </c>
      <c r="CG514" s="37">
        <v>3.6104757916438433E-2</v>
      </c>
      <c r="CH514" s="37">
        <v>-8.0419284897429694E-2</v>
      </c>
      <c r="CJ514" s="36" t="s">
        <v>377</v>
      </c>
      <c r="CK514" s="37" t="e">
        <v>#DIV/0!</v>
      </c>
      <c r="CL514" s="37" t="e">
        <v>#DIV/0!</v>
      </c>
      <c r="CM514" s="37" t="e">
        <v>#DIV/0!</v>
      </c>
      <c r="CN514" s="37">
        <v>-0.17203408047212407</v>
      </c>
      <c r="CO514" s="37">
        <v>-0.42258845097322584</v>
      </c>
      <c r="CQ514" s="36" t="s">
        <v>377</v>
      </c>
      <c r="CR514" s="37" t="e">
        <v>#DIV/0!</v>
      </c>
      <c r="CS514" s="37" t="e">
        <v>#DIV/0!</v>
      </c>
      <c r="CT514" s="37" t="e">
        <v>#DIV/0!</v>
      </c>
      <c r="CU514" s="37">
        <v>-5.6039462213937942E-2</v>
      </c>
      <c r="CV514" s="37">
        <v>0.20988229595692168</v>
      </c>
      <c r="CX514" s="36" t="s">
        <v>377</v>
      </c>
      <c r="CY514" s="37" t="e">
        <v>#DIV/0!</v>
      </c>
      <c r="CZ514" s="37" t="e">
        <v>#DIV/0!</v>
      </c>
      <c r="DA514" s="37" t="e">
        <v>#DIV/0!</v>
      </c>
      <c r="DB514" s="37">
        <v>8.4239440584981298E-2</v>
      </c>
      <c r="DC514" s="37">
        <v>-0.11034440078772102</v>
      </c>
      <c r="DE514" s="36" t="s">
        <v>377</v>
      </c>
      <c r="DF514" s="37" t="e">
        <v>#DIV/0!</v>
      </c>
      <c r="DG514" s="37" t="e">
        <v>#DIV/0!</v>
      </c>
      <c r="DH514" s="37" t="e">
        <v>#DIV/0!</v>
      </c>
      <c r="DI514" s="37">
        <v>0.27272619354991895</v>
      </c>
      <c r="DJ514" s="37">
        <v>0.59570860817217308</v>
      </c>
      <c r="DL514" s="36" t="s">
        <v>377</v>
      </c>
      <c r="DM514" s="37" t="e">
        <v>#DIV/0!</v>
      </c>
      <c r="DN514" s="37" t="e">
        <v>#DIV/0!</v>
      </c>
      <c r="DO514" s="37" t="e">
        <v>#DIV/0!</v>
      </c>
      <c r="DP514" s="37">
        <v>-9.275492481035591E-2</v>
      </c>
      <c r="DQ514" s="37">
        <v>9.477181474420256E-3</v>
      </c>
      <c r="DS514" s="36" t="s">
        <v>377</v>
      </c>
      <c r="DT514" s="37" t="e">
        <v>#DIV/0!</v>
      </c>
      <c r="DU514" s="37">
        <v>-0.14959723820483312</v>
      </c>
      <c r="DV514" s="37" t="e">
        <v>#DIV/0!</v>
      </c>
      <c r="DW514" s="37">
        <v>-1.4462110420512625E-2</v>
      </c>
      <c r="DX514" s="37">
        <v>-6.6943758880808599E-2</v>
      </c>
      <c r="DZ514" s="36" t="s">
        <v>377</v>
      </c>
      <c r="EA514" s="37" t="e">
        <v>#DIV/0!</v>
      </c>
      <c r="EB514" s="37">
        <v>-3.5182679296346386E-2</v>
      </c>
      <c r="EG514" s="36" t="s">
        <v>377</v>
      </c>
      <c r="EN514" s="36" t="s">
        <v>377</v>
      </c>
      <c r="EU514" s="36" t="s">
        <v>377</v>
      </c>
      <c r="FB514" s="36" t="s">
        <v>377</v>
      </c>
      <c r="FI514" s="36" t="s">
        <v>377</v>
      </c>
      <c r="FP514" s="36" t="s">
        <v>377</v>
      </c>
      <c r="FW514" s="36" t="s">
        <v>377</v>
      </c>
      <c r="GD514" s="36" t="s">
        <v>377</v>
      </c>
      <c r="GK514" s="36" t="s">
        <v>377</v>
      </c>
      <c r="GR514" s="36" t="s">
        <v>377</v>
      </c>
      <c r="GY514" s="36" t="s">
        <v>377</v>
      </c>
      <c r="HF514" s="36" t="s">
        <v>377</v>
      </c>
      <c r="HM514" s="36" t="s">
        <v>377</v>
      </c>
      <c r="HT514" s="36" t="s">
        <v>377</v>
      </c>
      <c r="IA514" s="36" t="s">
        <v>377</v>
      </c>
      <c r="IH514" s="36" t="s">
        <v>377</v>
      </c>
      <c r="IO514" s="36" t="s">
        <v>377</v>
      </c>
      <c r="IV514" s="36" t="s">
        <v>377</v>
      </c>
      <c r="JC514" s="36" t="s">
        <v>377</v>
      </c>
      <c r="JJ514" s="36" t="s">
        <v>377</v>
      </c>
      <c r="JQ514" s="36" t="s">
        <v>377</v>
      </c>
      <c r="JX514" s="36" t="s">
        <v>377</v>
      </c>
      <c r="KE514" s="36" t="s">
        <v>377</v>
      </c>
      <c r="KL514" s="36" t="s">
        <v>377</v>
      </c>
      <c r="KS514" s="36" t="s">
        <v>377</v>
      </c>
      <c r="KZ514" s="36" t="s">
        <v>377</v>
      </c>
      <c r="LF514" s="565"/>
      <c r="LG514" s="36" t="s">
        <v>377</v>
      </c>
      <c r="LM514" s="565"/>
      <c r="LN514" s="36" t="s">
        <v>377</v>
      </c>
      <c r="LT514" s="565"/>
      <c r="LU514" s="36" t="s">
        <v>377</v>
      </c>
      <c r="MA514" s="565"/>
      <c r="MB514" s="36" t="s">
        <v>377</v>
      </c>
      <c r="MH514" s="565"/>
    </row>
    <row r="515" spans="1:346" s="37" customFormat="1" ht="13.15" hidden="1" outlineLevel="1" x14ac:dyDescent="0.4">
      <c r="A515" s="35"/>
      <c r="B515" s="36" t="s">
        <v>378</v>
      </c>
      <c r="G515" s="37">
        <v>-0.14340918849291548</v>
      </c>
      <c r="H515" s="37">
        <v>-3.0075187969923725E-3</v>
      </c>
      <c r="I515" s="37">
        <v>1.4245014245014649E-3</v>
      </c>
      <c r="J515" s="37">
        <v>1.1750881316098616E-2</v>
      </c>
      <c r="K515" s="37">
        <v>-0.11846689895470379</v>
      </c>
      <c r="L515" s="37">
        <v>-5.7768535967249429E-2</v>
      </c>
      <c r="M515" s="37">
        <v>2.8806489790759619E-2</v>
      </c>
      <c r="N515" s="37">
        <f t="shared" si="7519"/>
        <v>3.6413366730279892</v>
      </c>
      <c r="O515" s="37">
        <f t="shared" si="7520"/>
        <v>-8.3672466174017482E-2</v>
      </c>
      <c r="P515" s="37">
        <f t="shared" si="7521"/>
        <v>1.8974048023284267E-2</v>
      </c>
      <c r="Q515" s="37">
        <f t="shared" si="7522"/>
        <v>-0.47509766758569083</v>
      </c>
      <c r="R515" s="37">
        <f t="shared" si="7523"/>
        <v>0.2278819069527252</v>
      </c>
      <c r="S515" s="37">
        <f t="shared" si="7524"/>
        <v>1.6855963326639415E-2</v>
      </c>
      <c r="T515" s="37">
        <f t="shared" si="7525"/>
        <v>0.20985823336968387</v>
      </c>
      <c r="U515" s="37">
        <f t="shared" si="7526"/>
        <v>3.7548154906731405E-2</v>
      </c>
      <c r="V515" s="37">
        <f t="shared" si="7527"/>
        <v>2.7234042553191309E-3</v>
      </c>
      <c r="W515" s="37">
        <f t="shared" si="7528"/>
        <v>0</v>
      </c>
      <c r="X515" s="37">
        <f t="shared" si="7529"/>
        <v>0</v>
      </c>
      <c r="Y515" s="37">
        <f t="shared" si="7530"/>
        <v>0</v>
      </c>
      <c r="Z515" s="37">
        <f t="shared" si="7531"/>
        <v>0</v>
      </c>
      <c r="AA515" s="37">
        <f t="shared" si="7532"/>
        <v>0</v>
      </c>
      <c r="AB515" s="37">
        <f t="shared" si="7533"/>
        <v>0</v>
      </c>
      <c r="AC515" s="37">
        <f t="shared" si="7534"/>
        <v>0</v>
      </c>
      <c r="AD515" s="37">
        <f t="shared" si="7535"/>
        <v>0</v>
      </c>
      <c r="AE515" s="37">
        <f t="shared" si="7536"/>
        <v>0</v>
      </c>
      <c r="AF515" s="37">
        <f t="shared" si="7537"/>
        <v>0</v>
      </c>
      <c r="AG515" s="37">
        <f t="shared" si="7538"/>
        <v>0</v>
      </c>
      <c r="AH515" s="37">
        <f t="shared" si="7539"/>
        <v>0</v>
      </c>
      <c r="AI515" s="37">
        <f t="shared" si="7540"/>
        <v>0</v>
      </c>
      <c r="AJ515" s="37">
        <f t="shared" si="7541"/>
        <v>0</v>
      </c>
      <c r="AK515" s="37">
        <f t="shared" si="7542"/>
        <v>0</v>
      </c>
      <c r="AL515" s="37">
        <f t="shared" si="7543"/>
        <v>0</v>
      </c>
      <c r="AM515" s="37">
        <f t="shared" si="7544"/>
        <v>0</v>
      </c>
      <c r="AN515" s="37">
        <f t="shared" si="7545"/>
        <v>0</v>
      </c>
      <c r="AO515" s="37">
        <f t="shared" si="7546"/>
        <v>0</v>
      </c>
      <c r="AP515" s="37">
        <f t="shared" si="7547"/>
        <v>0</v>
      </c>
      <c r="AQ515" s="37">
        <f t="shared" si="7548"/>
        <v>0</v>
      </c>
      <c r="AR515" s="37">
        <f t="shared" si="7549"/>
        <v>0</v>
      </c>
      <c r="AS515" s="37">
        <f t="shared" si="7550"/>
        <v>0</v>
      </c>
      <c r="AT515" s="37">
        <f t="shared" si="7551"/>
        <v>0</v>
      </c>
      <c r="AU515" s="37">
        <f t="shared" si="7552"/>
        <v>0</v>
      </c>
      <c r="AV515" s="37">
        <f t="shared" si="7553"/>
        <v>0</v>
      </c>
      <c r="AW515" s="37">
        <f t="shared" si="7554"/>
        <v>0</v>
      </c>
      <c r="AX515" s="37">
        <f t="shared" si="7555"/>
        <v>0</v>
      </c>
      <c r="AY515" s="37">
        <f t="shared" si="7556"/>
        <v>0</v>
      </c>
      <c r="AZ515" s="37">
        <f t="shared" si="7557"/>
        <v>0</v>
      </c>
      <c r="BA515" s="37">
        <f t="shared" si="7558"/>
        <v>0</v>
      </c>
      <c r="BO515" s="36" t="s">
        <v>378</v>
      </c>
      <c r="BT515" s="37">
        <v>3.6413366730279892</v>
      </c>
      <c r="BV515" s="36" t="s">
        <v>378</v>
      </c>
      <c r="BW515" s="37" t="e">
        <v>#DIV/0!</v>
      </c>
      <c r="BX515" s="37" t="e">
        <v>#DIV/0!</v>
      </c>
      <c r="BY515" s="37" t="e">
        <v>#DIV/0!</v>
      </c>
      <c r="BZ515" s="37">
        <v>0.13647298972078459</v>
      </c>
      <c r="CA515" s="37">
        <v>-8.3672466174017482E-2</v>
      </c>
      <c r="CC515" s="36" t="s">
        <v>378</v>
      </c>
      <c r="CD515" s="37" t="e">
        <v>#DIV/0!</v>
      </c>
      <c r="CE515" s="37" t="e">
        <v>#DIV/0!</v>
      </c>
      <c r="CF515" s="37" t="e">
        <v>#DIV/0!</v>
      </c>
      <c r="CG515" s="37">
        <v>-0.19579831932773117</v>
      </c>
      <c r="CH515" s="37">
        <v>1.8974048023284267E-2</v>
      </c>
      <c r="CJ515" s="36" t="s">
        <v>378</v>
      </c>
      <c r="CK515" s="37" t="e">
        <v>#DIV/0!</v>
      </c>
      <c r="CL515" s="37" t="e">
        <v>#DIV/0!</v>
      </c>
      <c r="CM515" s="37" t="e">
        <v>#DIV/0!</v>
      </c>
      <c r="CN515" s="37">
        <v>-8.2755809213208312E-2</v>
      </c>
      <c r="CO515" s="37">
        <v>-0.47509766758569083</v>
      </c>
      <c r="CQ515" s="36" t="s">
        <v>378</v>
      </c>
      <c r="CR515" s="37" t="e">
        <v>#DIV/0!</v>
      </c>
      <c r="CS515" s="37" t="e">
        <v>#DIV/0!</v>
      </c>
      <c r="CT515" s="37" t="e">
        <v>#DIV/0!</v>
      </c>
      <c r="CU515" s="37">
        <v>-0.12447237740533837</v>
      </c>
      <c r="CV515" s="37">
        <v>0.2278819069527252</v>
      </c>
      <c r="CX515" s="36" t="s">
        <v>378</v>
      </c>
      <c r="CY515" s="37" t="e">
        <v>#DIV/0!</v>
      </c>
      <c r="CZ515" s="37" t="e">
        <v>#DIV/0!</v>
      </c>
      <c r="DA515" s="37" t="e">
        <v>#DIV/0!</v>
      </c>
      <c r="DB515" s="37">
        <v>4.1572089640210204E-2</v>
      </c>
      <c r="DC515" s="37">
        <v>1.6855963326639415E-2</v>
      </c>
      <c r="DE515" s="36" t="s">
        <v>378</v>
      </c>
      <c r="DF515" s="37" t="e">
        <v>#DIV/0!</v>
      </c>
      <c r="DG515" s="37" t="e">
        <v>#DIV/0!</v>
      </c>
      <c r="DH515" s="37" t="e">
        <v>#DIV/0!</v>
      </c>
      <c r="DI515" s="37">
        <v>9.5130297446696682E-2</v>
      </c>
      <c r="DJ515" s="37">
        <v>0.20985823336968387</v>
      </c>
      <c r="DL515" s="36" t="s">
        <v>378</v>
      </c>
      <c r="DM515" s="37" t="e">
        <v>#DIV/0!</v>
      </c>
      <c r="DN515" s="37" t="e">
        <v>#DIV/0!</v>
      </c>
      <c r="DO515" s="37" t="e">
        <v>#DIV/0!</v>
      </c>
      <c r="DP515" s="37">
        <v>6.2449310624493048E-2</v>
      </c>
      <c r="DQ515" s="37">
        <v>3.7548154906731405E-2</v>
      </c>
      <c r="DS515" s="36" t="s">
        <v>378</v>
      </c>
      <c r="DT515" s="37" t="e">
        <v>#DIV/0!</v>
      </c>
      <c r="DU515" s="37">
        <v>-8.9756097560975606E-2</v>
      </c>
      <c r="DV515" s="37" t="e">
        <v>#DIV/0!</v>
      </c>
      <c r="DW515" s="37">
        <v>-8.9095744680851102E-2</v>
      </c>
      <c r="DX515" s="37">
        <v>2.7234042553191309E-3</v>
      </c>
      <c r="DZ515" s="36" t="s">
        <v>378</v>
      </c>
      <c r="EA515" s="37" t="e">
        <v>#DIV/0!</v>
      </c>
      <c r="EB515" s="37">
        <v>-8.0385852090032156E-2</v>
      </c>
      <c r="EG515" s="36" t="s">
        <v>378</v>
      </c>
      <c r="EN515" s="36" t="s">
        <v>378</v>
      </c>
      <c r="EU515" s="36" t="s">
        <v>378</v>
      </c>
      <c r="FB515" s="36" t="s">
        <v>378</v>
      </c>
      <c r="FI515" s="36" t="s">
        <v>378</v>
      </c>
      <c r="FP515" s="36" t="s">
        <v>378</v>
      </c>
      <c r="FW515" s="36" t="s">
        <v>378</v>
      </c>
      <c r="GD515" s="36" t="s">
        <v>378</v>
      </c>
      <c r="GK515" s="36" t="s">
        <v>378</v>
      </c>
      <c r="GR515" s="36" t="s">
        <v>378</v>
      </c>
      <c r="GY515" s="36" t="s">
        <v>378</v>
      </c>
      <c r="HF515" s="36" t="s">
        <v>378</v>
      </c>
      <c r="HM515" s="36" t="s">
        <v>378</v>
      </c>
      <c r="HT515" s="36" t="s">
        <v>378</v>
      </c>
      <c r="IA515" s="36" t="s">
        <v>378</v>
      </c>
      <c r="IH515" s="36" t="s">
        <v>378</v>
      </c>
      <c r="IO515" s="36" t="s">
        <v>378</v>
      </c>
      <c r="IV515" s="36" t="s">
        <v>378</v>
      </c>
      <c r="JC515" s="36" t="s">
        <v>378</v>
      </c>
      <c r="JJ515" s="36" t="s">
        <v>378</v>
      </c>
      <c r="JQ515" s="36" t="s">
        <v>378</v>
      </c>
      <c r="JX515" s="36" t="s">
        <v>378</v>
      </c>
      <c r="KE515" s="36" t="s">
        <v>378</v>
      </c>
      <c r="KL515" s="36" t="s">
        <v>378</v>
      </c>
      <c r="KS515" s="36" t="s">
        <v>378</v>
      </c>
      <c r="KZ515" s="36" t="s">
        <v>378</v>
      </c>
      <c r="LF515" s="565"/>
      <c r="LG515" s="36" t="s">
        <v>378</v>
      </c>
      <c r="LM515" s="565"/>
      <c r="LN515" s="36" t="s">
        <v>378</v>
      </c>
      <c r="LT515" s="565"/>
      <c r="LU515" s="36" t="s">
        <v>378</v>
      </c>
      <c r="MA515" s="565"/>
      <c r="MB515" s="36" t="s">
        <v>378</v>
      </c>
      <c r="MH515" s="565"/>
    </row>
    <row r="516" spans="1:346" s="37" customFormat="1" ht="13.15" hidden="1" outlineLevel="1" x14ac:dyDescent="0.4">
      <c r="A516" s="35"/>
      <c r="B516" s="36" t="s">
        <v>379</v>
      </c>
      <c r="G516" s="37">
        <v>-0.18260827345115563</v>
      </c>
      <c r="H516" s="37">
        <v>-0.17788461538461534</v>
      </c>
      <c r="I516" s="37">
        <v>-0.16131413805832406</v>
      </c>
      <c r="J516" s="37">
        <v>-5.915492957746489E-2</v>
      </c>
      <c r="K516" s="37">
        <v>3.689917462372562E-2</v>
      </c>
      <c r="L516" s="37">
        <v>-7.8640956770829801E-2</v>
      </c>
      <c r="M516" s="37">
        <v>0.18625546381738725</v>
      </c>
      <c r="N516" s="37">
        <f t="shared" si="7519"/>
        <v>2.6351999999999993</v>
      </c>
      <c r="O516" s="37">
        <f t="shared" si="7520"/>
        <v>4.0878122634367964E-2</v>
      </c>
      <c r="P516" s="37">
        <f t="shared" si="7521"/>
        <v>-0.25852961432506893</v>
      </c>
      <c r="Q516" s="37" t="e">
        <f t="shared" si="7522"/>
        <v>#DIV/0!</v>
      </c>
      <c r="R516" s="37">
        <f t="shared" si="7523"/>
        <v>0</v>
      </c>
      <c r="S516" s="37">
        <f t="shared" si="7524"/>
        <v>0</v>
      </c>
      <c r="T516" s="37">
        <f t="shared" si="7525"/>
        <v>0</v>
      </c>
      <c r="U516" s="37">
        <f t="shared" si="7526"/>
        <v>0</v>
      </c>
      <c r="V516" s="37">
        <f t="shared" si="7527"/>
        <v>0</v>
      </c>
      <c r="W516" s="37">
        <f t="shared" si="7528"/>
        <v>0</v>
      </c>
      <c r="X516" s="37">
        <f t="shared" si="7529"/>
        <v>0</v>
      </c>
      <c r="Y516" s="37">
        <f t="shared" si="7530"/>
        <v>0</v>
      </c>
      <c r="Z516" s="37">
        <f t="shared" si="7531"/>
        <v>0</v>
      </c>
      <c r="AA516" s="37">
        <f t="shared" si="7532"/>
        <v>0</v>
      </c>
      <c r="AB516" s="37">
        <f t="shared" si="7533"/>
        <v>0</v>
      </c>
      <c r="AC516" s="37">
        <f t="shared" si="7534"/>
        <v>0</v>
      </c>
      <c r="AD516" s="37">
        <f t="shared" si="7535"/>
        <v>0</v>
      </c>
      <c r="AE516" s="37">
        <f t="shared" si="7536"/>
        <v>0</v>
      </c>
      <c r="AF516" s="37">
        <f t="shared" si="7537"/>
        <v>0</v>
      </c>
      <c r="AG516" s="37">
        <f t="shared" si="7538"/>
        <v>0</v>
      </c>
      <c r="AH516" s="37">
        <f t="shared" si="7539"/>
        <v>0</v>
      </c>
      <c r="AI516" s="37">
        <f t="shared" si="7540"/>
        <v>0</v>
      </c>
      <c r="AJ516" s="37">
        <f t="shared" si="7541"/>
        <v>0</v>
      </c>
      <c r="AK516" s="37">
        <f t="shared" si="7542"/>
        <v>0</v>
      </c>
      <c r="AL516" s="37">
        <f t="shared" si="7543"/>
        <v>0</v>
      </c>
      <c r="AM516" s="37">
        <f t="shared" si="7544"/>
        <v>0</v>
      </c>
      <c r="AN516" s="37">
        <f t="shared" si="7545"/>
        <v>0</v>
      </c>
      <c r="AO516" s="37">
        <f t="shared" si="7546"/>
        <v>0</v>
      </c>
      <c r="AP516" s="37">
        <f t="shared" si="7547"/>
        <v>0</v>
      </c>
      <c r="AQ516" s="37">
        <f t="shared" si="7548"/>
        <v>0</v>
      </c>
      <c r="AR516" s="37">
        <f t="shared" si="7549"/>
        <v>0</v>
      </c>
      <c r="AS516" s="37">
        <f t="shared" si="7550"/>
        <v>0</v>
      </c>
      <c r="AT516" s="37">
        <f t="shared" si="7551"/>
        <v>0</v>
      </c>
      <c r="AU516" s="37">
        <f t="shared" si="7552"/>
        <v>0</v>
      </c>
      <c r="AV516" s="37">
        <f t="shared" si="7553"/>
        <v>0</v>
      </c>
      <c r="AW516" s="37">
        <f t="shared" si="7554"/>
        <v>0</v>
      </c>
      <c r="AX516" s="37">
        <f t="shared" si="7555"/>
        <v>0</v>
      </c>
      <c r="AY516" s="37">
        <f t="shared" si="7556"/>
        <v>0</v>
      </c>
      <c r="AZ516" s="37">
        <f t="shared" si="7557"/>
        <v>0</v>
      </c>
      <c r="BA516" s="37">
        <f t="shared" si="7558"/>
        <v>0</v>
      </c>
      <c r="BO516" s="36" t="s">
        <v>379</v>
      </c>
      <c r="BT516" s="37">
        <v>2.6351999999999993</v>
      </c>
      <c r="BV516" s="36" t="s">
        <v>379</v>
      </c>
      <c r="BW516" s="37" t="e">
        <v>#DIV/0!</v>
      </c>
      <c r="BX516" s="37" t="e">
        <v>#DIV/0!</v>
      </c>
      <c r="BY516" s="37" t="e">
        <v>#DIV/0!</v>
      </c>
      <c r="BZ516" s="37">
        <v>8.9517287243450649E-2</v>
      </c>
      <c r="CA516" s="37">
        <v>4.0878122634367964E-2</v>
      </c>
      <c r="CC516" s="36" t="s">
        <v>379</v>
      </c>
      <c r="CD516" s="37" t="e">
        <v>#DIV/0!</v>
      </c>
      <c r="CE516" s="37" t="e">
        <v>#DIV/0!</v>
      </c>
      <c r="CF516" s="37" t="e">
        <v>#DIV/0!</v>
      </c>
      <c r="CG516" s="37">
        <v>-8.1122589531680514E-2</v>
      </c>
      <c r="CH516" s="37">
        <v>-0.25852961432506893</v>
      </c>
      <c r="CJ516" s="36" t="s">
        <v>379</v>
      </c>
      <c r="CK516" s="37" t="e">
        <v>#DIV/0!</v>
      </c>
      <c r="CL516" s="37" t="e">
        <v>#DIV/0!</v>
      </c>
      <c r="CM516" s="37" t="e">
        <v>#DIV/0!</v>
      </c>
      <c r="CN516" s="37">
        <v>-1</v>
      </c>
      <c r="CO516" s="37" t="e">
        <v>#DIV/0!</v>
      </c>
      <c r="CQ516" s="36" t="s">
        <v>379</v>
      </c>
      <c r="CX516" s="36" t="s">
        <v>379</v>
      </c>
      <c r="DE516" s="36" t="s">
        <v>379</v>
      </c>
      <c r="DL516" s="36" t="s">
        <v>379</v>
      </c>
      <c r="DS516" s="36" t="s">
        <v>379</v>
      </c>
      <c r="DZ516" s="36" t="s">
        <v>379</v>
      </c>
      <c r="EG516" s="36" t="s">
        <v>379</v>
      </c>
      <c r="EN516" s="36" t="s">
        <v>379</v>
      </c>
      <c r="EU516" s="36" t="s">
        <v>379</v>
      </c>
      <c r="FB516" s="36" t="s">
        <v>379</v>
      </c>
      <c r="FI516" s="36" t="s">
        <v>379</v>
      </c>
      <c r="FP516" s="36" t="s">
        <v>379</v>
      </c>
      <c r="FW516" s="36" t="s">
        <v>379</v>
      </c>
      <c r="GD516" s="36" t="s">
        <v>379</v>
      </c>
      <c r="GK516" s="36" t="s">
        <v>379</v>
      </c>
      <c r="GR516" s="36" t="s">
        <v>379</v>
      </c>
      <c r="GY516" s="36" t="s">
        <v>379</v>
      </c>
      <c r="HF516" s="36" t="s">
        <v>379</v>
      </c>
      <c r="HM516" s="36" t="s">
        <v>379</v>
      </c>
      <c r="HT516" s="36" t="s">
        <v>379</v>
      </c>
      <c r="IA516" s="36" t="s">
        <v>379</v>
      </c>
      <c r="IH516" s="36" t="s">
        <v>379</v>
      </c>
      <c r="IO516" s="36" t="s">
        <v>379</v>
      </c>
      <c r="IV516" s="36" t="s">
        <v>379</v>
      </c>
      <c r="JC516" s="36" t="s">
        <v>379</v>
      </c>
      <c r="JJ516" s="36" t="s">
        <v>379</v>
      </c>
      <c r="JQ516" s="36" t="s">
        <v>379</v>
      </c>
      <c r="JX516" s="36" t="s">
        <v>379</v>
      </c>
      <c r="KE516" s="36" t="s">
        <v>379</v>
      </c>
      <c r="KL516" s="36" t="s">
        <v>379</v>
      </c>
      <c r="KS516" s="36" t="s">
        <v>379</v>
      </c>
      <c r="KZ516" s="36" t="s">
        <v>379</v>
      </c>
      <c r="LF516" s="565"/>
      <c r="LG516" s="36" t="s">
        <v>379</v>
      </c>
      <c r="LM516" s="565"/>
      <c r="LN516" s="36" t="s">
        <v>379</v>
      </c>
      <c r="LT516" s="565"/>
      <c r="LU516" s="36" t="s">
        <v>379</v>
      </c>
      <c r="MA516" s="565"/>
      <c r="MB516" s="36" t="s">
        <v>379</v>
      </c>
      <c r="MH516" s="565"/>
    </row>
    <row r="517" spans="1:346" s="37" customFormat="1" ht="13.15" hidden="1" outlineLevel="1" x14ac:dyDescent="0.4">
      <c r="A517" s="35"/>
      <c r="B517" s="36" t="s">
        <v>380</v>
      </c>
      <c r="G517" s="37">
        <v>0.15401069518716584</v>
      </c>
      <c r="H517" s="37">
        <v>-0.38898450946643726</v>
      </c>
      <c r="I517" s="37">
        <v>-0.17183098591549287</v>
      </c>
      <c r="J517" s="37">
        <v>-0.11764705882352941</v>
      </c>
      <c r="K517" s="37">
        <v>-0.11492063492063501</v>
      </c>
      <c r="L517" s="37">
        <v>-6.2083454710768537E-2</v>
      </c>
      <c r="M517" s="37">
        <v>0.13935795138244575</v>
      </c>
      <c r="N517" s="37">
        <f t="shared" si="7519"/>
        <v>3.7969206549118395</v>
      </c>
      <c r="O517" s="37">
        <f t="shared" si="7520"/>
        <v>-3.38481083667444E-2</v>
      </c>
      <c r="P517" s="37">
        <f t="shared" si="7521"/>
        <v>0.20565492462704038</v>
      </c>
      <c r="Q517" s="37" t="e">
        <f t="shared" si="7522"/>
        <v>#DIV/0!</v>
      </c>
      <c r="R517" s="37">
        <f t="shared" si="7523"/>
        <v>0</v>
      </c>
      <c r="S517" s="37">
        <f t="shared" si="7524"/>
        <v>0</v>
      </c>
      <c r="T517" s="37">
        <f t="shared" si="7525"/>
        <v>0</v>
      </c>
      <c r="U517" s="37">
        <f t="shared" si="7526"/>
        <v>0</v>
      </c>
      <c r="V517" s="37">
        <f t="shared" si="7527"/>
        <v>0</v>
      </c>
      <c r="W517" s="37">
        <f t="shared" si="7528"/>
        <v>0</v>
      </c>
      <c r="X517" s="37">
        <f t="shared" si="7529"/>
        <v>0</v>
      </c>
      <c r="Y517" s="37">
        <f t="shared" si="7530"/>
        <v>0</v>
      </c>
      <c r="Z517" s="37">
        <f t="shared" si="7531"/>
        <v>0</v>
      </c>
      <c r="AA517" s="37">
        <f t="shared" si="7532"/>
        <v>0</v>
      </c>
      <c r="AB517" s="37">
        <f t="shared" si="7533"/>
        <v>0</v>
      </c>
      <c r="AC517" s="37">
        <f t="shared" si="7534"/>
        <v>0</v>
      </c>
      <c r="AD517" s="37">
        <f t="shared" si="7535"/>
        <v>0</v>
      </c>
      <c r="AE517" s="37">
        <f t="shared" si="7536"/>
        <v>0</v>
      </c>
      <c r="AF517" s="37">
        <f t="shared" si="7537"/>
        <v>0</v>
      </c>
      <c r="AG517" s="37">
        <f t="shared" si="7538"/>
        <v>0</v>
      </c>
      <c r="AH517" s="37">
        <f t="shared" si="7539"/>
        <v>0</v>
      </c>
      <c r="AI517" s="37">
        <f t="shared" si="7540"/>
        <v>0</v>
      </c>
      <c r="AJ517" s="37">
        <f t="shared" si="7541"/>
        <v>0</v>
      </c>
      <c r="AK517" s="37">
        <f t="shared" si="7542"/>
        <v>0</v>
      </c>
      <c r="AL517" s="37">
        <f t="shared" si="7543"/>
        <v>0</v>
      </c>
      <c r="AM517" s="37">
        <f t="shared" si="7544"/>
        <v>0</v>
      </c>
      <c r="AN517" s="37">
        <f t="shared" si="7545"/>
        <v>0</v>
      </c>
      <c r="AO517" s="37">
        <f t="shared" si="7546"/>
        <v>0</v>
      </c>
      <c r="AP517" s="37">
        <f t="shared" si="7547"/>
        <v>0</v>
      </c>
      <c r="AQ517" s="37">
        <f t="shared" si="7548"/>
        <v>0</v>
      </c>
      <c r="AR517" s="37">
        <f t="shared" si="7549"/>
        <v>0</v>
      </c>
      <c r="AS517" s="37">
        <f t="shared" si="7550"/>
        <v>0</v>
      </c>
      <c r="AT517" s="37">
        <f t="shared" si="7551"/>
        <v>0</v>
      </c>
      <c r="AU517" s="37">
        <f t="shared" si="7552"/>
        <v>0</v>
      </c>
      <c r="AV517" s="37">
        <f t="shared" si="7553"/>
        <v>0</v>
      </c>
      <c r="AW517" s="37">
        <f t="shared" si="7554"/>
        <v>0</v>
      </c>
      <c r="AX517" s="37">
        <f t="shared" si="7555"/>
        <v>0</v>
      </c>
      <c r="AY517" s="37">
        <f t="shared" si="7556"/>
        <v>0</v>
      </c>
      <c r="AZ517" s="37">
        <f t="shared" si="7557"/>
        <v>0</v>
      </c>
      <c r="BA517" s="37">
        <f t="shared" si="7558"/>
        <v>0</v>
      </c>
      <c r="BO517" s="36" t="s">
        <v>380</v>
      </c>
      <c r="BT517" s="37">
        <v>3.7969206549118395</v>
      </c>
      <c r="BV517" s="36" t="s">
        <v>380</v>
      </c>
      <c r="BW517" s="37" t="e">
        <v>#DIV/0!</v>
      </c>
      <c r="BX517" s="37" t="e">
        <v>#DIV/0!</v>
      </c>
      <c r="BY517" s="37" t="e">
        <v>#DIV/0!</v>
      </c>
      <c r="BZ517" s="37">
        <v>-2.581222466960356E-3</v>
      </c>
      <c r="CA517" s="37">
        <v>-3.38481083667444E-2</v>
      </c>
      <c r="CC517" s="36" t="s">
        <v>380</v>
      </c>
      <c r="CD517" s="37" t="e">
        <v>#DIV/0!</v>
      </c>
      <c r="CE517" s="37" t="e">
        <v>#DIV/0!</v>
      </c>
      <c r="CF517" s="37" t="e">
        <v>#DIV/0!</v>
      </c>
      <c r="CG517" s="37">
        <v>-1.1236664351997923E-2</v>
      </c>
      <c r="CH517" s="37">
        <v>0.20565492462704038</v>
      </c>
      <c r="CJ517" s="36" t="s">
        <v>380</v>
      </c>
      <c r="CK517" s="37" t="e">
        <v>#DIV/0!</v>
      </c>
      <c r="CL517" s="37" t="e">
        <v>#DIV/0!</v>
      </c>
      <c r="CM517" s="37" t="e">
        <v>#DIV/0!</v>
      </c>
      <c r="CN517" s="37">
        <v>-1</v>
      </c>
      <c r="CO517" s="37" t="e">
        <v>#DIV/0!</v>
      </c>
      <c r="CQ517" s="36" t="s">
        <v>380</v>
      </c>
      <c r="CX517" s="36" t="s">
        <v>380</v>
      </c>
      <c r="DE517" s="36" t="s">
        <v>380</v>
      </c>
      <c r="DL517" s="36" t="s">
        <v>380</v>
      </c>
      <c r="DS517" s="36" t="s">
        <v>380</v>
      </c>
      <c r="DZ517" s="36" t="s">
        <v>380</v>
      </c>
      <c r="EG517" s="36" t="s">
        <v>380</v>
      </c>
      <c r="EN517" s="36" t="s">
        <v>380</v>
      </c>
      <c r="EU517" s="36" t="s">
        <v>380</v>
      </c>
      <c r="FB517" s="36" t="s">
        <v>380</v>
      </c>
      <c r="FI517" s="36" t="s">
        <v>380</v>
      </c>
      <c r="FP517" s="36" t="s">
        <v>380</v>
      </c>
      <c r="FW517" s="36" t="s">
        <v>380</v>
      </c>
      <c r="GD517" s="36" t="s">
        <v>380</v>
      </c>
      <c r="GK517" s="36" t="s">
        <v>380</v>
      </c>
      <c r="GR517" s="36" t="s">
        <v>380</v>
      </c>
      <c r="GY517" s="36" t="s">
        <v>380</v>
      </c>
      <c r="HF517" s="36" t="s">
        <v>380</v>
      </c>
      <c r="HM517" s="36" t="s">
        <v>380</v>
      </c>
      <c r="HT517" s="36" t="s">
        <v>380</v>
      </c>
      <c r="IA517" s="36" t="s">
        <v>380</v>
      </c>
      <c r="IH517" s="36" t="s">
        <v>380</v>
      </c>
      <c r="IO517" s="36" t="s">
        <v>380</v>
      </c>
      <c r="IV517" s="36" t="s">
        <v>380</v>
      </c>
      <c r="JC517" s="36" t="s">
        <v>380</v>
      </c>
      <c r="JJ517" s="36" t="s">
        <v>380</v>
      </c>
      <c r="JQ517" s="36" t="s">
        <v>380</v>
      </c>
      <c r="JX517" s="36" t="s">
        <v>380</v>
      </c>
      <c r="KE517" s="36" t="s">
        <v>380</v>
      </c>
      <c r="KL517" s="36" t="s">
        <v>380</v>
      </c>
      <c r="KS517" s="36" t="s">
        <v>380</v>
      </c>
      <c r="KZ517" s="36" t="s">
        <v>380</v>
      </c>
      <c r="LF517" s="565"/>
      <c r="LG517" s="36" t="s">
        <v>380</v>
      </c>
      <c r="LM517" s="565"/>
      <c r="LN517" s="36" t="s">
        <v>380</v>
      </c>
      <c r="LT517" s="565"/>
      <c r="LU517" s="36" t="s">
        <v>380</v>
      </c>
      <c r="MA517" s="565"/>
      <c r="MB517" s="36" t="s">
        <v>380</v>
      </c>
      <c r="MH517" s="565"/>
    </row>
    <row r="518" spans="1:346" s="37" customFormat="1" ht="13.15" hidden="1" outlineLevel="1" x14ac:dyDescent="0.4">
      <c r="A518" s="35"/>
      <c r="B518" s="36" t="s">
        <v>389</v>
      </c>
      <c r="G518" s="37">
        <v>-0.12124020914406826</v>
      </c>
      <c r="H518" s="37">
        <v>-8.8165919506946161E-2</v>
      </c>
      <c r="I518" s="37">
        <v>-5.5326786205805133E-2</v>
      </c>
      <c r="J518" s="37">
        <v>-6.8631509832205201E-2</v>
      </c>
      <c r="K518" s="37">
        <v>-4.985133862055606E-2</v>
      </c>
      <c r="L518" s="37">
        <v>-6.3732555976649438E-2</v>
      </c>
      <c r="M518" s="37">
        <v>0.13781658682513703</v>
      </c>
      <c r="N518" s="37">
        <f t="shared" si="7519"/>
        <v>3.2772155863966312</v>
      </c>
      <c r="O518" s="37">
        <f t="shared" si="7520"/>
        <v>5.3885592369601696E-3</v>
      </c>
      <c r="P518" s="37">
        <f t="shared" si="7521"/>
        <v>-3.2699547066358359E-2</v>
      </c>
      <c r="Q518" s="37">
        <f t="shared" si="7522"/>
        <v>-0.1371441709420104</v>
      </c>
      <c r="R518" s="37">
        <f t="shared" si="7523"/>
        <v>-3.323765883386786E-2</v>
      </c>
      <c r="S518" s="37">
        <f t="shared" si="7524"/>
        <v>1.8399369289533528E-2</v>
      </c>
      <c r="T518" s="37">
        <f t="shared" si="7525"/>
        <v>0.21424485549862343</v>
      </c>
      <c r="U518" s="37">
        <f t="shared" si="7526"/>
        <v>5.369499534292025E-2</v>
      </c>
      <c r="V518" s="37">
        <f t="shared" si="7527"/>
        <v>-3.0430421247649324E-2</v>
      </c>
      <c r="W518" s="37">
        <f t="shared" si="7528"/>
        <v>0</v>
      </c>
      <c r="X518" s="37">
        <f t="shared" si="7529"/>
        <v>0</v>
      </c>
      <c r="Y518" s="37">
        <f t="shared" si="7530"/>
        <v>0</v>
      </c>
      <c r="Z518" s="37">
        <f t="shared" si="7531"/>
        <v>0</v>
      </c>
      <c r="AA518" s="37">
        <f t="shared" si="7532"/>
        <v>0</v>
      </c>
      <c r="AB518" s="37">
        <f t="shared" si="7533"/>
        <v>0</v>
      </c>
      <c r="AC518" s="37">
        <f t="shared" si="7534"/>
        <v>0</v>
      </c>
      <c r="AD518" s="37">
        <f t="shared" si="7535"/>
        <v>0</v>
      </c>
      <c r="AE518" s="37">
        <f t="shared" si="7536"/>
        <v>0</v>
      </c>
      <c r="AF518" s="37">
        <f t="shared" si="7537"/>
        <v>0</v>
      </c>
      <c r="AG518" s="37">
        <f t="shared" si="7538"/>
        <v>0</v>
      </c>
      <c r="AH518" s="37">
        <f t="shared" si="7539"/>
        <v>0</v>
      </c>
      <c r="AI518" s="37">
        <f t="shared" si="7540"/>
        <v>0</v>
      </c>
      <c r="AJ518" s="37">
        <f t="shared" si="7541"/>
        <v>0</v>
      </c>
      <c r="AK518" s="37">
        <f t="shared" si="7542"/>
        <v>0</v>
      </c>
      <c r="AL518" s="37">
        <f t="shared" si="7543"/>
        <v>0</v>
      </c>
      <c r="AM518" s="37">
        <f t="shared" si="7544"/>
        <v>0</v>
      </c>
      <c r="AN518" s="37">
        <f t="shared" si="7545"/>
        <v>0</v>
      </c>
      <c r="AO518" s="37">
        <f t="shared" si="7546"/>
        <v>0</v>
      </c>
      <c r="AP518" s="37">
        <f t="shared" si="7547"/>
        <v>0</v>
      </c>
      <c r="AQ518" s="37">
        <f t="shared" si="7548"/>
        <v>0</v>
      </c>
      <c r="AR518" s="37">
        <f t="shared" si="7549"/>
        <v>0</v>
      </c>
      <c r="AS518" s="37">
        <f t="shared" si="7550"/>
        <v>0</v>
      </c>
      <c r="AT518" s="37">
        <f t="shared" si="7551"/>
        <v>0</v>
      </c>
      <c r="AU518" s="37">
        <f t="shared" si="7552"/>
        <v>0</v>
      </c>
      <c r="AV518" s="37">
        <f t="shared" si="7553"/>
        <v>0</v>
      </c>
      <c r="AW518" s="37">
        <f t="shared" si="7554"/>
        <v>0</v>
      </c>
      <c r="AX518" s="37">
        <f t="shared" si="7555"/>
        <v>0</v>
      </c>
      <c r="AY518" s="37">
        <f t="shared" si="7556"/>
        <v>0</v>
      </c>
      <c r="AZ518" s="37">
        <f t="shared" si="7557"/>
        <v>0</v>
      </c>
      <c r="BA518" s="37">
        <f t="shared" si="7558"/>
        <v>0</v>
      </c>
      <c r="BO518" s="36" t="s">
        <v>389</v>
      </c>
      <c r="BT518" s="37">
        <v>3.2772155863966312</v>
      </c>
      <c r="BV518" s="36" t="s">
        <v>389</v>
      </c>
      <c r="BW518" s="37" t="e">
        <v>#DIV/0!</v>
      </c>
      <c r="BX518" s="37" t="e">
        <v>#DIV/0!</v>
      </c>
      <c r="BY518" s="37" t="e">
        <v>#DIV/0!</v>
      </c>
      <c r="BZ518" s="37">
        <v>1.5902803418254435E-2</v>
      </c>
      <c r="CA518" s="37">
        <v>5.3885592369601696E-3</v>
      </c>
      <c r="CC518" s="36" t="s">
        <v>389</v>
      </c>
      <c r="CD518" s="37" t="e">
        <v>#DIV/0!</v>
      </c>
      <c r="CE518" s="37" t="e">
        <v>#DIV/0!</v>
      </c>
      <c r="CF518" s="37" t="e">
        <v>#DIV/0!</v>
      </c>
      <c r="CG518" s="37">
        <v>-1.0548314095351093E-2</v>
      </c>
      <c r="CH518" s="37">
        <v>-3.2699547066358359E-2</v>
      </c>
      <c r="CJ518" s="36" t="s">
        <v>389</v>
      </c>
      <c r="CK518" s="37" t="e">
        <v>#DIV/0!</v>
      </c>
      <c r="CL518" s="37" t="e">
        <v>#DIV/0!</v>
      </c>
      <c r="CM518" s="37" t="e">
        <v>#DIV/0!</v>
      </c>
      <c r="CN518" s="37">
        <v>-3.3742221504031659E-2</v>
      </c>
      <c r="CO518" s="37">
        <v>-0.1371441709420104</v>
      </c>
      <c r="CQ518" s="36" t="s">
        <v>389</v>
      </c>
      <c r="CR518" s="37" t="e">
        <v>#DIV/0!</v>
      </c>
      <c r="CS518" s="37" t="e">
        <v>#DIV/0!</v>
      </c>
      <c r="CT518" s="37" t="e">
        <v>#DIV/0!</v>
      </c>
      <c r="CU518" s="37">
        <v>-9.4357307715510867E-3</v>
      </c>
      <c r="CV518" s="37">
        <v>-3.323765883386786E-2</v>
      </c>
      <c r="CX518" s="36" t="s">
        <v>389</v>
      </c>
      <c r="CY518" s="37" t="e">
        <v>#DIV/0!</v>
      </c>
      <c r="CZ518" s="37" t="e">
        <v>#DIV/0!</v>
      </c>
      <c r="DA518" s="37" t="e">
        <v>#DIV/0!</v>
      </c>
      <c r="DB518" s="37">
        <v>8.0856073787694008E-2</v>
      </c>
      <c r="DC518" s="37">
        <v>1.8399369289533528E-2</v>
      </c>
      <c r="DE518" s="36" t="s">
        <v>389</v>
      </c>
      <c r="DF518" s="37" t="e">
        <v>#DIV/0!</v>
      </c>
      <c r="DG518" s="37" t="e">
        <v>#DIV/0!</v>
      </c>
      <c r="DH518" s="37" t="e">
        <v>#DIV/0!</v>
      </c>
      <c r="DI518" s="37">
        <v>8.9300314541029838E-2</v>
      </c>
      <c r="DJ518" s="37">
        <v>0.21424485549862343</v>
      </c>
      <c r="DL518" s="36" t="s">
        <v>389</v>
      </c>
      <c r="DM518" s="37" t="e">
        <v>#DIV/0!</v>
      </c>
      <c r="DN518" s="37" t="e">
        <v>#DIV/0!</v>
      </c>
      <c r="DO518" s="37" t="e">
        <v>#DIV/0!</v>
      </c>
      <c r="DP518" s="37">
        <v>2.5010013618521135E-2</v>
      </c>
      <c r="DQ518" s="37">
        <v>5.369499534292025E-2</v>
      </c>
      <c r="DS518" s="36" t="s">
        <v>389</v>
      </c>
      <c r="DT518" s="37" t="e">
        <v>#DIV/0!</v>
      </c>
      <c r="DU518" s="37">
        <v>-0.13129973474801063</v>
      </c>
      <c r="DV518" s="37" t="e">
        <v>#DIV/0!</v>
      </c>
      <c r="DW518" s="37">
        <v>-4.2167890810248049E-2</v>
      </c>
      <c r="DX518" s="37">
        <v>-3.0430421247649324E-2</v>
      </c>
      <c r="DZ518" s="36" t="s">
        <v>389</v>
      </c>
      <c r="EA518" s="37" t="e">
        <v>#DIV/0!</v>
      </c>
      <c r="EB518" s="37">
        <v>-3.8167938931297711E-2</v>
      </c>
      <c r="EG518" s="36" t="s">
        <v>389</v>
      </c>
      <c r="EN518" s="36" t="s">
        <v>389</v>
      </c>
      <c r="EU518" s="36" t="s">
        <v>389</v>
      </c>
      <c r="FB518" s="36" t="s">
        <v>389</v>
      </c>
      <c r="FI518" s="36" t="s">
        <v>389</v>
      </c>
      <c r="FP518" s="36" t="s">
        <v>389</v>
      </c>
      <c r="FW518" s="36" t="s">
        <v>389</v>
      </c>
      <c r="GD518" s="36" t="s">
        <v>389</v>
      </c>
      <c r="GK518" s="36" t="s">
        <v>389</v>
      </c>
      <c r="GR518" s="36" t="s">
        <v>389</v>
      </c>
      <c r="GY518" s="36" t="s">
        <v>389</v>
      </c>
      <c r="HF518" s="36" t="s">
        <v>389</v>
      </c>
      <c r="HM518" s="36" t="s">
        <v>389</v>
      </c>
      <c r="HT518" s="36" t="s">
        <v>389</v>
      </c>
      <c r="IA518" s="36" t="s">
        <v>389</v>
      </c>
      <c r="IH518" s="36" t="s">
        <v>389</v>
      </c>
      <c r="IO518" s="36" t="s">
        <v>389</v>
      </c>
      <c r="IV518" s="36" t="s">
        <v>389</v>
      </c>
      <c r="JC518" s="36" t="s">
        <v>389</v>
      </c>
      <c r="JJ518" s="36" t="s">
        <v>389</v>
      </c>
      <c r="JQ518" s="36" t="s">
        <v>389</v>
      </c>
      <c r="JX518" s="36" t="s">
        <v>389</v>
      </c>
      <c r="KE518" s="36" t="s">
        <v>389</v>
      </c>
      <c r="KL518" s="36" t="s">
        <v>389</v>
      </c>
      <c r="KS518" s="36" t="s">
        <v>389</v>
      </c>
      <c r="KZ518" s="36" t="s">
        <v>389</v>
      </c>
      <c r="LF518" s="565"/>
      <c r="LG518" s="36" t="s">
        <v>389</v>
      </c>
      <c r="LM518" s="565"/>
      <c r="LN518" s="36" t="s">
        <v>389</v>
      </c>
      <c r="LT518" s="565"/>
      <c r="LU518" s="36" t="s">
        <v>389</v>
      </c>
      <c r="MA518" s="565"/>
      <c r="MB518" s="36" t="s">
        <v>389</v>
      </c>
      <c r="MH518" s="565"/>
    </row>
    <row r="519" spans="1:346" s="37" customFormat="1" ht="13.15" hidden="1" outlineLevel="1" x14ac:dyDescent="0.4">
      <c r="A519" s="35"/>
      <c r="B519" s="36"/>
      <c r="BO519" s="36"/>
      <c r="BV519" s="36"/>
      <c r="CC519" s="36"/>
      <c r="CJ519" s="36"/>
      <c r="CQ519" s="36"/>
      <c r="CX519" s="36"/>
      <c r="DE519" s="36"/>
      <c r="DL519" s="36"/>
      <c r="DS519" s="36"/>
      <c r="DZ519" s="36"/>
      <c r="EG519" s="36"/>
      <c r="EN519" s="36"/>
      <c r="EU519" s="36"/>
      <c r="FB519" s="36"/>
      <c r="FI519" s="36"/>
      <c r="FP519" s="36"/>
      <c r="FW519" s="36"/>
      <c r="GD519" s="36"/>
      <c r="GK519" s="36"/>
      <c r="GR519" s="36"/>
      <c r="GY519" s="36"/>
      <c r="HF519" s="36"/>
      <c r="HM519" s="36"/>
      <c r="HT519" s="36"/>
      <c r="IA519" s="36"/>
      <c r="IH519" s="36"/>
      <c r="IO519" s="36"/>
      <c r="IV519" s="36"/>
      <c r="JC519" s="36"/>
      <c r="JJ519" s="36"/>
      <c r="JQ519" s="36"/>
      <c r="JX519" s="36"/>
      <c r="KE519" s="36"/>
      <c r="KL519" s="36"/>
      <c r="KS519" s="36"/>
      <c r="KZ519" s="36"/>
      <c r="LF519" s="565"/>
      <c r="LG519" s="36"/>
      <c r="LM519" s="565"/>
      <c r="LN519" s="36"/>
      <c r="LT519" s="565"/>
      <c r="LU519" s="36"/>
      <c r="MA519" s="565"/>
      <c r="MB519" s="36"/>
      <c r="MH519" s="565"/>
    </row>
    <row r="520" spans="1:346" s="37" customFormat="1" ht="13.15" hidden="1" outlineLevel="1" x14ac:dyDescent="0.4">
      <c r="A520" s="35"/>
      <c r="B520" s="36"/>
      <c r="C520" s="37">
        <v>1978</v>
      </c>
      <c r="D520" s="37">
        <v>1979</v>
      </c>
      <c r="E520" s="37">
        <v>1980</v>
      </c>
      <c r="F520" s="37">
        <v>1981</v>
      </c>
      <c r="G520" s="37">
        <v>1982</v>
      </c>
      <c r="H520" s="37">
        <v>1983</v>
      </c>
      <c r="I520" s="37">
        <v>1984</v>
      </c>
      <c r="J520" s="37">
        <v>1985</v>
      </c>
      <c r="K520" s="37">
        <v>1986</v>
      </c>
      <c r="L520" s="37">
        <v>1987</v>
      </c>
      <c r="M520" s="37">
        <v>1988</v>
      </c>
      <c r="BO520" s="36"/>
      <c r="BV520" s="36"/>
      <c r="CC520" s="36"/>
      <c r="CJ520" s="36"/>
      <c r="CQ520" s="36"/>
      <c r="CX520" s="36"/>
      <c r="DE520" s="36"/>
      <c r="DL520" s="36"/>
      <c r="DS520" s="36"/>
      <c r="DZ520" s="36"/>
      <c r="EA520" s="37">
        <v>5.2354899570691088E-2</v>
      </c>
      <c r="EB520" s="37">
        <v>9.9820619927789025E-2</v>
      </c>
      <c r="EC520" s="37">
        <v>9.9235604986121065E-2</v>
      </c>
      <c r="ED520" s="37" t="e">
        <v>#REF!</v>
      </c>
      <c r="EG520" s="36"/>
      <c r="EN520" s="36"/>
      <c r="EU520" s="36"/>
      <c r="FB520" s="36"/>
      <c r="FI520" s="36"/>
      <c r="FP520" s="36"/>
      <c r="FW520" s="36"/>
      <c r="GD520" s="36"/>
      <c r="GK520" s="36"/>
      <c r="GR520" s="36"/>
      <c r="GY520" s="36"/>
      <c r="HF520" s="36"/>
      <c r="HM520" s="36"/>
      <c r="HT520" s="36"/>
      <c r="IA520" s="36"/>
      <c r="IH520" s="36"/>
      <c r="IO520" s="36"/>
      <c r="IV520" s="36"/>
      <c r="JC520" s="36"/>
      <c r="JJ520" s="36"/>
      <c r="JQ520" s="36"/>
      <c r="JX520" s="36"/>
      <c r="KE520" s="36"/>
      <c r="KL520" s="36"/>
      <c r="KS520" s="36"/>
      <c r="KZ520" s="36"/>
      <c r="LF520" s="565"/>
      <c r="LG520" s="36"/>
      <c r="LM520" s="565"/>
      <c r="LN520" s="36"/>
      <c r="LT520" s="565"/>
      <c r="LU520" s="36"/>
      <c r="MA520" s="565"/>
      <c r="MB520" s="36"/>
      <c r="MH520" s="565"/>
    </row>
    <row r="521" spans="1:346" s="37" customFormat="1" ht="13.15" hidden="1" outlineLevel="1" x14ac:dyDescent="0.4">
      <c r="A521" s="35"/>
      <c r="B521" s="36" t="s">
        <v>390</v>
      </c>
      <c r="BO521" s="36" t="s">
        <v>390</v>
      </c>
      <c r="BP521" s="37">
        <v>1989</v>
      </c>
      <c r="BQ521" s="37">
        <v>1989</v>
      </c>
      <c r="BR521" s="37">
        <v>1989</v>
      </c>
      <c r="BS521" s="37">
        <v>1989</v>
      </c>
      <c r="BT521" s="37">
        <v>1989</v>
      </c>
      <c r="BV521" s="36" t="s">
        <v>390</v>
      </c>
      <c r="BW521" s="37">
        <v>1990</v>
      </c>
      <c r="BX521" s="37">
        <v>1990</v>
      </c>
      <c r="BY521" s="37">
        <v>1990</v>
      </c>
      <c r="BZ521" s="37">
        <v>1990</v>
      </c>
      <c r="CA521" s="37">
        <v>1990</v>
      </c>
      <c r="CC521" s="36" t="s">
        <v>390</v>
      </c>
      <c r="CD521" s="37">
        <v>1991</v>
      </c>
      <c r="CE521" s="37">
        <v>1991</v>
      </c>
      <c r="CF521" s="37">
        <v>1991</v>
      </c>
      <c r="CG521" s="37">
        <v>1991</v>
      </c>
      <c r="CH521" s="37">
        <v>1991</v>
      </c>
      <c r="CJ521" s="36" t="s">
        <v>390</v>
      </c>
      <c r="CK521" s="37">
        <v>1992</v>
      </c>
      <c r="CL521" s="37">
        <v>1992</v>
      </c>
      <c r="CM521" s="37">
        <v>1992</v>
      </c>
      <c r="CN521" s="37">
        <v>1992</v>
      </c>
      <c r="CO521" s="37">
        <v>1992</v>
      </c>
      <c r="CQ521" s="36" t="s">
        <v>390</v>
      </c>
      <c r="CR521" s="37">
        <v>1993</v>
      </c>
      <c r="CS521" s="37">
        <v>1993</v>
      </c>
      <c r="CT521" s="37">
        <v>1993</v>
      </c>
      <c r="CU521" s="37">
        <v>1993</v>
      </c>
      <c r="CV521" s="37">
        <v>1993</v>
      </c>
      <c r="CX521" s="36" t="s">
        <v>390</v>
      </c>
      <c r="CY521" s="37">
        <v>1994</v>
      </c>
      <c r="CZ521" s="37">
        <v>1994</v>
      </c>
      <c r="DA521" s="37">
        <v>1994</v>
      </c>
      <c r="DB521" s="37">
        <v>1994</v>
      </c>
      <c r="DC521" s="37">
        <v>1994</v>
      </c>
      <c r="DE521" s="36" t="s">
        <v>390</v>
      </c>
      <c r="DF521" s="37">
        <v>1995</v>
      </c>
      <c r="DG521" s="37">
        <v>1995</v>
      </c>
      <c r="DH521" s="37">
        <v>1995</v>
      </c>
      <c r="DI521" s="37">
        <v>1995</v>
      </c>
      <c r="DJ521" s="37">
        <v>1995</v>
      </c>
      <c r="DL521" s="36" t="s">
        <v>390</v>
      </c>
      <c r="DM521" s="37">
        <v>1996</v>
      </c>
      <c r="DN521" s="37">
        <v>1996</v>
      </c>
      <c r="DO521" s="37">
        <v>1996</v>
      </c>
      <c r="DP521" s="37">
        <v>1996</v>
      </c>
      <c r="DQ521" s="37">
        <v>1996</v>
      </c>
      <c r="DS521" s="36" t="s">
        <v>390</v>
      </c>
      <c r="DT521" s="37">
        <v>1997</v>
      </c>
      <c r="DU521" s="37">
        <v>1997</v>
      </c>
      <c r="DV521" s="37">
        <v>1997</v>
      </c>
      <c r="DW521" s="37">
        <v>1997</v>
      </c>
      <c r="DX521" s="37">
        <v>1997</v>
      </c>
      <c r="DZ521" s="36" t="s">
        <v>390</v>
      </c>
      <c r="EA521" s="37" t="s">
        <v>338</v>
      </c>
      <c r="EB521" s="37">
        <v>1998</v>
      </c>
      <c r="EC521" s="37" t="s">
        <v>338</v>
      </c>
      <c r="ED521" s="37" t="s">
        <v>338</v>
      </c>
      <c r="EE521" s="37" t="s">
        <v>338</v>
      </c>
      <c r="EG521" s="36" t="s">
        <v>390</v>
      </c>
      <c r="EH521" s="37" t="s">
        <v>339</v>
      </c>
      <c r="EI521" s="37" t="s">
        <v>339</v>
      </c>
      <c r="EJ521" s="37" t="s">
        <v>339</v>
      </c>
      <c r="EK521" s="37" t="s">
        <v>339</v>
      </c>
      <c r="EL521" s="37" t="s">
        <v>339</v>
      </c>
      <c r="EN521" s="36" t="s">
        <v>390</v>
      </c>
      <c r="EO521" s="37" t="s">
        <v>340</v>
      </c>
      <c r="EP521" s="37" t="s">
        <v>340</v>
      </c>
      <c r="EQ521" s="37" t="s">
        <v>340</v>
      </c>
      <c r="ER521" s="37" t="s">
        <v>340</v>
      </c>
      <c r="ES521" s="37">
        <v>2000</v>
      </c>
      <c r="EU521" s="36" t="s">
        <v>390</v>
      </c>
      <c r="EV521" s="37" t="s">
        <v>341</v>
      </c>
      <c r="EW521" s="37" t="s">
        <v>341</v>
      </c>
      <c r="EX521" s="37" t="s">
        <v>341</v>
      </c>
      <c r="EY521" s="37" t="s">
        <v>341</v>
      </c>
      <c r="EZ521" s="37">
        <v>2001</v>
      </c>
      <c r="FB521" s="36" t="s">
        <v>390</v>
      </c>
      <c r="FC521" s="37" t="s">
        <v>157</v>
      </c>
      <c r="FD521" s="37" t="s">
        <v>157</v>
      </c>
      <c r="FE521" s="37" t="s">
        <v>157</v>
      </c>
      <c r="FF521" s="37" t="s">
        <v>157</v>
      </c>
      <c r="FG521" s="37">
        <v>2002</v>
      </c>
      <c r="FI521" s="36" t="s">
        <v>390</v>
      </c>
      <c r="FJ521" s="37">
        <v>2003</v>
      </c>
      <c r="FK521" s="37">
        <v>2003</v>
      </c>
      <c r="FL521" s="37">
        <v>2003</v>
      </c>
      <c r="FM521" s="37">
        <v>2003</v>
      </c>
      <c r="FN521" s="37">
        <v>2003</v>
      </c>
      <c r="FP521" s="36" t="s">
        <v>390</v>
      </c>
      <c r="FQ521" s="37">
        <v>2004</v>
      </c>
      <c r="FR521" s="37">
        <v>2004</v>
      </c>
      <c r="FS521" s="37">
        <v>2004</v>
      </c>
      <c r="FT521" s="37">
        <v>2004</v>
      </c>
      <c r="FU521" s="37">
        <v>2004</v>
      </c>
      <c r="FW521" s="36" t="s">
        <v>390</v>
      </c>
      <c r="GD521" s="36" t="s">
        <v>390</v>
      </c>
      <c r="GK521" s="36" t="s">
        <v>390</v>
      </c>
      <c r="GR521" s="36" t="s">
        <v>390</v>
      </c>
      <c r="GY521" s="36" t="s">
        <v>390</v>
      </c>
      <c r="HF521" s="36" t="s">
        <v>390</v>
      </c>
      <c r="HM521" s="36" t="s">
        <v>390</v>
      </c>
      <c r="HT521" s="36" t="s">
        <v>390</v>
      </c>
      <c r="IA521" s="36" t="s">
        <v>390</v>
      </c>
      <c r="IH521" s="36" t="s">
        <v>390</v>
      </c>
      <c r="IO521" s="36" t="s">
        <v>390</v>
      </c>
      <c r="IV521" s="36" t="s">
        <v>390</v>
      </c>
      <c r="JC521" s="36" t="s">
        <v>390</v>
      </c>
      <c r="JJ521" s="36" t="s">
        <v>390</v>
      </c>
      <c r="JQ521" s="36" t="s">
        <v>390</v>
      </c>
      <c r="JX521" s="36" t="s">
        <v>390</v>
      </c>
      <c r="KE521" s="36" t="s">
        <v>390</v>
      </c>
      <c r="KL521" s="36" t="s">
        <v>390</v>
      </c>
      <c r="KS521" s="36" t="s">
        <v>390</v>
      </c>
      <c r="KZ521" s="36" t="s">
        <v>390</v>
      </c>
      <c r="LF521" s="565"/>
      <c r="LG521" s="36" t="s">
        <v>390</v>
      </c>
      <c r="LM521" s="565"/>
      <c r="LN521" s="36" t="s">
        <v>390</v>
      </c>
      <c r="LT521" s="565"/>
      <c r="LU521" s="36" t="s">
        <v>390</v>
      </c>
      <c r="MA521" s="565"/>
      <c r="MB521" s="36" t="s">
        <v>390</v>
      </c>
      <c r="MH521" s="565"/>
    </row>
    <row r="522" spans="1:346" s="37" customFormat="1" ht="13.15" hidden="1" outlineLevel="1" x14ac:dyDescent="0.4">
      <c r="A522" s="35"/>
      <c r="B522" s="36" t="s">
        <v>391</v>
      </c>
      <c r="BO522" s="36" t="s">
        <v>391</v>
      </c>
      <c r="BV522" s="36" t="s">
        <v>391</v>
      </c>
      <c r="CC522" s="36" t="s">
        <v>391</v>
      </c>
      <c r="CJ522" s="36" t="s">
        <v>391</v>
      </c>
      <c r="CQ522" s="36" t="s">
        <v>391</v>
      </c>
      <c r="CX522" s="36" t="s">
        <v>391</v>
      </c>
      <c r="DE522" s="36" t="s">
        <v>391</v>
      </c>
      <c r="DL522" s="36" t="s">
        <v>391</v>
      </c>
      <c r="DS522" s="36" t="s">
        <v>391</v>
      </c>
      <c r="DZ522" s="36" t="s">
        <v>391</v>
      </c>
      <c r="EG522" s="36" t="s">
        <v>391</v>
      </c>
      <c r="EN522" s="36" t="s">
        <v>391</v>
      </c>
      <c r="EU522" s="36" t="s">
        <v>391</v>
      </c>
      <c r="FB522" s="36" t="s">
        <v>391</v>
      </c>
      <c r="FI522" s="36" t="s">
        <v>391</v>
      </c>
      <c r="FP522" s="36" t="s">
        <v>391</v>
      </c>
      <c r="FW522" s="36" t="s">
        <v>391</v>
      </c>
      <c r="GD522" s="36" t="s">
        <v>391</v>
      </c>
      <c r="GK522" s="36" t="s">
        <v>391</v>
      </c>
      <c r="GR522" s="36" t="s">
        <v>391</v>
      </c>
      <c r="GY522" s="36" t="s">
        <v>391</v>
      </c>
      <c r="HF522" s="36" t="s">
        <v>391</v>
      </c>
      <c r="HM522" s="36" t="s">
        <v>391</v>
      </c>
      <c r="HT522" s="36" t="s">
        <v>391</v>
      </c>
      <c r="IA522" s="36" t="s">
        <v>391</v>
      </c>
      <c r="IH522" s="36" t="s">
        <v>391</v>
      </c>
      <c r="IO522" s="36" t="s">
        <v>391</v>
      </c>
      <c r="IV522" s="36" t="s">
        <v>391</v>
      </c>
      <c r="JC522" s="36" t="s">
        <v>391</v>
      </c>
      <c r="JJ522" s="36" t="s">
        <v>391</v>
      </c>
      <c r="JQ522" s="36" t="s">
        <v>391</v>
      </c>
      <c r="JX522" s="36" t="s">
        <v>391</v>
      </c>
      <c r="KE522" s="36" t="s">
        <v>391</v>
      </c>
      <c r="KL522" s="36" t="s">
        <v>391</v>
      </c>
      <c r="KS522" s="36" t="s">
        <v>391</v>
      </c>
      <c r="KZ522" s="36" t="s">
        <v>391</v>
      </c>
      <c r="LF522" s="565"/>
      <c r="LG522" s="36" t="s">
        <v>391</v>
      </c>
      <c r="LM522" s="565"/>
      <c r="LN522" s="36" t="s">
        <v>391</v>
      </c>
      <c r="LT522" s="565"/>
      <c r="LU522" s="36" t="s">
        <v>391</v>
      </c>
      <c r="MA522" s="565"/>
      <c r="MB522" s="36" t="s">
        <v>391</v>
      </c>
      <c r="MH522" s="565"/>
    </row>
    <row r="523" spans="1:346" s="37" customFormat="1" ht="13.15" hidden="1" outlineLevel="1" x14ac:dyDescent="0.4">
      <c r="A523" s="35"/>
      <c r="B523" s="36" t="s">
        <v>392</v>
      </c>
      <c r="BO523" s="36" t="s">
        <v>392</v>
      </c>
      <c r="BV523" s="36" t="s">
        <v>392</v>
      </c>
      <c r="CC523" s="36" t="s">
        <v>392</v>
      </c>
      <c r="CJ523" s="36" t="s">
        <v>392</v>
      </c>
      <c r="CQ523" s="36" t="s">
        <v>392</v>
      </c>
      <c r="CX523" s="36" t="s">
        <v>392</v>
      </c>
      <c r="DE523" s="36" t="s">
        <v>392</v>
      </c>
      <c r="DL523" s="36" t="s">
        <v>392</v>
      </c>
      <c r="DS523" s="36" t="s">
        <v>392</v>
      </c>
      <c r="DZ523" s="36" t="s">
        <v>392</v>
      </c>
      <c r="EG523" s="36" t="s">
        <v>392</v>
      </c>
      <c r="EN523" s="36" t="s">
        <v>392</v>
      </c>
      <c r="EU523" s="36" t="s">
        <v>392</v>
      </c>
      <c r="FB523" s="36" t="s">
        <v>392</v>
      </c>
      <c r="FI523" s="36" t="s">
        <v>392</v>
      </c>
      <c r="FP523" s="36" t="s">
        <v>392</v>
      </c>
      <c r="FW523" s="36" t="s">
        <v>392</v>
      </c>
      <c r="GD523" s="36" t="s">
        <v>392</v>
      </c>
      <c r="GK523" s="36" t="s">
        <v>392</v>
      </c>
      <c r="GR523" s="36" t="s">
        <v>392</v>
      </c>
      <c r="GY523" s="36" t="s">
        <v>392</v>
      </c>
      <c r="HF523" s="36" t="s">
        <v>392</v>
      </c>
      <c r="HM523" s="36" t="s">
        <v>392</v>
      </c>
      <c r="HT523" s="36" t="s">
        <v>392</v>
      </c>
      <c r="IA523" s="36" t="s">
        <v>392</v>
      </c>
      <c r="IH523" s="36" t="s">
        <v>392</v>
      </c>
      <c r="IO523" s="36" t="s">
        <v>392</v>
      </c>
      <c r="IV523" s="36" t="s">
        <v>392</v>
      </c>
      <c r="JC523" s="36" t="s">
        <v>392</v>
      </c>
      <c r="JJ523" s="36" t="s">
        <v>392</v>
      </c>
      <c r="JQ523" s="36" t="s">
        <v>392</v>
      </c>
      <c r="JX523" s="36" t="s">
        <v>392</v>
      </c>
      <c r="KE523" s="36" t="s">
        <v>392</v>
      </c>
      <c r="KL523" s="36" t="s">
        <v>392</v>
      </c>
      <c r="KS523" s="36" t="s">
        <v>392</v>
      </c>
      <c r="KZ523" s="36" t="s">
        <v>392</v>
      </c>
      <c r="LF523" s="565"/>
      <c r="LG523" s="36" t="s">
        <v>392</v>
      </c>
      <c r="LM523" s="565"/>
      <c r="LN523" s="36" t="s">
        <v>392</v>
      </c>
      <c r="LT523" s="565"/>
      <c r="LU523" s="36" t="s">
        <v>392</v>
      </c>
      <c r="MA523" s="565"/>
      <c r="MB523" s="36" t="s">
        <v>392</v>
      </c>
      <c r="MH523" s="565"/>
    </row>
    <row r="524" spans="1:346" s="37" customFormat="1" ht="13.15" hidden="1" outlineLevel="1" x14ac:dyDescent="0.4">
      <c r="A524" s="35"/>
      <c r="B524" s="36" t="s">
        <v>393</v>
      </c>
      <c r="M524" s="37">
        <v>-198</v>
      </c>
      <c r="N524" s="37">
        <f>BT524</f>
        <v>-205</v>
      </c>
      <c r="O524" s="37">
        <f>CA524</f>
        <v>-209</v>
      </c>
      <c r="P524" s="37">
        <f>CH524</f>
        <v>-243</v>
      </c>
      <c r="Q524" s="37">
        <f>CO524</f>
        <v>-214</v>
      </c>
      <c r="R524" s="37">
        <f>CV524</f>
        <v>-69</v>
      </c>
      <c r="S524" s="37">
        <f>DC524</f>
        <v>-58</v>
      </c>
      <c r="T524" s="37">
        <f>DJ524</f>
        <v>-24</v>
      </c>
      <c r="U524" s="37">
        <f>DQ524</f>
        <v>-22</v>
      </c>
      <c r="V524" s="37">
        <f>DX524</f>
        <v>307</v>
      </c>
      <c r="W524" s="37">
        <f>EE524</f>
        <v>-47</v>
      </c>
      <c r="X524" s="37">
        <f>EL524</f>
        <v>-64</v>
      </c>
      <c r="Y524" s="37">
        <f>ES524</f>
        <v>-33</v>
      </c>
      <c r="Z524" s="37">
        <f>EZ524</f>
        <v>-8</v>
      </c>
      <c r="AA524" s="37">
        <f>FG524</f>
        <v>-27</v>
      </c>
      <c r="AB524" s="37">
        <f>FN524</f>
        <v>128</v>
      </c>
      <c r="AC524" s="37">
        <f>FU524</f>
        <v>0</v>
      </c>
      <c r="AD524" s="37">
        <f>GB524</f>
        <v>0</v>
      </c>
      <c r="AE524" s="37">
        <f>GI524</f>
        <v>0</v>
      </c>
      <c r="AF524" s="37">
        <f>GP524</f>
        <v>0</v>
      </c>
      <c r="AG524" s="37">
        <f>GW524</f>
        <v>0</v>
      </c>
      <c r="AH524" s="37">
        <f>HD524</f>
        <v>0</v>
      </c>
      <c r="AI524" s="37">
        <f>HK524</f>
        <v>0</v>
      </c>
      <c r="AJ524" s="37">
        <f>HR524</f>
        <v>0</v>
      </c>
      <c r="AK524" s="37">
        <f>HY524</f>
        <v>0</v>
      </c>
      <c r="AL524" s="37">
        <f>IF524</f>
        <v>0</v>
      </c>
      <c r="AM524" s="37">
        <f>IM524</f>
        <v>0</v>
      </c>
      <c r="AN524" s="37">
        <f>IT524</f>
        <v>0</v>
      </c>
      <c r="AO524" s="37">
        <f>JA524</f>
        <v>0</v>
      </c>
      <c r="AP524" s="37">
        <f>JH524</f>
        <v>0</v>
      </c>
      <c r="AQ524" s="37">
        <f>JO524</f>
        <v>0</v>
      </c>
      <c r="AR524" s="37">
        <f>JV524</f>
        <v>0</v>
      </c>
      <c r="AS524" s="37">
        <f>KC524</f>
        <v>0</v>
      </c>
      <c r="AT524" s="37">
        <f>KJ524</f>
        <v>0</v>
      </c>
      <c r="AU524" s="37">
        <f>KQ524</f>
        <v>0</v>
      </c>
      <c r="AV524" s="37">
        <f>KX524</f>
        <v>0</v>
      </c>
      <c r="AW524" s="37">
        <f>LE524</f>
        <v>0</v>
      </c>
      <c r="AX524" s="37">
        <f>LL524</f>
        <v>0</v>
      </c>
      <c r="AY524" s="37">
        <f>LS524</f>
        <v>0</v>
      </c>
      <c r="AZ524" s="37">
        <f>LZ524</f>
        <v>0</v>
      </c>
      <c r="BA524" s="37">
        <f>MG524</f>
        <v>0</v>
      </c>
      <c r="BO524" s="36" t="s">
        <v>393</v>
      </c>
      <c r="BP524" s="37">
        <v>-46</v>
      </c>
      <c r="BQ524" s="37">
        <v>-51</v>
      </c>
      <c r="BR524" s="37">
        <v>-58</v>
      </c>
      <c r="BS524" s="37">
        <v>-50</v>
      </c>
      <c r="BT524" s="37">
        <v>-205</v>
      </c>
      <c r="BV524" s="36" t="s">
        <v>393</v>
      </c>
      <c r="BW524" s="37">
        <v>-47</v>
      </c>
      <c r="BX524" s="37">
        <v>-50</v>
      </c>
      <c r="BY524" s="37">
        <v>-56</v>
      </c>
      <c r="BZ524" s="37">
        <v>-56</v>
      </c>
      <c r="CA524" s="37">
        <v>-209</v>
      </c>
      <c r="CC524" s="36" t="s">
        <v>393</v>
      </c>
      <c r="CD524" s="37">
        <v>-53</v>
      </c>
      <c r="CE524" s="37">
        <v>-60</v>
      </c>
      <c r="CF524" s="37">
        <v>-65</v>
      </c>
      <c r="CG524" s="37">
        <v>-65</v>
      </c>
      <c r="CH524" s="37">
        <v>-243</v>
      </c>
      <c r="CJ524" s="36" t="s">
        <v>393</v>
      </c>
      <c r="CK524" s="37">
        <v>-56</v>
      </c>
      <c r="CL524" s="37">
        <v>-55</v>
      </c>
      <c r="CM524" s="37">
        <v>-53</v>
      </c>
      <c r="CN524" s="37">
        <v>-50</v>
      </c>
      <c r="CO524" s="37">
        <v>-214</v>
      </c>
      <c r="CQ524" s="36" t="s">
        <v>393</v>
      </c>
      <c r="CR524" s="37">
        <v>-14</v>
      </c>
      <c r="CS524" s="37">
        <v>-10</v>
      </c>
      <c r="CT524" s="37">
        <v>-26</v>
      </c>
      <c r="CU524" s="37">
        <v>-19</v>
      </c>
      <c r="CV524" s="37">
        <v>-69</v>
      </c>
      <c r="CX524" s="36" t="s">
        <v>393</v>
      </c>
      <c r="CY524" s="37">
        <v>-11</v>
      </c>
      <c r="CZ524" s="37">
        <v>-9</v>
      </c>
      <c r="DA524" s="37">
        <v>-20</v>
      </c>
      <c r="DB524" s="37">
        <v>-18</v>
      </c>
      <c r="DC524" s="37">
        <v>-58</v>
      </c>
      <c r="DE524" s="36" t="s">
        <v>393</v>
      </c>
      <c r="DF524" s="37">
        <v>-7</v>
      </c>
      <c r="DG524" s="37">
        <v>-8</v>
      </c>
      <c r="DH524" s="37">
        <v>-4</v>
      </c>
      <c r="DI524" s="37">
        <v>-5</v>
      </c>
      <c r="DJ524" s="37">
        <v>-24</v>
      </c>
      <c r="DL524" s="36" t="s">
        <v>393</v>
      </c>
      <c r="DM524" s="37">
        <v>-5</v>
      </c>
      <c r="DN524" s="37">
        <v>-7</v>
      </c>
      <c r="DO524" s="37">
        <v>-5</v>
      </c>
      <c r="DP524" s="37">
        <v>-5</v>
      </c>
      <c r="DQ524" s="37">
        <v>-22</v>
      </c>
      <c r="DS524" s="36" t="s">
        <v>393</v>
      </c>
      <c r="DT524" s="37">
        <v>-5</v>
      </c>
      <c r="DU524" s="37">
        <v>-6</v>
      </c>
      <c r="DV524" s="37">
        <v>151</v>
      </c>
      <c r="DW524" s="37">
        <v>167</v>
      </c>
      <c r="DX524" s="37">
        <v>307</v>
      </c>
      <c r="DZ524" s="36" t="s">
        <v>393</v>
      </c>
      <c r="EA524" s="37">
        <v>-14</v>
      </c>
      <c r="EB524" s="37">
        <v>-14</v>
      </c>
      <c r="EC524" s="37">
        <v>-14</v>
      </c>
      <c r="ED524" s="37">
        <v>-5</v>
      </c>
      <c r="EE524" s="37">
        <v>-47</v>
      </c>
      <c r="EG524" s="36" t="s">
        <v>393</v>
      </c>
      <c r="EH524" s="37">
        <v>-18</v>
      </c>
      <c r="EI524" s="37">
        <v>-19</v>
      </c>
      <c r="EJ524" s="37">
        <v>-12</v>
      </c>
      <c r="EK524" s="37">
        <v>-15</v>
      </c>
      <c r="EL524" s="37">
        <v>-64</v>
      </c>
      <c r="EN524" s="36" t="s">
        <v>393</v>
      </c>
      <c r="EO524" s="37">
        <v>-18</v>
      </c>
      <c r="EP524" s="37">
        <v>-5</v>
      </c>
      <c r="EQ524" s="37">
        <v>-5</v>
      </c>
      <c r="ER524" s="37">
        <v>-5</v>
      </c>
      <c r="ES524" s="37">
        <v>-33</v>
      </c>
      <c r="EU524" s="36" t="s">
        <v>393</v>
      </c>
      <c r="EV524" s="37">
        <v>-5</v>
      </c>
      <c r="EW524" s="37">
        <v>2</v>
      </c>
      <c r="EX524" s="37">
        <v>-1</v>
      </c>
      <c r="EY524" s="37">
        <v>-4</v>
      </c>
      <c r="EZ524" s="37">
        <v>-8</v>
      </c>
      <c r="FB524" s="36" t="s">
        <v>393</v>
      </c>
      <c r="FC524" s="37">
        <v>-5</v>
      </c>
      <c r="FD524" s="37">
        <v>-8</v>
      </c>
      <c r="FE524" s="37">
        <v>-10</v>
      </c>
      <c r="FF524" s="37">
        <v>-4</v>
      </c>
      <c r="FG524" s="37">
        <v>-27</v>
      </c>
      <c r="FI524" s="36" t="s">
        <v>393</v>
      </c>
      <c r="FJ524" s="37">
        <v>127</v>
      </c>
      <c r="FK524" s="37">
        <v>1</v>
      </c>
      <c r="FL524" s="37">
        <v>0</v>
      </c>
      <c r="FM524" s="37">
        <v>0</v>
      </c>
      <c r="FN524" s="37">
        <v>128</v>
      </c>
      <c r="FP524" s="36" t="s">
        <v>393</v>
      </c>
      <c r="FQ524" s="37">
        <v>0</v>
      </c>
      <c r="FR524" s="37">
        <v>0</v>
      </c>
      <c r="FS524" s="37">
        <v>0</v>
      </c>
      <c r="FT524" s="37">
        <v>0</v>
      </c>
      <c r="FU524" s="37">
        <v>0</v>
      </c>
      <c r="FW524" s="36" t="s">
        <v>393</v>
      </c>
      <c r="FX524" s="37">
        <v>0</v>
      </c>
      <c r="FY524" s="37">
        <v>0</v>
      </c>
      <c r="FZ524" s="37">
        <v>0</v>
      </c>
      <c r="GA524" s="37">
        <v>0</v>
      </c>
      <c r="GB524" s="37">
        <v>0</v>
      </c>
      <c r="GD524" s="36" t="s">
        <v>393</v>
      </c>
      <c r="GK524" s="36" t="s">
        <v>393</v>
      </c>
      <c r="GR524" s="36" t="s">
        <v>393</v>
      </c>
      <c r="GY524" s="36" t="s">
        <v>393</v>
      </c>
      <c r="HF524" s="36" t="s">
        <v>393</v>
      </c>
      <c r="HM524" s="36" t="s">
        <v>393</v>
      </c>
      <c r="HT524" s="36" t="s">
        <v>393</v>
      </c>
      <c r="IA524" s="36" t="s">
        <v>393</v>
      </c>
      <c r="IH524" s="36" t="s">
        <v>393</v>
      </c>
      <c r="IO524" s="36" t="s">
        <v>393</v>
      </c>
      <c r="IV524" s="36" t="s">
        <v>393</v>
      </c>
      <c r="JC524" s="36" t="s">
        <v>393</v>
      </c>
      <c r="JJ524" s="36" t="s">
        <v>393</v>
      </c>
      <c r="JQ524" s="36" t="s">
        <v>393</v>
      </c>
      <c r="JX524" s="36" t="s">
        <v>393</v>
      </c>
      <c r="KE524" s="36" t="s">
        <v>393</v>
      </c>
      <c r="KL524" s="36" t="s">
        <v>393</v>
      </c>
      <c r="KS524" s="36" t="s">
        <v>393</v>
      </c>
      <c r="KZ524" s="36" t="s">
        <v>393</v>
      </c>
      <c r="LF524" s="565"/>
      <c r="LG524" s="36" t="s">
        <v>393</v>
      </c>
      <c r="LM524" s="565"/>
      <c r="LN524" s="36" t="s">
        <v>393</v>
      </c>
      <c r="LT524" s="565"/>
      <c r="LU524" s="36" t="s">
        <v>393</v>
      </c>
      <c r="MA524" s="565"/>
      <c r="MB524" s="36" t="s">
        <v>393</v>
      </c>
      <c r="MH524" s="565"/>
    </row>
    <row r="525" spans="1:346" s="37" customFormat="1" ht="13.15" hidden="1" outlineLevel="1" x14ac:dyDescent="0.4">
      <c r="A525" s="35"/>
      <c r="B525" s="36" t="s">
        <v>394</v>
      </c>
      <c r="M525" s="37">
        <v>-164</v>
      </c>
      <c r="N525" s="37">
        <f>BT525</f>
        <v>-145</v>
      </c>
      <c r="O525" s="37">
        <f>CA525</f>
        <v>-141</v>
      </c>
      <c r="P525" s="37">
        <f>CH525</f>
        <v>-177</v>
      </c>
      <c r="Q525" s="37">
        <f>CO525</f>
        <v>-130</v>
      </c>
      <c r="R525" s="37">
        <f>CV525</f>
        <v>7</v>
      </c>
      <c r="S525" s="37">
        <f>DC525</f>
        <v>4</v>
      </c>
      <c r="T525" s="37">
        <f>DJ525</f>
        <v>45</v>
      </c>
      <c r="U525" s="37">
        <f>DQ525</f>
        <v>65</v>
      </c>
      <c r="V525" s="37">
        <f>DX525</f>
        <v>320</v>
      </c>
      <c r="W525" s="37">
        <f>EE525</f>
        <v>19</v>
      </c>
      <c r="X525" s="37">
        <f>EL525</f>
        <v>-23</v>
      </c>
      <c r="Y525" s="37">
        <f>ES525</f>
        <v>-53</v>
      </c>
      <c r="Z525" s="37">
        <f>EZ525</f>
        <v>-15</v>
      </c>
      <c r="AA525" s="37">
        <f>FG525</f>
        <v>-52</v>
      </c>
      <c r="AB525" s="37">
        <f>FN525</f>
        <v>119</v>
      </c>
      <c r="AC525" s="37">
        <f>FU525</f>
        <v>-17</v>
      </c>
      <c r="AD525" s="37">
        <f>GB525</f>
        <v>-1</v>
      </c>
      <c r="AE525" s="37">
        <f>GI525</f>
        <v>0</v>
      </c>
      <c r="AF525" s="37">
        <f>GP525</f>
        <v>0</v>
      </c>
      <c r="AG525" s="37">
        <f>GW525</f>
        <v>0</v>
      </c>
      <c r="AH525" s="37">
        <f>HD525</f>
        <v>0</v>
      </c>
      <c r="AI525" s="37">
        <f>HK525</f>
        <v>0</v>
      </c>
      <c r="AJ525" s="37">
        <f>HR525</f>
        <v>0</v>
      </c>
      <c r="AK525" s="37">
        <f>HY525</f>
        <v>0</v>
      </c>
      <c r="AL525" s="37">
        <f>IF525</f>
        <v>0</v>
      </c>
      <c r="AM525" s="37">
        <f>IM525</f>
        <v>0</v>
      </c>
      <c r="AN525" s="37">
        <f>IT525</f>
        <v>0</v>
      </c>
      <c r="AO525" s="37">
        <f>JA525</f>
        <v>0</v>
      </c>
      <c r="AP525" s="37">
        <f>JH525</f>
        <v>0</v>
      </c>
      <c r="AQ525" s="37">
        <f>JO525</f>
        <v>0</v>
      </c>
      <c r="AR525" s="37">
        <f>JV525</f>
        <v>0</v>
      </c>
      <c r="AS525" s="37">
        <f>KC525</f>
        <v>0</v>
      </c>
      <c r="AT525" s="37">
        <f>KJ525</f>
        <v>0</v>
      </c>
      <c r="AU525" s="37">
        <f>KQ525</f>
        <v>0</v>
      </c>
      <c r="AV525" s="37">
        <f>KX525</f>
        <v>0</v>
      </c>
      <c r="AW525" s="37">
        <f>LE525</f>
        <v>0</v>
      </c>
      <c r="AX525" s="37">
        <f>LL525</f>
        <v>0</v>
      </c>
      <c r="AY525" s="37">
        <f>LS525</f>
        <v>0</v>
      </c>
      <c r="AZ525" s="37">
        <f>LZ525</f>
        <v>0</v>
      </c>
      <c r="BA525" s="37">
        <f>MG525</f>
        <v>0</v>
      </c>
      <c r="BO525" s="36" t="s">
        <v>394</v>
      </c>
      <c r="BP525" s="37">
        <v>-34</v>
      </c>
      <c r="BQ525" s="37">
        <v>-36</v>
      </c>
      <c r="BR525" s="37">
        <v>-43</v>
      </c>
      <c r="BS525" s="37">
        <v>-32</v>
      </c>
      <c r="BT525" s="37">
        <v>-145</v>
      </c>
      <c r="BV525" s="36" t="s">
        <v>394</v>
      </c>
      <c r="BW525" s="37">
        <v>-32</v>
      </c>
      <c r="BX525" s="37">
        <v>-33</v>
      </c>
      <c r="BY525" s="37">
        <v>-38</v>
      </c>
      <c r="BZ525" s="37">
        <v>-38</v>
      </c>
      <c r="CA525" s="37">
        <v>-141</v>
      </c>
      <c r="CC525" s="36" t="s">
        <v>394</v>
      </c>
      <c r="CD525" s="37">
        <v>-37</v>
      </c>
      <c r="CE525" s="37">
        <v>-44</v>
      </c>
      <c r="CF525" s="37">
        <v>-47</v>
      </c>
      <c r="CG525" s="37">
        <v>-49</v>
      </c>
      <c r="CH525" s="37">
        <v>-177</v>
      </c>
      <c r="CJ525" s="36" t="s">
        <v>394</v>
      </c>
      <c r="CK525" s="37">
        <v>-39</v>
      </c>
      <c r="CL525" s="37">
        <v>-31</v>
      </c>
      <c r="CM525" s="37">
        <v>-35</v>
      </c>
      <c r="CN525" s="37">
        <v>-25</v>
      </c>
      <c r="CO525" s="37">
        <v>-130</v>
      </c>
      <c r="CQ525" s="36" t="s">
        <v>394</v>
      </c>
      <c r="CR525" s="37">
        <v>0</v>
      </c>
      <c r="CS525" s="37">
        <v>13</v>
      </c>
      <c r="CT525" s="37">
        <v>-7</v>
      </c>
      <c r="CU525" s="37">
        <v>1</v>
      </c>
      <c r="CV525" s="37">
        <v>7</v>
      </c>
      <c r="CX525" s="36" t="s">
        <v>394</v>
      </c>
      <c r="CY525" s="37">
        <v>3</v>
      </c>
      <c r="CZ525" s="37">
        <v>2</v>
      </c>
      <c r="DA525" s="37">
        <v>0</v>
      </c>
      <c r="DB525" s="37">
        <v>-1</v>
      </c>
      <c r="DC525" s="37">
        <v>4</v>
      </c>
      <c r="DE525" s="36" t="s">
        <v>394</v>
      </c>
      <c r="DF525" s="37">
        <v>16</v>
      </c>
      <c r="DG525" s="37">
        <v>5</v>
      </c>
      <c r="DH525" s="37">
        <v>12</v>
      </c>
      <c r="DI525" s="37">
        <v>12</v>
      </c>
      <c r="DJ525" s="37">
        <v>45</v>
      </c>
      <c r="DL525" s="36" t="s">
        <v>394</v>
      </c>
      <c r="DM525" s="37">
        <v>11</v>
      </c>
      <c r="DN525" s="37">
        <v>16</v>
      </c>
      <c r="DO525" s="37">
        <v>19</v>
      </c>
      <c r="DP525" s="37">
        <v>19</v>
      </c>
      <c r="DQ525" s="37">
        <v>65</v>
      </c>
      <c r="DS525" s="36" t="s">
        <v>394</v>
      </c>
      <c r="DT525" s="37">
        <v>7</v>
      </c>
      <c r="DU525" s="37">
        <v>14</v>
      </c>
      <c r="DV525" s="37">
        <v>149</v>
      </c>
      <c r="DW525" s="37">
        <v>150</v>
      </c>
      <c r="DX525" s="37">
        <v>320</v>
      </c>
      <c r="DZ525" s="36" t="s">
        <v>394</v>
      </c>
      <c r="EA525" s="37">
        <v>3</v>
      </c>
      <c r="EB525" s="37">
        <v>4</v>
      </c>
      <c r="EC525" s="37">
        <v>10</v>
      </c>
      <c r="ED525" s="37">
        <v>2</v>
      </c>
      <c r="EE525" s="37">
        <v>19</v>
      </c>
      <c r="EG525" s="36" t="s">
        <v>394</v>
      </c>
      <c r="EH525" s="37">
        <v>0</v>
      </c>
      <c r="EI525" s="37">
        <v>-30</v>
      </c>
      <c r="EJ525" s="37">
        <v>-4</v>
      </c>
      <c r="EK525" s="37">
        <v>11</v>
      </c>
      <c r="EL525" s="37">
        <v>-23</v>
      </c>
      <c r="EN525" s="36" t="s">
        <v>394</v>
      </c>
      <c r="EO525" s="37">
        <v>-18</v>
      </c>
      <c r="EP525" s="37">
        <v>-14</v>
      </c>
      <c r="EQ525" s="37">
        <v>-13</v>
      </c>
      <c r="ER525" s="37">
        <v>-8</v>
      </c>
      <c r="ES525" s="37">
        <v>-53</v>
      </c>
      <c r="EU525" s="36" t="s">
        <v>394</v>
      </c>
      <c r="EV525" s="37">
        <v>-3</v>
      </c>
      <c r="EW525" s="37">
        <v>4</v>
      </c>
      <c r="EX525" s="37">
        <v>-9</v>
      </c>
      <c r="EY525" s="37">
        <v>-7</v>
      </c>
      <c r="EZ525" s="37">
        <v>-15</v>
      </c>
      <c r="FB525" s="36" t="s">
        <v>394</v>
      </c>
      <c r="FC525" s="37">
        <v>-11</v>
      </c>
      <c r="FD525" s="37">
        <v>-11</v>
      </c>
      <c r="FE525" s="37">
        <v>-19</v>
      </c>
      <c r="FF525" s="37">
        <v>-11</v>
      </c>
      <c r="FG525" s="37">
        <v>-52</v>
      </c>
      <c r="FI525" s="36" t="s">
        <v>394</v>
      </c>
      <c r="FJ525" s="37">
        <v>134</v>
      </c>
      <c r="FK525" s="37">
        <v>-8</v>
      </c>
      <c r="FL525" s="37">
        <v>-9</v>
      </c>
      <c r="FM525" s="37">
        <v>2</v>
      </c>
      <c r="FN525" s="37">
        <v>119</v>
      </c>
      <c r="FP525" s="36" t="s">
        <v>394</v>
      </c>
      <c r="FQ525" s="37">
        <v>-1</v>
      </c>
      <c r="FR525" s="37">
        <v>-5</v>
      </c>
      <c r="FS525" s="37">
        <v>-9</v>
      </c>
      <c r="FT525" s="37">
        <v>-2</v>
      </c>
      <c r="FU525" s="37">
        <v>-17</v>
      </c>
      <c r="FW525" s="36" t="s">
        <v>394</v>
      </c>
      <c r="FX525" s="37">
        <v>-3</v>
      </c>
      <c r="FY525" s="37">
        <v>-9</v>
      </c>
      <c r="FZ525" s="37">
        <v>8</v>
      </c>
      <c r="GA525" s="37">
        <v>3</v>
      </c>
      <c r="GB525" s="37">
        <v>-1</v>
      </c>
      <c r="GD525" s="36" t="s">
        <v>394</v>
      </c>
      <c r="GK525" s="36" t="s">
        <v>394</v>
      </c>
      <c r="GR525" s="36" t="s">
        <v>394</v>
      </c>
      <c r="GY525" s="36" t="s">
        <v>394</v>
      </c>
      <c r="HF525" s="36" t="s">
        <v>394</v>
      </c>
      <c r="HM525" s="36" t="s">
        <v>394</v>
      </c>
      <c r="HT525" s="36" t="s">
        <v>394</v>
      </c>
      <c r="IA525" s="36" t="s">
        <v>394</v>
      </c>
      <c r="IH525" s="36" t="s">
        <v>394</v>
      </c>
      <c r="IO525" s="36" t="s">
        <v>394</v>
      </c>
      <c r="IV525" s="36" t="s">
        <v>394</v>
      </c>
      <c r="JC525" s="36" t="s">
        <v>394</v>
      </c>
      <c r="JJ525" s="36" t="s">
        <v>394</v>
      </c>
      <c r="JQ525" s="36" t="s">
        <v>394</v>
      </c>
      <c r="JX525" s="36" t="s">
        <v>394</v>
      </c>
      <c r="KE525" s="36" t="s">
        <v>394</v>
      </c>
      <c r="KL525" s="36" t="s">
        <v>394</v>
      </c>
      <c r="KS525" s="36" t="s">
        <v>394</v>
      </c>
      <c r="KZ525" s="36" t="s">
        <v>394</v>
      </c>
      <c r="LF525" s="565"/>
      <c r="LG525" s="36" t="s">
        <v>394</v>
      </c>
      <c r="LM525" s="565"/>
      <c r="LN525" s="36" t="s">
        <v>394</v>
      </c>
      <c r="LT525" s="565"/>
      <c r="LU525" s="36" t="s">
        <v>394</v>
      </c>
      <c r="MA525" s="565"/>
      <c r="MB525" s="36" t="s">
        <v>394</v>
      </c>
      <c r="MH525" s="565"/>
    </row>
    <row r="526" spans="1:346" s="37" customFormat="1" ht="13.15" hidden="1" outlineLevel="1" x14ac:dyDescent="0.4">
      <c r="A526" s="35"/>
      <c r="B526" s="36" t="s">
        <v>395</v>
      </c>
      <c r="M526" s="37">
        <v>-34</v>
      </c>
      <c r="N526" s="37">
        <f>BT526</f>
        <v>-60</v>
      </c>
      <c r="O526" s="37">
        <f>CA526</f>
        <v>-68</v>
      </c>
      <c r="P526" s="37">
        <f>CH526</f>
        <v>-66</v>
      </c>
      <c r="Q526" s="37">
        <f>CO526</f>
        <v>-84</v>
      </c>
      <c r="R526" s="37">
        <f>CV526</f>
        <v>-76</v>
      </c>
      <c r="S526" s="37">
        <f>DC526</f>
        <v>-62</v>
      </c>
      <c r="T526" s="37">
        <f>DJ526</f>
        <v>-69</v>
      </c>
      <c r="U526" s="37">
        <f>DQ526</f>
        <v>-87</v>
      </c>
      <c r="V526" s="37">
        <f>DX526</f>
        <v>-13</v>
      </c>
      <c r="W526" s="37">
        <f>EE526</f>
        <v>-66</v>
      </c>
      <c r="X526" s="37">
        <f>EL526</f>
        <v>-41</v>
      </c>
      <c r="Y526" s="37">
        <f>ES526</f>
        <v>20</v>
      </c>
      <c r="Z526" s="37">
        <f>EZ526</f>
        <v>7</v>
      </c>
      <c r="AA526" s="37">
        <f>FG526</f>
        <v>25</v>
      </c>
      <c r="AB526" s="37">
        <f>FN526</f>
        <v>9</v>
      </c>
      <c r="AC526" s="37">
        <f>FU526</f>
        <v>17</v>
      </c>
      <c r="AD526" s="37">
        <f>GB526</f>
        <v>1</v>
      </c>
      <c r="AE526" s="37">
        <f>GI526</f>
        <v>0</v>
      </c>
      <c r="AF526" s="37">
        <f>GP526</f>
        <v>0</v>
      </c>
      <c r="AG526" s="37">
        <f>GW526</f>
        <v>0</v>
      </c>
      <c r="AH526" s="37">
        <f>HD526</f>
        <v>0</v>
      </c>
      <c r="AI526" s="37">
        <f>HK526</f>
        <v>0</v>
      </c>
      <c r="AJ526" s="37">
        <f>HR526</f>
        <v>0</v>
      </c>
      <c r="AK526" s="37">
        <f>HY526</f>
        <v>0</v>
      </c>
      <c r="AL526" s="37">
        <f>IF526</f>
        <v>0</v>
      </c>
      <c r="AM526" s="37">
        <f>IM526</f>
        <v>0</v>
      </c>
      <c r="AN526" s="37">
        <f>IT526</f>
        <v>0</v>
      </c>
      <c r="AO526" s="37">
        <f>JA526</f>
        <v>0</v>
      </c>
      <c r="AP526" s="37">
        <f>JH526</f>
        <v>0</v>
      </c>
      <c r="AQ526" s="37">
        <f>JO526</f>
        <v>0</v>
      </c>
      <c r="AR526" s="37">
        <f>JV526</f>
        <v>0</v>
      </c>
      <c r="AS526" s="37">
        <f>KC526</f>
        <v>0</v>
      </c>
      <c r="AT526" s="37">
        <f>KJ526</f>
        <v>0</v>
      </c>
      <c r="AU526" s="37">
        <f>KQ526</f>
        <v>0</v>
      </c>
      <c r="AV526" s="37">
        <f>KX526</f>
        <v>0</v>
      </c>
      <c r="AW526" s="37">
        <f>LE526</f>
        <v>0</v>
      </c>
      <c r="AX526" s="37">
        <f>LL526</f>
        <v>0</v>
      </c>
      <c r="AY526" s="37">
        <f>LS526</f>
        <v>0</v>
      </c>
      <c r="AZ526" s="37">
        <f>LZ526</f>
        <v>0</v>
      </c>
      <c r="BA526" s="37">
        <f>MG526</f>
        <v>0</v>
      </c>
      <c r="BO526" s="36" t="s">
        <v>395</v>
      </c>
      <c r="BP526" s="37">
        <v>-12</v>
      </c>
      <c r="BQ526" s="37">
        <v>-15</v>
      </c>
      <c r="BR526" s="37">
        <v>-15</v>
      </c>
      <c r="BS526" s="37">
        <v>-18</v>
      </c>
      <c r="BT526" s="37">
        <v>-60</v>
      </c>
      <c r="BV526" s="36" t="s">
        <v>395</v>
      </c>
      <c r="BW526" s="37">
        <v>-15</v>
      </c>
      <c r="BX526" s="37">
        <v>-17</v>
      </c>
      <c r="BY526" s="37">
        <v>-18</v>
      </c>
      <c r="BZ526" s="37">
        <v>-18</v>
      </c>
      <c r="CA526" s="37">
        <v>-68</v>
      </c>
      <c r="CC526" s="36" t="s">
        <v>395</v>
      </c>
      <c r="CD526" s="37">
        <v>-16</v>
      </c>
      <c r="CE526" s="37">
        <v>-16</v>
      </c>
      <c r="CF526" s="37">
        <v>-18</v>
      </c>
      <c r="CG526" s="37">
        <v>-16</v>
      </c>
      <c r="CH526" s="37">
        <v>-66</v>
      </c>
      <c r="CJ526" s="36" t="s">
        <v>395</v>
      </c>
      <c r="CK526" s="37">
        <v>-17</v>
      </c>
      <c r="CL526" s="37">
        <v>-24</v>
      </c>
      <c r="CM526" s="37">
        <v>-18</v>
      </c>
      <c r="CN526" s="37">
        <v>-25</v>
      </c>
      <c r="CO526" s="37">
        <v>-84</v>
      </c>
      <c r="CQ526" s="36" t="s">
        <v>395</v>
      </c>
      <c r="CR526" s="37">
        <v>-14</v>
      </c>
      <c r="CS526" s="37">
        <v>-23</v>
      </c>
      <c r="CT526" s="37">
        <v>-19</v>
      </c>
      <c r="CU526" s="37">
        <v>-20</v>
      </c>
      <c r="CV526" s="37">
        <v>-76</v>
      </c>
      <c r="CX526" s="36" t="s">
        <v>395</v>
      </c>
      <c r="CY526" s="37">
        <v>-14</v>
      </c>
      <c r="CZ526" s="37">
        <v>-11</v>
      </c>
      <c r="DA526" s="37">
        <v>-20</v>
      </c>
      <c r="DB526" s="37">
        <v>-17</v>
      </c>
      <c r="DC526" s="37">
        <v>-62</v>
      </c>
      <c r="DE526" s="36" t="s">
        <v>395</v>
      </c>
      <c r="DF526" s="37">
        <v>-23</v>
      </c>
      <c r="DG526" s="37">
        <v>-13</v>
      </c>
      <c r="DH526" s="37">
        <v>-16</v>
      </c>
      <c r="DI526" s="37">
        <v>-17</v>
      </c>
      <c r="DJ526" s="37">
        <v>-69</v>
      </c>
      <c r="DL526" s="36" t="s">
        <v>395</v>
      </c>
      <c r="DM526" s="37">
        <v>-16</v>
      </c>
      <c r="DN526" s="37">
        <v>-23</v>
      </c>
      <c r="DO526" s="37">
        <v>-24</v>
      </c>
      <c r="DP526" s="37">
        <v>-24</v>
      </c>
      <c r="DQ526" s="37">
        <v>-87</v>
      </c>
      <c r="DS526" s="36" t="s">
        <v>395</v>
      </c>
      <c r="DT526" s="37">
        <v>-12</v>
      </c>
      <c r="DU526" s="37">
        <v>-20</v>
      </c>
      <c r="DV526" s="37">
        <v>2</v>
      </c>
      <c r="DW526" s="37">
        <v>17</v>
      </c>
      <c r="DX526" s="37">
        <v>-13</v>
      </c>
      <c r="DZ526" s="36" t="s">
        <v>395</v>
      </c>
      <c r="EA526" s="37">
        <v>-17</v>
      </c>
      <c r="EB526" s="37">
        <v>-18</v>
      </c>
      <c r="EC526" s="37">
        <v>-24</v>
      </c>
      <c r="ED526" s="37">
        <v>-7</v>
      </c>
      <c r="EE526" s="37">
        <v>-66</v>
      </c>
      <c r="EG526" s="36" t="s">
        <v>395</v>
      </c>
      <c r="EH526" s="37">
        <v>-18</v>
      </c>
      <c r="EI526" s="37">
        <v>11</v>
      </c>
      <c r="EJ526" s="37">
        <v>-8</v>
      </c>
      <c r="EK526" s="37">
        <v>-26</v>
      </c>
      <c r="EL526" s="37">
        <v>-41</v>
      </c>
      <c r="EN526" s="36" t="s">
        <v>395</v>
      </c>
      <c r="EO526" s="37">
        <v>0</v>
      </c>
      <c r="EP526" s="37">
        <v>9</v>
      </c>
      <c r="EQ526" s="37">
        <v>8</v>
      </c>
      <c r="ER526" s="37">
        <v>3</v>
      </c>
      <c r="ES526" s="37">
        <v>20</v>
      </c>
      <c r="EU526" s="36" t="s">
        <v>395</v>
      </c>
      <c r="EV526" s="37">
        <v>-2</v>
      </c>
      <c r="EW526" s="37">
        <v>-2</v>
      </c>
      <c r="EX526" s="37">
        <v>8</v>
      </c>
      <c r="EY526" s="37">
        <v>3</v>
      </c>
      <c r="EZ526" s="37">
        <v>7</v>
      </c>
      <c r="FB526" s="36" t="s">
        <v>395</v>
      </c>
      <c r="FC526" s="37">
        <v>6</v>
      </c>
      <c r="FD526" s="37">
        <v>3</v>
      </c>
      <c r="FE526" s="37">
        <v>9</v>
      </c>
      <c r="FF526" s="37">
        <v>7</v>
      </c>
      <c r="FG526" s="37">
        <v>25</v>
      </c>
      <c r="FI526" s="36" t="s">
        <v>395</v>
      </c>
      <c r="FJ526" s="37">
        <v>-7</v>
      </c>
      <c r="FK526" s="37">
        <v>9</v>
      </c>
      <c r="FL526" s="37">
        <v>9</v>
      </c>
      <c r="FM526" s="37">
        <v>-2</v>
      </c>
      <c r="FN526" s="37">
        <v>9</v>
      </c>
      <c r="FP526" s="36" t="s">
        <v>395</v>
      </c>
      <c r="FQ526" s="37">
        <v>1</v>
      </c>
      <c r="FR526" s="37">
        <v>5</v>
      </c>
      <c r="FS526" s="37">
        <v>9</v>
      </c>
      <c r="FT526" s="37">
        <v>2</v>
      </c>
      <c r="FU526" s="37">
        <v>17</v>
      </c>
      <c r="FW526" s="36" t="s">
        <v>395</v>
      </c>
      <c r="FX526" s="37">
        <v>3</v>
      </c>
      <c r="FY526" s="37">
        <v>9</v>
      </c>
      <c r="FZ526" s="37">
        <v>-8</v>
      </c>
      <c r="GA526" s="37">
        <v>-3</v>
      </c>
      <c r="GB526" s="37">
        <v>1</v>
      </c>
      <c r="GD526" s="36" t="s">
        <v>395</v>
      </c>
      <c r="GK526" s="36" t="s">
        <v>395</v>
      </c>
      <c r="GR526" s="36" t="s">
        <v>395</v>
      </c>
      <c r="GY526" s="36" t="s">
        <v>395</v>
      </c>
      <c r="HF526" s="36" t="s">
        <v>395</v>
      </c>
      <c r="HM526" s="36" t="s">
        <v>395</v>
      </c>
      <c r="HT526" s="36" t="s">
        <v>395</v>
      </c>
      <c r="IA526" s="36" t="s">
        <v>395</v>
      </c>
      <c r="IH526" s="36" t="s">
        <v>395</v>
      </c>
      <c r="IO526" s="36" t="s">
        <v>395</v>
      </c>
      <c r="IV526" s="36" t="s">
        <v>395</v>
      </c>
      <c r="JC526" s="36" t="s">
        <v>395</v>
      </c>
      <c r="JJ526" s="36" t="s">
        <v>395</v>
      </c>
      <c r="JQ526" s="36" t="s">
        <v>395</v>
      </c>
      <c r="JX526" s="36" t="s">
        <v>395</v>
      </c>
      <c r="KE526" s="36" t="s">
        <v>395</v>
      </c>
      <c r="KL526" s="36" t="s">
        <v>395</v>
      </c>
      <c r="KS526" s="36" t="s">
        <v>395</v>
      </c>
      <c r="KZ526" s="36" t="s">
        <v>395</v>
      </c>
      <c r="LF526" s="565"/>
      <c r="LG526" s="36" t="s">
        <v>395</v>
      </c>
      <c r="LM526" s="565"/>
      <c r="LN526" s="36" t="s">
        <v>395</v>
      </c>
      <c r="LT526" s="565"/>
      <c r="LU526" s="36" t="s">
        <v>395</v>
      </c>
      <c r="MA526" s="565"/>
      <c r="MB526" s="36" t="s">
        <v>395</v>
      </c>
      <c r="MH526" s="565"/>
    </row>
    <row r="527" spans="1:346" s="37" customFormat="1" ht="13.15" hidden="1" outlineLevel="1" x14ac:dyDescent="0.4">
      <c r="A527" s="35"/>
      <c r="B527" s="36"/>
      <c r="BO527" s="36"/>
      <c r="BV527" s="36"/>
      <c r="CC527" s="36"/>
      <c r="CJ527" s="36"/>
      <c r="CQ527" s="36"/>
      <c r="CX527" s="36"/>
      <c r="DE527" s="36"/>
      <c r="DL527" s="36"/>
      <c r="DS527" s="36"/>
      <c r="DZ527" s="36"/>
      <c r="EG527" s="36"/>
      <c r="EN527" s="36"/>
      <c r="EU527" s="36"/>
      <c r="FB527" s="36"/>
      <c r="FI527" s="36"/>
      <c r="FP527" s="36"/>
      <c r="FW527" s="36"/>
      <c r="GD527" s="36"/>
      <c r="GK527" s="36"/>
      <c r="GR527" s="36"/>
      <c r="GY527" s="36"/>
      <c r="HF527" s="36"/>
      <c r="HM527" s="36"/>
      <c r="HT527" s="36"/>
      <c r="IA527" s="36"/>
      <c r="IH527" s="36"/>
      <c r="IO527" s="36"/>
      <c r="IV527" s="36"/>
      <c r="JC527" s="36"/>
      <c r="JJ527" s="36"/>
      <c r="JQ527" s="36"/>
      <c r="JX527" s="36"/>
      <c r="KE527" s="36"/>
      <c r="KL527" s="36"/>
      <c r="KS527" s="36"/>
      <c r="KZ527" s="36"/>
      <c r="LF527" s="565"/>
      <c r="LG527" s="36"/>
      <c r="LM527" s="565"/>
      <c r="LN527" s="36"/>
      <c r="LT527" s="565"/>
      <c r="LU527" s="36"/>
      <c r="MA527" s="565"/>
      <c r="MB527" s="36"/>
      <c r="MH527" s="565"/>
    </row>
    <row r="528" spans="1:346" s="37" customFormat="1" ht="13.15" hidden="1" outlineLevel="1" x14ac:dyDescent="0.4">
      <c r="A528" s="35"/>
      <c r="B528" s="36" t="s">
        <v>396</v>
      </c>
      <c r="BO528" s="36" t="s">
        <v>396</v>
      </c>
      <c r="BV528" s="36" t="s">
        <v>396</v>
      </c>
      <c r="CC528" s="36" t="s">
        <v>396</v>
      </c>
      <c r="CJ528" s="36" t="s">
        <v>396</v>
      </c>
      <c r="CQ528" s="36" t="s">
        <v>396</v>
      </c>
      <c r="CX528" s="36" t="s">
        <v>396</v>
      </c>
      <c r="DE528" s="36" t="s">
        <v>396</v>
      </c>
      <c r="DL528" s="36" t="s">
        <v>396</v>
      </c>
      <c r="DS528" s="36" t="s">
        <v>396</v>
      </c>
      <c r="DZ528" s="36" t="s">
        <v>396</v>
      </c>
      <c r="EG528" s="36" t="s">
        <v>396</v>
      </c>
      <c r="EN528" s="36" t="s">
        <v>396</v>
      </c>
      <c r="EU528" s="36" t="s">
        <v>396</v>
      </c>
      <c r="FB528" s="36" t="s">
        <v>396</v>
      </c>
      <c r="FI528" s="36" t="s">
        <v>396</v>
      </c>
      <c r="FP528" s="36" t="s">
        <v>396</v>
      </c>
      <c r="FW528" s="36" t="s">
        <v>396</v>
      </c>
      <c r="GD528" s="36" t="s">
        <v>396</v>
      </c>
      <c r="GK528" s="36" t="s">
        <v>396</v>
      </c>
      <c r="GR528" s="36" t="s">
        <v>396</v>
      </c>
      <c r="GY528" s="36" t="s">
        <v>396</v>
      </c>
      <c r="HF528" s="36" t="s">
        <v>396</v>
      </c>
      <c r="HM528" s="36" t="s">
        <v>396</v>
      </c>
      <c r="HT528" s="36" t="s">
        <v>396</v>
      </c>
      <c r="IA528" s="36" t="s">
        <v>396</v>
      </c>
      <c r="IH528" s="36" t="s">
        <v>396</v>
      </c>
      <c r="IO528" s="36" t="s">
        <v>396</v>
      </c>
      <c r="IV528" s="36" t="s">
        <v>396</v>
      </c>
      <c r="JC528" s="36" t="s">
        <v>396</v>
      </c>
      <c r="JJ528" s="36" t="s">
        <v>396</v>
      </c>
      <c r="JQ528" s="36" t="s">
        <v>396</v>
      </c>
      <c r="JX528" s="36" t="s">
        <v>396</v>
      </c>
      <c r="KE528" s="36" t="s">
        <v>396</v>
      </c>
      <c r="KL528" s="36" t="s">
        <v>396</v>
      </c>
      <c r="KS528" s="36" t="s">
        <v>396</v>
      </c>
      <c r="KZ528" s="36" t="s">
        <v>396</v>
      </c>
      <c r="LF528" s="565"/>
      <c r="LG528" s="36" t="s">
        <v>396</v>
      </c>
      <c r="LM528" s="565"/>
      <c r="LN528" s="36" t="s">
        <v>396</v>
      </c>
      <c r="LT528" s="565"/>
      <c r="LU528" s="36" t="s">
        <v>396</v>
      </c>
      <c r="MA528" s="565"/>
      <c r="MB528" s="36" t="s">
        <v>396</v>
      </c>
      <c r="MH528" s="565"/>
    </row>
    <row r="529" spans="1:346" s="37" customFormat="1" ht="13.15" hidden="1" outlineLevel="1" x14ac:dyDescent="0.4">
      <c r="A529" s="35"/>
      <c r="B529" s="36" t="s">
        <v>208</v>
      </c>
      <c r="K529" s="37">
        <v>164</v>
      </c>
      <c r="L529" s="37">
        <v>117</v>
      </c>
      <c r="M529" s="37">
        <v>196</v>
      </c>
      <c r="N529" s="37">
        <f>BT529</f>
        <v>179</v>
      </c>
      <c r="O529" s="37">
        <f>CA529</f>
        <v>144</v>
      </c>
      <c r="P529" s="37">
        <f>CH529</f>
        <v>106</v>
      </c>
      <c r="Q529" s="37">
        <f>CO529</f>
        <v>84</v>
      </c>
      <c r="R529" s="37">
        <f>CV529</f>
        <v>0</v>
      </c>
      <c r="S529" s="37">
        <f>DC529</f>
        <v>0</v>
      </c>
      <c r="T529" s="37">
        <f>DJ529</f>
        <v>0</v>
      </c>
      <c r="U529" s="37">
        <f>DQ529</f>
        <v>0</v>
      </c>
      <c r="V529" s="37">
        <f>DX529</f>
        <v>0</v>
      </c>
      <c r="W529" s="37">
        <f>EE529</f>
        <v>0</v>
      </c>
      <c r="X529" s="37">
        <f>EL529</f>
        <v>0</v>
      </c>
      <c r="Y529" s="37">
        <f>ES529</f>
        <v>0</v>
      </c>
      <c r="Z529" s="37">
        <f>EZ529</f>
        <v>0</v>
      </c>
      <c r="AA529" s="37">
        <f>FG529</f>
        <v>0</v>
      </c>
      <c r="AB529" s="37">
        <f>FN529</f>
        <v>0</v>
      </c>
      <c r="AC529" s="37">
        <f>FU529</f>
        <v>0</v>
      </c>
      <c r="AD529" s="37">
        <f>GB529</f>
        <v>0</v>
      </c>
      <c r="AE529" s="37">
        <f>GI529</f>
        <v>0</v>
      </c>
      <c r="AF529" s="37">
        <f>GP529</f>
        <v>0</v>
      </c>
      <c r="AG529" s="37">
        <f>GW529</f>
        <v>0</v>
      </c>
      <c r="AH529" s="37">
        <f>HD529</f>
        <v>0</v>
      </c>
      <c r="AI529" s="37">
        <f>HK529</f>
        <v>0</v>
      </c>
      <c r="AJ529" s="37">
        <f>HR529</f>
        <v>0</v>
      </c>
      <c r="AK529" s="37">
        <f>HY529</f>
        <v>0</v>
      </c>
      <c r="AL529" s="37">
        <f>IF529</f>
        <v>0</v>
      </c>
      <c r="AM529" s="37">
        <f>IM529</f>
        <v>0</v>
      </c>
      <c r="AN529" s="37">
        <f>IT529</f>
        <v>0</v>
      </c>
      <c r="AO529" s="37">
        <f>JA529</f>
        <v>0</v>
      </c>
      <c r="AP529" s="37">
        <f>JH529</f>
        <v>0</v>
      </c>
      <c r="AQ529" s="37">
        <f>JO529</f>
        <v>0</v>
      </c>
      <c r="AR529" s="37">
        <f>JV529</f>
        <v>0</v>
      </c>
      <c r="AS529" s="37">
        <f>KC529</f>
        <v>0</v>
      </c>
      <c r="AT529" s="37">
        <f>KJ529</f>
        <v>0</v>
      </c>
      <c r="AU529" s="37">
        <f>KQ529</f>
        <v>0</v>
      </c>
      <c r="AV529" s="37">
        <f>KX529</f>
        <v>0</v>
      </c>
      <c r="AW529" s="37">
        <f>LE529</f>
        <v>0</v>
      </c>
      <c r="AX529" s="37">
        <f>LL529</f>
        <v>0</v>
      </c>
      <c r="AY529" s="37">
        <f>LS529</f>
        <v>0</v>
      </c>
      <c r="AZ529" s="37">
        <f>LZ529</f>
        <v>0</v>
      </c>
      <c r="BA529" s="37">
        <f>MG529</f>
        <v>0</v>
      </c>
      <c r="BO529" s="36" t="s">
        <v>208</v>
      </c>
      <c r="BP529" s="37">
        <v>31</v>
      </c>
      <c r="BQ529" s="37">
        <v>50</v>
      </c>
      <c r="BR529" s="37">
        <v>27</v>
      </c>
      <c r="BS529" s="37">
        <v>71</v>
      </c>
      <c r="BT529" s="37">
        <v>179</v>
      </c>
      <c r="BV529" s="36" t="s">
        <v>208</v>
      </c>
      <c r="BW529" s="37">
        <v>22</v>
      </c>
      <c r="BX529" s="37">
        <v>23</v>
      </c>
      <c r="BY529" s="37">
        <v>52</v>
      </c>
      <c r="BZ529" s="37">
        <v>47</v>
      </c>
      <c r="CA529" s="37">
        <v>144</v>
      </c>
      <c r="CC529" s="36" t="s">
        <v>208</v>
      </c>
      <c r="CD529" s="37">
        <v>11</v>
      </c>
      <c r="CE529" s="37">
        <v>24</v>
      </c>
      <c r="CF529" s="37">
        <v>30</v>
      </c>
      <c r="CG529" s="37">
        <v>41</v>
      </c>
      <c r="CH529" s="37">
        <v>106</v>
      </c>
      <c r="CJ529" s="36" t="s">
        <v>208</v>
      </c>
      <c r="CK529" s="37">
        <v>12</v>
      </c>
      <c r="CL529" s="37">
        <v>12</v>
      </c>
      <c r="CM529" s="37">
        <v>22</v>
      </c>
      <c r="CN529" s="37">
        <v>38</v>
      </c>
      <c r="CO529" s="37">
        <v>84</v>
      </c>
      <c r="CQ529" s="36" t="s">
        <v>208</v>
      </c>
      <c r="CX529" s="36" t="s">
        <v>208</v>
      </c>
      <c r="DE529" s="36" t="s">
        <v>208</v>
      </c>
      <c r="DL529" s="36" t="s">
        <v>208</v>
      </c>
      <c r="DS529" s="36" t="s">
        <v>208</v>
      </c>
      <c r="DZ529" s="36" t="s">
        <v>208</v>
      </c>
      <c r="EG529" s="36" t="s">
        <v>208</v>
      </c>
      <c r="EN529" s="36" t="s">
        <v>208</v>
      </c>
      <c r="EU529" s="36" t="s">
        <v>208</v>
      </c>
      <c r="FB529" s="36" t="s">
        <v>208</v>
      </c>
      <c r="FI529" s="36" t="s">
        <v>208</v>
      </c>
      <c r="FP529" s="36" t="s">
        <v>208</v>
      </c>
      <c r="FW529" s="36" t="s">
        <v>208</v>
      </c>
      <c r="GD529" s="36" t="s">
        <v>208</v>
      </c>
      <c r="GK529" s="36" t="s">
        <v>208</v>
      </c>
      <c r="GR529" s="36" t="s">
        <v>208</v>
      </c>
      <c r="GY529" s="36" t="s">
        <v>208</v>
      </c>
      <c r="HF529" s="36" t="s">
        <v>208</v>
      </c>
      <c r="HM529" s="36" t="s">
        <v>208</v>
      </c>
      <c r="HT529" s="36" t="s">
        <v>208</v>
      </c>
      <c r="IA529" s="36" t="s">
        <v>208</v>
      </c>
      <c r="IH529" s="36" t="s">
        <v>208</v>
      </c>
      <c r="IO529" s="36" t="s">
        <v>208</v>
      </c>
      <c r="IV529" s="36" t="s">
        <v>208</v>
      </c>
      <c r="JC529" s="36" t="s">
        <v>208</v>
      </c>
      <c r="JJ529" s="36" t="s">
        <v>208</v>
      </c>
      <c r="JQ529" s="36" t="s">
        <v>208</v>
      </c>
      <c r="JX529" s="36" t="s">
        <v>208</v>
      </c>
      <c r="KE529" s="36" t="s">
        <v>208</v>
      </c>
      <c r="KL529" s="36" t="s">
        <v>208</v>
      </c>
      <c r="KS529" s="36" t="s">
        <v>208</v>
      </c>
      <c r="KZ529" s="36" t="s">
        <v>208</v>
      </c>
      <c r="LF529" s="565"/>
      <c r="LG529" s="36" t="s">
        <v>208</v>
      </c>
      <c r="LM529" s="565"/>
      <c r="LN529" s="36" t="s">
        <v>208</v>
      </c>
      <c r="LT529" s="565"/>
      <c r="LU529" s="36" t="s">
        <v>208</v>
      </c>
      <c r="MA529" s="565"/>
      <c r="MB529" s="36" t="s">
        <v>208</v>
      </c>
      <c r="MH529" s="565"/>
    </row>
    <row r="530" spans="1:346" s="37" customFormat="1" ht="13.15" hidden="1" outlineLevel="1" x14ac:dyDescent="0.4">
      <c r="A530" s="35"/>
      <c r="B530" s="36" t="s">
        <v>397</v>
      </c>
      <c r="K530" s="37">
        <v>17</v>
      </c>
      <c r="L530" s="37">
        <v>31</v>
      </c>
      <c r="M530" s="37">
        <v>39</v>
      </c>
      <c r="N530" s="37">
        <f>BT530</f>
        <v>28</v>
      </c>
      <c r="O530" s="37">
        <f>CA530</f>
        <v>41</v>
      </c>
      <c r="P530" s="37">
        <f>CH530</f>
        <v>36</v>
      </c>
      <c r="Q530" s="37">
        <f>CO530</f>
        <v>34</v>
      </c>
      <c r="R530" s="37">
        <f>CV530</f>
        <v>0</v>
      </c>
      <c r="S530" s="37">
        <f>DC530</f>
        <v>0</v>
      </c>
      <c r="T530" s="37">
        <f>DJ530</f>
        <v>0</v>
      </c>
      <c r="U530" s="37">
        <f>DQ530</f>
        <v>0</v>
      </c>
      <c r="V530" s="37">
        <f>DX530</f>
        <v>0</v>
      </c>
      <c r="W530" s="37">
        <f>EE530</f>
        <v>0</v>
      </c>
      <c r="X530" s="37">
        <f>EL530</f>
        <v>0</v>
      </c>
      <c r="Y530" s="37">
        <f>ES530</f>
        <v>0</v>
      </c>
      <c r="Z530" s="37">
        <f>EZ530</f>
        <v>0</v>
      </c>
      <c r="AA530" s="37">
        <f>FG530</f>
        <v>0</v>
      </c>
      <c r="AB530" s="37">
        <f>FN530</f>
        <v>0</v>
      </c>
      <c r="AC530" s="37">
        <f>FU530</f>
        <v>0</v>
      </c>
      <c r="AD530" s="37">
        <f>GB530</f>
        <v>0</v>
      </c>
      <c r="AE530" s="37">
        <f>GI530</f>
        <v>0</v>
      </c>
      <c r="AF530" s="37">
        <f>GP530</f>
        <v>0</v>
      </c>
      <c r="AG530" s="37">
        <f>GW530</f>
        <v>0</v>
      </c>
      <c r="AH530" s="37">
        <f>HD530</f>
        <v>0</v>
      </c>
      <c r="AI530" s="37">
        <f>HK530</f>
        <v>0</v>
      </c>
      <c r="AJ530" s="37">
        <f>HR530</f>
        <v>0</v>
      </c>
      <c r="AK530" s="37">
        <f>HY530</f>
        <v>0</v>
      </c>
      <c r="AL530" s="37">
        <f>IF530</f>
        <v>0</v>
      </c>
      <c r="AM530" s="37">
        <f>IM530</f>
        <v>0</v>
      </c>
      <c r="AN530" s="37">
        <f>IT530</f>
        <v>0</v>
      </c>
      <c r="AO530" s="37">
        <f>JA530</f>
        <v>0</v>
      </c>
      <c r="AP530" s="37">
        <f>JH530</f>
        <v>0</v>
      </c>
      <c r="AQ530" s="37">
        <f>JO530</f>
        <v>0</v>
      </c>
      <c r="AR530" s="37">
        <f>JV530</f>
        <v>0</v>
      </c>
      <c r="AS530" s="37">
        <f>KC530</f>
        <v>0</v>
      </c>
      <c r="AT530" s="37">
        <f>KJ530</f>
        <v>0</v>
      </c>
      <c r="AU530" s="37">
        <f>KQ530</f>
        <v>0</v>
      </c>
      <c r="AV530" s="37">
        <f>KX530</f>
        <v>0</v>
      </c>
      <c r="AW530" s="37">
        <f>LE530</f>
        <v>0</v>
      </c>
      <c r="AX530" s="37">
        <f>LL530</f>
        <v>0</v>
      </c>
      <c r="AY530" s="37">
        <f>LS530</f>
        <v>0</v>
      </c>
      <c r="AZ530" s="37">
        <f>LZ530</f>
        <v>0</v>
      </c>
      <c r="BA530" s="37">
        <f>MG530</f>
        <v>0</v>
      </c>
      <c r="BO530" s="36" t="s">
        <v>397</v>
      </c>
      <c r="BP530" s="37">
        <v>8</v>
      </c>
      <c r="BQ530" s="37">
        <v>5</v>
      </c>
      <c r="BR530" s="37">
        <v>7</v>
      </c>
      <c r="BS530" s="37">
        <v>8</v>
      </c>
      <c r="BT530" s="37">
        <v>28</v>
      </c>
      <c r="BV530" s="36" t="s">
        <v>397</v>
      </c>
      <c r="BW530" s="37">
        <v>9</v>
      </c>
      <c r="BX530" s="37">
        <v>7</v>
      </c>
      <c r="BY530" s="37">
        <v>13</v>
      </c>
      <c r="BZ530" s="37">
        <v>12</v>
      </c>
      <c r="CA530" s="37">
        <v>41</v>
      </c>
      <c r="CC530" s="36" t="s">
        <v>397</v>
      </c>
      <c r="CD530" s="37">
        <v>8</v>
      </c>
      <c r="CE530" s="37">
        <v>9</v>
      </c>
      <c r="CF530" s="37">
        <v>10</v>
      </c>
      <c r="CG530" s="37">
        <v>9</v>
      </c>
      <c r="CH530" s="37">
        <v>36</v>
      </c>
      <c r="CJ530" s="36" t="s">
        <v>397</v>
      </c>
      <c r="CK530" s="37">
        <v>9</v>
      </c>
      <c r="CL530" s="37">
        <v>8</v>
      </c>
      <c r="CM530" s="37">
        <v>8</v>
      </c>
      <c r="CN530" s="37">
        <v>9</v>
      </c>
      <c r="CO530" s="37">
        <v>34</v>
      </c>
      <c r="CQ530" s="36" t="s">
        <v>397</v>
      </c>
      <c r="CX530" s="36" t="s">
        <v>397</v>
      </c>
      <c r="DE530" s="36" t="s">
        <v>397</v>
      </c>
      <c r="DL530" s="36" t="s">
        <v>397</v>
      </c>
      <c r="DS530" s="36" t="s">
        <v>397</v>
      </c>
      <c r="DZ530" s="36" t="s">
        <v>397</v>
      </c>
      <c r="EG530" s="36" t="s">
        <v>397</v>
      </c>
      <c r="EN530" s="36" t="s">
        <v>397</v>
      </c>
      <c r="EU530" s="36" t="s">
        <v>397</v>
      </c>
      <c r="FB530" s="36" t="s">
        <v>397</v>
      </c>
      <c r="FI530" s="36" t="s">
        <v>397</v>
      </c>
      <c r="FP530" s="36" t="s">
        <v>397</v>
      </c>
      <c r="FW530" s="36" t="s">
        <v>397</v>
      </c>
      <c r="GD530" s="36" t="s">
        <v>397</v>
      </c>
      <c r="GK530" s="36" t="s">
        <v>397</v>
      </c>
      <c r="GR530" s="36" t="s">
        <v>397</v>
      </c>
      <c r="GY530" s="36" t="s">
        <v>397</v>
      </c>
      <c r="HF530" s="36" t="s">
        <v>397</v>
      </c>
      <c r="HM530" s="36" t="s">
        <v>397</v>
      </c>
      <c r="HT530" s="36" t="s">
        <v>397</v>
      </c>
      <c r="IA530" s="36" t="s">
        <v>397</v>
      </c>
      <c r="IH530" s="36" t="s">
        <v>397</v>
      </c>
      <c r="IO530" s="36" t="s">
        <v>397</v>
      </c>
      <c r="IV530" s="36" t="s">
        <v>397</v>
      </c>
      <c r="JC530" s="36" t="s">
        <v>397</v>
      </c>
      <c r="JJ530" s="36" t="s">
        <v>397</v>
      </c>
      <c r="JQ530" s="36" t="s">
        <v>397</v>
      </c>
      <c r="JX530" s="36" t="s">
        <v>397</v>
      </c>
      <c r="KE530" s="36" t="s">
        <v>397</v>
      </c>
      <c r="KL530" s="36" t="s">
        <v>397</v>
      </c>
      <c r="KS530" s="36" t="s">
        <v>397</v>
      </c>
      <c r="KZ530" s="36" t="s">
        <v>397</v>
      </c>
      <c r="LF530" s="565"/>
      <c r="LG530" s="36" t="s">
        <v>397</v>
      </c>
      <c r="LM530" s="565"/>
      <c r="LN530" s="36" t="s">
        <v>397</v>
      </c>
      <c r="LT530" s="565"/>
      <c r="LU530" s="36" t="s">
        <v>397</v>
      </c>
      <c r="MA530" s="565"/>
      <c r="MB530" s="36" t="s">
        <v>397</v>
      </c>
      <c r="MH530" s="565"/>
    </row>
    <row r="531" spans="1:346" s="37" customFormat="1" ht="13.15" hidden="1" outlineLevel="1" x14ac:dyDescent="0.4">
      <c r="A531" s="35"/>
      <c r="B531" s="36" t="s">
        <v>395</v>
      </c>
      <c r="K531" s="37">
        <v>147</v>
      </c>
      <c r="L531" s="37">
        <v>86</v>
      </c>
      <c r="M531" s="37">
        <v>157</v>
      </c>
      <c r="N531" s="37">
        <f>BT531</f>
        <v>151</v>
      </c>
      <c r="O531" s="37">
        <f>CA531</f>
        <v>103</v>
      </c>
      <c r="P531" s="37">
        <f>CH531</f>
        <v>70</v>
      </c>
      <c r="Q531" s="37">
        <f>CO531</f>
        <v>50</v>
      </c>
      <c r="R531" s="37">
        <f>CV531</f>
        <v>0</v>
      </c>
      <c r="S531" s="37">
        <f>DC531</f>
        <v>0</v>
      </c>
      <c r="T531" s="37">
        <f>DJ531</f>
        <v>0</v>
      </c>
      <c r="U531" s="37">
        <f>DQ531</f>
        <v>0</v>
      </c>
      <c r="V531" s="37">
        <f>DX531</f>
        <v>0</v>
      </c>
      <c r="W531" s="37">
        <f>EE531</f>
        <v>0</v>
      </c>
      <c r="X531" s="37">
        <f>EL531</f>
        <v>0</v>
      </c>
      <c r="Y531" s="37">
        <f>ES531</f>
        <v>0</v>
      </c>
      <c r="Z531" s="37">
        <f>EZ531</f>
        <v>0</v>
      </c>
      <c r="AA531" s="37">
        <f>FG531</f>
        <v>0</v>
      </c>
      <c r="AB531" s="37">
        <f>FN531</f>
        <v>0</v>
      </c>
      <c r="AC531" s="37">
        <f>FU531</f>
        <v>0</v>
      </c>
      <c r="AD531" s="37">
        <f>GB531</f>
        <v>0</v>
      </c>
      <c r="AE531" s="37">
        <f>GI531</f>
        <v>0</v>
      </c>
      <c r="AF531" s="37">
        <f>GP531</f>
        <v>0</v>
      </c>
      <c r="AG531" s="37">
        <f>GW531</f>
        <v>0</v>
      </c>
      <c r="AH531" s="37">
        <f>HD531</f>
        <v>0</v>
      </c>
      <c r="AI531" s="37">
        <f>HK531</f>
        <v>0</v>
      </c>
      <c r="AJ531" s="37">
        <f>HR531</f>
        <v>0</v>
      </c>
      <c r="AK531" s="37">
        <f>HY531</f>
        <v>0</v>
      </c>
      <c r="AL531" s="37">
        <f>IF531</f>
        <v>0</v>
      </c>
      <c r="AM531" s="37">
        <f>IM531</f>
        <v>0</v>
      </c>
      <c r="AN531" s="37">
        <f>IT531</f>
        <v>0</v>
      </c>
      <c r="AO531" s="37">
        <f>JA531</f>
        <v>0</v>
      </c>
      <c r="AP531" s="37">
        <f>JH531</f>
        <v>0</v>
      </c>
      <c r="AQ531" s="37">
        <f>JO531</f>
        <v>0</v>
      </c>
      <c r="AR531" s="37">
        <f>JV531</f>
        <v>0</v>
      </c>
      <c r="AS531" s="37">
        <f>KC531</f>
        <v>0</v>
      </c>
      <c r="AT531" s="37">
        <f>KJ531</f>
        <v>0</v>
      </c>
      <c r="AU531" s="37">
        <f>KQ531</f>
        <v>0</v>
      </c>
      <c r="AV531" s="37">
        <f>KX531</f>
        <v>0</v>
      </c>
      <c r="AW531" s="37">
        <f>LE531</f>
        <v>0</v>
      </c>
      <c r="AX531" s="37">
        <f>LL531</f>
        <v>0</v>
      </c>
      <c r="AY531" s="37">
        <f>LS531</f>
        <v>0</v>
      </c>
      <c r="AZ531" s="37">
        <f>LZ531</f>
        <v>0</v>
      </c>
      <c r="BA531" s="37">
        <f>MG531</f>
        <v>0</v>
      </c>
      <c r="BO531" s="36" t="s">
        <v>395</v>
      </c>
      <c r="BP531" s="37">
        <v>23</v>
      </c>
      <c r="BQ531" s="37">
        <v>45</v>
      </c>
      <c r="BR531" s="37">
        <v>20</v>
      </c>
      <c r="BS531" s="37">
        <v>63</v>
      </c>
      <c r="BT531" s="37">
        <v>151</v>
      </c>
      <c r="BV531" s="36" t="s">
        <v>395</v>
      </c>
      <c r="BW531" s="37">
        <v>13</v>
      </c>
      <c r="BX531" s="37">
        <v>16</v>
      </c>
      <c r="BY531" s="37">
        <v>39</v>
      </c>
      <c r="BZ531" s="37">
        <v>35</v>
      </c>
      <c r="CA531" s="37">
        <v>103</v>
      </c>
      <c r="CC531" s="36" t="s">
        <v>395</v>
      </c>
      <c r="CD531" s="37">
        <v>3</v>
      </c>
      <c r="CE531" s="37">
        <v>15</v>
      </c>
      <c r="CF531" s="37">
        <v>20</v>
      </c>
      <c r="CG531" s="37">
        <v>32</v>
      </c>
      <c r="CH531" s="37">
        <v>70</v>
      </c>
      <c r="CJ531" s="36" t="s">
        <v>395</v>
      </c>
      <c r="CK531" s="37">
        <v>3</v>
      </c>
      <c r="CL531" s="37">
        <v>4</v>
      </c>
      <c r="CM531" s="37">
        <v>14</v>
      </c>
      <c r="CN531" s="37">
        <v>29</v>
      </c>
      <c r="CO531" s="37">
        <v>50</v>
      </c>
      <c r="CQ531" s="36" t="s">
        <v>395</v>
      </c>
      <c r="CX531" s="36" t="s">
        <v>395</v>
      </c>
      <c r="DE531" s="36" t="s">
        <v>395</v>
      </c>
      <c r="DL531" s="36" t="s">
        <v>395</v>
      </c>
      <c r="DS531" s="36" t="s">
        <v>395</v>
      </c>
      <c r="DZ531" s="36" t="s">
        <v>395</v>
      </c>
      <c r="EG531" s="36" t="s">
        <v>395</v>
      </c>
      <c r="EN531" s="36" t="s">
        <v>395</v>
      </c>
      <c r="EU531" s="36" t="s">
        <v>395</v>
      </c>
      <c r="FB531" s="36" t="s">
        <v>395</v>
      </c>
      <c r="FI531" s="36" t="s">
        <v>395</v>
      </c>
      <c r="FP531" s="36" t="s">
        <v>395</v>
      </c>
      <c r="FW531" s="36" t="s">
        <v>395</v>
      </c>
      <c r="GD531" s="36" t="s">
        <v>395</v>
      </c>
      <c r="GK531" s="36" t="s">
        <v>395</v>
      </c>
      <c r="GR531" s="36" t="s">
        <v>395</v>
      </c>
      <c r="GY531" s="36" t="s">
        <v>395</v>
      </c>
      <c r="HF531" s="36" t="s">
        <v>395</v>
      </c>
      <c r="HM531" s="36" t="s">
        <v>395</v>
      </c>
      <c r="HT531" s="36" t="s">
        <v>395</v>
      </c>
      <c r="IA531" s="36" t="s">
        <v>395</v>
      </c>
      <c r="IH531" s="36" t="s">
        <v>395</v>
      </c>
      <c r="IO531" s="36" t="s">
        <v>395</v>
      </c>
      <c r="IV531" s="36" t="s">
        <v>395</v>
      </c>
      <c r="JC531" s="36" t="s">
        <v>395</v>
      </c>
      <c r="JJ531" s="36" t="s">
        <v>395</v>
      </c>
      <c r="JQ531" s="36" t="s">
        <v>395</v>
      </c>
      <c r="JX531" s="36" t="s">
        <v>395</v>
      </c>
      <c r="KE531" s="36" t="s">
        <v>395</v>
      </c>
      <c r="KL531" s="36" t="s">
        <v>395</v>
      </c>
      <c r="KS531" s="36" t="s">
        <v>395</v>
      </c>
      <c r="KZ531" s="36" t="s">
        <v>395</v>
      </c>
      <c r="LF531" s="565"/>
      <c r="LG531" s="36" t="s">
        <v>395</v>
      </c>
      <c r="LM531" s="565"/>
      <c r="LN531" s="36" t="s">
        <v>395</v>
      </c>
      <c r="LT531" s="565"/>
      <c r="LU531" s="36" t="s">
        <v>395</v>
      </c>
      <c r="MA531" s="565"/>
      <c r="MB531" s="36" t="s">
        <v>395</v>
      </c>
      <c r="MH531" s="565"/>
    </row>
    <row r="532" spans="1:346" s="37" customFormat="1" ht="13.15" hidden="1" outlineLevel="1" x14ac:dyDescent="0.4">
      <c r="A532" s="35"/>
      <c r="B532" s="36"/>
      <c r="BO532" s="36"/>
      <c r="BV532" s="36"/>
      <c r="CC532" s="36"/>
      <c r="CJ532" s="36"/>
      <c r="CQ532" s="36"/>
      <c r="CX532" s="36"/>
      <c r="DE532" s="36"/>
      <c r="DL532" s="36"/>
      <c r="DS532" s="36"/>
      <c r="DZ532" s="36"/>
      <c r="EG532" s="36"/>
      <c r="EN532" s="36"/>
      <c r="EU532" s="36"/>
      <c r="FB532" s="36"/>
      <c r="FI532" s="36"/>
      <c r="FP532" s="36"/>
      <c r="FW532" s="36"/>
      <c r="GD532" s="36"/>
      <c r="GK532" s="36"/>
      <c r="GR532" s="36"/>
      <c r="GY532" s="36"/>
      <c r="HF532" s="36"/>
      <c r="HM532" s="36"/>
      <c r="HT532" s="36"/>
      <c r="IA532" s="36"/>
      <c r="IH532" s="36"/>
      <c r="IO532" s="36"/>
      <c r="IV532" s="36"/>
      <c r="JC532" s="36"/>
      <c r="JJ532" s="36"/>
      <c r="JQ532" s="36"/>
      <c r="JX532" s="36"/>
      <c r="KE532" s="36"/>
      <c r="KL532" s="36"/>
      <c r="KS532" s="36"/>
      <c r="KZ532" s="36"/>
      <c r="LF532" s="565"/>
      <c r="LG532" s="36"/>
      <c r="LM532" s="565"/>
      <c r="LN532" s="36"/>
      <c r="LT532" s="565"/>
      <c r="LU532" s="36"/>
      <c r="MA532" s="565"/>
      <c r="MB532" s="36"/>
      <c r="MH532" s="565"/>
    </row>
    <row r="533" spans="1:346" s="37" customFormat="1" ht="13.15" hidden="1" outlineLevel="1" x14ac:dyDescent="0.4">
      <c r="A533" s="35"/>
      <c r="B533" s="36" t="s">
        <v>398</v>
      </c>
      <c r="BO533" s="36" t="s">
        <v>398</v>
      </c>
      <c r="BV533" s="36" t="s">
        <v>398</v>
      </c>
      <c r="CC533" s="36" t="s">
        <v>398</v>
      </c>
      <c r="CD533" s="37" t="s">
        <v>334</v>
      </c>
      <c r="CJ533" s="36" t="s">
        <v>398</v>
      </c>
      <c r="CK533" s="37" t="s">
        <v>334</v>
      </c>
      <c r="CQ533" s="36" t="s">
        <v>398</v>
      </c>
      <c r="CX533" s="36" t="s">
        <v>398</v>
      </c>
      <c r="DE533" s="36" t="s">
        <v>398</v>
      </c>
      <c r="DL533" s="36" t="s">
        <v>398</v>
      </c>
      <c r="DS533" s="36" t="s">
        <v>398</v>
      </c>
      <c r="DZ533" s="36" t="s">
        <v>398</v>
      </c>
      <c r="EG533" s="36" t="s">
        <v>398</v>
      </c>
      <c r="EN533" s="36" t="s">
        <v>398</v>
      </c>
      <c r="EU533" s="36" t="s">
        <v>398</v>
      </c>
      <c r="FB533" s="36" t="s">
        <v>398</v>
      </c>
      <c r="FI533" s="36" t="s">
        <v>398</v>
      </c>
      <c r="FP533" s="36" t="s">
        <v>398</v>
      </c>
      <c r="FW533" s="36" t="s">
        <v>398</v>
      </c>
      <c r="GD533" s="36" t="s">
        <v>398</v>
      </c>
      <c r="GK533" s="36" t="s">
        <v>398</v>
      </c>
      <c r="GR533" s="36" t="s">
        <v>398</v>
      </c>
      <c r="GY533" s="36" t="s">
        <v>398</v>
      </c>
      <c r="HF533" s="36" t="s">
        <v>398</v>
      </c>
      <c r="HM533" s="36" t="s">
        <v>398</v>
      </c>
      <c r="HT533" s="36" t="s">
        <v>398</v>
      </c>
      <c r="IA533" s="36" t="s">
        <v>398</v>
      </c>
      <c r="IH533" s="36" t="s">
        <v>398</v>
      </c>
      <c r="IO533" s="36" t="s">
        <v>398</v>
      </c>
      <c r="IV533" s="36" t="s">
        <v>398</v>
      </c>
      <c r="JC533" s="36" t="s">
        <v>398</v>
      </c>
      <c r="JJ533" s="36" t="s">
        <v>398</v>
      </c>
      <c r="JQ533" s="36" t="s">
        <v>398</v>
      </c>
      <c r="JX533" s="36" t="s">
        <v>398</v>
      </c>
      <c r="KE533" s="36" t="s">
        <v>398</v>
      </c>
      <c r="KL533" s="36" t="s">
        <v>398</v>
      </c>
      <c r="KS533" s="36" t="s">
        <v>398</v>
      </c>
      <c r="KZ533" s="36" t="s">
        <v>398</v>
      </c>
      <c r="LF533" s="565"/>
      <c r="LG533" s="36" t="s">
        <v>398</v>
      </c>
      <c r="LM533" s="565"/>
      <c r="LN533" s="36" t="s">
        <v>398</v>
      </c>
      <c r="LT533" s="565"/>
      <c r="LU533" s="36" t="s">
        <v>398</v>
      </c>
      <c r="MA533" s="565"/>
      <c r="MB533" s="36" t="s">
        <v>398</v>
      </c>
      <c r="MH533" s="565"/>
    </row>
    <row r="534" spans="1:346" s="37" customFormat="1" ht="13.15" hidden="1" outlineLevel="1" x14ac:dyDescent="0.4">
      <c r="A534" s="35"/>
      <c r="B534" s="36" t="s">
        <v>208</v>
      </c>
      <c r="K534" s="37">
        <v>86</v>
      </c>
      <c r="L534" s="37">
        <v>102</v>
      </c>
      <c r="M534" s="37">
        <v>111</v>
      </c>
      <c r="N534" s="37">
        <f>BT534</f>
        <v>105</v>
      </c>
      <c r="O534" s="37">
        <f>CA534</f>
        <v>81</v>
      </c>
      <c r="P534" s="37">
        <f>CH534</f>
        <v>84</v>
      </c>
      <c r="Q534" s="37">
        <f>CO534</f>
        <v>91</v>
      </c>
      <c r="R534" s="37">
        <f>CV534</f>
        <v>0</v>
      </c>
      <c r="S534" s="37">
        <f>DC534</f>
        <v>0</v>
      </c>
      <c r="T534" s="37">
        <f>DJ534</f>
        <v>0</v>
      </c>
      <c r="U534" s="37">
        <f>DQ534</f>
        <v>0</v>
      </c>
      <c r="V534" s="37">
        <f>DX534</f>
        <v>0</v>
      </c>
      <c r="W534" s="37">
        <f>EE534</f>
        <v>0</v>
      </c>
      <c r="X534" s="37">
        <f>EL534</f>
        <v>0</v>
      </c>
      <c r="Y534" s="37">
        <f>ES534</f>
        <v>0</v>
      </c>
      <c r="Z534" s="37">
        <f>EZ534</f>
        <v>0</v>
      </c>
      <c r="AA534" s="37">
        <f>FG534</f>
        <v>0</v>
      </c>
      <c r="AB534" s="37">
        <f>FN534</f>
        <v>0</v>
      </c>
      <c r="AC534" s="37">
        <f>FU534</f>
        <v>0</v>
      </c>
      <c r="AD534" s="37">
        <f>GB534</f>
        <v>0</v>
      </c>
      <c r="AE534" s="37">
        <f>GI534</f>
        <v>0</v>
      </c>
      <c r="AF534" s="37">
        <f>GP534</f>
        <v>0</v>
      </c>
      <c r="AG534" s="37">
        <f>GW534</f>
        <v>0</v>
      </c>
      <c r="AH534" s="37">
        <f>HD534</f>
        <v>0</v>
      </c>
      <c r="AI534" s="37">
        <f>HK534</f>
        <v>0</v>
      </c>
      <c r="AJ534" s="37">
        <f>HR534</f>
        <v>0</v>
      </c>
      <c r="AK534" s="37">
        <f>HY534</f>
        <v>0</v>
      </c>
      <c r="AL534" s="37">
        <f>IF534</f>
        <v>0</v>
      </c>
      <c r="AM534" s="37">
        <f>IM534</f>
        <v>0</v>
      </c>
      <c r="AN534" s="37">
        <f>IT534</f>
        <v>0</v>
      </c>
      <c r="AO534" s="37">
        <f>JA534</f>
        <v>0</v>
      </c>
      <c r="AP534" s="37">
        <f>JH534</f>
        <v>0</v>
      </c>
      <c r="AQ534" s="37">
        <f>JO534</f>
        <v>0</v>
      </c>
      <c r="AR534" s="37">
        <f>JV534</f>
        <v>0</v>
      </c>
      <c r="AS534" s="37">
        <f>KC534</f>
        <v>0</v>
      </c>
      <c r="AT534" s="37">
        <f>KJ534</f>
        <v>0</v>
      </c>
      <c r="AU534" s="37">
        <f>KQ534</f>
        <v>0</v>
      </c>
      <c r="AV534" s="37">
        <f>KX534</f>
        <v>0</v>
      </c>
      <c r="AW534" s="37">
        <f>LE534</f>
        <v>0</v>
      </c>
      <c r="AX534" s="37">
        <f>LL534</f>
        <v>0</v>
      </c>
      <c r="AY534" s="37">
        <f>LS534</f>
        <v>0</v>
      </c>
      <c r="AZ534" s="37">
        <f>LZ534</f>
        <v>0</v>
      </c>
      <c r="BA534" s="37">
        <f>MG534</f>
        <v>0</v>
      </c>
      <c r="BO534" s="36" t="s">
        <v>208</v>
      </c>
      <c r="BP534" s="37">
        <v>21</v>
      </c>
      <c r="BQ534" s="37">
        <v>35</v>
      </c>
      <c r="BR534" s="37">
        <v>33</v>
      </c>
      <c r="BS534" s="37">
        <v>16</v>
      </c>
      <c r="BT534" s="37">
        <v>105</v>
      </c>
      <c r="BV534" s="36" t="s">
        <v>208</v>
      </c>
      <c r="BW534" s="37">
        <v>4</v>
      </c>
      <c r="BX534" s="37">
        <v>26</v>
      </c>
      <c r="BY534" s="37">
        <v>36</v>
      </c>
      <c r="BZ534" s="37">
        <v>15</v>
      </c>
      <c r="CA534" s="37">
        <v>81</v>
      </c>
      <c r="CC534" s="36" t="s">
        <v>208</v>
      </c>
      <c r="CD534" s="37">
        <v>4</v>
      </c>
      <c r="CE534" s="37">
        <v>25</v>
      </c>
      <c r="CF534" s="37">
        <v>40</v>
      </c>
      <c r="CG534" s="37">
        <v>15</v>
      </c>
      <c r="CH534" s="37">
        <v>84</v>
      </c>
      <c r="CJ534" s="36" t="s">
        <v>208</v>
      </c>
      <c r="CK534" s="37">
        <v>5</v>
      </c>
      <c r="CL534" s="37">
        <v>31</v>
      </c>
      <c r="CM534" s="37">
        <v>40</v>
      </c>
      <c r="CN534" s="37">
        <v>15</v>
      </c>
      <c r="CO534" s="37">
        <v>91</v>
      </c>
      <c r="CQ534" s="36" t="s">
        <v>208</v>
      </c>
      <c r="CX534" s="36" t="s">
        <v>208</v>
      </c>
      <c r="DE534" s="36" t="s">
        <v>208</v>
      </c>
      <c r="DL534" s="36" t="s">
        <v>208</v>
      </c>
      <c r="DS534" s="36" t="s">
        <v>208</v>
      </c>
      <c r="DZ534" s="36" t="s">
        <v>208</v>
      </c>
      <c r="EG534" s="36" t="s">
        <v>208</v>
      </c>
      <c r="EN534" s="36" t="s">
        <v>208</v>
      </c>
      <c r="EU534" s="36" t="s">
        <v>208</v>
      </c>
      <c r="FB534" s="36" t="s">
        <v>208</v>
      </c>
      <c r="FI534" s="36" t="s">
        <v>208</v>
      </c>
      <c r="FP534" s="36" t="s">
        <v>208</v>
      </c>
      <c r="FW534" s="36" t="s">
        <v>208</v>
      </c>
      <c r="GD534" s="36" t="s">
        <v>208</v>
      </c>
      <c r="GK534" s="36" t="s">
        <v>208</v>
      </c>
      <c r="GR534" s="36" t="s">
        <v>208</v>
      </c>
      <c r="GY534" s="36" t="s">
        <v>208</v>
      </c>
      <c r="HF534" s="36" t="s">
        <v>208</v>
      </c>
      <c r="HM534" s="36" t="s">
        <v>208</v>
      </c>
      <c r="HT534" s="36" t="s">
        <v>208</v>
      </c>
      <c r="IA534" s="36" t="s">
        <v>208</v>
      </c>
      <c r="IH534" s="36" t="s">
        <v>208</v>
      </c>
      <c r="IO534" s="36" t="s">
        <v>208</v>
      </c>
      <c r="IV534" s="36" t="s">
        <v>208</v>
      </c>
      <c r="JC534" s="36" t="s">
        <v>208</v>
      </c>
      <c r="JJ534" s="36" t="s">
        <v>208</v>
      </c>
      <c r="JQ534" s="36" t="s">
        <v>208</v>
      </c>
      <c r="JX534" s="36" t="s">
        <v>208</v>
      </c>
      <c r="KE534" s="36" t="s">
        <v>208</v>
      </c>
      <c r="KL534" s="36" t="s">
        <v>208</v>
      </c>
      <c r="KS534" s="36" t="s">
        <v>208</v>
      </c>
      <c r="KZ534" s="36" t="s">
        <v>208</v>
      </c>
      <c r="LF534" s="565"/>
      <c r="LG534" s="36" t="s">
        <v>208</v>
      </c>
      <c r="LM534" s="565"/>
      <c r="LN534" s="36" t="s">
        <v>208</v>
      </c>
      <c r="LT534" s="565"/>
      <c r="LU534" s="36" t="s">
        <v>208</v>
      </c>
      <c r="MA534" s="565"/>
      <c r="MB534" s="36" t="s">
        <v>208</v>
      </c>
      <c r="MH534" s="565"/>
    </row>
    <row r="535" spans="1:346" s="37" customFormat="1" ht="13.15" hidden="1" outlineLevel="1" x14ac:dyDescent="0.4">
      <c r="A535" s="35"/>
      <c r="B535" s="36" t="s">
        <v>397</v>
      </c>
      <c r="K535" s="37">
        <v>74</v>
      </c>
      <c r="L535" s="37">
        <v>87</v>
      </c>
      <c r="M535" s="37">
        <v>95</v>
      </c>
      <c r="N535" s="37">
        <f>BT535</f>
        <v>85</v>
      </c>
      <c r="O535" s="37">
        <f>CA535</f>
        <v>68</v>
      </c>
      <c r="P535" s="37">
        <f>CH535</f>
        <v>76</v>
      </c>
      <c r="Q535" s="37">
        <f>CO535</f>
        <v>82</v>
      </c>
      <c r="R535" s="37">
        <f>CV535</f>
        <v>0</v>
      </c>
      <c r="S535" s="37">
        <f>DC535</f>
        <v>0</v>
      </c>
      <c r="T535" s="37">
        <f>DJ535</f>
        <v>0</v>
      </c>
      <c r="U535" s="37">
        <f>DQ535</f>
        <v>0</v>
      </c>
      <c r="V535" s="37">
        <f>DX535</f>
        <v>0</v>
      </c>
      <c r="W535" s="37">
        <f>EE535</f>
        <v>0</v>
      </c>
      <c r="X535" s="37">
        <f>EL535</f>
        <v>0</v>
      </c>
      <c r="Y535" s="37">
        <f>ES535</f>
        <v>0</v>
      </c>
      <c r="Z535" s="37">
        <f>EZ535</f>
        <v>0</v>
      </c>
      <c r="AA535" s="37">
        <f>FG535</f>
        <v>0</v>
      </c>
      <c r="AB535" s="37">
        <f>FN535</f>
        <v>0</v>
      </c>
      <c r="AC535" s="37">
        <f>FU535</f>
        <v>0</v>
      </c>
      <c r="AD535" s="37">
        <f>GB535</f>
        <v>0</v>
      </c>
      <c r="AE535" s="37">
        <f>GI535</f>
        <v>0</v>
      </c>
      <c r="AF535" s="37">
        <f>GP535</f>
        <v>0</v>
      </c>
      <c r="AG535" s="37">
        <f>GW535</f>
        <v>0</v>
      </c>
      <c r="AH535" s="37">
        <f>HD535</f>
        <v>0</v>
      </c>
      <c r="AI535" s="37">
        <f>HK535</f>
        <v>0</v>
      </c>
      <c r="AJ535" s="37">
        <f>HR535</f>
        <v>0</v>
      </c>
      <c r="AK535" s="37">
        <f>HY535</f>
        <v>0</v>
      </c>
      <c r="AL535" s="37">
        <f>IF535</f>
        <v>0</v>
      </c>
      <c r="AM535" s="37">
        <f>IM535</f>
        <v>0</v>
      </c>
      <c r="AN535" s="37">
        <f>IT535</f>
        <v>0</v>
      </c>
      <c r="AO535" s="37">
        <f>JA535</f>
        <v>0</v>
      </c>
      <c r="AP535" s="37">
        <f>JH535</f>
        <v>0</v>
      </c>
      <c r="AQ535" s="37">
        <f>JO535</f>
        <v>0</v>
      </c>
      <c r="AR535" s="37">
        <f>JV535</f>
        <v>0</v>
      </c>
      <c r="AS535" s="37">
        <f>KC535</f>
        <v>0</v>
      </c>
      <c r="AT535" s="37">
        <f>KJ535</f>
        <v>0</v>
      </c>
      <c r="AU535" s="37">
        <f>KQ535</f>
        <v>0</v>
      </c>
      <c r="AV535" s="37">
        <f>KX535</f>
        <v>0</v>
      </c>
      <c r="AW535" s="37">
        <f>LE535</f>
        <v>0</v>
      </c>
      <c r="AX535" s="37">
        <f>LL535</f>
        <v>0</v>
      </c>
      <c r="AY535" s="37">
        <f>LS535</f>
        <v>0</v>
      </c>
      <c r="AZ535" s="37">
        <f>LZ535</f>
        <v>0</v>
      </c>
      <c r="BA535" s="37">
        <f>MG535</f>
        <v>0</v>
      </c>
      <c r="BO535" s="36" t="s">
        <v>397</v>
      </c>
      <c r="BP535" s="37">
        <v>21</v>
      </c>
      <c r="BQ535" s="37">
        <v>27</v>
      </c>
      <c r="BR535" s="37">
        <v>23</v>
      </c>
      <c r="BS535" s="37">
        <v>14</v>
      </c>
      <c r="BT535" s="37">
        <v>85</v>
      </c>
      <c r="BV535" s="36" t="s">
        <v>397</v>
      </c>
      <c r="BW535" s="37">
        <v>10</v>
      </c>
      <c r="BX535" s="37">
        <v>19</v>
      </c>
      <c r="BY535" s="37">
        <v>25</v>
      </c>
      <c r="BZ535" s="37">
        <v>14</v>
      </c>
      <c r="CA535" s="37">
        <v>68</v>
      </c>
      <c r="CC535" s="36" t="s">
        <v>397</v>
      </c>
      <c r="CD535" s="37">
        <v>11</v>
      </c>
      <c r="CE535" s="37">
        <v>19</v>
      </c>
      <c r="CF535" s="37">
        <v>31</v>
      </c>
      <c r="CG535" s="37">
        <v>15</v>
      </c>
      <c r="CH535" s="37">
        <v>76</v>
      </c>
      <c r="CJ535" s="36" t="s">
        <v>397</v>
      </c>
      <c r="CK535" s="37">
        <v>12</v>
      </c>
      <c r="CL535" s="37">
        <v>24</v>
      </c>
      <c r="CM535" s="37">
        <v>29</v>
      </c>
      <c r="CN535" s="37">
        <v>17</v>
      </c>
      <c r="CO535" s="37">
        <v>82</v>
      </c>
      <c r="CQ535" s="36" t="s">
        <v>397</v>
      </c>
      <c r="CX535" s="36" t="s">
        <v>397</v>
      </c>
      <c r="DE535" s="36" t="s">
        <v>397</v>
      </c>
      <c r="DL535" s="36" t="s">
        <v>397</v>
      </c>
      <c r="DS535" s="36" t="s">
        <v>397</v>
      </c>
      <c r="DZ535" s="36" t="s">
        <v>397</v>
      </c>
      <c r="EG535" s="36" t="s">
        <v>397</v>
      </c>
      <c r="EN535" s="36" t="s">
        <v>397</v>
      </c>
      <c r="EU535" s="36" t="s">
        <v>397</v>
      </c>
      <c r="FB535" s="36" t="s">
        <v>397</v>
      </c>
      <c r="FI535" s="36" t="s">
        <v>397</v>
      </c>
      <c r="FP535" s="36" t="s">
        <v>397</v>
      </c>
      <c r="FW535" s="36" t="s">
        <v>397</v>
      </c>
      <c r="GD535" s="36" t="s">
        <v>397</v>
      </c>
      <c r="GK535" s="36" t="s">
        <v>397</v>
      </c>
      <c r="GR535" s="36" t="s">
        <v>397</v>
      </c>
      <c r="GY535" s="36" t="s">
        <v>397</v>
      </c>
      <c r="HF535" s="36" t="s">
        <v>397</v>
      </c>
      <c r="HM535" s="36" t="s">
        <v>397</v>
      </c>
      <c r="HT535" s="36" t="s">
        <v>397</v>
      </c>
      <c r="IA535" s="36" t="s">
        <v>397</v>
      </c>
      <c r="IH535" s="36" t="s">
        <v>397</v>
      </c>
      <c r="IO535" s="36" t="s">
        <v>397</v>
      </c>
      <c r="IV535" s="36" t="s">
        <v>397</v>
      </c>
      <c r="JC535" s="36" t="s">
        <v>397</v>
      </c>
      <c r="JJ535" s="36" t="s">
        <v>397</v>
      </c>
      <c r="JQ535" s="36" t="s">
        <v>397</v>
      </c>
      <c r="JX535" s="36" t="s">
        <v>397</v>
      </c>
      <c r="KE535" s="36" t="s">
        <v>397</v>
      </c>
      <c r="KL535" s="36" t="s">
        <v>397</v>
      </c>
      <c r="KS535" s="36" t="s">
        <v>397</v>
      </c>
      <c r="KZ535" s="36" t="s">
        <v>397</v>
      </c>
      <c r="LF535" s="565"/>
      <c r="LG535" s="36" t="s">
        <v>397</v>
      </c>
      <c r="LM535" s="565"/>
      <c r="LN535" s="36" t="s">
        <v>397</v>
      </c>
      <c r="LT535" s="565"/>
      <c r="LU535" s="36" t="s">
        <v>397</v>
      </c>
      <c r="MA535" s="565"/>
      <c r="MB535" s="36" t="s">
        <v>397</v>
      </c>
      <c r="MH535" s="565"/>
    </row>
    <row r="536" spans="1:346" s="37" customFormat="1" ht="13.15" hidden="1" outlineLevel="1" x14ac:dyDescent="0.4">
      <c r="A536" s="35"/>
      <c r="B536" s="36" t="s">
        <v>395</v>
      </c>
      <c r="K536" s="37">
        <v>12</v>
      </c>
      <c r="L536" s="37">
        <v>15</v>
      </c>
      <c r="M536" s="37">
        <v>16</v>
      </c>
      <c r="N536" s="37">
        <f>BT536</f>
        <v>20</v>
      </c>
      <c r="O536" s="37">
        <f>CA536</f>
        <v>13</v>
      </c>
      <c r="P536" s="37">
        <f>CH536</f>
        <v>8</v>
      </c>
      <c r="Q536" s="37">
        <f>CO536</f>
        <v>9</v>
      </c>
      <c r="R536" s="37">
        <f>CV536</f>
        <v>0</v>
      </c>
      <c r="S536" s="37">
        <f>DC536</f>
        <v>0</v>
      </c>
      <c r="T536" s="37">
        <f>DJ536</f>
        <v>0</v>
      </c>
      <c r="U536" s="37">
        <f>DQ536</f>
        <v>0</v>
      </c>
      <c r="V536" s="37">
        <f>DX536</f>
        <v>0</v>
      </c>
      <c r="W536" s="37">
        <f>EE536</f>
        <v>0</v>
      </c>
      <c r="X536" s="37">
        <f>EL536</f>
        <v>0</v>
      </c>
      <c r="Y536" s="37">
        <f>ES536</f>
        <v>0</v>
      </c>
      <c r="Z536" s="37">
        <f>EZ536</f>
        <v>0</v>
      </c>
      <c r="AA536" s="37">
        <f>FG536</f>
        <v>0</v>
      </c>
      <c r="AB536" s="37">
        <f>FN536</f>
        <v>0</v>
      </c>
      <c r="AC536" s="37">
        <f>FU536</f>
        <v>0</v>
      </c>
      <c r="AD536" s="37">
        <f>GB536</f>
        <v>0</v>
      </c>
      <c r="AE536" s="37">
        <f>GI536</f>
        <v>0</v>
      </c>
      <c r="AF536" s="37">
        <f>GP536</f>
        <v>0</v>
      </c>
      <c r="AG536" s="37">
        <f>GW536</f>
        <v>0</v>
      </c>
      <c r="AH536" s="37">
        <f>HD536</f>
        <v>0</v>
      </c>
      <c r="AI536" s="37">
        <f>HK536</f>
        <v>0</v>
      </c>
      <c r="AJ536" s="37">
        <f>HR536</f>
        <v>0</v>
      </c>
      <c r="AK536" s="37">
        <f>HY536</f>
        <v>0</v>
      </c>
      <c r="AL536" s="37">
        <f>IF536</f>
        <v>0</v>
      </c>
      <c r="AM536" s="37">
        <f>IM536</f>
        <v>0</v>
      </c>
      <c r="AN536" s="37">
        <f>IT536</f>
        <v>0</v>
      </c>
      <c r="AO536" s="37">
        <f>JA536</f>
        <v>0</v>
      </c>
      <c r="AP536" s="37">
        <f>JH536</f>
        <v>0</v>
      </c>
      <c r="AQ536" s="37">
        <f>JO536</f>
        <v>0</v>
      </c>
      <c r="AR536" s="37">
        <f>JV536</f>
        <v>0</v>
      </c>
      <c r="AS536" s="37">
        <f>KC536</f>
        <v>0</v>
      </c>
      <c r="AT536" s="37">
        <f>KJ536</f>
        <v>0</v>
      </c>
      <c r="AU536" s="37">
        <f>KQ536</f>
        <v>0</v>
      </c>
      <c r="AV536" s="37">
        <f>KX536</f>
        <v>0</v>
      </c>
      <c r="AW536" s="37">
        <f>LE536</f>
        <v>0</v>
      </c>
      <c r="AX536" s="37">
        <f>LL536</f>
        <v>0</v>
      </c>
      <c r="AY536" s="37">
        <f>LS536</f>
        <v>0</v>
      </c>
      <c r="AZ536" s="37">
        <f>LZ536</f>
        <v>0</v>
      </c>
      <c r="BA536" s="37">
        <f>MG536</f>
        <v>0</v>
      </c>
      <c r="BO536" s="36" t="s">
        <v>395</v>
      </c>
      <c r="BP536" s="37">
        <v>0</v>
      </c>
      <c r="BQ536" s="37">
        <v>8</v>
      </c>
      <c r="BR536" s="37">
        <v>10</v>
      </c>
      <c r="BS536" s="37">
        <v>2</v>
      </c>
      <c r="BT536" s="37">
        <v>20</v>
      </c>
      <c r="BV536" s="36" t="s">
        <v>395</v>
      </c>
      <c r="BW536" s="37">
        <v>-6</v>
      </c>
      <c r="BX536" s="37">
        <v>7</v>
      </c>
      <c r="BY536" s="37">
        <v>11</v>
      </c>
      <c r="BZ536" s="37">
        <v>1</v>
      </c>
      <c r="CA536" s="37">
        <v>13</v>
      </c>
      <c r="CC536" s="36" t="s">
        <v>395</v>
      </c>
      <c r="CD536" s="37">
        <v>-7</v>
      </c>
      <c r="CE536" s="37">
        <v>6</v>
      </c>
      <c r="CF536" s="37">
        <v>9</v>
      </c>
      <c r="CG536" s="37">
        <v>0</v>
      </c>
      <c r="CH536" s="37">
        <v>8</v>
      </c>
      <c r="CJ536" s="36" t="s">
        <v>395</v>
      </c>
      <c r="CK536" s="37">
        <v>-7</v>
      </c>
      <c r="CL536" s="37">
        <v>7</v>
      </c>
      <c r="CM536" s="37">
        <v>11</v>
      </c>
      <c r="CN536" s="37">
        <v>-2</v>
      </c>
      <c r="CO536" s="37">
        <v>9</v>
      </c>
      <c r="CQ536" s="36" t="s">
        <v>395</v>
      </c>
      <c r="CX536" s="36" t="s">
        <v>395</v>
      </c>
      <c r="DE536" s="36" t="s">
        <v>395</v>
      </c>
      <c r="DL536" s="36" t="s">
        <v>395</v>
      </c>
      <c r="DS536" s="36" t="s">
        <v>395</v>
      </c>
      <c r="DZ536" s="36" t="s">
        <v>395</v>
      </c>
      <c r="EG536" s="36" t="s">
        <v>395</v>
      </c>
      <c r="EN536" s="36" t="s">
        <v>395</v>
      </c>
      <c r="EU536" s="36" t="s">
        <v>395</v>
      </c>
      <c r="FB536" s="36" t="s">
        <v>395</v>
      </c>
      <c r="FI536" s="36" t="s">
        <v>395</v>
      </c>
      <c r="FP536" s="36" t="s">
        <v>395</v>
      </c>
      <c r="FW536" s="36" t="s">
        <v>395</v>
      </c>
      <c r="GD536" s="36" t="s">
        <v>395</v>
      </c>
      <c r="GK536" s="36" t="s">
        <v>395</v>
      </c>
      <c r="GR536" s="36" t="s">
        <v>395</v>
      </c>
      <c r="GY536" s="36" t="s">
        <v>395</v>
      </c>
      <c r="HF536" s="36" t="s">
        <v>395</v>
      </c>
      <c r="HM536" s="36" t="s">
        <v>395</v>
      </c>
      <c r="HT536" s="36" t="s">
        <v>395</v>
      </c>
      <c r="IA536" s="36" t="s">
        <v>395</v>
      </c>
      <c r="IH536" s="36" t="s">
        <v>395</v>
      </c>
      <c r="IO536" s="36" t="s">
        <v>395</v>
      </c>
      <c r="IV536" s="36" t="s">
        <v>395</v>
      </c>
      <c r="JC536" s="36" t="s">
        <v>395</v>
      </c>
      <c r="JJ536" s="36" t="s">
        <v>395</v>
      </c>
      <c r="JQ536" s="36" t="s">
        <v>395</v>
      </c>
      <c r="JX536" s="36" t="s">
        <v>395</v>
      </c>
      <c r="KE536" s="36" t="s">
        <v>395</v>
      </c>
      <c r="KL536" s="36" t="s">
        <v>395</v>
      </c>
      <c r="KS536" s="36" t="s">
        <v>395</v>
      </c>
      <c r="KZ536" s="36" t="s">
        <v>395</v>
      </c>
      <c r="LF536" s="565"/>
      <c r="LG536" s="36" t="s">
        <v>395</v>
      </c>
      <c r="LM536" s="565"/>
      <c r="LN536" s="36" t="s">
        <v>395</v>
      </c>
      <c r="LT536" s="565"/>
      <c r="LU536" s="36" t="s">
        <v>395</v>
      </c>
      <c r="MA536" s="565"/>
      <c r="MB536" s="36" t="s">
        <v>395</v>
      </c>
      <c r="MH536" s="565"/>
    </row>
    <row r="537" spans="1:346" s="37" customFormat="1" ht="13.15" hidden="1" outlineLevel="1" x14ac:dyDescent="0.4">
      <c r="A537" s="35"/>
      <c r="B537" s="36"/>
      <c r="BO537" s="36"/>
      <c r="BV537" s="36"/>
      <c r="CC537" s="36"/>
      <c r="CJ537" s="36"/>
      <c r="CQ537" s="36"/>
      <c r="CX537" s="36"/>
      <c r="DE537" s="36"/>
      <c r="DL537" s="36"/>
      <c r="DS537" s="36"/>
      <c r="DZ537" s="36"/>
      <c r="EG537" s="36"/>
      <c r="EN537" s="36"/>
      <c r="EU537" s="36"/>
      <c r="FB537" s="36"/>
      <c r="FI537" s="36"/>
      <c r="FP537" s="36"/>
      <c r="FW537" s="36"/>
      <c r="GD537" s="36"/>
      <c r="GK537" s="36"/>
      <c r="GR537" s="36"/>
      <c r="GY537" s="36"/>
      <c r="HF537" s="36"/>
      <c r="HM537" s="36"/>
      <c r="HT537" s="36"/>
      <c r="IA537" s="36"/>
      <c r="IH537" s="36"/>
      <c r="IO537" s="36"/>
      <c r="IV537" s="36"/>
      <c r="JC537" s="36"/>
      <c r="JJ537" s="36"/>
      <c r="JQ537" s="36"/>
      <c r="JX537" s="36"/>
      <c r="KE537" s="36"/>
      <c r="KL537" s="36"/>
      <c r="KS537" s="36"/>
      <c r="KZ537" s="36"/>
      <c r="LF537" s="565"/>
      <c r="LG537" s="36"/>
      <c r="LM537" s="565"/>
      <c r="LN537" s="36"/>
      <c r="LT537" s="565"/>
      <c r="LU537" s="36"/>
      <c r="MA537" s="565"/>
      <c r="MB537" s="36"/>
      <c r="MH537" s="565"/>
    </row>
    <row r="538" spans="1:346" s="37" customFormat="1" ht="13.15" hidden="1" outlineLevel="1" x14ac:dyDescent="0.4">
      <c r="A538" s="35"/>
      <c r="B538" s="36" t="s">
        <v>399</v>
      </c>
      <c r="BO538" s="36" t="s">
        <v>399</v>
      </c>
      <c r="BV538" s="36" t="s">
        <v>399</v>
      </c>
      <c r="CC538" s="36" t="s">
        <v>399</v>
      </c>
      <c r="CD538" s="37" t="s">
        <v>334</v>
      </c>
      <c r="CJ538" s="36" t="s">
        <v>399</v>
      </c>
      <c r="CK538" s="37" t="s">
        <v>334</v>
      </c>
      <c r="CQ538" s="36" t="s">
        <v>399</v>
      </c>
      <c r="CX538" s="36" t="s">
        <v>399</v>
      </c>
      <c r="DE538" s="36" t="s">
        <v>399</v>
      </c>
      <c r="DL538" s="36" t="s">
        <v>399</v>
      </c>
      <c r="DS538" s="36" t="s">
        <v>399</v>
      </c>
      <c r="DZ538" s="36" t="s">
        <v>399</v>
      </c>
      <c r="EG538" s="36" t="s">
        <v>399</v>
      </c>
      <c r="EN538" s="36" t="s">
        <v>399</v>
      </c>
      <c r="EU538" s="36" t="s">
        <v>399</v>
      </c>
      <c r="FB538" s="36" t="s">
        <v>399</v>
      </c>
      <c r="FI538" s="36" t="s">
        <v>399</v>
      </c>
      <c r="FP538" s="36" t="s">
        <v>399</v>
      </c>
      <c r="FW538" s="36" t="s">
        <v>399</v>
      </c>
      <c r="GD538" s="36" t="s">
        <v>399</v>
      </c>
      <c r="GK538" s="36" t="s">
        <v>399</v>
      </c>
      <c r="GR538" s="36" t="s">
        <v>399</v>
      </c>
      <c r="GY538" s="36" t="s">
        <v>399</v>
      </c>
      <c r="HF538" s="36" t="s">
        <v>399</v>
      </c>
      <c r="HM538" s="36" t="s">
        <v>399</v>
      </c>
      <c r="HT538" s="36" t="s">
        <v>399</v>
      </c>
      <c r="IA538" s="36" t="s">
        <v>399</v>
      </c>
      <c r="IH538" s="36" t="s">
        <v>399</v>
      </c>
      <c r="IO538" s="36" t="s">
        <v>399</v>
      </c>
      <c r="IV538" s="36" t="s">
        <v>399</v>
      </c>
      <c r="JC538" s="36" t="s">
        <v>399</v>
      </c>
      <c r="JJ538" s="36" t="s">
        <v>399</v>
      </c>
      <c r="JQ538" s="36" t="s">
        <v>399</v>
      </c>
      <c r="JX538" s="36" t="s">
        <v>399</v>
      </c>
      <c r="KE538" s="36" t="s">
        <v>399</v>
      </c>
      <c r="KL538" s="36" t="s">
        <v>399</v>
      </c>
      <c r="KS538" s="36" t="s">
        <v>399</v>
      </c>
      <c r="KZ538" s="36" t="s">
        <v>399</v>
      </c>
      <c r="LF538" s="565"/>
      <c r="LG538" s="36" t="s">
        <v>399</v>
      </c>
      <c r="LM538" s="565"/>
      <c r="LN538" s="36" t="s">
        <v>399</v>
      </c>
      <c r="LT538" s="565"/>
      <c r="LU538" s="36" t="s">
        <v>399</v>
      </c>
      <c r="MA538" s="565"/>
      <c r="MB538" s="36" t="s">
        <v>399</v>
      </c>
      <c r="MH538" s="565"/>
    </row>
    <row r="539" spans="1:346" s="37" customFormat="1" ht="13.15" hidden="1" outlineLevel="1" x14ac:dyDescent="0.4">
      <c r="A539" s="35"/>
      <c r="B539" s="36" t="s">
        <v>208</v>
      </c>
      <c r="K539" s="37">
        <v>24</v>
      </c>
      <c r="L539" s="37">
        <v>32</v>
      </c>
      <c r="M539" s="37">
        <v>26</v>
      </c>
      <c r="N539" s="37">
        <f>BT539</f>
        <v>33</v>
      </c>
      <c r="O539" s="37">
        <f>CA539</f>
        <v>33</v>
      </c>
      <c r="P539" s="37">
        <f>CH539</f>
        <v>27</v>
      </c>
      <c r="Q539" s="37">
        <f>CO539</f>
        <v>9</v>
      </c>
      <c r="R539" s="37">
        <f>CV539</f>
        <v>0</v>
      </c>
      <c r="S539" s="37">
        <f>DC539</f>
        <v>0</v>
      </c>
      <c r="T539" s="37">
        <f>DJ539</f>
        <v>0</v>
      </c>
      <c r="U539" s="37">
        <f>DQ539</f>
        <v>0</v>
      </c>
      <c r="V539" s="37">
        <f>DX539</f>
        <v>0</v>
      </c>
      <c r="W539" s="37">
        <f>EE539</f>
        <v>0</v>
      </c>
      <c r="X539" s="37">
        <f>EL539</f>
        <v>0</v>
      </c>
      <c r="Y539" s="37">
        <f>ES539</f>
        <v>0</v>
      </c>
      <c r="Z539" s="37">
        <f>EZ539</f>
        <v>0</v>
      </c>
      <c r="AA539" s="37">
        <f>FG539</f>
        <v>0</v>
      </c>
      <c r="AB539" s="37">
        <f>FN539</f>
        <v>0</v>
      </c>
      <c r="AC539" s="37">
        <f>FU539</f>
        <v>0</v>
      </c>
      <c r="AD539" s="37">
        <f>GB539</f>
        <v>0</v>
      </c>
      <c r="AE539" s="37">
        <f>GI539</f>
        <v>0</v>
      </c>
      <c r="AF539" s="37">
        <f>GP539</f>
        <v>0</v>
      </c>
      <c r="AG539" s="37">
        <f>GW539</f>
        <v>0</v>
      </c>
      <c r="AH539" s="37">
        <f>HD539</f>
        <v>0</v>
      </c>
      <c r="AI539" s="37">
        <f>HK539</f>
        <v>0</v>
      </c>
      <c r="AJ539" s="37">
        <f>HR539</f>
        <v>0</v>
      </c>
      <c r="AK539" s="37">
        <f>HY539</f>
        <v>0</v>
      </c>
      <c r="AL539" s="37">
        <f>IF539</f>
        <v>0</v>
      </c>
      <c r="AM539" s="37">
        <f>IM539</f>
        <v>0</v>
      </c>
      <c r="AN539" s="37">
        <f>IT539</f>
        <v>0</v>
      </c>
      <c r="AO539" s="37">
        <f>JA539</f>
        <v>0</v>
      </c>
      <c r="AP539" s="37">
        <f>JH539</f>
        <v>0</v>
      </c>
      <c r="AQ539" s="37">
        <f>JO539</f>
        <v>0</v>
      </c>
      <c r="AR539" s="37">
        <f>JV539</f>
        <v>0</v>
      </c>
      <c r="AS539" s="37">
        <f>KC539</f>
        <v>0</v>
      </c>
      <c r="AT539" s="37">
        <f>KJ539</f>
        <v>0</v>
      </c>
      <c r="AU539" s="37">
        <f>KQ539</f>
        <v>0</v>
      </c>
      <c r="AV539" s="37">
        <f>KX539</f>
        <v>0</v>
      </c>
      <c r="AW539" s="37">
        <f>LE539</f>
        <v>0</v>
      </c>
      <c r="AX539" s="37">
        <f>LL539</f>
        <v>0</v>
      </c>
      <c r="AY539" s="37">
        <f>LS539</f>
        <v>0</v>
      </c>
      <c r="AZ539" s="37">
        <f>LZ539</f>
        <v>0</v>
      </c>
      <c r="BA539" s="37">
        <f>MG539</f>
        <v>0</v>
      </c>
      <c r="BO539" s="36" t="s">
        <v>208</v>
      </c>
      <c r="BP539" s="37">
        <v>7</v>
      </c>
      <c r="BQ539" s="37">
        <v>8</v>
      </c>
      <c r="BR539" s="37">
        <v>10</v>
      </c>
      <c r="BS539" s="37">
        <v>8</v>
      </c>
      <c r="BT539" s="37">
        <v>33</v>
      </c>
      <c r="BV539" s="36" t="s">
        <v>208</v>
      </c>
      <c r="BW539" s="37">
        <v>9</v>
      </c>
      <c r="BX539" s="37">
        <v>10</v>
      </c>
      <c r="BY539" s="37">
        <v>7</v>
      </c>
      <c r="BZ539" s="37">
        <v>7</v>
      </c>
      <c r="CA539" s="37">
        <v>33</v>
      </c>
      <c r="CC539" s="36" t="s">
        <v>208</v>
      </c>
      <c r="CD539" s="37">
        <v>6</v>
      </c>
      <c r="CE539" s="37">
        <v>7</v>
      </c>
      <c r="CF539" s="37">
        <v>8</v>
      </c>
      <c r="CG539" s="37">
        <v>6</v>
      </c>
      <c r="CH539" s="37">
        <v>27</v>
      </c>
      <c r="CJ539" s="36" t="s">
        <v>208</v>
      </c>
      <c r="CK539" s="37">
        <v>4</v>
      </c>
      <c r="CL539" s="37">
        <v>1</v>
      </c>
      <c r="CM539" s="37">
        <v>3</v>
      </c>
      <c r="CN539" s="37">
        <v>1</v>
      </c>
      <c r="CO539" s="37">
        <v>9</v>
      </c>
      <c r="CQ539" s="36" t="s">
        <v>208</v>
      </c>
      <c r="CX539" s="36" t="s">
        <v>208</v>
      </c>
      <c r="DE539" s="36" t="s">
        <v>208</v>
      </c>
      <c r="DL539" s="36" t="s">
        <v>208</v>
      </c>
      <c r="DS539" s="36" t="s">
        <v>208</v>
      </c>
      <c r="DZ539" s="36" t="s">
        <v>208</v>
      </c>
      <c r="EG539" s="36" t="s">
        <v>208</v>
      </c>
      <c r="EN539" s="36" t="s">
        <v>208</v>
      </c>
      <c r="EU539" s="36" t="s">
        <v>208</v>
      </c>
      <c r="FB539" s="36" t="s">
        <v>208</v>
      </c>
      <c r="FI539" s="36" t="s">
        <v>208</v>
      </c>
      <c r="FP539" s="36" t="s">
        <v>208</v>
      </c>
      <c r="FW539" s="36" t="s">
        <v>208</v>
      </c>
      <c r="GD539" s="36" t="s">
        <v>208</v>
      </c>
      <c r="GK539" s="36" t="s">
        <v>208</v>
      </c>
      <c r="GR539" s="36" t="s">
        <v>208</v>
      </c>
      <c r="GY539" s="36" t="s">
        <v>208</v>
      </c>
      <c r="HF539" s="36" t="s">
        <v>208</v>
      </c>
      <c r="HM539" s="36" t="s">
        <v>208</v>
      </c>
      <c r="HT539" s="36" t="s">
        <v>208</v>
      </c>
      <c r="IA539" s="36" t="s">
        <v>208</v>
      </c>
      <c r="IH539" s="36" t="s">
        <v>208</v>
      </c>
      <c r="IO539" s="36" t="s">
        <v>208</v>
      </c>
      <c r="IV539" s="36" t="s">
        <v>208</v>
      </c>
      <c r="JC539" s="36" t="s">
        <v>208</v>
      </c>
      <c r="JJ539" s="36" t="s">
        <v>208</v>
      </c>
      <c r="JQ539" s="36" t="s">
        <v>208</v>
      </c>
      <c r="JX539" s="36" t="s">
        <v>208</v>
      </c>
      <c r="KE539" s="36" t="s">
        <v>208</v>
      </c>
      <c r="KL539" s="36" t="s">
        <v>208</v>
      </c>
      <c r="KS539" s="36" t="s">
        <v>208</v>
      </c>
      <c r="KZ539" s="36" t="s">
        <v>208</v>
      </c>
      <c r="LF539" s="565"/>
      <c r="LG539" s="36" t="s">
        <v>208</v>
      </c>
      <c r="LM539" s="565"/>
      <c r="LN539" s="36" t="s">
        <v>208</v>
      </c>
      <c r="LT539" s="565"/>
      <c r="LU539" s="36" t="s">
        <v>208</v>
      </c>
      <c r="MA539" s="565"/>
      <c r="MB539" s="36" t="s">
        <v>208</v>
      </c>
      <c r="MH539" s="565"/>
    </row>
    <row r="540" spans="1:346" s="37" customFormat="1" ht="13.15" hidden="1" outlineLevel="1" x14ac:dyDescent="0.4">
      <c r="A540" s="35"/>
      <c r="B540" s="36" t="s">
        <v>397</v>
      </c>
      <c r="K540" s="37">
        <v>51</v>
      </c>
      <c r="L540" s="37">
        <v>21</v>
      </c>
      <c r="M540" s="37">
        <v>40</v>
      </c>
      <c r="N540" s="37">
        <f>BT540</f>
        <v>38</v>
      </c>
      <c r="O540" s="37">
        <f>CA540</f>
        <v>33</v>
      </c>
      <c r="P540" s="37">
        <f>CH540</f>
        <v>27</v>
      </c>
      <c r="Q540" s="37">
        <f>CO540</f>
        <v>9</v>
      </c>
      <c r="R540" s="37">
        <f>CV540</f>
        <v>0</v>
      </c>
      <c r="S540" s="37">
        <f>DC540</f>
        <v>0</v>
      </c>
      <c r="T540" s="37">
        <f>DJ540</f>
        <v>0</v>
      </c>
      <c r="U540" s="37">
        <f>DQ540</f>
        <v>0</v>
      </c>
      <c r="V540" s="37">
        <f>DX540</f>
        <v>0</v>
      </c>
      <c r="W540" s="37">
        <f>EE540</f>
        <v>0</v>
      </c>
      <c r="X540" s="37">
        <f>EL540</f>
        <v>0</v>
      </c>
      <c r="Y540" s="37">
        <f>ES540</f>
        <v>0</v>
      </c>
      <c r="Z540" s="37">
        <f>EZ540</f>
        <v>0</v>
      </c>
      <c r="AA540" s="37">
        <f>FG540</f>
        <v>0</v>
      </c>
      <c r="AB540" s="37">
        <f>FN540</f>
        <v>0</v>
      </c>
      <c r="AC540" s="37">
        <f>FU540</f>
        <v>0</v>
      </c>
      <c r="AD540" s="37">
        <f>GB540</f>
        <v>0</v>
      </c>
      <c r="AE540" s="37">
        <f>GI540</f>
        <v>0</v>
      </c>
      <c r="AF540" s="37">
        <f>GP540</f>
        <v>0</v>
      </c>
      <c r="AG540" s="37">
        <f>GW540</f>
        <v>0</v>
      </c>
      <c r="AH540" s="37">
        <f>HD540</f>
        <v>0</v>
      </c>
      <c r="AI540" s="37">
        <f>HK540</f>
        <v>0</v>
      </c>
      <c r="AJ540" s="37">
        <f>HR540</f>
        <v>0</v>
      </c>
      <c r="AK540" s="37">
        <f>HY540</f>
        <v>0</v>
      </c>
      <c r="AL540" s="37">
        <f>IF540</f>
        <v>0</v>
      </c>
      <c r="AM540" s="37">
        <f>IM540</f>
        <v>0</v>
      </c>
      <c r="AN540" s="37">
        <f>IT540</f>
        <v>0</v>
      </c>
      <c r="AO540" s="37">
        <f>JA540</f>
        <v>0</v>
      </c>
      <c r="AP540" s="37">
        <f>JH540</f>
        <v>0</v>
      </c>
      <c r="AQ540" s="37">
        <f>JO540</f>
        <v>0</v>
      </c>
      <c r="AR540" s="37">
        <f>JV540</f>
        <v>0</v>
      </c>
      <c r="AS540" s="37">
        <f>KC540</f>
        <v>0</v>
      </c>
      <c r="AT540" s="37">
        <f>KJ540</f>
        <v>0</v>
      </c>
      <c r="AU540" s="37">
        <f>KQ540</f>
        <v>0</v>
      </c>
      <c r="AV540" s="37">
        <f>KX540</f>
        <v>0</v>
      </c>
      <c r="AW540" s="37">
        <f>LE540</f>
        <v>0</v>
      </c>
      <c r="AX540" s="37">
        <f>LL540</f>
        <v>0</v>
      </c>
      <c r="AY540" s="37">
        <f>LS540</f>
        <v>0</v>
      </c>
      <c r="AZ540" s="37">
        <f>LZ540</f>
        <v>0</v>
      </c>
      <c r="BA540" s="37">
        <f>MG540</f>
        <v>0</v>
      </c>
      <c r="BO540" s="36" t="s">
        <v>397</v>
      </c>
      <c r="BP540" s="37">
        <v>7</v>
      </c>
      <c r="BQ540" s="37">
        <v>7</v>
      </c>
      <c r="BR540" s="37">
        <v>14</v>
      </c>
      <c r="BS540" s="37">
        <v>10</v>
      </c>
      <c r="BT540" s="37">
        <v>38</v>
      </c>
      <c r="BV540" s="36" t="s">
        <v>397</v>
      </c>
      <c r="BW540" s="37">
        <v>7</v>
      </c>
      <c r="BX540" s="37">
        <v>12</v>
      </c>
      <c r="BY540" s="37">
        <v>8</v>
      </c>
      <c r="BZ540" s="37">
        <v>6</v>
      </c>
      <c r="CA540" s="37">
        <v>33</v>
      </c>
      <c r="CC540" s="36" t="s">
        <v>397</v>
      </c>
      <c r="CD540" s="37">
        <v>7</v>
      </c>
      <c r="CE540" s="37">
        <v>10</v>
      </c>
      <c r="CF540" s="37">
        <v>6</v>
      </c>
      <c r="CG540" s="37">
        <v>4</v>
      </c>
      <c r="CH540" s="37">
        <v>27</v>
      </c>
      <c r="CJ540" s="36" t="s">
        <v>397</v>
      </c>
      <c r="CK540" s="37">
        <v>4</v>
      </c>
      <c r="CL540" s="37">
        <v>2</v>
      </c>
      <c r="CM540" s="37">
        <v>2</v>
      </c>
      <c r="CN540" s="37">
        <v>1</v>
      </c>
      <c r="CO540" s="37">
        <v>9</v>
      </c>
      <c r="CQ540" s="36" t="s">
        <v>397</v>
      </c>
      <c r="CX540" s="36" t="s">
        <v>397</v>
      </c>
      <c r="DE540" s="36" t="s">
        <v>397</v>
      </c>
      <c r="DL540" s="36" t="s">
        <v>397</v>
      </c>
      <c r="DS540" s="36" t="s">
        <v>397</v>
      </c>
      <c r="DZ540" s="36" t="s">
        <v>397</v>
      </c>
      <c r="EG540" s="36" t="s">
        <v>397</v>
      </c>
      <c r="EN540" s="36" t="s">
        <v>397</v>
      </c>
      <c r="EU540" s="36" t="s">
        <v>397</v>
      </c>
      <c r="FB540" s="36" t="s">
        <v>397</v>
      </c>
      <c r="FI540" s="36" t="s">
        <v>397</v>
      </c>
      <c r="FP540" s="36" t="s">
        <v>397</v>
      </c>
      <c r="FW540" s="36" t="s">
        <v>397</v>
      </c>
      <c r="GD540" s="36" t="s">
        <v>397</v>
      </c>
      <c r="GK540" s="36" t="s">
        <v>397</v>
      </c>
      <c r="GR540" s="36" t="s">
        <v>397</v>
      </c>
      <c r="GY540" s="36" t="s">
        <v>397</v>
      </c>
      <c r="HF540" s="36" t="s">
        <v>397</v>
      </c>
      <c r="HM540" s="36" t="s">
        <v>397</v>
      </c>
      <c r="HT540" s="36" t="s">
        <v>397</v>
      </c>
      <c r="IA540" s="36" t="s">
        <v>397</v>
      </c>
      <c r="IH540" s="36" t="s">
        <v>397</v>
      </c>
      <c r="IO540" s="36" t="s">
        <v>397</v>
      </c>
      <c r="IV540" s="36" t="s">
        <v>397</v>
      </c>
      <c r="JC540" s="36" t="s">
        <v>397</v>
      </c>
      <c r="JJ540" s="36" t="s">
        <v>397</v>
      </c>
      <c r="JQ540" s="36" t="s">
        <v>397</v>
      </c>
      <c r="JX540" s="36" t="s">
        <v>397</v>
      </c>
      <c r="KE540" s="36" t="s">
        <v>397</v>
      </c>
      <c r="KL540" s="36" t="s">
        <v>397</v>
      </c>
      <c r="KS540" s="36" t="s">
        <v>397</v>
      </c>
      <c r="KZ540" s="36" t="s">
        <v>397</v>
      </c>
      <c r="LF540" s="565"/>
      <c r="LG540" s="36" t="s">
        <v>397</v>
      </c>
      <c r="LM540" s="565"/>
      <c r="LN540" s="36" t="s">
        <v>397</v>
      </c>
      <c r="LT540" s="565"/>
      <c r="LU540" s="36" t="s">
        <v>397</v>
      </c>
      <c r="MA540" s="565"/>
      <c r="MB540" s="36" t="s">
        <v>397</v>
      </c>
      <c r="MH540" s="565"/>
    </row>
    <row r="541" spans="1:346" s="37" customFormat="1" ht="13.15" hidden="1" outlineLevel="1" x14ac:dyDescent="0.4">
      <c r="A541" s="35"/>
      <c r="B541" s="36" t="s">
        <v>395</v>
      </c>
      <c r="K541" s="37">
        <v>-27</v>
      </c>
      <c r="L541" s="37">
        <v>11</v>
      </c>
      <c r="M541" s="37">
        <v>-14</v>
      </c>
      <c r="N541" s="37">
        <f>BT541</f>
        <v>-5</v>
      </c>
      <c r="O541" s="37">
        <f>CA541</f>
        <v>0</v>
      </c>
      <c r="P541" s="37">
        <f>CH541</f>
        <v>0</v>
      </c>
      <c r="Q541" s="37">
        <f>CO541</f>
        <v>0</v>
      </c>
      <c r="R541" s="37">
        <f>CV541</f>
        <v>0</v>
      </c>
      <c r="S541" s="37">
        <f>DC541</f>
        <v>0</v>
      </c>
      <c r="T541" s="37">
        <f>DJ541</f>
        <v>0</v>
      </c>
      <c r="U541" s="37">
        <f>DQ541</f>
        <v>0</v>
      </c>
      <c r="V541" s="37">
        <f>DX541</f>
        <v>0</v>
      </c>
      <c r="W541" s="37">
        <f>EE541</f>
        <v>0</v>
      </c>
      <c r="X541" s="37">
        <f>EL541</f>
        <v>0</v>
      </c>
      <c r="Y541" s="37">
        <f>ES541</f>
        <v>0</v>
      </c>
      <c r="Z541" s="37">
        <f>EZ541</f>
        <v>0</v>
      </c>
      <c r="AA541" s="37">
        <f>FG541</f>
        <v>0</v>
      </c>
      <c r="AB541" s="37">
        <f>FN541</f>
        <v>0</v>
      </c>
      <c r="AC541" s="37">
        <f>FU541</f>
        <v>0</v>
      </c>
      <c r="AD541" s="37">
        <f>GB541</f>
        <v>0</v>
      </c>
      <c r="AE541" s="37">
        <f>GI541</f>
        <v>0</v>
      </c>
      <c r="AF541" s="37">
        <f>GP541</f>
        <v>0</v>
      </c>
      <c r="AG541" s="37">
        <f>GW541</f>
        <v>0</v>
      </c>
      <c r="AH541" s="37">
        <f>HD541</f>
        <v>0</v>
      </c>
      <c r="AI541" s="37">
        <f>HK541</f>
        <v>0</v>
      </c>
      <c r="AJ541" s="37">
        <f>HR541</f>
        <v>0</v>
      </c>
      <c r="AK541" s="37">
        <f>HY541</f>
        <v>0</v>
      </c>
      <c r="AL541" s="37">
        <f>IF541</f>
        <v>0</v>
      </c>
      <c r="AM541" s="37">
        <f>IM541</f>
        <v>0</v>
      </c>
      <c r="AN541" s="37">
        <f>IT541</f>
        <v>0</v>
      </c>
      <c r="AO541" s="37">
        <f>JA541</f>
        <v>0</v>
      </c>
      <c r="AP541" s="37">
        <f>JH541</f>
        <v>0</v>
      </c>
      <c r="AQ541" s="37">
        <f>JO541</f>
        <v>0</v>
      </c>
      <c r="AR541" s="37">
        <f>JV541</f>
        <v>0</v>
      </c>
      <c r="AS541" s="37">
        <f>KC541</f>
        <v>0</v>
      </c>
      <c r="AT541" s="37">
        <f>KJ541</f>
        <v>0</v>
      </c>
      <c r="AU541" s="37">
        <f>KQ541</f>
        <v>0</v>
      </c>
      <c r="AV541" s="37">
        <f>KX541</f>
        <v>0</v>
      </c>
      <c r="AW541" s="37">
        <f>LE541</f>
        <v>0</v>
      </c>
      <c r="AX541" s="37">
        <f>LL541</f>
        <v>0</v>
      </c>
      <c r="AY541" s="37">
        <f>LS541</f>
        <v>0</v>
      </c>
      <c r="AZ541" s="37">
        <f>LZ541</f>
        <v>0</v>
      </c>
      <c r="BA541" s="37">
        <f>MG541</f>
        <v>0</v>
      </c>
      <c r="BO541" s="36" t="s">
        <v>395</v>
      </c>
      <c r="BP541" s="37">
        <v>0</v>
      </c>
      <c r="BQ541" s="37">
        <v>1</v>
      </c>
      <c r="BR541" s="37">
        <v>-4</v>
      </c>
      <c r="BS541" s="37">
        <v>-2</v>
      </c>
      <c r="BT541" s="37">
        <v>-5</v>
      </c>
      <c r="BV541" s="36" t="s">
        <v>395</v>
      </c>
      <c r="BW541" s="37">
        <v>2</v>
      </c>
      <c r="BX541" s="37">
        <v>-2</v>
      </c>
      <c r="BY541" s="37">
        <v>-1</v>
      </c>
      <c r="BZ541" s="37">
        <v>1</v>
      </c>
      <c r="CA541" s="37">
        <v>0</v>
      </c>
      <c r="CC541" s="36" t="s">
        <v>395</v>
      </c>
      <c r="CD541" s="37">
        <v>-1</v>
      </c>
      <c r="CE541" s="37">
        <v>-3</v>
      </c>
      <c r="CF541" s="37">
        <v>2</v>
      </c>
      <c r="CG541" s="37">
        <v>2</v>
      </c>
      <c r="CH541" s="37">
        <v>0</v>
      </c>
      <c r="CJ541" s="36" t="s">
        <v>395</v>
      </c>
      <c r="CK541" s="37">
        <v>0</v>
      </c>
      <c r="CL541" s="37">
        <v>-1</v>
      </c>
      <c r="CM541" s="37">
        <v>1</v>
      </c>
      <c r="CN541" s="37">
        <v>0</v>
      </c>
      <c r="CO541" s="37">
        <v>0</v>
      </c>
      <c r="CQ541" s="36" t="s">
        <v>395</v>
      </c>
      <c r="CX541" s="36" t="s">
        <v>395</v>
      </c>
      <c r="DE541" s="36" t="s">
        <v>395</v>
      </c>
      <c r="DL541" s="36" t="s">
        <v>395</v>
      </c>
      <c r="DS541" s="36" t="s">
        <v>395</v>
      </c>
      <c r="DZ541" s="36" t="s">
        <v>395</v>
      </c>
      <c r="EG541" s="36" t="s">
        <v>395</v>
      </c>
      <c r="EN541" s="36" t="s">
        <v>395</v>
      </c>
      <c r="EU541" s="36" t="s">
        <v>395</v>
      </c>
      <c r="FB541" s="36" t="s">
        <v>395</v>
      </c>
      <c r="FI541" s="36" t="s">
        <v>395</v>
      </c>
      <c r="FP541" s="36" t="s">
        <v>395</v>
      </c>
      <c r="FW541" s="36" t="s">
        <v>395</v>
      </c>
      <c r="GD541" s="36" t="s">
        <v>395</v>
      </c>
      <c r="GK541" s="36" t="s">
        <v>395</v>
      </c>
      <c r="GR541" s="36" t="s">
        <v>395</v>
      </c>
      <c r="GY541" s="36" t="s">
        <v>395</v>
      </c>
      <c r="HF541" s="36" t="s">
        <v>395</v>
      </c>
      <c r="HM541" s="36" t="s">
        <v>395</v>
      </c>
      <c r="HT541" s="36" t="s">
        <v>395</v>
      </c>
      <c r="IA541" s="36" t="s">
        <v>395</v>
      </c>
      <c r="IH541" s="36" t="s">
        <v>395</v>
      </c>
      <c r="IO541" s="36" t="s">
        <v>395</v>
      </c>
      <c r="IV541" s="36" t="s">
        <v>395</v>
      </c>
      <c r="JC541" s="36" t="s">
        <v>395</v>
      </c>
      <c r="JJ541" s="36" t="s">
        <v>395</v>
      </c>
      <c r="JQ541" s="36" t="s">
        <v>395</v>
      </c>
      <c r="JX541" s="36" t="s">
        <v>395</v>
      </c>
      <c r="KE541" s="36" t="s">
        <v>395</v>
      </c>
      <c r="KL541" s="36" t="s">
        <v>395</v>
      </c>
      <c r="KS541" s="36" t="s">
        <v>395</v>
      </c>
      <c r="KZ541" s="36" t="s">
        <v>395</v>
      </c>
      <c r="LF541" s="565"/>
      <c r="LG541" s="36" t="s">
        <v>395</v>
      </c>
      <c r="LM541" s="565"/>
      <c r="LN541" s="36" t="s">
        <v>395</v>
      </c>
      <c r="LT541" s="565"/>
      <c r="LU541" s="36" t="s">
        <v>395</v>
      </c>
      <c r="MA541" s="565"/>
      <c r="MB541" s="36" t="s">
        <v>395</v>
      </c>
      <c r="MH541" s="565"/>
    </row>
    <row r="542" spans="1:346" s="37" customFormat="1" ht="13.15" hidden="1" outlineLevel="1" x14ac:dyDescent="0.4">
      <c r="A542" s="35"/>
      <c r="B542" s="36"/>
      <c r="BO542" s="36"/>
      <c r="BV542" s="36"/>
      <c r="CC542" s="36"/>
      <c r="CJ542" s="36"/>
      <c r="CQ542" s="36"/>
      <c r="CX542" s="36"/>
      <c r="DE542" s="36"/>
      <c r="DL542" s="36"/>
      <c r="DS542" s="36"/>
      <c r="DZ542" s="36"/>
      <c r="EG542" s="36"/>
      <c r="EN542" s="36"/>
      <c r="EU542" s="36"/>
      <c r="FB542" s="36"/>
      <c r="FI542" s="36"/>
      <c r="FP542" s="36"/>
      <c r="FW542" s="36"/>
      <c r="GD542" s="36"/>
      <c r="GK542" s="36"/>
      <c r="GR542" s="36"/>
      <c r="GY542" s="36"/>
      <c r="HF542" s="36"/>
      <c r="HM542" s="36"/>
      <c r="HT542" s="36"/>
      <c r="IA542" s="36"/>
      <c r="IH542" s="36"/>
      <c r="IO542" s="36"/>
      <c r="IV542" s="36"/>
      <c r="JC542" s="36"/>
      <c r="JJ542" s="36"/>
      <c r="JQ542" s="36"/>
      <c r="JX542" s="36"/>
      <c r="KE542" s="36"/>
      <c r="KL542" s="36"/>
      <c r="KS542" s="36"/>
      <c r="KZ542" s="36"/>
      <c r="LF542" s="565"/>
      <c r="LG542" s="36"/>
      <c r="LM542" s="565"/>
      <c r="LN542" s="36"/>
      <c r="LT542" s="565"/>
      <c r="LU542" s="36"/>
      <c r="MA542" s="565"/>
      <c r="MB542" s="36"/>
      <c r="MH542" s="565"/>
    </row>
    <row r="543" spans="1:346" s="37" customFormat="1" ht="13.15" hidden="1" outlineLevel="1" x14ac:dyDescent="0.4">
      <c r="A543" s="35"/>
      <c r="B543" s="36" t="s">
        <v>400</v>
      </c>
      <c r="BO543" s="36" t="s">
        <v>400</v>
      </c>
      <c r="BV543" s="36" t="s">
        <v>400</v>
      </c>
      <c r="CC543" s="36" t="s">
        <v>400</v>
      </c>
      <c r="CJ543" s="36" t="s">
        <v>400</v>
      </c>
      <c r="CQ543" s="36" t="s">
        <v>400</v>
      </c>
      <c r="CX543" s="36" t="s">
        <v>400</v>
      </c>
      <c r="DE543" s="36" t="s">
        <v>400</v>
      </c>
      <c r="DL543" s="36" t="s">
        <v>400</v>
      </c>
      <c r="DS543" s="36" t="s">
        <v>400</v>
      </c>
      <c r="DZ543" s="36" t="s">
        <v>400</v>
      </c>
      <c r="EG543" s="36" t="s">
        <v>400</v>
      </c>
      <c r="EN543" s="36" t="s">
        <v>400</v>
      </c>
      <c r="EU543" s="36" t="s">
        <v>400</v>
      </c>
      <c r="FB543" s="36" t="s">
        <v>400</v>
      </c>
      <c r="FI543" s="36" t="s">
        <v>400</v>
      </c>
      <c r="FP543" s="36" t="s">
        <v>400</v>
      </c>
      <c r="FW543" s="36" t="s">
        <v>400</v>
      </c>
      <c r="GD543" s="36" t="s">
        <v>400</v>
      </c>
      <c r="GK543" s="36" t="s">
        <v>400</v>
      </c>
      <c r="GR543" s="36" t="s">
        <v>400</v>
      </c>
      <c r="GY543" s="36" t="s">
        <v>400</v>
      </c>
      <c r="HF543" s="36" t="s">
        <v>400</v>
      </c>
      <c r="HM543" s="36" t="s">
        <v>400</v>
      </c>
      <c r="HT543" s="36" t="s">
        <v>400</v>
      </c>
      <c r="IA543" s="36" t="s">
        <v>400</v>
      </c>
      <c r="IH543" s="36" t="s">
        <v>400</v>
      </c>
      <c r="IO543" s="36" t="s">
        <v>400</v>
      </c>
      <c r="IV543" s="36" t="s">
        <v>400</v>
      </c>
      <c r="JC543" s="36" t="s">
        <v>400</v>
      </c>
      <c r="JJ543" s="36" t="s">
        <v>400</v>
      </c>
      <c r="JQ543" s="36" t="s">
        <v>400</v>
      </c>
      <c r="JX543" s="36" t="s">
        <v>400</v>
      </c>
      <c r="KE543" s="36" t="s">
        <v>400</v>
      </c>
      <c r="KL543" s="36" t="s">
        <v>400</v>
      </c>
      <c r="KS543" s="36" t="s">
        <v>400</v>
      </c>
      <c r="KZ543" s="36" t="s">
        <v>400</v>
      </c>
      <c r="LF543" s="565"/>
      <c r="LG543" s="36" t="s">
        <v>400</v>
      </c>
      <c r="LM543" s="565"/>
      <c r="LN543" s="36" t="s">
        <v>400</v>
      </c>
      <c r="LT543" s="565"/>
      <c r="LU543" s="36" t="s">
        <v>400</v>
      </c>
      <c r="MA543" s="565"/>
      <c r="MB543" s="36" t="s">
        <v>400</v>
      </c>
      <c r="MH543" s="565"/>
    </row>
    <row r="544" spans="1:346" s="37" customFormat="1" ht="13.15" hidden="1" outlineLevel="1" x14ac:dyDescent="0.4">
      <c r="A544" s="35"/>
      <c r="B544" s="36" t="s">
        <v>208</v>
      </c>
      <c r="K544" s="37">
        <v>274</v>
      </c>
      <c r="L544" s="37">
        <v>251</v>
      </c>
      <c r="M544" s="37">
        <v>333</v>
      </c>
      <c r="N544" s="37">
        <f>BT544</f>
        <v>317</v>
      </c>
      <c r="O544" s="37">
        <f>CA544</f>
        <v>258</v>
      </c>
      <c r="P544" s="37">
        <f>CH544</f>
        <v>217</v>
      </c>
      <c r="Q544" s="37">
        <f>CO544</f>
        <v>184</v>
      </c>
      <c r="R544" s="37">
        <f>CV544</f>
        <v>173.2</v>
      </c>
      <c r="S544" s="37">
        <f>DC544</f>
        <v>198</v>
      </c>
      <c r="T544" s="37">
        <f>DJ544</f>
        <v>0</v>
      </c>
      <c r="U544" s="37">
        <f>DQ544</f>
        <v>0</v>
      </c>
      <c r="V544" s="37">
        <f>DX544</f>
        <v>0</v>
      </c>
      <c r="W544" s="37">
        <f>EE544</f>
        <v>0</v>
      </c>
      <c r="X544" s="37">
        <f>EL544</f>
        <v>0</v>
      </c>
      <c r="Y544" s="37">
        <f>ES544</f>
        <v>0</v>
      </c>
      <c r="Z544" s="37">
        <f>EZ544</f>
        <v>0</v>
      </c>
      <c r="AA544" s="37">
        <f>FG544</f>
        <v>0</v>
      </c>
      <c r="AB544" s="37">
        <f>FN544</f>
        <v>0</v>
      </c>
      <c r="AC544" s="37">
        <f>FU544</f>
        <v>0</v>
      </c>
      <c r="AD544" s="37">
        <f>GB544</f>
        <v>0</v>
      </c>
      <c r="AE544" s="37">
        <f>GI544</f>
        <v>0</v>
      </c>
      <c r="AF544" s="37">
        <f>GP544</f>
        <v>0</v>
      </c>
      <c r="AG544" s="37">
        <f>GW544</f>
        <v>0</v>
      </c>
      <c r="AH544" s="37">
        <f>HD544</f>
        <v>0</v>
      </c>
      <c r="AI544" s="37">
        <f>HK544</f>
        <v>0</v>
      </c>
      <c r="AJ544" s="37">
        <f>HR544</f>
        <v>0</v>
      </c>
      <c r="AK544" s="37">
        <f>HY544</f>
        <v>0</v>
      </c>
      <c r="AL544" s="37">
        <f>IF544</f>
        <v>0</v>
      </c>
      <c r="AM544" s="37">
        <f>IM544</f>
        <v>0</v>
      </c>
      <c r="AN544" s="37">
        <f>IT544</f>
        <v>0</v>
      </c>
      <c r="AO544" s="37">
        <f>JA544</f>
        <v>0</v>
      </c>
      <c r="AP544" s="37">
        <f>JH544</f>
        <v>0</v>
      </c>
      <c r="AQ544" s="37">
        <f>JO544</f>
        <v>0</v>
      </c>
      <c r="AR544" s="37">
        <f>JV544</f>
        <v>0</v>
      </c>
      <c r="AS544" s="37">
        <f>KC544</f>
        <v>0</v>
      </c>
      <c r="AT544" s="37">
        <f>KJ544</f>
        <v>0</v>
      </c>
      <c r="AU544" s="37">
        <f>KQ544</f>
        <v>0</v>
      </c>
      <c r="AV544" s="37">
        <f>KX544</f>
        <v>0</v>
      </c>
      <c r="AW544" s="37">
        <f>LE544</f>
        <v>0</v>
      </c>
      <c r="AX544" s="37">
        <f>LL544</f>
        <v>0</v>
      </c>
      <c r="AY544" s="37">
        <f>LS544</f>
        <v>0</v>
      </c>
      <c r="AZ544" s="37">
        <f>LZ544</f>
        <v>0</v>
      </c>
      <c r="BA544" s="37">
        <f>MG544</f>
        <v>0</v>
      </c>
      <c r="BO544" s="36" t="s">
        <v>208</v>
      </c>
      <c r="BP544" s="37">
        <v>59</v>
      </c>
      <c r="BQ544" s="37">
        <v>93</v>
      </c>
      <c r="BR544" s="37">
        <v>70</v>
      </c>
      <c r="BS544" s="37">
        <v>95</v>
      </c>
      <c r="BT544" s="37">
        <v>317</v>
      </c>
      <c r="BV544" s="36" t="s">
        <v>208</v>
      </c>
      <c r="BW544" s="37">
        <v>35</v>
      </c>
      <c r="BX544" s="37">
        <v>59</v>
      </c>
      <c r="BY544" s="37">
        <v>95</v>
      </c>
      <c r="BZ544" s="37">
        <v>69</v>
      </c>
      <c r="CA544" s="37">
        <v>258</v>
      </c>
      <c r="CC544" s="36" t="s">
        <v>208</v>
      </c>
      <c r="CD544" s="37">
        <v>21</v>
      </c>
      <c r="CE544" s="37">
        <v>56</v>
      </c>
      <c r="CF544" s="37">
        <v>78</v>
      </c>
      <c r="CG544" s="37">
        <v>62</v>
      </c>
      <c r="CH544" s="37">
        <v>217</v>
      </c>
      <c r="CJ544" s="36" t="s">
        <v>208</v>
      </c>
      <c r="CK544" s="37">
        <v>21</v>
      </c>
      <c r="CL544" s="37">
        <v>44</v>
      </c>
      <c r="CM544" s="37">
        <v>65</v>
      </c>
      <c r="CN544" s="37">
        <v>54</v>
      </c>
      <c r="CO544" s="37">
        <v>184</v>
      </c>
      <c r="CQ544" s="36" t="s">
        <v>208</v>
      </c>
      <c r="CR544" s="37">
        <v>15</v>
      </c>
      <c r="CS544" s="37">
        <v>43</v>
      </c>
      <c r="CT544" s="37">
        <v>62.2</v>
      </c>
      <c r="CU544" s="37">
        <v>53</v>
      </c>
      <c r="CV544" s="37">
        <v>173.2</v>
      </c>
      <c r="CX544" s="36" t="s">
        <v>208</v>
      </c>
      <c r="CY544" s="37">
        <v>16</v>
      </c>
      <c r="CZ544" s="37">
        <v>47</v>
      </c>
      <c r="DA544" s="37">
        <v>79</v>
      </c>
      <c r="DB544" s="37">
        <v>56</v>
      </c>
      <c r="DC544" s="37">
        <v>198</v>
      </c>
      <c r="DE544" s="36" t="s">
        <v>208</v>
      </c>
      <c r="DL544" s="36" t="s">
        <v>208</v>
      </c>
      <c r="DS544" s="36" t="s">
        <v>208</v>
      </c>
      <c r="DZ544" s="36" t="s">
        <v>208</v>
      </c>
      <c r="EG544" s="36" t="s">
        <v>208</v>
      </c>
      <c r="EN544" s="36" t="s">
        <v>208</v>
      </c>
      <c r="EU544" s="36" t="s">
        <v>208</v>
      </c>
      <c r="FB544" s="36" t="s">
        <v>208</v>
      </c>
      <c r="FI544" s="36" t="s">
        <v>208</v>
      </c>
      <c r="FP544" s="36" t="s">
        <v>208</v>
      </c>
      <c r="FW544" s="36" t="s">
        <v>208</v>
      </c>
      <c r="GD544" s="36" t="s">
        <v>208</v>
      </c>
      <c r="GK544" s="36" t="s">
        <v>208</v>
      </c>
      <c r="GR544" s="36" t="s">
        <v>208</v>
      </c>
      <c r="GY544" s="36" t="s">
        <v>208</v>
      </c>
      <c r="HF544" s="36" t="s">
        <v>208</v>
      </c>
      <c r="HM544" s="36" t="s">
        <v>208</v>
      </c>
      <c r="HT544" s="36" t="s">
        <v>208</v>
      </c>
      <c r="IA544" s="36" t="s">
        <v>208</v>
      </c>
      <c r="IH544" s="36" t="s">
        <v>208</v>
      </c>
      <c r="IO544" s="36" t="s">
        <v>208</v>
      </c>
      <c r="IV544" s="36" t="s">
        <v>208</v>
      </c>
      <c r="JC544" s="36" t="s">
        <v>208</v>
      </c>
      <c r="JJ544" s="36" t="s">
        <v>208</v>
      </c>
      <c r="JQ544" s="36" t="s">
        <v>208</v>
      </c>
      <c r="JX544" s="36" t="s">
        <v>208</v>
      </c>
      <c r="KE544" s="36" t="s">
        <v>208</v>
      </c>
      <c r="KL544" s="36" t="s">
        <v>208</v>
      </c>
      <c r="KS544" s="36" t="s">
        <v>208</v>
      </c>
      <c r="KZ544" s="36" t="s">
        <v>208</v>
      </c>
      <c r="LF544" s="565"/>
      <c r="LG544" s="36" t="s">
        <v>208</v>
      </c>
      <c r="LM544" s="565"/>
      <c r="LN544" s="36" t="s">
        <v>208</v>
      </c>
      <c r="LT544" s="565"/>
      <c r="LU544" s="36" t="s">
        <v>208</v>
      </c>
      <c r="MA544" s="565"/>
      <c r="MB544" s="36" t="s">
        <v>208</v>
      </c>
      <c r="MH544" s="565"/>
    </row>
    <row r="545" spans="1:346" s="37" customFormat="1" ht="13.15" hidden="1" outlineLevel="1" x14ac:dyDescent="0.4">
      <c r="A545" s="35"/>
      <c r="B545" s="36" t="s">
        <v>397</v>
      </c>
      <c r="K545" s="37">
        <v>142</v>
      </c>
      <c r="L545" s="37">
        <v>139</v>
      </c>
      <c r="M545" s="37">
        <v>174</v>
      </c>
      <c r="N545" s="37">
        <f>BT545</f>
        <v>151</v>
      </c>
      <c r="O545" s="37">
        <f>CA545</f>
        <v>142</v>
      </c>
      <c r="P545" s="37">
        <f>CH545</f>
        <v>139</v>
      </c>
      <c r="Q545" s="37">
        <f>CO545</f>
        <v>125</v>
      </c>
      <c r="R545" s="37">
        <f>CV545</f>
        <v>128</v>
      </c>
      <c r="S545" s="37">
        <f>DC545</f>
        <v>144</v>
      </c>
      <c r="T545" s="37">
        <f>DJ545</f>
        <v>0</v>
      </c>
      <c r="U545" s="37">
        <f>DQ545</f>
        <v>0</v>
      </c>
      <c r="V545" s="37">
        <f>DX545</f>
        <v>0</v>
      </c>
      <c r="W545" s="37">
        <f>EE545</f>
        <v>0</v>
      </c>
      <c r="X545" s="37">
        <f>EL545</f>
        <v>0</v>
      </c>
      <c r="Y545" s="37">
        <f>ES545</f>
        <v>0</v>
      </c>
      <c r="Z545" s="37">
        <f>EZ545</f>
        <v>0</v>
      </c>
      <c r="AA545" s="37">
        <f>FG545</f>
        <v>0</v>
      </c>
      <c r="AB545" s="37">
        <f>FN545</f>
        <v>0</v>
      </c>
      <c r="AC545" s="37">
        <f>FU545</f>
        <v>0</v>
      </c>
      <c r="AD545" s="37">
        <f>GB545</f>
        <v>0</v>
      </c>
      <c r="AE545" s="37">
        <f>GI545</f>
        <v>0</v>
      </c>
      <c r="AF545" s="37">
        <f>GP545</f>
        <v>0</v>
      </c>
      <c r="AG545" s="37">
        <f>GW545</f>
        <v>0</v>
      </c>
      <c r="AH545" s="37">
        <f>HD545</f>
        <v>0</v>
      </c>
      <c r="AI545" s="37">
        <f>HK545</f>
        <v>0</v>
      </c>
      <c r="AJ545" s="37">
        <f>HR545</f>
        <v>0</v>
      </c>
      <c r="AK545" s="37">
        <f>HY545</f>
        <v>0</v>
      </c>
      <c r="AL545" s="37">
        <f>IF545</f>
        <v>0</v>
      </c>
      <c r="AM545" s="37">
        <f>IM545</f>
        <v>0</v>
      </c>
      <c r="AN545" s="37">
        <f>IT545</f>
        <v>0</v>
      </c>
      <c r="AO545" s="37">
        <f>JA545</f>
        <v>0</v>
      </c>
      <c r="AP545" s="37">
        <f>JH545</f>
        <v>0</v>
      </c>
      <c r="AQ545" s="37">
        <f>JO545</f>
        <v>0</v>
      </c>
      <c r="AR545" s="37">
        <f>JV545</f>
        <v>0</v>
      </c>
      <c r="AS545" s="37">
        <f>KC545</f>
        <v>0</v>
      </c>
      <c r="AT545" s="37">
        <f>KJ545</f>
        <v>0</v>
      </c>
      <c r="AU545" s="37">
        <f>KQ545</f>
        <v>0</v>
      </c>
      <c r="AV545" s="37">
        <f>KX545</f>
        <v>0</v>
      </c>
      <c r="AW545" s="37">
        <f>LE545</f>
        <v>0</v>
      </c>
      <c r="AX545" s="37">
        <f>LL545</f>
        <v>0</v>
      </c>
      <c r="AY545" s="37">
        <f>LS545</f>
        <v>0</v>
      </c>
      <c r="AZ545" s="37">
        <f>LZ545</f>
        <v>0</v>
      </c>
      <c r="BA545" s="37">
        <f>MG545</f>
        <v>0</v>
      </c>
      <c r="BO545" s="36" t="s">
        <v>397</v>
      </c>
      <c r="BP545" s="37">
        <v>36</v>
      </c>
      <c r="BQ545" s="37">
        <v>39</v>
      </c>
      <c r="BR545" s="37">
        <v>44</v>
      </c>
      <c r="BS545" s="37">
        <v>32</v>
      </c>
      <c r="BT545" s="37">
        <v>151</v>
      </c>
      <c r="BV545" s="36" t="s">
        <v>397</v>
      </c>
      <c r="BW545" s="37">
        <v>26</v>
      </c>
      <c r="BX545" s="37">
        <v>38</v>
      </c>
      <c r="BY545" s="37">
        <v>46</v>
      </c>
      <c r="BZ545" s="37">
        <v>32</v>
      </c>
      <c r="CA545" s="37">
        <v>142</v>
      </c>
      <c r="CC545" s="36" t="s">
        <v>397</v>
      </c>
      <c r="CD545" s="37">
        <v>26</v>
      </c>
      <c r="CE545" s="37">
        <v>38</v>
      </c>
      <c r="CF545" s="37">
        <v>47</v>
      </c>
      <c r="CG545" s="37">
        <v>28</v>
      </c>
      <c r="CH545" s="37">
        <v>139</v>
      </c>
      <c r="CJ545" s="36" t="s">
        <v>397</v>
      </c>
      <c r="CK545" s="37">
        <v>25</v>
      </c>
      <c r="CL545" s="37">
        <v>34</v>
      </c>
      <c r="CM545" s="37">
        <v>39</v>
      </c>
      <c r="CN545" s="37">
        <v>27</v>
      </c>
      <c r="CO545" s="37">
        <v>125</v>
      </c>
      <c r="CQ545" s="36" t="s">
        <v>397</v>
      </c>
      <c r="CR545" s="37">
        <v>20</v>
      </c>
      <c r="CS545" s="37">
        <v>34</v>
      </c>
      <c r="CT545" s="37">
        <v>41</v>
      </c>
      <c r="CU545" s="37">
        <v>33</v>
      </c>
      <c r="CV545" s="37">
        <v>128</v>
      </c>
      <c r="CX545" s="36" t="s">
        <v>397</v>
      </c>
      <c r="CY545" s="37">
        <v>26</v>
      </c>
      <c r="CZ545" s="37">
        <v>35</v>
      </c>
      <c r="DA545" s="37">
        <v>44</v>
      </c>
      <c r="DB545" s="37">
        <v>39</v>
      </c>
      <c r="DC545" s="37">
        <v>144</v>
      </c>
      <c r="DE545" s="36" t="s">
        <v>397</v>
      </c>
      <c r="DL545" s="36" t="s">
        <v>397</v>
      </c>
      <c r="DS545" s="36" t="s">
        <v>397</v>
      </c>
      <c r="DZ545" s="36" t="s">
        <v>397</v>
      </c>
      <c r="EG545" s="36" t="s">
        <v>397</v>
      </c>
      <c r="EN545" s="36" t="s">
        <v>397</v>
      </c>
      <c r="EU545" s="36" t="s">
        <v>397</v>
      </c>
      <c r="FB545" s="36" t="s">
        <v>397</v>
      </c>
      <c r="FI545" s="36" t="s">
        <v>397</v>
      </c>
      <c r="FP545" s="36" t="s">
        <v>397</v>
      </c>
      <c r="FW545" s="36" t="s">
        <v>397</v>
      </c>
      <c r="GD545" s="36" t="s">
        <v>397</v>
      </c>
      <c r="GK545" s="36" t="s">
        <v>397</v>
      </c>
      <c r="GR545" s="36" t="s">
        <v>397</v>
      </c>
      <c r="GY545" s="36" t="s">
        <v>397</v>
      </c>
      <c r="HF545" s="36" t="s">
        <v>397</v>
      </c>
      <c r="HM545" s="36" t="s">
        <v>397</v>
      </c>
      <c r="HT545" s="36" t="s">
        <v>397</v>
      </c>
      <c r="IA545" s="36" t="s">
        <v>397</v>
      </c>
      <c r="IH545" s="36" t="s">
        <v>397</v>
      </c>
      <c r="IO545" s="36" t="s">
        <v>397</v>
      </c>
      <c r="IV545" s="36" t="s">
        <v>397</v>
      </c>
      <c r="JC545" s="36" t="s">
        <v>397</v>
      </c>
      <c r="JJ545" s="36" t="s">
        <v>397</v>
      </c>
      <c r="JQ545" s="36" t="s">
        <v>397</v>
      </c>
      <c r="JX545" s="36" t="s">
        <v>397</v>
      </c>
      <c r="KE545" s="36" t="s">
        <v>397</v>
      </c>
      <c r="KL545" s="36" t="s">
        <v>397</v>
      </c>
      <c r="KS545" s="36" t="s">
        <v>397</v>
      </c>
      <c r="KZ545" s="36" t="s">
        <v>397</v>
      </c>
      <c r="LF545" s="565"/>
      <c r="LG545" s="36" t="s">
        <v>397</v>
      </c>
      <c r="LM545" s="565"/>
      <c r="LN545" s="36" t="s">
        <v>397</v>
      </c>
      <c r="LT545" s="565"/>
      <c r="LU545" s="36" t="s">
        <v>397</v>
      </c>
      <c r="MA545" s="565"/>
      <c r="MB545" s="36" t="s">
        <v>397</v>
      </c>
      <c r="MH545" s="565"/>
    </row>
    <row r="546" spans="1:346" s="37" customFormat="1" ht="13.15" hidden="1" outlineLevel="1" x14ac:dyDescent="0.4">
      <c r="A546" s="35"/>
      <c r="B546" s="36" t="s">
        <v>395</v>
      </c>
      <c r="K546" s="37">
        <v>132</v>
      </c>
      <c r="L546" s="37">
        <v>112</v>
      </c>
      <c r="M546" s="37">
        <v>159</v>
      </c>
      <c r="N546" s="37">
        <f>BT546</f>
        <v>166</v>
      </c>
      <c r="O546" s="37">
        <f>CA546</f>
        <v>116</v>
      </c>
      <c r="P546" s="37">
        <f>CH546</f>
        <v>78</v>
      </c>
      <c r="Q546" s="37">
        <f>CO546</f>
        <v>59</v>
      </c>
      <c r="R546" s="37">
        <f>CV546</f>
        <v>45.199999999999989</v>
      </c>
      <c r="S546" s="37">
        <f>DC546</f>
        <v>54</v>
      </c>
      <c r="T546" s="37">
        <f>DJ546</f>
        <v>0</v>
      </c>
      <c r="U546" s="37">
        <f>DQ546</f>
        <v>0</v>
      </c>
      <c r="V546" s="37">
        <f>DX546</f>
        <v>0</v>
      </c>
      <c r="W546" s="37">
        <f>EE546</f>
        <v>0</v>
      </c>
      <c r="X546" s="37">
        <f>EL546</f>
        <v>0</v>
      </c>
      <c r="Y546" s="37">
        <f>ES546</f>
        <v>0</v>
      </c>
      <c r="Z546" s="37">
        <f>EZ546</f>
        <v>0</v>
      </c>
      <c r="AA546" s="37">
        <f>FG546</f>
        <v>0</v>
      </c>
      <c r="AB546" s="37">
        <f>FN546</f>
        <v>0</v>
      </c>
      <c r="AC546" s="37">
        <f>FU546</f>
        <v>0</v>
      </c>
      <c r="AD546" s="37">
        <f>GB546</f>
        <v>0</v>
      </c>
      <c r="AE546" s="37">
        <f>GI546</f>
        <v>0</v>
      </c>
      <c r="AF546" s="37">
        <f>GP546</f>
        <v>0</v>
      </c>
      <c r="AG546" s="37">
        <f>GW546</f>
        <v>0</v>
      </c>
      <c r="AH546" s="37">
        <f>HD546</f>
        <v>0</v>
      </c>
      <c r="AI546" s="37">
        <f>HK546</f>
        <v>0</v>
      </c>
      <c r="AJ546" s="37">
        <f>HR546</f>
        <v>0</v>
      </c>
      <c r="AK546" s="37">
        <f>HY546</f>
        <v>0</v>
      </c>
      <c r="AL546" s="37">
        <f>IF546</f>
        <v>0</v>
      </c>
      <c r="AM546" s="37">
        <f>IM546</f>
        <v>0</v>
      </c>
      <c r="AN546" s="37">
        <f>IT546</f>
        <v>0</v>
      </c>
      <c r="AO546" s="37">
        <f>JA546</f>
        <v>0</v>
      </c>
      <c r="AP546" s="37">
        <f>JH546</f>
        <v>0</v>
      </c>
      <c r="AQ546" s="37">
        <f>JO546</f>
        <v>0</v>
      </c>
      <c r="AR546" s="37">
        <f>JV546</f>
        <v>0</v>
      </c>
      <c r="AS546" s="37">
        <f>KC546</f>
        <v>0</v>
      </c>
      <c r="AT546" s="37">
        <f>KJ546</f>
        <v>0</v>
      </c>
      <c r="AU546" s="37">
        <f>KQ546</f>
        <v>0</v>
      </c>
      <c r="AV546" s="37">
        <f>KX546</f>
        <v>0</v>
      </c>
      <c r="AW546" s="37">
        <f>LE546</f>
        <v>0</v>
      </c>
      <c r="AX546" s="37">
        <f>LL546</f>
        <v>0</v>
      </c>
      <c r="AY546" s="37">
        <f>LS546</f>
        <v>0</v>
      </c>
      <c r="AZ546" s="37">
        <f>LZ546</f>
        <v>0</v>
      </c>
      <c r="BA546" s="37">
        <f>MG546</f>
        <v>0</v>
      </c>
      <c r="BO546" s="36" t="s">
        <v>395</v>
      </c>
      <c r="BP546" s="37">
        <v>23</v>
      </c>
      <c r="BQ546" s="37">
        <v>54</v>
      </c>
      <c r="BR546" s="37">
        <v>26</v>
      </c>
      <c r="BS546" s="37">
        <v>63</v>
      </c>
      <c r="BT546" s="37">
        <v>166</v>
      </c>
      <c r="BV546" s="36" t="s">
        <v>395</v>
      </c>
      <c r="BW546" s="37">
        <v>9</v>
      </c>
      <c r="BX546" s="37">
        <v>21</v>
      </c>
      <c r="BY546" s="37">
        <v>49</v>
      </c>
      <c r="BZ546" s="37">
        <v>37</v>
      </c>
      <c r="CA546" s="37">
        <v>116</v>
      </c>
      <c r="CC546" s="36" t="s">
        <v>395</v>
      </c>
      <c r="CD546" s="37">
        <v>-5</v>
      </c>
      <c r="CE546" s="37">
        <v>18</v>
      </c>
      <c r="CF546" s="37">
        <v>31</v>
      </c>
      <c r="CG546" s="37">
        <v>34</v>
      </c>
      <c r="CH546" s="37">
        <v>78</v>
      </c>
      <c r="CJ546" s="36" t="s">
        <v>395</v>
      </c>
      <c r="CK546" s="37">
        <v>-4</v>
      </c>
      <c r="CL546" s="37">
        <v>10</v>
      </c>
      <c r="CM546" s="37">
        <v>26</v>
      </c>
      <c r="CN546" s="37">
        <v>27</v>
      </c>
      <c r="CO546" s="37">
        <v>59</v>
      </c>
      <c r="CQ546" s="36" t="s">
        <v>395</v>
      </c>
      <c r="CR546" s="37">
        <v>-5</v>
      </c>
      <c r="CS546" s="37">
        <v>9</v>
      </c>
      <c r="CT546" s="37">
        <v>21.200000000000003</v>
      </c>
      <c r="CU546" s="37">
        <v>20</v>
      </c>
      <c r="CV546" s="37">
        <v>45.199999999999989</v>
      </c>
      <c r="CX546" s="36" t="s">
        <v>395</v>
      </c>
      <c r="CY546" s="37">
        <v>-10</v>
      </c>
      <c r="CZ546" s="37">
        <v>12</v>
      </c>
      <c r="DA546" s="37">
        <v>35</v>
      </c>
      <c r="DB546" s="37">
        <v>17</v>
      </c>
      <c r="DC546" s="37">
        <v>54</v>
      </c>
      <c r="DE546" s="36" t="s">
        <v>395</v>
      </c>
      <c r="DL546" s="36" t="s">
        <v>395</v>
      </c>
      <c r="DS546" s="36" t="s">
        <v>395</v>
      </c>
      <c r="DZ546" s="36" t="s">
        <v>395</v>
      </c>
      <c r="EG546" s="36" t="s">
        <v>395</v>
      </c>
      <c r="EN546" s="36" t="s">
        <v>395</v>
      </c>
      <c r="EU546" s="36" t="s">
        <v>395</v>
      </c>
      <c r="FB546" s="36" t="s">
        <v>395</v>
      </c>
      <c r="FI546" s="36" t="s">
        <v>395</v>
      </c>
      <c r="FP546" s="36" t="s">
        <v>395</v>
      </c>
      <c r="FW546" s="36" t="s">
        <v>395</v>
      </c>
      <c r="GD546" s="36" t="s">
        <v>395</v>
      </c>
      <c r="GK546" s="36" t="s">
        <v>395</v>
      </c>
      <c r="GR546" s="36" t="s">
        <v>395</v>
      </c>
      <c r="GY546" s="36" t="s">
        <v>395</v>
      </c>
      <c r="HF546" s="36" t="s">
        <v>395</v>
      </c>
      <c r="HM546" s="36" t="s">
        <v>395</v>
      </c>
      <c r="HT546" s="36" t="s">
        <v>395</v>
      </c>
      <c r="IA546" s="36" t="s">
        <v>395</v>
      </c>
      <c r="IH546" s="36" t="s">
        <v>395</v>
      </c>
      <c r="IO546" s="36" t="s">
        <v>395</v>
      </c>
      <c r="IV546" s="36" t="s">
        <v>395</v>
      </c>
      <c r="JC546" s="36" t="s">
        <v>395</v>
      </c>
      <c r="JJ546" s="36" t="s">
        <v>395</v>
      </c>
      <c r="JQ546" s="36" t="s">
        <v>395</v>
      </c>
      <c r="JX546" s="36" t="s">
        <v>395</v>
      </c>
      <c r="KE546" s="36" t="s">
        <v>395</v>
      </c>
      <c r="KL546" s="36" t="s">
        <v>395</v>
      </c>
      <c r="KS546" s="36" t="s">
        <v>395</v>
      </c>
      <c r="KZ546" s="36" t="s">
        <v>395</v>
      </c>
      <c r="LF546" s="565"/>
      <c r="LG546" s="36" t="s">
        <v>395</v>
      </c>
      <c r="LM546" s="565"/>
      <c r="LN546" s="36" t="s">
        <v>395</v>
      </c>
      <c r="LT546" s="565"/>
      <c r="LU546" s="36" t="s">
        <v>395</v>
      </c>
      <c r="MA546" s="565"/>
      <c r="MB546" s="36" t="s">
        <v>395</v>
      </c>
      <c r="MH546" s="565"/>
    </row>
    <row r="547" spans="1:346" s="37" customFormat="1" ht="13.15" hidden="1" outlineLevel="1" x14ac:dyDescent="0.4">
      <c r="A547" s="35"/>
      <c r="B547" s="36"/>
      <c r="BO547" s="36"/>
      <c r="BV547" s="36"/>
      <c r="CC547" s="36"/>
      <c r="CJ547" s="36"/>
      <c r="CQ547" s="36"/>
      <c r="CX547" s="36"/>
      <c r="DE547" s="36"/>
      <c r="DL547" s="36"/>
      <c r="DS547" s="36"/>
      <c r="DZ547" s="36"/>
      <c r="EG547" s="36"/>
      <c r="EN547" s="36"/>
      <c r="EU547" s="36"/>
      <c r="FB547" s="36"/>
      <c r="FI547" s="36"/>
      <c r="FP547" s="36"/>
      <c r="FW547" s="36"/>
      <c r="GD547" s="36"/>
      <c r="GK547" s="36"/>
      <c r="GR547" s="36"/>
      <c r="GY547" s="36"/>
      <c r="HF547" s="36"/>
      <c r="HM547" s="36"/>
      <c r="HT547" s="36"/>
      <c r="IA547" s="36"/>
      <c r="IH547" s="36"/>
      <c r="IO547" s="36"/>
      <c r="IV547" s="36"/>
      <c r="JC547" s="36"/>
      <c r="JJ547" s="36"/>
      <c r="JQ547" s="36"/>
      <c r="JX547" s="36"/>
      <c r="KE547" s="36"/>
      <c r="KL547" s="36"/>
      <c r="KS547" s="36"/>
      <c r="KZ547" s="36"/>
      <c r="LF547" s="565"/>
      <c r="LG547" s="36"/>
      <c r="LM547" s="565"/>
      <c r="LN547" s="36"/>
      <c r="LT547" s="565"/>
      <c r="LU547" s="36"/>
      <c r="MA547" s="565"/>
      <c r="MB547" s="36"/>
      <c r="MH547" s="565"/>
    </row>
    <row r="548" spans="1:346" s="37" customFormat="1" ht="13.15" hidden="1" outlineLevel="1" x14ac:dyDescent="0.4">
      <c r="A548" s="35"/>
      <c r="B548" s="36"/>
      <c r="BO548" s="36"/>
      <c r="BV548" s="36"/>
      <c r="CC548" s="36"/>
      <c r="CJ548" s="36"/>
      <c r="CQ548" s="36"/>
      <c r="CX548" s="36"/>
      <c r="DE548" s="36"/>
      <c r="DL548" s="36"/>
      <c r="DS548" s="36"/>
      <c r="DZ548" s="36"/>
      <c r="EG548" s="36"/>
      <c r="EN548" s="36"/>
      <c r="EU548" s="36"/>
      <c r="FB548" s="36"/>
      <c r="FI548" s="36"/>
      <c r="FP548" s="36"/>
      <c r="FW548" s="36"/>
      <c r="GD548" s="36"/>
      <c r="GK548" s="36"/>
      <c r="GR548" s="36"/>
      <c r="GY548" s="36"/>
      <c r="HF548" s="36"/>
      <c r="HM548" s="36"/>
      <c r="HT548" s="36"/>
      <c r="IA548" s="36"/>
      <c r="IH548" s="36"/>
      <c r="IO548" s="36"/>
      <c r="IV548" s="36"/>
      <c r="JC548" s="36"/>
      <c r="JJ548" s="36"/>
      <c r="JQ548" s="36"/>
      <c r="JX548" s="36"/>
      <c r="KE548" s="36"/>
      <c r="KL548" s="36"/>
      <c r="KS548" s="36"/>
      <c r="KZ548" s="36"/>
      <c r="LF548" s="565"/>
      <c r="LG548" s="36"/>
      <c r="LM548" s="565"/>
      <c r="LN548" s="36"/>
      <c r="LT548" s="565"/>
      <c r="LU548" s="36"/>
      <c r="MA548" s="565"/>
      <c r="MB548" s="36"/>
      <c r="MH548" s="565"/>
    </row>
    <row r="549" spans="1:346" s="37" customFormat="1" ht="13.15" hidden="1" outlineLevel="1" x14ac:dyDescent="0.4">
      <c r="A549" s="35"/>
      <c r="B549" s="36"/>
      <c r="C549" s="37">
        <v>1978</v>
      </c>
      <c r="D549" s="37">
        <v>1979</v>
      </c>
      <c r="BO549" s="36"/>
      <c r="BV549" s="36"/>
      <c r="CC549" s="36"/>
      <c r="CJ549" s="36"/>
      <c r="CQ549" s="36"/>
      <c r="CX549" s="36"/>
      <c r="DE549" s="36"/>
      <c r="DL549" s="36"/>
      <c r="DS549" s="36"/>
      <c r="DZ549" s="36"/>
      <c r="EG549" s="36"/>
      <c r="EN549" s="36"/>
      <c r="EU549" s="36"/>
      <c r="FB549" s="36"/>
      <c r="FI549" s="36"/>
      <c r="FP549" s="36"/>
      <c r="FW549" s="36"/>
      <c r="GD549" s="36"/>
      <c r="GK549" s="36"/>
      <c r="GR549" s="36"/>
      <c r="GY549" s="36"/>
      <c r="HF549" s="36"/>
      <c r="HM549" s="36"/>
      <c r="HT549" s="36"/>
      <c r="IA549" s="36"/>
      <c r="IH549" s="36"/>
      <c r="IO549" s="36"/>
      <c r="IV549" s="36"/>
      <c r="JC549" s="36"/>
      <c r="JJ549" s="36"/>
      <c r="JQ549" s="36"/>
      <c r="JX549" s="36"/>
      <c r="KE549" s="36"/>
      <c r="KL549" s="36"/>
      <c r="KS549" s="36"/>
      <c r="KZ549" s="36"/>
      <c r="LF549" s="565"/>
      <c r="LG549" s="36"/>
      <c r="LM549" s="565"/>
      <c r="LN549" s="36"/>
      <c r="LT549" s="565"/>
      <c r="LU549" s="36"/>
      <c r="MA549" s="565"/>
      <c r="MB549" s="36"/>
      <c r="MH549" s="565"/>
    </row>
    <row r="550" spans="1:346" s="37" customFormat="1" ht="13.15" hidden="1" outlineLevel="1" x14ac:dyDescent="0.4">
      <c r="A550" s="35"/>
      <c r="B550" s="36" t="s">
        <v>349</v>
      </c>
      <c r="BO550" s="36" t="s">
        <v>349</v>
      </c>
      <c r="BV550" s="36" t="s">
        <v>349</v>
      </c>
      <c r="CC550" s="36" t="s">
        <v>349</v>
      </c>
      <c r="CJ550" s="36" t="s">
        <v>349</v>
      </c>
      <c r="CQ550" s="36" t="s">
        <v>349</v>
      </c>
      <c r="CX550" s="36" t="s">
        <v>349</v>
      </c>
      <c r="DE550" s="36" t="s">
        <v>349</v>
      </c>
      <c r="DL550" s="36" t="s">
        <v>349</v>
      </c>
      <c r="DS550" s="36" t="s">
        <v>349</v>
      </c>
      <c r="DZ550" s="36" t="s">
        <v>349</v>
      </c>
      <c r="EG550" s="36" t="s">
        <v>349</v>
      </c>
      <c r="EN550" s="36" t="s">
        <v>349</v>
      </c>
      <c r="EU550" s="36" t="s">
        <v>349</v>
      </c>
      <c r="FB550" s="36" t="s">
        <v>349</v>
      </c>
      <c r="FI550" s="36" t="s">
        <v>349</v>
      </c>
      <c r="FP550" s="36" t="s">
        <v>349</v>
      </c>
      <c r="FW550" s="36" t="s">
        <v>349</v>
      </c>
      <c r="GD550" s="36" t="s">
        <v>349</v>
      </c>
      <c r="GK550" s="36" t="s">
        <v>349</v>
      </c>
      <c r="GR550" s="36" t="s">
        <v>349</v>
      </c>
      <c r="GY550" s="36" t="s">
        <v>349</v>
      </c>
      <c r="HF550" s="36" t="s">
        <v>349</v>
      </c>
      <c r="HM550" s="36" t="s">
        <v>349</v>
      </c>
      <c r="HT550" s="36" t="s">
        <v>349</v>
      </c>
      <c r="IA550" s="36" t="s">
        <v>349</v>
      </c>
      <c r="IH550" s="36" t="s">
        <v>349</v>
      </c>
      <c r="IO550" s="36" t="s">
        <v>349</v>
      </c>
      <c r="IV550" s="36" t="s">
        <v>349</v>
      </c>
      <c r="JC550" s="36" t="s">
        <v>349</v>
      </c>
      <c r="JJ550" s="36" t="s">
        <v>349</v>
      </c>
      <c r="JQ550" s="36" t="s">
        <v>349</v>
      </c>
      <c r="JX550" s="36" t="s">
        <v>349</v>
      </c>
      <c r="KE550" s="36" t="s">
        <v>349</v>
      </c>
      <c r="KL550" s="36" t="s">
        <v>349</v>
      </c>
      <c r="KS550" s="36" t="s">
        <v>349</v>
      </c>
      <c r="KZ550" s="36" t="s">
        <v>349</v>
      </c>
      <c r="LF550" s="565"/>
      <c r="LG550" s="36" t="s">
        <v>349</v>
      </c>
      <c r="LM550" s="565"/>
      <c r="LN550" s="36" t="s">
        <v>349</v>
      </c>
      <c r="LT550" s="565"/>
      <c r="LU550" s="36" t="s">
        <v>349</v>
      </c>
      <c r="MA550" s="565"/>
      <c r="MB550" s="36" t="s">
        <v>349</v>
      </c>
      <c r="MH550" s="565"/>
    </row>
    <row r="551" spans="1:346" s="37" customFormat="1" ht="13.15" hidden="1" outlineLevel="1" x14ac:dyDescent="0.4">
      <c r="A551" s="35"/>
      <c r="B551" s="36" t="s">
        <v>401</v>
      </c>
      <c r="E551" s="37">
        <v>46.5</v>
      </c>
      <c r="F551" s="37">
        <v>63.4</v>
      </c>
      <c r="G551" s="37">
        <v>54.6</v>
      </c>
      <c r="H551" s="37">
        <v>44</v>
      </c>
      <c r="I551" s="37">
        <v>50</v>
      </c>
      <c r="J551" s="37">
        <v>35</v>
      </c>
      <c r="K551" s="37">
        <v>39</v>
      </c>
      <c r="L551" s="37">
        <v>75</v>
      </c>
      <c r="M551" s="37">
        <v>131</v>
      </c>
      <c r="N551" s="37">
        <f t="shared" ref="N551:N558" si="7559">BT551</f>
        <v>76</v>
      </c>
      <c r="O551" s="37">
        <f t="shared" ref="O551:O558" si="7560">CA551</f>
        <v>76</v>
      </c>
      <c r="P551" s="37">
        <f t="shared" ref="P551:P558" si="7561">CH551</f>
        <v>72</v>
      </c>
      <c r="Q551" s="37">
        <f t="shared" ref="Q551:Q558" si="7562">CO551</f>
        <v>43</v>
      </c>
      <c r="R551" s="37">
        <f t="shared" ref="R551:R558" si="7563">CV551</f>
        <v>52</v>
      </c>
      <c r="S551" s="37">
        <f t="shared" ref="S551:S558" si="7564">DC551</f>
        <v>57</v>
      </c>
      <c r="T551" s="37">
        <f t="shared" ref="T551:T558" si="7565">DJ551</f>
        <v>56</v>
      </c>
      <c r="U551" s="37">
        <f t="shared" ref="U551:U558" si="7566">DQ551</f>
        <v>48</v>
      </c>
      <c r="V551" s="37">
        <f t="shared" ref="V551:V558" si="7567">DX551</f>
        <v>53</v>
      </c>
      <c r="W551" s="37">
        <f t="shared" ref="W551:W558" si="7568">EE551</f>
        <v>46</v>
      </c>
      <c r="X551" s="37">
        <f t="shared" ref="X551:X558" si="7569">EL551</f>
        <v>47</v>
      </c>
      <c r="Y551" s="37">
        <f t="shared" ref="Y551:Y558" si="7570">ES551</f>
        <v>53</v>
      </c>
      <c r="Z551" s="37">
        <f t="shared" ref="Z551:Z558" si="7571">EZ551</f>
        <v>47</v>
      </c>
      <c r="AA551" s="37">
        <f t="shared" ref="AA551:AA558" si="7572">FG551</f>
        <v>27</v>
      </c>
      <c r="AB551" s="37">
        <f t="shared" ref="AB551:AB558" si="7573">FN551</f>
        <v>17</v>
      </c>
      <c r="AC551" s="37">
        <f t="shared" ref="AC551:AC558" si="7574">FU551</f>
        <v>8</v>
      </c>
      <c r="AD551" s="37">
        <f t="shared" ref="AD551:AD558" si="7575">GB551</f>
        <v>22</v>
      </c>
      <c r="AE551" s="37">
        <f t="shared" ref="AE551:AE558" si="7576">GI551</f>
        <v>0</v>
      </c>
      <c r="AF551" s="37">
        <f t="shared" ref="AF551:AF558" si="7577">GP551</f>
        <v>0</v>
      </c>
      <c r="AG551" s="37">
        <f t="shared" ref="AG551:AG558" si="7578">GW551</f>
        <v>0</v>
      </c>
      <c r="AH551" s="37">
        <f t="shared" ref="AH551:AH558" si="7579">HD551</f>
        <v>0</v>
      </c>
      <c r="AI551" s="37">
        <f t="shared" ref="AI551:AI558" si="7580">HK551</f>
        <v>0</v>
      </c>
      <c r="AJ551" s="37">
        <f t="shared" ref="AJ551:AJ558" si="7581">HR551</f>
        <v>0</v>
      </c>
      <c r="AK551" s="37">
        <f t="shared" ref="AK551:AK558" si="7582">HY551</f>
        <v>0</v>
      </c>
      <c r="AL551" s="37">
        <f t="shared" ref="AL551:AL558" si="7583">IF551</f>
        <v>0</v>
      </c>
      <c r="AM551" s="37">
        <f t="shared" ref="AM551:AM558" si="7584">IM551</f>
        <v>0</v>
      </c>
      <c r="AN551" s="37">
        <f t="shared" ref="AN551:AN558" si="7585">IT551</f>
        <v>0</v>
      </c>
      <c r="AO551" s="37">
        <f t="shared" ref="AO551:AO558" si="7586">JA551</f>
        <v>0</v>
      </c>
      <c r="AP551" s="37">
        <f t="shared" ref="AP551:AP558" si="7587">JH551</f>
        <v>0</v>
      </c>
      <c r="AQ551" s="37">
        <f t="shared" ref="AQ551:AQ558" si="7588">JO551</f>
        <v>0</v>
      </c>
      <c r="AR551" s="37">
        <f t="shared" ref="AR551:AR558" si="7589">JV551</f>
        <v>0</v>
      </c>
      <c r="AS551" s="37">
        <f t="shared" ref="AS551:AS558" si="7590">KC551</f>
        <v>0</v>
      </c>
      <c r="AT551" s="37">
        <f t="shared" ref="AT551:AT558" si="7591">KJ551</f>
        <v>0</v>
      </c>
      <c r="AU551" s="37">
        <f t="shared" ref="AU551:AU558" si="7592">KQ551</f>
        <v>0</v>
      </c>
      <c r="AV551" s="37">
        <f t="shared" ref="AV551:AV558" si="7593">KX551</f>
        <v>0</v>
      </c>
      <c r="AW551" s="37">
        <f t="shared" ref="AW551:AW558" si="7594">LE551</f>
        <v>0</v>
      </c>
      <c r="AX551" s="37">
        <f t="shared" ref="AX551:AX558" si="7595">LL551</f>
        <v>0</v>
      </c>
      <c r="AY551" s="37">
        <f t="shared" ref="AY551:AY558" si="7596">LS551</f>
        <v>0</v>
      </c>
      <c r="AZ551" s="37">
        <f t="shared" ref="AZ551:AZ558" si="7597">LZ551</f>
        <v>0</v>
      </c>
      <c r="BA551" s="37">
        <f t="shared" ref="BA551:BA558" si="7598">MG551</f>
        <v>0</v>
      </c>
      <c r="BO551" s="36" t="s">
        <v>401</v>
      </c>
      <c r="BP551" s="37">
        <v>20</v>
      </c>
      <c r="BQ551" s="37">
        <v>18</v>
      </c>
      <c r="BR551" s="37">
        <v>24</v>
      </c>
      <c r="BS551" s="37">
        <v>14</v>
      </c>
      <c r="BT551" s="37">
        <v>76</v>
      </c>
      <c r="BV551" s="36" t="s">
        <v>401</v>
      </c>
      <c r="BW551" s="37">
        <v>22</v>
      </c>
      <c r="BX551" s="37">
        <v>21</v>
      </c>
      <c r="BY551" s="37">
        <v>19</v>
      </c>
      <c r="BZ551" s="37">
        <v>14</v>
      </c>
      <c r="CA551" s="37">
        <v>76</v>
      </c>
      <c r="CC551" s="36" t="s">
        <v>401</v>
      </c>
      <c r="CD551" s="37">
        <v>23</v>
      </c>
      <c r="CE551" s="37">
        <v>20</v>
      </c>
      <c r="CF551" s="37">
        <v>15</v>
      </c>
      <c r="CG551" s="37">
        <v>14</v>
      </c>
      <c r="CH551" s="37">
        <v>72</v>
      </c>
      <c r="CJ551" s="36" t="s">
        <v>401</v>
      </c>
      <c r="CK551" s="37">
        <v>10</v>
      </c>
      <c r="CL551" s="37">
        <v>9</v>
      </c>
      <c r="CM551" s="37">
        <v>11</v>
      </c>
      <c r="CN551" s="37">
        <v>13</v>
      </c>
      <c r="CO551" s="37">
        <v>43</v>
      </c>
      <c r="CQ551" s="36" t="s">
        <v>401</v>
      </c>
      <c r="CR551" s="37">
        <v>12</v>
      </c>
      <c r="CS551" s="37">
        <v>13</v>
      </c>
      <c r="CT551" s="37">
        <v>13</v>
      </c>
      <c r="CU551" s="37">
        <v>14</v>
      </c>
      <c r="CV551" s="37">
        <v>52</v>
      </c>
      <c r="CX551" s="36" t="s">
        <v>401</v>
      </c>
      <c r="CY551" s="37">
        <v>12</v>
      </c>
      <c r="CZ551" s="37">
        <v>16</v>
      </c>
      <c r="DA551" s="37">
        <v>12</v>
      </c>
      <c r="DB551" s="37">
        <v>17</v>
      </c>
      <c r="DC551" s="37">
        <v>57</v>
      </c>
      <c r="DE551" s="36" t="s">
        <v>401</v>
      </c>
      <c r="DF551" s="37">
        <v>14</v>
      </c>
      <c r="DG551" s="37">
        <v>15</v>
      </c>
      <c r="DH551" s="37">
        <v>13</v>
      </c>
      <c r="DI551" s="37">
        <v>14</v>
      </c>
      <c r="DJ551" s="37">
        <v>56</v>
      </c>
      <c r="DL551" s="36" t="s">
        <v>401</v>
      </c>
      <c r="DM551" s="37">
        <v>12</v>
      </c>
      <c r="DN551" s="37">
        <v>12</v>
      </c>
      <c r="DO551" s="37">
        <v>9</v>
      </c>
      <c r="DP551" s="37">
        <v>15</v>
      </c>
      <c r="DQ551" s="37">
        <v>48</v>
      </c>
      <c r="DS551" s="36" t="s">
        <v>401</v>
      </c>
      <c r="DT551" s="37">
        <v>12</v>
      </c>
      <c r="DU551" s="37">
        <v>18</v>
      </c>
      <c r="DV551" s="37">
        <v>12</v>
      </c>
      <c r="DW551" s="37">
        <v>11</v>
      </c>
      <c r="DX551" s="37">
        <v>53</v>
      </c>
      <c r="DZ551" s="36" t="s">
        <v>401</v>
      </c>
      <c r="EA551" s="37">
        <v>14</v>
      </c>
      <c r="EB551" s="37">
        <v>9</v>
      </c>
      <c r="EC551" s="37">
        <v>9</v>
      </c>
      <c r="ED551" s="37">
        <v>14</v>
      </c>
      <c r="EE551" s="37">
        <v>46</v>
      </c>
      <c r="EG551" s="36" t="s">
        <v>401</v>
      </c>
      <c r="EH551" s="37">
        <v>14</v>
      </c>
      <c r="EI551" s="37">
        <v>10</v>
      </c>
      <c r="EJ551" s="37">
        <v>11</v>
      </c>
      <c r="EK551" s="37">
        <v>12</v>
      </c>
      <c r="EL551" s="37">
        <v>47</v>
      </c>
      <c r="EN551" s="36" t="s">
        <v>401</v>
      </c>
      <c r="EO551" s="37">
        <v>16</v>
      </c>
      <c r="EP551" s="37">
        <v>12</v>
      </c>
      <c r="EQ551" s="37">
        <v>12</v>
      </c>
      <c r="ER551" s="37">
        <v>13</v>
      </c>
      <c r="ES551" s="37">
        <v>53</v>
      </c>
      <c r="EU551" s="36" t="s">
        <v>401</v>
      </c>
      <c r="EV551" s="37">
        <v>13</v>
      </c>
      <c r="EW551" s="37">
        <v>13</v>
      </c>
      <c r="EX551" s="37">
        <v>11</v>
      </c>
      <c r="EY551" s="37">
        <v>10</v>
      </c>
      <c r="EZ551" s="37">
        <v>47</v>
      </c>
      <c r="FB551" s="36" t="s">
        <v>401</v>
      </c>
      <c r="FC551" s="37">
        <v>7</v>
      </c>
      <c r="FD551" s="37">
        <v>8</v>
      </c>
      <c r="FE551" s="37">
        <v>7</v>
      </c>
      <c r="FF551" s="37">
        <v>5</v>
      </c>
      <c r="FG551" s="37">
        <v>27</v>
      </c>
      <c r="FI551" s="36" t="s">
        <v>401</v>
      </c>
      <c r="FJ551" s="37">
        <v>4</v>
      </c>
      <c r="FL551" s="37">
        <v>8</v>
      </c>
      <c r="FM551" s="37">
        <v>5</v>
      </c>
      <c r="FN551" s="37">
        <v>17</v>
      </c>
      <c r="FP551" s="36" t="s">
        <v>401</v>
      </c>
      <c r="FQ551" s="37">
        <v>3</v>
      </c>
      <c r="FR551" s="37">
        <v>5</v>
      </c>
      <c r="FU551" s="37">
        <v>8</v>
      </c>
      <c r="FW551" s="36" t="s">
        <v>401</v>
      </c>
      <c r="FX551" s="37">
        <v>7</v>
      </c>
      <c r="FY551" s="37">
        <v>15</v>
      </c>
      <c r="GB551" s="37">
        <v>22</v>
      </c>
      <c r="GD551" s="36" t="s">
        <v>401</v>
      </c>
      <c r="GK551" s="36" t="s">
        <v>401</v>
      </c>
      <c r="GR551" s="36" t="s">
        <v>401</v>
      </c>
      <c r="GY551" s="36" t="s">
        <v>401</v>
      </c>
      <c r="HF551" s="36" t="s">
        <v>401</v>
      </c>
      <c r="HM551" s="36" t="s">
        <v>401</v>
      </c>
      <c r="HT551" s="36" t="s">
        <v>401</v>
      </c>
      <c r="IA551" s="36" t="s">
        <v>401</v>
      </c>
      <c r="IH551" s="36" t="s">
        <v>401</v>
      </c>
      <c r="IO551" s="36" t="s">
        <v>401</v>
      </c>
      <c r="IV551" s="36" t="s">
        <v>401</v>
      </c>
      <c r="JC551" s="36" t="s">
        <v>401</v>
      </c>
      <c r="JJ551" s="36" t="s">
        <v>401</v>
      </c>
      <c r="JQ551" s="36" t="s">
        <v>401</v>
      </c>
      <c r="JX551" s="36" t="s">
        <v>401</v>
      </c>
      <c r="KE551" s="36" t="s">
        <v>401</v>
      </c>
      <c r="KL551" s="36" t="s">
        <v>401</v>
      </c>
      <c r="KS551" s="36" t="s">
        <v>401</v>
      </c>
      <c r="KZ551" s="36" t="s">
        <v>401</v>
      </c>
      <c r="LF551" s="565"/>
      <c r="LG551" s="36" t="s">
        <v>401</v>
      </c>
      <c r="LM551" s="565"/>
      <c r="LN551" s="36" t="s">
        <v>401</v>
      </c>
      <c r="LT551" s="565"/>
      <c r="LU551" s="36" t="s">
        <v>401</v>
      </c>
      <c r="MA551" s="565"/>
      <c r="MB551" s="36" t="s">
        <v>401</v>
      </c>
      <c r="MH551" s="565"/>
    </row>
    <row r="552" spans="1:346" s="37" customFormat="1" ht="13.15" hidden="1" outlineLevel="1" x14ac:dyDescent="0.4">
      <c r="A552" s="35"/>
      <c r="B552" s="36" t="s">
        <v>402</v>
      </c>
      <c r="N552" s="37">
        <f t="shared" si="7559"/>
        <v>0</v>
      </c>
      <c r="O552" s="37">
        <f t="shared" si="7560"/>
        <v>0</v>
      </c>
      <c r="P552" s="37">
        <f t="shared" si="7561"/>
        <v>0</v>
      </c>
      <c r="Q552" s="37">
        <f t="shared" si="7562"/>
        <v>0</v>
      </c>
      <c r="R552" s="37">
        <f t="shared" si="7563"/>
        <v>20</v>
      </c>
      <c r="S552" s="37">
        <f t="shared" si="7564"/>
        <v>91</v>
      </c>
      <c r="T552" s="37">
        <f t="shared" si="7565"/>
        <v>0</v>
      </c>
      <c r="U552" s="37">
        <f t="shared" si="7566"/>
        <v>0</v>
      </c>
      <c r="V552" s="37">
        <f t="shared" si="7567"/>
        <v>-6</v>
      </c>
      <c r="W552" s="37">
        <f t="shared" si="7568"/>
        <v>47</v>
      </c>
      <c r="X552" s="37">
        <f t="shared" si="7569"/>
        <v>74</v>
      </c>
      <c r="Y552" s="37">
        <f t="shared" si="7570"/>
        <v>60</v>
      </c>
      <c r="Z552" s="37">
        <f t="shared" si="7571"/>
        <v>101</v>
      </c>
      <c r="AA552" s="37">
        <f t="shared" si="7572"/>
        <v>108</v>
      </c>
      <c r="AB552" s="37">
        <f t="shared" si="7573"/>
        <v>63</v>
      </c>
      <c r="AC552" s="37">
        <f t="shared" si="7574"/>
        <v>-2</v>
      </c>
      <c r="AD552" s="37">
        <f t="shared" si="7575"/>
        <v>16</v>
      </c>
      <c r="AE552" s="37">
        <f t="shared" si="7576"/>
        <v>0</v>
      </c>
      <c r="AF552" s="37">
        <f t="shared" si="7577"/>
        <v>0</v>
      </c>
      <c r="AG552" s="37">
        <f t="shared" si="7578"/>
        <v>0</v>
      </c>
      <c r="AH552" s="37">
        <f t="shared" si="7579"/>
        <v>0</v>
      </c>
      <c r="AI552" s="37">
        <f t="shared" si="7580"/>
        <v>0</v>
      </c>
      <c r="AJ552" s="37">
        <f t="shared" si="7581"/>
        <v>0</v>
      </c>
      <c r="AK552" s="37">
        <f t="shared" si="7582"/>
        <v>0</v>
      </c>
      <c r="AL552" s="37">
        <f t="shared" si="7583"/>
        <v>0</v>
      </c>
      <c r="AM552" s="37">
        <f t="shared" si="7584"/>
        <v>0</v>
      </c>
      <c r="AN552" s="37">
        <f t="shared" si="7585"/>
        <v>0</v>
      </c>
      <c r="AO552" s="37">
        <f t="shared" si="7586"/>
        <v>0</v>
      </c>
      <c r="AP552" s="37">
        <f t="shared" si="7587"/>
        <v>0</v>
      </c>
      <c r="AQ552" s="37">
        <f t="shared" si="7588"/>
        <v>0</v>
      </c>
      <c r="AR552" s="37">
        <f t="shared" si="7589"/>
        <v>0</v>
      </c>
      <c r="AS552" s="37">
        <f t="shared" si="7590"/>
        <v>0</v>
      </c>
      <c r="AT552" s="37">
        <f t="shared" si="7591"/>
        <v>0</v>
      </c>
      <c r="AU552" s="37">
        <f t="shared" si="7592"/>
        <v>0</v>
      </c>
      <c r="AV552" s="37">
        <f t="shared" si="7593"/>
        <v>0</v>
      </c>
      <c r="AW552" s="37">
        <f t="shared" si="7594"/>
        <v>0</v>
      </c>
      <c r="AX552" s="37">
        <f t="shared" si="7595"/>
        <v>0</v>
      </c>
      <c r="AY552" s="37">
        <f t="shared" si="7596"/>
        <v>0</v>
      </c>
      <c r="AZ552" s="37">
        <f t="shared" si="7597"/>
        <v>0</v>
      </c>
      <c r="BA552" s="37">
        <f t="shared" si="7598"/>
        <v>0</v>
      </c>
      <c r="BO552" s="36" t="s">
        <v>402</v>
      </c>
      <c r="BQ552" s="37" t="s">
        <v>403</v>
      </c>
      <c r="BR552" s="37" t="s">
        <v>405</v>
      </c>
      <c r="BV552" s="36" t="s">
        <v>402</v>
      </c>
      <c r="BZ552" s="37" t="s">
        <v>406</v>
      </c>
      <c r="CC552" s="36" t="s">
        <v>402</v>
      </c>
      <c r="CE552" s="37" t="s">
        <v>404</v>
      </c>
      <c r="CG552" s="37" t="s">
        <v>407</v>
      </c>
      <c r="CJ552" s="36" t="s">
        <v>402</v>
      </c>
      <c r="CL552" s="37">
        <v>8</v>
      </c>
      <c r="CQ552" s="36" t="s">
        <v>402</v>
      </c>
      <c r="CS552" s="37">
        <v>20</v>
      </c>
      <c r="CV552" s="37">
        <v>20</v>
      </c>
      <c r="CX552" s="36" t="s">
        <v>402</v>
      </c>
      <c r="CZ552" s="37">
        <v>22</v>
      </c>
      <c r="DB552" s="37">
        <v>69</v>
      </c>
      <c r="DC552" s="37">
        <v>91</v>
      </c>
      <c r="DE552" s="36" t="s">
        <v>402</v>
      </c>
      <c r="DG552" s="37">
        <v>0</v>
      </c>
      <c r="DJ552" s="37">
        <v>0</v>
      </c>
      <c r="DL552" s="36" t="s">
        <v>402</v>
      </c>
      <c r="DQ552" s="37">
        <v>0</v>
      </c>
      <c r="DS552" s="36" t="s">
        <v>402</v>
      </c>
      <c r="DT552" s="37">
        <v>-6</v>
      </c>
      <c r="DX552" s="37">
        <v>-6</v>
      </c>
      <c r="DZ552" s="36" t="s">
        <v>402</v>
      </c>
      <c r="EA552" s="37">
        <v>-5</v>
      </c>
      <c r="EB552" s="37">
        <v>16</v>
      </c>
      <c r="EC552" s="37">
        <v>18</v>
      </c>
      <c r="ED552" s="37">
        <v>18</v>
      </c>
      <c r="EE552" s="37">
        <v>47</v>
      </c>
      <c r="EG552" s="36" t="s">
        <v>402</v>
      </c>
      <c r="EH552" s="37">
        <v>-7</v>
      </c>
      <c r="EI552" s="37">
        <v>17</v>
      </c>
      <c r="EJ552" s="37">
        <v>30</v>
      </c>
      <c r="EK552" s="37">
        <v>34</v>
      </c>
      <c r="EL552" s="37">
        <v>74</v>
      </c>
      <c r="EN552" s="36" t="s">
        <v>402</v>
      </c>
      <c r="EO552" s="37">
        <v>1</v>
      </c>
      <c r="EP552" s="37">
        <v>33</v>
      </c>
      <c r="EQ552" s="37">
        <v>15</v>
      </c>
      <c r="ER552" s="37">
        <v>11</v>
      </c>
      <c r="ES552" s="37">
        <v>60</v>
      </c>
      <c r="EU552" s="36" t="s">
        <v>402</v>
      </c>
      <c r="EV552" s="37">
        <v>-3</v>
      </c>
      <c r="EW552" s="37">
        <v>53</v>
      </c>
      <c r="EX552" s="37">
        <v>24</v>
      </c>
      <c r="EY552" s="37">
        <v>27</v>
      </c>
      <c r="EZ552" s="37">
        <v>101</v>
      </c>
      <c r="FB552" s="36" t="s">
        <v>402</v>
      </c>
      <c r="FC552" s="37">
        <v>32</v>
      </c>
      <c r="FD552" s="37">
        <v>11</v>
      </c>
      <c r="FE552" s="37">
        <v>45</v>
      </c>
      <c r="FF552" s="37">
        <v>20</v>
      </c>
      <c r="FG552" s="37">
        <v>108</v>
      </c>
      <c r="FI552" s="36" t="s">
        <v>402</v>
      </c>
      <c r="FJ552" s="37">
        <v>1</v>
      </c>
      <c r="FL552" s="37">
        <v>25</v>
      </c>
      <c r="FM552" s="37">
        <v>37</v>
      </c>
      <c r="FN552" s="37">
        <v>63</v>
      </c>
      <c r="FP552" s="36" t="s">
        <v>402</v>
      </c>
      <c r="FQ552" s="37">
        <v>-7</v>
      </c>
      <c r="FR552" s="37">
        <v>5</v>
      </c>
      <c r="FU552" s="37">
        <v>-2</v>
      </c>
      <c r="FW552" s="36" t="s">
        <v>402</v>
      </c>
      <c r="FX552" s="37">
        <v>-8</v>
      </c>
      <c r="FY552" s="37">
        <v>24</v>
      </c>
      <c r="GB552" s="37">
        <v>16</v>
      </c>
      <c r="GD552" s="36" t="s">
        <v>402</v>
      </c>
      <c r="GK552" s="36" t="s">
        <v>402</v>
      </c>
      <c r="GR552" s="36" t="s">
        <v>402</v>
      </c>
      <c r="GY552" s="36" t="s">
        <v>402</v>
      </c>
      <c r="HF552" s="36" t="s">
        <v>402</v>
      </c>
      <c r="HM552" s="36" t="s">
        <v>402</v>
      </c>
      <c r="HT552" s="36" t="s">
        <v>402</v>
      </c>
      <c r="IA552" s="36" t="s">
        <v>402</v>
      </c>
      <c r="IH552" s="36" t="s">
        <v>402</v>
      </c>
      <c r="IO552" s="36" t="s">
        <v>402</v>
      </c>
      <c r="IV552" s="36" t="s">
        <v>402</v>
      </c>
      <c r="JC552" s="36" t="s">
        <v>402</v>
      </c>
      <c r="JJ552" s="36" t="s">
        <v>402</v>
      </c>
      <c r="JQ552" s="36" t="s">
        <v>402</v>
      </c>
      <c r="JX552" s="36" t="s">
        <v>402</v>
      </c>
      <c r="KE552" s="36" t="s">
        <v>402</v>
      </c>
      <c r="KL552" s="36" t="s">
        <v>402</v>
      </c>
      <c r="KS552" s="36" t="s">
        <v>402</v>
      </c>
      <c r="KZ552" s="36" t="s">
        <v>402</v>
      </c>
      <c r="LF552" s="565"/>
      <c r="LG552" s="36" t="s">
        <v>402</v>
      </c>
      <c r="LM552" s="565"/>
      <c r="LN552" s="36" t="s">
        <v>402</v>
      </c>
      <c r="LT552" s="565"/>
      <c r="LU552" s="36" t="s">
        <v>402</v>
      </c>
      <c r="MA552" s="565"/>
      <c r="MB552" s="36" t="s">
        <v>402</v>
      </c>
      <c r="MH552" s="565"/>
    </row>
    <row r="553" spans="1:346" s="37" customFormat="1" ht="13.15" hidden="1" outlineLevel="1" x14ac:dyDescent="0.4">
      <c r="A553" s="35"/>
      <c r="B553" s="36" t="s">
        <v>408</v>
      </c>
      <c r="E553" s="37">
        <v>5.6</v>
      </c>
      <c r="F553" s="37">
        <v>34.5</v>
      </c>
      <c r="G553" s="37">
        <v>222.1</v>
      </c>
      <c r="H553" s="37">
        <v>1</v>
      </c>
      <c r="I553" s="37">
        <v>9</v>
      </c>
      <c r="J553" s="37">
        <v>30</v>
      </c>
      <c r="K553" s="37">
        <v>42</v>
      </c>
      <c r="L553" s="37">
        <v>16</v>
      </c>
      <c r="M553" s="37">
        <v>53</v>
      </c>
      <c r="N553" s="37">
        <f t="shared" si="7559"/>
        <v>164</v>
      </c>
      <c r="O553" s="37">
        <f t="shared" si="7560"/>
        <v>20</v>
      </c>
      <c r="P553" s="37">
        <f t="shared" si="7561"/>
        <v>80</v>
      </c>
      <c r="Q553" s="37">
        <f t="shared" si="7562"/>
        <v>0</v>
      </c>
      <c r="R553" s="37">
        <f t="shared" si="7563"/>
        <v>15</v>
      </c>
      <c r="S553" s="37">
        <f t="shared" si="7564"/>
        <v>3</v>
      </c>
      <c r="T553" s="37">
        <f t="shared" si="7565"/>
        <v>90</v>
      </c>
      <c r="U553" s="37">
        <f t="shared" si="7566"/>
        <v>29</v>
      </c>
      <c r="V553" s="37">
        <f t="shared" si="7567"/>
        <v>15</v>
      </c>
      <c r="W553" s="37">
        <f t="shared" si="7568"/>
        <v>0</v>
      </c>
      <c r="X553" s="37">
        <f t="shared" si="7569"/>
        <v>0</v>
      </c>
      <c r="Y553" s="37">
        <f t="shared" si="7570"/>
        <v>0</v>
      </c>
      <c r="Z553" s="37">
        <f t="shared" si="7571"/>
        <v>0</v>
      </c>
      <c r="AA553" s="37">
        <f t="shared" si="7572"/>
        <v>0</v>
      </c>
      <c r="AB553" s="37">
        <f t="shared" si="7573"/>
        <v>0</v>
      </c>
      <c r="AC553" s="37">
        <f t="shared" si="7574"/>
        <v>0</v>
      </c>
      <c r="AD553" s="37">
        <f t="shared" si="7575"/>
        <v>0</v>
      </c>
      <c r="AE553" s="37">
        <f t="shared" si="7576"/>
        <v>0</v>
      </c>
      <c r="AF553" s="37">
        <f t="shared" si="7577"/>
        <v>0</v>
      </c>
      <c r="AG553" s="37">
        <f t="shared" si="7578"/>
        <v>0</v>
      </c>
      <c r="AH553" s="37">
        <f t="shared" si="7579"/>
        <v>0</v>
      </c>
      <c r="AI553" s="37">
        <f t="shared" si="7580"/>
        <v>0</v>
      </c>
      <c r="AJ553" s="37">
        <f t="shared" si="7581"/>
        <v>0</v>
      </c>
      <c r="AK553" s="37">
        <f t="shared" si="7582"/>
        <v>0</v>
      </c>
      <c r="AL553" s="37">
        <f t="shared" si="7583"/>
        <v>0</v>
      </c>
      <c r="AM553" s="37">
        <f t="shared" si="7584"/>
        <v>0</v>
      </c>
      <c r="AN553" s="37">
        <f t="shared" si="7585"/>
        <v>0</v>
      </c>
      <c r="AO553" s="37">
        <f t="shared" si="7586"/>
        <v>0</v>
      </c>
      <c r="AP553" s="37">
        <f t="shared" si="7587"/>
        <v>0</v>
      </c>
      <c r="AQ553" s="37">
        <f t="shared" si="7588"/>
        <v>0</v>
      </c>
      <c r="AR553" s="37">
        <f t="shared" si="7589"/>
        <v>0</v>
      </c>
      <c r="AS553" s="37">
        <f t="shared" si="7590"/>
        <v>0</v>
      </c>
      <c r="AT553" s="37">
        <f t="shared" si="7591"/>
        <v>0</v>
      </c>
      <c r="AU553" s="37">
        <f t="shared" si="7592"/>
        <v>0</v>
      </c>
      <c r="AV553" s="37">
        <f t="shared" si="7593"/>
        <v>0</v>
      </c>
      <c r="AW553" s="37">
        <f t="shared" si="7594"/>
        <v>0</v>
      </c>
      <c r="AX553" s="37">
        <f t="shared" si="7595"/>
        <v>0</v>
      </c>
      <c r="AY553" s="37">
        <f t="shared" si="7596"/>
        <v>0</v>
      </c>
      <c r="AZ553" s="37">
        <f t="shared" si="7597"/>
        <v>0</v>
      </c>
      <c r="BA553" s="37">
        <f t="shared" si="7598"/>
        <v>0</v>
      </c>
      <c r="BO553" s="36" t="s">
        <v>408</v>
      </c>
      <c r="BP553" s="37">
        <v>32</v>
      </c>
      <c r="BQ553" s="37">
        <v>73</v>
      </c>
      <c r="BR553" s="37">
        <v>59</v>
      </c>
      <c r="BS553" s="37">
        <v>0</v>
      </c>
      <c r="BT553" s="37">
        <v>164</v>
      </c>
      <c r="BV553" s="36" t="s">
        <v>408</v>
      </c>
      <c r="BW553" s="37">
        <v>0</v>
      </c>
      <c r="BX553" s="37">
        <v>0</v>
      </c>
      <c r="BY553" s="37">
        <v>0</v>
      </c>
      <c r="BZ553" s="37">
        <v>20</v>
      </c>
      <c r="CA553" s="37">
        <v>20</v>
      </c>
      <c r="CC553" s="36" t="s">
        <v>408</v>
      </c>
      <c r="CD553" s="37">
        <v>0</v>
      </c>
      <c r="CE553" s="37">
        <v>49</v>
      </c>
      <c r="CF553" s="37">
        <v>0</v>
      </c>
      <c r="CG553" s="37">
        <v>31</v>
      </c>
      <c r="CH553" s="37">
        <v>80</v>
      </c>
      <c r="CJ553" s="36" t="s">
        <v>408</v>
      </c>
      <c r="CK553" s="37">
        <v>0</v>
      </c>
      <c r="CL553" s="37">
        <v>0</v>
      </c>
      <c r="CM553" s="37">
        <v>0</v>
      </c>
      <c r="CO553" s="37">
        <v>0</v>
      </c>
      <c r="CQ553" s="36" t="s">
        <v>408</v>
      </c>
      <c r="CR553" s="37">
        <v>0</v>
      </c>
      <c r="CS553" s="37">
        <v>15</v>
      </c>
      <c r="CT553" s="37">
        <v>0</v>
      </c>
      <c r="CV553" s="37">
        <v>15</v>
      </c>
      <c r="CX553" s="36" t="s">
        <v>408</v>
      </c>
      <c r="CY553" s="37">
        <v>0</v>
      </c>
      <c r="CZ553" s="37">
        <v>2</v>
      </c>
      <c r="DA553" s="37">
        <v>1</v>
      </c>
      <c r="DC553" s="37">
        <v>3</v>
      </c>
      <c r="DE553" s="36" t="s">
        <v>408</v>
      </c>
      <c r="DG553" s="37">
        <v>13</v>
      </c>
      <c r="DH553" s="37">
        <v>0</v>
      </c>
      <c r="DI553" s="37">
        <v>77</v>
      </c>
      <c r="DJ553" s="37">
        <v>90</v>
      </c>
      <c r="DL553" s="36" t="s">
        <v>408</v>
      </c>
      <c r="DM553" s="37">
        <v>-2</v>
      </c>
      <c r="DN553" s="37">
        <v>31</v>
      </c>
      <c r="DQ553" s="37">
        <v>29</v>
      </c>
      <c r="DS553" s="36" t="s">
        <v>408</v>
      </c>
      <c r="DT553" s="37">
        <v>0</v>
      </c>
      <c r="DU553" s="37">
        <v>15</v>
      </c>
      <c r="DX553" s="37">
        <v>15</v>
      </c>
      <c r="DZ553" s="36" t="s">
        <v>408</v>
      </c>
      <c r="EB553" s="37">
        <v>0</v>
      </c>
      <c r="EE553" s="37">
        <v>0</v>
      </c>
      <c r="EG553" s="36" t="s">
        <v>408</v>
      </c>
      <c r="EL553" s="37">
        <v>0</v>
      </c>
      <c r="EN553" s="36" t="s">
        <v>408</v>
      </c>
      <c r="ES553" s="37">
        <v>0</v>
      </c>
      <c r="EU553" s="36" t="s">
        <v>408</v>
      </c>
      <c r="EZ553" s="37">
        <v>0</v>
      </c>
      <c r="FB553" s="36" t="s">
        <v>408</v>
      </c>
      <c r="FG553" s="37">
        <v>0</v>
      </c>
      <c r="FI553" s="36" t="s">
        <v>408</v>
      </c>
      <c r="FN553" s="37">
        <v>0</v>
      </c>
      <c r="FP553" s="36" t="s">
        <v>408</v>
      </c>
      <c r="FU553" s="37">
        <v>0</v>
      </c>
      <c r="FW553" s="36" t="s">
        <v>408</v>
      </c>
      <c r="GB553" s="37">
        <v>0</v>
      </c>
      <c r="GD553" s="36" t="s">
        <v>408</v>
      </c>
      <c r="GK553" s="36" t="s">
        <v>408</v>
      </c>
      <c r="GR553" s="36" t="s">
        <v>408</v>
      </c>
      <c r="GY553" s="36" t="s">
        <v>408</v>
      </c>
      <c r="HF553" s="36" t="s">
        <v>408</v>
      </c>
      <c r="HM553" s="36" t="s">
        <v>408</v>
      </c>
      <c r="HT553" s="36" t="s">
        <v>408</v>
      </c>
      <c r="IA553" s="36" t="s">
        <v>408</v>
      </c>
      <c r="IH553" s="36" t="s">
        <v>408</v>
      </c>
      <c r="IO553" s="36" t="s">
        <v>408</v>
      </c>
      <c r="IV553" s="36" t="s">
        <v>408</v>
      </c>
      <c r="JC553" s="36" t="s">
        <v>408</v>
      </c>
      <c r="JJ553" s="36" t="s">
        <v>408</v>
      </c>
      <c r="JQ553" s="36" t="s">
        <v>408</v>
      </c>
      <c r="JX553" s="36" t="s">
        <v>408</v>
      </c>
      <c r="KE553" s="36" t="s">
        <v>408</v>
      </c>
      <c r="KL553" s="36" t="s">
        <v>408</v>
      </c>
      <c r="KS553" s="36" t="s">
        <v>408</v>
      </c>
      <c r="KZ553" s="36" t="s">
        <v>408</v>
      </c>
      <c r="LF553" s="565"/>
      <c r="LG553" s="36" t="s">
        <v>408</v>
      </c>
      <c r="LM553" s="565"/>
      <c r="LN553" s="36" t="s">
        <v>408</v>
      </c>
      <c r="LT553" s="565"/>
      <c r="LU553" s="36" t="s">
        <v>408</v>
      </c>
      <c r="MA553" s="565"/>
      <c r="MB553" s="36" t="s">
        <v>408</v>
      </c>
      <c r="MH553" s="565"/>
    </row>
    <row r="554" spans="1:346" s="37" customFormat="1" ht="13.15" hidden="1" outlineLevel="1" x14ac:dyDescent="0.4">
      <c r="A554" s="35"/>
      <c r="B554" s="36" t="s">
        <v>409</v>
      </c>
      <c r="N554" s="37">
        <f t="shared" si="7559"/>
        <v>-43</v>
      </c>
      <c r="O554" s="37">
        <f t="shared" si="7560"/>
        <v>-44</v>
      </c>
      <c r="P554" s="37">
        <f t="shared" si="7561"/>
        <v>-32</v>
      </c>
      <c r="Q554" s="37">
        <f t="shared" si="7562"/>
        <v>-17</v>
      </c>
      <c r="R554" s="37">
        <f t="shared" si="7563"/>
        <v>-15</v>
      </c>
      <c r="S554" s="37">
        <f t="shared" si="7564"/>
        <v>-29</v>
      </c>
      <c r="T554" s="37">
        <f t="shared" si="7565"/>
        <v>-32</v>
      </c>
      <c r="U554" s="37">
        <f t="shared" si="7566"/>
        <v>-30</v>
      </c>
      <c r="V554" s="37">
        <f t="shared" si="7567"/>
        <v>-29</v>
      </c>
      <c r="W554" s="37">
        <f t="shared" si="7568"/>
        <v>-30</v>
      </c>
      <c r="X554" s="37">
        <f t="shared" si="7569"/>
        <v>-31</v>
      </c>
      <c r="Y554" s="37">
        <f t="shared" si="7570"/>
        <v>-36</v>
      </c>
      <c r="Z554" s="37">
        <f t="shared" si="7571"/>
        <v>-37</v>
      </c>
      <c r="AA554" s="37">
        <f t="shared" si="7572"/>
        <v>-28</v>
      </c>
      <c r="AB554" s="37">
        <f t="shared" si="7573"/>
        <v>-6</v>
      </c>
      <c r="AC554" s="37">
        <f t="shared" si="7574"/>
        <v>0</v>
      </c>
      <c r="AD554" s="37">
        <f t="shared" si="7575"/>
        <v>0</v>
      </c>
      <c r="AE554" s="37">
        <f t="shared" si="7576"/>
        <v>0</v>
      </c>
      <c r="AF554" s="37">
        <f t="shared" si="7577"/>
        <v>0</v>
      </c>
      <c r="AG554" s="37">
        <f t="shared" si="7578"/>
        <v>0</v>
      </c>
      <c r="AH554" s="37">
        <f t="shared" si="7579"/>
        <v>0</v>
      </c>
      <c r="AI554" s="37">
        <f t="shared" si="7580"/>
        <v>0</v>
      </c>
      <c r="AJ554" s="37">
        <f t="shared" si="7581"/>
        <v>0</v>
      </c>
      <c r="AK554" s="37">
        <f t="shared" si="7582"/>
        <v>0</v>
      </c>
      <c r="AL554" s="37">
        <f t="shared" si="7583"/>
        <v>0</v>
      </c>
      <c r="AM554" s="37">
        <f t="shared" si="7584"/>
        <v>0</v>
      </c>
      <c r="AN554" s="37">
        <f t="shared" si="7585"/>
        <v>0</v>
      </c>
      <c r="AO554" s="37">
        <f t="shared" si="7586"/>
        <v>0</v>
      </c>
      <c r="AP554" s="37">
        <f t="shared" si="7587"/>
        <v>0</v>
      </c>
      <c r="AQ554" s="37">
        <f t="shared" si="7588"/>
        <v>0</v>
      </c>
      <c r="AR554" s="37">
        <f t="shared" si="7589"/>
        <v>0</v>
      </c>
      <c r="AS554" s="37">
        <f t="shared" si="7590"/>
        <v>0</v>
      </c>
      <c r="AT554" s="37">
        <f t="shared" si="7591"/>
        <v>0</v>
      </c>
      <c r="AU554" s="37">
        <f t="shared" si="7592"/>
        <v>0</v>
      </c>
      <c r="AV554" s="37">
        <f t="shared" si="7593"/>
        <v>0</v>
      </c>
      <c r="AW554" s="37">
        <f t="shared" si="7594"/>
        <v>0</v>
      </c>
      <c r="AX554" s="37">
        <f t="shared" si="7595"/>
        <v>0</v>
      </c>
      <c r="AY554" s="37">
        <f t="shared" si="7596"/>
        <v>0</v>
      </c>
      <c r="AZ554" s="37">
        <f t="shared" si="7597"/>
        <v>0</v>
      </c>
      <c r="BA554" s="37">
        <f t="shared" si="7598"/>
        <v>0</v>
      </c>
      <c r="BO554" s="36" t="s">
        <v>409</v>
      </c>
      <c r="BP554" s="37">
        <v>-11</v>
      </c>
      <c r="BQ554" s="37">
        <v>-11</v>
      </c>
      <c r="BR554" s="37">
        <v>-11</v>
      </c>
      <c r="BS554" s="37">
        <v>-10</v>
      </c>
      <c r="BT554" s="37">
        <v>-43</v>
      </c>
      <c r="BV554" s="36" t="s">
        <v>409</v>
      </c>
      <c r="BW554" s="37">
        <v>-11</v>
      </c>
      <c r="BX554" s="37">
        <v>-11</v>
      </c>
      <c r="BY554" s="37">
        <v>-11</v>
      </c>
      <c r="BZ554" s="37">
        <v>-11</v>
      </c>
      <c r="CA554" s="37">
        <v>-44</v>
      </c>
      <c r="CC554" s="36" t="s">
        <v>409</v>
      </c>
      <c r="CD554" s="37">
        <v>-9</v>
      </c>
      <c r="CE554" s="37">
        <v>-9</v>
      </c>
      <c r="CF554" s="37">
        <v>-7</v>
      </c>
      <c r="CG554" s="37">
        <v>-7</v>
      </c>
      <c r="CH554" s="37">
        <v>-32</v>
      </c>
      <c r="CJ554" s="36" t="s">
        <v>409</v>
      </c>
      <c r="CK554" s="37">
        <v>-5</v>
      </c>
      <c r="CL554" s="37">
        <v>-5</v>
      </c>
      <c r="CM554" s="37">
        <v>-4</v>
      </c>
      <c r="CN554" s="37">
        <v>-3</v>
      </c>
      <c r="CO554" s="37">
        <v>-17</v>
      </c>
      <c r="CQ554" s="36" t="s">
        <v>409</v>
      </c>
      <c r="CR554" s="37">
        <v>-4</v>
      </c>
      <c r="CS554" s="37">
        <v>-4</v>
      </c>
      <c r="CT554" s="37">
        <v>-2</v>
      </c>
      <c r="CU554" s="37">
        <v>-5</v>
      </c>
      <c r="CV554" s="37">
        <v>-15</v>
      </c>
      <c r="CX554" s="36" t="s">
        <v>409</v>
      </c>
      <c r="CY554" s="37">
        <v>-7</v>
      </c>
      <c r="CZ554" s="37">
        <v>-8</v>
      </c>
      <c r="DA554" s="37">
        <v>-7</v>
      </c>
      <c r="DB554" s="37">
        <v>-7</v>
      </c>
      <c r="DC554" s="37">
        <v>-29</v>
      </c>
      <c r="DE554" s="36" t="s">
        <v>409</v>
      </c>
      <c r="DF554" s="37">
        <v>-8</v>
      </c>
      <c r="DG554" s="37">
        <v>-8</v>
      </c>
      <c r="DH554" s="37">
        <v>-8</v>
      </c>
      <c r="DI554" s="37">
        <v>-8</v>
      </c>
      <c r="DJ554" s="37">
        <v>-32</v>
      </c>
      <c r="DL554" s="36" t="s">
        <v>409</v>
      </c>
      <c r="DM554" s="37">
        <v>-7</v>
      </c>
      <c r="DN554" s="37">
        <v>-8</v>
      </c>
      <c r="DO554" s="37">
        <v>-7</v>
      </c>
      <c r="DP554" s="37">
        <v>-8</v>
      </c>
      <c r="DQ554" s="37">
        <v>-30</v>
      </c>
      <c r="DS554" s="36" t="s">
        <v>409</v>
      </c>
      <c r="DT554" s="37">
        <v>-7</v>
      </c>
      <c r="DU554" s="37">
        <v>-8</v>
      </c>
      <c r="DV554" s="37">
        <v>-7</v>
      </c>
      <c r="DW554" s="37">
        <v>-7</v>
      </c>
      <c r="DX554" s="37">
        <v>-29</v>
      </c>
      <c r="DZ554" s="36" t="s">
        <v>409</v>
      </c>
      <c r="EA554" s="37">
        <v>-7</v>
      </c>
      <c r="EB554" s="37">
        <v>-8</v>
      </c>
      <c r="EC554" s="37">
        <v>-7</v>
      </c>
      <c r="ED554" s="37">
        <v>-8</v>
      </c>
      <c r="EE554" s="37">
        <v>-30</v>
      </c>
      <c r="EG554" s="36" t="s">
        <v>409</v>
      </c>
      <c r="EH554" s="37">
        <v>-8</v>
      </c>
      <c r="EI554" s="37">
        <v>-7</v>
      </c>
      <c r="EJ554" s="37">
        <v>-8</v>
      </c>
      <c r="EK554" s="37">
        <v>-8</v>
      </c>
      <c r="EL554" s="37">
        <v>-31</v>
      </c>
      <c r="EN554" s="36" t="s">
        <v>409</v>
      </c>
      <c r="EO554" s="37">
        <v>-8</v>
      </c>
      <c r="EP554" s="37">
        <v>-8</v>
      </c>
      <c r="EQ554" s="37">
        <v>-8</v>
      </c>
      <c r="ER554" s="37">
        <v>-12</v>
      </c>
      <c r="ES554" s="37">
        <v>-36</v>
      </c>
      <c r="EU554" s="36" t="s">
        <v>409</v>
      </c>
      <c r="EV554" s="37">
        <v>-12</v>
      </c>
      <c r="EW554" s="37">
        <v>-10</v>
      </c>
      <c r="EX554" s="37">
        <v>-8</v>
      </c>
      <c r="EY554" s="37">
        <v>-7</v>
      </c>
      <c r="EZ554" s="37">
        <v>-37</v>
      </c>
      <c r="FB554" s="36" t="s">
        <v>409</v>
      </c>
      <c r="FC554" s="37">
        <v>-8</v>
      </c>
      <c r="FD554" s="37">
        <v>-8</v>
      </c>
      <c r="FE554" s="37">
        <v>-6</v>
      </c>
      <c r="FF554" s="37">
        <v>-6</v>
      </c>
      <c r="FG554" s="37">
        <v>-28</v>
      </c>
      <c r="FI554" s="36" t="s">
        <v>409</v>
      </c>
      <c r="FJ554" s="37">
        <v>-6</v>
      </c>
      <c r="FL554" s="37">
        <v>0</v>
      </c>
      <c r="FM554" s="37">
        <v>0</v>
      </c>
      <c r="FN554" s="37">
        <v>-6</v>
      </c>
      <c r="FP554" s="36" t="s">
        <v>409</v>
      </c>
      <c r="FQ554" s="37">
        <v>0</v>
      </c>
      <c r="FU554" s="37">
        <v>0</v>
      </c>
      <c r="FW554" s="36" t="s">
        <v>409</v>
      </c>
      <c r="GB554" s="37">
        <v>0</v>
      </c>
      <c r="GD554" s="36" t="s">
        <v>409</v>
      </c>
      <c r="GK554" s="36" t="s">
        <v>409</v>
      </c>
      <c r="GR554" s="36" t="s">
        <v>409</v>
      </c>
      <c r="GY554" s="36" t="s">
        <v>409</v>
      </c>
      <c r="HF554" s="36" t="s">
        <v>409</v>
      </c>
      <c r="HM554" s="36" t="s">
        <v>409</v>
      </c>
      <c r="HT554" s="36" t="s">
        <v>409</v>
      </c>
      <c r="IA554" s="36" t="s">
        <v>409</v>
      </c>
      <c r="IH554" s="36" t="s">
        <v>409</v>
      </c>
      <c r="IO554" s="36" t="s">
        <v>409</v>
      </c>
      <c r="IV554" s="36" t="s">
        <v>409</v>
      </c>
      <c r="JC554" s="36" t="s">
        <v>409</v>
      </c>
      <c r="JJ554" s="36" t="s">
        <v>409</v>
      </c>
      <c r="JQ554" s="36" t="s">
        <v>409</v>
      </c>
      <c r="JX554" s="36" t="s">
        <v>409</v>
      </c>
      <c r="KE554" s="36" t="s">
        <v>409</v>
      </c>
      <c r="KL554" s="36" t="s">
        <v>409</v>
      </c>
      <c r="KS554" s="36" t="s">
        <v>409</v>
      </c>
      <c r="KZ554" s="36" t="s">
        <v>409</v>
      </c>
      <c r="LF554" s="565"/>
      <c r="LG554" s="36" t="s">
        <v>409</v>
      </c>
      <c r="LM554" s="565"/>
      <c r="LN554" s="36" t="s">
        <v>409</v>
      </c>
      <c r="LT554" s="565"/>
      <c r="LU554" s="36" t="s">
        <v>409</v>
      </c>
      <c r="MA554" s="565"/>
      <c r="MB554" s="36" t="s">
        <v>409</v>
      </c>
      <c r="MH554" s="565"/>
    </row>
    <row r="555" spans="1:346" s="37" customFormat="1" ht="13.15" hidden="1" outlineLevel="1" x14ac:dyDescent="0.4">
      <c r="A555" s="35"/>
      <c r="B555" s="36" t="s">
        <v>49</v>
      </c>
      <c r="E555" s="37">
        <v>-25.5</v>
      </c>
      <c r="F555" s="37">
        <v>-30.8</v>
      </c>
      <c r="G555" s="37">
        <v>-26.5</v>
      </c>
      <c r="H555" s="37">
        <v>-29</v>
      </c>
      <c r="I555" s="37">
        <v>-31</v>
      </c>
      <c r="J555" s="37">
        <v>-29</v>
      </c>
      <c r="K555" s="37">
        <v>-26</v>
      </c>
      <c r="L555" s="37">
        <v>-23</v>
      </c>
      <c r="M555" s="37">
        <v>-20</v>
      </c>
      <c r="N555" s="37">
        <f t="shared" si="7559"/>
        <v>-24</v>
      </c>
      <c r="O555" s="37">
        <f t="shared" si="7560"/>
        <v>-15</v>
      </c>
      <c r="P555" s="37">
        <f t="shared" si="7561"/>
        <v>-25</v>
      </c>
      <c r="Q555" s="37">
        <f t="shared" si="7562"/>
        <v>-15</v>
      </c>
      <c r="R555" s="37">
        <f t="shared" si="7563"/>
        <v>-14</v>
      </c>
      <c r="S555" s="37">
        <f t="shared" si="7564"/>
        <v>-20</v>
      </c>
      <c r="T555" s="37">
        <f t="shared" si="7565"/>
        <v>-32</v>
      </c>
      <c r="U555" s="37">
        <f t="shared" si="7566"/>
        <v>-42</v>
      </c>
      <c r="V555" s="37">
        <f t="shared" si="7567"/>
        <v>-41</v>
      </c>
      <c r="W555" s="37">
        <f t="shared" si="7568"/>
        <v>-35</v>
      </c>
      <c r="X555" s="37">
        <f t="shared" si="7569"/>
        <v>-39</v>
      </c>
      <c r="Y555" s="37">
        <f t="shared" si="7570"/>
        <v>-42</v>
      </c>
      <c r="Z555" s="37">
        <f t="shared" si="7571"/>
        <v>-39</v>
      </c>
      <c r="AA555" s="37">
        <f t="shared" si="7572"/>
        <v>-42</v>
      </c>
      <c r="AB555" s="37">
        <f t="shared" si="7573"/>
        <v>-33</v>
      </c>
      <c r="AC555" s="37">
        <f t="shared" si="7574"/>
        <v>-7</v>
      </c>
      <c r="AD555" s="37">
        <f t="shared" si="7575"/>
        <v>-10</v>
      </c>
      <c r="AE555" s="37">
        <f t="shared" si="7576"/>
        <v>0</v>
      </c>
      <c r="AF555" s="37">
        <f t="shared" si="7577"/>
        <v>0</v>
      </c>
      <c r="AG555" s="37">
        <f t="shared" si="7578"/>
        <v>0</v>
      </c>
      <c r="AH555" s="37">
        <f t="shared" si="7579"/>
        <v>0</v>
      </c>
      <c r="AI555" s="37">
        <f t="shared" si="7580"/>
        <v>0</v>
      </c>
      <c r="AJ555" s="37">
        <f t="shared" si="7581"/>
        <v>0</v>
      </c>
      <c r="AK555" s="37">
        <f t="shared" si="7582"/>
        <v>0</v>
      </c>
      <c r="AL555" s="37">
        <f t="shared" si="7583"/>
        <v>0</v>
      </c>
      <c r="AM555" s="37">
        <f t="shared" si="7584"/>
        <v>0</v>
      </c>
      <c r="AN555" s="37">
        <f t="shared" si="7585"/>
        <v>0</v>
      </c>
      <c r="AO555" s="37">
        <f t="shared" si="7586"/>
        <v>0</v>
      </c>
      <c r="AP555" s="37">
        <f t="shared" si="7587"/>
        <v>0</v>
      </c>
      <c r="AQ555" s="37">
        <f t="shared" si="7588"/>
        <v>0</v>
      </c>
      <c r="AR555" s="37">
        <f t="shared" si="7589"/>
        <v>0</v>
      </c>
      <c r="AS555" s="37">
        <f t="shared" si="7590"/>
        <v>0</v>
      </c>
      <c r="AT555" s="37">
        <f t="shared" si="7591"/>
        <v>0</v>
      </c>
      <c r="AU555" s="37">
        <f t="shared" si="7592"/>
        <v>0</v>
      </c>
      <c r="AV555" s="37">
        <f t="shared" si="7593"/>
        <v>0</v>
      </c>
      <c r="AW555" s="37">
        <f t="shared" si="7594"/>
        <v>0</v>
      </c>
      <c r="AX555" s="37">
        <f t="shared" si="7595"/>
        <v>0</v>
      </c>
      <c r="AY555" s="37">
        <f t="shared" si="7596"/>
        <v>0</v>
      </c>
      <c r="AZ555" s="37">
        <f t="shared" si="7597"/>
        <v>0</v>
      </c>
      <c r="BA555" s="37">
        <f t="shared" si="7598"/>
        <v>0</v>
      </c>
      <c r="BO555" s="36" t="s">
        <v>49</v>
      </c>
      <c r="BP555" s="37">
        <v>-6</v>
      </c>
      <c r="BQ555" s="37">
        <v>-6</v>
      </c>
      <c r="BR555" s="37">
        <v>-6</v>
      </c>
      <c r="BS555" s="37">
        <v>-6</v>
      </c>
      <c r="BT555" s="37">
        <v>-24</v>
      </c>
      <c r="BV555" s="36" t="s">
        <v>49</v>
      </c>
      <c r="BW555" s="37">
        <v>-2</v>
      </c>
      <c r="BX555" s="37">
        <v>-4</v>
      </c>
      <c r="BY555" s="37">
        <v>-6</v>
      </c>
      <c r="BZ555" s="37">
        <v>-3</v>
      </c>
      <c r="CA555" s="37">
        <v>-15</v>
      </c>
      <c r="CC555" s="36" t="s">
        <v>49</v>
      </c>
      <c r="CD555" s="37">
        <v>-4</v>
      </c>
      <c r="CE555" s="37">
        <v>-5</v>
      </c>
      <c r="CF555" s="37">
        <v>-7</v>
      </c>
      <c r="CG555" s="37">
        <v>-9</v>
      </c>
      <c r="CH555" s="37">
        <v>-25</v>
      </c>
      <c r="CJ555" s="36" t="s">
        <v>49</v>
      </c>
      <c r="CK555" s="37">
        <v>-4</v>
      </c>
      <c r="CL555" s="37">
        <v>-3</v>
      </c>
      <c r="CM555" s="37">
        <v>-4</v>
      </c>
      <c r="CN555" s="37">
        <v>-4</v>
      </c>
      <c r="CO555" s="37">
        <v>-15</v>
      </c>
      <c r="CQ555" s="36" t="s">
        <v>49</v>
      </c>
      <c r="CR555" s="37">
        <v>-2</v>
      </c>
      <c r="CS555" s="37">
        <v>-3</v>
      </c>
      <c r="CT555" s="37">
        <v>-5</v>
      </c>
      <c r="CU555" s="37">
        <v>-4</v>
      </c>
      <c r="CV555" s="37">
        <v>-14</v>
      </c>
      <c r="CX555" s="36" t="s">
        <v>49</v>
      </c>
      <c r="CY555" s="37">
        <v>-4</v>
      </c>
      <c r="CZ555" s="37">
        <v>-4</v>
      </c>
      <c r="DA555" s="37">
        <v>-5</v>
      </c>
      <c r="DB555" s="37">
        <v>-7</v>
      </c>
      <c r="DC555" s="37">
        <v>-20</v>
      </c>
      <c r="DE555" s="36" t="s">
        <v>49</v>
      </c>
      <c r="DF555" s="37">
        <v>-5</v>
      </c>
      <c r="DG555" s="37">
        <v>-6</v>
      </c>
      <c r="DH555" s="37">
        <v>-8</v>
      </c>
      <c r="DI555" s="37">
        <v>-13</v>
      </c>
      <c r="DJ555" s="37">
        <v>-32</v>
      </c>
      <c r="DL555" s="36" t="s">
        <v>49</v>
      </c>
      <c r="DM555" s="37">
        <v>-8</v>
      </c>
      <c r="DN555" s="37">
        <v>-10</v>
      </c>
      <c r="DO555" s="37">
        <v>-11</v>
      </c>
      <c r="DP555" s="37">
        <v>-13</v>
      </c>
      <c r="DQ555" s="37">
        <v>-42</v>
      </c>
      <c r="DS555" s="36" t="s">
        <v>49</v>
      </c>
      <c r="DT555" s="37">
        <v>-10</v>
      </c>
      <c r="DU555" s="37">
        <v>-10</v>
      </c>
      <c r="DV555" s="37">
        <v>-11</v>
      </c>
      <c r="DW555" s="37">
        <v>-10</v>
      </c>
      <c r="DX555" s="37">
        <v>-41</v>
      </c>
      <c r="DZ555" s="36" t="s">
        <v>49</v>
      </c>
      <c r="EA555" s="37">
        <v>-7</v>
      </c>
      <c r="EB555" s="37">
        <v>-7</v>
      </c>
      <c r="EC555" s="37">
        <v>-11</v>
      </c>
      <c r="ED555" s="37">
        <v>-10</v>
      </c>
      <c r="EE555" s="37">
        <v>-35</v>
      </c>
      <c r="EG555" s="36" t="s">
        <v>49</v>
      </c>
      <c r="EH555" s="37">
        <v>-8</v>
      </c>
      <c r="EI555" s="37">
        <v>-10</v>
      </c>
      <c r="EJ555" s="37">
        <v>-10</v>
      </c>
      <c r="EK555" s="37">
        <v>-11</v>
      </c>
      <c r="EL555" s="37">
        <v>-39</v>
      </c>
      <c r="EN555" s="36" t="s">
        <v>49</v>
      </c>
      <c r="EO555" s="37">
        <v>-8</v>
      </c>
      <c r="EP555" s="37">
        <v>-12</v>
      </c>
      <c r="EQ555" s="37">
        <v>-11</v>
      </c>
      <c r="ER555" s="37">
        <v>-11</v>
      </c>
      <c r="ES555" s="37">
        <v>-42</v>
      </c>
      <c r="EU555" s="36" t="s">
        <v>49</v>
      </c>
      <c r="EV555" s="37">
        <v>-8</v>
      </c>
      <c r="EW555" s="37">
        <v>-10</v>
      </c>
      <c r="EX555" s="37">
        <v>-9</v>
      </c>
      <c r="EY555" s="37">
        <v>-12</v>
      </c>
      <c r="EZ555" s="37">
        <v>-39</v>
      </c>
      <c r="FB555" s="36" t="s">
        <v>49</v>
      </c>
      <c r="FC555" s="37">
        <v>-8</v>
      </c>
      <c r="FD555" s="37">
        <v>-10</v>
      </c>
      <c r="FE555" s="37">
        <v>-13</v>
      </c>
      <c r="FF555" s="37">
        <v>-11</v>
      </c>
      <c r="FG555" s="37">
        <v>-42</v>
      </c>
      <c r="FI555" s="36" t="s">
        <v>49</v>
      </c>
      <c r="FJ555" s="37">
        <v>-11</v>
      </c>
      <c r="FL555" s="37">
        <v>-12</v>
      </c>
      <c r="FM555" s="37">
        <v>-10</v>
      </c>
      <c r="FN555" s="37">
        <v>-33</v>
      </c>
      <c r="FP555" s="36" t="s">
        <v>49</v>
      </c>
      <c r="FQ555" s="37">
        <v>-3</v>
      </c>
      <c r="FR555" s="37">
        <v>-4</v>
      </c>
      <c r="FU555" s="37">
        <v>-7</v>
      </c>
      <c r="FW555" s="36" t="s">
        <v>49</v>
      </c>
      <c r="FX555" s="37">
        <v>-3</v>
      </c>
      <c r="FY555" s="37">
        <v>-7</v>
      </c>
      <c r="GB555" s="37">
        <v>-10</v>
      </c>
      <c r="GD555" s="36" t="s">
        <v>49</v>
      </c>
      <c r="GK555" s="36" t="s">
        <v>49</v>
      </c>
      <c r="GR555" s="36" t="s">
        <v>49</v>
      </c>
      <c r="GY555" s="36" t="s">
        <v>49</v>
      </c>
      <c r="HF555" s="36" t="s">
        <v>49</v>
      </c>
      <c r="HM555" s="36" t="s">
        <v>49</v>
      </c>
      <c r="HT555" s="36" t="s">
        <v>49</v>
      </c>
      <c r="IA555" s="36" t="s">
        <v>49</v>
      </c>
      <c r="IH555" s="36" t="s">
        <v>49</v>
      </c>
      <c r="IO555" s="36" t="s">
        <v>49</v>
      </c>
      <c r="IV555" s="36" t="s">
        <v>49</v>
      </c>
      <c r="JC555" s="36" t="s">
        <v>49</v>
      </c>
      <c r="JJ555" s="36" t="s">
        <v>49</v>
      </c>
      <c r="JQ555" s="36" t="s">
        <v>49</v>
      </c>
      <c r="JX555" s="36" t="s">
        <v>49</v>
      </c>
      <c r="KE555" s="36" t="s">
        <v>49</v>
      </c>
      <c r="KL555" s="36" t="s">
        <v>49</v>
      </c>
      <c r="KS555" s="36" t="s">
        <v>49</v>
      </c>
      <c r="KZ555" s="36" t="s">
        <v>49</v>
      </c>
      <c r="LF555" s="565"/>
      <c r="LG555" s="36" t="s">
        <v>49</v>
      </c>
      <c r="LM555" s="565"/>
      <c r="LN555" s="36" t="s">
        <v>49</v>
      </c>
      <c r="LT555" s="565"/>
      <c r="LU555" s="36" t="s">
        <v>49</v>
      </c>
      <c r="MA555" s="565"/>
      <c r="MB555" s="36" t="s">
        <v>49</v>
      </c>
      <c r="MH555" s="565"/>
    </row>
    <row r="556" spans="1:346" s="37" customFormat="1" ht="13.15" hidden="1" outlineLevel="1" x14ac:dyDescent="0.4">
      <c r="A556" s="35"/>
      <c r="B556" s="36" t="s">
        <v>344</v>
      </c>
      <c r="E556" s="37">
        <v>11.3</v>
      </c>
      <c r="F556" s="37">
        <v>2.9</v>
      </c>
      <c r="G556" s="37">
        <v>-4.3</v>
      </c>
      <c r="I556" s="37">
        <v>5</v>
      </c>
      <c r="J556" s="37">
        <v>4</v>
      </c>
      <c r="K556" s="37">
        <v>11</v>
      </c>
      <c r="L556" s="37">
        <v>49</v>
      </c>
      <c r="M556" s="37">
        <v>-48</v>
      </c>
      <c r="N556" s="37">
        <f t="shared" si="7559"/>
        <v>-5</v>
      </c>
      <c r="O556" s="37">
        <f t="shared" si="7560"/>
        <v>4</v>
      </c>
      <c r="P556" s="37">
        <f t="shared" si="7561"/>
        <v>-1</v>
      </c>
      <c r="Q556" s="37">
        <f t="shared" si="7562"/>
        <v>-16</v>
      </c>
      <c r="R556" s="37">
        <f t="shared" si="7563"/>
        <v>-40</v>
      </c>
      <c r="S556" s="37">
        <f t="shared" si="7564"/>
        <v>-47</v>
      </c>
      <c r="T556" s="37">
        <f t="shared" si="7565"/>
        <v>33</v>
      </c>
      <c r="U556" s="37">
        <f t="shared" si="7566"/>
        <v>30</v>
      </c>
      <c r="V556" s="37">
        <f t="shared" si="7567"/>
        <v>28</v>
      </c>
      <c r="W556" s="37">
        <f t="shared" si="7568"/>
        <v>-63</v>
      </c>
      <c r="X556" s="37">
        <f t="shared" si="7569"/>
        <v>-38</v>
      </c>
      <c r="Y556" s="37">
        <f t="shared" si="7570"/>
        <v>-20</v>
      </c>
      <c r="Z556" s="37">
        <f t="shared" si="7571"/>
        <v>-40</v>
      </c>
      <c r="AA556" s="37">
        <f t="shared" si="7572"/>
        <v>-20</v>
      </c>
      <c r="AB556" s="37">
        <f t="shared" si="7573"/>
        <v>-5</v>
      </c>
      <c r="AC556" s="37">
        <f t="shared" si="7574"/>
        <v>2</v>
      </c>
      <c r="AD556" s="37">
        <f t="shared" si="7575"/>
        <v>0</v>
      </c>
      <c r="AE556" s="37">
        <f t="shared" si="7576"/>
        <v>0</v>
      </c>
      <c r="AF556" s="37">
        <f t="shared" si="7577"/>
        <v>0</v>
      </c>
      <c r="AG556" s="37">
        <f t="shared" si="7578"/>
        <v>0</v>
      </c>
      <c r="AH556" s="37">
        <f t="shared" si="7579"/>
        <v>0</v>
      </c>
      <c r="AI556" s="37">
        <f t="shared" si="7580"/>
        <v>0</v>
      </c>
      <c r="AJ556" s="37">
        <f t="shared" si="7581"/>
        <v>0</v>
      </c>
      <c r="AK556" s="37">
        <f t="shared" si="7582"/>
        <v>0</v>
      </c>
      <c r="AL556" s="37">
        <f t="shared" si="7583"/>
        <v>0</v>
      </c>
      <c r="AM556" s="37">
        <f t="shared" si="7584"/>
        <v>0</v>
      </c>
      <c r="AN556" s="37">
        <f t="shared" si="7585"/>
        <v>0</v>
      </c>
      <c r="AO556" s="37">
        <f t="shared" si="7586"/>
        <v>0</v>
      </c>
      <c r="AP556" s="37">
        <f t="shared" si="7587"/>
        <v>0</v>
      </c>
      <c r="AQ556" s="37">
        <f t="shared" si="7588"/>
        <v>0</v>
      </c>
      <c r="AR556" s="37">
        <f t="shared" si="7589"/>
        <v>0</v>
      </c>
      <c r="AS556" s="37">
        <f t="shared" si="7590"/>
        <v>0</v>
      </c>
      <c r="AT556" s="37">
        <f t="shared" si="7591"/>
        <v>0</v>
      </c>
      <c r="AU556" s="37">
        <f t="shared" si="7592"/>
        <v>0</v>
      </c>
      <c r="AV556" s="37">
        <f t="shared" si="7593"/>
        <v>0</v>
      </c>
      <c r="AW556" s="37">
        <f t="shared" si="7594"/>
        <v>0</v>
      </c>
      <c r="AX556" s="37">
        <f t="shared" si="7595"/>
        <v>0</v>
      </c>
      <c r="AY556" s="37">
        <f t="shared" si="7596"/>
        <v>0</v>
      </c>
      <c r="AZ556" s="37">
        <f t="shared" si="7597"/>
        <v>0</v>
      </c>
      <c r="BA556" s="37">
        <f t="shared" si="7598"/>
        <v>0</v>
      </c>
      <c r="BO556" s="36" t="s">
        <v>344</v>
      </c>
      <c r="BP556" s="37">
        <v>-1</v>
      </c>
      <c r="BR556" s="37">
        <v>-2</v>
      </c>
      <c r="BS556" s="37">
        <v>-2</v>
      </c>
      <c r="BT556" s="37">
        <v>-5</v>
      </c>
      <c r="BV556" s="36" t="s">
        <v>344</v>
      </c>
      <c r="BW556" s="37">
        <v>-4</v>
      </c>
      <c r="BX556" s="37">
        <v>11</v>
      </c>
      <c r="BY556" s="37">
        <v>-5</v>
      </c>
      <c r="BZ556" s="37">
        <v>2</v>
      </c>
      <c r="CA556" s="37">
        <v>4</v>
      </c>
      <c r="CC556" s="36" t="s">
        <v>344</v>
      </c>
      <c r="CD556" s="37">
        <v>9</v>
      </c>
      <c r="CE556" s="37">
        <v>2</v>
      </c>
      <c r="CF556" s="37">
        <v>-7</v>
      </c>
      <c r="CG556" s="37">
        <v>-5</v>
      </c>
      <c r="CH556" s="37">
        <v>-1</v>
      </c>
      <c r="CJ556" s="36" t="s">
        <v>344</v>
      </c>
      <c r="CK556" s="37">
        <v>3</v>
      </c>
      <c r="CL556" s="37">
        <v>-6</v>
      </c>
      <c r="CM556" s="37">
        <v>-2</v>
      </c>
      <c r="CN556" s="37">
        <v>-11</v>
      </c>
      <c r="CO556" s="37">
        <v>-16</v>
      </c>
      <c r="CQ556" s="36" t="s">
        <v>344</v>
      </c>
      <c r="CR556" s="37">
        <v>-7</v>
      </c>
      <c r="CS556" s="37">
        <v>-11</v>
      </c>
      <c r="CT556" s="37">
        <v>-5</v>
      </c>
      <c r="CU556" s="37">
        <v>-17</v>
      </c>
      <c r="CV556" s="37">
        <v>-40</v>
      </c>
      <c r="CX556" s="36" t="s">
        <v>344</v>
      </c>
      <c r="CY556" s="37">
        <v>-2</v>
      </c>
      <c r="CZ556" s="37">
        <v>-10</v>
      </c>
      <c r="DA556" s="37">
        <v>-7</v>
      </c>
      <c r="DB556" s="37">
        <v>-28</v>
      </c>
      <c r="DC556" s="37">
        <v>-47</v>
      </c>
      <c r="DE556" s="36" t="s">
        <v>344</v>
      </c>
      <c r="DF556" s="37">
        <v>-13</v>
      </c>
      <c r="DG556" s="37">
        <v>-5</v>
      </c>
      <c r="DH556" s="37">
        <v>19</v>
      </c>
      <c r="DI556" s="37">
        <v>32</v>
      </c>
      <c r="DJ556" s="37">
        <v>33</v>
      </c>
      <c r="DL556" s="36" t="s">
        <v>344</v>
      </c>
      <c r="DM556" s="37">
        <v>-7</v>
      </c>
      <c r="DN556" s="37">
        <v>-2</v>
      </c>
      <c r="DO556" s="37">
        <v>17</v>
      </c>
      <c r="DP556" s="37">
        <v>22</v>
      </c>
      <c r="DQ556" s="37">
        <v>30</v>
      </c>
      <c r="DS556" s="36" t="s">
        <v>344</v>
      </c>
      <c r="DT556" s="37">
        <v>-1</v>
      </c>
      <c r="DU556" s="37">
        <v>3</v>
      </c>
      <c r="DV556" s="37">
        <v>16</v>
      </c>
      <c r="DW556" s="37">
        <v>10</v>
      </c>
      <c r="DX556" s="37">
        <v>28</v>
      </c>
      <c r="DZ556" s="36" t="s">
        <v>344</v>
      </c>
      <c r="EA556" s="37">
        <v>-17</v>
      </c>
      <c r="EB556" s="37">
        <v>-15</v>
      </c>
      <c r="EC556" s="37">
        <v>-14</v>
      </c>
      <c r="ED556" s="37">
        <v>-17</v>
      </c>
      <c r="EE556" s="37">
        <v>-63</v>
      </c>
      <c r="EG556" s="36" t="s">
        <v>344</v>
      </c>
      <c r="EH556" s="37">
        <v>-38</v>
      </c>
      <c r="EI556" s="37">
        <v>-14</v>
      </c>
      <c r="EJ556" s="37">
        <v>-6</v>
      </c>
      <c r="EK556" s="37">
        <v>20</v>
      </c>
      <c r="EL556" s="37">
        <v>-38</v>
      </c>
      <c r="EN556" s="36" t="s">
        <v>344</v>
      </c>
      <c r="EO556" s="37">
        <v>-6</v>
      </c>
      <c r="EP556" s="37">
        <v>-1</v>
      </c>
      <c r="EQ556" s="37">
        <v>-5</v>
      </c>
      <c r="ER556" s="37">
        <v>-8</v>
      </c>
      <c r="ES556" s="37">
        <v>-20</v>
      </c>
      <c r="EU556" s="36" t="s">
        <v>344</v>
      </c>
      <c r="EV556" s="37">
        <v>-3</v>
      </c>
      <c r="EW556" s="37">
        <v>-9</v>
      </c>
      <c r="EX556" s="37">
        <v>-14</v>
      </c>
      <c r="EY556" s="37">
        <v>-14</v>
      </c>
      <c r="EZ556" s="37">
        <v>-40</v>
      </c>
      <c r="FB556" s="36" t="s">
        <v>344</v>
      </c>
      <c r="FC556" s="37">
        <v>-8</v>
      </c>
      <c r="FD556" s="37">
        <v>3</v>
      </c>
      <c r="FE556" s="37">
        <v>-5</v>
      </c>
      <c r="FF556" s="37">
        <v>-10</v>
      </c>
      <c r="FG556" s="37">
        <v>-20</v>
      </c>
      <c r="FI556" s="36" t="s">
        <v>344</v>
      </c>
      <c r="FJ556" s="37">
        <v>2</v>
      </c>
      <c r="FL556" s="37">
        <v>0</v>
      </c>
      <c r="FM556" s="37">
        <v>-7</v>
      </c>
      <c r="FN556" s="37">
        <v>-5</v>
      </c>
      <c r="FP556" s="36" t="s">
        <v>344</v>
      </c>
      <c r="FQ556" s="37">
        <v>3</v>
      </c>
      <c r="FR556" s="37">
        <v>-1</v>
      </c>
      <c r="FU556" s="37">
        <v>2</v>
      </c>
      <c r="FW556" s="36" t="s">
        <v>344</v>
      </c>
      <c r="FX556" s="37">
        <v>2</v>
      </c>
      <c r="FY556" s="37">
        <v>-2</v>
      </c>
      <c r="GB556" s="37">
        <v>0</v>
      </c>
      <c r="GD556" s="36" t="s">
        <v>344</v>
      </c>
      <c r="GK556" s="36" t="s">
        <v>344</v>
      </c>
      <c r="GR556" s="36" t="s">
        <v>344</v>
      </c>
      <c r="GY556" s="36" t="s">
        <v>344</v>
      </c>
      <c r="HF556" s="36" t="s">
        <v>344</v>
      </c>
      <c r="HM556" s="36" t="s">
        <v>344</v>
      </c>
      <c r="HT556" s="36" t="s">
        <v>344</v>
      </c>
      <c r="IA556" s="36" t="s">
        <v>344</v>
      </c>
      <c r="IH556" s="36" t="s">
        <v>344</v>
      </c>
      <c r="IO556" s="36" t="s">
        <v>344</v>
      </c>
      <c r="IV556" s="36" t="s">
        <v>344</v>
      </c>
      <c r="JC556" s="36" t="s">
        <v>344</v>
      </c>
      <c r="JJ556" s="36" t="s">
        <v>344</v>
      </c>
      <c r="JQ556" s="36" t="s">
        <v>344</v>
      </c>
      <c r="JX556" s="36" t="s">
        <v>344</v>
      </c>
      <c r="KE556" s="36" t="s">
        <v>344</v>
      </c>
      <c r="KL556" s="36" t="s">
        <v>344</v>
      </c>
      <c r="KS556" s="36" t="s">
        <v>344</v>
      </c>
      <c r="KZ556" s="36" t="s">
        <v>344</v>
      </c>
      <c r="LF556" s="565"/>
      <c r="LG556" s="36" t="s">
        <v>344</v>
      </c>
      <c r="LM556" s="565"/>
      <c r="LN556" s="36" t="s">
        <v>344</v>
      </c>
      <c r="LT556" s="565"/>
      <c r="LU556" s="36" t="s">
        <v>344</v>
      </c>
      <c r="MA556" s="565"/>
      <c r="MB556" s="36" t="s">
        <v>344</v>
      </c>
      <c r="MH556" s="565"/>
    </row>
    <row r="557" spans="1:346" s="37" customFormat="1" ht="13.15" hidden="1" outlineLevel="1" x14ac:dyDescent="0.4">
      <c r="A557" s="35"/>
      <c r="B557" s="36" t="s">
        <v>410</v>
      </c>
      <c r="N557" s="37">
        <f t="shared" si="7559"/>
        <v>0</v>
      </c>
      <c r="O557" s="37">
        <f t="shared" si="7560"/>
        <v>0</v>
      </c>
      <c r="P557" s="37">
        <f t="shared" si="7561"/>
        <v>0</v>
      </c>
      <c r="Q557" s="37">
        <f t="shared" si="7562"/>
        <v>0</v>
      </c>
      <c r="R557" s="37">
        <f t="shared" si="7563"/>
        <v>0</v>
      </c>
      <c r="S557" s="37">
        <f t="shared" si="7564"/>
        <v>0</v>
      </c>
      <c r="T557" s="37">
        <f t="shared" si="7565"/>
        <v>0</v>
      </c>
      <c r="U557" s="37">
        <f t="shared" si="7566"/>
        <v>0</v>
      </c>
      <c r="V557" s="37">
        <f t="shared" si="7567"/>
        <v>0</v>
      </c>
      <c r="W557" s="37">
        <f t="shared" si="7568"/>
        <v>0</v>
      </c>
      <c r="X557" s="37">
        <f t="shared" si="7569"/>
        <v>0</v>
      </c>
      <c r="Y557" s="37">
        <f t="shared" si="7570"/>
        <v>0</v>
      </c>
      <c r="Z557" s="37">
        <f t="shared" si="7571"/>
        <v>0</v>
      </c>
      <c r="AA557" s="37">
        <f t="shared" si="7572"/>
        <v>-4</v>
      </c>
      <c r="AB557" s="37">
        <f t="shared" si="7573"/>
        <v>2</v>
      </c>
      <c r="AC557" s="37">
        <f t="shared" si="7574"/>
        <v>0</v>
      </c>
      <c r="AD557" s="37">
        <f t="shared" si="7575"/>
        <v>0</v>
      </c>
      <c r="AE557" s="37">
        <f t="shared" si="7576"/>
        <v>0</v>
      </c>
      <c r="AF557" s="37">
        <f t="shared" si="7577"/>
        <v>0</v>
      </c>
      <c r="AG557" s="37">
        <f t="shared" si="7578"/>
        <v>0</v>
      </c>
      <c r="AH557" s="37">
        <f t="shared" si="7579"/>
        <v>0</v>
      </c>
      <c r="AI557" s="37">
        <f t="shared" si="7580"/>
        <v>0</v>
      </c>
      <c r="AJ557" s="37">
        <f t="shared" si="7581"/>
        <v>0</v>
      </c>
      <c r="AK557" s="37">
        <f t="shared" si="7582"/>
        <v>0</v>
      </c>
      <c r="AL557" s="37">
        <f t="shared" si="7583"/>
        <v>0</v>
      </c>
      <c r="AM557" s="37">
        <f t="shared" si="7584"/>
        <v>0</v>
      </c>
      <c r="AN557" s="37">
        <f t="shared" si="7585"/>
        <v>0</v>
      </c>
      <c r="AO557" s="37">
        <f t="shared" si="7586"/>
        <v>0</v>
      </c>
      <c r="AP557" s="37">
        <f t="shared" si="7587"/>
        <v>0</v>
      </c>
      <c r="AQ557" s="37">
        <f t="shared" si="7588"/>
        <v>0</v>
      </c>
      <c r="AR557" s="37">
        <f t="shared" si="7589"/>
        <v>0</v>
      </c>
      <c r="AS557" s="37">
        <f t="shared" si="7590"/>
        <v>0</v>
      </c>
      <c r="AT557" s="37">
        <f t="shared" si="7591"/>
        <v>0</v>
      </c>
      <c r="AU557" s="37">
        <f t="shared" si="7592"/>
        <v>0</v>
      </c>
      <c r="AV557" s="37">
        <f t="shared" si="7593"/>
        <v>0</v>
      </c>
      <c r="AW557" s="37">
        <f t="shared" si="7594"/>
        <v>0</v>
      </c>
      <c r="AX557" s="37">
        <f t="shared" si="7595"/>
        <v>0</v>
      </c>
      <c r="AY557" s="37">
        <f t="shared" si="7596"/>
        <v>0</v>
      </c>
      <c r="AZ557" s="37">
        <f t="shared" si="7597"/>
        <v>0</v>
      </c>
      <c r="BA557" s="37">
        <f t="shared" si="7598"/>
        <v>0</v>
      </c>
      <c r="BO557" s="36" t="s">
        <v>410</v>
      </c>
      <c r="BV557" s="36" t="s">
        <v>410</v>
      </c>
      <c r="CC557" s="36" t="s">
        <v>410</v>
      </c>
      <c r="CJ557" s="36" t="s">
        <v>410</v>
      </c>
      <c r="CQ557" s="36" t="s">
        <v>410</v>
      </c>
      <c r="CX557" s="36" t="s">
        <v>410</v>
      </c>
      <c r="DE557" s="36" t="s">
        <v>410</v>
      </c>
      <c r="DL557" s="36" t="s">
        <v>410</v>
      </c>
      <c r="DS557" s="36" t="s">
        <v>410</v>
      </c>
      <c r="DZ557" s="36" t="s">
        <v>410</v>
      </c>
      <c r="ED557" s="37">
        <v>10</v>
      </c>
      <c r="EG557" s="36" t="s">
        <v>410</v>
      </c>
      <c r="EN557" s="36" t="s">
        <v>410</v>
      </c>
      <c r="EU557" s="36" t="s">
        <v>410</v>
      </c>
      <c r="EV557" s="37">
        <v>-16</v>
      </c>
      <c r="EY557" s="37">
        <v>-7</v>
      </c>
      <c r="FB557" s="36" t="s">
        <v>410</v>
      </c>
      <c r="FC557" s="37">
        <v>-6</v>
      </c>
      <c r="FF557" s="37">
        <v>2</v>
      </c>
      <c r="FG557" s="37">
        <v>-4</v>
      </c>
      <c r="FI557" s="36" t="s">
        <v>410</v>
      </c>
      <c r="FJ557" s="37">
        <v>0</v>
      </c>
      <c r="FM557" s="37">
        <v>2</v>
      </c>
      <c r="FN557" s="37">
        <v>2</v>
      </c>
      <c r="FP557" s="36" t="s">
        <v>410</v>
      </c>
      <c r="FQ557" s="37">
        <v>0</v>
      </c>
      <c r="FU557" s="37">
        <v>0</v>
      </c>
      <c r="FW557" s="36" t="s">
        <v>410</v>
      </c>
      <c r="GB557" s="37">
        <v>0</v>
      </c>
      <c r="GD557" s="36" t="s">
        <v>410</v>
      </c>
      <c r="GK557" s="36" t="s">
        <v>410</v>
      </c>
      <c r="GR557" s="36" t="s">
        <v>410</v>
      </c>
      <c r="GY557" s="36" t="s">
        <v>410</v>
      </c>
      <c r="HF557" s="36" t="s">
        <v>410</v>
      </c>
      <c r="HM557" s="36" t="s">
        <v>410</v>
      </c>
      <c r="HT557" s="36" t="s">
        <v>410</v>
      </c>
      <c r="IA557" s="36" t="s">
        <v>410</v>
      </c>
      <c r="IH557" s="36" t="s">
        <v>410</v>
      </c>
      <c r="IO557" s="36" t="s">
        <v>410</v>
      </c>
      <c r="IV557" s="36" t="s">
        <v>410</v>
      </c>
      <c r="JC557" s="36" t="s">
        <v>410</v>
      </c>
      <c r="JJ557" s="36" t="s">
        <v>410</v>
      </c>
      <c r="JQ557" s="36" t="s">
        <v>410</v>
      </c>
      <c r="JX557" s="36" t="s">
        <v>410</v>
      </c>
      <c r="KE557" s="36" t="s">
        <v>410</v>
      </c>
      <c r="KL557" s="36" t="s">
        <v>410</v>
      </c>
      <c r="KS557" s="36" t="s">
        <v>410</v>
      </c>
      <c r="KZ557" s="36" t="s">
        <v>410</v>
      </c>
      <c r="LF557" s="565"/>
      <c r="LG557" s="36" t="s">
        <v>410</v>
      </c>
      <c r="LM557" s="565"/>
      <c r="LN557" s="36" t="s">
        <v>410</v>
      </c>
      <c r="LT557" s="565"/>
      <c r="LU557" s="36" t="s">
        <v>410</v>
      </c>
      <c r="MA557" s="565"/>
      <c r="MB557" s="36" t="s">
        <v>410</v>
      </c>
      <c r="MH557" s="565"/>
    </row>
    <row r="558" spans="1:346" s="37" customFormat="1" ht="13.15" hidden="1" outlineLevel="1" x14ac:dyDescent="0.4">
      <c r="A558" s="35"/>
      <c r="B558" s="36" t="s">
        <v>387</v>
      </c>
      <c r="E558" s="37">
        <v>37.900000000000006</v>
      </c>
      <c r="F558" s="37">
        <v>70.000000000000014</v>
      </c>
      <c r="G558" s="37">
        <v>245.89999999999998</v>
      </c>
      <c r="H558" s="37">
        <v>16</v>
      </c>
      <c r="I558" s="37">
        <v>33</v>
      </c>
      <c r="J558" s="37">
        <v>40</v>
      </c>
      <c r="K558" s="37">
        <v>66</v>
      </c>
      <c r="L558" s="37">
        <v>117</v>
      </c>
      <c r="M558" s="37">
        <v>116</v>
      </c>
      <c r="N558" s="37">
        <f t="shared" si="7559"/>
        <v>168</v>
      </c>
      <c r="O558" s="37">
        <f t="shared" si="7560"/>
        <v>41</v>
      </c>
      <c r="P558" s="37">
        <f t="shared" si="7561"/>
        <v>94</v>
      </c>
      <c r="Q558" s="37">
        <f t="shared" si="7562"/>
        <v>-5</v>
      </c>
      <c r="R558" s="37">
        <f t="shared" si="7563"/>
        <v>18</v>
      </c>
      <c r="S558" s="37">
        <f t="shared" si="7564"/>
        <v>55</v>
      </c>
      <c r="T558" s="37">
        <f t="shared" si="7565"/>
        <v>115</v>
      </c>
      <c r="U558" s="37">
        <f t="shared" si="7566"/>
        <v>35</v>
      </c>
      <c r="V558" s="37">
        <f t="shared" si="7567"/>
        <v>25</v>
      </c>
      <c r="W558" s="37">
        <f t="shared" si="7568"/>
        <v>-25</v>
      </c>
      <c r="X558" s="37">
        <f t="shared" si="7569"/>
        <v>13</v>
      </c>
      <c r="Y558" s="37">
        <f t="shared" si="7570"/>
        <v>15</v>
      </c>
      <c r="Z558" s="37">
        <f t="shared" si="7571"/>
        <v>9</v>
      </c>
      <c r="AA558" s="37">
        <f t="shared" si="7572"/>
        <v>41</v>
      </c>
      <c r="AB558" s="37">
        <f t="shared" si="7573"/>
        <v>33</v>
      </c>
      <c r="AC558" s="37">
        <f t="shared" si="7574"/>
        <v>-9</v>
      </c>
      <c r="AD558" s="37">
        <f t="shared" si="7575"/>
        <v>18</v>
      </c>
      <c r="AE558" s="37">
        <f t="shared" si="7576"/>
        <v>0</v>
      </c>
      <c r="AF558" s="37">
        <f t="shared" si="7577"/>
        <v>0</v>
      </c>
      <c r="AG558" s="37">
        <f t="shared" si="7578"/>
        <v>0</v>
      </c>
      <c r="AH558" s="37">
        <f t="shared" si="7579"/>
        <v>0</v>
      </c>
      <c r="AI558" s="37">
        <f t="shared" si="7580"/>
        <v>0</v>
      </c>
      <c r="AJ558" s="37">
        <f t="shared" si="7581"/>
        <v>0</v>
      </c>
      <c r="AK558" s="37">
        <f t="shared" si="7582"/>
        <v>0</v>
      </c>
      <c r="AL558" s="37">
        <f t="shared" si="7583"/>
        <v>0</v>
      </c>
      <c r="AM558" s="37">
        <f t="shared" si="7584"/>
        <v>0</v>
      </c>
      <c r="AN558" s="37">
        <f t="shared" si="7585"/>
        <v>0</v>
      </c>
      <c r="AO558" s="37">
        <f t="shared" si="7586"/>
        <v>0</v>
      </c>
      <c r="AP558" s="37">
        <f t="shared" si="7587"/>
        <v>0</v>
      </c>
      <c r="AQ558" s="37">
        <f t="shared" si="7588"/>
        <v>0</v>
      </c>
      <c r="AR558" s="37">
        <f t="shared" si="7589"/>
        <v>0</v>
      </c>
      <c r="AS558" s="37">
        <f t="shared" si="7590"/>
        <v>0</v>
      </c>
      <c r="AT558" s="37">
        <f t="shared" si="7591"/>
        <v>0</v>
      </c>
      <c r="AU558" s="37">
        <f t="shared" si="7592"/>
        <v>0</v>
      </c>
      <c r="AV558" s="37">
        <f t="shared" si="7593"/>
        <v>0</v>
      </c>
      <c r="AW558" s="37">
        <f t="shared" si="7594"/>
        <v>0</v>
      </c>
      <c r="AX558" s="37">
        <f t="shared" si="7595"/>
        <v>0</v>
      </c>
      <c r="AY558" s="37">
        <f t="shared" si="7596"/>
        <v>0</v>
      </c>
      <c r="AZ558" s="37">
        <f t="shared" si="7597"/>
        <v>0</v>
      </c>
      <c r="BA558" s="37">
        <f t="shared" si="7598"/>
        <v>0</v>
      </c>
      <c r="BO558" s="36" t="s">
        <v>387</v>
      </c>
      <c r="BP558" s="37">
        <v>34</v>
      </c>
      <c r="BQ558" s="37">
        <v>74</v>
      </c>
      <c r="BR558" s="37">
        <v>64</v>
      </c>
      <c r="BS558" s="37">
        <v>-4</v>
      </c>
      <c r="BT558" s="37">
        <v>168</v>
      </c>
      <c r="BV558" s="36" t="s">
        <v>387</v>
      </c>
      <c r="BW558" s="37">
        <v>5</v>
      </c>
      <c r="BX558" s="37">
        <v>17</v>
      </c>
      <c r="BY558" s="37">
        <v>-3</v>
      </c>
      <c r="BZ558" s="37">
        <v>22</v>
      </c>
      <c r="CA558" s="37">
        <v>41</v>
      </c>
      <c r="CC558" s="36" t="s">
        <v>387</v>
      </c>
      <c r="CD558" s="37">
        <v>19</v>
      </c>
      <c r="CE558" s="37">
        <v>57</v>
      </c>
      <c r="CF558" s="37">
        <v>-6</v>
      </c>
      <c r="CG558" s="37">
        <v>24</v>
      </c>
      <c r="CH558" s="37">
        <v>94</v>
      </c>
      <c r="CJ558" s="36" t="s">
        <v>387</v>
      </c>
      <c r="CK558" s="37">
        <v>4</v>
      </c>
      <c r="CL558" s="37">
        <v>3</v>
      </c>
      <c r="CM558" s="37">
        <v>1</v>
      </c>
      <c r="CN558" s="37">
        <v>-5</v>
      </c>
      <c r="CO558" s="37">
        <v>-5</v>
      </c>
      <c r="CQ558" s="36" t="s">
        <v>387</v>
      </c>
      <c r="CR558" s="37">
        <v>-1</v>
      </c>
      <c r="CS558" s="37">
        <v>30</v>
      </c>
      <c r="CT558" s="37">
        <v>1</v>
      </c>
      <c r="CU558" s="37">
        <v>-12</v>
      </c>
      <c r="CV558" s="37">
        <v>18</v>
      </c>
      <c r="CX558" s="36" t="s">
        <v>387</v>
      </c>
      <c r="CY558" s="37">
        <v>-1</v>
      </c>
      <c r="CZ558" s="37">
        <v>18</v>
      </c>
      <c r="DA558" s="37">
        <v>-6</v>
      </c>
      <c r="DB558" s="37">
        <v>44</v>
      </c>
      <c r="DC558" s="37">
        <v>55</v>
      </c>
      <c r="DE558" s="36" t="s">
        <v>387</v>
      </c>
      <c r="DF558" s="37">
        <v>-12</v>
      </c>
      <c r="DG558" s="37">
        <v>9</v>
      </c>
      <c r="DH558" s="37">
        <v>16</v>
      </c>
      <c r="DI558" s="37">
        <v>102</v>
      </c>
      <c r="DJ558" s="37">
        <v>115</v>
      </c>
      <c r="DL558" s="36" t="s">
        <v>387</v>
      </c>
      <c r="DM558" s="37">
        <v>-12</v>
      </c>
      <c r="DN558" s="37">
        <v>23</v>
      </c>
      <c r="DO558" s="37">
        <v>8</v>
      </c>
      <c r="DP558" s="37">
        <v>16</v>
      </c>
      <c r="DQ558" s="37">
        <v>35</v>
      </c>
      <c r="DS558" s="36" t="s">
        <v>387</v>
      </c>
      <c r="DT558" s="37">
        <v>-7</v>
      </c>
      <c r="DU558" s="37">
        <v>18</v>
      </c>
      <c r="DV558" s="37">
        <v>10</v>
      </c>
      <c r="DW558" s="37">
        <v>4</v>
      </c>
      <c r="DX558" s="37">
        <v>25</v>
      </c>
      <c r="DZ558" s="36" t="s">
        <v>387</v>
      </c>
      <c r="EA558" s="37">
        <v>-22</v>
      </c>
      <c r="EB558" s="37">
        <v>-5</v>
      </c>
      <c r="EC558" s="37">
        <v>-5</v>
      </c>
      <c r="ED558" s="37">
        <v>7</v>
      </c>
      <c r="EE558" s="37">
        <v>-25</v>
      </c>
      <c r="EG558" s="36" t="s">
        <v>387</v>
      </c>
      <c r="EH558" s="37">
        <v>-47</v>
      </c>
      <c r="EI558" s="37">
        <v>-4</v>
      </c>
      <c r="EJ558" s="37">
        <v>17</v>
      </c>
      <c r="EK558" s="37">
        <v>47</v>
      </c>
      <c r="EL558" s="37">
        <v>13</v>
      </c>
      <c r="EN558" s="36" t="s">
        <v>387</v>
      </c>
      <c r="EO558" s="37">
        <v>-5</v>
      </c>
      <c r="EP558" s="37">
        <v>24</v>
      </c>
      <c r="EQ558" s="37">
        <v>3</v>
      </c>
      <c r="ER558" s="37">
        <v>-7</v>
      </c>
      <c r="ES558" s="37">
        <v>15</v>
      </c>
      <c r="EU558" s="36" t="s">
        <v>387</v>
      </c>
      <c r="EV558" s="37">
        <v>-29</v>
      </c>
      <c r="EW558" s="37">
        <v>37</v>
      </c>
      <c r="EX558" s="37">
        <v>4</v>
      </c>
      <c r="EY558" s="37">
        <v>-3</v>
      </c>
      <c r="EZ558" s="37">
        <v>9</v>
      </c>
      <c r="FB558" s="36" t="s">
        <v>387</v>
      </c>
      <c r="FC558" s="37">
        <v>9</v>
      </c>
      <c r="FD558" s="37">
        <v>4</v>
      </c>
      <c r="FE558" s="37">
        <v>28</v>
      </c>
      <c r="FF558" s="37">
        <v>0</v>
      </c>
      <c r="FG558" s="37">
        <v>41</v>
      </c>
      <c r="FI558" s="36" t="s">
        <v>387</v>
      </c>
      <c r="FJ558" s="37">
        <v>-10</v>
      </c>
      <c r="FK558" s="37">
        <v>-5</v>
      </c>
      <c r="FL558" s="37">
        <v>21</v>
      </c>
      <c r="FM558" s="37">
        <v>27</v>
      </c>
      <c r="FN558" s="37">
        <v>33</v>
      </c>
      <c r="FP558" s="36" t="s">
        <v>387</v>
      </c>
      <c r="FQ558" s="37">
        <v>-4</v>
      </c>
      <c r="FR558" s="37">
        <v>5</v>
      </c>
      <c r="FS558" s="37">
        <v>-5</v>
      </c>
      <c r="FT558" s="37">
        <v>-5</v>
      </c>
      <c r="FU558" s="37">
        <v>-9</v>
      </c>
      <c r="FW558" s="36" t="s">
        <v>387</v>
      </c>
      <c r="FX558" s="37">
        <v>-2</v>
      </c>
      <c r="FY558" s="37">
        <v>30</v>
      </c>
      <c r="FZ558" s="37">
        <v>-5</v>
      </c>
      <c r="GA558" s="37">
        <v>-5</v>
      </c>
      <c r="GB558" s="37">
        <v>18</v>
      </c>
      <c r="GD558" s="36" t="s">
        <v>387</v>
      </c>
      <c r="GK558" s="36" t="s">
        <v>387</v>
      </c>
      <c r="GR558" s="36" t="s">
        <v>387</v>
      </c>
      <c r="GY558" s="36" t="s">
        <v>387</v>
      </c>
      <c r="HF558" s="36" t="s">
        <v>387</v>
      </c>
      <c r="HM558" s="36" t="s">
        <v>387</v>
      </c>
      <c r="HT558" s="36" t="s">
        <v>387</v>
      </c>
      <c r="IA558" s="36" t="s">
        <v>387</v>
      </c>
      <c r="IH558" s="36" t="s">
        <v>387</v>
      </c>
      <c r="IO558" s="36" t="s">
        <v>387</v>
      </c>
      <c r="IV558" s="36" t="s">
        <v>387</v>
      </c>
      <c r="JC558" s="36" t="s">
        <v>387</v>
      </c>
      <c r="JJ558" s="36" t="s">
        <v>387</v>
      </c>
      <c r="JQ558" s="36" t="s">
        <v>387</v>
      </c>
      <c r="JX558" s="36" t="s">
        <v>387</v>
      </c>
      <c r="KE558" s="36" t="s">
        <v>387</v>
      </c>
      <c r="KL558" s="36" t="s">
        <v>387</v>
      </c>
      <c r="KS558" s="36" t="s">
        <v>387</v>
      </c>
      <c r="KZ558" s="36" t="s">
        <v>387</v>
      </c>
      <c r="LF558" s="565"/>
      <c r="LG558" s="36" t="s">
        <v>387</v>
      </c>
      <c r="LM558" s="565"/>
      <c r="LN558" s="36" t="s">
        <v>387</v>
      </c>
      <c r="LT558" s="565"/>
      <c r="LU558" s="36" t="s">
        <v>387</v>
      </c>
      <c r="MA558" s="565"/>
      <c r="MB558" s="36" t="s">
        <v>387</v>
      </c>
      <c r="MH558" s="565"/>
    </row>
    <row r="559" spans="1:346" s="37" customFormat="1" ht="13.15" hidden="1" outlineLevel="1" x14ac:dyDescent="0.4">
      <c r="A559" s="35"/>
      <c r="B559" s="36" t="s">
        <v>411</v>
      </c>
      <c r="BO559" s="36" t="s">
        <v>411</v>
      </c>
      <c r="BV559" s="36" t="s">
        <v>411</v>
      </c>
      <c r="CC559" s="36" t="s">
        <v>411</v>
      </c>
      <c r="CJ559" s="36" t="s">
        <v>411</v>
      </c>
      <c r="CQ559" s="36" t="s">
        <v>411</v>
      </c>
      <c r="CS559" s="37" t="s">
        <v>412</v>
      </c>
      <c r="CX559" s="36" t="s">
        <v>411</v>
      </c>
      <c r="DB559" s="37" t="s">
        <v>413</v>
      </c>
      <c r="DE559" s="36" t="s">
        <v>411</v>
      </c>
      <c r="DL559" s="36" t="s">
        <v>411</v>
      </c>
      <c r="DP559" s="37">
        <v>8</v>
      </c>
      <c r="DS559" s="36" t="s">
        <v>411</v>
      </c>
      <c r="DT559" s="37">
        <v>5</v>
      </c>
      <c r="DZ559" s="36" t="s">
        <v>411</v>
      </c>
      <c r="EG559" s="36" t="s">
        <v>411</v>
      </c>
      <c r="EN559" s="36" t="s">
        <v>411</v>
      </c>
      <c r="EU559" s="36" t="s">
        <v>411</v>
      </c>
      <c r="FB559" s="36" t="s">
        <v>411</v>
      </c>
      <c r="FI559" s="36" t="s">
        <v>411</v>
      </c>
      <c r="FP559" s="36" t="s">
        <v>411</v>
      </c>
      <c r="FW559" s="36" t="s">
        <v>411</v>
      </c>
      <c r="GD559" s="36" t="s">
        <v>411</v>
      </c>
      <c r="GK559" s="36" t="s">
        <v>411</v>
      </c>
      <c r="GR559" s="36" t="s">
        <v>411</v>
      </c>
      <c r="GY559" s="36" t="s">
        <v>411</v>
      </c>
      <c r="HF559" s="36" t="s">
        <v>411</v>
      </c>
      <c r="HM559" s="36" t="s">
        <v>411</v>
      </c>
      <c r="HT559" s="36" t="s">
        <v>411</v>
      </c>
      <c r="IA559" s="36" t="s">
        <v>411</v>
      </c>
      <c r="IH559" s="36" t="s">
        <v>411</v>
      </c>
      <c r="IO559" s="36" t="s">
        <v>411</v>
      </c>
      <c r="IV559" s="36" t="s">
        <v>411</v>
      </c>
      <c r="JC559" s="36" t="s">
        <v>411</v>
      </c>
      <c r="JJ559" s="36" t="s">
        <v>411</v>
      </c>
      <c r="JQ559" s="36" t="s">
        <v>411</v>
      </c>
      <c r="JX559" s="36" t="s">
        <v>411</v>
      </c>
      <c r="KE559" s="36" t="s">
        <v>411</v>
      </c>
      <c r="KL559" s="36" t="s">
        <v>411</v>
      </c>
      <c r="KS559" s="36" t="s">
        <v>411</v>
      </c>
      <c r="KZ559" s="36" t="s">
        <v>411</v>
      </c>
      <c r="LF559" s="565"/>
      <c r="LG559" s="36" t="s">
        <v>411</v>
      </c>
      <c r="LM559" s="565"/>
      <c r="LN559" s="36" t="s">
        <v>411</v>
      </c>
      <c r="LT559" s="565"/>
      <c r="LU559" s="36" t="s">
        <v>411</v>
      </c>
      <c r="MA559" s="565"/>
      <c r="MB559" s="36" t="s">
        <v>411</v>
      </c>
      <c r="MH559" s="565"/>
    </row>
    <row r="560" spans="1:346" s="37" customFormat="1" ht="13.15" hidden="1" outlineLevel="1" x14ac:dyDescent="0.4">
      <c r="A560" s="35"/>
      <c r="B560" s="36"/>
      <c r="BO560" s="36"/>
      <c r="BV560" s="36"/>
      <c r="CC560" s="36"/>
      <c r="CJ560" s="36"/>
      <c r="CQ560" s="36"/>
      <c r="CX560" s="36"/>
      <c r="DE560" s="36"/>
      <c r="DL560" s="36"/>
      <c r="DS560" s="36"/>
      <c r="DZ560" s="36"/>
      <c r="EG560" s="36"/>
      <c r="EN560" s="36"/>
      <c r="EU560" s="36"/>
      <c r="FB560" s="36"/>
      <c r="FI560" s="36"/>
      <c r="FP560" s="36"/>
      <c r="FW560" s="36"/>
      <c r="GD560" s="36"/>
      <c r="GK560" s="36"/>
      <c r="GR560" s="36"/>
      <c r="GY560" s="36"/>
      <c r="HF560" s="36"/>
      <c r="HM560" s="36"/>
      <c r="HT560" s="36"/>
      <c r="IA560" s="36"/>
      <c r="IH560" s="36"/>
      <c r="IO560" s="36"/>
      <c r="IV560" s="36"/>
      <c r="JC560" s="36"/>
      <c r="JJ560" s="36"/>
      <c r="JQ560" s="36"/>
      <c r="JX560" s="36"/>
      <c r="KE560" s="36"/>
      <c r="KL560" s="36"/>
      <c r="KS560" s="36"/>
      <c r="KZ560" s="36"/>
      <c r="LF560" s="565"/>
      <c r="LG560" s="36"/>
      <c r="LM560" s="565"/>
      <c r="LN560" s="36"/>
      <c r="LT560" s="565"/>
      <c r="LU560" s="36"/>
      <c r="MA560" s="565"/>
      <c r="MB560" s="36"/>
      <c r="MH560" s="565"/>
    </row>
    <row r="561" spans="1:346" s="37" customFormat="1" ht="13.15" hidden="1" outlineLevel="1" x14ac:dyDescent="0.4">
      <c r="A561" s="35"/>
      <c r="B561" s="36" t="s">
        <v>414</v>
      </c>
      <c r="BO561" s="36" t="s">
        <v>414</v>
      </c>
      <c r="BV561" s="36" t="s">
        <v>414</v>
      </c>
      <c r="CC561" s="36" t="s">
        <v>414</v>
      </c>
      <c r="CJ561" s="36" t="s">
        <v>414</v>
      </c>
      <c r="CQ561" s="36" t="s">
        <v>414</v>
      </c>
      <c r="CX561" s="36" t="s">
        <v>414</v>
      </c>
      <c r="DE561" s="36" t="s">
        <v>414</v>
      </c>
      <c r="DL561" s="36" t="s">
        <v>414</v>
      </c>
      <c r="DQ561" s="37">
        <v>1.3166666666666667</v>
      </c>
      <c r="DS561" s="36" t="s">
        <v>414</v>
      </c>
      <c r="DV561" s="37">
        <v>1.1325301204819278</v>
      </c>
      <c r="DW561" s="37">
        <v>1.1927710843373494</v>
      </c>
      <c r="DX561" s="37">
        <v>1.231012658227848</v>
      </c>
      <c r="DZ561" s="36" t="s">
        <v>414</v>
      </c>
      <c r="EC561" s="37">
        <v>0.95744680851063835</v>
      </c>
      <c r="ED561" s="37">
        <v>1.1499999999999999</v>
      </c>
      <c r="EE561" s="37">
        <v>1.0488431876606683</v>
      </c>
      <c r="EG561" s="36" t="s">
        <v>414</v>
      </c>
      <c r="EI561" s="37">
        <v>1.17</v>
      </c>
      <c r="EJ561" s="37">
        <v>1.2222222222222223</v>
      </c>
      <c r="EK561" s="37">
        <v>1.1299999999999999</v>
      </c>
      <c r="EL561" s="37">
        <v>1.1862745098039216</v>
      </c>
      <c r="EN561" s="36" t="s">
        <v>414</v>
      </c>
      <c r="EO561" s="37">
        <v>1.1299999999999999</v>
      </c>
      <c r="EP561" s="37">
        <v>1.1196581196581197</v>
      </c>
      <c r="EQ561" s="37">
        <v>1.2</v>
      </c>
      <c r="ES561" s="37">
        <v>0.53099173553719003</v>
      </c>
      <c r="EU561" s="36" t="s">
        <v>414</v>
      </c>
      <c r="FB561" s="36" t="s">
        <v>414</v>
      </c>
      <c r="FI561" s="36" t="s">
        <v>414</v>
      </c>
      <c r="FP561" s="36" t="s">
        <v>414</v>
      </c>
      <c r="FW561" s="36" t="s">
        <v>414</v>
      </c>
      <c r="GD561" s="36" t="s">
        <v>414</v>
      </c>
      <c r="GK561" s="36" t="s">
        <v>414</v>
      </c>
      <c r="GR561" s="36" t="s">
        <v>414</v>
      </c>
      <c r="GY561" s="36" t="s">
        <v>414</v>
      </c>
      <c r="HF561" s="36" t="s">
        <v>414</v>
      </c>
      <c r="HM561" s="36" t="s">
        <v>414</v>
      </c>
      <c r="HT561" s="36" t="s">
        <v>414</v>
      </c>
      <c r="IA561" s="36" t="s">
        <v>414</v>
      </c>
      <c r="IH561" s="36" t="s">
        <v>414</v>
      </c>
      <c r="IO561" s="36" t="s">
        <v>414</v>
      </c>
      <c r="IV561" s="36" t="s">
        <v>414</v>
      </c>
      <c r="JC561" s="36" t="s">
        <v>414</v>
      </c>
      <c r="JJ561" s="36" t="s">
        <v>414</v>
      </c>
      <c r="JQ561" s="36" t="s">
        <v>414</v>
      </c>
      <c r="JX561" s="36" t="s">
        <v>414</v>
      </c>
      <c r="KE561" s="36" t="s">
        <v>414</v>
      </c>
      <c r="KL561" s="36" t="s">
        <v>414</v>
      </c>
      <c r="KS561" s="36" t="s">
        <v>414</v>
      </c>
      <c r="KZ561" s="36" t="s">
        <v>414</v>
      </c>
      <c r="LF561" s="565"/>
      <c r="LG561" s="36" t="s">
        <v>414</v>
      </c>
      <c r="LM561" s="565"/>
      <c r="LN561" s="36" t="s">
        <v>414</v>
      </c>
      <c r="LT561" s="565"/>
      <c r="LU561" s="36" t="s">
        <v>414</v>
      </c>
      <c r="MA561" s="565"/>
      <c r="MB561" s="36" t="s">
        <v>414</v>
      </c>
      <c r="MH561" s="565"/>
    </row>
    <row r="562" spans="1:346" s="37" customFormat="1" ht="13.15" hidden="1" outlineLevel="1" x14ac:dyDescent="0.4">
      <c r="A562" s="35"/>
      <c r="B562" s="36" t="s">
        <v>415</v>
      </c>
      <c r="N562" s="37">
        <f>BT562</f>
        <v>0</v>
      </c>
      <c r="O562" s="37">
        <f>CA562</f>
        <v>0</v>
      </c>
      <c r="P562" s="37">
        <f>CH562</f>
        <v>0</v>
      </c>
      <c r="Q562" s="37">
        <f>CO562</f>
        <v>0</v>
      </c>
      <c r="R562" s="37">
        <f>CV562</f>
        <v>0</v>
      </c>
      <c r="S562" s="37">
        <f>DC562</f>
        <v>0</v>
      </c>
      <c r="T562" s="37">
        <f>DJ562</f>
        <v>240</v>
      </c>
      <c r="U562" s="37">
        <f>DQ562</f>
        <v>316</v>
      </c>
      <c r="V562" s="37">
        <f>DX562</f>
        <v>389</v>
      </c>
      <c r="W562" s="37">
        <f>EE562</f>
        <v>408</v>
      </c>
      <c r="X562" s="37">
        <f>EL562</f>
        <v>484</v>
      </c>
      <c r="Y562" s="37">
        <f>ES562</f>
        <v>257</v>
      </c>
      <c r="Z562" s="37">
        <f>EZ562</f>
        <v>0</v>
      </c>
      <c r="AA562" s="37">
        <f>FG562</f>
        <v>0</v>
      </c>
      <c r="AB562" s="37">
        <f>FN562</f>
        <v>0</v>
      </c>
      <c r="AC562" s="37">
        <f>FU562</f>
        <v>0</v>
      </c>
      <c r="AD562" s="37">
        <f>GB562</f>
        <v>0</v>
      </c>
      <c r="AE562" s="37">
        <f>GI562</f>
        <v>0</v>
      </c>
      <c r="AF562" s="37">
        <f>GP562</f>
        <v>0</v>
      </c>
      <c r="AG562" s="37">
        <f>GW562</f>
        <v>0</v>
      </c>
      <c r="AH562" s="37">
        <f>HD562</f>
        <v>0</v>
      </c>
      <c r="AI562" s="37">
        <f>HK562</f>
        <v>0</v>
      </c>
      <c r="AJ562" s="37">
        <f>HR562</f>
        <v>0</v>
      </c>
      <c r="AK562" s="37">
        <f>HY562</f>
        <v>0</v>
      </c>
      <c r="AL562" s="37">
        <f>IF562</f>
        <v>0</v>
      </c>
      <c r="AM562" s="37">
        <f>IM562</f>
        <v>0</v>
      </c>
      <c r="AN562" s="37">
        <f>IT562</f>
        <v>0</v>
      </c>
      <c r="AO562" s="37">
        <f>JA562</f>
        <v>0</v>
      </c>
      <c r="AP562" s="37">
        <f>JH562</f>
        <v>0</v>
      </c>
      <c r="AQ562" s="37">
        <f>JO562</f>
        <v>0</v>
      </c>
      <c r="AR562" s="37">
        <f>JV562</f>
        <v>0</v>
      </c>
      <c r="AS562" s="37">
        <f>KC562</f>
        <v>0</v>
      </c>
      <c r="AT562" s="37">
        <f>KJ562</f>
        <v>0</v>
      </c>
      <c r="AU562" s="37">
        <f>KQ562</f>
        <v>0</v>
      </c>
      <c r="AV562" s="37">
        <f>KX562</f>
        <v>0</v>
      </c>
      <c r="AW562" s="37">
        <f>LE562</f>
        <v>0</v>
      </c>
      <c r="AX562" s="37">
        <f>LL562</f>
        <v>0</v>
      </c>
      <c r="AY562" s="37">
        <f>LS562</f>
        <v>0</v>
      </c>
      <c r="AZ562" s="37">
        <f>LZ562</f>
        <v>0</v>
      </c>
      <c r="BA562" s="37">
        <f>MG562</f>
        <v>0</v>
      </c>
      <c r="BO562" s="36" t="s">
        <v>415</v>
      </c>
      <c r="BV562" s="36" t="s">
        <v>415</v>
      </c>
      <c r="CC562" s="36" t="s">
        <v>415</v>
      </c>
      <c r="CJ562" s="36" t="s">
        <v>415</v>
      </c>
      <c r="CQ562" s="36" t="s">
        <v>415</v>
      </c>
      <c r="CX562" s="36" t="s">
        <v>415</v>
      </c>
      <c r="DE562" s="36" t="s">
        <v>415</v>
      </c>
      <c r="DF562" s="37">
        <v>54</v>
      </c>
      <c r="DG562" s="37">
        <v>57</v>
      </c>
      <c r="DH562" s="37">
        <v>62</v>
      </c>
      <c r="DI562" s="37">
        <v>67</v>
      </c>
      <c r="DJ562" s="37">
        <v>240</v>
      </c>
      <c r="DL562" s="36" t="s">
        <v>415</v>
      </c>
      <c r="DM562" s="37">
        <v>71</v>
      </c>
      <c r="DN562" s="37">
        <v>79</v>
      </c>
      <c r="DO562" s="37">
        <v>83</v>
      </c>
      <c r="DP562" s="37">
        <v>83</v>
      </c>
      <c r="DQ562" s="37">
        <v>316</v>
      </c>
      <c r="DS562" s="36" t="s">
        <v>415</v>
      </c>
      <c r="DT562" s="37">
        <v>92</v>
      </c>
      <c r="DU562" s="37">
        <v>104</v>
      </c>
      <c r="DV562" s="37">
        <v>94</v>
      </c>
      <c r="DW562" s="37">
        <v>99</v>
      </c>
      <c r="DX562" s="37">
        <v>389</v>
      </c>
      <c r="DZ562" s="36" t="s">
        <v>415</v>
      </c>
      <c r="EA562" s="37">
        <v>107</v>
      </c>
      <c r="EB562" s="37">
        <v>100</v>
      </c>
      <c r="EC562" s="37">
        <v>90</v>
      </c>
      <c r="ED562" s="37">
        <v>111</v>
      </c>
      <c r="EE562" s="37">
        <v>408</v>
      </c>
      <c r="EG562" s="36" t="s">
        <v>415</v>
      </c>
      <c r="EH562" s="37">
        <v>120</v>
      </c>
      <c r="EI562" s="37">
        <v>117</v>
      </c>
      <c r="EJ562" s="37">
        <v>110</v>
      </c>
      <c r="EK562" s="37">
        <v>137</v>
      </c>
      <c r="EL562" s="37">
        <v>484</v>
      </c>
      <c r="EN562" s="36" t="s">
        <v>415</v>
      </c>
      <c r="EO562" s="37">
        <v>126</v>
      </c>
      <c r="EP562" s="37">
        <v>131</v>
      </c>
      <c r="EQ562" s="37">
        <v>0</v>
      </c>
      <c r="ES562" s="37">
        <v>257</v>
      </c>
      <c r="EU562" s="36" t="s">
        <v>415</v>
      </c>
      <c r="FB562" s="36" t="s">
        <v>415</v>
      </c>
      <c r="FI562" s="36" t="s">
        <v>415</v>
      </c>
      <c r="FP562" s="36" t="s">
        <v>415</v>
      </c>
      <c r="FW562" s="36" t="s">
        <v>415</v>
      </c>
      <c r="GD562" s="36" t="s">
        <v>415</v>
      </c>
      <c r="GK562" s="36" t="s">
        <v>415</v>
      </c>
      <c r="GR562" s="36" t="s">
        <v>415</v>
      </c>
      <c r="GY562" s="36" t="s">
        <v>415</v>
      </c>
      <c r="HF562" s="36" t="s">
        <v>415</v>
      </c>
      <c r="HM562" s="36" t="s">
        <v>415</v>
      </c>
      <c r="HT562" s="36" t="s">
        <v>415</v>
      </c>
      <c r="IA562" s="36" t="s">
        <v>415</v>
      </c>
      <c r="IH562" s="36" t="s">
        <v>415</v>
      </c>
      <c r="IO562" s="36" t="s">
        <v>415</v>
      </c>
      <c r="IV562" s="36" t="s">
        <v>415</v>
      </c>
      <c r="JC562" s="36" t="s">
        <v>415</v>
      </c>
      <c r="JJ562" s="36" t="s">
        <v>415</v>
      </c>
      <c r="JQ562" s="36" t="s">
        <v>415</v>
      </c>
      <c r="JX562" s="36" t="s">
        <v>415</v>
      </c>
      <c r="KE562" s="36" t="s">
        <v>415</v>
      </c>
      <c r="KL562" s="36" t="s">
        <v>415</v>
      </c>
      <c r="KS562" s="36" t="s">
        <v>415</v>
      </c>
      <c r="KZ562" s="36" t="s">
        <v>415</v>
      </c>
      <c r="LF562" s="565"/>
      <c r="LG562" s="36" t="s">
        <v>415</v>
      </c>
      <c r="LM562" s="565"/>
      <c r="LN562" s="36" t="s">
        <v>415</v>
      </c>
      <c r="LT562" s="565"/>
      <c r="LU562" s="36" t="s">
        <v>415</v>
      </c>
      <c r="MA562" s="565"/>
      <c r="MB562" s="36" t="s">
        <v>415</v>
      </c>
      <c r="MH562" s="565"/>
    </row>
    <row r="563" spans="1:346" s="37" customFormat="1" ht="13.15" hidden="1" outlineLevel="1" x14ac:dyDescent="0.4">
      <c r="A563" s="35"/>
      <c r="B563" s="36" t="s">
        <v>416</v>
      </c>
      <c r="N563" s="37">
        <f>BT563</f>
        <v>0</v>
      </c>
      <c r="O563" s="37">
        <f>CA563</f>
        <v>0</v>
      </c>
      <c r="P563" s="37">
        <f>CH563</f>
        <v>0</v>
      </c>
      <c r="Q563" s="37">
        <f>CO563</f>
        <v>0</v>
      </c>
      <c r="R563" s="37">
        <f>CV563</f>
        <v>0</v>
      </c>
      <c r="S563" s="37">
        <f>DC563</f>
        <v>0</v>
      </c>
      <c r="T563" s="37">
        <f>DJ563</f>
        <v>228</v>
      </c>
      <c r="U563" s="37">
        <f>DQ563</f>
        <v>299</v>
      </c>
      <c r="V563" s="37">
        <f>DX563</f>
        <v>365</v>
      </c>
      <c r="W563" s="37">
        <f>EE563</f>
        <v>379</v>
      </c>
      <c r="X563" s="37">
        <f>EL563</f>
        <v>450</v>
      </c>
      <c r="Y563" s="37">
        <f>ES563</f>
        <v>239</v>
      </c>
      <c r="Z563" s="37">
        <f>EZ563</f>
        <v>0</v>
      </c>
      <c r="AA563" s="37">
        <f>FG563</f>
        <v>0</v>
      </c>
      <c r="AB563" s="37">
        <f>FN563</f>
        <v>0</v>
      </c>
      <c r="AC563" s="37">
        <f>FU563</f>
        <v>0</v>
      </c>
      <c r="AD563" s="37">
        <f>GB563</f>
        <v>0</v>
      </c>
      <c r="AE563" s="37">
        <f>GI563</f>
        <v>0</v>
      </c>
      <c r="AF563" s="37">
        <f>GP563</f>
        <v>0</v>
      </c>
      <c r="AG563" s="37">
        <f>GW563</f>
        <v>0</v>
      </c>
      <c r="AH563" s="37">
        <f>HD563</f>
        <v>0</v>
      </c>
      <c r="AI563" s="37">
        <f>HK563</f>
        <v>0</v>
      </c>
      <c r="AJ563" s="37">
        <f>HR563</f>
        <v>0</v>
      </c>
      <c r="AK563" s="37">
        <f>HY563</f>
        <v>0</v>
      </c>
      <c r="AL563" s="37">
        <f>IF563</f>
        <v>0</v>
      </c>
      <c r="AM563" s="37">
        <f>IM563</f>
        <v>0</v>
      </c>
      <c r="AN563" s="37">
        <f>IT563</f>
        <v>0</v>
      </c>
      <c r="AO563" s="37">
        <f>JA563</f>
        <v>0</v>
      </c>
      <c r="AP563" s="37">
        <f>JH563</f>
        <v>0</v>
      </c>
      <c r="AQ563" s="37">
        <f>JO563</f>
        <v>0</v>
      </c>
      <c r="AR563" s="37">
        <f>JV563</f>
        <v>0</v>
      </c>
      <c r="AS563" s="37">
        <f>KC563</f>
        <v>0</v>
      </c>
      <c r="AT563" s="37">
        <f>KJ563</f>
        <v>0</v>
      </c>
      <c r="AU563" s="37">
        <f>KQ563</f>
        <v>0</v>
      </c>
      <c r="AV563" s="37">
        <f>KX563</f>
        <v>0</v>
      </c>
      <c r="AW563" s="37">
        <f>LE563</f>
        <v>0</v>
      </c>
      <c r="AX563" s="37">
        <f>LL563</f>
        <v>0</v>
      </c>
      <c r="AY563" s="37">
        <f>LS563</f>
        <v>0</v>
      </c>
      <c r="AZ563" s="37">
        <f>LZ563</f>
        <v>0</v>
      </c>
      <c r="BA563" s="37">
        <f>MG563</f>
        <v>0</v>
      </c>
      <c r="BO563" s="36" t="s">
        <v>416</v>
      </c>
      <c r="BV563" s="36" t="s">
        <v>416</v>
      </c>
      <c r="CC563" s="36" t="s">
        <v>416</v>
      </c>
      <c r="CJ563" s="36" t="s">
        <v>416</v>
      </c>
      <c r="CQ563" s="36" t="s">
        <v>416</v>
      </c>
      <c r="CX563" s="36" t="s">
        <v>416</v>
      </c>
      <c r="DE563" s="36" t="s">
        <v>416</v>
      </c>
      <c r="DF563" s="37">
        <v>51</v>
      </c>
      <c r="DG563" s="37">
        <v>54</v>
      </c>
      <c r="DH563" s="37">
        <v>59</v>
      </c>
      <c r="DI563" s="37">
        <v>64</v>
      </c>
      <c r="DJ563" s="37">
        <v>228</v>
      </c>
      <c r="DL563" s="36" t="s">
        <v>416</v>
      </c>
      <c r="DM563" s="37">
        <v>68</v>
      </c>
      <c r="DN563" s="37">
        <v>75</v>
      </c>
      <c r="DO563" s="37">
        <v>78</v>
      </c>
      <c r="DP563" s="37">
        <v>78</v>
      </c>
      <c r="DQ563" s="37">
        <v>299</v>
      </c>
      <c r="DS563" s="36" t="s">
        <v>416</v>
      </c>
      <c r="DT563" s="37">
        <v>86</v>
      </c>
      <c r="DU563" s="37">
        <v>98</v>
      </c>
      <c r="DV563" s="37">
        <v>88</v>
      </c>
      <c r="DW563" s="37">
        <v>93</v>
      </c>
      <c r="DX563" s="37">
        <v>365</v>
      </c>
      <c r="DZ563" s="36" t="s">
        <v>416</v>
      </c>
      <c r="EA563" s="37">
        <v>100</v>
      </c>
      <c r="EB563" s="37">
        <v>93</v>
      </c>
      <c r="EC563" s="37">
        <v>84</v>
      </c>
      <c r="ED563" s="37">
        <v>102</v>
      </c>
      <c r="EE563" s="37">
        <v>379</v>
      </c>
      <c r="EG563" s="36" t="s">
        <v>416</v>
      </c>
      <c r="EH563" s="37">
        <v>111</v>
      </c>
      <c r="EI563" s="37">
        <v>108</v>
      </c>
      <c r="EJ563" s="37">
        <v>102</v>
      </c>
      <c r="EK563" s="37">
        <v>129</v>
      </c>
      <c r="EL563" s="37">
        <v>450</v>
      </c>
      <c r="EN563" s="36" t="s">
        <v>416</v>
      </c>
      <c r="EO563" s="37">
        <v>119</v>
      </c>
      <c r="EP563" s="37">
        <v>120</v>
      </c>
      <c r="EQ563" s="37">
        <v>0</v>
      </c>
      <c r="ES563" s="37">
        <v>239</v>
      </c>
      <c r="EU563" s="36" t="s">
        <v>416</v>
      </c>
      <c r="FB563" s="36" t="s">
        <v>416</v>
      </c>
      <c r="FI563" s="36" t="s">
        <v>416</v>
      </c>
      <c r="FP563" s="36" t="s">
        <v>416</v>
      </c>
      <c r="FW563" s="36" t="s">
        <v>416</v>
      </c>
      <c r="GD563" s="36" t="s">
        <v>416</v>
      </c>
      <c r="GK563" s="36" t="s">
        <v>416</v>
      </c>
      <c r="GR563" s="36" t="s">
        <v>416</v>
      </c>
      <c r="GY563" s="36" t="s">
        <v>416</v>
      </c>
      <c r="HF563" s="36" t="s">
        <v>416</v>
      </c>
      <c r="HM563" s="36" t="s">
        <v>416</v>
      </c>
      <c r="HT563" s="36" t="s">
        <v>416</v>
      </c>
      <c r="IA563" s="36" t="s">
        <v>416</v>
      </c>
      <c r="IH563" s="36" t="s">
        <v>416</v>
      </c>
      <c r="IO563" s="36" t="s">
        <v>416</v>
      </c>
      <c r="IV563" s="36" t="s">
        <v>416</v>
      </c>
      <c r="JC563" s="36" t="s">
        <v>416</v>
      </c>
      <c r="JJ563" s="36" t="s">
        <v>416</v>
      </c>
      <c r="JQ563" s="36" t="s">
        <v>416</v>
      </c>
      <c r="JX563" s="36" t="s">
        <v>416</v>
      </c>
      <c r="KE563" s="36" t="s">
        <v>416</v>
      </c>
      <c r="KL563" s="36" t="s">
        <v>416</v>
      </c>
      <c r="KS563" s="36" t="s">
        <v>416</v>
      </c>
      <c r="KZ563" s="36" t="s">
        <v>416</v>
      </c>
      <c r="LF563" s="565"/>
      <c r="LG563" s="36" t="s">
        <v>416</v>
      </c>
      <c r="LM563" s="565"/>
      <c r="LN563" s="36" t="s">
        <v>416</v>
      </c>
      <c r="LT563" s="565"/>
      <c r="LU563" s="36" t="s">
        <v>416</v>
      </c>
      <c r="MA563" s="565"/>
      <c r="MB563" s="36" t="s">
        <v>416</v>
      </c>
      <c r="MH563" s="565"/>
    </row>
    <row r="564" spans="1:346" s="37" customFormat="1" ht="13.15" hidden="1" outlineLevel="1" x14ac:dyDescent="0.4">
      <c r="A564" s="35"/>
      <c r="B564" s="36" t="s">
        <v>417</v>
      </c>
      <c r="N564" s="37">
        <f>BT564</f>
        <v>0</v>
      </c>
      <c r="O564" s="37">
        <f>CA564</f>
        <v>0</v>
      </c>
      <c r="P564" s="37">
        <f>CH564</f>
        <v>0</v>
      </c>
      <c r="Q564" s="37">
        <f>CO564</f>
        <v>0</v>
      </c>
      <c r="R564" s="37">
        <f>CV564</f>
        <v>0</v>
      </c>
      <c r="S564" s="37">
        <f>DC564</f>
        <v>0</v>
      </c>
      <c r="T564" s="37">
        <f>DJ564</f>
        <v>12</v>
      </c>
      <c r="U564" s="37">
        <f>DQ564</f>
        <v>17</v>
      </c>
      <c r="V564" s="37">
        <f>DX564</f>
        <v>24</v>
      </c>
      <c r="W564" s="37">
        <f>EE564</f>
        <v>29</v>
      </c>
      <c r="X564" s="37">
        <f>EL564</f>
        <v>34</v>
      </c>
      <c r="Y564" s="37">
        <f>ES564</f>
        <v>18</v>
      </c>
      <c r="Z564" s="37">
        <f>EZ564</f>
        <v>0</v>
      </c>
      <c r="AA564" s="37">
        <f>FG564</f>
        <v>0</v>
      </c>
      <c r="AB564" s="37">
        <f>FN564</f>
        <v>0</v>
      </c>
      <c r="AC564" s="37">
        <f>FU564</f>
        <v>0</v>
      </c>
      <c r="AD564" s="37">
        <f>GB564</f>
        <v>0</v>
      </c>
      <c r="AE564" s="37">
        <f>GI564</f>
        <v>0</v>
      </c>
      <c r="AF564" s="37">
        <f>GP564</f>
        <v>0</v>
      </c>
      <c r="AG564" s="37">
        <f>GW564</f>
        <v>0</v>
      </c>
      <c r="AH564" s="37">
        <f>HD564</f>
        <v>0</v>
      </c>
      <c r="AI564" s="37">
        <f>HK564</f>
        <v>0</v>
      </c>
      <c r="AJ564" s="37">
        <f>HR564</f>
        <v>0</v>
      </c>
      <c r="AK564" s="37">
        <f>HY564</f>
        <v>0</v>
      </c>
      <c r="AL564" s="37">
        <f>IF564</f>
        <v>0</v>
      </c>
      <c r="AM564" s="37">
        <f>IM564</f>
        <v>0</v>
      </c>
      <c r="AN564" s="37">
        <f>IT564</f>
        <v>0</v>
      </c>
      <c r="AO564" s="37">
        <f>JA564</f>
        <v>0</v>
      </c>
      <c r="AP564" s="37">
        <f>JH564</f>
        <v>0</v>
      </c>
      <c r="AQ564" s="37">
        <f>JO564</f>
        <v>0</v>
      </c>
      <c r="AR564" s="37">
        <f>JV564</f>
        <v>0</v>
      </c>
      <c r="AS564" s="37">
        <f>KC564</f>
        <v>0</v>
      </c>
      <c r="AT564" s="37">
        <f>KJ564</f>
        <v>0</v>
      </c>
      <c r="AU564" s="37">
        <f>KQ564</f>
        <v>0</v>
      </c>
      <c r="AV564" s="37">
        <f>KX564</f>
        <v>0</v>
      </c>
      <c r="AW564" s="37">
        <f>LE564</f>
        <v>0</v>
      </c>
      <c r="AX564" s="37">
        <f>LL564</f>
        <v>0</v>
      </c>
      <c r="AY564" s="37">
        <f>LS564</f>
        <v>0</v>
      </c>
      <c r="AZ564" s="37">
        <f>LZ564</f>
        <v>0</v>
      </c>
      <c r="BA564" s="37">
        <f>MG564</f>
        <v>0</v>
      </c>
      <c r="BO564" s="36" t="s">
        <v>417</v>
      </c>
      <c r="BV564" s="36" t="s">
        <v>417</v>
      </c>
      <c r="CC564" s="36" t="s">
        <v>417</v>
      </c>
      <c r="CJ564" s="36" t="s">
        <v>417</v>
      </c>
      <c r="CQ564" s="36" t="s">
        <v>417</v>
      </c>
      <c r="CX564" s="36" t="s">
        <v>417</v>
      </c>
      <c r="DE564" s="36" t="s">
        <v>417</v>
      </c>
      <c r="DF564" s="37">
        <v>3</v>
      </c>
      <c r="DG564" s="37">
        <v>3</v>
      </c>
      <c r="DH564" s="37">
        <v>3</v>
      </c>
      <c r="DI564" s="37">
        <v>3</v>
      </c>
      <c r="DJ564" s="37">
        <v>12</v>
      </c>
      <c r="DL564" s="36" t="s">
        <v>417</v>
      </c>
      <c r="DM564" s="37">
        <v>3</v>
      </c>
      <c r="DN564" s="37">
        <v>4</v>
      </c>
      <c r="DO564" s="37">
        <v>5</v>
      </c>
      <c r="DP564" s="37">
        <v>5</v>
      </c>
      <c r="DQ564" s="37">
        <v>17</v>
      </c>
      <c r="DS564" s="36" t="s">
        <v>417</v>
      </c>
      <c r="DT564" s="37">
        <v>6</v>
      </c>
      <c r="DU564" s="37">
        <v>6</v>
      </c>
      <c r="DV564" s="37">
        <v>6</v>
      </c>
      <c r="DW564" s="37">
        <v>6</v>
      </c>
      <c r="DX564" s="37">
        <v>24</v>
      </c>
      <c r="DZ564" s="36" t="s">
        <v>417</v>
      </c>
      <c r="EA564" s="37">
        <v>7</v>
      </c>
      <c r="EB564" s="37">
        <v>7</v>
      </c>
      <c r="EC564" s="37">
        <v>6</v>
      </c>
      <c r="ED564" s="37">
        <v>9</v>
      </c>
      <c r="EE564" s="37">
        <v>29</v>
      </c>
      <c r="EG564" s="36" t="s">
        <v>417</v>
      </c>
      <c r="EH564" s="37">
        <v>9</v>
      </c>
      <c r="EI564" s="37">
        <v>9</v>
      </c>
      <c r="EJ564" s="37">
        <v>8</v>
      </c>
      <c r="EK564" s="37">
        <v>8</v>
      </c>
      <c r="EL564" s="37">
        <v>34</v>
      </c>
      <c r="EN564" s="36" t="s">
        <v>417</v>
      </c>
      <c r="EO564" s="37">
        <v>7</v>
      </c>
      <c r="EP564" s="37">
        <v>11</v>
      </c>
      <c r="EQ564" s="37">
        <v>0</v>
      </c>
      <c r="ER564" s="37">
        <v>0</v>
      </c>
      <c r="ES564" s="37">
        <v>18</v>
      </c>
      <c r="EU564" s="36" t="s">
        <v>417</v>
      </c>
      <c r="FB564" s="36" t="s">
        <v>417</v>
      </c>
      <c r="FI564" s="36" t="s">
        <v>417</v>
      </c>
      <c r="FP564" s="36" t="s">
        <v>417</v>
      </c>
      <c r="FW564" s="36" t="s">
        <v>417</v>
      </c>
      <c r="GD564" s="36" t="s">
        <v>417</v>
      </c>
      <c r="GK564" s="36" t="s">
        <v>417</v>
      </c>
      <c r="GR564" s="36" t="s">
        <v>417</v>
      </c>
      <c r="GY564" s="36" t="s">
        <v>417</v>
      </c>
      <c r="HF564" s="36" t="s">
        <v>417</v>
      </c>
      <c r="HM564" s="36" t="s">
        <v>417</v>
      </c>
      <c r="HT564" s="36" t="s">
        <v>417</v>
      </c>
      <c r="IA564" s="36" t="s">
        <v>417</v>
      </c>
      <c r="IH564" s="36" t="s">
        <v>417</v>
      </c>
      <c r="IO564" s="36" t="s">
        <v>417</v>
      </c>
      <c r="IV564" s="36" t="s">
        <v>417</v>
      </c>
      <c r="JC564" s="36" t="s">
        <v>417</v>
      </c>
      <c r="JJ564" s="36" t="s">
        <v>417</v>
      </c>
      <c r="JQ564" s="36" t="s">
        <v>417</v>
      </c>
      <c r="JX564" s="36" t="s">
        <v>417</v>
      </c>
      <c r="KE564" s="36" t="s">
        <v>417</v>
      </c>
      <c r="KL564" s="36" t="s">
        <v>417</v>
      </c>
      <c r="KS564" s="36" t="s">
        <v>417</v>
      </c>
      <c r="KZ564" s="36" t="s">
        <v>417</v>
      </c>
      <c r="LF564" s="565"/>
      <c r="LG564" s="36" t="s">
        <v>417</v>
      </c>
      <c r="LM564" s="565"/>
      <c r="LN564" s="36" t="s">
        <v>417</v>
      </c>
      <c r="LT564" s="565"/>
      <c r="LU564" s="36" t="s">
        <v>417</v>
      </c>
      <c r="MA564" s="565"/>
      <c r="MB564" s="36" t="s">
        <v>417</v>
      </c>
      <c r="MH564" s="565"/>
    </row>
    <row r="565" spans="1:346" s="37" customFormat="1" ht="13.15" hidden="1" outlineLevel="1" x14ac:dyDescent="0.4">
      <c r="A565" s="35"/>
      <c r="B565" s="36" t="s">
        <v>250</v>
      </c>
      <c r="N565" s="37">
        <f>BT565</f>
        <v>0</v>
      </c>
      <c r="O565" s="37">
        <f>CA565</f>
        <v>0</v>
      </c>
      <c r="P565" s="37">
        <f>CH565</f>
        <v>0</v>
      </c>
      <c r="Q565" s="37">
        <f>CO565</f>
        <v>0</v>
      </c>
      <c r="R565" s="37">
        <f>CV565</f>
        <v>0</v>
      </c>
      <c r="S565" s="37">
        <f>DC565</f>
        <v>0</v>
      </c>
      <c r="T565" s="37">
        <f>DJ565</f>
        <v>0.95</v>
      </c>
      <c r="U565" s="37">
        <f>DQ565</f>
        <v>0.94620253164556967</v>
      </c>
      <c r="V565" s="37">
        <f>DX565</f>
        <v>0.93830334190231357</v>
      </c>
      <c r="W565" s="37">
        <f>EE565</f>
        <v>0.92892156862745101</v>
      </c>
      <c r="X565" s="37">
        <f>EL565</f>
        <v>0.92975206611570249</v>
      </c>
      <c r="Y565" s="37">
        <f>ES565</f>
        <v>0.92996108949416345</v>
      </c>
      <c r="Z565" s="37">
        <f>EZ565</f>
        <v>0</v>
      </c>
      <c r="AA565" s="37">
        <f>FG565</f>
        <v>0</v>
      </c>
      <c r="AB565" s="37">
        <f>FN565</f>
        <v>0</v>
      </c>
      <c r="AC565" s="37">
        <f>FU565</f>
        <v>0</v>
      </c>
      <c r="AD565" s="37">
        <f>GB565</f>
        <v>0</v>
      </c>
      <c r="AE565" s="37">
        <f>GI565</f>
        <v>0</v>
      </c>
      <c r="AF565" s="37">
        <f>GP565</f>
        <v>0</v>
      </c>
      <c r="AG565" s="37">
        <f>GW565</f>
        <v>0</v>
      </c>
      <c r="AH565" s="37">
        <f>HD565</f>
        <v>0</v>
      </c>
      <c r="AI565" s="37">
        <f>HK565</f>
        <v>0</v>
      </c>
      <c r="AJ565" s="37">
        <f>HR565</f>
        <v>0</v>
      </c>
      <c r="AK565" s="37">
        <f>HY565</f>
        <v>0</v>
      </c>
      <c r="AL565" s="37">
        <f>IF565</f>
        <v>0</v>
      </c>
      <c r="AM565" s="37">
        <f>IM565</f>
        <v>0</v>
      </c>
      <c r="AN565" s="37">
        <f>IT565</f>
        <v>0</v>
      </c>
      <c r="AO565" s="37">
        <f>JA565</f>
        <v>0</v>
      </c>
      <c r="AP565" s="37">
        <f>JH565</f>
        <v>0</v>
      </c>
      <c r="AQ565" s="37">
        <f>JO565</f>
        <v>0</v>
      </c>
      <c r="AR565" s="37">
        <f>JV565</f>
        <v>0</v>
      </c>
      <c r="AS565" s="37">
        <f>KC565</f>
        <v>0</v>
      </c>
      <c r="AT565" s="37">
        <f>KJ565</f>
        <v>0</v>
      </c>
      <c r="AU565" s="37">
        <f>KQ565</f>
        <v>0</v>
      </c>
      <c r="AV565" s="37">
        <f>KX565</f>
        <v>0</v>
      </c>
      <c r="AW565" s="37">
        <f>LE565</f>
        <v>0</v>
      </c>
      <c r="AX565" s="37">
        <f>LL565</f>
        <v>0</v>
      </c>
      <c r="AY565" s="37">
        <f>LS565</f>
        <v>0</v>
      </c>
      <c r="AZ565" s="37">
        <f>LZ565</f>
        <v>0</v>
      </c>
      <c r="BA565" s="37">
        <f>MG565</f>
        <v>0</v>
      </c>
      <c r="BO565" s="36" t="s">
        <v>250</v>
      </c>
      <c r="BV565" s="36" t="s">
        <v>250</v>
      </c>
      <c r="CC565" s="36" t="s">
        <v>250</v>
      </c>
      <c r="CJ565" s="36" t="s">
        <v>250</v>
      </c>
      <c r="CQ565" s="36" t="s">
        <v>250</v>
      </c>
      <c r="CX565" s="36" t="s">
        <v>250</v>
      </c>
      <c r="DE565" s="36" t="s">
        <v>250</v>
      </c>
      <c r="DF565" s="37">
        <v>0.94444444444444442</v>
      </c>
      <c r="DG565" s="37">
        <v>0.94736842105263153</v>
      </c>
      <c r="DH565" s="37">
        <v>0.95161290322580649</v>
      </c>
      <c r="DI565" s="37">
        <v>0.95522388059701491</v>
      </c>
      <c r="DJ565" s="37">
        <v>0.95</v>
      </c>
      <c r="DL565" s="36" t="s">
        <v>250</v>
      </c>
      <c r="DM565" s="37">
        <v>0.95774647887323938</v>
      </c>
      <c r="DN565" s="37">
        <v>0.94936708860759489</v>
      </c>
      <c r="DO565" s="37">
        <v>0.93975903614457834</v>
      </c>
      <c r="DP565" s="37">
        <v>0.93975903614457834</v>
      </c>
      <c r="DQ565" s="37">
        <v>0.94620253164556967</v>
      </c>
      <c r="DS565" s="36" t="s">
        <v>250</v>
      </c>
      <c r="DT565" s="37">
        <v>0.93478260869565222</v>
      </c>
      <c r="DU565" s="37">
        <v>0.94230769230769229</v>
      </c>
      <c r="DV565" s="37">
        <v>0.93617021276595747</v>
      </c>
      <c r="DW565" s="37">
        <v>0.93939393939393945</v>
      </c>
      <c r="DX565" s="37">
        <v>0.93830334190231357</v>
      </c>
      <c r="DZ565" s="36" t="s">
        <v>250</v>
      </c>
      <c r="EA565" s="37">
        <v>0.93457943925233644</v>
      </c>
      <c r="EB565" s="37">
        <v>0.93</v>
      </c>
      <c r="EC565" s="37">
        <v>0.93333333333333335</v>
      </c>
      <c r="ED565" s="37">
        <v>0.91891891891891897</v>
      </c>
      <c r="EE565" s="37">
        <v>0.92892156862745101</v>
      </c>
      <c r="EG565" s="36" t="s">
        <v>250</v>
      </c>
      <c r="EH565" s="37">
        <v>0.92500000000000004</v>
      </c>
      <c r="EI565" s="37">
        <v>0.92307692307692313</v>
      </c>
      <c r="EJ565" s="37">
        <v>0.92727272727272725</v>
      </c>
      <c r="EK565" s="37">
        <v>0.94160583941605835</v>
      </c>
      <c r="EL565" s="37">
        <v>0.92975206611570249</v>
      </c>
      <c r="EN565" s="36" t="s">
        <v>250</v>
      </c>
      <c r="EO565" s="37">
        <v>0.94444444444444442</v>
      </c>
      <c r="EP565" s="37">
        <v>0.91603053435114501</v>
      </c>
      <c r="EQ565" s="37" t="e">
        <v>#DIV/0!</v>
      </c>
      <c r="ER565" s="37" t="e">
        <v>#DIV/0!</v>
      </c>
      <c r="ES565" s="37">
        <v>0.92996108949416345</v>
      </c>
      <c r="EU565" s="36" t="s">
        <v>250</v>
      </c>
      <c r="FB565" s="36" t="s">
        <v>250</v>
      </c>
      <c r="FI565" s="36" t="s">
        <v>250</v>
      </c>
      <c r="FP565" s="36" t="s">
        <v>250</v>
      </c>
      <c r="FW565" s="36" t="s">
        <v>250</v>
      </c>
      <c r="GD565" s="36" t="s">
        <v>250</v>
      </c>
      <c r="GK565" s="36" t="s">
        <v>250</v>
      </c>
      <c r="GR565" s="36" t="s">
        <v>250</v>
      </c>
      <c r="GY565" s="36" t="s">
        <v>250</v>
      </c>
      <c r="HF565" s="36" t="s">
        <v>250</v>
      </c>
      <c r="HM565" s="36" t="s">
        <v>250</v>
      </c>
      <c r="HT565" s="36" t="s">
        <v>250</v>
      </c>
      <c r="IA565" s="36" t="s">
        <v>250</v>
      </c>
      <c r="IH565" s="36" t="s">
        <v>250</v>
      </c>
      <c r="IO565" s="36" t="s">
        <v>250</v>
      </c>
      <c r="IV565" s="36" t="s">
        <v>250</v>
      </c>
      <c r="JC565" s="36" t="s">
        <v>250</v>
      </c>
      <c r="JJ565" s="36" t="s">
        <v>250</v>
      </c>
      <c r="JQ565" s="36" t="s">
        <v>250</v>
      </c>
      <c r="JX565" s="36" t="s">
        <v>250</v>
      </c>
      <c r="KE565" s="36" t="s">
        <v>250</v>
      </c>
      <c r="KL565" s="36" t="s">
        <v>250</v>
      </c>
      <c r="KS565" s="36" t="s">
        <v>250</v>
      </c>
      <c r="KZ565" s="36" t="s">
        <v>250</v>
      </c>
      <c r="LF565" s="565"/>
      <c r="LG565" s="36" t="s">
        <v>250</v>
      </c>
      <c r="LM565" s="565"/>
      <c r="LN565" s="36" t="s">
        <v>250</v>
      </c>
      <c r="LT565" s="565"/>
      <c r="LU565" s="36" t="s">
        <v>250</v>
      </c>
      <c r="MA565" s="565"/>
      <c r="MB565" s="36" t="s">
        <v>250</v>
      </c>
      <c r="MH565" s="565"/>
    </row>
    <row r="566" spans="1:346" s="37" customFormat="1" ht="13.15" hidden="1" outlineLevel="1" x14ac:dyDescent="0.4">
      <c r="A566" s="35"/>
      <c r="B566" s="36" t="s">
        <v>418</v>
      </c>
      <c r="N566" s="37">
        <f>BT566</f>
        <v>0</v>
      </c>
      <c r="O566" s="37">
        <f>CA566</f>
        <v>0</v>
      </c>
      <c r="P566" s="37">
        <f>CH566</f>
        <v>0</v>
      </c>
      <c r="Q566" s="37">
        <f>CO566</f>
        <v>0</v>
      </c>
      <c r="R566" s="37">
        <f>CV566</f>
        <v>0</v>
      </c>
      <c r="S566" s="37">
        <f>DC566</f>
        <v>0</v>
      </c>
      <c r="T566" s="37">
        <f>DJ566</f>
        <v>0</v>
      </c>
      <c r="U566" s="37">
        <f>DQ566</f>
        <v>0.41666666666666674</v>
      </c>
      <c r="V566" s="37">
        <f>DX566</f>
        <v>0.41176470588235303</v>
      </c>
      <c r="W566" s="37">
        <f>EE566</f>
        <v>0.20833333333333326</v>
      </c>
      <c r="X566" s="37">
        <f>EL566</f>
        <v>0.17241379310344818</v>
      </c>
      <c r="Y566" s="37">
        <f>ES566</f>
        <v>-0.47058823529411764</v>
      </c>
      <c r="Z566" s="37">
        <f>EZ566</f>
        <v>0</v>
      </c>
      <c r="AA566" s="37">
        <f>FG566</f>
        <v>0</v>
      </c>
      <c r="AB566" s="37">
        <f>FN566</f>
        <v>0</v>
      </c>
      <c r="AC566" s="37">
        <f>FU566</f>
        <v>0</v>
      </c>
      <c r="AD566" s="37">
        <f>GB566</f>
        <v>0</v>
      </c>
      <c r="AE566" s="37">
        <f>GI566</f>
        <v>0</v>
      </c>
      <c r="AF566" s="37">
        <f>GP566</f>
        <v>0</v>
      </c>
      <c r="AG566" s="37">
        <f>GW566</f>
        <v>0</v>
      </c>
      <c r="AH566" s="37">
        <f>HD566</f>
        <v>0</v>
      </c>
      <c r="AI566" s="37">
        <f>HK566</f>
        <v>0</v>
      </c>
      <c r="AJ566" s="37">
        <f>HR566</f>
        <v>0</v>
      </c>
      <c r="AK566" s="37">
        <f>HY566</f>
        <v>0</v>
      </c>
      <c r="AL566" s="37">
        <f>IF566</f>
        <v>0</v>
      </c>
      <c r="AM566" s="37">
        <f>IM566</f>
        <v>0</v>
      </c>
      <c r="AN566" s="37">
        <f>IT566</f>
        <v>0</v>
      </c>
      <c r="AO566" s="37">
        <f>JA566</f>
        <v>0</v>
      </c>
      <c r="AP566" s="37">
        <f>JH566</f>
        <v>0</v>
      </c>
      <c r="AQ566" s="37">
        <f>JO566</f>
        <v>0</v>
      </c>
      <c r="AR566" s="37">
        <f>JV566</f>
        <v>0</v>
      </c>
      <c r="AS566" s="37">
        <f>KC566</f>
        <v>0</v>
      </c>
      <c r="AT566" s="37">
        <f>KJ566</f>
        <v>0</v>
      </c>
      <c r="AU566" s="37">
        <f>KQ566</f>
        <v>0</v>
      </c>
      <c r="AV566" s="37">
        <f>KX566</f>
        <v>0</v>
      </c>
      <c r="AW566" s="37">
        <f>LE566</f>
        <v>0</v>
      </c>
      <c r="AX566" s="37">
        <f>LL566</f>
        <v>0</v>
      </c>
      <c r="AY566" s="37">
        <f>LS566</f>
        <v>0</v>
      </c>
      <c r="AZ566" s="37">
        <f>LZ566</f>
        <v>0</v>
      </c>
      <c r="BA566" s="37">
        <f>MG566</f>
        <v>0</v>
      </c>
      <c r="BO566" s="36" t="s">
        <v>418</v>
      </c>
      <c r="BV566" s="36" t="s">
        <v>418</v>
      </c>
      <c r="CC566" s="36" t="s">
        <v>418</v>
      </c>
      <c r="CJ566" s="36" t="s">
        <v>418</v>
      </c>
      <c r="CQ566" s="36" t="s">
        <v>418</v>
      </c>
      <c r="CX566" s="36" t="s">
        <v>418</v>
      </c>
      <c r="DE566" s="36" t="s">
        <v>418</v>
      </c>
      <c r="DL566" s="36" t="s">
        <v>418</v>
      </c>
      <c r="DM566" s="37">
        <v>0</v>
      </c>
      <c r="DN566" s="37">
        <v>0.33333333333333326</v>
      </c>
      <c r="DO566" s="37">
        <v>0.66666666666666674</v>
      </c>
      <c r="DP566" s="37">
        <v>0.66666666666666674</v>
      </c>
      <c r="DQ566" s="37">
        <v>0.41666666666666674</v>
      </c>
      <c r="DS566" s="36" t="s">
        <v>418</v>
      </c>
      <c r="DT566" s="37">
        <v>1</v>
      </c>
      <c r="DU566" s="37">
        <v>0.5</v>
      </c>
      <c r="DV566" s="37">
        <v>0.19999999999999996</v>
      </c>
      <c r="DW566" s="37">
        <v>0.19999999999999996</v>
      </c>
      <c r="DX566" s="37">
        <v>0.41176470588235303</v>
      </c>
      <c r="DZ566" s="36" t="s">
        <v>418</v>
      </c>
      <c r="EA566" s="37">
        <v>0.16666666666666674</v>
      </c>
      <c r="EB566" s="37">
        <v>0.16666666666666674</v>
      </c>
      <c r="EC566" s="37">
        <v>0</v>
      </c>
      <c r="ED566" s="37">
        <v>0.5</v>
      </c>
      <c r="EE566" s="37">
        <v>0.20833333333333326</v>
      </c>
      <c r="EG566" s="36" t="s">
        <v>418</v>
      </c>
      <c r="EH566" s="37">
        <v>0.28571428571428581</v>
      </c>
      <c r="EI566" s="37">
        <v>0.28571428571428581</v>
      </c>
      <c r="EJ566" s="37">
        <v>0.33333333333333326</v>
      </c>
      <c r="EK566" s="37">
        <v>-0.11111111111111116</v>
      </c>
      <c r="EL566" s="37">
        <v>0.17241379310344818</v>
      </c>
      <c r="EN566" s="36" t="s">
        <v>418</v>
      </c>
      <c r="EO566" s="37">
        <v>-0.22222222222222221</v>
      </c>
      <c r="EP566" s="37">
        <v>0.22222222222222232</v>
      </c>
      <c r="EQ566" s="37">
        <v>-1</v>
      </c>
      <c r="ER566" s="37">
        <v>-1</v>
      </c>
      <c r="ES566" s="37">
        <v>-0.47058823529411764</v>
      </c>
      <c r="EU566" s="36" t="s">
        <v>418</v>
      </c>
      <c r="FB566" s="36" t="s">
        <v>418</v>
      </c>
      <c r="FI566" s="36" t="s">
        <v>418</v>
      </c>
      <c r="FP566" s="36" t="s">
        <v>418</v>
      </c>
      <c r="FW566" s="36" t="s">
        <v>418</v>
      </c>
      <c r="GD566" s="36" t="s">
        <v>418</v>
      </c>
      <c r="GK566" s="36" t="s">
        <v>418</v>
      </c>
      <c r="GR566" s="36" t="s">
        <v>418</v>
      </c>
      <c r="GY566" s="36" t="s">
        <v>418</v>
      </c>
      <c r="HF566" s="36" t="s">
        <v>418</v>
      </c>
      <c r="HM566" s="36" t="s">
        <v>418</v>
      </c>
      <c r="HT566" s="36" t="s">
        <v>418</v>
      </c>
      <c r="IA566" s="36" t="s">
        <v>418</v>
      </c>
      <c r="IH566" s="36" t="s">
        <v>418</v>
      </c>
      <c r="IO566" s="36" t="s">
        <v>418</v>
      </c>
      <c r="IV566" s="36" t="s">
        <v>418</v>
      </c>
      <c r="JC566" s="36" t="s">
        <v>418</v>
      </c>
      <c r="JJ566" s="36" t="s">
        <v>418</v>
      </c>
      <c r="JQ566" s="36" t="s">
        <v>418</v>
      </c>
      <c r="JX566" s="36" t="s">
        <v>418</v>
      </c>
      <c r="KE566" s="36" t="s">
        <v>418</v>
      </c>
      <c r="KL566" s="36" t="s">
        <v>418</v>
      </c>
      <c r="KS566" s="36" t="s">
        <v>418</v>
      </c>
      <c r="KZ566" s="36" t="s">
        <v>418</v>
      </c>
      <c r="LF566" s="565"/>
      <c r="LG566" s="36" t="s">
        <v>418</v>
      </c>
      <c r="LM566" s="565"/>
      <c r="LN566" s="36" t="s">
        <v>418</v>
      </c>
      <c r="LT566" s="565"/>
      <c r="LU566" s="36" t="s">
        <v>418</v>
      </c>
      <c r="MA566" s="565"/>
      <c r="MB566" s="36" t="s">
        <v>418</v>
      </c>
      <c r="MH566" s="565"/>
    </row>
    <row r="567" spans="1:346" s="37" customFormat="1" ht="13.15" hidden="1" outlineLevel="1" x14ac:dyDescent="0.4">
      <c r="A567" s="35"/>
      <c r="B567" s="36" t="s">
        <v>469</v>
      </c>
      <c r="BO567" s="36" t="s">
        <v>469</v>
      </c>
      <c r="BV567" s="36" t="s">
        <v>469</v>
      </c>
      <c r="CC567" s="36" t="s">
        <v>469</v>
      </c>
      <c r="CJ567" s="36" t="s">
        <v>469</v>
      </c>
      <c r="CQ567" s="36" t="s">
        <v>469</v>
      </c>
      <c r="CX567" s="36" t="s">
        <v>469</v>
      </c>
      <c r="DE567" s="36" t="s">
        <v>469</v>
      </c>
      <c r="DL567" s="36" t="s">
        <v>469</v>
      </c>
      <c r="DS567" s="36" t="s">
        <v>469</v>
      </c>
      <c r="DZ567" s="36" t="s">
        <v>469</v>
      </c>
      <c r="EG567" s="36" t="s">
        <v>469</v>
      </c>
      <c r="EN567" s="36" t="s">
        <v>469</v>
      </c>
      <c r="EU567" s="36" t="s">
        <v>469</v>
      </c>
      <c r="FB567" s="36" t="s">
        <v>469</v>
      </c>
      <c r="FI567" s="36" t="s">
        <v>469</v>
      </c>
      <c r="FP567" s="36" t="s">
        <v>469</v>
      </c>
      <c r="FW567" s="36" t="s">
        <v>469</v>
      </c>
      <c r="GD567" s="36" t="s">
        <v>469</v>
      </c>
      <c r="GK567" s="36" t="s">
        <v>469</v>
      </c>
      <c r="GR567" s="36" t="s">
        <v>469</v>
      </c>
      <c r="GY567" s="36" t="s">
        <v>469</v>
      </c>
      <c r="HF567" s="36" t="s">
        <v>469</v>
      </c>
      <c r="HM567" s="36" t="s">
        <v>469</v>
      </c>
      <c r="HT567" s="36" t="s">
        <v>469</v>
      </c>
      <c r="IA567" s="36" t="s">
        <v>469</v>
      </c>
      <c r="IH567" s="36" t="s">
        <v>469</v>
      </c>
      <c r="IO567" s="36" t="s">
        <v>469</v>
      </c>
      <c r="IV567" s="36" t="s">
        <v>469</v>
      </c>
      <c r="JC567" s="36" t="s">
        <v>469</v>
      </c>
      <c r="JJ567" s="36" t="s">
        <v>469</v>
      </c>
      <c r="JQ567" s="36" t="s">
        <v>469</v>
      </c>
      <c r="JX567" s="36" t="s">
        <v>469</v>
      </c>
      <c r="KE567" s="36" t="s">
        <v>469</v>
      </c>
      <c r="KL567" s="36" t="s">
        <v>469</v>
      </c>
      <c r="KS567" s="36" t="s">
        <v>469</v>
      </c>
      <c r="KZ567" s="36" t="s">
        <v>469</v>
      </c>
      <c r="LF567" s="565"/>
      <c r="LG567" s="36" t="s">
        <v>469</v>
      </c>
      <c r="LM567" s="565"/>
      <c r="LN567" s="36" t="s">
        <v>469</v>
      </c>
      <c r="LT567" s="565"/>
      <c r="LU567" s="36" t="s">
        <v>469</v>
      </c>
      <c r="MA567" s="565"/>
      <c r="MB567" s="36" t="s">
        <v>469</v>
      </c>
      <c r="MH567" s="565"/>
    </row>
    <row r="568" spans="1:346" s="37" customFormat="1" ht="13.15" hidden="1" outlineLevel="1" x14ac:dyDescent="0.4">
      <c r="A568" s="35"/>
      <c r="B568" s="36"/>
      <c r="BO568" s="36"/>
      <c r="BV568" s="36"/>
      <c r="CC568" s="36"/>
      <c r="CJ568" s="36"/>
      <c r="CQ568" s="36"/>
      <c r="CX568" s="36"/>
      <c r="DE568" s="36"/>
      <c r="DL568" s="36"/>
      <c r="DS568" s="36"/>
      <c r="DZ568" s="36"/>
      <c r="EG568" s="36"/>
      <c r="EN568" s="36"/>
      <c r="EU568" s="36"/>
      <c r="FB568" s="36"/>
      <c r="FI568" s="36"/>
      <c r="FP568" s="36"/>
      <c r="FW568" s="36"/>
      <c r="GD568" s="36"/>
      <c r="GK568" s="36"/>
      <c r="GR568" s="36"/>
      <c r="GY568" s="36"/>
      <c r="HF568" s="36"/>
      <c r="HM568" s="36"/>
      <c r="HT568" s="36"/>
      <c r="IA568" s="36"/>
      <c r="IH568" s="36"/>
      <c r="IO568" s="36"/>
      <c r="IV568" s="36"/>
      <c r="JC568" s="36"/>
      <c r="JJ568" s="36"/>
      <c r="JQ568" s="36"/>
      <c r="JX568" s="36"/>
      <c r="KE568" s="36"/>
      <c r="KL568" s="36"/>
      <c r="KS568" s="36"/>
      <c r="KZ568" s="36"/>
      <c r="LF568" s="565"/>
      <c r="LG568" s="36"/>
      <c r="LM568" s="565"/>
      <c r="LN568" s="36"/>
      <c r="LT568" s="565"/>
      <c r="LU568" s="36"/>
      <c r="MA568" s="565"/>
      <c r="MB568" s="36"/>
      <c r="MH568" s="565"/>
    </row>
    <row r="569" spans="1:346" collapsed="1" x14ac:dyDescent="0.4"/>
  </sheetData>
  <hyperlinks>
    <hyperlink ref="B337" r:id="rId1" display="https://www.stb.gov/reports-data/economic-data/revenue-expense-income/" xr:uid="{D1C36F3A-3380-4087-9F44-E2305789881B}"/>
    <hyperlink ref="B343" r:id="rId2" display="https://www.stb.gov/reports-data/economic-data/condensed-balance-sheet/" xr:uid="{579D3197-4750-4AAF-A139-B9ACEBF97872}"/>
    <hyperlink ref="B354" r:id="rId3" display="https://www.stb.gov/reports-data/economic-data/quarterly-rail-fuel-surcharges/" xr:uid="{2DAF077B-966C-4A0E-B976-85E66BEFE0B7}"/>
    <hyperlink ref="BO337" r:id="rId4" display="https://www.stb.gov/reports-data/economic-data/revenue-expense-income/" xr:uid="{060221ED-F8E7-4B84-83B1-5C3E690D9D83}"/>
    <hyperlink ref="BO343" r:id="rId5" display="https://www.stb.gov/reports-data/economic-data/condensed-balance-sheet/" xr:uid="{84376068-5381-4C11-870A-4239CCCACABE}"/>
    <hyperlink ref="BO354" r:id="rId6" display="https://www.stb.gov/reports-data/economic-data/quarterly-rail-fuel-surcharges/" xr:uid="{51A5D10E-A958-474F-A9BC-4566D809DA41}"/>
    <hyperlink ref="BV337" r:id="rId7" display="https://www.stb.gov/reports-data/economic-data/revenue-expense-income/" xr:uid="{D735ED99-B584-400D-BA0E-A937958C720F}"/>
    <hyperlink ref="BV343" r:id="rId8" display="https://www.stb.gov/reports-data/economic-data/condensed-balance-sheet/" xr:uid="{0ACCBC31-A6F5-4E79-98FB-935C49E987B2}"/>
    <hyperlink ref="BV354" r:id="rId9" display="https://www.stb.gov/reports-data/economic-data/quarterly-rail-fuel-surcharges/" xr:uid="{00F00494-43BD-4977-A221-3DA15C68B5E1}"/>
    <hyperlink ref="CC337" r:id="rId10" display="https://www.stb.gov/reports-data/economic-data/revenue-expense-income/" xr:uid="{91A07778-968C-4DF6-BB7D-6D10B1D17E77}"/>
    <hyperlink ref="CC343" r:id="rId11" display="https://www.stb.gov/reports-data/economic-data/condensed-balance-sheet/" xr:uid="{6FA7F6A0-08B5-46B0-BDA5-612F5BD02D02}"/>
    <hyperlink ref="CC354" r:id="rId12" display="https://www.stb.gov/reports-data/economic-data/quarterly-rail-fuel-surcharges/" xr:uid="{4011AAAB-5A7C-43DD-8C21-4987B639EA1E}"/>
    <hyperlink ref="CJ337" r:id="rId13" display="https://www.stb.gov/reports-data/economic-data/revenue-expense-income/" xr:uid="{67AFCA7C-EBF6-42E3-B62C-B9B3ACB4EE54}"/>
    <hyperlink ref="CJ343" r:id="rId14" display="https://www.stb.gov/reports-data/economic-data/condensed-balance-sheet/" xr:uid="{58631C4D-AAEC-4C40-AE58-1467F4743476}"/>
    <hyperlink ref="CJ354" r:id="rId15" display="https://www.stb.gov/reports-data/economic-data/quarterly-rail-fuel-surcharges/" xr:uid="{A9A65017-0A29-4121-8582-F81F2C91D397}"/>
    <hyperlink ref="CQ337" r:id="rId16" display="https://www.stb.gov/reports-data/economic-data/revenue-expense-income/" xr:uid="{5E3AB68F-590E-41D2-907A-A4418B93C40D}"/>
    <hyperlink ref="CQ343" r:id="rId17" display="https://www.stb.gov/reports-data/economic-data/condensed-balance-sheet/" xr:uid="{88B68FDC-A015-4C4D-A158-EF1479F560A3}"/>
    <hyperlink ref="CQ354" r:id="rId18" display="https://www.stb.gov/reports-data/economic-data/quarterly-rail-fuel-surcharges/" xr:uid="{4C4DA032-1355-4CFF-B1A9-5C4AE5ED17EB}"/>
    <hyperlink ref="CX337" r:id="rId19" display="https://www.stb.gov/reports-data/economic-data/revenue-expense-income/" xr:uid="{828F8C60-5528-4D68-9CBB-0ACF66543EC5}"/>
    <hyperlink ref="CX343" r:id="rId20" display="https://www.stb.gov/reports-data/economic-data/condensed-balance-sheet/" xr:uid="{E56F7B14-F8CC-43E8-BADB-57016514E74C}"/>
    <hyperlink ref="CX354" r:id="rId21" display="https://www.stb.gov/reports-data/economic-data/quarterly-rail-fuel-surcharges/" xr:uid="{2643ACD0-4ADB-49A6-A106-8921313F83E7}"/>
    <hyperlink ref="DE337" r:id="rId22" display="https://www.stb.gov/reports-data/economic-data/revenue-expense-income/" xr:uid="{4161D440-E91B-4DD8-BC14-3BF47513B6D4}"/>
    <hyperlink ref="DE343" r:id="rId23" display="https://www.stb.gov/reports-data/economic-data/condensed-balance-sheet/" xr:uid="{247B1BC8-F4C4-48DA-BB58-1CBDCCBBA36E}"/>
    <hyperlink ref="DE354" r:id="rId24" display="https://www.stb.gov/reports-data/economic-data/quarterly-rail-fuel-surcharges/" xr:uid="{003108F9-9133-4D4D-8CFA-F2FB96E04C67}"/>
    <hyperlink ref="DL337" r:id="rId25" display="https://www.stb.gov/reports-data/economic-data/revenue-expense-income/" xr:uid="{87386192-167D-4CDC-94E7-76F49F5C1E25}"/>
    <hyperlink ref="DL343" r:id="rId26" display="https://www.stb.gov/reports-data/economic-data/condensed-balance-sheet/" xr:uid="{EED4FD29-9C9E-4DF5-81EF-26AC2CAC09D8}"/>
    <hyperlink ref="DL354" r:id="rId27" display="https://www.stb.gov/reports-data/economic-data/quarterly-rail-fuel-surcharges/" xr:uid="{0B986C7D-910B-4C4E-8A4F-8D3941C71CB5}"/>
    <hyperlink ref="DS337" r:id="rId28" display="https://www.stb.gov/reports-data/economic-data/revenue-expense-income/" xr:uid="{DE1A0405-5B81-443C-AD74-22DDA143555B}"/>
    <hyperlink ref="DS343" r:id="rId29" display="https://www.stb.gov/reports-data/economic-data/condensed-balance-sheet/" xr:uid="{BBEBAFCB-BA0A-4100-98A2-61CF0151FB48}"/>
    <hyperlink ref="DS354" r:id="rId30" display="https://www.stb.gov/reports-data/economic-data/quarterly-rail-fuel-surcharges/" xr:uid="{EE66D17A-B9E9-47EA-BAB7-B41EDAAE6A40}"/>
    <hyperlink ref="DZ337" r:id="rId31" display="https://www.stb.gov/reports-data/economic-data/revenue-expense-income/" xr:uid="{6B5AFE20-31CD-4A87-BDD8-F69B1F3D4812}"/>
    <hyperlink ref="DZ343" r:id="rId32" display="https://www.stb.gov/reports-data/economic-data/condensed-balance-sheet/" xr:uid="{F49D7490-1C0F-44F3-8A5B-6A6222261182}"/>
    <hyperlink ref="DZ354" r:id="rId33" display="https://www.stb.gov/reports-data/economic-data/quarterly-rail-fuel-surcharges/" xr:uid="{A0F2DB7C-8F27-4824-8D70-A2CC0E20E616}"/>
    <hyperlink ref="EG337" r:id="rId34" display="https://www.stb.gov/reports-data/economic-data/revenue-expense-income/" xr:uid="{7DA80873-942B-49B9-AE57-CB7B25CC1128}"/>
    <hyperlink ref="EG343" r:id="rId35" display="https://www.stb.gov/reports-data/economic-data/condensed-balance-sheet/" xr:uid="{61490AFB-DE74-4919-885C-B03A66FED87E}"/>
    <hyperlink ref="EG354" r:id="rId36" display="https://www.stb.gov/reports-data/economic-data/quarterly-rail-fuel-surcharges/" xr:uid="{A0F812B9-7856-4ABD-B7C9-D1DC598D8331}"/>
    <hyperlink ref="EN337" r:id="rId37" display="https://www.stb.gov/reports-data/economic-data/revenue-expense-income/" xr:uid="{21F66041-1331-4CEA-B4FE-9D53A05BB55D}"/>
    <hyperlink ref="EN343" r:id="rId38" display="https://www.stb.gov/reports-data/economic-data/condensed-balance-sheet/" xr:uid="{392E8A15-F021-4EBA-A3F1-5CC4A9B77BDE}"/>
    <hyperlink ref="EN354" r:id="rId39" display="https://www.stb.gov/reports-data/economic-data/quarterly-rail-fuel-surcharges/" xr:uid="{334A227D-51BC-4A20-B136-A62D59C1E2CE}"/>
    <hyperlink ref="EU337" r:id="rId40" display="https://www.stb.gov/reports-data/economic-data/revenue-expense-income/" xr:uid="{D1ECEA9B-370A-4AA6-9AE6-F344B709301B}"/>
    <hyperlink ref="EU343" r:id="rId41" display="https://www.stb.gov/reports-data/economic-data/condensed-balance-sheet/" xr:uid="{FC26A6A9-373C-4450-A492-7FBF2792FB40}"/>
    <hyperlink ref="EU354" r:id="rId42" display="https://www.stb.gov/reports-data/economic-data/quarterly-rail-fuel-surcharges/" xr:uid="{37833CCA-A7D5-4CE8-B650-A308D888B212}"/>
    <hyperlink ref="FB337" r:id="rId43" display="https://www.stb.gov/reports-data/economic-data/revenue-expense-income/" xr:uid="{C37BC481-010D-4657-909E-4B8BE2536CF0}"/>
    <hyperlink ref="FB343" r:id="rId44" display="https://www.stb.gov/reports-data/economic-data/condensed-balance-sheet/" xr:uid="{7F57E4CD-F37C-4A2D-8157-960746D1F6DC}"/>
    <hyperlink ref="FB354" r:id="rId45" display="https://www.stb.gov/reports-data/economic-data/quarterly-rail-fuel-surcharges/" xr:uid="{5F24E088-A7FC-422D-8DA8-53E036A6A844}"/>
    <hyperlink ref="FI337" r:id="rId46" display="https://www.stb.gov/reports-data/economic-data/revenue-expense-income/" xr:uid="{AA7044E0-EB20-4A64-9141-87D9589CABB4}"/>
    <hyperlink ref="FI343" r:id="rId47" display="https://www.stb.gov/reports-data/economic-data/condensed-balance-sheet/" xr:uid="{8B314404-4870-4596-A8D8-77328A246295}"/>
    <hyperlink ref="FI354" r:id="rId48" display="https://www.stb.gov/reports-data/economic-data/quarterly-rail-fuel-surcharges/" xr:uid="{7C374B92-B654-4EAF-8E6A-B9768C3754F8}"/>
    <hyperlink ref="FP337" r:id="rId49" display="https://www.stb.gov/reports-data/economic-data/revenue-expense-income/" xr:uid="{C5EFADE7-293C-43C1-BAB4-200B96550968}"/>
    <hyperlink ref="FP343" r:id="rId50" display="https://www.stb.gov/reports-data/economic-data/condensed-balance-sheet/" xr:uid="{B13CE2B0-00D9-4443-B69D-A6EAAECA64C6}"/>
    <hyperlink ref="FP354" r:id="rId51" display="https://www.stb.gov/reports-data/economic-data/quarterly-rail-fuel-surcharges/" xr:uid="{F949CD4D-AED5-490E-B507-66970A08C6BA}"/>
    <hyperlink ref="FW337" r:id="rId52" display="https://www.stb.gov/reports-data/economic-data/revenue-expense-income/" xr:uid="{843D7232-FA01-4D48-B2D9-5DA97F389238}"/>
    <hyperlink ref="FW343" r:id="rId53" display="https://www.stb.gov/reports-data/economic-data/condensed-balance-sheet/" xr:uid="{9D74E9DB-8E7B-4467-BD3C-EDFEF9DF044C}"/>
    <hyperlink ref="FW354" r:id="rId54" display="https://www.stb.gov/reports-data/economic-data/quarterly-rail-fuel-surcharges/" xr:uid="{F20261C9-BB0F-4CC2-860C-BE46CA2B0857}"/>
    <hyperlink ref="GD337" r:id="rId55" display="https://www.stb.gov/reports-data/economic-data/revenue-expense-income/" xr:uid="{512EDA32-66E3-4D20-BBC8-03CDA0C6FDDE}"/>
    <hyperlink ref="GD343" r:id="rId56" display="https://www.stb.gov/reports-data/economic-data/condensed-balance-sheet/" xr:uid="{A5C85973-02EE-42C0-94A2-3E1B71692CFE}"/>
    <hyperlink ref="GD354" r:id="rId57" display="https://www.stb.gov/reports-data/economic-data/quarterly-rail-fuel-surcharges/" xr:uid="{9D9A9213-A887-4B91-8EFF-761E461CFB3D}"/>
    <hyperlink ref="GK337" r:id="rId58" display="https://www.stb.gov/reports-data/economic-data/revenue-expense-income/" xr:uid="{758A57AF-5A4F-4232-96A0-0F84A57F7ECB}"/>
    <hyperlink ref="GK343" r:id="rId59" display="https://www.stb.gov/reports-data/economic-data/condensed-balance-sheet/" xr:uid="{F0AAFB84-09C4-42F3-AE7C-0BA2D10C60C5}"/>
    <hyperlink ref="GK354" r:id="rId60" display="https://www.stb.gov/reports-data/economic-data/quarterly-rail-fuel-surcharges/" xr:uid="{63C0E719-321E-4AD6-942F-7DA6B640AE53}"/>
    <hyperlink ref="GR337" r:id="rId61" display="https://www.stb.gov/reports-data/economic-data/revenue-expense-income/" xr:uid="{F24BA1B8-C709-448C-A6C9-0E1EBD8AD43A}"/>
    <hyperlink ref="GR343" r:id="rId62" display="https://www.stb.gov/reports-data/economic-data/condensed-balance-sheet/" xr:uid="{BCA31E12-362B-4D48-B303-A86FC5A7B2D8}"/>
    <hyperlink ref="GR354" r:id="rId63" display="https://www.stb.gov/reports-data/economic-data/quarterly-rail-fuel-surcharges/" xr:uid="{51A94473-1ED9-4351-B0C3-D4572AFFD77E}"/>
    <hyperlink ref="GY337" r:id="rId64" display="https://www.stb.gov/reports-data/economic-data/revenue-expense-income/" xr:uid="{E7A25355-1398-45FB-9731-1774AC34A8D0}"/>
    <hyperlink ref="GY343" r:id="rId65" display="https://www.stb.gov/reports-data/economic-data/condensed-balance-sheet/" xr:uid="{84D6E9AF-D440-452C-9E0C-CBECAB6F80BA}"/>
    <hyperlink ref="GY354" r:id="rId66" display="https://www.stb.gov/reports-data/economic-data/quarterly-rail-fuel-surcharges/" xr:uid="{192C134D-95D4-4776-A5EE-9A1DB326BE00}"/>
    <hyperlink ref="HF337" r:id="rId67" display="https://www.stb.gov/reports-data/economic-data/revenue-expense-income/" xr:uid="{C30764F6-73E1-4190-90DA-F47F85490A74}"/>
    <hyperlink ref="HF343" r:id="rId68" display="https://www.stb.gov/reports-data/economic-data/condensed-balance-sheet/" xr:uid="{8C6E4993-9672-47A5-BAC3-AAF8B6AE451D}"/>
    <hyperlink ref="HF354" r:id="rId69" display="https://www.stb.gov/reports-data/economic-data/quarterly-rail-fuel-surcharges/" xr:uid="{6841C816-11A0-4A60-8426-60E6CEAF1259}"/>
    <hyperlink ref="HM337" r:id="rId70" display="https://www.stb.gov/reports-data/economic-data/revenue-expense-income/" xr:uid="{E3565371-4684-4E17-BC9F-71058709DA22}"/>
    <hyperlink ref="HM343" r:id="rId71" display="https://www.stb.gov/reports-data/economic-data/condensed-balance-sheet/" xr:uid="{F5ABD31A-EB17-493E-8C04-0C62552DC31D}"/>
    <hyperlink ref="HM354" r:id="rId72" display="https://www.stb.gov/reports-data/economic-data/quarterly-rail-fuel-surcharges/" xr:uid="{86480D6F-B9C7-4751-AB8A-6134ED741799}"/>
    <hyperlink ref="HT337" r:id="rId73" display="https://www.stb.gov/reports-data/economic-data/revenue-expense-income/" xr:uid="{5DBC78EB-7B04-4D6A-87A3-5C65EE30F205}"/>
    <hyperlink ref="HT343" r:id="rId74" display="https://www.stb.gov/reports-data/economic-data/condensed-balance-sheet/" xr:uid="{441D1094-F119-4F34-A23C-387582403BB7}"/>
    <hyperlink ref="HT354" r:id="rId75" display="https://www.stb.gov/reports-data/economic-data/quarterly-rail-fuel-surcharges/" xr:uid="{C06810FE-52E3-490E-87AF-C5463682AD83}"/>
    <hyperlink ref="IA337" r:id="rId76" display="https://www.stb.gov/reports-data/economic-data/revenue-expense-income/" xr:uid="{FD8E016E-908C-4E48-9206-8D2179689EE1}"/>
    <hyperlink ref="IA343" r:id="rId77" display="https://www.stb.gov/reports-data/economic-data/condensed-balance-sheet/" xr:uid="{EE8265B3-2BB2-4868-8B2E-E43D07FC5E90}"/>
    <hyperlink ref="IA354" r:id="rId78" display="https://www.stb.gov/reports-data/economic-data/quarterly-rail-fuel-surcharges/" xr:uid="{471BAEB3-C0E6-45DB-AD7C-EB2BFE64367D}"/>
    <hyperlink ref="IH337" r:id="rId79" display="https://www.stb.gov/reports-data/economic-data/revenue-expense-income/" xr:uid="{3E9780D5-4821-4A04-845E-741B2C4BA020}"/>
    <hyperlink ref="IH343" r:id="rId80" display="https://www.stb.gov/reports-data/economic-data/condensed-balance-sheet/" xr:uid="{35F6C157-2079-463F-8C33-27F708D45054}"/>
    <hyperlink ref="IH354" r:id="rId81" display="https://www.stb.gov/reports-data/economic-data/quarterly-rail-fuel-surcharges/" xr:uid="{349DE9A8-0BC5-460E-BA9A-E0A1038B525B}"/>
    <hyperlink ref="IO337" r:id="rId82" display="https://www.stb.gov/reports-data/economic-data/revenue-expense-income/" xr:uid="{3C8A8240-1977-40CF-9300-AD9873D8194C}"/>
    <hyperlink ref="IO343" r:id="rId83" display="https://www.stb.gov/reports-data/economic-data/condensed-balance-sheet/" xr:uid="{19A8D015-671D-4EE1-8E83-34DE88982577}"/>
    <hyperlink ref="IO354" r:id="rId84" display="https://www.stb.gov/reports-data/economic-data/quarterly-rail-fuel-surcharges/" xr:uid="{17C45692-5603-4A83-92B3-939371E0B7EB}"/>
    <hyperlink ref="IV337" r:id="rId85" display="https://www.stb.gov/reports-data/economic-data/revenue-expense-income/" xr:uid="{12569F16-C287-4A04-BC6E-821DDC146F36}"/>
    <hyperlink ref="IV343" r:id="rId86" display="https://www.stb.gov/reports-data/economic-data/condensed-balance-sheet/" xr:uid="{E7C20909-9C27-4121-A572-BC3122C79A52}"/>
    <hyperlink ref="IV354" r:id="rId87" display="https://www.stb.gov/reports-data/economic-data/quarterly-rail-fuel-surcharges/" xr:uid="{D2F7E8BC-B1DB-4094-8071-9E48081DC4C3}"/>
    <hyperlink ref="JC337" r:id="rId88" display="https://www.stb.gov/reports-data/economic-data/revenue-expense-income/" xr:uid="{BD9DA98D-5AD0-4D1B-8CE6-970A56AA3A55}"/>
    <hyperlink ref="JC343" r:id="rId89" display="https://www.stb.gov/reports-data/economic-data/condensed-balance-sheet/" xr:uid="{C43C5EA4-4DE6-475F-9B31-DE7BD996AA04}"/>
    <hyperlink ref="JC354" r:id="rId90" display="https://www.stb.gov/reports-data/economic-data/quarterly-rail-fuel-surcharges/" xr:uid="{F913FC21-0338-45D3-BB85-CF855AD491E0}"/>
    <hyperlink ref="JJ337" r:id="rId91" display="https://www.stb.gov/reports-data/economic-data/revenue-expense-income/" xr:uid="{9B9AF38C-8D72-407D-839B-087F67D638F2}"/>
    <hyperlink ref="JJ343" r:id="rId92" display="https://www.stb.gov/reports-data/economic-data/condensed-balance-sheet/" xr:uid="{718B12D5-C713-42AE-A8BF-F09E1CEFB71C}"/>
    <hyperlink ref="JJ354" r:id="rId93" display="https://www.stb.gov/reports-data/economic-data/quarterly-rail-fuel-surcharges/" xr:uid="{A3F8512E-1AF9-4134-8CA4-EE356EB177EB}"/>
    <hyperlink ref="JQ337" r:id="rId94" display="https://www.stb.gov/reports-data/economic-data/revenue-expense-income/" xr:uid="{A3A169E3-954E-423A-B322-847A0CFF5C7C}"/>
    <hyperlink ref="JQ343" r:id="rId95" display="https://www.stb.gov/reports-data/economic-data/condensed-balance-sheet/" xr:uid="{2C688D31-2E01-4A5B-84DB-A45CA5C86D4A}"/>
    <hyperlink ref="JQ354" r:id="rId96" display="https://www.stb.gov/reports-data/economic-data/quarterly-rail-fuel-surcharges/" xr:uid="{CD18C9AB-1F1B-4A7C-AB29-BA502B9C9F5F}"/>
    <hyperlink ref="JX337" r:id="rId97" display="https://www.stb.gov/reports-data/economic-data/revenue-expense-income/" xr:uid="{632D2ACD-4E4D-4B50-A337-8AA577296832}"/>
    <hyperlink ref="JX343" r:id="rId98" display="https://www.stb.gov/reports-data/economic-data/condensed-balance-sheet/" xr:uid="{71639534-AEE1-48B8-AAE0-B09EBBE5771D}"/>
    <hyperlink ref="JX354" r:id="rId99" display="https://www.stb.gov/reports-data/economic-data/quarterly-rail-fuel-surcharges/" xr:uid="{F2F226E0-3581-4EB7-8636-0F68E2B1E30E}"/>
    <hyperlink ref="KE337" r:id="rId100" display="https://www.stb.gov/reports-data/economic-data/revenue-expense-income/" xr:uid="{E0F8082B-84A6-435A-9C1E-FA29919C1AEC}"/>
    <hyperlink ref="KE343" r:id="rId101" display="https://www.stb.gov/reports-data/economic-data/condensed-balance-sheet/" xr:uid="{9B7E65EA-E6FC-4FE2-A0D1-CBB5ABB89DDB}"/>
    <hyperlink ref="KE354" r:id="rId102" display="https://www.stb.gov/reports-data/economic-data/quarterly-rail-fuel-surcharges/" xr:uid="{278FFFDE-FE6C-4929-BE18-2C77D3700878}"/>
    <hyperlink ref="KL337" r:id="rId103" display="https://www.stb.gov/reports-data/economic-data/revenue-expense-income/" xr:uid="{0B7F88B6-FE31-4168-B361-7E2C40E1BDC1}"/>
    <hyperlink ref="KL343" r:id="rId104" display="https://www.stb.gov/reports-data/economic-data/condensed-balance-sheet/" xr:uid="{5775B7F5-F37D-4093-BB27-E7E28BF6BBD8}"/>
    <hyperlink ref="KL354" r:id="rId105" display="https://www.stb.gov/reports-data/economic-data/quarterly-rail-fuel-surcharges/" xr:uid="{27B46CB9-4AF4-4A91-921A-9B787F74C69E}"/>
    <hyperlink ref="KS337" r:id="rId106" display="https://www.stb.gov/reports-data/economic-data/revenue-expense-income/" xr:uid="{6514458C-70A2-41AC-9227-A171C6B2C5AE}"/>
    <hyperlink ref="KS343" r:id="rId107" display="https://www.stb.gov/reports-data/economic-data/condensed-balance-sheet/" xr:uid="{D79B727A-1DC2-41B5-AA72-BA8B6294600C}"/>
    <hyperlink ref="KS354" r:id="rId108" display="https://www.stb.gov/reports-data/economic-data/quarterly-rail-fuel-surcharges/" xr:uid="{FC98D598-F0C0-458E-A3F3-38ED005AF2D1}"/>
    <hyperlink ref="KZ337" r:id="rId109" display="https://www.stb.gov/reports-data/economic-data/revenue-expense-income/" xr:uid="{24D6A029-3B9D-4D06-8C64-7E7682122DC6}"/>
    <hyperlink ref="KZ343" r:id="rId110" display="https://www.stb.gov/reports-data/economic-data/condensed-balance-sheet/" xr:uid="{B6CDD499-78E8-4398-8ADE-7A0C1AB594C7}"/>
    <hyperlink ref="KZ354" r:id="rId111" display="https://www.stb.gov/reports-data/economic-data/quarterly-rail-fuel-surcharges/" xr:uid="{39AD8120-7A9B-4E18-BD1E-ED4C5D169F5D}"/>
    <hyperlink ref="LG337" r:id="rId112" display="https://www.stb.gov/reports-data/economic-data/revenue-expense-income/" xr:uid="{1D9DC44A-03D9-4ED1-9EA5-D0F30071D877}"/>
    <hyperlink ref="LG343" r:id="rId113" display="https://www.stb.gov/reports-data/economic-data/condensed-balance-sheet/" xr:uid="{71188EC0-CACE-4E26-8348-E872F6237E50}"/>
    <hyperlink ref="LG354" r:id="rId114" display="https://www.stb.gov/reports-data/economic-data/quarterly-rail-fuel-surcharges/" xr:uid="{FF448D74-7A18-428D-A5A6-E23ACE935449}"/>
    <hyperlink ref="LN337" r:id="rId115" display="https://www.stb.gov/reports-data/economic-data/revenue-expense-income/" xr:uid="{385D6E3E-51DD-4056-8732-5D54C0DE348F}"/>
    <hyperlink ref="LN343" r:id="rId116" display="https://www.stb.gov/reports-data/economic-data/condensed-balance-sheet/" xr:uid="{70B5B13D-4BB8-488C-8333-4E6EBDF17B46}"/>
    <hyperlink ref="LN354" r:id="rId117" display="https://www.stb.gov/reports-data/economic-data/quarterly-rail-fuel-surcharges/" xr:uid="{E23DCA88-3197-425C-A8D5-7F4F91E74347}"/>
    <hyperlink ref="LU337" r:id="rId118" display="https://www.stb.gov/reports-data/economic-data/revenue-expense-income/" xr:uid="{78AD23FB-A636-4DB3-BA91-36A7AA946F33}"/>
    <hyperlink ref="LU343" r:id="rId119" display="https://www.stb.gov/reports-data/economic-data/condensed-balance-sheet/" xr:uid="{BB8FBFC8-C71B-4C1E-B59B-15C2C15A9B9E}"/>
    <hyperlink ref="LU354" r:id="rId120" display="https://www.stb.gov/reports-data/economic-data/quarterly-rail-fuel-surcharges/" xr:uid="{EC20FBBE-75F3-473C-ADCE-FD26C67F69B3}"/>
    <hyperlink ref="MB337" r:id="rId121" display="https://www.stb.gov/reports-data/economic-data/revenue-expense-income/" xr:uid="{A24C180A-7C1F-4A64-A2DB-8A217FBCE25A}"/>
    <hyperlink ref="MB343" r:id="rId122" display="https://www.stb.gov/reports-data/economic-data/condensed-balance-sheet/" xr:uid="{318BE0E3-B84D-4CFA-ADCE-90A82E0216BF}"/>
    <hyperlink ref="MB354" r:id="rId123" display="https://www.stb.gov/reports-data/economic-data/quarterly-rail-fuel-surcharges/" xr:uid="{6F0C25A6-CB2B-4F21-B791-37D35A2D5599}"/>
  </hyperlinks>
  <pageMargins left="0.7" right="0.7" top="0.75" bottom="0.75" header="0.3" footer="0.3"/>
  <legacyDrawing r:id="rId12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70DFB-8667-447C-9A1D-A08212C866DD}">
  <sheetPr>
    <tabColor rgb="FFC00000"/>
  </sheetPr>
  <dimension ref="A1:MH193"/>
  <sheetViews>
    <sheetView showGridLines="0" topLeftCell="LF1" zoomScale="85" zoomScaleNormal="85" workbookViewId="0">
      <selection activeCell="LJ27" sqref="LJ27"/>
    </sheetView>
  </sheetViews>
  <sheetFormatPr defaultColWidth="9.1328125" defaultRowHeight="13.9" outlineLevelRow="1" outlineLevelCol="1" x14ac:dyDescent="0.4"/>
  <cols>
    <col min="1" max="1" width="4.265625" style="77" customWidth="1"/>
    <col min="2" max="2" width="50.86328125" style="77" bestFit="1" customWidth="1"/>
    <col min="3" max="4" width="7.73046875" style="77" hidden="1" customWidth="1" outlineLevel="1"/>
    <col min="5" max="30" width="9.73046875" style="77" hidden="1" customWidth="1" outlineLevel="1"/>
    <col min="31" max="31" width="9.86328125" style="77" bestFit="1" customWidth="1" collapsed="1"/>
    <col min="32" max="43" width="9.86328125" style="77" bestFit="1" customWidth="1"/>
    <col min="44" max="51" width="9.3984375" style="77" bestFit="1" customWidth="1"/>
    <col min="52" max="53" width="9.3984375" style="77" customWidth="1"/>
    <col min="54" max="65" width="9.265625" style="77" hidden="1" customWidth="1" outlineLevel="1"/>
    <col min="66" max="66" width="9.1328125" style="77" collapsed="1"/>
    <col min="67" max="67" width="50.86328125" style="77" bestFit="1" customWidth="1"/>
    <col min="68" max="71" width="9.86328125" style="77" bestFit="1" customWidth="1"/>
    <col min="72" max="72" width="10.59765625" style="77" bestFit="1" customWidth="1"/>
    <col min="73" max="73" width="9.1328125" style="77"/>
    <col min="74" max="74" width="50.86328125" style="77" bestFit="1" customWidth="1"/>
    <col min="75" max="78" width="9.86328125" style="77" bestFit="1" customWidth="1"/>
    <col min="79" max="79" width="10.59765625" style="77" bestFit="1" customWidth="1"/>
    <col min="80" max="80" width="9.1328125" style="77"/>
    <col min="81" max="81" width="50.86328125" style="77" bestFit="1" customWidth="1"/>
    <col min="82" max="85" width="9.86328125" style="77" bestFit="1" customWidth="1"/>
    <col min="86" max="86" width="10.59765625" style="77" bestFit="1" customWidth="1"/>
    <col min="87" max="87" width="9.1328125" style="77"/>
    <col min="88" max="88" width="50.86328125" style="77" bestFit="1" customWidth="1"/>
    <col min="89" max="92" width="9.86328125" style="77" bestFit="1" customWidth="1"/>
    <col min="93" max="93" width="10.59765625" style="77" bestFit="1" customWidth="1"/>
    <col min="94" max="94" width="9.1328125" style="77"/>
    <col min="95" max="95" width="50.86328125" style="77" bestFit="1" customWidth="1"/>
    <col min="96" max="99" width="9.86328125" style="77" bestFit="1" customWidth="1"/>
    <col min="100" max="100" width="10.59765625" style="77" bestFit="1" customWidth="1"/>
    <col min="101" max="101" width="9.1328125" style="77"/>
    <col min="102" max="102" width="50.86328125" style="77" bestFit="1" customWidth="1"/>
    <col min="103" max="106" width="9.86328125" style="77" bestFit="1" customWidth="1"/>
    <col min="107" max="107" width="10.59765625" style="77" bestFit="1" customWidth="1"/>
    <col min="108" max="108" width="9.1328125" style="77"/>
    <col min="109" max="109" width="50.86328125" style="77" bestFit="1" customWidth="1"/>
    <col min="110" max="113" width="9.86328125" style="77" bestFit="1" customWidth="1"/>
    <col min="114" max="114" width="10.59765625" style="77" bestFit="1" customWidth="1"/>
    <col min="115" max="115" width="9.1328125" style="77"/>
    <col min="116" max="116" width="50.86328125" style="77" bestFit="1" customWidth="1"/>
    <col min="117" max="120" width="9.86328125" style="77" bestFit="1" customWidth="1"/>
    <col min="121" max="121" width="10.59765625" style="77" bestFit="1" customWidth="1"/>
    <col min="122" max="122" width="9.1328125" style="77"/>
    <col min="123" max="123" width="50.86328125" style="77" bestFit="1" customWidth="1"/>
    <col min="124" max="127" width="9.86328125" style="77" bestFit="1" customWidth="1"/>
    <col min="128" max="128" width="10.59765625" style="77" bestFit="1" customWidth="1"/>
    <col min="129" max="129" width="9.1328125" style="77"/>
    <col min="130" max="130" width="50.86328125" style="77" bestFit="1" customWidth="1"/>
    <col min="131" max="134" width="9.86328125" style="77" bestFit="1" customWidth="1"/>
    <col min="135" max="135" width="10.59765625" style="77" bestFit="1" customWidth="1"/>
    <col min="136" max="136" width="9.1328125" style="77"/>
    <col min="137" max="137" width="50.86328125" style="77" bestFit="1" customWidth="1"/>
    <col min="138" max="141" width="9.86328125" style="77" bestFit="1" customWidth="1"/>
    <col min="142" max="142" width="10.59765625" style="77" bestFit="1" customWidth="1"/>
    <col min="143" max="143" width="9.1328125" style="77"/>
    <col min="144" max="144" width="50.86328125" style="77" bestFit="1" customWidth="1"/>
    <col min="145" max="145" width="10.1328125" style="77" bestFit="1" customWidth="1"/>
    <col min="146" max="148" width="9.86328125" style="77" bestFit="1" customWidth="1"/>
    <col min="149" max="149" width="10.59765625" style="77" bestFit="1" customWidth="1"/>
    <col min="150" max="150" width="9.1328125" style="77"/>
    <col min="151" max="151" width="50.86328125" style="77" bestFit="1" customWidth="1"/>
    <col min="152" max="155" width="9.86328125" style="77" bestFit="1" customWidth="1"/>
    <col min="156" max="156" width="10.59765625" style="77" bestFit="1" customWidth="1"/>
    <col min="157" max="157" width="9.1328125" style="77"/>
    <col min="158" max="158" width="50.86328125" style="77" bestFit="1" customWidth="1"/>
    <col min="159" max="162" width="9.86328125" style="77" bestFit="1" customWidth="1"/>
    <col min="163" max="163" width="10.59765625" style="77" bestFit="1" customWidth="1"/>
    <col min="164" max="164" width="9.1328125" style="77"/>
    <col min="165" max="165" width="50.86328125" style="77" bestFit="1" customWidth="1"/>
    <col min="166" max="167" width="9.86328125" style="77" bestFit="1" customWidth="1"/>
    <col min="168" max="169" width="10.1328125" style="77" bestFit="1" customWidth="1"/>
    <col min="170" max="170" width="10.59765625" style="77" bestFit="1" customWidth="1"/>
    <col min="171" max="171" width="9.1328125" style="77"/>
    <col min="172" max="172" width="50.86328125" style="77" bestFit="1" customWidth="1"/>
    <col min="173" max="176" width="10.1328125" style="77" bestFit="1" customWidth="1"/>
    <col min="177" max="177" width="10.59765625" style="77" bestFit="1" customWidth="1"/>
    <col min="178" max="178" width="9.1328125" style="77"/>
    <col min="179" max="179" width="50.86328125" style="77" bestFit="1" customWidth="1"/>
    <col min="180" max="183" width="10.1328125" style="77" bestFit="1" customWidth="1"/>
    <col min="184" max="184" width="10.59765625" style="77" bestFit="1" customWidth="1"/>
    <col min="185" max="185" width="9.1328125" style="77"/>
    <col min="186" max="186" width="50.86328125" style="77" bestFit="1" customWidth="1"/>
    <col min="187" max="190" width="10.1328125" style="77" bestFit="1" customWidth="1"/>
    <col min="191" max="191" width="10.59765625" style="77" bestFit="1" customWidth="1"/>
    <col min="192" max="192" width="9.1328125" style="77"/>
    <col min="193" max="193" width="50.86328125" style="77" bestFit="1" customWidth="1"/>
    <col min="194" max="197" width="10.1328125" style="77" bestFit="1" customWidth="1"/>
    <col min="198" max="198" width="10.59765625" style="77" bestFit="1" customWidth="1"/>
    <col min="199" max="199" width="9.1328125" style="77"/>
    <col min="200" max="200" width="50.86328125" style="77" bestFit="1" customWidth="1"/>
    <col min="201" max="204" width="10.1328125" style="77" bestFit="1" customWidth="1"/>
    <col min="205" max="205" width="10.59765625" style="77" bestFit="1" customWidth="1"/>
    <col min="206" max="206" width="9.1328125" style="77"/>
    <col min="207" max="207" width="50.86328125" style="77" bestFit="1" customWidth="1"/>
    <col min="208" max="211" width="9.86328125" style="77" bestFit="1" customWidth="1"/>
    <col min="212" max="212" width="10.59765625" style="77" bestFit="1" customWidth="1"/>
    <col min="213" max="213" width="9.1328125" style="77"/>
    <col min="214" max="214" width="50.86328125" style="77" bestFit="1" customWidth="1"/>
    <col min="215" max="218" width="9.86328125" style="77" bestFit="1" customWidth="1"/>
    <col min="219" max="219" width="10.59765625" style="77" bestFit="1" customWidth="1"/>
    <col min="220" max="220" width="9.1328125" style="77"/>
    <col min="221" max="221" width="50.86328125" style="77" bestFit="1" customWidth="1"/>
    <col min="222" max="225" width="9.86328125" style="77" bestFit="1" customWidth="1"/>
    <col min="226" max="226" width="10.59765625" style="77" bestFit="1" customWidth="1"/>
    <col min="227" max="227" width="9.1328125" style="77"/>
    <col min="228" max="228" width="50.86328125" style="77" bestFit="1" customWidth="1"/>
    <col min="229" max="232" width="9.86328125" style="77" bestFit="1" customWidth="1"/>
    <col min="233" max="233" width="10.59765625" style="77" bestFit="1" customWidth="1"/>
    <col min="234" max="234" width="9.1328125" style="77"/>
    <col min="235" max="235" width="50.86328125" style="77" bestFit="1" customWidth="1"/>
    <col min="236" max="239" width="9.86328125" style="77" bestFit="1" customWidth="1"/>
    <col min="240" max="240" width="10.59765625" style="77" bestFit="1" customWidth="1"/>
    <col min="241" max="241" width="9.1328125" style="77"/>
    <col min="242" max="242" width="50.86328125" style="77" bestFit="1" customWidth="1"/>
    <col min="243" max="246" width="9.86328125" style="77" bestFit="1" customWidth="1"/>
    <col min="247" max="247" width="10.59765625" style="77" bestFit="1" customWidth="1"/>
    <col min="248" max="248" width="9.1328125" style="77"/>
    <col min="249" max="249" width="50.86328125" style="77" bestFit="1" customWidth="1"/>
    <col min="250" max="253" width="9.86328125" style="77" bestFit="1" customWidth="1"/>
    <col min="254" max="254" width="10.59765625" style="77" bestFit="1" customWidth="1"/>
    <col min="255" max="255" width="9.1328125" style="77"/>
    <col min="256" max="256" width="50.86328125" style="77" bestFit="1" customWidth="1"/>
    <col min="257" max="260" width="9.86328125" style="77" bestFit="1" customWidth="1"/>
    <col min="261" max="261" width="10.59765625" style="77" bestFit="1" customWidth="1"/>
    <col min="262" max="262" width="9.1328125" style="77"/>
    <col min="263" max="263" width="50.86328125" style="77" bestFit="1" customWidth="1"/>
    <col min="264" max="267" width="9.86328125" style="77" bestFit="1" customWidth="1"/>
    <col min="268" max="268" width="10.59765625" style="77" bestFit="1" customWidth="1"/>
    <col min="269" max="269" width="9.1328125" style="77"/>
    <col min="270" max="270" width="50.86328125" style="77" bestFit="1" customWidth="1"/>
    <col min="271" max="274" width="9.86328125" style="77" bestFit="1" customWidth="1"/>
    <col min="275" max="275" width="10.59765625" style="77" bestFit="1" customWidth="1"/>
    <col min="276" max="276" width="9.1328125" style="77"/>
    <col min="277" max="277" width="50.86328125" style="77" bestFit="1" customWidth="1"/>
    <col min="278" max="281" width="8.3984375" style="77" bestFit="1" customWidth="1"/>
    <col min="282" max="282" width="9.3984375" style="77" bestFit="1" customWidth="1"/>
    <col min="283" max="283" width="9.1328125" style="77"/>
    <col min="284" max="284" width="50.86328125" style="77" bestFit="1" customWidth="1"/>
    <col min="285" max="288" width="8.3984375" style="77" bestFit="1" customWidth="1"/>
    <col min="289" max="289" width="9.3984375" style="77" bestFit="1" customWidth="1"/>
    <col min="290" max="290" width="9.1328125" style="77"/>
    <col min="291" max="291" width="50.86328125" style="77" bestFit="1" customWidth="1"/>
    <col min="292" max="295" width="8.3984375" style="77" bestFit="1" customWidth="1"/>
    <col min="296" max="296" width="9.3984375" style="77" bestFit="1" customWidth="1"/>
    <col min="297" max="297" width="9.1328125" style="77"/>
    <col min="298" max="298" width="50.86328125" style="77" bestFit="1" customWidth="1"/>
    <col min="299" max="302" width="8.3984375" style="77" bestFit="1" customWidth="1"/>
    <col min="303" max="303" width="9.3984375" style="77" bestFit="1" customWidth="1"/>
    <col min="304" max="304" width="9.265625" style="77" bestFit="1" customWidth="1"/>
    <col min="305" max="305" width="50.86328125" style="77" bestFit="1" customWidth="1"/>
    <col min="306" max="310" width="10.59765625" style="77" bestFit="1" customWidth="1"/>
    <col min="311" max="311" width="9.1328125" style="77"/>
    <col min="312" max="312" width="50.86328125" style="77" bestFit="1" customWidth="1"/>
    <col min="313" max="317" width="11.265625" style="77" customWidth="1"/>
    <col min="318" max="318" width="11.265625" style="545" customWidth="1"/>
    <col min="319" max="319" width="50.86328125" style="77" bestFit="1" customWidth="1"/>
    <col min="320" max="324" width="10.59765625" style="77" bestFit="1" customWidth="1"/>
    <col min="325" max="325" width="11.265625" style="545" customWidth="1"/>
    <col min="326" max="326" width="50.86328125" style="77" bestFit="1" customWidth="1"/>
    <col min="327" max="327" width="9.86328125" style="77" bestFit="1" customWidth="1"/>
    <col min="328" max="328" width="10.1328125" style="77" bestFit="1" customWidth="1"/>
    <col min="329" max="330" width="9.86328125" style="77" bestFit="1" customWidth="1"/>
    <col min="331" max="331" width="9.3984375" style="77" bestFit="1" customWidth="1"/>
    <col min="332" max="332" width="11.265625" style="545" customWidth="1"/>
    <col min="333" max="333" width="50.86328125" style="77" customWidth="1"/>
    <col min="334" max="337" width="9.86328125" style="77" customWidth="1"/>
    <col min="338" max="338" width="9.3984375" style="77" customWidth="1"/>
    <col min="339" max="339" width="11.265625" style="545" customWidth="1"/>
    <col min="340" max="340" width="50.86328125" style="77" customWidth="1"/>
    <col min="341" max="344" width="9.86328125" style="77" customWidth="1"/>
    <col min="345" max="345" width="9.3984375" style="77" customWidth="1"/>
    <col min="346" max="346" width="11.265625" style="545" customWidth="1"/>
    <col min="347" max="16384" width="9.1328125" style="77"/>
  </cols>
  <sheetData>
    <row r="1" spans="1:346" x14ac:dyDescent="0.4">
      <c r="LE1" s="79"/>
      <c r="LG1" s="338"/>
      <c r="LH1" s="536"/>
      <c r="LI1" s="536"/>
      <c r="LJ1" s="536"/>
      <c r="LK1" s="536"/>
      <c r="LL1" s="733"/>
      <c r="LN1" s="79"/>
      <c r="LS1" s="733"/>
      <c r="LZ1" s="733"/>
      <c r="MG1" s="733"/>
    </row>
    <row r="2" spans="1:346" s="37" customFormat="1" ht="24.75" x14ac:dyDescent="0.65">
      <c r="A2" s="46"/>
      <c r="B2" s="87" t="s">
        <v>540</v>
      </c>
      <c r="C2" s="89">
        <v>1978</v>
      </c>
      <c r="D2" s="89">
        <f>C2+1</f>
        <v>1979</v>
      </c>
      <c r="E2" s="89">
        <f t="shared" ref="E2:AU2" si="0">D2+1</f>
        <v>1980</v>
      </c>
      <c r="F2" s="89">
        <f t="shared" si="0"/>
        <v>1981</v>
      </c>
      <c r="G2" s="89">
        <f t="shared" si="0"/>
        <v>1982</v>
      </c>
      <c r="H2" s="89">
        <f t="shared" si="0"/>
        <v>1983</v>
      </c>
      <c r="I2" s="89">
        <f t="shared" si="0"/>
        <v>1984</v>
      </c>
      <c r="J2" s="89">
        <f t="shared" si="0"/>
        <v>1985</v>
      </c>
      <c r="K2" s="89">
        <f t="shared" si="0"/>
        <v>1986</v>
      </c>
      <c r="L2" s="89">
        <f t="shared" si="0"/>
        <v>1987</v>
      </c>
      <c r="M2" s="89">
        <f t="shared" si="0"/>
        <v>1988</v>
      </c>
      <c r="N2" s="89">
        <f t="shared" si="0"/>
        <v>1989</v>
      </c>
      <c r="O2" s="89">
        <f t="shared" si="0"/>
        <v>1990</v>
      </c>
      <c r="P2" s="89">
        <f t="shared" si="0"/>
        <v>1991</v>
      </c>
      <c r="Q2" s="89">
        <f t="shared" si="0"/>
        <v>1992</v>
      </c>
      <c r="R2" s="89">
        <f t="shared" si="0"/>
        <v>1993</v>
      </c>
      <c r="S2" s="89">
        <f t="shared" si="0"/>
        <v>1994</v>
      </c>
      <c r="T2" s="89">
        <f t="shared" si="0"/>
        <v>1995</v>
      </c>
      <c r="U2" s="89">
        <f t="shared" si="0"/>
        <v>1996</v>
      </c>
      <c r="V2" s="89">
        <f t="shared" si="0"/>
        <v>1997</v>
      </c>
      <c r="W2" s="89">
        <f t="shared" si="0"/>
        <v>1998</v>
      </c>
      <c r="X2" s="89">
        <f t="shared" si="0"/>
        <v>1999</v>
      </c>
      <c r="Y2" s="89">
        <f t="shared" si="0"/>
        <v>2000</v>
      </c>
      <c r="Z2" s="89">
        <f t="shared" si="0"/>
        <v>2001</v>
      </c>
      <c r="AA2" s="89">
        <f t="shared" si="0"/>
        <v>2002</v>
      </c>
      <c r="AB2" s="89">
        <f t="shared" si="0"/>
        <v>2003</v>
      </c>
      <c r="AC2" s="89">
        <f t="shared" si="0"/>
        <v>2004</v>
      </c>
      <c r="AD2" s="89">
        <f t="shared" si="0"/>
        <v>2005</v>
      </c>
      <c r="AE2" s="89">
        <f t="shared" si="0"/>
        <v>2006</v>
      </c>
      <c r="AF2" s="89">
        <f t="shared" si="0"/>
        <v>2007</v>
      </c>
      <c r="AG2" s="89">
        <f t="shared" si="0"/>
        <v>2008</v>
      </c>
      <c r="AH2" s="89">
        <f t="shared" si="0"/>
        <v>2009</v>
      </c>
      <c r="AI2" s="89">
        <f t="shared" si="0"/>
        <v>2010</v>
      </c>
      <c r="AJ2" s="89">
        <f t="shared" si="0"/>
        <v>2011</v>
      </c>
      <c r="AK2" s="89">
        <f t="shared" si="0"/>
        <v>2012</v>
      </c>
      <c r="AL2" s="89">
        <f t="shared" si="0"/>
        <v>2013</v>
      </c>
      <c r="AM2" s="89">
        <f t="shared" si="0"/>
        <v>2014</v>
      </c>
      <c r="AN2" s="89">
        <f t="shared" si="0"/>
        <v>2015</v>
      </c>
      <c r="AO2" s="89">
        <f t="shared" si="0"/>
        <v>2016</v>
      </c>
      <c r="AP2" s="89">
        <f t="shared" si="0"/>
        <v>2017</v>
      </c>
      <c r="AQ2" s="89">
        <f t="shared" si="0"/>
        <v>2018</v>
      </c>
      <c r="AR2" s="89">
        <f t="shared" si="0"/>
        <v>2019</v>
      </c>
      <c r="AS2" s="89">
        <f t="shared" si="0"/>
        <v>2020</v>
      </c>
      <c r="AT2" s="89">
        <f t="shared" si="0"/>
        <v>2021</v>
      </c>
      <c r="AU2" s="89">
        <f t="shared" si="0"/>
        <v>2022</v>
      </c>
      <c r="AV2" s="89">
        <f>KX2</f>
        <v>2023</v>
      </c>
      <c r="AW2" s="89">
        <f>LE2</f>
        <v>2024</v>
      </c>
      <c r="AX2" s="89">
        <f>LL2</f>
        <v>2025</v>
      </c>
      <c r="AY2" s="89" t="str">
        <f>LS2</f>
        <v>2026E</v>
      </c>
      <c r="AZ2" s="646" t="str">
        <f>LZ2</f>
        <v>2027E</v>
      </c>
      <c r="BA2" s="646" t="str">
        <f>MG2</f>
        <v>2028E</v>
      </c>
      <c r="BB2" s="298"/>
      <c r="BC2" s="298"/>
      <c r="BD2" s="298"/>
      <c r="BE2" s="298"/>
      <c r="BF2" s="298"/>
      <c r="BG2" s="298"/>
      <c r="BH2" s="298"/>
      <c r="BI2" s="298"/>
      <c r="BJ2" s="298"/>
      <c r="BK2" s="298"/>
      <c r="BL2" s="298"/>
      <c r="BM2" s="298"/>
      <c r="BO2" s="87" t="str">
        <f>$B2</f>
        <v>CSX Expenses</v>
      </c>
      <c r="BP2" s="91" t="str">
        <f>CSX!BR4</f>
        <v>1Q89</v>
      </c>
      <c r="BQ2" s="91" t="str">
        <f>CSX!BS4</f>
        <v>2Q89</v>
      </c>
      <c r="BR2" s="91" t="str">
        <f>CSX!BT4</f>
        <v>3Q89</v>
      </c>
      <c r="BS2" s="91" t="str">
        <f>CSX!BU4</f>
        <v>4Q89</v>
      </c>
      <c r="BT2" s="91">
        <f>CSX!BV4</f>
        <v>1989</v>
      </c>
      <c r="BU2" s="77"/>
      <c r="BV2" s="87" t="str">
        <f>$B2</f>
        <v>CSX Expenses</v>
      </c>
      <c r="BW2" s="91" t="str">
        <f>CSX!BY4</f>
        <v>1Q90</v>
      </c>
      <c r="BX2" s="91" t="str">
        <f>CSX!BZ4</f>
        <v>2Q90</v>
      </c>
      <c r="BY2" s="91" t="str">
        <f>CSX!CA4</f>
        <v>3Q90</v>
      </c>
      <c r="BZ2" s="91" t="str">
        <f>CSX!CB4</f>
        <v>4Q90</v>
      </c>
      <c r="CA2" s="91">
        <f>CSX!CC4</f>
        <v>1990</v>
      </c>
      <c r="CB2" s="77"/>
      <c r="CC2" s="87" t="str">
        <f>$B2</f>
        <v>CSX Expenses</v>
      </c>
      <c r="CD2" s="91" t="str">
        <f>CSX!CF4</f>
        <v>1Q91</v>
      </c>
      <c r="CE2" s="91" t="str">
        <f>CSX!CG4</f>
        <v>2Q91</v>
      </c>
      <c r="CF2" s="91" t="str">
        <f>CSX!CH4</f>
        <v>3Q91</v>
      </c>
      <c r="CG2" s="91" t="str">
        <f>CSX!CI4</f>
        <v>4Q91</v>
      </c>
      <c r="CH2" s="91">
        <f>CSX!CJ4</f>
        <v>1991</v>
      </c>
      <c r="CI2" s="77"/>
      <c r="CJ2" s="87" t="str">
        <f>$B2</f>
        <v>CSX Expenses</v>
      </c>
      <c r="CK2" s="91" t="str">
        <f>CSX!CM4</f>
        <v>1Q92</v>
      </c>
      <c r="CL2" s="91" t="str">
        <f>CSX!CN4</f>
        <v>2Q92</v>
      </c>
      <c r="CM2" s="91" t="str">
        <f>CSX!CO4</f>
        <v>3Q92</v>
      </c>
      <c r="CN2" s="91" t="str">
        <f>CSX!CP4</f>
        <v>4Q92</v>
      </c>
      <c r="CO2" s="91">
        <f>CSX!CQ4</f>
        <v>1992</v>
      </c>
      <c r="CP2" s="81"/>
      <c r="CQ2" s="87" t="str">
        <f>$B2</f>
        <v>CSX Expenses</v>
      </c>
      <c r="CR2" s="91" t="str">
        <f>CSX!CT4</f>
        <v>1Q93</v>
      </c>
      <c r="CS2" s="91" t="str">
        <f>CSX!CU4</f>
        <v>2Q93</v>
      </c>
      <c r="CT2" s="91" t="str">
        <f>CSX!CV4</f>
        <v>3Q93</v>
      </c>
      <c r="CU2" s="91" t="str">
        <f>CSX!CW4</f>
        <v>4Q93</v>
      </c>
      <c r="CV2" s="91">
        <f>CSX!CX4</f>
        <v>1993</v>
      </c>
      <c r="CW2" s="81"/>
      <c r="CX2" s="87" t="str">
        <f>$B2</f>
        <v>CSX Expenses</v>
      </c>
      <c r="CY2" s="91" t="str">
        <f>CSX!DA4</f>
        <v>1Q94</v>
      </c>
      <c r="CZ2" s="91" t="str">
        <f>CSX!DB4</f>
        <v>2Q94</v>
      </c>
      <c r="DA2" s="91" t="str">
        <f>CSX!DC4</f>
        <v>3Q94</v>
      </c>
      <c r="DB2" s="91" t="str">
        <f>CSX!DD4</f>
        <v>4Q94</v>
      </c>
      <c r="DC2" s="91">
        <f>CSX!DE4</f>
        <v>1994</v>
      </c>
      <c r="DD2" s="81"/>
      <c r="DE2" s="87" t="str">
        <f>$B2</f>
        <v>CSX Expenses</v>
      </c>
      <c r="DF2" s="91" t="str">
        <f>CSX!DH4</f>
        <v>1Q95</v>
      </c>
      <c r="DG2" s="91" t="str">
        <f>CSX!DI4</f>
        <v>2Q95</v>
      </c>
      <c r="DH2" s="91" t="str">
        <f>CSX!DJ4</f>
        <v>3Q95</v>
      </c>
      <c r="DI2" s="91" t="str">
        <f>CSX!DK4</f>
        <v>4Q95</v>
      </c>
      <c r="DJ2" s="91">
        <f>CSX!DL4</f>
        <v>1995</v>
      </c>
      <c r="DK2" s="81"/>
      <c r="DL2" s="87" t="str">
        <f>$B2</f>
        <v>CSX Expenses</v>
      </c>
      <c r="DM2" s="91" t="str">
        <f>CSX!DO4</f>
        <v>1Q96</v>
      </c>
      <c r="DN2" s="91" t="str">
        <f>CSX!DP4</f>
        <v>2Q96</v>
      </c>
      <c r="DO2" s="91" t="str">
        <f>CSX!DQ4</f>
        <v>3Q96</v>
      </c>
      <c r="DP2" s="91" t="str">
        <f>CSX!DR4</f>
        <v>4Q96</v>
      </c>
      <c r="DQ2" s="91">
        <f>CSX!DS4</f>
        <v>1996</v>
      </c>
      <c r="DR2" s="81"/>
      <c r="DS2" s="87" t="str">
        <f>$B2</f>
        <v>CSX Expenses</v>
      </c>
      <c r="DT2" s="91" t="str">
        <f>CSX!DV4</f>
        <v>1Q97</v>
      </c>
      <c r="DU2" s="91" t="str">
        <f>CSX!DW4</f>
        <v>2Q97</v>
      </c>
      <c r="DV2" s="91" t="str">
        <f>CSX!DX4</f>
        <v>3Q97</v>
      </c>
      <c r="DW2" s="91" t="str">
        <f>CSX!DY4</f>
        <v>4Q97</v>
      </c>
      <c r="DX2" s="91">
        <f>CSX!DZ4</f>
        <v>1997</v>
      </c>
      <c r="DY2" s="81"/>
      <c r="DZ2" s="87" t="str">
        <f>$B2</f>
        <v>CSX Expenses</v>
      </c>
      <c r="EA2" s="91" t="str">
        <f>CSX!EC4</f>
        <v>1Q98</v>
      </c>
      <c r="EB2" s="91" t="str">
        <f>CSX!ED4</f>
        <v>2Q98</v>
      </c>
      <c r="EC2" s="91" t="str">
        <f>CSX!EE4</f>
        <v>3Q98</v>
      </c>
      <c r="ED2" s="91" t="str">
        <f>CSX!EF4</f>
        <v>4Q98</v>
      </c>
      <c r="EE2" s="91">
        <f>CSX!EG4</f>
        <v>1998</v>
      </c>
      <c r="EF2" s="81"/>
      <c r="EG2" s="87" t="str">
        <f>$B2</f>
        <v>CSX Expenses</v>
      </c>
      <c r="EH2" s="91" t="str">
        <f>CSX!EJ4</f>
        <v>1Q99</v>
      </c>
      <c r="EI2" s="91" t="str">
        <f>CSX!EK4</f>
        <v>2Q99</v>
      </c>
      <c r="EJ2" s="91" t="str">
        <f>CSX!EL4</f>
        <v>3Q99</v>
      </c>
      <c r="EK2" s="91" t="str">
        <f>CSX!EM4</f>
        <v>4Q99</v>
      </c>
      <c r="EL2" s="91">
        <f>CSX!EN4</f>
        <v>1999</v>
      </c>
      <c r="EM2" s="81"/>
      <c r="EN2" s="87" t="str">
        <f>$B2</f>
        <v>CSX Expenses</v>
      </c>
      <c r="EO2" s="91" t="str">
        <f>CSX!EQ4</f>
        <v>1Q00</v>
      </c>
      <c r="EP2" s="91" t="str">
        <f>CSX!ER4</f>
        <v>2Q00</v>
      </c>
      <c r="EQ2" s="91" t="str">
        <f>CSX!ES4</f>
        <v>3Q00</v>
      </c>
      <c r="ER2" s="91" t="str">
        <f>CSX!ET4</f>
        <v>4Q00</v>
      </c>
      <c r="ES2" s="91">
        <f>CSX!EU4</f>
        <v>2000</v>
      </c>
      <c r="ET2" s="77"/>
      <c r="EU2" s="87" t="str">
        <f>$B2</f>
        <v>CSX Expenses</v>
      </c>
      <c r="EV2" s="91" t="str">
        <f>CSX!EX4</f>
        <v>1Q01</v>
      </c>
      <c r="EW2" s="91" t="str">
        <f>CSX!EY4</f>
        <v>2Q01</v>
      </c>
      <c r="EX2" s="91" t="str">
        <f>CSX!EZ4</f>
        <v>3Q01</v>
      </c>
      <c r="EY2" s="91" t="str">
        <f>CSX!FA4</f>
        <v>4Q01</v>
      </c>
      <c r="EZ2" s="91">
        <f>CSX!FB4</f>
        <v>2001</v>
      </c>
      <c r="FA2" s="77"/>
      <c r="FB2" s="87" t="str">
        <f>$B2</f>
        <v>CSX Expenses</v>
      </c>
      <c r="FC2" s="91" t="str">
        <f>CSX!FE4</f>
        <v>1Q02</v>
      </c>
      <c r="FD2" s="91" t="str">
        <f>CSX!FF4</f>
        <v>2Q02</v>
      </c>
      <c r="FE2" s="91" t="str">
        <f>CSX!FG4</f>
        <v>3Q02</v>
      </c>
      <c r="FF2" s="91" t="str">
        <f>CSX!FH4</f>
        <v>4Q02</v>
      </c>
      <c r="FG2" s="91">
        <f>CSX!FI4</f>
        <v>2002</v>
      </c>
      <c r="FH2" s="77"/>
      <c r="FI2" s="87" t="str">
        <f>$B2</f>
        <v>CSX Expenses</v>
      </c>
      <c r="FJ2" s="91" t="str">
        <f>CSX!FL4</f>
        <v>1Q03</v>
      </c>
      <c r="FK2" s="91" t="str">
        <f>CSX!FM4</f>
        <v>2Q03</v>
      </c>
      <c r="FL2" s="91" t="str">
        <f>CSX!FN4</f>
        <v>3Q03</v>
      </c>
      <c r="FM2" s="91" t="str">
        <f>CSX!FO4</f>
        <v>4Q03</v>
      </c>
      <c r="FN2" s="91">
        <f>CSX!FP4</f>
        <v>2003</v>
      </c>
      <c r="FO2" s="77"/>
      <c r="FP2" s="87" t="str">
        <f>$B2</f>
        <v>CSX Expenses</v>
      </c>
      <c r="FQ2" s="91" t="str">
        <f>CSX!FS4</f>
        <v>1Q04</v>
      </c>
      <c r="FR2" s="91" t="str">
        <f>CSX!FT4</f>
        <v>2Q04</v>
      </c>
      <c r="FS2" s="91" t="str">
        <f>CSX!FU4</f>
        <v>3Q04</v>
      </c>
      <c r="FT2" s="91" t="str">
        <f>CSX!FV4</f>
        <v>4Q04</v>
      </c>
      <c r="FU2" s="91">
        <f>CSX!FW4</f>
        <v>2004</v>
      </c>
      <c r="FV2" s="77"/>
      <c r="FW2" s="87" t="str">
        <f>$B2</f>
        <v>CSX Expenses</v>
      </c>
      <c r="FX2" s="91" t="str">
        <f>CSX!FZ4</f>
        <v>1Q05</v>
      </c>
      <c r="FY2" s="91" t="str">
        <f>CSX!GA4</f>
        <v>2Q05</v>
      </c>
      <c r="FZ2" s="91" t="str">
        <f>CSX!GB4</f>
        <v>3Q05</v>
      </c>
      <c r="GA2" s="91" t="str">
        <f>CSX!GC4</f>
        <v>4Q05</v>
      </c>
      <c r="GB2" s="91">
        <f>CSX!GD4</f>
        <v>2005</v>
      </c>
      <c r="GC2" s="81"/>
      <c r="GD2" s="87" t="str">
        <f>$B2</f>
        <v>CSX Expenses</v>
      </c>
      <c r="GE2" s="91" t="str">
        <f>CSX!GG4</f>
        <v>1Q06</v>
      </c>
      <c r="GF2" s="91" t="str">
        <f>CSX!GH4</f>
        <v>2Q06</v>
      </c>
      <c r="GG2" s="91" t="str">
        <f>CSX!GI4</f>
        <v>3Q06</v>
      </c>
      <c r="GH2" s="91" t="str">
        <f>CSX!GJ4</f>
        <v>4Q06</v>
      </c>
      <c r="GI2" s="91">
        <f>CSX!GK4</f>
        <v>2006</v>
      </c>
      <c r="GJ2" s="81"/>
      <c r="GK2" s="87" t="str">
        <f>$B2</f>
        <v>CSX Expenses</v>
      </c>
      <c r="GL2" s="91" t="str">
        <f>CSX!GN4</f>
        <v>1Q07</v>
      </c>
      <c r="GM2" s="91" t="str">
        <f>CSX!GO4</f>
        <v>2Q07</v>
      </c>
      <c r="GN2" s="91" t="str">
        <f>CSX!GP4</f>
        <v>3Q07</v>
      </c>
      <c r="GO2" s="91" t="str">
        <f>CSX!GQ4</f>
        <v>4Q07</v>
      </c>
      <c r="GP2" s="91">
        <f>CSX!GR4</f>
        <v>2007</v>
      </c>
      <c r="GQ2" s="81"/>
      <c r="GR2" s="87" t="str">
        <f>$B2</f>
        <v>CSX Expenses</v>
      </c>
      <c r="GS2" s="91" t="str">
        <f>CSX!GU4</f>
        <v>1Q08</v>
      </c>
      <c r="GT2" s="91" t="str">
        <f>CSX!GV4</f>
        <v>2Q08</v>
      </c>
      <c r="GU2" s="91" t="str">
        <f>CSX!GW4</f>
        <v>3Q08</v>
      </c>
      <c r="GV2" s="91" t="str">
        <f>CSX!GX4</f>
        <v>4Q08</v>
      </c>
      <c r="GW2" s="91">
        <f>CSX!GY4</f>
        <v>2008</v>
      </c>
      <c r="GX2" s="81"/>
      <c r="GY2" s="87" t="str">
        <f>$B2</f>
        <v>CSX Expenses</v>
      </c>
      <c r="GZ2" s="91" t="str">
        <f>CSX!HB4</f>
        <v>1Q09</v>
      </c>
      <c r="HA2" s="91" t="str">
        <f>CSX!HC4</f>
        <v>2Q09</v>
      </c>
      <c r="HB2" s="91" t="str">
        <f>CSX!HD4</f>
        <v>3Q09</v>
      </c>
      <c r="HC2" s="91" t="str">
        <f>CSX!HE4</f>
        <v>4Q09</v>
      </c>
      <c r="HD2" s="91">
        <f>CSX!HF4</f>
        <v>2009</v>
      </c>
      <c r="HE2" s="81"/>
      <c r="HF2" s="87" t="str">
        <f>$B2</f>
        <v>CSX Expenses</v>
      </c>
      <c r="HG2" s="91" t="str">
        <f>CSX!HI4</f>
        <v>1Q10</v>
      </c>
      <c r="HH2" s="91" t="str">
        <f>CSX!HJ4</f>
        <v>2Q10</v>
      </c>
      <c r="HI2" s="91" t="str">
        <f>CSX!HK4</f>
        <v>3Q10</v>
      </c>
      <c r="HJ2" s="91" t="str">
        <f>CSX!HL4</f>
        <v>4Q10</v>
      </c>
      <c r="HK2" s="91">
        <f>CSX!HM4</f>
        <v>2010</v>
      </c>
      <c r="HL2" s="81"/>
      <c r="HM2" s="87" t="str">
        <f>$B2</f>
        <v>CSX Expenses</v>
      </c>
      <c r="HN2" s="91" t="str">
        <f>CSX!HP4</f>
        <v>1Q11</v>
      </c>
      <c r="HO2" s="91" t="str">
        <f>CSX!HQ4</f>
        <v>2Q11</v>
      </c>
      <c r="HP2" s="91" t="str">
        <f>CSX!HR4</f>
        <v>3Q11</v>
      </c>
      <c r="HQ2" s="91" t="str">
        <f>CSX!HS4</f>
        <v>4Q11</v>
      </c>
      <c r="HR2" s="91">
        <f>CSX!HT4</f>
        <v>2011</v>
      </c>
      <c r="HS2" s="81"/>
      <c r="HT2" s="87" t="str">
        <f>$B2</f>
        <v>CSX Expenses</v>
      </c>
      <c r="HU2" s="91" t="str">
        <f>CSX!HW4</f>
        <v>1Q12</v>
      </c>
      <c r="HV2" s="91" t="str">
        <f>CSX!HX4</f>
        <v>2Q12</v>
      </c>
      <c r="HW2" s="91" t="str">
        <f>CSX!HY4</f>
        <v>3Q12</v>
      </c>
      <c r="HX2" s="91" t="str">
        <f>CSX!HZ4</f>
        <v>4Q12</v>
      </c>
      <c r="HY2" s="91">
        <f>CSX!IA4</f>
        <v>2012</v>
      </c>
      <c r="HZ2" s="81"/>
      <c r="IA2" s="87" t="str">
        <f>$B2</f>
        <v>CSX Expenses</v>
      </c>
      <c r="IB2" s="91" t="str">
        <f>CSX!ID4</f>
        <v>1Q13</v>
      </c>
      <c r="IC2" s="91" t="str">
        <f>CSX!IE4</f>
        <v>2Q13</v>
      </c>
      <c r="ID2" s="91" t="str">
        <f>CSX!IF4</f>
        <v>3Q13</v>
      </c>
      <c r="IE2" s="91" t="str">
        <f>CSX!IG4</f>
        <v>4Q13</v>
      </c>
      <c r="IF2" s="91">
        <f>CSX!IH4</f>
        <v>2013</v>
      </c>
      <c r="IG2" s="81"/>
      <c r="IH2" s="87" t="str">
        <f>$B2</f>
        <v>CSX Expenses</v>
      </c>
      <c r="II2" s="91" t="str">
        <f>CSX!IK4</f>
        <v>1Q14</v>
      </c>
      <c r="IJ2" s="91" t="str">
        <f>CSX!IL4</f>
        <v>2Q14</v>
      </c>
      <c r="IK2" s="91" t="str">
        <f>CSX!IM4</f>
        <v>3Q14</v>
      </c>
      <c r="IL2" s="91" t="str">
        <f>CSX!IN4</f>
        <v>4Q14</v>
      </c>
      <c r="IM2" s="91">
        <f>CSX!IO4</f>
        <v>2014</v>
      </c>
      <c r="IN2" s="81"/>
      <c r="IO2" s="87" t="str">
        <f>$B2</f>
        <v>CSX Expenses</v>
      </c>
      <c r="IP2" s="91" t="str">
        <f>CSX!IR4</f>
        <v>1Q15</v>
      </c>
      <c r="IQ2" s="91" t="str">
        <f>CSX!IS4</f>
        <v>2Q15</v>
      </c>
      <c r="IR2" s="91" t="str">
        <f>CSX!IT4</f>
        <v>3Q15</v>
      </c>
      <c r="IS2" s="91" t="str">
        <f>CSX!IU4</f>
        <v>4Q15</v>
      </c>
      <c r="IT2" s="91">
        <f>CSX!IV4</f>
        <v>2015</v>
      </c>
      <c r="IU2" s="81"/>
      <c r="IV2" s="87" t="str">
        <f>$B2</f>
        <v>CSX Expenses</v>
      </c>
      <c r="IW2" s="91" t="str">
        <f>CSX!IY4</f>
        <v>1Q16</v>
      </c>
      <c r="IX2" s="91" t="str">
        <f>CSX!IZ4</f>
        <v>2Q16</v>
      </c>
      <c r="IY2" s="91" t="str">
        <f>CSX!JA4</f>
        <v>3Q16</v>
      </c>
      <c r="IZ2" s="91" t="str">
        <f>CSX!JB4</f>
        <v>4Q16</v>
      </c>
      <c r="JA2" s="91">
        <f>CSX!JC4</f>
        <v>2016</v>
      </c>
      <c r="JB2" s="81"/>
      <c r="JC2" s="87" t="str">
        <f>$B2</f>
        <v>CSX Expenses</v>
      </c>
      <c r="JD2" s="91" t="str">
        <f>CSX!JF4</f>
        <v>1Q17</v>
      </c>
      <c r="JE2" s="91" t="str">
        <f>CSX!JG4</f>
        <v>2Q17</v>
      </c>
      <c r="JF2" s="91" t="str">
        <f>CSX!JH4</f>
        <v>3Q17</v>
      </c>
      <c r="JG2" s="91" t="str">
        <f>CSX!JI4</f>
        <v>4Q17</v>
      </c>
      <c r="JH2" s="91">
        <f>CSX!JJ4</f>
        <v>2017</v>
      </c>
      <c r="JI2" s="81"/>
      <c r="JJ2" s="87" t="str">
        <f>$B2</f>
        <v>CSX Expenses</v>
      </c>
      <c r="JK2" s="91" t="str">
        <f>CSX!JM4</f>
        <v>1Q18</v>
      </c>
      <c r="JL2" s="91" t="str">
        <f>CSX!JN4</f>
        <v>2Q18</v>
      </c>
      <c r="JM2" s="91" t="str">
        <f>CSX!JO4</f>
        <v>3Q18</v>
      </c>
      <c r="JN2" s="91" t="str">
        <f>CSX!JP4</f>
        <v>4Q18</v>
      </c>
      <c r="JO2" s="91">
        <f>CSX!JQ4</f>
        <v>2018</v>
      </c>
      <c r="JP2" s="81"/>
      <c r="JQ2" s="87" t="str">
        <f>$B2</f>
        <v>CSX Expenses</v>
      </c>
      <c r="JR2" s="91" t="str">
        <f>CSX!JT4</f>
        <v>1Q19</v>
      </c>
      <c r="JS2" s="91" t="str">
        <f>CSX!JU4</f>
        <v>2Q19</v>
      </c>
      <c r="JT2" s="91" t="str">
        <f>CSX!JV4</f>
        <v>3Q19</v>
      </c>
      <c r="JU2" s="91" t="str">
        <f>CSX!JW4</f>
        <v>4Q19</v>
      </c>
      <c r="JV2" s="91">
        <f>CSX!JX4</f>
        <v>2019</v>
      </c>
      <c r="JW2" s="81"/>
      <c r="JX2" s="87" t="str">
        <f>$B2</f>
        <v>CSX Expenses</v>
      </c>
      <c r="JY2" s="91" t="str">
        <f>CSX!KA4</f>
        <v>1Q20</v>
      </c>
      <c r="JZ2" s="91" t="str">
        <f>CSX!KB4</f>
        <v>2Q20</v>
      </c>
      <c r="KA2" s="91" t="str">
        <f>CSX!KC4</f>
        <v>3Q20</v>
      </c>
      <c r="KB2" s="91" t="str">
        <f>CSX!KD4</f>
        <v>4Q20</v>
      </c>
      <c r="KC2" s="91">
        <f>CSX!KE4</f>
        <v>2020</v>
      </c>
      <c r="KD2" s="81"/>
      <c r="KE2" s="87" t="str">
        <f>$B2</f>
        <v>CSX Expenses</v>
      </c>
      <c r="KF2" s="91" t="str">
        <f>CSX!KH4</f>
        <v>1Q21</v>
      </c>
      <c r="KG2" s="91" t="str">
        <f>CSX!KI4</f>
        <v>2Q21</v>
      </c>
      <c r="KH2" s="91" t="str">
        <f>CSX!KJ4</f>
        <v>3Q21</v>
      </c>
      <c r="KI2" s="91" t="str">
        <f>CSX!KK4</f>
        <v>4Q21</v>
      </c>
      <c r="KJ2" s="91">
        <f>CSX!KL4</f>
        <v>2021</v>
      </c>
      <c r="KK2" s="81"/>
      <c r="KL2" s="87" t="str">
        <f>$B2</f>
        <v>CSX Expenses</v>
      </c>
      <c r="KM2" s="91" t="str">
        <f>CSX!KO4</f>
        <v>1Q22</v>
      </c>
      <c r="KN2" s="91" t="str">
        <f>CSX!KP4</f>
        <v>2Q22</v>
      </c>
      <c r="KO2" s="91" t="str">
        <f>CSX!KQ4</f>
        <v>3Q22</v>
      </c>
      <c r="KP2" s="91" t="str">
        <f>CSX!KR4</f>
        <v>4Q22</v>
      </c>
      <c r="KQ2" s="91">
        <f>CSX!KS4</f>
        <v>2022</v>
      </c>
      <c r="KR2" s="81"/>
      <c r="KS2" s="87" t="str">
        <f>$B2</f>
        <v>CSX Expenses</v>
      </c>
      <c r="KT2" s="91" t="str">
        <f>CSX!KV4</f>
        <v>1Q23</v>
      </c>
      <c r="KU2" s="91" t="str">
        <f>CSX!KW4</f>
        <v>2Q23</v>
      </c>
      <c r="KV2" s="91" t="str">
        <f>CSX!KX4</f>
        <v>3Q23</v>
      </c>
      <c r="KW2" s="91" t="str">
        <f>CSX!KY4</f>
        <v>4Q23</v>
      </c>
      <c r="KX2" s="91">
        <f>CSX!KZ4</f>
        <v>2023</v>
      </c>
      <c r="KY2" s="81"/>
      <c r="KZ2" s="87" t="str">
        <f>$B2</f>
        <v>CSX Expenses</v>
      </c>
      <c r="LA2" s="91" t="str">
        <f>CSX!LC4</f>
        <v>1Q24</v>
      </c>
      <c r="LB2" s="91" t="str">
        <f>CSX!LD4</f>
        <v>2Q24</v>
      </c>
      <c r="LC2" s="91" t="str">
        <f>CSX!LE4</f>
        <v>3Q24</v>
      </c>
      <c r="LD2" s="91" t="str">
        <f>CSX!LF4</f>
        <v>4Q24</v>
      </c>
      <c r="LE2" s="93">
        <f>CSX!LG4</f>
        <v>2024</v>
      </c>
      <c r="LF2" s="546"/>
      <c r="LG2" s="87" t="str">
        <f>$B2</f>
        <v>CSX Expenses</v>
      </c>
      <c r="LH2" s="91" t="str">
        <f>CSX!LJ4</f>
        <v>1Q25</v>
      </c>
      <c r="LI2" s="91" t="str">
        <f>CSX!LK4</f>
        <v>2Q25</v>
      </c>
      <c r="LJ2" s="91" t="str">
        <f>CSX!LL4</f>
        <v>3Q25</v>
      </c>
      <c r="LK2" s="91" t="str">
        <f>CSX!LM4</f>
        <v>4Q25</v>
      </c>
      <c r="LL2" s="93">
        <f>CSX!LN4</f>
        <v>2025</v>
      </c>
      <c r="LM2" s="546"/>
      <c r="LN2" s="87" t="str">
        <f>$B2</f>
        <v>CSX Expenses</v>
      </c>
      <c r="LO2" s="91" t="str">
        <f>CSX!LQ4</f>
        <v>1Q26E</v>
      </c>
      <c r="LP2" s="91" t="str">
        <f>CSX!LR4</f>
        <v>2Q26E</v>
      </c>
      <c r="LQ2" s="91" t="str">
        <f>CSX!LS4</f>
        <v>3Q26E</v>
      </c>
      <c r="LR2" s="91" t="str">
        <f>CSX!LT4</f>
        <v>4Q26E</v>
      </c>
      <c r="LS2" s="93" t="str">
        <f>CSX!LU4</f>
        <v>2026E</v>
      </c>
      <c r="LT2" s="546"/>
      <c r="LU2" s="87" t="str">
        <f>$B2</f>
        <v>CSX Expenses</v>
      </c>
      <c r="LV2" s="91" t="str">
        <f>CSX!LX4</f>
        <v>1Q27E</v>
      </c>
      <c r="LW2" s="91" t="str">
        <f>CSX!LY4</f>
        <v>2Q27E</v>
      </c>
      <c r="LX2" s="91" t="str">
        <f>CSX!LZ4</f>
        <v>3Q27E</v>
      </c>
      <c r="LY2" s="91" t="str">
        <f>CSX!MA4</f>
        <v>4Q27E</v>
      </c>
      <c r="LZ2" s="93" t="str">
        <f>CSX!MB4</f>
        <v>2027E</v>
      </c>
      <c r="MA2" s="546"/>
      <c r="MB2" s="87" t="str">
        <f>$B2</f>
        <v>CSX Expenses</v>
      </c>
      <c r="MC2" s="91" t="str">
        <f>CSX!ME4</f>
        <v>1Q28E</v>
      </c>
      <c r="MD2" s="91" t="str">
        <f>CSX!MF4</f>
        <v>2Q28E</v>
      </c>
      <c r="ME2" s="91" t="str">
        <f>CSX!MG4</f>
        <v>3Q28E</v>
      </c>
      <c r="MF2" s="91" t="str">
        <f>CSX!MH4</f>
        <v>4Q28E</v>
      </c>
      <c r="MG2" s="93" t="str">
        <f>CSX!MI4</f>
        <v>2028E</v>
      </c>
      <c r="MH2" s="546"/>
    </row>
    <row r="3" spans="1:346" s="37" customFormat="1" x14ac:dyDescent="0.4">
      <c r="A3" s="46"/>
      <c r="B3" s="88" t="s">
        <v>1</v>
      </c>
      <c r="C3" s="90"/>
      <c r="D3" s="90"/>
      <c r="E3" s="90"/>
      <c r="F3" s="90"/>
      <c r="G3" s="90"/>
      <c r="H3" s="90"/>
      <c r="I3" s="90"/>
      <c r="J3" s="90"/>
      <c r="K3" s="90"/>
      <c r="L3" s="90"/>
      <c r="M3" s="90"/>
      <c r="N3" s="90" t="s">
        <v>21</v>
      </c>
      <c r="O3" s="90" t="s">
        <v>21</v>
      </c>
      <c r="P3" s="90" t="s">
        <v>21</v>
      </c>
      <c r="Q3" s="90" t="s">
        <v>21</v>
      </c>
      <c r="R3" s="90" t="s">
        <v>21</v>
      </c>
      <c r="S3" s="90" t="s">
        <v>21</v>
      </c>
      <c r="T3" s="90" t="s">
        <v>21</v>
      </c>
      <c r="U3" s="90" t="s">
        <v>21</v>
      </c>
      <c r="V3" s="90" t="s">
        <v>21</v>
      </c>
      <c r="W3" s="90" t="s">
        <v>21</v>
      </c>
      <c r="X3" s="90" t="s">
        <v>21</v>
      </c>
      <c r="Y3" s="90" t="s">
        <v>21</v>
      </c>
      <c r="Z3" s="90" t="s">
        <v>21</v>
      </c>
      <c r="AA3" s="90" t="s">
        <v>21</v>
      </c>
      <c r="AB3" s="90" t="s">
        <v>21</v>
      </c>
      <c r="AC3" s="90" t="s">
        <v>21</v>
      </c>
      <c r="AD3" s="90" t="s">
        <v>21</v>
      </c>
      <c r="AE3" s="90" t="s">
        <v>21</v>
      </c>
      <c r="AF3" s="90" t="s">
        <v>21</v>
      </c>
      <c r="AG3" s="90" t="s">
        <v>21</v>
      </c>
      <c r="AH3" s="90" t="s">
        <v>21</v>
      </c>
      <c r="AI3" s="90" t="s">
        <v>21</v>
      </c>
      <c r="AJ3" s="90" t="s">
        <v>21</v>
      </c>
      <c r="AK3" s="90" t="s">
        <v>21</v>
      </c>
      <c r="AL3" s="90" t="s">
        <v>21</v>
      </c>
      <c r="AM3" s="90" t="s">
        <v>21</v>
      </c>
      <c r="AN3" s="90" t="s">
        <v>21</v>
      </c>
      <c r="AO3" s="90" t="s">
        <v>21</v>
      </c>
      <c r="AP3" s="90" t="s">
        <v>21</v>
      </c>
      <c r="AQ3" s="90" t="s">
        <v>21</v>
      </c>
      <c r="AR3" s="90" t="s">
        <v>21</v>
      </c>
      <c r="AS3" s="90" t="s">
        <v>21</v>
      </c>
      <c r="AT3" s="90" t="s">
        <v>21</v>
      </c>
      <c r="AU3" s="90" t="s">
        <v>21</v>
      </c>
      <c r="AV3" s="90" t="s">
        <v>21</v>
      </c>
      <c r="AW3" s="90" t="s">
        <v>21</v>
      </c>
      <c r="AX3" s="90" t="s">
        <v>21</v>
      </c>
      <c r="AY3" s="90" t="s">
        <v>21</v>
      </c>
      <c r="AZ3" s="90" t="s">
        <v>21</v>
      </c>
      <c r="BA3" s="90" t="s">
        <v>21</v>
      </c>
      <c r="BB3" s="299"/>
      <c r="BC3" s="299"/>
      <c r="BD3" s="299"/>
      <c r="BE3" s="299"/>
      <c r="BF3" s="299"/>
      <c r="BG3" s="299"/>
      <c r="BH3" s="299"/>
      <c r="BI3" s="299"/>
      <c r="BJ3" s="299"/>
      <c r="BK3" s="299"/>
      <c r="BL3" s="299"/>
      <c r="BM3" s="299"/>
      <c r="BO3" s="88" t="str">
        <f>$B3</f>
        <v>($ in millions except per share amounts)</v>
      </c>
      <c r="BP3" s="92">
        <f>CSX!BR5</f>
        <v>32598</v>
      </c>
      <c r="BQ3" s="92">
        <f>CSX!BS5</f>
        <v>32689</v>
      </c>
      <c r="BR3" s="92">
        <f>CSX!BT5</f>
        <v>32781</v>
      </c>
      <c r="BS3" s="92">
        <f>CSX!BU5</f>
        <v>32873</v>
      </c>
      <c r="BT3" s="92" t="str">
        <f>CSX!BV5</f>
        <v>FY</v>
      </c>
      <c r="BU3" s="77"/>
      <c r="BV3" s="88" t="str">
        <f>$B3</f>
        <v>($ in millions except per share amounts)</v>
      </c>
      <c r="BW3" s="92">
        <f>CSX!BY5</f>
        <v>32963</v>
      </c>
      <c r="BX3" s="92">
        <f>CSX!BZ5</f>
        <v>33054</v>
      </c>
      <c r="BY3" s="92">
        <f>CSX!CA5</f>
        <v>33146</v>
      </c>
      <c r="BZ3" s="92">
        <f>CSX!CB5</f>
        <v>33238</v>
      </c>
      <c r="CA3" s="92" t="str">
        <f>CSX!CC5</f>
        <v>FY</v>
      </c>
      <c r="CB3" s="77"/>
      <c r="CC3" s="88" t="str">
        <f>$B3</f>
        <v>($ in millions except per share amounts)</v>
      </c>
      <c r="CD3" s="92">
        <f>CSX!CF5</f>
        <v>33328</v>
      </c>
      <c r="CE3" s="92">
        <f>CSX!CG5</f>
        <v>33419</v>
      </c>
      <c r="CF3" s="92">
        <f>CSX!CH5</f>
        <v>33511</v>
      </c>
      <c r="CG3" s="92">
        <f>CSX!CI5</f>
        <v>33603</v>
      </c>
      <c r="CH3" s="92" t="str">
        <f>CSX!CJ5</f>
        <v>FY</v>
      </c>
      <c r="CI3" s="77"/>
      <c r="CJ3" s="88" t="str">
        <f>$B3</f>
        <v>($ in millions except per share amounts)</v>
      </c>
      <c r="CK3" s="92">
        <f>CSX!CM5</f>
        <v>33694</v>
      </c>
      <c r="CL3" s="92">
        <f>CSX!CN5</f>
        <v>33785</v>
      </c>
      <c r="CM3" s="92">
        <f>CSX!CO5</f>
        <v>33877</v>
      </c>
      <c r="CN3" s="92">
        <f>CSX!CP5</f>
        <v>33969</v>
      </c>
      <c r="CO3" s="92" t="str">
        <f>CSX!CQ5</f>
        <v>FY</v>
      </c>
      <c r="CP3" s="94"/>
      <c r="CQ3" s="88" t="str">
        <f>$B3</f>
        <v>($ in millions except per share amounts)</v>
      </c>
      <c r="CR3" s="92">
        <f>CSX!CT5</f>
        <v>34059</v>
      </c>
      <c r="CS3" s="92">
        <f>CSX!CU5</f>
        <v>34150</v>
      </c>
      <c r="CT3" s="92">
        <f>CSX!CV5</f>
        <v>34242</v>
      </c>
      <c r="CU3" s="92">
        <f>CSX!CW5</f>
        <v>34334</v>
      </c>
      <c r="CV3" s="92" t="str">
        <f>CSX!CX5</f>
        <v>FY</v>
      </c>
      <c r="CW3" s="94"/>
      <c r="CX3" s="88" t="str">
        <f>$B3</f>
        <v>($ in millions except per share amounts)</v>
      </c>
      <c r="CY3" s="92">
        <f>CSX!DA5</f>
        <v>34424</v>
      </c>
      <c r="CZ3" s="92">
        <f>CSX!DB5</f>
        <v>34515</v>
      </c>
      <c r="DA3" s="92">
        <f>CSX!DC5</f>
        <v>34607</v>
      </c>
      <c r="DB3" s="92">
        <f>CSX!DD5</f>
        <v>34699</v>
      </c>
      <c r="DC3" s="92" t="str">
        <f>CSX!DE5</f>
        <v>FY</v>
      </c>
      <c r="DD3" s="94"/>
      <c r="DE3" s="88" t="str">
        <f>$B3</f>
        <v>($ in millions except per share amounts)</v>
      </c>
      <c r="DF3" s="92">
        <f>CSX!DH5</f>
        <v>34789</v>
      </c>
      <c r="DG3" s="92">
        <f>CSX!DI5</f>
        <v>34880</v>
      </c>
      <c r="DH3" s="92">
        <f>CSX!DJ5</f>
        <v>34972</v>
      </c>
      <c r="DI3" s="92">
        <f>CSX!DK5</f>
        <v>35064</v>
      </c>
      <c r="DJ3" s="92" t="str">
        <f>CSX!DL5</f>
        <v>FY</v>
      </c>
      <c r="DK3" s="94"/>
      <c r="DL3" s="88" t="str">
        <f>$B3</f>
        <v>($ in millions except per share amounts)</v>
      </c>
      <c r="DM3" s="92">
        <f>CSX!DO5</f>
        <v>35155</v>
      </c>
      <c r="DN3" s="92">
        <f>CSX!DP5</f>
        <v>35246</v>
      </c>
      <c r="DO3" s="92">
        <f>CSX!DQ5</f>
        <v>35338</v>
      </c>
      <c r="DP3" s="92">
        <f>CSX!DR5</f>
        <v>35430</v>
      </c>
      <c r="DQ3" s="92" t="str">
        <f>CSX!DS5</f>
        <v>FY</v>
      </c>
      <c r="DR3" s="94"/>
      <c r="DS3" s="88" t="str">
        <f>$B3</f>
        <v>($ in millions except per share amounts)</v>
      </c>
      <c r="DT3" s="92">
        <f>CSX!DV5</f>
        <v>35520</v>
      </c>
      <c r="DU3" s="92">
        <f>CSX!DW5</f>
        <v>35611</v>
      </c>
      <c r="DV3" s="92">
        <f>CSX!DX5</f>
        <v>35703</v>
      </c>
      <c r="DW3" s="92">
        <f>CSX!DY5</f>
        <v>35795</v>
      </c>
      <c r="DX3" s="92" t="str">
        <f>CSX!DZ5</f>
        <v>FY</v>
      </c>
      <c r="DY3" s="94"/>
      <c r="DZ3" s="88" t="str">
        <f>$B3</f>
        <v>($ in millions except per share amounts)</v>
      </c>
      <c r="EA3" s="92">
        <f>CSX!EC5</f>
        <v>35885</v>
      </c>
      <c r="EB3" s="92">
        <f>CSX!ED5</f>
        <v>35976</v>
      </c>
      <c r="EC3" s="92">
        <f>CSX!EE5</f>
        <v>36068</v>
      </c>
      <c r="ED3" s="92">
        <f>CSX!EF5</f>
        <v>36160</v>
      </c>
      <c r="EE3" s="92" t="str">
        <f>CSX!EG5</f>
        <v>FY</v>
      </c>
      <c r="EF3" s="94"/>
      <c r="EG3" s="88" t="str">
        <f>$B3</f>
        <v>($ in millions except per share amounts)</v>
      </c>
      <c r="EH3" s="92">
        <f>CSX!EJ5</f>
        <v>36250</v>
      </c>
      <c r="EI3" s="92">
        <f>CSX!EK5</f>
        <v>36341</v>
      </c>
      <c r="EJ3" s="92">
        <f>CSX!EL5</f>
        <v>36433</v>
      </c>
      <c r="EK3" s="92">
        <f>CSX!EM5</f>
        <v>36525</v>
      </c>
      <c r="EL3" s="92" t="str">
        <f>CSX!EN5</f>
        <v>FY</v>
      </c>
      <c r="EM3" s="94"/>
      <c r="EN3" s="88" t="str">
        <f>$B3</f>
        <v>($ in millions except per share amounts)</v>
      </c>
      <c r="EO3" s="92">
        <f>CSX!EQ5</f>
        <v>36616</v>
      </c>
      <c r="EP3" s="92">
        <f>CSX!ER5</f>
        <v>36707</v>
      </c>
      <c r="EQ3" s="92">
        <f>CSX!ES5</f>
        <v>36799</v>
      </c>
      <c r="ER3" s="92">
        <f>CSX!ET5</f>
        <v>36891</v>
      </c>
      <c r="ES3" s="92" t="str">
        <f>CSX!EU5</f>
        <v>FY</v>
      </c>
      <c r="ET3" s="77"/>
      <c r="EU3" s="88" t="str">
        <f>$B3</f>
        <v>($ in millions except per share amounts)</v>
      </c>
      <c r="EV3" s="92">
        <f>CSX!EX5</f>
        <v>36981</v>
      </c>
      <c r="EW3" s="92">
        <f>CSX!EY5</f>
        <v>37072</v>
      </c>
      <c r="EX3" s="92">
        <f>CSX!EZ5</f>
        <v>37164</v>
      </c>
      <c r="EY3" s="92">
        <f>CSX!FA5</f>
        <v>37256</v>
      </c>
      <c r="EZ3" s="92" t="str">
        <f>CSX!FB5</f>
        <v>FY</v>
      </c>
      <c r="FA3" s="77"/>
      <c r="FB3" s="88" t="str">
        <f>$B3</f>
        <v>($ in millions except per share amounts)</v>
      </c>
      <c r="FC3" s="92">
        <f>CSX!FE5</f>
        <v>37346</v>
      </c>
      <c r="FD3" s="92">
        <f>CSX!FF5</f>
        <v>37437</v>
      </c>
      <c r="FE3" s="92">
        <f>CSX!FG5</f>
        <v>37529</v>
      </c>
      <c r="FF3" s="92">
        <f>CSX!FH5</f>
        <v>37621</v>
      </c>
      <c r="FG3" s="92" t="str">
        <f>CSX!FI5</f>
        <v>FY</v>
      </c>
      <c r="FH3" s="77"/>
      <c r="FI3" s="88" t="str">
        <f>$B3</f>
        <v>($ in millions except per share amounts)</v>
      </c>
      <c r="FJ3" s="92">
        <f>CSX!FL5</f>
        <v>37711</v>
      </c>
      <c r="FK3" s="92">
        <f>CSX!FM5</f>
        <v>37802</v>
      </c>
      <c r="FL3" s="92">
        <f>CSX!FN5</f>
        <v>37894</v>
      </c>
      <c r="FM3" s="92">
        <f>CSX!FO5</f>
        <v>37986</v>
      </c>
      <c r="FN3" s="92" t="str">
        <f>CSX!FP5</f>
        <v>FY</v>
      </c>
      <c r="FO3" s="77"/>
      <c r="FP3" s="88" t="str">
        <f>$B3</f>
        <v>($ in millions except per share amounts)</v>
      </c>
      <c r="FQ3" s="92">
        <f>CSX!FS5</f>
        <v>38077</v>
      </c>
      <c r="FR3" s="92">
        <f>CSX!FT5</f>
        <v>38168</v>
      </c>
      <c r="FS3" s="92">
        <f>CSX!FU5</f>
        <v>38260</v>
      </c>
      <c r="FT3" s="92">
        <f>CSX!FV5</f>
        <v>38352</v>
      </c>
      <c r="FU3" s="92" t="str">
        <f>CSX!FW5</f>
        <v>FY</v>
      </c>
      <c r="FV3" s="77"/>
      <c r="FW3" s="88" t="str">
        <f>$B3</f>
        <v>($ in millions except per share amounts)</v>
      </c>
      <c r="FX3" s="92">
        <f>CSX!FZ5</f>
        <v>38442</v>
      </c>
      <c r="FY3" s="92">
        <f>CSX!GA5</f>
        <v>38533</v>
      </c>
      <c r="FZ3" s="92">
        <f>CSX!GB5</f>
        <v>38625</v>
      </c>
      <c r="GA3" s="92">
        <f>CSX!GC5</f>
        <v>38717</v>
      </c>
      <c r="GB3" s="92" t="str">
        <f>CSX!GD5</f>
        <v>FY</v>
      </c>
      <c r="GC3" s="94"/>
      <c r="GD3" s="88" t="str">
        <f>$B3</f>
        <v>($ in millions except per share amounts)</v>
      </c>
      <c r="GE3" s="92">
        <f>CSX!GG5</f>
        <v>38807</v>
      </c>
      <c r="GF3" s="92">
        <f>CSX!GH5</f>
        <v>38898</v>
      </c>
      <c r="GG3" s="92">
        <f>CSX!GI5</f>
        <v>38990</v>
      </c>
      <c r="GH3" s="92">
        <f>CSX!GJ5</f>
        <v>39082</v>
      </c>
      <c r="GI3" s="92" t="str">
        <f>CSX!GK5</f>
        <v>FY</v>
      </c>
      <c r="GJ3" s="94"/>
      <c r="GK3" s="88" t="str">
        <f>$B3</f>
        <v>($ in millions except per share amounts)</v>
      </c>
      <c r="GL3" s="92">
        <f>CSX!GN5</f>
        <v>39172</v>
      </c>
      <c r="GM3" s="92">
        <f>CSX!GO5</f>
        <v>39263</v>
      </c>
      <c r="GN3" s="92">
        <f>CSX!GP5</f>
        <v>39355</v>
      </c>
      <c r="GO3" s="92">
        <f>CSX!GQ5</f>
        <v>39447</v>
      </c>
      <c r="GP3" s="92" t="str">
        <f>CSX!GR5</f>
        <v>FY</v>
      </c>
      <c r="GQ3" s="94"/>
      <c r="GR3" s="88" t="str">
        <f>$B3</f>
        <v>($ in millions except per share amounts)</v>
      </c>
      <c r="GS3" s="92">
        <f>CSX!GU5</f>
        <v>39538</v>
      </c>
      <c r="GT3" s="92">
        <f>CSX!GV5</f>
        <v>39629</v>
      </c>
      <c r="GU3" s="92">
        <f>CSX!GW5</f>
        <v>39721</v>
      </c>
      <c r="GV3" s="92">
        <f>CSX!GX5</f>
        <v>39813</v>
      </c>
      <c r="GW3" s="92" t="str">
        <f>CSX!GY5</f>
        <v>FY</v>
      </c>
      <c r="GX3" s="94"/>
      <c r="GY3" s="88" t="str">
        <f>$B3</f>
        <v>($ in millions except per share amounts)</v>
      </c>
      <c r="GZ3" s="92">
        <f>CSX!HB5</f>
        <v>39903</v>
      </c>
      <c r="HA3" s="92">
        <f>CSX!HC5</f>
        <v>39994</v>
      </c>
      <c r="HB3" s="92">
        <f>CSX!HD5</f>
        <v>40086</v>
      </c>
      <c r="HC3" s="92">
        <f>CSX!HE5</f>
        <v>40178</v>
      </c>
      <c r="HD3" s="92" t="str">
        <f>CSX!HF5</f>
        <v>FY</v>
      </c>
      <c r="HE3" s="94"/>
      <c r="HF3" s="88" t="str">
        <f>$B3</f>
        <v>($ in millions except per share amounts)</v>
      </c>
      <c r="HG3" s="92">
        <f>CSX!HI5</f>
        <v>40268</v>
      </c>
      <c r="HH3" s="92">
        <f>CSX!HJ5</f>
        <v>40359</v>
      </c>
      <c r="HI3" s="92">
        <f>CSX!HK5</f>
        <v>40451</v>
      </c>
      <c r="HJ3" s="92">
        <f>CSX!HL5</f>
        <v>40543</v>
      </c>
      <c r="HK3" s="92" t="str">
        <f>CSX!HM5</f>
        <v>FY</v>
      </c>
      <c r="HL3" s="94"/>
      <c r="HM3" s="88" t="str">
        <f>$B3</f>
        <v>($ in millions except per share amounts)</v>
      </c>
      <c r="HN3" s="92">
        <f>CSX!HP5</f>
        <v>40633</v>
      </c>
      <c r="HO3" s="92">
        <f>CSX!HQ5</f>
        <v>40724</v>
      </c>
      <c r="HP3" s="92">
        <f>CSX!HR5</f>
        <v>40816</v>
      </c>
      <c r="HQ3" s="92">
        <f>CSX!HS5</f>
        <v>40908</v>
      </c>
      <c r="HR3" s="92" t="str">
        <f>CSX!HT5</f>
        <v>FY</v>
      </c>
      <c r="HS3" s="94"/>
      <c r="HT3" s="88" t="str">
        <f>$B3</f>
        <v>($ in millions except per share amounts)</v>
      </c>
      <c r="HU3" s="92">
        <f>CSX!HW5</f>
        <v>40999</v>
      </c>
      <c r="HV3" s="92">
        <f>CSX!HX5</f>
        <v>41090</v>
      </c>
      <c r="HW3" s="92">
        <f>CSX!HY5</f>
        <v>41182</v>
      </c>
      <c r="HX3" s="92">
        <f>CSX!HZ5</f>
        <v>41274</v>
      </c>
      <c r="HY3" s="92" t="str">
        <f>CSX!IA5</f>
        <v>FY</v>
      </c>
      <c r="HZ3" s="94"/>
      <c r="IA3" s="88" t="str">
        <f>$B3</f>
        <v>($ in millions except per share amounts)</v>
      </c>
      <c r="IB3" s="92">
        <f>CSX!ID5</f>
        <v>41364</v>
      </c>
      <c r="IC3" s="92">
        <f>CSX!IE5</f>
        <v>41455</v>
      </c>
      <c r="ID3" s="92">
        <f>CSX!IF5</f>
        <v>41547</v>
      </c>
      <c r="IE3" s="92">
        <f>CSX!IG5</f>
        <v>41639</v>
      </c>
      <c r="IF3" s="92" t="str">
        <f>CSX!IH5</f>
        <v>FY</v>
      </c>
      <c r="IG3" s="94"/>
      <c r="IH3" s="88" t="str">
        <f>$B3</f>
        <v>($ in millions except per share amounts)</v>
      </c>
      <c r="II3" s="92">
        <f>CSX!IK5</f>
        <v>41729</v>
      </c>
      <c r="IJ3" s="92">
        <f>CSX!IL5</f>
        <v>41820</v>
      </c>
      <c r="IK3" s="92">
        <f>CSX!IM5</f>
        <v>41912</v>
      </c>
      <c r="IL3" s="92">
        <f>CSX!IN5</f>
        <v>42004</v>
      </c>
      <c r="IM3" s="92" t="str">
        <f>CSX!IO5</f>
        <v>FY</v>
      </c>
      <c r="IN3" s="94"/>
      <c r="IO3" s="88" t="str">
        <f>$B3</f>
        <v>($ in millions except per share amounts)</v>
      </c>
      <c r="IP3" s="92">
        <f>CSX!IR5</f>
        <v>42094</v>
      </c>
      <c r="IQ3" s="92">
        <f>CSX!IS5</f>
        <v>42185</v>
      </c>
      <c r="IR3" s="92">
        <f>CSX!IT5</f>
        <v>42277</v>
      </c>
      <c r="IS3" s="92">
        <f>CSX!IU5</f>
        <v>42369</v>
      </c>
      <c r="IT3" s="92" t="str">
        <f>CSX!IV5</f>
        <v>FY</v>
      </c>
      <c r="IU3" s="94"/>
      <c r="IV3" s="88" t="str">
        <f>$B3</f>
        <v>($ in millions except per share amounts)</v>
      </c>
      <c r="IW3" s="92">
        <f>CSX!IY5</f>
        <v>42460</v>
      </c>
      <c r="IX3" s="92">
        <f>CSX!IZ5</f>
        <v>42551</v>
      </c>
      <c r="IY3" s="92">
        <f>CSX!JA5</f>
        <v>42643</v>
      </c>
      <c r="IZ3" s="92">
        <f>CSX!JB5</f>
        <v>42735</v>
      </c>
      <c r="JA3" s="92" t="str">
        <f>CSX!JC5</f>
        <v>FY</v>
      </c>
      <c r="JB3" s="94"/>
      <c r="JC3" s="88" t="str">
        <f>$B3</f>
        <v>($ in millions except per share amounts)</v>
      </c>
      <c r="JD3" s="92">
        <f>CSX!JF5</f>
        <v>42825</v>
      </c>
      <c r="JE3" s="92">
        <f>CSX!JG5</f>
        <v>42916</v>
      </c>
      <c r="JF3" s="92">
        <f>CSX!JH5</f>
        <v>43008</v>
      </c>
      <c r="JG3" s="92">
        <f>CSX!JI5</f>
        <v>43100</v>
      </c>
      <c r="JH3" s="92" t="str">
        <f>CSX!JJ5</f>
        <v>FY</v>
      </c>
      <c r="JI3" s="94"/>
      <c r="JJ3" s="88" t="str">
        <f>$B3</f>
        <v>($ in millions except per share amounts)</v>
      </c>
      <c r="JK3" s="92">
        <f>CSX!JM5</f>
        <v>43190</v>
      </c>
      <c r="JL3" s="92">
        <f>CSX!JN5</f>
        <v>43281</v>
      </c>
      <c r="JM3" s="92">
        <f>CSX!JO5</f>
        <v>43373</v>
      </c>
      <c r="JN3" s="92">
        <f>CSX!JP5</f>
        <v>43465</v>
      </c>
      <c r="JO3" s="92" t="str">
        <f>CSX!JQ5</f>
        <v>FY</v>
      </c>
      <c r="JP3" s="94"/>
      <c r="JQ3" s="88" t="str">
        <f>$B3</f>
        <v>($ in millions except per share amounts)</v>
      </c>
      <c r="JR3" s="92">
        <f>CSX!JT5</f>
        <v>43555</v>
      </c>
      <c r="JS3" s="92">
        <f>CSX!JU5</f>
        <v>43646</v>
      </c>
      <c r="JT3" s="92">
        <f>CSX!JV5</f>
        <v>43738</v>
      </c>
      <c r="JU3" s="92">
        <f>CSX!JW5</f>
        <v>43830</v>
      </c>
      <c r="JV3" s="92" t="str">
        <f>CSX!JX5</f>
        <v>FY</v>
      </c>
      <c r="JW3" s="94"/>
      <c r="JX3" s="88" t="str">
        <f>$B3</f>
        <v>($ in millions except per share amounts)</v>
      </c>
      <c r="JY3" s="92">
        <f>CSX!KA5</f>
        <v>43921</v>
      </c>
      <c r="JZ3" s="92">
        <f>CSX!KB5</f>
        <v>44012</v>
      </c>
      <c r="KA3" s="92">
        <f>CSX!KC5</f>
        <v>44104</v>
      </c>
      <c r="KB3" s="92">
        <f>CSX!KD5</f>
        <v>44196</v>
      </c>
      <c r="KC3" s="92" t="str">
        <f>CSX!KE5</f>
        <v>FY</v>
      </c>
      <c r="KD3" s="94"/>
      <c r="KE3" s="88" t="str">
        <f>$B3</f>
        <v>($ in millions except per share amounts)</v>
      </c>
      <c r="KF3" s="92">
        <f>CSX!KH5</f>
        <v>44286</v>
      </c>
      <c r="KG3" s="92">
        <f>CSX!KI5</f>
        <v>44377</v>
      </c>
      <c r="KH3" s="92">
        <f>CSX!KJ5</f>
        <v>44469</v>
      </c>
      <c r="KI3" s="92">
        <f>CSX!KK5</f>
        <v>44561</v>
      </c>
      <c r="KJ3" s="92" t="str">
        <f>CSX!KL5</f>
        <v>FY</v>
      </c>
      <c r="KK3" s="94"/>
      <c r="KL3" s="88" t="str">
        <f>$B3</f>
        <v>($ in millions except per share amounts)</v>
      </c>
      <c r="KM3" s="92">
        <f>CSX!KO5</f>
        <v>44651</v>
      </c>
      <c r="KN3" s="92">
        <f>CSX!KP5</f>
        <v>44742</v>
      </c>
      <c r="KO3" s="92">
        <f>CSX!KQ5</f>
        <v>44834</v>
      </c>
      <c r="KP3" s="92">
        <f>CSX!KR5</f>
        <v>44926</v>
      </c>
      <c r="KQ3" s="92" t="str">
        <f>CSX!KS5</f>
        <v>FY</v>
      </c>
      <c r="KR3" s="94"/>
      <c r="KS3" s="88" t="str">
        <f>$B3</f>
        <v>($ in millions except per share amounts)</v>
      </c>
      <c r="KT3" s="92">
        <f>CSX!KV5</f>
        <v>45016</v>
      </c>
      <c r="KU3" s="92">
        <f>CSX!KW5</f>
        <v>45107</v>
      </c>
      <c r="KV3" s="92">
        <f>CSX!KX5</f>
        <v>45199</v>
      </c>
      <c r="KW3" s="92">
        <f>CSX!KY5</f>
        <v>45291</v>
      </c>
      <c r="KX3" s="92" t="str">
        <f>CSX!KZ5</f>
        <v>FY</v>
      </c>
      <c r="KY3" s="94"/>
      <c r="KZ3" s="88" t="str">
        <f>$B3</f>
        <v>($ in millions except per share amounts)</v>
      </c>
      <c r="LA3" s="92">
        <f>CSX!LC5</f>
        <v>45382</v>
      </c>
      <c r="LB3" s="92">
        <f>CSX!LD5</f>
        <v>45473</v>
      </c>
      <c r="LC3" s="92">
        <f>CSX!LE5</f>
        <v>45565</v>
      </c>
      <c r="LD3" s="92">
        <f>CSX!LF5</f>
        <v>45657</v>
      </c>
      <c r="LE3" s="95" t="str">
        <f>CSX!LG5</f>
        <v>FY</v>
      </c>
      <c r="LF3" s="547"/>
      <c r="LG3" s="88" t="str">
        <f>$B3</f>
        <v>($ in millions except per share amounts)</v>
      </c>
      <c r="LH3" s="92">
        <f>CSX!LJ5</f>
        <v>45747</v>
      </c>
      <c r="LI3" s="92">
        <f>CSX!LK5</f>
        <v>45838</v>
      </c>
      <c r="LJ3" s="92">
        <f>CSX!LL5</f>
        <v>45930</v>
      </c>
      <c r="LK3" s="92">
        <f>CSX!LM5</f>
        <v>46022</v>
      </c>
      <c r="LL3" s="95" t="str">
        <f>CSX!LN5</f>
        <v>FY</v>
      </c>
      <c r="LM3" s="547"/>
      <c r="LN3" s="88" t="str">
        <f>$B3</f>
        <v>($ in millions except per share amounts)</v>
      </c>
      <c r="LO3" s="92">
        <f>CSX!LQ5</f>
        <v>46112</v>
      </c>
      <c r="LP3" s="92">
        <f>CSX!LR5</f>
        <v>46203</v>
      </c>
      <c r="LQ3" s="92">
        <f>CSX!LS5</f>
        <v>46295</v>
      </c>
      <c r="LR3" s="92">
        <f>CSX!LT5</f>
        <v>46387</v>
      </c>
      <c r="LS3" s="95" t="str">
        <f>CSX!LU5</f>
        <v>FY</v>
      </c>
      <c r="LT3" s="547"/>
      <c r="LU3" s="88" t="str">
        <f>$B3</f>
        <v>($ in millions except per share amounts)</v>
      </c>
      <c r="LV3" s="92">
        <f>CSX!LX5</f>
        <v>46477</v>
      </c>
      <c r="LW3" s="92">
        <f>CSX!LY5</f>
        <v>46568</v>
      </c>
      <c r="LX3" s="92">
        <f>CSX!LZ5</f>
        <v>46660</v>
      </c>
      <c r="LY3" s="92">
        <f>CSX!MA5</f>
        <v>46752</v>
      </c>
      <c r="LZ3" s="95" t="str">
        <f>CSX!MB5</f>
        <v>FY</v>
      </c>
      <c r="MA3" s="547"/>
      <c r="MB3" s="88" t="str">
        <f>$B3</f>
        <v>($ in millions except per share amounts)</v>
      </c>
      <c r="MC3" s="92">
        <f>CSX!ME5</f>
        <v>46843</v>
      </c>
      <c r="MD3" s="92">
        <f>CSX!MF5</f>
        <v>46934</v>
      </c>
      <c r="ME3" s="92">
        <f>CSX!MG5</f>
        <v>47026</v>
      </c>
      <c r="MF3" s="92">
        <f>CSX!MH5</f>
        <v>47118</v>
      </c>
      <c r="MG3" s="95" t="str">
        <f>CSX!MI5</f>
        <v>FY</v>
      </c>
      <c r="MH3" s="547"/>
    </row>
    <row r="4" spans="1:346" s="37" customFormat="1" ht="13.15" x14ac:dyDescent="0.4">
      <c r="A4" s="48"/>
      <c r="B4" s="36"/>
      <c r="BO4" s="36"/>
      <c r="BP4" s="53"/>
      <c r="BQ4" s="53"/>
      <c r="BR4" s="53"/>
      <c r="BS4" s="53"/>
      <c r="BT4" s="53"/>
      <c r="BV4" s="36"/>
      <c r="BW4" s="53"/>
      <c r="BX4" s="53"/>
      <c r="BY4" s="53"/>
      <c r="BZ4" s="53"/>
      <c r="CA4" s="53"/>
      <c r="CC4" s="36"/>
      <c r="CD4" s="53"/>
      <c r="CE4" s="53"/>
      <c r="CF4" s="53"/>
      <c r="CG4" s="53"/>
      <c r="CH4" s="53"/>
      <c r="CJ4" s="36"/>
      <c r="CK4" s="53"/>
      <c r="CL4" s="53"/>
      <c r="CM4" s="53"/>
      <c r="CN4" s="53"/>
      <c r="CO4" s="53"/>
      <c r="CQ4" s="36"/>
      <c r="CR4" s="53"/>
      <c r="CS4" s="53"/>
      <c r="CT4" s="53"/>
      <c r="CU4" s="53"/>
      <c r="CV4" s="53"/>
      <c r="CX4" s="36"/>
      <c r="CY4" s="53"/>
      <c r="CZ4" s="53"/>
      <c r="DA4" s="53"/>
      <c r="DB4" s="53"/>
      <c r="DC4" s="53"/>
      <c r="DE4" s="36"/>
      <c r="DF4" s="53"/>
      <c r="DG4" s="53"/>
      <c r="DH4" s="53"/>
      <c r="DI4" s="53"/>
      <c r="DJ4" s="53"/>
      <c r="DL4" s="36"/>
      <c r="DM4" s="53"/>
      <c r="DN4" s="53"/>
      <c r="DO4" s="53"/>
      <c r="DP4" s="53"/>
      <c r="DQ4" s="53"/>
      <c r="DS4" s="36"/>
      <c r="DT4" s="53"/>
      <c r="DU4" s="53"/>
      <c r="DV4" s="53"/>
      <c r="DW4" s="53"/>
      <c r="DX4" s="53"/>
      <c r="DZ4" s="36"/>
      <c r="EA4" s="53"/>
      <c r="EB4" s="53"/>
      <c r="EC4" s="53"/>
      <c r="ED4" s="53"/>
      <c r="EE4" s="53"/>
      <c r="EG4" s="36"/>
      <c r="EH4" s="53"/>
      <c r="EI4" s="53"/>
      <c r="EJ4" s="53"/>
      <c r="EK4" s="53"/>
      <c r="EL4" s="53"/>
      <c r="EN4" s="36"/>
      <c r="EO4" s="53"/>
      <c r="EP4" s="53"/>
      <c r="EQ4" s="53"/>
      <c r="ER4" s="53"/>
      <c r="ES4" s="53"/>
      <c r="EU4" s="36"/>
      <c r="EV4" s="53"/>
      <c r="EW4" s="53"/>
      <c r="EX4" s="53"/>
      <c r="EY4" s="53"/>
      <c r="EZ4" s="53"/>
      <c r="FB4" s="36"/>
      <c r="FC4" s="53"/>
      <c r="FD4" s="53"/>
      <c r="FE4" s="53"/>
      <c r="FF4" s="53"/>
      <c r="FG4" s="53"/>
      <c r="FI4" s="36"/>
      <c r="FJ4" s="53"/>
      <c r="FK4" s="53"/>
      <c r="FL4" s="53"/>
      <c r="FM4" s="53"/>
      <c r="FN4" s="53"/>
      <c r="FP4" s="36"/>
      <c r="FQ4" s="53"/>
      <c r="FR4" s="53"/>
      <c r="FS4" s="53"/>
      <c r="FT4" s="53"/>
      <c r="FU4" s="53"/>
      <c r="FW4" s="36"/>
      <c r="FX4" s="53"/>
      <c r="FY4" s="53"/>
      <c r="FZ4" s="53"/>
      <c r="GA4" s="53"/>
      <c r="GB4" s="53"/>
      <c r="GD4" s="36"/>
      <c r="GE4" s="53"/>
      <c r="GF4" s="53"/>
      <c r="GG4" s="53"/>
      <c r="GH4" s="53"/>
      <c r="GI4" s="53"/>
      <c r="GK4" s="36"/>
      <c r="GL4" s="53"/>
      <c r="GM4" s="53"/>
      <c r="GN4" s="53"/>
      <c r="GO4" s="53"/>
      <c r="GP4" s="53"/>
      <c r="GR4" s="36"/>
      <c r="GS4" s="53"/>
      <c r="GT4" s="53"/>
      <c r="GU4" s="53"/>
      <c r="GV4" s="53"/>
      <c r="GW4" s="53"/>
      <c r="GY4" s="36"/>
      <c r="GZ4" s="53"/>
      <c r="HA4" s="53"/>
      <c r="HB4" s="53"/>
      <c r="HC4" s="53"/>
      <c r="HD4" s="53"/>
      <c r="HF4" s="36"/>
      <c r="HG4" s="53"/>
      <c r="HH4" s="53"/>
      <c r="HI4" s="53"/>
      <c r="HJ4" s="53"/>
      <c r="HK4" s="53"/>
      <c r="HM4" s="36"/>
      <c r="HN4" s="53"/>
      <c r="HO4" s="53"/>
      <c r="HP4" s="53"/>
      <c r="HQ4" s="53"/>
      <c r="HR4" s="53"/>
      <c r="HT4" s="36"/>
      <c r="HU4" s="53"/>
      <c r="HV4" s="53"/>
      <c r="HW4" s="53"/>
      <c r="HX4" s="53"/>
      <c r="HY4" s="53"/>
      <c r="IA4" s="36"/>
      <c r="IB4" s="53"/>
      <c r="IC4" s="53"/>
      <c r="ID4" s="53"/>
      <c r="IE4" s="53"/>
      <c r="IF4" s="53"/>
      <c r="IH4" s="36"/>
      <c r="II4" s="53"/>
      <c r="IJ4" s="53"/>
      <c r="IK4" s="53"/>
      <c r="IL4" s="53"/>
      <c r="IM4" s="53"/>
      <c r="IO4" s="36"/>
      <c r="IP4" s="53"/>
      <c r="IQ4" s="53"/>
      <c r="IR4" s="53"/>
      <c r="IS4" s="53"/>
      <c r="IT4" s="53"/>
      <c r="IV4" s="36"/>
      <c r="IW4" s="53"/>
      <c r="IX4" s="53"/>
      <c r="IY4" s="53"/>
      <c r="IZ4" s="53"/>
      <c r="JA4" s="53"/>
      <c r="JC4" s="36"/>
      <c r="JD4" s="53"/>
      <c r="JE4" s="53"/>
      <c r="JF4" s="53"/>
      <c r="JG4" s="53"/>
      <c r="JH4" s="53"/>
      <c r="JJ4" s="36"/>
      <c r="JK4" s="53"/>
      <c r="JL4" s="53"/>
      <c r="JM4" s="53"/>
      <c r="JN4" s="53"/>
      <c r="JO4" s="53"/>
      <c r="JQ4" s="36"/>
      <c r="JR4" s="53"/>
      <c r="JS4" s="53"/>
      <c r="JT4" s="53"/>
      <c r="JU4" s="53"/>
      <c r="JV4" s="53"/>
      <c r="JX4" s="36"/>
      <c r="JY4" s="53"/>
      <c r="JZ4" s="53"/>
      <c r="KA4" s="53"/>
      <c r="KB4" s="53"/>
      <c r="KC4" s="53"/>
      <c r="KE4" s="36"/>
      <c r="KF4" s="53"/>
      <c r="KG4" s="53"/>
      <c r="KH4" s="53"/>
      <c r="KI4" s="53"/>
      <c r="KJ4" s="53"/>
      <c r="KL4" s="36"/>
      <c r="KM4" s="53"/>
      <c r="KN4" s="53"/>
      <c r="KO4" s="53"/>
      <c r="KP4" s="53"/>
      <c r="KQ4" s="53"/>
      <c r="KS4" s="549"/>
      <c r="KT4" s="550"/>
      <c r="KU4" s="550"/>
      <c r="KV4" s="550"/>
      <c r="KW4" s="550"/>
      <c r="KX4" s="550"/>
      <c r="KY4" s="550"/>
      <c r="KZ4" s="549"/>
      <c r="LA4" s="551"/>
      <c r="LB4" s="551"/>
      <c r="LC4" s="551"/>
      <c r="LD4" s="551"/>
      <c r="LE4" s="550"/>
      <c r="LF4" s="559"/>
      <c r="LG4" s="549"/>
      <c r="LH4" s="551"/>
      <c r="LI4" s="551"/>
      <c r="LJ4" s="551"/>
      <c r="LK4" s="551"/>
      <c r="LL4" s="550"/>
      <c r="LM4" s="559"/>
      <c r="LN4" s="549"/>
      <c r="LO4" s="551"/>
      <c r="LP4" s="551"/>
      <c r="LQ4" s="551"/>
      <c r="LR4" s="551"/>
      <c r="LS4" s="550"/>
      <c r="LT4" s="559"/>
      <c r="LU4" s="549"/>
      <c r="LV4" s="551"/>
      <c r="LW4" s="551"/>
      <c r="LX4" s="551"/>
      <c r="LY4" s="551"/>
      <c r="LZ4" s="550"/>
      <c r="MA4" s="559"/>
      <c r="MB4" s="549"/>
      <c r="MC4" s="551"/>
      <c r="MD4" s="551"/>
      <c r="ME4" s="551"/>
      <c r="MF4" s="551"/>
      <c r="MG4" s="550"/>
      <c r="MH4" s="559"/>
    </row>
    <row r="5" spans="1:346" s="37" customFormat="1" ht="13.15" x14ac:dyDescent="0.4">
      <c r="A5" s="48"/>
      <c r="B5" s="54" t="s">
        <v>22</v>
      </c>
      <c r="C5" s="55">
        <v>3256.739</v>
      </c>
      <c r="D5" s="55">
        <v>3642.8</v>
      </c>
      <c r="E5" s="55">
        <v>4063</v>
      </c>
      <c r="F5" s="55">
        <v>4539.5</v>
      </c>
      <c r="G5" s="55">
        <v>4383</v>
      </c>
      <c r="H5" s="55">
        <v>4360</v>
      </c>
      <c r="I5" s="55">
        <v>4766</v>
      </c>
      <c r="J5" s="55">
        <v>4545</v>
      </c>
      <c r="K5" s="55">
        <v>5272</v>
      </c>
      <c r="L5" s="55">
        <v>6155</v>
      </c>
      <c r="M5" s="55">
        <v>6683</v>
      </c>
      <c r="N5" s="55">
        <f>BT5</f>
        <v>6876</v>
      </c>
      <c r="O5" s="55">
        <f>CA5</f>
        <v>7337</v>
      </c>
      <c r="P5" s="55">
        <f>CH5</f>
        <v>7782</v>
      </c>
      <c r="Q5" s="55">
        <f>CO5</f>
        <v>7769</v>
      </c>
      <c r="R5" s="55">
        <f>CV5</f>
        <v>7934</v>
      </c>
      <c r="S5" s="55">
        <f>DC5</f>
        <v>8376</v>
      </c>
      <c r="T5" s="55">
        <f>DJ5</f>
        <v>8902</v>
      </c>
      <c r="U5" s="55">
        <f>DQ5</f>
        <v>9023.5</v>
      </c>
      <c r="V5" s="55">
        <f>DX5</f>
        <v>9330</v>
      </c>
      <c r="W5" s="55">
        <f>EE5</f>
        <v>8748</v>
      </c>
      <c r="X5" s="55">
        <f>EL5</f>
        <v>9782</v>
      </c>
      <c r="Y5" s="55">
        <f>ES5</f>
        <v>7622</v>
      </c>
      <c r="Z5" s="55">
        <f>EZ5</f>
        <v>7095</v>
      </c>
      <c r="AA5" s="55">
        <f>FG5</f>
        <v>7036</v>
      </c>
      <c r="AB5" s="55">
        <f>FN5</f>
        <v>6656</v>
      </c>
      <c r="AC5" s="55">
        <f>FU5</f>
        <v>6944</v>
      </c>
      <c r="AD5" s="55">
        <f>GB5</f>
        <v>7068</v>
      </c>
      <c r="AE5" s="55">
        <f>GI5</f>
        <v>7442</v>
      </c>
      <c r="AF5" s="55">
        <f>GP5</f>
        <v>7770</v>
      </c>
      <c r="AG5" s="55">
        <f>GW5</f>
        <v>8489</v>
      </c>
      <c r="AH5" s="55">
        <f>HD5</f>
        <v>6765</v>
      </c>
      <c r="AI5" s="55">
        <f>HK5</f>
        <v>7535</v>
      </c>
      <c r="AJ5" s="55">
        <f>HR5</f>
        <v>8325</v>
      </c>
      <c r="AK5" s="55">
        <f>HY5</f>
        <v>8299</v>
      </c>
      <c r="AL5" s="55">
        <f>IF5</f>
        <v>8553</v>
      </c>
      <c r="AM5" s="55">
        <f>IM5</f>
        <v>9056</v>
      </c>
      <c r="AN5" s="55">
        <f>IT5</f>
        <v>8227</v>
      </c>
      <c r="AO5" s="55">
        <f>JA5</f>
        <v>7680</v>
      </c>
      <c r="AP5" s="55">
        <f>JH5</f>
        <v>7590</v>
      </c>
      <c r="AQ5" s="55">
        <f>JO5</f>
        <v>7381</v>
      </c>
      <c r="AR5" s="55">
        <f>JV5</f>
        <v>6972</v>
      </c>
      <c r="AS5" s="55">
        <f>KC5</f>
        <v>6221</v>
      </c>
      <c r="AT5" s="55">
        <f>KJ5</f>
        <v>7277</v>
      </c>
      <c r="AU5" s="55">
        <f>KQ5</f>
        <v>8952</v>
      </c>
      <c r="AV5" s="55">
        <f>KX5</f>
        <v>9158</v>
      </c>
      <c r="AW5" s="55">
        <f>LE5</f>
        <v>9187</v>
      </c>
      <c r="AX5" s="55">
        <f>LL5</f>
        <v>9320</v>
      </c>
      <c r="AY5" s="55">
        <f>LS5</f>
        <v>9216.6488228830476</v>
      </c>
      <c r="AZ5" s="55">
        <f>LZ5</f>
        <v>9326.9166990208214</v>
      </c>
      <c r="BA5" s="55">
        <f>MG5</f>
        <v>9598.3881669237981</v>
      </c>
      <c r="BB5" s="55"/>
      <c r="BC5" s="55"/>
      <c r="BD5" s="55"/>
      <c r="BE5" s="55"/>
      <c r="BF5" s="55"/>
      <c r="BG5" s="55"/>
      <c r="BH5" s="55"/>
      <c r="BI5" s="55"/>
      <c r="BJ5" s="55"/>
      <c r="BK5" s="55"/>
      <c r="BL5" s="55"/>
      <c r="BM5" s="55"/>
      <c r="BO5" s="54" t="s">
        <v>22</v>
      </c>
      <c r="BP5" s="56">
        <f t="shared" ref="BP5:DG5" si="1">SUM(BP7:BP13)</f>
        <v>1656</v>
      </c>
      <c r="BQ5" s="56">
        <f t="shared" si="1"/>
        <v>1744</v>
      </c>
      <c r="BR5" s="56">
        <f t="shared" si="1"/>
        <v>1717</v>
      </c>
      <c r="BS5" s="56">
        <f t="shared" si="1"/>
        <v>1759</v>
      </c>
      <c r="BT5" s="56">
        <f t="shared" si="1"/>
        <v>6876</v>
      </c>
      <c r="BV5" s="54" t="s">
        <v>22</v>
      </c>
      <c r="BW5" s="56">
        <f t="shared" si="1"/>
        <v>1740</v>
      </c>
      <c r="BX5" s="56">
        <f t="shared" si="1"/>
        <v>1826</v>
      </c>
      <c r="BY5" s="56">
        <f t="shared" si="1"/>
        <v>1827</v>
      </c>
      <c r="BZ5" s="56">
        <f t="shared" si="1"/>
        <v>1944</v>
      </c>
      <c r="CA5" s="56">
        <f t="shared" si="1"/>
        <v>7337</v>
      </c>
      <c r="CC5" s="54" t="s">
        <v>22</v>
      </c>
      <c r="CD5" s="56">
        <f t="shared" si="1"/>
        <v>1885</v>
      </c>
      <c r="CE5" s="56">
        <f t="shared" si="1"/>
        <v>1919</v>
      </c>
      <c r="CF5" s="56">
        <f t="shared" si="1"/>
        <v>1964</v>
      </c>
      <c r="CG5" s="56">
        <f t="shared" si="1"/>
        <v>2014</v>
      </c>
      <c r="CH5" s="56">
        <f t="shared" si="1"/>
        <v>7782</v>
      </c>
      <c r="CJ5" s="54" t="s">
        <v>22</v>
      </c>
      <c r="CK5" s="56">
        <f t="shared" si="1"/>
        <v>1929</v>
      </c>
      <c r="CL5" s="56">
        <f t="shared" si="1"/>
        <v>1935</v>
      </c>
      <c r="CM5" s="56">
        <f t="shared" si="1"/>
        <v>1952</v>
      </c>
      <c r="CN5" s="56">
        <f t="shared" si="1"/>
        <v>1953</v>
      </c>
      <c r="CO5" s="56">
        <f t="shared" si="1"/>
        <v>7769</v>
      </c>
      <c r="CQ5" s="54" t="s">
        <v>22</v>
      </c>
      <c r="CR5" s="56">
        <f t="shared" si="1"/>
        <v>1967</v>
      </c>
      <c r="CS5" s="56">
        <f t="shared" si="1"/>
        <v>1986</v>
      </c>
      <c r="CT5" s="56">
        <f t="shared" si="1"/>
        <v>1986</v>
      </c>
      <c r="CU5" s="56">
        <f t="shared" si="1"/>
        <v>1995</v>
      </c>
      <c r="CV5" s="56">
        <f t="shared" si="1"/>
        <v>7934</v>
      </c>
      <c r="CX5" s="54" t="s">
        <v>22</v>
      </c>
      <c r="CY5" s="56">
        <f t="shared" si="1"/>
        <v>2041</v>
      </c>
      <c r="CZ5" s="56">
        <f t="shared" si="1"/>
        <v>2067</v>
      </c>
      <c r="DA5" s="56">
        <f t="shared" si="1"/>
        <v>2120</v>
      </c>
      <c r="DB5" s="56">
        <f t="shared" si="1"/>
        <v>2148</v>
      </c>
      <c r="DC5" s="56">
        <f t="shared" si="1"/>
        <v>8376</v>
      </c>
      <c r="DE5" s="54" t="s">
        <v>22</v>
      </c>
      <c r="DF5" s="56">
        <f t="shared" si="1"/>
        <v>2168</v>
      </c>
      <c r="DG5" s="56">
        <f t="shared" si="1"/>
        <v>2200</v>
      </c>
      <c r="DH5" s="56">
        <f t="shared" ref="DH5:FS5" si="2">SUM(DH7:DH13)</f>
        <v>2221</v>
      </c>
      <c r="DI5" s="56">
        <f t="shared" si="2"/>
        <v>2313</v>
      </c>
      <c r="DJ5" s="56">
        <f t="shared" si="2"/>
        <v>8902</v>
      </c>
      <c r="DL5" s="54" t="s">
        <v>22</v>
      </c>
      <c r="DM5" s="56">
        <f t="shared" si="2"/>
        <v>2218</v>
      </c>
      <c r="DN5" s="56">
        <f t="shared" si="2"/>
        <v>2273.5</v>
      </c>
      <c r="DO5" s="56">
        <f t="shared" si="2"/>
        <v>2255</v>
      </c>
      <c r="DP5" s="56">
        <f t="shared" si="2"/>
        <v>2277</v>
      </c>
      <c r="DQ5" s="56">
        <f t="shared" si="2"/>
        <v>9023.5</v>
      </c>
      <c r="DS5" s="54" t="s">
        <v>22</v>
      </c>
      <c r="DT5" s="56">
        <f t="shared" si="2"/>
        <v>2243</v>
      </c>
      <c r="DU5" s="56">
        <f t="shared" si="2"/>
        <v>2245</v>
      </c>
      <c r="DV5" s="56">
        <f t="shared" si="2"/>
        <v>2413</v>
      </c>
      <c r="DW5" s="56">
        <f t="shared" si="2"/>
        <v>2429</v>
      </c>
      <c r="DX5" s="56">
        <f t="shared" si="2"/>
        <v>9330</v>
      </c>
      <c r="DZ5" s="54" t="s">
        <v>22</v>
      </c>
      <c r="EA5" s="56">
        <f t="shared" si="2"/>
        <v>2184</v>
      </c>
      <c r="EB5" s="56">
        <f t="shared" si="2"/>
        <v>2154</v>
      </c>
      <c r="EC5" s="56">
        <f t="shared" si="2"/>
        <v>2186</v>
      </c>
      <c r="ED5" s="56">
        <f t="shared" si="2"/>
        <v>2224</v>
      </c>
      <c r="EE5" s="56">
        <f t="shared" si="2"/>
        <v>8748</v>
      </c>
      <c r="EG5" s="54" t="s">
        <v>22</v>
      </c>
      <c r="EH5" s="56">
        <f t="shared" si="2"/>
        <v>2280</v>
      </c>
      <c r="EI5" s="56">
        <f t="shared" si="2"/>
        <v>2342</v>
      </c>
      <c r="EJ5" s="56">
        <f t="shared" si="2"/>
        <v>2590</v>
      </c>
      <c r="EK5" s="56">
        <f t="shared" si="2"/>
        <v>2570</v>
      </c>
      <c r="EL5" s="56">
        <f t="shared" si="2"/>
        <v>9782</v>
      </c>
      <c r="EN5" s="54" t="s">
        <v>22</v>
      </c>
      <c r="EO5" s="56">
        <f t="shared" si="2"/>
        <v>1976</v>
      </c>
      <c r="EP5" s="56">
        <f t="shared" si="2"/>
        <v>2002</v>
      </c>
      <c r="EQ5" s="56">
        <f t="shared" si="2"/>
        <v>1815</v>
      </c>
      <c r="ER5" s="56">
        <f t="shared" si="2"/>
        <v>1829</v>
      </c>
      <c r="ES5" s="56">
        <f t="shared" si="2"/>
        <v>7622</v>
      </c>
      <c r="EU5" s="54" t="s">
        <v>22</v>
      </c>
      <c r="EV5" s="56">
        <f t="shared" si="2"/>
        <v>1836</v>
      </c>
      <c r="EW5" s="56">
        <f t="shared" si="2"/>
        <v>1792</v>
      </c>
      <c r="EX5" s="56">
        <f t="shared" si="2"/>
        <v>1739</v>
      </c>
      <c r="EY5" s="56">
        <f t="shared" si="2"/>
        <v>1728</v>
      </c>
      <c r="EZ5" s="56">
        <f t="shared" si="2"/>
        <v>7095</v>
      </c>
      <c r="FB5" s="54" t="s">
        <v>22</v>
      </c>
      <c r="FC5" s="56">
        <f t="shared" si="2"/>
        <v>1752</v>
      </c>
      <c r="FD5" s="56">
        <f t="shared" si="2"/>
        <v>1763</v>
      </c>
      <c r="FE5" s="56">
        <f t="shared" si="2"/>
        <v>1779</v>
      </c>
      <c r="FF5" s="56">
        <f t="shared" si="2"/>
        <v>1742</v>
      </c>
      <c r="FG5" s="56">
        <f t="shared" si="2"/>
        <v>7036</v>
      </c>
      <c r="FI5" s="54" t="s">
        <v>22</v>
      </c>
      <c r="FJ5" s="56">
        <f t="shared" si="2"/>
        <v>1798</v>
      </c>
      <c r="FK5" s="56">
        <f t="shared" si="2"/>
        <v>1620</v>
      </c>
      <c r="FL5" s="56">
        <f t="shared" si="2"/>
        <v>1591</v>
      </c>
      <c r="FM5" s="56">
        <f t="shared" si="2"/>
        <v>1647</v>
      </c>
      <c r="FN5" s="56">
        <f t="shared" si="2"/>
        <v>6656</v>
      </c>
      <c r="FP5" s="54" t="s">
        <v>22</v>
      </c>
      <c r="FQ5" s="56">
        <f t="shared" si="2"/>
        <v>1715</v>
      </c>
      <c r="FR5" s="56">
        <f t="shared" si="2"/>
        <v>1695</v>
      </c>
      <c r="FS5" s="56">
        <f t="shared" si="2"/>
        <v>1679</v>
      </c>
      <c r="FT5" s="56">
        <f t="shared" ref="FT5:IE5" si="3">SUM(FT7:FT13)</f>
        <v>1855</v>
      </c>
      <c r="FU5" s="56">
        <f t="shared" si="3"/>
        <v>6944</v>
      </c>
      <c r="FW5" s="54" t="s">
        <v>22</v>
      </c>
      <c r="FX5" s="56">
        <f t="shared" si="3"/>
        <v>1754</v>
      </c>
      <c r="FY5" s="56">
        <f t="shared" si="3"/>
        <v>1735</v>
      </c>
      <c r="FZ5" s="56">
        <f t="shared" si="3"/>
        <v>1772</v>
      </c>
      <c r="GA5" s="56">
        <f t="shared" si="3"/>
        <v>1807</v>
      </c>
      <c r="GB5" s="56">
        <f t="shared" si="3"/>
        <v>7068</v>
      </c>
      <c r="GD5" s="54" t="s">
        <v>22</v>
      </c>
      <c r="GE5" s="56">
        <f t="shared" si="3"/>
        <v>1844</v>
      </c>
      <c r="GF5" s="56">
        <f t="shared" si="3"/>
        <v>1776</v>
      </c>
      <c r="GG5" s="56">
        <f t="shared" si="3"/>
        <v>1929</v>
      </c>
      <c r="GH5" s="56">
        <f t="shared" si="3"/>
        <v>1893</v>
      </c>
      <c r="GI5" s="56">
        <f t="shared" si="3"/>
        <v>7442</v>
      </c>
      <c r="GK5" s="54" t="s">
        <v>22</v>
      </c>
      <c r="GL5" s="56">
        <f t="shared" si="3"/>
        <v>1937</v>
      </c>
      <c r="GM5" s="56">
        <f t="shared" si="3"/>
        <v>1918</v>
      </c>
      <c r="GN5" s="56">
        <f t="shared" si="3"/>
        <v>1943</v>
      </c>
      <c r="GO5" s="56">
        <f t="shared" si="3"/>
        <v>1972</v>
      </c>
      <c r="GP5" s="56">
        <f t="shared" si="3"/>
        <v>7770</v>
      </c>
      <c r="GR5" s="54" t="s">
        <v>22</v>
      </c>
      <c r="GS5" s="56">
        <f t="shared" si="3"/>
        <v>2089</v>
      </c>
      <c r="GT5" s="56">
        <f t="shared" si="3"/>
        <v>2190</v>
      </c>
      <c r="GU5" s="56">
        <f t="shared" si="3"/>
        <v>2228</v>
      </c>
      <c r="GV5" s="56">
        <f t="shared" si="3"/>
        <v>1982</v>
      </c>
      <c r="GW5" s="56">
        <f t="shared" si="3"/>
        <v>8489</v>
      </c>
      <c r="GY5" s="54" t="s">
        <v>22</v>
      </c>
      <c r="GZ5" s="56">
        <f t="shared" si="3"/>
        <v>1725</v>
      </c>
      <c r="HA5" s="56">
        <f t="shared" si="3"/>
        <v>1608</v>
      </c>
      <c r="HB5" s="56">
        <f t="shared" si="3"/>
        <v>1695</v>
      </c>
      <c r="HC5" s="56">
        <f t="shared" si="3"/>
        <v>1737</v>
      </c>
      <c r="HD5" s="56">
        <f t="shared" si="3"/>
        <v>6765</v>
      </c>
      <c r="HF5" s="54" t="s">
        <v>22</v>
      </c>
      <c r="HG5" s="56">
        <f t="shared" si="3"/>
        <v>1859</v>
      </c>
      <c r="HH5" s="56">
        <f t="shared" si="3"/>
        <v>1865</v>
      </c>
      <c r="HI5" s="56">
        <f t="shared" si="3"/>
        <v>1841</v>
      </c>
      <c r="HJ5" s="56">
        <f t="shared" si="3"/>
        <v>1970</v>
      </c>
      <c r="HK5" s="56">
        <f t="shared" si="3"/>
        <v>7535</v>
      </c>
      <c r="HM5" s="54" t="s">
        <v>22</v>
      </c>
      <c r="HN5" s="56">
        <f t="shared" si="3"/>
        <v>2037</v>
      </c>
      <c r="HO5" s="56">
        <f t="shared" si="3"/>
        <v>2093</v>
      </c>
      <c r="HP5" s="56">
        <f t="shared" si="3"/>
        <v>2085</v>
      </c>
      <c r="HQ5" s="56">
        <f t="shared" si="3"/>
        <v>2110</v>
      </c>
      <c r="HR5" s="56">
        <f t="shared" si="3"/>
        <v>8325</v>
      </c>
      <c r="HT5" s="54" t="s">
        <v>22</v>
      </c>
      <c r="HU5" s="56">
        <f t="shared" si="3"/>
        <v>2110</v>
      </c>
      <c r="HV5" s="56">
        <f t="shared" si="3"/>
        <v>2069</v>
      </c>
      <c r="HW5" s="56">
        <f t="shared" si="3"/>
        <v>2040</v>
      </c>
      <c r="HX5" s="56">
        <f t="shared" si="3"/>
        <v>2080</v>
      </c>
      <c r="HY5" s="56">
        <f t="shared" si="3"/>
        <v>8299</v>
      </c>
      <c r="IA5" s="54" t="s">
        <v>22</v>
      </c>
      <c r="IB5" s="56">
        <f t="shared" si="3"/>
        <v>2083</v>
      </c>
      <c r="IC5" s="56">
        <f t="shared" si="3"/>
        <v>2106</v>
      </c>
      <c r="ID5" s="56">
        <f t="shared" si="3"/>
        <v>2145</v>
      </c>
      <c r="IE5" s="56">
        <f t="shared" si="3"/>
        <v>2219</v>
      </c>
      <c r="IF5" s="56">
        <f t="shared" ref="IF5:KC5" si="4">SUM(IF7:IF13)</f>
        <v>8553</v>
      </c>
      <c r="IH5" s="54" t="s">
        <v>22</v>
      </c>
      <c r="II5" s="56">
        <f t="shared" si="4"/>
        <v>2273</v>
      </c>
      <c r="IJ5" s="56">
        <f t="shared" si="4"/>
        <v>2247</v>
      </c>
      <c r="IK5" s="56">
        <f t="shared" si="4"/>
        <v>2245</v>
      </c>
      <c r="IL5" s="56">
        <f t="shared" si="4"/>
        <v>2291</v>
      </c>
      <c r="IM5" s="56">
        <f t="shared" si="4"/>
        <v>9056</v>
      </c>
      <c r="IO5" s="54" t="s">
        <v>22</v>
      </c>
      <c r="IP5" s="56">
        <f t="shared" si="4"/>
        <v>2184</v>
      </c>
      <c r="IQ5" s="56">
        <f t="shared" si="4"/>
        <v>2047</v>
      </c>
      <c r="IR5" s="56">
        <f t="shared" si="4"/>
        <v>2006</v>
      </c>
      <c r="IS5" s="56">
        <f t="shared" si="4"/>
        <v>1990</v>
      </c>
      <c r="IT5" s="56">
        <f t="shared" si="4"/>
        <v>8227</v>
      </c>
      <c r="IV5" s="54" t="s">
        <v>22</v>
      </c>
      <c r="IW5" s="56">
        <f t="shared" si="4"/>
        <v>1914</v>
      </c>
      <c r="IX5" s="56">
        <f t="shared" si="4"/>
        <v>1864</v>
      </c>
      <c r="IY5" s="56">
        <f t="shared" si="4"/>
        <v>1869</v>
      </c>
      <c r="IZ5" s="56">
        <f t="shared" si="4"/>
        <v>2033</v>
      </c>
      <c r="JA5" s="56">
        <f t="shared" si="4"/>
        <v>7680</v>
      </c>
      <c r="JC5" s="54" t="s">
        <v>22</v>
      </c>
      <c r="JD5" s="56">
        <f t="shared" si="4"/>
        <v>1990</v>
      </c>
      <c r="JE5" s="56">
        <f t="shared" si="4"/>
        <v>1861</v>
      </c>
      <c r="JF5" s="56">
        <f t="shared" si="4"/>
        <v>1874</v>
      </c>
      <c r="JG5" s="56">
        <f t="shared" si="4"/>
        <v>1865</v>
      </c>
      <c r="JH5" s="56">
        <f t="shared" si="4"/>
        <v>7590</v>
      </c>
      <c r="JJ5" s="54" t="s">
        <v>22</v>
      </c>
      <c r="JK5" s="56">
        <f t="shared" si="4"/>
        <v>1832</v>
      </c>
      <c r="JL5" s="56">
        <f t="shared" si="4"/>
        <v>1819</v>
      </c>
      <c r="JM5" s="56">
        <f t="shared" si="4"/>
        <v>1836</v>
      </c>
      <c r="JN5" s="56">
        <f t="shared" si="4"/>
        <v>1894</v>
      </c>
      <c r="JO5" s="56">
        <f t="shared" si="4"/>
        <v>7381</v>
      </c>
      <c r="JQ5" s="54" t="s">
        <v>22</v>
      </c>
      <c r="JR5" s="56">
        <f t="shared" si="4"/>
        <v>1794</v>
      </c>
      <c r="JS5" s="56">
        <f t="shared" si="4"/>
        <v>1756</v>
      </c>
      <c r="JT5" s="56">
        <f t="shared" si="4"/>
        <v>1691</v>
      </c>
      <c r="JU5" s="56">
        <f t="shared" si="4"/>
        <v>1731</v>
      </c>
      <c r="JV5" s="56">
        <f t="shared" si="4"/>
        <v>6972</v>
      </c>
      <c r="JX5" s="54" t="s">
        <v>22</v>
      </c>
      <c r="JY5" s="56">
        <f t="shared" si="4"/>
        <v>1677</v>
      </c>
      <c r="JZ5" s="56">
        <f t="shared" si="4"/>
        <v>1427</v>
      </c>
      <c r="KA5" s="56">
        <f t="shared" si="4"/>
        <v>1507</v>
      </c>
      <c r="KB5" s="56">
        <f t="shared" si="4"/>
        <v>1610</v>
      </c>
      <c r="KC5" s="56">
        <f t="shared" si="4"/>
        <v>6221</v>
      </c>
      <c r="KE5" s="54" t="s">
        <v>22</v>
      </c>
      <c r="KF5" s="56">
        <f>SUM(KF7:KF13)</f>
        <v>1712</v>
      </c>
      <c r="KG5" s="56">
        <f>SUM(KG7:KG13)</f>
        <v>1648</v>
      </c>
      <c r="KH5" s="56">
        <f>SUM(KH7:KH13)</f>
        <v>1856</v>
      </c>
      <c r="KI5" s="56">
        <f>SUM(KI7:KI13)</f>
        <v>2061</v>
      </c>
      <c r="KJ5" s="56">
        <f>SUM(KJ7:KJ13)</f>
        <v>7277</v>
      </c>
      <c r="KL5" s="54" t="s">
        <v>22</v>
      </c>
      <c r="KM5" s="56">
        <f>SUM(KM7:KM13)</f>
        <v>2131</v>
      </c>
      <c r="KN5" s="56">
        <f>SUM(KN7:KN13)</f>
        <v>2234</v>
      </c>
      <c r="KO5" s="56">
        <f>SUM(KO7:KO13)</f>
        <v>2316</v>
      </c>
      <c r="KP5" s="56">
        <f>SUM(KP7:KP13)</f>
        <v>2271</v>
      </c>
      <c r="KQ5" s="56">
        <f>SUM(KQ7:KQ13)</f>
        <v>8952</v>
      </c>
      <c r="KS5" s="54" t="s">
        <v>22</v>
      </c>
      <c r="KT5" s="56">
        <f>SUM(KT7:KT13)</f>
        <v>2259</v>
      </c>
      <c r="KU5" s="56">
        <f>SUM(KU7:KU13)</f>
        <v>2233</v>
      </c>
      <c r="KV5" s="55">
        <f>SUM(KV7:KV13)</f>
        <v>2301</v>
      </c>
      <c r="KW5" s="56">
        <f>SUM(KW7:KW13)</f>
        <v>2365</v>
      </c>
      <c r="KX5" s="56">
        <f>SUM(KX7:KX13)</f>
        <v>9158</v>
      </c>
      <c r="KZ5" s="54" t="s">
        <v>22</v>
      </c>
      <c r="LA5" s="56">
        <f>SUM(LA7:LA13)</f>
        <v>2344</v>
      </c>
      <c r="LB5" s="55">
        <f>SUM(LB7:LB13)</f>
        <v>2253</v>
      </c>
      <c r="LC5" s="55">
        <f>SUM(LC7:LC13)</f>
        <v>2265</v>
      </c>
      <c r="LD5" s="55">
        <f>SUM(LD7:LD13)</f>
        <v>2325</v>
      </c>
      <c r="LE5" s="55">
        <f>SUM(LE7:LE13)</f>
        <v>9187</v>
      </c>
      <c r="LF5" s="558"/>
      <c r="LG5" s="54" t="s">
        <v>22</v>
      </c>
      <c r="LH5" s="55">
        <f>SUM(LH7:LH13)</f>
        <v>2382</v>
      </c>
      <c r="LI5" s="55">
        <f>SUM(LI7:LI13)</f>
        <v>2291</v>
      </c>
      <c r="LJ5" s="55">
        <f>SUM(LJ7:LJ13)</f>
        <v>2301</v>
      </c>
      <c r="LK5" s="55">
        <f>SUM(LK7:LK13)</f>
        <v>2346</v>
      </c>
      <c r="LL5" s="55">
        <f>SUM(LL7:LL13)</f>
        <v>9320</v>
      </c>
      <c r="LM5" s="558"/>
      <c r="LN5" s="54" t="s">
        <v>22</v>
      </c>
      <c r="LO5" s="55">
        <f>SUM(LO7:LO13)</f>
        <v>2291.6530245415129</v>
      </c>
      <c r="LP5" s="55">
        <f>SUM(LP7:LP13)</f>
        <v>2269.5095848793771</v>
      </c>
      <c r="LQ5" s="55">
        <f>SUM(LQ7:LQ13)</f>
        <v>2297.0031854288654</v>
      </c>
      <c r="LR5" s="55">
        <f>SUM(LR7:LR13)</f>
        <v>2358.4830280332917</v>
      </c>
      <c r="LS5" s="55">
        <f>SUM(LS7:LS13)</f>
        <v>9216.6488228830476</v>
      </c>
      <c r="LT5" s="558"/>
      <c r="LU5" s="54" t="s">
        <v>22</v>
      </c>
      <c r="LV5" s="55">
        <f>SUM(LV7:LV13)</f>
        <v>2323.4519801044148</v>
      </c>
      <c r="LW5" s="55">
        <f>SUM(LW7:LW13)</f>
        <v>2300.3037479088434</v>
      </c>
      <c r="LX5" s="55">
        <f>SUM(LX7:LX13)</f>
        <v>2319.4703057683091</v>
      </c>
      <c r="LY5" s="55">
        <f>SUM(LY7:LY13)</f>
        <v>2383.6906652392545</v>
      </c>
      <c r="LZ5" s="55">
        <f>SUM(LZ7:LZ13)</f>
        <v>9326.9166990208214</v>
      </c>
      <c r="MA5" s="558"/>
      <c r="MB5" s="54" t="s">
        <v>22</v>
      </c>
      <c r="MC5" s="55">
        <f>SUM(MC7:MC13)</f>
        <v>2383.2001973834936</v>
      </c>
      <c r="MD5" s="55">
        <f>SUM(MD7:MD13)</f>
        <v>2370.1661940710096</v>
      </c>
      <c r="ME5" s="55">
        <f>SUM(ME7:ME13)</f>
        <v>2399.1567655345589</v>
      </c>
      <c r="MF5" s="55">
        <f>SUM(MF7:MF13)</f>
        <v>2445.865009934736</v>
      </c>
      <c r="MG5" s="55">
        <f>SUM(MG7:MG13)</f>
        <v>9598.3881669237981</v>
      </c>
      <c r="MH5" s="558"/>
    </row>
    <row r="6" spans="1:346" s="37" customFormat="1" ht="13.15" x14ac:dyDescent="0.4">
      <c r="A6" s="48"/>
      <c r="B6" s="36"/>
      <c r="BO6" s="36"/>
      <c r="BP6" s="53"/>
      <c r="BQ6" s="53"/>
      <c r="BR6" s="53"/>
      <c r="BS6" s="53"/>
      <c r="BT6" s="53"/>
      <c r="BV6" s="36"/>
      <c r="BW6" s="53"/>
      <c r="BX6" s="53"/>
      <c r="BY6" s="53"/>
      <c r="BZ6" s="53"/>
      <c r="CA6" s="53"/>
      <c r="CC6" s="36"/>
      <c r="CD6" s="53"/>
      <c r="CE6" s="53"/>
      <c r="CF6" s="53"/>
      <c r="CG6" s="53"/>
      <c r="CH6" s="53"/>
      <c r="CJ6" s="36"/>
      <c r="CK6" s="53"/>
      <c r="CL6" s="53"/>
      <c r="CM6" s="53"/>
      <c r="CN6" s="53"/>
      <c r="CO6" s="53"/>
      <c r="CQ6" s="36"/>
      <c r="CR6" s="53"/>
      <c r="CS6" s="53"/>
      <c r="CT6" s="53"/>
      <c r="CU6" s="53"/>
      <c r="CV6" s="53"/>
      <c r="CX6" s="36"/>
      <c r="CY6" s="53"/>
      <c r="CZ6" s="53"/>
      <c r="DA6" s="53"/>
      <c r="DB6" s="53"/>
      <c r="DC6" s="53"/>
      <c r="DE6" s="36"/>
      <c r="DF6" s="53"/>
      <c r="DG6" s="53"/>
      <c r="DH6" s="53"/>
      <c r="DI6" s="53"/>
      <c r="DJ6" s="53"/>
      <c r="DL6" s="36"/>
      <c r="DM6" s="53"/>
      <c r="DN6" s="53"/>
      <c r="DO6" s="53"/>
      <c r="DP6" s="53"/>
      <c r="DQ6" s="53"/>
      <c r="DS6" s="36"/>
      <c r="DT6" s="53"/>
      <c r="DU6" s="53"/>
      <c r="DV6" s="53"/>
      <c r="DW6" s="53"/>
      <c r="DX6" s="53"/>
      <c r="DZ6" s="36"/>
      <c r="EA6" s="53"/>
      <c r="EB6" s="53"/>
      <c r="EC6" s="53"/>
      <c r="ED6" s="53"/>
      <c r="EE6" s="53"/>
      <c r="EG6" s="36"/>
      <c r="EH6" s="53"/>
      <c r="EI6" s="53"/>
      <c r="EJ6" s="53"/>
      <c r="EK6" s="53"/>
      <c r="EL6" s="53"/>
      <c r="EN6" s="36"/>
      <c r="EO6" s="53"/>
      <c r="EP6" s="53"/>
      <c r="EQ6" s="53"/>
      <c r="ER6" s="53"/>
      <c r="ES6" s="53"/>
      <c r="EU6" s="36"/>
      <c r="EV6" s="53"/>
      <c r="EW6" s="53"/>
      <c r="EX6" s="53"/>
      <c r="EY6" s="53"/>
      <c r="EZ6" s="53"/>
      <c r="FB6" s="36"/>
      <c r="FC6" s="53"/>
      <c r="FD6" s="53"/>
      <c r="FE6" s="53"/>
      <c r="FF6" s="53"/>
      <c r="FG6" s="53"/>
      <c r="FI6" s="36"/>
      <c r="FJ6" s="53"/>
      <c r="FK6" s="53"/>
      <c r="FL6" s="53"/>
      <c r="FM6" s="53"/>
      <c r="FN6" s="53"/>
      <c r="FP6" s="36"/>
      <c r="FQ6" s="53"/>
      <c r="FR6" s="53"/>
      <c r="FS6" s="53"/>
      <c r="FT6" s="53"/>
      <c r="FU6" s="53"/>
      <c r="FW6" s="36"/>
      <c r="FX6" s="53"/>
      <c r="FY6" s="53"/>
      <c r="FZ6" s="53"/>
      <c r="GA6" s="53"/>
      <c r="GB6" s="53"/>
      <c r="GD6" s="36"/>
      <c r="GE6" s="53"/>
      <c r="GF6" s="53"/>
      <c r="GG6" s="53"/>
      <c r="GH6" s="53"/>
      <c r="GI6" s="53"/>
      <c r="GK6" s="36"/>
      <c r="GL6" s="53"/>
      <c r="GM6" s="53"/>
      <c r="GN6" s="53"/>
      <c r="GO6" s="53"/>
      <c r="GP6" s="53"/>
      <c r="GR6" s="36"/>
      <c r="GS6" s="53"/>
      <c r="GT6" s="53"/>
      <c r="GU6" s="53"/>
      <c r="GV6" s="53"/>
      <c r="GW6" s="53"/>
      <c r="GY6" s="36"/>
      <c r="GZ6" s="53"/>
      <c r="HA6" s="53"/>
      <c r="HB6" s="53"/>
      <c r="HC6" s="53"/>
      <c r="HD6" s="53"/>
      <c r="HF6" s="36"/>
      <c r="HG6" s="53"/>
      <c r="HH6" s="53"/>
      <c r="HI6" s="53"/>
      <c r="HJ6" s="53"/>
      <c r="HK6" s="53"/>
      <c r="HM6" s="36"/>
      <c r="HN6" s="53"/>
      <c r="HO6" s="53"/>
      <c r="HP6" s="53"/>
      <c r="HQ6" s="53"/>
      <c r="HR6" s="53"/>
      <c r="HT6" s="36"/>
      <c r="HU6" s="53"/>
      <c r="HV6" s="53"/>
      <c r="HW6" s="53"/>
      <c r="HX6" s="53"/>
      <c r="HY6" s="53"/>
      <c r="IA6" s="36"/>
      <c r="IB6" s="53"/>
      <c r="IC6" s="53"/>
      <c r="ID6" s="53"/>
      <c r="IE6" s="53"/>
      <c r="IF6" s="53"/>
      <c r="IH6" s="36"/>
      <c r="II6" s="53"/>
      <c r="IJ6" s="53"/>
      <c r="IK6" s="53"/>
      <c r="IL6" s="53"/>
      <c r="IM6" s="53"/>
      <c r="IO6" s="36"/>
      <c r="IP6" s="53"/>
      <c r="IQ6" s="53"/>
      <c r="IR6" s="53"/>
      <c r="IS6" s="53"/>
      <c r="IT6" s="53"/>
      <c r="IV6" s="36"/>
      <c r="IW6" s="53"/>
      <c r="IX6" s="53"/>
      <c r="IY6" s="53"/>
      <c r="IZ6" s="53"/>
      <c r="JA6" s="53"/>
      <c r="JC6" s="36"/>
      <c r="JD6" s="53"/>
      <c r="JE6" s="53"/>
      <c r="JF6" s="53"/>
      <c r="JG6" s="53"/>
      <c r="JH6" s="53"/>
      <c r="JJ6" s="36"/>
      <c r="JK6" s="53"/>
      <c r="JL6" s="53"/>
      <c r="JM6" s="53"/>
      <c r="JN6" s="53"/>
      <c r="JO6" s="53"/>
      <c r="JQ6" s="36"/>
      <c r="JR6" s="53"/>
      <c r="JS6" s="53"/>
      <c r="JT6" s="53"/>
      <c r="JU6" s="53"/>
      <c r="JV6" s="53"/>
      <c r="JX6" s="36"/>
      <c r="JY6" s="53"/>
      <c r="JZ6" s="53"/>
      <c r="KA6" s="53"/>
      <c r="KB6" s="53"/>
      <c r="KC6" s="53"/>
      <c r="KE6" s="36"/>
      <c r="KF6" s="53"/>
      <c r="KG6" s="53"/>
      <c r="KH6" s="53"/>
      <c r="KI6" s="53"/>
      <c r="KJ6" s="53"/>
      <c r="KL6" s="36"/>
      <c r="KM6" s="53"/>
      <c r="KN6" s="53"/>
      <c r="KO6" s="53"/>
      <c r="KP6" s="53"/>
      <c r="KQ6" s="53"/>
      <c r="KS6" s="552"/>
      <c r="KT6" s="553"/>
      <c r="KU6" s="553"/>
      <c r="KV6" s="553"/>
      <c r="KW6" s="553"/>
      <c r="KX6" s="553"/>
      <c r="KY6" s="553"/>
      <c r="KZ6" s="552"/>
      <c r="LA6" s="553"/>
      <c r="LB6" s="554"/>
      <c r="LC6" s="554"/>
      <c r="LD6" s="554"/>
      <c r="LE6" s="553"/>
      <c r="LF6" s="562"/>
      <c r="LG6" s="552"/>
      <c r="LH6" s="554"/>
      <c r="LI6" s="554"/>
      <c r="LJ6" s="554"/>
      <c r="LK6" s="554"/>
      <c r="LL6" s="553"/>
      <c r="LM6" s="562"/>
      <c r="LN6" s="552"/>
      <c r="LO6" s="554"/>
      <c r="LP6" s="554"/>
      <c r="LQ6" s="554"/>
      <c r="LR6" s="554"/>
      <c r="LS6" s="553"/>
      <c r="LT6" s="562"/>
      <c r="LU6" s="552"/>
      <c r="LV6" s="554"/>
      <c r="LW6" s="554"/>
      <c r="LX6" s="554"/>
      <c r="LY6" s="554"/>
      <c r="LZ6" s="553"/>
      <c r="MA6" s="562"/>
      <c r="MB6" s="552"/>
      <c r="MC6" s="554"/>
      <c r="MD6" s="554"/>
      <c r="ME6" s="554"/>
      <c r="MF6" s="554"/>
      <c r="MG6" s="553"/>
      <c r="MH6" s="562"/>
    </row>
    <row r="7" spans="1:346" s="37" customFormat="1" ht="13.15" x14ac:dyDescent="0.4">
      <c r="A7" s="48"/>
      <c r="B7" s="57" t="s">
        <v>185</v>
      </c>
      <c r="C7" s="58">
        <f>CSX!C27</f>
        <v>1769.287</v>
      </c>
      <c r="D7" s="58">
        <f>CSX!D27</f>
        <v>1974.7</v>
      </c>
      <c r="E7" s="58">
        <f>CSX!E27</f>
        <v>2063.1</v>
      </c>
      <c r="F7" s="58">
        <f>CSX!F27</f>
        <v>2304.6</v>
      </c>
      <c r="G7" s="58">
        <f>CSX!G27</f>
        <v>2232</v>
      </c>
      <c r="H7" s="58">
        <f>CSX!H27</f>
        <v>2380</v>
      </c>
      <c r="I7" s="58">
        <f>CSX!I27</f>
        <v>2534</v>
      </c>
      <c r="J7" s="58">
        <f>CSX!J27</f>
        <v>2287</v>
      </c>
      <c r="K7" s="58">
        <f>CSX!K27</f>
        <v>2160</v>
      </c>
      <c r="L7" s="58">
        <f>CSX!L27</f>
        <v>2593</v>
      </c>
      <c r="M7" s="58">
        <f>CSX!M27</f>
        <v>2736</v>
      </c>
      <c r="N7" s="58">
        <f>CSX!N27</f>
        <v>2758</v>
      </c>
      <c r="O7" s="58">
        <f>CSX!O27</f>
        <v>2806</v>
      </c>
      <c r="P7" s="58">
        <f>CSX!P27</f>
        <v>2845</v>
      </c>
      <c r="Q7" s="58">
        <f>CSX!Q27</f>
        <v>2793</v>
      </c>
      <c r="R7" s="58">
        <f>CSX!R27</f>
        <v>2807</v>
      </c>
      <c r="S7" s="58">
        <f>CSX!S27</f>
        <v>2880</v>
      </c>
      <c r="T7" s="58">
        <f>CSX!T27</f>
        <v>2977.5</v>
      </c>
      <c r="U7" s="58">
        <f>CSX!U27</f>
        <v>3034</v>
      </c>
      <c r="V7" s="58">
        <f>CSX!V27</f>
        <v>3073</v>
      </c>
      <c r="W7" s="58">
        <f>CSX!W27</f>
        <v>2983</v>
      </c>
      <c r="X7" s="58">
        <f>CSX!X27</f>
        <v>3306</v>
      </c>
      <c r="Y7" s="58">
        <f>CSX!Y27</f>
        <v>2900</v>
      </c>
      <c r="Z7" s="58">
        <f>CSX!Z27</f>
        <v>2931</v>
      </c>
      <c r="AA7" s="58">
        <f>CSX!AA27</f>
        <v>2892</v>
      </c>
      <c r="AB7" s="58">
        <f>CSX!AB27</f>
        <v>2628</v>
      </c>
      <c r="AC7" s="58">
        <f>CSX!AC27</f>
        <v>2760</v>
      </c>
      <c r="AD7" s="58">
        <f>CSX!AD27</f>
        <v>2864</v>
      </c>
      <c r="AE7" s="58">
        <f>CSX!AE27</f>
        <v>2922</v>
      </c>
      <c r="AF7" s="58">
        <f>CSX!AF27</f>
        <v>2986</v>
      </c>
      <c r="AG7" s="58">
        <f>CSX!AG27</f>
        <v>2955</v>
      </c>
      <c r="AH7" s="58">
        <f>CSX!AH27</f>
        <v>2629</v>
      </c>
      <c r="AI7" s="58">
        <f>CSX!AI27</f>
        <v>2957</v>
      </c>
      <c r="AJ7" s="58">
        <f>CSX!AJ27</f>
        <v>3073</v>
      </c>
      <c r="AK7" s="58">
        <f>CSX!AK27</f>
        <v>3020</v>
      </c>
      <c r="AL7" s="58">
        <f>CSX!AL27</f>
        <v>3138</v>
      </c>
      <c r="AM7" s="58">
        <f>CSX!AM27</f>
        <v>3377</v>
      </c>
      <c r="AN7" s="58">
        <f>CSX!AN27</f>
        <v>3290</v>
      </c>
      <c r="AO7" s="58">
        <f>CSX!AO27</f>
        <v>3159</v>
      </c>
      <c r="AP7" s="58">
        <f>CSX!AP27</f>
        <v>2946</v>
      </c>
      <c r="AQ7" s="58">
        <f>CSX!AQ27</f>
        <v>2738</v>
      </c>
      <c r="AR7" s="58">
        <f>CSX!AR27</f>
        <v>2616</v>
      </c>
      <c r="AS7" s="58">
        <f>CSX!AS27</f>
        <v>2275</v>
      </c>
      <c r="AT7" s="58">
        <f>CSX!AT27</f>
        <v>2550</v>
      </c>
      <c r="AU7" s="58">
        <f>CSX!AU27</f>
        <v>2861</v>
      </c>
      <c r="AV7" s="58">
        <f>CSX!AV27</f>
        <v>3052</v>
      </c>
      <c r="AW7" s="58">
        <f>CSX!AW27</f>
        <v>3165</v>
      </c>
      <c r="AX7" s="58">
        <f>CSX!AX27</f>
        <v>3209</v>
      </c>
      <c r="AY7" s="58">
        <f>CSX!AY27</f>
        <v>3180.7282411289793</v>
      </c>
      <c r="AZ7" s="58">
        <f>CSX!AZ27</f>
        <v>3281.8947175481162</v>
      </c>
      <c r="BA7" s="58">
        <f>CSX!BA27</f>
        <v>3394.2563805499549</v>
      </c>
      <c r="BB7" s="58"/>
      <c r="BC7" s="58"/>
      <c r="BD7" s="58"/>
      <c r="BE7" s="58"/>
      <c r="BF7" s="58"/>
      <c r="BG7" s="58"/>
      <c r="BH7" s="58"/>
      <c r="BI7" s="58"/>
      <c r="BJ7" s="58"/>
      <c r="BK7" s="58"/>
      <c r="BL7" s="58"/>
      <c r="BM7" s="58"/>
      <c r="BO7" s="57" t="s">
        <v>185</v>
      </c>
      <c r="BP7" s="58">
        <f>CSX!BR27</f>
        <v>679</v>
      </c>
      <c r="BQ7" s="58">
        <f>CSX!BS27</f>
        <v>684</v>
      </c>
      <c r="BR7" s="58">
        <f>CSX!BT27</f>
        <v>679</v>
      </c>
      <c r="BS7" s="58">
        <f>CSX!BU27</f>
        <v>716</v>
      </c>
      <c r="BT7" s="58">
        <f>CSX!BV27</f>
        <v>2758</v>
      </c>
      <c r="BV7" s="57" t="s">
        <v>185</v>
      </c>
      <c r="BW7" s="58">
        <f>CSX!BY27</f>
        <v>697</v>
      </c>
      <c r="BX7" s="58">
        <f>CSX!BZ27</f>
        <v>707</v>
      </c>
      <c r="BY7" s="58">
        <f>CSX!CA27</f>
        <v>709</v>
      </c>
      <c r="BZ7" s="58">
        <f>CSX!CB27</f>
        <v>693</v>
      </c>
      <c r="CA7" s="58">
        <f>CSX!CC27</f>
        <v>2806</v>
      </c>
      <c r="CC7" s="57" t="s">
        <v>185</v>
      </c>
      <c r="CD7" s="58">
        <f>CSX!CF27</f>
        <v>695</v>
      </c>
      <c r="CE7" s="58">
        <f>CSX!CG27</f>
        <v>688</v>
      </c>
      <c r="CF7" s="58">
        <f>CSX!CH27</f>
        <v>713</v>
      </c>
      <c r="CG7" s="58">
        <f>CSX!CI27</f>
        <v>749</v>
      </c>
      <c r="CH7" s="58">
        <f>CSX!CJ27</f>
        <v>2845</v>
      </c>
      <c r="CJ7" s="57" t="s">
        <v>185</v>
      </c>
      <c r="CK7" s="58">
        <f>CSX!CM27</f>
        <v>722</v>
      </c>
      <c r="CL7" s="58">
        <f>CSX!CN27</f>
        <v>699</v>
      </c>
      <c r="CM7" s="58">
        <f>CSX!CO27</f>
        <v>671</v>
      </c>
      <c r="CN7" s="58">
        <f>CSX!CP27</f>
        <v>701</v>
      </c>
      <c r="CO7" s="58">
        <f>CSX!CQ27</f>
        <v>2793</v>
      </c>
      <c r="CQ7" s="57" t="s">
        <v>185</v>
      </c>
      <c r="CR7" s="58">
        <f>CSX!CT27</f>
        <v>706</v>
      </c>
      <c r="CS7" s="58">
        <f>CSX!CU27</f>
        <v>684</v>
      </c>
      <c r="CT7" s="58">
        <f>CSX!CV27</f>
        <v>697</v>
      </c>
      <c r="CU7" s="58">
        <f>CSX!CW27</f>
        <v>720</v>
      </c>
      <c r="CV7" s="58">
        <f>CSX!CX27</f>
        <v>2807</v>
      </c>
      <c r="CX7" s="57" t="s">
        <v>185</v>
      </c>
      <c r="CY7" s="58">
        <f>CSX!DA27</f>
        <v>724</v>
      </c>
      <c r="CZ7" s="58">
        <f>CSX!DB27</f>
        <v>706</v>
      </c>
      <c r="DA7" s="58">
        <f>CSX!DC27</f>
        <v>712</v>
      </c>
      <c r="DB7" s="58">
        <f>CSX!DD27</f>
        <v>738</v>
      </c>
      <c r="DC7" s="58">
        <f>CSX!DE27</f>
        <v>2880</v>
      </c>
      <c r="DE7" s="57" t="s">
        <v>185</v>
      </c>
      <c r="DF7" s="58">
        <f>CSX!DH27</f>
        <v>743</v>
      </c>
      <c r="DG7" s="58">
        <f>CSX!DI27</f>
        <v>733</v>
      </c>
      <c r="DH7" s="58">
        <f>CSX!DJ27</f>
        <v>742.5</v>
      </c>
      <c r="DI7" s="58">
        <f>CSX!DK27</f>
        <v>759</v>
      </c>
      <c r="DJ7" s="58">
        <f>CSX!DL27</f>
        <v>2977.5</v>
      </c>
      <c r="DL7" s="57" t="s">
        <v>185</v>
      </c>
      <c r="DM7" s="58">
        <f>CSX!DO27</f>
        <v>765</v>
      </c>
      <c r="DN7" s="58">
        <f>CSX!DP27</f>
        <v>767</v>
      </c>
      <c r="DO7" s="58">
        <f>CSX!DQ27</f>
        <v>757</v>
      </c>
      <c r="DP7" s="58">
        <f>CSX!DR27</f>
        <v>745</v>
      </c>
      <c r="DQ7" s="58">
        <f>CSX!DS27</f>
        <v>3034</v>
      </c>
      <c r="DS7" s="57" t="s">
        <v>185</v>
      </c>
      <c r="DT7" s="58">
        <f>CSX!DV27</f>
        <v>762</v>
      </c>
      <c r="DU7" s="58">
        <f>CSX!DW27</f>
        <v>755</v>
      </c>
      <c r="DV7" s="58">
        <f>CSX!DX27</f>
        <v>780</v>
      </c>
      <c r="DW7" s="58">
        <f>CSX!DY27</f>
        <v>776</v>
      </c>
      <c r="DX7" s="58">
        <f>CSX!DZ27</f>
        <v>3073</v>
      </c>
      <c r="DZ7" s="57" t="s">
        <v>185</v>
      </c>
      <c r="EA7" s="58">
        <f>CSX!EC27</f>
        <v>773</v>
      </c>
      <c r="EB7" s="58">
        <f>CSX!ED27</f>
        <v>719</v>
      </c>
      <c r="EC7" s="58">
        <f>CSX!EE27</f>
        <v>748</v>
      </c>
      <c r="ED7" s="58">
        <f>CSX!EF27</f>
        <v>743</v>
      </c>
      <c r="EE7" s="58">
        <f>CSX!EG27</f>
        <v>2983</v>
      </c>
      <c r="EG7" s="57" t="s">
        <v>185</v>
      </c>
      <c r="EH7" s="58">
        <f>CSX!EJ27</f>
        <v>796</v>
      </c>
      <c r="EI7" s="58">
        <f>CSX!EK27</f>
        <v>806</v>
      </c>
      <c r="EJ7" s="58">
        <f>CSX!EL27</f>
        <v>873</v>
      </c>
      <c r="EK7" s="58">
        <f>CSX!EM27</f>
        <v>831</v>
      </c>
      <c r="EL7" s="58">
        <f>CSX!EN27</f>
        <v>3306</v>
      </c>
      <c r="EN7" s="57" t="s">
        <v>185</v>
      </c>
      <c r="EO7" s="58">
        <f>CSX!EQ27</f>
        <v>727</v>
      </c>
      <c r="EP7" s="58">
        <f>CSX!ER27</f>
        <v>730</v>
      </c>
      <c r="EQ7" s="58">
        <f>CSX!ES27</f>
        <v>727</v>
      </c>
      <c r="ER7" s="58">
        <f>CSX!ET27</f>
        <v>716</v>
      </c>
      <c r="ES7" s="58">
        <f>CSX!EU27</f>
        <v>2900</v>
      </c>
      <c r="EU7" s="57" t="s">
        <v>185</v>
      </c>
      <c r="EV7" s="58">
        <f>CSX!EX27</f>
        <v>753</v>
      </c>
      <c r="EW7" s="58">
        <f>CSX!EY27</f>
        <v>740</v>
      </c>
      <c r="EX7" s="58">
        <f>CSX!EZ27</f>
        <v>708</v>
      </c>
      <c r="EY7" s="58">
        <f>CSX!FA27</f>
        <v>730</v>
      </c>
      <c r="EZ7" s="58">
        <f>CSX!FB27</f>
        <v>2931</v>
      </c>
      <c r="FB7" s="57" t="s">
        <v>185</v>
      </c>
      <c r="FC7" s="58">
        <f>CSX!FE27</f>
        <v>729</v>
      </c>
      <c r="FD7" s="58">
        <f>CSX!FF27</f>
        <v>717</v>
      </c>
      <c r="FE7" s="58">
        <f>CSX!FG27</f>
        <v>718</v>
      </c>
      <c r="FF7" s="58">
        <f>CSX!FH27</f>
        <v>728</v>
      </c>
      <c r="FG7" s="58">
        <f>CSX!FI27</f>
        <v>2892</v>
      </c>
      <c r="FI7" s="57" t="s">
        <v>185</v>
      </c>
      <c r="FJ7" s="58">
        <f>CSX!FL27</f>
        <v>667</v>
      </c>
      <c r="FK7" s="58">
        <f>CSX!FM27</f>
        <v>663</v>
      </c>
      <c r="FL7" s="58">
        <f>CSX!FN27</f>
        <v>643</v>
      </c>
      <c r="FM7" s="58">
        <f>CSX!FO27</f>
        <v>655</v>
      </c>
      <c r="FN7" s="58">
        <f>CSX!FP27</f>
        <v>2628</v>
      </c>
      <c r="FP7" s="57" t="s">
        <v>185</v>
      </c>
      <c r="FQ7" s="58">
        <f>CSX!FS27</f>
        <v>685</v>
      </c>
      <c r="FR7" s="58">
        <f>CSX!FT27</f>
        <v>664</v>
      </c>
      <c r="FS7" s="58">
        <f>CSX!FU27</f>
        <v>671</v>
      </c>
      <c r="FT7" s="58">
        <f>CSX!FV27</f>
        <v>740</v>
      </c>
      <c r="FU7" s="58">
        <f>CSX!FW27</f>
        <v>2760</v>
      </c>
      <c r="FW7" s="57" t="s">
        <v>185</v>
      </c>
      <c r="FX7" s="58">
        <f>CSX!FZ27</f>
        <v>702</v>
      </c>
      <c r="FY7" s="58">
        <f>CSX!GA27</f>
        <v>706</v>
      </c>
      <c r="FZ7" s="58">
        <f>CSX!GB27</f>
        <v>725</v>
      </c>
      <c r="GA7" s="58">
        <f>CSX!GC27</f>
        <v>731</v>
      </c>
      <c r="GB7" s="58">
        <f>CSX!GD27</f>
        <v>2864</v>
      </c>
      <c r="GD7" s="57" t="s">
        <v>185</v>
      </c>
      <c r="GE7" s="58">
        <f>CSX!GG27</f>
        <v>718</v>
      </c>
      <c r="GF7" s="58">
        <f>CSX!GH27</f>
        <v>715</v>
      </c>
      <c r="GG7" s="58">
        <f>CSX!GI27</f>
        <v>736</v>
      </c>
      <c r="GH7" s="58">
        <f>CSX!GJ27</f>
        <v>753</v>
      </c>
      <c r="GI7" s="58">
        <f>CSX!GK27</f>
        <v>2922</v>
      </c>
      <c r="GK7" s="57" t="s">
        <v>185</v>
      </c>
      <c r="GL7" s="58">
        <f>CSX!GN27</f>
        <v>734</v>
      </c>
      <c r="GM7" s="58">
        <f>CSX!GO27</f>
        <v>743</v>
      </c>
      <c r="GN7" s="58">
        <f>CSX!GP27</f>
        <v>748</v>
      </c>
      <c r="GO7" s="58">
        <f>CSX!GQ27</f>
        <v>761</v>
      </c>
      <c r="GP7" s="58">
        <f>CSX!GR27</f>
        <v>2986</v>
      </c>
      <c r="GR7" s="57" t="s">
        <v>185</v>
      </c>
      <c r="GS7" s="58">
        <f>CSX!GU27</f>
        <v>745</v>
      </c>
      <c r="GT7" s="58">
        <f>CSX!GV27</f>
        <v>733</v>
      </c>
      <c r="GU7" s="58">
        <f>CSX!GW27</f>
        <v>754</v>
      </c>
      <c r="GV7" s="58">
        <f>CSX!GX27</f>
        <v>723</v>
      </c>
      <c r="GW7" s="58">
        <f>CSX!GY27</f>
        <v>2955</v>
      </c>
      <c r="GY7" s="57" t="s">
        <v>185</v>
      </c>
      <c r="GZ7" s="58">
        <f>CSX!HB27</f>
        <v>662</v>
      </c>
      <c r="HA7" s="58">
        <f>CSX!HC27</f>
        <v>654</v>
      </c>
      <c r="HB7" s="58">
        <f>CSX!HD27</f>
        <v>653</v>
      </c>
      <c r="HC7" s="58">
        <f>CSX!HE27</f>
        <v>660</v>
      </c>
      <c r="HD7" s="58">
        <f>CSX!HF27</f>
        <v>2629</v>
      </c>
      <c r="HF7" s="57" t="s">
        <v>185</v>
      </c>
      <c r="HG7" s="58">
        <f>CSX!HI27</f>
        <v>729</v>
      </c>
      <c r="HH7" s="58">
        <f>CSX!HJ27</f>
        <v>721</v>
      </c>
      <c r="HI7" s="58">
        <f>CSX!HK27</f>
        <v>731</v>
      </c>
      <c r="HJ7" s="58">
        <f>CSX!HL27</f>
        <v>776</v>
      </c>
      <c r="HK7" s="58">
        <f>CSX!HM27</f>
        <v>2957</v>
      </c>
      <c r="HM7" s="57" t="s">
        <v>185</v>
      </c>
      <c r="HN7" s="58">
        <f>CSX!HP27</f>
        <v>765</v>
      </c>
      <c r="HO7" s="58">
        <f>CSX!HQ27</f>
        <v>764</v>
      </c>
      <c r="HP7" s="58">
        <f>CSX!HR27</f>
        <v>765</v>
      </c>
      <c r="HQ7" s="58">
        <f>CSX!HS27</f>
        <v>779</v>
      </c>
      <c r="HR7" s="58">
        <f>CSX!HT27</f>
        <v>3073</v>
      </c>
      <c r="HT7" s="57" t="s">
        <v>185</v>
      </c>
      <c r="HU7" s="58">
        <f>CSX!HW27</f>
        <v>770</v>
      </c>
      <c r="HV7" s="58">
        <f>CSX!HX27</f>
        <v>744</v>
      </c>
      <c r="HW7" s="58">
        <f>CSX!HY27</f>
        <v>754</v>
      </c>
      <c r="HX7" s="58">
        <f>CSX!HZ27</f>
        <v>752</v>
      </c>
      <c r="HY7" s="58">
        <f>CSX!IA27</f>
        <v>3020</v>
      </c>
      <c r="IA7" s="57" t="s">
        <v>185</v>
      </c>
      <c r="IB7" s="58">
        <f>CSX!ID27</f>
        <v>767</v>
      </c>
      <c r="IC7" s="58">
        <f>CSX!IE27</f>
        <v>777</v>
      </c>
      <c r="ID7" s="58">
        <f>CSX!IF27</f>
        <v>791</v>
      </c>
      <c r="IE7" s="58">
        <f>CSX!IG27</f>
        <v>803</v>
      </c>
      <c r="IF7" s="58">
        <f>CSX!IH27</f>
        <v>3138</v>
      </c>
      <c r="IH7" s="57" t="s">
        <v>185</v>
      </c>
      <c r="II7" s="58">
        <f>CSX!IK27</f>
        <v>814</v>
      </c>
      <c r="IJ7" s="58">
        <f>CSX!IL27</f>
        <v>809</v>
      </c>
      <c r="IK7" s="58">
        <f>CSX!IM27</f>
        <v>845</v>
      </c>
      <c r="IL7" s="58">
        <f>CSX!IN27</f>
        <v>909</v>
      </c>
      <c r="IM7" s="58">
        <f>CSX!IO27</f>
        <v>3377</v>
      </c>
      <c r="IO7" s="57" t="s">
        <v>185</v>
      </c>
      <c r="IP7" s="58">
        <f>CSX!IR27</f>
        <v>879</v>
      </c>
      <c r="IQ7" s="58">
        <f>CSX!IS27</f>
        <v>825</v>
      </c>
      <c r="IR7" s="58">
        <f>CSX!IT27</f>
        <v>787</v>
      </c>
      <c r="IS7" s="58">
        <f>CSX!IU27</f>
        <v>799</v>
      </c>
      <c r="IT7" s="58">
        <f>CSX!IV27</f>
        <v>3290</v>
      </c>
      <c r="IV7" s="57" t="s">
        <v>185</v>
      </c>
      <c r="IW7" s="58">
        <f>CSX!IY27</f>
        <v>796</v>
      </c>
      <c r="IX7" s="58">
        <f>CSX!IZ27</f>
        <v>749</v>
      </c>
      <c r="IY7" s="58">
        <f>CSX!JA27</f>
        <v>762</v>
      </c>
      <c r="IZ7" s="58">
        <f>CSX!JB27</f>
        <v>852</v>
      </c>
      <c r="JA7" s="58">
        <f>CSX!JC27</f>
        <v>3159</v>
      </c>
      <c r="JC7" s="57" t="s">
        <v>185</v>
      </c>
      <c r="JD7" s="58">
        <f>CSX!JF27</f>
        <v>795</v>
      </c>
      <c r="JE7" s="58">
        <f>CSX!JG27</f>
        <v>751</v>
      </c>
      <c r="JF7" s="58">
        <f>CSX!JH27</f>
        <v>725</v>
      </c>
      <c r="JG7" s="58">
        <f>CSX!JI27</f>
        <v>675</v>
      </c>
      <c r="JH7" s="58">
        <f>CSX!JJ27</f>
        <v>2946</v>
      </c>
      <c r="JJ7" s="57" t="s">
        <v>185</v>
      </c>
      <c r="JK7" s="58">
        <f>CSX!JM27</f>
        <v>696</v>
      </c>
      <c r="JL7" s="58">
        <f>CSX!JN27</f>
        <v>669</v>
      </c>
      <c r="JM7" s="58">
        <f>CSX!JO27</f>
        <v>695</v>
      </c>
      <c r="JN7" s="58">
        <f>CSX!JP27</f>
        <v>678</v>
      </c>
      <c r="JO7" s="58">
        <f>CSX!JQ27</f>
        <v>2738</v>
      </c>
      <c r="JQ7" s="57" t="s">
        <v>185</v>
      </c>
      <c r="JR7" s="58">
        <f>CSX!JT27</f>
        <v>672</v>
      </c>
      <c r="JS7" s="58">
        <f>CSX!JU27</f>
        <v>648</v>
      </c>
      <c r="JT7" s="58">
        <f>CSX!JV27</f>
        <v>638</v>
      </c>
      <c r="JU7" s="58">
        <f>CSX!JW27</f>
        <v>658</v>
      </c>
      <c r="JV7" s="58">
        <f>CSX!JX27</f>
        <v>2616</v>
      </c>
      <c r="JX7" s="57" t="s">
        <v>185</v>
      </c>
      <c r="JY7" s="58">
        <f>CSX!KA27</f>
        <v>606</v>
      </c>
      <c r="JZ7" s="58">
        <f>CSX!KB27</f>
        <v>507</v>
      </c>
      <c r="KA7" s="58">
        <f>CSX!KC27</f>
        <v>574</v>
      </c>
      <c r="KB7" s="58">
        <f>CSX!KD27</f>
        <v>588</v>
      </c>
      <c r="KC7" s="58">
        <f>CSX!KE27</f>
        <v>2275</v>
      </c>
      <c r="KE7" s="57" t="s">
        <v>185</v>
      </c>
      <c r="KF7" s="58">
        <f>CSX!KH27</f>
        <v>620</v>
      </c>
      <c r="KG7" s="58">
        <f>CSX!KI27</f>
        <v>596</v>
      </c>
      <c r="KH7" s="58">
        <f>CSX!KJ27</f>
        <v>631</v>
      </c>
      <c r="KI7" s="58">
        <f>CSX!KK27</f>
        <v>703</v>
      </c>
      <c r="KJ7" s="58">
        <f>CSX!KL27</f>
        <v>2550</v>
      </c>
      <c r="KL7" s="57" t="s">
        <v>185</v>
      </c>
      <c r="KM7" s="58">
        <f>CSX!KO27</f>
        <v>692</v>
      </c>
      <c r="KN7" s="58">
        <f>CSX!KP27</f>
        <v>684</v>
      </c>
      <c r="KO7" s="58">
        <f>CSX!KQ27</f>
        <v>759</v>
      </c>
      <c r="KP7" s="58">
        <f>CSX!KR27</f>
        <v>726</v>
      </c>
      <c r="KQ7" s="58">
        <f>CSX!KS27</f>
        <v>2861</v>
      </c>
      <c r="KS7" s="57" t="s">
        <v>185</v>
      </c>
      <c r="KT7" s="58">
        <f>CSX!KV27</f>
        <v>730</v>
      </c>
      <c r="KU7" s="58">
        <f>CSX!KW27</f>
        <v>748</v>
      </c>
      <c r="KV7" s="58">
        <f>CSX!KX27</f>
        <v>761</v>
      </c>
      <c r="KW7" s="58">
        <f>CSX!KY27</f>
        <v>813</v>
      </c>
      <c r="KX7" s="58">
        <f>CSX!KZ27</f>
        <v>3052</v>
      </c>
      <c r="KZ7" s="57" t="s">
        <v>185</v>
      </c>
      <c r="LA7" s="58">
        <f>798+7</f>
        <v>805</v>
      </c>
      <c r="LB7" s="127">
        <v>766</v>
      </c>
      <c r="LC7" s="127">
        <v>806</v>
      </c>
      <c r="LD7" s="127">
        <v>788</v>
      </c>
      <c r="LE7" s="127">
        <f t="shared" ref="LE7:LE13" si="5">SUM(LA7:LD7)</f>
        <v>3165</v>
      </c>
      <c r="LF7" s="558"/>
      <c r="LG7" s="57" t="s">
        <v>185</v>
      </c>
      <c r="LH7" s="58">
        <v>821</v>
      </c>
      <c r="LI7" s="127">
        <v>791</v>
      </c>
      <c r="LJ7" s="127">
        <f>815-22</f>
        <v>793</v>
      </c>
      <c r="LK7" s="127">
        <f>835-31</f>
        <v>804</v>
      </c>
      <c r="LL7" s="127">
        <f t="shared" ref="LL7:LL13" si="6">SUM(LH7:LK7)</f>
        <v>3209</v>
      </c>
      <c r="LM7" s="558"/>
      <c r="LN7" s="57" t="s">
        <v>185</v>
      </c>
      <c r="LO7" s="127">
        <f>Expense!LO80*Expense!LO88/1000000</f>
        <v>811.48396724042209</v>
      </c>
      <c r="LP7" s="127">
        <f>Expense!LP80*Expense!LP88/1000000</f>
        <v>777.24665993194378</v>
      </c>
      <c r="LQ7" s="127">
        <f>Expense!LQ80*Expense!LQ88/1000000</f>
        <v>785.9609538131042</v>
      </c>
      <c r="LR7" s="127">
        <f>Expense!LR80*Expense!LR88/1000000</f>
        <v>806.03666014350938</v>
      </c>
      <c r="LS7" s="127">
        <f t="shared" ref="LS7:LS13" si="7">SUM(LO7:LR7)</f>
        <v>3180.7282411289793</v>
      </c>
      <c r="LT7" s="558"/>
      <c r="LU7" s="57" t="s">
        <v>185</v>
      </c>
      <c r="LV7" s="127">
        <f>Expense!LV80*Expense!LV88/1000000</f>
        <v>835.11461942884307</v>
      </c>
      <c r="LW7" s="127">
        <f>Expense!LW80*Expense!LW88/1000000</f>
        <v>802.15631522490423</v>
      </c>
      <c r="LX7" s="127">
        <f>Expense!LX80*Expense!LX88/1000000</f>
        <v>811.22336997851767</v>
      </c>
      <c r="LY7" s="127">
        <f>Expense!LY80*Expense!LY88/1000000</f>
        <v>833.40041291585123</v>
      </c>
      <c r="LZ7" s="127">
        <f t="shared" ref="LZ7:LZ13" si="8">SUM(LV7:LY7)</f>
        <v>3281.8947175481162</v>
      </c>
      <c r="MA7" s="558"/>
      <c r="MB7" s="57" t="s">
        <v>185</v>
      </c>
      <c r="MC7" s="127">
        <f>Expense!MC80*Expense!MC88/1000000</f>
        <v>862.30726787428478</v>
      </c>
      <c r="MD7" s="127">
        <f>Expense!MD80*Expense!MD88/1000000</f>
        <v>829.17262414663969</v>
      </c>
      <c r="ME7" s="127">
        <f>Expense!ME80*Expense!ME88/1000000</f>
        <v>839.4500444194415</v>
      </c>
      <c r="MF7" s="127">
        <f>Expense!MF80*Expense!MF88/1000000</f>
        <v>863.32644410958915</v>
      </c>
      <c r="MG7" s="127">
        <f t="shared" ref="MG7:MG11" si="9">SUM(MC7:MF7)</f>
        <v>3394.2563805499549</v>
      </c>
      <c r="MH7" s="558"/>
    </row>
    <row r="8" spans="1:346" s="37" customFormat="1" ht="13.15" x14ac:dyDescent="0.4">
      <c r="A8" s="48"/>
      <c r="B8" s="57" t="s">
        <v>281</v>
      </c>
      <c r="C8" s="58">
        <f>CSX!C28</f>
        <v>1073.4100000000001</v>
      </c>
      <c r="D8" s="58">
        <f>CSX!D28</f>
        <v>1202.9000000000001</v>
      </c>
      <c r="E8" s="58">
        <f>CSX!E28</f>
        <v>1395.2</v>
      </c>
      <c r="F8" s="58">
        <f>CSX!F28</f>
        <v>1533</v>
      </c>
      <c r="G8" s="58">
        <f>CSX!G28</f>
        <v>813</v>
      </c>
      <c r="H8" s="58">
        <f>CSX!H28</f>
        <v>675</v>
      </c>
      <c r="I8" s="58">
        <f>CSX!I28</f>
        <v>848</v>
      </c>
      <c r="J8" s="58">
        <f>CSX!J28</f>
        <v>918</v>
      </c>
      <c r="K8" s="58">
        <f>CSX!K28</f>
        <v>965</v>
      </c>
      <c r="L8" s="58">
        <f>CSX!L28</f>
        <v>1941</v>
      </c>
      <c r="M8" s="58">
        <f>CSX!M28</f>
        <v>2336</v>
      </c>
      <c r="N8" s="58">
        <f>CSX!N28</f>
        <v>2247</v>
      </c>
      <c r="O8" s="58">
        <f>CSX!O28</f>
        <v>1916</v>
      </c>
      <c r="P8" s="58">
        <f>CSX!P28</f>
        <v>2058</v>
      </c>
      <c r="Q8" s="58">
        <f>CSX!Q28</f>
        <v>2012</v>
      </c>
      <c r="R8" s="58">
        <f>CSX!R28</f>
        <v>2002</v>
      </c>
      <c r="S8" s="58">
        <f>CSX!S28</f>
        <v>2148</v>
      </c>
      <c r="T8" s="58">
        <f>CSX!T28</f>
        <v>2422.5</v>
      </c>
      <c r="U8" s="58">
        <f>CSX!U28</f>
        <v>2469.5</v>
      </c>
      <c r="V8" s="58">
        <f>CSX!V28</f>
        <v>2450</v>
      </c>
      <c r="W8" s="58">
        <f>CSX!W28</f>
        <v>2459</v>
      </c>
      <c r="X8" s="58">
        <f>CSX!X28</f>
        <v>2638</v>
      </c>
      <c r="Y8" s="58">
        <f>CSX!Y28</f>
        <v>1814</v>
      </c>
      <c r="Z8" s="58">
        <f>CSX!Z28</f>
        <v>1657</v>
      </c>
      <c r="AA8" s="58">
        <f>CSX!AA28</f>
        <v>1699</v>
      </c>
      <c r="AB8" s="58">
        <f>CSX!AB28</f>
        <v>1530</v>
      </c>
      <c r="AC8" s="58">
        <f>CSX!AC28</f>
        <v>1724</v>
      </c>
      <c r="AD8" s="58">
        <f>CSX!AD28</f>
        <v>1776</v>
      </c>
      <c r="AE8" s="58">
        <f>CSX!AE28</f>
        <v>1964</v>
      </c>
      <c r="AF8" s="58">
        <f>CSX!AF28</f>
        <v>1924</v>
      </c>
      <c r="AG8" s="58">
        <f>CSX!AG28</f>
        <v>2135</v>
      </c>
      <c r="AH8" s="58">
        <f>CSX!AH28</f>
        <v>1863</v>
      </c>
      <c r="AI8" s="58">
        <f>CSX!AI28</f>
        <v>2075</v>
      </c>
      <c r="AJ8" s="58">
        <f>CSX!AJ28</f>
        <v>2229</v>
      </c>
      <c r="AK8" s="58">
        <f>CSX!AK28</f>
        <v>2156</v>
      </c>
      <c r="AL8" s="58">
        <f>CSX!AL28</f>
        <v>2275</v>
      </c>
      <c r="AM8" s="58">
        <f>CSX!AM28</f>
        <v>2484</v>
      </c>
      <c r="AN8" s="58">
        <f>CSX!AN28</f>
        <v>2336</v>
      </c>
      <c r="AO8" s="58">
        <f>CSX!AO28</f>
        <v>2073</v>
      </c>
      <c r="AP8" s="58">
        <f>CSX!AP28</f>
        <v>2114</v>
      </c>
      <c r="AQ8" s="58">
        <f>CSX!AQ28</f>
        <v>1967</v>
      </c>
      <c r="AR8" s="58">
        <f>CSX!AR28</f>
        <v>1784</v>
      </c>
      <c r="AS8" s="58">
        <f>CSX!AS28</f>
        <v>1684</v>
      </c>
      <c r="AT8" s="58">
        <f>CSX!AT28</f>
        <v>2132</v>
      </c>
      <c r="AU8" s="58">
        <f>CSX!AU28</f>
        <v>2685</v>
      </c>
      <c r="AV8" s="58">
        <f>CSX!AV28</f>
        <v>2792</v>
      </c>
      <c r="AW8" s="58">
        <f>CSX!AW28</f>
        <v>2852</v>
      </c>
      <c r="AX8" s="58">
        <f>CSX!AX28</f>
        <v>2979</v>
      </c>
      <c r="AY8" s="58">
        <f>CSX!AY28</f>
        <v>2934.8989221749998</v>
      </c>
      <c r="AZ8" s="58">
        <f>CSX!AZ28</f>
        <v>2883.4269992561603</v>
      </c>
      <c r="BA8" s="58">
        <f>CSX!BA28</f>
        <v>2955.1465010158845</v>
      </c>
      <c r="BB8" s="58"/>
      <c r="BC8" s="58"/>
      <c r="BD8" s="58"/>
      <c r="BE8" s="58"/>
      <c r="BF8" s="58"/>
      <c r="BG8" s="58"/>
      <c r="BH8" s="58"/>
      <c r="BI8" s="58"/>
      <c r="BJ8" s="58"/>
      <c r="BK8" s="58"/>
      <c r="BL8" s="58"/>
      <c r="BM8" s="58"/>
      <c r="BO8" s="57" t="s">
        <v>281</v>
      </c>
      <c r="BP8" s="58">
        <f>CSX!BR28</f>
        <v>569</v>
      </c>
      <c r="BQ8" s="58">
        <f>CSX!BS28</f>
        <v>630</v>
      </c>
      <c r="BR8" s="58">
        <f>CSX!BT28</f>
        <v>624</v>
      </c>
      <c r="BS8" s="58">
        <f>CSX!BU28</f>
        <v>424</v>
      </c>
      <c r="BT8" s="58">
        <f>CSX!BV28</f>
        <v>2247</v>
      </c>
      <c r="BV8" s="57" t="s">
        <v>281</v>
      </c>
      <c r="BW8" s="58">
        <f>CSX!BY28</f>
        <v>432</v>
      </c>
      <c r="BX8" s="58">
        <f>CSX!BZ28</f>
        <v>478</v>
      </c>
      <c r="BY8" s="58">
        <f>CSX!CA28</f>
        <v>477</v>
      </c>
      <c r="BZ8" s="58">
        <f>CSX!CB28</f>
        <v>529</v>
      </c>
      <c r="CA8" s="58">
        <f>CSX!CC28</f>
        <v>1916</v>
      </c>
      <c r="CC8" s="57" t="s">
        <v>281</v>
      </c>
      <c r="CD8" s="58">
        <f>CSX!CF28</f>
        <v>485</v>
      </c>
      <c r="CE8" s="58">
        <f>CSX!CG28</f>
        <v>531</v>
      </c>
      <c r="CF8" s="58">
        <f>CSX!CH28</f>
        <v>531</v>
      </c>
      <c r="CG8" s="58">
        <f>CSX!CI28</f>
        <v>511</v>
      </c>
      <c r="CH8" s="58">
        <f>CSX!CJ28</f>
        <v>2058</v>
      </c>
      <c r="CJ8" s="57" t="s">
        <v>281</v>
      </c>
      <c r="CK8" s="58">
        <f>CSX!CM28</f>
        <v>482</v>
      </c>
      <c r="CL8" s="58">
        <f>CSX!CN28</f>
        <v>503</v>
      </c>
      <c r="CM8" s="58">
        <f>CSX!CO28</f>
        <v>528</v>
      </c>
      <c r="CN8" s="58">
        <f>CSX!CP28</f>
        <v>499</v>
      </c>
      <c r="CO8" s="58">
        <f>CSX!CQ28</f>
        <v>2012</v>
      </c>
      <c r="CQ8" s="57" t="s">
        <v>281</v>
      </c>
      <c r="CR8" s="58">
        <f>CSX!CT28</f>
        <v>494</v>
      </c>
      <c r="CS8" s="58">
        <f>CSX!CU28</f>
        <v>507</v>
      </c>
      <c r="CT8" s="58">
        <f>CSX!CV28</f>
        <v>509</v>
      </c>
      <c r="CU8" s="58">
        <f>CSX!CW28</f>
        <v>492</v>
      </c>
      <c r="CV8" s="58">
        <f>CSX!CX28</f>
        <v>2002</v>
      </c>
      <c r="CX8" s="57" t="s">
        <v>281</v>
      </c>
      <c r="CY8" s="58">
        <f>CSX!DA28</f>
        <v>519</v>
      </c>
      <c r="CZ8" s="58">
        <f>CSX!DB28</f>
        <v>538</v>
      </c>
      <c r="DA8" s="58">
        <f>CSX!DC28</f>
        <v>542</v>
      </c>
      <c r="DB8" s="58">
        <f>CSX!DD28</f>
        <v>549</v>
      </c>
      <c r="DC8" s="58">
        <f>CSX!DE28</f>
        <v>2148</v>
      </c>
      <c r="DE8" s="57" t="s">
        <v>281</v>
      </c>
      <c r="DF8" s="58">
        <f>CSX!DH28</f>
        <v>565</v>
      </c>
      <c r="DG8" s="58">
        <f>CSX!DI28</f>
        <v>609</v>
      </c>
      <c r="DH8" s="58">
        <f>CSX!DJ28</f>
        <v>610.5</v>
      </c>
      <c r="DI8" s="58">
        <f>CSX!DK28</f>
        <v>638</v>
      </c>
      <c r="DJ8" s="58">
        <f>CSX!DL28</f>
        <v>2422.5</v>
      </c>
      <c r="DL8" s="57" t="s">
        <v>281</v>
      </c>
      <c r="DM8" s="58">
        <f>CSX!DO28</f>
        <v>605</v>
      </c>
      <c r="DN8" s="58">
        <f>CSX!DP28</f>
        <v>621.5</v>
      </c>
      <c r="DO8" s="58">
        <f>CSX!DQ28</f>
        <v>625</v>
      </c>
      <c r="DP8" s="58">
        <f>CSX!DR28</f>
        <v>618</v>
      </c>
      <c r="DQ8" s="58">
        <f>CSX!DS28</f>
        <v>2469.5</v>
      </c>
      <c r="DS8" s="57" t="s">
        <v>281</v>
      </c>
      <c r="DT8" s="58">
        <f>CSX!DV28</f>
        <v>600</v>
      </c>
      <c r="DU8" s="58">
        <f>CSX!DW28</f>
        <v>605</v>
      </c>
      <c r="DV8" s="58">
        <f>CSX!DX28</f>
        <v>616</v>
      </c>
      <c r="DW8" s="58">
        <f>CSX!DY28</f>
        <v>629</v>
      </c>
      <c r="DX8" s="58">
        <f>CSX!DZ28</f>
        <v>2450</v>
      </c>
      <c r="DZ8" s="57" t="s">
        <v>281</v>
      </c>
      <c r="EA8" s="58">
        <f>CSX!EC28</f>
        <v>580</v>
      </c>
      <c r="EB8" s="58">
        <f>CSX!ED28</f>
        <v>612</v>
      </c>
      <c r="EC8" s="58">
        <f>CSX!EE28</f>
        <v>622</v>
      </c>
      <c r="ED8" s="58">
        <f>CSX!EF28</f>
        <v>645</v>
      </c>
      <c r="EE8" s="58">
        <f>CSX!EG28</f>
        <v>2459</v>
      </c>
      <c r="EG8" s="57" t="s">
        <v>281</v>
      </c>
      <c r="EH8" s="58">
        <f>CSX!EJ28</f>
        <v>618</v>
      </c>
      <c r="EI8" s="58">
        <f>CSX!EK28</f>
        <v>651</v>
      </c>
      <c r="EJ8" s="58">
        <f>CSX!EL28</f>
        <v>691</v>
      </c>
      <c r="EK8" s="58">
        <f>CSX!EM28</f>
        <v>678</v>
      </c>
      <c r="EL8" s="58">
        <f>CSX!EN28</f>
        <v>2638</v>
      </c>
      <c r="EN8" s="57" t="s">
        <v>281</v>
      </c>
      <c r="EO8" s="58">
        <f>CSX!EQ28</f>
        <v>470</v>
      </c>
      <c r="EP8" s="58">
        <f>CSX!ER28</f>
        <v>486</v>
      </c>
      <c r="EQ8" s="58">
        <f>CSX!ES28</f>
        <v>429</v>
      </c>
      <c r="ER8" s="58">
        <f>CSX!ET28</f>
        <v>429</v>
      </c>
      <c r="ES8" s="58">
        <f>CSX!EU28</f>
        <v>1814</v>
      </c>
      <c r="EU8" s="57" t="s">
        <v>281</v>
      </c>
      <c r="EV8" s="58">
        <f>CSX!EX28</f>
        <v>422</v>
      </c>
      <c r="EW8" s="58">
        <f>CSX!EY28</f>
        <v>416</v>
      </c>
      <c r="EX8" s="58">
        <f>CSX!EZ28</f>
        <v>420</v>
      </c>
      <c r="EY8" s="58">
        <f>CSX!FA28</f>
        <v>399</v>
      </c>
      <c r="EZ8" s="58">
        <f>CSX!FB28</f>
        <v>1657</v>
      </c>
      <c r="FB8" s="57" t="s">
        <v>281</v>
      </c>
      <c r="FC8" s="58">
        <f>CSX!FE28</f>
        <v>436</v>
      </c>
      <c r="FD8" s="58">
        <f>CSX!FF28</f>
        <v>439</v>
      </c>
      <c r="FE8" s="58">
        <f>CSX!FG28</f>
        <v>427</v>
      </c>
      <c r="FF8" s="58">
        <f>CSX!FH28</f>
        <v>397</v>
      </c>
      <c r="FG8" s="58">
        <f>CSX!FI28</f>
        <v>1699</v>
      </c>
      <c r="FI8" s="57" t="s">
        <v>281</v>
      </c>
      <c r="FJ8" s="58">
        <f>CSX!FL28</f>
        <v>388</v>
      </c>
      <c r="FK8" s="58">
        <f>CSX!FM28</f>
        <v>378</v>
      </c>
      <c r="FL8" s="58">
        <f>CSX!FN28</f>
        <v>366</v>
      </c>
      <c r="FM8" s="58">
        <f>CSX!FO28</f>
        <v>398</v>
      </c>
      <c r="FN8" s="58">
        <f>CSX!FP28</f>
        <v>1530</v>
      </c>
      <c r="FP8" s="57" t="s">
        <v>281</v>
      </c>
      <c r="FQ8" s="58">
        <f>CSX!FS28</f>
        <v>416</v>
      </c>
      <c r="FR8" s="58">
        <f>CSX!FT28</f>
        <v>432</v>
      </c>
      <c r="FS8" s="58">
        <f>CSX!FU28</f>
        <v>410</v>
      </c>
      <c r="FT8" s="58">
        <f>CSX!FV28</f>
        <v>466</v>
      </c>
      <c r="FU8" s="58">
        <f>CSX!FW28</f>
        <v>1724</v>
      </c>
      <c r="FW8" s="57" t="s">
        <v>281</v>
      </c>
      <c r="FX8" s="58">
        <f>CSX!FZ28</f>
        <v>462</v>
      </c>
      <c r="FY8" s="58">
        <f>CSX!GA28</f>
        <v>439</v>
      </c>
      <c r="FZ8" s="58">
        <f>CSX!GB28</f>
        <v>454</v>
      </c>
      <c r="GA8" s="58">
        <f>CSX!GC28</f>
        <v>421</v>
      </c>
      <c r="GB8" s="58">
        <f>CSX!GD28</f>
        <v>1776</v>
      </c>
      <c r="GD8" s="57" t="s">
        <v>281</v>
      </c>
      <c r="GE8" s="58">
        <f>CSX!GG28</f>
        <v>482</v>
      </c>
      <c r="GF8" s="58">
        <f>CSX!GH28</f>
        <v>489</v>
      </c>
      <c r="GG8" s="58">
        <f>CSX!GI28</f>
        <v>497</v>
      </c>
      <c r="GH8" s="58">
        <f>CSX!GJ28</f>
        <v>496</v>
      </c>
      <c r="GI8" s="58">
        <f>CSX!GK28</f>
        <v>1964</v>
      </c>
      <c r="GK8" s="57" t="s">
        <v>281</v>
      </c>
      <c r="GL8" s="58">
        <f>CSX!GN28</f>
        <v>539</v>
      </c>
      <c r="GM8" s="58">
        <f>CSX!GO28</f>
        <v>470</v>
      </c>
      <c r="GN8" s="58">
        <f>CSX!GP28</f>
        <v>471</v>
      </c>
      <c r="GO8" s="58">
        <f>CSX!GQ28</f>
        <v>444</v>
      </c>
      <c r="GP8" s="58">
        <f>CSX!GR28</f>
        <v>1924</v>
      </c>
      <c r="GR8" s="57" t="s">
        <v>281</v>
      </c>
      <c r="GS8" s="58">
        <f>CSX!GU28</f>
        <v>507</v>
      </c>
      <c r="GT8" s="58">
        <f>CSX!GV28</f>
        <v>513</v>
      </c>
      <c r="GU8" s="58">
        <f>CSX!GW28</f>
        <v>568</v>
      </c>
      <c r="GV8" s="58">
        <f>CSX!GX28</f>
        <v>547</v>
      </c>
      <c r="GW8" s="58">
        <f>CSX!GY28</f>
        <v>2135</v>
      </c>
      <c r="GY8" s="57" t="s">
        <v>281</v>
      </c>
      <c r="GZ8" s="58">
        <f>CSX!HB28</f>
        <v>477</v>
      </c>
      <c r="HA8" s="58">
        <f>CSX!HC28</f>
        <v>444</v>
      </c>
      <c r="HB8" s="58">
        <f>CSX!HD28</f>
        <v>500</v>
      </c>
      <c r="HC8" s="58">
        <f>CSX!HE28</f>
        <v>442</v>
      </c>
      <c r="HD8" s="58">
        <f>CSX!HF28</f>
        <v>1863</v>
      </c>
      <c r="HF8" s="57" t="s">
        <v>281</v>
      </c>
      <c r="HG8" s="58">
        <f>CSX!HI28</f>
        <v>519</v>
      </c>
      <c r="HH8" s="58">
        <f>CSX!HJ28</f>
        <v>551</v>
      </c>
      <c r="HI8" s="58">
        <f>CSX!HK28</f>
        <v>509</v>
      </c>
      <c r="HJ8" s="58">
        <f>CSX!HL28</f>
        <v>496</v>
      </c>
      <c r="HK8" s="58">
        <f>CSX!HM28</f>
        <v>2075</v>
      </c>
      <c r="HM8" s="57" t="s">
        <v>281</v>
      </c>
      <c r="HN8" s="58">
        <f>CSX!HP28</f>
        <v>530</v>
      </c>
      <c r="HO8" s="58">
        <f>CSX!HQ28</f>
        <v>557</v>
      </c>
      <c r="HP8" s="58">
        <f>CSX!HR28</f>
        <v>562</v>
      </c>
      <c r="HQ8" s="58">
        <f>CSX!HS28</f>
        <v>580</v>
      </c>
      <c r="HR8" s="58">
        <f>CSX!HT28</f>
        <v>2229</v>
      </c>
      <c r="HT8" s="57" t="s">
        <v>281</v>
      </c>
      <c r="HU8" s="58">
        <f>CSX!HW28</f>
        <v>542</v>
      </c>
      <c r="HV8" s="58">
        <f>CSX!HX28</f>
        <v>550</v>
      </c>
      <c r="HW8" s="58">
        <f>CSX!HY28</f>
        <v>525</v>
      </c>
      <c r="HX8" s="58">
        <f>CSX!HZ28</f>
        <v>539</v>
      </c>
      <c r="HY8" s="58">
        <f>CSX!IA28</f>
        <v>2156</v>
      </c>
      <c r="IA8" s="57" t="s">
        <v>281</v>
      </c>
      <c r="IB8" s="58">
        <f>CSX!ID28</f>
        <v>507</v>
      </c>
      <c r="IC8" s="58">
        <f>CSX!IE28</f>
        <v>560</v>
      </c>
      <c r="ID8" s="58">
        <f>CSX!IF28</f>
        <v>576</v>
      </c>
      <c r="IE8" s="58">
        <f>CSX!IG28</f>
        <v>632</v>
      </c>
      <c r="IF8" s="58">
        <f>CSX!IH28</f>
        <v>2275</v>
      </c>
      <c r="IH8" s="57" t="s">
        <v>281</v>
      </c>
      <c r="II8" s="58">
        <f>CSX!IK28</f>
        <v>629</v>
      </c>
      <c r="IJ8" s="58">
        <f>CSX!IL28</f>
        <v>621</v>
      </c>
      <c r="IK8" s="58">
        <f>CSX!IM28</f>
        <v>610</v>
      </c>
      <c r="IL8" s="58">
        <f>CSX!IN28</f>
        <v>624</v>
      </c>
      <c r="IM8" s="58">
        <f>CSX!IO28</f>
        <v>2484</v>
      </c>
      <c r="IO8" s="57" t="s">
        <v>281</v>
      </c>
      <c r="IP8" s="58">
        <f>CSX!IR28</f>
        <v>627</v>
      </c>
      <c r="IQ8" s="58">
        <f>CSX!IS28</f>
        <v>559</v>
      </c>
      <c r="IR8" s="58">
        <f>CSX!IT28</f>
        <v>580</v>
      </c>
      <c r="IS8" s="58">
        <f>CSX!IU28</f>
        <v>570</v>
      </c>
      <c r="IT8" s="58">
        <f>CSX!IV28</f>
        <v>2336</v>
      </c>
      <c r="IV8" s="57" t="s">
        <v>281</v>
      </c>
      <c r="IW8" s="58">
        <f>CSX!IY28</f>
        <v>550</v>
      </c>
      <c r="IX8" s="58">
        <f>CSX!IZ28</f>
        <v>519</v>
      </c>
      <c r="IY8" s="58">
        <f>CSX!JA28</f>
        <v>507</v>
      </c>
      <c r="IZ8" s="58">
        <f>CSX!JB28</f>
        <v>497</v>
      </c>
      <c r="JA8" s="58">
        <f>CSX!JC28</f>
        <v>2073</v>
      </c>
      <c r="JC8" s="57" t="s">
        <v>281</v>
      </c>
      <c r="JD8" s="58">
        <f>CSX!JF28</f>
        <v>571</v>
      </c>
      <c r="JE8" s="58">
        <f>CSX!JG28</f>
        <v>496</v>
      </c>
      <c r="JF8" s="58">
        <f>CSX!JH28</f>
        <v>523</v>
      </c>
      <c r="JG8" s="58">
        <f>CSX!JI28</f>
        <v>524</v>
      </c>
      <c r="JH8" s="58">
        <f>CSX!JJ28</f>
        <v>2114</v>
      </c>
      <c r="JJ8" s="57" t="s">
        <v>281</v>
      </c>
      <c r="JK8" s="58">
        <f>CSX!JM28</f>
        <v>482</v>
      </c>
      <c r="JL8" s="58">
        <f>CSX!JN28</f>
        <v>469</v>
      </c>
      <c r="JM8" s="58">
        <f>CSX!JO28</f>
        <v>474</v>
      </c>
      <c r="JN8" s="58">
        <f>CSX!JP28</f>
        <v>542</v>
      </c>
      <c r="JO8" s="58">
        <f>CSX!JQ28</f>
        <v>1967</v>
      </c>
      <c r="JQ8" s="57" t="s">
        <v>281</v>
      </c>
      <c r="JR8" s="58">
        <f>CSX!JT28</f>
        <v>478</v>
      </c>
      <c r="JS8" s="58">
        <f>CSX!JU28</f>
        <v>455</v>
      </c>
      <c r="JT8" s="58">
        <f>CSX!JV28</f>
        <v>415</v>
      </c>
      <c r="JU8" s="58">
        <f>CSX!JW28</f>
        <v>436</v>
      </c>
      <c r="JV8" s="58">
        <f>CSX!JX28</f>
        <v>1784</v>
      </c>
      <c r="JX8" s="57" t="s">
        <v>281</v>
      </c>
      <c r="JY8" s="58">
        <f>CSX!KA28</f>
        <v>454</v>
      </c>
      <c r="JZ8" s="58">
        <f>CSX!KB28</f>
        <v>407</v>
      </c>
      <c r="KA8" s="58">
        <f>CSX!KC28</f>
        <v>378</v>
      </c>
      <c r="KB8" s="58">
        <f>CSX!KD28</f>
        <v>445</v>
      </c>
      <c r="KC8" s="58">
        <f>CSX!KE28</f>
        <v>1684</v>
      </c>
      <c r="KE8" s="57" t="s">
        <v>281</v>
      </c>
      <c r="KF8" s="58">
        <f>CSX!KH28</f>
        <v>469</v>
      </c>
      <c r="KG8" s="58">
        <f>CSX!KI28</f>
        <v>441</v>
      </c>
      <c r="KH8" s="58">
        <f>CSX!KJ28</f>
        <v>577</v>
      </c>
      <c r="KI8" s="58">
        <f>CSX!KK28</f>
        <v>645</v>
      </c>
      <c r="KJ8" s="58">
        <f>CSX!KL28</f>
        <v>2132</v>
      </c>
      <c r="KL8" s="57" t="s">
        <v>281</v>
      </c>
      <c r="KM8" s="58">
        <f>CSX!KO28</f>
        <v>675</v>
      </c>
      <c r="KN8" s="58">
        <f>CSX!KP28</f>
        <v>647</v>
      </c>
      <c r="KO8" s="58">
        <f>CSX!KQ28</f>
        <v>664</v>
      </c>
      <c r="KP8" s="58">
        <f>CSX!KR28</f>
        <v>699</v>
      </c>
      <c r="KQ8" s="58">
        <f>CSX!KS28</f>
        <v>2685</v>
      </c>
      <c r="KS8" s="57" t="s">
        <v>281</v>
      </c>
      <c r="KT8" s="58">
        <f>CSX!KV28</f>
        <v>698</v>
      </c>
      <c r="KU8" s="58">
        <f>CSX!KW28</f>
        <v>691</v>
      </c>
      <c r="KV8" s="58">
        <f>CSX!KX28</f>
        <v>700</v>
      </c>
      <c r="KW8" s="58">
        <f>CSX!KY28</f>
        <v>703</v>
      </c>
      <c r="KX8" s="58">
        <f>CSX!KZ28</f>
        <v>2792</v>
      </c>
      <c r="KZ8" s="57" t="s">
        <v>281</v>
      </c>
      <c r="LA8" s="58">
        <f>711+10</f>
        <v>721</v>
      </c>
      <c r="LB8" s="127">
        <v>699</v>
      </c>
      <c r="LC8" s="127">
        <v>675</v>
      </c>
      <c r="LD8" s="127">
        <v>757</v>
      </c>
      <c r="LE8" s="127">
        <f t="shared" si="5"/>
        <v>2852</v>
      </c>
      <c r="LF8" s="558"/>
      <c r="LG8" s="57" t="s">
        <v>281</v>
      </c>
      <c r="LH8" s="58">
        <v>774</v>
      </c>
      <c r="LI8" s="127">
        <v>710</v>
      </c>
      <c r="LJ8" s="127">
        <f>730-13</f>
        <v>717</v>
      </c>
      <c r="LK8" s="127">
        <f>799-21</f>
        <v>778</v>
      </c>
      <c r="LL8" s="127">
        <f t="shared" si="6"/>
        <v>2979</v>
      </c>
      <c r="LM8" s="558"/>
      <c r="LN8" s="57" t="s">
        <v>281</v>
      </c>
      <c r="LO8" s="127">
        <f>Expense!LO20*CSX!LQ$20</f>
        <v>709.46757212499995</v>
      </c>
      <c r="LP8" s="127">
        <f>Expense!LP20*CSX!LR$20</f>
        <v>716.27031522499999</v>
      </c>
      <c r="LQ8" s="127">
        <f>Expense!LQ20*CSX!LS$20</f>
        <v>737.08289585</v>
      </c>
      <c r="LR8" s="127">
        <f>Expense!LR20*CSX!LT$20</f>
        <v>772.078138975</v>
      </c>
      <c r="LS8" s="127">
        <f t="shared" si="7"/>
        <v>2934.8989221749998</v>
      </c>
      <c r="LT8" s="558"/>
      <c r="LU8" s="57" t="s">
        <v>281</v>
      </c>
      <c r="LV8" s="127">
        <f>Expense!LV20*CSX!LX$20</f>
        <v>707.50579215880077</v>
      </c>
      <c r="LW8" s="127">
        <f>Expense!LW20*CSX!LY$20</f>
        <v>704.65629672726243</v>
      </c>
      <c r="LX8" s="127">
        <f>Expense!LX20*CSX!LZ$20</f>
        <v>717.06210764834373</v>
      </c>
      <c r="LY8" s="127">
        <f>Expense!LY20*CSX!MA$20</f>
        <v>754.2028027217533</v>
      </c>
      <c r="LZ8" s="127">
        <f t="shared" si="8"/>
        <v>2883.4269992561603</v>
      </c>
      <c r="MA8" s="558"/>
      <c r="MB8" s="57" t="s">
        <v>281</v>
      </c>
      <c r="MC8" s="127">
        <f>Expense!MC20*CSX!ME$20</f>
        <v>720.28515597868295</v>
      </c>
      <c r="MD8" s="127">
        <f>Expense!MD20*CSX!MF$20</f>
        <v>723.85858199167308</v>
      </c>
      <c r="ME8" s="127">
        <f>Expense!ME20*CSX!MG$20</f>
        <v>744.48372636298416</v>
      </c>
      <c r="MF8" s="127">
        <f>Expense!MF20*CSX!MH$20</f>
        <v>766.51903668254386</v>
      </c>
      <c r="MG8" s="127">
        <f t="shared" si="9"/>
        <v>2955.1465010158845</v>
      </c>
      <c r="MH8" s="558"/>
    </row>
    <row r="9" spans="1:346" s="37" customFormat="1" ht="13.15" x14ac:dyDescent="0.4">
      <c r="A9" s="48"/>
      <c r="B9" s="57" t="s">
        <v>188</v>
      </c>
      <c r="C9" s="58">
        <f>CSX!C29</f>
        <v>156.04</v>
      </c>
      <c r="D9" s="58">
        <f>CSX!D29</f>
        <v>160.69999999999999</v>
      </c>
      <c r="E9" s="58">
        <f>CSX!E29</f>
        <v>158</v>
      </c>
      <c r="F9" s="58">
        <f>CSX!F29</f>
        <v>169</v>
      </c>
      <c r="G9" s="58">
        <f>CSX!G29</f>
        <v>283</v>
      </c>
      <c r="H9" s="58">
        <f>CSX!H29</f>
        <v>258</v>
      </c>
      <c r="I9" s="58">
        <f>CSX!I29</f>
        <v>295</v>
      </c>
      <c r="J9" s="58">
        <f>CSX!J29</f>
        <v>285</v>
      </c>
      <c r="K9" s="58">
        <f>CSX!K29</f>
        <v>329</v>
      </c>
      <c r="L9" s="58">
        <f>CSX!L29</f>
        <v>438</v>
      </c>
      <c r="M9" s="58">
        <f>CSX!M29</f>
        <v>452</v>
      </c>
      <c r="N9" s="58">
        <f>CSX!N29</f>
        <v>433</v>
      </c>
      <c r="O9" s="58">
        <f>CSX!O29</f>
        <v>456</v>
      </c>
      <c r="P9" s="58">
        <f>CSX!P29</f>
        <v>481</v>
      </c>
      <c r="Q9" s="58">
        <f>CSX!Q29</f>
        <v>483</v>
      </c>
      <c r="R9" s="58">
        <f>CSX!R29</f>
        <v>519</v>
      </c>
      <c r="S9" s="58">
        <f>CSX!S29</f>
        <v>527</v>
      </c>
      <c r="T9" s="58">
        <f>CSX!T29</f>
        <v>552</v>
      </c>
      <c r="U9" s="58">
        <f>CSX!U29</f>
        <v>602</v>
      </c>
      <c r="V9" s="58">
        <f>CSX!V29</f>
        <v>610</v>
      </c>
      <c r="W9" s="58">
        <f>CSX!W29</f>
        <v>598</v>
      </c>
      <c r="X9" s="58">
        <f>CSX!X29</f>
        <v>600</v>
      </c>
      <c r="Y9" s="58">
        <f>CSX!Y29</f>
        <v>572</v>
      </c>
      <c r="Z9" s="58">
        <f>CSX!Z29</f>
        <v>613</v>
      </c>
      <c r="AA9" s="58">
        <f>CSX!AA29</f>
        <v>631</v>
      </c>
      <c r="AB9" s="58">
        <f>CSX!AB29</f>
        <v>611</v>
      </c>
      <c r="AC9" s="58">
        <f>CSX!AC29</f>
        <v>702</v>
      </c>
      <c r="AD9" s="58">
        <f>CSX!AD29</f>
        <v>818</v>
      </c>
      <c r="AE9" s="58">
        <f>CSX!AE29</f>
        <v>856</v>
      </c>
      <c r="AF9" s="58">
        <f>CSX!AF29</f>
        <v>883</v>
      </c>
      <c r="AG9" s="58">
        <f>CSX!AG29</f>
        <v>904</v>
      </c>
      <c r="AH9" s="58">
        <f>CSX!AH29</f>
        <v>905</v>
      </c>
      <c r="AI9" s="58">
        <f>CSX!AI29</f>
        <v>947</v>
      </c>
      <c r="AJ9" s="58">
        <f>CSX!AJ29</f>
        <v>976</v>
      </c>
      <c r="AK9" s="58">
        <f>CSX!AK29</f>
        <v>1059</v>
      </c>
      <c r="AL9" s="58">
        <f>CSX!AL29</f>
        <v>1104</v>
      </c>
      <c r="AM9" s="58">
        <f>CSX!AM29</f>
        <v>1151</v>
      </c>
      <c r="AN9" s="58">
        <f>CSX!AN29</f>
        <v>1208</v>
      </c>
      <c r="AO9" s="58">
        <f>CSX!AO29</f>
        <v>1301</v>
      </c>
      <c r="AP9" s="58">
        <f>CSX!AP29</f>
        <v>1315</v>
      </c>
      <c r="AQ9" s="58">
        <f>CSX!AQ29</f>
        <v>1331</v>
      </c>
      <c r="AR9" s="58">
        <f>CSX!AR29</f>
        <v>1349</v>
      </c>
      <c r="AS9" s="58">
        <f>CSX!AS29</f>
        <v>1383</v>
      </c>
      <c r="AT9" s="58">
        <f>CSX!AT29</f>
        <v>1420</v>
      </c>
      <c r="AU9" s="58">
        <f>CSX!AU29</f>
        <v>1500</v>
      </c>
      <c r="AV9" s="58">
        <f>CSX!AV29</f>
        <v>1617</v>
      </c>
      <c r="AW9" s="58">
        <f>CSX!AW29</f>
        <v>1658</v>
      </c>
      <c r="AX9" s="58">
        <f>CSX!AX29</f>
        <v>1680</v>
      </c>
      <c r="AY9" s="58">
        <f>CSX!AY29</f>
        <v>1682</v>
      </c>
      <c r="AZ9" s="58">
        <f>CSX!AZ29</f>
        <v>1726</v>
      </c>
      <c r="BA9" s="58">
        <f>CSX!BA29</f>
        <v>1782</v>
      </c>
      <c r="BB9" s="58"/>
      <c r="BC9" s="58"/>
      <c r="BD9" s="58"/>
      <c r="BE9" s="58"/>
      <c r="BF9" s="58"/>
      <c r="BG9" s="58"/>
      <c r="BH9" s="58"/>
      <c r="BI9" s="58"/>
      <c r="BJ9" s="58"/>
      <c r="BK9" s="58"/>
      <c r="BL9" s="58"/>
      <c r="BM9" s="58"/>
      <c r="BO9" s="57" t="s">
        <v>188</v>
      </c>
      <c r="BP9" s="58">
        <f>CSX!BR29</f>
        <v>113</v>
      </c>
      <c r="BQ9" s="58">
        <f>CSX!BS29</f>
        <v>114</v>
      </c>
      <c r="BR9" s="58">
        <f>CSX!BT29</f>
        <v>109</v>
      </c>
      <c r="BS9" s="58">
        <f>CSX!BU29</f>
        <v>97</v>
      </c>
      <c r="BT9" s="58">
        <f>CSX!BV29</f>
        <v>433</v>
      </c>
      <c r="BV9" s="57" t="s">
        <v>188</v>
      </c>
      <c r="BW9" s="58">
        <f>CSX!BY29</f>
        <v>114</v>
      </c>
      <c r="BX9" s="58">
        <f>CSX!BZ29</f>
        <v>112</v>
      </c>
      <c r="BY9" s="58">
        <f>CSX!CA29</f>
        <v>110</v>
      </c>
      <c r="BZ9" s="58">
        <f>CSX!CB29</f>
        <v>120</v>
      </c>
      <c r="CA9" s="58">
        <f>CSX!CC29</f>
        <v>456</v>
      </c>
      <c r="CC9" s="57" t="s">
        <v>188</v>
      </c>
      <c r="CD9" s="58">
        <f>CSX!CF29</f>
        <v>121</v>
      </c>
      <c r="CE9" s="58">
        <f>CSX!CG29</f>
        <v>111</v>
      </c>
      <c r="CF9" s="58">
        <f>CSX!CH29</f>
        <v>122</v>
      </c>
      <c r="CG9" s="58">
        <f>CSX!CI29</f>
        <v>127</v>
      </c>
      <c r="CH9" s="58">
        <f>CSX!CJ29</f>
        <v>481</v>
      </c>
      <c r="CJ9" s="57" t="s">
        <v>188</v>
      </c>
      <c r="CK9" s="58">
        <f>CSX!CM29</f>
        <v>119</v>
      </c>
      <c r="CL9" s="58">
        <f>CSX!CN29</f>
        <v>123</v>
      </c>
      <c r="CM9" s="58">
        <f>CSX!CO29</f>
        <v>124</v>
      </c>
      <c r="CN9" s="58">
        <f>CSX!CP29</f>
        <v>117</v>
      </c>
      <c r="CO9" s="58">
        <f>CSX!CQ29</f>
        <v>483</v>
      </c>
      <c r="CQ9" s="57" t="s">
        <v>188</v>
      </c>
      <c r="CR9" s="58">
        <f>CSX!CT29</f>
        <v>129</v>
      </c>
      <c r="CS9" s="58">
        <f>CSX!CU29</f>
        <v>131</v>
      </c>
      <c r="CT9" s="58">
        <f>CSX!CV29</f>
        <v>130</v>
      </c>
      <c r="CU9" s="58">
        <f>CSX!CW29</f>
        <v>129</v>
      </c>
      <c r="CV9" s="58">
        <f>CSX!CX29</f>
        <v>519</v>
      </c>
      <c r="CX9" s="57" t="s">
        <v>188</v>
      </c>
      <c r="CY9" s="58">
        <f>CSX!DA29</f>
        <v>131</v>
      </c>
      <c r="CZ9" s="58">
        <f>CSX!DB29</f>
        <v>132</v>
      </c>
      <c r="DA9" s="58">
        <f>CSX!DC29</f>
        <v>132</v>
      </c>
      <c r="DB9" s="58">
        <f>CSX!DD29</f>
        <v>132</v>
      </c>
      <c r="DC9" s="58">
        <f>CSX!DE29</f>
        <v>527</v>
      </c>
      <c r="DE9" s="57" t="s">
        <v>188</v>
      </c>
      <c r="DF9" s="58">
        <f>CSX!DH29</f>
        <v>137</v>
      </c>
      <c r="DG9" s="58">
        <f>CSX!DI29</f>
        <v>138</v>
      </c>
      <c r="DH9" s="58">
        <f>CSX!DJ29</f>
        <v>137</v>
      </c>
      <c r="DI9" s="58">
        <f>CSX!DK29</f>
        <v>140</v>
      </c>
      <c r="DJ9" s="58">
        <f>CSX!DL29</f>
        <v>552</v>
      </c>
      <c r="DL9" s="57" t="s">
        <v>188</v>
      </c>
      <c r="DM9" s="58">
        <f>CSX!DO29</f>
        <v>151</v>
      </c>
      <c r="DN9" s="58">
        <f>CSX!DP29</f>
        <v>152</v>
      </c>
      <c r="DO9" s="58">
        <f>CSX!DQ29</f>
        <v>147</v>
      </c>
      <c r="DP9" s="58">
        <f>CSX!DR29</f>
        <v>152</v>
      </c>
      <c r="DQ9" s="58">
        <f>CSX!DS29</f>
        <v>602</v>
      </c>
      <c r="DS9" s="57" t="s">
        <v>188</v>
      </c>
      <c r="DT9" s="58">
        <f>CSX!DV29</f>
        <v>153</v>
      </c>
      <c r="DU9" s="58">
        <f>CSX!DW29</f>
        <v>155</v>
      </c>
      <c r="DV9" s="58">
        <f>CSX!DX29</f>
        <v>155</v>
      </c>
      <c r="DW9" s="58">
        <f>CSX!DY29</f>
        <v>147</v>
      </c>
      <c r="DX9" s="58">
        <f>CSX!DZ29</f>
        <v>610</v>
      </c>
      <c r="DZ9" s="57" t="s">
        <v>188</v>
      </c>
      <c r="EA9" s="58">
        <f>CSX!EC29</f>
        <v>150</v>
      </c>
      <c r="EB9" s="58">
        <f>CSX!ED29</f>
        <v>150</v>
      </c>
      <c r="EC9" s="58">
        <f>CSX!EE29</f>
        <v>149</v>
      </c>
      <c r="ED9" s="58">
        <f>CSX!EF29</f>
        <v>149</v>
      </c>
      <c r="EE9" s="58">
        <f>CSX!EG29</f>
        <v>598</v>
      </c>
      <c r="EG9" s="57" t="s">
        <v>188</v>
      </c>
      <c r="EH9" s="58">
        <f>CSX!EJ29</f>
        <v>164</v>
      </c>
      <c r="EI9" s="58">
        <f>CSX!EK29</f>
        <v>156</v>
      </c>
      <c r="EJ9" s="58">
        <f>CSX!EL29</f>
        <v>155</v>
      </c>
      <c r="EK9" s="58">
        <f>CSX!EM29</f>
        <v>125</v>
      </c>
      <c r="EL9" s="58">
        <f>CSX!EN29</f>
        <v>600</v>
      </c>
      <c r="EN9" s="57" t="s">
        <v>188</v>
      </c>
      <c r="EO9" s="58">
        <f>CSX!EQ29</f>
        <v>138</v>
      </c>
      <c r="EP9" s="58">
        <f>CSX!ER29</f>
        <v>140</v>
      </c>
      <c r="EQ9" s="58">
        <f>CSX!ES29</f>
        <v>148</v>
      </c>
      <c r="ER9" s="58">
        <f>CSX!ET29</f>
        <v>146</v>
      </c>
      <c r="ES9" s="58">
        <f>CSX!EU29</f>
        <v>572</v>
      </c>
      <c r="EU9" s="57" t="s">
        <v>188</v>
      </c>
      <c r="EV9" s="58">
        <f>CSX!EX29</f>
        <v>155</v>
      </c>
      <c r="EW9" s="58">
        <f>CSX!EY29</f>
        <v>153</v>
      </c>
      <c r="EX9" s="58">
        <f>CSX!EZ29</f>
        <v>154</v>
      </c>
      <c r="EY9" s="58">
        <f>CSX!FA29</f>
        <v>151</v>
      </c>
      <c r="EZ9" s="58">
        <f>CSX!FB29</f>
        <v>613</v>
      </c>
      <c r="FB9" s="57" t="s">
        <v>188</v>
      </c>
      <c r="FC9" s="58">
        <f>CSX!FE29</f>
        <v>151</v>
      </c>
      <c r="FD9" s="58">
        <f>CSX!FF29</f>
        <v>153</v>
      </c>
      <c r="FE9" s="58">
        <f>CSX!FG29</f>
        <v>161</v>
      </c>
      <c r="FF9" s="58">
        <f>CSX!FH29</f>
        <v>166</v>
      </c>
      <c r="FG9" s="58">
        <f>CSX!FI29</f>
        <v>631</v>
      </c>
      <c r="FI9" s="57" t="s">
        <v>188</v>
      </c>
      <c r="FJ9" s="58">
        <f>CSX!FL29</f>
        <v>153</v>
      </c>
      <c r="FK9" s="58">
        <f>CSX!FM29</f>
        <v>156</v>
      </c>
      <c r="FL9" s="58">
        <f>CSX!FN29</f>
        <v>152</v>
      </c>
      <c r="FM9" s="58">
        <f>CSX!FO29</f>
        <v>150</v>
      </c>
      <c r="FN9" s="58">
        <f>CSX!FP29</f>
        <v>611</v>
      </c>
      <c r="FP9" s="57" t="s">
        <v>188</v>
      </c>
      <c r="FQ9" s="58">
        <f>CSX!FS29</f>
        <v>160</v>
      </c>
      <c r="FR9" s="58">
        <f>CSX!FT29</f>
        <v>157</v>
      </c>
      <c r="FS9" s="58">
        <f>CSX!FU29</f>
        <v>170</v>
      </c>
      <c r="FT9" s="58">
        <f>CSX!FV29</f>
        <v>215</v>
      </c>
      <c r="FU9" s="58">
        <f>CSX!FW29</f>
        <v>702</v>
      </c>
      <c r="FW9" s="57" t="s">
        <v>188</v>
      </c>
      <c r="FX9" s="58">
        <f>CSX!FZ29</f>
        <v>203</v>
      </c>
      <c r="FY9" s="58">
        <f>CSX!GA29</f>
        <v>203</v>
      </c>
      <c r="FZ9" s="58">
        <f>CSX!GB29</f>
        <v>204</v>
      </c>
      <c r="GA9" s="58">
        <f>CSX!GC29</f>
        <v>208</v>
      </c>
      <c r="GB9" s="58">
        <f>CSX!GD29</f>
        <v>818</v>
      </c>
      <c r="GD9" s="57" t="s">
        <v>188</v>
      </c>
      <c r="GE9" s="58">
        <f>CSX!GG29</f>
        <v>211</v>
      </c>
      <c r="GF9" s="58">
        <f>CSX!GH29</f>
        <v>216</v>
      </c>
      <c r="GG9" s="58">
        <f>CSX!GI29</f>
        <v>213</v>
      </c>
      <c r="GH9" s="58">
        <f>CSX!GJ29</f>
        <v>216</v>
      </c>
      <c r="GI9" s="58">
        <f>CSX!GK29</f>
        <v>856</v>
      </c>
      <c r="GK9" s="57" t="s">
        <v>188</v>
      </c>
      <c r="GL9" s="58">
        <f>CSX!GN29</f>
        <v>221</v>
      </c>
      <c r="GM9" s="58">
        <f>CSX!GO29</f>
        <v>222</v>
      </c>
      <c r="GN9" s="58">
        <f>CSX!GP29</f>
        <v>220</v>
      </c>
      <c r="GO9" s="58">
        <f>CSX!GQ29</f>
        <v>220</v>
      </c>
      <c r="GP9" s="58">
        <f>CSX!GR29</f>
        <v>883</v>
      </c>
      <c r="GR9" s="57" t="s">
        <v>188</v>
      </c>
      <c r="GS9" s="58">
        <f>CSX!GU29</f>
        <v>222</v>
      </c>
      <c r="GT9" s="58">
        <f>CSX!GV29</f>
        <v>227</v>
      </c>
      <c r="GU9" s="58">
        <f>CSX!GW29</f>
        <v>227</v>
      </c>
      <c r="GV9" s="58">
        <f>CSX!GX29</f>
        <v>228</v>
      </c>
      <c r="GW9" s="58">
        <f>CSX!GY29</f>
        <v>904</v>
      </c>
      <c r="GY9" s="57" t="s">
        <v>188</v>
      </c>
      <c r="GZ9" s="58">
        <f>CSX!HB29</f>
        <v>224</v>
      </c>
      <c r="HA9" s="58">
        <f>CSX!HC29</f>
        <v>227</v>
      </c>
      <c r="HB9" s="58">
        <f>CSX!HD29</f>
        <v>227</v>
      </c>
      <c r="HC9" s="58">
        <f>CSX!HE29</f>
        <v>227</v>
      </c>
      <c r="HD9" s="58">
        <f>CSX!HF29</f>
        <v>905</v>
      </c>
      <c r="HF9" s="57" t="s">
        <v>188</v>
      </c>
      <c r="HG9" s="58">
        <f>CSX!HI29</f>
        <v>228</v>
      </c>
      <c r="HH9" s="58">
        <f>CSX!HJ29</f>
        <v>230</v>
      </c>
      <c r="HI9" s="58">
        <f>CSX!HK29</f>
        <v>232</v>
      </c>
      <c r="HJ9" s="58">
        <f>CSX!HL29</f>
        <v>257</v>
      </c>
      <c r="HK9" s="58">
        <f>CSX!HM29</f>
        <v>947</v>
      </c>
      <c r="HM9" s="57" t="s">
        <v>188</v>
      </c>
      <c r="HN9" s="58">
        <f>CSX!HP29</f>
        <v>243</v>
      </c>
      <c r="HO9" s="58">
        <f>CSX!HQ29</f>
        <v>246</v>
      </c>
      <c r="HP9" s="58">
        <f>CSX!HR29</f>
        <v>251</v>
      </c>
      <c r="HQ9" s="58">
        <f>CSX!HS29</f>
        <v>236</v>
      </c>
      <c r="HR9" s="58">
        <f>CSX!HT29</f>
        <v>976</v>
      </c>
      <c r="HT9" s="57" t="s">
        <v>188</v>
      </c>
      <c r="HU9" s="58">
        <f>CSX!HW29</f>
        <v>257</v>
      </c>
      <c r="HV9" s="58">
        <f>CSX!HX29</f>
        <v>263</v>
      </c>
      <c r="HW9" s="58">
        <f>CSX!HY29</f>
        <v>268</v>
      </c>
      <c r="HX9" s="58">
        <f>CSX!HZ29</f>
        <v>271</v>
      </c>
      <c r="HY9" s="58">
        <f>CSX!IA29</f>
        <v>1059</v>
      </c>
      <c r="IA9" s="57" t="s">
        <v>188</v>
      </c>
      <c r="IB9" s="58">
        <f>CSX!ID29</f>
        <v>270</v>
      </c>
      <c r="IC9" s="58">
        <f>CSX!IE29</f>
        <v>276</v>
      </c>
      <c r="ID9" s="58">
        <f>CSX!IF29</f>
        <v>277</v>
      </c>
      <c r="IE9" s="58">
        <f>CSX!IG29</f>
        <v>281</v>
      </c>
      <c r="IF9" s="58">
        <f>CSX!IH29</f>
        <v>1104</v>
      </c>
      <c r="IH9" s="57" t="s">
        <v>188</v>
      </c>
      <c r="II9" s="58">
        <f>CSX!IK29</f>
        <v>283</v>
      </c>
      <c r="IJ9" s="58">
        <f>CSX!IL29</f>
        <v>287</v>
      </c>
      <c r="IK9" s="58">
        <f>CSX!IM29</f>
        <v>291</v>
      </c>
      <c r="IL9" s="58">
        <f>CSX!IN29</f>
        <v>290</v>
      </c>
      <c r="IM9" s="58">
        <f>CSX!IO29</f>
        <v>1151</v>
      </c>
      <c r="IO9" s="57" t="s">
        <v>188</v>
      </c>
      <c r="IP9" s="58">
        <f>CSX!IR29</f>
        <v>295</v>
      </c>
      <c r="IQ9" s="58">
        <f>CSX!IS29</f>
        <v>299</v>
      </c>
      <c r="IR9" s="58">
        <f>CSX!IT29</f>
        <v>302</v>
      </c>
      <c r="IS9" s="58">
        <f>CSX!IU29</f>
        <v>312</v>
      </c>
      <c r="IT9" s="58">
        <f>CSX!IV29</f>
        <v>1208</v>
      </c>
      <c r="IV9" s="57" t="s">
        <v>188</v>
      </c>
      <c r="IW9" s="58">
        <f>CSX!IY29</f>
        <v>313</v>
      </c>
      <c r="IX9" s="58">
        <f>CSX!IZ29</f>
        <v>319</v>
      </c>
      <c r="IY9" s="58">
        <f>CSX!JA29</f>
        <v>321</v>
      </c>
      <c r="IZ9" s="58">
        <f>CSX!JB29</f>
        <v>348</v>
      </c>
      <c r="JA9" s="58">
        <f>CSX!JC29</f>
        <v>1301</v>
      </c>
      <c r="JC9" s="57" t="s">
        <v>188</v>
      </c>
      <c r="JD9" s="58">
        <f>CSX!JF29</f>
        <v>320</v>
      </c>
      <c r="JE9" s="58">
        <f>CSX!JG29</f>
        <v>327</v>
      </c>
      <c r="JF9" s="58">
        <f>CSX!JH29</f>
        <v>331</v>
      </c>
      <c r="JG9" s="58">
        <f>CSX!JI29</f>
        <v>337</v>
      </c>
      <c r="JH9" s="58">
        <f>CSX!JJ29</f>
        <v>1315</v>
      </c>
      <c r="JJ9" s="57" t="s">
        <v>188</v>
      </c>
      <c r="JK9" s="58">
        <f>CSX!JM29</f>
        <v>323</v>
      </c>
      <c r="JL9" s="58">
        <f>CSX!JN29</f>
        <v>329</v>
      </c>
      <c r="JM9" s="58">
        <f>CSX!JO29</f>
        <v>334</v>
      </c>
      <c r="JN9" s="58">
        <f>CSX!JP29</f>
        <v>345</v>
      </c>
      <c r="JO9" s="58">
        <f>CSX!JQ29</f>
        <v>1331</v>
      </c>
      <c r="JQ9" s="57" t="s">
        <v>188</v>
      </c>
      <c r="JR9" s="58">
        <f>CSX!JT29</f>
        <v>330</v>
      </c>
      <c r="JS9" s="58">
        <f>CSX!JU29</f>
        <v>337</v>
      </c>
      <c r="JT9" s="58">
        <f>CSX!JV29</f>
        <v>338</v>
      </c>
      <c r="JU9" s="58">
        <f>CSX!JW29</f>
        <v>344</v>
      </c>
      <c r="JV9" s="58">
        <f>CSX!JX29</f>
        <v>1349</v>
      </c>
      <c r="JX9" s="57" t="s">
        <v>188</v>
      </c>
      <c r="JY9" s="58">
        <f>CSX!KA29</f>
        <v>344</v>
      </c>
      <c r="JZ9" s="58">
        <f>CSX!KB29</f>
        <v>344</v>
      </c>
      <c r="KA9" s="58">
        <f>CSX!KC29</f>
        <v>348</v>
      </c>
      <c r="KB9" s="58">
        <f>CSX!KD29</f>
        <v>347</v>
      </c>
      <c r="KC9" s="58">
        <f>CSX!KE29</f>
        <v>1383</v>
      </c>
      <c r="KE9" s="57" t="s">
        <v>188</v>
      </c>
      <c r="KF9" s="58">
        <f>CSX!KH29</f>
        <v>345</v>
      </c>
      <c r="KG9" s="58">
        <f>CSX!KI29</f>
        <v>348</v>
      </c>
      <c r="KH9" s="58">
        <f>CSX!KJ29</f>
        <v>367</v>
      </c>
      <c r="KI9" s="58">
        <f>CSX!KK29</f>
        <v>360</v>
      </c>
      <c r="KJ9" s="58">
        <f>CSX!KL29</f>
        <v>1420</v>
      </c>
      <c r="KL9" s="57" t="s">
        <v>188</v>
      </c>
      <c r="KM9" s="58">
        <f>CSX!KO29</f>
        <v>360</v>
      </c>
      <c r="KN9" s="58">
        <f>CSX!KP29</f>
        <v>369</v>
      </c>
      <c r="KO9" s="58">
        <f>CSX!KQ29</f>
        <v>378</v>
      </c>
      <c r="KP9" s="58">
        <f>CSX!KR29</f>
        <v>393</v>
      </c>
      <c r="KQ9" s="58">
        <f>CSX!KS29</f>
        <v>1500</v>
      </c>
      <c r="KS9" s="57" t="s">
        <v>188</v>
      </c>
      <c r="KT9" s="58">
        <f>CSX!KV29</f>
        <v>393</v>
      </c>
      <c r="KU9" s="58">
        <f>CSX!KW29</f>
        <v>404</v>
      </c>
      <c r="KV9" s="58">
        <f>CSX!KX29</f>
        <v>403</v>
      </c>
      <c r="KW9" s="58">
        <f>CSX!KY29</f>
        <v>417</v>
      </c>
      <c r="KX9" s="58">
        <f>CSX!KZ29</f>
        <v>1617</v>
      </c>
      <c r="KZ9" s="57" t="s">
        <v>188</v>
      </c>
      <c r="LA9" s="58">
        <v>410</v>
      </c>
      <c r="LB9" s="58">
        <v>410</v>
      </c>
      <c r="LC9" s="58">
        <v>416</v>
      </c>
      <c r="LD9" s="58">
        <v>422</v>
      </c>
      <c r="LE9" s="127">
        <f t="shared" si="5"/>
        <v>1658</v>
      </c>
      <c r="LF9" s="558"/>
      <c r="LG9" s="57" t="s">
        <v>188</v>
      </c>
      <c r="LH9" s="58">
        <v>425</v>
      </c>
      <c r="LI9" s="58">
        <v>427</v>
      </c>
      <c r="LJ9" s="58">
        <v>424</v>
      </c>
      <c r="LK9" s="127">
        <v>404</v>
      </c>
      <c r="LL9" s="127">
        <f t="shared" si="6"/>
        <v>1680</v>
      </c>
      <c r="LM9" s="558"/>
      <c r="LN9" s="57" t="s">
        <v>188</v>
      </c>
      <c r="LO9" s="509">
        <f>LK9+15</f>
        <v>419</v>
      </c>
      <c r="LP9" s="509">
        <f>LO9+1</f>
        <v>420</v>
      </c>
      <c r="LQ9" s="509">
        <f>LP9+1</f>
        <v>421</v>
      </c>
      <c r="LR9" s="509">
        <f>LQ9+1</f>
        <v>422</v>
      </c>
      <c r="LS9" s="127">
        <f t="shared" si="7"/>
        <v>1682</v>
      </c>
      <c r="LT9" s="558"/>
      <c r="LU9" s="57" t="s">
        <v>188</v>
      </c>
      <c r="LV9" s="509">
        <f>LR9+5</f>
        <v>427</v>
      </c>
      <c r="LW9" s="509">
        <f>LV9+3</f>
        <v>430</v>
      </c>
      <c r="LX9" s="509">
        <f>LW9+3</f>
        <v>433</v>
      </c>
      <c r="LY9" s="509">
        <f>LX9+3</f>
        <v>436</v>
      </c>
      <c r="LZ9" s="127">
        <f t="shared" si="8"/>
        <v>1726</v>
      </c>
      <c r="MA9" s="558"/>
      <c r="MB9" s="57" t="s">
        <v>188</v>
      </c>
      <c r="MC9" s="509">
        <f>LY9+5</f>
        <v>441</v>
      </c>
      <c r="MD9" s="509">
        <f>MC9+3</f>
        <v>444</v>
      </c>
      <c r="ME9" s="509">
        <f>MD9+3</f>
        <v>447</v>
      </c>
      <c r="MF9" s="509">
        <f>ME9+3</f>
        <v>450</v>
      </c>
      <c r="MG9" s="127">
        <f t="shared" si="9"/>
        <v>1782</v>
      </c>
      <c r="MH9" s="558"/>
    </row>
    <row r="10" spans="1:346" s="37" customFormat="1" ht="13.15" x14ac:dyDescent="0.4">
      <c r="A10" s="48"/>
      <c r="B10" s="57" t="s">
        <v>23</v>
      </c>
      <c r="C10" s="58">
        <f>CSX!C30</f>
        <v>228.691</v>
      </c>
      <c r="D10" s="58">
        <f>CSX!D30</f>
        <v>334</v>
      </c>
      <c r="E10" s="58">
        <f>CSX!E30</f>
        <v>462.2</v>
      </c>
      <c r="F10" s="58">
        <f>CSX!F30</f>
        <v>554.9</v>
      </c>
      <c r="G10" s="58">
        <f>CSX!G30</f>
        <v>446</v>
      </c>
      <c r="H10" s="58">
        <f>CSX!H30</f>
        <v>392</v>
      </c>
      <c r="I10" s="58">
        <f>CSX!I30</f>
        <v>447</v>
      </c>
      <c r="J10" s="58">
        <f>CSX!J30</f>
        <v>405</v>
      </c>
      <c r="K10" s="58">
        <f>CSX!K30</f>
        <v>249</v>
      </c>
      <c r="L10" s="58">
        <f>CSX!L30</f>
        <v>377</v>
      </c>
      <c r="M10" s="58">
        <f>CSX!M30</f>
        <v>351</v>
      </c>
      <c r="N10" s="58">
        <f>CSX!N30</f>
        <v>368</v>
      </c>
      <c r="O10" s="58">
        <f>CSX!O30</f>
        <v>421</v>
      </c>
      <c r="P10" s="58">
        <f>CSX!P30</f>
        <v>444</v>
      </c>
      <c r="Q10" s="58">
        <f>CSX!Q30</f>
        <v>398</v>
      </c>
      <c r="R10" s="58">
        <f>CSX!R30</f>
        <v>377</v>
      </c>
      <c r="S10" s="58">
        <f>CSX!S30</f>
        <v>384</v>
      </c>
      <c r="T10" s="58">
        <f>CSX!T30</f>
        <v>435</v>
      </c>
      <c r="U10" s="58">
        <f>CSX!U30</f>
        <v>561</v>
      </c>
      <c r="V10" s="58">
        <f>CSX!V30</f>
        <v>554</v>
      </c>
      <c r="W10" s="58">
        <f>CSX!W30</f>
        <v>393</v>
      </c>
      <c r="X10" s="58">
        <f>CSX!X30</f>
        <v>472</v>
      </c>
      <c r="Y10" s="58">
        <f>CSX!Y30</f>
        <v>650</v>
      </c>
      <c r="Z10" s="58">
        <f>CSX!Z30</f>
        <v>585</v>
      </c>
      <c r="AA10" s="58">
        <f>CSX!AA30</f>
        <v>515</v>
      </c>
      <c r="AB10" s="58">
        <f>CSX!AB30</f>
        <v>566</v>
      </c>
      <c r="AC10" s="58">
        <f>CSX!AC30</f>
        <v>656</v>
      </c>
      <c r="AD10" s="58">
        <f>CSX!AD30</f>
        <v>783</v>
      </c>
      <c r="AE10" s="58">
        <f>CSX!AE30</f>
        <v>1112</v>
      </c>
      <c r="AF10" s="58">
        <f>CSX!AF30</f>
        <v>1312</v>
      </c>
      <c r="AG10" s="58">
        <f>CSX!AG30</f>
        <v>1817</v>
      </c>
      <c r="AH10" s="58">
        <f>CSX!AH30</f>
        <v>849</v>
      </c>
      <c r="AI10" s="58">
        <f>CSX!AI30</f>
        <v>1212</v>
      </c>
      <c r="AJ10" s="58">
        <f>CSX!AJ30</f>
        <v>1668</v>
      </c>
      <c r="AK10" s="58">
        <f>CSX!AK30</f>
        <v>1672</v>
      </c>
      <c r="AL10" s="58">
        <f>CSX!AL30</f>
        <v>1656</v>
      </c>
      <c r="AM10" s="58">
        <f>CSX!AM30</f>
        <v>1616</v>
      </c>
      <c r="AN10" s="58">
        <f>CSX!AN30</f>
        <v>957</v>
      </c>
      <c r="AO10" s="58">
        <f>CSX!AO30</f>
        <v>713</v>
      </c>
      <c r="AP10" s="58">
        <f>CSX!AP30</f>
        <v>864</v>
      </c>
      <c r="AQ10" s="58">
        <f>CSX!AQ30</f>
        <v>1046</v>
      </c>
      <c r="AR10" s="58">
        <f>CSX!AR30</f>
        <v>906</v>
      </c>
      <c r="AS10" s="58">
        <f>CSX!AS30</f>
        <v>541</v>
      </c>
      <c r="AT10" s="58">
        <f>CSX!AT30</f>
        <v>913</v>
      </c>
      <c r="AU10" s="58">
        <f>CSX!AU30</f>
        <v>1626</v>
      </c>
      <c r="AV10" s="58">
        <f>CSX!AV30</f>
        <v>1377</v>
      </c>
      <c r="AW10" s="58">
        <f>CSX!AW30</f>
        <v>1168</v>
      </c>
      <c r="AX10" s="58">
        <f>CSX!AX30</f>
        <v>1095</v>
      </c>
      <c r="AY10" s="58">
        <f>CSX!AY30</f>
        <v>1058.6545755415689</v>
      </c>
      <c r="AZ10" s="58">
        <f>CSX!AZ30</f>
        <v>1078.9382059201002</v>
      </c>
      <c r="BA10" s="58">
        <f>CSX!BA30</f>
        <v>1102.4666254103731</v>
      </c>
      <c r="BB10" s="58"/>
      <c r="BC10" s="58"/>
      <c r="BD10" s="58"/>
      <c r="BE10" s="58"/>
      <c r="BF10" s="58"/>
      <c r="BG10" s="58"/>
      <c r="BH10" s="58"/>
      <c r="BI10" s="58"/>
      <c r="BJ10" s="58"/>
      <c r="BK10" s="58"/>
      <c r="BL10" s="58"/>
      <c r="BM10" s="58"/>
      <c r="BO10" s="57" t="s">
        <v>23</v>
      </c>
      <c r="BP10" s="58">
        <f>CSX!BR30</f>
        <v>89</v>
      </c>
      <c r="BQ10" s="58">
        <f>CSX!BS30</f>
        <v>92</v>
      </c>
      <c r="BR10" s="58">
        <f>CSX!BT30</f>
        <v>83</v>
      </c>
      <c r="BS10" s="58">
        <f>CSX!BU30</f>
        <v>104</v>
      </c>
      <c r="BT10" s="58">
        <f>CSX!BV30</f>
        <v>368</v>
      </c>
      <c r="BV10" s="57" t="s">
        <v>23</v>
      </c>
      <c r="BW10" s="58">
        <f>CSX!BY30</f>
        <v>111</v>
      </c>
      <c r="BX10" s="58">
        <f>CSX!BZ30</f>
        <v>94</v>
      </c>
      <c r="BY10" s="58">
        <f>CSX!CA30</f>
        <v>94</v>
      </c>
      <c r="BZ10" s="58">
        <f>CSX!CB30</f>
        <v>122</v>
      </c>
      <c r="CA10" s="58">
        <f>CSX!CC30</f>
        <v>421</v>
      </c>
      <c r="CC10" s="57" t="s">
        <v>23</v>
      </c>
      <c r="CD10" s="58">
        <f>CSX!CF30</f>
        <v>131</v>
      </c>
      <c r="CE10" s="58">
        <f>CSX!CG30</f>
        <v>96</v>
      </c>
      <c r="CF10" s="58">
        <f>CSX!CH30</f>
        <v>98</v>
      </c>
      <c r="CG10" s="58">
        <f>CSX!CI30</f>
        <v>119</v>
      </c>
      <c r="CH10" s="58">
        <f>CSX!CJ30</f>
        <v>444</v>
      </c>
      <c r="CJ10" s="57" t="s">
        <v>23</v>
      </c>
      <c r="CK10" s="58">
        <f>CSX!CM30</f>
        <v>93</v>
      </c>
      <c r="CL10" s="58">
        <f>CSX!CN30</f>
        <v>93</v>
      </c>
      <c r="CM10" s="58">
        <f>CSX!CO30</f>
        <v>99</v>
      </c>
      <c r="CN10" s="58">
        <f>CSX!CP30</f>
        <v>113</v>
      </c>
      <c r="CO10" s="58">
        <f>CSX!CQ30</f>
        <v>398</v>
      </c>
      <c r="CQ10" s="57" t="s">
        <v>23</v>
      </c>
      <c r="CR10" s="58">
        <f>CSX!CT30</f>
        <v>100</v>
      </c>
      <c r="CS10" s="58">
        <f>CSX!CU30</f>
        <v>98</v>
      </c>
      <c r="CT10" s="58">
        <f>CSX!CV30</f>
        <v>82</v>
      </c>
      <c r="CU10" s="58">
        <f>CSX!CW30</f>
        <v>97</v>
      </c>
      <c r="CV10" s="58">
        <f>CSX!CX30</f>
        <v>377</v>
      </c>
      <c r="CX10" s="57" t="s">
        <v>23</v>
      </c>
      <c r="CY10" s="58">
        <f>CSX!DA30</f>
        <v>92</v>
      </c>
      <c r="CZ10" s="58">
        <f>CSX!DB30</f>
        <v>91</v>
      </c>
      <c r="DA10" s="58">
        <f>CSX!DC30</f>
        <v>98</v>
      </c>
      <c r="DB10" s="58">
        <f>CSX!DD30</f>
        <v>103</v>
      </c>
      <c r="DC10" s="58">
        <f>CSX!DE30</f>
        <v>384</v>
      </c>
      <c r="DE10" s="57" t="s">
        <v>23</v>
      </c>
      <c r="DF10" s="58">
        <f>CSX!DH30</f>
        <v>108</v>
      </c>
      <c r="DG10" s="58">
        <f>CSX!DI30</f>
        <v>110</v>
      </c>
      <c r="DH10" s="58">
        <f>CSX!DJ30</f>
        <v>106</v>
      </c>
      <c r="DI10" s="58">
        <f>CSX!DK30</f>
        <v>111</v>
      </c>
      <c r="DJ10" s="58">
        <f>CSX!DL30</f>
        <v>435</v>
      </c>
      <c r="DL10" s="57" t="s">
        <v>23</v>
      </c>
      <c r="DM10" s="58">
        <f>CSX!DO30</f>
        <v>132</v>
      </c>
      <c r="DN10" s="58">
        <f>CSX!DP30</f>
        <v>139</v>
      </c>
      <c r="DO10" s="58">
        <f>CSX!DQ30</f>
        <v>125</v>
      </c>
      <c r="DP10" s="58">
        <f>CSX!DR30</f>
        <v>165</v>
      </c>
      <c r="DQ10" s="58">
        <f>CSX!DS30</f>
        <v>561</v>
      </c>
      <c r="DS10" s="57" t="s">
        <v>23</v>
      </c>
      <c r="DT10" s="58">
        <f>CSX!DV30</f>
        <v>153</v>
      </c>
      <c r="DU10" s="58">
        <f>CSX!DW30</f>
        <v>131</v>
      </c>
      <c r="DV10" s="58">
        <f>CSX!DX30</f>
        <v>126</v>
      </c>
      <c r="DW10" s="58">
        <f>CSX!DY30</f>
        <v>144</v>
      </c>
      <c r="DX10" s="58">
        <f>CSX!DZ30</f>
        <v>554</v>
      </c>
      <c r="DZ10" s="57" t="s">
        <v>23</v>
      </c>
      <c r="EA10" s="58">
        <f>CSX!EC30</f>
        <v>109</v>
      </c>
      <c r="EB10" s="58">
        <f>CSX!ED30</f>
        <v>97</v>
      </c>
      <c r="EC10" s="58">
        <f>CSX!EE30</f>
        <v>89</v>
      </c>
      <c r="ED10" s="58">
        <f>CSX!EF30</f>
        <v>98</v>
      </c>
      <c r="EE10" s="58">
        <f>CSX!EG30</f>
        <v>393</v>
      </c>
      <c r="EG10" s="57" t="s">
        <v>23</v>
      </c>
      <c r="EH10" s="58">
        <f>CSX!EJ30</f>
        <v>83</v>
      </c>
      <c r="EI10" s="58">
        <f>CSX!EK30</f>
        <v>98</v>
      </c>
      <c r="EJ10" s="58">
        <f>CSX!EL30</f>
        <v>127</v>
      </c>
      <c r="EK10" s="58">
        <f>CSX!EM30</f>
        <v>164</v>
      </c>
      <c r="EL10" s="58">
        <f>CSX!EN30</f>
        <v>472</v>
      </c>
      <c r="EN10" s="57" t="s">
        <v>23</v>
      </c>
      <c r="EO10" s="58">
        <f>CSX!EQ30</f>
        <v>156</v>
      </c>
      <c r="EP10" s="58">
        <f>CSX!ER30</f>
        <v>151</v>
      </c>
      <c r="EQ10" s="58">
        <f>CSX!ES30</f>
        <v>156</v>
      </c>
      <c r="ER10" s="58">
        <f>CSX!ET30</f>
        <v>187</v>
      </c>
      <c r="ES10" s="58">
        <f>CSX!EU30</f>
        <v>650</v>
      </c>
      <c r="EU10" s="57" t="s">
        <v>23</v>
      </c>
      <c r="EV10" s="58">
        <f>CSX!EX30</f>
        <v>170</v>
      </c>
      <c r="EW10" s="58">
        <f>CSX!EY30</f>
        <v>146</v>
      </c>
      <c r="EX10" s="58">
        <f>CSX!EZ30</f>
        <v>138</v>
      </c>
      <c r="EY10" s="58">
        <f>CSX!FA30</f>
        <v>131</v>
      </c>
      <c r="EZ10" s="58">
        <f>CSX!FB30</f>
        <v>585</v>
      </c>
      <c r="FB10" s="57" t="s">
        <v>23</v>
      </c>
      <c r="FC10" s="58">
        <f>CSX!FE30</f>
        <v>116</v>
      </c>
      <c r="FD10" s="58">
        <f>CSX!FF30</f>
        <v>128</v>
      </c>
      <c r="FE10" s="58">
        <f>CSX!FG30</f>
        <v>128</v>
      </c>
      <c r="FF10" s="58">
        <f>CSX!FH30</f>
        <v>143</v>
      </c>
      <c r="FG10" s="58">
        <f>CSX!FI30</f>
        <v>515</v>
      </c>
      <c r="FI10" s="57" t="s">
        <v>23</v>
      </c>
      <c r="FJ10" s="58">
        <f>CSX!FL30</f>
        <v>158</v>
      </c>
      <c r="FK10" s="58">
        <f>CSX!FM30</f>
        <v>136</v>
      </c>
      <c r="FL10" s="58">
        <f>CSX!FN30</f>
        <v>132</v>
      </c>
      <c r="FM10" s="58">
        <f>CSX!FO30</f>
        <v>140</v>
      </c>
      <c r="FN10" s="58">
        <f>CSX!FP30</f>
        <v>566</v>
      </c>
      <c r="FP10" s="57" t="s">
        <v>23</v>
      </c>
      <c r="FQ10" s="58">
        <f>CSX!FS30</f>
        <v>154</v>
      </c>
      <c r="FR10" s="58">
        <f>CSX!FT30</f>
        <v>151</v>
      </c>
      <c r="FS10" s="58">
        <f>CSX!FU30</f>
        <v>162</v>
      </c>
      <c r="FT10" s="58">
        <f>CSX!FV30</f>
        <v>189</v>
      </c>
      <c r="FU10" s="58">
        <f>CSX!FW30</f>
        <v>656</v>
      </c>
      <c r="FW10" s="57" t="s">
        <v>23</v>
      </c>
      <c r="FX10" s="58">
        <f>CSX!FZ30</f>
        <v>179</v>
      </c>
      <c r="FY10" s="58">
        <f>CSX!GA30</f>
        <v>176</v>
      </c>
      <c r="FZ10" s="58">
        <f>CSX!GB30</f>
        <v>188</v>
      </c>
      <c r="GA10" s="58">
        <f>CSX!GC30</f>
        <v>240</v>
      </c>
      <c r="GB10" s="58">
        <f>CSX!GD30</f>
        <v>783</v>
      </c>
      <c r="GD10" s="57" t="s">
        <v>23</v>
      </c>
      <c r="GE10" s="58">
        <f>CSX!GG30</f>
        <v>253</v>
      </c>
      <c r="GF10" s="58">
        <f>CSX!GH30</f>
        <v>288</v>
      </c>
      <c r="GG10" s="58">
        <f>CSX!GI30</f>
        <v>300</v>
      </c>
      <c r="GH10" s="58">
        <f>CSX!GJ30</f>
        <v>271</v>
      </c>
      <c r="GI10" s="58">
        <f>CSX!GK30</f>
        <v>1112</v>
      </c>
      <c r="GK10" s="57" t="s">
        <v>23</v>
      </c>
      <c r="GL10" s="58">
        <f>CSX!GN30</f>
        <v>284</v>
      </c>
      <c r="GM10" s="58">
        <f>CSX!GO30</f>
        <v>316</v>
      </c>
      <c r="GN10" s="58">
        <f>CSX!GP30</f>
        <v>330</v>
      </c>
      <c r="GO10" s="58">
        <f>CSX!GQ30</f>
        <v>382</v>
      </c>
      <c r="GP10" s="58">
        <f>CSX!GR30</f>
        <v>1312</v>
      </c>
      <c r="GR10" s="57" t="s">
        <v>23</v>
      </c>
      <c r="GS10" s="58">
        <f>CSX!GU30</f>
        <v>441</v>
      </c>
      <c r="GT10" s="58">
        <f>CSX!GV30</f>
        <v>537</v>
      </c>
      <c r="GU10" s="58">
        <f>CSX!GW30</f>
        <v>508</v>
      </c>
      <c r="GV10" s="58">
        <f>CSX!GX30</f>
        <v>331</v>
      </c>
      <c r="GW10" s="58">
        <f>CSX!GY30</f>
        <v>1817</v>
      </c>
      <c r="GY10" s="57" t="s">
        <v>23</v>
      </c>
      <c r="GZ10" s="58">
        <f>CSX!HB30</f>
        <v>191</v>
      </c>
      <c r="HA10" s="58">
        <f>CSX!HC30</f>
        <v>185</v>
      </c>
      <c r="HB10" s="58">
        <f>CSX!HD30</f>
        <v>223</v>
      </c>
      <c r="HC10" s="58">
        <f>CSX!HE30</f>
        <v>250</v>
      </c>
      <c r="HD10" s="58">
        <f>CSX!HF30</f>
        <v>849</v>
      </c>
      <c r="HF10" s="57" t="s">
        <v>23</v>
      </c>
      <c r="HG10" s="58">
        <f>CSX!HI30</f>
        <v>283</v>
      </c>
      <c r="HH10" s="58">
        <f>CSX!HJ30</f>
        <v>304</v>
      </c>
      <c r="HI10" s="58">
        <f>CSX!HK30</f>
        <v>279</v>
      </c>
      <c r="HJ10" s="58">
        <f>CSX!HL30</f>
        <v>346</v>
      </c>
      <c r="HK10" s="58">
        <f>CSX!HM30</f>
        <v>1212</v>
      </c>
      <c r="HM10" s="57" t="s">
        <v>23</v>
      </c>
      <c r="HN10" s="58">
        <f>CSX!HP30</f>
        <v>402</v>
      </c>
      <c r="HO10" s="58">
        <f>CSX!HQ30</f>
        <v>431</v>
      </c>
      <c r="HP10" s="58">
        <f>CSX!HR30</f>
        <v>412</v>
      </c>
      <c r="HQ10" s="58">
        <f>CSX!HS30</f>
        <v>423</v>
      </c>
      <c r="HR10" s="58">
        <f>CSX!HT30</f>
        <v>1668</v>
      </c>
      <c r="HT10" s="57" t="s">
        <v>23</v>
      </c>
      <c r="HU10" s="58">
        <f>CSX!HW30</f>
        <v>444</v>
      </c>
      <c r="HV10" s="58">
        <f>CSX!HX30</f>
        <v>410</v>
      </c>
      <c r="HW10" s="58">
        <f>CSX!HY30</f>
        <v>397</v>
      </c>
      <c r="HX10" s="58">
        <f>CSX!HZ30</f>
        <v>421</v>
      </c>
      <c r="HY10" s="58">
        <f>CSX!IA30</f>
        <v>1672</v>
      </c>
      <c r="IA10" s="57" t="s">
        <v>23</v>
      </c>
      <c r="IB10" s="58">
        <f>CSX!ID30</f>
        <v>444</v>
      </c>
      <c r="IC10" s="58">
        <f>CSX!IE30</f>
        <v>397</v>
      </c>
      <c r="ID10" s="58">
        <f>CSX!IF30</f>
        <v>407</v>
      </c>
      <c r="IE10" s="58">
        <f>CSX!IG30</f>
        <v>408</v>
      </c>
      <c r="IF10" s="58">
        <f>CSX!IH30</f>
        <v>1656</v>
      </c>
      <c r="IH10" s="57" t="s">
        <v>23</v>
      </c>
      <c r="II10" s="58">
        <f>CSX!IK30</f>
        <v>446</v>
      </c>
      <c r="IJ10" s="58">
        <f>CSX!IL30</f>
        <v>416</v>
      </c>
      <c r="IK10" s="58">
        <f>CSX!IM30</f>
        <v>393</v>
      </c>
      <c r="IL10" s="58">
        <f>CSX!IN30</f>
        <v>361</v>
      </c>
      <c r="IM10" s="58">
        <f>CSX!IO30</f>
        <v>1616</v>
      </c>
      <c r="IO10" s="57" t="s">
        <v>23</v>
      </c>
      <c r="IP10" s="58">
        <f>CSX!IR30</f>
        <v>270</v>
      </c>
      <c r="IQ10" s="58">
        <f>CSX!IS30</f>
        <v>263</v>
      </c>
      <c r="IR10" s="58">
        <f>CSX!IT30</f>
        <v>223</v>
      </c>
      <c r="IS10" s="58">
        <f>CSX!IU30</f>
        <v>201</v>
      </c>
      <c r="IT10" s="58">
        <f>CSX!IV30</f>
        <v>957</v>
      </c>
      <c r="IV10" s="57" t="s">
        <v>23</v>
      </c>
      <c r="IW10" s="58">
        <f>CSX!IY30</f>
        <v>150</v>
      </c>
      <c r="IX10" s="58">
        <f>CSX!IZ30</f>
        <v>172</v>
      </c>
      <c r="IY10" s="58">
        <f>CSX!JA30</f>
        <v>174</v>
      </c>
      <c r="IZ10" s="58">
        <f>CSX!JB30</f>
        <v>217</v>
      </c>
      <c r="JA10" s="58">
        <f>CSX!JC30</f>
        <v>713</v>
      </c>
      <c r="JC10" s="57" t="s">
        <v>23</v>
      </c>
      <c r="JD10" s="58">
        <f>CSX!JF30</f>
        <v>218</v>
      </c>
      <c r="JE10" s="58">
        <f>CSX!JG30</f>
        <v>198</v>
      </c>
      <c r="JF10" s="58">
        <f>CSX!JH30</f>
        <v>205</v>
      </c>
      <c r="JG10" s="58">
        <f>CSX!JI30</f>
        <v>243</v>
      </c>
      <c r="JH10" s="58">
        <f>CSX!JJ30</f>
        <v>864</v>
      </c>
      <c r="JJ10" s="57" t="s">
        <v>23</v>
      </c>
      <c r="JK10" s="58">
        <f>CSX!JM30</f>
        <v>255</v>
      </c>
      <c r="JL10" s="58">
        <f>CSX!JN30</f>
        <v>270</v>
      </c>
      <c r="JM10" s="58">
        <f>CSX!JO30</f>
        <v>268</v>
      </c>
      <c r="JN10" s="58">
        <f>CSX!JP30</f>
        <v>253</v>
      </c>
      <c r="JO10" s="58">
        <f>CSX!JQ30</f>
        <v>1046</v>
      </c>
      <c r="JQ10" s="57" t="s">
        <v>23</v>
      </c>
      <c r="JR10" s="58">
        <f>CSX!JT30</f>
        <v>233</v>
      </c>
      <c r="JS10" s="58">
        <f>CSX!JU30</f>
        <v>234</v>
      </c>
      <c r="JT10" s="58">
        <f>CSX!JV30</f>
        <v>223</v>
      </c>
      <c r="JU10" s="58">
        <f>CSX!JW30</f>
        <v>216</v>
      </c>
      <c r="JV10" s="58">
        <f>CSX!JX30</f>
        <v>906</v>
      </c>
      <c r="JX10" s="57" t="s">
        <v>23</v>
      </c>
      <c r="JY10" s="58">
        <f>CSX!KA30</f>
        <v>192</v>
      </c>
      <c r="JZ10" s="58">
        <f>CSX!KB30</f>
        <v>91</v>
      </c>
      <c r="KA10" s="58">
        <f>CSX!KC30</f>
        <v>119</v>
      </c>
      <c r="KB10" s="58">
        <f>CSX!KD30</f>
        <v>139</v>
      </c>
      <c r="KC10" s="58">
        <f>CSX!KE30</f>
        <v>541</v>
      </c>
      <c r="KE10" s="57" t="s">
        <v>23</v>
      </c>
      <c r="KF10" s="58">
        <f>CSX!KH30</f>
        <v>190</v>
      </c>
      <c r="KG10" s="58">
        <f>CSX!KI30</f>
        <v>194</v>
      </c>
      <c r="KH10" s="58">
        <f>CSX!KJ30</f>
        <v>247</v>
      </c>
      <c r="KI10" s="58">
        <f>CSX!KK30</f>
        <v>282</v>
      </c>
      <c r="KJ10" s="58">
        <f>CSX!KL30</f>
        <v>913</v>
      </c>
      <c r="KL10" s="57" t="s">
        <v>23</v>
      </c>
      <c r="KM10" s="58">
        <f>CSX!KO30</f>
        <v>331</v>
      </c>
      <c r="KN10" s="58">
        <f>CSX!KP30</f>
        <v>446</v>
      </c>
      <c r="KO10" s="58">
        <f>CSX!KQ30</f>
        <v>438</v>
      </c>
      <c r="KP10" s="58">
        <f>CSX!KR30</f>
        <v>411</v>
      </c>
      <c r="KQ10" s="58">
        <f>CSX!KS30</f>
        <v>1626</v>
      </c>
      <c r="KS10" s="57" t="s">
        <v>23</v>
      </c>
      <c r="KT10" s="58">
        <f>CSX!KV30</f>
        <v>364</v>
      </c>
      <c r="KU10" s="58">
        <f>CSX!KW30</f>
        <v>312</v>
      </c>
      <c r="KV10" s="58">
        <f>CSX!KX30</f>
        <v>349</v>
      </c>
      <c r="KW10" s="58">
        <f>CSX!KY30</f>
        <v>352</v>
      </c>
      <c r="KX10" s="58">
        <f>CSX!KZ30</f>
        <v>1377</v>
      </c>
      <c r="KZ10" s="57" t="s">
        <v>23</v>
      </c>
      <c r="LA10" s="58">
        <v>325</v>
      </c>
      <c r="LB10" s="58">
        <v>301</v>
      </c>
      <c r="LC10" s="127">
        <v>276</v>
      </c>
      <c r="LD10" s="127">
        <v>266</v>
      </c>
      <c r="LE10" s="127">
        <f t="shared" si="5"/>
        <v>1168</v>
      </c>
      <c r="LF10" s="558"/>
      <c r="LG10" s="57" t="s">
        <v>23</v>
      </c>
      <c r="LH10" s="58">
        <v>275</v>
      </c>
      <c r="LI10" s="127">
        <v>269</v>
      </c>
      <c r="LJ10" s="127">
        <v>281</v>
      </c>
      <c r="LK10" s="127">
        <v>270</v>
      </c>
      <c r="LL10" s="127">
        <f t="shared" si="6"/>
        <v>1095</v>
      </c>
      <c r="LM10" s="558"/>
      <c r="LN10" s="57" t="s">
        <v>23</v>
      </c>
      <c r="LO10" s="127">
        <f>Expense!LO119+Expense!LO120</f>
        <v>261.72023212609128</v>
      </c>
      <c r="LP10" s="127">
        <f>Expense!LP119+Expense!LP120</f>
        <v>270.54919648493353</v>
      </c>
      <c r="LQ10" s="127">
        <f>Expense!LQ119+Expense!LQ120</f>
        <v>264.06491616576147</v>
      </c>
      <c r="LR10" s="127">
        <f>Expense!LR119+Expense!LR120</f>
        <v>262.32023076478265</v>
      </c>
      <c r="LS10" s="127">
        <f t="shared" si="7"/>
        <v>1058.6545755415689</v>
      </c>
      <c r="LT10" s="558"/>
      <c r="LU10" s="57" t="s">
        <v>23</v>
      </c>
      <c r="LV10" s="127">
        <f>Expense!LV119+Expense!LV120</f>
        <v>266.75393255876429</v>
      </c>
      <c r="LW10" s="127">
        <f>Expense!LW119+Expense!LW120</f>
        <v>275.88521798517939</v>
      </c>
      <c r="LX10" s="127">
        <f>Expense!LX119+Expense!LX120</f>
        <v>269.03656610949139</v>
      </c>
      <c r="LY10" s="127">
        <f>Expense!LY119+Expense!LY120</f>
        <v>267.26248926666517</v>
      </c>
      <c r="LZ10" s="127">
        <f t="shared" si="8"/>
        <v>1078.9382059201002</v>
      </c>
      <c r="MA10" s="558"/>
      <c r="MB10" s="57" t="s">
        <v>23</v>
      </c>
      <c r="MC10" s="127">
        <f>Expense!MC119+Expense!MC120</f>
        <v>272.41535991205353</v>
      </c>
      <c r="MD10" s="127">
        <f>Expense!MD119+Expense!MD120</f>
        <v>281.65835394473788</v>
      </c>
      <c r="ME10" s="127">
        <f>Expense!ME119+Expense!ME120</f>
        <v>275.16252895676013</v>
      </c>
      <c r="MF10" s="127">
        <f>Expense!MF119+Expense!MF120</f>
        <v>273.23038259682158</v>
      </c>
      <c r="MG10" s="127">
        <f t="shared" si="9"/>
        <v>1102.4666254103731</v>
      </c>
      <c r="MH10" s="558"/>
    </row>
    <row r="11" spans="1:346" s="37" customFormat="1" ht="13.15" x14ac:dyDescent="0.4">
      <c r="A11" s="48"/>
      <c r="B11" s="57" t="s">
        <v>186</v>
      </c>
      <c r="C11" s="58">
        <f>CSX!C31</f>
        <v>0</v>
      </c>
      <c r="D11" s="58">
        <f>CSX!D31</f>
        <v>0</v>
      </c>
      <c r="E11" s="58">
        <f>CSX!E31</f>
        <v>0</v>
      </c>
      <c r="F11" s="58">
        <f>CSX!F31</f>
        <v>0</v>
      </c>
      <c r="G11" s="58">
        <f>CSX!G31</f>
        <v>415</v>
      </c>
      <c r="H11" s="58">
        <f>CSX!H31</f>
        <v>497</v>
      </c>
      <c r="I11" s="58">
        <f>CSX!I31</f>
        <v>514</v>
      </c>
      <c r="J11" s="58">
        <f>CSX!J31</f>
        <v>509</v>
      </c>
      <c r="K11" s="58">
        <f>CSX!K31</f>
        <v>498</v>
      </c>
      <c r="L11" s="58">
        <f>CSX!L31</f>
        <v>667</v>
      </c>
      <c r="M11" s="58">
        <f>CSX!M31</f>
        <v>806</v>
      </c>
      <c r="N11" s="58">
        <f>CSX!N31</f>
        <v>875</v>
      </c>
      <c r="O11" s="58">
        <f>CSX!O31</f>
        <v>914</v>
      </c>
      <c r="P11" s="58">
        <f>CSX!P31</f>
        <v>1028</v>
      </c>
      <c r="Q11" s="58">
        <f>CSX!Q31</f>
        <v>1029</v>
      </c>
      <c r="R11" s="58">
        <f>CSX!R31</f>
        <v>1011</v>
      </c>
      <c r="S11" s="58">
        <f>CSX!S31</f>
        <v>1060</v>
      </c>
      <c r="T11" s="58">
        <f>CSX!T31</f>
        <v>1101</v>
      </c>
      <c r="U11" s="58">
        <f>CSX!U31</f>
        <v>1103</v>
      </c>
      <c r="V11" s="58">
        <f>CSX!V31</f>
        <v>1066</v>
      </c>
      <c r="W11" s="58">
        <f>CSX!W31</f>
        <v>1056</v>
      </c>
      <c r="X11" s="58">
        <f>CSX!X31</f>
        <v>1165</v>
      </c>
      <c r="Y11" s="58">
        <f>CSX!Y31</f>
        <v>718</v>
      </c>
      <c r="Z11" s="58">
        <f>CSX!Z31</f>
        <v>625</v>
      </c>
      <c r="AA11" s="58">
        <f>CSX!AA31</f>
        <v>610</v>
      </c>
      <c r="AB11" s="58">
        <f>CSX!AB31</f>
        <v>562</v>
      </c>
      <c r="AC11" s="58">
        <f>CSX!AC31</f>
        <v>570</v>
      </c>
      <c r="AD11" s="58">
        <f>CSX!AD31</f>
        <v>533</v>
      </c>
      <c r="AE11" s="58">
        <f>CSX!AE31</f>
        <v>512</v>
      </c>
      <c r="AF11" s="58">
        <f>CSX!AF31</f>
        <v>451</v>
      </c>
      <c r="AG11" s="58">
        <f>CSX!AG31</f>
        <v>425</v>
      </c>
      <c r="AH11" s="58">
        <f>CSX!AH31</f>
        <v>391</v>
      </c>
      <c r="AI11" s="58">
        <f>CSX!AI31</f>
        <v>374</v>
      </c>
      <c r="AJ11" s="58">
        <f>CSX!AJ31</f>
        <v>379</v>
      </c>
      <c r="AK11" s="58">
        <f>CSX!AK31</f>
        <v>392</v>
      </c>
      <c r="AL11" s="58">
        <f>CSX!AL31</f>
        <v>380</v>
      </c>
      <c r="AM11" s="58">
        <f>CSX!AM31</f>
        <v>428</v>
      </c>
      <c r="AN11" s="58">
        <f>CSX!AN31</f>
        <v>436</v>
      </c>
      <c r="AO11" s="58">
        <f>CSX!AO31</f>
        <v>447</v>
      </c>
      <c r="AP11" s="58">
        <f>CSX!AP31</f>
        <v>429</v>
      </c>
      <c r="AQ11" s="58">
        <f>CSX!AQ31</f>
        <v>395</v>
      </c>
      <c r="AR11" s="58">
        <f>CSX!AR31</f>
        <v>408</v>
      </c>
      <c r="AS11" s="58">
        <f>CSX!AS31</f>
        <v>338</v>
      </c>
      <c r="AT11" s="58">
        <f>CSX!AT31</f>
        <v>364</v>
      </c>
      <c r="AU11" s="58">
        <f>CSX!AU31</f>
        <v>396</v>
      </c>
      <c r="AV11" s="58">
        <f>CSX!AV31</f>
        <v>354</v>
      </c>
      <c r="AW11" s="58">
        <f>CSX!AW31</f>
        <v>355</v>
      </c>
      <c r="AX11" s="58">
        <f>CSX!AX31</f>
        <v>357</v>
      </c>
      <c r="AY11" s="58">
        <f>CSX!AY31</f>
        <v>360.36708403749998</v>
      </c>
      <c r="AZ11" s="58">
        <f>CSX!AZ31</f>
        <v>356.65677629644495</v>
      </c>
      <c r="BA11" s="58">
        <f>CSX!BA31</f>
        <v>364.51865994758543</v>
      </c>
      <c r="BB11" s="58"/>
      <c r="BC11" s="58"/>
      <c r="BD11" s="58"/>
      <c r="BE11" s="58"/>
      <c r="BF11" s="58"/>
      <c r="BG11" s="58"/>
      <c r="BH11" s="58"/>
      <c r="BI11" s="58"/>
      <c r="BJ11" s="58"/>
      <c r="BK11" s="58"/>
      <c r="BL11" s="58"/>
      <c r="BM11" s="58"/>
      <c r="BO11" s="57" t="s">
        <v>186</v>
      </c>
      <c r="BP11" s="58">
        <f>CSX!BR31</f>
        <v>204</v>
      </c>
      <c r="BQ11" s="58">
        <f>CSX!BS31</f>
        <v>221</v>
      </c>
      <c r="BR11" s="58">
        <f>CSX!BT31</f>
        <v>221</v>
      </c>
      <c r="BS11" s="58">
        <f>CSX!BU31</f>
        <v>229</v>
      </c>
      <c r="BT11" s="58">
        <f>CSX!BV31</f>
        <v>875</v>
      </c>
      <c r="BV11" s="57" t="s">
        <v>186</v>
      </c>
      <c r="BW11" s="58">
        <f>CSX!BY31</f>
        <v>216</v>
      </c>
      <c r="BX11" s="58">
        <f>CSX!BZ31</f>
        <v>231</v>
      </c>
      <c r="BY11" s="58">
        <f>CSX!CA31</f>
        <v>217</v>
      </c>
      <c r="BZ11" s="58">
        <f>CSX!CB31</f>
        <v>250</v>
      </c>
      <c r="CA11" s="58">
        <f>CSX!CC31</f>
        <v>914</v>
      </c>
      <c r="CC11" s="57" t="s">
        <v>186</v>
      </c>
      <c r="CD11" s="58">
        <f>CSX!CF31</f>
        <v>248</v>
      </c>
      <c r="CE11" s="58">
        <f>CSX!CG31</f>
        <v>257</v>
      </c>
      <c r="CF11" s="58">
        <f>CSX!CH31</f>
        <v>256</v>
      </c>
      <c r="CG11" s="58">
        <f>CSX!CI31</f>
        <v>267</v>
      </c>
      <c r="CH11" s="58">
        <f>CSX!CJ31</f>
        <v>1028</v>
      </c>
      <c r="CJ11" s="57" t="s">
        <v>186</v>
      </c>
      <c r="CK11" s="58">
        <f>CSX!CM31</f>
        <v>258</v>
      </c>
      <c r="CL11" s="58">
        <f>CSX!CN31</f>
        <v>251</v>
      </c>
      <c r="CM11" s="58">
        <f>CSX!CO31</f>
        <v>257</v>
      </c>
      <c r="CN11" s="58">
        <f>CSX!CP31</f>
        <v>263</v>
      </c>
      <c r="CO11" s="58">
        <f>CSX!CQ31</f>
        <v>1029</v>
      </c>
      <c r="CQ11" s="57" t="s">
        <v>186</v>
      </c>
      <c r="CR11" s="58">
        <f>CSX!CT31</f>
        <v>261</v>
      </c>
      <c r="CS11" s="58">
        <f>CSX!CU31</f>
        <v>255</v>
      </c>
      <c r="CT11" s="58">
        <f>CSX!CV31</f>
        <v>254</v>
      </c>
      <c r="CU11" s="58">
        <f>CSX!CW31</f>
        <v>241</v>
      </c>
      <c r="CV11" s="58">
        <f>CSX!CX31</f>
        <v>1011</v>
      </c>
      <c r="CX11" s="57" t="s">
        <v>186</v>
      </c>
      <c r="CY11" s="58">
        <f>CSX!DA31</f>
        <v>263</v>
      </c>
      <c r="CZ11" s="58">
        <f>CSX!DB31</f>
        <v>271</v>
      </c>
      <c r="DA11" s="58">
        <f>CSX!DC31</f>
        <v>273</v>
      </c>
      <c r="DB11" s="58">
        <f>CSX!DD31</f>
        <v>253</v>
      </c>
      <c r="DC11" s="58">
        <f>CSX!DE31</f>
        <v>1060</v>
      </c>
      <c r="DE11" s="57" t="s">
        <v>186</v>
      </c>
      <c r="DF11" s="58">
        <f>CSX!DH31</f>
        <v>272</v>
      </c>
      <c r="DG11" s="58">
        <f>CSX!DI31</f>
        <v>266</v>
      </c>
      <c r="DH11" s="58">
        <f>CSX!DJ31</f>
        <v>270</v>
      </c>
      <c r="DI11" s="58">
        <f>CSX!DK31</f>
        <v>293</v>
      </c>
      <c r="DJ11" s="58">
        <f>CSX!DL31</f>
        <v>1101</v>
      </c>
      <c r="DL11" s="57" t="s">
        <v>186</v>
      </c>
      <c r="DM11" s="58">
        <f>CSX!DO31</f>
        <v>280</v>
      </c>
      <c r="DN11" s="58">
        <f>CSX!DP31</f>
        <v>277</v>
      </c>
      <c r="DO11" s="58">
        <f>CSX!DQ31</f>
        <v>271</v>
      </c>
      <c r="DP11" s="58">
        <f>CSX!DR31</f>
        <v>275</v>
      </c>
      <c r="DQ11" s="58">
        <f>CSX!DS31</f>
        <v>1103</v>
      </c>
      <c r="DS11" s="57" t="s">
        <v>186</v>
      </c>
      <c r="DT11" s="58">
        <f>CSX!DV31</f>
        <v>274</v>
      </c>
      <c r="DU11" s="58">
        <f>CSX!DW31</f>
        <v>263</v>
      </c>
      <c r="DV11" s="58">
        <f>CSX!DX31</f>
        <v>264</v>
      </c>
      <c r="DW11" s="58">
        <f>CSX!DY31</f>
        <v>265</v>
      </c>
      <c r="DX11" s="58">
        <f>CSX!DZ31</f>
        <v>1066</v>
      </c>
      <c r="DZ11" s="57" t="s">
        <v>186</v>
      </c>
      <c r="EA11" s="58">
        <f>CSX!EC31</f>
        <v>254</v>
      </c>
      <c r="EB11" s="58">
        <f>CSX!ED31</f>
        <v>264</v>
      </c>
      <c r="EC11" s="58">
        <f>CSX!EE31</f>
        <v>264</v>
      </c>
      <c r="ED11" s="58">
        <f>CSX!EF31</f>
        <v>274</v>
      </c>
      <c r="EE11" s="58">
        <f>CSX!EG31</f>
        <v>1056</v>
      </c>
      <c r="EG11" s="57" t="s">
        <v>186</v>
      </c>
      <c r="EH11" s="58">
        <f>CSX!EJ31</f>
        <v>294</v>
      </c>
      <c r="EI11" s="58">
        <f>CSX!EK31</f>
        <v>268</v>
      </c>
      <c r="EJ11" s="58">
        <f>CSX!EL31</f>
        <v>300</v>
      </c>
      <c r="EK11" s="58">
        <f>CSX!EM31</f>
        <v>303</v>
      </c>
      <c r="EL11" s="58">
        <f>CSX!EN31</f>
        <v>1165</v>
      </c>
      <c r="EN11" s="57" t="s">
        <v>186</v>
      </c>
      <c r="EO11" s="58">
        <f>CSX!EQ31</f>
        <v>188</v>
      </c>
      <c r="EP11" s="58">
        <f>CSX!ER31</f>
        <v>188</v>
      </c>
      <c r="EQ11" s="58">
        <f>CSX!ES31</f>
        <v>176</v>
      </c>
      <c r="ER11" s="58">
        <f>CSX!ET31</f>
        <v>166</v>
      </c>
      <c r="ES11" s="58">
        <f>CSX!EU31</f>
        <v>718</v>
      </c>
      <c r="EU11" s="57" t="s">
        <v>186</v>
      </c>
      <c r="EV11" s="58">
        <f>CSX!EX31</f>
        <v>163</v>
      </c>
      <c r="EW11" s="58">
        <f>CSX!EY31</f>
        <v>159</v>
      </c>
      <c r="EX11" s="58">
        <f>CSX!EZ31</f>
        <v>155</v>
      </c>
      <c r="EY11" s="58">
        <f>CSX!FA31</f>
        <v>148</v>
      </c>
      <c r="EZ11" s="58">
        <f>CSX!FB31</f>
        <v>625</v>
      </c>
      <c r="FB11" s="57" t="s">
        <v>186</v>
      </c>
      <c r="FC11" s="58">
        <f>CSX!FE31</f>
        <v>150</v>
      </c>
      <c r="FD11" s="58">
        <f>CSX!FF31</f>
        <v>155</v>
      </c>
      <c r="FE11" s="58">
        <f>CSX!FG31</f>
        <v>164</v>
      </c>
      <c r="FF11" s="58">
        <f>CSX!FH31</f>
        <v>141</v>
      </c>
      <c r="FG11" s="58">
        <f>CSX!FI31</f>
        <v>610</v>
      </c>
      <c r="FI11" s="57" t="s">
        <v>186</v>
      </c>
      <c r="FJ11" s="58">
        <f>CSX!FL31</f>
        <v>138</v>
      </c>
      <c r="FK11" s="58">
        <f>CSX!FM31</f>
        <v>131</v>
      </c>
      <c r="FL11" s="58">
        <f>CSX!FN31</f>
        <v>147</v>
      </c>
      <c r="FM11" s="58">
        <f>CSX!FO31</f>
        <v>146</v>
      </c>
      <c r="FN11" s="58">
        <f>CSX!FP31</f>
        <v>562</v>
      </c>
      <c r="FP11" s="57" t="s">
        <v>186</v>
      </c>
      <c r="FQ11" s="58">
        <f>CSX!FS31</f>
        <v>140</v>
      </c>
      <c r="FR11" s="58">
        <f>CSX!FT31</f>
        <v>144</v>
      </c>
      <c r="FS11" s="58">
        <f>CSX!FU31</f>
        <v>140</v>
      </c>
      <c r="FT11" s="58">
        <f>CSX!FV31</f>
        <v>146</v>
      </c>
      <c r="FU11" s="58">
        <f>CSX!FW31</f>
        <v>570</v>
      </c>
      <c r="FW11" s="57" t="s">
        <v>186</v>
      </c>
      <c r="FX11" s="58">
        <f>CSX!FZ31</f>
        <v>135</v>
      </c>
      <c r="FY11" s="58">
        <f>CSX!GA31</f>
        <v>137</v>
      </c>
      <c r="FZ11" s="58">
        <f>CSX!GB31</f>
        <v>129</v>
      </c>
      <c r="GA11" s="58">
        <f>CSX!GC31</f>
        <v>132</v>
      </c>
      <c r="GB11" s="58">
        <f>CSX!GD31</f>
        <v>533</v>
      </c>
      <c r="GD11" s="57" t="s">
        <v>186</v>
      </c>
      <c r="GE11" s="58">
        <f>CSX!GG31</f>
        <v>124</v>
      </c>
      <c r="GF11" s="58">
        <f>CSX!GH31</f>
        <v>132</v>
      </c>
      <c r="GG11" s="58">
        <f>CSX!GI31</f>
        <v>135</v>
      </c>
      <c r="GH11" s="58">
        <f>CSX!GJ31</f>
        <v>121</v>
      </c>
      <c r="GI11" s="58">
        <f>CSX!GK31</f>
        <v>512</v>
      </c>
      <c r="GK11" s="57" t="s">
        <v>186</v>
      </c>
      <c r="GL11" s="58">
        <f>CSX!GN31</f>
        <v>120</v>
      </c>
      <c r="GM11" s="58">
        <f>CSX!GO31</f>
        <v>107</v>
      </c>
      <c r="GN11" s="58">
        <f>CSX!GP31</f>
        <v>114</v>
      </c>
      <c r="GO11" s="58">
        <f>CSX!GQ31</f>
        <v>110</v>
      </c>
      <c r="GP11" s="58">
        <f>CSX!GR31</f>
        <v>451</v>
      </c>
      <c r="GR11" s="57" t="s">
        <v>186</v>
      </c>
      <c r="GS11" s="58">
        <f>CSX!GU31</f>
        <v>111</v>
      </c>
      <c r="GT11" s="58">
        <f>CSX!GV31</f>
        <v>112</v>
      </c>
      <c r="GU11" s="58">
        <f>CSX!GW31</f>
        <v>106</v>
      </c>
      <c r="GV11" s="58">
        <f>CSX!GX31</f>
        <v>96</v>
      </c>
      <c r="GW11" s="58">
        <f>CSX!GY31</f>
        <v>425</v>
      </c>
      <c r="GY11" s="57" t="s">
        <v>186</v>
      </c>
      <c r="GZ11" s="58">
        <f>CSX!HB31</f>
        <v>113</v>
      </c>
      <c r="HA11" s="58">
        <f>CSX!HC31</f>
        <v>98</v>
      </c>
      <c r="HB11" s="58">
        <f>CSX!HD31</f>
        <v>92</v>
      </c>
      <c r="HC11" s="58">
        <f>CSX!HE31</f>
        <v>88</v>
      </c>
      <c r="HD11" s="58">
        <f>CSX!HF31</f>
        <v>391</v>
      </c>
      <c r="HF11" s="57" t="s">
        <v>186</v>
      </c>
      <c r="HG11" s="58">
        <f>CSX!HI31</f>
        <v>100</v>
      </c>
      <c r="HH11" s="58">
        <f>CSX!HJ31</f>
        <v>89</v>
      </c>
      <c r="HI11" s="58">
        <f>CSX!HK31</f>
        <v>90</v>
      </c>
      <c r="HJ11" s="58">
        <f>CSX!HL31</f>
        <v>95</v>
      </c>
      <c r="HK11" s="58">
        <f>CSX!HM31</f>
        <v>374</v>
      </c>
      <c r="HM11" s="57" t="s">
        <v>186</v>
      </c>
      <c r="HN11" s="58">
        <f>CSX!HP31</f>
        <v>97</v>
      </c>
      <c r="HO11" s="58">
        <f>CSX!HQ31</f>
        <v>95</v>
      </c>
      <c r="HP11" s="58">
        <f>CSX!HR31</f>
        <v>95</v>
      </c>
      <c r="HQ11" s="58">
        <f>CSX!HS31</f>
        <v>92</v>
      </c>
      <c r="HR11" s="58">
        <f>CSX!HT31</f>
        <v>379</v>
      </c>
      <c r="HT11" s="57" t="s">
        <v>186</v>
      </c>
      <c r="HU11" s="58">
        <f>CSX!HW31</f>
        <v>97</v>
      </c>
      <c r="HV11" s="58">
        <f>CSX!HX31</f>
        <v>102</v>
      </c>
      <c r="HW11" s="58">
        <f>CSX!HY31</f>
        <v>96</v>
      </c>
      <c r="HX11" s="58">
        <f>CSX!HZ31</f>
        <v>97</v>
      </c>
      <c r="HY11" s="58">
        <f>CSX!IA31</f>
        <v>392</v>
      </c>
      <c r="IA11" s="57" t="s">
        <v>186</v>
      </c>
      <c r="IB11" s="58">
        <f>CSX!ID31</f>
        <v>95</v>
      </c>
      <c r="IC11" s="58">
        <f>CSX!IE31</f>
        <v>96</v>
      </c>
      <c r="ID11" s="58">
        <f>CSX!IF31</f>
        <v>94</v>
      </c>
      <c r="IE11" s="58">
        <f>CSX!IG31</f>
        <v>95</v>
      </c>
      <c r="IF11" s="58">
        <f>CSX!IH31</f>
        <v>380</v>
      </c>
      <c r="IH11" s="57" t="s">
        <v>186</v>
      </c>
      <c r="II11" s="58">
        <f>CSX!IK31</f>
        <v>101</v>
      </c>
      <c r="IJ11" s="58">
        <f>CSX!IL31</f>
        <v>114</v>
      </c>
      <c r="IK11" s="58">
        <f>CSX!IM31</f>
        <v>106</v>
      </c>
      <c r="IL11" s="58">
        <f>CSX!IN31</f>
        <v>107</v>
      </c>
      <c r="IM11" s="58">
        <f>CSX!IO31</f>
        <v>428</v>
      </c>
      <c r="IO11" s="57" t="s">
        <v>186</v>
      </c>
      <c r="IP11" s="58">
        <f>CSX!IR31</f>
        <v>113</v>
      </c>
      <c r="IQ11" s="58">
        <f>CSX!IS31</f>
        <v>101</v>
      </c>
      <c r="IR11" s="58">
        <f>CSX!IT31</f>
        <v>114</v>
      </c>
      <c r="IS11" s="58">
        <f>CSX!IU31</f>
        <v>108</v>
      </c>
      <c r="IT11" s="58">
        <f>CSX!IV31</f>
        <v>436</v>
      </c>
      <c r="IV11" s="57" t="s">
        <v>186</v>
      </c>
      <c r="IW11" s="58">
        <f>CSX!IY31</f>
        <v>105</v>
      </c>
      <c r="IX11" s="58">
        <f>CSX!IZ31</f>
        <v>105</v>
      </c>
      <c r="IY11" s="58">
        <f>CSX!JA31</f>
        <v>105</v>
      </c>
      <c r="IZ11" s="58">
        <f>CSX!JB31</f>
        <v>132</v>
      </c>
      <c r="JA11" s="58">
        <f>CSX!JC31</f>
        <v>447</v>
      </c>
      <c r="JC11" s="57" t="s">
        <v>186</v>
      </c>
      <c r="JD11" s="58">
        <f>CSX!JF31</f>
        <v>99</v>
      </c>
      <c r="JE11" s="58">
        <f>CSX!JG31</f>
        <v>105</v>
      </c>
      <c r="JF11" s="58">
        <f>CSX!JH31</f>
        <v>109</v>
      </c>
      <c r="JG11" s="58">
        <f>CSX!JI31</f>
        <v>116</v>
      </c>
      <c r="JH11" s="58">
        <f>CSX!JJ31</f>
        <v>429</v>
      </c>
      <c r="JJ11" s="57" t="s">
        <v>186</v>
      </c>
      <c r="JK11" s="58">
        <f>CSX!JM31</f>
        <v>101</v>
      </c>
      <c r="JL11" s="58">
        <f>CSX!JN31</f>
        <v>112</v>
      </c>
      <c r="JM11" s="58">
        <f>CSX!JO31</f>
        <v>89</v>
      </c>
      <c r="JN11" s="58">
        <f>CSX!JP31</f>
        <v>93</v>
      </c>
      <c r="JO11" s="58">
        <f>CSX!JQ31</f>
        <v>395</v>
      </c>
      <c r="JQ11" s="57" t="s">
        <v>186</v>
      </c>
      <c r="JR11" s="58">
        <f>CSX!JT31</f>
        <v>100</v>
      </c>
      <c r="JS11" s="58">
        <f>CSX!JU31</f>
        <v>103</v>
      </c>
      <c r="JT11" s="58">
        <f>CSX!JV31</f>
        <v>104</v>
      </c>
      <c r="JU11" s="58">
        <f>CSX!JW31</f>
        <v>101</v>
      </c>
      <c r="JV11" s="58">
        <f>CSX!JX31</f>
        <v>408</v>
      </c>
      <c r="JX11" s="57" t="s">
        <v>186</v>
      </c>
      <c r="JY11" s="58">
        <f>CSX!KA31</f>
        <v>81</v>
      </c>
      <c r="JZ11" s="58">
        <f>CSX!KB31</f>
        <v>78</v>
      </c>
      <c r="KA11" s="58">
        <f>CSX!KC31</f>
        <v>88</v>
      </c>
      <c r="KB11" s="58">
        <f>CSX!KD31</f>
        <v>91</v>
      </c>
      <c r="KC11" s="58">
        <f>CSX!KE31</f>
        <v>338</v>
      </c>
      <c r="KE11" s="57" t="s">
        <v>186</v>
      </c>
      <c r="KF11" s="58">
        <f>CSX!KH31</f>
        <v>88</v>
      </c>
      <c r="KG11" s="58">
        <f>CSX!KI31</f>
        <v>87</v>
      </c>
      <c r="KH11" s="58">
        <f>CSX!KJ31</f>
        <v>94</v>
      </c>
      <c r="KI11" s="58">
        <f>CSX!KK31</f>
        <v>95</v>
      </c>
      <c r="KJ11" s="58">
        <f>CSX!KL31</f>
        <v>364</v>
      </c>
      <c r="KL11" s="57" t="s">
        <v>186</v>
      </c>
      <c r="KM11" s="58">
        <f>CSX!KO31</f>
        <v>100</v>
      </c>
      <c r="KN11" s="58">
        <f>CSX!KP31</f>
        <v>95</v>
      </c>
      <c r="KO11" s="58">
        <f>CSX!KQ31</f>
        <v>104</v>
      </c>
      <c r="KP11" s="58">
        <f>CSX!KR31</f>
        <v>97</v>
      </c>
      <c r="KQ11" s="58">
        <f>CSX!KS31</f>
        <v>396</v>
      </c>
      <c r="KS11" s="57" t="s">
        <v>186</v>
      </c>
      <c r="KT11" s="58">
        <f>CSX!KV31</f>
        <v>82</v>
      </c>
      <c r="KU11" s="58">
        <f>CSX!KW31</f>
        <v>90</v>
      </c>
      <c r="KV11" s="58">
        <f>CSX!KX31</f>
        <v>94</v>
      </c>
      <c r="KW11" s="58">
        <f>CSX!KY31</f>
        <v>88</v>
      </c>
      <c r="KX11" s="58">
        <f>CSX!KZ31</f>
        <v>354</v>
      </c>
      <c r="KZ11" s="57" t="s">
        <v>186</v>
      </c>
      <c r="LA11" s="58">
        <v>84</v>
      </c>
      <c r="LB11" s="58">
        <v>85</v>
      </c>
      <c r="LC11" s="127">
        <v>91</v>
      </c>
      <c r="LD11" s="127">
        <v>95</v>
      </c>
      <c r="LE11" s="127">
        <f t="shared" si="5"/>
        <v>355</v>
      </c>
      <c r="LF11" s="558"/>
      <c r="LG11" s="57" t="s">
        <v>186</v>
      </c>
      <c r="LH11" s="58">
        <v>87</v>
      </c>
      <c r="LI11" s="127">
        <v>94</v>
      </c>
      <c r="LJ11" s="127">
        <v>86</v>
      </c>
      <c r="LK11" s="127">
        <v>90</v>
      </c>
      <c r="LL11" s="127">
        <f t="shared" si="6"/>
        <v>357</v>
      </c>
      <c r="LM11" s="558"/>
      <c r="LN11" s="57" t="s">
        <v>186</v>
      </c>
      <c r="LO11" s="127">
        <f>Expense!LO23*CSX!LQ$20</f>
        <v>89.981253049999992</v>
      </c>
      <c r="LP11" s="127">
        <f>Expense!LP23*CSX!LR$20</f>
        <v>85.443413237499996</v>
      </c>
      <c r="LQ11" s="127">
        <f>Expense!LQ23*CSX!LS$20</f>
        <v>88.894419599999992</v>
      </c>
      <c r="LR11" s="127">
        <f>Expense!LR23*CSX!LT$20</f>
        <v>96.047998149999998</v>
      </c>
      <c r="LS11" s="127">
        <f t="shared" si="7"/>
        <v>360.36708403749998</v>
      </c>
      <c r="LT11" s="558"/>
      <c r="LU11" s="57" t="s">
        <v>186</v>
      </c>
      <c r="LV11" s="127">
        <f>Expense!LV23*CSX!LX$20</f>
        <v>87.07763595800624</v>
      </c>
      <c r="LW11" s="127">
        <f>Expense!LW23*CSX!LY$20</f>
        <v>87.60591797149749</v>
      </c>
      <c r="LX11" s="127">
        <f>Expense!LX23*CSX!LZ$20</f>
        <v>89.148262031956236</v>
      </c>
      <c r="LY11" s="127">
        <f>Expense!LY23*CSX!MA$20</f>
        <v>92.824960334985022</v>
      </c>
      <c r="LZ11" s="127">
        <f t="shared" si="8"/>
        <v>356.65677629644495</v>
      </c>
      <c r="MA11" s="558"/>
      <c r="MB11" s="57" t="s">
        <v>186</v>
      </c>
      <c r="MC11" s="127">
        <f>Expense!MC23*CSX!ME$20</f>
        <v>87.192413618472145</v>
      </c>
      <c r="MD11" s="127">
        <f>Expense!MD23*CSX!MF$20</f>
        <v>91.476633987958678</v>
      </c>
      <c r="ME11" s="127">
        <f>Expense!ME23*CSX!MG$20</f>
        <v>93.06046579537302</v>
      </c>
      <c r="MF11" s="127">
        <f>Expense!MF23*CSX!MH$20</f>
        <v>92.78914654578162</v>
      </c>
      <c r="MG11" s="127">
        <f t="shared" si="9"/>
        <v>364.51865994758543</v>
      </c>
      <c r="MH11" s="558"/>
    </row>
    <row r="12" spans="1:346" s="37" customFormat="1" ht="13.15" hidden="1" outlineLevel="1" x14ac:dyDescent="0.4">
      <c r="A12" s="48"/>
      <c r="B12" s="60" t="s">
        <v>189</v>
      </c>
      <c r="C12" s="61">
        <f>CSX!C32</f>
        <v>0</v>
      </c>
      <c r="D12" s="61">
        <f>CSX!D32</f>
        <v>0</v>
      </c>
      <c r="E12" s="61">
        <f>CSX!E32</f>
        <v>0</v>
      </c>
      <c r="F12" s="61">
        <f>CSX!F32</f>
        <v>0</v>
      </c>
      <c r="G12" s="61">
        <f>CSX!G32</f>
        <v>0</v>
      </c>
      <c r="H12" s="61">
        <f>CSX!H32</f>
        <v>0</v>
      </c>
      <c r="I12" s="61">
        <f>CSX!I32</f>
        <v>0</v>
      </c>
      <c r="J12" s="61">
        <f>CSX!J32</f>
        <v>0</v>
      </c>
      <c r="K12" s="61">
        <f>CSX!K32</f>
        <v>0</v>
      </c>
      <c r="L12" s="61">
        <f>CSX!L32</f>
        <v>0</v>
      </c>
      <c r="M12" s="61">
        <f>CSX!M32</f>
        <v>0</v>
      </c>
      <c r="N12" s="61">
        <f>CSX!N32</f>
        <v>189</v>
      </c>
      <c r="O12" s="61">
        <f>CSX!O32</f>
        <v>823</v>
      </c>
      <c r="P12" s="61">
        <f>CSX!P32</f>
        <v>964</v>
      </c>
      <c r="Q12" s="61">
        <f>CSX!Q32</f>
        <v>1059</v>
      </c>
      <c r="R12" s="61">
        <f>CSX!R32</f>
        <v>1083</v>
      </c>
      <c r="S12" s="61">
        <f>CSX!S32</f>
        <v>1229</v>
      </c>
      <c r="T12" s="61">
        <f>CSX!T32</f>
        <v>1141</v>
      </c>
      <c r="U12" s="61">
        <f>CSX!U32</f>
        <v>954</v>
      </c>
      <c r="V12" s="61">
        <f>CSX!V32</f>
        <v>955</v>
      </c>
      <c r="W12" s="61">
        <f>CSX!W32</f>
        <v>923</v>
      </c>
      <c r="X12" s="61">
        <f>CSX!X32</f>
        <v>935</v>
      </c>
      <c r="Y12" s="61">
        <f>CSX!Y32</f>
        <v>377</v>
      </c>
      <c r="Z12" s="61">
        <f>CSX!Z32</f>
        <v>354</v>
      </c>
      <c r="AA12" s="61">
        <f>CSX!AA32</f>
        <v>411</v>
      </c>
      <c r="AB12" s="61">
        <f>CSX!AB32</f>
        <v>298</v>
      </c>
      <c r="AC12" s="61">
        <f>CSX!AC32</f>
        <v>293</v>
      </c>
      <c r="AD12" s="61">
        <f>CSX!AD32</f>
        <v>230</v>
      </c>
      <c r="AE12" s="61">
        <f>CSX!AE32</f>
        <v>242</v>
      </c>
      <c r="AF12" s="61">
        <f>CSX!AF32</f>
        <v>240</v>
      </c>
      <c r="AG12" s="61">
        <f>CSX!AG32</f>
        <v>253</v>
      </c>
      <c r="AH12" s="61">
        <f>CSX!AH32</f>
        <v>128</v>
      </c>
      <c r="AI12" s="61">
        <f>CSX!AI32</f>
        <v>0</v>
      </c>
      <c r="AJ12" s="61">
        <f>CSX!AJ32</f>
        <v>0</v>
      </c>
      <c r="AK12" s="61">
        <f>CSX!AK32</f>
        <v>0</v>
      </c>
      <c r="AL12" s="61">
        <f>CSX!AL32</f>
        <v>0</v>
      </c>
      <c r="AM12" s="61">
        <f>CSX!AM32</f>
        <v>0</v>
      </c>
      <c r="AN12" s="61">
        <f>CSX!AN32</f>
        <v>0</v>
      </c>
      <c r="AO12" s="61">
        <f>CSX!AO32</f>
        <v>0</v>
      </c>
      <c r="AP12" s="61">
        <f>CSX!AP32</f>
        <v>0</v>
      </c>
      <c r="AQ12" s="61">
        <f>CSX!AQ32</f>
        <v>0</v>
      </c>
      <c r="AR12" s="61">
        <f>CSX!AR32</f>
        <v>0</v>
      </c>
      <c r="AS12" s="61">
        <f>CSX!AS32</f>
        <v>0</v>
      </c>
      <c r="AT12" s="61">
        <f>CSX!AT32</f>
        <v>0</v>
      </c>
      <c r="AU12" s="61">
        <f>CSX!AU32</f>
        <v>0</v>
      </c>
      <c r="AV12" s="61">
        <f>CSX!AV32</f>
        <v>0</v>
      </c>
      <c r="AW12" s="61">
        <f>CSX!AW32</f>
        <v>0</v>
      </c>
      <c r="AX12" s="61">
        <f>CSX!AX32</f>
        <v>0</v>
      </c>
      <c r="AY12" s="61">
        <f>CSX!AY32</f>
        <v>0</v>
      </c>
      <c r="AZ12" s="61">
        <f>CSX!AZ32</f>
        <v>0</v>
      </c>
      <c r="BA12" s="61">
        <f>CSX!BA32</f>
        <v>0</v>
      </c>
      <c r="BB12" s="61"/>
      <c r="BC12" s="61"/>
      <c r="BD12" s="61"/>
      <c r="BE12" s="61"/>
      <c r="BF12" s="61"/>
      <c r="BG12" s="61"/>
      <c r="BH12" s="61"/>
      <c r="BI12" s="61"/>
      <c r="BJ12" s="61"/>
      <c r="BK12" s="61"/>
      <c r="BL12" s="61"/>
      <c r="BM12" s="61"/>
      <c r="BO12" s="60" t="s">
        <v>189</v>
      </c>
      <c r="BP12" s="61">
        <f>CSX!BR32</f>
        <v>0</v>
      </c>
      <c r="BQ12" s="61">
        <f>CSX!BS32</f>
        <v>0</v>
      </c>
      <c r="BR12" s="61">
        <f>CSX!BT32</f>
        <v>0</v>
      </c>
      <c r="BS12" s="61">
        <f>CSX!BU32</f>
        <v>189</v>
      </c>
      <c r="BT12" s="61">
        <f>CSX!BV32</f>
        <v>189</v>
      </c>
      <c r="BV12" s="60" t="s">
        <v>189</v>
      </c>
      <c r="BW12" s="61">
        <f>CSX!BY32</f>
        <v>176</v>
      </c>
      <c r="BX12" s="61">
        <f>CSX!BZ32</f>
        <v>199</v>
      </c>
      <c r="BY12" s="61">
        <f>CSX!CA32</f>
        <v>212</v>
      </c>
      <c r="BZ12" s="61">
        <f>CSX!CB32</f>
        <v>236</v>
      </c>
      <c r="CA12" s="61">
        <f>CSX!CC32</f>
        <v>823</v>
      </c>
      <c r="CC12" s="60" t="s">
        <v>189</v>
      </c>
      <c r="CD12" s="61">
        <f>CSX!CF32</f>
        <v>216</v>
      </c>
      <c r="CE12" s="61">
        <f>CSX!CG32</f>
        <v>242</v>
      </c>
      <c r="CF12" s="61">
        <f>CSX!CH32</f>
        <v>244</v>
      </c>
      <c r="CG12" s="61">
        <f>CSX!CI32</f>
        <v>262</v>
      </c>
      <c r="CH12" s="61">
        <f>CSX!CJ32</f>
        <v>964</v>
      </c>
      <c r="CJ12" s="60" t="s">
        <v>189</v>
      </c>
      <c r="CK12" s="61">
        <f>CSX!CM32</f>
        <v>269</v>
      </c>
      <c r="CL12" s="61">
        <f>CSX!CN32</f>
        <v>263</v>
      </c>
      <c r="CM12" s="61">
        <f>CSX!CO32</f>
        <v>269</v>
      </c>
      <c r="CN12" s="61">
        <f>CSX!CP32</f>
        <v>258</v>
      </c>
      <c r="CO12" s="61">
        <f>CSX!CQ32</f>
        <v>1059</v>
      </c>
      <c r="CQ12" s="60" t="s">
        <v>189</v>
      </c>
      <c r="CR12" s="61">
        <f>CSX!CT32</f>
        <v>257</v>
      </c>
      <c r="CS12" s="61">
        <f>CSX!CU32</f>
        <v>264</v>
      </c>
      <c r="CT12" s="61">
        <f>CSX!CV32</f>
        <v>280</v>
      </c>
      <c r="CU12" s="61">
        <f>CSX!CW32</f>
        <v>282</v>
      </c>
      <c r="CV12" s="61">
        <f>CSX!CX32</f>
        <v>1083</v>
      </c>
      <c r="CX12" s="60" t="s">
        <v>189</v>
      </c>
      <c r="CY12" s="61">
        <f>CSX!DA32</f>
        <v>283</v>
      </c>
      <c r="CZ12" s="61">
        <f>CSX!DB32</f>
        <v>292</v>
      </c>
      <c r="DA12" s="61">
        <f>CSX!DC32</f>
        <v>319</v>
      </c>
      <c r="DB12" s="61">
        <f>CSX!DD32</f>
        <v>335</v>
      </c>
      <c r="DC12" s="61">
        <f>CSX!DE32</f>
        <v>1229</v>
      </c>
      <c r="DE12" s="60" t="s">
        <v>189</v>
      </c>
      <c r="DF12" s="61">
        <f>CSX!DH32</f>
        <v>276</v>
      </c>
      <c r="DG12" s="61">
        <f>CSX!DI32</f>
        <v>285</v>
      </c>
      <c r="DH12" s="61">
        <f>CSX!DJ32</f>
        <v>284</v>
      </c>
      <c r="DI12" s="61">
        <f>CSX!DK32</f>
        <v>296</v>
      </c>
      <c r="DJ12" s="61">
        <f>CSX!DL32</f>
        <v>1141</v>
      </c>
      <c r="DL12" s="60" t="s">
        <v>189</v>
      </c>
      <c r="DM12" s="61">
        <f>CSX!DO32</f>
        <v>222</v>
      </c>
      <c r="DN12" s="61">
        <f>CSX!DP32</f>
        <v>242</v>
      </c>
      <c r="DO12" s="61">
        <f>CSX!DQ32</f>
        <v>249</v>
      </c>
      <c r="DP12" s="61">
        <f>CSX!DR32</f>
        <v>241</v>
      </c>
      <c r="DQ12" s="61">
        <f>CSX!DS32</f>
        <v>954</v>
      </c>
      <c r="DS12" s="60" t="s">
        <v>189</v>
      </c>
      <c r="DT12" s="61">
        <f>CSX!DV32</f>
        <v>224</v>
      </c>
      <c r="DU12" s="61">
        <f>CSX!DW32</f>
        <v>240</v>
      </c>
      <c r="DV12" s="61">
        <f>CSX!DX32</f>
        <v>251</v>
      </c>
      <c r="DW12" s="61">
        <f>CSX!DY32</f>
        <v>240</v>
      </c>
      <c r="DX12" s="61">
        <f>CSX!DZ32</f>
        <v>955</v>
      </c>
      <c r="DZ12" s="60" t="s">
        <v>189</v>
      </c>
      <c r="EA12" s="61">
        <f>CSX!EC32</f>
        <v>231</v>
      </c>
      <c r="EB12" s="61">
        <f>CSX!ED32</f>
        <v>230</v>
      </c>
      <c r="EC12" s="61">
        <f>CSX!EE32</f>
        <v>236</v>
      </c>
      <c r="ED12" s="61">
        <f>CSX!EF32</f>
        <v>226</v>
      </c>
      <c r="EE12" s="61">
        <f>CSX!EG32</f>
        <v>923</v>
      </c>
      <c r="EG12" s="60" t="s">
        <v>189</v>
      </c>
      <c r="EH12" s="61">
        <f>CSX!EJ32</f>
        <v>229</v>
      </c>
      <c r="EI12" s="61">
        <f>CSX!EK32</f>
        <v>235</v>
      </c>
      <c r="EJ12" s="61">
        <f>CSX!EL32</f>
        <v>243</v>
      </c>
      <c r="EK12" s="61">
        <f>CSX!EM32</f>
        <v>228</v>
      </c>
      <c r="EL12" s="61">
        <f>CSX!EN32</f>
        <v>935</v>
      </c>
      <c r="EN12" s="60" t="s">
        <v>189</v>
      </c>
      <c r="EO12" s="61">
        <f>CSX!EQ32</f>
        <v>88</v>
      </c>
      <c r="EP12" s="61">
        <f>CSX!ER32</f>
        <v>95</v>
      </c>
      <c r="EQ12" s="61">
        <f>CSX!ES32</f>
        <v>98</v>
      </c>
      <c r="ER12" s="61">
        <f>CSX!ET32</f>
        <v>96</v>
      </c>
      <c r="ES12" s="61">
        <f>CSX!EU32</f>
        <v>377</v>
      </c>
      <c r="EU12" s="60" t="s">
        <v>189</v>
      </c>
      <c r="EV12" s="61">
        <f>CSX!EX32</f>
        <v>90</v>
      </c>
      <c r="EW12" s="61">
        <f>CSX!EY32</f>
        <v>87</v>
      </c>
      <c r="EX12" s="61">
        <f>CSX!EZ32</f>
        <v>88</v>
      </c>
      <c r="EY12" s="61">
        <f>CSX!FA32</f>
        <v>89</v>
      </c>
      <c r="EZ12" s="61">
        <f>CSX!FB32</f>
        <v>354</v>
      </c>
      <c r="FB12" s="60" t="s">
        <v>189</v>
      </c>
      <c r="FC12" s="61">
        <f>CSX!FE32</f>
        <v>91</v>
      </c>
      <c r="FD12" s="61">
        <f>CSX!FF32</f>
        <v>99</v>
      </c>
      <c r="FE12" s="61">
        <f>CSX!FG32</f>
        <v>114</v>
      </c>
      <c r="FF12" s="61">
        <f>CSX!FH32</f>
        <v>107</v>
      </c>
      <c r="FG12" s="61">
        <f>CSX!FI32</f>
        <v>411</v>
      </c>
      <c r="FI12" s="60" t="s">
        <v>189</v>
      </c>
      <c r="FJ12" s="61">
        <f>CSX!FL32</f>
        <v>74</v>
      </c>
      <c r="FK12" s="61">
        <f>CSX!FM32</f>
        <v>77</v>
      </c>
      <c r="FL12" s="61">
        <f>CSX!FN32</f>
        <v>74</v>
      </c>
      <c r="FM12" s="61">
        <f>CSX!FO32</f>
        <v>73</v>
      </c>
      <c r="FN12" s="61">
        <f>CSX!FP32</f>
        <v>298</v>
      </c>
      <c r="FP12" s="60" t="s">
        <v>189</v>
      </c>
      <c r="FQ12" s="61">
        <f>CSX!FS32</f>
        <v>74</v>
      </c>
      <c r="FR12" s="61">
        <f>CSX!FT32</f>
        <v>70</v>
      </c>
      <c r="FS12" s="61">
        <f>CSX!FU32</f>
        <v>72</v>
      </c>
      <c r="FT12" s="61">
        <f>CSX!FV32</f>
        <v>77</v>
      </c>
      <c r="FU12" s="61">
        <f>CSX!FW32</f>
        <v>293</v>
      </c>
      <c r="FW12" s="60" t="s">
        <v>189</v>
      </c>
      <c r="FX12" s="61">
        <f>CSX!FZ32</f>
        <v>56</v>
      </c>
      <c r="FY12" s="61">
        <f>CSX!GA32</f>
        <v>64</v>
      </c>
      <c r="FZ12" s="61">
        <f>CSX!GB32</f>
        <v>55</v>
      </c>
      <c r="GA12" s="61">
        <f>CSX!GC32</f>
        <v>55</v>
      </c>
      <c r="GB12" s="61">
        <f>CSX!GD32</f>
        <v>230</v>
      </c>
      <c r="GD12" s="60" t="s">
        <v>189</v>
      </c>
      <c r="GE12" s="61">
        <f>CSX!GG32</f>
        <v>56</v>
      </c>
      <c r="GF12" s="61">
        <f>CSX!GH32</f>
        <v>62</v>
      </c>
      <c r="GG12" s="61">
        <f>CSX!GI32</f>
        <v>63</v>
      </c>
      <c r="GH12" s="61">
        <f>CSX!GJ32</f>
        <v>61</v>
      </c>
      <c r="GI12" s="61">
        <f>CSX!GK32</f>
        <v>242</v>
      </c>
      <c r="GK12" s="60" t="s">
        <v>189</v>
      </c>
      <c r="GL12" s="61">
        <f>CSX!GN32</f>
        <v>57</v>
      </c>
      <c r="GM12" s="61">
        <f>CSX!GO32</f>
        <v>60</v>
      </c>
      <c r="GN12" s="61">
        <f>CSX!GP32</f>
        <v>60</v>
      </c>
      <c r="GO12" s="61">
        <f>CSX!GQ32</f>
        <v>63</v>
      </c>
      <c r="GP12" s="61">
        <f>CSX!GR32</f>
        <v>240</v>
      </c>
      <c r="GR12" s="60" t="s">
        <v>189</v>
      </c>
      <c r="GS12" s="61">
        <f>CSX!GU32</f>
        <v>63</v>
      </c>
      <c r="GT12" s="61">
        <f>CSX!GV32</f>
        <v>68</v>
      </c>
      <c r="GU12" s="61">
        <f>CSX!GW32</f>
        <v>65</v>
      </c>
      <c r="GV12" s="61">
        <f>CSX!GX32</f>
        <v>57</v>
      </c>
      <c r="GW12" s="61">
        <f>CSX!GY32</f>
        <v>253</v>
      </c>
      <c r="GY12" s="60" t="s">
        <v>189</v>
      </c>
      <c r="GZ12" s="61">
        <f>CSX!HB32</f>
        <v>58</v>
      </c>
      <c r="HA12" s="61">
        <f>CSX!HC32</f>
        <v>0</v>
      </c>
      <c r="HB12" s="61">
        <f>CSX!HD32</f>
        <v>0</v>
      </c>
      <c r="HC12" s="61">
        <f>CSX!HE32</f>
        <v>70</v>
      </c>
      <c r="HD12" s="61">
        <f>CSX!HF32</f>
        <v>128</v>
      </c>
      <c r="HF12" s="60" t="s">
        <v>189</v>
      </c>
      <c r="HG12" s="61">
        <f>CSX!HI32</f>
        <v>0</v>
      </c>
      <c r="HH12" s="61">
        <f>CSX!HJ32</f>
        <v>0</v>
      </c>
      <c r="HI12" s="61">
        <f>CSX!HK32</f>
        <v>0</v>
      </c>
      <c r="HJ12" s="61">
        <f>CSX!HL32</f>
        <v>0</v>
      </c>
      <c r="HK12" s="61">
        <f>CSX!HM32</f>
        <v>0</v>
      </c>
      <c r="HM12" s="60" t="s">
        <v>189</v>
      </c>
      <c r="HN12" s="61">
        <f>CSX!HP32</f>
        <v>0</v>
      </c>
      <c r="HO12" s="61">
        <f>CSX!HQ32</f>
        <v>0</v>
      </c>
      <c r="HP12" s="61">
        <f>CSX!HR32</f>
        <v>0</v>
      </c>
      <c r="HQ12" s="61">
        <f>CSX!HS32</f>
        <v>0</v>
      </c>
      <c r="HR12" s="61">
        <f>CSX!HT32</f>
        <v>0</v>
      </c>
      <c r="HT12" s="60" t="s">
        <v>189</v>
      </c>
      <c r="HU12" s="61">
        <f>CSX!HW32</f>
        <v>0</v>
      </c>
      <c r="HV12" s="61">
        <f>CSX!HX32</f>
        <v>0</v>
      </c>
      <c r="HW12" s="61">
        <f>CSX!HY32</f>
        <v>0</v>
      </c>
      <c r="HX12" s="61">
        <f>CSX!HZ32</f>
        <v>0</v>
      </c>
      <c r="HY12" s="61">
        <f>CSX!IA32</f>
        <v>0</v>
      </c>
      <c r="IA12" s="60" t="s">
        <v>189</v>
      </c>
      <c r="IB12" s="61">
        <f>CSX!ID32</f>
        <v>0</v>
      </c>
      <c r="IC12" s="61">
        <f>CSX!IE32</f>
        <v>0</v>
      </c>
      <c r="ID12" s="61">
        <f>CSX!IF32</f>
        <v>0</v>
      </c>
      <c r="IE12" s="61">
        <f>CSX!IG32</f>
        <v>0</v>
      </c>
      <c r="IF12" s="61">
        <f>CSX!IH32</f>
        <v>0</v>
      </c>
      <c r="IH12" s="60" t="s">
        <v>189</v>
      </c>
      <c r="II12" s="61">
        <f>CSX!IK32</f>
        <v>0</v>
      </c>
      <c r="IJ12" s="61">
        <f>CSX!IL32</f>
        <v>0</v>
      </c>
      <c r="IK12" s="61">
        <f>CSX!IM32</f>
        <v>0</v>
      </c>
      <c r="IL12" s="61">
        <f>CSX!IN32</f>
        <v>0</v>
      </c>
      <c r="IM12" s="61">
        <f>CSX!IO32</f>
        <v>0</v>
      </c>
      <c r="IO12" s="60" t="s">
        <v>189</v>
      </c>
      <c r="IP12" s="61">
        <f>CSX!IR32</f>
        <v>0</v>
      </c>
      <c r="IQ12" s="61">
        <f>CSX!IS32</f>
        <v>0</v>
      </c>
      <c r="IR12" s="61">
        <f>CSX!IT32</f>
        <v>0</v>
      </c>
      <c r="IS12" s="61">
        <f>CSX!IU32</f>
        <v>0</v>
      </c>
      <c r="IT12" s="61">
        <f>CSX!IV32</f>
        <v>0</v>
      </c>
      <c r="IV12" s="60" t="s">
        <v>189</v>
      </c>
      <c r="IW12" s="61">
        <f>CSX!IY32</f>
        <v>0</v>
      </c>
      <c r="IX12" s="61">
        <f>CSX!IZ32</f>
        <v>0</v>
      </c>
      <c r="IY12" s="61">
        <f>CSX!JA32</f>
        <v>0</v>
      </c>
      <c r="IZ12" s="61">
        <f>CSX!JB32</f>
        <v>0</v>
      </c>
      <c r="JA12" s="61">
        <f>CSX!JC32</f>
        <v>0</v>
      </c>
      <c r="JC12" s="60" t="s">
        <v>189</v>
      </c>
      <c r="JD12" s="61">
        <f>CSX!JF32</f>
        <v>0</v>
      </c>
      <c r="JE12" s="61">
        <f>CSX!JG32</f>
        <v>0</v>
      </c>
      <c r="JF12" s="61">
        <f>CSX!JH32</f>
        <v>0</v>
      </c>
      <c r="JG12" s="61">
        <f>CSX!JI32</f>
        <v>0</v>
      </c>
      <c r="JH12" s="61">
        <f>CSX!JJ32</f>
        <v>0</v>
      </c>
      <c r="JJ12" s="60" t="s">
        <v>189</v>
      </c>
      <c r="JK12" s="61">
        <f>CSX!JM32</f>
        <v>0</v>
      </c>
      <c r="JL12" s="61">
        <f>CSX!JN32</f>
        <v>0</v>
      </c>
      <c r="JM12" s="61">
        <f>CSX!JO32</f>
        <v>0</v>
      </c>
      <c r="JN12" s="61">
        <f>CSX!JP32</f>
        <v>0</v>
      </c>
      <c r="JO12" s="61">
        <f>CSX!JQ32</f>
        <v>0</v>
      </c>
      <c r="JQ12" s="60" t="s">
        <v>189</v>
      </c>
      <c r="JR12" s="61">
        <f>CSX!JT32</f>
        <v>0</v>
      </c>
      <c r="JS12" s="61">
        <f>CSX!JU32</f>
        <v>0</v>
      </c>
      <c r="JT12" s="61">
        <f>CSX!JV32</f>
        <v>0</v>
      </c>
      <c r="JU12" s="61">
        <f>CSX!JW32</f>
        <v>0</v>
      </c>
      <c r="JV12" s="61">
        <f>CSX!JX32</f>
        <v>0</v>
      </c>
      <c r="JX12" s="60" t="s">
        <v>189</v>
      </c>
      <c r="JY12" s="61">
        <f>CSX!KA32</f>
        <v>0</v>
      </c>
      <c r="JZ12" s="61">
        <f>CSX!KB32</f>
        <v>0</v>
      </c>
      <c r="KA12" s="61">
        <f>CSX!KC32</f>
        <v>0</v>
      </c>
      <c r="KB12" s="61">
        <f>CSX!KD32</f>
        <v>0</v>
      </c>
      <c r="KC12" s="61">
        <f>CSX!KE32</f>
        <v>0</v>
      </c>
      <c r="KE12" s="60" t="s">
        <v>189</v>
      </c>
      <c r="KF12" s="61">
        <f>CSX!KH32</f>
        <v>0</v>
      </c>
      <c r="KG12" s="61">
        <f>CSX!KI32</f>
        <v>0</v>
      </c>
      <c r="KH12" s="61">
        <f>CSX!KJ32</f>
        <v>0</v>
      </c>
      <c r="KI12" s="61">
        <f>CSX!KK32</f>
        <v>0</v>
      </c>
      <c r="KJ12" s="61">
        <f>CSX!KL32</f>
        <v>0</v>
      </c>
      <c r="KL12" s="60" t="s">
        <v>189</v>
      </c>
      <c r="KM12" s="61">
        <f>CSX!KO32</f>
        <v>0</v>
      </c>
      <c r="KN12" s="61">
        <f>CSX!KP32</f>
        <v>0</v>
      </c>
      <c r="KO12" s="61">
        <f>CSX!KQ32</f>
        <v>0</v>
      </c>
      <c r="KP12" s="61">
        <f>CSX!KR32</f>
        <v>0</v>
      </c>
      <c r="KQ12" s="61">
        <f>CSX!KS32</f>
        <v>0</v>
      </c>
      <c r="KS12" s="60" t="s">
        <v>189</v>
      </c>
      <c r="KT12" s="61">
        <f>CSX!KV32</f>
        <v>0</v>
      </c>
      <c r="KU12" s="61">
        <f>CSX!KW32</f>
        <v>0</v>
      </c>
      <c r="KV12" s="61">
        <f>CSX!KX32</f>
        <v>0</v>
      </c>
      <c r="KW12" s="61">
        <f>CSX!KY32</f>
        <v>0</v>
      </c>
      <c r="KX12" s="61">
        <f>CSX!KZ32</f>
        <v>0</v>
      </c>
      <c r="KZ12" s="60" t="s">
        <v>189</v>
      </c>
      <c r="LA12" s="61"/>
      <c r="LB12" s="58"/>
      <c r="LC12" s="127"/>
      <c r="LD12" s="127"/>
      <c r="LE12" s="127">
        <f t="shared" si="5"/>
        <v>0</v>
      </c>
      <c r="LF12" s="558"/>
      <c r="LG12" s="57" t="s">
        <v>189</v>
      </c>
      <c r="LH12" s="58"/>
      <c r="LI12" s="127"/>
      <c r="LJ12" s="127"/>
      <c r="LK12" s="127"/>
      <c r="LL12" s="127"/>
      <c r="LM12" s="558"/>
      <c r="LN12" s="57" t="s">
        <v>189</v>
      </c>
      <c r="LO12" s="127"/>
      <c r="LP12" s="127"/>
      <c r="LQ12" s="127"/>
      <c r="LR12" s="127"/>
      <c r="LS12" s="127"/>
      <c r="LT12" s="558"/>
      <c r="LU12" s="57" t="s">
        <v>189</v>
      </c>
      <c r="LV12" s="127"/>
      <c r="LW12" s="127"/>
      <c r="LX12" s="127"/>
      <c r="LY12" s="127"/>
      <c r="LZ12" s="127"/>
      <c r="MA12" s="558"/>
      <c r="MB12" s="57" t="s">
        <v>189</v>
      </c>
      <c r="MC12" s="127"/>
      <c r="MD12" s="127"/>
      <c r="ME12" s="127"/>
      <c r="MF12" s="127"/>
      <c r="MG12" s="127"/>
      <c r="MH12" s="558"/>
    </row>
    <row r="13" spans="1:346" s="37" customFormat="1" ht="13.15" collapsed="1" x14ac:dyDescent="0.4">
      <c r="A13" s="48"/>
      <c r="B13" s="57" t="s">
        <v>245</v>
      </c>
      <c r="C13" s="58">
        <f>CSX!C33</f>
        <v>29.311000000000149</v>
      </c>
      <c r="D13" s="58">
        <f>CSX!D33</f>
        <v>-29.5</v>
      </c>
      <c r="E13" s="58">
        <f>CSX!E33</f>
        <v>-15.5</v>
      </c>
      <c r="F13" s="58">
        <f>CSX!F33</f>
        <v>-22</v>
      </c>
      <c r="G13" s="58">
        <f>CSX!G33</f>
        <v>194</v>
      </c>
      <c r="H13" s="58">
        <f>CSX!H33</f>
        <v>158</v>
      </c>
      <c r="I13" s="58">
        <f>CSX!I33</f>
        <v>128</v>
      </c>
      <c r="J13" s="58">
        <f>CSX!J33</f>
        <v>141</v>
      </c>
      <c r="K13" s="58">
        <f>CSX!K33</f>
        <v>1071</v>
      </c>
      <c r="L13" s="58">
        <f>CSX!L33</f>
        <v>139</v>
      </c>
      <c r="M13" s="58">
        <f>CSX!M33</f>
        <v>2</v>
      </c>
      <c r="N13" s="58">
        <f>CSX!N33</f>
        <v>6</v>
      </c>
      <c r="O13" s="58">
        <f>CSX!O33</f>
        <v>1</v>
      </c>
      <c r="P13" s="58">
        <f>CSX!P33</f>
        <v>-38</v>
      </c>
      <c r="Q13" s="58">
        <f>CSX!Q33</f>
        <v>-5</v>
      </c>
      <c r="R13" s="58">
        <f>CSX!R33</f>
        <v>135</v>
      </c>
      <c r="S13" s="58">
        <f>CSX!S33</f>
        <v>148</v>
      </c>
      <c r="T13" s="58">
        <f>CSX!T33</f>
        <v>273</v>
      </c>
      <c r="U13" s="58">
        <f>CSX!U33</f>
        <v>300</v>
      </c>
      <c r="V13" s="58">
        <f>CSX!V33</f>
        <v>622</v>
      </c>
      <c r="W13" s="58">
        <f>CSX!W33</f>
        <v>336</v>
      </c>
      <c r="X13" s="58">
        <f>CSX!X33</f>
        <v>666</v>
      </c>
      <c r="Y13" s="58">
        <f>CSX!Y33</f>
        <v>591</v>
      </c>
      <c r="Z13" s="58">
        <f>CSX!Z33</f>
        <v>330</v>
      </c>
      <c r="AA13" s="58">
        <f>CSX!AA33</f>
        <v>278</v>
      </c>
      <c r="AB13" s="58">
        <f>CSX!AB33</f>
        <v>461</v>
      </c>
      <c r="AC13" s="58">
        <f>CSX!AC33</f>
        <v>239</v>
      </c>
      <c r="AD13" s="58">
        <f>CSX!AD33</f>
        <v>64</v>
      </c>
      <c r="AE13" s="58">
        <f>CSX!AE33</f>
        <v>-166</v>
      </c>
      <c r="AF13" s="58">
        <f>CSX!AF33</f>
        <v>-26</v>
      </c>
      <c r="AG13" s="58">
        <f>CSX!AG33</f>
        <v>0</v>
      </c>
      <c r="AH13" s="58">
        <f>CSX!AH33</f>
        <v>0</v>
      </c>
      <c r="AI13" s="58">
        <f>CSX!AI33</f>
        <v>-30</v>
      </c>
      <c r="AJ13" s="58">
        <f>CSX!AJ33</f>
        <v>0</v>
      </c>
      <c r="AK13" s="58">
        <f>CSX!AK33</f>
        <v>0</v>
      </c>
      <c r="AL13" s="58">
        <f>CSX!AL33</f>
        <v>0</v>
      </c>
      <c r="AM13" s="58">
        <f>CSX!AM33</f>
        <v>0</v>
      </c>
      <c r="AN13" s="58">
        <f>CSX!AN33</f>
        <v>0</v>
      </c>
      <c r="AO13" s="58">
        <f>CSX!AO33</f>
        <v>-13</v>
      </c>
      <c r="AP13" s="58">
        <f>CSX!AP33</f>
        <v>-78</v>
      </c>
      <c r="AQ13" s="58">
        <f>CSX!AQ33</f>
        <v>-96</v>
      </c>
      <c r="AR13" s="58">
        <f>CSX!AR33</f>
        <v>-91</v>
      </c>
      <c r="AS13" s="58">
        <f>CSX!AS33</f>
        <v>0</v>
      </c>
      <c r="AT13" s="58">
        <f>CSX!AT33</f>
        <v>-102</v>
      </c>
      <c r="AU13" s="58">
        <f>CSX!AU33</f>
        <v>-116</v>
      </c>
      <c r="AV13" s="58">
        <f>CSX!AV33</f>
        <v>-34</v>
      </c>
      <c r="AW13" s="58">
        <f>CSX!AW33</f>
        <v>-11</v>
      </c>
      <c r="AX13" s="58">
        <f>CSX!AX33</f>
        <v>0</v>
      </c>
      <c r="AY13" s="58">
        <f>CSX!AY33</f>
        <v>0</v>
      </c>
      <c r="AZ13" s="58">
        <f>CSX!AZ33</f>
        <v>0</v>
      </c>
      <c r="BA13" s="58">
        <f>CSX!BA33</f>
        <v>0</v>
      </c>
      <c r="BB13" s="58"/>
      <c r="BC13" s="58"/>
      <c r="BD13" s="58"/>
      <c r="BE13" s="58"/>
      <c r="BF13" s="58"/>
      <c r="BG13" s="58"/>
      <c r="BH13" s="58"/>
      <c r="BI13" s="58"/>
      <c r="BJ13" s="58"/>
      <c r="BK13" s="58"/>
      <c r="BL13" s="58"/>
      <c r="BM13" s="58"/>
      <c r="BO13" s="57" t="s">
        <v>245</v>
      </c>
      <c r="BP13" s="58">
        <f>CSX!BR33</f>
        <v>2</v>
      </c>
      <c r="BQ13" s="58">
        <f>CSX!BS33</f>
        <v>3</v>
      </c>
      <c r="BR13" s="58">
        <f>CSX!BT33</f>
        <v>1</v>
      </c>
      <c r="BS13" s="58">
        <f>CSX!BU33</f>
        <v>0</v>
      </c>
      <c r="BT13" s="58">
        <f>CSX!BV33</f>
        <v>6</v>
      </c>
      <c r="BV13" s="57" t="s">
        <v>245</v>
      </c>
      <c r="BW13" s="58">
        <f>CSX!BY33</f>
        <v>-6</v>
      </c>
      <c r="BX13" s="58">
        <f>CSX!BZ33</f>
        <v>5</v>
      </c>
      <c r="BY13" s="58">
        <f>CSX!CA33</f>
        <v>8</v>
      </c>
      <c r="BZ13" s="58">
        <f>CSX!CB33</f>
        <v>-6</v>
      </c>
      <c r="CA13" s="58">
        <f>CSX!CC33</f>
        <v>1</v>
      </c>
      <c r="CC13" s="57" t="s">
        <v>245</v>
      </c>
      <c r="CD13" s="58">
        <f>CSX!CF33</f>
        <v>-11</v>
      </c>
      <c r="CE13" s="58">
        <f>CSX!CG33</f>
        <v>-6</v>
      </c>
      <c r="CF13" s="58">
        <f>CSX!CH33</f>
        <v>0</v>
      </c>
      <c r="CG13" s="58">
        <f>CSX!CI33</f>
        <v>-21</v>
      </c>
      <c r="CH13" s="58">
        <f>CSX!CJ33</f>
        <v>-38</v>
      </c>
      <c r="CJ13" s="57" t="s">
        <v>245</v>
      </c>
      <c r="CK13" s="58">
        <f>CSX!CM33</f>
        <v>-14</v>
      </c>
      <c r="CL13" s="58">
        <f>CSX!CN33</f>
        <v>3</v>
      </c>
      <c r="CM13" s="58">
        <f>CSX!CO33</f>
        <v>4</v>
      </c>
      <c r="CN13" s="58">
        <f>CSX!CP33</f>
        <v>2</v>
      </c>
      <c r="CO13" s="58">
        <f>CSX!CQ33</f>
        <v>-5</v>
      </c>
      <c r="CQ13" s="57" t="s">
        <v>245</v>
      </c>
      <c r="CR13" s="58">
        <f>CSX!CT33</f>
        <v>20</v>
      </c>
      <c r="CS13" s="58">
        <f>CSX!CU33</f>
        <v>47</v>
      </c>
      <c r="CT13" s="58">
        <f>CSX!CV33</f>
        <v>34</v>
      </c>
      <c r="CU13" s="58">
        <f>CSX!CW33</f>
        <v>34</v>
      </c>
      <c r="CV13" s="58">
        <f>CSX!CX33</f>
        <v>135</v>
      </c>
      <c r="CX13" s="57" t="s">
        <v>245</v>
      </c>
      <c r="CY13" s="58">
        <f>CSX!DA33</f>
        <v>29</v>
      </c>
      <c r="CZ13" s="58">
        <f>CSX!DB33</f>
        <v>37</v>
      </c>
      <c r="DA13" s="58">
        <f>CSX!DC33</f>
        <v>44</v>
      </c>
      <c r="DB13" s="58">
        <f>CSX!DD33</f>
        <v>38</v>
      </c>
      <c r="DC13" s="58">
        <f>CSX!DE33</f>
        <v>148</v>
      </c>
      <c r="DE13" s="57" t="s">
        <v>245</v>
      </c>
      <c r="DF13" s="58">
        <f>CSX!DH33</f>
        <v>67</v>
      </c>
      <c r="DG13" s="58">
        <f>CSX!DI33</f>
        <v>59</v>
      </c>
      <c r="DH13" s="58">
        <f>CSX!DJ33</f>
        <v>71</v>
      </c>
      <c r="DI13" s="58">
        <f>CSX!DK33</f>
        <v>76</v>
      </c>
      <c r="DJ13" s="58">
        <f>CSX!DL33</f>
        <v>273</v>
      </c>
      <c r="DL13" s="57" t="s">
        <v>245</v>
      </c>
      <c r="DM13" s="58">
        <f>CSX!DO33</f>
        <v>63</v>
      </c>
      <c r="DN13" s="58">
        <f>CSX!DP33</f>
        <v>75</v>
      </c>
      <c r="DO13" s="58">
        <f>CSX!DQ33</f>
        <v>81</v>
      </c>
      <c r="DP13" s="58">
        <f>CSX!DR33</f>
        <v>81</v>
      </c>
      <c r="DQ13" s="58">
        <f>CSX!DS33</f>
        <v>300</v>
      </c>
      <c r="DS13" s="57" t="s">
        <v>245</v>
      </c>
      <c r="DT13" s="58">
        <f>CSX!DV33</f>
        <v>77</v>
      </c>
      <c r="DU13" s="58">
        <f>CSX!DW33</f>
        <v>96</v>
      </c>
      <c r="DV13" s="58">
        <f>CSX!DX33</f>
        <v>221</v>
      </c>
      <c r="DW13" s="58">
        <f>CSX!DY33</f>
        <v>228</v>
      </c>
      <c r="DX13" s="58">
        <f>CSX!DZ33</f>
        <v>622</v>
      </c>
      <c r="DZ13" s="57" t="s">
        <v>245</v>
      </c>
      <c r="EA13" s="58">
        <f>CSX!EC33</f>
        <v>87</v>
      </c>
      <c r="EB13" s="58">
        <f>CSX!ED33</f>
        <v>82</v>
      </c>
      <c r="EC13" s="58">
        <f>CSX!EE33</f>
        <v>78</v>
      </c>
      <c r="ED13" s="58">
        <f>CSX!EF33</f>
        <v>89</v>
      </c>
      <c r="EE13" s="58">
        <f>CSX!EG33</f>
        <v>336</v>
      </c>
      <c r="EG13" s="57" t="s">
        <v>245</v>
      </c>
      <c r="EH13" s="58">
        <f>CSX!EJ33</f>
        <v>96</v>
      </c>
      <c r="EI13" s="58">
        <f>CSX!EK33</f>
        <v>128</v>
      </c>
      <c r="EJ13" s="58">
        <f>CSX!EL33</f>
        <v>201</v>
      </c>
      <c r="EK13" s="58">
        <f>CSX!EM33</f>
        <v>241</v>
      </c>
      <c r="EL13" s="58">
        <f>CSX!EN33</f>
        <v>666</v>
      </c>
      <c r="EN13" s="57" t="s">
        <v>245</v>
      </c>
      <c r="EO13" s="58">
        <f>CSX!EQ33</f>
        <v>209</v>
      </c>
      <c r="EP13" s="58">
        <f>CSX!ER33</f>
        <v>212</v>
      </c>
      <c r="EQ13" s="58">
        <f>CSX!ES33</f>
        <v>81</v>
      </c>
      <c r="ER13" s="58">
        <f>CSX!ET33</f>
        <v>89</v>
      </c>
      <c r="ES13" s="58">
        <f>CSX!EU33</f>
        <v>591</v>
      </c>
      <c r="EU13" s="57" t="s">
        <v>245</v>
      </c>
      <c r="EV13" s="58">
        <f>CSX!EX33</f>
        <v>83</v>
      </c>
      <c r="EW13" s="58">
        <f>CSX!EY33</f>
        <v>91</v>
      </c>
      <c r="EX13" s="58">
        <f>CSX!EZ33</f>
        <v>76</v>
      </c>
      <c r="EY13" s="58">
        <f>CSX!FA33</f>
        <v>80</v>
      </c>
      <c r="EZ13" s="58">
        <f>CSX!FB33</f>
        <v>330</v>
      </c>
      <c r="FB13" s="57" t="s">
        <v>245</v>
      </c>
      <c r="FC13" s="58">
        <f>CSX!FE33</f>
        <v>79</v>
      </c>
      <c r="FD13" s="58">
        <f>CSX!FF33</f>
        <v>72</v>
      </c>
      <c r="FE13" s="58">
        <f>CSX!FG33</f>
        <v>67</v>
      </c>
      <c r="FF13" s="58">
        <f>CSX!FH33</f>
        <v>60</v>
      </c>
      <c r="FG13" s="58">
        <f>CSX!FI33</f>
        <v>278</v>
      </c>
      <c r="FI13" s="57" t="s">
        <v>245</v>
      </c>
      <c r="FJ13" s="58">
        <f>CSX!FL33</f>
        <v>220</v>
      </c>
      <c r="FK13" s="58">
        <f>CSX!FM33</f>
        <v>79</v>
      </c>
      <c r="FL13" s="58">
        <f>CSX!FN33</f>
        <v>77</v>
      </c>
      <c r="FM13" s="58">
        <f>CSX!FO33</f>
        <v>85</v>
      </c>
      <c r="FN13" s="58">
        <f>CSX!FP33</f>
        <v>461</v>
      </c>
      <c r="FP13" s="57" t="s">
        <v>245</v>
      </c>
      <c r="FQ13" s="58">
        <f>CSX!FS33</f>
        <v>86</v>
      </c>
      <c r="FR13" s="58">
        <f>CSX!FT33</f>
        <v>77</v>
      </c>
      <c r="FS13" s="58">
        <f>CSX!FU33</f>
        <v>54</v>
      </c>
      <c r="FT13" s="58">
        <f>CSX!FV33</f>
        <v>22</v>
      </c>
      <c r="FU13" s="58">
        <f>CSX!FW33</f>
        <v>239</v>
      </c>
      <c r="FW13" s="57" t="s">
        <v>245</v>
      </c>
      <c r="FX13" s="58">
        <f>CSX!FZ33</f>
        <v>17</v>
      </c>
      <c r="FY13" s="58">
        <f>CSX!GA33</f>
        <v>10</v>
      </c>
      <c r="FZ13" s="58">
        <f>CSX!GB33</f>
        <v>17</v>
      </c>
      <c r="GA13" s="58">
        <f>CSX!GC33</f>
        <v>20</v>
      </c>
      <c r="GB13" s="58">
        <f>CSX!GD33</f>
        <v>64</v>
      </c>
      <c r="GD13" s="57" t="s">
        <v>245</v>
      </c>
      <c r="GE13" s="58">
        <f>CSX!GG33</f>
        <v>0</v>
      </c>
      <c r="GF13" s="58">
        <f>CSX!GH33</f>
        <v>-126</v>
      </c>
      <c r="GG13" s="58">
        <f>CSX!GI33</f>
        <v>-15</v>
      </c>
      <c r="GH13" s="58">
        <f>CSX!GJ33</f>
        <v>-25</v>
      </c>
      <c r="GI13" s="58">
        <f>CSX!GK33</f>
        <v>-166</v>
      </c>
      <c r="GK13" s="57" t="s">
        <v>245</v>
      </c>
      <c r="GL13" s="58">
        <f>CSX!GN33</f>
        <v>-18</v>
      </c>
      <c r="GM13" s="58">
        <f>CSX!GO33</f>
        <v>0</v>
      </c>
      <c r="GN13" s="58">
        <f>CSX!GP33</f>
        <v>0</v>
      </c>
      <c r="GO13" s="58">
        <f>CSX!GQ33</f>
        <v>-8</v>
      </c>
      <c r="GP13" s="58">
        <f>CSX!GR33</f>
        <v>-26</v>
      </c>
      <c r="GR13" s="57" t="s">
        <v>245</v>
      </c>
      <c r="GS13" s="58">
        <f>CSX!GU33</f>
        <v>0</v>
      </c>
      <c r="GT13" s="58">
        <f>CSX!GV33</f>
        <v>0</v>
      </c>
      <c r="GU13" s="58">
        <f>CSX!GW33</f>
        <v>0</v>
      </c>
      <c r="GV13" s="58">
        <f>CSX!GX33</f>
        <v>0</v>
      </c>
      <c r="GW13" s="58">
        <f>CSX!GY33</f>
        <v>0</v>
      </c>
      <c r="GY13" s="57" t="s">
        <v>245</v>
      </c>
      <c r="GZ13" s="58">
        <f>CSX!HB33</f>
        <v>0</v>
      </c>
      <c r="HA13" s="58">
        <f>CSX!HC33</f>
        <v>0</v>
      </c>
      <c r="HB13" s="58">
        <f>CSX!HD33</f>
        <v>0</v>
      </c>
      <c r="HC13" s="58">
        <f>CSX!HE33</f>
        <v>0</v>
      </c>
      <c r="HD13" s="58">
        <f>CSX!HF33</f>
        <v>0</v>
      </c>
      <c r="HF13" s="57" t="s">
        <v>245</v>
      </c>
      <c r="HG13" s="58">
        <f>CSX!HI33</f>
        <v>0</v>
      </c>
      <c r="HH13" s="58">
        <f>CSX!HJ33</f>
        <v>-30</v>
      </c>
      <c r="HI13" s="58">
        <f>CSX!HK33</f>
        <v>0</v>
      </c>
      <c r="HJ13" s="58">
        <f>CSX!HL33</f>
        <v>0</v>
      </c>
      <c r="HK13" s="58">
        <f>CSX!HM33</f>
        <v>-30</v>
      </c>
      <c r="HM13" s="57" t="s">
        <v>245</v>
      </c>
      <c r="HN13" s="58">
        <f>CSX!HP33</f>
        <v>0</v>
      </c>
      <c r="HO13" s="58">
        <f>CSX!HQ33</f>
        <v>0</v>
      </c>
      <c r="HP13" s="58">
        <f>CSX!HR33</f>
        <v>0</v>
      </c>
      <c r="HQ13" s="58">
        <f>CSX!HS33</f>
        <v>0</v>
      </c>
      <c r="HR13" s="58">
        <f>CSX!HT33</f>
        <v>0</v>
      </c>
      <c r="HT13" s="57" t="s">
        <v>245</v>
      </c>
      <c r="HU13" s="58">
        <f>CSX!HW33</f>
        <v>0</v>
      </c>
      <c r="HV13" s="58">
        <f>CSX!HX33</f>
        <v>0</v>
      </c>
      <c r="HW13" s="58">
        <f>CSX!HY33</f>
        <v>0</v>
      </c>
      <c r="HX13" s="58">
        <f>CSX!HZ33</f>
        <v>0</v>
      </c>
      <c r="HY13" s="58">
        <f>CSX!IA33</f>
        <v>0</v>
      </c>
      <c r="IA13" s="57" t="s">
        <v>245</v>
      </c>
      <c r="IB13" s="58">
        <f>CSX!ID33</f>
        <v>0</v>
      </c>
      <c r="IC13" s="58">
        <f>CSX!IE33</f>
        <v>0</v>
      </c>
      <c r="ID13" s="58">
        <f>CSX!IF33</f>
        <v>0</v>
      </c>
      <c r="IE13" s="58">
        <f>CSX!IG33</f>
        <v>0</v>
      </c>
      <c r="IF13" s="58">
        <f>CSX!IH33</f>
        <v>0</v>
      </c>
      <c r="IH13" s="57" t="s">
        <v>245</v>
      </c>
      <c r="II13" s="58">
        <f>CSX!IK33</f>
        <v>0</v>
      </c>
      <c r="IJ13" s="58">
        <f>CSX!IL33</f>
        <v>0</v>
      </c>
      <c r="IK13" s="58">
        <f>CSX!IM33</f>
        <v>0</v>
      </c>
      <c r="IL13" s="58">
        <f>CSX!IN33</f>
        <v>0</v>
      </c>
      <c r="IM13" s="58">
        <f>CSX!IO33</f>
        <v>0</v>
      </c>
      <c r="IO13" s="57" t="s">
        <v>245</v>
      </c>
      <c r="IP13" s="58">
        <f>CSX!IR33</f>
        <v>0</v>
      </c>
      <c r="IQ13" s="58">
        <f>CSX!IS33</f>
        <v>0</v>
      </c>
      <c r="IR13" s="58">
        <f>CSX!IT33</f>
        <v>0</v>
      </c>
      <c r="IS13" s="58">
        <f>CSX!IU33</f>
        <v>0</v>
      </c>
      <c r="IT13" s="58">
        <f>CSX!IV33</f>
        <v>0</v>
      </c>
      <c r="IV13" s="57" t="s">
        <v>245</v>
      </c>
      <c r="IW13" s="58">
        <f>CSX!IY33</f>
        <v>0</v>
      </c>
      <c r="IX13" s="58">
        <f>CSX!IZ33</f>
        <v>0</v>
      </c>
      <c r="IY13" s="58">
        <f>CSX!JA33</f>
        <v>0</v>
      </c>
      <c r="IZ13" s="58">
        <f>CSX!JB33</f>
        <v>-13</v>
      </c>
      <c r="JA13" s="58">
        <f>CSX!JC33</f>
        <v>-13</v>
      </c>
      <c r="JC13" s="57" t="s">
        <v>245</v>
      </c>
      <c r="JD13" s="58">
        <f>CSX!JF33</f>
        <v>-13</v>
      </c>
      <c r="JE13" s="58">
        <f>CSX!JG33</f>
        <v>-16</v>
      </c>
      <c r="JF13" s="58">
        <f>CSX!JH33</f>
        <v>-19</v>
      </c>
      <c r="JG13" s="58">
        <f>CSX!JI33</f>
        <v>-30</v>
      </c>
      <c r="JH13" s="58">
        <f>CSX!JJ33</f>
        <v>-78</v>
      </c>
      <c r="JJ13" s="57" t="s">
        <v>245</v>
      </c>
      <c r="JK13" s="58">
        <f>CSX!JM33</f>
        <v>-25</v>
      </c>
      <c r="JL13" s="58">
        <f>CSX!JN33</f>
        <v>-30</v>
      </c>
      <c r="JM13" s="58">
        <f>CSX!JO33</f>
        <v>-24</v>
      </c>
      <c r="JN13" s="58">
        <f>CSX!JP33</f>
        <v>-17</v>
      </c>
      <c r="JO13" s="58">
        <f>CSX!JQ33</f>
        <v>-96</v>
      </c>
      <c r="JQ13" s="57" t="s">
        <v>245</v>
      </c>
      <c r="JR13" s="58">
        <f>CSX!JT33</f>
        <v>-19</v>
      </c>
      <c r="JS13" s="58">
        <f>CSX!JU33</f>
        <v>-21</v>
      </c>
      <c r="JT13" s="58">
        <f>CSX!JV33</f>
        <v>-27</v>
      </c>
      <c r="JU13" s="58">
        <f>CSX!JW33</f>
        <v>-24</v>
      </c>
      <c r="JV13" s="58">
        <f>CSX!JX33</f>
        <v>-91</v>
      </c>
      <c r="JX13" s="57" t="s">
        <v>245</v>
      </c>
      <c r="JY13" s="58">
        <f>CSX!KA33</f>
        <v>0</v>
      </c>
      <c r="JZ13" s="58">
        <f>CSX!KB33</f>
        <v>0</v>
      </c>
      <c r="KA13" s="58">
        <f>CSX!KC33</f>
        <v>0</v>
      </c>
      <c r="KB13" s="58">
        <f>CSX!KD33</f>
        <v>0</v>
      </c>
      <c r="KC13" s="58">
        <f>CSX!KE33</f>
        <v>0</v>
      </c>
      <c r="KE13" s="57" t="s">
        <v>245</v>
      </c>
      <c r="KF13" s="58">
        <f>CSX!KH33</f>
        <v>0</v>
      </c>
      <c r="KG13" s="58">
        <f>CSX!KI33</f>
        <v>-18</v>
      </c>
      <c r="KH13" s="58">
        <f>CSX!KJ33</f>
        <v>-60</v>
      </c>
      <c r="KI13" s="58">
        <f>CSX!KK33</f>
        <v>-24</v>
      </c>
      <c r="KJ13" s="58">
        <f>CSX!KL33</f>
        <v>-102</v>
      </c>
      <c r="KL13" s="57" t="s">
        <v>245</v>
      </c>
      <c r="KM13" s="58">
        <f>CSX!KO33</f>
        <v>-27</v>
      </c>
      <c r="KN13" s="58">
        <f>CSX!KP33</f>
        <v>-7</v>
      </c>
      <c r="KO13" s="58">
        <f>CSX!KQ33</f>
        <v>-27</v>
      </c>
      <c r="KP13" s="58">
        <f>CSX!KR33</f>
        <v>-55</v>
      </c>
      <c r="KQ13" s="58">
        <f>CSX!KS33</f>
        <v>-116</v>
      </c>
      <c r="KS13" s="57" t="s">
        <v>245</v>
      </c>
      <c r="KT13" s="58">
        <f>CSX!KV33</f>
        <v>-8</v>
      </c>
      <c r="KU13" s="58">
        <f>CSX!KW33</f>
        <v>-12</v>
      </c>
      <c r="KV13" s="58">
        <f>CSX!KX33</f>
        <v>-6</v>
      </c>
      <c r="KW13" s="58">
        <f>CSX!KY33</f>
        <v>-8</v>
      </c>
      <c r="KX13" s="58">
        <f>CSX!KZ33</f>
        <v>-34</v>
      </c>
      <c r="KZ13" s="57" t="s">
        <v>245</v>
      </c>
      <c r="LA13" s="58">
        <v>-1</v>
      </c>
      <c r="LB13" s="58">
        <v>-8</v>
      </c>
      <c r="LC13" s="58">
        <v>1</v>
      </c>
      <c r="LD13" s="58">
        <v>-3</v>
      </c>
      <c r="LE13" s="127">
        <f t="shared" si="5"/>
        <v>-11</v>
      </c>
      <c r="LF13" s="558"/>
      <c r="LG13" s="57" t="s">
        <v>245</v>
      </c>
      <c r="LH13" s="58">
        <v>0</v>
      </c>
      <c r="LI13" s="58">
        <v>0</v>
      </c>
      <c r="LJ13" s="58">
        <f>164-164</f>
        <v>0</v>
      </c>
      <c r="LK13" s="127">
        <v>0</v>
      </c>
      <c r="LL13" s="127">
        <f t="shared" si="6"/>
        <v>0</v>
      </c>
      <c r="LM13" s="558"/>
      <c r="LN13" s="57" t="s">
        <v>245</v>
      </c>
      <c r="LO13" s="509">
        <v>0</v>
      </c>
      <c r="LP13" s="509">
        <v>0</v>
      </c>
      <c r="LQ13" s="509">
        <v>0</v>
      </c>
      <c r="LR13" s="509">
        <v>0</v>
      </c>
      <c r="LS13" s="127">
        <f t="shared" si="7"/>
        <v>0</v>
      </c>
      <c r="LT13" s="558"/>
      <c r="LU13" s="57" t="s">
        <v>245</v>
      </c>
      <c r="LV13" s="509">
        <v>0</v>
      </c>
      <c r="LW13" s="509">
        <v>0</v>
      </c>
      <c r="LX13" s="509">
        <v>0</v>
      </c>
      <c r="LY13" s="509">
        <v>0</v>
      </c>
      <c r="LZ13" s="127">
        <f t="shared" si="8"/>
        <v>0</v>
      </c>
      <c r="MA13" s="558"/>
      <c r="MB13" s="57" t="s">
        <v>245</v>
      </c>
      <c r="MC13" s="509">
        <v>0</v>
      </c>
      <c r="MD13" s="509">
        <v>0</v>
      </c>
      <c r="ME13" s="509">
        <v>0</v>
      </c>
      <c r="MF13" s="509">
        <v>0</v>
      </c>
      <c r="MG13" s="127">
        <f t="shared" ref="MG13" si="10">SUM(MC13:MF13)</f>
        <v>0</v>
      </c>
      <c r="MH13" s="558"/>
    </row>
    <row r="14" spans="1:346" x14ac:dyDescent="0.4">
      <c r="KS14" s="548"/>
      <c r="KT14" s="548"/>
      <c r="KU14" s="548"/>
      <c r="KV14" s="548"/>
      <c r="KW14" s="548"/>
      <c r="KX14" s="548"/>
      <c r="KY14" s="548"/>
      <c r="KZ14" s="548"/>
      <c r="LA14" s="548"/>
      <c r="LB14" s="577"/>
      <c r="LC14" s="577"/>
      <c r="LD14" s="577"/>
      <c r="LE14" s="577"/>
      <c r="LF14" s="562"/>
      <c r="LG14" s="548"/>
      <c r="LH14" s="577"/>
      <c r="LI14" s="577"/>
      <c r="LJ14" s="577"/>
      <c r="LK14" s="577"/>
      <c r="LL14" s="577"/>
      <c r="LM14" s="562"/>
      <c r="LN14" s="548"/>
      <c r="LO14" s="577"/>
      <c r="LP14" s="577"/>
      <c r="LQ14" s="577"/>
      <c r="LR14" s="577"/>
      <c r="LS14" s="577"/>
      <c r="LT14" s="562"/>
      <c r="LU14" s="548"/>
      <c r="LV14" s="577"/>
      <c r="LW14" s="577"/>
      <c r="LX14" s="577"/>
      <c r="LY14" s="577"/>
      <c r="LZ14" s="577"/>
      <c r="MA14" s="562"/>
      <c r="MB14" s="548"/>
      <c r="MC14" s="577"/>
      <c r="MD14" s="577"/>
      <c r="ME14" s="577"/>
      <c r="MF14" s="577"/>
      <c r="MG14" s="577"/>
      <c r="MH14" s="562"/>
    </row>
    <row r="15" spans="1:346" x14ac:dyDescent="0.4">
      <c r="KS15" s="548"/>
      <c r="KT15" s="548"/>
      <c r="KU15" s="548"/>
      <c r="KV15" s="548"/>
      <c r="KW15" s="548"/>
      <c r="KX15" s="548"/>
      <c r="KY15" s="548"/>
      <c r="KZ15" s="548"/>
      <c r="LA15" s="548"/>
      <c r="LB15" s="553"/>
      <c r="LC15" s="553"/>
      <c r="LD15" s="553"/>
      <c r="LE15" s="553"/>
      <c r="LF15" s="562"/>
      <c r="LG15" s="548"/>
      <c r="LH15" s="553"/>
      <c r="LI15" s="553"/>
      <c r="LJ15" s="553"/>
      <c r="LK15" s="553"/>
      <c r="LL15" s="553"/>
      <c r="LM15" s="562"/>
      <c r="LN15" s="548"/>
      <c r="LO15" s="553"/>
      <c r="LP15" s="553"/>
      <c r="LQ15" s="553"/>
      <c r="LR15" s="553"/>
      <c r="LS15" s="553"/>
      <c r="LT15" s="562"/>
      <c r="LU15" s="548"/>
      <c r="LV15" s="553"/>
      <c r="LW15" s="553"/>
      <c r="LX15" s="553"/>
      <c r="LY15" s="553"/>
      <c r="LZ15" s="553"/>
      <c r="MA15" s="562"/>
      <c r="MB15" s="548"/>
      <c r="MC15" s="553"/>
      <c r="MD15" s="553"/>
      <c r="ME15" s="553"/>
      <c r="MF15" s="553"/>
      <c r="MG15" s="553"/>
      <c r="MH15" s="562"/>
    </row>
    <row r="16" spans="1:346" s="37" customFormat="1" ht="13.15" x14ac:dyDescent="0.4">
      <c r="A16" s="46"/>
      <c r="B16" s="39" t="s">
        <v>444</v>
      </c>
      <c r="C16" s="40"/>
      <c r="D16" s="40"/>
      <c r="E16" s="40"/>
      <c r="F16" s="40"/>
      <c r="G16" s="40"/>
      <c r="H16" s="40"/>
      <c r="I16" s="40"/>
      <c r="J16" s="40"/>
      <c r="K16" s="40"/>
      <c r="L16" s="40"/>
      <c r="M16" s="40"/>
      <c r="N16" s="40">
        <f>BT16</f>
        <v>1989</v>
      </c>
      <c r="O16" s="40">
        <f>CA16</f>
        <v>1990</v>
      </c>
      <c r="P16" s="40">
        <f>CH16</f>
        <v>1991</v>
      </c>
      <c r="Q16" s="40">
        <f>CO16</f>
        <v>1992</v>
      </c>
      <c r="R16" s="40">
        <f>CV16</f>
        <v>1993</v>
      </c>
      <c r="S16" s="40">
        <f>DC16</f>
        <v>1994</v>
      </c>
      <c r="T16" s="40">
        <f>DJ16</f>
        <v>1995</v>
      </c>
      <c r="U16" s="40">
        <f>DQ16</f>
        <v>1996</v>
      </c>
      <c r="V16" s="40">
        <f>DX16</f>
        <v>1997</v>
      </c>
      <c r="W16" s="40">
        <f>EE16</f>
        <v>1998</v>
      </c>
      <c r="X16" s="40">
        <f>EL16</f>
        <v>1999</v>
      </c>
      <c r="Y16" s="40">
        <f>ES16</f>
        <v>2000</v>
      </c>
      <c r="Z16" s="40">
        <f>EZ16</f>
        <v>2001</v>
      </c>
      <c r="AA16" s="40">
        <f>FG16</f>
        <v>2002</v>
      </c>
      <c r="AB16" s="40">
        <f>FN16</f>
        <v>2003</v>
      </c>
      <c r="AC16" s="40">
        <f>FU16</f>
        <v>2004</v>
      </c>
      <c r="AD16" s="40">
        <f>GB16</f>
        <v>2005</v>
      </c>
      <c r="AE16" s="40">
        <f>GI16</f>
        <v>2006</v>
      </c>
      <c r="AF16" s="40">
        <f>GP16</f>
        <v>2007</v>
      </c>
      <c r="AG16" s="40">
        <f>GW16</f>
        <v>2008</v>
      </c>
      <c r="AH16" s="40">
        <f>HD16</f>
        <v>2009</v>
      </c>
      <c r="AI16" s="40">
        <f>HK16</f>
        <v>2010</v>
      </c>
      <c r="AJ16" s="40">
        <f>HR16</f>
        <v>2011</v>
      </c>
      <c r="AK16" s="40">
        <f>HY16</f>
        <v>2012</v>
      </c>
      <c r="AL16" s="40">
        <f>IF16</f>
        <v>2013</v>
      </c>
      <c r="AM16" s="40">
        <f>IM16</f>
        <v>2014</v>
      </c>
      <c r="AN16" s="40">
        <f>IT16</f>
        <v>2015</v>
      </c>
      <c r="AO16" s="40">
        <f>JA16</f>
        <v>2016</v>
      </c>
      <c r="AP16" s="40">
        <f>JH16</f>
        <v>2017</v>
      </c>
      <c r="AQ16" s="40">
        <f>JO16</f>
        <v>2018</v>
      </c>
      <c r="AR16" s="40">
        <f>JV16</f>
        <v>2019</v>
      </c>
      <c r="AS16" s="40">
        <f>KC16</f>
        <v>2020</v>
      </c>
      <c r="AT16" s="40">
        <f>KJ16</f>
        <v>2021</v>
      </c>
      <c r="AU16" s="40">
        <f>KQ16</f>
        <v>2022</v>
      </c>
      <c r="AV16" s="40">
        <f>KX16</f>
        <v>2023</v>
      </c>
      <c r="AW16" s="40">
        <f>LE16</f>
        <v>2024</v>
      </c>
      <c r="AX16" s="40">
        <f>LL16</f>
        <v>2025</v>
      </c>
      <c r="AY16" s="40" t="str">
        <f>LS16</f>
        <v>2026E</v>
      </c>
      <c r="AZ16" s="40" t="str">
        <f>LZ16</f>
        <v>2027E</v>
      </c>
      <c r="BA16" s="40" t="str">
        <f>MG16</f>
        <v>2028E</v>
      </c>
      <c r="BB16" s="40"/>
      <c r="BC16" s="40"/>
      <c r="BD16" s="40"/>
      <c r="BE16" s="40"/>
      <c r="BF16" s="40"/>
      <c r="BG16" s="40"/>
      <c r="BH16" s="40"/>
      <c r="BI16" s="40"/>
      <c r="BJ16" s="40"/>
      <c r="BK16" s="40"/>
      <c r="BL16" s="40"/>
      <c r="BM16" s="40"/>
      <c r="BO16" s="39" t="s">
        <v>444</v>
      </c>
      <c r="BP16" s="40" t="str">
        <f>BP2</f>
        <v>1Q89</v>
      </c>
      <c r="BQ16" s="40" t="str">
        <f>CSX!BS4</f>
        <v>2Q89</v>
      </c>
      <c r="BR16" s="40" t="str">
        <f>CSX!BT4</f>
        <v>3Q89</v>
      </c>
      <c r="BS16" s="40" t="str">
        <f>CSX!BU4</f>
        <v>4Q89</v>
      </c>
      <c r="BT16" s="40">
        <f>CSX!BV4</f>
        <v>1989</v>
      </c>
      <c r="BV16" s="39" t="s">
        <v>444</v>
      </c>
      <c r="BW16" s="40" t="str">
        <f>BW2</f>
        <v>1Q90</v>
      </c>
      <c r="BX16" s="40" t="str">
        <f>CSX!BZ4</f>
        <v>2Q90</v>
      </c>
      <c r="BY16" s="40" t="str">
        <f>CSX!CA4</f>
        <v>3Q90</v>
      </c>
      <c r="BZ16" s="40" t="str">
        <f>CSX!CB4</f>
        <v>4Q90</v>
      </c>
      <c r="CA16" s="40">
        <f>CSX!CC4</f>
        <v>1990</v>
      </c>
      <c r="CC16" s="39" t="s">
        <v>444</v>
      </c>
      <c r="CD16" s="40" t="str">
        <f>CD2</f>
        <v>1Q91</v>
      </c>
      <c r="CE16" s="40" t="str">
        <f>CSX!CG4</f>
        <v>2Q91</v>
      </c>
      <c r="CF16" s="40" t="str">
        <f>CSX!CH4</f>
        <v>3Q91</v>
      </c>
      <c r="CG16" s="40" t="str">
        <f>CSX!CI4</f>
        <v>4Q91</v>
      </c>
      <c r="CH16" s="40">
        <f>CSX!CJ4</f>
        <v>1991</v>
      </c>
      <c r="CJ16" s="39" t="s">
        <v>444</v>
      </c>
      <c r="CK16" s="40" t="str">
        <f>CK2</f>
        <v>1Q92</v>
      </c>
      <c r="CL16" s="40" t="str">
        <f>CSX!CN4</f>
        <v>2Q92</v>
      </c>
      <c r="CM16" s="40" t="str">
        <f>CSX!CO4</f>
        <v>3Q92</v>
      </c>
      <c r="CN16" s="40" t="str">
        <f>CSX!CP4</f>
        <v>4Q92</v>
      </c>
      <c r="CO16" s="40">
        <f>CSX!CQ4</f>
        <v>1992</v>
      </c>
      <c r="CQ16" s="39" t="s">
        <v>444</v>
      </c>
      <c r="CR16" s="40" t="str">
        <f>CR2</f>
        <v>1Q93</v>
      </c>
      <c r="CS16" s="40" t="str">
        <f>CSX!CU4</f>
        <v>2Q93</v>
      </c>
      <c r="CT16" s="40" t="str">
        <f>CSX!CV4</f>
        <v>3Q93</v>
      </c>
      <c r="CU16" s="40" t="str">
        <f>CSX!CW4</f>
        <v>4Q93</v>
      </c>
      <c r="CV16" s="40">
        <f>CSX!CX4</f>
        <v>1993</v>
      </c>
      <c r="CX16" s="39" t="s">
        <v>444</v>
      </c>
      <c r="CY16" s="40" t="str">
        <f>CY2</f>
        <v>1Q94</v>
      </c>
      <c r="CZ16" s="40" t="str">
        <f>CSX!DB4</f>
        <v>2Q94</v>
      </c>
      <c r="DA16" s="40" t="str">
        <f>CSX!DC4</f>
        <v>3Q94</v>
      </c>
      <c r="DB16" s="40" t="str">
        <f>CSX!DD4</f>
        <v>4Q94</v>
      </c>
      <c r="DC16" s="40">
        <f>CSX!DE4</f>
        <v>1994</v>
      </c>
      <c r="DE16" s="39" t="s">
        <v>444</v>
      </c>
      <c r="DF16" s="40" t="str">
        <f>DF2</f>
        <v>1Q95</v>
      </c>
      <c r="DG16" s="40" t="str">
        <f>CSX!DI4</f>
        <v>2Q95</v>
      </c>
      <c r="DH16" s="40" t="str">
        <f>CSX!DJ4</f>
        <v>3Q95</v>
      </c>
      <c r="DI16" s="40" t="str">
        <f>CSX!DK4</f>
        <v>4Q95</v>
      </c>
      <c r="DJ16" s="40">
        <f>CSX!DL4</f>
        <v>1995</v>
      </c>
      <c r="DL16" s="39" t="s">
        <v>444</v>
      </c>
      <c r="DM16" s="40" t="str">
        <f>DM2</f>
        <v>1Q96</v>
      </c>
      <c r="DN16" s="40" t="str">
        <f>CSX!DP4</f>
        <v>2Q96</v>
      </c>
      <c r="DO16" s="40" t="str">
        <f>CSX!DQ4</f>
        <v>3Q96</v>
      </c>
      <c r="DP16" s="40" t="str">
        <f>CSX!DR4</f>
        <v>4Q96</v>
      </c>
      <c r="DQ16" s="40">
        <f>CSX!DS4</f>
        <v>1996</v>
      </c>
      <c r="DS16" s="39" t="s">
        <v>444</v>
      </c>
      <c r="DT16" s="40" t="str">
        <f>DT2</f>
        <v>1Q97</v>
      </c>
      <c r="DU16" s="40" t="str">
        <f>CSX!DW4</f>
        <v>2Q97</v>
      </c>
      <c r="DV16" s="40" t="str">
        <f>CSX!DX4</f>
        <v>3Q97</v>
      </c>
      <c r="DW16" s="40" t="str">
        <f>CSX!DY4</f>
        <v>4Q97</v>
      </c>
      <c r="DX16" s="40">
        <f>CSX!DZ4</f>
        <v>1997</v>
      </c>
      <c r="DZ16" s="39" t="s">
        <v>444</v>
      </c>
      <c r="EA16" s="40" t="str">
        <f>EA2</f>
        <v>1Q98</v>
      </c>
      <c r="EB16" s="40" t="str">
        <f>CSX!ED4</f>
        <v>2Q98</v>
      </c>
      <c r="EC16" s="40" t="str">
        <f>CSX!EE4</f>
        <v>3Q98</v>
      </c>
      <c r="ED16" s="40" t="str">
        <f>CSX!EF4</f>
        <v>4Q98</v>
      </c>
      <c r="EE16" s="40">
        <f>CSX!EG4</f>
        <v>1998</v>
      </c>
      <c r="EG16" s="39" t="s">
        <v>444</v>
      </c>
      <c r="EH16" s="40" t="str">
        <f>EH2</f>
        <v>1Q99</v>
      </c>
      <c r="EI16" s="40" t="str">
        <f>CSX!EK4</f>
        <v>2Q99</v>
      </c>
      <c r="EJ16" s="40" t="str">
        <f>CSX!EL4</f>
        <v>3Q99</v>
      </c>
      <c r="EK16" s="40" t="str">
        <f>CSX!EM4</f>
        <v>4Q99</v>
      </c>
      <c r="EL16" s="40">
        <f>CSX!EN4</f>
        <v>1999</v>
      </c>
      <c r="EN16" s="39" t="s">
        <v>444</v>
      </c>
      <c r="EO16" s="40" t="str">
        <f>EO2</f>
        <v>1Q00</v>
      </c>
      <c r="EP16" s="40" t="str">
        <f>CSX!ER4</f>
        <v>2Q00</v>
      </c>
      <c r="EQ16" s="40" t="str">
        <f>CSX!ES4</f>
        <v>3Q00</v>
      </c>
      <c r="ER16" s="40" t="str">
        <f>CSX!ET4</f>
        <v>4Q00</v>
      </c>
      <c r="ES16" s="40">
        <f>CSX!EU4</f>
        <v>2000</v>
      </c>
      <c r="EU16" s="39" t="s">
        <v>444</v>
      </c>
      <c r="EV16" s="40" t="str">
        <f>EV2</f>
        <v>1Q01</v>
      </c>
      <c r="EW16" s="40" t="str">
        <f>CSX!EY4</f>
        <v>2Q01</v>
      </c>
      <c r="EX16" s="40" t="str">
        <f>CSX!EZ4</f>
        <v>3Q01</v>
      </c>
      <c r="EY16" s="40" t="str">
        <f>CSX!FA4</f>
        <v>4Q01</v>
      </c>
      <c r="EZ16" s="40">
        <f>CSX!FB4</f>
        <v>2001</v>
      </c>
      <c r="FB16" s="39" t="s">
        <v>444</v>
      </c>
      <c r="FC16" s="40" t="str">
        <f>FC2</f>
        <v>1Q02</v>
      </c>
      <c r="FD16" s="40" t="str">
        <f>CSX!FF4</f>
        <v>2Q02</v>
      </c>
      <c r="FE16" s="40" t="str">
        <f>CSX!FG4</f>
        <v>3Q02</v>
      </c>
      <c r="FF16" s="40" t="str">
        <f>CSX!FH4</f>
        <v>4Q02</v>
      </c>
      <c r="FG16" s="40">
        <f>CSX!FI4</f>
        <v>2002</v>
      </c>
      <c r="FI16" s="39" t="s">
        <v>444</v>
      </c>
      <c r="FJ16" s="40" t="str">
        <f>FJ2</f>
        <v>1Q03</v>
      </c>
      <c r="FK16" s="40" t="str">
        <f>CSX!FM4</f>
        <v>2Q03</v>
      </c>
      <c r="FL16" s="40" t="str">
        <f>CSX!FN4</f>
        <v>3Q03</v>
      </c>
      <c r="FM16" s="40" t="str">
        <f>CSX!FO4</f>
        <v>4Q03</v>
      </c>
      <c r="FN16" s="40">
        <f>CSX!FP4</f>
        <v>2003</v>
      </c>
      <c r="FP16" s="39" t="s">
        <v>444</v>
      </c>
      <c r="FQ16" s="40" t="str">
        <f>FQ2</f>
        <v>1Q04</v>
      </c>
      <c r="FR16" s="40" t="str">
        <f>CSX!FT4</f>
        <v>2Q04</v>
      </c>
      <c r="FS16" s="40" t="str">
        <f>CSX!FU4</f>
        <v>3Q04</v>
      </c>
      <c r="FT16" s="40" t="str">
        <f>CSX!FV4</f>
        <v>4Q04</v>
      </c>
      <c r="FU16" s="40">
        <f>CSX!FW4</f>
        <v>2004</v>
      </c>
      <c r="FW16" s="39" t="s">
        <v>444</v>
      </c>
      <c r="FX16" s="40" t="str">
        <f>FX2</f>
        <v>1Q05</v>
      </c>
      <c r="FY16" s="40" t="str">
        <f>CSX!GA4</f>
        <v>2Q05</v>
      </c>
      <c r="FZ16" s="40" t="str">
        <f>CSX!GB4</f>
        <v>3Q05</v>
      </c>
      <c r="GA16" s="40" t="str">
        <f>CSX!GC4</f>
        <v>4Q05</v>
      </c>
      <c r="GB16" s="40">
        <f>CSX!GD4</f>
        <v>2005</v>
      </c>
      <c r="GD16" s="39" t="s">
        <v>444</v>
      </c>
      <c r="GE16" s="40" t="str">
        <f>GE2</f>
        <v>1Q06</v>
      </c>
      <c r="GF16" s="40" t="str">
        <f>CSX!GH4</f>
        <v>2Q06</v>
      </c>
      <c r="GG16" s="40" t="str">
        <f>CSX!GI4</f>
        <v>3Q06</v>
      </c>
      <c r="GH16" s="40" t="str">
        <f>CSX!GJ4</f>
        <v>4Q06</v>
      </c>
      <c r="GI16" s="40">
        <f>CSX!GK4</f>
        <v>2006</v>
      </c>
      <c r="GK16" s="39" t="s">
        <v>444</v>
      </c>
      <c r="GL16" s="40" t="str">
        <f>GL2</f>
        <v>1Q07</v>
      </c>
      <c r="GM16" s="40" t="str">
        <f>CSX!GO4</f>
        <v>2Q07</v>
      </c>
      <c r="GN16" s="40" t="str">
        <f>CSX!GP4</f>
        <v>3Q07</v>
      </c>
      <c r="GO16" s="40" t="str">
        <f>CSX!GQ4</f>
        <v>4Q07</v>
      </c>
      <c r="GP16" s="40">
        <f>CSX!GR4</f>
        <v>2007</v>
      </c>
      <c r="GR16" s="39" t="s">
        <v>444</v>
      </c>
      <c r="GS16" s="40" t="str">
        <f>GS2</f>
        <v>1Q08</v>
      </c>
      <c r="GT16" s="40" t="str">
        <f>CSX!GV4</f>
        <v>2Q08</v>
      </c>
      <c r="GU16" s="40" t="str">
        <f>CSX!GW4</f>
        <v>3Q08</v>
      </c>
      <c r="GV16" s="40" t="str">
        <f>CSX!GX4</f>
        <v>4Q08</v>
      </c>
      <c r="GW16" s="40">
        <f>CSX!GY4</f>
        <v>2008</v>
      </c>
      <c r="GY16" s="39" t="s">
        <v>444</v>
      </c>
      <c r="GZ16" s="40" t="str">
        <f>GZ2</f>
        <v>1Q09</v>
      </c>
      <c r="HA16" s="40" t="str">
        <f>CSX!HC4</f>
        <v>2Q09</v>
      </c>
      <c r="HB16" s="40" t="str">
        <f>CSX!HD4</f>
        <v>3Q09</v>
      </c>
      <c r="HC16" s="40" t="str">
        <f>CSX!HE4</f>
        <v>4Q09</v>
      </c>
      <c r="HD16" s="40">
        <f>CSX!HF4</f>
        <v>2009</v>
      </c>
      <c r="HF16" s="39" t="s">
        <v>444</v>
      </c>
      <c r="HG16" s="40" t="str">
        <f>HG2</f>
        <v>1Q10</v>
      </c>
      <c r="HH16" s="40" t="str">
        <f>CSX!HJ4</f>
        <v>2Q10</v>
      </c>
      <c r="HI16" s="40" t="str">
        <f>CSX!HK4</f>
        <v>3Q10</v>
      </c>
      <c r="HJ16" s="40" t="str">
        <f>CSX!HL4</f>
        <v>4Q10</v>
      </c>
      <c r="HK16" s="40">
        <f>CSX!HM4</f>
        <v>2010</v>
      </c>
      <c r="HM16" s="39" t="s">
        <v>444</v>
      </c>
      <c r="HN16" s="40" t="str">
        <f>HN2</f>
        <v>1Q11</v>
      </c>
      <c r="HO16" s="40" t="str">
        <f>CSX!HQ4</f>
        <v>2Q11</v>
      </c>
      <c r="HP16" s="40" t="str">
        <f>CSX!HR4</f>
        <v>3Q11</v>
      </c>
      <c r="HQ16" s="40" t="str">
        <f>CSX!HS4</f>
        <v>4Q11</v>
      </c>
      <c r="HR16" s="40">
        <f>CSX!HT4</f>
        <v>2011</v>
      </c>
      <c r="HT16" s="39" t="s">
        <v>444</v>
      </c>
      <c r="HU16" s="40" t="str">
        <f>HU2</f>
        <v>1Q12</v>
      </c>
      <c r="HV16" s="40" t="str">
        <f>CSX!HX4</f>
        <v>2Q12</v>
      </c>
      <c r="HW16" s="40" t="str">
        <f>CSX!HY4</f>
        <v>3Q12</v>
      </c>
      <c r="HX16" s="40" t="str">
        <f>CSX!HZ4</f>
        <v>4Q12</v>
      </c>
      <c r="HY16" s="40">
        <f>CSX!IA4</f>
        <v>2012</v>
      </c>
      <c r="IA16" s="39" t="s">
        <v>444</v>
      </c>
      <c r="IB16" s="40" t="str">
        <f>IB2</f>
        <v>1Q13</v>
      </c>
      <c r="IC16" s="40" t="str">
        <f>CSX!IE4</f>
        <v>2Q13</v>
      </c>
      <c r="ID16" s="40" t="str">
        <f>CSX!IF4</f>
        <v>3Q13</v>
      </c>
      <c r="IE16" s="40" t="str">
        <f>CSX!IG4</f>
        <v>4Q13</v>
      </c>
      <c r="IF16" s="40">
        <f>CSX!IH4</f>
        <v>2013</v>
      </c>
      <c r="IH16" s="39" t="s">
        <v>444</v>
      </c>
      <c r="II16" s="40" t="str">
        <f>II2</f>
        <v>1Q14</v>
      </c>
      <c r="IJ16" s="40" t="str">
        <f>CSX!IL4</f>
        <v>2Q14</v>
      </c>
      <c r="IK16" s="40" t="str">
        <f>CSX!IM4</f>
        <v>3Q14</v>
      </c>
      <c r="IL16" s="40" t="str">
        <f>CSX!IN4</f>
        <v>4Q14</v>
      </c>
      <c r="IM16" s="40">
        <f>CSX!IO4</f>
        <v>2014</v>
      </c>
      <c r="IO16" s="39" t="s">
        <v>444</v>
      </c>
      <c r="IP16" s="40" t="str">
        <f>IP2</f>
        <v>1Q15</v>
      </c>
      <c r="IQ16" s="40" t="str">
        <f>CSX!IS4</f>
        <v>2Q15</v>
      </c>
      <c r="IR16" s="40" t="str">
        <f>CSX!IT4</f>
        <v>3Q15</v>
      </c>
      <c r="IS16" s="40" t="str">
        <f>CSX!IU4</f>
        <v>4Q15</v>
      </c>
      <c r="IT16" s="40">
        <f>CSX!IV4</f>
        <v>2015</v>
      </c>
      <c r="IV16" s="39" t="s">
        <v>444</v>
      </c>
      <c r="IW16" s="40" t="str">
        <f>IW2</f>
        <v>1Q16</v>
      </c>
      <c r="IX16" s="40" t="str">
        <f>CSX!IZ4</f>
        <v>2Q16</v>
      </c>
      <c r="IY16" s="40" t="str">
        <f>CSX!JA4</f>
        <v>3Q16</v>
      </c>
      <c r="IZ16" s="40" t="str">
        <f>CSX!JB4</f>
        <v>4Q16</v>
      </c>
      <c r="JA16" s="40">
        <f>CSX!JC4</f>
        <v>2016</v>
      </c>
      <c r="JC16" s="39" t="s">
        <v>444</v>
      </c>
      <c r="JD16" s="40" t="str">
        <f>JD2</f>
        <v>1Q17</v>
      </c>
      <c r="JE16" s="40" t="str">
        <f>CSX!JG4</f>
        <v>2Q17</v>
      </c>
      <c r="JF16" s="40" t="str">
        <f>CSX!JH4</f>
        <v>3Q17</v>
      </c>
      <c r="JG16" s="40" t="str">
        <f>CSX!JI4</f>
        <v>4Q17</v>
      </c>
      <c r="JH16" s="40">
        <f>CSX!JJ4</f>
        <v>2017</v>
      </c>
      <c r="JJ16" s="39" t="s">
        <v>444</v>
      </c>
      <c r="JK16" s="40" t="str">
        <f>JK2</f>
        <v>1Q18</v>
      </c>
      <c r="JL16" s="40" t="str">
        <f>CSX!JN4</f>
        <v>2Q18</v>
      </c>
      <c r="JM16" s="40" t="str">
        <f>CSX!JO4</f>
        <v>3Q18</v>
      </c>
      <c r="JN16" s="40" t="str">
        <f>CSX!JP4</f>
        <v>4Q18</v>
      </c>
      <c r="JO16" s="40">
        <f>CSX!JQ4</f>
        <v>2018</v>
      </c>
      <c r="JQ16" s="39" t="s">
        <v>444</v>
      </c>
      <c r="JR16" s="40" t="str">
        <f>JR2</f>
        <v>1Q19</v>
      </c>
      <c r="JS16" s="40" t="str">
        <f>CSX!JU4</f>
        <v>2Q19</v>
      </c>
      <c r="JT16" s="40" t="str">
        <f>CSX!JV4</f>
        <v>3Q19</v>
      </c>
      <c r="JU16" s="40" t="str">
        <f>CSX!JW4</f>
        <v>4Q19</v>
      </c>
      <c r="JV16" s="40">
        <f>CSX!JX4</f>
        <v>2019</v>
      </c>
      <c r="JX16" s="39" t="s">
        <v>444</v>
      </c>
      <c r="JY16" s="40" t="str">
        <f>JY2</f>
        <v>1Q20</v>
      </c>
      <c r="JZ16" s="40" t="str">
        <f>CSX!KB4</f>
        <v>2Q20</v>
      </c>
      <c r="KA16" s="40" t="str">
        <f>CSX!KC4</f>
        <v>3Q20</v>
      </c>
      <c r="KB16" s="40" t="str">
        <f>CSX!KD4</f>
        <v>4Q20</v>
      </c>
      <c r="KC16" s="40">
        <f>CSX!KE4</f>
        <v>2020</v>
      </c>
      <c r="KE16" s="39" t="s">
        <v>444</v>
      </c>
      <c r="KF16" s="40" t="str">
        <f>KF2</f>
        <v>1Q21</v>
      </c>
      <c r="KG16" s="40" t="str">
        <f>CSX!KI4</f>
        <v>2Q21</v>
      </c>
      <c r="KH16" s="40" t="str">
        <f>CSX!KJ4</f>
        <v>3Q21</v>
      </c>
      <c r="KI16" s="40" t="str">
        <f>CSX!KK4</f>
        <v>4Q21</v>
      </c>
      <c r="KJ16" s="40">
        <f>CSX!KL4</f>
        <v>2021</v>
      </c>
      <c r="KL16" s="39" t="s">
        <v>444</v>
      </c>
      <c r="KM16" s="40" t="str">
        <f>KM2</f>
        <v>1Q22</v>
      </c>
      <c r="KN16" s="40" t="str">
        <f>CSX!KP4</f>
        <v>2Q22</v>
      </c>
      <c r="KO16" s="40" t="str">
        <f>CSX!KQ4</f>
        <v>3Q22</v>
      </c>
      <c r="KP16" s="40" t="str">
        <f>CSX!KR4</f>
        <v>4Q22</v>
      </c>
      <c r="KQ16" s="40">
        <f>CSX!KS4</f>
        <v>2022</v>
      </c>
      <c r="KS16" s="39" t="s">
        <v>444</v>
      </c>
      <c r="KT16" s="40" t="str">
        <f>KT2</f>
        <v>1Q23</v>
      </c>
      <c r="KU16" s="40" t="str">
        <f>CSX!KW4</f>
        <v>2Q23</v>
      </c>
      <c r="KV16" s="40" t="str">
        <f>CSX!KX4</f>
        <v>3Q23</v>
      </c>
      <c r="KW16" s="40" t="str">
        <f>CSX!KY4</f>
        <v>4Q23</v>
      </c>
      <c r="KX16" s="40">
        <f>CSX!KZ4</f>
        <v>2023</v>
      </c>
      <c r="KZ16" s="39" t="s">
        <v>444</v>
      </c>
      <c r="LA16" s="40" t="str">
        <f>LA2</f>
        <v>1Q24</v>
      </c>
      <c r="LB16" s="725" t="str">
        <f>CSX!LD4</f>
        <v>2Q24</v>
      </c>
      <c r="LC16" s="725" t="str">
        <f>CSX!LE4</f>
        <v>3Q24</v>
      </c>
      <c r="LD16" s="725" t="str">
        <f>CSX!LF4</f>
        <v>4Q24</v>
      </c>
      <c r="LE16" s="725">
        <f>CSX!LG4</f>
        <v>2024</v>
      </c>
      <c r="LF16" s="546"/>
      <c r="LG16" s="39" t="s">
        <v>444</v>
      </c>
      <c r="LH16" s="725" t="str">
        <f>LH2</f>
        <v>1Q25</v>
      </c>
      <c r="LI16" s="725" t="str">
        <f>CSX!LK4</f>
        <v>2Q25</v>
      </c>
      <c r="LJ16" s="725" t="str">
        <f>CSX!LL4</f>
        <v>3Q25</v>
      </c>
      <c r="LK16" s="725" t="str">
        <f>CSX!LM4</f>
        <v>4Q25</v>
      </c>
      <c r="LL16" s="725">
        <f>CSX!LN4</f>
        <v>2025</v>
      </c>
      <c r="LM16" s="546"/>
      <c r="LN16" s="39" t="s">
        <v>444</v>
      </c>
      <c r="LO16" s="725" t="str">
        <f>LO2</f>
        <v>1Q26E</v>
      </c>
      <c r="LP16" s="725" t="str">
        <f>CSX!LR4</f>
        <v>2Q26E</v>
      </c>
      <c r="LQ16" s="725" t="str">
        <f>CSX!LS4</f>
        <v>3Q26E</v>
      </c>
      <c r="LR16" s="725" t="str">
        <f>CSX!LT4</f>
        <v>4Q26E</v>
      </c>
      <c r="LS16" s="725" t="str">
        <f>CSX!LU4</f>
        <v>2026E</v>
      </c>
      <c r="LT16" s="546"/>
      <c r="LU16" s="39" t="s">
        <v>444</v>
      </c>
      <c r="LV16" s="725" t="str">
        <f>LV2</f>
        <v>1Q27E</v>
      </c>
      <c r="LW16" s="725" t="str">
        <f>CSX!LY4</f>
        <v>2Q27E</v>
      </c>
      <c r="LX16" s="725" t="str">
        <f>CSX!LZ4</f>
        <v>3Q27E</v>
      </c>
      <c r="LY16" s="725" t="str">
        <f>CSX!MA4</f>
        <v>4Q27E</v>
      </c>
      <c r="LZ16" s="725" t="str">
        <f>CSX!MB4</f>
        <v>2027E</v>
      </c>
      <c r="MA16" s="546"/>
      <c r="MB16" s="39" t="s">
        <v>444</v>
      </c>
      <c r="MC16" s="725" t="str">
        <f>MC2</f>
        <v>1Q28E</v>
      </c>
      <c r="MD16" s="725" t="str">
        <f>CSX!MF4</f>
        <v>2Q28E</v>
      </c>
      <c r="ME16" s="725" t="str">
        <f>CSX!MG4</f>
        <v>3Q28E</v>
      </c>
      <c r="MF16" s="725" t="str">
        <f>CSX!MH4</f>
        <v>4Q28E</v>
      </c>
      <c r="MG16" s="725" t="str">
        <f>CSX!MI4</f>
        <v>2028E</v>
      </c>
      <c r="MH16" s="546"/>
    </row>
    <row r="17" spans="1:346" s="37" customFormat="1" ht="13.15" x14ac:dyDescent="0.4">
      <c r="A17" s="46"/>
      <c r="B17" s="42" t="s">
        <v>6</v>
      </c>
      <c r="C17" s="43"/>
      <c r="D17" s="43"/>
      <c r="E17" s="43"/>
      <c r="F17" s="43"/>
      <c r="G17" s="43"/>
      <c r="H17" s="43"/>
      <c r="I17" s="43"/>
      <c r="J17" s="43"/>
      <c r="K17" s="43"/>
      <c r="L17" s="43"/>
      <c r="M17" s="43"/>
      <c r="N17" s="43" t="str">
        <f>BT17</f>
        <v>FY</v>
      </c>
      <c r="O17" s="43" t="str">
        <f>CA17</f>
        <v>FY</v>
      </c>
      <c r="P17" s="43" t="str">
        <f>CH17</f>
        <v>FY</v>
      </c>
      <c r="Q17" s="43" t="str">
        <f>CO17</f>
        <v>FY</v>
      </c>
      <c r="R17" s="43" t="str">
        <f>CV17</f>
        <v>FY</v>
      </c>
      <c r="S17" s="43" t="str">
        <f>DC17</f>
        <v>FY</v>
      </c>
      <c r="T17" s="43" t="str">
        <f>DJ17</f>
        <v>FY</v>
      </c>
      <c r="U17" s="43" t="str">
        <f>DQ17</f>
        <v>FY</v>
      </c>
      <c r="V17" s="43" t="str">
        <f>DX17</f>
        <v>FY</v>
      </c>
      <c r="W17" s="43" t="str">
        <f>EE17</f>
        <v>FY</v>
      </c>
      <c r="X17" s="43" t="str">
        <f>EL17</f>
        <v>FY</v>
      </c>
      <c r="Y17" s="43" t="str">
        <f>ES17</f>
        <v>FY</v>
      </c>
      <c r="Z17" s="43" t="str">
        <f>EZ17</f>
        <v>FY</v>
      </c>
      <c r="AA17" s="43" t="str">
        <f>FG17</f>
        <v>FY</v>
      </c>
      <c r="AB17" s="43" t="str">
        <f>FN17</f>
        <v>FY</v>
      </c>
      <c r="AC17" s="43" t="str">
        <f>FU17</f>
        <v>FY</v>
      </c>
      <c r="AD17" s="43" t="str">
        <f>GB17</f>
        <v>FY</v>
      </c>
      <c r="AE17" s="43" t="str">
        <f>GI17</f>
        <v>FY</v>
      </c>
      <c r="AF17" s="43" t="str">
        <f>GP17</f>
        <v>FY</v>
      </c>
      <c r="AG17" s="43" t="str">
        <f>GW17</f>
        <v>FY</v>
      </c>
      <c r="AH17" s="43" t="str">
        <f>HD17</f>
        <v>FY</v>
      </c>
      <c r="AI17" s="43" t="str">
        <f>HK17</f>
        <v>FY</v>
      </c>
      <c r="AJ17" s="43" t="str">
        <f>HR17</f>
        <v>FY</v>
      </c>
      <c r="AK17" s="43" t="str">
        <f>HY17</f>
        <v>FY</v>
      </c>
      <c r="AL17" s="43" t="str">
        <f>IF17</f>
        <v>FY</v>
      </c>
      <c r="AM17" s="43" t="str">
        <f>IM17</f>
        <v>FY</v>
      </c>
      <c r="AN17" s="43" t="str">
        <f>IT17</f>
        <v>FY</v>
      </c>
      <c r="AO17" s="43" t="str">
        <f>JA17</f>
        <v>FY</v>
      </c>
      <c r="AP17" s="43" t="str">
        <f>JH17</f>
        <v>FY</v>
      </c>
      <c r="AQ17" s="43" t="str">
        <f>JO17</f>
        <v>FY</v>
      </c>
      <c r="AR17" s="43" t="str">
        <f>JV17</f>
        <v>FY</v>
      </c>
      <c r="AS17" s="43" t="str">
        <f>KC17</f>
        <v>FY</v>
      </c>
      <c r="AT17" s="43" t="str">
        <f>KJ17</f>
        <v>FY</v>
      </c>
      <c r="AU17" s="43" t="str">
        <f>KQ17</f>
        <v>FY</v>
      </c>
      <c r="AV17" s="43" t="str">
        <f>KX17</f>
        <v>FY</v>
      </c>
      <c r="AW17" s="43" t="str">
        <f>LE17</f>
        <v>FY</v>
      </c>
      <c r="AX17" s="43" t="str">
        <f>LL17</f>
        <v>FY</v>
      </c>
      <c r="AY17" s="43" t="str">
        <f>LS17</f>
        <v>FY</v>
      </c>
      <c r="AZ17" s="43" t="str">
        <f>LZ17</f>
        <v>FY</v>
      </c>
      <c r="BA17" s="43" t="str">
        <f>MG17</f>
        <v>FY</v>
      </c>
      <c r="BB17" s="43"/>
      <c r="BC17" s="43"/>
      <c r="BD17" s="43"/>
      <c r="BE17" s="43"/>
      <c r="BF17" s="43"/>
      <c r="BG17" s="43"/>
      <c r="BH17" s="43"/>
      <c r="BI17" s="43"/>
      <c r="BJ17" s="43"/>
      <c r="BK17" s="43"/>
      <c r="BL17" s="43"/>
      <c r="BM17" s="43"/>
      <c r="BO17" s="42" t="s">
        <v>6</v>
      </c>
      <c r="BP17" s="223">
        <f>BP3</f>
        <v>32598</v>
      </c>
      <c r="BQ17" s="223">
        <f>CSX!BS5</f>
        <v>32689</v>
      </c>
      <c r="BR17" s="223">
        <f>CSX!BT5</f>
        <v>32781</v>
      </c>
      <c r="BS17" s="223">
        <f>CSX!BU5</f>
        <v>32873</v>
      </c>
      <c r="BT17" s="43" t="str">
        <f>CSX!BV5</f>
        <v>FY</v>
      </c>
      <c r="BV17" s="42" t="s">
        <v>6</v>
      </c>
      <c r="BW17" s="223">
        <f>BW3</f>
        <v>32963</v>
      </c>
      <c r="BX17" s="223">
        <f>CSX!BZ5</f>
        <v>33054</v>
      </c>
      <c r="BY17" s="223">
        <f>CSX!CA5</f>
        <v>33146</v>
      </c>
      <c r="BZ17" s="223">
        <f>CSX!CB5</f>
        <v>33238</v>
      </c>
      <c r="CA17" s="43" t="str">
        <f>CSX!CC5</f>
        <v>FY</v>
      </c>
      <c r="CC17" s="42" t="s">
        <v>6</v>
      </c>
      <c r="CD17" s="223">
        <f>CD3</f>
        <v>33328</v>
      </c>
      <c r="CE17" s="223">
        <f>CSX!CG5</f>
        <v>33419</v>
      </c>
      <c r="CF17" s="223">
        <f>CSX!CH5</f>
        <v>33511</v>
      </c>
      <c r="CG17" s="223">
        <f>CSX!CI5</f>
        <v>33603</v>
      </c>
      <c r="CH17" s="43" t="str">
        <f>CSX!CJ5</f>
        <v>FY</v>
      </c>
      <c r="CJ17" s="42" t="s">
        <v>6</v>
      </c>
      <c r="CK17" s="223">
        <f>CK3</f>
        <v>33694</v>
      </c>
      <c r="CL17" s="223">
        <f>CSX!CN5</f>
        <v>33785</v>
      </c>
      <c r="CM17" s="223">
        <f>CSX!CO5</f>
        <v>33877</v>
      </c>
      <c r="CN17" s="223">
        <f>CSX!CP5</f>
        <v>33969</v>
      </c>
      <c r="CO17" s="43" t="str">
        <f>CSX!CQ5</f>
        <v>FY</v>
      </c>
      <c r="CQ17" s="42" t="s">
        <v>6</v>
      </c>
      <c r="CR17" s="223">
        <f>CR3</f>
        <v>34059</v>
      </c>
      <c r="CS17" s="223">
        <f>CSX!CU5</f>
        <v>34150</v>
      </c>
      <c r="CT17" s="223">
        <f>CSX!CV5</f>
        <v>34242</v>
      </c>
      <c r="CU17" s="223">
        <f>CSX!CW5</f>
        <v>34334</v>
      </c>
      <c r="CV17" s="43" t="str">
        <f>CSX!CX5</f>
        <v>FY</v>
      </c>
      <c r="CX17" s="42" t="s">
        <v>6</v>
      </c>
      <c r="CY17" s="223">
        <f>CY3</f>
        <v>34424</v>
      </c>
      <c r="CZ17" s="223">
        <f>CSX!DB5</f>
        <v>34515</v>
      </c>
      <c r="DA17" s="223">
        <f>CSX!DC5</f>
        <v>34607</v>
      </c>
      <c r="DB17" s="223">
        <f>CSX!DD5</f>
        <v>34699</v>
      </c>
      <c r="DC17" s="43" t="str">
        <f>CSX!DE5</f>
        <v>FY</v>
      </c>
      <c r="DE17" s="42" t="s">
        <v>6</v>
      </c>
      <c r="DF17" s="223">
        <f>DF3</f>
        <v>34789</v>
      </c>
      <c r="DG17" s="223">
        <f>CSX!DI5</f>
        <v>34880</v>
      </c>
      <c r="DH17" s="223">
        <f>CSX!DJ5</f>
        <v>34972</v>
      </c>
      <c r="DI17" s="223">
        <f>CSX!DK5</f>
        <v>35064</v>
      </c>
      <c r="DJ17" s="43" t="str">
        <f>CSX!DL5</f>
        <v>FY</v>
      </c>
      <c r="DL17" s="42" t="s">
        <v>6</v>
      </c>
      <c r="DM17" s="223">
        <f>DM3</f>
        <v>35155</v>
      </c>
      <c r="DN17" s="223">
        <f>CSX!DP5</f>
        <v>35246</v>
      </c>
      <c r="DO17" s="223">
        <f>CSX!DQ5</f>
        <v>35338</v>
      </c>
      <c r="DP17" s="223">
        <f>CSX!DR5</f>
        <v>35430</v>
      </c>
      <c r="DQ17" s="43" t="str">
        <f>CSX!DS5</f>
        <v>FY</v>
      </c>
      <c r="DS17" s="42" t="s">
        <v>6</v>
      </c>
      <c r="DT17" s="223">
        <f>DT3</f>
        <v>35520</v>
      </c>
      <c r="DU17" s="223">
        <f>CSX!DW5</f>
        <v>35611</v>
      </c>
      <c r="DV17" s="223">
        <f>CSX!DX5</f>
        <v>35703</v>
      </c>
      <c r="DW17" s="223">
        <f>CSX!DY5</f>
        <v>35795</v>
      </c>
      <c r="DX17" s="43" t="str">
        <f>CSX!DZ5</f>
        <v>FY</v>
      </c>
      <c r="DZ17" s="42" t="s">
        <v>6</v>
      </c>
      <c r="EA17" s="223">
        <f>EA3</f>
        <v>35885</v>
      </c>
      <c r="EB17" s="223">
        <f>CSX!ED5</f>
        <v>35976</v>
      </c>
      <c r="EC17" s="223">
        <f>CSX!EE5</f>
        <v>36068</v>
      </c>
      <c r="ED17" s="223">
        <f>CSX!EF5</f>
        <v>36160</v>
      </c>
      <c r="EE17" s="43" t="str">
        <f>CSX!EG5</f>
        <v>FY</v>
      </c>
      <c r="EG17" s="42" t="s">
        <v>6</v>
      </c>
      <c r="EH17" s="223">
        <f>EH3</f>
        <v>36250</v>
      </c>
      <c r="EI17" s="223">
        <f>CSX!EK5</f>
        <v>36341</v>
      </c>
      <c r="EJ17" s="223">
        <f>CSX!EL5</f>
        <v>36433</v>
      </c>
      <c r="EK17" s="223">
        <f>CSX!EM5</f>
        <v>36525</v>
      </c>
      <c r="EL17" s="43" t="str">
        <f>CSX!EN5</f>
        <v>FY</v>
      </c>
      <c r="EN17" s="42" t="s">
        <v>6</v>
      </c>
      <c r="EO17" s="223">
        <f>EO3</f>
        <v>36616</v>
      </c>
      <c r="EP17" s="223">
        <f>CSX!ER5</f>
        <v>36707</v>
      </c>
      <c r="EQ17" s="223">
        <f>CSX!ES5</f>
        <v>36799</v>
      </c>
      <c r="ER17" s="223">
        <f>CSX!ET5</f>
        <v>36891</v>
      </c>
      <c r="ES17" s="43" t="str">
        <f>CSX!EU5</f>
        <v>FY</v>
      </c>
      <c r="EU17" s="42" t="s">
        <v>6</v>
      </c>
      <c r="EV17" s="223">
        <f>EV3</f>
        <v>36981</v>
      </c>
      <c r="EW17" s="223">
        <f>CSX!EY5</f>
        <v>37072</v>
      </c>
      <c r="EX17" s="223">
        <f>CSX!EZ5</f>
        <v>37164</v>
      </c>
      <c r="EY17" s="223">
        <f>CSX!FA5</f>
        <v>37256</v>
      </c>
      <c r="EZ17" s="43" t="str">
        <f>CSX!FB5</f>
        <v>FY</v>
      </c>
      <c r="FB17" s="42" t="s">
        <v>6</v>
      </c>
      <c r="FC17" s="223">
        <f>FC3</f>
        <v>37346</v>
      </c>
      <c r="FD17" s="223">
        <f>CSX!FF5</f>
        <v>37437</v>
      </c>
      <c r="FE17" s="223">
        <f>CSX!FG5</f>
        <v>37529</v>
      </c>
      <c r="FF17" s="223">
        <f>CSX!FH5</f>
        <v>37621</v>
      </c>
      <c r="FG17" s="43" t="str">
        <f>CSX!FI5</f>
        <v>FY</v>
      </c>
      <c r="FI17" s="42" t="s">
        <v>6</v>
      </c>
      <c r="FJ17" s="223">
        <f>FJ3</f>
        <v>37711</v>
      </c>
      <c r="FK17" s="223">
        <f>CSX!FM5</f>
        <v>37802</v>
      </c>
      <c r="FL17" s="223">
        <f>CSX!FN5</f>
        <v>37894</v>
      </c>
      <c r="FM17" s="223">
        <f>CSX!FO5</f>
        <v>37986</v>
      </c>
      <c r="FN17" s="43" t="str">
        <f>CSX!FP5</f>
        <v>FY</v>
      </c>
      <c r="FP17" s="42" t="s">
        <v>6</v>
      </c>
      <c r="FQ17" s="223">
        <f>FQ3</f>
        <v>38077</v>
      </c>
      <c r="FR17" s="223">
        <f>CSX!FT5</f>
        <v>38168</v>
      </c>
      <c r="FS17" s="223">
        <f>CSX!FU5</f>
        <v>38260</v>
      </c>
      <c r="FT17" s="223">
        <f>CSX!FV5</f>
        <v>38352</v>
      </c>
      <c r="FU17" s="43" t="str">
        <f>CSX!FW5</f>
        <v>FY</v>
      </c>
      <c r="FW17" s="42" t="s">
        <v>6</v>
      </c>
      <c r="FX17" s="223">
        <f>FX3</f>
        <v>38442</v>
      </c>
      <c r="FY17" s="223">
        <f>CSX!GA5</f>
        <v>38533</v>
      </c>
      <c r="FZ17" s="223">
        <f>CSX!GB5</f>
        <v>38625</v>
      </c>
      <c r="GA17" s="223">
        <f>CSX!GC5</f>
        <v>38717</v>
      </c>
      <c r="GB17" s="43" t="str">
        <f>CSX!GD5</f>
        <v>FY</v>
      </c>
      <c r="GD17" s="42" t="s">
        <v>6</v>
      </c>
      <c r="GE17" s="223">
        <f>GE3</f>
        <v>38807</v>
      </c>
      <c r="GF17" s="223">
        <f>CSX!GH5</f>
        <v>38898</v>
      </c>
      <c r="GG17" s="223">
        <f>CSX!GI5</f>
        <v>38990</v>
      </c>
      <c r="GH17" s="223">
        <f>CSX!GJ5</f>
        <v>39082</v>
      </c>
      <c r="GI17" s="43" t="str">
        <f>CSX!GK5</f>
        <v>FY</v>
      </c>
      <c r="GK17" s="42" t="s">
        <v>6</v>
      </c>
      <c r="GL17" s="223">
        <f>GL3</f>
        <v>39172</v>
      </c>
      <c r="GM17" s="223">
        <f>CSX!GO5</f>
        <v>39263</v>
      </c>
      <c r="GN17" s="223">
        <f>CSX!GP5</f>
        <v>39355</v>
      </c>
      <c r="GO17" s="223">
        <f>CSX!GQ5</f>
        <v>39447</v>
      </c>
      <c r="GP17" s="43" t="str">
        <f>CSX!GR5</f>
        <v>FY</v>
      </c>
      <c r="GR17" s="42" t="s">
        <v>6</v>
      </c>
      <c r="GS17" s="223">
        <f>GS3</f>
        <v>39538</v>
      </c>
      <c r="GT17" s="223">
        <f>CSX!GV5</f>
        <v>39629</v>
      </c>
      <c r="GU17" s="223">
        <f>CSX!GW5</f>
        <v>39721</v>
      </c>
      <c r="GV17" s="223">
        <f>CSX!GX5</f>
        <v>39813</v>
      </c>
      <c r="GW17" s="43" t="str">
        <f>CSX!GY5</f>
        <v>FY</v>
      </c>
      <c r="GY17" s="42" t="s">
        <v>6</v>
      </c>
      <c r="GZ17" s="223">
        <f>GZ3</f>
        <v>39903</v>
      </c>
      <c r="HA17" s="223">
        <f>CSX!HC5</f>
        <v>39994</v>
      </c>
      <c r="HB17" s="223">
        <f>CSX!HD5</f>
        <v>40086</v>
      </c>
      <c r="HC17" s="223">
        <f>CSX!HE5</f>
        <v>40178</v>
      </c>
      <c r="HD17" s="43" t="str">
        <f>CSX!HF5</f>
        <v>FY</v>
      </c>
      <c r="HF17" s="42" t="s">
        <v>6</v>
      </c>
      <c r="HG17" s="223">
        <f>HG3</f>
        <v>40268</v>
      </c>
      <c r="HH17" s="223">
        <f>CSX!HJ5</f>
        <v>40359</v>
      </c>
      <c r="HI17" s="223">
        <f>CSX!HK5</f>
        <v>40451</v>
      </c>
      <c r="HJ17" s="223">
        <f>CSX!HL5</f>
        <v>40543</v>
      </c>
      <c r="HK17" s="43" t="str">
        <f>CSX!HM5</f>
        <v>FY</v>
      </c>
      <c r="HM17" s="42" t="s">
        <v>6</v>
      </c>
      <c r="HN17" s="223">
        <f>HN3</f>
        <v>40633</v>
      </c>
      <c r="HO17" s="223">
        <f>CSX!HQ5</f>
        <v>40724</v>
      </c>
      <c r="HP17" s="223">
        <f>CSX!HR5</f>
        <v>40816</v>
      </c>
      <c r="HQ17" s="223">
        <f>CSX!HS5</f>
        <v>40908</v>
      </c>
      <c r="HR17" s="43" t="str">
        <f>CSX!HT5</f>
        <v>FY</v>
      </c>
      <c r="HT17" s="42" t="s">
        <v>6</v>
      </c>
      <c r="HU17" s="223">
        <f>HU3</f>
        <v>40999</v>
      </c>
      <c r="HV17" s="223">
        <f>CSX!HX5</f>
        <v>41090</v>
      </c>
      <c r="HW17" s="223">
        <f>CSX!HY5</f>
        <v>41182</v>
      </c>
      <c r="HX17" s="223">
        <f>CSX!HZ5</f>
        <v>41274</v>
      </c>
      <c r="HY17" s="43" t="str">
        <f>CSX!IA5</f>
        <v>FY</v>
      </c>
      <c r="IA17" s="42" t="s">
        <v>6</v>
      </c>
      <c r="IB17" s="223">
        <f>IB3</f>
        <v>41364</v>
      </c>
      <c r="IC17" s="223">
        <f>CSX!IE5</f>
        <v>41455</v>
      </c>
      <c r="ID17" s="223">
        <f>CSX!IF5</f>
        <v>41547</v>
      </c>
      <c r="IE17" s="223">
        <f>CSX!IG5</f>
        <v>41639</v>
      </c>
      <c r="IF17" s="43" t="str">
        <f>CSX!IH5</f>
        <v>FY</v>
      </c>
      <c r="IH17" s="42" t="s">
        <v>6</v>
      </c>
      <c r="II17" s="223">
        <f>II3</f>
        <v>41729</v>
      </c>
      <c r="IJ17" s="223">
        <f>CSX!IL5</f>
        <v>41820</v>
      </c>
      <c r="IK17" s="223">
        <f>CSX!IM5</f>
        <v>41912</v>
      </c>
      <c r="IL17" s="223">
        <f>CSX!IN5</f>
        <v>42004</v>
      </c>
      <c r="IM17" s="43" t="str">
        <f>CSX!IO5</f>
        <v>FY</v>
      </c>
      <c r="IO17" s="42" t="s">
        <v>6</v>
      </c>
      <c r="IP17" s="223">
        <f>IP3</f>
        <v>42094</v>
      </c>
      <c r="IQ17" s="223">
        <f>CSX!IS5</f>
        <v>42185</v>
      </c>
      <c r="IR17" s="223">
        <f>CSX!IT5</f>
        <v>42277</v>
      </c>
      <c r="IS17" s="223">
        <f>CSX!IU5</f>
        <v>42369</v>
      </c>
      <c r="IT17" s="43" t="str">
        <f>CSX!IV5</f>
        <v>FY</v>
      </c>
      <c r="IV17" s="42" t="s">
        <v>6</v>
      </c>
      <c r="IW17" s="223">
        <f>IW3</f>
        <v>42460</v>
      </c>
      <c r="IX17" s="223">
        <f>CSX!IZ5</f>
        <v>42551</v>
      </c>
      <c r="IY17" s="223">
        <f>CSX!JA5</f>
        <v>42643</v>
      </c>
      <c r="IZ17" s="223">
        <f>CSX!JB5</f>
        <v>42735</v>
      </c>
      <c r="JA17" s="43" t="str">
        <f>CSX!JC5</f>
        <v>FY</v>
      </c>
      <c r="JC17" s="42" t="s">
        <v>6</v>
      </c>
      <c r="JD17" s="223">
        <f>JD3</f>
        <v>42825</v>
      </c>
      <c r="JE17" s="223">
        <f>CSX!JG5</f>
        <v>42916</v>
      </c>
      <c r="JF17" s="223">
        <f>CSX!JH5</f>
        <v>43008</v>
      </c>
      <c r="JG17" s="223">
        <f>CSX!JI5</f>
        <v>43100</v>
      </c>
      <c r="JH17" s="43" t="str">
        <f>CSX!JJ5</f>
        <v>FY</v>
      </c>
      <c r="JJ17" s="42" t="s">
        <v>6</v>
      </c>
      <c r="JK17" s="223">
        <f>JK3</f>
        <v>43190</v>
      </c>
      <c r="JL17" s="223">
        <f>CSX!JN5</f>
        <v>43281</v>
      </c>
      <c r="JM17" s="223">
        <f>CSX!JO5</f>
        <v>43373</v>
      </c>
      <c r="JN17" s="223">
        <f>CSX!JP5</f>
        <v>43465</v>
      </c>
      <c r="JO17" s="43" t="str">
        <f>CSX!JQ5</f>
        <v>FY</v>
      </c>
      <c r="JQ17" s="42" t="s">
        <v>6</v>
      </c>
      <c r="JR17" s="223">
        <f>JR3</f>
        <v>43555</v>
      </c>
      <c r="JS17" s="223">
        <f>CSX!JU5</f>
        <v>43646</v>
      </c>
      <c r="JT17" s="223">
        <f>CSX!JV5</f>
        <v>43738</v>
      </c>
      <c r="JU17" s="223">
        <f>CSX!JW5</f>
        <v>43830</v>
      </c>
      <c r="JV17" s="43" t="str">
        <f>CSX!JX5</f>
        <v>FY</v>
      </c>
      <c r="JX17" s="42" t="s">
        <v>6</v>
      </c>
      <c r="JY17" s="223">
        <f>JY3</f>
        <v>43921</v>
      </c>
      <c r="JZ17" s="223">
        <f>CSX!KB5</f>
        <v>44012</v>
      </c>
      <c r="KA17" s="223">
        <f>CSX!KC5</f>
        <v>44104</v>
      </c>
      <c r="KB17" s="223">
        <f>CSX!KD5</f>
        <v>44196</v>
      </c>
      <c r="KC17" s="43" t="str">
        <f>CSX!KE5</f>
        <v>FY</v>
      </c>
      <c r="KE17" s="42" t="s">
        <v>6</v>
      </c>
      <c r="KF17" s="223">
        <f>KF3</f>
        <v>44286</v>
      </c>
      <c r="KG17" s="223">
        <f>CSX!KI5</f>
        <v>44377</v>
      </c>
      <c r="KH17" s="223">
        <f>CSX!KJ5</f>
        <v>44469</v>
      </c>
      <c r="KI17" s="223">
        <f>CSX!KK5</f>
        <v>44561</v>
      </c>
      <c r="KJ17" s="43" t="str">
        <f>CSX!KL5</f>
        <v>FY</v>
      </c>
      <c r="KL17" s="42" t="s">
        <v>6</v>
      </c>
      <c r="KM17" s="223">
        <f>KM3</f>
        <v>44651</v>
      </c>
      <c r="KN17" s="223">
        <f>CSX!KP5</f>
        <v>44742</v>
      </c>
      <c r="KO17" s="223">
        <f>CSX!KQ5</f>
        <v>44834</v>
      </c>
      <c r="KP17" s="223">
        <f>CSX!KR5</f>
        <v>44926</v>
      </c>
      <c r="KQ17" s="43" t="str">
        <f>CSX!KS5</f>
        <v>FY</v>
      </c>
      <c r="KS17" s="42" t="s">
        <v>6</v>
      </c>
      <c r="KT17" s="223">
        <f>KT3</f>
        <v>45016</v>
      </c>
      <c r="KU17" s="223">
        <f>CSX!KW5</f>
        <v>45107</v>
      </c>
      <c r="KV17" s="223">
        <f>CSX!KX5</f>
        <v>45199</v>
      </c>
      <c r="KW17" s="223">
        <f>CSX!KY5</f>
        <v>45291</v>
      </c>
      <c r="KX17" s="43" t="str">
        <f>CSX!KZ5</f>
        <v>FY</v>
      </c>
      <c r="KZ17" s="42" t="s">
        <v>6</v>
      </c>
      <c r="LA17" s="223">
        <f>LA3</f>
        <v>45382</v>
      </c>
      <c r="LB17" s="726">
        <f>CSX!LD5</f>
        <v>45473</v>
      </c>
      <c r="LC17" s="726">
        <f>CSX!LE5</f>
        <v>45565</v>
      </c>
      <c r="LD17" s="726">
        <f>CSX!LF5</f>
        <v>45657</v>
      </c>
      <c r="LE17" s="43" t="str">
        <f>CSX!LG5</f>
        <v>FY</v>
      </c>
      <c r="LF17" s="583"/>
      <c r="LG17" s="42" t="s">
        <v>6</v>
      </c>
      <c r="LH17" s="726">
        <f>LH3</f>
        <v>45747</v>
      </c>
      <c r="LI17" s="726">
        <f>CSX!LK5</f>
        <v>45838</v>
      </c>
      <c r="LJ17" s="726">
        <f>CSX!LL5</f>
        <v>45930</v>
      </c>
      <c r="LK17" s="726">
        <f>CSX!LM5</f>
        <v>46022</v>
      </c>
      <c r="LL17" s="43" t="str">
        <f>CSX!LN5</f>
        <v>FY</v>
      </c>
      <c r="LM17" s="583"/>
      <c r="LN17" s="42" t="s">
        <v>6</v>
      </c>
      <c r="LO17" s="726">
        <f>LO3</f>
        <v>46112</v>
      </c>
      <c r="LP17" s="726">
        <f>CSX!LR5</f>
        <v>46203</v>
      </c>
      <c r="LQ17" s="726">
        <f>CSX!LS5</f>
        <v>46295</v>
      </c>
      <c r="LR17" s="726">
        <f>CSX!LT5</f>
        <v>46387</v>
      </c>
      <c r="LS17" s="43" t="str">
        <f>CSX!LU5</f>
        <v>FY</v>
      </c>
      <c r="LT17" s="583"/>
      <c r="LU17" s="42" t="s">
        <v>6</v>
      </c>
      <c r="LV17" s="726">
        <f>LV3</f>
        <v>46477</v>
      </c>
      <c r="LW17" s="726">
        <f>CSX!LY5</f>
        <v>46568</v>
      </c>
      <c r="LX17" s="726">
        <f>CSX!LZ5</f>
        <v>46660</v>
      </c>
      <c r="LY17" s="726">
        <f>CSX!MA5</f>
        <v>46752</v>
      </c>
      <c r="LZ17" s="43" t="str">
        <f>CSX!MB5</f>
        <v>FY</v>
      </c>
      <c r="MA17" s="583"/>
      <c r="MB17" s="42" t="s">
        <v>6</v>
      </c>
      <c r="MC17" s="726">
        <f>MC3</f>
        <v>46843</v>
      </c>
      <c r="MD17" s="726">
        <f>CSX!MF5</f>
        <v>46934</v>
      </c>
      <c r="ME17" s="726">
        <f>CSX!MG5</f>
        <v>47026</v>
      </c>
      <c r="MF17" s="726">
        <f>CSX!MH5</f>
        <v>47118</v>
      </c>
      <c r="MG17" s="43" t="str">
        <f>CSX!MI5</f>
        <v>FY</v>
      </c>
      <c r="MH17" s="583"/>
    </row>
    <row r="18" spans="1:346" s="37" customFormat="1" ht="13.15" x14ac:dyDescent="0.4">
      <c r="A18" s="96"/>
      <c r="B18" s="36"/>
      <c r="BO18" s="36"/>
      <c r="BV18" s="36"/>
      <c r="CC18" s="36"/>
      <c r="CJ18" s="36"/>
      <c r="CQ18" s="36"/>
      <c r="CX18" s="36"/>
      <c r="DE18" s="36"/>
      <c r="DL18" s="36"/>
      <c r="DS18" s="36"/>
      <c r="DZ18" s="36"/>
      <c r="EG18" s="36"/>
      <c r="EN18" s="36"/>
      <c r="EU18" s="36"/>
      <c r="FB18" s="36"/>
      <c r="FI18" s="36"/>
      <c r="FP18" s="36"/>
      <c r="FW18" s="36"/>
      <c r="GD18" s="36"/>
      <c r="GK18" s="36"/>
      <c r="GR18" s="36"/>
      <c r="GY18" s="36"/>
      <c r="HF18" s="36"/>
      <c r="HM18" s="36"/>
      <c r="HT18" s="36"/>
      <c r="IA18" s="36"/>
      <c r="IH18" s="36"/>
      <c r="IO18" s="36"/>
      <c r="IV18" s="36"/>
      <c r="JC18" s="36"/>
      <c r="JJ18" s="36"/>
      <c r="JQ18" s="36"/>
      <c r="JX18" s="36"/>
      <c r="KE18" s="36"/>
      <c r="KL18" s="36"/>
      <c r="KS18" s="36"/>
      <c r="KZ18" s="642"/>
      <c r="LA18" s="643"/>
      <c r="LB18" s="643"/>
      <c r="LC18" s="643"/>
      <c r="LD18" s="643"/>
      <c r="LE18" s="643"/>
      <c r="LF18" s="584"/>
      <c r="LG18" s="642"/>
      <c r="LH18" s="643"/>
      <c r="LI18" s="643"/>
      <c r="LJ18" s="643"/>
      <c r="LK18" s="643"/>
      <c r="LL18" s="643"/>
      <c r="LM18" s="584"/>
      <c r="LN18" s="642"/>
      <c r="LO18" s="643"/>
      <c r="LP18" s="643"/>
      <c r="LQ18" s="643"/>
      <c r="LR18" s="643"/>
      <c r="LS18" s="643"/>
      <c r="LT18" s="584"/>
      <c r="LU18" s="642"/>
      <c r="LV18" s="643"/>
      <c r="LW18" s="643"/>
      <c r="LX18" s="643"/>
      <c r="LY18" s="643"/>
      <c r="LZ18" s="643"/>
      <c r="MA18" s="584"/>
      <c r="MB18" s="642"/>
      <c r="MC18" s="643"/>
      <c r="MD18" s="643"/>
      <c r="ME18" s="643"/>
      <c r="MF18" s="643"/>
      <c r="MG18" s="643"/>
      <c r="MH18" s="584"/>
    </row>
    <row r="19" spans="1:346" s="37" customFormat="1" ht="13.15" x14ac:dyDescent="0.4">
      <c r="A19" s="96"/>
      <c r="B19" s="224" t="s">
        <v>185</v>
      </c>
      <c r="C19" s="225"/>
      <c r="D19" s="225"/>
      <c r="E19" s="225"/>
      <c r="F19" s="225"/>
      <c r="G19" s="225"/>
      <c r="H19" s="225"/>
      <c r="I19" s="225"/>
      <c r="J19" s="225"/>
      <c r="K19" s="225"/>
      <c r="L19" s="225"/>
      <c r="M19" s="225"/>
      <c r="N19" s="225">
        <f t="shared" ref="N19:N25" si="11">BT19</f>
        <v>0</v>
      </c>
      <c r="O19" s="225">
        <f t="shared" ref="O19:O25" si="12">CA19</f>
        <v>0</v>
      </c>
      <c r="P19" s="225">
        <f t="shared" ref="P19:P25" si="13">CH19</f>
        <v>0</v>
      </c>
      <c r="Q19" s="225">
        <f t="shared" ref="Q19:Q25" si="14">CO19</f>
        <v>0</v>
      </c>
      <c r="R19" s="225">
        <f t="shared" ref="R19:R25" si="15">CV19</f>
        <v>0</v>
      </c>
      <c r="S19" s="225">
        <f t="shared" ref="S19:S25" si="16">DC19</f>
        <v>0</v>
      </c>
      <c r="T19" s="225">
        <f t="shared" ref="T19:T25" si="17">DJ19</f>
        <v>0</v>
      </c>
      <c r="U19" s="225">
        <f t="shared" ref="U19:U25" si="18">DQ19</f>
        <v>0</v>
      </c>
      <c r="V19" s="225">
        <f t="shared" ref="V19:V25" si="19">DX19</f>
        <v>0</v>
      </c>
      <c r="W19" s="225">
        <f t="shared" ref="W19:W25" si="20">EE19</f>
        <v>0</v>
      </c>
      <c r="X19" s="225">
        <f t="shared" ref="X19:X25" si="21">EL19</f>
        <v>0</v>
      </c>
      <c r="Y19" s="225">
        <f t="shared" ref="Y19:Y25" si="22">ES19</f>
        <v>0</v>
      </c>
      <c r="Z19" s="225">
        <f t="shared" ref="Z19:Z25" si="23">EZ19</f>
        <v>0</v>
      </c>
      <c r="AA19" s="225">
        <f t="shared" ref="AA19:AA25" si="24">FG19</f>
        <v>0</v>
      </c>
      <c r="AB19" s="225">
        <f t="shared" ref="AB19:AB25" si="25">FN19</f>
        <v>0</v>
      </c>
      <c r="AC19" s="225">
        <f t="shared" ref="AC19:AC25" si="26">FU19</f>
        <v>0</v>
      </c>
      <c r="AD19" s="225">
        <f t="shared" ref="AD19:AD25" si="27">GB19</f>
        <v>0.33298453668178118</v>
      </c>
      <c r="AE19" s="225">
        <f t="shared" ref="AE19:AE25" si="28">GI19</f>
        <v>0.30545682625966969</v>
      </c>
      <c r="AF19" s="225">
        <f t="shared" ref="AF19:AF25" si="29">GP19</f>
        <v>0.29770687936191426</v>
      </c>
      <c r="AG19" s="225">
        <f t="shared" ref="AG19:AG25" si="30">GW19</f>
        <v>0.26254997778764994</v>
      </c>
      <c r="AH19" s="225">
        <f t="shared" ref="AH19:AH25" si="31">HD19</f>
        <v>0.29078641743170003</v>
      </c>
      <c r="AI19" s="225">
        <f t="shared" ref="AI19:AI25" si="32">HK19</f>
        <v>0.27801805189921025</v>
      </c>
      <c r="AJ19" s="225">
        <f t="shared" ref="AJ19:AJ25" si="33">HR19</f>
        <v>0.26168781401686109</v>
      </c>
      <c r="AK19" s="225">
        <f t="shared" ref="AK19:AK25" si="34">HY19</f>
        <v>0.25689009867301804</v>
      </c>
      <c r="AL19" s="225">
        <f t="shared" ref="AL19:AL25" si="35">IF19</f>
        <v>0.26024216287941615</v>
      </c>
      <c r="AM19" s="225">
        <f t="shared" ref="AM19:AM25" si="36">IM19</f>
        <v>0.26655616070723814</v>
      </c>
      <c r="AN19" s="225">
        <f t="shared" ref="AN19:AN25" si="37">IT19</f>
        <v>0.27855389044111423</v>
      </c>
      <c r="AO19" s="225">
        <f t="shared" ref="AO19:AO25" si="38">JA19</f>
        <v>0.28539163429397418</v>
      </c>
      <c r="AP19" s="225">
        <f t="shared" ref="AP19:AP25" si="39">JH19</f>
        <v>0.25823983169705472</v>
      </c>
      <c r="AQ19" s="225">
        <f t="shared" ref="AQ19:AQ25" si="40">JO19</f>
        <v>0.22351020408163266</v>
      </c>
      <c r="AR19" s="225">
        <f t="shared" ref="AR19:AR25" si="41">JV19</f>
        <v>0.21915054033676803</v>
      </c>
      <c r="AS19" s="225">
        <f t="shared" ref="AS19:AS25" si="42">KC19</f>
        <v>0.21496740054804875</v>
      </c>
      <c r="AT19" s="225">
        <f t="shared" ref="AT19:AT25" si="43">KJ19</f>
        <v>0.20364159080019167</v>
      </c>
      <c r="AU19" s="225">
        <f t="shared" ref="AU19:AU25" si="44">KQ19</f>
        <v>0.19262101932269576</v>
      </c>
      <c r="AV19" s="225">
        <f t="shared" ref="AV19:AV25" si="45">KX19</f>
        <v>0.20822815037183598</v>
      </c>
      <c r="AW19" s="225">
        <f t="shared" ref="AW19:AW25" si="46">LE19</f>
        <v>0.21767537826685007</v>
      </c>
      <c r="AX19" s="225">
        <f t="shared" ref="AX19:AX25" si="47">LL19</f>
        <v>0.22771785410161793</v>
      </c>
      <c r="AY19" s="225">
        <f t="shared" ref="AY19:AY25" si="48">LS19</f>
        <v>0.21943933534645801</v>
      </c>
      <c r="AZ19" s="225">
        <f t="shared" ref="AZ19:AZ25" si="49">LZ19</f>
        <v>0.21618569720241257</v>
      </c>
      <c r="BA19" s="225">
        <f t="shared" ref="BA19:BA25" si="50">MG19</f>
        <v>0.21416707930363407</v>
      </c>
      <c r="BB19" s="225"/>
      <c r="BC19" s="225"/>
      <c r="BD19" s="225"/>
      <c r="BE19" s="225"/>
      <c r="BF19" s="225"/>
      <c r="BG19" s="225"/>
      <c r="BH19" s="225"/>
      <c r="BI19" s="225"/>
      <c r="BJ19" s="225"/>
      <c r="BK19" s="225"/>
      <c r="BL19" s="225"/>
      <c r="BM19" s="225"/>
      <c r="BO19" s="224" t="s">
        <v>185</v>
      </c>
      <c r="BP19" s="225"/>
      <c r="BQ19" s="225"/>
      <c r="BR19" s="225"/>
      <c r="BS19" s="225"/>
      <c r="BT19" s="225"/>
      <c r="BV19" s="224" t="s">
        <v>185</v>
      </c>
      <c r="BW19" s="225"/>
      <c r="BX19" s="225"/>
      <c r="BY19" s="225"/>
      <c r="BZ19" s="225"/>
      <c r="CA19" s="225"/>
      <c r="CC19" s="224" t="s">
        <v>185</v>
      </c>
      <c r="CD19" s="225"/>
      <c r="CE19" s="225"/>
      <c r="CF19" s="225"/>
      <c r="CG19" s="225"/>
      <c r="CH19" s="225"/>
      <c r="CJ19" s="224" t="s">
        <v>185</v>
      </c>
      <c r="CK19" s="225"/>
      <c r="CL19" s="225"/>
      <c r="CM19" s="225"/>
      <c r="CN19" s="225"/>
      <c r="CO19" s="225"/>
      <c r="CQ19" s="224" t="s">
        <v>185</v>
      </c>
      <c r="CR19" s="225"/>
      <c r="CS19" s="225"/>
      <c r="CT19" s="225"/>
      <c r="CU19" s="225"/>
      <c r="CV19" s="225"/>
      <c r="CX19" s="224" t="s">
        <v>185</v>
      </c>
      <c r="CY19" s="225"/>
      <c r="CZ19" s="225"/>
      <c r="DA19" s="225"/>
      <c r="DB19" s="225"/>
      <c r="DC19" s="225"/>
      <c r="DE19" s="224" t="s">
        <v>185</v>
      </c>
      <c r="DF19" s="225"/>
      <c r="DG19" s="225"/>
      <c r="DH19" s="225"/>
      <c r="DI19" s="225"/>
      <c r="DJ19" s="225"/>
      <c r="DL19" s="224" t="s">
        <v>185</v>
      </c>
      <c r="DM19" s="225"/>
      <c r="DN19" s="225"/>
      <c r="DO19" s="225"/>
      <c r="DP19" s="225"/>
      <c r="DQ19" s="225"/>
      <c r="DS19" s="224" t="s">
        <v>185</v>
      </c>
      <c r="DT19" s="225"/>
      <c r="DU19" s="225"/>
      <c r="DV19" s="225"/>
      <c r="DW19" s="225"/>
      <c r="DX19" s="225"/>
      <c r="DZ19" s="224" t="s">
        <v>185</v>
      </c>
      <c r="EA19" s="225"/>
      <c r="EB19" s="225"/>
      <c r="EC19" s="225"/>
      <c r="ED19" s="225"/>
      <c r="EE19" s="225"/>
      <c r="EG19" s="224" t="s">
        <v>185</v>
      </c>
      <c r="EH19" s="225"/>
      <c r="EI19" s="225"/>
      <c r="EJ19" s="225"/>
      <c r="EK19" s="225"/>
      <c r="EL19" s="225"/>
      <c r="EN19" s="224" t="s">
        <v>185</v>
      </c>
      <c r="EO19" s="225"/>
      <c r="EP19" s="225"/>
      <c r="EQ19" s="225"/>
      <c r="ER19" s="225"/>
      <c r="ES19" s="225"/>
      <c r="EU19" s="224" t="s">
        <v>185</v>
      </c>
      <c r="EV19" s="225"/>
      <c r="EW19" s="225"/>
      <c r="EX19" s="225"/>
      <c r="EY19" s="225"/>
      <c r="EZ19" s="225"/>
      <c r="FB19" s="224" t="s">
        <v>185</v>
      </c>
      <c r="FC19" s="225"/>
      <c r="FD19" s="225"/>
      <c r="FE19" s="225"/>
      <c r="FF19" s="225"/>
      <c r="FG19" s="225"/>
      <c r="FI19" s="224" t="s">
        <v>185</v>
      </c>
      <c r="FJ19" s="225"/>
      <c r="FK19" s="225"/>
      <c r="FL19" s="225"/>
      <c r="FM19" s="225"/>
      <c r="FN19" s="225"/>
      <c r="FP19" s="224" t="s">
        <v>185</v>
      </c>
      <c r="FQ19" s="225"/>
      <c r="FR19" s="225"/>
      <c r="FS19" s="225"/>
      <c r="FT19" s="225"/>
      <c r="FU19" s="225"/>
      <c r="FW19" s="224" t="s">
        <v>185</v>
      </c>
      <c r="FX19" s="225">
        <f>CSX!FZ27/CSX!FZ$20</f>
        <v>0.33301707779886147</v>
      </c>
      <c r="FY19" s="225">
        <f>CSX!GA27/CSX!GA$20</f>
        <v>0.32852489530013962</v>
      </c>
      <c r="FZ19" s="225">
        <f>CSX!GB27/CSX!GB$20</f>
        <v>0.3411764705882353</v>
      </c>
      <c r="GA19" s="225">
        <f>CSX!GC27/CSX!GC$20</f>
        <v>0.32942767012167645</v>
      </c>
      <c r="GB19" s="225">
        <f>CSX!GD27/CSX!GD$20</f>
        <v>0.33298453668178118</v>
      </c>
      <c r="GD19" s="224" t="s">
        <v>185</v>
      </c>
      <c r="GE19" s="225">
        <f>CSX!GG27/CSX!GG$20</f>
        <v>0.30802230802230801</v>
      </c>
      <c r="GF19" s="225">
        <f>CSX!GH27/CSX!GH$20</f>
        <v>0.29533250722841803</v>
      </c>
      <c r="GG19" s="225">
        <f>CSX!GI27/CSX!GI$20</f>
        <v>0.30438378825475598</v>
      </c>
      <c r="GH19" s="225">
        <f>CSX!GJ27/CSX!GJ$20</f>
        <v>0.31427378964941571</v>
      </c>
      <c r="GI19" s="225">
        <f>CSX!GK27/CSX!GK$20</f>
        <v>0.30545682625966969</v>
      </c>
      <c r="GK19" s="224" t="s">
        <v>185</v>
      </c>
      <c r="GL19" s="225">
        <f>CSX!GN27/CSX!GN$20</f>
        <v>0.30305532617671344</v>
      </c>
      <c r="GM19" s="225">
        <f>CSX!GO27/CSX!GO$20</f>
        <v>0.29367588932806327</v>
      </c>
      <c r="GN19" s="225">
        <f>CSX!GP27/CSX!GP$20</f>
        <v>0.29908036785285885</v>
      </c>
      <c r="GO19" s="225">
        <f>CSX!GQ27/CSX!GQ$20</f>
        <v>0.29530461777260381</v>
      </c>
      <c r="GP19" s="225">
        <f>CSX!GR27/CSX!GR$20</f>
        <v>0.29770687936191426</v>
      </c>
      <c r="GR19" s="224" t="s">
        <v>185</v>
      </c>
      <c r="GS19" s="225">
        <f>CSX!GU27/CSX!GU$20</f>
        <v>0.27460375967563583</v>
      </c>
      <c r="GT19" s="225">
        <f>CSX!GV27/CSX!GV$20</f>
        <v>0.25214998280013762</v>
      </c>
      <c r="GU19" s="225">
        <f>CSX!GW27/CSX!GW$20</f>
        <v>0.2546437014522121</v>
      </c>
      <c r="GV19" s="225">
        <f>CSX!GX27/CSX!GX$20</f>
        <v>0.27038145100972327</v>
      </c>
      <c r="GW19" s="225">
        <f>CSX!GY27/CSX!GY$20</f>
        <v>0.26254997778764994</v>
      </c>
      <c r="GY19" s="224" t="s">
        <v>185</v>
      </c>
      <c r="GZ19" s="225">
        <f>CSX!HB27/CSX!HB$20</f>
        <v>0.2946150422785937</v>
      </c>
      <c r="HA19" s="225">
        <f>CSX!HC27/CSX!HC$20</f>
        <v>0.29931350114416477</v>
      </c>
      <c r="HB19" s="225">
        <f>CSX!HD27/CSX!HD$20</f>
        <v>0.2852774137177807</v>
      </c>
      <c r="HC19" s="225">
        <f>CSX!HE27/CSX!HE$20</f>
        <v>0.28448275862068967</v>
      </c>
      <c r="HD19" s="225">
        <f>CSX!HF27/CSX!HF$20</f>
        <v>0.29078641743170003</v>
      </c>
      <c r="HF19" s="224" t="s">
        <v>185</v>
      </c>
      <c r="HG19" s="225">
        <f>CSX!HI27/CSX!HI$20</f>
        <v>0.29265355279004418</v>
      </c>
      <c r="HH19" s="225">
        <f>CSX!HJ27/CSX!HJ$20</f>
        <v>0.27074727750657152</v>
      </c>
      <c r="HI19" s="225">
        <f>CSX!HK27/CSX!HK$20</f>
        <v>0.27419354838709675</v>
      </c>
      <c r="HJ19" s="225">
        <f>CSX!HL27/CSX!HL$20</f>
        <v>0.27556818181818182</v>
      </c>
      <c r="HK19" s="225">
        <f>CSX!HM27/CSX!HM$20</f>
        <v>0.27801805189921025</v>
      </c>
      <c r="HM19" s="224" t="s">
        <v>185</v>
      </c>
      <c r="HN19" s="225">
        <f>CSX!HP27/CSX!HP$20</f>
        <v>0.27224199288256229</v>
      </c>
      <c r="HO19" s="225">
        <f>CSX!HQ27/CSX!HQ$20</f>
        <v>0.25306392845313019</v>
      </c>
      <c r="HP19" s="225">
        <f>CSX!HR27/CSX!HR$20</f>
        <v>0.25818427269659128</v>
      </c>
      <c r="HQ19" s="225">
        <f>CSX!HS27/CSX!HS$20</f>
        <v>0.26397831243646219</v>
      </c>
      <c r="HR19" s="225">
        <f>CSX!HT27/CSX!HT$20</f>
        <v>0.26168781401686109</v>
      </c>
      <c r="HT19" s="224" t="s">
        <v>185</v>
      </c>
      <c r="HU19" s="225">
        <f>CSX!HW27/CSX!HW$20</f>
        <v>0.25960890087660149</v>
      </c>
      <c r="HV19" s="225">
        <f>CSX!HX27/CSX!HX$20</f>
        <v>0.24701195219123506</v>
      </c>
      <c r="HW19" s="225">
        <f>CSX!HY27/CSX!HY$20</f>
        <v>0.26053904630269525</v>
      </c>
      <c r="HX19" s="225">
        <f>CSX!HZ27/CSX!HZ$20</f>
        <v>0.26074895977808599</v>
      </c>
      <c r="HY19" s="225">
        <f>CSX!IA27/CSX!IA$20</f>
        <v>0.25689009867301804</v>
      </c>
      <c r="IA19" s="224" t="s">
        <v>185</v>
      </c>
      <c r="IB19" s="225">
        <f>CSX!ID27/CSX!ID$20</f>
        <v>0.25929682217714672</v>
      </c>
      <c r="IC19" s="225">
        <f>CSX!IE27/CSX!IE$20</f>
        <v>0.25317693059628543</v>
      </c>
      <c r="ID19" s="225">
        <f>CSX!IF27/CSX!IF$20</f>
        <v>0.26375458486162057</v>
      </c>
      <c r="IE19" s="225">
        <f>CSX!IG27/CSX!IG$20</f>
        <v>0.26484168865435354</v>
      </c>
      <c r="IF19" s="225">
        <f>CSX!IH27/CSX!IH$20</f>
        <v>0.26024216287941615</v>
      </c>
      <c r="IH19" s="224" t="s">
        <v>185</v>
      </c>
      <c r="II19" s="225">
        <f>CSX!IK27/CSX!IK$20</f>
        <v>0.27025232403718458</v>
      </c>
      <c r="IJ19" s="225">
        <f>CSX!IL27/CSX!IL$20</f>
        <v>0.24938347718865597</v>
      </c>
      <c r="IK19" s="225">
        <f>CSX!IM27/CSX!IM$20</f>
        <v>0.26234088792300525</v>
      </c>
      <c r="IL19" s="225">
        <f>CSX!IN27/CSX!IN$20</f>
        <v>0.28477443609022557</v>
      </c>
      <c r="IM19" s="225">
        <f>CSX!IO27/CSX!IO$20</f>
        <v>0.26655616070723814</v>
      </c>
      <c r="IO19" s="224" t="s">
        <v>185</v>
      </c>
      <c r="IP19" s="225">
        <f>CSX!IR27/CSX!IR$20</f>
        <v>0.29038652130822595</v>
      </c>
      <c r="IQ19" s="225">
        <f>CSX!IS27/CSX!IS$20</f>
        <v>0.26925587467362927</v>
      </c>
      <c r="IR19" s="225">
        <f>CSX!IT27/CSX!IT$20</f>
        <v>0.26777815583531811</v>
      </c>
      <c r="IS19" s="225">
        <f>CSX!IU27/CSX!IU$20</f>
        <v>0.28730672419992809</v>
      </c>
      <c r="IT19" s="225">
        <f>CSX!IV27/CSX!IV$20</f>
        <v>0.27855389044111423</v>
      </c>
      <c r="IV19" s="224" t="s">
        <v>185</v>
      </c>
      <c r="IW19" s="225">
        <f>CSX!IY27/CSX!IY$20</f>
        <v>0.30404889228418641</v>
      </c>
      <c r="IX19" s="225">
        <f>CSX!IZ27/CSX!IZ$20</f>
        <v>0.27699704142011833</v>
      </c>
      <c r="IY19" s="225">
        <f>CSX!JA27/CSX!JA$20</f>
        <v>0.2811808118081181</v>
      </c>
      <c r="IZ19" s="225">
        <f>CSX!JB27/CSX!JB$20</f>
        <v>0.28054000658544614</v>
      </c>
      <c r="JA19" s="225">
        <f>CSX!JC27/CSX!JC$20</f>
        <v>0.28539163429397418</v>
      </c>
      <c r="JC19" s="224" t="s">
        <v>185</v>
      </c>
      <c r="JD19" s="225">
        <f>CSX!JF27/CSX!JF$20</f>
        <v>0.27710003485535029</v>
      </c>
      <c r="JE19" s="225">
        <f>CSX!JG27/CSX!JG$20</f>
        <v>0.25605182407091714</v>
      </c>
      <c r="JF19" s="225">
        <f>CSX!JH27/CSX!JH$20</f>
        <v>0.26430915056507476</v>
      </c>
      <c r="JG19" s="225">
        <f>CSX!JI27/CSX!JI$20</f>
        <v>0.2357666783094656</v>
      </c>
      <c r="JH19" s="225">
        <f>CSX!JJ27/CSX!JJ$20</f>
        <v>0.25823983169705472</v>
      </c>
      <c r="JJ19" s="224" t="s">
        <v>185</v>
      </c>
      <c r="JK19" s="225">
        <f>CSX!JM27/CSX!JM$20</f>
        <v>0.24200278164116829</v>
      </c>
      <c r="JL19" s="225">
        <f>CSX!JN27/CSX!JN$20</f>
        <v>0.21566731141199227</v>
      </c>
      <c r="JM19" s="225">
        <f>CSX!JO27/CSX!JO$20</f>
        <v>0.22211569191434963</v>
      </c>
      <c r="JN19" s="225">
        <f>CSX!JP27/CSX!JP$20</f>
        <v>0.215717467387846</v>
      </c>
      <c r="JO19" s="225">
        <f>CSX!JQ27/CSX!JQ$20</f>
        <v>0.22351020408163266</v>
      </c>
      <c r="JQ19" s="224" t="s">
        <v>185</v>
      </c>
      <c r="JR19" s="225">
        <f>CSX!JT27/CSX!JT$20</f>
        <v>0.22303352140723531</v>
      </c>
      <c r="JS19" s="225">
        <f>CSX!JU27/CSX!JU$20</f>
        <v>0.21169552433845149</v>
      </c>
      <c r="JT19" s="225">
        <f>CSX!JV27/CSX!JV$20</f>
        <v>0.21423774345198118</v>
      </c>
      <c r="JU19" s="225">
        <f>CSX!JW27/CSX!JW$20</f>
        <v>0.22807625649913346</v>
      </c>
      <c r="JV19" s="225">
        <f>CSX!JX27/CSX!JX$20</f>
        <v>0.21915054033676803</v>
      </c>
      <c r="JX19" s="224" t="s">
        <v>185</v>
      </c>
      <c r="JY19" s="225">
        <f>CSX!KA27/CSX!KA$20</f>
        <v>0.21225919439579685</v>
      </c>
      <c r="JZ19" s="225">
        <f>CSX!KB27/CSX!KB$20</f>
        <v>0.22483370288248336</v>
      </c>
      <c r="KA19" s="225">
        <f>CSX!KC27/CSX!KC$20</f>
        <v>0.21676737160120846</v>
      </c>
      <c r="KB19" s="225">
        <f>CSX!KD27/CSX!KD$20</f>
        <v>0.20814159292035397</v>
      </c>
      <c r="KC19" s="225">
        <f>CSX!KE27/CSX!KE$20</f>
        <v>0.21496740054804875</v>
      </c>
      <c r="KE19" s="224" t="s">
        <v>185</v>
      </c>
      <c r="KF19" s="225">
        <f>CSX!KH27/CSX!KH$20</f>
        <v>0.22040526128688234</v>
      </c>
      <c r="KG19" s="225">
        <f>CSX!KI27/CSX!KI$20</f>
        <v>0.19933110367892976</v>
      </c>
      <c r="KH19" s="225">
        <f>CSX!KJ27/CSX!KJ$20</f>
        <v>0.19167679222357228</v>
      </c>
      <c r="KI19" s="225">
        <f>CSX!KK27/CSX!KK$20</f>
        <v>0.20513568718996206</v>
      </c>
      <c r="KJ19" s="225">
        <f>CSX!KL27/CSX!KL$20</f>
        <v>0.20364159080019167</v>
      </c>
      <c r="KL19" s="224" t="s">
        <v>185</v>
      </c>
      <c r="KM19" s="225">
        <f>CSX!KO27/CSX!KO$20</f>
        <v>0.20275417521242309</v>
      </c>
      <c r="KN19" s="225">
        <f>CSX!KP27/CSX!KP$20</f>
        <v>0.17929226736566187</v>
      </c>
      <c r="KO19" s="225">
        <f>CSX!KQ27/CSX!KQ$20</f>
        <v>0.19486521181001284</v>
      </c>
      <c r="KP19" s="225">
        <f>CSX!KR27/CSX!KR$20</f>
        <v>0.19463806970509384</v>
      </c>
      <c r="KQ19" s="225">
        <f>CSX!KS27/CSX!KS$20</f>
        <v>0.19262101932269576</v>
      </c>
      <c r="KS19" s="224" t="s">
        <v>185</v>
      </c>
      <c r="KT19" s="225">
        <f>CSX!KV27/CSX!KV$20</f>
        <v>0.19697787371829464</v>
      </c>
      <c r="KU19" s="225">
        <f>CSX!KW27/CSX!KW$20</f>
        <v>0.20221681535550148</v>
      </c>
      <c r="KV19" s="225">
        <f>CSX!KX27/CSX!KX$20</f>
        <v>0.21304591265397538</v>
      </c>
      <c r="KW19" s="225">
        <f>CSX!KY27/CSX!KY$20</f>
        <v>0.22092391304347825</v>
      </c>
      <c r="KX19" s="225">
        <f>CSX!KZ27/CSX!KZ$20</f>
        <v>0.20822815037183598</v>
      </c>
      <c r="KZ19" s="224" t="s">
        <v>185</v>
      </c>
      <c r="LA19" s="225">
        <f>CSX!LC27/CSX!LC$20</f>
        <v>0.21869057321380059</v>
      </c>
      <c r="LB19" s="225">
        <f>CSX!LD27/CSX!LD$20</f>
        <v>0.20697108889489327</v>
      </c>
      <c r="LC19" s="225">
        <f>CSX!LE27/CSX!LE$20</f>
        <v>0.22271345675600995</v>
      </c>
      <c r="LD19" s="225">
        <f>CSX!LF27/CSX!LF$20</f>
        <v>0.22266176886126024</v>
      </c>
      <c r="LE19" s="225">
        <f>Expense!LE7/CSX!LG$20</f>
        <v>0.21767537826685007</v>
      </c>
      <c r="LF19" s="584"/>
      <c r="LG19" s="224" t="s">
        <v>185</v>
      </c>
      <c r="LH19" s="225">
        <f>CSX!LJ27/CSX!LJ$20</f>
        <v>0.23984808647385333</v>
      </c>
      <c r="LI19" s="225">
        <f>CSX!LK27/CSX!LK$20</f>
        <v>0.2213206491326245</v>
      </c>
      <c r="LJ19" s="225">
        <f>CSX!LL27/CSX!LL$20</f>
        <v>0.22107610816838583</v>
      </c>
      <c r="LK19" s="225">
        <f>CSX!LM27/CSX!LM$20</f>
        <v>0.22919042189281641</v>
      </c>
      <c r="LL19" s="225">
        <f>Expense!LL7/CSX!LN$20</f>
        <v>0.22771785410161793</v>
      </c>
      <c r="LM19" s="584"/>
      <c r="LN19" s="224" t="s">
        <v>185</v>
      </c>
      <c r="LO19" s="225">
        <f>Expense!LO7/CSX!LQ$20</f>
        <v>0.23447754318921407</v>
      </c>
      <c r="LP19" s="225">
        <f>Expense!LP7/CSX!LR$20</f>
        <v>0.21377067952131246</v>
      </c>
      <c r="LQ19" s="225">
        <f>Expense!LQ7/CSX!LS$20</f>
        <v>0.21219625457248054</v>
      </c>
      <c r="LR19" s="225">
        <f>Expense!LR7/CSX!LT$20</f>
        <v>0.21819250340858085</v>
      </c>
      <c r="LS19" s="225">
        <f>Expense!LS7/CSX!LU$20</f>
        <v>0.21943933534645801</v>
      </c>
      <c r="LT19" s="584"/>
      <c r="LU19" s="224" t="s">
        <v>185</v>
      </c>
      <c r="LV19" s="225">
        <f>Expense!LV7/CSX!LX$20</f>
        <v>0.2301710496132208</v>
      </c>
      <c r="LW19" s="225">
        <f>Expense!LW7/CSX!LY$20</f>
        <v>0.21059759063509106</v>
      </c>
      <c r="LX19" s="225">
        <f>Expense!LX7/CSX!LZ$20</f>
        <v>0.20929333992868732</v>
      </c>
      <c r="LY19" s="225">
        <f>Expense!LY7/CSX!MA$20</f>
        <v>0.21547663298534131</v>
      </c>
      <c r="LZ19" s="225">
        <f>Expense!LZ7/CSX!MB$20</f>
        <v>0.21618569720241257</v>
      </c>
      <c r="MA19" s="584"/>
      <c r="MB19" s="224" t="s">
        <v>185</v>
      </c>
      <c r="MC19" s="225">
        <f>Expense!MC7/CSX!ME$20</f>
        <v>0.22746321999861255</v>
      </c>
      <c r="MD19" s="225">
        <f>Expense!MD7/CSX!MF$20</f>
        <v>0.20847914406080001</v>
      </c>
      <c r="ME19" s="225">
        <f>Expense!ME7/CSX!MG$20</f>
        <v>0.20747103355469257</v>
      </c>
      <c r="MF19" s="225">
        <f>Expense!MF7/CSX!MH$20</f>
        <v>0.21399602166535142</v>
      </c>
      <c r="MG19" s="225">
        <f>Expense!MG7/CSX!MI$20</f>
        <v>0.21416707930363407</v>
      </c>
      <c r="MH19" s="584"/>
    </row>
    <row r="20" spans="1:346" s="37" customFormat="1" ht="13.15" x14ac:dyDescent="0.4">
      <c r="A20" s="96"/>
      <c r="B20" s="224" t="s">
        <v>281</v>
      </c>
      <c r="C20" s="225"/>
      <c r="D20" s="225"/>
      <c r="E20" s="225"/>
      <c r="F20" s="225"/>
      <c r="G20" s="225"/>
      <c r="H20" s="225"/>
      <c r="I20" s="225"/>
      <c r="J20" s="225"/>
      <c r="K20" s="225"/>
      <c r="L20" s="225"/>
      <c r="M20" s="225"/>
      <c r="N20" s="225">
        <f t="shared" si="11"/>
        <v>0</v>
      </c>
      <c r="O20" s="225">
        <f t="shared" si="12"/>
        <v>0</v>
      </c>
      <c r="P20" s="225">
        <f t="shared" si="13"/>
        <v>0</v>
      </c>
      <c r="Q20" s="225">
        <f t="shared" si="14"/>
        <v>0</v>
      </c>
      <c r="R20" s="225">
        <f t="shared" si="15"/>
        <v>0</v>
      </c>
      <c r="S20" s="225">
        <f t="shared" si="16"/>
        <v>0</v>
      </c>
      <c r="T20" s="225">
        <f t="shared" si="17"/>
        <v>0</v>
      </c>
      <c r="U20" s="225">
        <f t="shared" si="18"/>
        <v>0</v>
      </c>
      <c r="V20" s="225">
        <f t="shared" si="19"/>
        <v>0</v>
      </c>
      <c r="W20" s="225">
        <f t="shared" si="20"/>
        <v>0</v>
      </c>
      <c r="X20" s="225">
        <f t="shared" si="21"/>
        <v>0</v>
      </c>
      <c r="Y20" s="225">
        <f t="shared" si="22"/>
        <v>0</v>
      </c>
      <c r="Z20" s="225">
        <f t="shared" si="23"/>
        <v>0</v>
      </c>
      <c r="AA20" s="225">
        <f t="shared" si="24"/>
        <v>0</v>
      </c>
      <c r="AB20" s="225">
        <f t="shared" si="25"/>
        <v>0</v>
      </c>
      <c r="AC20" s="225">
        <f t="shared" si="26"/>
        <v>0</v>
      </c>
      <c r="AD20" s="225">
        <f t="shared" si="27"/>
        <v>0.20648761771886989</v>
      </c>
      <c r="AE20" s="225">
        <f t="shared" si="28"/>
        <v>0.20531047459753293</v>
      </c>
      <c r="AF20" s="225">
        <f t="shared" si="29"/>
        <v>0.19182452642073777</v>
      </c>
      <c r="AG20" s="225">
        <f t="shared" si="30"/>
        <v>0.1896934695690804</v>
      </c>
      <c r="AH20" s="225">
        <f t="shared" si="31"/>
        <v>0.20606127640747704</v>
      </c>
      <c r="AI20" s="225">
        <f t="shared" si="32"/>
        <v>0.19509213990221888</v>
      </c>
      <c r="AJ20" s="225">
        <f t="shared" si="33"/>
        <v>0.18981520906071703</v>
      </c>
      <c r="AK20" s="225">
        <f t="shared" si="34"/>
        <v>0.18339571282749234</v>
      </c>
      <c r="AL20" s="225">
        <f t="shared" si="35"/>
        <v>0.18867142146292917</v>
      </c>
      <c r="AM20" s="225">
        <f t="shared" si="36"/>
        <v>0.19606914515747098</v>
      </c>
      <c r="AN20" s="225">
        <f t="shared" si="37"/>
        <v>0.19778172889679113</v>
      </c>
      <c r="AO20" s="225">
        <f t="shared" si="38"/>
        <v>0.18727979040563736</v>
      </c>
      <c r="AP20" s="225">
        <f t="shared" si="39"/>
        <v>0.18530855539971949</v>
      </c>
      <c r="AQ20" s="225">
        <f t="shared" si="40"/>
        <v>0.16057142857142856</v>
      </c>
      <c r="AR20" s="225">
        <f t="shared" si="41"/>
        <v>0.14945128591773477</v>
      </c>
      <c r="AS20" s="225">
        <f t="shared" si="42"/>
        <v>0.15912312198809411</v>
      </c>
      <c r="AT20" s="225">
        <f t="shared" si="43"/>
        <v>0.17026034179843474</v>
      </c>
      <c r="AU20" s="225">
        <f t="shared" si="44"/>
        <v>0.18077156130074731</v>
      </c>
      <c r="AV20" s="225">
        <f t="shared" si="45"/>
        <v>0.19048918605444498</v>
      </c>
      <c r="AW20" s="225">
        <f t="shared" si="46"/>
        <v>0.19614855570839065</v>
      </c>
      <c r="AX20" s="225">
        <f t="shared" si="47"/>
        <v>0.2113965370422935</v>
      </c>
      <c r="AY20" s="225">
        <f t="shared" si="48"/>
        <v>0.20247950153783739</v>
      </c>
      <c r="AZ20" s="225">
        <f t="shared" si="49"/>
        <v>0.18993774322905724</v>
      </c>
      <c r="BA20" s="225">
        <f t="shared" si="50"/>
        <v>0.18646060405560194</v>
      </c>
      <c r="BB20" s="225"/>
      <c r="BC20" s="225"/>
      <c r="BD20" s="225"/>
      <c r="BE20" s="225"/>
      <c r="BF20" s="225"/>
      <c r="BG20" s="225"/>
      <c r="BH20" s="225"/>
      <c r="BI20" s="225"/>
      <c r="BJ20" s="225"/>
      <c r="BK20" s="225"/>
      <c r="BL20" s="225"/>
      <c r="BM20" s="225"/>
      <c r="BO20" s="224" t="s">
        <v>281</v>
      </c>
      <c r="BP20" s="225"/>
      <c r="BQ20" s="225"/>
      <c r="BR20" s="225"/>
      <c r="BS20" s="225"/>
      <c r="BT20" s="225"/>
      <c r="BV20" s="224" t="s">
        <v>281</v>
      </c>
      <c r="BW20" s="225"/>
      <c r="BX20" s="225"/>
      <c r="BY20" s="225"/>
      <c r="BZ20" s="225"/>
      <c r="CA20" s="225"/>
      <c r="CC20" s="224" t="s">
        <v>281</v>
      </c>
      <c r="CD20" s="225"/>
      <c r="CE20" s="225"/>
      <c r="CF20" s="225"/>
      <c r="CG20" s="225"/>
      <c r="CH20" s="225"/>
      <c r="CJ20" s="224" t="s">
        <v>281</v>
      </c>
      <c r="CK20" s="225"/>
      <c r="CL20" s="225"/>
      <c r="CM20" s="225"/>
      <c r="CN20" s="225"/>
      <c r="CO20" s="225"/>
      <c r="CQ20" s="224" t="s">
        <v>281</v>
      </c>
      <c r="CR20" s="225"/>
      <c r="CS20" s="225"/>
      <c r="CT20" s="225"/>
      <c r="CU20" s="225"/>
      <c r="CV20" s="225"/>
      <c r="CX20" s="224" t="s">
        <v>281</v>
      </c>
      <c r="CY20" s="225"/>
      <c r="CZ20" s="225"/>
      <c r="DA20" s="225"/>
      <c r="DB20" s="225"/>
      <c r="DC20" s="225"/>
      <c r="DE20" s="224" t="s">
        <v>281</v>
      </c>
      <c r="DF20" s="225"/>
      <c r="DG20" s="225"/>
      <c r="DH20" s="225"/>
      <c r="DI20" s="225"/>
      <c r="DJ20" s="225"/>
      <c r="DL20" s="224" t="s">
        <v>281</v>
      </c>
      <c r="DM20" s="225"/>
      <c r="DN20" s="225"/>
      <c r="DO20" s="225"/>
      <c r="DP20" s="225"/>
      <c r="DQ20" s="225"/>
      <c r="DS20" s="224" t="s">
        <v>281</v>
      </c>
      <c r="DT20" s="225"/>
      <c r="DU20" s="225"/>
      <c r="DV20" s="225"/>
      <c r="DW20" s="225"/>
      <c r="DX20" s="225"/>
      <c r="DZ20" s="224" t="s">
        <v>281</v>
      </c>
      <c r="EA20" s="225"/>
      <c r="EB20" s="225"/>
      <c r="EC20" s="225"/>
      <c r="ED20" s="225"/>
      <c r="EE20" s="225"/>
      <c r="EG20" s="224" t="s">
        <v>281</v>
      </c>
      <c r="EH20" s="225"/>
      <c r="EI20" s="225"/>
      <c r="EJ20" s="225"/>
      <c r="EK20" s="225"/>
      <c r="EL20" s="225"/>
      <c r="EN20" s="224" t="s">
        <v>281</v>
      </c>
      <c r="EO20" s="225"/>
      <c r="EP20" s="225"/>
      <c r="EQ20" s="225"/>
      <c r="ER20" s="225"/>
      <c r="ES20" s="225"/>
      <c r="EU20" s="224" t="s">
        <v>281</v>
      </c>
      <c r="EV20" s="225"/>
      <c r="EW20" s="225"/>
      <c r="EX20" s="225"/>
      <c r="EY20" s="225"/>
      <c r="EZ20" s="225"/>
      <c r="FB20" s="224" t="s">
        <v>281</v>
      </c>
      <c r="FC20" s="225"/>
      <c r="FD20" s="225"/>
      <c r="FE20" s="225"/>
      <c r="FF20" s="225"/>
      <c r="FG20" s="225"/>
      <c r="FI20" s="224" t="s">
        <v>281</v>
      </c>
      <c r="FJ20" s="225"/>
      <c r="FK20" s="225"/>
      <c r="FL20" s="225"/>
      <c r="FM20" s="225"/>
      <c r="FN20" s="225"/>
      <c r="FP20" s="224" t="s">
        <v>281</v>
      </c>
      <c r="FQ20" s="225"/>
      <c r="FR20" s="225"/>
      <c r="FS20" s="225"/>
      <c r="FT20" s="225"/>
      <c r="FU20" s="225"/>
      <c r="FW20" s="224" t="s">
        <v>281</v>
      </c>
      <c r="FX20" s="225">
        <f>CSX!FZ28/CSX!FZ$20</f>
        <v>0.21916508538899432</v>
      </c>
      <c r="FY20" s="225">
        <f>CSX!GA28/CSX!GA$20</f>
        <v>0.20428106095858539</v>
      </c>
      <c r="FZ20" s="225">
        <f>CSX!GB28/CSX!GB$20</f>
        <v>0.21364705882352941</v>
      </c>
      <c r="GA20" s="225">
        <f>CSX!GC28/CSX!GC$20</f>
        <v>0.1897251013970257</v>
      </c>
      <c r="GB20" s="225">
        <f>CSX!GD28/CSX!GD$20</f>
        <v>0.20648761771886989</v>
      </c>
      <c r="GD20" s="224" t="s">
        <v>281</v>
      </c>
      <c r="GE20" s="225">
        <f>CSX!GG28/CSX!GG$20</f>
        <v>0.20677820677820677</v>
      </c>
      <c r="GF20" s="225">
        <f>CSX!GH28/CSX!GH$20</f>
        <v>0.20198265179677818</v>
      </c>
      <c r="GG20" s="225">
        <f>CSX!GI28/CSX!GI$20</f>
        <v>0.20554177005789909</v>
      </c>
      <c r="GH20" s="225">
        <f>CSX!GJ28/CSX!GJ$20</f>
        <v>0.20701168614357263</v>
      </c>
      <c r="GI20" s="225">
        <f>CSX!GK28/CSX!GK$20</f>
        <v>0.20531047459753293</v>
      </c>
      <c r="GK20" s="224" t="s">
        <v>281</v>
      </c>
      <c r="GL20" s="225">
        <f>CSX!GN28/CSX!GN$20</f>
        <v>0.22254335260115607</v>
      </c>
      <c r="GM20" s="225">
        <f>CSX!GO28/CSX!GO$20</f>
        <v>0.1857707509881423</v>
      </c>
      <c r="GN20" s="225">
        <f>CSX!GP28/CSX!GP$20</f>
        <v>0.18832467013194723</v>
      </c>
      <c r="GO20" s="225">
        <f>CSX!GQ28/CSX!GQ$20</f>
        <v>0.17229336437718276</v>
      </c>
      <c r="GP20" s="225">
        <f>CSX!GR28/CSX!GR$20</f>
        <v>0.19182452642073777</v>
      </c>
      <c r="GR20" s="224" t="s">
        <v>281</v>
      </c>
      <c r="GS20" s="225">
        <f>CSX!GU28/CSX!GU$20</f>
        <v>0.18687799483966089</v>
      </c>
      <c r="GT20" s="225">
        <f>CSX!GV28/CSX!GV$20</f>
        <v>0.17647058823529413</v>
      </c>
      <c r="GU20" s="225">
        <f>CSX!GW28/CSX!GW$20</f>
        <v>0.19182708544410673</v>
      </c>
      <c r="GV20" s="225">
        <f>CSX!GX28/CSX!GX$20</f>
        <v>0.20456245325355274</v>
      </c>
      <c r="GW20" s="225">
        <f>CSX!GY28/CSX!GY$20</f>
        <v>0.1896934695690804</v>
      </c>
      <c r="GY20" s="224" t="s">
        <v>281</v>
      </c>
      <c r="GZ20" s="225">
        <f>CSX!HB28/CSX!HB$20</f>
        <v>0.21228304405874499</v>
      </c>
      <c r="HA20" s="225">
        <f>CSX!HC28/CSX!HC$20</f>
        <v>0.20320366132723111</v>
      </c>
      <c r="HB20" s="225">
        <f>CSX!HD28/CSX!HD$20</f>
        <v>0.218435998252512</v>
      </c>
      <c r="HC20" s="225">
        <f>CSX!HE28/CSX!HE$20</f>
        <v>0.19051724137931034</v>
      </c>
      <c r="HD20" s="225">
        <f>CSX!HF28/CSX!HF$20</f>
        <v>0.20606127640747704</v>
      </c>
      <c r="HF20" s="224" t="s">
        <v>281</v>
      </c>
      <c r="HG20" s="225">
        <f>CSX!HI28/CSX!HI$20</f>
        <v>0.2083500602167804</v>
      </c>
      <c r="HH20" s="225">
        <f>CSX!HJ28/CSX!HJ$20</f>
        <v>0.20690950056327451</v>
      </c>
      <c r="HI20" s="225">
        <f>CSX!HK28/CSX!HK$20</f>
        <v>0.19092273068267065</v>
      </c>
      <c r="HJ20" s="225">
        <f>CSX!HL28/CSX!HL$20</f>
        <v>0.17613636363636365</v>
      </c>
      <c r="HK20" s="225">
        <f>CSX!HM28/CSX!HM$20</f>
        <v>0.19509213990221888</v>
      </c>
      <c r="HM20" s="224" t="s">
        <v>281</v>
      </c>
      <c r="HN20" s="225">
        <f>CSX!HP28/CSX!HP$20</f>
        <v>0.18861209964412812</v>
      </c>
      <c r="HO20" s="225">
        <f>CSX!HQ28/CSX!HQ$20</f>
        <v>0.18449817820470354</v>
      </c>
      <c r="HP20" s="225">
        <f>CSX!HR28/CSX!HR$20</f>
        <v>0.18967262909213634</v>
      </c>
      <c r="HQ20" s="225">
        <f>CSX!HS28/CSX!HS$20</f>
        <v>0.19654354456116571</v>
      </c>
      <c r="HR20" s="225">
        <f>CSX!HT28/CSX!HT$20</f>
        <v>0.18981520906071703</v>
      </c>
      <c r="HT20" s="224" t="s">
        <v>281</v>
      </c>
      <c r="HU20" s="225">
        <f>CSX!HW28/CSX!HW$20</f>
        <v>0.1827376938637896</v>
      </c>
      <c r="HV20" s="225">
        <f>CSX!HX28/CSX!HX$20</f>
        <v>0.18260292164674635</v>
      </c>
      <c r="HW20" s="225">
        <f>CSX!HY28/CSX!HY$20</f>
        <v>0.18140981340704906</v>
      </c>
      <c r="HX20" s="225">
        <f>CSX!HZ28/CSX!HZ$20</f>
        <v>0.18689320388349515</v>
      </c>
      <c r="HY20" s="225">
        <f>CSX!IA28/CSX!IA$20</f>
        <v>0.18339571282749234</v>
      </c>
      <c r="IA20" s="224" t="s">
        <v>281</v>
      </c>
      <c r="IB20" s="225">
        <f>CSX!ID28/CSX!ID$20</f>
        <v>0.17139959432048682</v>
      </c>
      <c r="IC20" s="225">
        <f>CSX!IE28/CSX!IE$20</f>
        <v>0.18246985988921474</v>
      </c>
      <c r="ID20" s="225">
        <f>CSX!IF28/CSX!IF$20</f>
        <v>0.19206402134044681</v>
      </c>
      <c r="IE20" s="225">
        <f>CSX!IG28/CSX!IG$20</f>
        <v>0.20844327176781002</v>
      </c>
      <c r="IF20" s="225">
        <f>CSX!IH28/CSX!IH$20</f>
        <v>0.18867142146292917</v>
      </c>
      <c r="IH20" s="224" t="s">
        <v>281</v>
      </c>
      <c r="II20" s="225">
        <f>CSX!IK28/CSX!IK$20</f>
        <v>0.20883134130146083</v>
      </c>
      <c r="IJ20" s="225">
        <f>CSX!IL28/CSX!IL$20</f>
        <v>0.19143033292231812</v>
      </c>
      <c r="IK20" s="225">
        <f>CSX!IM28/CSX!IM$20</f>
        <v>0.18938217944737659</v>
      </c>
      <c r="IL20" s="225">
        <f>CSX!IN28/CSX!IN$20</f>
        <v>0.19548872180451127</v>
      </c>
      <c r="IM20" s="225">
        <f>CSX!IO28/CSX!IO$20</f>
        <v>0.19606914515747098</v>
      </c>
      <c r="IO20" s="224" t="s">
        <v>281</v>
      </c>
      <c r="IP20" s="225">
        <f>CSX!IR28/CSX!IR$20</f>
        <v>0.20713577799801783</v>
      </c>
      <c r="IQ20" s="225">
        <f>CSX!IS28/CSX!IS$20</f>
        <v>0.18244125326370758</v>
      </c>
      <c r="IR20" s="225">
        <f>CSX!IT28/CSX!IT$20</f>
        <v>0.19734603606668935</v>
      </c>
      <c r="IS20" s="225">
        <f>CSX!IU28/CSX!IU$20</f>
        <v>0.20496224379719524</v>
      </c>
      <c r="IT20" s="225">
        <f>CSX!IV28/CSX!IV$20</f>
        <v>0.19778172889679113</v>
      </c>
      <c r="IV20" s="224" t="s">
        <v>281</v>
      </c>
      <c r="IW20" s="225">
        <f>CSX!IY28/CSX!IY$20</f>
        <v>0.21008403361344538</v>
      </c>
      <c r="IX20" s="225">
        <f>CSX!IZ28/CSX!IZ$20</f>
        <v>0.1919378698224852</v>
      </c>
      <c r="IY20" s="225">
        <f>CSX!JA28/CSX!JA$20</f>
        <v>0.18708487084870848</v>
      </c>
      <c r="IZ20" s="225">
        <f>CSX!JB28/CSX!JB$20</f>
        <v>0.16364833717484359</v>
      </c>
      <c r="JA20" s="225">
        <f>CSX!JC28/CSX!JC$20</f>
        <v>0.18727979040563736</v>
      </c>
      <c r="JC20" s="224" t="s">
        <v>281</v>
      </c>
      <c r="JD20" s="225">
        <f>CSX!JF28/CSX!JF$20</f>
        <v>0.19902405019170444</v>
      </c>
      <c r="JE20" s="225">
        <f>CSX!JG28/CSX!JG$20</f>
        <v>0.16911012615069895</v>
      </c>
      <c r="JF20" s="225">
        <f>CSX!JH28/CSX!JH$20</f>
        <v>0.19066715275246082</v>
      </c>
      <c r="JG20" s="225">
        <f>CSX!JI28/CSX!JI$20</f>
        <v>0.18302479916171849</v>
      </c>
      <c r="JH20" s="225">
        <f>CSX!JJ28/CSX!JJ$20</f>
        <v>0.18530855539971949</v>
      </c>
      <c r="JJ20" s="224" t="s">
        <v>281</v>
      </c>
      <c r="JK20" s="225">
        <f>CSX!JM28/CSX!JM$20</f>
        <v>0.16759388038942977</v>
      </c>
      <c r="JL20" s="225">
        <f>CSX!JN28/CSX!JN$20</f>
        <v>0.15119277885235333</v>
      </c>
      <c r="JM20" s="225">
        <f>CSX!JO28/CSX!JO$20</f>
        <v>0.15148609779482264</v>
      </c>
      <c r="JN20" s="225">
        <f>CSX!JP28/CSX!JP$20</f>
        <v>0.1724467069678651</v>
      </c>
      <c r="JO20" s="225">
        <f>CSX!JQ28/CSX!JQ$20</f>
        <v>0.16057142857142856</v>
      </c>
      <c r="JQ20" s="224" t="s">
        <v>281</v>
      </c>
      <c r="JR20" s="225">
        <f>CSX!JT28/CSX!JT$20</f>
        <v>0.15864586790574178</v>
      </c>
      <c r="JS20" s="225">
        <f>CSX!JU28/CSX!JU$20</f>
        <v>0.14864423391048676</v>
      </c>
      <c r="JT20" s="225">
        <f>CSX!JV28/CSX!JV$20</f>
        <v>0.13935527199462727</v>
      </c>
      <c r="JU20" s="225">
        <f>CSX!JW28/CSX!JW$20</f>
        <v>0.15112651646447139</v>
      </c>
      <c r="JV20" s="225">
        <f>CSX!JX28/CSX!JX$20</f>
        <v>0.14945128591773477</v>
      </c>
      <c r="JX20" s="224" t="s">
        <v>281</v>
      </c>
      <c r="JY20" s="225">
        <f>CSX!KA28/CSX!KA$20</f>
        <v>0.15901926444833625</v>
      </c>
      <c r="JZ20" s="225">
        <f>CSX!KB28/CSX!KB$20</f>
        <v>0.18048780487804877</v>
      </c>
      <c r="KA20" s="225">
        <f>CSX!KC28/CSX!KC$20</f>
        <v>0.14274924471299094</v>
      </c>
      <c r="KB20" s="225">
        <f>CSX!KD28/CSX!KD$20</f>
        <v>0.15752212389380532</v>
      </c>
      <c r="KC20" s="225">
        <f>CSX!KE28/CSX!KE$20</f>
        <v>0.15912312198809411</v>
      </c>
      <c r="KE20" s="224" t="s">
        <v>281</v>
      </c>
      <c r="KF20" s="225">
        <f>CSX!KH28/CSX!KH$20</f>
        <v>0.16672591539281906</v>
      </c>
      <c r="KG20" s="225">
        <f>CSX!KI28/CSX!KI$20</f>
        <v>0.14749163879598662</v>
      </c>
      <c r="KH20" s="225">
        <f>CSX!KJ28/CSX!KJ$20</f>
        <v>0.17527339003645201</v>
      </c>
      <c r="KI20" s="225">
        <f>CSX!KK28/CSX!KK$20</f>
        <v>0.18821126349576889</v>
      </c>
      <c r="KJ20" s="225">
        <f>CSX!KL28/CSX!KL$20</f>
        <v>0.17026034179843474</v>
      </c>
      <c r="KL20" s="224" t="s">
        <v>281</v>
      </c>
      <c r="KM20" s="225">
        <f>CSX!KO28/CSX!KO$20</f>
        <v>0.19777322004101963</v>
      </c>
      <c r="KN20" s="225">
        <f>CSX!KP28/CSX!KP$20</f>
        <v>0.16959370904325033</v>
      </c>
      <c r="KO20" s="225">
        <f>CSX!KQ28/CSX!KQ$20</f>
        <v>0.1704749679075738</v>
      </c>
      <c r="KP20" s="225">
        <f>CSX!KR28/CSX!KR$20</f>
        <v>0.18739946380697051</v>
      </c>
      <c r="KQ20" s="225">
        <f>CSX!KS28/CSX!KS$20</f>
        <v>0.18077156130074731</v>
      </c>
      <c r="KS20" s="224" t="s">
        <v>281</v>
      </c>
      <c r="KT20" s="225">
        <f>CSX!KV28/CSX!KV$20</f>
        <v>0.18834322719913654</v>
      </c>
      <c r="KU20" s="225">
        <f>CSX!KW28/CSX!KW$20</f>
        <v>0.18680724520140579</v>
      </c>
      <c r="KV20" s="225">
        <f>CSX!KX28/CSX!KX$20</f>
        <v>0.19596864501679731</v>
      </c>
      <c r="KW20" s="225">
        <f>CSX!KY28/CSX!KY$20</f>
        <v>0.19103260869565217</v>
      </c>
      <c r="KX20" s="225">
        <f>CSX!KZ28/CSX!KZ$20</f>
        <v>0.19048918605444498</v>
      </c>
      <c r="KZ20" s="224" t="s">
        <v>281</v>
      </c>
      <c r="LA20" s="225">
        <f>CSX!LC28/CSX!LC$20</f>
        <v>0.1958706873132301</v>
      </c>
      <c r="LB20" s="225">
        <f>CSX!LD28/CSX!LD$20</f>
        <v>0.1888678735476898</v>
      </c>
      <c r="LC20" s="225">
        <f>CSX!LE28/CSX!LE$20</f>
        <v>0.18651561204752695</v>
      </c>
      <c r="LD20" s="225">
        <f>CSX!LF28/CSX!LF$20</f>
        <v>0.21390223226900254</v>
      </c>
      <c r="LE20" s="225">
        <f>Expense!LE8/CSX!LG$20</f>
        <v>0.19614855570839065</v>
      </c>
      <c r="LF20" s="584"/>
      <c r="LG20" s="224" t="s">
        <v>281</v>
      </c>
      <c r="LH20" s="225">
        <f>CSX!LJ28/CSX!LJ$20</f>
        <v>0.22611744084136723</v>
      </c>
      <c r="LI20" s="225">
        <f>CSX!LK28/CSX!LK$20</f>
        <v>0.19865696698377169</v>
      </c>
      <c r="LJ20" s="225">
        <f>CSX!LL28/CSX!LL$20</f>
        <v>0.19988848620016728</v>
      </c>
      <c r="LK20" s="225">
        <f>CSX!LM28/CSX!LM$20</f>
        <v>0.22177879133409351</v>
      </c>
      <c r="LL20" s="225">
        <f>Expense!LL8/CSX!LN$20</f>
        <v>0.2113965370422935</v>
      </c>
      <c r="LM20" s="584"/>
      <c r="LN20" s="224" t="s">
        <v>281</v>
      </c>
      <c r="LO20" s="510">
        <v>0.20499999999999999</v>
      </c>
      <c r="LP20" s="510">
        <v>0.19700000000000001</v>
      </c>
      <c r="LQ20" s="510">
        <v>0.19900000000000001</v>
      </c>
      <c r="LR20" s="510">
        <v>0.20899999999999999</v>
      </c>
      <c r="LS20" s="225">
        <f>Expense!LS8/CSX!LU$20</f>
        <v>0.20247950153783739</v>
      </c>
      <c r="LT20" s="584"/>
      <c r="LU20" s="224" t="s">
        <v>281</v>
      </c>
      <c r="LV20" s="510">
        <v>0.19500000000000001</v>
      </c>
      <c r="LW20" s="510">
        <v>0.185</v>
      </c>
      <c r="LX20" s="510">
        <v>0.185</v>
      </c>
      <c r="LY20" s="510">
        <v>0.19500000000000001</v>
      </c>
      <c r="LZ20" s="225">
        <f>Expense!LZ8/CSX!MB$20</f>
        <v>0.18993774322905724</v>
      </c>
      <c r="MA20" s="584"/>
      <c r="MB20" s="224" t="s">
        <v>281</v>
      </c>
      <c r="MC20" s="510">
        <v>0.19</v>
      </c>
      <c r="MD20" s="510">
        <v>0.182</v>
      </c>
      <c r="ME20" s="510">
        <v>0.184</v>
      </c>
      <c r="MF20" s="510">
        <v>0.19</v>
      </c>
      <c r="MG20" s="225">
        <f>Expense!MG8/CSX!MI$20</f>
        <v>0.18646060405560194</v>
      </c>
      <c r="MH20" s="584"/>
    </row>
    <row r="21" spans="1:346" s="37" customFormat="1" ht="13.15" x14ac:dyDescent="0.4">
      <c r="A21" s="96"/>
      <c r="B21" s="224" t="s">
        <v>188</v>
      </c>
      <c r="C21" s="225"/>
      <c r="D21" s="225"/>
      <c r="E21" s="225"/>
      <c r="F21" s="225"/>
      <c r="G21" s="225"/>
      <c r="H21" s="225"/>
      <c r="I21" s="225"/>
      <c r="J21" s="225"/>
      <c r="K21" s="225"/>
      <c r="L21" s="225"/>
      <c r="M21" s="225"/>
      <c r="N21" s="225">
        <f t="shared" si="11"/>
        <v>0</v>
      </c>
      <c r="O21" s="225">
        <f t="shared" si="12"/>
        <v>0</v>
      </c>
      <c r="P21" s="225">
        <f t="shared" si="13"/>
        <v>0</v>
      </c>
      <c r="Q21" s="225">
        <f t="shared" si="14"/>
        <v>0</v>
      </c>
      <c r="R21" s="225">
        <f t="shared" si="15"/>
        <v>0</v>
      </c>
      <c r="S21" s="225">
        <f t="shared" si="16"/>
        <v>0</v>
      </c>
      <c r="T21" s="225">
        <f t="shared" si="17"/>
        <v>0</v>
      </c>
      <c r="U21" s="225">
        <f t="shared" si="18"/>
        <v>0</v>
      </c>
      <c r="V21" s="225">
        <f t="shared" si="19"/>
        <v>0</v>
      </c>
      <c r="W21" s="225">
        <f t="shared" si="20"/>
        <v>0</v>
      </c>
      <c r="X21" s="225">
        <f t="shared" si="21"/>
        <v>0</v>
      </c>
      <c r="Y21" s="225">
        <f t="shared" si="22"/>
        <v>0</v>
      </c>
      <c r="Z21" s="225">
        <f t="shared" si="23"/>
        <v>0</v>
      </c>
      <c r="AA21" s="225">
        <f t="shared" si="24"/>
        <v>0</v>
      </c>
      <c r="AB21" s="225">
        <f t="shared" si="25"/>
        <v>0</v>
      </c>
      <c r="AC21" s="225">
        <f t="shared" si="26"/>
        <v>0</v>
      </c>
      <c r="AD21" s="225">
        <f t="shared" si="27"/>
        <v>9.5105220323218234E-2</v>
      </c>
      <c r="AE21" s="225">
        <f t="shared" si="28"/>
        <v>8.948358770646038E-2</v>
      </c>
      <c r="AF21" s="225">
        <f t="shared" si="29"/>
        <v>8.8035892323030912E-2</v>
      </c>
      <c r="AG21" s="225">
        <f t="shared" si="30"/>
        <v>8.0319857840959574E-2</v>
      </c>
      <c r="AH21" s="225">
        <f t="shared" si="31"/>
        <v>0.10009954651034178</v>
      </c>
      <c r="AI21" s="225">
        <f t="shared" si="32"/>
        <v>8.9037232042121092E-2</v>
      </c>
      <c r="AJ21" s="225">
        <f t="shared" si="33"/>
        <v>8.311334411990122E-2</v>
      </c>
      <c r="AK21" s="225">
        <f t="shared" si="34"/>
        <v>9.008166042871725E-2</v>
      </c>
      <c r="AL21" s="225">
        <f t="shared" si="35"/>
        <v>9.1557472217614858E-2</v>
      </c>
      <c r="AM21" s="225">
        <f t="shared" si="36"/>
        <v>9.0851685215881287E-2</v>
      </c>
      <c r="AN21" s="225">
        <f t="shared" si="37"/>
        <v>0.10227753788840911</v>
      </c>
      <c r="AO21" s="225">
        <f t="shared" si="38"/>
        <v>0.11753545939109224</v>
      </c>
      <c r="AP21" s="225">
        <f t="shared" si="39"/>
        <v>0.11526998597475456</v>
      </c>
      <c r="AQ21" s="225">
        <f t="shared" si="40"/>
        <v>0.1086530612244898</v>
      </c>
      <c r="AR21" s="225">
        <f t="shared" si="41"/>
        <v>0.11300996900393734</v>
      </c>
      <c r="AS21" s="225">
        <f t="shared" si="42"/>
        <v>0.13068128130019843</v>
      </c>
      <c r="AT21" s="225">
        <f t="shared" si="43"/>
        <v>0.11340041526912634</v>
      </c>
      <c r="AU21" s="225">
        <f t="shared" si="44"/>
        <v>0.10098969905069682</v>
      </c>
      <c r="AV21" s="225">
        <f t="shared" si="45"/>
        <v>0.11032271269700485</v>
      </c>
      <c r="AW21" s="225">
        <f t="shared" si="46"/>
        <v>0.11403026134800551</v>
      </c>
      <c r="AX21" s="225">
        <f t="shared" si="47"/>
        <v>0.11921657678115243</v>
      </c>
      <c r="AY21" s="225">
        <f t="shared" si="48"/>
        <v>0.1160416527511114</v>
      </c>
      <c r="AZ21" s="225">
        <f t="shared" si="49"/>
        <v>0.11369545506021965</v>
      </c>
      <c r="BA21" s="225">
        <f t="shared" si="50"/>
        <v>0.11243868834010698</v>
      </c>
      <c r="BB21" s="225"/>
      <c r="BC21" s="225"/>
      <c r="BD21" s="225"/>
      <c r="BE21" s="225"/>
      <c r="BF21" s="225"/>
      <c r="BG21" s="225"/>
      <c r="BH21" s="225"/>
      <c r="BI21" s="225"/>
      <c r="BJ21" s="225"/>
      <c r="BK21" s="225"/>
      <c r="BL21" s="225"/>
      <c r="BM21" s="225"/>
      <c r="BO21" s="224" t="s">
        <v>188</v>
      </c>
      <c r="BP21" s="225"/>
      <c r="BQ21" s="225"/>
      <c r="BR21" s="225"/>
      <c r="BS21" s="225"/>
      <c r="BT21" s="225"/>
      <c r="BV21" s="224" t="s">
        <v>188</v>
      </c>
      <c r="BW21" s="225"/>
      <c r="BX21" s="225"/>
      <c r="BY21" s="225"/>
      <c r="BZ21" s="225"/>
      <c r="CA21" s="225"/>
      <c r="CC21" s="224" t="s">
        <v>188</v>
      </c>
      <c r="CD21" s="225"/>
      <c r="CE21" s="225"/>
      <c r="CF21" s="225"/>
      <c r="CG21" s="225"/>
      <c r="CH21" s="225"/>
      <c r="CJ21" s="224" t="s">
        <v>188</v>
      </c>
      <c r="CK21" s="225"/>
      <c r="CL21" s="225"/>
      <c r="CM21" s="225"/>
      <c r="CN21" s="225"/>
      <c r="CO21" s="225"/>
      <c r="CQ21" s="224" t="s">
        <v>188</v>
      </c>
      <c r="CR21" s="225"/>
      <c r="CS21" s="225"/>
      <c r="CT21" s="225"/>
      <c r="CU21" s="225"/>
      <c r="CV21" s="225"/>
      <c r="CX21" s="224" t="s">
        <v>188</v>
      </c>
      <c r="CY21" s="225"/>
      <c r="CZ21" s="225"/>
      <c r="DA21" s="225"/>
      <c r="DB21" s="225"/>
      <c r="DC21" s="225"/>
      <c r="DE21" s="224" t="s">
        <v>188</v>
      </c>
      <c r="DF21" s="225"/>
      <c r="DG21" s="225"/>
      <c r="DH21" s="225"/>
      <c r="DI21" s="225"/>
      <c r="DJ21" s="225"/>
      <c r="DL21" s="224" t="s">
        <v>188</v>
      </c>
      <c r="DM21" s="225"/>
      <c r="DN21" s="225"/>
      <c r="DO21" s="225"/>
      <c r="DP21" s="225"/>
      <c r="DQ21" s="225"/>
      <c r="DS21" s="224" t="s">
        <v>188</v>
      </c>
      <c r="DT21" s="225"/>
      <c r="DU21" s="225"/>
      <c r="DV21" s="225"/>
      <c r="DW21" s="225"/>
      <c r="DX21" s="225"/>
      <c r="DZ21" s="224" t="s">
        <v>188</v>
      </c>
      <c r="EA21" s="225"/>
      <c r="EB21" s="225"/>
      <c r="EC21" s="225"/>
      <c r="ED21" s="225"/>
      <c r="EE21" s="225"/>
      <c r="EG21" s="224" t="s">
        <v>188</v>
      </c>
      <c r="EH21" s="225"/>
      <c r="EI21" s="225"/>
      <c r="EJ21" s="225"/>
      <c r="EK21" s="225"/>
      <c r="EL21" s="225"/>
      <c r="EN21" s="224" t="s">
        <v>188</v>
      </c>
      <c r="EO21" s="225"/>
      <c r="EP21" s="225"/>
      <c r="EQ21" s="225"/>
      <c r="ER21" s="225"/>
      <c r="ES21" s="225"/>
      <c r="EU21" s="224" t="s">
        <v>188</v>
      </c>
      <c r="EV21" s="225"/>
      <c r="EW21" s="225"/>
      <c r="EX21" s="225"/>
      <c r="EY21" s="225"/>
      <c r="EZ21" s="225"/>
      <c r="FB21" s="224" t="s">
        <v>188</v>
      </c>
      <c r="FC21" s="225"/>
      <c r="FD21" s="225"/>
      <c r="FE21" s="225"/>
      <c r="FF21" s="225"/>
      <c r="FG21" s="225"/>
      <c r="FI21" s="224" t="s">
        <v>188</v>
      </c>
      <c r="FJ21" s="225"/>
      <c r="FK21" s="225"/>
      <c r="FL21" s="225"/>
      <c r="FM21" s="225"/>
      <c r="FN21" s="225"/>
      <c r="FP21" s="224" t="s">
        <v>188</v>
      </c>
      <c r="FQ21" s="225"/>
      <c r="FR21" s="225"/>
      <c r="FS21" s="225"/>
      <c r="FT21" s="225"/>
      <c r="FU21" s="225"/>
      <c r="FW21" s="224" t="s">
        <v>188</v>
      </c>
      <c r="FX21" s="225">
        <f>CSX!FZ29/CSX!FZ$20</f>
        <v>9.6299810246679315E-2</v>
      </c>
      <c r="FY21" s="225">
        <f>CSX!GA29/CSX!GA$20</f>
        <v>9.4462540716612378E-2</v>
      </c>
      <c r="FZ21" s="225">
        <f>CSX!GB29/CSX!GB$20</f>
        <v>9.6000000000000002E-2</v>
      </c>
      <c r="GA21" s="225">
        <f>CSX!GC29/CSX!GC$20</f>
        <v>9.3735917079765654E-2</v>
      </c>
      <c r="GB21" s="225">
        <f>CSX!GD29/CSX!GD$20</f>
        <v>9.5105220323218234E-2</v>
      </c>
      <c r="GD21" s="224" t="s">
        <v>188</v>
      </c>
      <c r="GE21" s="225">
        <f>CSX!GG29/CSX!GG$20</f>
        <v>9.0519090519090517E-2</v>
      </c>
      <c r="GF21" s="225">
        <f>CSX!GH29/CSX!GH$20</f>
        <v>8.9219330855018583E-2</v>
      </c>
      <c r="GG21" s="225">
        <f>CSX!GI29/CSX!GI$20</f>
        <v>8.8089330024813894E-2</v>
      </c>
      <c r="GH21" s="225">
        <f>CSX!GJ29/CSX!GJ$20</f>
        <v>9.0150250417362271E-2</v>
      </c>
      <c r="GI21" s="225">
        <f>CSX!GK29/CSX!GK$20</f>
        <v>8.948358770646038E-2</v>
      </c>
      <c r="GK21" s="224" t="s">
        <v>188</v>
      </c>
      <c r="GL21" s="225">
        <f>CSX!GN29/CSX!GN$20</f>
        <v>9.1246903385631711E-2</v>
      </c>
      <c r="GM21" s="225">
        <f>CSX!GO29/CSX!GO$20</f>
        <v>8.7747035573122537E-2</v>
      </c>
      <c r="GN21" s="225">
        <f>CSX!GP29/CSX!GP$20</f>
        <v>8.7964814074370248E-2</v>
      </c>
      <c r="GO21" s="225">
        <f>CSX!GQ29/CSX!GQ$20</f>
        <v>8.5370585952658132E-2</v>
      </c>
      <c r="GP21" s="225">
        <f>CSX!GR29/CSX!GR$20</f>
        <v>8.8035892323030912E-2</v>
      </c>
      <c r="GR21" s="224" t="s">
        <v>188</v>
      </c>
      <c r="GS21" s="225">
        <f>CSX!GU29/CSX!GU$20</f>
        <v>8.1828234426833762E-2</v>
      </c>
      <c r="GT21" s="225">
        <f>CSX!GV29/CSX!GV$20</f>
        <v>7.8087375300997589E-2</v>
      </c>
      <c r="GU21" s="225">
        <f>CSX!GW29/CSX!GW$20</f>
        <v>7.666328942924687E-2</v>
      </c>
      <c r="GV21" s="225">
        <f>CSX!GX29/CSX!GX$20</f>
        <v>8.5265519820493643E-2</v>
      </c>
      <c r="GW21" s="225">
        <f>CSX!GY29/CSX!GY$20</f>
        <v>8.0319857840959574E-2</v>
      </c>
      <c r="GY21" s="224" t="s">
        <v>188</v>
      </c>
      <c r="GZ21" s="225">
        <f>CSX!HB29/CSX!HB$20</f>
        <v>9.9688473520249218E-2</v>
      </c>
      <c r="HA21" s="225">
        <f>CSX!HC29/CSX!HC$20</f>
        <v>0.10389016018306636</v>
      </c>
      <c r="HB21" s="225">
        <f>CSX!HD29/CSX!HD$20</f>
        <v>9.9169943206640451E-2</v>
      </c>
      <c r="HC21" s="225">
        <f>CSX!HE29/CSX!HE$20</f>
        <v>9.7844827586206898E-2</v>
      </c>
      <c r="HD21" s="225">
        <f>CSX!HF29/CSX!HF$20</f>
        <v>0.10009954651034178</v>
      </c>
      <c r="HF21" s="224" t="s">
        <v>188</v>
      </c>
      <c r="HG21" s="225">
        <f>CSX!HI29/CSX!HI$20</f>
        <v>9.1529506222400636E-2</v>
      </c>
      <c r="HH21" s="225">
        <f>CSX!HJ29/CSX!HJ$20</f>
        <v>8.6368757040931277E-2</v>
      </c>
      <c r="HI21" s="225">
        <f>CSX!HK29/CSX!HK$20</f>
        <v>8.7021755438859719E-2</v>
      </c>
      <c r="HJ21" s="225">
        <f>CSX!HL29/CSX!HL$20</f>
        <v>9.1264204545454544E-2</v>
      </c>
      <c r="HK21" s="225">
        <f>CSX!HM29/CSX!HM$20</f>
        <v>8.9037232042121092E-2</v>
      </c>
      <c r="HM21" s="224" t="s">
        <v>188</v>
      </c>
      <c r="HN21" s="225">
        <f>CSX!HP29/CSX!HP$20</f>
        <v>8.6476868327402132E-2</v>
      </c>
      <c r="HO21" s="225">
        <f>CSX!HQ29/CSX!HQ$20</f>
        <v>8.1483935077840339E-2</v>
      </c>
      <c r="HP21" s="225">
        <f>CSX!HR29/CSX!HR$20</f>
        <v>8.4711441106986168E-2</v>
      </c>
      <c r="HQ21" s="225">
        <f>CSX!HS29/CSX!HS$20</f>
        <v>7.9972890545577768E-2</v>
      </c>
      <c r="HR21" s="225">
        <f>CSX!HT29/CSX!HT$20</f>
        <v>8.311334411990122E-2</v>
      </c>
      <c r="HT21" s="224" t="s">
        <v>188</v>
      </c>
      <c r="HU21" s="225">
        <f>CSX!HW29/CSX!HW$20</f>
        <v>8.6648685097774777E-2</v>
      </c>
      <c r="HV21" s="225">
        <f>CSX!HX29/CSX!HX$20</f>
        <v>8.7317397078353259E-2</v>
      </c>
      <c r="HW21" s="225">
        <f>CSX!HY29/CSX!HY$20</f>
        <v>9.2605390463026946E-2</v>
      </c>
      <c r="HX21" s="225">
        <f>CSX!HZ29/CSX!HZ$20</f>
        <v>9.3966712898751734E-2</v>
      </c>
      <c r="HY21" s="225">
        <f>CSX!IA29/CSX!IA$20</f>
        <v>9.008166042871725E-2</v>
      </c>
      <c r="IA21" s="224" t="s">
        <v>188</v>
      </c>
      <c r="IB21" s="225">
        <f>CSX!ID29/CSX!ID$20</f>
        <v>9.1277890466531439E-2</v>
      </c>
      <c r="IC21" s="225">
        <f>CSX!IE29/CSX!IE$20</f>
        <v>8.9931573802541548E-2</v>
      </c>
      <c r="ID21" s="225">
        <f>CSX!IF29/CSX!IF$20</f>
        <v>9.2364121373791269E-2</v>
      </c>
      <c r="IE21" s="225">
        <f>CSX!IG29/CSX!IG$20</f>
        <v>9.2678100263852245E-2</v>
      </c>
      <c r="IF21" s="225">
        <f>CSX!IH29/CSX!IH$20</f>
        <v>9.1557472217614858E-2</v>
      </c>
      <c r="IH21" s="224" t="s">
        <v>188</v>
      </c>
      <c r="II21" s="225">
        <f>CSX!IK29/CSX!IK$20</f>
        <v>9.3957503320053121E-2</v>
      </c>
      <c r="IJ21" s="225">
        <f>CSX!IL29/CSX!IL$20</f>
        <v>8.8471023427866835E-2</v>
      </c>
      <c r="IK21" s="225">
        <f>CSX!IM29/CSX!IM$20</f>
        <v>9.034461347407638E-2</v>
      </c>
      <c r="IL21" s="225">
        <f>CSX!IN29/CSX!IN$20</f>
        <v>9.0852130325814531E-2</v>
      </c>
      <c r="IM21" s="225">
        <f>CSX!IO29/CSX!IO$20</f>
        <v>9.0851685215881287E-2</v>
      </c>
      <c r="IO21" s="224" t="s">
        <v>188</v>
      </c>
      <c r="IP21" s="225">
        <f>CSX!IR29/CSX!IR$20</f>
        <v>9.7456227287743641E-2</v>
      </c>
      <c r="IQ21" s="225">
        <f>CSX!IS29/CSX!IS$20</f>
        <v>9.7584856396866843E-2</v>
      </c>
      <c r="IR21" s="225">
        <f>CSX!IT29/CSX!IT$20</f>
        <v>0.10275603946920721</v>
      </c>
      <c r="IS21" s="225">
        <f>CSX!IU29/CSX!IU$20</f>
        <v>0.1121898597626753</v>
      </c>
      <c r="IT21" s="225">
        <f>CSX!IV29/CSX!IV$20</f>
        <v>0.10227753788840911</v>
      </c>
      <c r="IV21" s="224" t="s">
        <v>188</v>
      </c>
      <c r="IW21" s="225">
        <f>CSX!IY29/CSX!IY$20</f>
        <v>0.11955691367456073</v>
      </c>
      <c r="IX21" s="225">
        <f>CSX!IZ29/CSX!IZ$20</f>
        <v>0.11797337278106509</v>
      </c>
      <c r="IY21" s="225">
        <f>CSX!JA29/CSX!JA$20</f>
        <v>0.11845018450184502</v>
      </c>
      <c r="IZ21" s="225">
        <f>CSX!JB29/CSX!JB$20</f>
        <v>0.11458676325321041</v>
      </c>
      <c r="JA21" s="225">
        <f>CSX!JC29/CSX!JC$20</f>
        <v>0.11753545939109224</v>
      </c>
      <c r="JC21" s="224" t="s">
        <v>188</v>
      </c>
      <c r="JD21" s="225">
        <f>CSX!JF29/CSX!JF$20</f>
        <v>0.11153712094806553</v>
      </c>
      <c r="JE21" s="225">
        <f>CSX!JG29/CSX!JG$20</f>
        <v>0.11148994203886806</v>
      </c>
      <c r="JF21" s="225">
        <f>CSX!JH29/CSX!JH$20</f>
        <v>0.12067079839591688</v>
      </c>
      <c r="JG21" s="225">
        <f>CSX!JI29/CSX!JI$20</f>
        <v>0.11770869717079986</v>
      </c>
      <c r="JH21" s="225">
        <f>CSX!JJ29/CSX!JJ$20</f>
        <v>0.11526998597475456</v>
      </c>
      <c r="JJ21" s="224" t="s">
        <v>188</v>
      </c>
      <c r="JK21" s="225">
        <f>CSX!JM29/CSX!JM$20</f>
        <v>0.11230876216968011</v>
      </c>
      <c r="JL21" s="225">
        <f>CSX!JN29/CSX!JN$20</f>
        <v>0.10606060606060606</v>
      </c>
      <c r="JM21" s="225">
        <f>CSX!JO29/CSX!JO$20</f>
        <v>0.10674336848833493</v>
      </c>
      <c r="JN21" s="225">
        <f>CSX!JP29/CSX!JP$20</f>
        <v>0.10976773783009863</v>
      </c>
      <c r="JO21" s="225">
        <f>CSX!JQ29/CSX!JQ$20</f>
        <v>0.1086530612244898</v>
      </c>
      <c r="JQ21" s="224" t="s">
        <v>188</v>
      </c>
      <c r="JR21" s="225">
        <f>CSX!JT29/CSX!JT$20</f>
        <v>0.10952538997676735</v>
      </c>
      <c r="JS21" s="225">
        <f>CSX!JU29/CSX!JU$20</f>
        <v>0.11009474028095394</v>
      </c>
      <c r="JT21" s="225">
        <f>CSX!JV29/CSX!JV$20</f>
        <v>0.11349899261249161</v>
      </c>
      <c r="JU21" s="225">
        <f>CSX!JW29/CSX!JW$20</f>
        <v>0.11923743500866552</v>
      </c>
      <c r="JV21" s="225">
        <f>CSX!JX29/CSX!JX$20</f>
        <v>0.11300996900393734</v>
      </c>
      <c r="JX21" s="224" t="s">
        <v>188</v>
      </c>
      <c r="JY21" s="225">
        <f>CSX!KA29/CSX!KA$20</f>
        <v>0.12049036777583187</v>
      </c>
      <c r="JZ21" s="225">
        <f>CSX!KB29/CSX!KB$20</f>
        <v>0.152549889135255</v>
      </c>
      <c r="KA21" s="225">
        <f>CSX!KC29/CSX!KC$20</f>
        <v>0.13141993957703926</v>
      </c>
      <c r="KB21" s="225">
        <f>CSX!KD29/CSX!KD$20</f>
        <v>0.12283185840707965</v>
      </c>
      <c r="KC21" s="225">
        <f>CSX!KE29/CSX!KE$20</f>
        <v>0.13068128130019843</v>
      </c>
      <c r="KE21" s="224" t="s">
        <v>188</v>
      </c>
      <c r="KF21" s="225">
        <f>CSX!KH29/CSX!KH$20</f>
        <v>0.12264486313544259</v>
      </c>
      <c r="KG21" s="225">
        <f>CSX!KI29/CSX!KI$20</f>
        <v>0.11638795986622073</v>
      </c>
      <c r="KH21" s="225">
        <f>CSX!KJ29/CSX!KJ$20</f>
        <v>0.11148238153098421</v>
      </c>
      <c r="KI21" s="225">
        <f>CSX!KK29/CSX!KK$20</f>
        <v>0.10504814706740589</v>
      </c>
      <c r="KJ21" s="225">
        <f>CSX!KL29/CSX!KL$20</f>
        <v>0.11340041526912634</v>
      </c>
      <c r="KL21" s="224" t="s">
        <v>188</v>
      </c>
      <c r="KM21" s="225">
        <f>CSX!KO29/CSX!KO$20</f>
        <v>0.1054790506885438</v>
      </c>
      <c r="KN21" s="225">
        <f>CSX!KP29/CSX!KP$20</f>
        <v>9.6723460026212321E-2</v>
      </c>
      <c r="KO21" s="225">
        <f>CSX!KQ29/CSX!KQ$20</f>
        <v>9.7047496790757387E-2</v>
      </c>
      <c r="KP21" s="225">
        <f>CSX!KR29/CSX!KR$20</f>
        <v>0.10536193029490616</v>
      </c>
      <c r="KQ21" s="225">
        <f>CSX!KS29/CSX!KS$20</f>
        <v>0.10098969905069682</v>
      </c>
      <c r="KS21" s="224" t="s">
        <v>188</v>
      </c>
      <c r="KT21" s="225">
        <f>CSX!KV29/CSX!KV$20</f>
        <v>0.10604425256341068</v>
      </c>
      <c r="KU21" s="225">
        <f>CSX!KW29/CSX!KW$20</f>
        <v>0.10921870775885374</v>
      </c>
      <c r="KV21" s="225">
        <f>CSX!KX29/CSX!KX$20</f>
        <v>0.11282194848824188</v>
      </c>
      <c r="KW21" s="225">
        <f>CSX!KY29/CSX!KY$20</f>
        <v>0.11331521739130435</v>
      </c>
      <c r="KX21" s="225">
        <f>CSX!KZ29/CSX!KZ$20</f>
        <v>0.11032271269700485</v>
      </c>
      <c r="KZ21" s="224" t="s">
        <v>188</v>
      </c>
      <c r="LA21" s="225">
        <f>CSX!LC29/CSX!LC$20</f>
        <v>0.11138277641945124</v>
      </c>
      <c r="LB21" s="225">
        <f>CSX!LD29/CSX!LD$20</f>
        <v>0.11078087003512564</v>
      </c>
      <c r="LC21" s="225">
        <f>CSX!LE29/CSX!LE$20</f>
        <v>0.11494888090632771</v>
      </c>
      <c r="LD21" s="225">
        <f>CSX!LF29/CSX!LF$20</f>
        <v>0.11924272393331449</v>
      </c>
      <c r="LE21" s="225">
        <f>Expense!LE9/CSX!LG$20</f>
        <v>0.11403026134800551</v>
      </c>
      <c r="LF21" s="584"/>
      <c r="LG21" s="224" t="s">
        <v>188</v>
      </c>
      <c r="LH21" s="225">
        <f>CSX!LJ29/CSX!LJ$20</f>
        <v>0.12416009348524686</v>
      </c>
      <c r="LI21" s="225">
        <f>CSX!LK29/CSX!LK$20</f>
        <v>0.11947397873531057</v>
      </c>
      <c r="LJ21" s="225">
        <f>CSX!LL29/CSX!LL$20</f>
        <v>0.11820462782269306</v>
      </c>
      <c r="LK21" s="225">
        <f>CSX!LM29/CSX!LM$20</f>
        <v>0.11516533637400228</v>
      </c>
      <c r="LL21" s="225">
        <f>Expense!LL9/CSX!LN$20</f>
        <v>0.11921657678115243</v>
      </c>
      <c r="LM21" s="584"/>
      <c r="LN21" s="224" t="s">
        <v>188</v>
      </c>
      <c r="LO21" s="225">
        <f>Expense!LO9/CSX!LQ$20</f>
        <v>0.12106966318802559</v>
      </c>
      <c r="LP21" s="225">
        <f>Expense!LP9/CSX!LR$20</f>
        <v>0.1155150482175282</v>
      </c>
      <c r="LQ21" s="225">
        <f>Expense!LQ9/CSX!LS$20</f>
        <v>0.11366292783579861</v>
      </c>
      <c r="LR21" s="225">
        <f>Expense!LR9/CSX!LT$20</f>
        <v>0.11423455159226553</v>
      </c>
      <c r="LS21" s="225">
        <f>Expense!LS9/CSX!LU$20</f>
        <v>0.1160416527511114</v>
      </c>
      <c r="LT21" s="584"/>
      <c r="LU21" s="224" t="s">
        <v>188</v>
      </c>
      <c r="LV21" s="225">
        <f>Expense!LV9/CSX!LX$20</f>
        <v>0.11768808244796822</v>
      </c>
      <c r="LW21" s="225">
        <f>Expense!LW9/CSX!LY$20</f>
        <v>0.11289191676774282</v>
      </c>
      <c r="LX21" s="225">
        <f>Expense!LX9/CSX!LZ$20</f>
        <v>0.11171277793873401</v>
      </c>
      <c r="LY21" s="225">
        <f>Expense!LY9/CSX!MA$20</f>
        <v>0.11272830025714753</v>
      </c>
      <c r="LZ21" s="225">
        <f>Expense!LZ9/CSX!MB$20</f>
        <v>0.11369545506021965</v>
      </c>
      <c r="MA21" s="584"/>
      <c r="MB21" s="224" t="s">
        <v>188</v>
      </c>
      <c r="MC21" s="225">
        <f>Expense!MC9/CSX!ME$20</f>
        <v>0.11632892793153687</v>
      </c>
      <c r="MD21" s="225">
        <f>Expense!MD9/CSX!MF$20</f>
        <v>0.11163506520522205</v>
      </c>
      <c r="ME21" s="225">
        <f>Expense!ME9/CSX!MG$20</f>
        <v>0.11047655857006439</v>
      </c>
      <c r="MF21" s="225">
        <f>Expense!MF9/CSX!MH$20</f>
        <v>0.11154321798717451</v>
      </c>
      <c r="MG21" s="225">
        <f>Expense!MG9/CSX!MI$20</f>
        <v>0.11243868834010698</v>
      </c>
      <c r="MH21" s="584"/>
    </row>
    <row r="22" spans="1:346" s="37" customFormat="1" ht="13.15" x14ac:dyDescent="0.4">
      <c r="A22" s="96"/>
      <c r="B22" s="224" t="s">
        <v>23</v>
      </c>
      <c r="C22" s="225"/>
      <c r="D22" s="225"/>
      <c r="E22" s="225"/>
      <c r="F22" s="225"/>
      <c r="G22" s="225"/>
      <c r="H22" s="225"/>
      <c r="I22" s="225"/>
      <c r="J22" s="225"/>
      <c r="K22" s="225"/>
      <c r="L22" s="225"/>
      <c r="M22" s="225"/>
      <c r="N22" s="225">
        <f t="shared" si="11"/>
        <v>0</v>
      </c>
      <c r="O22" s="225">
        <f t="shared" si="12"/>
        <v>0</v>
      </c>
      <c r="P22" s="225">
        <f t="shared" si="13"/>
        <v>0</v>
      </c>
      <c r="Q22" s="225">
        <f t="shared" si="14"/>
        <v>0</v>
      </c>
      <c r="R22" s="225">
        <f t="shared" si="15"/>
        <v>0</v>
      </c>
      <c r="S22" s="225">
        <f t="shared" si="16"/>
        <v>0</v>
      </c>
      <c r="T22" s="225">
        <f t="shared" si="17"/>
        <v>0</v>
      </c>
      <c r="U22" s="225">
        <f t="shared" si="18"/>
        <v>0</v>
      </c>
      <c r="V22" s="225">
        <f t="shared" si="19"/>
        <v>0</v>
      </c>
      <c r="W22" s="225">
        <f t="shared" si="20"/>
        <v>0</v>
      </c>
      <c r="X22" s="225">
        <f t="shared" si="21"/>
        <v>0</v>
      </c>
      <c r="Y22" s="225">
        <f t="shared" si="22"/>
        <v>0</v>
      </c>
      <c r="Z22" s="225">
        <f t="shared" si="23"/>
        <v>0</v>
      </c>
      <c r="AA22" s="225">
        <f t="shared" si="24"/>
        <v>0</v>
      </c>
      <c r="AB22" s="225">
        <f t="shared" si="25"/>
        <v>0</v>
      </c>
      <c r="AC22" s="225">
        <f t="shared" si="26"/>
        <v>0</v>
      </c>
      <c r="AD22" s="225">
        <f t="shared" si="27"/>
        <v>9.1035926055109864E-2</v>
      </c>
      <c r="AE22" s="225">
        <f t="shared" si="28"/>
        <v>0.1162450344971775</v>
      </c>
      <c r="AF22" s="225">
        <f t="shared" si="29"/>
        <v>0.13080757726819542</v>
      </c>
      <c r="AG22" s="225">
        <f t="shared" si="30"/>
        <v>0.16143936028431807</v>
      </c>
      <c r="AH22" s="225">
        <f t="shared" si="31"/>
        <v>9.390554142240902E-2</v>
      </c>
      <c r="AI22" s="225">
        <f t="shared" si="32"/>
        <v>0.11395261376457315</v>
      </c>
      <c r="AJ22" s="225">
        <f t="shared" si="33"/>
        <v>0.14204206761474922</v>
      </c>
      <c r="AK22" s="225">
        <f t="shared" si="34"/>
        <v>0.14222524668254508</v>
      </c>
      <c r="AL22" s="225">
        <f t="shared" si="35"/>
        <v>0.13733620832642229</v>
      </c>
      <c r="AM22" s="225">
        <f t="shared" si="36"/>
        <v>0.12755545031178467</v>
      </c>
      <c r="AN22" s="225">
        <f t="shared" si="37"/>
        <v>8.1026162052324102E-2</v>
      </c>
      <c r="AO22" s="225">
        <f t="shared" si="38"/>
        <v>6.4414129550998289E-2</v>
      </c>
      <c r="AP22" s="225">
        <f t="shared" si="39"/>
        <v>7.5736325385694248E-2</v>
      </c>
      <c r="AQ22" s="225">
        <f t="shared" si="40"/>
        <v>8.5387755102040816E-2</v>
      </c>
      <c r="AR22" s="225">
        <f t="shared" si="41"/>
        <v>7.5898466951495352E-2</v>
      </c>
      <c r="AS22" s="225">
        <f t="shared" si="42"/>
        <v>5.1119720306151376E-2</v>
      </c>
      <c r="AT22" s="225">
        <f t="shared" si="43"/>
        <v>7.2911675451205873E-2</v>
      </c>
      <c r="AU22" s="225">
        <f t="shared" si="44"/>
        <v>0.10947283377095536</v>
      </c>
      <c r="AV22" s="225">
        <f t="shared" si="45"/>
        <v>9.3948284096336224E-2</v>
      </c>
      <c r="AW22" s="225">
        <f t="shared" si="46"/>
        <v>8.0330123796423653E-2</v>
      </c>
      <c r="AX22" s="225">
        <f t="shared" si="47"/>
        <v>7.7703661652001141E-2</v>
      </c>
      <c r="AY22" s="225">
        <f t="shared" si="48"/>
        <v>7.3036876717223531E-2</v>
      </c>
      <c r="AZ22" s="225">
        <f t="shared" si="49"/>
        <v>7.1072056954775656E-2</v>
      </c>
      <c r="BA22" s="225">
        <f t="shared" si="50"/>
        <v>6.9562234175020429E-2</v>
      </c>
      <c r="BB22" s="225"/>
      <c r="BC22" s="225"/>
      <c r="BD22" s="225"/>
      <c r="BE22" s="225"/>
      <c r="BF22" s="225"/>
      <c r="BG22" s="225"/>
      <c r="BH22" s="225"/>
      <c r="BI22" s="225"/>
      <c r="BJ22" s="225"/>
      <c r="BK22" s="225"/>
      <c r="BL22" s="225"/>
      <c r="BM22" s="225"/>
      <c r="BO22" s="224" t="s">
        <v>23</v>
      </c>
      <c r="BP22" s="225"/>
      <c r="BQ22" s="225"/>
      <c r="BR22" s="225"/>
      <c r="BS22" s="225"/>
      <c r="BT22" s="225"/>
      <c r="BV22" s="224" t="s">
        <v>23</v>
      </c>
      <c r="BW22" s="225"/>
      <c r="BX22" s="225"/>
      <c r="BY22" s="225"/>
      <c r="BZ22" s="225"/>
      <c r="CA22" s="225"/>
      <c r="CC22" s="224" t="s">
        <v>23</v>
      </c>
      <c r="CD22" s="225"/>
      <c r="CE22" s="225"/>
      <c r="CF22" s="225"/>
      <c r="CG22" s="225"/>
      <c r="CH22" s="225"/>
      <c r="CJ22" s="224" t="s">
        <v>23</v>
      </c>
      <c r="CK22" s="225"/>
      <c r="CL22" s="225"/>
      <c r="CM22" s="225"/>
      <c r="CN22" s="225"/>
      <c r="CO22" s="225"/>
      <c r="CQ22" s="224" t="s">
        <v>23</v>
      </c>
      <c r="CR22" s="225"/>
      <c r="CS22" s="225"/>
      <c r="CT22" s="225"/>
      <c r="CU22" s="225"/>
      <c r="CV22" s="225"/>
      <c r="CX22" s="224" t="s">
        <v>23</v>
      </c>
      <c r="CY22" s="225"/>
      <c r="CZ22" s="225"/>
      <c r="DA22" s="225"/>
      <c r="DB22" s="225"/>
      <c r="DC22" s="225"/>
      <c r="DE22" s="224" t="s">
        <v>23</v>
      </c>
      <c r="DF22" s="225"/>
      <c r="DG22" s="225"/>
      <c r="DH22" s="225"/>
      <c r="DI22" s="225"/>
      <c r="DJ22" s="225"/>
      <c r="DL22" s="224" t="s">
        <v>23</v>
      </c>
      <c r="DM22" s="225"/>
      <c r="DN22" s="225"/>
      <c r="DO22" s="225"/>
      <c r="DP22" s="225"/>
      <c r="DQ22" s="225"/>
      <c r="DS22" s="224" t="s">
        <v>23</v>
      </c>
      <c r="DT22" s="225"/>
      <c r="DU22" s="225"/>
      <c r="DV22" s="225"/>
      <c r="DW22" s="225"/>
      <c r="DX22" s="225"/>
      <c r="DZ22" s="224" t="s">
        <v>23</v>
      </c>
      <c r="EA22" s="225"/>
      <c r="EB22" s="225"/>
      <c r="EC22" s="225"/>
      <c r="ED22" s="225"/>
      <c r="EE22" s="225"/>
      <c r="EG22" s="224" t="s">
        <v>23</v>
      </c>
      <c r="EH22" s="225"/>
      <c r="EI22" s="225"/>
      <c r="EJ22" s="225"/>
      <c r="EK22" s="225"/>
      <c r="EL22" s="225"/>
      <c r="EN22" s="224" t="s">
        <v>23</v>
      </c>
      <c r="EO22" s="225"/>
      <c r="EP22" s="225"/>
      <c r="EQ22" s="225"/>
      <c r="ER22" s="225"/>
      <c r="ES22" s="225"/>
      <c r="EU22" s="224" t="s">
        <v>23</v>
      </c>
      <c r="EV22" s="225"/>
      <c r="EW22" s="225"/>
      <c r="EX22" s="225"/>
      <c r="EY22" s="225"/>
      <c r="EZ22" s="225"/>
      <c r="FB22" s="224" t="s">
        <v>23</v>
      </c>
      <c r="FC22" s="225"/>
      <c r="FD22" s="225"/>
      <c r="FE22" s="225"/>
      <c r="FF22" s="225"/>
      <c r="FG22" s="225"/>
      <c r="FI22" s="224" t="s">
        <v>23</v>
      </c>
      <c r="FJ22" s="225"/>
      <c r="FK22" s="225"/>
      <c r="FL22" s="225"/>
      <c r="FM22" s="225"/>
      <c r="FN22" s="225"/>
      <c r="FP22" s="224" t="s">
        <v>23</v>
      </c>
      <c r="FQ22" s="225"/>
      <c r="FR22" s="225"/>
      <c r="FS22" s="225"/>
      <c r="FT22" s="225"/>
      <c r="FU22" s="225"/>
      <c r="FW22" s="224" t="s">
        <v>23</v>
      </c>
      <c r="FX22" s="225">
        <f>CSX!FZ30/CSX!FZ$20</f>
        <v>8.49146110056926E-2</v>
      </c>
      <c r="FY22" s="225">
        <f>CSX!GA30/CSX!GA$20</f>
        <v>8.1898557468590039E-2</v>
      </c>
      <c r="FZ22" s="225">
        <f>CSX!GB30/CSX!GB$20</f>
        <v>8.847058823529412E-2</v>
      </c>
      <c r="GA22" s="225">
        <f>CSX!GC30/CSX!GC$20</f>
        <v>0.10815682739972961</v>
      </c>
      <c r="GB22" s="225">
        <f>CSX!GD30/CSX!GD$20</f>
        <v>9.1035926055109864E-2</v>
      </c>
      <c r="GD22" s="224" t="s">
        <v>23</v>
      </c>
      <c r="GE22" s="225">
        <f>CSX!GG30/CSX!GG$20</f>
        <v>0.10853710853710853</v>
      </c>
      <c r="GF22" s="225">
        <f>CSX!GH30/CSX!GH$20</f>
        <v>0.11895910780669144</v>
      </c>
      <c r="GG22" s="225">
        <f>CSX!GI30/CSX!GI$20</f>
        <v>0.12406947890818859</v>
      </c>
      <c r="GH22" s="225">
        <f>CSX!GJ30/CSX!GJ$20</f>
        <v>0.1131051752921536</v>
      </c>
      <c r="GI22" s="225">
        <f>CSX!GK30/CSX!GK$20</f>
        <v>0.1162450344971775</v>
      </c>
      <c r="GK22" s="224" t="s">
        <v>23</v>
      </c>
      <c r="GL22" s="225">
        <f>CSX!GN30/CSX!GN$20</f>
        <v>0.11725846407927333</v>
      </c>
      <c r="GM22" s="225">
        <f>CSX!GO30/CSX!GO$20</f>
        <v>0.12490118577075099</v>
      </c>
      <c r="GN22" s="225">
        <f>CSX!GP30/CSX!GP$20</f>
        <v>0.13194722111155538</v>
      </c>
      <c r="GO22" s="225">
        <f>CSX!GQ30/CSX!GQ$20</f>
        <v>0.14823438106325185</v>
      </c>
      <c r="GP22" s="225">
        <f>CSX!GR30/CSX!GR$20</f>
        <v>0.13080757726819542</v>
      </c>
      <c r="GR22" s="224" t="s">
        <v>23</v>
      </c>
      <c r="GS22" s="225">
        <f>CSX!GU30/CSX!GU$20</f>
        <v>0.16255068190195357</v>
      </c>
      <c r="GT22" s="225">
        <f>CSX!GV30/CSX!GV$20</f>
        <v>0.18472652218782248</v>
      </c>
      <c r="GU22" s="225">
        <f>CSX!GW30/CSX!GW$20</f>
        <v>0.17156366092536304</v>
      </c>
      <c r="GV22" s="225">
        <f>CSX!GX30/CSX!GX$20</f>
        <v>0.1237845923709798</v>
      </c>
      <c r="GW22" s="225">
        <f>CSX!GY30/CSX!GY$20</f>
        <v>0.16143936028431807</v>
      </c>
      <c r="GY22" s="224" t="s">
        <v>23</v>
      </c>
      <c r="GZ22" s="225">
        <f>CSX!HB30/CSX!HB$20</f>
        <v>8.5002225189141078E-2</v>
      </c>
      <c r="HA22" s="225">
        <f>CSX!HC30/CSX!HC$20</f>
        <v>8.4668192219679639E-2</v>
      </c>
      <c r="HB22" s="225">
        <f>CSX!HD30/CSX!HD$20</f>
        <v>9.742245522062036E-2</v>
      </c>
      <c r="HC22" s="225">
        <f>CSX!HE30/CSX!HE$20</f>
        <v>0.10775862068965517</v>
      </c>
      <c r="HD22" s="225">
        <f>CSX!HF30/CSX!HF$20</f>
        <v>9.390554142240902E-2</v>
      </c>
      <c r="HF22" s="224" t="s">
        <v>23</v>
      </c>
      <c r="HG22" s="225">
        <f>CSX!HI30/CSX!HI$20</f>
        <v>0.11360899237254114</v>
      </c>
      <c r="HH22" s="225">
        <f>CSX!HJ30/CSX!HJ$20</f>
        <v>0.11415696582801352</v>
      </c>
      <c r="HI22" s="225">
        <f>CSX!HK30/CSX!HK$20</f>
        <v>0.10465116279069768</v>
      </c>
      <c r="HJ22" s="225">
        <f>CSX!HL30/CSX!HL$20</f>
        <v>0.12286931818181818</v>
      </c>
      <c r="HK22" s="225">
        <f>CSX!HM30/CSX!HM$20</f>
        <v>0.11395261376457315</v>
      </c>
      <c r="HM22" s="224" t="s">
        <v>23</v>
      </c>
      <c r="HN22" s="225">
        <f>CSX!HP30/CSX!HP$20</f>
        <v>0.14306049822064057</v>
      </c>
      <c r="HO22" s="225">
        <f>CSX!HQ30/CSX!HQ$20</f>
        <v>0.14276250414044386</v>
      </c>
      <c r="HP22" s="225">
        <f>CSX!HR30/CSX!HR$20</f>
        <v>0.13904826189672628</v>
      </c>
      <c r="HQ22" s="225">
        <f>CSX!HS30/CSX!HS$20</f>
        <v>0.1433412402575398</v>
      </c>
      <c r="HR22" s="225">
        <f>CSX!HT30/CSX!HT$20</f>
        <v>0.14204206761474922</v>
      </c>
      <c r="HT22" s="224" t="s">
        <v>23</v>
      </c>
      <c r="HU22" s="225">
        <f>CSX!HW30/CSX!HW$20</f>
        <v>0.14969656102494944</v>
      </c>
      <c r="HV22" s="225">
        <f>CSX!HX30/CSX!HX$20</f>
        <v>0.13612217795484727</v>
      </c>
      <c r="HW22" s="225">
        <f>CSX!HY30/CSX!HY$20</f>
        <v>0.13718037318590187</v>
      </c>
      <c r="HX22" s="225">
        <f>CSX!HZ30/CSX!HZ$20</f>
        <v>0.14597780859916781</v>
      </c>
      <c r="HY22" s="225">
        <f>CSX!IA30/CSX!IA$20</f>
        <v>0.14222524668254508</v>
      </c>
      <c r="IA22" s="224" t="s">
        <v>23</v>
      </c>
      <c r="IB22" s="225">
        <f>CSX!ID30/CSX!ID$20</f>
        <v>0.15010141987829614</v>
      </c>
      <c r="IC22" s="225">
        <f>CSX!IE30/CSX!IE$20</f>
        <v>0.12935809710003257</v>
      </c>
      <c r="ID22" s="225">
        <f>CSX!IF30/CSX!IF$20</f>
        <v>0.13571190396798932</v>
      </c>
      <c r="IE22" s="225">
        <f>CSX!IG30/CSX!IG$20</f>
        <v>0.13456464379947231</v>
      </c>
      <c r="IF22" s="225">
        <f>CSX!IH30/CSX!IH$20</f>
        <v>0.13733620832642229</v>
      </c>
      <c r="IH22" s="224" t="s">
        <v>23</v>
      </c>
      <c r="II22" s="225">
        <f>CSX!IK30/CSX!IK$20</f>
        <v>0.14807436918990705</v>
      </c>
      <c r="IJ22" s="225">
        <f>CSX!IL30/CSX!IL$20</f>
        <v>0.1282367447595561</v>
      </c>
      <c r="IK22" s="225">
        <f>CSX!IM30/CSX!IM$20</f>
        <v>0.1220117975783918</v>
      </c>
      <c r="IL22" s="225">
        <f>CSX!IN30/CSX!IN$20</f>
        <v>0.1130952380952381</v>
      </c>
      <c r="IM22" s="225">
        <f>CSX!IO30/CSX!IO$20</f>
        <v>0.12755545031178467</v>
      </c>
      <c r="IO22" s="224" t="s">
        <v>23</v>
      </c>
      <c r="IP22" s="225">
        <f>CSX!IR30/CSX!IR$20</f>
        <v>8.9197224975222991E-2</v>
      </c>
      <c r="IQ22" s="225">
        <f>CSX!IS30/CSX!IS$20</f>
        <v>8.58355091383812E-2</v>
      </c>
      <c r="IR22" s="225">
        <f>CSX!IT30/CSX!IT$20</f>
        <v>7.5876148349778835E-2</v>
      </c>
      <c r="IS22" s="225">
        <f>CSX!IU30/CSX!IU$20</f>
        <v>7.2276159654800429E-2</v>
      </c>
      <c r="IT22" s="225">
        <f>CSX!IV30/CSX!IV$20</f>
        <v>8.1026162052324102E-2</v>
      </c>
      <c r="IV22" s="224" t="s">
        <v>23</v>
      </c>
      <c r="IW22" s="225">
        <f>CSX!IY30/CSX!IY$20</f>
        <v>5.7295645530939646E-2</v>
      </c>
      <c r="IX22" s="225">
        <f>CSX!IZ30/CSX!IZ$20</f>
        <v>6.3609467455621307E-2</v>
      </c>
      <c r="IY22" s="225">
        <f>CSX!JA30/CSX!JA$20</f>
        <v>6.4206642066420669E-2</v>
      </c>
      <c r="IZ22" s="225">
        <f>CSX!JB30/CSX!JB$20</f>
        <v>7.1452090879157062E-2</v>
      </c>
      <c r="JA22" s="225">
        <f>CSX!JC30/CSX!JC$20</f>
        <v>6.4414129550998289E-2</v>
      </c>
      <c r="JC22" s="224" t="s">
        <v>23</v>
      </c>
      <c r="JD22" s="225">
        <f>CSX!JF30/CSX!JF$20</f>
        <v>7.5984663645869643E-2</v>
      </c>
      <c r="JE22" s="225">
        <f>CSX!JG30/CSX!JG$20</f>
        <v>6.7507671326287072E-2</v>
      </c>
      <c r="JF22" s="225">
        <f>CSX!JH30/CSX!JH$20</f>
        <v>7.4735690849434919E-2</v>
      </c>
      <c r="JG22" s="225">
        <f>CSX!JI30/CSX!JI$20</f>
        <v>8.4876004191407617E-2</v>
      </c>
      <c r="JH22" s="225">
        <f>CSX!JJ30/CSX!JJ$20</f>
        <v>7.5736325385694248E-2</v>
      </c>
      <c r="JJ22" s="224" t="s">
        <v>23</v>
      </c>
      <c r="JK22" s="225">
        <f>CSX!JM30/CSX!JM$20</f>
        <v>8.8664812239221139E-2</v>
      </c>
      <c r="JL22" s="225">
        <f>CSX!JN30/CSX!JN$20</f>
        <v>8.7040618955512572E-2</v>
      </c>
      <c r="JM22" s="225">
        <f>CSX!JO30/CSX!JO$20</f>
        <v>8.5650367529562163E-2</v>
      </c>
      <c r="JN22" s="225">
        <f>CSX!JP30/CSX!JP$20</f>
        <v>8.0496341075405667E-2</v>
      </c>
      <c r="JO22" s="225">
        <f>CSX!JQ30/CSX!JQ$20</f>
        <v>8.5387755102040816E-2</v>
      </c>
      <c r="JQ22" s="224" t="s">
        <v>23</v>
      </c>
      <c r="JR22" s="225">
        <f>CSX!JT30/CSX!JT$20</f>
        <v>7.7331563226020583E-2</v>
      </c>
      <c r="JS22" s="225">
        <f>CSX!JU30/CSX!JU$20</f>
        <v>7.6445606011107475E-2</v>
      </c>
      <c r="JT22" s="225">
        <f>CSX!JV30/CSX!JV$20</f>
        <v>7.4882471457353925E-2</v>
      </c>
      <c r="JU22" s="225">
        <f>CSX!JW30/CSX!JW$20</f>
        <v>7.4870017331022526E-2</v>
      </c>
      <c r="JV22" s="225">
        <f>CSX!JX30/CSX!JX$20</f>
        <v>7.5898466951495352E-2</v>
      </c>
      <c r="JX22" s="224" t="s">
        <v>23</v>
      </c>
      <c r="JY22" s="225">
        <f>CSX!KA30/CSX!KA$20</f>
        <v>6.7250437828371284E-2</v>
      </c>
      <c r="JZ22" s="225">
        <f>CSX!KB30/CSX!KB$20</f>
        <v>4.0354767184035474E-2</v>
      </c>
      <c r="KA22" s="225">
        <f>CSX!KC30/CSX!KC$20</f>
        <v>4.4939577039274925E-2</v>
      </c>
      <c r="KB22" s="225">
        <f>CSX!KD30/CSX!KD$20</f>
        <v>4.9203539823008846E-2</v>
      </c>
      <c r="KC22" s="225">
        <f>CSX!KE30/CSX!KE$20</f>
        <v>5.1119720306151376E-2</v>
      </c>
      <c r="KE22" s="224" t="s">
        <v>23</v>
      </c>
      <c r="KF22" s="225">
        <f>CSX!KH30/CSX!KH$20</f>
        <v>6.7543547813722002E-2</v>
      </c>
      <c r="KG22" s="225">
        <f>CSX!KI30/CSX!KI$20</f>
        <v>6.488294314381271E-2</v>
      </c>
      <c r="KH22" s="225">
        <f>CSX!KJ30/CSX!KJ$20</f>
        <v>7.5030376670716895E-2</v>
      </c>
      <c r="KI22" s="225">
        <f>CSX!KK30/CSX!KK$20</f>
        <v>8.2287715202801287E-2</v>
      </c>
      <c r="KJ22" s="225">
        <f>CSX!KL30/CSX!KL$20</f>
        <v>7.2911675451205873E-2</v>
      </c>
      <c r="KL22" s="224" t="s">
        <v>23</v>
      </c>
      <c r="KM22" s="225">
        <f>CSX!KO30/CSX!KO$20</f>
        <v>9.6982127160855552E-2</v>
      </c>
      <c r="KN22" s="225">
        <f>CSX!KP30/CSX!KP$20</f>
        <v>0.11690694626474443</v>
      </c>
      <c r="KO22" s="225">
        <f>CSX!KQ30/CSX!KQ$20</f>
        <v>0.11245186136071887</v>
      </c>
      <c r="KP22" s="225">
        <f>CSX!KR30/CSX!KR$20</f>
        <v>0.11018766756032172</v>
      </c>
      <c r="KQ22" s="225">
        <f>CSX!KS30/CSX!KS$20</f>
        <v>0.10947283377095536</v>
      </c>
      <c r="KS22" s="224" t="s">
        <v>23</v>
      </c>
      <c r="KT22" s="225">
        <f>CSX!KV30/CSX!KV$20</f>
        <v>9.8219104155423634E-2</v>
      </c>
      <c r="KU22" s="225">
        <f>CSX!KW30/CSX!KW$20</f>
        <v>8.4347120843471207E-2</v>
      </c>
      <c r="KV22" s="225">
        <f>CSX!KX30/CSX!KX$20</f>
        <v>9.7704367301231804E-2</v>
      </c>
      <c r="KW22" s="225">
        <f>CSX!KY30/CSX!KY$20</f>
        <v>9.5652173913043481E-2</v>
      </c>
      <c r="KX22" s="225">
        <f>CSX!KZ30/CSX!KZ$20</f>
        <v>9.3948284096336224E-2</v>
      </c>
      <c r="KZ22" s="224" t="s">
        <v>23</v>
      </c>
      <c r="LA22" s="225">
        <f>CSX!LC30/CSX!LC$20</f>
        <v>8.8291225210540614E-2</v>
      </c>
      <c r="LB22" s="225">
        <f>CSX!LD30/CSX!LD$20</f>
        <v>8.1329370440421503E-2</v>
      </c>
      <c r="LC22" s="225">
        <f>CSX!LE30/CSX!LE$20</f>
        <v>7.6264161370544356E-2</v>
      </c>
      <c r="LD22" s="225">
        <f>CSX!LF30/CSX!LF$20</f>
        <v>7.5162475275501558E-2</v>
      </c>
      <c r="LE22" s="225">
        <f>Expense!LE10/CSX!LG$20</f>
        <v>8.0330123796423653E-2</v>
      </c>
      <c r="LF22" s="584"/>
      <c r="LG22" s="224" t="s">
        <v>23</v>
      </c>
      <c r="LH22" s="225">
        <f>CSX!LJ30/CSX!LJ$20</f>
        <v>8.0338884019865608E-2</v>
      </c>
      <c r="LI22" s="225">
        <f>CSX!LK30/CSX!LK$20</f>
        <v>7.5265808617795193E-2</v>
      </c>
      <c r="LJ22" s="225">
        <f>CSX!LL30/CSX!LL$20</f>
        <v>7.8338444382492337E-2</v>
      </c>
      <c r="LK22" s="225">
        <f>CSX!LM30/CSX!LM$20</f>
        <v>7.6966932725199541E-2</v>
      </c>
      <c r="LL22" s="225">
        <f>Expense!LL10/CSX!LN$20</f>
        <v>7.7703661652001141E-2</v>
      </c>
      <c r="LM22" s="584"/>
      <c r="LN22" s="224" t="s">
        <v>23</v>
      </c>
      <c r="LO22" s="225">
        <f>Expense!LO10/CSX!LQ$20</f>
        <v>7.5623819458228519E-2</v>
      </c>
      <c r="LP22" s="225">
        <f>Expense!LP10/CSX!LR$20</f>
        <v>7.4410722564691931E-2</v>
      </c>
      <c r="LQ22" s="225">
        <f>Expense!LQ10/CSX!LS$20</f>
        <v>7.1293091472957607E-2</v>
      </c>
      <c r="LR22" s="225">
        <f>Expense!LR10/CSX!LT$20</f>
        <v>7.1009559087664847E-2</v>
      </c>
      <c r="LS22" s="225">
        <f>Expense!LS10/CSX!LU$20</f>
        <v>7.3036876717223531E-2</v>
      </c>
      <c r="LT22" s="584"/>
      <c r="LU22" s="224" t="s">
        <v>23</v>
      </c>
      <c r="LV22" s="225">
        <f>Expense!LV10/CSX!LX$20</f>
        <v>7.3521683391792977E-2</v>
      </c>
      <c r="LW22" s="225">
        <f>Expense!LW10/CSX!LY$20</f>
        <v>7.2430723409845243E-2</v>
      </c>
      <c r="LX22" s="225">
        <f>Expense!LX10/CSX!LZ$20</f>
        <v>6.9410674751014187E-2</v>
      </c>
      <c r="LY22" s="225">
        <f>Expense!LY10/CSX!MA$20</f>
        <v>6.9101023251204818E-2</v>
      </c>
      <c r="LZ22" s="225">
        <f>Expense!LZ10/CSX!MB$20</f>
        <v>7.1072056954775656E-2</v>
      </c>
      <c r="MA22" s="584"/>
      <c r="MB22" s="224" t="s">
        <v>23</v>
      </c>
      <c r="MC22" s="225">
        <f>Expense!MC10/CSX!ME$20</f>
        <v>7.185892691758039E-2</v>
      </c>
      <c r="MD22" s="225">
        <f>Expense!MD10/CSX!MF$20</f>
        <v>7.0817452045532261E-2</v>
      </c>
      <c r="ME22" s="225">
        <f>Expense!ME10/CSX!MG$20</f>
        <v>6.8006732095254013E-2</v>
      </c>
      <c r="MF22" s="225">
        <f>Expense!MF10/CSX!MH$20</f>
        <v>6.7726658059369699E-2</v>
      </c>
      <c r="MG22" s="225">
        <f>Expense!MG10/CSX!MI$20</f>
        <v>6.9562234175020429E-2</v>
      </c>
      <c r="MH22" s="584"/>
    </row>
    <row r="23" spans="1:346" s="37" customFormat="1" ht="13.15" x14ac:dyDescent="0.4">
      <c r="A23" s="97"/>
      <c r="B23" s="224" t="s">
        <v>186</v>
      </c>
      <c r="C23" s="225"/>
      <c r="D23" s="225"/>
      <c r="E23" s="225"/>
      <c r="F23" s="225"/>
      <c r="G23" s="225"/>
      <c r="H23" s="225"/>
      <c r="I23" s="225"/>
      <c r="J23" s="225"/>
      <c r="K23" s="225"/>
      <c r="L23" s="225"/>
      <c r="M23" s="225"/>
      <c r="N23" s="225">
        <f t="shared" si="11"/>
        <v>0</v>
      </c>
      <c r="O23" s="225">
        <f t="shared" si="12"/>
        <v>0</v>
      </c>
      <c r="P23" s="225">
        <f t="shared" si="13"/>
        <v>0</v>
      </c>
      <c r="Q23" s="225">
        <f t="shared" si="14"/>
        <v>0</v>
      </c>
      <c r="R23" s="225">
        <f t="shared" si="15"/>
        <v>0</v>
      </c>
      <c r="S23" s="225">
        <f t="shared" si="16"/>
        <v>0</v>
      </c>
      <c r="T23" s="225">
        <f t="shared" si="17"/>
        <v>0</v>
      </c>
      <c r="U23" s="225">
        <f t="shared" si="18"/>
        <v>0</v>
      </c>
      <c r="V23" s="225">
        <f t="shared" si="19"/>
        <v>0</v>
      </c>
      <c r="W23" s="225">
        <f t="shared" si="20"/>
        <v>0</v>
      </c>
      <c r="X23" s="225">
        <f t="shared" si="21"/>
        <v>0</v>
      </c>
      <c r="Y23" s="225">
        <f t="shared" si="22"/>
        <v>0</v>
      </c>
      <c r="Z23" s="225">
        <f t="shared" si="23"/>
        <v>0</v>
      </c>
      <c r="AA23" s="225">
        <f t="shared" si="24"/>
        <v>0</v>
      </c>
      <c r="AB23" s="225">
        <f t="shared" si="25"/>
        <v>0</v>
      </c>
      <c r="AC23" s="225">
        <f t="shared" si="26"/>
        <v>0</v>
      </c>
      <c r="AD23" s="225">
        <f t="shared" si="27"/>
        <v>6.1969538425764449E-2</v>
      </c>
      <c r="AE23" s="225">
        <f t="shared" si="28"/>
        <v>5.3522893581434243E-2</v>
      </c>
      <c r="AF23" s="225">
        <f t="shared" si="29"/>
        <v>4.4965104685942177E-2</v>
      </c>
      <c r="AG23" s="225">
        <f t="shared" si="30"/>
        <v>3.7760995113282986E-2</v>
      </c>
      <c r="AH23" s="225">
        <f t="shared" si="31"/>
        <v>4.3247428381816173E-2</v>
      </c>
      <c r="AI23" s="225">
        <f t="shared" si="32"/>
        <v>3.5163595336592704E-2</v>
      </c>
      <c r="AJ23" s="225">
        <f t="shared" si="33"/>
        <v>3.2274546538363279E-2</v>
      </c>
      <c r="AK23" s="225">
        <f t="shared" si="34"/>
        <v>3.3344675059544061E-2</v>
      </c>
      <c r="AL23" s="225">
        <f t="shared" si="35"/>
        <v>3.1514347321280479E-2</v>
      </c>
      <c r="AM23" s="225">
        <f t="shared" si="36"/>
        <v>3.378325045386376E-2</v>
      </c>
      <c r="AN23" s="225">
        <f t="shared" si="37"/>
        <v>3.6914740496147659E-2</v>
      </c>
      <c r="AO23" s="225">
        <f t="shared" si="38"/>
        <v>4.0383051766193875E-2</v>
      </c>
      <c r="AP23" s="225">
        <f t="shared" si="39"/>
        <v>3.7605189340813465E-2</v>
      </c>
      <c r="AQ23" s="225">
        <f t="shared" si="40"/>
        <v>3.2244897959183672E-2</v>
      </c>
      <c r="AR23" s="225">
        <f t="shared" si="41"/>
        <v>3.4179442070872076E-2</v>
      </c>
      <c r="AS23" s="225">
        <f t="shared" si="42"/>
        <v>3.1938013795710103E-2</v>
      </c>
      <c r="AT23" s="225">
        <f t="shared" si="43"/>
        <v>2.9068838843635203E-2</v>
      </c>
      <c r="AU23" s="225">
        <f t="shared" si="44"/>
        <v>2.6661280549383964E-2</v>
      </c>
      <c r="AV23" s="225">
        <f t="shared" si="45"/>
        <v>2.4152282185986217E-2</v>
      </c>
      <c r="AW23" s="225">
        <f t="shared" si="46"/>
        <v>2.4415405777166437E-2</v>
      </c>
      <c r="AX23" s="225">
        <f t="shared" si="47"/>
        <v>2.5333522565994891E-2</v>
      </c>
      <c r="AY23" s="225">
        <f t="shared" si="48"/>
        <v>2.4861826414274764E-2</v>
      </c>
      <c r="AZ23" s="225">
        <f t="shared" si="49"/>
        <v>2.3493774322905718E-2</v>
      </c>
      <c r="BA23" s="225">
        <f t="shared" si="50"/>
        <v>2.2999999999999996E-2</v>
      </c>
      <c r="BB23" s="225"/>
      <c r="BC23" s="225"/>
      <c r="BD23" s="225"/>
      <c r="BE23" s="225"/>
      <c r="BF23" s="225"/>
      <c r="BG23" s="225"/>
      <c r="BH23" s="225"/>
      <c r="BI23" s="225"/>
      <c r="BJ23" s="225"/>
      <c r="BK23" s="225"/>
      <c r="BL23" s="225"/>
      <c r="BM23" s="225"/>
      <c r="BO23" s="224" t="s">
        <v>186</v>
      </c>
      <c r="BP23" s="225"/>
      <c r="BQ23" s="225"/>
      <c r="BR23" s="225"/>
      <c r="BS23" s="225"/>
      <c r="BT23" s="225"/>
      <c r="BV23" s="224" t="s">
        <v>186</v>
      </c>
      <c r="BW23" s="225"/>
      <c r="BX23" s="225"/>
      <c r="BY23" s="225"/>
      <c r="BZ23" s="225"/>
      <c r="CA23" s="225"/>
      <c r="CC23" s="224" t="s">
        <v>186</v>
      </c>
      <c r="CD23" s="225"/>
      <c r="CE23" s="225"/>
      <c r="CF23" s="225"/>
      <c r="CG23" s="225"/>
      <c r="CH23" s="225"/>
      <c r="CJ23" s="224" t="s">
        <v>186</v>
      </c>
      <c r="CK23" s="225"/>
      <c r="CL23" s="225"/>
      <c r="CM23" s="225"/>
      <c r="CN23" s="225"/>
      <c r="CO23" s="225"/>
      <c r="CQ23" s="224" t="s">
        <v>186</v>
      </c>
      <c r="CR23" s="225"/>
      <c r="CS23" s="225"/>
      <c r="CT23" s="225"/>
      <c r="CU23" s="225"/>
      <c r="CV23" s="225"/>
      <c r="CX23" s="224" t="s">
        <v>186</v>
      </c>
      <c r="CY23" s="225"/>
      <c r="CZ23" s="225"/>
      <c r="DA23" s="225"/>
      <c r="DB23" s="225"/>
      <c r="DC23" s="225"/>
      <c r="DE23" s="224" t="s">
        <v>186</v>
      </c>
      <c r="DF23" s="225"/>
      <c r="DG23" s="225"/>
      <c r="DH23" s="225"/>
      <c r="DI23" s="225"/>
      <c r="DJ23" s="225"/>
      <c r="DL23" s="224" t="s">
        <v>186</v>
      </c>
      <c r="DM23" s="225"/>
      <c r="DN23" s="225"/>
      <c r="DO23" s="225"/>
      <c r="DP23" s="225"/>
      <c r="DQ23" s="225"/>
      <c r="DS23" s="224" t="s">
        <v>186</v>
      </c>
      <c r="DT23" s="225"/>
      <c r="DU23" s="225"/>
      <c r="DV23" s="225"/>
      <c r="DW23" s="225"/>
      <c r="DX23" s="225"/>
      <c r="DZ23" s="224" t="s">
        <v>186</v>
      </c>
      <c r="EA23" s="225"/>
      <c r="EB23" s="225"/>
      <c r="EC23" s="225"/>
      <c r="ED23" s="225"/>
      <c r="EE23" s="225"/>
      <c r="EG23" s="224" t="s">
        <v>186</v>
      </c>
      <c r="EH23" s="225"/>
      <c r="EI23" s="225"/>
      <c r="EJ23" s="225"/>
      <c r="EK23" s="225"/>
      <c r="EL23" s="225"/>
      <c r="EN23" s="224" t="s">
        <v>186</v>
      </c>
      <c r="EO23" s="225"/>
      <c r="EP23" s="225"/>
      <c r="EQ23" s="225"/>
      <c r="ER23" s="225"/>
      <c r="ES23" s="225"/>
      <c r="EU23" s="224" t="s">
        <v>186</v>
      </c>
      <c r="EV23" s="225"/>
      <c r="EW23" s="225"/>
      <c r="EX23" s="225"/>
      <c r="EY23" s="225"/>
      <c r="EZ23" s="225"/>
      <c r="FB23" s="224" t="s">
        <v>186</v>
      </c>
      <c r="FC23" s="225"/>
      <c r="FD23" s="225"/>
      <c r="FE23" s="225"/>
      <c r="FF23" s="225"/>
      <c r="FG23" s="225"/>
      <c r="FI23" s="224" t="s">
        <v>186</v>
      </c>
      <c r="FJ23" s="225"/>
      <c r="FK23" s="225"/>
      <c r="FL23" s="225"/>
      <c r="FM23" s="225"/>
      <c r="FN23" s="225"/>
      <c r="FP23" s="224" t="s">
        <v>186</v>
      </c>
      <c r="FQ23" s="225"/>
      <c r="FR23" s="225"/>
      <c r="FS23" s="225"/>
      <c r="FT23" s="225"/>
      <c r="FU23" s="225"/>
      <c r="FW23" s="224" t="s">
        <v>186</v>
      </c>
      <c r="FX23" s="225">
        <f>CSX!FZ31/CSX!FZ$20</f>
        <v>6.4041745730550284E-2</v>
      </c>
      <c r="FY23" s="225">
        <f>CSX!GA31/CSX!GA$20</f>
        <v>6.3750581665891107E-2</v>
      </c>
      <c r="FZ23" s="225">
        <f>CSX!GB31/CSX!GB$20</f>
        <v>6.0705882352941179E-2</v>
      </c>
      <c r="GA23" s="225">
        <f>CSX!GC31/CSX!GC$20</f>
        <v>5.9486255069851286E-2</v>
      </c>
      <c r="GB23" s="225">
        <f>CSX!GD31/CSX!GD$20</f>
        <v>6.1969538425764449E-2</v>
      </c>
      <c r="GD23" s="224" t="s">
        <v>186</v>
      </c>
      <c r="GE23" s="225">
        <f>CSX!GG31/CSX!GG$20</f>
        <v>5.3196053196053195E-2</v>
      </c>
      <c r="GF23" s="225">
        <f>CSX!GH31/CSX!GH$20</f>
        <v>5.4522924411400248E-2</v>
      </c>
      <c r="GG23" s="225">
        <f>CSX!GI31/CSX!GI$20</f>
        <v>5.5831265508684863E-2</v>
      </c>
      <c r="GH23" s="225">
        <f>CSX!GJ31/CSX!GJ$20</f>
        <v>5.0500834724540901E-2</v>
      </c>
      <c r="GI23" s="225">
        <f>CSX!GK31/CSX!GK$20</f>
        <v>5.3522893581434243E-2</v>
      </c>
      <c r="GK23" s="224" t="s">
        <v>186</v>
      </c>
      <c r="GL23" s="225">
        <f>CSX!GN31/CSX!GN$20</f>
        <v>4.9545829892650703E-2</v>
      </c>
      <c r="GM23" s="225">
        <f>CSX!GO31/CSX!GO$20</f>
        <v>4.2292490118577074E-2</v>
      </c>
      <c r="GN23" s="225">
        <f>CSX!GP31/CSX!GP$20</f>
        <v>4.5581767293082769E-2</v>
      </c>
      <c r="GO23" s="225">
        <f>CSX!GQ31/CSX!GQ$20</f>
        <v>4.2685292976329066E-2</v>
      </c>
      <c r="GP23" s="225">
        <f>CSX!GR31/CSX!GR$20</f>
        <v>4.4965104685942177E-2</v>
      </c>
      <c r="GR23" s="224" t="s">
        <v>186</v>
      </c>
      <c r="GS23" s="225">
        <f>CSX!GU31/CSX!GU$20</f>
        <v>4.0914117213416881E-2</v>
      </c>
      <c r="GT23" s="225">
        <f>CSX!GV31/CSX!GV$20</f>
        <v>3.8527691778465774E-2</v>
      </c>
      <c r="GU23" s="225">
        <f>CSX!GW31/CSX!GW$20</f>
        <v>3.5798716649780481E-2</v>
      </c>
      <c r="GV23" s="225">
        <f>CSX!GX31/CSX!GX$20</f>
        <v>3.5901271503365743E-2</v>
      </c>
      <c r="GW23" s="225">
        <f>CSX!GY31/CSX!GY$20</f>
        <v>3.7760995113282986E-2</v>
      </c>
      <c r="GY23" s="224" t="s">
        <v>186</v>
      </c>
      <c r="GZ23" s="225">
        <f>CSX!HB31/CSX!HB$20</f>
        <v>5.0289274588340011E-2</v>
      </c>
      <c r="HA23" s="225">
        <f>CSX!HC31/CSX!HC$20</f>
        <v>4.4851258581235696E-2</v>
      </c>
      <c r="HB23" s="225">
        <f>CSX!HD31/CSX!HD$20</f>
        <v>4.0192223678462209E-2</v>
      </c>
      <c r="HC23" s="225">
        <f>CSX!HE31/CSX!HE$20</f>
        <v>3.793103448275862E-2</v>
      </c>
      <c r="HD23" s="225">
        <f>CSX!HF31/CSX!HF$20</f>
        <v>4.3247428381816173E-2</v>
      </c>
      <c r="HF23" s="224" t="s">
        <v>186</v>
      </c>
      <c r="HG23" s="225">
        <f>CSX!HI31/CSX!HI$20</f>
        <v>4.0144520272982737E-2</v>
      </c>
      <c r="HH23" s="225">
        <f>CSX!HJ31/CSX!HJ$20</f>
        <v>3.3420953811490801E-2</v>
      </c>
      <c r="HI23" s="225">
        <f>CSX!HK31/CSX!HK$20</f>
        <v>3.3758439609902477E-2</v>
      </c>
      <c r="HJ23" s="225">
        <f>CSX!HL31/CSX!HL$20</f>
        <v>3.3735795454545456E-2</v>
      </c>
      <c r="HK23" s="225">
        <f>CSX!HM31/CSX!HM$20</f>
        <v>3.5163595336592704E-2</v>
      </c>
      <c r="HM23" s="224" t="s">
        <v>186</v>
      </c>
      <c r="HN23" s="225">
        <f>CSX!HP31/CSX!HP$20</f>
        <v>3.4519572953736657E-2</v>
      </c>
      <c r="HO23" s="225">
        <f>CSX!HQ31/CSX!HQ$20</f>
        <v>3.1467373302418021E-2</v>
      </c>
      <c r="HP23" s="225">
        <f>CSX!HR31/CSX!HR$20</f>
        <v>3.2062099223759702E-2</v>
      </c>
      <c r="HQ23" s="225">
        <f>CSX!HS31/CSX!HS$20</f>
        <v>3.1175872585564215E-2</v>
      </c>
      <c r="HR23" s="225">
        <f>CSX!HT31/CSX!HT$20</f>
        <v>3.2274546538363279E-2</v>
      </c>
      <c r="HT23" s="224" t="s">
        <v>186</v>
      </c>
      <c r="HU23" s="225">
        <f>CSX!HW31/CSX!HW$20</f>
        <v>3.2703978422117329E-2</v>
      </c>
      <c r="HV23" s="225">
        <f>CSX!HX31/CSX!HX$20</f>
        <v>3.386454183266932E-2</v>
      </c>
      <c r="HW23" s="225">
        <f>CSX!HY31/CSX!HY$20</f>
        <v>3.3172080165860401E-2</v>
      </c>
      <c r="HX23" s="225">
        <f>CSX!HZ31/CSX!HZ$20</f>
        <v>3.363384188626907E-2</v>
      </c>
      <c r="HY23" s="225">
        <f>CSX!IA31/CSX!IA$20</f>
        <v>3.3344675059544061E-2</v>
      </c>
      <c r="IA23" s="224" t="s">
        <v>186</v>
      </c>
      <c r="IB23" s="225">
        <f>CSX!ID31/CSX!ID$20</f>
        <v>3.211629479377958E-2</v>
      </c>
      <c r="IC23" s="225">
        <f>CSX!IE31/CSX!IE$20</f>
        <v>3.1280547409579668E-2</v>
      </c>
      <c r="ID23" s="225">
        <f>CSX!IF31/CSX!IF$20</f>
        <v>3.1343781260420138E-2</v>
      </c>
      <c r="IE23" s="225">
        <f>CSX!IG31/CSX!IG$20</f>
        <v>3.1332453825857517E-2</v>
      </c>
      <c r="IF23" s="225">
        <f>CSX!IH31/CSX!IH$20</f>
        <v>3.1514347321280479E-2</v>
      </c>
      <c r="IH23" s="224" t="s">
        <v>186</v>
      </c>
      <c r="II23" s="225">
        <f>CSX!IK31/CSX!IK$20</f>
        <v>3.3532536520584327E-2</v>
      </c>
      <c r="IJ23" s="225">
        <f>CSX!IL31/CSX!IL$20</f>
        <v>3.5141800246609123E-2</v>
      </c>
      <c r="IK23" s="225">
        <f>CSX!IM31/CSX!IM$20</f>
        <v>3.2909034461347408E-2</v>
      </c>
      <c r="IL23" s="225">
        <f>CSX!IN31/CSX!IN$20</f>
        <v>3.3521303258145362E-2</v>
      </c>
      <c r="IM23" s="225">
        <f>CSX!IO31/CSX!IO$20</f>
        <v>3.378325045386376E-2</v>
      </c>
      <c r="IO23" s="224" t="s">
        <v>186</v>
      </c>
      <c r="IP23" s="225">
        <f>CSX!IR31/CSX!IR$20</f>
        <v>3.7330690452593324E-2</v>
      </c>
      <c r="IQ23" s="225">
        <f>CSX!IS31/CSX!IS$20</f>
        <v>3.2963446475195821E-2</v>
      </c>
      <c r="IR23" s="225">
        <f>CSX!IT31/CSX!IT$20</f>
        <v>3.8788703640694117E-2</v>
      </c>
      <c r="IS23" s="225">
        <f>CSX!IU31/CSX!IU$20</f>
        <v>3.8834951456310676E-2</v>
      </c>
      <c r="IT23" s="225">
        <f>CSX!IV31/CSX!IV$20</f>
        <v>3.6914740496147659E-2</v>
      </c>
      <c r="IV23" s="224" t="s">
        <v>186</v>
      </c>
      <c r="IW23" s="225">
        <f>CSX!IY31/CSX!IY$20</f>
        <v>4.0106951871657755E-2</v>
      </c>
      <c r="IX23" s="225">
        <f>CSX!IZ31/CSX!IZ$20</f>
        <v>3.8831360946745559E-2</v>
      </c>
      <c r="IY23" s="225">
        <f>CSX!JA31/CSX!JA$20</f>
        <v>3.8745387453874541E-2</v>
      </c>
      <c r="IZ23" s="225">
        <f>CSX!JB31/CSX!JB$20</f>
        <v>4.3463944682252224E-2</v>
      </c>
      <c r="JA23" s="225">
        <f>CSX!JC31/CSX!JC$20</f>
        <v>4.0383051766193875E-2</v>
      </c>
      <c r="JC23" s="224" t="s">
        <v>186</v>
      </c>
      <c r="JD23" s="225">
        <f>CSX!JF31/CSX!JF$20</f>
        <v>3.4506796793307773E-2</v>
      </c>
      <c r="JE23" s="225">
        <f>CSX!JG31/CSX!JG$20</f>
        <v>3.5799522673031027E-2</v>
      </c>
      <c r="JF23" s="225">
        <f>CSX!JH31/CSX!JH$20</f>
        <v>3.9737513671162961E-2</v>
      </c>
      <c r="JG23" s="225">
        <f>CSX!JI31/CSX!JI$20</f>
        <v>4.0516940272441494E-2</v>
      </c>
      <c r="JH23" s="225">
        <f>CSX!JJ31/CSX!JJ$20</f>
        <v>3.7605189340813465E-2</v>
      </c>
      <c r="JJ23" s="224" t="s">
        <v>186</v>
      </c>
      <c r="JK23" s="225">
        <f>CSX!JM31/CSX!JM$20</f>
        <v>3.5118219749652298E-2</v>
      </c>
      <c r="JL23" s="225">
        <f>CSX!JN31/CSX!JN$20</f>
        <v>3.6105738233397806E-2</v>
      </c>
      <c r="JM23" s="225">
        <f>CSX!JO31/CSX!JO$20</f>
        <v>2.8443592201981463E-2</v>
      </c>
      <c r="JN23" s="225">
        <f>CSX!JP31/CSX!JP$20</f>
        <v>2.9589564110722239E-2</v>
      </c>
      <c r="JO23" s="225">
        <f>CSX!JQ31/CSX!JQ$20</f>
        <v>3.2244897959183672E-2</v>
      </c>
      <c r="JQ23" s="224" t="s">
        <v>186</v>
      </c>
      <c r="JR23" s="225">
        <f>CSX!JT31/CSX!JT$20</f>
        <v>3.3189512114171919E-2</v>
      </c>
      <c r="JS23" s="225">
        <f>CSX!JU31/CSX!JU$20</f>
        <v>3.3649134269846455E-2</v>
      </c>
      <c r="JT23" s="225">
        <f>CSX!JV31/CSX!JV$20</f>
        <v>3.4922766957689727E-2</v>
      </c>
      <c r="JU23" s="225">
        <f>CSX!JW31/CSX!JW$20</f>
        <v>3.5008665511265163E-2</v>
      </c>
      <c r="JV23" s="225">
        <f>CSX!JX31/CSX!JX$20</f>
        <v>3.4179442070872076E-2</v>
      </c>
      <c r="JX23" s="224" t="s">
        <v>186</v>
      </c>
      <c r="JY23" s="225">
        <f>CSX!KA31/CSX!KA$20</f>
        <v>2.8371278458844133E-2</v>
      </c>
      <c r="JZ23" s="225">
        <f>CSX!KB31/CSX!KB$20</f>
        <v>3.4589800443458982E-2</v>
      </c>
      <c r="KA23" s="225">
        <f>CSX!KC31/CSX!KC$20</f>
        <v>3.3232628398791542E-2</v>
      </c>
      <c r="KB23" s="225">
        <f>CSX!KD31/CSX!KD$20</f>
        <v>3.2212389380530976E-2</v>
      </c>
      <c r="KC23" s="225">
        <f>CSX!KE31/CSX!KE$20</f>
        <v>3.1938013795710103E-2</v>
      </c>
      <c r="KE23" s="224" t="s">
        <v>186</v>
      </c>
      <c r="KF23" s="225">
        <f>CSX!KH31/CSX!KH$20</f>
        <v>3.1283327408460716E-2</v>
      </c>
      <c r="KG23" s="225">
        <f>CSX!KI31/CSX!KI$20</f>
        <v>2.9096989966555183E-2</v>
      </c>
      <c r="KH23" s="225">
        <f>CSX!KJ31/CSX!KJ$20</f>
        <v>2.8554070473876064E-2</v>
      </c>
      <c r="KI23" s="225">
        <f>CSX!KK31/CSX!KK$20</f>
        <v>2.7721038809454333E-2</v>
      </c>
      <c r="KJ23" s="225">
        <f>CSX!KL31/CSX!KL$20</f>
        <v>2.9068838843635203E-2</v>
      </c>
      <c r="KL23" s="224" t="s">
        <v>186</v>
      </c>
      <c r="KM23" s="225">
        <f>CSX!KO31/CSX!KO$20</f>
        <v>2.9299736302373279E-2</v>
      </c>
      <c r="KN23" s="225">
        <f>CSX!KP31/CSX!KP$20</f>
        <v>2.4901703800786368E-2</v>
      </c>
      <c r="KO23" s="225">
        <f>CSX!KQ31/CSX!KQ$20</f>
        <v>2.6700898587933248E-2</v>
      </c>
      <c r="KP23" s="225">
        <f>CSX!KR31/CSX!KR$20</f>
        <v>2.6005361930294905E-2</v>
      </c>
      <c r="KQ23" s="225">
        <f>CSX!KS31/CSX!KS$20</f>
        <v>2.6661280549383964E-2</v>
      </c>
      <c r="KS23" s="224" t="s">
        <v>186</v>
      </c>
      <c r="KT23" s="225">
        <f>CSX!KV31/CSX!KV$20</f>
        <v>2.2126281705342688E-2</v>
      </c>
      <c r="KU23" s="225">
        <f>CSX!KW31/CSX!KW$20</f>
        <v>2.4330900243309004E-2</v>
      </c>
      <c r="KV23" s="225">
        <f>CSX!KX31/CSX!KX$20</f>
        <v>2.6315789473684209E-2</v>
      </c>
      <c r="KW23" s="225">
        <f>CSX!KY31/CSX!KY$20</f>
        <v>2.391304347826087E-2</v>
      </c>
      <c r="KX23" s="225">
        <f>CSX!KZ31/CSX!KZ$20</f>
        <v>2.4152282185986217E-2</v>
      </c>
      <c r="KZ23" s="224" t="s">
        <v>186</v>
      </c>
      <c r="LA23" s="225">
        <f>CSX!LC31/CSX!LC$20</f>
        <v>2.2819885900570498E-2</v>
      </c>
      <c r="LB23" s="225">
        <f>CSX!LD31/CSX!LD$20</f>
        <v>2.2966765738989463E-2</v>
      </c>
      <c r="LC23" s="225">
        <f>CSX!LE31/CSX!LE$20</f>
        <v>2.5145067698259187E-2</v>
      </c>
      <c r="LD23" s="225">
        <f>CSX!LF31/CSX!LF$20</f>
        <v>2.6843741169821984E-2</v>
      </c>
      <c r="LE23" s="225">
        <f>Expense!LE11/CSX!LG$20</f>
        <v>2.4415405777166437E-2</v>
      </c>
      <c r="LF23" s="584"/>
      <c r="LG23" s="224" t="s">
        <v>186</v>
      </c>
      <c r="LH23" s="225">
        <f>CSX!LJ31/CSX!LJ$20</f>
        <v>2.5416301489921123E-2</v>
      </c>
      <c r="LI23" s="225">
        <f>CSX!LK31/CSX!LK$20</f>
        <v>2.6301063234471182E-2</v>
      </c>
      <c r="LJ23" s="225">
        <f>CSX!LL31/CSX!LL$20</f>
        <v>2.3975466964036799E-2</v>
      </c>
      <c r="LK23" s="225">
        <f>CSX!LM31/CSX!LM$20</f>
        <v>2.565564424173318E-2</v>
      </c>
      <c r="LL23" s="225">
        <f>Expense!LL11/CSX!LN$20</f>
        <v>2.5333522565994891E-2</v>
      </c>
      <c r="LM23" s="584"/>
      <c r="LN23" s="224" t="s">
        <v>186</v>
      </c>
      <c r="LO23" s="510">
        <v>2.5999999999999999E-2</v>
      </c>
      <c r="LP23" s="510">
        <v>2.35E-2</v>
      </c>
      <c r="LQ23" s="510">
        <v>2.4E-2</v>
      </c>
      <c r="LR23" s="510">
        <v>2.5999999999999999E-2</v>
      </c>
      <c r="LS23" s="225">
        <f>Expense!LS11/CSX!LU$20</f>
        <v>2.4861826414274764E-2</v>
      </c>
      <c r="LT23" s="584"/>
      <c r="LU23" s="224" t="s">
        <v>186</v>
      </c>
      <c r="LV23" s="510">
        <v>2.4E-2</v>
      </c>
      <c r="LW23" s="510">
        <v>2.3E-2</v>
      </c>
      <c r="LX23" s="510">
        <v>2.3E-2</v>
      </c>
      <c r="LY23" s="510">
        <v>2.4E-2</v>
      </c>
      <c r="LZ23" s="225">
        <f>Expense!LZ11/CSX!MB$20</f>
        <v>2.3493774322905718E-2</v>
      </c>
      <c r="MA23" s="584"/>
      <c r="MB23" s="224" t="s">
        <v>186</v>
      </c>
      <c r="MC23" s="510">
        <v>2.3E-2</v>
      </c>
      <c r="MD23" s="510">
        <v>2.3E-2</v>
      </c>
      <c r="ME23" s="510">
        <v>2.3E-2</v>
      </c>
      <c r="MF23" s="510">
        <v>2.3E-2</v>
      </c>
      <c r="MG23" s="225">
        <f>Expense!MG11/CSX!MI$20</f>
        <v>2.2999999999999996E-2</v>
      </c>
      <c r="MH23" s="584"/>
    </row>
    <row r="24" spans="1:346" s="37" customFormat="1" ht="13.15" x14ac:dyDescent="0.4">
      <c r="A24" s="97"/>
      <c r="B24" s="224" t="s">
        <v>189</v>
      </c>
      <c r="C24" s="225"/>
      <c r="D24" s="225"/>
      <c r="E24" s="225"/>
      <c r="F24" s="225"/>
      <c r="G24" s="225"/>
      <c r="H24" s="225"/>
      <c r="I24" s="225"/>
      <c r="J24" s="225"/>
      <c r="K24" s="225"/>
      <c r="L24" s="225"/>
      <c r="M24" s="225"/>
      <c r="N24" s="225">
        <f t="shared" si="11"/>
        <v>0</v>
      </c>
      <c r="O24" s="225">
        <f t="shared" si="12"/>
        <v>0</v>
      </c>
      <c r="P24" s="225">
        <f t="shared" si="13"/>
        <v>0</v>
      </c>
      <c r="Q24" s="225">
        <f t="shared" si="14"/>
        <v>0</v>
      </c>
      <c r="R24" s="225">
        <f t="shared" si="15"/>
        <v>0</v>
      </c>
      <c r="S24" s="225">
        <f t="shared" si="16"/>
        <v>0</v>
      </c>
      <c r="T24" s="225">
        <f t="shared" si="17"/>
        <v>0</v>
      </c>
      <c r="U24" s="225">
        <f t="shared" si="18"/>
        <v>0</v>
      </c>
      <c r="V24" s="225">
        <f t="shared" si="19"/>
        <v>0</v>
      </c>
      <c r="W24" s="225">
        <f t="shared" si="20"/>
        <v>0</v>
      </c>
      <c r="X24" s="225">
        <f t="shared" si="21"/>
        <v>0</v>
      </c>
      <c r="Y24" s="225">
        <f t="shared" si="22"/>
        <v>0</v>
      </c>
      <c r="Z24" s="225">
        <f t="shared" si="23"/>
        <v>0</v>
      </c>
      <c r="AA24" s="225">
        <f t="shared" si="24"/>
        <v>0</v>
      </c>
      <c r="AB24" s="225">
        <f t="shared" si="25"/>
        <v>0</v>
      </c>
      <c r="AC24" s="225">
        <f t="shared" si="26"/>
        <v>0</v>
      </c>
      <c r="AD24" s="225">
        <f t="shared" si="27"/>
        <v>2.674107661899779E-2</v>
      </c>
      <c r="AE24" s="225">
        <f t="shared" si="28"/>
        <v>2.529793016934978E-2</v>
      </c>
      <c r="AF24" s="225">
        <f t="shared" si="29"/>
        <v>2.3928215353938187E-2</v>
      </c>
      <c r="AG24" s="225">
        <f t="shared" si="30"/>
        <v>2.2478898267436695E-2</v>
      </c>
      <c r="AH24" s="225">
        <f t="shared" si="31"/>
        <v>1.4157725915274859E-2</v>
      </c>
      <c r="AI24" s="225">
        <f t="shared" si="32"/>
        <v>0</v>
      </c>
      <c r="AJ24" s="225">
        <f t="shared" si="33"/>
        <v>0</v>
      </c>
      <c r="AK24" s="225">
        <f t="shared" si="34"/>
        <v>0</v>
      </c>
      <c r="AL24" s="225">
        <f t="shared" si="35"/>
        <v>0</v>
      </c>
      <c r="AM24" s="225">
        <f t="shared" si="36"/>
        <v>0</v>
      </c>
      <c r="AN24" s="225">
        <f t="shared" si="37"/>
        <v>0</v>
      </c>
      <c r="AO24" s="225">
        <f t="shared" si="38"/>
        <v>0</v>
      </c>
      <c r="AP24" s="225">
        <f t="shared" si="39"/>
        <v>0</v>
      </c>
      <c r="AQ24" s="225">
        <f t="shared" si="40"/>
        <v>0</v>
      </c>
      <c r="AR24" s="225">
        <f t="shared" si="41"/>
        <v>0</v>
      </c>
      <c r="AS24" s="225">
        <f t="shared" si="42"/>
        <v>0</v>
      </c>
      <c r="AT24" s="225">
        <f t="shared" si="43"/>
        <v>0</v>
      </c>
      <c r="AU24" s="225">
        <f t="shared" si="44"/>
        <v>0</v>
      </c>
      <c r="AV24" s="225">
        <f t="shared" si="45"/>
        <v>0</v>
      </c>
      <c r="AW24" s="225">
        <f t="shared" si="46"/>
        <v>0</v>
      </c>
      <c r="AX24" s="225">
        <f t="shared" si="47"/>
        <v>0</v>
      </c>
      <c r="AY24" s="225">
        <f t="shared" si="48"/>
        <v>0</v>
      </c>
      <c r="AZ24" s="225">
        <f t="shared" si="49"/>
        <v>0</v>
      </c>
      <c r="BA24" s="225">
        <f t="shared" si="50"/>
        <v>0</v>
      </c>
      <c r="BB24" s="225"/>
      <c r="BC24" s="225"/>
      <c r="BD24" s="225"/>
      <c r="BE24" s="225"/>
      <c r="BF24" s="225"/>
      <c r="BG24" s="225"/>
      <c r="BH24" s="225"/>
      <c r="BI24" s="225"/>
      <c r="BJ24" s="225"/>
      <c r="BK24" s="225"/>
      <c r="BL24" s="225"/>
      <c r="BM24" s="225"/>
      <c r="BO24" s="224" t="s">
        <v>189</v>
      </c>
      <c r="BP24" s="225"/>
      <c r="BQ24" s="225"/>
      <c r="BR24" s="225"/>
      <c r="BS24" s="225"/>
      <c r="BT24" s="225"/>
      <c r="BV24" s="224" t="s">
        <v>189</v>
      </c>
      <c r="BW24" s="225"/>
      <c r="BX24" s="225"/>
      <c r="BY24" s="225"/>
      <c r="BZ24" s="225"/>
      <c r="CA24" s="225"/>
      <c r="CC24" s="224" t="s">
        <v>189</v>
      </c>
      <c r="CD24" s="225"/>
      <c r="CE24" s="225"/>
      <c r="CF24" s="225"/>
      <c r="CG24" s="225"/>
      <c r="CH24" s="225"/>
      <c r="CJ24" s="224" t="s">
        <v>189</v>
      </c>
      <c r="CK24" s="225"/>
      <c r="CL24" s="225"/>
      <c r="CM24" s="225"/>
      <c r="CN24" s="225"/>
      <c r="CO24" s="225"/>
      <c r="CQ24" s="224" t="s">
        <v>189</v>
      </c>
      <c r="CR24" s="225"/>
      <c r="CS24" s="225"/>
      <c r="CT24" s="225"/>
      <c r="CU24" s="225"/>
      <c r="CV24" s="225"/>
      <c r="CX24" s="224" t="s">
        <v>189</v>
      </c>
      <c r="CY24" s="225"/>
      <c r="CZ24" s="225"/>
      <c r="DA24" s="225"/>
      <c r="DB24" s="225"/>
      <c r="DC24" s="225"/>
      <c r="DE24" s="224" t="s">
        <v>189</v>
      </c>
      <c r="DF24" s="225"/>
      <c r="DG24" s="225"/>
      <c r="DH24" s="225"/>
      <c r="DI24" s="225"/>
      <c r="DJ24" s="225"/>
      <c r="DL24" s="224" t="s">
        <v>189</v>
      </c>
      <c r="DM24" s="225"/>
      <c r="DN24" s="225"/>
      <c r="DO24" s="225"/>
      <c r="DP24" s="225"/>
      <c r="DQ24" s="225"/>
      <c r="DS24" s="224" t="s">
        <v>189</v>
      </c>
      <c r="DT24" s="225"/>
      <c r="DU24" s="225"/>
      <c r="DV24" s="225"/>
      <c r="DW24" s="225"/>
      <c r="DX24" s="225"/>
      <c r="DZ24" s="224" t="s">
        <v>189</v>
      </c>
      <c r="EA24" s="225"/>
      <c r="EB24" s="225"/>
      <c r="EC24" s="225"/>
      <c r="ED24" s="225"/>
      <c r="EE24" s="225"/>
      <c r="EG24" s="224" t="s">
        <v>189</v>
      </c>
      <c r="EH24" s="225"/>
      <c r="EI24" s="225"/>
      <c r="EJ24" s="225"/>
      <c r="EK24" s="225"/>
      <c r="EL24" s="225"/>
      <c r="EN24" s="224" t="s">
        <v>189</v>
      </c>
      <c r="EO24" s="225"/>
      <c r="EP24" s="225"/>
      <c r="EQ24" s="225"/>
      <c r="ER24" s="225"/>
      <c r="ES24" s="225"/>
      <c r="EU24" s="224" t="s">
        <v>189</v>
      </c>
      <c r="EV24" s="225"/>
      <c r="EW24" s="225"/>
      <c r="EX24" s="225"/>
      <c r="EY24" s="225"/>
      <c r="EZ24" s="225"/>
      <c r="FB24" s="224" t="s">
        <v>189</v>
      </c>
      <c r="FC24" s="225"/>
      <c r="FD24" s="225"/>
      <c r="FE24" s="225"/>
      <c r="FF24" s="225"/>
      <c r="FG24" s="225"/>
      <c r="FI24" s="224" t="s">
        <v>189</v>
      </c>
      <c r="FJ24" s="225"/>
      <c r="FK24" s="225"/>
      <c r="FL24" s="225"/>
      <c r="FM24" s="225"/>
      <c r="FN24" s="225"/>
      <c r="FP24" s="224" t="s">
        <v>189</v>
      </c>
      <c r="FQ24" s="225"/>
      <c r="FR24" s="225"/>
      <c r="FS24" s="225"/>
      <c r="FT24" s="225"/>
      <c r="FU24" s="225"/>
      <c r="FW24" s="224" t="s">
        <v>189</v>
      </c>
      <c r="FX24" s="225">
        <f>CSX!FZ32/CSX!FZ$20</f>
        <v>2.6565464895635674E-2</v>
      </c>
      <c r="FY24" s="225">
        <f>CSX!GA32/CSX!GA$20</f>
        <v>2.9781293624941835E-2</v>
      </c>
      <c r="FZ24" s="225">
        <f>CSX!GB32/CSX!GB$20</f>
        <v>2.5882352941176471E-2</v>
      </c>
      <c r="GA24" s="225">
        <f>CSX!GC32/CSX!GC$20</f>
        <v>2.4785939612438034E-2</v>
      </c>
      <c r="GB24" s="225">
        <f>CSX!GD32/CSX!GD$20</f>
        <v>2.674107661899779E-2</v>
      </c>
      <c r="GD24" s="224" t="s">
        <v>189</v>
      </c>
      <c r="GE24" s="225">
        <f>CSX!GG32/CSX!GG$20</f>
        <v>2.4024024024024024E-2</v>
      </c>
      <c r="GF24" s="225">
        <f>CSX!GH32/CSX!GH$20</f>
        <v>2.5609252375051631E-2</v>
      </c>
      <c r="GG24" s="225">
        <f>CSX!GI32/CSX!GI$20</f>
        <v>2.6054590570719603E-2</v>
      </c>
      <c r="GH24" s="225">
        <f>CSX!GJ32/CSX!GJ$20</f>
        <v>2.5459098497495825E-2</v>
      </c>
      <c r="GI24" s="225">
        <f>CSX!GK32/CSX!GK$20</f>
        <v>2.529793016934978E-2</v>
      </c>
      <c r="GK24" s="224" t="s">
        <v>189</v>
      </c>
      <c r="GL24" s="225">
        <f>CSX!GN32/CSX!GN$20</f>
        <v>2.3534269199009084E-2</v>
      </c>
      <c r="GM24" s="225">
        <f>CSX!GO32/CSX!GO$20</f>
        <v>2.3715415019762844E-2</v>
      </c>
      <c r="GN24" s="225">
        <f>CSX!GP32/CSX!GP$20</f>
        <v>2.3990403838464614E-2</v>
      </c>
      <c r="GO24" s="225">
        <f>CSX!GQ32/CSX!GQ$20</f>
        <v>2.4447031431897557E-2</v>
      </c>
      <c r="GP24" s="225">
        <f>CSX!GR32/CSX!GR$20</f>
        <v>2.3928215353938187E-2</v>
      </c>
      <c r="GR24" s="224" t="s">
        <v>189</v>
      </c>
      <c r="GS24" s="225">
        <f>CSX!GU32/CSX!GU$20</f>
        <v>2.3221525985993367E-2</v>
      </c>
      <c r="GT24" s="225">
        <f>CSX!GV32/CSX!GV$20</f>
        <v>2.3391812865497075E-2</v>
      </c>
      <c r="GU24" s="225">
        <f>CSX!GW32/CSX!GW$20</f>
        <v>2.1952043228638973E-2</v>
      </c>
      <c r="GV24" s="225">
        <f>CSX!GX32/CSX!GX$20</f>
        <v>2.1316379955123411E-2</v>
      </c>
      <c r="GW24" s="225">
        <f>CSX!GY32/CSX!GY$20</f>
        <v>2.2478898267436695E-2</v>
      </c>
      <c r="GY24" s="224" t="s">
        <v>189</v>
      </c>
      <c r="GZ24" s="225">
        <f>CSX!HB32/CSX!HB$20</f>
        <v>2.58121940364931E-2</v>
      </c>
      <c r="HA24" s="225">
        <f>CSX!HC32/CSX!HC$20</f>
        <v>0</v>
      </c>
      <c r="HB24" s="225">
        <f>CSX!HD32/CSX!HD$20</f>
        <v>0</v>
      </c>
      <c r="HC24" s="225">
        <f>CSX!HE32/CSX!HE$20</f>
        <v>3.017241379310345E-2</v>
      </c>
      <c r="HD24" s="225">
        <f>CSX!HF32/CSX!HF$20</f>
        <v>1.4157725915274859E-2</v>
      </c>
      <c r="HF24" s="224" t="s">
        <v>189</v>
      </c>
      <c r="HG24" s="225">
        <f>CSX!HI32/CSX!HI$20</f>
        <v>0</v>
      </c>
      <c r="HH24" s="225">
        <f>CSX!HJ32/CSX!HJ$20</f>
        <v>0</v>
      </c>
      <c r="HI24" s="225">
        <f>CSX!HK32/CSX!HK$20</f>
        <v>0</v>
      </c>
      <c r="HJ24" s="225">
        <f>CSX!HL32/CSX!HL$20</f>
        <v>0</v>
      </c>
      <c r="HK24" s="225">
        <f>CSX!HM32/CSX!HM$20</f>
        <v>0</v>
      </c>
      <c r="HM24" s="224" t="s">
        <v>189</v>
      </c>
      <c r="HN24" s="225">
        <f>CSX!HP32/CSX!HP$20</f>
        <v>0</v>
      </c>
      <c r="HO24" s="225">
        <f>CSX!HQ32/CSX!HQ$20</f>
        <v>0</v>
      </c>
      <c r="HP24" s="225">
        <f>CSX!HR32/CSX!HR$20</f>
        <v>0</v>
      </c>
      <c r="HQ24" s="225">
        <f>CSX!HS32/CSX!HS$20</f>
        <v>0</v>
      </c>
      <c r="HR24" s="225">
        <f>CSX!HT32/CSX!HT$20</f>
        <v>0</v>
      </c>
      <c r="HT24" s="224" t="s">
        <v>189</v>
      </c>
      <c r="HU24" s="225">
        <f>CSX!HW32/CSX!HW$20</f>
        <v>0</v>
      </c>
      <c r="HV24" s="225">
        <f>CSX!HX32/CSX!HX$20</f>
        <v>0</v>
      </c>
      <c r="HW24" s="225">
        <f>CSX!HY32/CSX!HY$20</f>
        <v>0</v>
      </c>
      <c r="HX24" s="225">
        <f>CSX!HZ32/CSX!HZ$20</f>
        <v>0</v>
      </c>
      <c r="HY24" s="225">
        <f>CSX!IA32/CSX!IA$20</f>
        <v>0</v>
      </c>
      <c r="IA24" s="224" t="s">
        <v>189</v>
      </c>
      <c r="IB24" s="225">
        <f>CSX!ID32/CSX!ID$20</f>
        <v>0</v>
      </c>
      <c r="IC24" s="225">
        <f>CSX!IE32/CSX!IE$20</f>
        <v>0</v>
      </c>
      <c r="ID24" s="225">
        <f>CSX!IF32/CSX!IF$20</f>
        <v>0</v>
      </c>
      <c r="IE24" s="225">
        <f>CSX!IG32/CSX!IG$20</f>
        <v>0</v>
      </c>
      <c r="IF24" s="225">
        <f>CSX!IH32/CSX!IH$20</f>
        <v>0</v>
      </c>
      <c r="IH24" s="224" t="s">
        <v>189</v>
      </c>
      <c r="II24" s="225">
        <f>CSX!IK32/CSX!IK$20</f>
        <v>0</v>
      </c>
      <c r="IJ24" s="225">
        <f>CSX!IL32/CSX!IL$20</f>
        <v>0</v>
      </c>
      <c r="IK24" s="225">
        <f>CSX!IM32/CSX!IM$20</f>
        <v>0</v>
      </c>
      <c r="IL24" s="225">
        <f>CSX!IN32/CSX!IN$20</f>
        <v>0</v>
      </c>
      <c r="IM24" s="225">
        <f>CSX!IO32/CSX!IO$20</f>
        <v>0</v>
      </c>
      <c r="IO24" s="224" t="s">
        <v>189</v>
      </c>
      <c r="IP24" s="225">
        <f>CSX!IR32/CSX!IR$20</f>
        <v>0</v>
      </c>
      <c r="IQ24" s="225">
        <f>CSX!IS32/CSX!IS$20</f>
        <v>0</v>
      </c>
      <c r="IR24" s="225">
        <f>CSX!IT32/CSX!IT$20</f>
        <v>0</v>
      </c>
      <c r="IS24" s="225">
        <f>CSX!IU32/CSX!IU$20</f>
        <v>0</v>
      </c>
      <c r="IT24" s="225">
        <f>CSX!IV32/CSX!IV$20</f>
        <v>0</v>
      </c>
      <c r="IV24" s="224" t="s">
        <v>189</v>
      </c>
      <c r="IW24" s="225">
        <f>CSX!IY32/CSX!IY$20</f>
        <v>0</v>
      </c>
      <c r="IX24" s="225">
        <f>CSX!IZ32/CSX!IZ$20</f>
        <v>0</v>
      </c>
      <c r="IY24" s="225">
        <f>CSX!JA32/CSX!JA$20</f>
        <v>0</v>
      </c>
      <c r="IZ24" s="225">
        <f>CSX!JB32/CSX!JB$20</f>
        <v>0</v>
      </c>
      <c r="JA24" s="225">
        <f>CSX!JC32/CSX!JC$20</f>
        <v>0</v>
      </c>
      <c r="JC24" s="224" t="s">
        <v>189</v>
      </c>
      <c r="JD24" s="225">
        <f>CSX!JF32/CSX!JF$20</f>
        <v>0</v>
      </c>
      <c r="JE24" s="225">
        <f>CSX!JG32/CSX!JG$20</f>
        <v>0</v>
      </c>
      <c r="JF24" s="225">
        <f>CSX!JH32/CSX!JH$20</f>
        <v>0</v>
      </c>
      <c r="JG24" s="225">
        <f>CSX!JI32/CSX!JI$20</f>
        <v>0</v>
      </c>
      <c r="JH24" s="225">
        <f>CSX!JJ32/CSX!JJ$20</f>
        <v>0</v>
      </c>
      <c r="JJ24" s="224" t="s">
        <v>189</v>
      </c>
      <c r="JK24" s="225">
        <f>CSX!JM32/CSX!JM$20</f>
        <v>0</v>
      </c>
      <c r="JL24" s="225">
        <f>CSX!JN32/CSX!JN$20</f>
        <v>0</v>
      </c>
      <c r="JM24" s="225">
        <f>CSX!JO32/CSX!JO$20</f>
        <v>0</v>
      </c>
      <c r="JN24" s="225">
        <f>CSX!JP32/CSX!JP$20</f>
        <v>0</v>
      </c>
      <c r="JO24" s="225">
        <f>CSX!JQ32/CSX!JQ$20</f>
        <v>0</v>
      </c>
      <c r="JQ24" s="224" t="s">
        <v>189</v>
      </c>
      <c r="JR24" s="225">
        <f>CSX!JT32/CSX!JT$20</f>
        <v>0</v>
      </c>
      <c r="JS24" s="225">
        <f>CSX!JU32/CSX!JU$20</f>
        <v>0</v>
      </c>
      <c r="JT24" s="225">
        <f>CSX!JV32/CSX!JV$20</f>
        <v>0</v>
      </c>
      <c r="JU24" s="225">
        <f>CSX!JW32/CSX!JW$20</f>
        <v>0</v>
      </c>
      <c r="JV24" s="225">
        <f>CSX!JX32/CSX!JX$20</f>
        <v>0</v>
      </c>
      <c r="JX24" s="224" t="s">
        <v>189</v>
      </c>
      <c r="JY24" s="225">
        <f>CSX!KA32/CSX!KA$20</f>
        <v>0</v>
      </c>
      <c r="JZ24" s="225">
        <f>CSX!KB32/CSX!KB$20</f>
        <v>0</v>
      </c>
      <c r="KA24" s="225">
        <f>CSX!KC32/CSX!KC$20</f>
        <v>0</v>
      </c>
      <c r="KB24" s="225">
        <f>CSX!KD32/CSX!KD$20</f>
        <v>0</v>
      </c>
      <c r="KC24" s="225">
        <f>CSX!KE32/CSX!KE$20</f>
        <v>0</v>
      </c>
      <c r="KE24" s="224" t="s">
        <v>189</v>
      </c>
      <c r="KF24" s="225">
        <f>CSX!KH32/CSX!KH$20</f>
        <v>0</v>
      </c>
      <c r="KG24" s="225">
        <f>CSX!KI32/CSX!KI$20</f>
        <v>0</v>
      </c>
      <c r="KH24" s="225">
        <f>CSX!KJ32/CSX!KJ$20</f>
        <v>0</v>
      </c>
      <c r="KI24" s="225">
        <f>CSX!KK32/CSX!KK$20</f>
        <v>0</v>
      </c>
      <c r="KJ24" s="225">
        <f>CSX!KL32/CSX!KL$20</f>
        <v>0</v>
      </c>
      <c r="KL24" s="224" t="s">
        <v>189</v>
      </c>
      <c r="KM24" s="225">
        <f>CSX!KO32/CSX!KO$20</f>
        <v>0</v>
      </c>
      <c r="KN24" s="225">
        <f>CSX!KP32/CSX!KP$20</f>
        <v>0</v>
      </c>
      <c r="KO24" s="225">
        <f>CSX!KQ32/CSX!KQ$20</f>
        <v>0</v>
      </c>
      <c r="KP24" s="225">
        <f>CSX!KR32/CSX!KR$20</f>
        <v>0</v>
      </c>
      <c r="KQ24" s="225">
        <f>CSX!KS32/CSX!KS$20</f>
        <v>0</v>
      </c>
      <c r="KS24" s="224" t="s">
        <v>189</v>
      </c>
      <c r="KT24" s="225">
        <f>CSX!KV32/CSX!KV$20</f>
        <v>0</v>
      </c>
      <c r="KU24" s="225">
        <f>CSX!KW32/CSX!KW$20</f>
        <v>0</v>
      </c>
      <c r="KV24" s="225">
        <f>CSX!KX32/CSX!KX$20</f>
        <v>0</v>
      </c>
      <c r="KW24" s="225">
        <f>CSX!KY32/CSX!KY$20</f>
        <v>0</v>
      </c>
      <c r="KX24" s="225">
        <f>CSX!KZ32/CSX!KZ$20</f>
        <v>0</v>
      </c>
      <c r="KZ24" s="224" t="s">
        <v>189</v>
      </c>
      <c r="LA24" s="225">
        <f>CSX!LC32/CSX!LC$20</f>
        <v>0</v>
      </c>
      <c r="LB24" s="225">
        <f>CSX!LD32/CSX!LD$20</f>
        <v>0</v>
      </c>
      <c r="LC24" s="225">
        <f>CSX!LE32/CSX!LE$20</f>
        <v>0</v>
      </c>
      <c r="LD24" s="225">
        <f>CSX!LF32/CSX!LF$20</f>
        <v>0</v>
      </c>
      <c r="LE24" s="225">
        <f>Expense!LE12/CSX!LG$20</f>
        <v>0</v>
      </c>
      <c r="LF24" s="584"/>
      <c r="LG24" s="224" t="s">
        <v>189</v>
      </c>
      <c r="LH24" s="225">
        <f>CSX!LJ32/CSX!LJ$20</f>
        <v>0</v>
      </c>
      <c r="LI24" s="225">
        <f>CSX!LK32/CSX!LK$20</f>
        <v>0</v>
      </c>
      <c r="LJ24" s="225">
        <f>CSX!LL32/CSX!LL$20</f>
        <v>0</v>
      </c>
      <c r="LK24" s="225">
        <f>CSX!LM32/CSX!LM$20</f>
        <v>0</v>
      </c>
      <c r="LL24" s="730">
        <f>Expense!LL12/CSX!LN$20</f>
        <v>0</v>
      </c>
      <c r="LM24" s="584"/>
      <c r="LN24" s="224" t="s">
        <v>189</v>
      </c>
      <c r="LO24" s="730">
        <v>0</v>
      </c>
      <c r="LP24" s="730">
        <v>0</v>
      </c>
      <c r="LQ24" s="730">
        <v>0</v>
      </c>
      <c r="LR24" s="730">
        <v>0</v>
      </c>
      <c r="LS24" s="730">
        <f>Expense!LS12/CSX!LU$20</f>
        <v>0</v>
      </c>
      <c r="LT24" s="584"/>
      <c r="LU24" s="224" t="s">
        <v>189</v>
      </c>
      <c r="LV24" s="730">
        <v>0</v>
      </c>
      <c r="LW24" s="730">
        <v>0</v>
      </c>
      <c r="LX24" s="730">
        <v>0</v>
      </c>
      <c r="LY24" s="730">
        <v>0</v>
      </c>
      <c r="LZ24" s="730">
        <f>Expense!LZ12/CSX!MB$20</f>
        <v>0</v>
      </c>
      <c r="MA24" s="584"/>
      <c r="MB24" s="224" t="s">
        <v>189</v>
      </c>
      <c r="MC24" s="730">
        <v>0</v>
      </c>
      <c r="MD24" s="730">
        <v>0</v>
      </c>
      <c r="ME24" s="730">
        <v>0</v>
      </c>
      <c r="MF24" s="730">
        <v>0</v>
      </c>
      <c r="MG24" s="730">
        <f>Expense!MG12/CSX!MI$20</f>
        <v>0</v>
      </c>
      <c r="MH24" s="584"/>
    </row>
    <row r="25" spans="1:346" s="37" customFormat="1" ht="13.15" x14ac:dyDescent="0.4">
      <c r="A25" s="97"/>
      <c r="B25" s="71" t="s">
        <v>245</v>
      </c>
      <c r="C25" s="51"/>
      <c r="D25" s="51"/>
      <c r="E25" s="51"/>
      <c r="F25" s="51"/>
      <c r="G25" s="51"/>
      <c r="H25" s="51"/>
      <c r="I25" s="51"/>
      <c r="J25" s="51"/>
      <c r="K25" s="51"/>
      <c r="L25" s="51"/>
      <c r="M25" s="51"/>
      <c r="N25" s="51">
        <f t="shared" si="11"/>
        <v>0</v>
      </c>
      <c r="O25" s="51">
        <f t="shared" si="12"/>
        <v>0</v>
      </c>
      <c r="P25" s="51">
        <f t="shared" si="13"/>
        <v>0</v>
      </c>
      <c r="Q25" s="51">
        <f t="shared" si="14"/>
        <v>0</v>
      </c>
      <c r="R25" s="51">
        <f t="shared" si="15"/>
        <v>0</v>
      </c>
      <c r="S25" s="51">
        <f t="shared" si="16"/>
        <v>0</v>
      </c>
      <c r="T25" s="51">
        <f t="shared" si="17"/>
        <v>0</v>
      </c>
      <c r="U25" s="51">
        <f t="shared" si="18"/>
        <v>0</v>
      </c>
      <c r="V25" s="51">
        <f t="shared" si="19"/>
        <v>0</v>
      </c>
      <c r="W25" s="51">
        <f t="shared" si="20"/>
        <v>0</v>
      </c>
      <c r="X25" s="51">
        <f t="shared" si="21"/>
        <v>0</v>
      </c>
      <c r="Y25" s="51">
        <f t="shared" si="22"/>
        <v>0</v>
      </c>
      <c r="Z25" s="51">
        <f t="shared" si="23"/>
        <v>0</v>
      </c>
      <c r="AA25" s="51">
        <f t="shared" si="24"/>
        <v>0</v>
      </c>
      <c r="AB25" s="51">
        <f t="shared" si="25"/>
        <v>0</v>
      </c>
      <c r="AC25" s="51">
        <f t="shared" si="26"/>
        <v>0</v>
      </c>
      <c r="AD25" s="51">
        <f t="shared" si="27"/>
        <v>7.4409952331124284E-3</v>
      </c>
      <c r="AE25" s="51">
        <f t="shared" si="28"/>
        <v>-1.7353125653355634E-2</v>
      </c>
      <c r="AF25" s="51">
        <f t="shared" si="29"/>
        <v>-2.5922233300099701E-3</v>
      </c>
      <c r="AG25" s="51">
        <f t="shared" si="30"/>
        <v>0</v>
      </c>
      <c r="AH25" s="51">
        <f t="shared" si="31"/>
        <v>0</v>
      </c>
      <c r="AI25" s="51">
        <f t="shared" si="32"/>
        <v>-2.8206092515983454E-3</v>
      </c>
      <c r="AJ25" s="51">
        <f t="shared" si="33"/>
        <v>0</v>
      </c>
      <c r="AK25" s="51">
        <f t="shared" si="34"/>
        <v>0</v>
      </c>
      <c r="AL25" s="51">
        <f t="shared" si="35"/>
        <v>0</v>
      </c>
      <c r="AM25" s="51">
        <f t="shared" si="36"/>
        <v>0</v>
      </c>
      <c r="AN25" s="51">
        <f t="shared" si="37"/>
        <v>0</v>
      </c>
      <c r="AO25" s="51">
        <f t="shared" si="38"/>
        <v>-1.1744511699340501E-3</v>
      </c>
      <c r="AP25" s="51">
        <f t="shared" si="39"/>
        <v>-6.8373071528751751E-3</v>
      </c>
      <c r="AQ25" s="51">
        <f t="shared" si="40"/>
        <v>-7.8367346938775506E-3</v>
      </c>
      <c r="AR25" s="51">
        <f t="shared" si="41"/>
        <v>-7.6233559520817624E-3</v>
      </c>
      <c r="AS25" s="51">
        <f t="shared" si="42"/>
        <v>0</v>
      </c>
      <c r="AT25" s="51">
        <f t="shared" si="43"/>
        <v>-8.1456636320076659E-3</v>
      </c>
      <c r="AU25" s="51">
        <f t="shared" si="44"/>
        <v>-7.8098700599205546E-3</v>
      </c>
      <c r="AV25" s="51">
        <f t="shared" si="45"/>
        <v>-2.3197107184280549E-3</v>
      </c>
      <c r="AW25" s="51">
        <f t="shared" si="46"/>
        <v>-7.5653370013755155E-4</v>
      </c>
      <c r="AX25" s="51">
        <f t="shared" si="47"/>
        <v>0</v>
      </c>
      <c r="AY25" s="51">
        <f t="shared" si="48"/>
        <v>0</v>
      </c>
      <c r="AZ25" s="51">
        <f t="shared" si="49"/>
        <v>0</v>
      </c>
      <c r="BA25" s="51">
        <f t="shared" si="50"/>
        <v>0</v>
      </c>
      <c r="BB25" s="51"/>
      <c r="BC25" s="51"/>
      <c r="BD25" s="51"/>
      <c r="BE25" s="51"/>
      <c r="BF25" s="51"/>
      <c r="BG25" s="51"/>
      <c r="BH25" s="51"/>
      <c r="BI25" s="51"/>
      <c r="BJ25" s="51"/>
      <c r="BK25" s="51"/>
      <c r="BL25" s="51"/>
      <c r="BM25" s="51"/>
      <c r="BO25" s="71" t="s">
        <v>245</v>
      </c>
      <c r="BP25" s="51"/>
      <c r="BQ25" s="51"/>
      <c r="BR25" s="51"/>
      <c r="BS25" s="51"/>
      <c r="BT25" s="51"/>
      <c r="BV25" s="71" t="s">
        <v>245</v>
      </c>
      <c r="BW25" s="51"/>
      <c r="BX25" s="51"/>
      <c r="BY25" s="51"/>
      <c r="BZ25" s="51"/>
      <c r="CA25" s="51"/>
      <c r="CC25" s="71" t="s">
        <v>245</v>
      </c>
      <c r="CD25" s="51"/>
      <c r="CE25" s="51"/>
      <c r="CF25" s="51"/>
      <c r="CG25" s="51"/>
      <c r="CH25" s="51"/>
      <c r="CJ25" s="71" t="s">
        <v>245</v>
      </c>
      <c r="CK25" s="51"/>
      <c r="CL25" s="51"/>
      <c r="CM25" s="51"/>
      <c r="CN25" s="51"/>
      <c r="CO25" s="51"/>
      <c r="CQ25" s="71" t="s">
        <v>245</v>
      </c>
      <c r="CR25" s="51"/>
      <c r="CS25" s="51"/>
      <c r="CT25" s="51"/>
      <c r="CU25" s="51"/>
      <c r="CV25" s="51"/>
      <c r="CX25" s="71" t="s">
        <v>245</v>
      </c>
      <c r="CY25" s="51"/>
      <c r="CZ25" s="51"/>
      <c r="DA25" s="51"/>
      <c r="DB25" s="51"/>
      <c r="DC25" s="51"/>
      <c r="DE25" s="71" t="s">
        <v>245</v>
      </c>
      <c r="DF25" s="51"/>
      <c r="DG25" s="51"/>
      <c r="DH25" s="51"/>
      <c r="DI25" s="51"/>
      <c r="DJ25" s="51"/>
      <c r="DL25" s="71" t="s">
        <v>245</v>
      </c>
      <c r="DM25" s="51"/>
      <c r="DN25" s="51"/>
      <c r="DO25" s="51"/>
      <c r="DP25" s="51"/>
      <c r="DQ25" s="51"/>
      <c r="DS25" s="71" t="s">
        <v>245</v>
      </c>
      <c r="DT25" s="51"/>
      <c r="DU25" s="51"/>
      <c r="DV25" s="51"/>
      <c r="DW25" s="51"/>
      <c r="DX25" s="51"/>
      <c r="DZ25" s="71" t="s">
        <v>245</v>
      </c>
      <c r="EA25" s="51"/>
      <c r="EB25" s="51"/>
      <c r="EC25" s="51"/>
      <c r="ED25" s="51"/>
      <c r="EE25" s="51"/>
      <c r="EG25" s="71" t="s">
        <v>245</v>
      </c>
      <c r="EH25" s="51"/>
      <c r="EI25" s="51"/>
      <c r="EJ25" s="51"/>
      <c r="EK25" s="51"/>
      <c r="EL25" s="51"/>
      <c r="EN25" s="71" t="s">
        <v>245</v>
      </c>
      <c r="EO25" s="51"/>
      <c r="EP25" s="51"/>
      <c r="EQ25" s="51"/>
      <c r="ER25" s="51"/>
      <c r="ES25" s="51"/>
      <c r="EU25" s="71" t="s">
        <v>245</v>
      </c>
      <c r="EV25" s="51"/>
      <c r="EW25" s="51"/>
      <c r="EX25" s="51"/>
      <c r="EY25" s="51"/>
      <c r="EZ25" s="51"/>
      <c r="FB25" s="71" t="s">
        <v>245</v>
      </c>
      <c r="FC25" s="51"/>
      <c r="FD25" s="51"/>
      <c r="FE25" s="51"/>
      <c r="FF25" s="51"/>
      <c r="FG25" s="51"/>
      <c r="FI25" s="71" t="s">
        <v>245</v>
      </c>
      <c r="FJ25" s="51"/>
      <c r="FK25" s="51"/>
      <c r="FL25" s="51"/>
      <c r="FM25" s="51"/>
      <c r="FN25" s="51"/>
      <c r="FP25" s="71" t="s">
        <v>245</v>
      </c>
      <c r="FQ25" s="51"/>
      <c r="FR25" s="51"/>
      <c r="FS25" s="51"/>
      <c r="FT25" s="51"/>
      <c r="FU25" s="51"/>
      <c r="FW25" s="71" t="s">
        <v>245</v>
      </c>
      <c r="FX25" s="51">
        <f>CSX!FZ33/CSX!FZ$20</f>
        <v>8.0645161290322578E-3</v>
      </c>
      <c r="FY25" s="51">
        <f>CSX!GA33/CSX!GA$20</f>
        <v>4.6533271288971617E-3</v>
      </c>
      <c r="FZ25" s="51">
        <f>CSX!GB33/CSX!GB$20</f>
        <v>8.0000000000000002E-3</v>
      </c>
      <c r="GA25" s="51">
        <f>CSX!GC33/CSX!GC$20</f>
        <v>9.0130689499774673E-3</v>
      </c>
      <c r="GB25" s="51">
        <f>CSX!GD33/CSX!GD$20</f>
        <v>7.4409952331124284E-3</v>
      </c>
      <c r="GD25" s="71" t="s">
        <v>245</v>
      </c>
      <c r="GE25" s="51">
        <f>CSX!GG33/CSX!GG$20</f>
        <v>0</v>
      </c>
      <c r="GF25" s="51">
        <f>CSX!GH33/CSX!GH$20</f>
        <v>-5.204460966542751E-2</v>
      </c>
      <c r="GG25" s="51">
        <f>CSX!GI33/CSX!GI$20</f>
        <v>-6.2034739454094297E-3</v>
      </c>
      <c r="GH25" s="51">
        <f>CSX!GJ33/CSX!GJ$20</f>
        <v>-1.0434056761268781E-2</v>
      </c>
      <c r="GI25" s="51">
        <f>CSX!GK33/CSX!GK$20</f>
        <v>-1.7353125653355634E-2</v>
      </c>
      <c r="GK25" s="71" t="s">
        <v>245</v>
      </c>
      <c r="GL25" s="51">
        <f>CSX!GN33/CSX!GN$20</f>
        <v>-7.4318744838976049E-3</v>
      </c>
      <c r="GM25" s="51">
        <f>CSX!GO33/CSX!GO$20</f>
        <v>0</v>
      </c>
      <c r="GN25" s="51">
        <f>CSX!GP33/CSX!GP$20</f>
        <v>0</v>
      </c>
      <c r="GO25" s="51">
        <f>CSX!GQ33/CSX!GQ$20</f>
        <v>-3.1043849437330227E-3</v>
      </c>
      <c r="GP25" s="51">
        <f>CSX!GR33/CSX!GR$20</f>
        <v>-2.5922233300099701E-3</v>
      </c>
      <c r="GR25" s="71" t="s">
        <v>245</v>
      </c>
      <c r="GS25" s="51">
        <f>CSX!GU33/CSX!GU$20</f>
        <v>0</v>
      </c>
      <c r="GT25" s="51">
        <f>CSX!GV33/CSX!GV$20</f>
        <v>0</v>
      </c>
      <c r="GU25" s="51">
        <f>CSX!GW33/CSX!GW$20</f>
        <v>0</v>
      </c>
      <c r="GV25" s="51">
        <f>CSX!GX33/CSX!GX$20</f>
        <v>0</v>
      </c>
      <c r="GW25" s="51">
        <f>CSX!GY33/CSX!GY$20</f>
        <v>0</v>
      </c>
      <c r="GY25" s="71" t="s">
        <v>245</v>
      </c>
      <c r="GZ25" s="51">
        <f>CSX!HB33/CSX!HB$20</f>
        <v>0</v>
      </c>
      <c r="HA25" s="51">
        <f>CSX!HC33/CSX!HC$20</f>
        <v>0</v>
      </c>
      <c r="HB25" s="51">
        <f>CSX!HD33/CSX!HD$20</f>
        <v>0</v>
      </c>
      <c r="HC25" s="51">
        <f>CSX!HE33/CSX!HE$20</f>
        <v>0</v>
      </c>
      <c r="HD25" s="51">
        <f>CSX!HF33/CSX!HF$20</f>
        <v>0</v>
      </c>
      <c r="HF25" s="71" t="s">
        <v>245</v>
      </c>
      <c r="HG25" s="51">
        <f>CSX!HI33/CSX!HI$20</f>
        <v>0</v>
      </c>
      <c r="HH25" s="51">
        <f>CSX!HJ33/CSX!HJ$20</f>
        <v>-1.1265490048817123E-2</v>
      </c>
      <c r="HI25" s="51">
        <f>CSX!HK33/CSX!HK$20</f>
        <v>0</v>
      </c>
      <c r="HJ25" s="51">
        <f>CSX!HL33/CSX!HL$20</f>
        <v>0</v>
      </c>
      <c r="HK25" s="51">
        <f>CSX!HM33/CSX!HM$20</f>
        <v>-2.8206092515983454E-3</v>
      </c>
      <c r="HM25" s="71" t="s">
        <v>245</v>
      </c>
      <c r="HN25" s="51">
        <f>CSX!HP33/CSX!HP$20</f>
        <v>0</v>
      </c>
      <c r="HO25" s="51">
        <f>CSX!HQ33/CSX!HQ$20</f>
        <v>0</v>
      </c>
      <c r="HP25" s="51">
        <f>CSX!HR33/CSX!HR$20</f>
        <v>0</v>
      </c>
      <c r="HQ25" s="51">
        <f>CSX!HS33/CSX!HS$20</f>
        <v>0</v>
      </c>
      <c r="HR25" s="51">
        <f>CSX!HT33/CSX!HT$20</f>
        <v>0</v>
      </c>
      <c r="HT25" s="71" t="s">
        <v>245</v>
      </c>
      <c r="HU25" s="51">
        <f>CSX!HW33/CSX!HW$20</f>
        <v>0</v>
      </c>
      <c r="HV25" s="51">
        <f>CSX!HX33/CSX!HX$20</f>
        <v>0</v>
      </c>
      <c r="HW25" s="51">
        <f>CSX!HY33/CSX!HY$20</f>
        <v>0</v>
      </c>
      <c r="HX25" s="51">
        <f>CSX!HZ33/CSX!HZ$20</f>
        <v>0</v>
      </c>
      <c r="HY25" s="51">
        <f>CSX!IA33/CSX!IA$20</f>
        <v>0</v>
      </c>
      <c r="IA25" s="71" t="s">
        <v>245</v>
      </c>
      <c r="IB25" s="51">
        <f>CSX!ID33/CSX!ID$20</f>
        <v>0</v>
      </c>
      <c r="IC25" s="51">
        <f>CSX!IE33/CSX!IE$20</f>
        <v>0</v>
      </c>
      <c r="ID25" s="51">
        <f>CSX!IF33/CSX!IF$20</f>
        <v>0</v>
      </c>
      <c r="IE25" s="51">
        <f>CSX!IG33/CSX!IG$20</f>
        <v>0</v>
      </c>
      <c r="IF25" s="51">
        <f>CSX!IH33/CSX!IH$20</f>
        <v>0</v>
      </c>
      <c r="IH25" s="71" t="s">
        <v>245</v>
      </c>
      <c r="II25" s="51">
        <f>CSX!IK33/CSX!IK$20</f>
        <v>0</v>
      </c>
      <c r="IJ25" s="51">
        <f>CSX!IL33/CSX!IL$20</f>
        <v>0</v>
      </c>
      <c r="IK25" s="51">
        <f>CSX!IM33/CSX!IM$20</f>
        <v>0</v>
      </c>
      <c r="IL25" s="51">
        <f>CSX!IN33/CSX!IN$20</f>
        <v>0</v>
      </c>
      <c r="IM25" s="51">
        <f>CSX!IO33/CSX!IO$20</f>
        <v>0</v>
      </c>
      <c r="IO25" s="71" t="s">
        <v>245</v>
      </c>
      <c r="IP25" s="51">
        <f>CSX!IR33/CSX!IR$20</f>
        <v>0</v>
      </c>
      <c r="IQ25" s="51">
        <f>CSX!IS33/CSX!IS$20</f>
        <v>0</v>
      </c>
      <c r="IR25" s="51">
        <f>CSX!IT33/CSX!IT$20</f>
        <v>0</v>
      </c>
      <c r="IS25" s="51">
        <f>CSX!IU33/CSX!IU$20</f>
        <v>0</v>
      </c>
      <c r="IT25" s="51">
        <f>CSX!IV33/CSX!IV$20</f>
        <v>0</v>
      </c>
      <c r="IV25" s="71" t="s">
        <v>245</v>
      </c>
      <c r="IW25" s="51">
        <f>CSX!IY33/CSX!IY$20</f>
        <v>0</v>
      </c>
      <c r="IX25" s="51">
        <f>CSX!IZ33/CSX!IZ$20</f>
        <v>0</v>
      </c>
      <c r="IY25" s="51">
        <f>CSX!JA33/CSX!JA$20</f>
        <v>0</v>
      </c>
      <c r="IZ25" s="51">
        <f>CSX!JB33/CSX!JB$20</f>
        <v>-4.2805400065854459E-3</v>
      </c>
      <c r="JA25" s="51">
        <f>CSX!JC33/CSX!JC$20</f>
        <v>-1.1744511699340501E-3</v>
      </c>
      <c r="JC25" s="71" t="s">
        <v>245</v>
      </c>
      <c r="JD25" s="51">
        <f>CSX!JF33/CSX!JF$20</f>
        <v>-4.5311955385151622E-3</v>
      </c>
      <c r="JE25" s="51">
        <f>CSX!JG33/CSX!JG$20</f>
        <v>-5.4551653596999657E-3</v>
      </c>
      <c r="JF25" s="51">
        <f>CSX!JH33/CSX!JH$20</f>
        <v>-6.926722566532993E-3</v>
      </c>
      <c r="JG25" s="51">
        <f>CSX!JI33/CSX!JI$20</f>
        <v>-1.0478519035976248E-2</v>
      </c>
      <c r="JH25" s="51">
        <f>CSX!JJ33/CSX!JJ$20</f>
        <v>-6.8373071528751751E-3</v>
      </c>
      <c r="JJ25" s="71" t="s">
        <v>245</v>
      </c>
      <c r="JK25" s="51">
        <f>CSX!JM33/CSX!JM$20</f>
        <v>-8.6926286509040329E-3</v>
      </c>
      <c r="JL25" s="51">
        <f>CSX!JN33/CSX!JN$20</f>
        <v>-9.6711798839458421E-3</v>
      </c>
      <c r="JM25" s="51">
        <f>CSX!JO33/CSX!JO$20</f>
        <v>-7.6701821668264617E-3</v>
      </c>
      <c r="JN25" s="51">
        <f>CSX!JP33/CSX!JP$20</f>
        <v>-5.4088450524976137E-3</v>
      </c>
      <c r="JO25" s="51">
        <f>CSX!JQ33/CSX!JQ$20</f>
        <v>-7.8367346938775506E-3</v>
      </c>
      <c r="JQ25" s="71" t="s">
        <v>245</v>
      </c>
      <c r="JR25" s="51">
        <f>CSX!JT33/CSX!JT$20</f>
        <v>-6.3060073016926654E-3</v>
      </c>
      <c r="JS25" s="51">
        <f>CSX!JU33/CSX!JU$20</f>
        <v>-6.8605031035609276E-3</v>
      </c>
      <c r="JT25" s="51">
        <f>CSX!JV33/CSX!JV$20</f>
        <v>-9.0664875755540626E-3</v>
      </c>
      <c r="JU25" s="51">
        <f>CSX!JW33/CSX!JW$20</f>
        <v>-8.3188908145580588E-3</v>
      </c>
      <c r="JV25" s="51">
        <f>CSX!JX33/CSX!JX$20</f>
        <v>-7.6233559520817624E-3</v>
      </c>
      <c r="JX25" s="71" t="s">
        <v>245</v>
      </c>
      <c r="JY25" s="51">
        <f>CSX!KA33/CSX!KA$20</f>
        <v>0</v>
      </c>
      <c r="JZ25" s="51">
        <f>CSX!KB33/CSX!KB$20</f>
        <v>0</v>
      </c>
      <c r="KA25" s="51">
        <f>CSX!KC33/CSX!KC$20</f>
        <v>0</v>
      </c>
      <c r="KB25" s="51">
        <f>CSX!KD33/CSX!KD$20</f>
        <v>0</v>
      </c>
      <c r="KC25" s="51">
        <f>CSX!KE33/CSX!KE$20</f>
        <v>0</v>
      </c>
      <c r="KE25" s="71" t="s">
        <v>245</v>
      </c>
      <c r="KF25" s="51">
        <f>CSX!KH33/CSX!KH$20</f>
        <v>0</v>
      </c>
      <c r="KG25" s="51">
        <f>CSX!KI33/CSX!KI$20</f>
        <v>-6.0200668896321068E-3</v>
      </c>
      <c r="KH25" s="51">
        <f>CSX!KJ33/CSX!KJ$20</f>
        <v>-1.8226002430133656E-2</v>
      </c>
      <c r="KI25" s="51">
        <f>CSX!KK33/CSX!KK$20</f>
        <v>-7.0032098044937267E-3</v>
      </c>
      <c r="KJ25" s="51">
        <f>CSX!KL33/CSX!KL$20</f>
        <v>-8.1456636320076659E-3</v>
      </c>
      <c r="KL25" s="71" t="s">
        <v>245</v>
      </c>
      <c r="KM25" s="51">
        <f>CSX!KO33/CSX!KO$20</f>
        <v>-7.9109288016407844E-3</v>
      </c>
      <c r="KN25" s="51">
        <f>CSX!KP33/CSX!KP$20</f>
        <v>-1.834862385321101E-3</v>
      </c>
      <c r="KO25" s="51">
        <f>CSX!KQ33/CSX!KQ$20</f>
        <v>-6.9319640564826698E-3</v>
      </c>
      <c r="KP25" s="51">
        <f>CSX!KR33/CSX!KR$20</f>
        <v>-1.4745308310991957E-2</v>
      </c>
      <c r="KQ25" s="51">
        <f>CSX!KS33/CSX!KS$20</f>
        <v>-7.8098700599205546E-3</v>
      </c>
      <c r="KS25" s="71" t="s">
        <v>245</v>
      </c>
      <c r="KT25" s="51">
        <f>CSX!KV33/CSX!KV$20</f>
        <v>-2.1586616297895305E-3</v>
      </c>
      <c r="KU25" s="51">
        <f>CSX!KW33/CSX!KW$20</f>
        <v>-3.2441200324412004E-3</v>
      </c>
      <c r="KV25" s="51">
        <f>CSX!KX33/CSX!KX$20</f>
        <v>-1.6797312430011197E-3</v>
      </c>
      <c r="KW25" s="51">
        <f>CSX!KY33/CSX!KY$20</f>
        <v>-2.1739130434782609E-3</v>
      </c>
      <c r="KX25" s="51">
        <f>CSX!KZ33/CSX!KZ$20</f>
        <v>-2.3197107184280549E-3</v>
      </c>
      <c r="KZ25" s="71" t="s">
        <v>245</v>
      </c>
      <c r="LA25" s="51">
        <f>CSX!LC33/CSX!LC$20</f>
        <v>-2.7166530834012495E-4</v>
      </c>
      <c r="LB25" s="51">
        <f>CSX!LD33/CSX!LD$20</f>
        <v>-2.1615779519048904E-3</v>
      </c>
      <c r="LC25" s="51">
        <f>CSX!LE33/CSX!LE$20</f>
        <v>2.7631942525559546E-4</v>
      </c>
      <c r="LD25" s="51">
        <f>CSX!LF33/CSX!LF$20</f>
        <v>-8.4769708957332577E-4</v>
      </c>
      <c r="LE25" s="49">
        <f>Expense!LE13/CSX!LG$20</f>
        <v>-7.5653370013755155E-4</v>
      </c>
      <c r="LF25" s="585"/>
      <c r="LG25" s="71" t="s">
        <v>245</v>
      </c>
      <c r="LH25" s="51">
        <f>CSX!LJ33/CSX!LJ$20</f>
        <v>0</v>
      </c>
      <c r="LI25" s="49">
        <f>Expense!LI13/CSX!LK$20</f>
        <v>0</v>
      </c>
      <c r="LJ25" s="49">
        <f>Expense!LJ13/CSX!LL$20</f>
        <v>0</v>
      </c>
      <c r="LK25" s="49">
        <f>Expense!LK13/CSX!LM$20</f>
        <v>0</v>
      </c>
      <c r="LL25" s="49">
        <f>Expense!LL13/CSX!LN$20</f>
        <v>0</v>
      </c>
      <c r="LM25" s="585"/>
      <c r="LN25" s="71" t="s">
        <v>245</v>
      </c>
      <c r="LO25" s="49">
        <f>Expense!LO13/CSX!LQ$20</f>
        <v>0</v>
      </c>
      <c r="LP25" s="49">
        <f>Expense!LP13/CSX!LR$20</f>
        <v>0</v>
      </c>
      <c r="LQ25" s="49">
        <f>Expense!LQ13/CSX!LS$20</f>
        <v>0</v>
      </c>
      <c r="LR25" s="49">
        <f>Expense!LR13/CSX!LT$20</f>
        <v>0</v>
      </c>
      <c r="LS25" s="49">
        <f>Expense!LS13/CSX!LU$20</f>
        <v>0</v>
      </c>
      <c r="LT25" s="585"/>
      <c r="LU25" s="71" t="s">
        <v>245</v>
      </c>
      <c r="LV25" s="49">
        <f>Expense!LV13/CSX!LX$20</f>
        <v>0</v>
      </c>
      <c r="LW25" s="49">
        <f>Expense!LW13/CSX!LY$20</f>
        <v>0</v>
      </c>
      <c r="LX25" s="49">
        <f>Expense!LX13/CSX!LZ$20</f>
        <v>0</v>
      </c>
      <c r="LY25" s="49">
        <f>Expense!LY13/CSX!MA$20</f>
        <v>0</v>
      </c>
      <c r="LZ25" s="49">
        <f>Expense!LZ13/CSX!MB$20</f>
        <v>0</v>
      </c>
      <c r="MA25" s="585"/>
      <c r="MB25" s="71" t="s">
        <v>245</v>
      </c>
      <c r="MC25" s="49">
        <f>Expense!MC13/CSX!ME$20</f>
        <v>0</v>
      </c>
      <c r="MD25" s="49">
        <f>Expense!MD13/CSX!MF$20</f>
        <v>0</v>
      </c>
      <c r="ME25" s="49">
        <f>Expense!ME13/CSX!MG$20</f>
        <v>0</v>
      </c>
      <c r="MF25" s="49">
        <f>Expense!MF13/CSX!MH$20</f>
        <v>0</v>
      </c>
      <c r="MG25" s="49">
        <f>Expense!MG13/CSX!MI$20</f>
        <v>0</v>
      </c>
      <c r="MH25" s="585"/>
    </row>
    <row r="26" spans="1:346" s="37" customFormat="1" ht="13.15" x14ac:dyDescent="0.4">
      <c r="A26" s="97"/>
      <c r="B26" s="226"/>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O26" s="226"/>
      <c r="BP26" s="51"/>
      <c r="BQ26" s="51"/>
      <c r="BR26" s="51"/>
      <c r="BS26" s="51"/>
      <c r="BT26" s="51"/>
      <c r="BV26" s="226"/>
      <c r="BW26" s="51"/>
      <c r="BX26" s="51"/>
      <c r="BY26" s="51"/>
      <c r="BZ26" s="51"/>
      <c r="CA26" s="51"/>
      <c r="CC26" s="226"/>
      <c r="CD26" s="51"/>
      <c r="CE26" s="51"/>
      <c r="CF26" s="51"/>
      <c r="CG26" s="51"/>
      <c r="CH26" s="51"/>
      <c r="CJ26" s="226"/>
      <c r="CK26" s="51"/>
      <c r="CL26" s="51"/>
      <c r="CM26" s="51"/>
      <c r="CN26" s="51"/>
      <c r="CO26" s="51"/>
      <c r="CQ26" s="226"/>
      <c r="CR26" s="51"/>
      <c r="CS26" s="51"/>
      <c r="CT26" s="51"/>
      <c r="CU26" s="51"/>
      <c r="CV26" s="51"/>
      <c r="CX26" s="226"/>
      <c r="CY26" s="51"/>
      <c r="CZ26" s="51"/>
      <c r="DA26" s="51"/>
      <c r="DB26" s="51"/>
      <c r="DC26" s="51"/>
      <c r="DE26" s="226"/>
      <c r="DF26" s="51"/>
      <c r="DG26" s="51"/>
      <c r="DH26" s="51"/>
      <c r="DI26" s="51"/>
      <c r="DJ26" s="51"/>
      <c r="DL26" s="226"/>
      <c r="DM26" s="51"/>
      <c r="DN26" s="51"/>
      <c r="DO26" s="51"/>
      <c r="DP26" s="51"/>
      <c r="DQ26" s="51"/>
      <c r="DS26" s="226"/>
      <c r="DT26" s="51"/>
      <c r="DU26" s="51"/>
      <c r="DV26" s="51"/>
      <c r="DW26" s="51"/>
      <c r="DX26" s="51"/>
      <c r="DZ26" s="226"/>
      <c r="EA26" s="51"/>
      <c r="EB26" s="51"/>
      <c r="EC26" s="51"/>
      <c r="ED26" s="51"/>
      <c r="EE26" s="51"/>
      <c r="EG26" s="226"/>
      <c r="EH26" s="51"/>
      <c r="EI26" s="51"/>
      <c r="EJ26" s="51"/>
      <c r="EK26" s="51"/>
      <c r="EL26" s="51"/>
      <c r="EN26" s="226"/>
      <c r="EO26" s="51"/>
      <c r="EP26" s="51"/>
      <c r="EQ26" s="51"/>
      <c r="ER26" s="51"/>
      <c r="ES26" s="51"/>
      <c r="EU26" s="226"/>
      <c r="EV26" s="51"/>
      <c r="EW26" s="51"/>
      <c r="EX26" s="51"/>
      <c r="EY26" s="51"/>
      <c r="EZ26" s="51"/>
      <c r="FB26" s="226"/>
      <c r="FC26" s="51"/>
      <c r="FD26" s="51"/>
      <c r="FE26" s="51"/>
      <c r="FF26" s="51"/>
      <c r="FG26" s="51"/>
      <c r="FI26" s="226"/>
      <c r="FJ26" s="51"/>
      <c r="FK26" s="51"/>
      <c r="FL26" s="51"/>
      <c r="FM26" s="51"/>
      <c r="FN26" s="51"/>
      <c r="FP26" s="226"/>
      <c r="FQ26" s="51"/>
      <c r="FR26" s="51"/>
      <c r="FS26" s="51"/>
      <c r="FT26" s="51"/>
      <c r="FU26" s="51"/>
      <c r="FW26" s="226"/>
      <c r="FX26" s="51"/>
      <c r="FY26" s="51"/>
      <c r="FZ26" s="51"/>
      <c r="GA26" s="51"/>
      <c r="GB26" s="51"/>
      <c r="GD26" s="226"/>
      <c r="GE26" s="51"/>
      <c r="GF26" s="51"/>
      <c r="GG26" s="51"/>
      <c r="GH26" s="51"/>
      <c r="GI26" s="51"/>
      <c r="GK26" s="226"/>
      <c r="GL26" s="51"/>
      <c r="GM26" s="51"/>
      <c r="GN26" s="51"/>
      <c r="GO26" s="51"/>
      <c r="GP26" s="51"/>
      <c r="GR26" s="226"/>
      <c r="GS26" s="51"/>
      <c r="GT26" s="51"/>
      <c r="GU26" s="51"/>
      <c r="GV26" s="51"/>
      <c r="GW26" s="51"/>
      <c r="GY26" s="226"/>
      <c r="GZ26" s="51"/>
      <c r="HA26" s="51"/>
      <c r="HB26" s="51"/>
      <c r="HC26" s="51"/>
      <c r="HD26" s="51"/>
      <c r="HF26" s="226"/>
      <c r="HG26" s="51"/>
      <c r="HH26" s="51"/>
      <c r="HI26" s="51"/>
      <c r="HJ26" s="51"/>
      <c r="HK26" s="51"/>
      <c r="HM26" s="226"/>
      <c r="HN26" s="51"/>
      <c r="HO26" s="51"/>
      <c r="HP26" s="51"/>
      <c r="HQ26" s="51"/>
      <c r="HR26" s="51"/>
      <c r="HT26" s="226"/>
      <c r="HU26" s="51"/>
      <c r="HV26" s="51"/>
      <c r="HW26" s="51"/>
      <c r="HX26" s="51"/>
      <c r="HY26" s="51"/>
      <c r="IA26" s="226"/>
      <c r="IB26" s="51"/>
      <c r="IC26" s="51"/>
      <c r="ID26" s="51"/>
      <c r="IE26" s="51"/>
      <c r="IF26" s="51"/>
      <c r="IH26" s="226"/>
      <c r="II26" s="51"/>
      <c r="IJ26" s="51"/>
      <c r="IK26" s="51"/>
      <c r="IL26" s="51"/>
      <c r="IM26" s="51"/>
      <c r="IO26" s="226"/>
      <c r="IP26" s="51"/>
      <c r="IQ26" s="51"/>
      <c r="IR26" s="51"/>
      <c r="IS26" s="51"/>
      <c r="IT26" s="51"/>
      <c r="IV26" s="226"/>
      <c r="IW26" s="51"/>
      <c r="IX26" s="51"/>
      <c r="IY26" s="51"/>
      <c r="IZ26" s="51"/>
      <c r="JA26" s="51"/>
      <c r="JC26" s="226"/>
      <c r="JD26" s="51"/>
      <c r="JE26" s="51"/>
      <c r="JF26" s="51"/>
      <c r="JG26" s="51"/>
      <c r="JH26" s="51"/>
      <c r="JJ26" s="226"/>
      <c r="JK26" s="51"/>
      <c r="JL26" s="51"/>
      <c r="JM26" s="51"/>
      <c r="JN26" s="51"/>
      <c r="JO26" s="51"/>
      <c r="JQ26" s="226"/>
      <c r="JR26" s="51"/>
      <c r="JS26" s="51"/>
      <c r="JT26" s="51"/>
      <c r="JU26" s="51"/>
      <c r="JV26" s="51"/>
      <c r="JX26" s="226"/>
      <c r="JY26" s="51"/>
      <c r="JZ26" s="51"/>
      <c r="KA26" s="51"/>
      <c r="KB26" s="51"/>
      <c r="KC26" s="51"/>
      <c r="KE26" s="226"/>
      <c r="KF26" s="51"/>
      <c r="KG26" s="51"/>
      <c r="KH26" s="51"/>
      <c r="KI26" s="51"/>
      <c r="KJ26" s="51"/>
      <c r="KL26" s="226"/>
      <c r="KM26" s="51"/>
      <c r="KN26" s="51"/>
      <c r="KO26" s="51"/>
      <c r="KP26" s="51"/>
      <c r="KQ26" s="51"/>
      <c r="KS26" s="226"/>
      <c r="KT26" s="51"/>
      <c r="KU26" s="51"/>
      <c r="KV26" s="52"/>
      <c r="KW26" s="51"/>
      <c r="KX26" s="51"/>
      <c r="KZ26" s="226"/>
      <c r="LA26" s="51"/>
      <c r="LB26" s="49"/>
      <c r="LC26" s="49"/>
      <c r="LD26" s="49"/>
      <c r="LE26" s="49"/>
      <c r="LF26" s="585"/>
      <c r="LG26" s="226"/>
      <c r="LH26" s="49"/>
      <c r="LI26" s="49"/>
      <c r="LJ26" s="49"/>
      <c r="LK26" s="49"/>
      <c r="LL26" s="49"/>
      <c r="LM26" s="585"/>
      <c r="LN26" s="226"/>
      <c r="LO26" s="49"/>
      <c r="LP26" s="49"/>
      <c r="LQ26" s="49"/>
      <c r="LR26" s="49"/>
      <c r="LS26" s="49"/>
      <c r="LT26" s="585"/>
      <c r="LU26" s="226"/>
      <c r="LV26" s="49"/>
      <c r="LW26" s="49"/>
      <c r="LX26" s="49"/>
      <c r="LY26" s="49"/>
      <c r="LZ26" s="49"/>
      <c r="MA26" s="585"/>
      <c r="MB26" s="226"/>
      <c r="MC26" s="49"/>
      <c r="MD26" s="49"/>
      <c r="ME26" s="49"/>
      <c r="MF26" s="49"/>
      <c r="MG26" s="49"/>
      <c r="MH26" s="585"/>
    </row>
    <row r="27" spans="1:346" s="37" customFormat="1" ht="13.5" thickBot="1" x14ac:dyDescent="0.45">
      <c r="A27" s="48"/>
      <c r="B27" s="227" t="s">
        <v>197</v>
      </c>
      <c r="C27" s="228"/>
      <c r="D27" s="228"/>
      <c r="E27" s="228"/>
      <c r="F27" s="228"/>
      <c r="G27" s="228"/>
      <c r="H27" s="228"/>
      <c r="I27" s="228"/>
      <c r="J27" s="228"/>
      <c r="K27" s="228"/>
      <c r="L27" s="228"/>
      <c r="M27" s="228"/>
      <c r="N27" s="229">
        <f>BT27</f>
        <v>0</v>
      </c>
      <c r="O27" s="229">
        <f>CA27</f>
        <v>0</v>
      </c>
      <c r="P27" s="229">
        <f>CH27</f>
        <v>0</v>
      </c>
      <c r="Q27" s="229">
        <f>CO27</f>
        <v>0</v>
      </c>
      <c r="R27" s="229">
        <f>CV27</f>
        <v>0</v>
      </c>
      <c r="S27" s="229">
        <f>DC27</f>
        <v>0</v>
      </c>
      <c r="T27" s="229">
        <f>DJ27</f>
        <v>0</v>
      </c>
      <c r="U27" s="229">
        <f>DQ27</f>
        <v>0</v>
      </c>
      <c r="V27" s="229">
        <f>DX27</f>
        <v>0</v>
      </c>
      <c r="W27" s="229">
        <f>EE27</f>
        <v>0</v>
      </c>
      <c r="X27" s="229">
        <f>EL27</f>
        <v>0</v>
      </c>
      <c r="Y27" s="229">
        <f>ES27</f>
        <v>0</v>
      </c>
      <c r="Z27" s="229">
        <f>EZ27</f>
        <v>0</v>
      </c>
      <c r="AA27" s="229">
        <f>FG27</f>
        <v>0</v>
      </c>
      <c r="AB27" s="229">
        <f>FN27</f>
        <v>0</v>
      </c>
      <c r="AC27" s="229">
        <f>FU27</f>
        <v>0</v>
      </c>
      <c r="AD27" s="229">
        <f>GB27</f>
        <v>0.82176491105685401</v>
      </c>
      <c r="AE27" s="229">
        <f>GI27</f>
        <v>0.77796362115826889</v>
      </c>
      <c r="AF27" s="229">
        <f>GP27</f>
        <v>0.77467597208374872</v>
      </c>
      <c r="AG27" s="229">
        <f>GW27</f>
        <v>0.75424255886272762</v>
      </c>
      <c r="AH27" s="229">
        <f>HD27</f>
        <v>0.74825793606901891</v>
      </c>
      <c r="AI27" s="229">
        <f>HK27</f>
        <v>0.70844302369311773</v>
      </c>
      <c r="AJ27" s="229">
        <f>HR27</f>
        <v>0.7089329813505918</v>
      </c>
      <c r="AK27" s="229">
        <f>HY27</f>
        <v>0.7059373936713168</v>
      </c>
      <c r="AL27" s="229">
        <f>IF27</f>
        <v>0.70932161220766288</v>
      </c>
      <c r="AM27" s="229">
        <f>IM27</f>
        <v>0.71481569184623894</v>
      </c>
      <c r="AN27" s="229">
        <f>IT27</f>
        <v>0.69655405977478613</v>
      </c>
      <c r="AO27" s="229">
        <f>JA27</f>
        <v>0.69382961423796186</v>
      </c>
      <c r="AP27" s="229">
        <f>JH27</f>
        <v>0.66532258064516125</v>
      </c>
      <c r="AQ27" s="229">
        <f>JO27</f>
        <v>0.60253061224489801</v>
      </c>
      <c r="AR27" s="229">
        <f>JV27</f>
        <v>0.58406634832872584</v>
      </c>
      <c r="AS27" s="229">
        <f>KC27</f>
        <v>0.58782953793820281</v>
      </c>
      <c r="AT27" s="229">
        <f>KJ27</f>
        <v>0.58113719853058621</v>
      </c>
      <c r="AU27" s="229">
        <f>KQ27</f>
        <v>0.6027065239345587</v>
      </c>
      <c r="AV27" s="229">
        <f>KX27</f>
        <v>0.62482090468718021</v>
      </c>
      <c r="AW27" s="229">
        <f>LE27</f>
        <v>0.63184319119669885</v>
      </c>
      <c r="AX27" s="229">
        <f>LL27</f>
        <v>0.66136815214305988</v>
      </c>
      <c r="AY27" s="229">
        <f>LS27</f>
        <v>0.63585919276690528</v>
      </c>
      <c r="AZ27" s="229">
        <f>LZ27</f>
        <v>0.61438472676937084</v>
      </c>
      <c r="BA27" s="229">
        <f>MG27</f>
        <v>0.6056286058743634</v>
      </c>
      <c r="BB27" s="229"/>
      <c r="BC27" s="229"/>
      <c r="BD27" s="229"/>
      <c r="BE27" s="229"/>
      <c r="BF27" s="229"/>
      <c r="BG27" s="229"/>
      <c r="BH27" s="229"/>
      <c r="BI27" s="229"/>
      <c r="BJ27" s="229"/>
      <c r="BK27" s="229"/>
      <c r="BL27" s="229"/>
      <c r="BM27" s="229"/>
      <c r="BO27" s="227" t="s">
        <v>197</v>
      </c>
      <c r="BP27" s="230"/>
      <c r="BQ27" s="230"/>
      <c r="BR27" s="230"/>
      <c r="BS27" s="230"/>
      <c r="BT27" s="230"/>
      <c r="BV27" s="227" t="s">
        <v>197</v>
      </c>
      <c r="BW27" s="230"/>
      <c r="BX27" s="230"/>
      <c r="BY27" s="230"/>
      <c r="BZ27" s="230"/>
      <c r="CA27" s="230"/>
      <c r="CC27" s="227" t="s">
        <v>197</v>
      </c>
      <c r="CD27" s="230"/>
      <c r="CE27" s="230"/>
      <c r="CF27" s="230"/>
      <c r="CG27" s="230"/>
      <c r="CH27" s="230"/>
      <c r="CJ27" s="227" t="s">
        <v>197</v>
      </c>
      <c r="CK27" s="230"/>
      <c r="CL27" s="230"/>
      <c r="CM27" s="230"/>
      <c r="CN27" s="230"/>
      <c r="CO27" s="230"/>
      <c r="CQ27" s="227" t="s">
        <v>197</v>
      </c>
      <c r="CR27" s="230"/>
      <c r="CS27" s="230"/>
      <c r="CT27" s="230"/>
      <c r="CU27" s="230"/>
      <c r="CV27" s="230"/>
      <c r="CX27" s="227" t="s">
        <v>197</v>
      </c>
      <c r="CY27" s="230"/>
      <c r="CZ27" s="230"/>
      <c r="DA27" s="230"/>
      <c r="DB27" s="230"/>
      <c r="DC27" s="230"/>
      <c r="DE27" s="227" t="s">
        <v>197</v>
      </c>
      <c r="DF27" s="230"/>
      <c r="DG27" s="230"/>
      <c r="DH27" s="230"/>
      <c r="DI27" s="230"/>
      <c r="DJ27" s="230"/>
      <c r="DL27" s="227" t="s">
        <v>197</v>
      </c>
      <c r="DM27" s="230"/>
      <c r="DN27" s="230"/>
      <c r="DO27" s="230"/>
      <c r="DP27" s="230"/>
      <c r="DQ27" s="230"/>
      <c r="DS27" s="227" t="s">
        <v>197</v>
      </c>
      <c r="DT27" s="230"/>
      <c r="DU27" s="230"/>
      <c r="DV27" s="230"/>
      <c r="DW27" s="230"/>
      <c r="DX27" s="230"/>
      <c r="DZ27" s="227" t="s">
        <v>197</v>
      </c>
      <c r="EA27" s="230"/>
      <c r="EB27" s="230"/>
      <c r="EC27" s="230"/>
      <c r="ED27" s="230"/>
      <c r="EE27" s="230"/>
      <c r="EG27" s="227" t="s">
        <v>197</v>
      </c>
      <c r="EH27" s="230"/>
      <c r="EI27" s="230"/>
      <c r="EJ27" s="230"/>
      <c r="EK27" s="230"/>
      <c r="EL27" s="230"/>
      <c r="EN27" s="227" t="s">
        <v>197</v>
      </c>
      <c r="EO27" s="230"/>
      <c r="EP27" s="230"/>
      <c r="EQ27" s="230"/>
      <c r="ER27" s="230"/>
      <c r="ES27" s="230"/>
      <c r="EU27" s="227" t="s">
        <v>197</v>
      </c>
      <c r="EV27" s="230"/>
      <c r="EW27" s="230"/>
      <c r="EX27" s="230"/>
      <c r="EY27" s="230"/>
      <c r="EZ27" s="230"/>
      <c r="FB27" s="227" t="s">
        <v>197</v>
      </c>
      <c r="FC27" s="230"/>
      <c r="FD27" s="230"/>
      <c r="FE27" s="230"/>
      <c r="FF27" s="230"/>
      <c r="FG27" s="230"/>
      <c r="FI27" s="227" t="s">
        <v>197</v>
      </c>
      <c r="FJ27" s="230"/>
      <c r="FK27" s="230"/>
      <c r="FL27" s="230"/>
      <c r="FM27" s="230"/>
      <c r="FN27" s="230"/>
      <c r="FP27" s="227" t="s">
        <v>197</v>
      </c>
      <c r="FQ27" s="230"/>
      <c r="FR27" s="230"/>
      <c r="FS27" s="230"/>
      <c r="FT27" s="230"/>
      <c r="FU27" s="230"/>
      <c r="FW27" s="227" t="s">
        <v>197</v>
      </c>
      <c r="FX27" s="230">
        <f>SUM(FX19:FX25)</f>
        <v>0.83206831119544611</v>
      </c>
      <c r="FY27" s="230">
        <f>SUM(FY19:FY25)</f>
        <v>0.80735225686365764</v>
      </c>
      <c r="FZ27" s="230">
        <f>SUM(FZ19:FZ25)</f>
        <v>0.83388235294117641</v>
      </c>
      <c r="GA27" s="230">
        <f>SUM(GA19:GA25)</f>
        <v>0.81433077963046419</v>
      </c>
      <c r="GB27" s="230">
        <f>SUM(GB19:GB25)</f>
        <v>0.82176491105685401</v>
      </c>
      <c r="GD27" s="227" t="s">
        <v>197</v>
      </c>
      <c r="GE27" s="230">
        <f>SUM(GE19:GE25)</f>
        <v>0.79107679107679096</v>
      </c>
      <c r="GF27" s="230">
        <f>SUM(GF19:GF25)</f>
        <v>0.73358116480793045</v>
      </c>
      <c r="GG27" s="230">
        <f>SUM(GG19:GG25)</f>
        <v>0.79776674937965264</v>
      </c>
      <c r="GH27" s="230">
        <f>SUM(GH19:GH25)</f>
        <v>0.79006677796327218</v>
      </c>
      <c r="GI27" s="230">
        <f>SUM(GI19:GI25)</f>
        <v>0.77796362115826889</v>
      </c>
      <c r="GK27" s="227" t="s">
        <v>197</v>
      </c>
      <c r="GL27" s="230">
        <f>SUM(GL19:GL25)</f>
        <v>0.79975227085053657</v>
      </c>
      <c r="GM27" s="230">
        <f>SUM(GM19:GM25)</f>
        <v>0.75810276679841893</v>
      </c>
      <c r="GN27" s="230">
        <f>SUM(GN19:GN25)</f>
        <v>0.77688924430227901</v>
      </c>
      <c r="GO27" s="230">
        <f>SUM(GO19:GO25)</f>
        <v>0.76523088863019006</v>
      </c>
      <c r="GP27" s="230">
        <f>SUM(GP19:GP25)</f>
        <v>0.77467597208374872</v>
      </c>
      <c r="GR27" s="227" t="s">
        <v>197</v>
      </c>
      <c r="GS27" s="230">
        <f>SUM(GS19:GS25)</f>
        <v>0.76999631404349422</v>
      </c>
      <c r="GT27" s="230">
        <f>SUM(GT19:GT25)</f>
        <v>0.75335397316821473</v>
      </c>
      <c r="GU27" s="230">
        <f>SUM(GU19:GU25)</f>
        <v>0.75244849712934814</v>
      </c>
      <c r="GV27" s="230">
        <f>SUM(GV19:GV25)</f>
        <v>0.74121166791323867</v>
      </c>
      <c r="GW27" s="230">
        <f>SUM(GW19:GW25)</f>
        <v>0.75424255886272762</v>
      </c>
      <c r="GY27" s="227" t="s">
        <v>197</v>
      </c>
      <c r="GZ27" s="230">
        <f>SUM(GZ19:GZ25)</f>
        <v>0.76769025367156218</v>
      </c>
      <c r="HA27" s="230">
        <f>SUM(HA19:HA25)</f>
        <v>0.7359267734553776</v>
      </c>
      <c r="HB27" s="230">
        <f>SUM(HB19:HB25)</f>
        <v>0.74049803407601567</v>
      </c>
      <c r="HC27" s="230">
        <f>SUM(HC19:HC25)</f>
        <v>0.74870689655172407</v>
      </c>
      <c r="HD27" s="230">
        <f>SUM(HD19:HD25)</f>
        <v>0.74825793606901891</v>
      </c>
      <c r="HF27" s="227" t="s">
        <v>197</v>
      </c>
      <c r="HG27" s="230">
        <f>SUM(HG19:HG25)</f>
        <v>0.7462866318747492</v>
      </c>
      <c r="HH27" s="230">
        <f>SUM(HH19:HH25)</f>
        <v>0.70033796470146437</v>
      </c>
      <c r="HI27" s="230">
        <f>SUM(HI19:HI25)</f>
        <v>0.69054763690922716</v>
      </c>
      <c r="HJ27" s="230">
        <f>SUM(HJ19:HJ25)</f>
        <v>0.69957386363636354</v>
      </c>
      <c r="HK27" s="230">
        <f>SUM(HK19:HK25)</f>
        <v>0.70844302369311773</v>
      </c>
      <c r="HM27" s="227" t="s">
        <v>197</v>
      </c>
      <c r="HN27" s="230">
        <f>SUM(HN19:HN25)</f>
        <v>0.72491103202846974</v>
      </c>
      <c r="HO27" s="230">
        <f>SUM(HO19:HO25)</f>
        <v>0.69327591917853593</v>
      </c>
      <c r="HP27" s="230">
        <f>SUM(HP19:HP25)</f>
        <v>0.7036787040161997</v>
      </c>
      <c r="HQ27" s="230">
        <f>SUM(HQ19:HQ25)</f>
        <v>0.71501186038630971</v>
      </c>
      <c r="HR27" s="230">
        <f>SUM(HR19:HR25)</f>
        <v>0.7089329813505918</v>
      </c>
      <c r="HT27" s="227" t="s">
        <v>197</v>
      </c>
      <c r="HU27" s="230">
        <f>SUM(HU19:HU25)</f>
        <v>0.71139581928523266</v>
      </c>
      <c r="HV27" s="230">
        <f>SUM(HV19:HV25)</f>
        <v>0.68691899070385121</v>
      </c>
      <c r="HW27" s="230">
        <f>SUM(HW19:HW25)</f>
        <v>0.70490670352453355</v>
      </c>
      <c r="HX27" s="230">
        <f>SUM(HX19:HX25)</f>
        <v>0.72122052704576978</v>
      </c>
      <c r="HY27" s="230">
        <f>SUM(HY19:HY25)</f>
        <v>0.7059373936713168</v>
      </c>
      <c r="IA27" s="227" t="s">
        <v>197</v>
      </c>
      <c r="IB27" s="230">
        <f>SUM(IB19:IB25)</f>
        <v>0.70419202163624073</v>
      </c>
      <c r="IC27" s="230">
        <f>SUM(IC19:IC25)</f>
        <v>0.6862170087976539</v>
      </c>
      <c r="ID27" s="230">
        <f>SUM(ID19:ID25)</f>
        <v>0.71523841280426803</v>
      </c>
      <c r="IE27" s="230">
        <f>SUM(IE19:IE25)</f>
        <v>0.73186015831134554</v>
      </c>
      <c r="IF27" s="230">
        <f>SUM(IF19:IF25)</f>
        <v>0.70932161220766288</v>
      </c>
      <c r="IH27" s="227" t="s">
        <v>197</v>
      </c>
      <c r="II27" s="230">
        <f>SUM(II19:II25)</f>
        <v>0.7546480743691899</v>
      </c>
      <c r="IJ27" s="230">
        <f>SUM(IJ19:IJ25)</f>
        <v>0.69266337854500604</v>
      </c>
      <c r="IK27" s="230">
        <f>SUM(IK19:IK25)</f>
        <v>0.69698851288419739</v>
      </c>
      <c r="IL27" s="230">
        <f>SUM(IL19:IL25)</f>
        <v>0.71773182957393489</v>
      </c>
      <c r="IM27" s="230">
        <f>SUM(IM19:IM25)</f>
        <v>0.71481569184623894</v>
      </c>
      <c r="IO27" s="227" t="s">
        <v>197</v>
      </c>
      <c r="IP27" s="230">
        <f>SUM(IP19:IP25)</f>
        <v>0.7215064420218037</v>
      </c>
      <c r="IQ27" s="230">
        <f>SUM(IQ19:IQ25)</f>
        <v>0.66808093994778073</v>
      </c>
      <c r="IR27" s="230">
        <f>SUM(IR19:IR25)</f>
        <v>0.68254508336168762</v>
      </c>
      <c r="IS27" s="230">
        <f>SUM(IS19:IS25)</f>
        <v>0.71556993887090969</v>
      </c>
      <c r="IT27" s="230">
        <f>SUM(IT19:IT25)</f>
        <v>0.69655405977478613</v>
      </c>
      <c r="IV27" s="227" t="s">
        <v>197</v>
      </c>
      <c r="IW27" s="230">
        <f>SUM(IW19:IW25)</f>
        <v>0.73109243697479009</v>
      </c>
      <c r="IX27" s="230">
        <f>SUM(IX19:IX25)</f>
        <v>0.68934911242603558</v>
      </c>
      <c r="IY27" s="230">
        <f>SUM(IY19:IY25)</f>
        <v>0.68966789667896689</v>
      </c>
      <c r="IZ27" s="230">
        <f>SUM(IZ19:IZ25)</f>
        <v>0.66941060256832396</v>
      </c>
      <c r="JA27" s="230">
        <f>SUM(JA19:JA25)</f>
        <v>0.69382961423796186</v>
      </c>
      <c r="JC27" s="227" t="s">
        <v>197</v>
      </c>
      <c r="JD27" s="230">
        <f>SUM(JD19:JD25)</f>
        <v>0.69362147089578263</v>
      </c>
      <c r="JE27" s="230">
        <f>SUM(JE19:JE25)</f>
        <v>0.63450392090010233</v>
      </c>
      <c r="JF27" s="230">
        <f>SUM(JF19:JF25)</f>
        <v>0.68319358366751726</v>
      </c>
      <c r="JG27" s="230">
        <f>SUM(JG19:JG25)</f>
        <v>0.65141460006985674</v>
      </c>
      <c r="JH27" s="230">
        <f>SUM(JH19:JH25)</f>
        <v>0.66532258064516125</v>
      </c>
      <c r="JJ27" s="227" t="s">
        <v>197</v>
      </c>
      <c r="JK27" s="230">
        <f>SUM(JK19:JK25)</f>
        <v>0.63699582753824768</v>
      </c>
      <c r="JL27" s="230">
        <f>SUM(JL19:JL25)</f>
        <v>0.5863958736299163</v>
      </c>
      <c r="JM27" s="230">
        <f>SUM(JM19:JM25)</f>
        <v>0.58676893576222433</v>
      </c>
      <c r="JN27" s="230">
        <f>SUM(JN19:JN25)</f>
        <v>0.60260897231943999</v>
      </c>
      <c r="JO27" s="230">
        <f>SUM(JO19:JO25)</f>
        <v>0.60253061224489801</v>
      </c>
      <c r="JQ27" s="227" t="s">
        <v>197</v>
      </c>
      <c r="JR27" s="230">
        <f>SUM(JR19:JR25)</f>
        <v>0.59541984732824427</v>
      </c>
      <c r="JS27" s="230">
        <f>SUM(JS19:JS25)</f>
        <v>0.57366873570728527</v>
      </c>
      <c r="JT27" s="230">
        <f>SUM(JT19:JT25)</f>
        <v>0.56783075889858969</v>
      </c>
      <c r="JU27" s="230">
        <f>SUM(JU19:JU25)</f>
        <v>0.6</v>
      </c>
      <c r="JV27" s="230">
        <f>SUM(JV19:JV25)</f>
        <v>0.58406634832872584</v>
      </c>
      <c r="JX27" s="227" t="s">
        <v>197</v>
      </c>
      <c r="JY27" s="230">
        <f>SUM(JY19:JY25)</f>
        <v>0.5873905429071804</v>
      </c>
      <c r="JZ27" s="230">
        <f>SUM(JZ19:JZ25)</f>
        <v>0.63281596452328159</v>
      </c>
      <c r="KA27" s="230">
        <f>SUM(KA19:KA25)</f>
        <v>0.5691087613293051</v>
      </c>
      <c r="KB27" s="230">
        <f>SUM(KB19:KB25)</f>
        <v>0.56991150442477878</v>
      </c>
      <c r="KC27" s="230">
        <f>SUM(KC19:KC25)</f>
        <v>0.58782953793820281</v>
      </c>
      <c r="KE27" s="227" t="s">
        <v>197</v>
      </c>
      <c r="KF27" s="230">
        <f>SUM(KF19:KF25)</f>
        <v>0.60860291503732677</v>
      </c>
      <c r="KG27" s="230">
        <f>SUM(KG19:KG25)</f>
        <v>0.55117056856187296</v>
      </c>
      <c r="KH27" s="230">
        <f>SUM(KH19:KH25)</f>
        <v>0.56379100850546782</v>
      </c>
      <c r="KI27" s="230">
        <f>SUM(KI19:KI25)</f>
        <v>0.60140064196089871</v>
      </c>
      <c r="KJ27" s="230">
        <f>SUM(KJ19:KJ25)</f>
        <v>0.58113719853058621</v>
      </c>
      <c r="KL27" s="227" t="s">
        <v>197</v>
      </c>
      <c r="KM27" s="230">
        <f>SUM(KM19:KM25)</f>
        <v>0.62437738060357451</v>
      </c>
      <c r="KN27" s="230">
        <f>SUM(KN19:KN25)</f>
        <v>0.58558322411533426</v>
      </c>
      <c r="KO27" s="230">
        <f>SUM(KO19:KO25)</f>
        <v>0.5946084724005134</v>
      </c>
      <c r="KP27" s="230">
        <f>SUM(KP19:KP25)</f>
        <v>0.60884718498659518</v>
      </c>
      <c r="KQ27" s="230">
        <f>SUM(KQ19:KQ25)</f>
        <v>0.6027065239345587</v>
      </c>
      <c r="KS27" s="227" t="s">
        <v>197</v>
      </c>
      <c r="KT27" s="230">
        <f>SUM(KT19:KT25)</f>
        <v>0.60955207771181874</v>
      </c>
      <c r="KU27" s="230">
        <f>SUM(KU19:KU25)</f>
        <v>0.60367666937010001</v>
      </c>
      <c r="KV27" s="228">
        <f>SUM(KV19:KV25)</f>
        <v>0.64417693169092938</v>
      </c>
      <c r="KW27" s="230">
        <f>SUM(KW19:KW25)</f>
        <v>0.64266304347826086</v>
      </c>
      <c r="KX27" s="230">
        <f>SUM(KX19:KX25)</f>
        <v>0.62482090468718021</v>
      </c>
      <c r="KZ27" s="227" t="s">
        <v>197</v>
      </c>
      <c r="LA27" s="230">
        <f>SUM(LA19:LA25)</f>
        <v>0.636783482749253</v>
      </c>
      <c r="LB27" s="228">
        <f>SUM(LB19:LB25)</f>
        <v>0.60875439070521487</v>
      </c>
      <c r="LC27" s="228">
        <f>SUM(LC19:LC25)</f>
        <v>0.62586349820392384</v>
      </c>
      <c r="LD27" s="228">
        <f>SUM(LD19:LD25)</f>
        <v>0.65696524441932758</v>
      </c>
      <c r="LE27" s="228">
        <f>SUM(LE19:LE25)</f>
        <v>0.63184319119669885</v>
      </c>
      <c r="LF27" s="581"/>
      <c r="LG27" s="227" t="s">
        <v>197</v>
      </c>
      <c r="LH27" s="228">
        <f>SUM(LH19:LH25)</f>
        <v>0.69588080631025417</v>
      </c>
      <c r="LI27" s="228">
        <f>SUM(LI19:LI25)</f>
        <v>0.64101846670397311</v>
      </c>
      <c r="LJ27" s="228">
        <f>SUM(LJ19:LJ25)</f>
        <v>0.64148313353777542</v>
      </c>
      <c r="LK27" s="228">
        <f>SUM(LK19:LK25)</f>
        <v>0.66875712656784492</v>
      </c>
      <c r="LL27" s="228">
        <f>SUM(LL19:LL25)</f>
        <v>0.66136815214305988</v>
      </c>
      <c r="LM27" s="581"/>
      <c r="LN27" s="227" t="s">
        <v>197</v>
      </c>
      <c r="LO27" s="228">
        <f>SUM(LO19:LO25)</f>
        <v>0.66217102583546816</v>
      </c>
      <c r="LP27" s="228">
        <f>SUM(LP19:LP25)</f>
        <v>0.62419645030353255</v>
      </c>
      <c r="LQ27" s="228">
        <f>SUM(LQ19:LQ25)</f>
        <v>0.62015227388123673</v>
      </c>
      <c r="LR27" s="228">
        <f>SUM(LR19:LR25)</f>
        <v>0.63843661408851127</v>
      </c>
      <c r="LS27" s="228">
        <f>SUM(LS19:LS25)</f>
        <v>0.63585919276690528</v>
      </c>
      <c r="LT27" s="581"/>
      <c r="LU27" s="227" t="s">
        <v>197</v>
      </c>
      <c r="LV27" s="228">
        <f>SUM(LV19:LV25)</f>
        <v>0.64038081545298209</v>
      </c>
      <c r="LW27" s="228">
        <f>SUM(LW19:LW25)</f>
        <v>0.60392023081267909</v>
      </c>
      <c r="LX27" s="228">
        <f>SUM(LX19:LX25)</f>
        <v>0.5984167926184355</v>
      </c>
      <c r="LY27" s="228">
        <f>SUM(LY19:LY25)</f>
        <v>0.61630595649369369</v>
      </c>
      <c r="LZ27" s="228">
        <f>SUM(LZ19:LZ25)</f>
        <v>0.61438472676937084</v>
      </c>
      <c r="MA27" s="581"/>
      <c r="MB27" s="227" t="s">
        <v>197</v>
      </c>
      <c r="MC27" s="228">
        <f>SUM(MC19:MC25)</f>
        <v>0.62865107484772997</v>
      </c>
      <c r="MD27" s="228">
        <f>SUM(MD19:MD25)</f>
        <v>0.59593166131155428</v>
      </c>
      <c r="ME27" s="228">
        <f>SUM(ME19:ME25)</f>
        <v>0.59295432422001093</v>
      </c>
      <c r="MF27" s="228">
        <f>SUM(MF19:MF25)</f>
        <v>0.60626589771189565</v>
      </c>
      <c r="MG27" s="228">
        <f>SUM(MG19:MG25)</f>
        <v>0.6056286058743634</v>
      </c>
      <c r="MH27" s="581"/>
    </row>
    <row r="28" spans="1:346" s="37" customFormat="1" ht="13.5" outlineLevel="1" thickBot="1" x14ac:dyDescent="0.45">
      <c r="A28" s="48"/>
      <c r="B28" s="231"/>
      <c r="C28" s="232"/>
      <c r="D28" s="232"/>
      <c r="E28" s="232"/>
      <c r="F28" s="232"/>
      <c r="G28" s="232"/>
      <c r="H28" s="232"/>
      <c r="I28" s="232"/>
      <c r="J28" s="232"/>
      <c r="K28" s="232"/>
      <c r="L28" s="232"/>
      <c r="M28" s="232"/>
      <c r="N28" s="232"/>
      <c r="O28" s="232"/>
      <c r="P28" s="232"/>
      <c r="Q28" s="232"/>
      <c r="R28" s="232"/>
      <c r="S28" s="232"/>
      <c r="T28" s="232"/>
      <c r="U28" s="232"/>
      <c r="V28" s="232"/>
      <c r="W28" s="232"/>
      <c r="X28" s="232"/>
      <c r="Y28" s="232"/>
      <c r="Z28" s="232"/>
      <c r="AA28" s="232"/>
      <c r="AB28" s="232"/>
      <c r="AC28" s="232"/>
      <c r="AD28" s="232"/>
      <c r="AE28" s="232"/>
      <c r="AF28" s="232"/>
      <c r="AG28" s="232"/>
      <c r="AH28" s="232"/>
      <c r="AI28" s="232"/>
      <c r="AJ28" s="232"/>
      <c r="AK28" s="232"/>
      <c r="AL28" s="232"/>
      <c r="AM28" s="232"/>
      <c r="AN28" s="232"/>
      <c r="AO28" s="232"/>
      <c r="AP28" s="232"/>
      <c r="AQ28" s="232"/>
      <c r="AR28" s="232"/>
      <c r="AS28" s="232"/>
      <c r="AT28" s="232"/>
      <c r="AU28" s="232"/>
      <c r="AV28" s="232"/>
      <c r="AW28" s="232"/>
      <c r="AX28" s="232"/>
      <c r="AY28" s="232"/>
      <c r="AZ28" s="232"/>
      <c r="BA28" s="232"/>
      <c r="BB28" s="232"/>
      <c r="BC28" s="232"/>
      <c r="BD28" s="232"/>
      <c r="BE28" s="232"/>
      <c r="BF28" s="232"/>
      <c r="BG28" s="232"/>
      <c r="BH28" s="232"/>
      <c r="BI28" s="232"/>
      <c r="BJ28" s="232"/>
      <c r="BK28" s="232"/>
      <c r="BL28" s="232"/>
      <c r="BM28" s="232"/>
      <c r="BO28" s="231"/>
      <c r="BP28" s="233"/>
      <c r="BQ28" s="233"/>
      <c r="BR28" s="233"/>
      <c r="BS28" s="233"/>
      <c r="BT28" s="233"/>
      <c r="BV28" s="231"/>
      <c r="BW28" s="233"/>
      <c r="BX28" s="233"/>
      <c r="BY28" s="233"/>
      <c r="BZ28" s="233"/>
      <c r="CA28" s="233"/>
      <c r="CC28" s="231"/>
      <c r="CD28" s="233"/>
      <c r="CE28" s="233"/>
      <c r="CF28" s="233"/>
      <c r="CG28" s="233"/>
      <c r="CH28" s="233"/>
      <c r="CJ28" s="231"/>
      <c r="CK28" s="233"/>
      <c r="CL28" s="233"/>
      <c r="CM28" s="233"/>
      <c r="CN28" s="233"/>
      <c r="CO28" s="233"/>
      <c r="CQ28" s="231"/>
      <c r="CR28" s="233"/>
      <c r="CS28" s="233"/>
      <c r="CT28" s="233"/>
      <c r="CU28" s="233"/>
      <c r="CV28" s="233"/>
      <c r="CX28" s="231"/>
      <c r="CY28" s="233"/>
      <c r="CZ28" s="233"/>
      <c r="DA28" s="233"/>
      <c r="DB28" s="233"/>
      <c r="DC28" s="233"/>
      <c r="DE28" s="231"/>
      <c r="DF28" s="233"/>
      <c r="DG28" s="233"/>
      <c r="DH28" s="233"/>
      <c r="DI28" s="233"/>
      <c r="DJ28" s="233"/>
      <c r="DL28" s="231"/>
      <c r="DM28" s="233"/>
      <c r="DN28" s="233"/>
      <c r="DO28" s="233"/>
      <c r="DP28" s="233"/>
      <c r="DQ28" s="233"/>
      <c r="DS28" s="231"/>
      <c r="DT28" s="233"/>
      <c r="DU28" s="233"/>
      <c r="DV28" s="233"/>
      <c r="DW28" s="233"/>
      <c r="DX28" s="233"/>
      <c r="DZ28" s="231"/>
      <c r="EA28" s="233"/>
      <c r="EB28" s="233"/>
      <c r="EC28" s="233"/>
      <c r="ED28" s="233"/>
      <c r="EE28" s="233"/>
      <c r="EG28" s="231"/>
      <c r="EH28" s="233"/>
      <c r="EI28" s="233"/>
      <c r="EJ28" s="233"/>
      <c r="EK28" s="233"/>
      <c r="EL28" s="233"/>
      <c r="EN28" s="231"/>
      <c r="EO28" s="233"/>
      <c r="EP28" s="233"/>
      <c r="EQ28" s="233"/>
      <c r="ER28" s="233"/>
      <c r="ES28" s="233"/>
      <c r="EU28" s="231"/>
      <c r="EV28" s="233"/>
      <c r="EW28" s="233"/>
      <c r="EX28" s="233"/>
      <c r="EY28" s="233"/>
      <c r="EZ28" s="233"/>
      <c r="FB28" s="231"/>
      <c r="FC28" s="233"/>
      <c r="FD28" s="233"/>
      <c r="FE28" s="233"/>
      <c r="FF28" s="233"/>
      <c r="FG28" s="233"/>
      <c r="FI28" s="231"/>
      <c r="FJ28" s="233"/>
      <c r="FK28" s="233"/>
      <c r="FL28" s="233"/>
      <c r="FM28" s="233"/>
      <c r="FN28" s="233"/>
      <c r="FP28" s="231"/>
      <c r="FQ28" s="233"/>
      <c r="FR28" s="233"/>
      <c r="FS28" s="233"/>
      <c r="FT28" s="233"/>
      <c r="FU28" s="233"/>
      <c r="FW28" s="231"/>
      <c r="FX28" s="233"/>
      <c r="FY28" s="233"/>
      <c r="FZ28" s="233"/>
      <c r="GA28" s="233"/>
      <c r="GB28" s="233"/>
      <c r="GD28" s="231"/>
      <c r="GE28" s="233"/>
      <c r="GF28" s="233"/>
      <c r="GG28" s="233"/>
      <c r="GH28" s="233"/>
      <c r="GI28" s="233"/>
      <c r="GK28" s="231"/>
      <c r="GL28" s="233"/>
      <c r="GM28" s="233"/>
      <c r="GN28" s="233"/>
      <c r="GO28" s="233"/>
      <c r="GP28" s="233"/>
      <c r="GR28" s="231"/>
      <c r="GS28" s="233"/>
      <c r="GT28" s="233"/>
      <c r="GU28" s="233"/>
      <c r="GV28" s="233"/>
      <c r="GW28" s="233"/>
      <c r="GY28" s="231"/>
      <c r="GZ28" s="233"/>
      <c r="HA28" s="233"/>
      <c r="HB28" s="233"/>
      <c r="HC28" s="233"/>
      <c r="HD28" s="233"/>
      <c r="HF28" s="231"/>
      <c r="HG28" s="233"/>
      <c r="HH28" s="233"/>
      <c r="HI28" s="233"/>
      <c r="HJ28" s="233"/>
      <c r="HK28" s="233"/>
      <c r="HM28" s="231"/>
      <c r="HN28" s="233"/>
      <c r="HO28" s="233"/>
      <c r="HP28" s="233"/>
      <c r="HQ28" s="233"/>
      <c r="HR28" s="233"/>
      <c r="HT28" s="231"/>
      <c r="HU28" s="233"/>
      <c r="HV28" s="233"/>
      <c r="HW28" s="233"/>
      <c r="HX28" s="233"/>
      <c r="HY28" s="233"/>
      <c r="IA28" s="231"/>
      <c r="IB28" s="233"/>
      <c r="IC28" s="233"/>
      <c r="ID28" s="233"/>
      <c r="IE28" s="233"/>
      <c r="IF28" s="233"/>
      <c r="IH28" s="231"/>
      <c r="II28" s="233"/>
      <c r="IJ28" s="233"/>
      <c r="IK28" s="233"/>
      <c r="IL28" s="233"/>
      <c r="IM28" s="233"/>
      <c r="IO28" s="231"/>
      <c r="IP28" s="233"/>
      <c r="IQ28" s="233"/>
      <c r="IR28" s="233"/>
      <c r="IS28" s="233"/>
      <c r="IT28" s="233"/>
      <c r="IV28" s="231"/>
      <c r="IW28" s="233"/>
      <c r="IX28" s="233"/>
      <c r="IY28" s="233"/>
      <c r="IZ28" s="233"/>
      <c r="JA28" s="233"/>
      <c r="JC28" s="231"/>
      <c r="JD28" s="233"/>
      <c r="JE28" s="233"/>
      <c r="JF28" s="233"/>
      <c r="JG28" s="233"/>
      <c r="JH28" s="233"/>
      <c r="JJ28" s="231"/>
      <c r="JK28" s="233"/>
      <c r="JL28" s="233"/>
      <c r="JM28" s="233"/>
      <c r="JN28" s="233"/>
      <c r="JO28" s="233"/>
      <c r="JQ28" s="231"/>
      <c r="JR28" s="233"/>
      <c r="JS28" s="233"/>
      <c r="JT28" s="233"/>
      <c r="JU28" s="233"/>
      <c r="JV28" s="233"/>
      <c r="JX28" s="231"/>
      <c r="JY28" s="233"/>
      <c r="JZ28" s="233"/>
      <c r="KA28" s="233"/>
      <c r="KB28" s="233"/>
      <c r="KC28" s="233"/>
      <c r="KE28" s="231"/>
      <c r="KF28" s="233"/>
      <c r="KG28" s="233"/>
      <c r="KH28" s="233"/>
      <c r="KI28" s="233"/>
      <c r="KJ28" s="233"/>
      <c r="KL28" s="231"/>
      <c r="KM28" s="233"/>
      <c r="KN28" s="233"/>
      <c r="KO28" s="233"/>
      <c r="KP28" s="233"/>
      <c r="KQ28" s="233"/>
      <c r="KS28" s="231"/>
      <c r="KT28" s="233"/>
      <c r="KU28" s="233"/>
      <c r="KV28" s="232"/>
      <c r="KW28" s="233"/>
      <c r="KX28" s="233"/>
      <c r="KZ28" s="231"/>
      <c r="LA28" s="233"/>
      <c r="LB28" s="234"/>
      <c r="LC28" s="234"/>
      <c r="LD28" s="234"/>
      <c r="LE28" s="233"/>
      <c r="LF28" s="581"/>
      <c r="LG28" s="231"/>
      <c r="LH28" s="234"/>
      <c r="LI28" s="234"/>
      <c r="LJ28" s="234"/>
      <c r="LK28" s="234"/>
      <c r="LL28" s="233"/>
      <c r="LM28" s="581"/>
      <c r="LN28" s="231"/>
      <c r="LO28" s="234"/>
      <c r="LP28" s="234"/>
      <c r="LQ28" s="234"/>
      <c r="LR28" s="234">
        <f>LS28-LT28</f>
        <v>0.36414080723309472</v>
      </c>
      <c r="LS28" s="233">
        <f>100%-LS27</f>
        <v>0.36414080723309472</v>
      </c>
      <c r="LT28" s="581"/>
      <c r="LU28" s="231"/>
      <c r="LV28" s="234"/>
      <c r="LW28" s="234"/>
      <c r="LX28" s="234"/>
      <c r="LY28" s="234"/>
      <c r="LZ28" s="233"/>
      <c r="MA28" s="581"/>
      <c r="MB28" s="231"/>
      <c r="MC28" s="234"/>
      <c r="MD28" s="234"/>
      <c r="ME28" s="234"/>
      <c r="MF28" s="234"/>
      <c r="MG28" s="233"/>
      <c r="MH28" s="581"/>
    </row>
    <row r="29" spans="1:346" s="37" customFormat="1" ht="13.5" outlineLevel="1" thickBot="1" x14ac:dyDescent="0.45">
      <c r="A29" s="97"/>
      <c r="B29" s="98" t="s">
        <v>504</v>
      </c>
      <c r="C29" s="99"/>
      <c r="D29" s="99"/>
      <c r="E29" s="99"/>
      <c r="F29" s="99"/>
      <c r="G29" s="99"/>
      <c r="H29" s="99"/>
      <c r="I29" s="99"/>
      <c r="J29" s="99"/>
      <c r="K29" s="9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O29" s="98" t="s">
        <v>504</v>
      </c>
      <c r="BP29" s="99"/>
      <c r="BQ29" s="99"/>
      <c r="BR29" s="99"/>
      <c r="BS29" s="99"/>
      <c r="BT29" s="99"/>
      <c r="BV29" s="98" t="s">
        <v>504</v>
      </c>
      <c r="BW29" s="99"/>
      <c r="BX29" s="99"/>
      <c r="BY29" s="99"/>
      <c r="BZ29" s="99"/>
      <c r="CA29" s="99"/>
      <c r="CC29" s="98" t="s">
        <v>504</v>
      </c>
      <c r="CD29" s="99"/>
      <c r="CE29" s="99"/>
      <c r="CF29" s="99"/>
      <c r="CG29" s="99"/>
      <c r="CH29" s="99"/>
      <c r="CJ29" s="98" t="s">
        <v>504</v>
      </c>
      <c r="CK29" s="99"/>
      <c r="CL29" s="99"/>
      <c r="CM29" s="99"/>
      <c r="CN29" s="99"/>
      <c r="CO29" s="99"/>
      <c r="CQ29" s="98" t="s">
        <v>504</v>
      </c>
      <c r="CR29" s="99"/>
      <c r="CS29" s="99"/>
      <c r="CT29" s="99"/>
      <c r="CU29" s="99"/>
      <c r="CV29" s="99"/>
      <c r="CX29" s="98" t="s">
        <v>504</v>
      </c>
      <c r="CY29" s="99"/>
      <c r="CZ29" s="99"/>
      <c r="DA29" s="99"/>
      <c r="DB29" s="99"/>
      <c r="DC29" s="99"/>
      <c r="DE29" s="98" t="s">
        <v>504</v>
      </c>
      <c r="DF29" s="99"/>
      <c r="DG29" s="99"/>
      <c r="DH29" s="99"/>
      <c r="DI29" s="99"/>
      <c r="DJ29" s="99"/>
      <c r="DL29" s="98" t="s">
        <v>504</v>
      </c>
      <c r="DM29" s="99"/>
      <c r="DN29" s="99"/>
      <c r="DO29" s="99"/>
      <c r="DP29" s="99"/>
      <c r="DQ29" s="99"/>
      <c r="DS29" s="98" t="s">
        <v>504</v>
      </c>
      <c r="DT29" s="99"/>
      <c r="DU29" s="99"/>
      <c r="DV29" s="99"/>
      <c r="DW29" s="99"/>
      <c r="DX29" s="99"/>
      <c r="DZ29" s="98" t="s">
        <v>504</v>
      </c>
      <c r="EA29" s="99"/>
      <c r="EB29" s="99"/>
      <c r="EC29" s="99"/>
      <c r="ED29" s="99"/>
      <c r="EE29" s="99"/>
      <c r="EG29" s="98" t="s">
        <v>504</v>
      </c>
      <c r="EH29" s="99"/>
      <c r="EI29" s="99"/>
      <c r="EJ29" s="99"/>
      <c r="EK29" s="99"/>
      <c r="EL29" s="99"/>
      <c r="EN29" s="98" t="s">
        <v>504</v>
      </c>
      <c r="EO29" s="99"/>
      <c r="EP29" s="99"/>
      <c r="EQ29" s="99"/>
      <c r="ER29" s="99"/>
      <c r="ES29" s="99"/>
      <c r="EU29" s="98" t="s">
        <v>504</v>
      </c>
      <c r="EV29" s="99"/>
      <c r="EW29" s="99"/>
      <c r="EX29" s="99"/>
      <c r="EY29" s="99"/>
      <c r="EZ29" s="99"/>
      <c r="FB29" s="98" t="s">
        <v>504</v>
      </c>
      <c r="FC29" s="99"/>
      <c r="FD29" s="99"/>
      <c r="FE29" s="99"/>
      <c r="FF29" s="99"/>
      <c r="FG29" s="99"/>
      <c r="FI29" s="98" t="s">
        <v>504</v>
      </c>
      <c r="FJ29" s="99"/>
      <c r="FK29" s="99"/>
      <c r="FL29" s="99"/>
      <c r="FM29" s="99"/>
      <c r="FN29" s="99"/>
      <c r="FP29" s="98" t="s">
        <v>504</v>
      </c>
      <c r="FQ29" s="99"/>
      <c r="FR29" s="99"/>
      <c r="FS29" s="99"/>
      <c r="FT29" s="99"/>
      <c r="FU29" s="99"/>
      <c r="FW29" s="98" t="s">
        <v>504</v>
      </c>
      <c r="FX29" s="99"/>
      <c r="FY29" s="99"/>
      <c r="FZ29" s="99"/>
      <c r="GA29" s="99"/>
      <c r="GB29" s="99"/>
      <c r="GD29" s="98" t="s">
        <v>504</v>
      </c>
      <c r="GE29" s="99"/>
      <c r="GF29" s="99"/>
      <c r="GG29" s="99"/>
      <c r="GH29" s="99"/>
      <c r="GI29" s="99"/>
      <c r="GK29" s="98" t="s">
        <v>504</v>
      </c>
      <c r="GL29" s="99"/>
      <c r="GM29" s="99"/>
      <c r="GN29" s="99"/>
      <c r="GO29" s="99"/>
      <c r="GP29" s="99"/>
      <c r="GR29" s="98" t="s">
        <v>504</v>
      </c>
      <c r="GS29" s="99"/>
      <c r="GT29" s="99"/>
      <c r="GU29" s="99"/>
      <c r="GV29" s="99"/>
      <c r="GW29" s="99"/>
      <c r="GY29" s="98" t="s">
        <v>504</v>
      </c>
      <c r="GZ29" s="99"/>
      <c r="HA29" s="99"/>
      <c r="HB29" s="99"/>
      <c r="HC29" s="99"/>
      <c r="HD29" s="99"/>
      <c r="HF29" s="98" t="s">
        <v>504</v>
      </c>
      <c r="HG29" s="99"/>
      <c r="HH29" s="99"/>
      <c r="HI29" s="99"/>
      <c r="HJ29" s="99"/>
      <c r="HK29" s="99"/>
      <c r="HM29" s="98" t="s">
        <v>504</v>
      </c>
      <c r="HN29" s="99"/>
      <c r="HO29" s="99"/>
      <c r="HP29" s="99"/>
      <c r="HQ29" s="99"/>
      <c r="HR29" s="99"/>
      <c r="HT29" s="98" t="s">
        <v>504</v>
      </c>
      <c r="HU29" s="99"/>
      <c r="HV29" s="99"/>
      <c r="HW29" s="99"/>
      <c r="HX29" s="99"/>
      <c r="HY29" s="99"/>
      <c r="IA29" s="98" t="s">
        <v>504</v>
      </c>
      <c r="IB29" s="99"/>
      <c r="IC29" s="99"/>
      <c r="ID29" s="99"/>
      <c r="IE29" s="99"/>
      <c r="IF29" s="99"/>
      <c r="IH29" s="98" t="s">
        <v>504</v>
      </c>
      <c r="II29" s="99"/>
      <c r="IJ29" s="99"/>
      <c r="IK29" s="99"/>
      <c r="IL29" s="99"/>
      <c r="IM29" s="99"/>
      <c r="IO29" s="98" t="s">
        <v>504</v>
      </c>
      <c r="IP29" s="99"/>
      <c r="IQ29" s="99"/>
      <c r="IR29" s="99"/>
      <c r="IS29" s="99"/>
      <c r="IT29" s="99"/>
      <c r="IV29" s="98" t="s">
        <v>504</v>
      </c>
      <c r="IW29" s="99"/>
      <c r="IX29" s="99"/>
      <c r="IY29" s="99"/>
      <c r="IZ29" s="99"/>
      <c r="JA29" s="99"/>
      <c r="JC29" s="98" t="s">
        <v>504</v>
      </c>
      <c r="JD29" s="99"/>
      <c r="JE29" s="99"/>
      <c r="JF29" s="99"/>
      <c r="JG29" s="99"/>
      <c r="JH29" s="99"/>
      <c r="JJ29" s="98" t="s">
        <v>504</v>
      </c>
      <c r="JK29" s="99"/>
      <c r="JL29" s="99"/>
      <c r="JM29" s="99"/>
      <c r="JN29" s="99"/>
      <c r="JO29" s="99"/>
      <c r="JQ29" s="98" t="s">
        <v>504</v>
      </c>
      <c r="JR29" s="99"/>
      <c r="JS29" s="99"/>
      <c r="JT29" s="99"/>
      <c r="JU29" s="99"/>
      <c r="JV29" s="99"/>
      <c r="JX29" s="98" t="s">
        <v>504</v>
      </c>
      <c r="JY29" s="99"/>
      <c r="JZ29" s="99"/>
      <c r="KA29" s="99"/>
      <c r="KB29" s="99"/>
      <c r="KC29" s="99"/>
      <c r="KE29" s="98" t="s">
        <v>504</v>
      </c>
      <c r="KF29" s="99"/>
      <c r="KG29" s="99"/>
      <c r="KH29" s="99"/>
      <c r="KI29" s="99"/>
      <c r="KJ29" s="99"/>
      <c r="KL29" s="98" t="s">
        <v>504</v>
      </c>
      <c r="KM29" s="99"/>
      <c r="KN29" s="99"/>
      <c r="KO29" s="99"/>
      <c r="KP29" s="99"/>
      <c r="KQ29" s="99"/>
      <c r="KS29" s="98" t="s">
        <v>504</v>
      </c>
      <c r="KT29" s="99"/>
      <c r="KU29" s="99"/>
      <c r="KV29" s="99"/>
      <c r="KW29" s="99"/>
      <c r="KX29" s="99"/>
      <c r="KZ29" s="98" t="s">
        <v>504</v>
      </c>
      <c r="LA29" s="99"/>
      <c r="LB29" s="99"/>
      <c r="LC29" s="99"/>
      <c r="LD29" s="99"/>
      <c r="LE29" s="99"/>
      <c r="LF29" s="565"/>
      <c r="LG29" s="98" t="s">
        <v>504</v>
      </c>
      <c r="LH29" s="99"/>
      <c r="LI29" s="99"/>
      <c r="LJ29" s="99"/>
      <c r="LK29" s="99"/>
      <c r="LL29" s="99"/>
      <c r="LM29" s="565"/>
      <c r="LN29" s="98" t="s">
        <v>504</v>
      </c>
      <c r="LO29" s="99"/>
      <c r="LP29" s="99"/>
      <c r="LQ29" s="99"/>
      <c r="LR29" s="99"/>
      <c r="LS29" s="99"/>
      <c r="LT29" s="565"/>
      <c r="LU29" s="98" t="s">
        <v>504</v>
      </c>
      <c r="LV29" s="99"/>
      <c r="LW29" s="99"/>
      <c r="LX29" s="99"/>
      <c r="LY29" s="99"/>
      <c r="LZ29" s="99"/>
      <c r="MA29" s="565"/>
      <c r="MB29" s="98" t="s">
        <v>504</v>
      </c>
      <c r="MC29" s="99"/>
      <c r="MD29" s="99"/>
      <c r="ME29" s="99"/>
      <c r="MF29" s="99"/>
      <c r="MG29" s="99"/>
      <c r="MH29" s="565"/>
    </row>
    <row r="30" spans="1:346" s="37" customFormat="1" ht="13.15" outlineLevel="1" x14ac:dyDescent="0.4">
      <c r="A30" s="48"/>
      <c r="B30" s="231"/>
      <c r="C30" s="232"/>
      <c r="D30" s="232"/>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c r="AF30" s="232"/>
      <c r="AG30" s="232"/>
      <c r="AH30" s="232"/>
      <c r="AI30" s="232"/>
      <c r="AJ30" s="232"/>
      <c r="AK30" s="232"/>
      <c r="AL30" s="232"/>
      <c r="AM30" s="232"/>
      <c r="AN30" s="232"/>
      <c r="AO30" s="232"/>
      <c r="AP30" s="232"/>
      <c r="AQ30" s="232"/>
      <c r="AR30" s="232"/>
      <c r="AS30" s="232"/>
      <c r="AT30" s="232"/>
      <c r="AU30" s="232"/>
      <c r="AV30" s="232"/>
      <c r="AW30" s="232"/>
      <c r="AX30" s="232"/>
      <c r="AY30" s="232"/>
      <c r="AZ30" s="232"/>
      <c r="BA30" s="232"/>
      <c r="BB30" s="232"/>
      <c r="BC30" s="232"/>
      <c r="BD30" s="232"/>
      <c r="BE30" s="232"/>
      <c r="BF30" s="232"/>
      <c r="BG30" s="232"/>
      <c r="BH30" s="232"/>
      <c r="BI30" s="232"/>
      <c r="BJ30" s="232"/>
      <c r="BK30" s="232"/>
      <c r="BL30" s="232"/>
      <c r="BM30" s="232"/>
      <c r="BO30" s="231"/>
      <c r="BP30" s="233"/>
      <c r="BQ30" s="233"/>
      <c r="BR30" s="233"/>
      <c r="BS30" s="233"/>
      <c r="BT30" s="233"/>
      <c r="BV30" s="231"/>
      <c r="BW30" s="233"/>
      <c r="BX30" s="233"/>
      <c r="BY30" s="233"/>
      <c r="BZ30" s="233"/>
      <c r="CA30" s="233"/>
      <c r="CC30" s="231"/>
      <c r="CD30" s="233"/>
      <c r="CE30" s="233"/>
      <c r="CF30" s="233"/>
      <c r="CG30" s="233"/>
      <c r="CH30" s="233"/>
      <c r="CJ30" s="231"/>
      <c r="CK30" s="233"/>
      <c r="CL30" s="233"/>
      <c r="CM30" s="233"/>
      <c r="CN30" s="233"/>
      <c r="CO30" s="233"/>
      <c r="CQ30" s="231"/>
      <c r="CR30" s="233"/>
      <c r="CS30" s="233"/>
      <c r="CT30" s="233"/>
      <c r="CU30" s="233"/>
      <c r="CV30" s="233"/>
      <c r="CX30" s="231"/>
      <c r="CY30" s="233"/>
      <c r="CZ30" s="233"/>
      <c r="DA30" s="233"/>
      <c r="DB30" s="233"/>
      <c r="DC30" s="233"/>
      <c r="DE30" s="231"/>
      <c r="DF30" s="233"/>
      <c r="DG30" s="233"/>
      <c r="DH30" s="233"/>
      <c r="DI30" s="233"/>
      <c r="DJ30" s="233"/>
      <c r="DL30" s="231"/>
      <c r="DM30" s="233"/>
      <c r="DN30" s="233"/>
      <c r="DO30" s="233"/>
      <c r="DP30" s="233"/>
      <c r="DQ30" s="233"/>
      <c r="DS30" s="231"/>
      <c r="DT30" s="233"/>
      <c r="DU30" s="233"/>
      <c r="DV30" s="233"/>
      <c r="DW30" s="233"/>
      <c r="DX30" s="233"/>
      <c r="DZ30" s="231"/>
      <c r="EA30" s="233"/>
      <c r="EB30" s="233"/>
      <c r="EC30" s="233"/>
      <c r="ED30" s="233"/>
      <c r="EE30" s="233"/>
      <c r="EG30" s="231"/>
      <c r="EH30" s="233"/>
      <c r="EI30" s="233"/>
      <c r="EJ30" s="233"/>
      <c r="EK30" s="233"/>
      <c r="EL30" s="233"/>
      <c r="EN30" s="231"/>
      <c r="EO30" s="233"/>
      <c r="EP30" s="233"/>
      <c r="EQ30" s="233"/>
      <c r="ER30" s="233"/>
      <c r="ES30" s="233"/>
      <c r="EU30" s="231"/>
      <c r="EV30" s="233"/>
      <c r="EW30" s="233"/>
      <c r="EX30" s="233"/>
      <c r="EY30" s="233"/>
      <c r="EZ30" s="233"/>
      <c r="FB30" s="231"/>
      <c r="FC30" s="233"/>
      <c r="FD30" s="233"/>
      <c r="FE30" s="233"/>
      <c r="FF30" s="233"/>
      <c r="FG30" s="233"/>
      <c r="FI30" s="231"/>
      <c r="FJ30" s="233"/>
      <c r="FK30" s="233"/>
      <c r="FL30" s="233"/>
      <c r="FM30" s="233"/>
      <c r="FN30" s="233"/>
      <c r="FP30" s="231"/>
      <c r="FQ30" s="233"/>
      <c r="FR30" s="233"/>
      <c r="FS30" s="233"/>
      <c r="FT30" s="233"/>
      <c r="FU30" s="233"/>
      <c r="FW30" s="231"/>
      <c r="FX30" s="233"/>
      <c r="FY30" s="233"/>
      <c r="FZ30" s="233"/>
      <c r="GA30" s="233"/>
      <c r="GB30" s="233"/>
      <c r="GD30" s="231"/>
      <c r="GE30" s="233"/>
      <c r="GF30" s="233"/>
      <c r="GG30" s="233"/>
      <c r="GH30" s="233"/>
      <c r="GI30" s="233"/>
      <c r="GK30" s="231"/>
      <c r="GL30" s="233"/>
      <c r="GM30" s="233"/>
      <c r="GN30" s="233"/>
      <c r="GO30" s="233"/>
      <c r="GP30" s="233"/>
      <c r="GR30" s="231"/>
      <c r="GS30" s="233"/>
      <c r="GT30" s="233"/>
      <c r="GU30" s="233"/>
      <c r="GV30" s="233"/>
      <c r="GW30" s="233"/>
      <c r="GY30" s="231"/>
      <c r="GZ30" s="233"/>
      <c r="HA30" s="233"/>
      <c r="HB30" s="233"/>
      <c r="HC30" s="233"/>
      <c r="HD30" s="233"/>
      <c r="HF30" s="231"/>
      <c r="HG30" s="233"/>
      <c r="HH30" s="233"/>
      <c r="HI30" s="233"/>
      <c r="HJ30" s="233"/>
      <c r="HK30" s="233"/>
      <c r="HM30" s="231"/>
      <c r="HN30" s="233"/>
      <c r="HO30" s="233"/>
      <c r="HP30" s="233"/>
      <c r="HQ30" s="233"/>
      <c r="HR30" s="233"/>
      <c r="HT30" s="231"/>
      <c r="HU30" s="233"/>
      <c r="HV30" s="233"/>
      <c r="HW30" s="233"/>
      <c r="HX30" s="233"/>
      <c r="HY30" s="233"/>
      <c r="IA30" s="231"/>
      <c r="IB30" s="233"/>
      <c r="IC30" s="233"/>
      <c r="ID30" s="233"/>
      <c r="IE30" s="233"/>
      <c r="IF30" s="233"/>
      <c r="IH30" s="231"/>
      <c r="II30" s="233"/>
      <c r="IJ30" s="233"/>
      <c r="IK30" s="233"/>
      <c r="IL30" s="233"/>
      <c r="IM30" s="233"/>
      <c r="IO30" s="231"/>
      <c r="IP30" s="233"/>
      <c r="IQ30" s="233"/>
      <c r="IR30" s="233"/>
      <c r="IS30" s="233"/>
      <c r="IT30" s="233"/>
      <c r="IV30" s="231"/>
      <c r="IW30" s="233"/>
      <c r="IX30" s="233"/>
      <c r="IY30" s="233"/>
      <c r="IZ30" s="233"/>
      <c r="JA30" s="233"/>
      <c r="JC30" s="231"/>
      <c r="JD30" s="233"/>
      <c r="JE30" s="233"/>
      <c r="JF30" s="233"/>
      <c r="JG30" s="233"/>
      <c r="JH30" s="233"/>
      <c r="JJ30" s="231"/>
      <c r="JK30" s="233"/>
      <c r="JL30" s="233"/>
      <c r="JM30" s="233"/>
      <c r="JN30" s="233"/>
      <c r="JO30" s="233"/>
      <c r="JQ30" s="231"/>
      <c r="JR30" s="233"/>
      <c r="JS30" s="233"/>
      <c r="JT30" s="233"/>
      <c r="JU30" s="233"/>
      <c r="JV30" s="233"/>
      <c r="JX30" s="231"/>
      <c r="JY30" s="233"/>
      <c r="JZ30" s="233"/>
      <c r="KA30" s="233"/>
      <c r="KB30" s="233"/>
      <c r="KC30" s="233"/>
      <c r="KE30" s="231"/>
      <c r="KF30" s="233"/>
      <c r="KG30" s="233"/>
      <c r="KH30" s="233"/>
      <c r="KI30" s="233"/>
      <c r="KJ30" s="233"/>
      <c r="KL30" s="231"/>
      <c r="KM30" s="233"/>
      <c r="KN30" s="233"/>
      <c r="KO30" s="233"/>
      <c r="KP30" s="233"/>
      <c r="KQ30" s="233"/>
      <c r="KS30" s="231"/>
      <c r="KT30" s="233"/>
      <c r="KU30" s="233"/>
      <c r="KV30" s="232"/>
      <c r="KW30" s="233"/>
      <c r="KX30" s="233"/>
      <c r="KZ30" s="231"/>
      <c r="LA30" s="233"/>
      <c r="LB30" s="234"/>
      <c r="LC30" s="234"/>
      <c r="LD30" s="234"/>
      <c r="LE30" s="233"/>
      <c r="LF30" s="581"/>
      <c r="LG30" s="231"/>
      <c r="LH30" s="234"/>
      <c r="LI30" s="234"/>
      <c r="LJ30" s="234"/>
      <c r="LK30" s="234"/>
      <c r="LL30" s="233"/>
      <c r="LM30" s="581"/>
      <c r="LN30" s="231"/>
      <c r="LO30" s="234"/>
      <c r="LP30" s="234"/>
      <c r="LQ30" s="234"/>
      <c r="LR30" s="234"/>
      <c r="LS30" s="233"/>
      <c r="LT30" s="581"/>
      <c r="LU30" s="231"/>
      <c r="LV30" s="234"/>
      <c r="LW30" s="234"/>
      <c r="LX30" s="234"/>
      <c r="LY30" s="234"/>
      <c r="LZ30" s="233"/>
      <c r="MA30" s="581"/>
      <c r="MB30" s="231"/>
      <c r="MC30" s="234"/>
      <c r="MD30" s="234"/>
      <c r="ME30" s="234"/>
      <c r="MF30" s="234"/>
      <c r="MG30" s="233"/>
      <c r="MH30" s="581"/>
    </row>
    <row r="31" spans="1:346" s="37" customFormat="1" ht="13.15" outlineLevel="1" x14ac:dyDescent="0.4">
      <c r="A31" s="48"/>
      <c r="B31" s="231" t="s">
        <v>505</v>
      </c>
      <c r="C31" s="232"/>
      <c r="D31" s="232"/>
      <c r="E31" s="232"/>
      <c r="F31" s="232"/>
      <c r="G31" s="232"/>
      <c r="H31" s="232"/>
      <c r="I31" s="232"/>
      <c r="J31" s="232"/>
      <c r="K31" s="232"/>
      <c r="L31" s="232"/>
      <c r="M31" s="232"/>
      <c r="N31" s="232"/>
      <c r="O31" s="232"/>
      <c r="P31" s="232"/>
      <c r="Q31" s="232"/>
      <c r="R31" s="232"/>
      <c r="S31" s="232"/>
      <c r="T31" s="232"/>
      <c r="U31" s="232"/>
      <c r="V31" s="232"/>
      <c r="W31" s="232"/>
      <c r="X31" s="232"/>
      <c r="Y31" s="232"/>
      <c r="Z31" s="232"/>
      <c r="AA31" s="232"/>
      <c r="AB31" s="232"/>
      <c r="AC31" s="232"/>
      <c r="AD31" s="232"/>
      <c r="AE31" s="232"/>
      <c r="AF31" s="232"/>
      <c r="AG31" s="232"/>
      <c r="AH31" s="232"/>
      <c r="AI31" s="232"/>
      <c r="AJ31" s="232"/>
      <c r="AK31" s="232"/>
      <c r="AL31" s="232"/>
      <c r="AM31" s="232"/>
      <c r="AN31" s="232"/>
      <c r="AO31" s="232"/>
      <c r="AP31" s="232"/>
      <c r="AQ31" s="232"/>
      <c r="AR31" s="232"/>
      <c r="AS31" s="232"/>
      <c r="AT31" s="232"/>
      <c r="AU31" s="232"/>
      <c r="AV31" s="232"/>
      <c r="AW31" s="232"/>
      <c r="AX31" s="232"/>
      <c r="AY31" s="232"/>
      <c r="AZ31" s="232"/>
      <c r="BA31" s="232"/>
      <c r="BB31" s="232"/>
      <c r="BC31" s="232"/>
      <c r="BD31" s="232"/>
      <c r="BE31" s="232"/>
      <c r="BF31" s="232"/>
      <c r="BG31" s="232"/>
      <c r="BH31" s="232"/>
      <c r="BI31" s="232"/>
      <c r="BJ31" s="232"/>
      <c r="BK31" s="232"/>
      <c r="BL31" s="232"/>
      <c r="BM31" s="232"/>
      <c r="BO31" s="231" t="s">
        <v>505</v>
      </c>
      <c r="BP31" s="233"/>
      <c r="BQ31" s="233"/>
      <c r="BR31" s="233"/>
      <c r="BS31" s="233"/>
      <c r="BT31" s="233"/>
      <c r="BV31" s="231" t="s">
        <v>505</v>
      </c>
      <c r="BW31" s="233"/>
      <c r="BX31" s="233"/>
      <c r="BY31" s="233"/>
      <c r="BZ31" s="233"/>
      <c r="CA31" s="233"/>
      <c r="CC31" s="231" t="s">
        <v>505</v>
      </c>
      <c r="CD31" s="233"/>
      <c r="CE31" s="233"/>
      <c r="CF31" s="233"/>
      <c r="CG31" s="233"/>
      <c r="CH31" s="233"/>
      <c r="CJ31" s="231" t="s">
        <v>505</v>
      </c>
      <c r="CK31" s="233"/>
      <c r="CL31" s="233"/>
      <c r="CM31" s="233"/>
      <c r="CN31" s="233"/>
      <c r="CO31" s="233"/>
      <c r="CQ31" s="231" t="s">
        <v>505</v>
      </c>
      <c r="CR31" s="233"/>
      <c r="CS31" s="233"/>
      <c r="CT31" s="233"/>
      <c r="CU31" s="233"/>
      <c r="CV31" s="233"/>
      <c r="CX31" s="231" t="s">
        <v>505</v>
      </c>
      <c r="CY31" s="233"/>
      <c r="CZ31" s="233"/>
      <c r="DA31" s="233"/>
      <c r="DB31" s="233"/>
      <c r="DC31" s="233"/>
      <c r="DE31" s="231" t="s">
        <v>505</v>
      </c>
      <c r="DF31" s="233"/>
      <c r="DG31" s="233"/>
      <c r="DH31" s="233"/>
      <c r="DI31" s="233"/>
      <c r="DJ31" s="233"/>
      <c r="DL31" s="231" t="s">
        <v>505</v>
      </c>
      <c r="DM31" s="233"/>
      <c r="DN31" s="233"/>
      <c r="DO31" s="233"/>
      <c r="DP31" s="233"/>
      <c r="DQ31" s="233"/>
      <c r="DS31" s="231" t="s">
        <v>505</v>
      </c>
      <c r="DT31" s="233"/>
      <c r="DU31" s="233"/>
      <c r="DV31" s="233"/>
      <c r="DW31" s="233"/>
      <c r="DX31" s="233"/>
      <c r="DZ31" s="231" t="s">
        <v>505</v>
      </c>
      <c r="EA31" s="233"/>
      <c r="EB31" s="233"/>
      <c r="EC31" s="233"/>
      <c r="ED31" s="233"/>
      <c r="EE31" s="233"/>
      <c r="EG31" s="231" t="s">
        <v>505</v>
      </c>
      <c r="EH31" s="233"/>
      <c r="EI31" s="233"/>
      <c r="EJ31" s="233"/>
      <c r="EK31" s="233"/>
      <c r="EL31" s="233"/>
      <c r="EN31" s="231" t="s">
        <v>505</v>
      </c>
      <c r="EO31" s="233"/>
      <c r="EP31" s="233"/>
      <c r="EQ31" s="233"/>
      <c r="ER31" s="233"/>
      <c r="ES31" s="233"/>
      <c r="EU31" s="231" t="s">
        <v>505</v>
      </c>
      <c r="EV31" s="233"/>
      <c r="EW31" s="233"/>
      <c r="EX31" s="233"/>
      <c r="EY31" s="233"/>
      <c r="EZ31" s="233"/>
      <c r="FB31" s="231" t="s">
        <v>505</v>
      </c>
      <c r="FC31" s="233"/>
      <c r="FD31" s="233"/>
      <c r="FE31" s="233"/>
      <c r="FF31" s="233"/>
      <c r="FG31" s="233"/>
      <c r="FI31" s="231" t="s">
        <v>505</v>
      </c>
      <c r="FJ31" s="233"/>
      <c r="FK31" s="233"/>
      <c r="FL31" s="233"/>
      <c r="FM31" s="233"/>
      <c r="FN31" s="233"/>
      <c r="FP31" s="231" t="s">
        <v>505</v>
      </c>
      <c r="FQ31" s="233"/>
      <c r="FR31" s="233"/>
      <c r="FS31" s="233"/>
      <c r="FT31" s="233"/>
      <c r="FU31" s="233"/>
      <c r="FW31" s="231" t="s">
        <v>505</v>
      </c>
      <c r="FX31" s="233"/>
      <c r="FY31" s="233"/>
      <c r="FZ31" s="233"/>
      <c r="GA31" s="233"/>
      <c r="GB31" s="233"/>
      <c r="GD31" s="231" t="s">
        <v>505</v>
      </c>
      <c r="GE31" s="233"/>
      <c r="GF31" s="233"/>
      <c r="GG31" s="233"/>
      <c r="GH31" s="233"/>
      <c r="GI31" s="233"/>
      <c r="GK31" s="231" t="s">
        <v>505</v>
      </c>
      <c r="GL31" s="233"/>
      <c r="GM31" s="233"/>
      <c r="GN31" s="233"/>
      <c r="GO31" s="233"/>
      <c r="GP31" s="233"/>
      <c r="GR31" s="231" t="s">
        <v>505</v>
      </c>
      <c r="GS31" s="233"/>
      <c r="GT31" s="233"/>
      <c r="GU31" s="233"/>
      <c r="GV31" s="233"/>
      <c r="GW31" s="233"/>
      <c r="GY31" s="231" t="s">
        <v>505</v>
      </c>
      <c r="GZ31" s="233"/>
      <c r="HA31" s="233"/>
      <c r="HB31" s="233"/>
      <c r="HC31" s="233"/>
      <c r="HD31" s="233"/>
      <c r="HF31" s="231" t="s">
        <v>505</v>
      </c>
      <c r="HG31" s="233"/>
      <c r="HH31" s="233"/>
      <c r="HI31" s="233"/>
      <c r="HJ31" s="233"/>
      <c r="HK31" s="233"/>
      <c r="HM31" s="231" t="s">
        <v>505</v>
      </c>
      <c r="HN31" s="233"/>
      <c r="HO31" s="233"/>
      <c r="HP31" s="233"/>
      <c r="HQ31" s="233"/>
      <c r="HR31" s="233"/>
      <c r="HT31" s="231" t="s">
        <v>505</v>
      </c>
      <c r="HU31" s="233"/>
      <c r="HV31" s="233"/>
      <c r="HW31" s="233"/>
      <c r="HX31" s="233"/>
      <c r="HY31" s="233"/>
      <c r="IA31" s="231" t="s">
        <v>505</v>
      </c>
      <c r="IB31" s="233"/>
      <c r="IC31" s="233"/>
      <c r="ID31" s="233"/>
      <c r="IE31" s="233"/>
      <c r="IF31" s="233"/>
      <c r="IH31" s="231" t="s">
        <v>505</v>
      </c>
      <c r="II31" s="233"/>
      <c r="IJ31" s="233"/>
      <c r="IK31" s="233"/>
      <c r="IL31" s="233"/>
      <c r="IM31" s="233"/>
      <c r="IO31" s="231" t="s">
        <v>505</v>
      </c>
      <c r="IP31" s="233"/>
      <c r="IQ31" s="233"/>
      <c r="IR31" s="233"/>
      <c r="IS31" s="233"/>
      <c r="IT31" s="233"/>
      <c r="IV31" s="231" t="s">
        <v>505</v>
      </c>
      <c r="IW31" s="233"/>
      <c r="IX31" s="233"/>
      <c r="IY31" s="233"/>
      <c r="IZ31" s="233"/>
      <c r="JA31" s="233"/>
      <c r="JC31" s="231" t="s">
        <v>505</v>
      </c>
      <c r="JD31" s="233"/>
      <c r="JE31" s="233"/>
      <c r="JF31" s="233"/>
      <c r="JG31" s="233"/>
      <c r="JH31" s="233"/>
      <c r="JJ31" s="231" t="s">
        <v>505</v>
      </c>
      <c r="JK31" s="233"/>
      <c r="JL31" s="233"/>
      <c r="JM31" s="233"/>
      <c r="JN31" s="233"/>
      <c r="JO31" s="233"/>
      <c r="JQ31" s="231" t="s">
        <v>505</v>
      </c>
      <c r="JR31" s="233"/>
      <c r="JS31" s="233"/>
      <c r="JT31" s="233"/>
      <c r="JU31" s="233"/>
      <c r="JV31" s="233"/>
      <c r="JX31" s="231" t="s">
        <v>505</v>
      </c>
      <c r="JY31" s="233"/>
      <c r="JZ31" s="233"/>
      <c r="KA31" s="233"/>
      <c r="KB31" s="233"/>
      <c r="KC31" s="233"/>
      <c r="KE31" s="231" t="s">
        <v>505</v>
      </c>
      <c r="KF31" s="233"/>
      <c r="KG31" s="233"/>
      <c r="KH31" s="233"/>
      <c r="KI31" s="233"/>
      <c r="KJ31" s="233"/>
      <c r="KL31" s="231" t="s">
        <v>505</v>
      </c>
      <c r="KM31" s="233"/>
      <c r="KN31" s="233"/>
      <c r="KO31" s="233"/>
      <c r="KP31" s="233"/>
      <c r="KQ31" s="233"/>
      <c r="KS31" s="231" t="s">
        <v>505</v>
      </c>
      <c r="KT31" s="233"/>
      <c r="KU31" s="233"/>
      <c r="KV31" s="232"/>
      <c r="KW31" s="233"/>
      <c r="KX31" s="233"/>
      <c r="KZ31" s="231" t="s">
        <v>505</v>
      </c>
      <c r="LA31" s="233"/>
      <c r="LB31" s="234"/>
      <c r="LC31" s="234"/>
      <c r="LD31" s="234"/>
      <c r="LE31" s="233"/>
      <c r="LF31" s="581"/>
      <c r="LG31" s="231" t="s">
        <v>505</v>
      </c>
      <c r="LH31" s="234"/>
      <c r="LI31" s="234"/>
      <c r="LJ31" s="234"/>
      <c r="LK31" s="234"/>
      <c r="LL31" s="233"/>
      <c r="LM31" s="581"/>
      <c r="LN31" s="231" t="s">
        <v>505</v>
      </c>
      <c r="LO31" s="234"/>
      <c r="LP31" s="234"/>
      <c r="LQ31" s="234"/>
      <c r="LR31" s="234"/>
      <c r="LS31" s="233"/>
      <c r="LT31" s="581"/>
      <c r="LU31" s="231" t="s">
        <v>505</v>
      </c>
      <c r="LV31" s="234"/>
      <c r="LW31" s="234"/>
      <c r="LX31" s="234"/>
      <c r="LY31" s="234"/>
      <c r="LZ31" s="233"/>
      <c r="MA31" s="581"/>
      <c r="MB31" s="231" t="s">
        <v>505</v>
      </c>
      <c r="MC31" s="234"/>
      <c r="MD31" s="234"/>
      <c r="ME31" s="234"/>
      <c r="MF31" s="234"/>
      <c r="MG31" s="233"/>
      <c r="MH31" s="581"/>
    </row>
    <row r="32" spans="1:346" s="37" customFormat="1" ht="13.15" outlineLevel="1" x14ac:dyDescent="0.4">
      <c r="A32" s="48"/>
      <c r="B32" s="231" t="s">
        <v>310</v>
      </c>
      <c r="C32" s="235">
        <v>1769.287</v>
      </c>
      <c r="D32" s="235">
        <v>1974.7</v>
      </c>
      <c r="E32" s="235">
        <v>2063.1</v>
      </c>
      <c r="F32" s="235">
        <v>2304.6</v>
      </c>
      <c r="G32" s="235">
        <v>2232</v>
      </c>
      <c r="H32" s="235">
        <v>2352</v>
      </c>
      <c r="I32" s="235">
        <v>2469</v>
      </c>
      <c r="J32" s="235">
        <v>2222</v>
      </c>
      <c r="K32" s="235">
        <v>2112</v>
      </c>
      <c r="L32" s="235">
        <v>2014</v>
      </c>
      <c r="M32" s="235">
        <v>2090</v>
      </c>
      <c r="N32" s="235">
        <f t="shared" ref="N32:N39" si="51">BT32</f>
        <v>2028</v>
      </c>
      <c r="O32" s="235">
        <f t="shared" ref="O32:O39" si="52">CA32</f>
        <v>2017</v>
      </c>
      <c r="P32" s="235">
        <f t="shared" ref="P32:P39" si="53">CH32</f>
        <v>1956</v>
      </c>
      <c r="Q32" s="235">
        <f t="shared" ref="Q32:Q39" si="54">CO32</f>
        <v>1814</v>
      </c>
      <c r="R32" s="235">
        <f t="shared" ref="R32:R39" si="55">CV32</f>
        <v>1797</v>
      </c>
      <c r="S32" s="235">
        <f t="shared" ref="S32:S39" si="56">DC32</f>
        <v>1828</v>
      </c>
      <c r="T32" s="235">
        <f t="shared" ref="T32:T39" si="57">DJ32</f>
        <v>1847</v>
      </c>
      <c r="U32" s="235">
        <f t="shared" ref="U32:U39" si="58">DQ32</f>
        <v>1933</v>
      </c>
      <c r="V32" s="235">
        <f t="shared" ref="V32:V39" si="59">DX32</f>
        <v>1963</v>
      </c>
      <c r="W32" s="235">
        <f t="shared" ref="W32:W39" si="60">EE32</f>
        <v>1974</v>
      </c>
      <c r="X32" s="235">
        <f t="shared" ref="X32:X39" si="61">EL32</f>
        <v>2259</v>
      </c>
      <c r="Y32" s="235">
        <f t="shared" ref="Y32:Y39" si="62">ES32</f>
        <v>2550</v>
      </c>
      <c r="Z32" s="235">
        <f t="shared" ref="Z32:Z39" si="63">EZ32</f>
        <v>2585</v>
      </c>
      <c r="AA32" s="235">
        <f t="shared" ref="AA32:AA39" si="64">FG32</f>
        <v>2533</v>
      </c>
      <c r="AB32" s="235">
        <f t="shared" ref="AB32:AB39" si="65">FN32</f>
        <v>2555</v>
      </c>
      <c r="AC32" s="235">
        <f t="shared" ref="AC32:AC39" si="66">FU32</f>
        <v>2682</v>
      </c>
      <c r="AD32" s="235">
        <f t="shared" ref="AD32:AD39" si="67">GB32</f>
        <v>2785</v>
      </c>
      <c r="AE32" s="235">
        <f t="shared" ref="AE32:AE39" si="68">GI32</f>
        <v>2840</v>
      </c>
      <c r="AF32" s="235">
        <f t="shared" ref="AF32:AF39" si="69">GP32</f>
        <v>2905</v>
      </c>
      <c r="AG32" s="235">
        <f t="shared" ref="AG32:AG39" si="70">GW32</f>
        <v>2879</v>
      </c>
      <c r="AH32" s="235">
        <f t="shared" ref="AH32:AH39" si="71">HD32</f>
        <v>2629</v>
      </c>
      <c r="AI32" s="235">
        <f t="shared" ref="AI32:AI39" si="72">HK32</f>
        <v>2957</v>
      </c>
      <c r="AJ32" s="235">
        <f t="shared" ref="AJ32:AJ39" si="73">HR32</f>
        <v>3073</v>
      </c>
      <c r="AK32" s="235">
        <f t="shared" ref="AK32:AK39" si="74">HY32</f>
        <v>3020</v>
      </c>
      <c r="AL32" s="235">
        <f t="shared" ref="AL32:AL39" si="75">IF32</f>
        <v>3138</v>
      </c>
      <c r="AM32" s="235">
        <f t="shared" ref="AM32:AM39" si="76">IM32</f>
        <v>3377</v>
      </c>
      <c r="AN32" s="235">
        <f t="shared" ref="AN32:AN39" si="77">IT32</f>
        <v>3290</v>
      </c>
      <c r="AO32" s="235">
        <f t="shared" ref="AO32:AO39" si="78">JA32</f>
        <v>3159</v>
      </c>
      <c r="AP32" s="235">
        <f t="shared" ref="AP32:AP39" si="79">JH32</f>
        <v>2936</v>
      </c>
      <c r="AQ32" s="235">
        <f t="shared" ref="AQ32:AQ39" si="80">JO32</f>
        <v>2738</v>
      </c>
      <c r="AR32" s="235">
        <f t="shared" ref="AR32:AR39" si="81">JV32</f>
        <v>0</v>
      </c>
      <c r="AS32" s="235">
        <f t="shared" ref="AS32:AS39" si="82">KC32</f>
        <v>0</v>
      </c>
      <c r="AT32" s="235">
        <f t="shared" ref="AT32:AT39" si="83">KJ32</f>
        <v>0</v>
      </c>
      <c r="AU32" s="235">
        <f t="shared" ref="AU32:AU39" si="84">KQ32</f>
        <v>0</v>
      </c>
      <c r="AV32" s="235">
        <f t="shared" ref="AV32:AV39" si="85">KX32</f>
        <v>0</v>
      </c>
      <c r="AW32" s="235">
        <f t="shared" ref="AW32:AW39" si="86">LE32</f>
        <v>0</v>
      </c>
      <c r="AX32" s="235">
        <f t="shared" ref="AX32:AX39" si="87">LL32</f>
        <v>0</v>
      </c>
      <c r="AY32" s="235">
        <f t="shared" ref="AY32:AY39" si="88">LS32</f>
        <v>0</v>
      </c>
      <c r="AZ32" s="235">
        <f t="shared" ref="AZ32:AZ39" si="89">LZ32</f>
        <v>0</v>
      </c>
      <c r="BA32" s="235">
        <f t="shared" ref="BA32:BA39" si="90">MG32</f>
        <v>0</v>
      </c>
      <c r="BB32" s="235"/>
      <c r="BC32" s="235"/>
      <c r="BD32" s="235"/>
      <c r="BE32" s="235"/>
      <c r="BF32" s="235"/>
      <c r="BG32" s="235"/>
      <c r="BH32" s="235"/>
      <c r="BI32" s="235"/>
      <c r="BJ32" s="235"/>
      <c r="BK32" s="235"/>
      <c r="BL32" s="235"/>
      <c r="BM32" s="235"/>
      <c r="BO32" s="231" t="s">
        <v>310</v>
      </c>
      <c r="BP32" s="233">
        <v>514</v>
      </c>
      <c r="BQ32" s="233">
        <v>504</v>
      </c>
      <c r="BR32" s="233">
        <v>496</v>
      </c>
      <c r="BS32" s="233">
        <v>514</v>
      </c>
      <c r="BT32" s="233">
        <f t="shared" ref="BT32:BT37" si="91">BP32+BQ32+BR32+BS32</f>
        <v>2028</v>
      </c>
      <c r="BV32" s="231" t="s">
        <v>310</v>
      </c>
      <c r="BW32" s="233">
        <v>517</v>
      </c>
      <c r="BX32" s="233">
        <v>513</v>
      </c>
      <c r="BY32" s="233">
        <v>511</v>
      </c>
      <c r="BZ32" s="233">
        <v>476</v>
      </c>
      <c r="CA32" s="233">
        <f t="shared" ref="CA32:CA37" si="92">BW32+BX32+BY32+BZ32</f>
        <v>2017</v>
      </c>
      <c r="CC32" s="231" t="s">
        <v>310</v>
      </c>
      <c r="CD32" s="233">
        <v>489</v>
      </c>
      <c r="CE32" s="233">
        <v>474</v>
      </c>
      <c r="CF32" s="233">
        <v>495</v>
      </c>
      <c r="CG32" s="233">
        <v>498</v>
      </c>
      <c r="CH32" s="233">
        <f t="shared" ref="CH32:CH37" si="93">CD32+CE32+CF32+CG32</f>
        <v>1956</v>
      </c>
      <c r="CJ32" s="231" t="s">
        <v>310</v>
      </c>
      <c r="CK32" s="233">
        <v>482</v>
      </c>
      <c r="CL32" s="233">
        <v>457</v>
      </c>
      <c r="CM32" s="233">
        <v>425</v>
      </c>
      <c r="CN32" s="233">
        <v>450</v>
      </c>
      <c r="CO32" s="233">
        <f t="shared" ref="CO32:CO37" si="94">CK32+CL32+CM32+CN32</f>
        <v>1814</v>
      </c>
      <c r="CQ32" s="231" t="s">
        <v>310</v>
      </c>
      <c r="CR32" s="233">
        <v>456</v>
      </c>
      <c r="CS32" s="233">
        <v>441</v>
      </c>
      <c r="CT32" s="233">
        <v>444</v>
      </c>
      <c r="CU32" s="233">
        <v>456</v>
      </c>
      <c r="CV32" s="233">
        <f t="shared" ref="CV32:CV37" si="95">CR32+CS32+CT32+CU32</f>
        <v>1797</v>
      </c>
      <c r="CX32" s="231" t="s">
        <v>310</v>
      </c>
      <c r="CY32" s="233">
        <v>462</v>
      </c>
      <c r="CZ32" s="233">
        <v>449</v>
      </c>
      <c r="DA32" s="233">
        <v>454</v>
      </c>
      <c r="DB32" s="233">
        <v>463</v>
      </c>
      <c r="DC32" s="233">
        <f t="shared" ref="DC32:DC37" si="96">CY32+CZ32+DA32+DB32</f>
        <v>1828</v>
      </c>
      <c r="DE32" s="231" t="s">
        <v>310</v>
      </c>
      <c r="DF32" s="233">
        <v>467</v>
      </c>
      <c r="DG32" s="233">
        <v>461</v>
      </c>
      <c r="DH32" s="233">
        <v>460</v>
      </c>
      <c r="DI32" s="233">
        <v>459</v>
      </c>
      <c r="DJ32" s="233">
        <f t="shared" ref="DJ32:DJ37" si="97">DF32+DG32+DH32+DI32</f>
        <v>1847</v>
      </c>
      <c r="DL32" s="231" t="s">
        <v>310</v>
      </c>
      <c r="DM32" s="233">
        <v>490</v>
      </c>
      <c r="DN32" s="233">
        <v>486</v>
      </c>
      <c r="DO32" s="233">
        <v>486</v>
      </c>
      <c r="DP32" s="233">
        <v>471</v>
      </c>
      <c r="DQ32" s="233">
        <f t="shared" ref="DQ32:DQ37" si="98">DM32+DN32+DO32+DP32</f>
        <v>1933</v>
      </c>
      <c r="DS32" s="231" t="s">
        <v>310</v>
      </c>
      <c r="DT32" s="233">
        <v>490</v>
      </c>
      <c r="DU32" s="233">
        <v>479</v>
      </c>
      <c r="DV32" s="233">
        <v>496</v>
      </c>
      <c r="DW32" s="233">
        <v>498</v>
      </c>
      <c r="DX32" s="233">
        <f t="shared" ref="DX32:DX37" si="99">DT32+DU32+DV32+DW32</f>
        <v>1963</v>
      </c>
      <c r="DZ32" s="231" t="s">
        <v>310</v>
      </c>
      <c r="EA32" s="233">
        <v>520</v>
      </c>
      <c r="EB32" s="233">
        <v>468</v>
      </c>
      <c r="EC32" s="233">
        <v>495</v>
      </c>
      <c r="ED32" s="233">
        <v>491</v>
      </c>
      <c r="EE32" s="233">
        <f t="shared" ref="EE32:EE37" si="100">EA32+EB32+EC32+ED32</f>
        <v>1974</v>
      </c>
      <c r="EG32" s="231" t="s">
        <v>310</v>
      </c>
      <c r="EH32" s="233">
        <f>511+15</f>
        <v>526</v>
      </c>
      <c r="EI32" s="233">
        <v>539</v>
      </c>
      <c r="EJ32" s="233">
        <v>595</v>
      </c>
      <c r="EK32" s="233">
        <v>599</v>
      </c>
      <c r="EL32" s="233">
        <f t="shared" ref="EL32:EL37" si="101">EH32+EI32+EJ32+EK32</f>
        <v>2259</v>
      </c>
      <c r="EN32" s="231" t="s">
        <v>310</v>
      </c>
      <c r="EO32" s="233">
        <v>639</v>
      </c>
      <c r="EP32" s="233">
        <v>641</v>
      </c>
      <c r="EQ32" s="233">
        <v>635</v>
      </c>
      <c r="ER32" s="233">
        <v>635</v>
      </c>
      <c r="ES32" s="233">
        <f t="shared" ref="ES32:ES37" si="102">EO32+EP32+EQ32+ER32</f>
        <v>2550</v>
      </c>
      <c r="EU32" s="231" t="s">
        <v>310</v>
      </c>
      <c r="EV32" s="233">
        <v>663</v>
      </c>
      <c r="EW32" s="233">
        <v>654</v>
      </c>
      <c r="EX32" s="233">
        <v>624</v>
      </c>
      <c r="EY32" s="233">
        <v>644</v>
      </c>
      <c r="EZ32" s="233">
        <f t="shared" ref="EZ32:EZ37" si="103">EV32+EW32+EX32+EY32</f>
        <v>2585</v>
      </c>
      <c r="FB32" s="231" t="s">
        <v>310</v>
      </c>
      <c r="FC32" s="233">
        <v>640</v>
      </c>
      <c r="FD32" s="233">
        <v>628</v>
      </c>
      <c r="FE32" s="233">
        <v>627</v>
      </c>
      <c r="FF32" s="233">
        <v>638</v>
      </c>
      <c r="FG32" s="233">
        <f t="shared" ref="FG32:FG37" si="104">FC32+FD32+FE32+FF32</f>
        <v>2533</v>
      </c>
      <c r="FI32" s="231" t="s">
        <v>310</v>
      </c>
      <c r="FJ32" s="233">
        <v>648</v>
      </c>
      <c r="FK32" s="233">
        <v>645</v>
      </c>
      <c r="FL32" s="233">
        <v>626</v>
      </c>
      <c r="FM32" s="233">
        <v>636</v>
      </c>
      <c r="FN32" s="233">
        <f t="shared" ref="FN32:FN37" si="105">FJ32+FK32+FL32+FM32</f>
        <v>2555</v>
      </c>
      <c r="FP32" s="231" t="s">
        <v>310</v>
      </c>
      <c r="FQ32" s="233">
        <v>666</v>
      </c>
      <c r="FR32" s="233">
        <v>646</v>
      </c>
      <c r="FS32" s="233">
        <v>652</v>
      </c>
      <c r="FT32" s="233">
        <v>718</v>
      </c>
      <c r="FU32" s="233">
        <f t="shared" ref="FU32:FU37" si="106">FQ32+FR32+FS32+FT32</f>
        <v>2682</v>
      </c>
      <c r="FW32" s="231" t="s">
        <v>310</v>
      </c>
      <c r="FX32" s="233">
        <v>682</v>
      </c>
      <c r="FY32" s="233">
        <v>687</v>
      </c>
      <c r="FZ32" s="233">
        <v>705</v>
      </c>
      <c r="GA32" s="233">
        <v>711</v>
      </c>
      <c r="GB32" s="233">
        <f t="shared" ref="GB32:GB37" si="107">FX32+FY32+FZ32+GA32</f>
        <v>2785</v>
      </c>
      <c r="GD32" s="231" t="s">
        <v>310</v>
      </c>
      <c r="GE32" s="233">
        <v>698</v>
      </c>
      <c r="GF32" s="233">
        <v>695</v>
      </c>
      <c r="GG32" s="233">
        <v>716</v>
      </c>
      <c r="GH32" s="233">
        <v>731</v>
      </c>
      <c r="GI32" s="233">
        <f t="shared" ref="GI32:GI37" si="108">GE32+GF32+GG32+GH32</f>
        <v>2840</v>
      </c>
      <c r="GK32" s="231" t="s">
        <v>310</v>
      </c>
      <c r="GL32" s="233">
        <v>714</v>
      </c>
      <c r="GM32" s="233">
        <v>723</v>
      </c>
      <c r="GN32" s="233">
        <v>728</v>
      </c>
      <c r="GO32" s="233">
        <v>740</v>
      </c>
      <c r="GP32" s="233">
        <f t="shared" ref="GP32:GP37" si="109">GL32+GM32+GN32+GO32</f>
        <v>2905</v>
      </c>
      <c r="GR32" s="231" t="s">
        <v>310</v>
      </c>
      <c r="GS32" s="233">
        <v>726</v>
      </c>
      <c r="GT32" s="233">
        <v>714</v>
      </c>
      <c r="GU32" s="233">
        <v>735</v>
      </c>
      <c r="GV32" s="233">
        <v>704</v>
      </c>
      <c r="GW32" s="233">
        <f t="shared" ref="GW32:GW37" si="110">GS32+GT32+GU32+GV32</f>
        <v>2879</v>
      </c>
      <c r="GY32" s="231" t="s">
        <v>310</v>
      </c>
      <c r="GZ32" s="233">
        <v>662</v>
      </c>
      <c r="HA32" s="233">
        <v>654</v>
      </c>
      <c r="HB32" s="233">
        <v>653</v>
      </c>
      <c r="HC32" s="233">
        <v>660</v>
      </c>
      <c r="HD32" s="233">
        <f t="shared" ref="HD32:HD37" si="111">GZ32+HA32+HB32+HC32</f>
        <v>2629</v>
      </c>
      <c r="HF32" s="231" t="s">
        <v>310</v>
      </c>
      <c r="HG32" s="233">
        <v>729</v>
      </c>
      <c r="HH32" s="233">
        <v>721</v>
      </c>
      <c r="HI32" s="233">
        <v>731</v>
      </c>
      <c r="HJ32" s="233">
        <v>776</v>
      </c>
      <c r="HK32" s="233">
        <f t="shared" ref="HK32:HK37" si="112">HG32+HH32+HI32+HJ32</f>
        <v>2957</v>
      </c>
      <c r="HM32" s="231" t="s">
        <v>310</v>
      </c>
      <c r="HN32" s="233">
        <v>765</v>
      </c>
      <c r="HO32" s="233">
        <v>764</v>
      </c>
      <c r="HP32" s="233">
        <v>765</v>
      </c>
      <c r="HQ32" s="233">
        <v>779</v>
      </c>
      <c r="HR32" s="233">
        <f t="shared" ref="HR32:HR37" si="113">HN32+HO32+HP32+HQ32</f>
        <v>3073</v>
      </c>
      <c r="HT32" s="231" t="s">
        <v>310</v>
      </c>
      <c r="HU32" s="233">
        <v>770</v>
      </c>
      <c r="HV32" s="233">
        <v>744</v>
      </c>
      <c r="HW32" s="233">
        <v>754</v>
      </c>
      <c r="HX32" s="233">
        <v>752</v>
      </c>
      <c r="HY32" s="233">
        <f t="shared" ref="HY32:HY37" si="114">HU32+HV32+HW32+HX32</f>
        <v>3020</v>
      </c>
      <c r="IA32" s="231" t="s">
        <v>310</v>
      </c>
      <c r="IB32" s="233">
        <v>767</v>
      </c>
      <c r="IC32" s="233">
        <v>777</v>
      </c>
      <c r="ID32" s="233">
        <v>791</v>
      </c>
      <c r="IE32" s="233">
        <v>803</v>
      </c>
      <c r="IF32" s="233">
        <f t="shared" ref="IF32:IF37" si="115">IB32+IC32+ID32+IE32</f>
        <v>3138</v>
      </c>
      <c r="IH32" s="231" t="s">
        <v>310</v>
      </c>
      <c r="II32" s="233">
        <v>814</v>
      </c>
      <c r="IJ32" s="233">
        <v>809</v>
      </c>
      <c r="IK32" s="233">
        <v>845</v>
      </c>
      <c r="IL32" s="233">
        <v>909</v>
      </c>
      <c r="IM32" s="233">
        <f t="shared" ref="IM32:IM37" si="116">II32+IJ32+IK32+IL32</f>
        <v>3377</v>
      </c>
      <c r="IO32" s="231" t="s">
        <v>310</v>
      </c>
      <c r="IP32" s="233">
        <v>879</v>
      </c>
      <c r="IQ32" s="233">
        <v>825</v>
      </c>
      <c r="IR32" s="233">
        <v>787</v>
      </c>
      <c r="IS32" s="233">
        <v>799</v>
      </c>
      <c r="IT32" s="233">
        <f t="shared" ref="IT32:IT37" si="117">IP32+IQ32+IR32+IS32</f>
        <v>3290</v>
      </c>
      <c r="IV32" s="231" t="s">
        <v>310</v>
      </c>
      <c r="IW32" s="233">
        <v>796</v>
      </c>
      <c r="IX32" s="233">
        <v>749</v>
      </c>
      <c r="IY32" s="233">
        <v>762</v>
      </c>
      <c r="IZ32" s="233">
        <v>852</v>
      </c>
      <c r="JA32" s="233">
        <f t="shared" ref="JA32:JA37" si="118">IW32+IX32+IY32+IZ32</f>
        <v>3159</v>
      </c>
      <c r="JC32" s="231" t="s">
        <v>310</v>
      </c>
      <c r="JD32" s="233">
        <v>795</v>
      </c>
      <c r="JE32" s="233">
        <v>751</v>
      </c>
      <c r="JF32" s="233">
        <v>725</v>
      </c>
      <c r="JG32" s="233">
        <v>665</v>
      </c>
      <c r="JH32" s="233">
        <f t="shared" ref="JH32:JH39" si="119">JD32+JE32+JF32+JG32</f>
        <v>2936</v>
      </c>
      <c r="JJ32" s="231" t="s">
        <v>310</v>
      </c>
      <c r="JK32" s="233">
        <v>696</v>
      </c>
      <c r="JL32" s="233">
        <v>669</v>
      </c>
      <c r="JM32" s="233">
        <v>695</v>
      </c>
      <c r="JN32" s="233">
        <v>678</v>
      </c>
      <c r="JO32" s="233">
        <f t="shared" ref="JO32:JO39" si="120">JK32+JL32+JM32+JN32</f>
        <v>2738</v>
      </c>
      <c r="JQ32" s="231" t="s">
        <v>310</v>
      </c>
      <c r="JR32" s="233"/>
      <c r="JS32" s="233"/>
      <c r="JT32" s="233"/>
      <c r="JU32" s="233"/>
      <c r="JV32" s="233"/>
      <c r="JX32" s="231" t="s">
        <v>310</v>
      </c>
      <c r="JY32" s="233"/>
      <c r="JZ32" s="233"/>
      <c r="KA32" s="233"/>
      <c r="KB32" s="233"/>
      <c r="KC32" s="233"/>
      <c r="KE32" s="231" t="s">
        <v>310</v>
      </c>
      <c r="KF32" s="233"/>
      <c r="KG32" s="233"/>
      <c r="KH32" s="233"/>
      <c r="KI32" s="233"/>
      <c r="KJ32" s="233"/>
      <c r="KL32" s="231" t="s">
        <v>310</v>
      </c>
      <c r="KM32" s="233"/>
      <c r="KN32" s="233"/>
      <c r="KO32" s="233"/>
      <c r="KP32" s="233"/>
      <c r="KQ32" s="233"/>
      <c r="KS32" s="231" t="s">
        <v>310</v>
      </c>
      <c r="KT32" s="233"/>
      <c r="KU32" s="233"/>
      <c r="KV32" s="232"/>
      <c r="KW32" s="233"/>
      <c r="KX32" s="233"/>
      <c r="KZ32" s="231" t="s">
        <v>310</v>
      </c>
      <c r="LA32" s="233"/>
      <c r="LB32" s="234"/>
      <c r="LC32" s="234"/>
      <c r="LD32" s="234"/>
      <c r="LE32" s="233"/>
      <c r="LF32" s="581"/>
      <c r="LG32" s="231" t="s">
        <v>310</v>
      </c>
      <c r="LH32" s="234"/>
      <c r="LI32" s="234"/>
      <c r="LJ32" s="234"/>
      <c r="LK32" s="234"/>
      <c r="LL32" s="233"/>
      <c r="LM32" s="581"/>
      <c r="LN32" s="231" t="s">
        <v>310</v>
      </c>
      <c r="LO32" s="234"/>
      <c r="LP32" s="234"/>
      <c r="LQ32" s="234"/>
      <c r="LR32" s="234"/>
      <c r="LS32" s="233"/>
      <c r="LT32" s="581"/>
      <c r="LU32" s="231" t="s">
        <v>310</v>
      </c>
      <c r="LV32" s="234"/>
      <c r="LW32" s="234"/>
      <c r="LX32" s="234"/>
      <c r="LY32" s="234"/>
      <c r="LZ32" s="233"/>
      <c r="MA32" s="581"/>
      <c r="MB32" s="231" t="s">
        <v>310</v>
      </c>
      <c r="MC32" s="234"/>
      <c r="MD32" s="234"/>
      <c r="ME32" s="234"/>
      <c r="MF32" s="234"/>
      <c r="MG32" s="233"/>
      <c r="MH32" s="581"/>
    </row>
    <row r="33" spans="1:346" s="37" customFormat="1" ht="13.15" outlineLevel="1" x14ac:dyDescent="0.4">
      <c r="A33" s="48"/>
      <c r="B33" s="231" t="s">
        <v>311</v>
      </c>
      <c r="C33" s="235">
        <v>1073.4100000000001</v>
      </c>
      <c r="D33" s="235">
        <v>1202.9000000000001</v>
      </c>
      <c r="E33" s="235">
        <v>1395.2</v>
      </c>
      <c r="F33" s="235">
        <v>1533</v>
      </c>
      <c r="G33" s="235">
        <v>813</v>
      </c>
      <c r="H33" s="235">
        <v>633</v>
      </c>
      <c r="I33" s="235">
        <v>736</v>
      </c>
      <c r="J33" s="235">
        <v>829</v>
      </c>
      <c r="K33" s="235">
        <v>886</v>
      </c>
      <c r="L33" s="235">
        <v>1056</v>
      </c>
      <c r="M33" s="235">
        <v>1308</v>
      </c>
      <c r="N33" s="235">
        <f t="shared" si="51"/>
        <v>1260</v>
      </c>
      <c r="O33" s="235">
        <f t="shared" si="52"/>
        <v>1134</v>
      </c>
      <c r="P33" s="235">
        <f t="shared" si="53"/>
        <v>1095</v>
      </c>
      <c r="Q33" s="235">
        <f t="shared" si="54"/>
        <v>939</v>
      </c>
      <c r="R33" s="235">
        <f t="shared" si="55"/>
        <v>891</v>
      </c>
      <c r="S33" s="235">
        <f t="shared" si="56"/>
        <v>918</v>
      </c>
      <c r="T33" s="235">
        <f t="shared" si="57"/>
        <v>941</v>
      </c>
      <c r="U33" s="235">
        <f t="shared" si="58"/>
        <v>928.5</v>
      </c>
      <c r="V33" s="235">
        <f t="shared" si="59"/>
        <v>878</v>
      </c>
      <c r="W33" s="235">
        <f t="shared" si="60"/>
        <v>1057</v>
      </c>
      <c r="X33" s="235">
        <f t="shared" si="61"/>
        <v>1279</v>
      </c>
      <c r="Y33" s="235">
        <f t="shared" si="62"/>
        <v>1295</v>
      </c>
      <c r="Z33" s="235">
        <f t="shared" si="63"/>
        <v>1212</v>
      </c>
      <c r="AA33" s="235">
        <f t="shared" si="64"/>
        <v>1205</v>
      </c>
      <c r="AB33" s="235">
        <f t="shared" si="65"/>
        <v>1329</v>
      </c>
      <c r="AC33" s="235">
        <f t="shared" si="66"/>
        <v>1524</v>
      </c>
      <c r="AD33" s="235">
        <f t="shared" si="67"/>
        <v>1576</v>
      </c>
      <c r="AE33" s="235">
        <f t="shared" si="68"/>
        <v>1772</v>
      </c>
      <c r="AF33" s="235">
        <f t="shared" si="69"/>
        <v>1746</v>
      </c>
      <c r="AG33" s="235">
        <f t="shared" si="70"/>
        <v>1935</v>
      </c>
      <c r="AH33" s="235">
        <f t="shared" si="71"/>
        <v>1863</v>
      </c>
      <c r="AI33" s="235">
        <f t="shared" si="72"/>
        <v>2045</v>
      </c>
      <c r="AJ33" s="235">
        <f t="shared" si="73"/>
        <v>2229</v>
      </c>
      <c r="AK33" s="235">
        <f t="shared" si="74"/>
        <v>2156</v>
      </c>
      <c r="AL33" s="235">
        <f t="shared" si="75"/>
        <v>2275</v>
      </c>
      <c r="AM33" s="235">
        <f t="shared" si="76"/>
        <v>2484</v>
      </c>
      <c r="AN33" s="235">
        <f t="shared" si="77"/>
        <v>2336</v>
      </c>
      <c r="AO33" s="235">
        <f t="shared" si="78"/>
        <v>2069</v>
      </c>
      <c r="AP33" s="235">
        <f t="shared" si="79"/>
        <v>2084</v>
      </c>
      <c r="AQ33" s="235">
        <f t="shared" si="80"/>
        <v>1967</v>
      </c>
      <c r="AR33" s="235">
        <f t="shared" si="81"/>
        <v>0</v>
      </c>
      <c r="AS33" s="235">
        <f t="shared" si="82"/>
        <v>0</v>
      </c>
      <c r="AT33" s="235">
        <f t="shared" si="83"/>
        <v>0</v>
      </c>
      <c r="AU33" s="235">
        <f t="shared" si="84"/>
        <v>0</v>
      </c>
      <c r="AV33" s="235">
        <f t="shared" si="85"/>
        <v>0</v>
      </c>
      <c r="AW33" s="235">
        <f t="shared" si="86"/>
        <v>0</v>
      </c>
      <c r="AX33" s="235">
        <f t="shared" si="87"/>
        <v>0</v>
      </c>
      <c r="AY33" s="235">
        <f t="shared" si="88"/>
        <v>0</v>
      </c>
      <c r="AZ33" s="235">
        <f t="shared" si="89"/>
        <v>0</v>
      </c>
      <c r="BA33" s="235">
        <f t="shared" si="90"/>
        <v>0</v>
      </c>
      <c r="BB33" s="235"/>
      <c r="BC33" s="235"/>
      <c r="BD33" s="235"/>
      <c r="BE33" s="235"/>
      <c r="BF33" s="235"/>
      <c r="BG33" s="235"/>
      <c r="BH33" s="235"/>
      <c r="BI33" s="235"/>
      <c r="BJ33" s="235"/>
      <c r="BK33" s="235"/>
      <c r="BL33" s="235"/>
      <c r="BM33" s="235"/>
      <c r="BO33" s="231" t="s">
        <v>311</v>
      </c>
      <c r="BP33" s="233">
        <v>318</v>
      </c>
      <c r="BQ33" s="233">
        <v>347</v>
      </c>
      <c r="BR33" s="233">
        <v>339</v>
      </c>
      <c r="BS33" s="233">
        <v>256</v>
      </c>
      <c r="BT33" s="233">
        <f t="shared" si="91"/>
        <v>1260</v>
      </c>
      <c r="BV33" s="231" t="s">
        <v>311</v>
      </c>
      <c r="BW33" s="233">
        <v>274</v>
      </c>
      <c r="BX33" s="233">
        <v>290</v>
      </c>
      <c r="BY33" s="233">
        <v>284</v>
      </c>
      <c r="BZ33" s="233">
        <v>286</v>
      </c>
      <c r="CA33" s="233">
        <f t="shared" si="92"/>
        <v>1134</v>
      </c>
      <c r="CC33" s="231" t="s">
        <v>311</v>
      </c>
      <c r="CD33" s="233">
        <v>252</v>
      </c>
      <c r="CE33" s="233">
        <v>289</v>
      </c>
      <c r="CF33" s="233">
        <v>293</v>
      </c>
      <c r="CG33" s="233">
        <v>261</v>
      </c>
      <c r="CH33" s="233">
        <f t="shared" si="93"/>
        <v>1095</v>
      </c>
      <c r="CJ33" s="231" t="s">
        <v>311</v>
      </c>
      <c r="CK33" s="233">
        <v>238</v>
      </c>
      <c r="CL33" s="233">
        <v>222</v>
      </c>
      <c r="CM33" s="233">
        <v>252</v>
      </c>
      <c r="CN33" s="233">
        <v>227</v>
      </c>
      <c r="CO33" s="233">
        <f t="shared" si="94"/>
        <v>939</v>
      </c>
      <c r="CQ33" s="231" t="s">
        <v>311</v>
      </c>
      <c r="CR33" s="233">
        <v>231</v>
      </c>
      <c r="CS33" s="233">
        <v>228</v>
      </c>
      <c r="CT33" s="233">
        <v>233</v>
      </c>
      <c r="CU33" s="233">
        <v>199</v>
      </c>
      <c r="CV33" s="233">
        <f t="shared" si="95"/>
        <v>891</v>
      </c>
      <c r="CX33" s="231" t="s">
        <v>311</v>
      </c>
      <c r="CY33" s="233">
        <v>239</v>
      </c>
      <c r="CZ33" s="233">
        <v>227</v>
      </c>
      <c r="DA33" s="233">
        <v>235</v>
      </c>
      <c r="DB33" s="233">
        <v>217</v>
      </c>
      <c r="DC33" s="233">
        <f t="shared" si="96"/>
        <v>918</v>
      </c>
      <c r="DE33" s="231" t="s">
        <v>311</v>
      </c>
      <c r="DF33" s="233">
        <v>231</v>
      </c>
      <c r="DG33" s="233">
        <v>238</v>
      </c>
      <c r="DH33" s="233">
        <v>228</v>
      </c>
      <c r="DI33" s="233">
        <v>244</v>
      </c>
      <c r="DJ33" s="233">
        <f t="shared" si="97"/>
        <v>941</v>
      </c>
      <c r="DL33" s="231" t="s">
        <v>311</v>
      </c>
      <c r="DM33" s="233">
        <v>237</v>
      </c>
      <c r="DN33" s="233">
        <f>226+9.5</f>
        <v>235.5</v>
      </c>
      <c r="DO33" s="233">
        <v>225</v>
      </c>
      <c r="DP33" s="233">
        <v>231</v>
      </c>
      <c r="DQ33" s="233">
        <f t="shared" si="98"/>
        <v>928.5</v>
      </c>
      <c r="DS33" s="231" t="s">
        <v>311</v>
      </c>
      <c r="DT33" s="233">
        <v>235</v>
      </c>
      <c r="DU33" s="233">
        <v>206</v>
      </c>
      <c r="DV33" s="233">
        <v>213</v>
      </c>
      <c r="DW33" s="233">
        <v>224</v>
      </c>
      <c r="DX33" s="233">
        <f t="shared" si="99"/>
        <v>878</v>
      </c>
      <c r="DZ33" s="231" t="s">
        <v>311</v>
      </c>
      <c r="EA33" s="233">
        <v>243</v>
      </c>
      <c r="EB33" s="233">
        <v>267</v>
      </c>
      <c r="EC33" s="233">
        <v>284</v>
      </c>
      <c r="ED33" s="233">
        <f>263</f>
        <v>263</v>
      </c>
      <c r="EE33" s="233">
        <f t="shared" si="100"/>
        <v>1057</v>
      </c>
      <c r="EG33" s="231" t="s">
        <v>311</v>
      </c>
      <c r="EH33" s="233">
        <v>274</v>
      </c>
      <c r="EI33" s="233">
        <v>310</v>
      </c>
      <c r="EJ33" s="233">
        <v>345</v>
      </c>
      <c r="EK33" s="233">
        <v>350</v>
      </c>
      <c r="EL33" s="233">
        <f t="shared" si="101"/>
        <v>1279</v>
      </c>
      <c r="EN33" s="231" t="s">
        <v>311</v>
      </c>
      <c r="EO33" s="233">
        <v>338</v>
      </c>
      <c r="EP33" s="233">
        <v>361</v>
      </c>
      <c r="EQ33" s="233">
        <v>302</v>
      </c>
      <c r="ER33" s="233">
        <v>294</v>
      </c>
      <c r="ES33" s="233">
        <f t="shared" si="102"/>
        <v>1295</v>
      </c>
      <c r="EU33" s="231" t="s">
        <v>311</v>
      </c>
      <c r="EV33" s="233">
        <v>302</v>
      </c>
      <c r="EW33" s="233">
        <v>307</v>
      </c>
      <c r="EX33" s="233">
        <v>312</v>
      </c>
      <c r="EY33" s="233">
        <v>291</v>
      </c>
      <c r="EZ33" s="233">
        <f t="shared" si="103"/>
        <v>1212</v>
      </c>
      <c r="FB33" s="231" t="s">
        <v>311</v>
      </c>
      <c r="FC33" s="233">
        <v>324</v>
      </c>
      <c r="FD33" s="233">
        <v>318</v>
      </c>
      <c r="FE33" s="233">
        <v>297</v>
      </c>
      <c r="FF33" s="233">
        <v>266</v>
      </c>
      <c r="FG33" s="233">
        <f t="shared" si="104"/>
        <v>1205</v>
      </c>
      <c r="FI33" s="231" t="s">
        <v>311</v>
      </c>
      <c r="FJ33" s="233">
        <v>339</v>
      </c>
      <c r="FK33" s="233">
        <v>331</v>
      </c>
      <c r="FL33" s="233">
        <v>318</v>
      </c>
      <c r="FM33" s="233">
        <v>341</v>
      </c>
      <c r="FN33" s="233">
        <f t="shared" si="105"/>
        <v>1329</v>
      </c>
      <c r="FP33" s="231" t="s">
        <v>311</v>
      </c>
      <c r="FQ33" s="233">
        <v>365</v>
      </c>
      <c r="FR33" s="233">
        <v>382</v>
      </c>
      <c r="FS33" s="233">
        <v>359</v>
      </c>
      <c r="FT33" s="233">
        <v>418</v>
      </c>
      <c r="FU33" s="233">
        <f t="shared" si="106"/>
        <v>1524</v>
      </c>
      <c r="FW33" s="231" t="s">
        <v>311</v>
      </c>
      <c r="FX33" s="233">
        <v>410</v>
      </c>
      <c r="FY33" s="233">
        <v>394</v>
      </c>
      <c r="FZ33" s="233">
        <v>408</v>
      </c>
      <c r="GA33" s="233">
        <v>364</v>
      </c>
      <c r="GB33" s="233">
        <f t="shared" si="107"/>
        <v>1576</v>
      </c>
      <c r="GD33" s="231" t="s">
        <v>311</v>
      </c>
      <c r="GE33" s="233">
        <v>438</v>
      </c>
      <c r="GF33" s="233">
        <v>435</v>
      </c>
      <c r="GG33" s="233">
        <v>452</v>
      </c>
      <c r="GH33" s="233">
        <v>447</v>
      </c>
      <c r="GI33" s="233">
        <f t="shared" si="108"/>
        <v>1772</v>
      </c>
      <c r="GK33" s="231" t="s">
        <v>311</v>
      </c>
      <c r="GL33" s="233">
        <v>496</v>
      </c>
      <c r="GM33" s="233">
        <v>426</v>
      </c>
      <c r="GN33" s="233">
        <v>424</v>
      </c>
      <c r="GO33" s="233">
        <v>400</v>
      </c>
      <c r="GP33" s="233">
        <f t="shared" si="109"/>
        <v>1746</v>
      </c>
      <c r="GR33" s="231" t="s">
        <v>311</v>
      </c>
      <c r="GS33" s="233">
        <v>458</v>
      </c>
      <c r="GT33" s="233">
        <v>462</v>
      </c>
      <c r="GU33" s="233">
        <v>521</v>
      </c>
      <c r="GV33" s="233">
        <v>494</v>
      </c>
      <c r="GW33" s="233">
        <f t="shared" si="110"/>
        <v>1935</v>
      </c>
      <c r="GY33" s="231" t="s">
        <v>311</v>
      </c>
      <c r="GZ33" s="233">
        <v>477</v>
      </c>
      <c r="HA33" s="233">
        <v>444</v>
      </c>
      <c r="HB33" s="233">
        <v>500</v>
      </c>
      <c r="HC33" s="233">
        <v>442</v>
      </c>
      <c r="HD33" s="233">
        <f t="shared" si="111"/>
        <v>1863</v>
      </c>
      <c r="HF33" s="231" t="s">
        <v>311</v>
      </c>
      <c r="HG33" s="233">
        <v>519</v>
      </c>
      <c r="HH33" s="233">
        <f>551-30</f>
        <v>521</v>
      </c>
      <c r="HI33" s="233">
        <v>509</v>
      </c>
      <c r="HJ33" s="233">
        <v>496</v>
      </c>
      <c r="HK33" s="233">
        <f t="shared" si="112"/>
        <v>2045</v>
      </c>
      <c r="HM33" s="231" t="s">
        <v>311</v>
      </c>
      <c r="HN33" s="233">
        <v>530</v>
      </c>
      <c r="HO33" s="233">
        <v>557</v>
      </c>
      <c r="HP33" s="233">
        <v>562</v>
      </c>
      <c r="HQ33" s="233">
        <v>580</v>
      </c>
      <c r="HR33" s="233">
        <f t="shared" si="113"/>
        <v>2229</v>
      </c>
      <c r="HT33" s="231" t="s">
        <v>311</v>
      </c>
      <c r="HU33" s="233">
        <v>542</v>
      </c>
      <c r="HV33" s="233">
        <v>550</v>
      </c>
      <c r="HW33" s="233">
        <v>525</v>
      </c>
      <c r="HX33" s="233">
        <v>539</v>
      </c>
      <c r="HY33" s="233">
        <f t="shared" si="114"/>
        <v>2156</v>
      </c>
      <c r="IA33" s="231" t="s">
        <v>311</v>
      </c>
      <c r="IB33" s="233">
        <f>507</f>
        <v>507</v>
      </c>
      <c r="IC33" s="233">
        <f>560</f>
        <v>560</v>
      </c>
      <c r="ID33" s="233">
        <v>576</v>
      </c>
      <c r="IE33" s="233">
        <v>632</v>
      </c>
      <c r="IF33" s="233">
        <f t="shared" si="115"/>
        <v>2275</v>
      </c>
      <c r="IH33" s="231" t="s">
        <v>311</v>
      </c>
      <c r="II33" s="233">
        <v>629</v>
      </c>
      <c r="IJ33" s="233">
        <v>621</v>
      </c>
      <c r="IK33" s="233">
        <v>610</v>
      </c>
      <c r="IL33" s="233">
        <v>624</v>
      </c>
      <c r="IM33" s="233">
        <f t="shared" si="116"/>
        <v>2484</v>
      </c>
      <c r="IO33" s="231" t="s">
        <v>311</v>
      </c>
      <c r="IP33" s="233">
        <v>627</v>
      </c>
      <c r="IQ33" s="233">
        <v>559</v>
      </c>
      <c r="IR33" s="233">
        <v>580</v>
      </c>
      <c r="IS33" s="233">
        <v>570</v>
      </c>
      <c r="IT33" s="233">
        <f t="shared" si="117"/>
        <v>2336</v>
      </c>
      <c r="IV33" s="231" t="s">
        <v>311</v>
      </c>
      <c r="IW33" s="233">
        <v>550</v>
      </c>
      <c r="IX33" s="233">
        <v>519</v>
      </c>
      <c r="IY33" s="233">
        <v>507</v>
      </c>
      <c r="IZ33" s="233">
        <v>493</v>
      </c>
      <c r="JA33" s="233">
        <f t="shared" si="118"/>
        <v>2069</v>
      </c>
      <c r="JC33" s="231" t="s">
        <v>311</v>
      </c>
      <c r="JD33" s="233">
        <v>571</v>
      </c>
      <c r="JE33" s="233">
        <v>496</v>
      </c>
      <c r="JF33" s="233">
        <v>523</v>
      </c>
      <c r="JG33" s="233">
        <f>524+29-172+142-29</f>
        <v>494</v>
      </c>
      <c r="JH33" s="233">
        <f t="shared" si="119"/>
        <v>2084</v>
      </c>
      <c r="JJ33" s="231" t="s">
        <v>311</v>
      </c>
      <c r="JK33" s="233">
        <f>482</f>
        <v>482</v>
      </c>
      <c r="JL33" s="233">
        <v>469</v>
      </c>
      <c r="JM33" s="233">
        <v>474</v>
      </c>
      <c r="JN33" s="233">
        <v>542</v>
      </c>
      <c r="JO33" s="233">
        <f t="shared" si="120"/>
        <v>1967</v>
      </c>
      <c r="JQ33" s="231" t="s">
        <v>311</v>
      </c>
      <c r="JR33" s="233"/>
      <c r="JS33" s="233"/>
      <c r="JT33" s="233"/>
      <c r="JU33" s="233"/>
      <c r="JV33" s="233"/>
      <c r="JX33" s="231" t="s">
        <v>311</v>
      </c>
      <c r="JY33" s="233"/>
      <c r="JZ33" s="233"/>
      <c r="KA33" s="233"/>
      <c r="KB33" s="233"/>
      <c r="KC33" s="233"/>
      <c r="KE33" s="231" t="s">
        <v>311</v>
      </c>
      <c r="KF33" s="233"/>
      <c r="KG33" s="233"/>
      <c r="KH33" s="233"/>
      <c r="KI33" s="233"/>
      <c r="KJ33" s="233"/>
      <c r="KL33" s="231" t="s">
        <v>311</v>
      </c>
      <c r="KM33" s="233"/>
      <c r="KN33" s="233"/>
      <c r="KO33" s="233"/>
      <c r="KP33" s="233"/>
      <c r="KQ33" s="233"/>
      <c r="KS33" s="231" t="s">
        <v>311</v>
      </c>
      <c r="KT33" s="233"/>
      <c r="KU33" s="233"/>
      <c r="KV33" s="232"/>
      <c r="KW33" s="233"/>
      <c r="KX33" s="233"/>
      <c r="KZ33" s="231" t="s">
        <v>311</v>
      </c>
      <c r="LA33" s="233"/>
      <c r="LB33" s="234"/>
      <c r="LC33" s="234"/>
      <c r="LD33" s="234"/>
      <c r="LE33" s="233"/>
      <c r="LF33" s="581"/>
      <c r="LG33" s="231" t="s">
        <v>311</v>
      </c>
      <c r="LH33" s="234"/>
      <c r="LI33" s="234"/>
      <c r="LJ33" s="234"/>
      <c r="LK33" s="234"/>
      <c r="LL33" s="233"/>
      <c r="LM33" s="581"/>
      <c r="LN33" s="231" t="s">
        <v>311</v>
      </c>
      <c r="LO33" s="234"/>
      <c r="LP33" s="234"/>
      <c r="LQ33" s="234"/>
      <c r="LR33" s="234"/>
      <c r="LS33" s="233"/>
      <c r="LT33" s="581"/>
      <c r="LU33" s="231" t="s">
        <v>311</v>
      </c>
      <c r="LV33" s="234"/>
      <c r="LW33" s="234"/>
      <c r="LX33" s="234"/>
      <c r="LY33" s="234"/>
      <c r="LZ33" s="233"/>
      <c r="MA33" s="581"/>
      <c r="MB33" s="231" t="s">
        <v>311</v>
      </c>
      <c r="MC33" s="234"/>
      <c r="MD33" s="234"/>
      <c r="ME33" s="234"/>
      <c r="MF33" s="234"/>
      <c r="MG33" s="233"/>
      <c r="MH33" s="581"/>
    </row>
    <row r="34" spans="1:346" s="37" customFormat="1" ht="13.15" outlineLevel="1" x14ac:dyDescent="0.4">
      <c r="A34" s="48"/>
      <c r="B34" s="231" t="s">
        <v>312</v>
      </c>
      <c r="C34" s="235"/>
      <c r="D34" s="235"/>
      <c r="E34" s="235"/>
      <c r="F34" s="235"/>
      <c r="G34" s="235">
        <v>415</v>
      </c>
      <c r="H34" s="235">
        <v>493</v>
      </c>
      <c r="I34" s="235">
        <v>504</v>
      </c>
      <c r="J34" s="235">
        <v>496</v>
      </c>
      <c r="K34" s="235">
        <v>479</v>
      </c>
      <c r="L34" s="235">
        <v>439</v>
      </c>
      <c r="M34" s="235">
        <v>473</v>
      </c>
      <c r="N34" s="235">
        <f t="shared" si="51"/>
        <v>460</v>
      </c>
      <c r="O34" s="235">
        <f t="shared" si="52"/>
        <v>438</v>
      </c>
      <c r="P34" s="235">
        <f t="shared" si="53"/>
        <v>425</v>
      </c>
      <c r="Q34" s="235">
        <f t="shared" si="54"/>
        <v>374</v>
      </c>
      <c r="R34" s="235">
        <f t="shared" si="55"/>
        <v>369</v>
      </c>
      <c r="S34" s="235">
        <f t="shared" si="56"/>
        <v>374</v>
      </c>
      <c r="T34" s="235">
        <f t="shared" si="57"/>
        <v>373</v>
      </c>
      <c r="U34" s="235">
        <f t="shared" si="58"/>
        <v>365</v>
      </c>
      <c r="V34" s="235">
        <f t="shared" si="59"/>
        <v>349</v>
      </c>
      <c r="W34" s="235">
        <f t="shared" si="60"/>
        <v>379</v>
      </c>
      <c r="X34" s="235">
        <f t="shared" si="61"/>
        <v>496</v>
      </c>
      <c r="Y34" s="235">
        <f t="shared" si="62"/>
        <v>532</v>
      </c>
      <c r="Z34" s="235">
        <f t="shared" si="63"/>
        <v>442</v>
      </c>
      <c r="AA34" s="235">
        <f t="shared" si="64"/>
        <v>425</v>
      </c>
      <c r="AB34" s="235">
        <f t="shared" si="65"/>
        <v>418</v>
      </c>
      <c r="AC34" s="235">
        <f t="shared" si="66"/>
        <v>425</v>
      </c>
      <c r="AD34" s="235">
        <f t="shared" si="67"/>
        <v>400</v>
      </c>
      <c r="AE34" s="235">
        <f t="shared" si="68"/>
        <v>382</v>
      </c>
      <c r="AF34" s="235">
        <f t="shared" si="69"/>
        <v>341</v>
      </c>
      <c r="AG34" s="235">
        <f t="shared" si="70"/>
        <v>317</v>
      </c>
      <c r="AH34" s="235">
        <f t="shared" si="71"/>
        <v>391</v>
      </c>
      <c r="AI34" s="235">
        <f t="shared" si="72"/>
        <v>374</v>
      </c>
      <c r="AJ34" s="235">
        <f t="shared" si="73"/>
        <v>379</v>
      </c>
      <c r="AK34" s="235">
        <f t="shared" si="74"/>
        <v>392</v>
      </c>
      <c r="AL34" s="235">
        <f t="shared" si="75"/>
        <v>380</v>
      </c>
      <c r="AM34" s="235">
        <f t="shared" si="76"/>
        <v>428</v>
      </c>
      <c r="AN34" s="235">
        <f t="shared" si="77"/>
        <v>436</v>
      </c>
      <c r="AO34" s="235">
        <f t="shared" si="78"/>
        <v>438</v>
      </c>
      <c r="AP34" s="235">
        <f t="shared" si="79"/>
        <v>429</v>
      </c>
      <c r="AQ34" s="235">
        <f t="shared" si="80"/>
        <v>395</v>
      </c>
      <c r="AR34" s="235">
        <f t="shared" si="81"/>
        <v>0</v>
      </c>
      <c r="AS34" s="235">
        <f t="shared" si="82"/>
        <v>0</v>
      </c>
      <c r="AT34" s="235">
        <f t="shared" si="83"/>
        <v>0</v>
      </c>
      <c r="AU34" s="235">
        <f t="shared" si="84"/>
        <v>0</v>
      </c>
      <c r="AV34" s="235">
        <f t="shared" si="85"/>
        <v>0</v>
      </c>
      <c r="AW34" s="235">
        <f t="shared" si="86"/>
        <v>0</v>
      </c>
      <c r="AX34" s="235">
        <f t="shared" si="87"/>
        <v>0</v>
      </c>
      <c r="AY34" s="235">
        <f t="shared" si="88"/>
        <v>0</v>
      </c>
      <c r="AZ34" s="235">
        <f t="shared" si="89"/>
        <v>0</v>
      </c>
      <c r="BA34" s="235">
        <f t="shared" si="90"/>
        <v>0</v>
      </c>
      <c r="BB34" s="235"/>
      <c r="BC34" s="235"/>
      <c r="BD34" s="235"/>
      <c r="BE34" s="235"/>
      <c r="BF34" s="235"/>
      <c r="BG34" s="235"/>
      <c r="BH34" s="235"/>
      <c r="BI34" s="235"/>
      <c r="BJ34" s="235"/>
      <c r="BK34" s="235"/>
      <c r="BL34" s="235"/>
      <c r="BM34" s="235"/>
      <c r="BO34" s="231" t="s">
        <v>312</v>
      </c>
      <c r="BP34" s="233">
        <v>118</v>
      </c>
      <c r="BQ34" s="233">
        <v>116</v>
      </c>
      <c r="BR34" s="233">
        <v>112</v>
      </c>
      <c r="BS34" s="233">
        <v>114</v>
      </c>
      <c r="BT34" s="233">
        <f t="shared" si="91"/>
        <v>460</v>
      </c>
      <c r="BV34" s="231" t="s">
        <v>312</v>
      </c>
      <c r="BW34" s="233">
        <v>112</v>
      </c>
      <c r="BX34" s="233">
        <v>114</v>
      </c>
      <c r="BY34" s="233">
        <v>105</v>
      </c>
      <c r="BZ34" s="233">
        <v>107</v>
      </c>
      <c r="CA34" s="233">
        <f t="shared" si="92"/>
        <v>438</v>
      </c>
      <c r="CC34" s="231" t="s">
        <v>312</v>
      </c>
      <c r="CD34" s="233">
        <v>107</v>
      </c>
      <c r="CE34" s="233">
        <v>103</v>
      </c>
      <c r="CF34" s="233">
        <v>106</v>
      </c>
      <c r="CG34" s="233">
        <v>109</v>
      </c>
      <c r="CH34" s="233">
        <f t="shared" si="93"/>
        <v>425</v>
      </c>
      <c r="CJ34" s="231" t="s">
        <v>312</v>
      </c>
      <c r="CK34" s="233">
        <v>93</v>
      </c>
      <c r="CL34" s="233">
        <v>90</v>
      </c>
      <c r="CM34" s="233">
        <v>94</v>
      </c>
      <c r="CN34" s="233">
        <v>97</v>
      </c>
      <c r="CO34" s="233">
        <f t="shared" si="94"/>
        <v>374</v>
      </c>
      <c r="CQ34" s="231" t="s">
        <v>312</v>
      </c>
      <c r="CR34" s="233">
        <v>97</v>
      </c>
      <c r="CS34" s="233">
        <v>94</v>
      </c>
      <c r="CT34" s="233">
        <v>89</v>
      </c>
      <c r="CU34" s="233">
        <v>89</v>
      </c>
      <c r="CV34" s="233">
        <f t="shared" si="95"/>
        <v>369</v>
      </c>
      <c r="CX34" s="231" t="s">
        <v>312</v>
      </c>
      <c r="CY34" s="233">
        <v>94</v>
      </c>
      <c r="CZ34" s="233">
        <v>95</v>
      </c>
      <c r="DA34" s="233">
        <v>92</v>
      </c>
      <c r="DB34" s="233">
        <v>93</v>
      </c>
      <c r="DC34" s="233">
        <f t="shared" si="96"/>
        <v>374</v>
      </c>
      <c r="DE34" s="231" t="s">
        <v>312</v>
      </c>
      <c r="DF34" s="233">
        <v>100</v>
      </c>
      <c r="DG34" s="233">
        <v>93</v>
      </c>
      <c r="DH34" s="233">
        <v>88</v>
      </c>
      <c r="DI34" s="233">
        <v>92</v>
      </c>
      <c r="DJ34" s="233">
        <f t="shared" si="97"/>
        <v>373</v>
      </c>
      <c r="DL34" s="231" t="s">
        <v>312</v>
      </c>
      <c r="DM34" s="233">
        <v>95</v>
      </c>
      <c r="DN34" s="233">
        <v>93</v>
      </c>
      <c r="DO34" s="233">
        <v>89</v>
      </c>
      <c r="DP34" s="233">
        <v>88</v>
      </c>
      <c r="DQ34" s="233">
        <f t="shared" si="98"/>
        <v>365</v>
      </c>
      <c r="DS34" s="231" t="s">
        <v>312</v>
      </c>
      <c r="DT34" s="233">
        <v>87</v>
      </c>
      <c r="DU34" s="233">
        <v>86</v>
      </c>
      <c r="DV34" s="233">
        <v>88</v>
      </c>
      <c r="DW34" s="233">
        <v>88</v>
      </c>
      <c r="DX34" s="233">
        <f t="shared" si="99"/>
        <v>349</v>
      </c>
      <c r="DZ34" s="231" t="s">
        <v>312</v>
      </c>
      <c r="EA34" s="233">
        <v>88</v>
      </c>
      <c r="EB34" s="233">
        <v>94</v>
      </c>
      <c r="EC34" s="233">
        <v>92</v>
      </c>
      <c r="ED34" s="233">
        <v>105</v>
      </c>
      <c r="EE34" s="233">
        <f t="shared" si="100"/>
        <v>379</v>
      </c>
      <c r="EG34" s="231" t="s">
        <v>312</v>
      </c>
      <c r="EH34" s="233">
        <v>109</v>
      </c>
      <c r="EI34" s="233">
        <v>105</v>
      </c>
      <c r="EJ34" s="233">
        <v>135</v>
      </c>
      <c r="EK34" s="233">
        <v>147</v>
      </c>
      <c r="EL34" s="233">
        <f t="shared" si="101"/>
        <v>496</v>
      </c>
      <c r="EN34" s="231" t="s">
        <v>312</v>
      </c>
      <c r="EO34" s="233">
        <v>136</v>
      </c>
      <c r="EP34" s="233">
        <v>146</v>
      </c>
      <c r="EQ34" s="233">
        <v>132</v>
      </c>
      <c r="ER34" s="233">
        <v>118</v>
      </c>
      <c r="ES34" s="233">
        <f t="shared" si="102"/>
        <v>532</v>
      </c>
      <c r="EU34" s="231" t="s">
        <v>312</v>
      </c>
      <c r="EV34" s="233">
        <v>119</v>
      </c>
      <c r="EW34" s="233">
        <v>114</v>
      </c>
      <c r="EX34" s="233">
        <v>108</v>
      </c>
      <c r="EY34" s="233">
        <v>101</v>
      </c>
      <c r="EZ34" s="233">
        <f t="shared" si="103"/>
        <v>442</v>
      </c>
      <c r="FB34" s="231" t="s">
        <v>312</v>
      </c>
      <c r="FC34" s="233">
        <v>102</v>
      </c>
      <c r="FD34" s="233">
        <v>107</v>
      </c>
      <c r="FE34" s="233">
        <v>117</v>
      </c>
      <c r="FF34" s="233">
        <v>99</v>
      </c>
      <c r="FG34" s="233">
        <f t="shared" si="104"/>
        <v>425</v>
      </c>
      <c r="FI34" s="231" t="s">
        <v>312</v>
      </c>
      <c r="FJ34" s="233">
        <v>107</v>
      </c>
      <c r="FK34" s="233">
        <v>92</v>
      </c>
      <c r="FL34" s="233">
        <v>109</v>
      </c>
      <c r="FM34" s="233">
        <v>110</v>
      </c>
      <c r="FN34" s="233">
        <f t="shared" si="105"/>
        <v>418</v>
      </c>
      <c r="FP34" s="231" t="s">
        <v>312</v>
      </c>
      <c r="FQ34" s="233">
        <v>102</v>
      </c>
      <c r="FR34" s="233">
        <v>103</v>
      </c>
      <c r="FS34" s="233">
        <v>104</v>
      </c>
      <c r="FT34" s="233">
        <v>116</v>
      </c>
      <c r="FU34" s="233">
        <f t="shared" si="106"/>
        <v>425</v>
      </c>
      <c r="FW34" s="231" t="s">
        <v>312</v>
      </c>
      <c r="FX34" s="233">
        <v>101</v>
      </c>
      <c r="FY34" s="233">
        <v>104</v>
      </c>
      <c r="FZ34" s="233">
        <v>99</v>
      </c>
      <c r="GA34" s="233">
        <v>96</v>
      </c>
      <c r="GB34" s="233">
        <f t="shared" si="107"/>
        <v>400</v>
      </c>
      <c r="GD34" s="231" t="s">
        <v>312</v>
      </c>
      <c r="GE34" s="233">
        <v>93</v>
      </c>
      <c r="GF34" s="233">
        <v>99</v>
      </c>
      <c r="GG34" s="233">
        <v>101</v>
      </c>
      <c r="GH34" s="233">
        <v>89</v>
      </c>
      <c r="GI34" s="233">
        <f t="shared" si="108"/>
        <v>382</v>
      </c>
      <c r="GK34" s="231" t="s">
        <v>312</v>
      </c>
      <c r="GL34" s="233">
        <v>91</v>
      </c>
      <c r="GM34" s="233">
        <v>80</v>
      </c>
      <c r="GN34" s="233">
        <v>88</v>
      </c>
      <c r="GO34" s="233">
        <v>82</v>
      </c>
      <c r="GP34" s="233">
        <f t="shared" si="109"/>
        <v>341</v>
      </c>
      <c r="GR34" s="231" t="s">
        <v>312</v>
      </c>
      <c r="GS34" s="233">
        <v>84</v>
      </c>
      <c r="GT34" s="233">
        <v>86</v>
      </c>
      <c r="GU34" s="233">
        <v>78</v>
      </c>
      <c r="GV34" s="233">
        <v>69</v>
      </c>
      <c r="GW34" s="233">
        <f t="shared" si="110"/>
        <v>317</v>
      </c>
      <c r="GY34" s="231" t="s">
        <v>312</v>
      </c>
      <c r="GZ34" s="233">
        <v>113</v>
      </c>
      <c r="HA34" s="233">
        <v>98</v>
      </c>
      <c r="HB34" s="233">
        <v>92</v>
      </c>
      <c r="HC34" s="233">
        <v>88</v>
      </c>
      <c r="HD34" s="233">
        <f t="shared" si="111"/>
        <v>391</v>
      </c>
      <c r="HF34" s="231" t="s">
        <v>312</v>
      </c>
      <c r="HG34" s="233">
        <v>100</v>
      </c>
      <c r="HH34" s="233">
        <v>89</v>
      </c>
      <c r="HI34" s="233">
        <v>90</v>
      </c>
      <c r="HJ34" s="233">
        <v>95</v>
      </c>
      <c r="HK34" s="233">
        <f t="shared" si="112"/>
        <v>374</v>
      </c>
      <c r="HM34" s="231" t="s">
        <v>312</v>
      </c>
      <c r="HN34" s="233">
        <v>97</v>
      </c>
      <c r="HO34" s="233">
        <v>95</v>
      </c>
      <c r="HP34" s="233">
        <v>95</v>
      </c>
      <c r="HQ34" s="233">
        <v>92</v>
      </c>
      <c r="HR34" s="233">
        <f t="shared" si="113"/>
        <v>379</v>
      </c>
      <c r="HT34" s="231" t="s">
        <v>312</v>
      </c>
      <c r="HU34" s="233">
        <v>97</v>
      </c>
      <c r="HV34" s="233">
        <v>102</v>
      </c>
      <c r="HW34" s="233">
        <v>96</v>
      </c>
      <c r="HX34" s="233">
        <v>97</v>
      </c>
      <c r="HY34" s="233">
        <f t="shared" si="114"/>
        <v>392</v>
      </c>
      <c r="IA34" s="231" t="s">
        <v>312</v>
      </c>
      <c r="IB34" s="233">
        <v>95</v>
      </c>
      <c r="IC34" s="233">
        <v>96</v>
      </c>
      <c r="ID34" s="233">
        <v>94</v>
      </c>
      <c r="IE34" s="233">
        <v>95</v>
      </c>
      <c r="IF34" s="233">
        <f t="shared" si="115"/>
        <v>380</v>
      </c>
      <c r="IH34" s="231" t="s">
        <v>312</v>
      </c>
      <c r="II34" s="233">
        <v>101</v>
      </c>
      <c r="IJ34" s="233">
        <v>114</v>
      </c>
      <c r="IK34" s="233">
        <v>106</v>
      </c>
      <c r="IL34" s="233">
        <v>107</v>
      </c>
      <c r="IM34" s="233">
        <f t="shared" si="116"/>
        <v>428</v>
      </c>
      <c r="IO34" s="231" t="s">
        <v>312</v>
      </c>
      <c r="IP34" s="233">
        <v>113</v>
      </c>
      <c r="IQ34" s="233">
        <v>101</v>
      </c>
      <c r="IR34" s="233">
        <v>114</v>
      </c>
      <c r="IS34" s="233">
        <v>108</v>
      </c>
      <c r="IT34" s="233">
        <f t="shared" si="117"/>
        <v>436</v>
      </c>
      <c r="IV34" s="231" t="s">
        <v>312</v>
      </c>
      <c r="IW34" s="233">
        <v>105</v>
      </c>
      <c r="IX34" s="233">
        <v>105</v>
      </c>
      <c r="IY34" s="233">
        <v>105</v>
      </c>
      <c r="IZ34" s="233">
        <v>123</v>
      </c>
      <c r="JA34" s="233">
        <f t="shared" si="118"/>
        <v>438</v>
      </c>
      <c r="JC34" s="231" t="s">
        <v>312</v>
      </c>
      <c r="JD34" s="233">
        <v>99</v>
      </c>
      <c r="JE34" s="233">
        <v>105</v>
      </c>
      <c r="JF34" s="233">
        <v>109</v>
      </c>
      <c r="JG34" s="233">
        <v>116</v>
      </c>
      <c r="JH34" s="233">
        <f t="shared" si="119"/>
        <v>429</v>
      </c>
      <c r="JJ34" s="231" t="s">
        <v>312</v>
      </c>
      <c r="JK34" s="233">
        <v>101</v>
      </c>
      <c r="JL34" s="233">
        <v>112</v>
      </c>
      <c r="JM34" s="233">
        <v>89</v>
      </c>
      <c r="JN34" s="233">
        <v>93</v>
      </c>
      <c r="JO34" s="233">
        <f t="shared" si="120"/>
        <v>395</v>
      </c>
      <c r="JQ34" s="231" t="s">
        <v>312</v>
      </c>
      <c r="JR34" s="233"/>
      <c r="JS34" s="233"/>
      <c r="JT34" s="233"/>
      <c r="JU34" s="233"/>
      <c r="JV34" s="233"/>
      <c r="JX34" s="231" t="s">
        <v>312</v>
      </c>
      <c r="JY34" s="233"/>
      <c r="JZ34" s="233"/>
      <c r="KA34" s="233"/>
      <c r="KB34" s="233"/>
      <c r="KC34" s="233"/>
      <c r="KE34" s="231" t="s">
        <v>312</v>
      </c>
      <c r="KF34" s="233"/>
      <c r="KG34" s="233"/>
      <c r="KH34" s="233"/>
      <c r="KI34" s="233"/>
      <c r="KJ34" s="233"/>
      <c r="KL34" s="231" t="s">
        <v>312</v>
      </c>
      <c r="KM34" s="233"/>
      <c r="KN34" s="233"/>
      <c r="KO34" s="233"/>
      <c r="KP34" s="233"/>
      <c r="KQ34" s="233"/>
      <c r="KS34" s="231" t="s">
        <v>312</v>
      </c>
      <c r="KT34" s="233"/>
      <c r="KU34" s="233"/>
      <c r="KV34" s="232"/>
      <c r="KW34" s="233"/>
      <c r="KX34" s="233"/>
      <c r="KZ34" s="231" t="s">
        <v>312</v>
      </c>
      <c r="LA34" s="233"/>
      <c r="LB34" s="234"/>
      <c r="LC34" s="234"/>
      <c r="LD34" s="234"/>
      <c r="LE34" s="233"/>
      <c r="LF34" s="581"/>
      <c r="LG34" s="231" t="s">
        <v>312</v>
      </c>
      <c r="LH34" s="234"/>
      <c r="LI34" s="234"/>
      <c r="LJ34" s="234"/>
      <c r="LK34" s="234"/>
      <c r="LL34" s="233"/>
      <c r="LM34" s="581"/>
      <c r="LN34" s="231" t="s">
        <v>312</v>
      </c>
      <c r="LO34" s="234"/>
      <c r="LP34" s="234"/>
      <c r="LQ34" s="234"/>
      <c r="LR34" s="234"/>
      <c r="LS34" s="233"/>
      <c r="LT34" s="581"/>
      <c r="LU34" s="231" t="s">
        <v>312</v>
      </c>
      <c r="LV34" s="234"/>
      <c r="LW34" s="234"/>
      <c r="LX34" s="234"/>
      <c r="LY34" s="234"/>
      <c r="LZ34" s="233"/>
      <c r="MA34" s="581"/>
      <c r="MB34" s="231" t="s">
        <v>312</v>
      </c>
      <c r="MC34" s="234"/>
      <c r="MD34" s="234"/>
      <c r="ME34" s="234"/>
      <c r="MF34" s="234"/>
      <c r="MG34" s="233"/>
      <c r="MH34" s="581"/>
    </row>
    <row r="35" spans="1:346" s="37" customFormat="1" ht="13.15" outlineLevel="1" x14ac:dyDescent="0.4">
      <c r="A35" s="48"/>
      <c r="B35" s="231" t="s">
        <v>313</v>
      </c>
      <c r="C35" s="235"/>
      <c r="D35" s="235"/>
      <c r="E35" s="235"/>
      <c r="F35" s="235"/>
      <c r="G35" s="235"/>
      <c r="H35" s="235"/>
      <c r="I35" s="235"/>
      <c r="J35" s="235"/>
      <c r="K35" s="235"/>
      <c r="L35" s="235"/>
      <c r="M35" s="235"/>
      <c r="N35" s="235">
        <f t="shared" si="51"/>
        <v>65</v>
      </c>
      <c r="O35" s="235">
        <f t="shared" si="52"/>
        <v>285</v>
      </c>
      <c r="P35" s="235">
        <f t="shared" si="53"/>
        <v>322</v>
      </c>
      <c r="Q35" s="235">
        <f t="shared" si="54"/>
        <v>0</v>
      </c>
      <c r="R35" s="235">
        <f t="shared" si="55"/>
        <v>0</v>
      </c>
      <c r="S35" s="235">
        <f t="shared" si="56"/>
        <v>0</v>
      </c>
      <c r="T35" s="235">
        <f t="shared" si="57"/>
        <v>0</v>
      </c>
      <c r="U35" s="235">
        <f t="shared" si="58"/>
        <v>-160</v>
      </c>
      <c r="V35" s="235">
        <f t="shared" si="59"/>
        <v>-158</v>
      </c>
      <c r="W35" s="235">
        <f t="shared" si="60"/>
        <v>-159</v>
      </c>
      <c r="X35" s="235">
        <f t="shared" si="61"/>
        <v>-285</v>
      </c>
      <c r="Y35" s="235">
        <f t="shared" si="62"/>
        <v>-387</v>
      </c>
      <c r="Z35" s="235">
        <f t="shared" si="63"/>
        <v>-371</v>
      </c>
      <c r="AA35" s="235">
        <f t="shared" si="64"/>
        <v>-365</v>
      </c>
      <c r="AB35" s="235">
        <f t="shared" si="65"/>
        <v>-399</v>
      </c>
      <c r="AC35" s="235">
        <f t="shared" si="66"/>
        <v>-421</v>
      </c>
      <c r="AD35" s="235">
        <f t="shared" si="67"/>
        <v>-433</v>
      </c>
      <c r="AE35" s="235">
        <f t="shared" si="68"/>
        <v>-462</v>
      </c>
      <c r="AF35" s="235">
        <f t="shared" si="69"/>
        <v>-448</v>
      </c>
      <c r="AG35" s="235">
        <f t="shared" si="70"/>
        <v>-507</v>
      </c>
      <c r="AH35" s="235">
        <f t="shared" si="71"/>
        <v>128</v>
      </c>
      <c r="AI35" s="235">
        <f t="shared" si="72"/>
        <v>0</v>
      </c>
      <c r="AJ35" s="235">
        <f t="shared" si="73"/>
        <v>0</v>
      </c>
      <c r="AK35" s="235">
        <f t="shared" si="74"/>
        <v>0</v>
      </c>
      <c r="AL35" s="235">
        <f t="shared" si="75"/>
        <v>0</v>
      </c>
      <c r="AM35" s="235">
        <f t="shared" si="76"/>
        <v>0</v>
      </c>
      <c r="AN35" s="235">
        <f t="shared" si="77"/>
        <v>0</v>
      </c>
      <c r="AO35" s="235">
        <f t="shared" si="78"/>
        <v>0</v>
      </c>
      <c r="AP35" s="235">
        <f t="shared" si="79"/>
        <v>0</v>
      </c>
      <c r="AQ35" s="235">
        <f t="shared" si="80"/>
        <v>0</v>
      </c>
      <c r="AR35" s="235">
        <f t="shared" si="81"/>
        <v>0</v>
      </c>
      <c r="AS35" s="235">
        <f t="shared" si="82"/>
        <v>0</v>
      </c>
      <c r="AT35" s="235">
        <f t="shared" si="83"/>
        <v>0</v>
      </c>
      <c r="AU35" s="235">
        <f t="shared" si="84"/>
        <v>0</v>
      </c>
      <c r="AV35" s="235">
        <f t="shared" si="85"/>
        <v>0</v>
      </c>
      <c r="AW35" s="235">
        <f t="shared" si="86"/>
        <v>0</v>
      </c>
      <c r="AX35" s="235">
        <f t="shared" si="87"/>
        <v>0</v>
      </c>
      <c r="AY35" s="235">
        <f t="shared" si="88"/>
        <v>0</v>
      </c>
      <c r="AZ35" s="235">
        <f t="shared" si="89"/>
        <v>0</v>
      </c>
      <c r="BA35" s="235">
        <f t="shared" si="90"/>
        <v>0</v>
      </c>
      <c r="BB35" s="235"/>
      <c r="BC35" s="235"/>
      <c r="BD35" s="235"/>
      <c r="BE35" s="235"/>
      <c r="BF35" s="235"/>
      <c r="BG35" s="235"/>
      <c r="BH35" s="235"/>
      <c r="BI35" s="235"/>
      <c r="BJ35" s="235"/>
      <c r="BK35" s="235"/>
      <c r="BL35" s="235"/>
      <c r="BM35" s="235"/>
      <c r="BO35" s="231" t="s">
        <v>313</v>
      </c>
      <c r="BP35" s="233"/>
      <c r="BQ35" s="233"/>
      <c r="BR35" s="233"/>
      <c r="BS35" s="233">
        <v>65</v>
      </c>
      <c r="BT35" s="233">
        <f t="shared" si="91"/>
        <v>65</v>
      </c>
      <c r="BV35" s="231" t="s">
        <v>313</v>
      </c>
      <c r="BW35" s="233">
        <v>61</v>
      </c>
      <c r="BX35" s="233">
        <v>70</v>
      </c>
      <c r="BY35" s="233">
        <v>75</v>
      </c>
      <c r="BZ35" s="233">
        <v>79</v>
      </c>
      <c r="CA35" s="233">
        <f t="shared" si="92"/>
        <v>285</v>
      </c>
      <c r="CC35" s="231" t="s">
        <v>313</v>
      </c>
      <c r="CD35" s="233">
        <v>69</v>
      </c>
      <c r="CE35" s="233">
        <v>77</v>
      </c>
      <c r="CF35" s="233">
        <v>85</v>
      </c>
      <c r="CG35" s="233">
        <v>91</v>
      </c>
      <c r="CH35" s="233">
        <f t="shared" si="93"/>
        <v>322</v>
      </c>
      <c r="CJ35" s="231" t="s">
        <v>313</v>
      </c>
      <c r="CK35" s="233"/>
      <c r="CL35" s="233"/>
      <c r="CM35" s="233"/>
      <c r="CN35" s="233"/>
      <c r="CO35" s="233">
        <f t="shared" si="94"/>
        <v>0</v>
      </c>
      <c r="CQ35" s="231" t="s">
        <v>313</v>
      </c>
      <c r="CR35" s="233"/>
      <c r="CS35" s="233"/>
      <c r="CT35" s="233"/>
      <c r="CU35" s="233"/>
      <c r="CV35" s="233">
        <f t="shared" si="95"/>
        <v>0</v>
      </c>
      <c r="CX35" s="231" t="s">
        <v>313</v>
      </c>
      <c r="CY35" s="233"/>
      <c r="CZ35" s="233"/>
      <c r="DA35" s="233"/>
      <c r="DB35" s="233"/>
      <c r="DC35" s="233">
        <f t="shared" si="96"/>
        <v>0</v>
      </c>
      <c r="DE35" s="231" t="s">
        <v>313</v>
      </c>
      <c r="DF35" s="233"/>
      <c r="DG35" s="233"/>
      <c r="DH35" s="233"/>
      <c r="DI35" s="233"/>
      <c r="DJ35" s="233">
        <f t="shared" si="97"/>
        <v>0</v>
      </c>
      <c r="DL35" s="231" t="s">
        <v>313</v>
      </c>
      <c r="DM35" s="233">
        <v>-40</v>
      </c>
      <c r="DN35" s="233">
        <v>-40</v>
      </c>
      <c r="DO35" s="233">
        <v>-39</v>
      </c>
      <c r="DP35" s="233">
        <v>-41</v>
      </c>
      <c r="DQ35" s="233">
        <f t="shared" si="98"/>
        <v>-160</v>
      </c>
      <c r="DS35" s="231" t="s">
        <v>313</v>
      </c>
      <c r="DT35" s="233">
        <v>-39</v>
      </c>
      <c r="DU35" s="233">
        <v>-39</v>
      </c>
      <c r="DV35" s="233">
        <v>-39</v>
      </c>
      <c r="DW35" s="233">
        <v>-41</v>
      </c>
      <c r="DX35" s="233">
        <f t="shared" si="99"/>
        <v>-158</v>
      </c>
      <c r="DZ35" s="231" t="s">
        <v>313</v>
      </c>
      <c r="EA35" s="233">
        <v>-39</v>
      </c>
      <c r="EB35" s="233">
        <v>-40</v>
      </c>
      <c r="EC35" s="233">
        <v>-40</v>
      </c>
      <c r="ED35" s="233">
        <v>-40</v>
      </c>
      <c r="EE35" s="233">
        <f t="shared" si="100"/>
        <v>-159</v>
      </c>
      <c r="EG35" s="231" t="s">
        <v>313</v>
      </c>
      <c r="EH35" s="233">
        <v>-41</v>
      </c>
      <c r="EI35" s="233">
        <v>-53</v>
      </c>
      <c r="EJ35" s="233">
        <v>-94</v>
      </c>
      <c r="EK35" s="233">
        <v>-97</v>
      </c>
      <c r="EL35" s="233">
        <f t="shared" si="101"/>
        <v>-285</v>
      </c>
      <c r="EN35" s="231" t="s">
        <v>313</v>
      </c>
      <c r="EO35" s="233">
        <v>-102</v>
      </c>
      <c r="EP35" s="233">
        <v>-99</v>
      </c>
      <c r="EQ35" s="233">
        <v>-93</v>
      </c>
      <c r="ER35" s="233">
        <v>-93</v>
      </c>
      <c r="ES35" s="233">
        <f t="shared" si="102"/>
        <v>-387</v>
      </c>
      <c r="EU35" s="231" t="s">
        <v>313</v>
      </c>
      <c r="EV35" s="233">
        <v>-94</v>
      </c>
      <c r="EW35" s="233">
        <v>-92</v>
      </c>
      <c r="EX35" s="233">
        <v>-94</v>
      </c>
      <c r="EY35" s="233">
        <v>-91</v>
      </c>
      <c r="EZ35" s="233">
        <f t="shared" si="103"/>
        <v>-371</v>
      </c>
      <c r="FB35" s="231" t="s">
        <v>313</v>
      </c>
      <c r="FC35" s="233">
        <v>-86</v>
      </c>
      <c r="FD35" s="233">
        <v>-92</v>
      </c>
      <c r="FE35" s="233">
        <v>-93</v>
      </c>
      <c r="FF35" s="233">
        <v>-94</v>
      </c>
      <c r="FG35" s="233">
        <f t="shared" si="104"/>
        <v>-365</v>
      </c>
      <c r="FI35" s="231" t="s">
        <v>313</v>
      </c>
      <c r="FJ35" s="233">
        <v>-99</v>
      </c>
      <c r="FK35" s="233">
        <v>-98</v>
      </c>
      <c r="FL35" s="233">
        <v>-100</v>
      </c>
      <c r="FM35" s="233">
        <v>-102</v>
      </c>
      <c r="FN35" s="233">
        <f t="shared" si="105"/>
        <v>-399</v>
      </c>
      <c r="FP35" s="231" t="s">
        <v>313</v>
      </c>
      <c r="FQ35" s="233">
        <v>-101</v>
      </c>
      <c r="FR35" s="233">
        <v>-103</v>
      </c>
      <c r="FS35" s="233">
        <v>-104</v>
      </c>
      <c r="FT35" s="233">
        <v>-113</v>
      </c>
      <c r="FU35" s="233">
        <f t="shared" si="106"/>
        <v>-421</v>
      </c>
      <c r="FW35" s="231" t="s">
        <v>313</v>
      </c>
      <c r="FX35" s="233">
        <v>-105</v>
      </c>
      <c r="FY35" s="233">
        <v>-104</v>
      </c>
      <c r="FZ35" s="233">
        <v>-109</v>
      </c>
      <c r="GA35" s="233">
        <v>-115</v>
      </c>
      <c r="GB35" s="233">
        <f t="shared" si="107"/>
        <v>-433</v>
      </c>
      <c r="GD35" s="231" t="s">
        <v>313</v>
      </c>
      <c r="GE35" s="233">
        <v>-111</v>
      </c>
      <c r="GF35" s="233">
        <v>-116</v>
      </c>
      <c r="GG35" s="233">
        <v>-119</v>
      </c>
      <c r="GH35" s="233">
        <v>-116</v>
      </c>
      <c r="GI35" s="233">
        <f t="shared" si="108"/>
        <v>-462</v>
      </c>
      <c r="GK35" s="231" t="s">
        <v>313</v>
      </c>
      <c r="GL35" s="233">
        <v>-109</v>
      </c>
      <c r="GM35" s="233">
        <v>-110</v>
      </c>
      <c r="GN35" s="233">
        <v>-111</v>
      </c>
      <c r="GO35" s="233">
        <v>-118</v>
      </c>
      <c r="GP35" s="233">
        <f t="shared" si="109"/>
        <v>-448</v>
      </c>
      <c r="GR35" s="231" t="s">
        <v>313</v>
      </c>
      <c r="GS35" s="233">
        <v>-122</v>
      </c>
      <c r="GT35" s="233">
        <v>-137</v>
      </c>
      <c r="GU35" s="233">
        <v>-135</v>
      </c>
      <c r="GV35" s="233">
        <v>-113</v>
      </c>
      <c r="GW35" s="233">
        <f t="shared" si="110"/>
        <v>-507</v>
      </c>
      <c r="GY35" s="231" t="s">
        <v>313</v>
      </c>
      <c r="GZ35" s="233">
        <v>58</v>
      </c>
      <c r="HA35" s="233"/>
      <c r="HB35" s="233"/>
      <c r="HC35" s="233">
        <v>70</v>
      </c>
      <c r="HD35" s="233">
        <f t="shared" si="111"/>
        <v>128</v>
      </c>
      <c r="HF35" s="231" t="s">
        <v>313</v>
      </c>
      <c r="HG35" s="233"/>
      <c r="HH35" s="233"/>
      <c r="HI35" s="233"/>
      <c r="HJ35" s="233"/>
      <c r="HK35" s="233">
        <f t="shared" si="112"/>
        <v>0</v>
      </c>
      <c r="HM35" s="231" t="s">
        <v>313</v>
      </c>
      <c r="HN35" s="233"/>
      <c r="HO35" s="233"/>
      <c r="HP35" s="233"/>
      <c r="HQ35" s="233"/>
      <c r="HR35" s="233">
        <f t="shared" si="113"/>
        <v>0</v>
      </c>
      <c r="HT35" s="231" t="s">
        <v>313</v>
      </c>
      <c r="HU35" s="233"/>
      <c r="HV35" s="233"/>
      <c r="HW35" s="233"/>
      <c r="HX35" s="233"/>
      <c r="HY35" s="233">
        <f t="shared" si="114"/>
        <v>0</v>
      </c>
      <c r="IA35" s="231" t="s">
        <v>313</v>
      </c>
      <c r="IB35" s="233"/>
      <c r="IC35" s="233"/>
      <c r="ID35" s="233"/>
      <c r="IE35" s="233"/>
      <c r="IF35" s="233">
        <f t="shared" si="115"/>
        <v>0</v>
      </c>
      <c r="IH35" s="231" t="s">
        <v>313</v>
      </c>
      <c r="II35" s="233"/>
      <c r="IJ35" s="233"/>
      <c r="IK35" s="233"/>
      <c r="IL35" s="233"/>
      <c r="IM35" s="233">
        <f t="shared" si="116"/>
        <v>0</v>
      </c>
      <c r="IO35" s="231" t="s">
        <v>313</v>
      </c>
      <c r="IP35" s="233"/>
      <c r="IQ35" s="233"/>
      <c r="IR35" s="233"/>
      <c r="IS35" s="233"/>
      <c r="IT35" s="233">
        <f t="shared" si="117"/>
        <v>0</v>
      </c>
      <c r="IV35" s="231" t="s">
        <v>313</v>
      </c>
      <c r="IW35" s="233"/>
      <c r="IX35" s="233"/>
      <c r="IY35" s="233"/>
      <c r="IZ35" s="233"/>
      <c r="JA35" s="233">
        <f t="shared" si="118"/>
        <v>0</v>
      </c>
      <c r="JC35" s="231" t="s">
        <v>313</v>
      </c>
      <c r="JD35" s="233"/>
      <c r="JE35" s="233"/>
      <c r="JF35" s="233"/>
      <c r="JG35" s="233"/>
      <c r="JH35" s="233">
        <f t="shared" si="119"/>
        <v>0</v>
      </c>
      <c r="JJ35" s="231" t="s">
        <v>313</v>
      </c>
      <c r="JK35" s="233"/>
      <c r="JL35" s="233"/>
      <c r="JM35" s="233"/>
      <c r="JN35" s="233"/>
      <c r="JO35" s="233">
        <f t="shared" si="120"/>
        <v>0</v>
      </c>
      <c r="JQ35" s="231" t="s">
        <v>313</v>
      </c>
      <c r="JR35" s="233"/>
      <c r="JS35" s="233"/>
      <c r="JT35" s="233"/>
      <c r="JU35" s="233"/>
      <c r="JV35" s="233"/>
      <c r="JX35" s="231" t="s">
        <v>313</v>
      </c>
      <c r="JY35" s="233"/>
      <c r="JZ35" s="233"/>
      <c r="KA35" s="233"/>
      <c r="KB35" s="233"/>
      <c r="KC35" s="233"/>
      <c r="KE35" s="231" t="s">
        <v>313</v>
      </c>
      <c r="KF35" s="233"/>
      <c r="KG35" s="233"/>
      <c r="KH35" s="233"/>
      <c r="KI35" s="233"/>
      <c r="KJ35" s="233"/>
      <c r="KL35" s="231" t="s">
        <v>313</v>
      </c>
      <c r="KM35" s="233"/>
      <c r="KN35" s="233"/>
      <c r="KO35" s="233"/>
      <c r="KP35" s="233"/>
      <c r="KQ35" s="233"/>
      <c r="KS35" s="231" t="s">
        <v>313</v>
      </c>
      <c r="KT35" s="233"/>
      <c r="KU35" s="233"/>
      <c r="KV35" s="232"/>
      <c r="KW35" s="233"/>
      <c r="KX35" s="233"/>
      <c r="KZ35" s="231" t="s">
        <v>313</v>
      </c>
      <c r="LA35" s="233"/>
      <c r="LB35" s="234"/>
      <c r="LC35" s="234"/>
      <c r="LD35" s="234"/>
      <c r="LE35" s="233"/>
      <c r="LF35" s="581"/>
      <c r="LG35" s="231" t="s">
        <v>313</v>
      </c>
      <c r="LH35" s="234"/>
      <c r="LI35" s="234"/>
      <c r="LJ35" s="234"/>
      <c r="LK35" s="234"/>
      <c r="LL35" s="233"/>
      <c r="LM35" s="581"/>
      <c r="LN35" s="231" t="s">
        <v>313</v>
      </c>
      <c r="LO35" s="234"/>
      <c r="LP35" s="234"/>
      <c r="LQ35" s="234"/>
      <c r="LR35" s="234"/>
      <c r="LS35" s="233"/>
      <c r="LT35" s="581"/>
      <c r="LU35" s="231" t="s">
        <v>313</v>
      </c>
      <c r="LV35" s="234"/>
      <c r="LW35" s="234"/>
      <c r="LX35" s="234"/>
      <c r="LY35" s="234"/>
      <c r="LZ35" s="233"/>
      <c r="MA35" s="581"/>
      <c r="MB35" s="231" t="s">
        <v>313</v>
      </c>
      <c r="MC35" s="234"/>
      <c r="MD35" s="234"/>
      <c r="ME35" s="234"/>
      <c r="MF35" s="234"/>
      <c r="MG35" s="233"/>
      <c r="MH35" s="581"/>
    </row>
    <row r="36" spans="1:346" s="37" customFormat="1" ht="13.15" outlineLevel="1" x14ac:dyDescent="0.4">
      <c r="A36" s="48"/>
      <c r="B36" s="231" t="s">
        <v>188</v>
      </c>
      <c r="C36" s="235">
        <v>156.04</v>
      </c>
      <c r="D36" s="235">
        <v>160.69999999999999</v>
      </c>
      <c r="E36" s="235">
        <v>158</v>
      </c>
      <c r="F36" s="235">
        <v>169</v>
      </c>
      <c r="G36" s="235">
        <v>283</v>
      </c>
      <c r="H36" s="235">
        <v>252</v>
      </c>
      <c r="I36" s="235">
        <v>280</v>
      </c>
      <c r="J36" s="235">
        <v>266</v>
      </c>
      <c r="K36" s="235">
        <v>313</v>
      </c>
      <c r="L36" s="235">
        <v>341</v>
      </c>
      <c r="M36" s="235">
        <v>352</v>
      </c>
      <c r="N36" s="235">
        <f t="shared" si="51"/>
        <v>339</v>
      </c>
      <c r="O36" s="235">
        <f t="shared" si="52"/>
        <v>342</v>
      </c>
      <c r="P36" s="235">
        <f t="shared" si="53"/>
        <v>360</v>
      </c>
      <c r="Q36" s="235">
        <f t="shared" si="54"/>
        <v>332</v>
      </c>
      <c r="R36" s="235">
        <f t="shared" si="55"/>
        <v>352</v>
      </c>
      <c r="S36" s="235">
        <f t="shared" si="56"/>
        <v>352</v>
      </c>
      <c r="T36" s="235">
        <f t="shared" si="57"/>
        <v>367</v>
      </c>
      <c r="U36" s="235">
        <f t="shared" si="58"/>
        <v>416</v>
      </c>
      <c r="V36" s="235">
        <f t="shared" si="59"/>
        <v>429</v>
      </c>
      <c r="W36" s="235">
        <f t="shared" si="60"/>
        <v>450</v>
      </c>
      <c r="X36" s="235">
        <f t="shared" si="61"/>
        <v>469</v>
      </c>
      <c r="Y36" s="235">
        <f t="shared" si="62"/>
        <v>516</v>
      </c>
      <c r="Z36" s="235">
        <f t="shared" si="63"/>
        <v>550</v>
      </c>
      <c r="AA36" s="235">
        <f t="shared" si="64"/>
        <v>576</v>
      </c>
      <c r="AB36" s="235">
        <f t="shared" si="65"/>
        <v>579</v>
      </c>
      <c r="AC36" s="235">
        <f t="shared" si="66"/>
        <v>664</v>
      </c>
      <c r="AD36" s="235">
        <f t="shared" si="67"/>
        <v>779</v>
      </c>
      <c r="AE36" s="235">
        <f t="shared" si="68"/>
        <v>818</v>
      </c>
      <c r="AF36" s="235">
        <f t="shared" si="69"/>
        <v>849</v>
      </c>
      <c r="AG36" s="235">
        <f t="shared" si="70"/>
        <v>879</v>
      </c>
      <c r="AH36" s="235">
        <f t="shared" si="71"/>
        <v>905</v>
      </c>
      <c r="AI36" s="235">
        <f t="shared" si="72"/>
        <v>947</v>
      </c>
      <c r="AJ36" s="235">
        <f t="shared" si="73"/>
        <v>976</v>
      </c>
      <c r="AK36" s="235">
        <f t="shared" si="74"/>
        <v>1059</v>
      </c>
      <c r="AL36" s="235">
        <f t="shared" si="75"/>
        <v>1104</v>
      </c>
      <c r="AM36" s="235">
        <f t="shared" si="76"/>
        <v>1151</v>
      </c>
      <c r="AN36" s="235">
        <f t="shared" si="77"/>
        <v>1208</v>
      </c>
      <c r="AO36" s="235">
        <f t="shared" si="78"/>
        <v>1301</v>
      </c>
      <c r="AP36" s="235">
        <f t="shared" si="79"/>
        <v>1315</v>
      </c>
      <c r="AQ36" s="235">
        <f t="shared" si="80"/>
        <v>1331</v>
      </c>
      <c r="AR36" s="235">
        <f t="shared" si="81"/>
        <v>0</v>
      </c>
      <c r="AS36" s="235">
        <f t="shared" si="82"/>
        <v>0</v>
      </c>
      <c r="AT36" s="235">
        <f t="shared" si="83"/>
        <v>0</v>
      </c>
      <c r="AU36" s="235">
        <f t="shared" si="84"/>
        <v>0</v>
      </c>
      <c r="AV36" s="235">
        <f t="shared" si="85"/>
        <v>0</v>
      </c>
      <c r="AW36" s="235">
        <f t="shared" si="86"/>
        <v>0</v>
      </c>
      <c r="AX36" s="235">
        <f t="shared" si="87"/>
        <v>0</v>
      </c>
      <c r="AY36" s="235">
        <f t="shared" si="88"/>
        <v>0</v>
      </c>
      <c r="AZ36" s="235">
        <f t="shared" si="89"/>
        <v>0</v>
      </c>
      <c r="BA36" s="235">
        <f t="shared" si="90"/>
        <v>0</v>
      </c>
      <c r="BB36" s="235"/>
      <c r="BC36" s="235"/>
      <c r="BD36" s="235"/>
      <c r="BE36" s="235"/>
      <c r="BF36" s="235"/>
      <c r="BG36" s="235"/>
      <c r="BH36" s="235"/>
      <c r="BI36" s="235"/>
      <c r="BJ36" s="235"/>
      <c r="BK36" s="235"/>
      <c r="BL36" s="235"/>
      <c r="BM36" s="235"/>
      <c r="BO36" s="231" t="s">
        <v>188</v>
      </c>
      <c r="BP36" s="233">
        <v>89</v>
      </c>
      <c r="BQ36" s="233">
        <v>88</v>
      </c>
      <c r="BR36" s="233">
        <v>87</v>
      </c>
      <c r="BS36" s="233">
        <v>75</v>
      </c>
      <c r="BT36" s="233">
        <f t="shared" si="91"/>
        <v>339</v>
      </c>
      <c r="BV36" s="231" t="s">
        <v>188</v>
      </c>
      <c r="BW36" s="233">
        <v>89</v>
      </c>
      <c r="BX36" s="233">
        <v>84</v>
      </c>
      <c r="BY36" s="233">
        <v>80</v>
      </c>
      <c r="BZ36" s="233">
        <v>89</v>
      </c>
      <c r="CA36" s="233">
        <f t="shared" si="92"/>
        <v>342</v>
      </c>
      <c r="CC36" s="231" t="s">
        <v>188</v>
      </c>
      <c r="CD36" s="233">
        <v>94</v>
      </c>
      <c r="CE36" s="233">
        <v>80</v>
      </c>
      <c r="CF36" s="233">
        <v>91</v>
      </c>
      <c r="CG36" s="233">
        <v>95</v>
      </c>
      <c r="CH36" s="233">
        <f t="shared" si="93"/>
        <v>360</v>
      </c>
      <c r="CJ36" s="231" t="s">
        <v>188</v>
      </c>
      <c r="CK36" s="233">
        <v>84</v>
      </c>
      <c r="CL36" s="233">
        <v>87</v>
      </c>
      <c r="CM36" s="233">
        <v>85</v>
      </c>
      <c r="CN36" s="233">
        <v>76</v>
      </c>
      <c r="CO36" s="233">
        <f t="shared" si="94"/>
        <v>332</v>
      </c>
      <c r="CQ36" s="231" t="s">
        <v>188</v>
      </c>
      <c r="CR36" s="233">
        <v>88</v>
      </c>
      <c r="CS36" s="233">
        <v>88</v>
      </c>
      <c r="CT36" s="233">
        <v>88</v>
      </c>
      <c r="CU36" s="233">
        <v>88</v>
      </c>
      <c r="CV36" s="233">
        <f t="shared" si="95"/>
        <v>352</v>
      </c>
      <c r="CX36" s="231" t="s">
        <v>188</v>
      </c>
      <c r="CY36" s="233">
        <v>88</v>
      </c>
      <c r="CZ36" s="233">
        <v>88</v>
      </c>
      <c r="DA36" s="233">
        <v>88</v>
      </c>
      <c r="DB36" s="233">
        <v>88</v>
      </c>
      <c r="DC36" s="233">
        <f t="shared" si="96"/>
        <v>352</v>
      </c>
      <c r="DE36" s="231" t="s">
        <v>188</v>
      </c>
      <c r="DF36" s="233">
        <v>92</v>
      </c>
      <c r="DG36" s="233">
        <v>92</v>
      </c>
      <c r="DH36" s="233">
        <v>92</v>
      </c>
      <c r="DI36" s="233">
        <v>91</v>
      </c>
      <c r="DJ36" s="233">
        <f t="shared" si="97"/>
        <v>367</v>
      </c>
      <c r="DL36" s="231" t="s">
        <v>188</v>
      </c>
      <c r="DM36" s="233">
        <v>104</v>
      </c>
      <c r="DN36" s="233">
        <v>103</v>
      </c>
      <c r="DO36" s="233">
        <v>104</v>
      </c>
      <c r="DP36" s="233">
        <v>105</v>
      </c>
      <c r="DQ36" s="233">
        <f t="shared" si="98"/>
        <v>416</v>
      </c>
      <c r="DS36" s="231" t="s">
        <v>188</v>
      </c>
      <c r="DT36" s="233">
        <v>107</v>
      </c>
      <c r="DU36" s="233">
        <v>109</v>
      </c>
      <c r="DV36" s="233">
        <v>109</v>
      </c>
      <c r="DW36" s="233">
        <v>104</v>
      </c>
      <c r="DX36" s="233">
        <f t="shared" si="99"/>
        <v>429</v>
      </c>
      <c r="DZ36" s="231" t="s">
        <v>188</v>
      </c>
      <c r="EA36" s="233">
        <v>112</v>
      </c>
      <c r="EB36" s="233">
        <v>113</v>
      </c>
      <c r="EC36" s="233">
        <v>112</v>
      </c>
      <c r="ED36" s="233">
        <v>113</v>
      </c>
      <c r="EE36" s="233">
        <f t="shared" si="100"/>
        <v>450</v>
      </c>
      <c r="EG36" s="231" t="s">
        <v>188</v>
      </c>
      <c r="EH36" s="233">
        <v>124</v>
      </c>
      <c r="EI36" s="233">
        <v>115</v>
      </c>
      <c r="EJ36" s="233">
        <v>115</v>
      </c>
      <c r="EK36" s="233">
        <v>115</v>
      </c>
      <c r="EL36" s="233">
        <f t="shared" si="101"/>
        <v>469</v>
      </c>
      <c r="EN36" s="231" t="s">
        <v>188</v>
      </c>
      <c r="EO36" s="233">
        <v>124</v>
      </c>
      <c r="EP36" s="233">
        <v>127</v>
      </c>
      <c r="EQ36" s="233">
        <v>134</v>
      </c>
      <c r="ER36" s="233">
        <v>131</v>
      </c>
      <c r="ES36" s="233">
        <f t="shared" si="102"/>
        <v>516</v>
      </c>
      <c r="EU36" s="231" t="s">
        <v>188</v>
      </c>
      <c r="EV36" s="233">
        <v>139</v>
      </c>
      <c r="EW36" s="233">
        <v>138</v>
      </c>
      <c r="EX36" s="233">
        <v>139</v>
      </c>
      <c r="EY36" s="233">
        <v>134</v>
      </c>
      <c r="EZ36" s="233">
        <f t="shared" si="103"/>
        <v>550</v>
      </c>
      <c r="FB36" s="231" t="s">
        <v>188</v>
      </c>
      <c r="FC36" s="233">
        <v>138</v>
      </c>
      <c r="FD36" s="233">
        <v>138</v>
      </c>
      <c r="FE36" s="233">
        <v>146</v>
      </c>
      <c r="FF36" s="233">
        <v>154</v>
      </c>
      <c r="FG36" s="233">
        <f t="shared" si="104"/>
        <v>576</v>
      </c>
      <c r="FI36" s="231" t="s">
        <v>188</v>
      </c>
      <c r="FJ36" s="233">
        <v>145</v>
      </c>
      <c r="FK36" s="233">
        <v>148</v>
      </c>
      <c r="FL36" s="233">
        <v>145</v>
      </c>
      <c r="FM36" s="233">
        <v>141</v>
      </c>
      <c r="FN36" s="233">
        <f t="shared" si="105"/>
        <v>579</v>
      </c>
      <c r="FP36" s="231" t="s">
        <v>188</v>
      </c>
      <c r="FQ36" s="233">
        <v>150</v>
      </c>
      <c r="FR36" s="233">
        <v>148</v>
      </c>
      <c r="FS36" s="233">
        <v>161</v>
      </c>
      <c r="FT36" s="233">
        <v>205</v>
      </c>
      <c r="FU36" s="233">
        <f t="shared" si="106"/>
        <v>664</v>
      </c>
      <c r="FW36" s="231" t="s">
        <v>188</v>
      </c>
      <c r="FX36" s="233">
        <v>193</v>
      </c>
      <c r="FY36" s="233">
        <v>193</v>
      </c>
      <c r="FZ36" s="233">
        <v>195</v>
      </c>
      <c r="GA36" s="233">
        <v>198</v>
      </c>
      <c r="GB36" s="233">
        <f t="shared" si="107"/>
        <v>779</v>
      </c>
      <c r="GD36" s="231" t="s">
        <v>188</v>
      </c>
      <c r="GE36" s="233">
        <v>201</v>
      </c>
      <c r="GF36" s="233">
        <v>206</v>
      </c>
      <c r="GG36" s="233">
        <v>205</v>
      </c>
      <c r="GH36" s="233">
        <v>206</v>
      </c>
      <c r="GI36" s="233">
        <f t="shared" si="108"/>
        <v>818</v>
      </c>
      <c r="GK36" s="231" t="s">
        <v>188</v>
      </c>
      <c r="GL36" s="233">
        <v>211</v>
      </c>
      <c r="GM36" s="233">
        <v>213</v>
      </c>
      <c r="GN36" s="233">
        <v>211</v>
      </c>
      <c r="GO36" s="233">
        <v>214</v>
      </c>
      <c r="GP36" s="233">
        <f t="shared" si="109"/>
        <v>849</v>
      </c>
      <c r="GR36" s="231" t="s">
        <v>188</v>
      </c>
      <c r="GS36" s="233">
        <v>217</v>
      </c>
      <c r="GT36" s="233">
        <v>220</v>
      </c>
      <c r="GU36" s="233">
        <v>221</v>
      </c>
      <c r="GV36" s="233">
        <v>221</v>
      </c>
      <c r="GW36" s="233">
        <f t="shared" si="110"/>
        <v>879</v>
      </c>
      <c r="GY36" s="231" t="s">
        <v>188</v>
      </c>
      <c r="GZ36" s="233">
        <v>224</v>
      </c>
      <c r="HA36" s="233">
        <v>227</v>
      </c>
      <c r="HB36" s="233">
        <v>227</v>
      </c>
      <c r="HC36" s="233">
        <v>227</v>
      </c>
      <c r="HD36" s="233">
        <f t="shared" si="111"/>
        <v>905</v>
      </c>
      <c r="HF36" s="231" t="s">
        <v>188</v>
      </c>
      <c r="HG36" s="233">
        <v>228</v>
      </c>
      <c r="HH36" s="233">
        <v>230</v>
      </c>
      <c r="HI36" s="233">
        <v>232</v>
      </c>
      <c r="HJ36" s="233">
        <v>257</v>
      </c>
      <c r="HK36" s="233">
        <f t="shared" si="112"/>
        <v>947</v>
      </c>
      <c r="HM36" s="231" t="s">
        <v>188</v>
      </c>
      <c r="HN36" s="233">
        <v>243</v>
      </c>
      <c r="HO36" s="233">
        <v>246</v>
      </c>
      <c r="HP36" s="233">
        <v>251</v>
      </c>
      <c r="HQ36" s="233">
        <v>236</v>
      </c>
      <c r="HR36" s="233">
        <f t="shared" si="113"/>
        <v>976</v>
      </c>
      <c r="HT36" s="231" t="s">
        <v>188</v>
      </c>
      <c r="HU36" s="233">
        <v>257</v>
      </c>
      <c r="HV36" s="233">
        <v>263</v>
      </c>
      <c r="HW36" s="233">
        <v>268</v>
      </c>
      <c r="HX36" s="233">
        <v>271</v>
      </c>
      <c r="HY36" s="233">
        <f t="shared" si="114"/>
        <v>1059</v>
      </c>
      <c r="IA36" s="231" t="s">
        <v>188</v>
      </c>
      <c r="IB36" s="233">
        <v>270</v>
      </c>
      <c r="IC36" s="233">
        <v>276</v>
      </c>
      <c r="ID36" s="233">
        <v>277</v>
      </c>
      <c r="IE36" s="233">
        <v>281</v>
      </c>
      <c r="IF36" s="233">
        <f t="shared" si="115"/>
        <v>1104</v>
      </c>
      <c r="IH36" s="231" t="s">
        <v>188</v>
      </c>
      <c r="II36" s="233">
        <v>283</v>
      </c>
      <c r="IJ36" s="233">
        <v>287</v>
      </c>
      <c r="IK36" s="233">
        <v>291</v>
      </c>
      <c r="IL36" s="233">
        <v>290</v>
      </c>
      <c r="IM36" s="233">
        <f t="shared" si="116"/>
        <v>1151</v>
      </c>
      <c r="IO36" s="231" t="s">
        <v>188</v>
      </c>
      <c r="IP36" s="233">
        <v>295</v>
      </c>
      <c r="IQ36" s="233">
        <v>299</v>
      </c>
      <c r="IR36" s="233">
        <v>302</v>
      </c>
      <c r="IS36" s="233">
        <v>312</v>
      </c>
      <c r="IT36" s="233">
        <f t="shared" si="117"/>
        <v>1208</v>
      </c>
      <c r="IV36" s="231" t="s">
        <v>188</v>
      </c>
      <c r="IW36" s="233">
        <v>313</v>
      </c>
      <c r="IX36" s="233">
        <v>319</v>
      </c>
      <c r="IY36" s="233">
        <v>321</v>
      </c>
      <c r="IZ36" s="233">
        <v>348</v>
      </c>
      <c r="JA36" s="233">
        <f t="shared" si="118"/>
        <v>1301</v>
      </c>
      <c r="JC36" s="231" t="s">
        <v>188</v>
      </c>
      <c r="JD36" s="233">
        <v>320</v>
      </c>
      <c r="JE36" s="233">
        <v>327</v>
      </c>
      <c r="JF36" s="233">
        <v>331</v>
      </c>
      <c r="JG36" s="233">
        <v>337</v>
      </c>
      <c r="JH36" s="233">
        <f t="shared" si="119"/>
        <v>1315</v>
      </c>
      <c r="JJ36" s="231" t="s">
        <v>188</v>
      </c>
      <c r="JK36" s="233">
        <v>323</v>
      </c>
      <c r="JL36" s="233">
        <v>329</v>
      </c>
      <c r="JM36" s="233">
        <v>334</v>
      </c>
      <c r="JN36" s="233">
        <v>345</v>
      </c>
      <c r="JO36" s="233">
        <f t="shared" si="120"/>
        <v>1331</v>
      </c>
      <c r="JQ36" s="231" t="s">
        <v>188</v>
      </c>
      <c r="JR36" s="233"/>
      <c r="JS36" s="233"/>
      <c r="JT36" s="233"/>
      <c r="JU36" s="233"/>
      <c r="JV36" s="233"/>
      <c r="JX36" s="231" t="s">
        <v>188</v>
      </c>
      <c r="JY36" s="233"/>
      <c r="JZ36" s="233"/>
      <c r="KA36" s="233"/>
      <c r="KB36" s="233"/>
      <c r="KC36" s="233"/>
      <c r="KE36" s="231" t="s">
        <v>188</v>
      </c>
      <c r="KF36" s="233"/>
      <c r="KG36" s="233"/>
      <c r="KH36" s="233"/>
      <c r="KI36" s="233"/>
      <c r="KJ36" s="233"/>
      <c r="KL36" s="231" t="s">
        <v>188</v>
      </c>
      <c r="KM36" s="233"/>
      <c r="KN36" s="233"/>
      <c r="KO36" s="233"/>
      <c r="KP36" s="233"/>
      <c r="KQ36" s="233"/>
      <c r="KS36" s="231" t="s">
        <v>188</v>
      </c>
      <c r="KT36" s="233"/>
      <c r="KU36" s="233"/>
      <c r="KV36" s="232"/>
      <c r="KW36" s="233"/>
      <c r="KX36" s="233"/>
      <c r="KZ36" s="231" t="s">
        <v>188</v>
      </c>
      <c r="LA36" s="233"/>
      <c r="LB36" s="234"/>
      <c r="LC36" s="234"/>
      <c r="LD36" s="234"/>
      <c r="LE36" s="233"/>
      <c r="LF36" s="581"/>
      <c r="LG36" s="231" t="s">
        <v>188</v>
      </c>
      <c r="LH36" s="234"/>
      <c r="LI36" s="234"/>
      <c r="LJ36" s="234"/>
      <c r="LK36" s="234"/>
      <c r="LL36" s="233"/>
      <c r="LM36" s="581"/>
      <c r="LN36" s="231" t="s">
        <v>188</v>
      </c>
      <c r="LO36" s="234"/>
      <c r="LP36" s="234"/>
      <c r="LQ36" s="234"/>
      <c r="LR36" s="234"/>
      <c r="LS36" s="233"/>
      <c r="LT36" s="581"/>
      <c r="LU36" s="231" t="s">
        <v>188</v>
      </c>
      <c r="LV36" s="234"/>
      <c r="LW36" s="234"/>
      <c r="LX36" s="234"/>
      <c r="LY36" s="234"/>
      <c r="LZ36" s="233"/>
      <c r="MA36" s="581"/>
      <c r="MB36" s="231" t="s">
        <v>188</v>
      </c>
      <c r="MC36" s="234"/>
      <c r="MD36" s="234"/>
      <c r="ME36" s="234"/>
      <c r="MF36" s="234"/>
      <c r="MG36" s="233"/>
      <c r="MH36" s="581"/>
    </row>
    <row r="37" spans="1:346" s="37" customFormat="1" ht="13.15" outlineLevel="1" x14ac:dyDescent="0.4">
      <c r="A37" s="48"/>
      <c r="B37" s="231" t="s">
        <v>23</v>
      </c>
      <c r="C37" s="235">
        <v>228.691</v>
      </c>
      <c r="D37" s="235">
        <v>334</v>
      </c>
      <c r="E37" s="235">
        <v>462.2</v>
      </c>
      <c r="F37" s="235">
        <v>554.9</v>
      </c>
      <c r="G37" s="235">
        <v>446</v>
      </c>
      <c r="H37" s="235">
        <v>378</v>
      </c>
      <c r="I37" s="235">
        <v>411</v>
      </c>
      <c r="J37" s="235">
        <v>368</v>
      </c>
      <c r="K37" s="235">
        <v>223</v>
      </c>
      <c r="L37" s="235">
        <v>255</v>
      </c>
      <c r="M37" s="235">
        <v>238</v>
      </c>
      <c r="N37" s="235">
        <f t="shared" si="51"/>
        <v>247</v>
      </c>
      <c r="O37" s="235">
        <f t="shared" si="52"/>
        <v>273</v>
      </c>
      <c r="P37" s="235">
        <f t="shared" si="53"/>
        <v>273</v>
      </c>
      <c r="Q37" s="235">
        <f t="shared" si="54"/>
        <v>235</v>
      </c>
      <c r="R37" s="235">
        <f t="shared" si="55"/>
        <v>225</v>
      </c>
      <c r="S37" s="235">
        <f t="shared" si="56"/>
        <v>224</v>
      </c>
      <c r="T37" s="235">
        <f t="shared" si="57"/>
        <v>227</v>
      </c>
      <c r="U37" s="235">
        <f t="shared" si="58"/>
        <v>309</v>
      </c>
      <c r="V37" s="235">
        <f t="shared" si="59"/>
        <v>299</v>
      </c>
      <c r="W37" s="235">
        <f t="shared" si="60"/>
        <v>251</v>
      </c>
      <c r="X37" s="235">
        <f t="shared" si="61"/>
        <v>317</v>
      </c>
      <c r="Y37" s="235">
        <f t="shared" si="62"/>
        <v>577</v>
      </c>
      <c r="Z37" s="235">
        <f t="shared" si="63"/>
        <v>525</v>
      </c>
      <c r="AA37" s="235">
        <f t="shared" si="64"/>
        <v>449</v>
      </c>
      <c r="AB37" s="235">
        <f t="shared" si="65"/>
        <v>566</v>
      </c>
      <c r="AC37" s="235">
        <f t="shared" si="66"/>
        <v>656</v>
      </c>
      <c r="AD37" s="235">
        <f t="shared" si="67"/>
        <v>783</v>
      </c>
      <c r="AE37" s="235">
        <f t="shared" si="68"/>
        <v>1112</v>
      </c>
      <c r="AF37" s="235">
        <f t="shared" si="69"/>
        <v>1307</v>
      </c>
      <c r="AG37" s="235">
        <f t="shared" si="70"/>
        <v>1810</v>
      </c>
      <c r="AH37" s="235">
        <f t="shared" si="71"/>
        <v>849</v>
      </c>
      <c r="AI37" s="235">
        <f t="shared" si="72"/>
        <v>1212</v>
      </c>
      <c r="AJ37" s="235">
        <f t="shared" si="73"/>
        <v>1668</v>
      </c>
      <c r="AK37" s="235">
        <f t="shared" si="74"/>
        <v>1672</v>
      </c>
      <c r="AL37" s="235">
        <f t="shared" si="75"/>
        <v>1656</v>
      </c>
      <c r="AM37" s="235">
        <f t="shared" si="76"/>
        <v>1616</v>
      </c>
      <c r="AN37" s="235">
        <f t="shared" si="77"/>
        <v>957</v>
      </c>
      <c r="AO37" s="235">
        <f t="shared" si="78"/>
        <v>713</v>
      </c>
      <c r="AP37" s="235">
        <f t="shared" si="79"/>
        <v>864</v>
      </c>
      <c r="AQ37" s="235">
        <f t="shared" si="80"/>
        <v>1046</v>
      </c>
      <c r="AR37" s="235">
        <f t="shared" si="81"/>
        <v>0</v>
      </c>
      <c r="AS37" s="235">
        <f t="shared" si="82"/>
        <v>0</v>
      </c>
      <c r="AT37" s="235">
        <f t="shared" si="83"/>
        <v>0</v>
      </c>
      <c r="AU37" s="235">
        <f t="shared" si="84"/>
        <v>0</v>
      </c>
      <c r="AV37" s="235">
        <f t="shared" si="85"/>
        <v>0</v>
      </c>
      <c r="AW37" s="235">
        <f t="shared" si="86"/>
        <v>0</v>
      </c>
      <c r="AX37" s="235">
        <f t="shared" si="87"/>
        <v>0</v>
      </c>
      <c r="AY37" s="235">
        <f t="shared" si="88"/>
        <v>0</v>
      </c>
      <c r="AZ37" s="235">
        <f t="shared" si="89"/>
        <v>0</v>
      </c>
      <c r="BA37" s="235">
        <f t="shared" si="90"/>
        <v>0</v>
      </c>
      <c r="BB37" s="235"/>
      <c r="BC37" s="235"/>
      <c r="BD37" s="235"/>
      <c r="BE37" s="235"/>
      <c r="BF37" s="235"/>
      <c r="BG37" s="235"/>
      <c r="BH37" s="235"/>
      <c r="BI37" s="235"/>
      <c r="BJ37" s="235"/>
      <c r="BK37" s="235"/>
      <c r="BL37" s="235"/>
      <c r="BM37" s="235"/>
      <c r="BO37" s="231" t="s">
        <v>23</v>
      </c>
      <c r="BP37" s="233">
        <v>63</v>
      </c>
      <c r="BQ37" s="233">
        <v>61</v>
      </c>
      <c r="BR37" s="233">
        <v>54</v>
      </c>
      <c r="BS37" s="233">
        <v>69</v>
      </c>
      <c r="BT37" s="233">
        <f t="shared" si="91"/>
        <v>247</v>
      </c>
      <c r="BV37" s="231" t="s">
        <v>23</v>
      </c>
      <c r="BW37" s="233">
        <v>75</v>
      </c>
      <c r="BX37" s="233">
        <v>59</v>
      </c>
      <c r="BY37" s="233">
        <v>66</v>
      </c>
      <c r="BZ37" s="233">
        <v>73</v>
      </c>
      <c r="CA37" s="233">
        <f t="shared" si="92"/>
        <v>273</v>
      </c>
      <c r="CC37" s="231" t="s">
        <v>23</v>
      </c>
      <c r="CD37" s="233">
        <v>77</v>
      </c>
      <c r="CE37" s="233">
        <v>62</v>
      </c>
      <c r="CF37" s="233">
        <v>61</v>
      </c>
      <c r="CG37" s="233">
        <v>73</v>
      </c>
      <c r="CH37" s="233">
        <f t="shared" si="93"/>
        <v>273</v>
      </c>
      <c r="CJ37" s="231" t="s">
        <v>23</v>
      </c>
      <c r="CK37" s="233">
        <v>59</v>
      </c>
      <c r="CL37" s="233">
        <v>56</v>
      </c>
      <c r="CM37" s="233">
        <v>55</v>
      </c>
      <c r="CN37" s="233">
        <v>65</v>
      </c>
      <c r="CO37" s="233">
        <f t="shared" si="94"/>
        <v>235</v>
      </c>
      <c r="CQ37" s="231" t="s">
        <v>23</v>
      </c>
      <c r="CR37" s="233">
        <v>61</v>
      </c>
      <c r="CS37" s="233">
        <v>56</v>
      </c>
      <c r="CT37" s="233">
        <v>48</v>
      </c>
      <c r="CU37" s="233">
        <v>60</v>
      </c>
      <c r="CV37" s="233">
        <f t="shared" si="95"/>
        <v>225</v>
      </c>
      <c r="CX37" s="231" t="s">
        <v>23</v>
      </c>
      <c r="CY37" s="233">
        <v>57</v>
      </c>
      <c r="CZ37" s="233">
        <v>55</v>
      </c>
      <c r="DA37" s="233">
        <v>54</v>
      </c>
      <c r="DB37" s="233">
        <v>58</v>
      </c>
      <c r="DC37" s="233">
        <f t="shared" si="96"/>
        <v>224</v>
      </c>
      <c r="DE37" s="231" t="s">
        <v>23</v>
      </c>
      <c r="DF37" s="233">
        <v>58</v>
      </c>
      <c r="DG37" s="233">
        <v>57</v>
      </c>
      <c r="DH37" s="233">
        <v>54</v>
      </c>
      <c r="DI37" s="233">
        <v>58</v>
      </c>
      <c r="DJ37" s="233">
        <f t="shared" si="97"/>
        <v>227</v>
      </c>
      <c r="DL37" s="231" t="s">
        <v>23</v>
      </c>
      <c r="DM37" s="233">
        <v>73</v>
      </c>
      <c r="DN37" s="233">
        <v>75</v>
      </c>
      <c r="DO37" s="233">
        <v>69</v>
      </c>
      <c r="DP37" s="233">
        <v>92</v>
      </c>
      <c r="DQ37" s="233">
        <f t="shared" si="98"/>
        <v>309</v>
      </c>
      <c r="DS37" s="231" t="s">
        <v>23</v>
      </c>
      <c r="DT37" s="233">
        <v>85</v>
      </c>
      <c r="DU37" s="233">
        <v>72</v>
      </c>
      <c r="DV37" s="233">
        <v>66</v>
      </c>
      <c r="DW37" s="233">
        <v>76</v>
      </c>
      <c r="DX37" s="233">
        <f t="shared" si="99"/>
        <v>299</v>
      </c>
      <c r="DZ37" s="231" t="s">
        <v>23</v>
      </c>
      <c r="EA37" s="233">
        <v>67</v>
      </c>
      <c r="EB37" s="233">
        <v>62</v>
      </c>
      <c r="EC37" s="233">
        <v>57</v>
      </c>
      <c r="ED37" s="233">
        <v>65</v>
      </c>
      <c r="EE37" s="233">
        <f t="shared" si="100"/>
        <v>251</v>
      </c>
      <c r="EG37" s="231" t="s">
        <v>23</v>
      </c>
      <c r="EH37" s="233">
        <v>54</v>
      </c>
      <c r="EI37" s="233">
        <v>64</v>
      </c>
      <c r="EJ37" s="233">
        <v>86</v>
      </c>
      <c r="EK37" s="233">
        <v>113</v>
      </c>
      <c r="EL37" s="233">
        <f t="shared" si="101"/>
        <v>317</v>
      </c>
      <c r="EN37" s="231" t="s">
        <v>23</v>
      </c>
      <c r="EO37" s="233">
        <v>138</v>
      </c>
      <c r="EP37" s="233">
        <v>133</v>
      </c>
      <c r="EQ37" s="233">
        <v>138</v>
      </c>
      <c r="ER37" s="233">
        <v>168</v>
      </c>
      <c r="ES37" s="233">
        <f t="shared" si="102"/>
        <v>577</v>
      </c>
      <c r="EU37" s="231" t="s">
        <v>23</v>
      </c>
      <c r="EV37" s="233">
        <v>154</v>
      </c>
      <c r="EW37" s="233">
        <v>131</v>
      </c>
      <c r="EX37" s="233">
        <v>123</v>
      </c>
      <c r="EY37" s="233">
        <v>117</v>
      </c>
      <c r="EZ37" s="233">
        <f t="shared" si="103"/>
        <v>525</v>
      </c>
      <c r="FB37" s="231" t="s">
        <v>23</v>
      </c>
      <c r="FC37" s="233">
        <v>104</v>
      </c>
      <c r="FD37" s="233">
        <v>112</v>
      </c>
      <c r="FE37" s="233">
        <v>109</v>
      </c>
      <c r="FF37" s="233">
        <v>124</v>
      </c>
      <c r="FG37" s="233">
        <f t="shared" si="104"/>
        <v>449</v>
      </c>
      <c r="FI37" s="231" t="s">
        <v>23</v>
      </c>
      <c r="FJ37" s="233">
        <v>158</v>
      </c>
      <c r="FK37" s="233">
        <v>136</v>
      </c>
      <c r="FL37" s="233">
        <v>132</v>
      </c>
      <c r="FM37" s="233">
        <v>140</v>
      </c>
      <c r="FN37" s="233">
        <f t="shared" si="105"/>
        <v>566</v>
      </c>
      <c r="FP37" s="231" t="s">
        <v>23</v>
      </c>
      <c r="FQ37" s="233">
        <v>154</v>
      </c>
      <c r="FR37" s="233">
        <v>151</v>
      </c>
      <c r="FS37" s="233">
        <v>162</v>
      </c>
      <c r="FT37" s="233">
        <v>189</v>
      </c>
      <c r="FU37" s="233">
        <f t="shared" si="106"/>
        <v>656</v>
      </c>
      <c r="FW37" s="231" t="s">
        <v>23</v>
      </c>
      <c r="FX37" s="233">
        <v>179</v>
      </c>
      <c r="FY37" s="233">
        <v>176</v>
      </c>
      <c r="FZ37" s="233">
        <v>188</v>
      </c>
      <c r="GA37" s="233">
        <v>240</v>
      </c>
      <c r="GB37" s="233">
        <f t="shared" si="107"/>
        <v>783</v>
      </c>
      <c r="GD37" s="231" t="s">
        <v>23</v>
      </c>
      <c r="GE37" s="233">
        <v>253</v>
      </c>
      <c r="GF37" s="233">
        <v>288</v>
      </c>
      <c r="GG37" s="233">
        <v>300</v>
      </c>
      <c r="GH37" s="233">
        <v>271</v>
      </c>
      <c r="GI37" s="233">
        <f t="shared" si="108"/>
        <v>1112</v>
      </c>
      <c r="GK37" s="231" t="s">
        <v>23</v>
      </c>
      <c r="GL37" s="233">
        <v>283</v>
      </c>
      <c r="GM37" s="233">
        <v>314</v>
      </c>
      <c r="GN37" s="233">
        <v>329</v>
      </c>
      <c r="GO37" s="233">
        <v>381</v>
      </c>
      <c r="GP37" s="233">
        <f t="shared" si="109"/>
        <v>1307</v>
      </c>
      <c r="GR37" s="231" t="s">
        <v>23</v>
      </c>
      <c r="GS37" s="233">
        <v>439</v>
      </c>
      <c r="GT37" s="233">
        <v>536</v>
      </c>
      <c r="GU37" s="233">
        <v>506</v>
      </c>
      <c r="GV37" s="233">
        <v>329</v>
      </c>
      <c r="GW37" s="233">
        <f t="shared" si="110"/>
        <v>1810</v>
      </c>
      <c r="GY37" s="231" t="s">
        <v>23</v>
      </c>
      <c r="GZ37" s="233">
        <v>191</v>
      </c>
      <c r="HA37" s="233">
        <v>185</v>
      </c>
      <c r="HB37" s="233">
        <v>223</v>
      </c>
      <c r="HC37" s="233">
        <v>250</v>
      </c>
      <c r="HD37" s="233">
        <f t="shared" si="111"/>
        <v>849</v>
      </c>
      <c r="HF37" s="231" t="s">
        <v>23</v>
      </c>
      <c r="HG37" s="233">
        <v>283</v>
      </c>
      <c r="HH37" s="233">
        <v>304</v>
      </c>
      <c r="HI37" s="233">
        <v>279</v>
      </c>
      <c r="HJ37" s="233">
        <v>346</v>
      </c>
      <c r="HK37" s="233">
        <f t="shared" si="112"/>
        <v>1212</v>
      </c>
      <c r="HM37" s="231" t="s">
        <v>23</v>
      </c>
      <c r="HN37" s="233">
        <v>402</v>
      </c>
      <c r="HO37" s="233">
        <v>431</v>
      </c>
      <c r="HP37" s="233">
        <v>412</v>
      </c>
      <c r="HQ37" s="233">
        <v>423</v>
      </c>
      <c r="HR37" s="233">
        <f t="shared" si="113"/>
        <v>1668</v>
      </c>
      <c r="HT37" s="231" t="s">
        <v>23</v>
      </c>
      <c r="HU37" s="233">
        <v>444</v>
      </c>
      <c r="HV37" s="233">
        <v>410</v>
      </c>
      <c r="HW37" s="233">
        <v>397</v>
      </c>
      <c r="HX37" s="233">
        <v>421</v>
      </c>
      <c r="HY37" s="233">
        <f t="shared" si="114"/>
        <v>1672</v>
      </c>
      <c r="IA37" s="231" t="s">
        <v>23</v>
      </c>
      <c r="IB37" s="233">
        <v>444</v>
      </c>
      <c r="IC37" s="233">
        <v>397</v>
      </c>
      <c r="ID37" s="233">
        <v>407</v>
      </c>
      <c r="IE37" s="233">
        <v>408</v>
      </c>
      <c r="IF37" s="233">
        <f t="shared" si="115"/>
        <v>1656</v>
      </c>
      <c r="IH37" s="231" t="s">
        <v>23</v>
      </c>
      <c r="II37" s="233">
        <v>446</v>
      </c>
      <c r="IJ37" s="233">
        <v>416</v>
      </c>
      <c r="IK37" s="233">
        <v>393</v>
      </c>
      <c r="IL37" s="233">
        <v>361</v>
      </c>
      <c r="IM37" s="233">
        <f t="shared" si="116"/>
        <v>1616</v>
      </c>
      <c r="IO37" s="231" t="s">
        <v>23</v>
      </c>
      <c r="IP37" s="233">
        <v>270</v>
      </c>
      <c r="IQ37" s="233">
        <v>263</v>
      </c>
      <c r="IR37" s="233">
        <v>223</v>
      </c>
      <c r="IS37" s="233">
        <v>201</v>
      </c>
      <c r="IT37" s="233">
        <f t="shared" si="117"/>
        <v>957</v>
      </c>
      <c r="IV37" s="231" t="s">
        <v>23</v>
      </c>
      <c r="IW37" s="233">
        <v>150</v>
      </c>
      <c r="IX37" s="233">
        <v>172</v>
      </c>
      <c r="IY37" s="233">
        <v>174</v>
      </c>
      <c r="IZ37" s="233">
        <v>217</v>
      </c>
      <c r="JA37" s="233">
        <f t="shared" si="118"/>
        <v>713</v>
      </c>
      <c r="JC37" s="231" t="s">
        <v>23</v>
      </c>
      <c r="JD37" s="233">
        <v>218</v>
      </c>
      <c r="JE37" s="233">
        <v>198</v>
      </c>
      <c r="JF37" s="233">
        <v>205</v>
      </c>
      <c r="JG37" s="233">
        <v>243</v>
      </c>
      <c r="JH37" s="233">
        <f t="shared" si="119"/>
        <v>864</v>
      </c>
      <c r="JJ37" s="231" t="s">
        <v>23</v>
      </c>
      <c r="JK37" s="233">
        <v>255</v>
      </c>
      <c r="JL37" s="233">
        <v>270</v>
      </c>
      <c r="JM37" s="233">
        <v>268</v>
      </c>
      <c r="JN37" s="233">
        <v>253</v>
      </c>
      <c r="JO37" s="233">
        <f t="shared" si="120"/>
        <v>1046</v>
      </c>
      <c r="JQ37" s="231" t="s">
        <v>23</v>
      </c>
      <c r="JR37" s="233"/>
      <c r="JS37" s="233"/>
      <c r="JT37" s="233"/>
      <c r="JU37" s="233"/>
      <c r="JV37" s="233"/>
      <c r="JX37" s="231" t="s">
        <v>23</v>
      </c>
      <c r="JY37" s="233"/>
      <c r="JZ37" s="233"/>
      <c r="KA37" s="233"/>
      <c r="KB37" s="233"/>
      <c r="KC37" s="233"/>
      <c r="KE37" s="231" t="s">
        <v>23</v>
      </c>
      <c r="KF37" s="233"/>
      <c r="KG37" s="233"/>
      <c r="KH37" s="233"/>
      <c r="KI37" s="233"/>
      <c r="KJ37" s="233"/>
      <c r="KL37" s="231" t="s">
        <v>23</v>
      </c>
      <c r="KM37" s="233"/>
      <c r="KN37" s="233"/>
      <c r="KO37" s="233"/>
      <c r="KP37" s="233"/>
      <c r="KQ37" s="233"/>
      <c r="KS37" s="231" t="s">
        <v>23</v>
      </c>
      <c r="KT37" s="233"/>
      <c r="KU37" s="233"/>
      <c r="KV37" s="232"/>
      <c r="KW37" s="233"/>
      <c r="KX37" s="233"/>
      <c r="KZ37" s="231" t="s">
        <v>23</v>
      </c>
      <c r="LA37" s="233"/>
      <c r="LB37" s="234"/>
      <c r="LC37" s="234"/>
      <c r="LD37" s="234"/>
      <c r="LE37" s="233"/>
      <c r="LF37" s="581"/>
      <c r="LG37" s="231" t="s">
        <v>23</v>
      </c>
      <c r="LH37" s="234"/>
      <c r="LI37" s="234"/>
      <c r="LJ37" s="234"/>
      <c r="LK37" s="234"/>
      <c r="LL37" s="233"/>
      <c r="LM37" s="581"/>
      <c r="LN37" s="231" t="s">
        <v>23</v>
      </c>
      <c r="LO37" s="234"/>
      <c r="LP37" s="234"/>
      <c r="LQ37" s="234"/>
      <c r="LR37" s="234"/>
      <c r="LS37" s="233"/>
      <c r="LT37" s="581"/>
      <c r="LU37" s="231" t="s">
        <v>23</v>
      </c>
      <c r="LV37" s="234"/>
      <c r="LW37" s="234"/>
      <c r="LX37" s="234"/>
      <c r="LY37" s="234"/>
      <c r="LZ37" s="233"/>
      <c r="MA37" s="581"/>
      <c r="MB37" s="231" t="s">
        <v>23</v>
      </c>
      <c r="MC37" s="234"/>
      <c r="MD37" s="234"/>
      <c r="ME37" s="234"/>
      <c r="MF37" s="234"/>
      <c r="MG37" s="233"/>
      <c r="MH37" s="581"/>
    </row>
    <row r="38" spans="1:346" s="37" customFormat="1" ht="13.15" outlineLevel="1" x14ac:dyDescent="0.4">
      <c r="A38" s="48"/>
      <c r="B38" s="231" t="s">
        <v>314</v>
      </c>
      <c r="C38" s="235"/>
      <c r="D38" s="235"/>
      <c r="E38" s="235"/>
      <c r="F38" s="235"/>
      <c r="G38" s="235"/>
      <c r="H38" s="235"/>
      <c r="I38" s="235"/>
      <c r="J38" s="235"/>
      <c r="K38" s="235"/>
      <c r="L38" s="235"/>
      <c r="M38" s="235"/>
      <c r="N38" s="235">
        <f t="shared" si="51"/>
        <v>0</v>
      </c>
      <c r="O38" s="235">
        <f t="shared" si="52"/>
        <v>0</v>
      </c>
      <c r="P38" s="235">
        <f t="shared" si="53"/>
        <v>0</v>
      </c>
      <c r="Q38" s="235">
        <f t="shared" si="54"/>
        <v>0</v>
      </c>
      <c r="R38" s="235">
        <f t="shared" si="55"/>
        <v>0</v>
      </c>
      <c r="S38" s="235">
        <f t="shared" si="56"/>
        <v>0</v>
      </c>
      <c r="T38" s="235">
        <f t="shared" si="57"/>
        <v>0</v>
      </c>
      <c r="U38" s="235">
        <f t="shared" si="58"/>
        <v>0</v>
      </c>
      <c r="V38" s="235">
        <f t="shared" si="59"/>
        <v>0</v>
      </c>
      <c r="W38" s="235">
        <f t="shared" si="60"/>
        <v>0</v>
      </c>
      <c r="X38" s="235">
        <f t="shared" si="61"/>
        <v>0</v>
      </c>
      <c r="Y38" s="235">
        <f t="shared" si="62"/>
        <v>0</v>
      </c>
      <c r="Z38" s="235">
        <f t="shared" si="63"/>
        <v>0</v>
      </c>
      <c r="AA38" s="235">
        <f t="shared" si="64"/>
        <v>0</v>
      </c>
      <c r="AB38" s="235">
        <f t="shared" si="65"/>
        <v>0</v>
      </c>
      <c r="AC38" s="235">
        <f t="shared" si="66"/>
        <v>0</v>
      </c>
      <c r="AD38" s="235">
        <f t="shared" si="67"/>
        <v>0</v>
      </c>
      <c r="AE38" s="235">
        <f t="shared" si="68"/>
        <v>0</v>
      </c>
      <c r="AF38" s="235">
        <f t="shared" si="69"/>
        <v>0</v>
      </c>
      <c r="AG38" s="235">
        <f t="shared" si="70"/>
        <v>0</v>
      </c>
      <c r="AH38" s="235">
        <f t="shared" si="71"/>
        <v>0</v>
      </c>
      <c r="AI38" s="235">
        <f t="shared" si="72"/>
        <v>0</v>
      </c>
      <c r="AJ38" s="235">
        <f t="shared" si="73"/>
        <v>0</v>
      </c>
      <c r="AK38" s="235">
        <f t="shared" si="74"/>
        <v>0</v>
      </c>
      <c r="AL38" s="235">
        <f t="shared" si="75"/>
        <v>0</v>
      </c>
      <c r="AM38" s="235">
        <f t="shared" si="76"/>
        <v>0</v>
      </c>
      <c r="AN38" s="235">
        <f t="shared" si="77"/>
        <v>0</v>
      </c>
      <c r="AO38" s="235">
        <f t="shared" si="78"/>
        <v>0</v>
      </c>
      <c r="AP38" s="235">
        <f t="shared" si="79"/>
        <v>-48</v>
      </c>
      <c r="AQ38" s="235">
        <f t="shared" si="80"/>
        <v>-96</v>
      </c>
      <c r="AR38" s="235">
        <f t="shared" si="81"/>
        <v>0</v>
      </c>
      <c r="AS38" s="235">
        <f t="shared" si="82"/>
        <v>0</v>
      </c>
      <c r="AT38" s="235">
        <f t="shared" si="83"/>
        <v>0</v>
      </c>
      <c r="AU38" s="235">
        <f t="shared" si="84"/>
        <v>0</v>
      </c>
      <c r="AV38" s="235">
        <f t="shared" si="85"/>
        <v>0</v>
      </c>
      <c r="AW38" s="235">
        <f t="shared" si="86"/>
        <v>0</v>
      </c>
      <c r="AX38" s="235">
        <f t="shared" si="87"/>
        <v>0</v>
      </c>
      <c r="AY38" s="235">
        <f t="shared" si="88"/>
        <v>0</v>
      </c>
      <c r="AZ38" s="235">
        <f t="shared" si="89"/>
        <v>0</v>
      </c>
      <c r="BA38" s="235">
        <f t="shared" si="90"/>
        <v>0</v>
      </c>
      <c r="BB38" s="235"/>
      <c r="BC38" s="235"/>
      <c r="BD38" s="235"/>
      <c r="BE38" s="235"/>
      <c r="BF38" s="235"/>
      <c r="BG38" s="235"/>
      <c r="BH38" s="235"/>
      <c r="BI38" s="235"/>
      <c r="BJ38" s="235"/>
      <c r="BK38" s="235"/>
      <c r="BL38" s="235"/>
      <c r="BM38" s="235"/>
      <c r="BO38" s="231" t="s">
        <v>314</v>
      </c>
      <c r="BP38" s="233"/>
      <c r="BQ38" s="233"/>
      <c r="BR38" s="233"/>
      <c r="BS38" s="233"/>
      <c r="BT38" s="233"/>
      <c r="BV38" s="231" t="s">
        <v>314</v>
      </c>
      <c r="BW38" s="233"/>
      <c r="BX38" s="233"/>
      <c r="BY38" s="233"/>
      <c r="BZ38" s="233"/>
      <c r="CA38" s="233"/>
      <c r="CC38" s="231" t="s">
        <v>314</v>
      </c>
      <c r="CD38" s="233"/>
      <c r="CE38" s="233"/>
      <c r="CF38" s="233"/>
      <c r="CG38" s="233"/>
      <c r="CH38" s="233"/>
      <c r="CJ38" s="231" t="s">
        <v>314</v>
      </c>
      <c r="CK38" s="233"/>
      <c r="CL38" s="233"/>
      <c r="CM38" s="233"/>
      <c r="CN38" s="233"/>
      <c r="CO38" s="233"/>
      <c r="CQ38" s="231" t="s">
        <v>314</v>
      </c>
      <c r="CR38" s="233"/>
      <c r="CS38" s="233"/>
      <c r="CT38" s="233"/>
      <c r="CU38" s="233"/>
      <c r="CV38" s="233"/>
      <c r="CX38" s="231" t="s">
        <v>314</v>
      </c>
      <c r="CY38" s="233"/>
      <c r="CZ38" s="233"/>
      <c r="DA38" s="233"/>
      <c r="DB38" s="233"/>
      <c r="DC38" s="233"/>
      <c r="DE38" s="231" t="s">
        <v>314</v>
      </c>
      <c r="DF38" s="233"/>
      <c r="DG38" s="233"/>
      <c r="DH38" s="233"/>
      <c r="DI38" s="233"/>
      <c r="DJ38" s="233"/>
      <c r="DL38" s="231" t="s">
        <v>314</v>
      </c>
      <c r="DM38" s="233"/>
      <c r="DN38" s="233"/>
      <c r="DO38" s="233"/>
      <c r="DP38" s="233"/>
      <c r="DQ38" s="233"/>
      <c r="DS38" s="231" t="s">
        <v>314</v>
      </c>
      <c r="DT38" s="233"/>
      <c r="DU38" s="233"/>
      <c r="DV38" s="233"/>
      <c r="DW38" s="233"/>
      <c r="DX38" s="233"/>
      <c r="DZ38" s="231" t="s">
        <v>314</v>
      </c>
      <c r="EA38" s="233"/>
      <c r="EB38" s="233"/>
      <c r="EC38" s="233"/>
      <c r="ED38" s="233"/>
      <c r="EE38" s="233"/>
      <c r="EG38" s="231" t="s">
        <v>314</v>
      </c>
      <c r="EH38" s="233"/>
      <c r="EI38" s="233"/>
      <c r="EJ38" s="233"/>
      <c r="EK38" s="233"/>
      <c r="EL38" s="233"/>
      <c r="EN38" s="231" t="s">
        <v>314</v>
      </c>
      <c r="EO38" s="233"/>
      <c r="EP38" s="233"/>
      <c r="EQ38" s="233"/>
      <c r="ER38" s="233"/>
      <c r="ES38" s="233"/>
      <c r="EU38" s="231" t="s">
        <v>314</v>
      </c>
      <c r="EV38" s="233"/>
      <c r="EW38" s="233"/>
      <c r="EX38" s="233"/>
      <c r="EY38" s="233"/>
      <c r="EZ38" s="233"/>
      <c r="FB38" s="231" t="s">
        <v>314</v>
      </c>
      <c r="FC38" s="233"/>
      <c r="FD38" s="233"/>
      <c r="FE38" s="233"/>
      <c r="FF38" s="233"/>
      <c r="FG38" s="233"/>
      <c r="FI38" s="231" t="s">
        <v>314</v>
      </c>
      <c r="FJ38" s="233"/>
      <c r="FK38" s="233"/>
      <c r="FL38" s="233"/>
      <c r="FM38" s="233"/>
      <c r="FN38" s="233"/>
      <c r="FP38" s="231" t="s">
        <v>314</v>
      </c>
      <c r="FQ38" s="233"/>
      <c r="FR38" s="233"/>
      <c r="FS38" s="233"/>
      <c r="FT38" s="233"/>
      <c r="FU38" s="233"/>
      <c r="FW38" s="231" t="s">
        <v>314</v>
      </c>
      <c r="FX38" s="233"/>
      <c r="FY38" s="233"/>
      <c r="FZ38" s="233"/>
      <c r="GA38" s="233"/>
      <c r="GB38" s="233"/>
      <c r="GD38" s="231" t="s">
        <v>314</v>
      </c>
      <c r="GE38" s="233"/>
      <c r="GF38" s="233"/>
      <c r="GG38" s="233"/>
      <c r="GH38" s="233"/>
      <c r="GI38" s="233"/>
      <c r="GK38" s="231" t="s">
        <v>314</v>
      </c>
      <c r="GL38" s="233"/>
      <c r="GM38" s="233"/>
      <c r="GN38" s="233"/>
      <c r="GO38" s="233"/>
      <c r="GP38" s="233"/>
      <c r="GR38" s="231" t="s">
        <v>314</v>
      </c>
      <c r="GS38" s="233"/>
      <c r="GT38" s="233"/>
      <c r="GU38" s="233"/>
      <c r="GV38" s="233"/>
      <c r="GW38" s="233"/>
      <c r="GY38" s="231" t="s">
        <v>314</v>
      </c>
      <c r="GZ38" s="233"/>
      <c r="HA38" s="233"/>
      <c r="HB38" s="233"/>
      <c r="HC38" s="233"/>
      <c r="HD38" s="233"/>
      <c r="HF38" s="231" t="s">
        <v>314</v>
      </c>
      <c r="HG38" s="233"/>
      <c r="HH38" s="233"/>
      <c r="HI38" s="233"/>
      <c r="HJ38" s="233"/>
      <c r="HK38" s="233"/>
      <c r="HM38" s="231" t="s">
        <v>314</v>
      </c>
      <c r="HN38" s="233"/>
      <c r="HO38" s="233"/>
      <c r="HP38" s="233"/>
      <c r="HQ38" s="233"/>
      <c r="HR38" s="233"/>
      <c r="HT38" s="231" t="s">
        <v>314</v>
      </c>
      <c r="HU38" s="233"/>
      <c r="HV38" s="233"/>
      <c r="HW38" s="233"/>
      <c r="HX38" s="233"/>
      <c r="HY38" s="233"/>
      <c r="IA38" s="231" t="s">
        <v>314</v>
      </c>
      <c r="IB38" s="233"/>
      <c r="IC38" s="233"/>
      <c r="ID38" s="233"/>
      <c r="IE38" s="233"/>
      <c r="IF38" s="233"/>
      <c r="IH38" s="231" t="s">
        <v>314</v>
      </c>
      <c r="II38" s="233"/>
      <c r="IJ38" s="233"/>
      <c r="IK38" s="233"/>
      <c r="IL38" s="233"/>
      <c r="IM38" s="233"/>
      <c r="IO38" s="231" t="s">
        <v>314</v>
      </c>
      <c r="IP38" s="233"/>
      <c r="IQ38" s="233"/>
      <c r="IR38" s="233"/>
      <c r="IS38" s="233"/>
      <c r="IT38" s="233"/>
      <c r="IV38" s="231" t="s">
        <v>314</v>
      </c>
      <c r="IW38" s="233"/>
      <c r="IX38" s="233"/>
      <c r="IY38" s="233"/>
      <c r="IZ38" s="233"/>
      <c r="JA38" s="233"/>
      <c r="JC38" s="231" t="s">
        <v>314</v>
      </c>
      <c r="JD38" s="233">
        <f>-13</f>
        <v>-13</v>
      </c>
      <c r="JE38" s="233">
        <f>-16</f>
        <v>-16</v>
      </c>
      <c r="JF38" s="233">
        <f>-19</f>
        <v>-19</v>
      </c>
      <c r="JG38" s="233"/>
      <c r="JH38" s="233">
        <f t="shared" si="119"/>
        <v>-48</v>
      </c>
      <c r="JJ38" s="231" t="s">
        <v>314</v>
      </c>
      <c r="JK38" s="233">
        <v>-25</v>
      </c>
      <c r="JL38" s="233">
        <v>-30</v>
      </c>
      <c r="JM38" s="233">
        <v>-24</v>
      </c>
      <c r="JN38" s="233">
        <v>-17</v>
      </c>
      <c r="JO38" s="233">
        <f t="shared" si="120"/>
        <v>-96</v>
      </c>
      <c r="JQ38" s="231" t="s">
        <v>314</v>
      </c>
      <c r="JR38" s="233"/>
      <c r="JS38" s="233"/>
      <c r="JT38" s="233"/>
      <c r="JU38" s="233"/>
      <c r="JV38" s="233"/>
      <c r="JX38" s="231" t="s">
        <v>314</v>
      </c>
      <c r="JY38" s="233"/>
      <c r="JZ38" s="233"/>
      <c r="KA38" s="233"/>
      <c r="KB38" s="233"/>
      <c r="KC38" s="233"/>
      <c r="KE38" s="231" t="s">
        <v>314</v>
      </c>
      <c r="KF38" s="233"/>
      <c r="KG38" s="233"/>
      <c r="KH38" s="233"/>
      <c r="KI38" s="233"/>
      <c r="KJ38" s="233"/>
      <c r="KL38" s="231" t="s">
        <v>314</v>
      </c>
      <c r="KM38" s="233"/>
      <c r="KN38" s="233"/>
      <c r="KO38" s="233"/>
      <c r="KP38" s="233"/>
      <c r="KQ38" s="233"/>
      <c r="KS38" s="231" t="s">
        <v>314</v>
      </c>
      <c r="KT38" s="233"/>
      <c r="KU38" s="233"/>
      <c r="KV38" s="232"/>
      <c r="KW38" s="233"/>
      <c r="KX38" s="233"/>
      <c r="KZ38" s="231" t="s">
        <v>314</v>
      </c>
      <c r="LA38" s="233"/>
      <c r="LB38" s="234"/>
      <c r="LC38" s="234"/>
      <c r="LD38" s="234"/>
      <c r="LE38" s="233"/>
      <c r="LF38" s="581"/>
      <c r="LG38" s="231" t="s">
        <v>314</v>
      </c>
      <c r="LH38" s="234"/>
      <c r="LI38" s="234"/>
      <c r="LJ38" s="234"/>
      <c r="LK38" s="234"/>
      <c r="LL38" s="233"/>
      <c r="LM38" s="581"/>
      <c r="LN38" s="231" t="s">
        <v>314</v>
      </c>
      <c r="LO38" s="234"/>
      <c r="LP38" s="234"/>
      <c r="LQ38" s="234"/>
      <c r="LR38" s="234"/>
      <c r="LS38" s="233"/>
      <c r="LT38" s="581"/>
      <c r="LU38" s="231" t="s">
        <v>314</v>
      </c>
      <c r="LV38" s="234"/>
      <c r="LW38" s="234"/>
      <c r="LX38" s="234"/>
      <c r="LY38" s="234"/>
      <c r="LZ38" s="233"/>
      <c r="MA38" s="581"/>
      <c r="MB38" s="231" t="s">
        <v>314</v>
      </c>
      <c r="MC38" s="234"/>
      <c r="MD38" s="234"/>
      <c r="ME38" s="234"/>
      <c r="MF38" s="234"/>
      <c r="MG38" s="233"/>
      <c r="MH38" s="581"/>
    </row>
    <row r="39" spans="1:346" s="37" customFormat="1" ht="13.15" outlineLevel="1" x14ac:dyDescent="0.4">
      <c r="A39" s="48"/>
      <c r="B39" s="231" t="s">
        <v>315</v>
      </c>
      <c r="C39" s="235"/>
      <c r="D39" s="235"/>
      <c r="E39" s="235"/>
      <c r="F39" s="235"/>
      <c r="G39" s="235"/>
      <c r="H39" s="235"/>
      <c r="I39" s="235"/>
      <c r="J39" s="235"/>
      <c r="K39" s="235"/>
      <c r="L39" s="235"/>
      <c r="M39" s="235"/>
      <c r="N39" s="235">
        <f t="shared" si="51"/>
        <v>0</v>
      </c>
      <c r="O39" s="235">
        <f t="shared" si="52"/>
        <v>0</v>
      </c>
      <c r="P39" s="235">
        <f t="shared" si="53"/>
        <v>0</v>
      </c>
      <c r="Q39" s="235">
        <f t="shared" si="54"/>
        <v>0</v>
      </c>
      <c r="R39" s="235">
        <f t="shared" si="55"/>
        <v>0</v>
      </c>
      <c r="S39" s="235">
        <f t="shared" si="56"/>
        <v>0</v>
      </c>
      <c r="T39" s="235">
        <f t="shared" si="57"/>
        <v>0</v>
      </c>
      <c r="U39" s="235">
        <f t="shared" si="58"/>
        <v>0</v>
      </c>
      <c r="V39" s="235">
        <f t="shared" si="59"/>
        <v>0</v>
      </c>
      <c r="W39" s="235">
        <f t="shared" si="60"/>
        <v>0</v>
      </c>
      <c r="X39" s="235">
        <f t="shared" si="61"/>
        <v>280</v>
      </c>
      <c r="Y39" s="235">
        <f t="shared" si="62"/>
        <v>386</v>
      </c>
      <c r="Z39" s="235">
        <f t="shared" si="63"/>
        <v>336</v>
      </c>
      <c r="AA39" s="235">
        <f t="shared" si="64"/>
        <v>322</v>
      </c>
      <c r="AB39" s="235">
        <f t="shared" si="65"/>
        <v>342</v>
      </c>
      <c r="AC39" s="235">
        <f t="shared" si="66"/>
        <v>256</v>
      </c>
      <c r="AD39" s="235">
        <f t="shared" si="67"/>
        <v>65</v>
      </c>
      <c r="AE39" s="235">
        <f t="shared" si="68"/>
        <v>0</v>
      </c>
      <c r="AF39" s="235">
        <f t="shared" si="69"/>
        <v>0</v>
      </c>
      <c r="AG39" s="235">
        <f t="shared" si="70"/>
        <v>0</v>
      </c>
      <c r="AH39" s="235">
        <f t="shared" si="71"/>
        <v>0</v>
      </c>
      <c r="AI39" s="235">
        <f t="shared" si="72"/>
        <v>0</v>
      </c>
      <c r="AJ39" s="235">
        <f t="shared" si="73"/>
        <v>0</v>
      </c>
      <c r="AK39" s="235">
        <f t="shared" si="74"/>
        <v>0</v>
      </c>
      <c r="AL39" s="235">
        <f t="shared" si="75"/>
        <v>0</v>
      </c>
      <c r="AM39" s="235">
        <f t="shared" si="76"/>
        <v>0</v>
      </c>
      <c r="AN39" s="235">
        <f t="shared" si="77"/>
        <v>0</v>
      </c>
      <c r="AO39" s="235">
        <f t="shared" si="78"/>
        <v>0</v>
      </c>
      <c r="AP39" s="235">
        <f t="shared" si="79"/>
        <v>0</v>
      </c>
      <c r="AQ39" s="235">
        <f t="shared" si="80"/>
        <v>0</v>
      </c>
      <c r="AR39" s="235">
        <f t="shared" si="81"/>
        <v>0</v>
      </c>
      <c r="AS39" s="235">
        <f t="shared" si="82"/>
        <v>0</v>
      </c>
      <c r="AT39" s="235">
        <f t="shared" si="83"/>
        <v>0</v>
      </c>
      <c r="AU39" s="235">
        <f t="shared" si="84"/>
        <v>0</v>
      </c>
      <c r="AV39" s="235">
        <f t="shared" si="85"/>
        <v>0</v>
      </c>
      <c r="AW39" s="235">
        <f t="shared" si="86"/>
        <v>0</v>
      </c>
      <c r="AX39" s="235">
        <f t="shared" si="87"/>
        <v>0</v>
      </c>
      <c r="AY39" s="235">
        <f t="shared" si="88"/>
        <v>0</v>
      </c>
      <c r="AZ39" s="235">
        <f t="shared" si="89"/>
        <v>0</v>
      </c>
      <c r="BA39" s="235">
        <f t="shared" si="90"/>
        <v>0</v>
      </c>
      <c r="BB39" s="235"/>
      <c r="BC39" s="235"/>
      <c r="BD39" s="235"/>
      <c r="BE39" s="235"/>
      <c r="BF39" s="235"/>
      <c r="BG39" s="235"/>
      <c r="BH39" s="235"/>
      <c r="BI39" s="235"/>
      <c r="BJ39" s="235"/>
      <c r="BK39" s="235"/>
      <c r="BL39" s="235"/>
      <c r="BM39" s="235"/>
      <c r="BO39" s="231" t="s">
        <v>315</v>
      </c>
      <c r="BP39" s="233"/>
      <c r="BQ39" s="233"/>
      <c r="BR39" s="233"/>
      <c r="BS39" s="233"/>
      <c r="BT39" s="233"/>
      <c r="BV39" s="231" t="s">
        <v>315</v>
      </c>
      <c r="BW39" s="233"/>
      <c r="BX39" s="233"/>
      <c r="BY39" s="233"/>
      <c r="BZ39" s="233"/>
      <c r="CA39" s="233"/>
      <c r="CC39" s="231" t="s">
        <v>315</v>
      </c>
      <c r="CD39" s="233"/>
      <c r="CE39" s="233"/>
      <c r="CF39" s="233"/>
      <c r="CG39" s="233"/>
      <c r="CH39" s="233"/>
      <c r="CJ39" s="231" t="s">
        <v>315</v>
      </c>
      <c r="CK39" s="233"/>
      <c r="CL39" s="233"/>
      <c r="CM39" s="233"/>
      <c r="CN39" s="233"/>
      <c r="CO39" s="233"/>
      <c r="CQ39" s="231" t="s">
        <v>315</v>
      </c>
      <c r="CR39" s="233"/>
      <c r="CS39" s="233"/>
      <c r="CT39" s="233"/>
      <c r="CU39" s="233"/>
      <c r="CV39" s="233"/>
      <c r="CX39" s="231" t="s">
        <v>315</v>
      </c>
      <c r="CY39" s="233"/>
      <c r="CZ39" s="233"/>
      <c r="DA39" s="233"/>
      <c r="DB39" s="233"/>
      <c r="DC39" s="233"/>
      <c r="DE39" s="231" t="s">
        <v>315</v>
      </c>
      <c r="DF39" s="233"/>
      <c r="DG39" s="233"/>
      <c r="DH39" s="233"/>
      <c r="DI39" s="233"/>
      <c r="DJ39" s="233">
        <f>DF39+DG39+DH39+DI39</f>
        <v>0</v>
      </c>
      <c r="DL39" s="231" t="s">
        <v>315</v>
      </c>
      <c r="DM39" s="233"/>
      <c r="DN39" s="233"/>
      <c r="DO39" s="233"/>
      <c r="DP39" s="233"/>
      <c r="DQ39" s="233">
        <f>DM39+DN39+DO39+DP39</f>
        <v>0</v>
      </c>
      <c r="DS39" s="231" t="s">
        <v>315</v>
      </c>
      <c r="DT39" s="233"/>
      <c r="DU39" s="233"/>
      <c r="DV39" s="233"/>
      <c r="DW39" s="233"/>
      <c r="DX39" s="233">
        <f>DT39+DU39+DV39+DW39</f>
        <v>0</v>
      </c>
      <c r="DZ39" s="231" t="s">
        <v>315</v>
      </c>
      <c r="EA39" s="233"/>
      <c r="EB39" s="233"/>
      <c r="EC39" s="233"/>
      <c r="ED39" s="233"/>
      <c r="EE39" s="233">
        <f>EA39+EB39+EC39+ED39</f>
        <v>0</v>
      </c>
      <c r="EG39" s="231" t="s">
        <v>315</v>
      </c>
      <c r="EH39" s="233"/>
      <c r="EI39" s="233">
        <v>46</v>
      </c>
      <c r="EJ39" s="233">
        <v>118</v>
      </c>
      <c r="EK39" s="233">
        <v>116</v>
      </c>
      <c r="EL39" s="233">
        <f>EH39+EI39+EJ39+EK39</f>
        <v>280</v>
      </c>
      <c r="EN39" s="231" t="s">
        <v>315</v>
      </c>
      <c r="EO39" s="233">
        <f>95+9</f>
        <v>104</v>
      </c>
      <c r="EP39" s="233">
        <v>101</v>
      </c>
      <c r="EQ39" s="233">
        <v>89</v>
      </c>
      <c r="ER39" s="233">
        <v>92</v>
      </c>
      <c r="ES39" s="233">
        <f>EO39+EP39+EQ39+ER39</f>
        <v>386</v>
      </c>
      <c r="EU39" s="231" t="s">
        <v>315</v>
      </c>
      <c r="EV39" s="233">
        <v>83</v>
      </c>
      <c r="EW39" s="233">
        <v>85</v>
      </c>
      <c r="EX39" s="233">
        <v>83</v>
      </c>
      <c r="EY39" s="233">
        <f>85</f>
        <v>85</v>
      </c>
      <c r="EZ39" s="233">
        <f>EV39+EW39+EX39+EY39</f>
        <v>336</v>
      </c>
      <c r="FB39" s="231" t="s">
        <v>315</v>
      </c>
      <c r="FC39" s="233">
        <v>87</v>
      </c>
      <c r="FD39" s="233">
        <v>79</v>
      </c>
      <c r="FE39" s="233">
        <v>82</v>
      </c>
      <c r="FF39" s="233">
        <v>74</v>
      </c>
      <c r="FG39" s="233">
        <f>FC39+FD39+FE39+FF39</f>
        <v>322</v>
      </c>
      <c r="FI39" s="231" t="s">
        <v>315</v>
      </c>
      <c r="FJ39" s="233">
        <v>86</v>
      </c>
      <c r="FK39" s="233">
        <v>87</v>
      </c>
      <c r="FL39" s="233">
        <v>86</v>
      </c>
      <c r="FM39" s="233">
        <v>83</v>
      </c>
      <c r="FN39" s="233">
        <f>FJ39+FK39+FL39+FM39</f>
        <v>342</v>
      </c>
      <c r="FP39" s="231" t="s">
        <v>315</v>
      </c>
      <c r="FQ39" s="233">
        <v>87</v>
      </c>
      <c r="FR39" s="233">
        <v>82</v>
      </c>
      <c r="FS39" s="233">
        <v>63</v>
      </c>
      <c r="FT39" s="233">
        <v>24</v>
      </c>
      <c r="FU39" s="233">
        <f>FQ39+FR39+FS39+FT39</f>
        <v>256</v>
      </c>
      <c r="FW39" s="231" t="s">
        <v>315</v>
      </c>
      <c r="FX39" s="233">
        <v>20</v>
      </c>
      <c r="FY39" s="233">
        <v>19</v>
      </c>
      <c r="FZ39" s="233">
        <v>9</v>
      </c>
      <c r="GA39" s="233">
        <v>17</v>
      </c>
      <c r="GB39" s="233">
        <f>FX39+FY39+FZ39+GA39</f>
        <v>65</v>
      </c>
      <c r="GD39" s="231" t="s">
        <v>315</v>
      </c>
      <c r="GE39" s="233"/>
      <c r="GF39" s="233"/>
      <c r="GG39" s="233"/>
      <c r="GH39" s="233"/>
      <c r="GI39" s="233"/>
      <c r="GK39" s="231" t="s">
        <v>315</v>
      </c>
      <c r="GL39" s="233"/>
      <c r="GM39" s="233"/>
      <c r="GN39" s="233"/>
      <c r="GO39" s="233"/>
      <c r="GP39" s="233"/>
      <c r="GR39" s="231" t="s">
        <v>315</v>
      </c>
      <c r="GS39" s="233"/>
      <c r="GT39" s="233"/>
      <c r="GU39" s="233"/>
      <c r="GV39" s="233"/>
      <c r="GW39" s="233"/>
      <c r="GY39" s="231" t="s">
        <v>315</v>
      </c>
      <c r="GZ39" s="233"/>
      <c r="HA39" s="233"/>
      <c r="HB39" s="233"/>
      <c r="HC39" s="233"/>
      <c r="HD39" s="233">
        <f>GZ39+HA39+HB39+HC39</f>
        <v>0</v>
      </c>
      <c r="HF39" s="231" t="s">
        <v>315</v>
      </c>
      <c r="HG39" s="233"/>
      <c r="HH39" s="233"/>
      <c r="HI39" s="233"/>
      <c r="HJ39" s="233"/>
      <c r="HK39" s="233">
        <f>HG39+HH39+HI39+HJ39</f>
        <v>0</v>
      </c>
      <c r="HM39" s="231" t="s">
        <v>315</v>
      </c>
      <c r="HN39" s="233"/>
      <c r="HO39" s="233"/>
      <c r="HP39" s="233"/>
      <c r="HQ39" s="233"/>
      <c r="HR39" s="233">
        <f>HN39+HO39+HP39+HQ39</f>
        <v>0</v>
      </c>
      <c r="HT39" s="231" t="s">
        <v>315</v>
      </c>
      <c r="HU39" s="233"/>
      <c r="HV39" s="233"/>
      <c r="HW39" s="233"/>
      <c r="HX39" s="233"/>
      <c r="HY39" s="233">
        <f>HU39+HV39+HW39+HX39</f>
        <v>0</v>
      </c>
      <c r="IA39" s="231" t="s">
        <v>315</v>
      </c>
      <c r="IB39" s="233"/>
      <c r="IC39" s="233"/>
      <c r="ID39" s="233"/>
      <c r="IE39" s="233"/>
      <c r="IF39" s="233">
        <f>IB39+IC39+ID39+IE39</f>
        <v>0</v>
      </c>
      <c r="IH39" s="231" t="s">
        <v>315</v>
      </c>
      <c r="II39" s="233"/>
      <c r="IJ39" s="233"/>
      <c r="IK39" s="233"/>
      <c r="IL39" s="233"/>
      <c r="IM39" s="233">
        <f>II39+IJ39+IK39+IL39</f>
        <v>0</v>
      </c>
      <c r="IO39" s="231" t="s">
        <v>315</v>
      </c>
      <c r="IP39" s="233"/>
      <c r="IQ39" s="233"/>
      <c r="IR39" s="233"/>
      <c r="IS39" s="233"/>
      <c r="IT39" s="233">
        <f>IP39+IQ39+IR39+IS39</f>
        <v>0</v>
      </c>
      <c r="IV39" s="231" t="s">
        <v>315</v>
      </c>
      <c r="IW39" s="233"/>
      <c r="IX39" s="233"/>
      <c r="IY39" s="233"/>
      <c r="IZ39" s="233"/>
      <c r="JA39" s="233">
        <f>IW39+IX39+IY39+IZ39</f>
        <v>0</v>
      </c>
      <c r="JC39" s="231" t="s">
        <v>315</v>
      </c>
      <c r="JD39" s="233"/>
      <c r="JE39" s="233"/>
      <c r="JF39" s="233"/>
      <c r="JG39" s="233"/>
      <c r="JH39" s="233">
        <f t="shared" si="119"/>
        <v>0</v>
      </c>
      <c r="JJ39" s="231" t="s">
        <v>315</v>
      </c>
      <c r="JK39" s="233"/>
      <c r="JL39" s="233"/>
      <c r="JM39" s="233"/>
      <c r="JN39" s="233"/>
      <c r="JO39" s="233">
        <f t="shared" si="120"/>
        <v>0</v>
      </c>
      <c r="JQ39" s="231" t="s">
        <v>315</v>
      </c>
      <c r="JR39" s="233"/>
      <c r="JS39" s="233"/>
      <c r="JT39" s="233"/>
      <c r="JU39" s="233"/>
      <c r="JV39" s="233"/>
      <c r="JX39" s="231" t="s">
        <v>315</v>
      </c>
      <c r="JY39" s="233"/>
      <c r="JZ39" s="233"/>
      <c r="KA39" s="233"/>
      <c r="KB39" s="233"/>
      <c r="KC39" s="233"/>
      <c r="KE39" s="231" t="s">
        <v>315</v>
      </c>
      <c r="KF39" s="233"/>
      <c r="KG39" s="233"/>
      <c r="KH39" s="233"/>
      <c r="KI39" s="233"/>
      <c r="KJ39" s="233"/>
      <c r="KL39" s="231" t="s">
        <v>315</v>
      </c>
      <c r="KM39" s="233"/>
      <c r="KN39" s="233"/>
      <c r="KO39" s="233"/>
      <c r="KP39" s="233"/>
      <c r="KQ39" s="233"/>
      <c r="KS39" s="231" t="s">
        <v>315</v>
      </c>
      <c r="KT39" s="233"/>
      <c r="KU39" s="233"/>
      <c r="KV39" s="232"/>
      <c r="KW39" s="233"/>
      <c r="KX39" s="233"/>
      <c r="KZ39" s="231" t="s">
        <v>315</v>
      </c>
      <c r="LA39" s="233"/>
      <c r="LB39" s="234"/>
      <c r="LC39" s="234"/>
      <c r="LD39" s="234"/>
      <c r="LE39" s="233"/>
      <c r="LF39" s="581"/>
      <c r="LG39" s="231" t="s">
        <v>315</v>
      </c>
      <c r="LH39" s="234"/>
      <c r="LI39" s="234"/>
      <c r="LJ39" s="234"/>
      <c r="LK39" s="234"/>
      <c r="LL39" s="233"/>
      <c r="LM39" s="581"/>
      <c r="LN39" s="231" t="s">
        <v>315</v>
      </c>
      <c r="LO39" s="234"/>
      <c r="LP39" s="234"/>
      <c r="LQ39" s="234"/>
      <c r="LR39" s="234"/>
      <c r="LS39" s="233"/>
      <c r="LT39" s="581"/>
      <c r="LU39" s="231" t="s">
        <v>315</v>
      </c>
      <c r="LV39" s="234"/>
      <c r="LW39" s="234"/>
      <c r="LX39" s="234"/>
      <c r="LY39" s="234"/>
      <c r="LZ39" s="233"/>
      <c r="MA39" s="581"/>
      <c r="MB39" s="231" t="s">
        <v>315</v>
      </c>
      <c r="MC39" s="234"/>
      <c r="MD39" s="234"/>
      <c r="ME39" s="234"/>
      <c r="MF39" s="234"/>
      <c r="MG39" s="233"/>
      <c r="MH39" s="581"/>
    </row>
    <row r="40" spans="1:346" s="37" customFormat="1" ht="13.15" outlineLevel="1" x14ac:dyDescent="0.4">
      <c r="A40" s="48"/>
      <c r="B40" s="231"/>
      <c r="C40" s="235"/>
      <c r="D40" s="235"/>
      <c r="E40" s="235"/>
      <c r="F40" s="235"/>
      <c r="G40" s="235"/>
      <c r="H40" s="235"/>
      <c r="I40" s="235"/>
      <c r="J40" s="235"/>
      <c r="K40" s="235"/>
      <c r="L40" s="235"/>
      <c r="M40" s="235"/>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236"/>
      <c r="AT40" s="236"/>
      <c r="AU40" s="236"/>
      <c r="AV40" s="236"/>
      <c r="AW40" s="236"/>
      <c r="AX40" s="236"/>
      <c r="AY40" s="236"/>
      <c r="AZ40" s="236"/>
      <c r="BA40" s="236"/>
      <c r="BB40" s="236"/>
      <c r="BC40" s="236"/>
      <c r="BD40" s="236"/>
      <c r="BE40" s="236"/>
      <c r="BF40" s="236"/>
      <c r="BG40" s="236"/>
      <c r="BH40" s="236"/>
      <c r="BI40" s="236"/>
      <c r="BJ40" s="236"/>
      <c r="BK40" s="236"/>
      <c r="BL40" s="236"/>
      <c r="BM40" s="236"/>
      <c r="BO40" s="231"/>
      <c r="BP40" s="233"/>
      <c r="BQ40" s="233"/>
      <c r="BR40" s="233"/>
      <c r="BS40" s="233"/>
      <c r="BT40" s="233"/>
      <c r="BV40" s="231"/>
      <c r="BW40" s="233"/>
      <c r="BX40" s="233"/>
      <c r="BY40" s="233"/>
      <c r="BZ40" s="233"/>
      <c r="CA40" s="233"/>
      <c r="CC40" s="231"/>
      <c r="CD40" s="233"/>
      <c r="CE40" s="233"/>
      <c r="CF40" s="233"/>
      <c r="CG40" s="233"/>
      <c r="CH40" s="233"/>
      <c r="CJ40" s="231"/>
      <c r="CK40" s="233"/>
      <c r="CL40" s="233"/>
      <c r="CM40" s="233"/>
      <c r="CN40" s="233"/>
      <c r="CO40" s="233"/>
      <c r="CQ40" s="231"/>
      <c r="CR40" s="233"/>
      <c r="CS40" s="233"/>
      <c r="CT40" s="233"/>
      <c r="CU40" s="233"/>
      <c r="CV40" s="233"/>
      <c r="CX40" s="231"/>
      <c r="CY40" s="233"/>
      <c r="CZ40" s="233"/>
      <c r="DA40" s="233"/>
      <c r="DB40" s="233"/>
      <c r="DC40" s="233"/>
      <c r="DE40" s="231"/>
      <c r="DF40" s="233"/>
      <c r="DG40" s="233"/>
      <c r="DH40" s="233"/>
      <c r="DI40" s="233"/>
      <c r="DJ40" s="233"/>
      <c r="DL40" s="231"/>
      <c r="DM40" s="233"/>
      <c r="DN40" s="233"/>
      <c r="DO40" s="233"/>
      <c r="DP40" s="233"/>
      <c r="DQ40" s="233"/>
      <c r="DS40" s="231"/>
      <c r="DT40" s="233"/>
      <c r="DU40" s="233"/>
      <c r="DV40" s="233"/>
      <c r="DW40" s="233"/>
      <c r="DX40" s="233"/>
      <c r="DZ40" s="231"/>
      <c r="EA40" s="233"/>
      <c r="EB40" s="233"/>
      <c r="EC40" s="233"/>
      <c r="ED40" s="233"/>
      <c r="EE40" s="233"/>
      <c r="EG40" s="231"/>
      <c r="EH40" s="233"/>
      <c r="EI40" s="233"/>
      <c r="EJ40" s="233"/>
      <c r="EK40" s="233"/>
      <c r="EL40" s="233"/>
      <c r="EN40" s="231"/>
      <c r="EO40" s="233"/>
      <c r="EP40" s="233"/>
      <c r="EQ40" s="233"/>
      <c r="ER40" s="233"/>
      <c r="ES40" s="233"/>
      <c r="EU40" s="231"/>
      <c r="EV40" s="233"/>
      <c r="EW40" s="233"/>
      <c r="EX40" s="233"/>
      <c r="EY40" s="233"/>
      <c r="EZ40" s="233"/>
      <c r="FB40" s="231"/>
      <c r="FC40" s="233"/>
      <c r="FD40" s="233"/>
      <c r="FE40" s="233"/>
      <c r="FF40" s="233"/>
      <c r="FG40" s="233"/>
      <c r="FI40" s="231"/>
      <c r="FJ40" s="233"/>
      <c r="FK40" s="233"/>
      <c r="FL40" s="233"/>
      <c r="FM40" s="233"/>
      <c r="FN40" s="233"/>
      <c r="FP40" s="231"/>
      <c r="FQ40" s="233"/>
      <c r="FR40" s="233"/>
      <c r="FS40" s="233"/>
      <c r="FT40" s="233"/>
      <c r="FU40" s="233"/>
      <c r="FW40" s="231"/>
      <c r="FX40" s="233"/>
      <c r="FY40" s="233"/>
      <c r="FZ40" s="233"/>
      <c r="GA40" s="233"/>
      <c r="GB40" s="233"/>
      <c r="GD40" s="231"/>
      <c r="GE40" s="233"/>
      <c r="GF40" s="233"/>
      <c r="GG40" s="233"/>
      <c r="GH40" s="233"/>
      <c r="GI40" s="233"/>
      <c r="GK40" s="231"/>
      <c r="GL40" s="233"/>
      <c r="GM40" s="233"/>
      <c r="GN40" s="233"/>
      <c r="GO40" s="233"/>
      <c r="GP40" s="233"/>
      <c r="GR40" s="231"/>
      <c r="GS40" s="233"/>
      <c r="GT40" s="233"/>
      <c r="GU40" s="233"/>
      <c r="GV40" s="233"/>
      <c r="GW40" s="233"/>
      <c r="GY40" s="231"/>
      <c r="GZ40" s="233"/>
      <c r="HA40" s="233"/>
      <c r="HB40" s="233"/>
      <c r="HC40" s="233"/>
      <c r="HD40" s="233"/>
      <c r="HF40" s="231"/>
      <c r="HG40" s="233"/>
      <c r="HH40" s="233"/>
      <c r="HI40" s="233"/>
      <c r="HJ40" s="233"/>
      <c r="HK40" s="233"/>
      <c r="HM40" s="231"/>
      <c r="HN40" s="233"/>
      <c r="HO40" s="233"/>
      <c r="HP40" s="233"/>
      <c r="HQ40" s="233"/>
      <c r="HR40" s="233"/>
      <c r="HT40" s="231"/>
      <c r="HU40" s="233"/>
      <c r="HV40" s="233"/>
      <c r="HW40" s="233"/>
      <c r="HX40" s="233"/>
      <c r="HY40" s="233"/>
      <c r="IA40" s="231"/>
      <c r="IB40" s="233"/>
      <c r="IC40" s="233"/>
      <c r="ID40" s="233"/>
      <c r="IE40" s="233"/>
      <c r="IF40" s="233"/>
      <c r="IH40" s="231"/>
      <c r="II40" s="233"/>
      <c r="IJ40" s="233"/>
      <c r="IK40" s="233"/>
      <c r="IL40" s="233"/>
      <c r="IM40" s="233"/>
      <c r="IO40" s="231"/>
      <c r="IP40" s="233"/>
      <c r="IQ40" s="233"/>
      <c r="IR40" s="233"/>
      <c r="IS40" s="233"/>
      <c r="IT40" s="233"/>
      <c r="IV40" s="231"/>
      <c r="IW40" s="233"/>
      <c r="IX40" s="233"/>
      <c r="IY40" s="233"/>
      <c r="IZ40" s="233"/>
      <c r="JA40" s="233"/>
      <c r="JC40" s="231"/>
      <c r="JD40" s="233"/>
      <c r="JE40" s="233"/>
      <c r="JF40" s="233"/>
      <c r="JG40" s="233"/>
      <c r="JH40" s="233"/>
      <c r="JJ40" s="231"/>
      <c r="JK40" s="233"/>
      <c r="JL40" s="233"/>
      <c r="JM40" s="233"/>
      <c r="JN40" s="233"/>
      <c r="JO40" s="233"/>
      <c r="JQ40" s="231"/>
      <c r="JR40" s="233"/>
      <c r="JS40" s="233"/>
      <c r="JT40" s="233"/>
      <c r="JU40" s="233"/>
      <c r="JV40" s="233"/>
      <c r="JX40" s="231"/>
      <c r="JY40" s="233"/>
      <c r="JZ40" s="233"/>
      <c r="KA40" s="233"/>
      <c r="KB40" s="233"/>
      <c r="KC40" s="233"/>
      <c r="KE40" s="231"/>
      <c r="KF40" s="233"/>
      <c r="KG40" s="233"/>
      <c r="KH40" s="233"/>
      <c r="KI40" s="233"/>
      <c r="KJ40" s="233"/>
      <c r="KL40" s="231"/>
      <c r="KM40" s="233"/>
      <c r="KN40" s="233"/>
      <c r="KO40" s="233"/>
      <c r="KP40" s="233"/>
      <c r="KQ40" s="233"/>
      <c r="KS40" s="231"/>
      <c r="KT40" s="233"/>
      <c r="KU40" s="233"/>
      <c r="KV40" s="232"/>
      <c r="KW40" s="233"/>
      <c r="KX40" s="233"/>
      <c r="KZ40" s="231"/>
      <c r="LA40" s="233"/>
      <c r="LB40" s="234"/>
      <c r="LC40" s="234"/>
      <c r="LD40" s="234"/>
      <c r="LE40" s="233"/>
      <c r="LF40" s="581"/>
      <c r="LG40" s="231"/>
      <c r="LH40" s="234"/>
      <c r="LI40" s="234"/>
      <c r="LJ40" s="234"/>
      <c r="LK40" s="234"/>
      <c r="LL40" s="233"/>
      <c r="LM40" s="581"/>
      <c r="LN40" s="231"/>
      <c r="LO40" s="234"/>
      <c r="LP40" s="234"/>
      <c r="LQ40" s="234"/>
      <c r="LR40" s="234"/>
      <c r="LS40" s="233"/>
      <c r="LT40" s="581"/>
      <c r="LU40" s="231"/>
      <c r="LV40" s="234"/>
      <c r="LW40" s="234"/>
      <c r="LX40" s="234"/>
      <c r="LY40" s="234"/>
      <c r="LZ40" s="233"/>
      <c r="MA40" s="581"/>
      <c r="MB40" s="231"/>
      <c r="MC40" s="234"/>
      <c r="MD40" s="234"/>
      <c r="ME40" s="234"/>
      <c r="MF40" s="234"/>
      <c r="MG40" s="233"/>
      <c r="MH40" s="581"/>
    </row>
    <row r="41" spans="1:346" s="37" customFormat="1" ht="13.15" outlineLevel="1" x14ac:dyDescent="0.4">
      <c r="A41" s="48"/>
      <c r="B41" s="231" t="s">
        <v>325</v>
      </c>
      <c r="C41" s="235"/>
      <c r="D41" s="235"/>
      <c r="E41" s="235"/>
      <c r="F41" s="235"/>
      <c r="G41" s="235"/>
      <c r="H41" s="235"/>
      <c r="I41" s="235"/>
      <c r="J41" s="235"/>
      <c r="K41" s="235"/>
      <c r="L41" s="235"/>
      <c r="M41" s="235"/>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236"/>
      <c r="AT41" s="236"/>
      <c r="AU41" s="236"/>
      <c r="AV41" s="236"/>
      <c r="AW41" s="236"/>
      <c r="AX41" s="236"/>
      <c r="AY41" s="236"/>
      <c r="AZ41" s="236"/>
      <c r="BA41" s="236"/>
      <c r="BB41" s="236"/>
      <c r="BC41" s="236"/>
      <c r="BD41" s="236"/>
      <c r="BE41" s="236"/>
      <c r="BF41" s="236"/>
      <c r="BG41" s="236"/>
      <c r="BH41" s="236"/>
      <c r="BI41" s="236"/>
      <c r="BJ41" s="236"/>
      <c r="BK41" s="236"/>
      <c r="BL41" s="236"/>
      <c r="BM41" s="236"/>
      <c r="BO41" s="231" t="s">
        <v>325</v>
      </c>
      <c r="BP41" s="233"/>
      <c r="BQ41" s="233"/>
      <c r="BR41" s="233"/>
      <c r="BS41" s="233"/>
      <c r="BT41" s="233"/>
      <c r="BV41" s="231" t="s">
        <v>325</v>
      </c>
      <c r="BW41" s="233"/>
      <c r="BX41" s="233"/>
      <c r="BY41" s="233"/>
      <c r="BZ41" s="233"/>
      <c r="CA41" s="233"/>
      <c r="CC41" s="231" t="s">
        <v>325</v>
      </c>
      <c r="CD41" s="233"/>
      <c r="CE41" s="233"/>
      <c r="CF41" s="233"/>
      <c r="CG41" s="233"/>
      <c r="CH41" s="233"/>
      <c r="CJ41" s="231" t="s">
        <v>325</v>
      </c>
      <c r="CK41" s="233"/>
      <c r="CL41" s="233"/>
      <c r="CM41" s="233"/>
      <c r="CN41" s="233"/>
      <c r="CO41" s="233"/>
      <c r="CQ41" s="231" t="s">
        <v>325</v>
      </c>
      <c r="CR41" s="233"/>
      <c r="CS41" s="233"/>
      <c r="CT41" s="233"/>
      <c r="CU41" s="233"/>
      <c r="CV41" s="233"/>
      <c r="CX41" s="231" t="s">
        <v>325</v>
      </c>
      <c r="CY41" s="233"/>
      <c r="CZ41" s="233"/>
      <c r="DA41" s="233"/>
      <c r="DB41" s="233"/>
      <c r="DC41" s="233"/>
      <c r="DE41" s="231" t="s">
        <v>325</v>
      </c>
      <c r="DF41" s="233"/>
      <c r="DG41" s="233"/>
      <c r="DH41" s="233"/>
      <c r="DI41" s="233"/>
      <c r="DJ41" s="233"/>
      <c r="DL41" s="231" t="s">
        <v>325</v>
      </c>
      <c r="DM41" s="233"/>
      <c r="DN41" s="233"/>
      <c r="DO41" s="233"/>
      <c r="DP41" s="233"/>
      <c r="DQ41" s="233"/>
      <c r="DS41" s="231" t="s">
        <v>325</v>
      </c>
      <c r="DT41" s="233"/>
      <c r="DU41" s="233"/>
      <c r="DV41" s="233"/>
      <c r="DW41" s="233"/>
      <c r="DX41" s="233"/>
      <c r="DZ41" s="231" t="s">
        <v>325</v>
      </c>
      <c r="EA41" s="233"/>
      <c r="EB41" s="233"/>
      <c r="EC41" s="233"/>
      <c r="ED41" s="233"/>
      <c r="EE41" s="233"/>
      <c r="EG41" s="231" t="s">
        <v>325</v>
      </c>
      <c r="EH41" s="233"/>
      <c r="EI41" s="233"/>
      <c r="EJ41" s="233"/>
      <c r="EK41" s="233"/>
      <c r="EL41" s="233"/>
      <c r="EN41" s="231" t="s">
        <v>325</v>
      </c>
      <c r="EO41" s="233"/>
      <c r="EP41" s="233"/>
      <c r="EQ41" s="233"/>
      <c r="ER41" s="233"/>
      <c r="ES41" s="233"/>
      <c r="EU41" s="231" t="s">
        <v>325</v>
      </c>
      <c r="EV41" s="233"/>
      <c r="EW41" s="233"/>
      <c r="EX41" s="233"/>
      <c r="EY41" s="233"/>
      <c r="EZ41" s="233"/>
      <c r="FB41" s="231" t="s">
        <v>325</v>
      </c>
      <c r="FC41" s="233"/>
      <c r="FD41" s="233"/>
      <c r="FE41" s="233"/>
      <c r="FF41" s="233"/>
      <c r="FG41" s="233"/>
      <c r="FI41" s="231" t="s">
        <v>325</v>
      </c>
      <c r="FJ41" s="233"/>
      <c r="FK41" s="233"/>
      <c r="FL41" s="233"/>
      <c r="FM41" s="233"/>
      <c r="FN41" s="233"/>
      <c r="FP41" s="231" t="s">
        <v>325</v>
      </c>
      <c r="FQ41" s="233"/>
      <c r="FR41" s="233"/>
      <c r="FS41" s="233"/>
      <c r="FT41" s="233"/>
      <c r="FU41" s="233"/>
      <c r="FW41" s="231" t="s">
        <v>325</v>
      </c>
      <c r="FX41" s="233"/>
      <c r="FY41" s="233"/>
      <c r="FZ41" s="233"/>
      <c r="GA41" s="233"/>
      <c r="GB41" s="233"/>
      <c r="GD41" s="231" t="s">
        <v>325</v>
      </c>
      <c r="GE41" s="233"/>
      <c r="GF41" s="233"/>
      <c r="GG41" s="233"/>
      <c r="GH41" s="233"/>
      <c r="GI41" s="233"/>
      <c r="GK41" s="231" t="s">
        <v>325</v>
      </c>
      <c r="GL41" s="233"/>
      <c r="GM41" s="233"/>
      <c r="GN41" s="233"/>
      <c r="GO41" s="233"/>
      <c r="GP41" s="233"/>
      <c r="GR41" s="231" t="s">
        <v>325</v>
      </c>
      <c r="GS41" s="233"/>
      <c r="GT41" s="233"/>
      <c r="GU41" s="233"/>
      <c r="GV41" s="233"/>
      <c r="GW41" s="233"/>
      <c r="GY41" s="231" t="s">
        <v>325</v>
      </c>
      <c r="GZ41" s="233"/>
      <c r="HA41" s="233"/>
      <c r="HB41" s="233"/>
      <c r="HC41" s="233"/>
      <c r="HD41" s="233"/>
      <c r="HF41" s="231" t="s">
        <v>325</v>
      </c>
      <c r="HG41" s="233"/>
      <c r="HH41" s="233"/>
      <c r="HI41" s="233"/>
      <c r="HJ41" s="233"/>
      <c r="HK41" s="233"/>
      <c r="HM41" s="231" t="s">
        <v>325</v>
      </c>
      <c r="HN41" s="233"/>
      <c r="HO41" s="233"/>
      <c r="HP41" s="233"/>
      <c r="HQ41" s="233"/>
      <c r="HR41" s="233"/>
      <c r="HT41" s="231" t="s">
        <v>325</v>
      </c>
      <c r="HU41" s="233"/>
      <c r="HV41" s="233"/>
      <c r="HW41" s="233"/>
      <c r="HX41" s="233"/>
      <c r="HY41" s="233"/>
      <c r="IA41" s="231" t="s">
        <v>325</v>
      </c>
      <c r="IB41" s="233"/>
      <c r="IC41" s="233"/>
      <c r="ID41" s="233"/>
      <c r="IE41" s="233"/>
      <c r="IF41" s="233"/>
      <c r="IH41" s="231" t="s">
        <v>325</v>
      </c>
      <c r="II41" s="233"/>
      <c r="IJ41" s="233"/>
      <c r="IK41" s="233"/>
      <c r="IL41" s="233"/>
      <c r="IM41" s="233"/>
      <c r="IO41" s="231" t="s">
        <v>325</v>
      </c>
      <c r="IP41" s="233"/>
      <c r="IQ41" s="233"/>
      <c r="IR41" s="233"/>
      <c r="IS41" s="233"/>
      <c r="IT41" s="233"/>
      <c r="IV41" s="231" t="s">
        <v>325</v>
      </c>
      <c r="IW41" s="233"/>
      <c r="IX41" s="233"/>
      <c r="IY41" s="233"/>
      <c r="IZ41" s="233"/>
      <c r="JA41" s="233"/>
      <c r="JC41" s="231" t="s">
        <v>325</v>
      </c>
      <c r="JD41" s="233"/>
      <c r="JE41" s="233"/>
      <c r="JF41" s="233"/>
      <c r="JG41" s="233"/>
      <c r="JH41" s="233"/>
      <c r="JJ41" s="231" t="s">
        <v>325</v>
      </c>
      <c r="JK41" s="233"/>
      <c r="JL41" s="233"/>
      <c r="JM41" s="233"/>
      <c r="JN41" s="233"/>
      <c r="JO41" s="233"/>
      <c r="JQ41" s="231" t="s">
        <v>325</v>
      </c>
      <c r="JR41" s="233"/>
      <c r="JS41" s="233"/>
      <c r="JT41" s="233"/>
      <c r="JU41" s="233"/>
      <c r="JV41" s="233"/>
      <c r="JX41" s="231" t="s">
        <v>325</v>
      </c>
      <c r="JY41" s="233"/>
      <c r="JZ41" s="233"/>
      <c r="KA41" s="233"/>
      <c r="KB41" s="233"/>
      <c r="KC41" s="233"/>
      <c r="KE41" s="231" t="s">
        <v>325</v>
      </c>
      <c r="KF41" s="233"/>
      <c r="KG41" s="233"/>
      <c r="KH41" s="233"/>
      <c r="KI41" s="233"/>
      <c r="KJ41" s="233"/>
      <c r="KL41" s="231" t="s">
        <v>325</v>
      </c>
      <c r="KM41" s="233"/>
      <c r="KN41" s="233"/>
      <c r="KO41" s="233"/>
      <c r="KP41" s="233"/>
      <c r="KQ41" s="233"/>
      <c r="KS41" s="231" t="s">
        <v>325</v>
      </c>
      <c r="KT41" s="233"/>
      <c r="KU41" s="233"/>
      <c r="KV41" s="232"/>
      <c r="KW41" s="233"/>
      <c r="KX41" s="233"/>
      <c r="KZ41" s="231" t="s">
        <v>325</v>
      </c>
      <c r="LA41" s="233"/>
      <c r="LB41" s="234"/>
      <c r="LC41" s="234"/>
      <c r="LD41" s="234"/>
      <c r="LE41" s="233"/>
      <c r="LF41" s="581"/>
      <c r="LG41" s="231" t="s">
        <v>325</v>
      </c>
      <c r="LH41" s="234"/>
      <c r="LI41" s="234"/>
      <c r="LJ41" s="234"/>
      <c r="LK41" s="234"/>
      <c r="LL41" s="233"/>
      <c r="LM41" s="581"/>
      <c r="LN41" s="231" t="s">
        <v>325</v>
      </c>
      <c r="LO41" s="234"/>
      <c r="LP41" s="234"/>
      <c r="LQ41" s="234"/>
      <c r="LR41" s="234"/>
      <c r="LS41" s="233"/>
      <c r="LT41" s="581"/>
      <c r="LU41" s="231" t="s">
        <v>325</v>
      </c>
      <c r="LV41" s="234"/>
      <c r="LW41" s="234"/>
      <c r="LX41" s="234"/>
      <c r="LY41" s="234"/>
      <c r="LZ41" s="233"/>
      <c r="MA41" s="581"/>
      <c r="MB41" s="231" t="s">
        <v>325</v>
      </c>
      <c r="MC41" s="234"/>
      <c r="MD41" s="234"/>
      <c r="ME41" s="234"/>
      <c r="MF41" s="234"/>
      <c r="MG41" s="233"/>
      <c r="MH41" s="581"/>
    </row>
    <row r="42" spans="1:346" s="37" customFormat="1" ht="13.15" outlineLevel="1" x14ac:dyDescent="0.4">
      <c r="A42" s="48"/>
      <c r="B42" s="231" t="s">
        <v>310</v>
      </c>
      <c r="C42" s="235"/>
      <c r="D42" s="235"/>
      <c r="E42" s="235"/>
      <c r="F42" s="235"/>
      <c r="G42" s="235"/>
      <c r="H42" s="235"/>
      <c r="I42" s="235"/>
      <c r="J42" s="235"/>
      <c r="K42" s="235"/>
      <c r="L42" s="235"/>
      <c r="M42" s="235"/>
      <c r="N42" s="235">
        <f t="shared" ref="N42:N47" si="121">BT42</f>
        <v>0</v>
      </c>
      <c r="O42" s="235">
        <f t="shared" ref="O42:O47" si="122">CA42</f>
        <v>0</v>
      </c>
      <c r="P42" s="235">
        <f t="shared" ref="P42:P47" si="123">CH42</f>
        <v>0</v>
      </c>
      <c r="Q42" s="235">
        <f t="shared" ref="Q42:Q47" si="124">CO42</f>
        <v>70</v>
      </c>
      <c r="R42" s="235">
        <f t="shared" ref="R42:R47" si="125">CV42</f>
        <v>81</v>
      </c>
      <c r="S42" s="235">
        <f t="shared" ref="S42:S47" si="126">DC42</f>
        <v>89</v>
      </c>
      <c r="T42" s="235">
        <f t="shared" ref="T42:T47" si="127">DJ42</f>
        <v>85</v>
      </c>
      <c r="U42" s="235">
        <f t="shared" ref="U42:U47" si="128">DQ42</f>
        <v>63</v>
      </c>
      <c r="V42" s="235">
        <f t="shared" ref="V42:V47" si="129">DX42</f>
        <v>56</v>
      </c>
      <c r="W42" s="235">
        <f t="shared" ref="W42:W47" si="130">EE42</f>
        <v>50</v>
      </c>
      <c r="X42" s="235">
        <f t="shared" ref="X42:X47" si="131">EL42</f>
        <v>64</v>
      </c>
      <c r="Y42" s="235">
        <f t="shared" ref="Y42:Y47" si="132">ES42</f>
        <v>67</v>
      </c>
      <c r="Z42" s="235">
        <f t="shared" ref="Z42:Z47" si="133">EZ42</f>
        <v>65</v>
      </c>
      <c r="AA42" s="235">
        <f t="shared" ref="AA42:AA47" si="134">FG42</f>
        <v>67</v>
      </c>
      <c r="AB42" s="235">
        <f t="shared" ref="AB42:AB47" si="135">FN42</f>
        <v>73</v>
      </c>
      <c r="AC42" s="235">
        <f t="shared" ref="AC42:AC47" si="136">FU42</f>
        <v>78</v>
      </c>
      <c r="AD42" s="235">
        <f t="shared" ref="AD42:AD47" si="137">GB42</f>
        <v>79</v>
      </c>
      <c r="AE42" s="235">
        <f t="shared" ref="AE42:AE47" si="138">GI42</f>
        <v>82</v>
      </c>
      <c r="AF42" s="235">
        <f t="shared" ref="AF42:AF47" si="139">GP42</f>
        <v>81</v>
      </c>
      <c r="AG42" s="235">
        <f t="shared" ref="AG42:AG47" si="140">GW42</f>
        <v>76</v>
      </c>
      <c r="AH42" s="235">
        <f t="shared" ref="AH42:AH47" si="141">HD42</f>
        <v>0</v>
      </c>
      <c r="AI42" s="235">
        <f t="shared" ref="AI42:AI47" si="142">HK42</f>
        <v>0</v>
      </c>
      <c r="AJ42" s="235">
        <f t="shared" ref="AJ42:AJ47" si="143">HR42</f>
        <v>0</v>
      </c>
      <c r="AK42" s="235">
        <f t="shared" ref="AK42:AK47" si="144">HY42</f>
        <v>0</v>
      </c>
      <c r="AL42" s="235">
        <f t="shared" ref="AL42:AL47" si="145">IF42</f>
        <v>0</v>
      </c>
      <c r="AM42" s="235">
        <f t="shared" ref="AM42:AM47" si="146">IM42</f>
        <v>0</v>
      </c>
      <c r="AN42" s="235">
        <f t="shared" ref="AN42:AN47" si="147">IT42</f>
        <v>0</v>
      </c>
      <c r="AO42" s="235">
        <f t="shared" ref="AO42:AO47" si="148">JA42</f>
        <v>0</v>
      </c>
      <c r="AP42" s="235">
        <f t="shared" ref="AP42:AP47" si="149">JH42</f>
        <v>0</v>
      </c>
      <c r="AQ42" s="235">
        <f t="shared" ref="AQ42:AQ47" si="150">JO42</f>
        <v>0</v>
      </c>
      <c r="AR42" s="235">
        <f t="shared" ref="AR42:AR47" si="151">JV42</f>
        <v>0</v>
      </c>
      <c r="AS42" s="235">
        <f t="shared" ref="AS42:AS47" si="152">KC42</f>
        <v>0</v>
      </c>
      <c r="AT42" s="235">
        <f t="shared" ref="AT42:AT47" si="153">KJ42</f>
        <v>0</v>
      </c>
      <c r="AU42" s="235">
        <f t="shared" ref="AU42:AU47" si="154">KQ42</f>
        <v>0</v>
      </c>
      <c r="AV42" s="235">
        <f t="shared" ref="AV42:AV47" si="155">KX42</f>
        <v>0</v>
      </c>
      <c r="AW42" s="235">
        <f t="shared" ref="AW42:AW47" si="156">LE42</f>
        <v>0</v>
      </c>
      <c r="AX42" s="235">
        <f t="shared" ref="AX42:AX47" si="157">LL42</f>
        <v>0</v>
      </c>
      <c r="AY42" s="235">
        <f t="shared" ref="AY42:AY47" si="158">LS42</f>
        <v>0</v>
      </c>
      <c r="AZ42" s="235">
        <f t="shared" ref="AZ42:AZ47" si="159">LZ42</f>
        <v>0</v>
      </c>
      <c r="BA42" s="235">
        <f t="shared" ref="BA42:BA47" si="160">MG42</f>
        <v>0</v>
      </c>
      <c r="BB42" s="235"/>
      <c r="BC42" s="235"/>
      <c r="BD42" s="235"/>
      <c r="BE42" s="235"/>
      <c r="BF42" s="235"/>
      <c r="BG42" s="235"/>
      <c r="BH42" s="235"/>
      <c r="BI42" s="235"/>
      <c r="BJ42" s="235"/>
      <c r="BK42" s="235"/>
      <c r="BL42" s="235"/>
      <c r="BM42" s="235"/>
      <c r="BO42" s="231" t="s">
        <v>310</v>
      </c>
      <c r="BP42" s="233"/>
      <c r="BQ42" s="233"/>
      <c r="BR42" s="233"/>
      <c r="BS42" s="233"/>
      <c r="BT42" s="233"/>
      <c r="BV42" s="231" t="s">
        <v>310</v>
      </c>
      <c r="BW42" s="233"/>
      <c r="BX42" s="233"/>
      <c r="BY42" s="233"/>
      <c r="BZ42" s="233"/>
      <c r="CA42" s="233"/>
      <c r="CC42" s="231" t="s">
        <v>310</v>
      </c>
      <c r="CD42" s="233"/>
      <c r="CE42" s="233"/>
      <c r="CF42" s="233"/>
      <c r="CG42" s="233"/>
      <c r="CH42" s="233"/>
      <c r="CJ42" s="231" t="s">
        <v>310</v>
      </c>
      <c r="CK42" s="233">
        <v>17</v>
      </c>
      <c r="CL42" s="233">
        <v>17</v>
      </c>
      <c r="CM42" s="233">
        <v>17</v>
      </c>
      <c r="CN42" s="233">
        <v>19</v>
      </c>
      <c r="CO42" s="233">
        <f t="shared" ref="CO42:CO47" si="161">CK42+CL42+CM42+CN42</f>
        <v>70</v>
      </c>
      <c r="CQ42" s="231" t="s">
        <v>310</v>
      </c>
      <c r="CR42" s="233">
        <v>20</v>
      </c>
      <c r="CS42" s="233">
        <v>20</v>
      </c>
      <c r="CT42" s="233">
        <v>20</v>
      </c>
      <c r="CU42" s="233">
        <v>21</v>
      </c>
      <c r="CV42" s="233">
        <f t="shared" ref="CV42:CV47" si="162">CR42+CS42+CT42+CU42</f>
        <v>81</v>
      </c>
      <c r="CX42" s="231" t="s">
        <v>310</v>
      </c>
      <c r="CY42" s="233">
        <v>21</v>
      </c>
      <c r="CZ42" s="233">
        <v>23</v>
      </c>
      <c r="DA42" s="233">
        <v>22</v>
      </c>
      <c r="DB42" s="233">
        <v>23</v>
      </c>
      <c r="DC42" s="233">
        <f t="shared" ref="DC42:DC47" si="163">CY42+CZ42+DA42+DB42</f>
        <v>89</v>
      </c>
      <c r="DE42" s="231" t="s">
        <v>310</v>
      </c>
      <c r="DF42" s="233">
        <v>23</v>
      </c>
      <c r="DG42" s="233">
        <v>22</v>
      </c>
      <c r="DH42" s="233">
        <v>22</v>
      </c>
      <c r="DI42" s="233">
        <v>18</v>
      </c>
      <c r="DJ42" s="233">
        <f t="shared" ref="DJ42:DJ47" si="164">DF42+DG42+DH42+DI42</f>
        <v>85</v>
      </c>
      <c r="DL42" s="231" t="s">
        <v>310</v>
      </c>
      <c r="DM42" s="233">
        <v>19</v>
      </c>
      <c r="DN42" s="233">
        <v>18</v>
      </c>
      <c r="DO42" s="233">
        <v>15</v>
      </c>
      <c r="DP42" s="233">
        <v>11</v>
      </c>
      <c r="DQ42" s="233">
        <f t="shared" ref="DQ42:DQ47" si="165">DM42+DN42+DO42+DP42</f>
        <v>63</v>
      </c>
      <c r="DS42" s="231" t="s">
        <v>310</v>
      </c>
      <c r="DT42" s="233">
        <v>14</v>
      </c>
      <c r="DU42" s="233">
        <v>15</v>
      </c>
      <c r="DV42" s="233">
        <v>14</v>
      </c>
      <c r="DW42" s="233">
        <v>13</v>
      </c>
      <c r="DX42" s="233">
        <f t="shared" ref="DX42:DX47" si="166">DT42+DU42+DV42+DW42</f>
        <v>56</v>
      </c>
      <c r="DZ42" s="231" t="s">
        <v>310</v>
      </c>
      <c r="EA42" s="233">
        <v>11</v>
      </c>
      <c r="EB42" s="233">
        <v>13</v>
      </c>
      <c r="EC42" s="233">
        <v>13</v>
      </c>
      <c r="ED42" s="233">
        <v>13</v>
      </c>
      <c r="EE42" s="233">
        <f t="shared" ref="EE42:EE47" si="167">EA42+EB42+EC42+ED42</f>
        <v>50</v>
      </c>
      <c r="EG42" s="231" t="s">
        <v>310</v>
      </c>
      <c r="EH42" s="233">
        <v>13</v>
      </c>
      <c r="EI42" s="233">
        <v>15</v>
      </c>
      <c r="EJ42" s="233">
        <v>19</v>
      </c>
      <c r="EK42" s="233">
        <v>17</v>
      </c>
      <c r="EL42" s="233">
        <f t="shared" ref="EL42:EL47" si="168">EH42+EI42+EJ42+EK42</f>
        <v>64</v>
      </c>
      <c r="EN42" s="231" t="s">
        <v>310</v>
      </c>
      <c r="EO42" s="233">
        <v>17</v>
      </c>
      <c r="EP42" s="233">
        <v>18</v>
      </c>
      <c r="EQ42" s="233">
        <v>16</v>
      </c>
      <c r="ER42" s="233">
        <v>16</v>
      </c>
      <c r="ES42" s="233">
        <f t="shared" ref="ES42:ES47" si="169">EO42+EP42+EQ42+ER42</f>
        <v>67</v>
      </c>
      <c r="EU42" s="231" t="s">
        <v>310</v>
      </c>
      <c r="EV42" s="233">
        <v>17</v>
      </c>
      <c r="EW42" s="233">
        <v>16</v>
      </c>
      <c r="EX42" s="233">
        <v>15</v>
      </c>
      <c r="EY42" s="233">
        <v>17</v>
      </c>
      <c r="EZ42" s="233">
        <f t="shared" ref="EZ42:EZ47" si="170">EV42+EW42+EX42+EY42</f>
        <v>65</v>
      </c>
      <c r="FB42" s="231" t="s">
        <v>310</v>
      </c>
      <c r="FC42" s="233">
        <v>17</v>
      </c>
      <c r="FD42" s="233">
        <v>16</v>
      </c>
      <c r="FE42" s="233">
        <v>16</v>
      </c>
      <c r="FF42" s="233">
        <v>18</v>
      </c>
      <c r="FG42" s="233">
        <f t="shared" ref="FG42:FG47" si="171">FC42+FD42+FE42+FF42</f>
        <v>67</v>
      </c>
      <c r="FI42" s="231" t="s">
        <v>310</v>
      </c>
      <c r="FJ42" s="233">
        <v>19</v>
      </c>
      <c r="FK42" s="233">
        <v>18</v>
      </c>
      <c r="FL42" s="233">
        <v>17</v>
      </c>
      <c r="FM42" s="233">
        <v>19</v>
      </c>
      <c r="FN42" s="233">
        <f t="shared" ref="FN42:FN47" si="172">FJ42+FK42+FL42+FM42</f>
        <v>73</v>
      </c>
      <c r="FP42" s="231" t="s">
        <v>310</v>
      </c>
      <c r="FQ42" s="233">
        <v>19</v>
      </c>
      <c r="FR42" s="233">
        <v>18</v>
      </c>
      <c r="FS42" s="233">
        <v>19</v>
      </c>
      <c r="FT42" s="233">
        <v>22</v>
      </c>
      <c r="FU42" s="233">
        <f t="shared" ref="FU42:FU47" si="173">FQ42+FR42+FS42+FT42</f>
        <v>78</v>
      </c>
      <c r="FW42" s="231" t="s">
        <v>310</v>
      </c>
      <c r="FX42" s="233">
        <v>20</v>
      </c>
      <c r="FY42" s="233">
        <v>19</v>
      </c>
      <c r="FZ42" s="233">
        <v>20</v>
      </c>
      <c r="GA42" s="233">
        <v>20</v>
      </c>
      <c r="GB42" s="233">
        <f t="shared" ref="GB42:GB47" si="174">FX42+FY42+FZ42+GA42</f>
        <v>79</v>
      </c>
      <c r="GD42" s="231" t="s">
        <v>310</v>
      </c>
      <c r="GE42" s="233">
        <v>20</v>
      </c>
      <c r="GF42" s="233">
        <v>20</v>
      </c>
      <c r="GG42" s="233">
        <v>20</v>
      </c>
      <c r="GH42" s="233">
        <v>22</v>
      </c>
      <c r="GI42" s="233">
        <f t="shared" ref="GI42:GI47" si="175">GE42+GF42+GG42+GH42</f>
        <v>82</v>
      </c>
      <c r="GK42" s="231" t="s">
        <v>310</v>
      </c>
      <c r="GL42" s="233">
        <v>20</v>
      </c>
      <c r="GM42" s="233">
        <v>20</v>
      </c>
      <c r="GN42" s="233">
        <v>20</v>
      </c>
      <c r="GO42" s="233">
        <v>21</v>
      </c>
      <c r="GP42" s="233">
        <f t="shared" ref="GP42:GP47" si="176">GL42+GM42+GN42+GO42</f>
        <v>81</v>
      </c>
      <c r="GR42" s="231" t="s">
        <v>310</v>
      </c>
      <c r="GS42" s="233">
        <v>19</v>
      </c>
      <c r="GT42" s="233">
        <v>19</v>
      </c>
      <c r="GU42" s="233">
        <v>19</v>
      </c>
      <c r="GV42" s="233">
        <v>19</v>
      </c>
      <c r="GW42" s="233">
        <f t="shared" ref="GW42:GW47" si="177">GS42+GT42+GU42+GV42</f>
        <v>76</v>
      </c>
      <c r="GY42" s="231" t="s">
        <v>310</v>
      </c>
      <c r="GZ42" s="233"/>
      <c r="HA42" s="233"/>
      <c r="HB42" s="233"/>
      <c r="HC42" s="233"/>
      <c r="HD42" s="233"/>
      <c r="HF42" s="231" t="s">
        <v>310</v>
      </c>
      <c r="HG42" s="233"/>
      <c r="HH42" s="233"/>
      <c r="HI42" s="233"/>
      <c r="HJ42" s="233"/>
      <c r="HK42" s="233"/>
      <c r="HM42" s="231" t="s">
        <v>310</v>
      </c>
      <c r="HN42" s="233"/>
      <c r="HO42" s="233"/>
      <c r="HP42" s="233"/>
      <c r="HQ42" s="233"/>
      <c r="HR42" s="233"/>
      <c r="HT42" s="231" t="s">
        <v>310</v>
      </c>
      <c r="HU42" s="233"/>
      <c r="HV42" s="233"/>
      <c r="HW42" s="233"/>
      <c r="HX42" s="233"/>
      <c r="HY42" s="233"/>
      <c r="IA42" s="231" t="s">
        <v>310</v>
      </c>
      <c r="IB42" s="233"/>
      <c r="IC42" s="233"/>
      <c r="ID42" s="233"/>
      <c r="IE42" s="233"/>
      <c r="IF42" s="233"/>
      <c r="IH42" s="231" t="s">
        <v>310</v>
      </c>
      <c r="II42" s="233"/>
      <c r="IJ42" s="233"/>
      <c r="IK42" s="233"/>
      <c r="IL42" s="233"/>
      <c r="IM42" s="233"/>
      <c r="IO42" s="231" t="s">
        <v>310</v>
      </c>
      <c r="IP42" s="233"/>
      <c r="IQ42" s="233"/>
      <c r="IR42" s="233"/>
      <c r="IS42" s="233"/>
      <c r="IT42" s="233"/>
      <c r="IV42" s="231" t="s">
        <v>310</v>
      </c>
      <c r="IW42" s="233"/>
      <c r="IX42" s="233"/>
      <c r="IY42" s="233"/>
      <c r="IZ42" s="233"/>
      <c r="JA42" s="233"/>
      <c r="JC42" s="231" t="s">
        <v>310</v>
      </c>
      <c r="JD42" s="233"/>
      <c r="JE42" s="233"/>
      <c r="JF42" s="233"/>
      <c r="JG42" s="233"/>
      <c r="JH42" s="233"/>
      <c r="JJ42" s="231" t="s">
        <v>310</v>
      </c>
      <c r="JK42" s="233"/>
      <c r="JL42" s="233"/>
      <c r="JM42" s="233"/>
      <c r="JN42" s="233"/>
      <c r="JO42" s="233"/>
      <c r="JQ42" s="231" t="s">
        <v>310</v>
      </c>
      <c r="JR42" s="233"/>
      <c r="JS42" s="233"/>
      <c r="JT42" s="233"/>
      <c r="JU42" s="233"/>
      <c r="JV42" s="233"/>
      <c r="JX42" s="231" t="s">
        <v>310</v>
      </c>
      <c r="JY42" s="233"/>
      <c r="JZ42" s="233"/>
      <c r="KA42" s="233"/>
      <c r="KB42" s="233"/>
      <c r="KC42" s="233"/>
      <c r="KE42" s="231" t="s">
        <v>310</v>
      </c>
      <c r="KF42" s="233"/>
      <c r="KG42" s="233"/>
      <c r="KH42" s="233"/>
      <c r="KI42" s="233"/>
      <c r="KJ42" s="233"/>
      <c r="KL42" s="231" t="s">
        <v>310</v>
      </c>
      <c r="KM42" s="233"/>
      <c r="KN42" s="233"/>
      <c r="KO42" s="233"/>
      <c r="KP42" s="233"/>
      <c r="KQ42" s="233"/>
      <c r="KS42" s="231" t="s">
        <v>310</v>
      </c>
      <c r="KT42" s="233"/>
      <c r="KU42" s="233"/>
      <c r="KV42" s="232"/>
      <c r="KW42" s="233"/>
      <c r="KX42" s="233"/>
      <c r="KZ42" s="231" t="s">
        <v>310</v>
      </c>
      <c r="LA42" s="233"/>
      <c r="LB42" s="234"/>
      <c r="LC42" s="234"/>
      <c r="LD42" s="234"/>
      <c r="LE42" s="233"/>
      <c r="LF42" s="581"/>
      <c r="LG42" s="231" t="s">
        <v>310</v>
      </c>
      <c r="LH42" s="234"/>
      <c r="LI42" s="234"/>
      <c r="LJ42" s="234"/>
      <c r="LK42" s="234"/>
      <c r="LL42" s="233"/>
      <c r="LM42" s="581"/>
      <c r="LN42" s="231" t="s">
        <v>310</v>
      </c>
      <c r="LO42" s="234"/>
      <c r="LP42" s="234"/>
      <c r="LQ42" s="234"/>
      <c r="LR42" s="234"/>
      <c r="LS42" s="233"/>
      <c r="LT42" s="581"/>
      <c r="LU42" s="231" t="s">
        <v>310</v>
      </c>
      <c r="LV42" s="234"/>
      <c r="LW42" s="234"/>
      <c r="LX42" s="234"/>
      <c r="LY42" s="234"/>
      <c r="LZ42" s="233"/>
      <c r="MA42" s="581"/>
      <c r="MB42" s="231" t="s">
        <v>310</v>
      </c>
      <c r="MC42" s="234"/>
      <c r="MD42" s="234"/>
      <c r="ME42" s="234"/>
      <c r="MF42" s="234"/>
      <c r="MG42" s="233"/>
      <c r="MH42" s="581"/>
    </row>
    <row r="43" spans="1:346" s="37" customFormat="1" ht="13.15" outlineLevel="1" x14ac:dyDescent="0.4">
      <c r="A43" s="48"/>
      <c r="B43" s="231" t="s">
        <v>311</v>
      </c>
      <c r="C43" s="235"/>
      <c r="D43" s="235"/>
      <c r="E43" s="235"/>
      <c r="F43" s="235"/>
      <c r="G43" s="235"/>
      <c r="H43" s="235"/>
      <c r="I43" s="235"/>
      <c r="J43" s="235"/>
      <c r="K43" s="235"/>
      <c r="L43" s="235"/>
      <c r="M43" s="235"/>
      <c r="N43" s="235">
        <f t="shared" si="121"/>
        <v>0</v>
      </c>
      <c r="O43" s="235">
        <f t="shared" si="122"/>
        <v>0</v>
      </c>
      <c r="P43" s="235">
        <f t="shared" si="123"/>
        <v>0</v>
      </c>
      <c r="Q43" s="235">
        <f t="shared" si="124"/>
        <v>110</v>
      </c>
      <c r="R43" s="235">
        <f t="shared" si="125"/>
        <v>108</v>
      </c>
      <c r="S43" s="235">
        <f t="shared" si="126"/>
        <v>120</v>
      </c>
      <c r="T43" s="235">
        <f t="shared" si="127"/>
        <v>94</v>
      </c>
      <c r="U43" s="235">
        <f t="shared" si="128"/>
        <v>109</v>
      </c>
      <c r="V43" s="235">
        <f t="shared" si="129"/>
        <v>119</v>
      </c>
      <c r="W43" s="235">
        <f t="shared" si="130"/>
        <v>117</v>
      </c>
      <c r="X43" s="235">
        <f t="shared" si="131"/>
        <v>150</v>
      </c>
      <c r="Y43" s="235">
        <f t="shared" si="132"/>
        <v>194</v>
      </c>
      <c r="Z43" s="235">
        <f t="shared" si="133"/>
        <v>173</v>
      </c>
      <c r="AA43" s="235">
        <f t="shared" si="134"/>
        <v>179</v>
      </c>
      <c r="AB43" s="235">
        <f t="shared" si="135"/>
        <v>201</v>
      </c>
      <c r="AC43" s="235">
        <f t="shared" si="136"/>
        <v>200</v>
      </c>
      <c r="AD43" s="235">
        <f t="shared" si="137"/>
        <v>200</v>
      </c>
      <c r="AE43" s="235">
        <f t="shared" si="138"/>
        <v>192</v>
      </c>
      <c r="AF43" s="235">
        <f t="shared" si="139"/>
        <v>178</v>
      </c>
      <c r="AG43" s="235">
        <f t="shared" si="140"/>
        <v>200</v>
      </c>
      <c r="AH43" s="235">
        <f t="shared" si="141"/>
        <v>0</v>
      </c>
      <c r="AI43" s="235">
        <f t="shared" si="142"/>
        <v>0</v>
      </c>
      <c r="AJ43" s="235">
        <f t="shared" si="143"/>
        <v>0</v>
      </c>
      <c r="AK43" s="235">
        <f t="shared" si="144"/>
        <v>0</v>
      </c>
      <c r="AL43" s="235">
        <f t="shared" si="145"/>
        <v>0</v>
      </c>
      <c r="AM43" s="235">
        <f t="shared" si="146"/>
        <v>0</v>
      </c>
      <c r="AN43" s="235">
        <f t="shared" si="147"/>
        <v>0</v>
      </c>
      <c r="AO43" s="235">
        <f t="shared" si="148"/>
        <v>0</v>
      </c>
      <c r="AP43" s="235">
        <f t="shared" si="149"/>
        <v>0</v>
      </c>
      <c r="AQ43" s="235">
        <f t="shared" si="150"/>
        <v>0</v>
      </c>
      <c r="AR43" s="235">
        <f t="shared" si="151"/>
        <v>0</v>
      </c>
      <c r="AS43" s="235">
        <f t="shared" si="152"/>
        <v>0</v>
      </c>
      <c r="AT43" s="235">
        <f t="shared" si="153"/>
        <v>0</v>
      </c>
      <c r="AU43" s="235">
        <f t="shared" si="154"/>
        <v>0</v>
      </c>
      <c r="AV43" s="235">
        <f t="shared" si="155"/>
        <v>0</v>
      </c>
      <c r="AW43" s="235">
        <f t="shared" si="156"/>
        <v>0</v>
      </c>
      <c r="AX43" s="235">
        <f t="shared" si="157"/>
        <v>0</v>
      </c>
      <c r="AY43" s="235">
        <f t="shared" si="158"/>
        <v>0</v>
      </c>
      <c r="AZ43" s="235">
        <f t="shared" si="159"/>
        <v>0</v>
      </c>
      <c r="BA43" s="235">
        <f t="shared" si="160"/>
        <v>0</v>
      </c>
      <c r="BB43" s="235"/>
      <c r="BC43" s="235"/>
      <c r="BD43" s="235"/>
      <c r="BE43" s="235"/>
      <c r="BF43" s="235"/>
      <c r="BG43" s="235"/>
      <c r="BH43" s="235"/>
      <c r="BI43" s="235"/>
      <c r="BJ43" s="235"/>
      <c r="BK43" s="235"/>
      <c r="BL43" s="235"/>
      <c r="BM43" s="235"/>
      <c r="BO43" s="231" t="s">
        <v>311</v>
      </c>
      <c r="BP43" s="233"/>
      <c r="BQ43" s="233"/>
      <c r="BR43" s="233"/>
      <c r="BS43" s="233"/>
      <c r="BT43" s="233"/>
      <c r="BV43" s="231" t="s">
        <v>311</v>
      </c>
      <c r="BW43" s="233"/>
      <c r="BX43" s="233"/>
      <c r="BY43" s="233"/>
      <c r="BZ43" s="233"/>
      <c r="CA43" s="233"/>
      <c r="CC43" s="231" t="s">
        <v>311</v>
      </c>
      <c r="CD43" s="233"/>
      <c r="CE43" s="233"/>
      <c r="CF43" s="233"/>
      <c r="CG43" s="233"/>
      <c r="CH43" s="233"/>
      <c r="CJ43" s="231" t="s">
        <v>311</v>
      </c>
      <c r="CK43" s="233">
        <v>26</v>
      </c>
      <c r="CL43" s="233">
        <v>28</v>
      </c>
      <c r="CM43" s="233">
        <v>28</v>
      </c>
      <c r="CN43" s="233">
        <v>28</v>
      </c>
      <c r="CO43" s="233">
        <f t="shared" si="161"/>
        <v>110</v>
      </c>
      <c r="CQ43" s="231" t="s">
        <v>311</v>
      </c>
      <c r="CR43" s="233">
        <v>27</v>
      </c>
      <c r="CS43" s="233">
        <v>26</v>
      </c>
      <c r="CT43" s="233">
        <v>26</v>
      </c>
      <c r="CU43" s="233">
        <v>29</v>
      </c>
      <c r="CV43" s="233">
        <f t="shared" si="162"/>
        <v>108</v>
      </c>
      <c r="CX43" s="231" t="s">
        <v>311</v>
      </c>
      <c r="CY43" s="233">
        <v>31</v>
      </c>
      <c r="CZ43" s="233">
        <v>30</v>
      </c>
      <c r="DA43" s="233">
        <v>29</v>
      </c>
      <c r="DB43" s="233">
        <v>30</v>
      </c>
      <c r="DC43" s="233">
        <f t="shared" si="163"/>
        <v>120</v>
      </c>
      <c r="DE43" s="231" t="s">
        <v>311</v>
      </c>
      <c r="DF43" s="233">
        <v>22</v>
      </c>
      <c r="DG43" s="233">
        <v>27</v>
      </c>
      <c r="DH43" s="233">
        <v>22</v>
      </c>
      <c r="DI43" s="233">
        <v>23</v>
      </c>
      <c r="DJ43" s="233">
        <f t="shared" si="164"/>
        <v>94</v>
      </c>
      <c r="DL43" s="231" t="s">
        <v>311</v>
      </c>
      <c r="DM43" s="233">
        <v>27</v>
      </c>
      <c r="DN43" s="233">
        <v>25</v>
      </c>
      <c r="DO43" s="233">
        <v>29</v>
      </c>
      <c r="DP43" s="233">
        <v>28</v>
      </c>
      <c r="DQ43" s="233">
        <f t="shared" si="165"/>
        <v>109</v>
      </c>
      <c r="DS43" s="231" t="s">
        <v>311</v>
      </c>
      <c r="DT43" s="233">
        <v>32</v>
      </c>
      <c r="DU43" s="233">
        <v>28</v>
      </c>
      <c r="DV43" s="233">
        <v>31</v>
      </c>
      <c r="DW43" s="233">
        <v>28</v>
      </c>
      <c r="DX43" s="233">
        <f t="shared" si="166"/>
        <v>119</v>
      </c>
      <c r="DZ43" s="231" t="s">
        <v>311</v>
      </c>
      <c r="EA43" s="233">
        <v>29</v>
      </c>
      <c r="EB43" s="233">
        <v>29</v>
      </c>
      <c r="EC43" s="233">
        <v>29</v>
      </c>
      <c r="ED43" s="233">
        <v>30</v>
      </c>
      <c r="EE43" s="233">
        <f t="shared" si="167"/>
        <v>117</v>
      </c>
      <c r="EG43" s="231" t="s">
        <v>311</v>
      </c>
      <c r="EH43" s="233">
        <v>30</v>
      </c>
      <c r="EI43" s="233">
        <v>33</v>
      </c>
      <c r="EJ43" s="233">
        <v>44</v>
      </c>
      <c r="EK43" s="233">
        <v>43</v>
      </c>
      <c r="EL43" s="233">
        <f t="shared" si="168"/>
        <v>150</v>
      </c>
      <c r="EN43" s="231" t="s">
        <v>311</v>
      </c>
      <c r="EO43" s="233">
        <v>51</v>
      </c>
      <c r="EP43" s="233">
        <v>47</v>
      </c>
      <c r="EQ43" s="233">
        <v>49</v>
      </c>
      <c r="ER43" s="233">
        <v>47</v>
      </c>
      <c r="ES43" s="233">
        <f t="shared" si="169"/>
        <v>194</v>
      </c>
      <c r="EU43" s="231" t="s">
        <v>311</v>
      </c>
      <c r="EV43" s="233">
        <v>44</v>
      </c>
      <c r="EW43" s="233">
        <v>43</v>
      </c>
      <c r="EX43" s="233">
        <v>41</v>
      </c>
      <c r="EY43" s="233">
        <v>45</v>
      </c>
      <c r="EZ43" s="233">
        <f t="shared" si="170"/>
        <v>173</v>
      </c>
      <c r="FB43" s="231" t="s">
        <v>311</v>
      </c>
      <c r="FC43" s="233">
        <v>41</v>
      </c>
      <c r="FD43" s="233">
        <v>44</v>
      </c>
      <c r="FE43" s="233">
        <v>46</v>
      </c>
      <c r="FF43" s="233">
        <v>48</v>
      </c>
      <c r="FG43" s="233">
        <f t="shared" si="171"/>
        <v>179</v>
      </c>
      <c r="FI43" s="231" t="s">
        <v>311</v>
      </c>
      <c r="FJ43" s="233">
        <v>49</v>
      </c>
      <c r="FK43" s="233">
        <v>47</v>
      </c>
      <c r="FL43" s="233">
        <v>48</v>
      </c>
      <c r="FM43" s="233">
        <v>57</v>
      </c>
      <c r="FN43" s="233">
        <f t="shared" si="172"/>
        <v>201</v>
      </c>
      <c r="FP43" s="231" t="s">
        <v>311</v>
      </c>
      <c r="FQ43" s="233">
        <v>51</v>
      </c>
      <c r="FR43" s="233">
        <v>50</v>
      </c>
      <c r="FS43" s="233">
        <v>51</v>
      </c>
      <c r="FT43" s="233">
        <v>48</v>
      </c>
      <c r="FU43" s="233">
        <f t="shared" si="173"/>
        <v>200</v>
      </c>
      <c r="FW43" s="231" t="s">
        <v>311</v>
      </c>
      <c r="FX43" s="233">
        <v>52</v>
      </c>
      <c r="FY43" s="233">
        <v>45</v>
      </c>
      <c r="FZ43" s="233">
        <v>46</v>
      </c>
      <c r="GA43" s="233">
        <v>57</v>
      </c>
      <c r="GB43" s="233">
        <f t="shared" si="174"/>
        <v>200</v>
      </c>
      <c r="GD43" s="231" t="s">
        <v>311</v>
      </c>
      <c r="GE43" s="233">
        <v>44</v>
      </c>
      <c r="GF43" s="233">
        <v>54</v>
      </c>
      <c r="GG43" s="233">
        <v>45</v>
      </c>
      <c r="GH43" s="233">
        <v>49</v>
      </c>
      <c r="GI43" s="233">
        <f t="shared" si="175"/>
        <v>192</v>
      </c>
      <c r="GK43" s="231" t="s">
        <v>311</v>
      </c>
      <c r="GL43" s="233">
        <v>43</v>
      </c>
      <c r="GM43" s="233">
        <v>44</v>
      </c>
      <c r="GN43" s="233">
        <v>47</v>
      </c>
      <c r="GO43" s="233">
        <v>44</v>
      </c>
      <c r="GP43" s="233">
        <f t="shared" si="176"/>
        <v>178</v>
      </c>
      <c r="GR43" s="231" t="s">
        <v>311</v>
      </c>
      <c r="GS43" s="233">
        <v>49</v>
      </c>
      <c r="GT43" s="233">
        <v>51</v>
      </c>
      <c r="GU43" s="233">
        <v>47</v>
      </c>
      <c r="GV43" s="233">
        <v>53</v>
      </c>
      <c r="GW43" s="233">
        <f t="shared" si="177"/>
        <v>200</v>
      </c>
      <c r="GY43" s="231" t="s">
        <v>311</v>
      </c>
      <c r="GZ43" s="233"/>
      <c r="HA43" s="233"/>
      <c r="HB43" s="233"/>
      <c r="HC43" s="233"/>
      <c r="HD43" s="233"/>
      <c r="HF43" s="231" t="s">
        <v>311</v>
      </c>
      <c r="HG43" s="233"/>
      <c r="HH43" s="233"/>
      <c r="HI43" s="233"/>
      <c r="HJ43" s="233"/>
      <c r="HK43" s="233"/>
      <c r="HM43" s="231" t="s">
        <v>311</v>
      </c>
      <c r="HN43" s="233"/>
      <c r="HO43" s="233"/>
      <c r="HP43" s="233"/>
      <c r="HQ43" s="233"/>
      <c r="HR43" s="233"/>
      <c r="HT43" s="231" t="s">
        <v>311</v>
      </c>
      <c r="HU43" s="233"/>
      <c r="HV43" s="233"/>
      <c r="HW43" s="233"/>
      <c r="HX43" s="233"/>
      <c r="HY43" s="233"/>
      <c r="IA43" s="231" t="s">
        <v>311</v>
      </c>
      <c r="IB43" s="233"/>
      <c r="IC43" s="233"/>
      <c r="ID43" s="233"/>
      <c r="IE43" s="233"/>
      <c r="IF43" s="233"/>
      <c r="IH43" s="231" t="s">
        <v>311</v>
      </c>
      <c r="II43" s="233"/>
      <c r="IJ43" s="233"/>
      <c r="IK43" s="233"/>
      <c r="IL43" s="233"/>
      <c r="IM43" s="233"/>
      <c r="IO43" s="231" t="s">
        <v>311</v>
      </c>
      <c r="IP43" s="233"/>
      <c r="IQ43" s="233"/>
      <c r="IR43" s="233"/>
      <c r="IS43" s="233"/>
      <c r="IT43" s="233"/>
      <c r="IV43" s="231" t="s">
        <v>311</v>
      </c>
      <c r="IW43" s="233"/>
      <c r="IX43" s="233"/>
      <c r="IY43" s="233"/>
      <c r="IZ43" s="233"/>
      <c r="JA43" s="233"/>
      <c r="JC43" s="231" t="s">
        <v>311</v>
      </c>
      <c r="JD43" s="233"/>
      <c r="JE43" s="233"/>
      <c r="JF43" s="233"/>
      <c r="JG43" s="233"/>
      <c r="JH43" s="233"/>
      <c r="JJ43" s="231" t="s">
        <v>311</v>
      </c>
      <c r="JK43" s="233"/>
      <c r="JL43" s="233"/>
      <c r="JM43" s="233"/>
      <c r="JN43" s="233"/>
      <c r="JO43" s="233"/>
      <c r="JQ43" s="231" t="s">
        <v>311</v>
      </c>
      <c r="JR43" s="233"/>
      <c r="JS43" s="233"/>
      <c r="JT43" s="233"/>
      <c r="JU43" s="233"/>
      <c r="JV43" s="233"/>
      <c r="JX43" s="231" t="s">
        <v>311</v>
      </c>
      <c r="JY43" s="233"/>
      <c r="JZ43" s="233"/>
      <c r="KA43" s="233"/>
      <c r="KB43" s="233"/>
      <c r="KC43" s="233"/>
      <c r="KE43" s="231" t="s">
        <v>311</v>
      </c>
      <c r="KF43" s="233"/>
      <c r="KG43" s="233"/>
      <c r="KH43" s="233"/>
      <c r="KI43" s="233"/>
      <c r="KJ43" s="233"/>
      <c r="KL43" s="231" t="s">
        <v>311</v>
      </c>
      <c r="KM43" s="233"/>
      <c r="KN43" s="233"/>
      <c r="KO43" s="233"/>
      <c r="KP43" s="233"/>
      <c r="KQ43" s="233"/>
      <c r="KS43" s="231" t="s">
        <v>311</v>
      </c>
      <c r="KT43" s="233"/>
      <c r="KU43" s="233"/>
      <c r="KV43" s="232"/>
      <c r="KW43" s="233"/>
      <c r="KX43" s="233"/>
      <c r="KZ43" s="231" t="s">
        <v>311</v>
      </c>
      <c r="LA43" s="233"/>
      <c r="LB43" s="234"/>
      <c r="LC43" s="234"/>
      <c r="LD43" s="234"/>
      <c r="LE43" s="233"/>
      <c r="LF43" s="581"/>
      <c r="LG43" s="231" t="s">
        <v>311</v>
      </c>
      <c r="LH43" s="234"/>
      <c r="LI43" s="234"/>
      <c r="LJ43" s="234"/>
      <c r="LK43" s="234"/>
      <c r="LL43" s="233"/>
      <c r="LM43" s="581"/>
      <c r="LN43" s="231" t="s">
        <v>311</v>
      </c>
      <c r="LO43" s="234"/>
      <c r="LP43" s="234"/>
      <c r="LQ43" s="234"/>
      <c r="LR43" s="234"/>
      <c r="LS43" s="233"/>
      <c r="LT43" s="581"/>
      <c r="LU43" s="231" t="s">
        <v>311</v>
      </c>
      <c r="LV43" s="234"/>
      <c r="LW43" s="234"/>
      <c r="LX43" s="234"/>
      <c r="LY43" s="234"/>
      <c r="LZ43" s="233"/>
      <c r="MA43" s="581"/>
      <c r="MB43" s="231" t="s">
        <v>311</v>
      </c>
      <c r="MC43" s="234"/>
      <c r="MD43" s="234"/>
      <c r="ME43" s="234"/>
      <c r="MF43" s="234"/>
      <c r="MG43" s="233"/>
      <c r="MH43" s="581"/>
    </row>
    <row r="44" spans="1:346" s="37" customFormat="1" ht="13.15" outlineLevel="1" x14ac:dyDescent="0.4">
      <c r="A44" s="48"/>
      <c r="B44" s="231" t="s">
        <v>312</v>
      </c>
      <c r="C44" s="235"/>
      <c r="D44" s="235"/>
      <c r="E44" s="235"/>
      <c r="F44" s="235"/>
      <c r="G44" s="235"/>
      <c r="H44" s="235"/>
      <c r="I44" s="235"/>
      <c r="J44" s="235"/>
      <c r="K44" s="235"/>
      <c r="L44" s="235"/>
      <c r="M44" s="235"/>
      <c r="N44" s="235">
        <f t="shared" si="121"/>
        <v>0</v>
      </c>
      <c r="O44" s="235">
        <f t="shared" si="122"/>
        <v>0</v>
      </c>
      <c r="P44" s="235">
        <f t="shared" si="123"/>
        <v>0</v>
      </c>
      <c r="Q44" s="235">
        <f t="shared" si="124"/>
        <v>54</v>
      </c>
      <c r="R44" s="235">
        <f t="shared" si="125"/>
        <v>64</v>
      </c>
      <c r="S44" s="235">
        <f t="shared" si="126"/>
        <v>67</v>
      </c>
      <c r="T44" s="235">
        <f t="shared" si="127"/>
        <v>72</v>
      </c>
      <c r="U44" s="235">
        <f t="shared" si="128"/>
        <v>73</v>
      </c>
      <c r="V44" s="235">
        <f t="shared" si="129"/>
        <v>77</v>
      </c>
      <c r="W44" s="235">
        <f t="shared" si="130"/>
        <v>81</v>
      </c>
      <c r="X44" s="235">
        <f t="shared" si="131"/>
        <v>123</v>
      </c>
      <c r="Y44" s="235">
        <f t="shared" si="132"/>
        <v>131</v>
      </c>
      <c r="Z44" s="235">
        <f t="shared" si="133"/>
        <v>123</v>
      </c>
      <c r="AA44" s="235">
        <f t="shared" si="134"/>
        <v>131</v>
      </c>
      <c r="AB44" s="235">
        <f t="shared" si="135"/>
        <v>144</v>
      </c>
      <c r="AC44" s="235">
        <f t="shared" si="136"/>
        <v>145</v>
      </c>
      <c r="AD44" s="235">
        <f t="shared" si="137"/>
        <v>133</v>
      </c>
      <c r="AE44" s="235">
        <f t="shared" si="138"/>
        <v>130</v>
      </c>
      <c r="AF44" s="235">
        <f t="shared" si="139"/>
        <v>110</v>
      </c>
      <c r="AG44" s="235">
        <f t="shared" si="140"/>
        <v>108</v>
      </c>
      <c r="AH44" s="235">
        <f t="shared" si="141"/>
        <v>0</v>
      </c>
      <c r="AI44" s="235">
        <f t="shared" si="142"/>
        <v>0</v>
      </c>
      <c r="AJ44" s="235">
        <f t="shared" si="143"/>
        <v>0</v>
      </c>
      <c r="AK44" s="235">
        <f t="shared" si="144"/>
        <v>0</v>
      </c>
      <c r="AL44" s="235">
        <f t="shared" si="145"/>
        <v>0</v>
      </c>
      <c r="AM44" s="235">
        <f t="shared" si="146"/>
        <v>0</v>
      </c>
      <c r="AN44" s="235">
        <f t="shared" si="147"/>
        <v>0</v>
      </c>
      <c r="AO44" s="235">
        <f t="shared" si="148"/>
        <v>0</v>
      </c>
      <c r="AP44" s="235">
        <f t="shared" si="149"/>
        <v>0</v>
      </c>
      <c r="AQ44" s="235">
        <f t="shared" si="150"/>
        <v>0</v>
      </c>
      <c r="AR44" s="235">
        <f t="shared" si="151"/>
        <v>0</v>
      </c>
      <c r="AS44" s="235">
        <f t="shared" si="152"/>
        <v>0</v>
      </c>
      <c r="AT44" s="235">
        <f t="shared" si="153"/>
        <v>0</v>
      </c>
      <c r="AU44" s="235">
        <f t="shared" si="154"/>
        <v>0</v>
      </c>
      <c r="AV44" s="235">
        <f t="shared" si="155"/>
        <v>0</v>
      </c>
      <c r="AW44" s="235">
        <f t="shared" si="156"/>
        <v>0</v>
      </c>
      <c r="AX44" s="235">
        <f t="shared" si="157"/>
        <v>0</v>
      </c>
      <c r="AY44" s="235">
        <f t="shared" si="158"/>
        <v>0</v>
      </c>
      <c r="AZ44" s="235">
        <f t="shared" si="159"/>
        <v>0</v>
      </c>
      <c r="BA44" s="235">
        <f t="shared" si="160"/>
        <v>0</v>
      </c>
      <c r="BB44" s="235"/>
      <c r="BC44" s="235"/>
      <c r="BD44" s="235"/>
      <c r="BE44" s="235"/>
      <c r="BF44" s="235"/>
      <c r="BG44" s="235"/>
      <c r="BH44" s="235"/>
      <c r="BI44" s="235"/>
      <c r="BJ44" s="235"/>
      <c r="BK44" s="235"/>
      <c r="BL44" s="235"/>
      <c r="BM44" s="235"/>
      <c r="BO44" s="231" t="s">
        <v>312</v>
      </c>
      <c r="BP44" s="233"/>
      <c r="BQ44" s="233"/>
      <c r="BR44" s="233"/>
      <c r="BS44" s="233"/>
      <c r="BT44" s="233"/>
      <c r="BV44" s="231" t="s">
        <v>312</v>
      </c>
      <c r="BW44" s="233"/>
      <c r="BX44" s="233"/>
      <c r="BY44" s="233"/>
      <c r="BZ44" s="233"/>
      <c r="CA44" s="233"/>
      <c r="CC44" s="231" t="s">
        <v>312</v>
      </c>
      <c r="CD44" s="233"/>
      <c r="CE44" s="233"/>
      <c r="CF44" s="233"/>
      <c r="CG44" s="233"/>
      <c r="CH44" s="233"/>
      <c r="CJ44" s="231" t="s">
        <v>312</v>
      </c>
      <c r="CK44" s="233">
        <v>12</v>
      </c>
      <c r="CL44" s="233">
        <v>12</v>
      </c>
      <c r="CM44" s="233">
        <v>13</v>
      </c>
      <c r="CN44" s="233">
        <v>17</v>
      </c>
      <c r="CO44" s="233">
        <f t="shared" si="161"/>
        <v>54</v>
      </c>
      <c r="CQ44" s="231" t="s">
        <v>312</v>
      </c>
      <c r="CR44" s="233">
        <v>14</v>
      </c>
      <c r="CS44" s="233">
        <v>16</v>
      </c>
      <c r="CT44" s="233">
        <v>16</v>
      </c>
      <c r="CU44" s="233">
        <v>18</v>
      </c>
      <c r="CV44" s="233">
        <f t="shared" si="162"/>
        <v>64</v>
      </c>
      <c r="CX44" s="231" t="s">
        <v>312</v>
      </c>
      <c r="CY44" s="233">
        <v>17</v>
      </c>
      <c r="CZ44" s="233">
        <v>16</v>
      </c>
      <c r="DA44" s="233">
        <v>17</v>
      </c>
      <c r="DB44" s="233">
        <v>17</v>
      </c>
      <c r="DC44" s="233">
        <f t="shared" si="163"/>
        <v>67</v>
      </c>
      <c r="DE44" s="231" t="s">
        <v>312</v>
      </c>
      <c r="DF44" s="233">
        <v>18</v>
      </c>
      <c r="DG44" s="233">
        <v>18</v>
      </c>
      <c r="DH44" s="233">
        <v>17</v>
      </c>
      <c r="DI44" s="233">
        <v>19</v>
      </c>
      <c r="DJ44" s="233">
        <f t="shared" si="164"/>
        <v>72</v>
      </c>
      <c r="DL44" s="231" t="s">
        <v>312</v>
      </c>
      <c r="DM44" s="233">
        <v>18</v>
      </c>
      <c r="DN44" s="233">
        <v>18</v>
      </c>
      <c r="DO44" s="233">
        <v>17</v>
      </c>
      <c r="DP44" s="233">
        <v>20</v>
      </c>
      <c r="DQ44" s="233">
        <f t="shared" si="165"/>
        <v>73</v>
      </c>
      <c r="DS44" s="231" t="s">
        <v>312</v>
      </c>
      <c r="DT44" s="233">
        <v>20</v>
      </c>
      <c r="DU44" s="233">
        <v>19</v>
      </c>
      <c r="DV44" s="233">
        <v>19</v>
      </c>
      <c r="DW44" s="233">
        <v>19</v>
      </c>
      <c r="DX44" s="233">
        <f t="shared" si="166"/>
        <v>77</v>
      </c>
      <c r="DZ44" s="231" t="s">
        <v>312</v>
      </c>
      <c r="EA44" s="233">
        <v>20</v>
      </c>
      <c r="EB44" s="233">
        <v>20</v>
      </c>
      <c r="EC44" s="233">
        <v>19</v>
      </c>
      <c r="ED44" s="233">
        <v>22</v>
      </c>
      <c r="EE44" s="233">
        <f t="shared" si="167"/>
        <v>81</v>
      </c>
      <c r="EG44" s="231" t="s">
        <v>312</v>
      </c>
      <c r="EH44" s="233">
        <v>23</v>
      </c>
      <c r="EI44" s="233">
        <v>28</v>
      </c>
      <c r="EJ44" s="233">
        <v>33</v>
      </c>
      <c r="EK44" s="233">
        <v>39</v>
      </c>
      <c r="EL44" s="233">
        <f t="shared" si="168"/>
        <v>123</v>
      </c>
      <c r="EN44" s="231" t="s">
        <v>312</v>
      </c>
      <c r="EO44" s="233">
        <v>35</v>
      </c>
      <c r="EP44" s="233">
        <v>35</v>
      </c>
      <c r="EQ44" s="233">
        <v>29</v>
      </c>
      <c r="ER44" s="233">
        <v>32</v>
      </c>
      <c r="ES44" s="233">
        <f t="shared" si="169"/>
        <v>131</v>
      </c>
      <c r="EU44" s="231" t="s">
        <v>312</v>
      </c>
      <c r="EV44" s="233">
        <v>28</v>
      </c>
      <c r="EW44" s="233">
        <v>30</v>
      </c>
      <c r="EX44" s="233">
        <v>32</v>
      </c>
      <c r="EY44" s="233">
        <v>33</v>
      </c>
      <c r="EZ44" s="233">
        <f t="shared" si="170"/>
        <v>123</v>
      </c>
      <c r="FB44" s="231" t="s">
        <v>312</v>
      </c>
      <c r="FC44" s="233">
        <v>31</v>
      </c>
      <c r="FD44" s="233">
        <v>33</v>
      </c>
      <c r="FE44" s="233">
        <v>34</v>
      </c>
      <c r="FF44" s="233">
        <v>33</v>
      </c>
      <c r="FG44" s="233">
        <f t="shared" si="171"/>
        <v>131</v>
      </c>
      <c r="FI44" s="231" t="s">
        <v>312</v>
      </c>
      <c r="FJ44" s="233">
        <v>31</v>
      </c>
      <c r="FK44" s="233">
        <v>39</v>
      </c>
      <c r="FL44" s="233">
        <v>38</v>
      </c>
      <c r="FM44" s="233">
        <v>36</v>
      </c>
      <c r="FN44" s="233">
        <f t="shared" si="172"/>
        <v>144</v>
      </c>
      <c r="FP44" s="231" t="s">
        <v>312</v>
      </c>
      <c r="FQ44" s="233">
        <v>38</v>
      </c>
      <c r="FR44" s="233">
        <v>41</v>
      </c>
      <c r="FS44" s="233">
        <v>36</v>
      </c>
      <c r="FT44" s="233">
        <v>30</v>
      </c>
      <c r="FU44" s="233">
        <f t="shared" si="173"/>
        <v>145</v>
      </c>
      <c r="FW44" s="231" t="s">
        <v>312</v>
      </c>
      <c r="FX44" s="233">
        <v>34</v>
      </c>
      <c r="FY44" s="233">
        <v>33</v>
      </c>
      <c r="FZ44" s="233">
        <v>30</v>
      </c>
      <c r="GA44" s="233">
        <v>36</v>
      </c>
      <c r="GB44" s="233">
        <f t="shared" si="174"/>
        <v>133</v>
      </c>
      <c r="GD44" s="231" t="s">
        <v>312</v>
      </c>
      <c r="GE44" s="233">
        <v>31</v>
      </c>
      <c r="GF44" s="233">
        <v>33</v>
      </c>
      <c r="GG44" s="233">
        <v>34</v>
      </c>
      <c r="GH44" s="233">
        <v>32</v>
      </c>
      <c r="GI44" s="233">
        <f t="shared" si="175"/>
        <v>130</v>
      </c>
      <c r="GK44" s="231" t="s">
        <v>312</v>
      </c>
      <c r="GL44" s="233">
        <v>29</v>
      </c>
      <c r="GM44" s="233">
        <v>27</v>
      </c>
      <c r="GN44" s="233">
        <v>26</v>
      </c>
      <c r="GO44" s="233">
        <v>28</v>
      </c>
      <c r="GP44" s="233">
        <f t="shared" si="176"/>
        <v>110</v>
      </c>
      <c r="GR44" s="231" t="s">
        <v>312</v>
      </c>
      <c r="GS44" s="233">
        <v>27</v>
      </c>
      <c r="GT44" s="233">
        <v>26</v>
      </c>
      <c r="GU44" s="233">
        <v>28</v>
      </c>
      <c r="GV44" s="233">
        <v>27</v>
      </c>
      <c r="GW44" s="233">
        <f t="shared" si="177"/>
        <v>108</v>
      </c>
      <c r="GY44" s="231" t="s">
        <v>312</v>
      </c>
      <c r="GZ44" s="233"/>
      <c r="HA44" s="233"/>
      <c r="HB44" s="233"/>
      <c r="HC44" s="233"/>
      <c r="HD44" s="233"/>
      <c r="HF44" s="231" t="s">
        <v>312</v>
      </c>
      <c r="HG44" s="233"/>
      <c r="HH44" s="233"/>
      <c r="HI44" s="233"/>
      <c r="HJ44" s="233"/>
      <c r="HK44" s="233"/>
      <c r="HM44" s="231" t="s">
        <v>312</v>
      </c>
      <c r="HN44" s="233"/>
      <c r="HO44" s="233"/>
      <c r="HP44" s="233"/>
      <c r="HQ44" s="233"/>
      <c r="HR44" s="233"/>
      <c r="HT44" s="231" t="s">
        <v>312</v>
      </c>
      <c r="HU44" s="233"/>
      <c r="HV44" s="233"/>
      <c r="HW44" s="233"/>
      <c r="HX44" s="233"/>
      <c r="HY44" s="233"/>
      <c r="IA44" s="231" t="s">
        <v>312</v>
      </c>
      <c r="IB44" s="233"/>
      <c r="IC44" s="233"/>
      <c r="ID44" s="233"/>
      <c r="IE44" s="233"/>
      <c r="IF44" s="233"/>
      <c r="IH44" s="231" t="s">
        <v>312</v>
      </c>
      <c r="II44" s="233"/>
      <c r="IJ44" s="233"/>
      <c r="IK44" s="233"/>
      <c r="IL44" s="233"/>
      <c r="IM44" s="233"/>
      <c r="IO44" s="231" t="s">
        <v>312</v>
      </c>
      <c r="IP44" s="233"/>
      <c r="IQ44" s="233"/>
      <c r="IR44" s="233"/>
      <c r="IS44" s="233"/>
      <c r="IT44" s="233"/>
      <c r="IV44" s="231" t="s">
        <v>312</v>
      </c>
      <c r="IW44" s="233"/>
      <c r="IX44" s="233"/>
      <c r="IY44" s="233"/>
      <c r="IZ44" s="233"/>
      <c r="JA44" s="233"/>
      <c r="JC44" s="231" t="s">
        <v>312</v>
      </c>
      <c r="JD44" s="233"/>
      <c r="JE44" s="233"/>
      <c r="JF44" s="233"/>
      <c r="JG44" s="233"/>
      <c r="JH44" s="233"/>
      <c r="JJ44" s="231" t="s">
        <v>312</v>
      </c>
      <c r="JK44" s="233"/>
      <c r="JL44" s="233"/>
      <c r="JM44" s="233"/>
      <c r="JN44" s="233"/>
      <c r="JO44" s="233"/>
      <c r="JQ44" s="231" t="s">
        <v>312</v>
      </c>
      <c r="JR44" s="233"/>
      <c r="JS44" s="233"/>
      <c r="JT44" s="233"/>
      <c r="JU44" s="233"/>
      <c r="JV44" s="233"/>
      <c r="JX44" s="231" t="s">
        <v>312</v>
      </c>
      <c r="JY44" s="233"/>
      <c r="JZ44" s="233"/>
      <c r="KA44" s="233"/>
      <c r="KB44" s="233"/>
      <c r="KC44" s="233"/>
      <c r="KE44" s="231" t="s">
        <v>312</v>
      </c>
      <c r="KF44" s="233"/>
      <c r="KG44" s="233"/>
      <c r="KH44" s="233"/>
      <c r="KI44" s="233"/>
      <c r="KJ44" s="233"/>
      <c r="KL44" s="231" t="s">
        <v>312</v>
      </c>
      <c r="KM44" s="233"/>
      <c r="KN44" s="233"/>
      <c r="KO44" s="233"/>
      <c r="KP44" s="233"/>
      <c r="KQ44" s="233"/>
      <c r="KS44" s="231" t="s">
        <v>312</v>
      </c>
      <c r="KT44" s="233"/>
      <c r="KU44" s="233"/>
      <c r="KV44" s="232"/>
      <c r="KW44" s="233"/>
      <c r="KX44" s="233"/>
      <c r="KZ44" s="231" t="s">
        <v>312</v>
      </c>
      <c r="LA44" s="233"/>
      <c r="LB44" s="234"/>
      <c r="LC44" s="234"/>
      <c r="LD44" s="234"/>
      <c r="LE44" s="233"/>
      <c r="LF44" s="581"/>
      <c r="LG44" s="231" t="s">
        <v>312</v>
      </c>
      <c r="LH44" s="234"/>
      <c r="LI44" s="234"/>
      <c r="LJ44" s="234"/>
      <c r="LK44" s="234"/>
      <c r="LL44" s="233"/>
      <c r="LM44" s="581"/>
      <c r="LN44" s="231" t="s">
        <v>312</v>
      </c>
      <c r="LO44" s="234"/>
      <c r="LP44" s="234"/>
      <c r="LQ44" s="234"/>
      <c r="LR44" s="234"/>
      <c r="LS44" s="233"/>
      <c r="LT44" s="581"/>
      <c r="LU44" s="231" t="s">
        <v>312</v>
      </c>
      <c r="LV44" s="234"/>
      <c r="LW44" s="234"/>
      <c r="LX44" s="234"/>
      <c r="LY44" s="234"/>
      <c r="LZ44" s="233"/>
      <c r="MA44" s="581"/>
      <c r="MB44" s="231" t="s">
        <v>312</v>
      </c>
      <c r="MC44" s="234"/>
      <c r="MD44" s="234"/>
      <c r="ME44" s="234"/>
      <c r="MF44" s="234"/>
      <c r="MG44" s="233"/>
      <c r="MH44" s="581"/>
    </row>
    <row r="45" spans="1:346" s="37" customFormat="1" ht="13.15" outlineLevel="1" x14ac:dyDescent="0.4">
      <c r="A45" s="48"/>
      <c r="B45" s="231" t="s">
        <v>313</v>
      </c>
      <c r="C45" s="235"/>
      <c r="D45" s="235"/>
      <c r="E45" s="235"/>
      <c r="F45" s="235"/>
      <c r="G45" s="235"/>
      <c r="H45" s="235"/>
      <c r="I45" s="235"/>
      <c r="J45" s="235"/>
      <c r="K45" s="235"/>
      <c r="L45" s="235"/>
      <c r="M45" s="235"/>
      <c r="N45" s="235">
        <f t="shared" si="121"/>
        <v>0</v>
      </c>
      <c r="O45" s="235">
        <f t="shared" si="122"/>
        <v>0</v>
      </c>
      <c r="P45" s="235">
        <f t="shared" si="123"/>
        <v>0</v>
      </c>
      <c r="Q45" s="235">
        <f t="shared" si="124"/>
        <v>454</v>
      </c>
      <c r="R45" s="235">
        <f t="shared" si="125"/>
        <v>475</v>
      </c>
      <c r="S45" s="235">
        <f t="shared" si="126"/>
        <v>553</v>
      </c>
      <c r="T45" s="235">
        <f t="shared" si="127"/>
        <v>411</v>
      </c>
      <c r="U45" s="235">
        <f t="shared" si="128"/>
        <v>364</v>
      </c>
      <c r="V45" s="235">
        <f t="shared" si="129"/>
        <v>356</v>
      </c>
      <c r="W45" s="235">
        <f t="shared" si="130"/>
        <v>348</v>
      </c>
      <c r="X45" s="235">
        <f t="shared" si="131"/>
        <v>513</v>
      </c>
      <c r="Y45" s="235">
        <f t="shared" si="132"/>
        <v>648</v>
      </c>
      <c r="Z45" s="235">
        <f t="shared" si="133"/>
        <v>616</v>
      </c>
      <c r="AA45" s="235">
        <f t="shared" si="134"/>
        <v>648</v>
      </c>
      <c r="AB45" s="235">
        <f t="shared" si="135"/>
        <v>697</v>
      </c>
      <c r="AC45" s="235">
        <f t="shared" si="136"/>
        <v>714</v>
      </c>
      <c r="AD45" s="235">
        <f t="shared" si="137"/>
        <v>663</v>
      </c>
      <c r="AE45" s="235">
        <f t="shared" si="138"/>
        <v>704</v>
      </c>
      <c r="AF45" s="235">
        <f t="shared" si="139"/>
        <v>688</v>
      </c>
      <c r="AG45" s="235">
        <f t="shared" si="140"/>
        <v>760</v>
      </c>
      <c r="AH45" s="235">
        <f t="shared" si="141"/>
        <v>0</v>
      </c>
      <c r="AI45" s="235">
        <f t="shared" si="142"/>
        <v>0</v>
      </c>
      <c r="AJ45" s="235">
        <f t="shared" si="143"/>
        <v>0</v>
      </c>
      <c r="AK45" s="235">
        <f t="shared" si="144"/>
        <v>0</v>
      </c>
      <c r="AL45" s="235">
        <f t="shared" si="145"/>
        <v>0</v>
      </c>
      <c r="AM45" s="235">
        <f t="shared" si="146"/>
        <v>0</v>
      </c>
      <c r="AN45" s="235">
        <f t="shared" si="147"/>
        <v>0</v>
      </c>
      <c r="AO45" s="235">
        <f t="shared" si="148"/>
        <v>0</v>
      </c>
      <c r="AP45" s="235">
        <f t="shared" si="149"/>
        <v>0</v>
      </c>
      <c r="AQ45" s="235">
        <f t="shared" si="150"/>
        <v>0</v>
      </c>
      <c r="AR45" s="235">
        <f t="shared" si="151"/>
        <v>0</v>
      </c>
      <c r="AS45" s="235">
        <f t="shared" si="152"/>
        <v>0</v>
      </c>
      <c r="AT45" s="235">
        <f t="shared" si="153"/>
        <v>0</v>
      </c>
      <c r="AU45" s="235">
        <f t="shared" si="154"/>
        <v>0</v>
      </c>
      <c r="AV45" s="235">
        <f t="shared" si="155"/>
        <v>0</v>
      </c>
      <c r="AW45" s="235">
        <f t="shared" si="156"/>
        <v>0</v>
      </c>
      <c r="AX45" s="235">
        <f t="shared" si="157"/>
        <v>0</v>
      </c>
      <c r="AY45" s="235">
        <f t="shared" si="158"/>
        <v>0</v>
      </c>
      <c r="AZ45" s="235">
        <f t="shared" si="159"/>
        <v>0</v>
      </c>
      <c r="BA45" s="235">
        <f t="shared" si="160"/>
        <v>0</v>
      </c>
      <c r="BB45" s="235"/>
      <c r="BC45" s="235"/>
      <c r="BD45" s="235"/>
      <c r="BE45" s="235"/>
      <c r="BF45" s="235"/>
      <c r="BG45" s="235"/>
      <c r="BH45" s="235"/>
      <c r="BI45" s="235"/>
      <c r="BJ45" s="235"/>
      <c r="BK45" s="235"/>
      <c r="BL45" s="235"/>
      <c r="BM45" s="235"/>
      <c r="BO45" s="231" t="s">
        <v>313</v>
      </c>
      <c r="BP45" s="233"/>
      <c r="BQ45" s="233"/>
      <c r="BR45" s="233"/>
      <c r="BS45" s="233"/>
      <c r="BT45" s="233"/>
      <c r="BV45" s="231" t="s">
        <v>313</v>
      </c>
      <c r="BW45" s="233"/>
      <c r="BX45" s="233"/>
      <c r="BY45" s="233"/>
      <c r="BZ45" s="233"/>
      <c r="CA45" s="233"/>
      <c r="CC45" s="231" t="s">
        <v>313</v>
      </c>
      <c r="CD45" s="233"/>
      <c r="CE45" s="233"/>
      <c r="CF45" s="233"/>
      <c r="CG45" s="233"/>
      <c r="CH45" s="233"/>
      <c r="CJ45" s="231" t="s">
        <v>313</v>
      </c>
      <c r="CK45" s="233">
        <v>116</v>
      </c>
      <c r="CL45" s="233">
        <v>113</v>
      </c>
      <c r="CM45" s="233">
        <v>116</v>
      </c>
      <c r="CN45" s="233">
        <v>109</v>
      </c>
      <c r="CO45" s="233">
        <f t="shared" si="161"/>
        <v>454</v>
      </c>
      <c r="CQ45" s="231" t="s">
        <v>313</v>
      </c>
      <c r="CR45" s="233">
        <v>111</v>
      </c>
      <c r="CS45" s="233">
        <v>110</v>
      </c>
      <c r="CT45" s="233">
        <v>125</v>
      </c>
      <c r="CU45" s="233">
        <v>129</v>
      </c>
      <c r="CV45" s="233">
        <f t="shared" si="162"/>
        <v>475</v>
      </c>
      <c r="CX45" s="231" t="s">
        <v>313</v>
      </c>
      <c r="CY45" s="233">
        <v>130</v>
      </c>
      <c r="CZ45" s="233">
        <v>134</v>
      </c>
      <c r="DA45" s="233">
        <v>142</v>
      </c>
      <c r="DB45" s="233">
        <v>147</v>
      </c>
      <c r="DC45" s="233">
        <f t="shared" si="163"/>
        <v>553</v>
      </c>
      <c r="DE45" s="231" t="s">
        <v>313</v>
      </c>
      <c r="DF45" s="233">
        <v>100</v>
      </c>
      <c r="DG45" s="233">
        <v>103</v>
      </c>
      <c r="DH45" s="233">
        <v>103</v>
      </c>
      <c r="DI45" s="233">
        <v>105</v>
      </c>
      <c r="DJ45" s="233">
        <f t="shared" si="164"/>
        <v>411</v>
      </c>
      <c r="DL45" s="231" t="s">
        <v>313</v>
      </c>
      <c r="DM45" s="233">
        <v>90</v>
      </c>
      <c r="DN45" s="233">
        <v>96</v>
      </c>
      <c r="DO45" s="233">
        <v>88</v>
      </c>
      <c r="DP45" s="233">
        <v>90</v>
      </c>
      <c r="DQ45" s="233">
        <f t="shared" si="165"/>
        <v>364</v>
      </c>
      <c r="DS45" s="231" t="s">
        <v>313</v>
      </c>
      <c r="DT45" s="233">
        <v>84</v>
      </c>
      <c r="DU45" s="233">
        <v>88</v>
      </c>
      <c r="DV45" s="233">
        <v>95</v>
      </c>
      <c r="DW45" s="233">
        <v>89</v>
      </c>
      <c r="DX45" s="233">
        <f t="shared" si="166"/>
        <v>356</v>
      </c>
      <c r="DZ45" s="231" t="s">
        <v>313</v>
      </c>
      <c r="EA45" s="233">
        <v>85</v>
      </c>
      <c r="EB45" s="233">
        <v>86</v>
      </c>
      <c r="EC45" s="233">
        <v>87</v>
      </c>
      <c r="ED45" s="233">
        <v>90</v>
      </c>
      <c r="EE45" s="233">
        <f t="shared" si="167"/>
        <v>348</v>
      </c>
      <c r="EG45" s="231" t="s">
        <v>313</v>
      </c>
      <c r="EH45" s="233">
        <v>91</v>
      </c>
      <c r="EI45" s="233">
        <v>109</v>
      </c>
      <c r="EJ45" s="233">
        <v>156</v>
      </c>
      <c r="EK45" s="233">
        <v>157</v>
      </c>
      <c r="EL45" s="233">
        <f t="shared" si="168"/>
        <v>513</v>
      </c>
      <c r="EN45" s="231" t="s">
        <v>313</v>
      </c>
      <c r="EO45" s="233">
        <v>164</v>
      </c>
      <c r="EP45" s="233">
        <v>164</v>
      </c>
      <c r="EQ45" s="233">
        <v>160</v>
      </c>
      <c r="ER45" s="233">
        <v>160</v>
      </c>
      <c r="ES45" s="233">
        <f t="shared" si="169"/>
        <v>648</v>
      </c>
      <c r="EU45" s="231" t="s">
        <v>313</v>
      </c>
      <c r="EV45" s="233">
        <v>157</v>
      </c>
      <c r="EW45" s="233">
        <v>151</v>
      </c>
      <c r="EX45" s="233">
        <v>154</v>
      </c>
      <c r="EY45" s="233">
        <v>154</v>
      </c>
      <c r="EZ45" s="233">
        <f t="shared" si="170"/>
        <v>616</v>
      </c>
      <c r="FB45" s="231" t="s">
        <v>313</v>
      </c>
      <c r="FC45" s="233">
        <v>149</v>
      </c>
      <c r="FD45" s="233">
        <v>161</v>
      </c>
      <c r="FE45" s="233">
        <v>171</v>
      </c>
      <c r="FF45" s="233">
        <v>167</v>
      </c>
      <c r="FG45" s="233">
        <f t="shared" si="171"/>
        <v>648</v>
      </c>
      <c r="FI45" s="231" t="s">
        <v>313</v>
      </c>
      <c r="FJ45" s="233">
        <v>173</v>
      </c>
      <c r="FK45" s="233">
        <v>175</v>
      </c>
      <c r="FL45" s="233">
        <v>174</v>
      </c>
      <c r="FM45" s="233">
        <v>175</v>
      </c>
      <c r="FN45" s="233">
        <f t="shared" si="172"/>
        <v>697</v>
      </c>
      <c r="FP45" s="231" t="s">
        <v>313</v>
      </c>
      <c r="FQ45" s="233">
        <v>175</v>
      </c>
      <c r="FR45" s="233">
        <v>173</v>
      </c>
      <c r="FS45" s="233">
        <v>176</v>
      </c>
      <c r="FT45" s="233">
        <v>190</v>
      </c>
      <c r="FU45" s="233">
        <f t="shared" si="173"/>
        <v>714</v>
      </c>
      <c r="FW45" s="231" t="s">
        <v>313</v>
      </c>
      <c r="FX45" s="233">
        <v>161</v>
      </c>
      <c r="FY45" s="233">
        <v>168</v>
      </c>
      <c r="FZ45" s="233">
        <v>164</v>
      </c>
      <c r="GA45" s="233">
        <v>170</v>
      </c>
      <c r="GB45" s="233">
        <f t="shared" si="174"/>
        <v>663</v>
      </c>
      <c r="GD45" s="231" t="s">
        <v>313</v>
      </c>
      <c r="GE45" s="233">
        <v>167</v>
      </c>
      <c r="GF45" s="233">
        <v>178</v>
      </c>
      <c r="GG45" s="233">
        <v>182</v>
      </c>
      <c r="GH45" s="233">
        <v>177</v>
      </c>
      <c r="GI45" s="233">
        <f t="shared" si="175"/>
        <v>704</v>
      </c>
      <c r="GK45" s="231" t="s">
        <v>313</v>
      </c>
      <c r="GL45" s="233">
        <v>166</v>
      </c>
      <c r="GM45" s="233">
        <v>170</v>
      </c>
      <c r="GN45" s="233">
        <v>171</v>
      </c>
      <c r="GO45" s="233">
        <v>181</v>
      </c>
      <c r="GP45" s="233">
        <f t="shared" si="176"/>
        <v>688</v>
      </c>
      <c r="GR45" s="231" t="s">
        <v>313</v>
      </c>
      <c r="GS45" s="233">
        <v>185</v>
      </c>
      <c r="GT45" s="233">
        <v>205</v>
      </c>
      <c r="GU45" s="233">
        <v>200</v>
      </c>
      <c r="GV45" s="233">
        <v>170</v>
      </c>
      <c r="GW45" s="233">
        <f t="shared" si="177"/>
        <v>760</v>
      </c>
      <c r="GY45" s="231" t="s">
        <v>313</v>
      </c>
      <c r="GZ45" s="233"/>
      <c r="HA45" s="233"/>
      <c r="HB45" s="233"/>
      <c r="HC45" s="233"/>
      <c r="HD45" s="233"/>
      <c r="HF45" s="231" t="s">
        <v>313</v>
      </c>
      <c r="HG45" s="233"/>
      <c r="HH45" s="233"/>
      <c r="HI45" s="233"/>
      <c r="HJ45" s="233"/>
      <c r="HK45" s="233"/>
      <c r="HM45" s="231" t="s">
        <v>313</v>
      </c>
      <c r="HN45" s="233"/>
      <c r="HO45" s="233"/>
      <c r="HP45" s="233"/>
      <c r="HQ45" s="233"/>
      <c r="HR45" s="233"/>
      <c r="HT45" s="231" t="s">
        <v>313</v>
      </c>
      <c r="HU45" s="233"/>
      <c r="HV45" s="233"/>
      <c r="HW45" s="233"/>
      <c r="HX45" s="233"/>
      <c r="HY45" s="233"/>
      <c r="IA45" s="231" t="s">
        <v>313</v>
      </c>
      <c r="IB45" s="233"/>
      <c r="IC45" s="233"/>
      <c r="ID45" s="233"/>
      <c r="IE45" s="233"/>
      <c r="IF45" s="233"/>
      <c r="IH45" s="231" t="s">
        <v>313</v>
      </c>
      <c r="II45" s="233"/>
      <c r="IJ45" s="233"/>
      <c r="IK45" s="233"/>
      <c r="IL45" s="233"/>
      <c r="IM45" s="233"/>
      <c r="IO45" s="231" t="s">
        <v>313</v>
      </c>
      <c r="IP45" s="233"/>
      <c r="IQ45" s="233"/>
      <c r="IR45" s="233"/>
      <c r="IS45" s="233"/>
      <c r="IT45" s="233"/>
      <c r="IV45" s="231" t="s">
        <v>313</v>
      </c>
      <c r="IW45" s="233"/>
      <c r="IX45" s="233"/>
      <c r="IY45" s="233"/>
      <c r="IZ45" s="233"/>
      <c r="JA45" s="233"/>
      <c r="JC45" s="231" t="s">
        <v>313</v>
      </c>
      <c r="JD45" s="233"/>
      <c r="JE45" s="233"/>
      <c r="JF45" s="233"/>
      <c r="JG45" s="233"/>
      <c r="JH45" s="233"/>
      <c r="JJ45" s="231" t="s">
        <v>313</v>
      </c>
      <c r="JK45" s="233"/>
      <c r="JL45" s="233"/>
      <c r="JM45" s="233"/>
      <c r="JN45" s="233"/>
      <c r="JO45" s="233"/>
      <c r="JQ45" s="231" t="s">
        <v>313</v>
      </c>
      <c r="JR45" s="233"/>
      <c r="JS45" s="233"/>
      <c r="JT45" s="233"/>
      <c r="JU45" s="233"/>
      <c r="JV45" s="233"/>
      <c r="JX45" s="231" t="s">
        <v>313</v>
      </c>
      <c r="JY45" s="233"/>
      <c r="JZ45" s="233"/>
      <c r="KA45" s="233"/>
      <c r="KB45" s="233"/>
      <c r="KC45" s="233"/>
      <c r="KE45" s="231" t="s">
        <v>313</v>
      </c>
      <c r="KF45" s="233"/>
      <c r="KG45" s="233"/>
      <c r="KH45" s="233"/>
      <c r="KI45" s="233"/>
      <c r="KJ45" s="233"/>
      <c r="KL45" s="231" t="s">
        <v>313</v>
      </c>
      <c r="KM45" s="233"/>
      <c r="KN45" s="233"/>
      <c r="KO45" s="233"/>
      <c r="KP45" s="233"/>
      <c r="KQ45" s="233"/>
      <c r="KS45" s="231" t="s">
        <v>313</v>
      </c>
      <c r="KT45" s="233"/>
      <c r="KU45" s="233"/>
      <c r="KV45" s="232"/>
      <c r="KW45" s="233"/>
      <c r="KX45" s="233"/>
      <c r="KZ45" s="231" t="s">
        <v>313</v>
      </c>
      <c r="LA45" s="233"/>
      <c r="LB45" s="234"/>
      <c r="LC45" s="234"/>
      <c r="LD45" s="234"/>
      <c r="LE45" s="233"/>
      <c r="LF45" s="581"/>
      <c r="LG45" s="231" t="s">
        <v>313</v>
      </c>
      <c r="LH45" s="234"/>
      <c r="LI45" s="234"/>
      <c r="LJ45" s="234"/>
      <c r="LK45" s="234"/>
      <c r="LL45" s="233"/>
      <c r="LM45" s="581"/>
      <c r="LN45" s="231" t="s">
        <v>313</v>
      </c>
      <c r="LO45" s="234"/>
      <c r="LP45" s="234"/>
      <c r="LQ45" s="234"/>
      <c r="LR45" s="234"/>
      <c r="LS45" s="233"/>
      <c r="LT45" s="581"/>
      <c r="LU45" s="231" t="s">
        <v>313</v>
      </c>
      <c r="LV45" s="234"/>
      <c r="LW45" s="234"/>
      <c r="LX45" s="234"/>
      <c r="LY45" s="234"/>
      <c r="LZ45" s="233"/>
      <c r="MA45" s="581"/>
      <c r="MB45" s="231" t="s">
        <v>313</v>
      </c>
      <c r="MC45" s="234"/>
      <c r="MD45" s="234"/>
      <c r="ME45" s="234"/>
      <c r="MF45" s="234"/>
      <c r="MG45" s="233"/>
      <c r="MH45" s="581"/>
    </row>
    <row r="46" spans="1:346" s="37" customFormat="1" ht="13.15" outlineLevel="1" x14ac:dyDescent="0.4">
      <c r="A46" s="48"/>
      <c r="B46" s="231" t="s">
        <v>188</v>
      </c>
      <c r="C46" s="235"/>
      <c r="D46" s="235"/>
      <c r="E46" s="235"/>
      <c r="F46" s="235"/>
      <c r="G46" s="235"/>
      <c r="H46" s="235"/>
      <c r="I46" s="235"/>
      <c r="J46" s="235"/>
      <c r="K46" s="235"/>
      <c r="L46" s="235"/>
      <c r="M46" s="235"/>
      <c r="N46" s="235">
        <f t="shared" si="121"/>
        <v>0</v>
      </c>
      <c r="O46" s="235">
        <f t="shared" si="122"/>
        <v>0</v>
      </c>
      <c r="P46" s="235">
        <f t="shared" si="123"/>
        <v>0</v>
      </c>
      <c r="Q46" s="235">
        <f t="shared" si="124"/>
        <v>11</v>
      </c>
      <c r="R46" s="235">
        <f t="shared" si="125"/>
        <v>11</v>
      </c>
      <c r="S46" s="235">
        <f t="shared" si="126"/>
        <v>11</v>
      </c>
      <c r="T46" s="235">
        <f t="shared" si="127"/>
        <v>14</v>
      </c>
      <c r="U46" s="235">
        <f t="shared" si="128"/>
        <v>15</v>
      </c>
      <c r="V46" s="235">
        <f t="shared" si="129"/>
        <v>14</v>
      </c>
      <c r="W46" s="235">
        <f t="shared" si="130"/>
        <v>18</v>
      </c>
      <c r="X46" s="235">
        <f t="shared" si="131"/>
        <v>24</v>
      </c>
      <c r="Y46" s="235">
        <f t="shared" si="132"/>
        <v>29</v>
      </c>
      <c r="Z46" s="235">
        <f t="shared" si="133"/>
        <v>31</v>
      </c>
      <c r="AA46" s="235">
        <f t="shared" si="134"/>
        <v>29</v>
      </c>
      <c r="AB46" s="235">
        <f t="shared" si="135"/>
        <v>32</v>
      </c>
      <c r="AC46" s="235">
        <f t="shared" si="136"/>
        <v>38</v>
      </c>
      <c r="AD46" s="235">
        <f t="shared" si="137"/>
        <v>39</v>
      </c>
      <c r="AE46" s="235">
        <f t="shared" si="138"/>
        <v>38</v>
      </c>
      <c r="AF46" s="235">
        <f t="shared" si="139"/>
        <v>34</v>
      </c>
      <c r="AG46" s="235">
        <f t="shared" si="140"/>
        <v>25</v>
      </c>
      <c r="AH46" s="235">
        <f t="shared" si="141"/>
        <v>0</v>
      </c>
      <c r="AI46" s="235">
        <f t="shared" si="142"/>
        <v>0</v>
      </c>
      <c r="AJ46" s="235">
        <f t="shared" si="143"/>
        <v>0</v>
      </c>
      <c r="AK46" s="235">
        <f t="shared" si="144"/>
        <v>0</v>
      </c>
      <c r="AL46" s="235">
        <f t="shared" si="145"/>
        <v>0</v>
      </c>
      <c r="AM46" s="235">
        <f t="shared" si="146"/>
        <v>0</v>
      </c>
      <c r="AN46" s="235">
        <f t="shared" si="147"/>
        <v>0</v>
      </c>
      <c r="AO46" s="235">
        <f t="shared" si="148"/>
        <v>0</v>
      </c>
      <c r="AP46" s="235">
        <f t="shared" si="149"/>
        <v>0</v>
      </c>
      <c r="AQ46" s="235">
        <f t="shared" si="150"/>
        <v>0</v>
      </c>
      <c r="AR46" s="235">
        <f t="shared" si="151"/>
        <v>0</v>
      </c>
      <c r="AS46" s="235">
        <f t="shared" si="152"/>
        <v>0</v>
      </c>
      <c r="AT46" s="235">
        <f t="shared" si="153"/>
        <v>0</v>
      </c>
      <c r="AU46" s="235">
        <f t="shared" si="154"/>
        <v>0</v>
      </c>
      <c r="AV46" s="235">
        <f t="shared" si="155"/>
        <v>0</v>
      </c>
      <c r="AW46" s="235">
        <f t="shared" si="156"/>
        <v>0</v>
      </c>
      <c r="AX46" s="235">
        <f t="shared" si="157"/>
        <v>0</v>
      </c>
      <c r="AY46" s="235">
        <f t="shared" si="158"/>
        <v>0</v>
      </c>
      <c r="AZ46" s="235">
        <f t="shared" si="159"/>
        <v>0</v>
      </c>
      <c r="BA46" s="235">
        <f t="shared" si="160"/>
        <v>0</v>
      </c>
      <c r="BB46" s="235"/>
      <c r="BC46" s="235"/>
      <c r="BD46" s="235"/>
      <c r="BE46" s="235"/>
      <c r="BF46" s="235"/>
      <c r="BG46" s="235"/>
      <c r="BH46" s="235"/>
      <c r="BI46" s="235"/>
      <c r="BJ46" s="235"/>
      <c r="BK46" s="235"/>
      <c r="BL46" s="235"/>
      <c r="BM46" s="235"/>
      <c r="BO46" s="231" t="s">
        <v>188</v>
      </c>
      <c r="BP46" s="233"/>
      <c r="BQ46" s="233"/>
      <c r="BR46" s="233"/>
      <c r="BS46" s="233"/>
      <c r="BT46" s="233"/>
      <c r="BV46" s="231" t="s">
        <v>188</v>
      </c>
      <c r="BW46" s="233"/>
      <c r="BX46" s="233"/>
      <c r="BY46" s="233"/>
      <c r="BZ46" s="233"/>
      <c r="CA46" s="233"/>
      <c r="CC46" s="231" t="s">
        <v>188</v>
      </c>
      <c r="CD46" s="233"/>
      <c r="CE46" s="233"/>
      <c r="CF46" s="233"/>
      <c r="CG46" s="233"/>
      <c r="CH46" s="233"/>
      <c r="CJ46" s="231" t="s">
        <v>188</v>
      </c>
      <c r="CK46" s="233">
        <v>3</v>
      </c>
      <c r="CL46" s="233">
        <v>2</v>
      </c>
      <c r="CM46" s="233">
        <v>3</v>
      </c>
      <c r="CN46" s="233">
        <v>3</v>
      </c>
      <c r="CO46" s="233">
        <f t="shared" si="161"/>
        <v>11</v>
      </c>
      <c r="CQ46" s="231" t="s">
        <v>188</v>
      </c>
      <c r="CR46" s="233">
        <v>3</v>
      </c>
      <c r="CS46" s="233">
        <v>3</v>
      </c>
      <c r="CT46" s="233">
        <v>3</v>
      </c>
      <c r="CU46" s="233">
        <v>2</v>
      </c>
      <c r="CV46" s="233">
        <f t="shared" si="162"/>
        <v>11</v>
      </c>
      <c r="CX46" s="231" t="s">
        <v>188</v>
      </c>
      <c r="CY46" s="233">
        <v>2</v>
      </c>
      <c r="CZ46" s="233">
        <v>3</v>
      </c>
      <c r="DA46" s="233">
        <v>3</v>
      </c>
      <c r="DB46" s="233">
        <v>3</v>
      </c>
      <c r="DC46" s="233">
        <f t="shared" si="163"/>
        <v>11</v>
      </c>
      <c r="DE46" s="231" t="s">
        <v>188</v>
      </c>
      <c r="DF46" s="233">
        <v>3</v>
      </c>
      <c r="DG46" s="233">
        <v>4</v>
      </c>
      <c r="DH46" s="233">
        <v>3</v>
      </c>
      <c r="DI46" s="233">
        <v>4</v>
      </c>
      <c r="DJ46" s="233">
        <f t="shared" si="164"/>
        <v>14</v>
      </c>
      <c r="DL46" s="231" t="s">
        <v>188</v>
      </c>
      <c r="DM46" s="233">
        <v>4</v>
      </c>
      <c r="DN46" s="233">
        <v>4</v>
      </c>
      <c r="DO46" s="233">
        <v>3</v>
      </c>
      <c r="DP46" s="233">
        <v>4</v>
      </c>
      <c r="DQ46" s="233">
        <f t="shared" si="165"/>
        <v>15</v>
      </c>
      <c r="DS46" s="231" t="s">
        <v>188</v>
      </c>
      <c r="DT46" s="233">
        <v>4</v>
      </c>
      <c r="DU46" s="233">
        <v>3</v>
      </c>
      <c r="DV46" s="233">
        <v>3</v>
      </c>
      <c r="DW46" s="233">
        <v>4</v>
      </c>
      <c r="DX46" s="233">
        <f t="shared" si="166"/>
        <v>14</v>
      </c>
      <c r="DZ46" s="231" t="s">
        <v>188</v>
      </c>
      <c r="EA46" s="233">
        <v>5</v>
      </c>
      <c r="EB46" s="233">
        <v>4</v>
      </c>
      <c r="EC46" s="233">
        <v>5</v>
      </c>
      <c r="ED46" s="233">
        <v>4</v>
      </c>
      <c r="EE46" s="233">
        <f t="shared" si="167"/>
        <v>18</v>
      </c>
      <c r="EG46" s="231" t="s">
        <v>188</v>
      </c>
      <c r="EH46" s="233">
        <v>5</v>
      </c>
      <c r="EI46" s="233">
        <v>6</v>
      </c>
      <c r="EJ46" s="233">
        <v>7</v>
      </c>
      <c r="EK46" s="233">
        <v>6</v>
      </c>
      <c r="EL46" s="233">
        <f t="shared" si="168"/>
        <v>24</v>
      </c>
      <c r="EN46" s="231" t="s">
        <v>188</v>
      </c>
      <c r="EO46" s="233">
        <v>7</v>
      </c>
      <c r="EP46" s="233">
        <v>7</v>
      </c>
      <c r="EQ46" s="233">
        <v>7</v>
      </c>
      <c r="ER46" s="233">
        <v>8</v>
      </c>
      <c r="ES46" s="233">
        <f t="shared" si="169"/>
        <v>29</v>
      </c>
      <c r="EU46" s="231" t="s">
        <v>188</v>
      </c>
      <c r="EV46" s="233">
        <v>8</v>
      </c>
      <c r="EW46" s="233">
        <v>8</v>
      </c>
      <c r="EX46" s="233">
        <v>7</v>
      </c>
      <c r="EY46" s="233">
        <v>8</v>
      </c>
      <c r="EZ46" s="233">
        <f t="shared" si="170"/>
        <v>31</v>
      </c>
      <c r="FB46" s="231" t="s">
        <v>188</v>
      </c>
      <c r="FC46" s="233">
        <v>7</v>
      </c>
      <c r="FD46" s="233">
        <v>8</v>
      </c>
      <c r="FE46" s="233">
        <v>7</v>
      </c>
      <c r="FF46" s="233">
        <v>7</v>
      </c>
      <c r="FG46" s="233">
        <f t="shared" si="171"/>
        <v>29</v>
      </c>
      <c r="FI46" s="231" t="s">
        <v>188</v>
      </c>
      <c r="FJ46" s="233">
        <v>8</v>
      </c>
      <c r="FK46" s="233">
        <v>8</v>
      </c>
      <c r="FL46" s="233">
        <v>7</v>
      </c>
      <c r="FM46" s="233">
        <v>9</v>
      </c>
      <c r="FN46" s="233">
        <f t="shared" si="172"/>
        <v>32</v>
      </c>
      <c r="FP46" s="231" t="s">
        <v>188</v>
      </c>
      <c r="FQ46" s="233">
        <v>10</v>
      </c>
      <c r="FR46" s="233">
        <v>9</v>
      </c>
      <c r="FS46" s="233">
        <v>9</v>
      </c>
      <c r="FT46" s="233">
        <v>10</v>
      </c>
      <c r="FU46" s="233">
        <f t="shared" si="173"/>
        <v>38</v>
      </c>
      <c r="FW46" s="231" t="s">
        <v>188</v>
      </c>
      <c r="FX46" s="233">
        <v>10</v>
      </c>
      <c r="FY46" s="233">
        <v>10</v>
      </c>
      <c r="FZ46" s="233">
        <v>9</v>
      </c>
      <c r="GA46" s="233">
        <v>10</v>
      </c>
      <c r="GB46" s="233">
        <f t="shared" si="174"/>
        <v>39</v>
      </c>
      <c r="GD46" s="231" t="s">
        <v>188</v>
      </c>
      <c r="GE46" s="233">
        <v>10</v>
      </c>
      <c r="GF46" s="233">
        <v>10</v>
      </c>
      <c r="GG46" s="233">
        <v>8</v>
      </c>
      <c r="GH46" s="233">
        <v>10</v>
      </c>
      <c r="GI46" s="233">
        <f t="shared" si="175"/>
        <v>38</v>
      </c>
      <c r="GK46" s="231" t="s">
        <v>188</v>
      </c>
      <c r="GL46" s="233">
        <v>10</v>
      </c>
      <c r="GM46" s="233">
        <v>9</v>
      </c>
      <c r="GN46" s="233">
        <v>9</v>
      </c>
      <c r="GO46" s="233">
        <v>6</v>
      </c>
      <c r="GP46" s="233">
        <f t="shared" si="176"/>
        <v>34</v>
      </c>
      <c r="GR46" s="231" t="s">
        <v>188</v>
      </c>
      <c r="GS46" s="233">
        <v>5</v>
      </c>
      <c r="GT46" s="233">
        <v>7</v>
      </c>
      <c r="GU46" s="233">
        <v>6</v>
      </c>
      <c r="GV46" s="233">
        <v>7</v>
      </c>
      <c r="GW46" s="233">
        <f t="shared" si="177"/>
        <v>25</v>
      </c>
      <c r="GY46" s="231" t="s">
        <v>188</v>
      </c>
      <c r="GZ46" s="233"/>
      <c r="HA46" s="233"/>
      <c r="HB46" s="233"/>
      <c r="HC46" s="233"/>
      <c r="HD46" s="233"/>
      <c r="HF46" s="231" t="s">
        <v>188</v>
      </c>
      <c r="HG46" s="233"/>
      <c r="HH46" s="233"/>
      <c r="HI46" s="233"/>
      <c r="HJ46" s="233"/>
      <c r="HK46" s="233"/>
      <c r="HM46" s="231" t="s">
        <v>188</v>
      </c>
      <c r="HN46" s="233"/>
      <c r="HO46" s="233"/>
      <c r="HP46" s="233"/>
      <c r="HQ46" s="233"/>
      <c r="HR46" s="233"/>
      <c r="HT46" s="231" t="s">
        <v>188</v>
      </c>
      <c r="HU46" s="233"/>
      <c r="HV46" s="233"/>
      <c r="HW46" s="233"/>
      <c r="HX46" s="233"/>
      <c r="HY46" s="233"/>
      <c r="IA46" s="231" t="s">
        <v>188</v>
      </c>
      <c r="IB46" s="233"/>
      <c r="IC46" s="233"/>
      <c r="ID46" s="233"/>
      <c r="IE46" s="233"/>
      <c r="IF46" s="233"/>
      <c r="IH46" s="231" t="s">
        <v>188</v>
      </c>
      <c r="II46" s="233"/>
      <c r="IJ46" s="233"/>
      <c r="IK46" s="233"/>
      <c r="IL46" s="233"/>
      <c r="IM46" s="233"/>
      <c r="IO46" s="231" t="s">
        <v>188</v>
      </c>
      <c r="IP46" s="233"/>
      <c r="IQ46" s="233"/>
      <c r="IR46" s="233"/>
      <c r="IS46" s="233"/>
      <c r="IT46" s="233"/>
      <c r="IV46" s="231" t="s">
        <v>188</v>
      </c>
      <c r="IW46" s="233"/>
      <c r="IX46" s="233"/>
      <c r="IY46" s="233"/>
      <c r="IZ46" s="233"/>
      <c r="JA46" s="233"/>
      <c r="JC46" s="231" t="s">
        <v>188</v>
      </c>
      <c r="JD46" s="233"/>
      <c r="JE46" s="233"/>
      <c r="JF46" s="233"/>
      <c r="JG46" s="233"/>
      <c r="JH46" s="233"/>
      <c r="JJ46" s="231" t="s">
        <v>188</v>
      </c>
      <c r="JK46" s="233"/>
      <c r="JL46" s="233"/>
      <c r="JM46" s="233"/>
      <c r="JN46" s="233"/>
      <c r="JO46" s="233"/>
      <c r="JQ46" s="231" t="s">
        <v>188</v>
      </c>
      <c r="JR46" s="233"/>
      <c r="JS46" s="233"/>
      <c r="JT46" s="233"/>
      <c r="JU46" s="233"/>
      <c r="JV46" s="233"/>
      <c r="JX46" s="231" t="s">
        <v>188</v>
      </c>
      <c r="JY46" s="233"/>
      <c r="JZ46" s="233"/>
      <c r="KA46" s="233"/>
      <c r="KB46" s="233"/>
      <c r="KC46" s="233"/>
      <c r="KE46" s="231" t="s">
        <v>188</v>
      </c>
      <c r="KF46" s="233"/>
      <c r="KG46" s="233"/>
      <c r="KH46" s="233"/>
      <c r="KI46" s="233"/>
      <c r="KJ46" s="233"/>
      <c r="KL46" s="231" t="s">
        <v>188</v>
      </c>
      <c r="KM46" s="233"/>
      <c r="KN46" s="233"/>
      <c r="KO46" s="233"/>
      <c r="KP46" s="233"/>
      <c r="KQ46" s="233"/>
      <c r="KS46" s="231" t="s">
        <v>188</v>
      </c>
      <c r="KT46" s="233"/>
      <c r="KU46" s="233"/>
      <c r="KV46" s="232"/>
      <c r="KW46" s="233"/>
      <c r="KX46" s="233"/>
      <c r="KZ46" s="231" t="s">
        <v>188</v>
      </c>
      <c r="LA46" s="233"/>
      <c r="LB46" s="234"/>
      <c r="LC46" s="234"/>
      <c r="LD46" s="234"/>
      <c r="LE46" s="233"/>
      <c r="LF46" s="581"/>
      <c r="LG46" s="231" t="s">
        <v>188</v>
      </c>
      <c r="LH46" s="234"/>
      <c r="LI46" s="234"/>
      <c r="LJ46" s="234"/>
      <c r="LK46" s="234"/>
      <c r="LL46" s="233"/>
      <c r="LM46" s="581"/>
      <c r="LN46" s="231" t="s">
        <v>188</v>
      </c>
      <c r="LO46" s="234"/>
      <c r="LP46" s="234"/>
      <c r="LQ46" s="234"/>
      <c r="LR46" s="234"/>
      <c r="LS46" s="233"/>
      <c r="LT46" s="581"/>
      <c r="LU46" s="231" t="s">
        <v>188</v>
      </c>
      <c r="LV46" s="234"/>
      <c r="LW46" s="234"/>
      <c r="LX46" s="234"/>
      <c r="LY46" s="234"/>
      <c r="LZ46" s="233"/>
      <c r="MA46" s="581"/>
      <c r="MB46" s="231" t="s">
        <v>188</v>
      </c>
      <c r="MC46" s="234"/>
      <c r="MD46" s="234"/>
      <c r="ME46" s="234"/>
      <c r="MF46" s="234"/>
      <c r="MG46" s="233"/>
      <c r="MH46" s="581"/>
    </row>
    <row r="47" spans="1:346" s="37" customFormat="1" ht="13.15" outlineLevel="1" x14ac:dyDescent="0.4">
      <c r="A47" s="48"/>
      <c r="B47" s="231" t="s">
        <v>23</v>
      </c>
      <c r="C47" s="235"/>
      <c r="D47" s="235"/>
      <c r="E47" s="235"/>
      <c r="F47" s="235"/>
      <c r="G47" s="235"/>
      <c r="H47" s="235"/>
      <c r="I47" s="235"/>
      <c r="J47" s="235"/>
      <c r="K47" s="235"/>
      <c r="L47" s="235"/>
      <c r="M47" s="235"/>
      <c r="N47" s="235">
        <f t="shared" si="121"/>
        <v>0</v>
      </c>
      <c r="O47" s="235">
        <f t="shared" si="122"/>
        <v>0</v>
      </c>
      <c r="P47" s="235">
        <f t="shared" si="123"/>
        <v>0</v>
      </c>
      <c r="Q47" s="235">
        <f t="shared" si="124"/>
        <v>1</v>
      </c>
      <c r="R47" s="235">
        <f t="shared" si="125"/>
        <v>1</v>
      </c>
      <c r="S47" s="235">
        <f t="shared" si="126"/>
        <v>1</v>
      </c>
      <c r="T47" s="235">
        <f t="shared" si="127"/>
        <v>1</v>
      </c>
      <c r="U47" s="235">
        <f t="shared" si="128"/>
        <v>1</v>
      </c>
      <c r="V47" s="235">
        <f t="shared" si="129"/>
        <v>1</v>
      </c>
      <c r="W47" s="235">
        <f t="shared" si="130"/>
        <v>1</v>
      </c>
      <c r="X47" s="235">
        <f t="shared" si="131"/>
        <v>1</v>
      </c>
      <c r="Y47" s="235">
        <f t="shared" si="132"/>
        <v>1</v>
      </c>
      <c r="Z47" s="235">
        <f t="shared" si="133"/>
        <v>0</v>
      </c>
      <c r="AA47" s="235">
        <f t="shared" si="134"/>
        <v>0</v>
      </c>
      <c r="AB47" s="235">
        <f t="shared" si="135"/>
        <v>0</v>
      </c>
      <c r="AC47" s="235">
        <f t="shared" si="136"/>
        <v>0</v>
      </c>
      <c r="AD47" s="235">
        <f t="shared" si="137"/>
        <v>0</v>
      </c>
      <c r="AE47" s="235">
        <f t="shared" si="138"/>
        <v>0</v>
      </c>
      <c r="AF47" s="235">
        <f t="shared" si="139"/>
        <v>5</v>
      </c>
      <c r="AG47" s="235">
        <f t="shared" si="140"/>
        <v>7</v>
      </c>
      <c r="AH47" s="235">
        <f t="shared" si="141"/>
        <v>0</v>
      </c>
      <c r="AI47" s="235">
        <f t="shared" si="142"/>
        <v>0</v>
      </c>
      <c r="AJ47" s="235">
        <f t="shared" si="143"/>
        <v>0</v>
      </c>
      <c r="AK47" s="235">
        <f t="shared" si="144"/>
        <v>0</v>
      </c>
      <c r="AL47" s="235">
        <f t="shared" si="145"/>
        <v>0</v>
      </c>
      <c r="AM47" s="235">
        <f t="shared" si="146"/>
        <v>0</v>
      </c>
      <c r="AN47" s="235">
        <f t="shared" si="147"/>
        <v>0</v>
      </c>
      <c r="AO47" s="235">
        <f t="shared" si="148"/>
        <v>0</v>
      </c>
      <c r="AP47" s="235">
        <f t="shared" si="149"/>
        <v>0</v>
      </c>
      <c r="AQ47" s="235">
        <f t="shared" si="150"/>
        <v>0</v>
      </c>
      <c r="AR47" s="235">
        <f t="shared" si="151"/>
        <v>0</v>
      </c>
      <c r="AS47" s="235">
        <f t="shared" si="152"/>
        <v>0</v>
      </c>
      <c r="AT47" s="235">
        <f t="shared" si="153"/>
        <v>0</v>
      </c>
      <c r="AU47" s="235">
        <f t="shared" si="154"/>
        <v>0</v>
      </c>
      <c r="AV47" s="235">
        <f t="shared" si="155"/>
        <v>0</v>
      </c>
      <c r="AW47" s="235">
        <f t="shared" si="156"/>
        <v>0</v>
      </c>
      <c r="AX47" s="235">
        <f t="shared" si="157"/>
        <v>0</v>
      </c>
      <c r="AY47" s="235">
        <f t="shared" si="158"/>
        <v>0</v>
      </c>
      <c r="AZ47" s="235">
        <f t="shared" si="159"/>
        <v>0</v>
      </c>
      <c r="BA47" s="235">
        <f t="shared" si="160"/>
        <v>0</v>
      </c>
      <c r="BB47" s="235"/>
      <c r="BC47" s="235"/>
      <c r="BD47" s="235"/>
      <c r="BE47" s="235"/>
      <c r="BF47" s="235"/>
      <c r="BG47" s="235"/>
      <c r="BH47" s="235"/>
      <c r="BI47" s="235"/>
      <c r="BJ47" s="235"/>
      <c r="BK47" s="235"/>
      <c r="BL47" s="235"/>
      <c r="BM47" s="235"/>
      <c r="BO47" s="231" t="s">
        <v>23</v>
      </c>
      <c r="BP47" s="233"/>
      <c r="BQ47" s="233"/>
      <c r="BR47" s="233"/>
      <c r="BS47" s="233"/>
      <c r="BT47" s="233"/>
      <c r="BV47" s="231" t="s">
        <v>23</v>
      </c>
      <c r="BW47" s="233"/>
      <c r="BX47" s="233"/>
      <c r="BY47" s="233"/>
      <c r="BZ47" s="233"/>
      <c r="CA47" s="233"/>
      <c r="CC47" s="231" t="s">
        <v>23</v>
      </c>
      <c r="CD47" s="233"/>
      <c r="CE47" s="233"/>
      <c r="CF47" s="233"/>
      <c r="CG47" s="233"/>
      <c r="CH47" s="233"/>
      <c r="CJ47" s="231" t="s">
        <v>23</v>
      </c>
      <c r="CK47" s="233"/>
      <c r="CL47" s="233"/>
      <c r="CM47" s="233"/>
      <c r="CN47" s="233">
        <v>1</v>
      </c>
      <c r="CO47" s="233">
        <f t="shared" si="161"/>
        <v>1</v>
      </c>
      <c r="CQ47" s="231" t="s">
        <v>23</v>
      </c>
      <c r="CR47" s="233"/>
      <c r="CS47" s="233">
        <v>1</v>
      </c>
      <c r="CT47" s="233"/>
      <c r="CU47" s="233"/>
      <c r="CV47" s="233">
        <f t="shared" si="162"/>
        <v>1</v>
      </c>
      <c r="CX47" s="231" t="s">
        <v>23</v>
      </c>
      <c r="CY47" s="233"/>
      <c r="CZ47" s="233">
        <v>1</v>
      </c>
      <c r="DA47" s="233"/>
      <c r="DB47" s="233"/>
      <c r="DC47" s="233">
        <f t="shared" si="163"/>
        <v>1</v>
      </c>
      <c r="DE47" s="231" t="s">
        <v>23</v>
      </c>
      <c r="DF47" s="233"/>
      <c r="DG47" s="233"/>
      <c r="DH47" s="233">
        <v>1</v>
      </c>
      <c r="DI47" s="233"/>
      <c r="DJ47" s="233">
        <f t="shared" si="164"/>
        <v>1</v>
      </c>
      <c r="DL47" s="231" t="s">
        <v>23</v>
      </c>
      <c r="DM47" s="233"/>
      <c r="DN47" s="233"/>
      <c r="DO47" s="233"/>
      <c r="DP47" s="233">
        <v>1</v>
      </c>
      <c r="DQ47" s="233">
        <f t="shared" si="165"/>
        <v>1</v>
      </c>
      <c r="DS47" s="231" t="s">
        <v>23</v>
      </c>
      <c r="DT47" s="233"/>
      <c r="DU47" s="233">
        <v>1</v>
      </c>
      <c r="DV47" s="233"/>
      <c r="DW47" s="233">
        <v>0</v>
      </c>
      <c r="DX47" s="233">
        <f t="shared" si="166"/>
        <v>1</v>
      </c>
      <c r="DZ47" s="231" t="s">
        <v>23</v>
      </c>
      <c r="EA47" s="233"/>
      <c r="EB47" s="233">
        <v>0</v>
      </c>
      <c r="EC47" s="233">
        <v>1</v>
      </c>
      <c r="ED47" s="233">
        <v>0</v>
      </c>
      <c r="EE47" s="233">
        <f t="shared" si="167"/>
        <v>1</v>
      </c>
      <c r="EG47" s="231" t="s">
        <v>23</v>
      </c>
      <c r="EH47" s="233">
        <v>0</v>
      </c>
      <c r="EI47" s="233"/>
      <c r="EJ47" s="233">
        <v>1</v>
      </c>
      <c r="EK47" s="233">
        <v>0</v>
      </c>
      <c r="EL47" s="233">
        <f t="shared" si="168"/>
        <v>1</v>
      </c>
      <c r="EN47" s="231" t="s">
        <v>23</v>
      </c>
      <c r="EO47" s="233">
        <v>1</v>
      </c>
      <c r="EP47" s="233"/>
      <c r="EQ47" s="233"/>
      <c r="ER47" s="233"/>
      <c r="ES47" s="233">
        <f t="shared" si="169"/>
        <v>1</v>
      </c>
      <c r="EU47" s="231" t="s">
        <v>23</v>
      </c>
      <c r="EV47" s="233">
        <v>0</v>
      </c>
      <c r="EW47" s="233"/>
      <c r="EX47" s="233"/>
      <c r="EY47" s="233"/>
      <c r="EZ47" s="233">
        <f t="shared" si="170"/>
        <v>0</v>
      </c>
      <c r="FB47" s="231" t="s">
        <v>23</v>
      </c>
      <c r="FC47" s="233"/>
      <c r="FD47" s="233"/>
      <c r="FE47" s="233"/>
      <c r="FF47" s="233"/>
      <c r="FG47" s="233">
        <f t="shared" si="171"/>
        <v>0</v>
      </c>
      <c r="FI47" s="231" t="s">
        <v>23</v>
      </c>
      <c r="FJ47" s="233"/>
      <c r="FK47" s="233"/>
      <c r="FL47" s="233"/>
      <c r="FM47" s="233"/>
      <c r="FN47" s="233">
        <f t="shared" si="172"/>
        <v>0</v>
      </c>
      <c r="FP47" s="231" t="s">
        <v>23</v>
      </c>
      <c r="FQ47" s="233"/>
      <c r="FR47" s="233"/>
      <c r="FS47" s="233"/>
      <c r="FT47" s="233"/>
      <c r="FU47" s="233">
        <f t="shared" si="173"/>
        <v>0</v>
      </c>
      <c r="FW47" s="231" t="s">
        <v>23</v>
      </c>
      <c r="FX47" s="233"/>
      <c r="FY47" s="233"/>
      <c r="FZ47" s="233"/>
      <c r="GA47" s="233"/>
      <c r="GB47" s="233">
        <f t="shared" si="174"/>
        <v>0</v>
      </c>
      <c r="GD47" s="231" t="s">
        <v>23</v>
      </c>
      <c r="GE47" s="233"/>
      <c r="GF47" s="233"/>
      <c r="GG47" s="233"/>
      <c r="GH47" s="233"/>
      <c r="GI47" s="233">
        <f t="shared" si="175"/>
        <v>0</v>
      </c>
      <c r="GK47" s="231" t="s">
        <v>23</v>
      </c>
      <c r="GL47" s="233">
        <v>1</v>
      </c>
      <c r="GM47" s="233">
        <v>2</v>
      </c>
      <c r="GN47" s="233">
        <v>1</v>
      </c>
      <c r="GO47" s="233">
        <v>1</v>
      </c>
      <c r="GP47" s="233">
        <f t="shared" si="176"/>
        <v>5</v>
      </c>
      <c r="GR47" s="231" t="s">
        <v>23</v>
      </c>
      <c r="GS47" s="233">
        <v>2</v>
      </c>
      <c r="GT47" s="233">
        <v>1</v>
      </c>
      <c r="GU47" s="233">
        <v>2</v>
      </c>
      <c r="GV47" s="233">
        <v>2</v>
      </c>
      <c r="GW47" s="233">
        <f t="shared" si="177"/>
        <v>7</v>
      </c>
      <c r="GY47" s="231" t="s">
        <v>23</v>
      </c>
      <c r="GZ47" s="233"/>
      <c r="HA47" s="233"/>
      <c r="HB47" s="233"/>
      <c r="HC47" s="233"/>
      <c r="HD47" s="233"/>
      <c r="HF47" s="231" t="s">
        <v>23</v>
      </c>
      <c r="HG47" s="233"/>
      <c r="HH47" s="233"/>
      <c r="HI47" s="233"/>
      <c r="HJ47" s="233"/>
      <c r="HK47" s="233"/>
      <c r="HM47" s="231" t="s">
        <v>23</v>
      </c>
      <c r="HN47" s="233"/>
      <c r="HO47" s="233"/>
      <c r="HP47" s="233"/>
      <c r="HQ47" s="233"/>
      <c r="HR47" s="233"/>
      <c r="HT47" s="231" t="s">
        <v>23</v>
      </c>
      <c r="HU47" s="233"/>
      <c r="HV47" s="233"/>
      <c r="HW47" s="233"/>
      <c r="HX47" s="233"/>
      <c r="HY47" s="233"/>
      <c r="IA47" s="231" t="s">
        <v>23</v>
      </c>
      <c r="IB47" s="233"/>
      <c r="IC47" s="233"/>
      <c r="ID47" s="233"/>
      <c r="IE47" s="233"/>
      <c r="IF47" s="233"/>
      <c r="IH47" s="231" t="s">
        <v>23</v>
      </c>
      <c r="II47" s="233"/>
      <c r="IJ47" s="233"/>
      <c r="IK47" s="233"/>
      <c r="IL47" s="233"/>
      <c r="IM47" s="233"/>
      <c r="IO47" s="231" t="s">
        <v>23</v>
      </c>
      <c r="IP47" s="233"/>
      <c r="IQ47" s="233"/>
      <c r="IR47" s="233"/>
      <c r="IS47" s="233"/>
      <c r="IT47" s="233"/>
      <c r="IV47" s="231" t="s">
        <v>23</v>
      </c>
      <c r="IW47" s="233"/>
      <c r="IX47" s="233"/>
      <c r="IY47" s="233"/>
      <c r="IZ47" s="233"/>
      <c r="JA47" s="233"/>
      <c r="JC47" s="231" t="s">
        <v>23</v>
      </c>
      <c r="JD47" s="233"/>
      <c r="JE47" s="233"/>
      <c r="JF47" s="233"/>
      <c r="JG47" s="233"/>
      <c r="JH47" s="233"/>
      <c r="JJ47" s="231" t="s">
        <v>23</v>
      </c>
      <c r="JK47" s="233"/>
      <c r="JL47" s="233"/>
      <c r="JM47" s="233"/>
      <c r="JN47" s="233"/>
      <c r="JO47" s="233"/>
      <c r="JQ47" s="231" t="s">
        <v>23</v>
      </c>
      <c r="JR47" s="233"/>
      <c r="JS47" s="233"/>
      <c r="JT47" s="233"/>
      <c r="JU47" s="233"/>
      <c r="JV47" s="233"/>
      <c r="JX47" s="231" t="s">
        <v>23</v>
      </c>
      <c r="JY47" s="233"/>
      <c r="JZ47" s="233"/>
      <c r="KA47" s="233"/>
      <c r="KB47" s="233"/>
      <c r="KC47" s="233"/>
      <c r="KE47" s="231" t="s">
        <v>23</v>
      </c>
      <c r="KF47" s="233"/>
      <c r="KG47" s="233"/>
      <c r="KH47" s="233"/>
      <c r="KI47" s="233"/>
      <c r="KJ47" s="233"/>
      <c r="KL47" s="231" t="s">
        <v>23</v>
      </c>
      <c r="KM47" s="233"/>
      <c r="KN47" s="233"/>
      <c r="KO47" s="233"/>
      <c r="KP47" s="233"/>
      <c r="KQ47" s="233"/>
      <c r="KS47" s="231" t="s">
        <v>23</v>
      </c>
      <c r="KT47" s="233"/>
      <c r="KU47" s="233"/>
      <c r="KV47" s="232"/>
      <c r="KW47" s="233"/>
      <c r="KX47" s="233"/>
      <c r="KZ47" s="231" t="s">
        <v>23</v>
      </c>
      <c r="LA47" s="233"/>
      <c r="LB47" s="234"/>
      <c r="LC47" s="234"/>
      <c r="LD47" s="234"/>
      <c r="LE47" s="233"/>
      <c r="LF47" s="581"/>
      <c r="LG47" s="231" t="s">
        <v>23</v>
      </c>
      <c r="LH47" s="234"/>
      <c r="LI47" s="234"/>
      <c r="LJ47" s="234"/>
      <c r="LK47" s="234"/>
      <c r="LL47" s="233"/>
      <c r="LM47" s="581"/>
      <c r="LN47" s="231" t="s">
        <v>23</v>
      </c>
      <c r="LO47" s="234"/>
      <c r="LP47" s="234"/>
      <c r="LQ47" s="234"/>
      <c r="LR47" s="234"/>
      <c r="LS47" s="233"/>
      <c r="LT47" s="581"/>
      <c r="LU47" s="231" t="s">
        <v>23</v>
      </c>
      <c r="LV47" s="234"/>
      <c r="LW47" s="234"/>
      <c r="LX47" s="234"/>
      <c r="LY47" s="234"/>
      <c r="LZ47" s="233"/>
      <c r="MA47" s="581"/>
      <c r="MB47" s="231" t="s">
        <v>23</v>
      </c>
      <c r="MC47" s="234"/>
      <c r="MD47" s="234"/>
      <c r="ME47" s="234"/>
      <c r="MF47" s="234"/>
      <c r="MG47" s="233"/>
      <c r="MH47" s="581"/>
    </row>
    <row r="48" spans="1:346" s="37" customFormat="1" ht="13.15" outlineLevel="1" x14ac:dyDescent="0.4">
      <c r="A48" s="48"/>
      <c r="B48" s="231"/>
      <c r="C48" s="235"/>
      <c r="D48" s="235"/>
      <c r="E48" s="235"/>
      <c r="F48" s="235"/>
      <c r="G48" s="235"/>
      <c r="H48" s="235"/>
      <c r="I48" s="235"/>
      <c r="J48" s="235"/>
      <c r="K48" s="235"/>
      <c r="L48" s="235"/>
      <c r="M48" s="235"/>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236"/>
      <c r="AZ48" s="236"/>
      <c r="BA48" s="236"/>
      <c r="BB48" s="236"/>
      <c r="BC48" s="236"/>
      <c r="BD48" s="236"/>
      <c r="BE48" s="236"/>
      <c r="BF48" s="236"/>
      <c r="BG48" s="236"/>
      <c r="BH48" s="236"/>
      <c r="BI48" s="236"/>
      <c r="BJ48" s="236"/>
      <c r="BK48" s="236"/>
      <c r="BL48" s="236"/>
      <c r="BM48" s="236"/>
      <c r="BO48" s="231"/>
      <c r="BP48" s="233"/>
      <c r="BQ48" s="233"/>
      <c r="BR48" s="233"/>
      <c r="BS48" s="233"/>
      <c r="BT48" s="233"/>
      <c r="BV48" s="231"/>
      <c r="BW48" s="233"/>
      <c r="BX48" s="233"/>
      <c r="BY48" s="233"/>
      <c r="BZ48" s="233"/>
      <c r="CA48" s="233"/>
      <c r="CC48" s="231"/>
      <c r="CD48" s="233"/>
      <c r="CE48" s="233"/>
      <c r="CF48" s="233"/>
      <c r="CG48" s="233"/>
      <c r="CH48" s="233"/>
      <c r="CJ48" s="231"/>
      <c r="CK48" s="233"/>
      <c r="CL48" s="233"/>
      <c r="CM48" s="233"/>
      <c r="CN48" s="233"/>
      <c r="CO48" s="233"/>
      <c r="CQ48" s="231"/>
      <c r="CR48" s="233"/>
      <c r="CS48" s="233"/>
      <c r="CT48" s="233"/>
      <c r="CU48" s="233"/>
      <c r="CV48" s="233"/>
      <c r="CX48" s="231"/>
      <c r="CY48" s="233"/>
      <c r="CZ48" s="233"/>
      <c r="DA48" s="233"/>
      <c r="DB48" s="233"/>
      <c r="DC48" s="233"/>
      <c r="DE48" s="231"/>
      <c r="DF48" s="233"/>
      <c r="DG48" s="233"/>
      <c r="DH48" s="233"/>
      <c r="DI48" s="233"/>
      <c r="DJ48" s="233"/>
      <c r="DL48" s="231"/>
      <c r="DM48" s="233"/>
      <c r="DN48" s="233"/>
      <c r="DO48" s="233"/>
      <c r="DP48" s="233"/>
      <c r="DQ48" s="233"/>
      <c r="DS48" s="231"/>
      <c r="DT48" s="233"/>
      <c r="DU48" s="233"/>
      <c r="DV48" s="233"/>
      <c r="DW48" s="233"/>
      <c r="DX48" s="233"/>
      <c r="DZ48" s="231"/>
      <c r="EA48" s="233"/>
      <c r="EB48" s="233"/>
      <c r="EC48" s="233"/>
      <c r="ED48" s="233"/>
      <c r="EE48" s="233"/>
      <c r="EG48" s="231"/>
      <c r="EH48" s="233"/>
      <c r="EI48" s="233"/>
      <c r="EJ48" s="233"/>
      <c r="EK48" s="233"/>
      <c r="EL48" s="233"/>
      <c r="EN48" s="231"/>
      <c r="EO48" s="233"/>
      <c r="EP48" s="233"/>
      <c r="EQ48" s="233"/>
      <c r="ER48" s="233"/>
      <c r="ES48" s="233"/>
      <c r="EU48" s="231"/>
      <c r="EV48" s="233"/>
      <c r="EW48" s="233"/>
      <c r="EX48" s="233"/>
      <c r="EY48" s="233"/>
      <c r="EZ48" s="233"/>
      <c r="FB48" s="231"/>
      <c r="FC48" s="233"/>
      <c r="FD48" s="233"/>
      <c r="FE48" s="233"/>
      <c r="FF48" s="233"/>
      <c r="FG48" s="233"/>
      <c r="FI48" s="231"/>
      <c r="FJ48" s="233"/>
      <c r="FK48" s="233"/>
      <c r="FL48" s="233"/>
      <c r="FM48" s="233"/>
      <c r="FN48" s="233"/>
      <c r="FP48" s="231"/>
      <c r="FQ48" s="233"/>
      <c r="FR48" s="233"/>
      <c r="FS48" s="233"/>
      <c r="FT48" s="233"/>
      <c r="FU48" s="233"/>
      <c r="FW48" s="231"/>
      <c r="FX48" s="233"/>
      <c r="FY48" s="233"/>
      <c r="FZ48" s="233"/>
      <c r="GA48" s="233"/>
      <c r="GB48" s="233"/>
      <c r="GD48" s="231"/>
      <c r="GE48" s="233"/>
      <c r="GF48" s="233"/>
      <c r="GG48" s="233"/>
      <c r="GH48" s="233"/>
      <c r="GI48" s="233"/>
      <c r="GK48" s="231"/>
      <c r="GL48" s="233"/>
      <c r="GM48" s="233"/>
      <c r="GN48" s="233"/>
      <c r="GO48" s="233"/>
      <c r="GP48" s="233"/>
      <c r="GR48" s="231"/>
      <c r="GS48" s="233"/>
      <c r="GT48" s="233"/>
      <c r="GU48" s="233"/>
      <c r="GV48" s="233"/>
      <c r="GW48" s="233"/>
      <c r="GY48" s="231"/>
      <c r="GZ48" s="233"/>
      <c r="HA48" s="233"/>
      <c r="HB48" s="233"/>
      <c r="HC48" s="233"/>
      <c r="HD48" s="233"/>
      <c r="HF48" s="231"/>
      <c r="HG48" s="233"/>
      <c r="HH48" s="233"/>
      <c r="HI48" s="233"/>
      <c r="HJ48" s="233"/>
      <c r="HK48" s="233"/>
      <c r="HM48" s="231"/>
      <c r="HN48" s="233"/>
      <c r="HO48" s="233"/>
      <c r="HP48" s="233"/>
      <c r="HQ48" s="233"/>
      <c r="HR48" s="233"/>
      <c r="HT48" s="231"/>
      <c r="HU48" s="233"/>
      <c r="HV48" s="233"/>
      <c r="HW48" s="233"/>
      <c r="HX48" s="233"/>
      <c r="HY48" s="233"/>
      <c r="IA48" s="231"/>
      <c r="IB48" s="233"/>
      <c r="IC48" s="233"/>
      <c r="ID48" s="233"/>
      <c r="IE48" s="233"/>
      <c r="IF48" s="233"/>
      <c r="IH48" s="231"/>
      <c r="II48" s="233"/>
      <c r="IJ48" s="233"/>
      <c r="IK48" s="233"/>
      <c r="IL48" s="233"/>
      <c r="IM48" s="233"/>
      <c r="IO48" s="231"/>
      <c r="IP48" s="233"/>
      <c r="IQ48" s="233"/>
      <c r="IR48" s="233"/>
      <c r="IS48" s="233"/>
      <c r="IT48" s="233"/>
      <c r="IV48" s="231"/>
      <c r="IW48" s="233"/>
      <c r="IX48" s="233"/>
      <c r="IY48" s="233"/>
      <c r="IZ48" s="233"/>
      <c r="JA48" s="233"/>
      <c r="JC48" s="231"/>
      <c r="JD48" s="233"/>
      <c r="JE48" s="233"/>
      <c r="JF48" s="233"/>
      <c r="JG48" s="233"/>
      <c r="JH48" s="233"/>
      <c r="JJ48" s="231"/>
      <c r="JK48" s="233"/>
      <c r="JL48" s="233"/>
      <c r="JM48" s="233"/>
      <c r="JN48" s="233"/>
      <c r="JO48" s="233"/>
      <c r="JQ48" s="231"/>
      <c r="JR48" s="233"/>
      <c r="JS48" s="233"/>
      <c r="JT48" s="233"/>
      <c r="JU48" s="233"/>
      <c r="JV48" s="233"/>
      <c r="JX48" s="231"/>
      <c r="JY48" s="233"/>
      <c r="JZ48" s="233"/>
      <c r="KA48" s="233"/>
      <c r="KB48" s="233"/>
      <c r="KC48" s="233"/>
      <c r="KE48" s="231"/>
      <c r="KF48" s="233"/>
      <c r="KG48" s="233"/>
      <c r="KH48" s="233"/>
      <c r="KI48" s="233"/>
      <c r="KJ48" s="233"/>
      <c r="KL48" s="231"/>
      <c r="KM48" s="233"/>
      <c r="KN48" s="233"/>
      <c r="KO48" s="233"/>
      <c r="KP48" s="233"/>
      <c r="KQ48" s="233"/>
      <c r="KS48" s="231"/>
      <c r="KT48" s="233"/>
      <c r="KU48" s="233"/>
      <c r="KV48" s="232"/>
      <c r="KW48" s="233"/>
      <c r="KX48" s="233"/>
      <c r="KZ48" s="231"/>
      <c r="LA48" s="233"/>
      <c r="LB48" s="234"/>
      <c r="LC48" s="234"/>
      <c r="LD48" s="234"/>
      <c r="LE48" s="233"/>
      <c r="LF48" s="581"/>
      <c r="LG48" s="231"/>
      <c r="LH48" s="234"/>
      <c r="LI48" s="234"/>
      <c r="LJ48" s="234"/>
      <c r="LK48" s="234"/>
      <c r="LL48" s="233"/>
      <c r="LM48" s="581"/>
      <c r="LN48" s="231"/>
      <c r="LO48" s="234"/>
      <c r="LP48" s="234"/>
      <c r="LQ48" s="234"/>
      <c r="LR48" s="234"/>
      <c r="LS48" s="233"/>
      <c r="LT48" s="581"/>
      <c r="LU48" s="231"/>
      <c r="LV48" s="234"/>
      <c r="LW48" s="234"/>
      <c r="LX48" s="234"/>
      <c r="LY48" s="234"/>
      <c r="LZ48" s="233"/>
      <c r="MA48" s="581"/>
      <c r="MB48" s="231"/>
      <c r="MC48" s="234"/>
      <c r="MD48" s="234"/>
      <c r="ME48" s="234"/>
      <c r="MF48" s="234"/>
      <c r="MG48" s="233"/>
      <c r="MH48" s="581"/>
    </row>
    <row r="49" spans="1:346" s="37" customFormat="1" ht="13.15" outlineLevel="1" x14ac:dyDescent="0.4">
      <c r="A49" s="48"/>
      <c r="B49" s="231" t="s">
        <v>343</v>
      </c>
      <c r="C49" s="235"/>
      <c r="D49" s="235"/>
      <c r="E49" s="235"/>
      <c r="F49" s="235"/>
      <c r="G49" s="235"/>
      <c r="H49" s="235"/>
      <c r="I49" s="235"/>
      <c r="J49" s="235"/>
      <c r="K49" s="235"/>
      <c r="L49" s="235"/>
      <c r="M49" s="235"/>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236"/>
      <c r="AT49" s="236"/>
      <c r="AU49" s="236"/>
      <c r="AV49" s="236"/>
      <c r="AW49" s="236"/>
      <c r="AX49" s="236"/>
      <c r="AY49" s="236"/>
      <c r="AZ49" s="236"/>
      <c r="BA49" s="236"/>
      <c r="BB49" s="236"/>
      <c r="BC49" s="236"/>
      <c r="BD49" s="236"/>
      <c r="BE49" s="236"/>
      <c r="BF49" s="236"/>
      <c r="BG49" s="236"/>
      <c r="BH49" s="236"/>
      <c r="BI49" s="236"/>
      <c r="BJ49" s="236"/>
      <c r="BK49" s="236"/>
      <c r="BL49" s="236"/>
      <c r="BM49" s="236"/>
      <c r="BO49" s="231" t="s">
        <v>343</v>
      </c>
      <c r="BP49" s="233"/>
      <c r="BQ49" s="233"/>
      <c r="BR49" s="233"/>
      <c r="BS49" s="233"/>
      <c r="BT49" s="233"/>
      <c r="BV49" s="231" t="s">
        <v>343</v>
      </c>
      <c r="BW49" s="233"/>
      <c r="BX49" s="233"/>
      <c r="BY49" s="233"/>
      <c r="BZ49" s="233"/>
      <c r="CA49" s="233"/>
      <c r="CC49" s="231" t="s">
        <v>343</v>
      </c>
      <c r="CD49" s="233"/>
      <c r="CE49" s="233"/>
      <c r="CF49" s="233"/>
      <c r="CG49" s="233"/>
      <c r="CH49" s="233"/>
      <c r="CJ49" s="231" t="s">
        <v>343</v>
      </c>
      <c r="CK49" s="233"/>
      <c r="CL49" s="233"/>
      <c r="CM49" s="233"/>
      <c r="CN49" s="233"/>
      <c r="CO49" s="233"/>
      <c r="CQ49" s="231" t="s">
        <v>343</v>
      </c>
      <c r="CR49" s="233"/>
      <c r="CS49" s="233"/>
      <c r="CT49" s="233"/>
      <c r="CU49" s="233"/>
      <c r="CV49" s="233"/>
      <c r="CX49" s="231" t="s">
        <v>343</v>
      </c>
      <c r="CY49" s="233"/>
      <c r="CZ49" s="233"/>
      <c r="DA49" s="233"/>
      <c r="DB49" s="233"/>
      <c r="DC49" s="233"/>
      <c r="DE49" s="231" t="s">
        <v>343</v>
      </c>
      <c r="DF49" s="233"/>
      <c r="DG49" s="233"/>
      <c r="DH49" s="233"/>
      <c r="DI49" s="233"/>
      <c r="DJ49" s="233"/>
      <c r="DL49" s="231" t="s">
        <v>343</v>
      </c>
      <c r="DM49" s="233"/>
      <c r="DN49" s="233"/>
      <c r="DO49" s="233"/>
      <c r="DP49" s="233"/>
      <c r="DQ49" s="233"/>
      <c r="DS49" s="231" t="s">
        <v>343</v>
      </c>
      <c r="DT49" s="233"/>
      <c r="DU49" s="233"/>
      <c r="DV49" s="233"/>
      <c r="DW49" s="233"/>
      <c r="DX49" s="233"/>
      <c r="DZ49" s="231" t="s">
        <v>343</v>
      </c>
      <c r="EA49" s="233"/>
      <c r="EB49" s="233"/>
      <c r="EC49" s="233"/>
      <c r="ED49" s="233"/>
      <c r="EE49" s="233"/>
      <c r="EG49" s="231" t="s">
        <v>343</v>
      </c>
      <c r="EH49" s="233"/>
      <c r="EI49" s="233"/>
      <c r="EJ49" s="233"/>
      <c r="EK49" s="233"/>
      <c r="EL49" s="233"/>
      <c r="EN49" s="231" t="s">
        <v>343</v>
      </c>
      <c r="EO49" s="233"/>
      <c r="EP49" s="233"/>
      <c r="EQ49" s="233"/>
      <c r="ER49" s="233"/>
      <c r="ES49" s="233"/>
      <c r="EU49" s="231" t="s">
        <v>343</v>
      </c>
      <c r="EV49" s="233"/>
      <c r="EW49" s="233"/>
      <c r="EX49" s="233"/>
      <c r="EY49" s="233"/>
      <c r="EZ49" s="233"/>
      <c r="FB49" s="231" t="s">
        <v>343</v>
      </c>
      <c r="FC49" s="233"/>
      <c r="FD49" s="233"/>
      <c r="FE49" s="233"/>
      <c r="FF49" s="233"/>
      <c r="FG49" s="233"/>
      <c r="FI49" s="231" t="s">
        <v>343</v>
      </c>
      <c r="FJ49" s="233"/>
      <c r="FK49" s="233"/>
      <c r="FL49" s="233"/>
      <c r="FM49" s="233"/>
      <c r="FN49" s="233"/>
      <c r="FP49" s="231" t="s">
        <v>343</v>
      </c>
      <c r="FQ49" s="233"/>
      <c r="FR49" s="233"/>
      <c r="FS49" s="233"/>
      <c r="FT49" s="233"/>
      <c r="FU49" s="233"/>
      <c r="FW49" s="231" t="s">
        <v>343</v>
      </c>
      <c r="FX49" s="233"/>
      <c r="FY49" s="233"/>
      <c r="FZ49" s="233"/>
      <c r="GA49" s="233"/>
      <c r="GB49" s="233"/>
      <c r="GD49" s="231" t="s">
        <v>343</v>
      </c>
      <c r="GE49" s="233"/>
      <c r="GF49" s="233"/>
      <c r="GG49" s="233"/>
      <c r="GH49" s="233"/>
      <c r="GI49" s="233"/>
      <c r="GK49" s="231" t="s">
        <v>343</v>
      </c>
      <c r="GL49" s="233"/>
      <c r="GM49" s="233"/>
      <c r="GN49" s="233"/>
      <c r="GO49" s="233"/>
      <c r="GP49" s="233"/>
      <c r="GR49" s="231" t="s">
        <v>343</v>
      </c>
      <c r="GS49" s="233"/>
      <c r="GT49" s="233"/>
      <c r="GU49" s="233"/>
      <c r="GV49" s="233"/>
      <c r="GW49" s="233"/>
      <c r="GY49" s="231" t="s">
        <v>343</v>
      </c>
      <c r="GZ49" s="233"/>
      <c r="HA49" s="233"/>
      <c r="HB49" s="233"/>
      <c r="HC49" s="233"/>
      <c r="HD49" s="233"/>
      <c r="HF49" s="231" t="s">
        <v>343</v>
      </c>
      <c r="HG49" s="233"/>
      <c r="HH49" s="233"/>
      <c r="HI49" s="233"/>
      <c r="HJ49" s="233"/>
      <c r="HK49" s="233"/>
      <c r="HM49" s="231" t="s">
        <v>343</v>
      </c>
      <c r="HN49" s="233"/>
      <c r="HO49" s="233"/>
      <c r="HP49" s="233"/>
      <c r="HQ49" s="233"/>
      <c r="HR49" s="233"/>
      <c r="HT49" s="231" t="s">
        <v>343</v>
      </c>
      <c r="HU49" s="233"/>
      <c r="HV49" s="233"/>
      <c r="HW49" s="233"/>
      <c r="HX49" s="233"/>
      <c r="HY49" s="233"/>
      <c r="IA49" s="231" t="s">
        <v>343</v>
      </c>
      <c r="IB49" s="233"/>
      <c r="IC49" s="233"/>
      <c r="ID49" s="233"/>
      <c r="IE49" s="233"/>
      <c r="IF49" s="233"/>
      <c r="IH49" s="231" t="s">
        <v>343</v>
      </c>
      <c r="II49" s="233"/>
      <c r="IJ49" s="233"/>
      <c r="IK49" s="233"/>
      <c r="IL49" s="233"/>
      <c r="IM49" s="233"/>
      <c r="IO49" s="231" t="s">
        <v>343</v>
      </c>
      <c r="IP49" s="233"/>
      <c r="IQ49" s="233"/>
      <c r="IR49" s="233"/>
      <c r="IS49" s="233"/>
      <c r="IT49" s="233"/>
      <c r="IV49" s="231" t="s">
        <v>343</v>
      </c>
      <c r="IW49" s="233"/>
      <c r="IX49" s="233"/>
      <c r="IY49" s="233"/>
      <c r="IZ49" s="233"/>
      <c r="JA49" s="233"/>
      <c r="JC49" s="231" t="s">
        <v>343</v>
      </c>
      <c r="JD49" s="233"/>
      <c r="JE49" s="233"/>
      <c r="JF49" s="233"/>
      <c r="JG49" s="233"/>
      <c r="JH49" s="233"/>
      <c r="JJ49" s="231" t="s">
        <v>343</v>
      </c>
      <c r="JK49" s="233"/>
      <c r="JL49" s="233"/>
      <c r="JM49" s="233"/>
      <c r="JN49" s="233"/>
      <c r="JO49" s="233"/>
      <c r="JQ49" s="231" t="s">
        <v>343</v>
      </c>
      <c r="JR49" s="233"/>
      <c r="JS49" s="233"/>
      <c r="JT49" s="233"/>
      <c r="JU49" s="233"/>
      <c r="JV49" s="233"/>
      <c r="JX49" s="231" t="s">
        <v>343</v>
      </c>
      <c r="JY49" s="233"/>
      <c r="JZ49" s="233"/>
      <c r="KA49" s="233"/>
      <c r="KB49" s="233"/>
      <c r="KC49" s="233"/>
      <c r="KE49" s="231" t="s">
        <v>343</v>
      </c>
      <c r="KF49" s="233"/>
      <c r="KG49" s="233"/>
      <c r="KH49" s="233"/>
      <c r="KI49" s="233"/>
      <c r="KJ49" s="233"/>
      <c r="KL49" s="231" t="s">
        <v>343</v>
      </c>
      <c r="KM49" s="233"/>
      <c r="KN49" s="233"/>
      <c r="KO49" s="233"/>
      <c r="KP49" s="233"/>
      <c r="KQ49" s="233"/>
      <c r="KS49" s="231" t="s">
        <v>343</v>
      </c>
      <c r="KT49" s="233"/>
      <c r="KU49" s="233"/>
      <c r="KV49" s="232"/>
      <c r="KW49" s="233"/>
      <c r="KX49" s="233"/>
      <c r="KZ49" s="231" t="s">
        <v>343</v>
      </c>
      <c r="LA49" s="233"/>
      <c r="LB49" s="234"/>
      <c r="LC49" s="234"/>
      <c r="LD49" s="234"/>
      <c r="LE49" s="233"/>
      <c r="LF49" s="581"/>
      <c r="LG49" s="231" t="s">
        <v>343</v>
      </c>
      <c r="LH49" s="234"/>
      <c r="LI49" s="234"/>
      <c r="LJ49" s="234"/>
      <c r="LK49" s="234"/>
      <c r="LL49" s="233"/>
      <c r="LM49" s="581"/>
      <c r="LN49" s="231" t="s">
        <v>343</v>
      </c>
      <c r="LO49" s="234"/>
      <c r="LP49" s="234"/>
      <c r="LQ49" s="234"/>
      <c r="LR49" s="234"/>
      <c r="LS49" s="233"/>
      <c r="LT49" s="581"/>
      <c r="LU49" s="231" t="s">
        <v>343</v>
      </c>
      <c r="LV49" s="234"/>
      <c r="LW49" s="234"/>
      <c r="LX49" s="234"/>
      <c r="LY49" s="234"/>
      <c r="LZ49" s="233"/>
      <c r="MA49" s="581"/>
      <c r="MB49" s="231" t="s">
        <v>343</v>
      </c>
      <c r="MC49" s="234"/>
      <c r="MD49" s="234"/>
      <c r="ME49" s="234"/>
      <c r="MF49" s="234"/>
      <c r="MG49" s="233"/>
      <c r="MH49" s="581"/>
    </row>
    <row r="50" spans="1:346" s="37" customFormat="1" ht="13.15" outlineLevel="1" x14ac:dyDescent="0.4">
      <c r="A50" s="48"/>
      <c r="B50" s="231" t="s">
        <v>310</v>
      </c>
      <c r="C50" s="235"/>
      <c r="D50" s="235"/>
      <c r="E50" s="235"/>
      <c r="F50" s="235"/>
      <c r="G50" s="235"/>
      <c r="H50" s="235"/>
      <c r="I50" s="235"/>
      <c r="J50" s="235"/>
      <c r="K50" s="235"/>
      <c r="L50" s="235">
        <v>524</v>
      </c>
      <c r="M50" s="235">
        <v>579</v>
      </c>
      <c r="N50" s="235">
        <f t="shared" ref="N50:N56" si="178">BT50</f>
        <v>653</v>
      </c>
      <c r="O50" s="235">
        <f t="shared" ref="O50:O56" si="179">CA50</f>
        <v>696</v>
      </c>
      <c r="P50" s="235">
        <f t="shared" ref="P50:P56" si="180">CH50</f>
        <v>788</v>
      </c>
      <c r="Q50" s="235">
        <f t="shared" ref="Q50:Q56" si="181">CO50</f>
        <v>795</v>
      </c>
      <c r="R50" s="235">
        <f t="shared" ref="R50:R56" si="182">CV50</f>
        <v>822</v>
      </c>
      <c r="S50" s="235">
        <f t="shared" ref="S50:S56" si="183">DC50</f>
        <v>859</v>
      </c>
      <c r="T50" s="235">
        <f t="shared" ref="T50:T56" si="184">DJ50</f>
        <v>923.5</v>
      </c>
      <c r="U50" s="235">
        <f t="shared" ref="U50:U56" si="185">DQ50</f>
        <v>900</v>
      </c>
      <c r="V50" s="235">
        <f t="shared" ref="V50:V56" si="186">DX50</f>
        <v>903</v>
      </c>
      <c r="W50" s="235">
        <f t="shared" ref="W50:W56" si="187">EE50</f>
        <v>959</v>
      </c>
      <c r="X50" s="235">
        <f t="shared" ref="X50:X56" si="188">EL50</f>
        <v>983</v>
      </c>
      <c r="Y50" s="235">
        <f t="shared" ref="Y50:Y56" si="189">ES50</f>
        <v>283</v>
      </c>
      <c r="Z50" s="235">
        <f t="shared" ref="Z50:Z56" si="190">EZ50</f>
        <v>281</v>
      </c>
      <c r="AA50" s="235">
        <f t="shared" ref="AA50:AA56" si="191">FG50</f>
        <v>292</v>
      </c>
      <c r="AB50" s="235">
        <f t="shared" ref="AB50:AB56" si="192">FN50</f>
        <v>0</v>
      </c>
      <c r="AC50" s="235">
        <f t="shared" ref="AC50:AC56" si="193">FU50</f>
        <v>0</v>
      </c>
      <c r="AD50" s="235">
        <f t="shared" ref="AD50:AD56" si="194">GB50</f>
        <v>0</v>
      </c>
      <c r="AE50" s="235">
        <f t="shared" ref="AE50:AE56" si="195">GI50</f>
        <v>0</v>
      </c>
      <c r="AF50" s="235">
        <f t="shared" ref="AF50:AF56" si="196">GP50</f>
        <v>0</v>
      </c>
      <c r="AG50" s="235">
        <f t="shared" ref="AG50:AG56" si="197">GW50</f>
        <v>0</v>
      </c>
      <c r="AH50" s="235">
        <f t="shared" ref="AH50:AH56" si="198">HD50</f>
        <v>0</v>
      </c>
      <c r="AI50" s="235">
        <f t="shared" ref="AI50:AI56" si="199">HK50</f>
        <v>0</v>
      </c>
      <c r="AJ50" s="235">
        <f t="shared" ref="AJ50:AJ56" si="200">HR50</f>
        <v>0</v>
      </c>
      <c r="AK50" s="235">
        <f t="shared" ref="AK50:AK56" si="201">HY50</f>
        <v>0</v>
      </c>
      <c r="AL50" s="235">
        <f t="shared" ref="AL50:AL56" si="202">IF50</f>
        <v>0</v>
      </c>
      <c r="AM50" s="235">
        <f t="shared" ref="AM50:AM56" si="203">IM50</f>
        <v>0</v>
      </c>
      <c r="AN50" s="235">
        <f t="shared" ref="AN50:AN56" si="204">IT50</f>
        <v>0</v>
      </c>
      <c r="AO50" s="235">
        <f t="shared" ref="AO50:AO56" si="205">JA50</f>
        <v>0</v>
      </c>
      <c r="AP50" s="235">
        <f t="shared" ref="AP50:AP56" si="206">JH50</f>
        <v>0</v>
      </c>
      <c r="AQ50" s="235">
        <f t="shared" ref="AQ50:AQ56" si="207">JO50</f>
        <v>0</v>
      </c>
      <c r="AR50" s="235">
        <f t="shared" ref="AR50:AR56" si="208">JV50</f>
        <v>0</v>
      </c>
      <c r="AS50" s="235">
        <f t="shared" ref="AS50:AS56" si="209">KC50</f>
        <v>0</v>
      </c>
      <c r="AT50" s="235">
        <f t="shared" ref="AT50:AT56" si="210">KJ50</f>
        <v>0</v>
      </c>
      <c r="AU50" s="235">
        <f t="shared" ref="AU50:AU56" si="211">KQ50</f>
        <v>0</v>
      </c>
      <c r="AV50" s="235">
        <f t="shared" ref="AV50:AV56" si="212">KX50</f>
        <v>0</v>
      </c>
      <c r="AW50" s="235">
        <f t="shared" ref="AW50:AW56" si="213">LE50</f>
        <v>0</v>
      </c>
      <c r="AX50" s="235">
        <f t="shared" ref="AX50:AX56" si="214">LL50</f>
        <v>0</v>
      </c>
      <c r="AY50" s="235">
        <f t="shared" ref="AY50:AY56" si="215">LS50</f>
        <v>0</v>
      </c>
      <c r="AZ50" s="235">
        <f t="shared" ref="AZ50:AZ56" si="216">LZ50</f>
        <v>0</v>
      </c>
      <c r="BA50" s="235">
        <f t="shared" ref="BA50:BA56" si="217">MG50</f>
        <v>0</v>
      </c>
      <c r="BB50" s="235"/>
      <c r="BC50" s="235"/>
      <c r="BD50" s="235"/>
      <c r="BE50" s="235"/>
      <c r="BF50" s="235"/>
      <c r="BG50" s="235"/>
      <c r="BH50" s="235"/>
      <c r="BI50" s="235"/>
      <c r="BJ50" s="235"/>
      <c r="BK50" s="235"/>
      <c r="BL50" s="235"/>
      <c r="BM50" s="235"/>
      <c r="BO50" s="231" t="s">
        <v>310</v>
      </c>
      <c r="BP50" s="233">
        <v>147</v>
      </c>
      <c r="BQ50" s="233">
        <v>161</v>
      </c>
      <c r="BR50" s="233">
        <v>163</v>
      </c>
      <c r="BS50" s="233">
        <v>182</v>
      </c>
      <c r="BT50" s="233">
        <f t="shared" ref="BT50:BT55" si="218">BP50+BQ50+BR50+BS50</f>
        <v>653</v>
      </c>
      <c r="BV50" s="231" t="s">
        <v>310</v>
      </c>
      <c r="BW50" s="233">
        <f>156</f>
        <v>156</v>
      </c>
      <c r="BX50" s="233">
        <v>171</v>
      </c>
      <c r="BY50" s="233">
        <v>176</v>
      </c>
      <c r="BZ50" s="233">
        <v>193</v>
      </c>
      <c r="CA50" s="233">
        <f t="shared" ref="CA50:CA55" si="219">BW50+BX50+BY50+BZ50</f>
        <v>696</v>
      </c>
      <c r="CC50" s="231" t="s">
        <v>310</v>
      </c>
      <c r="CD50" s="233">
        <v>181</v>
      </c>
      <c r="CE50" s="233">
        <v>189</v>
      </c>
      <c r="CF50" s="233">
        <v>195</v>
      </c>
      <c r="CG50" s="233">
        <f>223</f>
        <v>223</v>
      </c>
      <c r="CH50" s="233">
        <f t="shared" ref="CH50:CH55" si="220">CD50+CE50+CF50+CG50</f>
        <v>788</v>
      </c>
      <c r="CJ50" s="231" t="s">
        <v>310</v>
      </c>
      <c r="CK50" s="233">
        <v>196</v>
      </c>
      <c r="CL50" s="233">
        <f>196</f>
        <v>196</v>
      </c>
      <c r="CM50" s="233">
        <v>200</v>
      </c>
      <c r="CN50" s="233">
        <v>203</v>
      </c>
      <c r="CO50" s="233">
        <f t="shared" ref="CO50:CO55" si="221">CK50+CL50+CM50+CN50</f>
        <v>795</v>
      </c>
      <c r="CQ50" s="231" t="s">
        <v>310</v>
      </c>
      <c r="CR50" s="233">
        <v>204</v>
      </c>
      <c r="CS50" s="233">
        <v>196</v>
      </c>
      <c r="CT50" s="233">
        <v>208</v>
      </c>
      <c r="CU50" s="233">
        <v>214</v>
      </c>
      <c r="CV50" s="233">
        <f t="shared" ref="CV50:CV55" si="222">CR50+CS50+CT50+CU50</f>
        <v>822</v>
      </c>
      <c r="CX50" s="231" t="s">
        <v>310</v>
      </c>
      <c r="CY50" s="233">
        <v>216</v>
      </c>
      <c r="CZ50" s="233">
        <v>210</v>
      </c>
      <c r="DA50" s="233">
        <v>211</v>
      </c>
      <c r="DB50" s="233">
        <v>222</v>
      </c>
      <c r="DC50" s="233">
        <f t="shared" ref="DC50:DC55" si="223">CY50+CZ50+DA50+DB50</f>
        <v>859</v>
      </c>
      <c r="DE50" s="231" t="s">
        <v>310</v>
      </c>
      <c r="DF50" s="233">
        <v>224</v>
      </c>
      <c r="DG50" s="233">
        <f>227-4</f>
        <v>223</v>
      </c>
      <c r="DH50" s="233">
        <f>234-6.5</f>
        <v>227.5</v>
      </c>
      <c r="DI50" s="233">
        <v>249</v>
      </c>
      <c r="DJ50" s="233">
        <f t="shared" ref="DJ50:DJ55" si="224">DF50+DG50+DH50+DI50</f>
        <v>923.5</v>
      </c>
      <c r="DL50" s="231" t="s">
        <v>310</v>
      </c>
      <c r="DM50" s="233">
        <v>223</v>
      </c>
      <c r="DN50" s="233">
        <v>229</v>
      </c>
      <c r="DO50" s="233">
        <v>221</v>
      </c>
      <c r="DP50" s="233">
        <v>227</v>
      </c>
      <c r="DQ50" s="233">
        <f t="shared" ref="DQ50:DQ56" si="225">DM50+DN50+DO50+DP50</f>
        <v>900</v>
      </c>
      <c r="DS50" s="231" t="s">
        <v>310</v>
      </c>
      <c r="DT50" s="233">
        <v>222</v>
      </c>
      <c r="DU50" s="233">
        <v>225</v>
      </c>
      <c r="DV50" s="233">
        <v>231</v>
      </c>
      <c r="DW50" s="233">
        <v>225</v>
      </c>
      <c r="DX50" s="233">
        <f t="shared" ref="DX50:DX56" si="226">DT50+DU50+DV50+DW50</f>
        <v>903</v>
      </c>
      <c r="DZ50" s="231" t="s">
        <v>310</v>
      </c>
      <c r="EA50" s="233">
        <v>242</v>
      </c>
      <c r="EB50" s="233">
        <v>238</v>
      </c>
      <c r="EC50" s="233">
        <v>240</v>
      </c>
      <c r="ED50" s="233">
        <v>239</v>
      </c>
      <c r="EE50" s="233">
        <f t="shared" ref="EE50:EE56" si="227">EA50+EB50+EC50+ED50</f>
        <v>959</v>
      </c>
      <c r="EG50" s="231" t="s">
        <v>310</v>
      </c>
      <c r="EH50" s="233">
        <v>257</v>
      </c>
      <c r="EI50" s="233">
        <v>252</v>
      </c>
      <c r="EJ50" s="233">
        <v>259</v>
      </c>
      <c r="EK50" s="233">
        <v>215</v>
      </c>
      <c r="EL50" s="233">
        <f t="shared" ref="EL50:EL56" si="228">EH50+EI50+EJ50+EK50</f>
        <v>983</v>
      </c>
      <c r="EN50" s="231" t="s">
        <v>310</v>
      </c>
      <c r="EO50" s="233">
        <v>71</v>
      </c>
      <c r="EP50" s="233">
        <v>71</v>
      </c>
      <c r="EQ50" s="233">
        <v>76</v>
      </c>
      <c r="ER50" s="233">
        <v>65</v>
      </c>
      <c r="ES50" s="233">
        <f t="shared" ref="ES50:ES56" si="229">EO50+EP50+EQ50+ER50</f>
        <v>283</v>
      </c>
      <c r="EU50" s="231" t="s">
        <v>310</v>
      </c>
      <c r="EV50" s="233">
        <v>73</v>
      </c>
      <c r="EW50" s="233">
        <v>70</v>
      </c>
      <c r="EX50" s="233">
        <v>69</v>
      </c>
      <c r="EY50" s="233">
        <v>69</v>
      </c>
      <c r="EZ50" s="233">
        <f t="shared" ref="EZ50:EZ56" si="230">EV50+EW50+EX50+EY50</f>
        <v>281</v>
      </c>
      <c r="FB50" s="231" t="s">
        <v>310</v>
      </c>
      <c r="FC50" s="233">
        <v>72</v>
      </c>
      <c r="FD50" s="233">
        <v>73</v>
      </c>
      <c r="FE50" s="233">
        <v>75</v>
      </c>
      <c r="FF50" s="233">
        <v>72</v>
      </c>
      <c r="FG50" s="233">
        <f t="shared" ref="FG50:FG56" si="231">FC50+FD50+FE50+FF50</f>
        <v>292</v>
      </c>
      <c r="FI50" s="231" t="s">
        <v>310</v>
      </c>
      <c r="FJ50" s="233"/>
      <c r="FK50" s="233"/>
      <c r="FL50" s="233"/>
      <c r="FM50" s="233"/>
      <c r="FN50" s="233"/>
      <c r="FP50" s="231" t="s">
        <v>310</v>
      </c>
      <c r="FQ50" s="233"/>
      <c r="FR50" s="233"/>
      <c r="FS50" s="233"/>
      <c r="FT50" s="233"/>
      <c r="FU50" s="233"/>
      <c r="FW50" s="231" t="s">
        <v>310</v>
      </c>
      <c r="FX50" s="233"/>
      <c r="FY50" s="233"/>
      <c r="FZ50" s="233"/>
      <c r="GA50" s="233"/>
      <c r="GB50" s="233"/>
      <c r="GD50" s="231" t="s">
        <v>310</v>
      </c>
      <c r="GE50" s="233"/>
      <c r="GF50" s="233"/>
      <c r="GG50" s="233"/>
      <c r="GH50" s="233"/>
      <c r="GI50" s="233"/>
      <c r="GK50" s="231" t="s">
        <v>310</v>
      </c>
      <c r="GL50" s="233"/>
      <c r="GM50" s="233"/>
      <c r="GN50" s="233"/>
      <c r="GO50" s="233"/>
      <c r="GP50" s="233"/>
      <c r="GR50" s="231" t="s">
        <v>310</v>
      </c>
      <c r="GS50" s="233"/>
      <c r="GT50" s="233"/>
      <c r="GU50" s="233"/>
      <c r="GV50" s="233"/>
      <c r="GW50" s="233"/>
      <c r="GY50" s="231" t="s">
        <v>310</v>
      </c>
      <c r="GZ50" s="233"/>
      <c r="HA50" s="233"/>
      <c r="HB50" s="233"/>
      <c r="HC50" s="233"/>
      <c r="HD50" s="233"/>
      <c r="HF50" s="231" t="s">
        <v>310</v>
      </c>
      <c r="HG50" s="233"/>
      <c r="HH50" s="233"/>
      <c r="HI50" s="233"/>
      <c r="HJ50" s="233"/>
      <c r="HK50" s="233"/>
      <c r="HM50" s="231" t="s">
        <v>310</v>
      </c>
      <c r="HN50" s="233"/>
      <c r="HO50" s="233"/>
      <c r="HP50" s="233"/>
      <c r="HQ50" s="233"/>
      <c r="HR50" s="233"/>
      <c r="HT50" s="231" t="s">
        <v>310</v>
      </c>
      <c r="HU50" s="233"/>
      <c r="HV50" s="233"/>
      <c r="HW50" s="233"/>
      <c r="HX50" s="233"/>
      <c r="HY50" s="233"/>
      <c r="IA50" s="231" t="s">
        <v>310</v>
      </c>
      <c r="IB50" s="233"/>
      <c r="IC50" s="233"/>
      <c r="ID50" s="233"/>
      <c r="IE50" s="233"/>
      <c r="IF50" s="233"/>
      <c r="IH50" s="231" t="s">
        <v>310</v>
      </c>
      <c r="II50" s="233"/>
      <c r="IJ50" s="233"/>
      <c r="IK50" s="233"/>
      <c r="IL50" s="233"/>
      <c r="IM50" s="233"/>
      <c r="IO50" s="231" t="s">
        <v>310</v>
      </c>
      <c r="IP50" s="233"/>
      <c r="IQ50" s="233"/>
      <c r="IR50" s="233"/>
      <c r="IS50" s="233"/>
      <c r="IT50" s="233"/>
      <c r="IV50" s="231" t="s">
        <v>310</v>
      </c>
      <c r="IW50" s="233"/>
      <c r="IX50" s="233"/>
      <c r="IY50" s="233"/>
      <c r="IZ50" s="233"/>
      <c r="JA50" s="233"/>
      <c r="JC50" s="231" t="s">
        <v>310</v>
      </c>
      <c r="JD50" s="233"/>
      <c r="JE50" s="233"/>
      <c r="JF50" s="233"/>
      <c r="JG50" s="233"/>
      <c r="JH50" s="233"/>
      <c r="JJ50" s="231" t="s">
        <v>310</v>
      </c>
      <c r="JK50" s="233"/>
      <c r="JL50" s="233"/>
      <c r="JM50" s="233"/>
      <c r="JN50" s="233"/>
      <c r="JO50" s="233"/>
      <c r="JQ50" s="231" t="s">
        <v>310</v>
      </c>
      <c r="JR50" s="233"/>
      <c r="JS50" s="233"/>
      <c r="JT50" s="233"/>
      <c r="JU50" s="233"/>
      <c r="JV50" s="233"/>
      <c r="JX50" s="231" t="s">
        <v>310</v>
      </c>
      <c r="JY50" s="233"/>
      <c r="JZ50" s="233"/>
      <c r="KA50" s="233"/>
      <c r="KB50" s="233"/>
      <c r="KC50" s="233"/>
      <c r="KE50" s="231" t="s">
        <v>310</v>
      </c>
      <c r="KF50" s="233"/>
      <c r="KG50" s="233"/>
      <c r="KH50" s="233"/>
      <c r="KI50" s="233"/>
      <c r="KJ50" s="233"/>
      <c r="KL50" s="231" t="s">
        <v>310</v>
      </c>
      <c r="KM50" s="233"/>
      <c r="KN50" s="233"/>
      <c r="KO50" s="233"/>
      <c r="KP50" s="233"/>
      <c r="KQ50" s="233"/>
      <c r="KS50" s="231" t="s">
        <v>310</v>
      </c>
      <c r="KT50" s="233"/>
      <c r="KU50" s="233"/>
      <c r="KV50" s="232"/>
      <c r="KW50" s="233"/>
      <c r="KX50" s="233"/>
      <c r="KZ50" s="231" t="s">
        <v>310</v>
      </c>
      <c r="LA50" s="233"/>
      <c r="LB50" s="234"/>
      <c r="LC50" s="234"/>
      <c r="LD50" s="234"/>
      <c r="LE50" s="233"/>
      <c r="LF50" s="581"/>
      <c r="LG50" s="231" t="s">
        <v>310</v>
      </c>
      <c r="LH50" s="234"/>
      <c r="LI50" s="234"/>
      <c r="LJ50" s="234"/>
      <c r="LK50" s="234"/>
      <c r="LL50" s="233"/>
      <c r="LM50" s="581"/>
      <c r="LN50" s="231" t="s">
        <v>310</v>
      </c>
      <c r="LO50" s="234"/>
      <c r="LP50" s="234"/>
      <c r="LQ50" s="234"/>
      <c r="LR50" s="234"/>
      <c r="LS50" s="233"/>
      <c r="LT50" s="581"/>
      <c r="LU50" s="231" t="s">
        <v>310</v>
      </c>
      <c r="LV50" s="234"/>
      <c r="LW50" s="234"/>
      <c r="LX50" s="234"/>
      <c r="LY50" s="234"/>
      <c r="LZ50" s="233"/>
      <c r="MA50" s="581"/>
      <c r="MB50" s="231" t="s">
        <v>310</v>
      </c>
      <c r="MC50" s="234"/>
      <c r="MD50" s="234"/>
      <c r="ME50" s="234"/>
      <c r="MF50" s="234"/>
      <c r="MG50" s="233"/>
      <c r="MH50" s="581"/>
    </row>
    <row r="51" spans="1:346" s="37" customFormat="1" ht="13.15" outlineLevel="1" x14ac:dyDescent="0.4">
      <c r="A51" s="48"/>
      <c r="B51" s="231" t="s">
        <v>311</v>
      </c>
      <c r="C51" s="235"/>
      <c r="D51" s="235"/>
      <c r="E51" s="235"/>
      <c r="F51" s="235"/>
      <c r="G51" s="235"/>
      <c r="H51" s="235"/>
      <c r="I51" s="235"/>
      <c r="J51" s="235"/>
      <c r="K51" s="235"/>
      <c r="L51" s="235">
        <v>803</v>
      </c>
      <c r="M51" s="235">
        <v>935</v>
      </c>
      <c r="N51" s="235">
        <f t="shared" si="178"/>
        <v>884</v>
      </c>
      <c r="O51" s="235">
        <f t="shared" si="179"/>
        <v>641</v>
      </c>
      <c r="P51" s="235">
        <f t="shared" si="180"/>
        <v>832</v>
      </c>
      <c r="Q51" s="235">
        <f t="shared" si="181"/>
        <v>789</v>
      </c>
      <c r="R51" s="235">
        <f t="shared" si="182"/>
        <v>828</v>
      </c>
      <c r="S51" s="235">
        <f t="shared" si="183"/>
        <v>919</v>
      </c>
      <c r="T51" s="235">
        <f t="shared" si="184"/>
        <v>1155.5</v>
      </c>
      <c r="U51" s="235">
        <f t="shared" si="185"/>
        <v>1190</v>
      </c>
      <c r="V51" s="235">
        <f t="shared" si="186"/>
        <v>1191</v>
      </c>
      <c r="W51" s="235">
        <f t="shared" si="187"/>
        <v>1285</v>
      </c>
      <c r="X51" s="235">
        <f t="shared" si="188"/>
        <v>1209</v>
      </c>
      <c r="Y51" s="235">
        <f t="shared" si="189"/>
        <v>325</v>
      </c>
      <c r="Z51" s="235">
        <f t="shared" si="190"/>
        <v>272</v>
      </c>
      <c r="AA51" s="235">
        <f t="shared" si="191"/>
        <v>315</v>
      </c>
      <c r="AB51" s="235">
        <f t="shared" si="192"/>
        <v>0</v>
      </c>
      <c r="AC51" s="235">
        <f t="shared" si="193"/>
        <v>0</v>
      </c>
      <c r="AD51" s="235">
        <f t="shared" si="194"/>
        <v>0</v>
      </c>
      <c r="AE51" s="235">
        <f t="shared" si="195"/>
        <v>0</v>
      </c>
      <c r="AF51" s="235">
        <f t="shared" si="196"/>
        <v>0</v>
      </c>
      <c r="AG51" s="235">
        <f t="shared" si="197"/>
        <v>0</v>
      </c>
      <c r="AH51" s="235">
        <f t="shared" si="198"/>
        <v>0</v>
      </c>
      <c r="AI51" s="235">
        <f t="shared" si="199"/>
        <v>0</v>
      </c>
      <c r="AJ51" s="235">
        <f t="shared" si="200"/>
        <v>0</v>
      </c>
      <c r="AK51" s="235">
        <f t="shared" si="201"/>
        <v>0</v>
      </c>
      <c r="AL51" s="235">
        <f t="shared" si="202"/>
        <v>0</v>
      </c>
      <c r="AM51" s="235">
        <f t="shared" si="203"/>
        <v>0</v>
      </c>
      <c r="AN51" s="235">
        <f t="shared" si="204"/>
        <v>0</v>
      </c>
      <c r="AO51" s="235">
        <f t="shared" si="205"/>
        <v>0</v>
      </c>
      <c r="AP51" s="235">
        <f t="shared" si="206"/>
        <v>0</v>
      </c>
      <c r="AQ51" s="235">
        <f t="shared" si="207"/>
        <v>0</v>
      </c>
      <c r="AR51" s="235">
        <f t="shared" si="208"/>
        <v>0</v>
      </c>
      <c r="AS51" s="235">
        <f t="shared" si="209"/>
        <v>0</v>
      </c>
      <c r="AT51" s="235">
        <f t="shared" si="210"/>
        <v>0</v>
      </c>
      <c r="AU51" s="235">
        <f t="shared" si="211"/>
        <v>0</v>
      </c>
      <c r="AV51" s="235">
        <f t="shared" si="212"/>
        <v>0</v>
      </c>
      <c r="AW51" s="235">
        <f t="shared" si="213"/>
        <v>0</v>
      </c>
      <c r="AX51" s="235">
        <f t="shared" si="214"/>
        <v>0</v>
      </c>
      <c r="AY51" s="235">
        <f t="shared" si="215"/>
        <v>0</v>
      </c>
      <c r="AZ51" s="235">
        <f t="shared" si="216"/>
        <v>0</v>
      </c>
      <c r="BA51" s="235">
        <f t="shared" si="217"/>
        <v>0</v>
      </c>
      <c r="BB51" s="235"/>
      <c r="BC51" s="235"/>
      <c r="BD51" s="235"/>
      <c r="BE51" s="235"/>
      <c r="BF51" s="235"/>
      <c r="BG51" s="235"/>
      <c r="BH51" s="235"/>
      <c r="BI51" s="235"/>
      <c r="BJ51" s="235"/>
      <c r="BK51" s="235"/>
      <c r="BL51" s="235"/>
      <c r="BM51" s="235"/>
      <c r="BO51" s="231" t="s">
        <v>311</v>
      </c>
      <c r="BP51" s="233">
        <v>228</v>
      </c>
      <c r="BQ51" s="233">
        <v>258</v>
      </c>
      <c r="BR51" s="233">
        <v>258</v>
      </c>
      <c r="BS51" s="233">
        <v>140</v>
      </c>
      <c r="BT51" s="233">
        <f t="shared" si="218"/>
        <v>884</v>
      </c>
      <c r="BV51" s="231" t="s">
        <v>311</v>
      </c>
      <c r="BW51" s="233">
        <v>127</v>
      </c>
      <c r="BX51" s="233">
        <v>149</v>
      </c>
      <c r="BY51" s="233">
        <v>155</v>
      </c>
      <c r="BZ51" s="233">
        <v>210</v>
      </c>
      <c r="CA51" s="233">
        <f t="shared" si="219"/>
        <v>641</v>
      </c>
      <c r="CC51" s="231" t="s">
        <v>311</v>
      </c>
      <c r="CD51" s="233">
        <v>199</v>
      </c>
      <c r="CE51" s="233">
        <v>207</v>
      </c>
      <c r="CF51" s="233">
        <v>204</v>
      </c>
      <c r="CG51" s="233">
        <v>222</v>
      </c>
      <c r="CH51" s="233">
        <f t="shared" si="220"/>
        <v>832</v>
      </c>
      <c r="CJ51" s="231" t="s">
        <v>311</v>
      </c>
      <c r="CK51" s="233">
        <v>180</v>
      </c>
      <c r="CL51" s="233">
        <v>211</v>
      </c>
      <c r="CM51" s="233">
        <v>199</v>
      </c>
      <c r="CN51" s="233">
        <v>199</v>
      </c>
      <c r="CO51" s="233">
        <f t="shared" si="221"/>
        <v>789</v>
      </c>
      <c r="CQ51" s="231" t="s">
        <v>311</v>
      </c>
      <c r="CR51" s="233">
        <v>193</v>
      </c>
      <c r="CS51" s="233">
        <v>209</v>
      </c>
      <c r="CT51" s="233">
        <v>210</v>
      </c>
      <c r="CU51" s="233">
        <v>216</v>
      </c>
      <c r="CV51" s="233">
        <f t="shared" si="222"/>
        <v>828</v>
      </c>
      <c r="CX51" s="231" t="s">
        <v>311</v>
      </c>
      <c r="CY51" s="233">
        <v>206</v>
      </c>
      <c r="CZ51" s="233">
        <v>230</v>
      </c>
      <c r="DA51" s="233">
        <v>228</v>
      </c>
      <c r="DB51" s="233">
        <v>255</v>
      </c>
      <c r="DC51" s="233">
        <f t="shared" si="223"/>
        <v>919</v>
      </c>
      <c r="DE51" s="231" t="s">
        <v>311</v>
      </c>
      <c r="DF51" s="233">
        <v>251</v>
      </c>
      <c r="DG51" s="233">
        <f>296-4</f>
        <v>292</v>
      </c>
      <c r="DH51" s="233">
        <f>308-6.5</f>
        <v>301.5</v>
      </c>
      <c r="DI51" s="233">
        <v>311</v>
      </c>
      <c r="DJ51" s="233">
        <f t="shared" si="224"/>
        <v>1155.5</v>
      </c>
      <c r="DL51" s="231" t="s">
        <v>311</v>
      </c>
      <c r="DM51" s="233">
        <v>290</v>
      </c>
      <c r="DN51" s="233">
        <v>298</v>
      </c>
      <c r="DO51" s="233">
        <v>304</v>
      </c>
      <c r="DP51" s="233">
        <v>298</v>
      </c>
      <c r="DQ51" s="233">
        <f t="shared" si="225"/>
        <v>1190</v>
      </c>
      <c r="DS51" s="231" t="s">
        <v>311</v>
      </c>
      <c r="DT51" s="233">
        <v>282</v>
      </c>
      <c r="DU51" s="233">
        <v>306</v>
      </c>
      <c r="DV51" s="233">
        <v>296</v>
      </c>
      <c r="DW51" s="233">
        <v>307</v>
      </c>
      <c r="DX51" s="233">
        <f t="shared" si="226"/>
        <v>1191</v>
      </c>
      <c r="DZ51" s="231" t="s">
        <v>311</v>
      </c>
      <c r="EA51" s="233">
        <v>308</v>
      </c>
      <c r="EB51" s="233">
        <v>316</v>
      </c>
      <c r="EC51" s="233">
        <v>309</v>
      </c>
      <c r="ED51" s="233">
        <v>352</v>
      </c>
      <c r="EE51" s="233">
        <f t="shared" si="227"/>
        <v>1285</v>
      </c>
      <c r="EG51" s="231" t="s">
        <v>311</v>
      </c>
      <c r="EH51" s="233">
        <v>314</v>
      </c>
      <c r="EI51" s="233">
        <v>308</v>
      </c>
      <c r="EJ51" s="233">
        <v>302</v>
      </c>
      <c r="EK51" s="233">
        <v>285</v>
      </c>
      <c r="EL51" s="233">
        <f t="shared" si="228"/>
        <v>1209</v>
      </c>
      <c r="EN51" s="231" t="s">
        <v>311</v>
      </c>
      <c r="EO51" s="233">
        <v>81</v>
      </c>
      <c r="EP51" s="233">
        <v>78</v>
      </c>
      <c r="EQ51" s="233">
        <v>78</v>
      </c>
      <c r="ER51" s="233">
        <v>88</v>
      </c>
      <c r="ES51" s="233">
        <f t="shared" si="229"/>
        <v>325</v>
      </c>
      <c r="EU51" s="231" t="s">
        <v>311</v>
      </c>
      <c r="EV51" s="233">
        <v>76</v>
      </c>
      <c r="EW51" s="233">
        <v>66</v>
      </c>
      <c r="EX51" s="233">
        <v>67</v>
      </c>
      <c r="EY51" s="233">
        <v>63</v>
      </c>
      <c r="EZ51" s="233">
        <f t="shared" si="230"/>
        <v>272</v>
      </c>
      <c r="FB51" s="231" t="s">
        <v>311</v>
      </c>
      <c r="FC51" s="233">
        <v>71</v>
      </c>
      <c r="FD51" s="233">
        <f>77</f>
        <v>77</v>
      </c>
      <c r="FE51" s="233">
        <v>84</v>
      </c>
      <c r="FF51" s="233">
        <v>83</v>
      </c>
      <c r="FG51" s="233">
        <f t="shared" si="231"/>
        <v>315</v>
      </c>
      <c r="FI51" s="231" t="s">
        <v>311</v>
      </c>
      <c r="FJ51" s="233"/>
      <c r="FK51" s="233"/>
      <c r="FL51" s="233"/>
      <c r="FM51" s="233"/>
      <c r="FN51" s="233"/>
      <c r="FP51" s="231" t="s">
        <v>311</v>
      </c>
      <c r="FQ51" s="233"/>
      <c r="FR51" s="233"/>
      <c r="FS51" s="233"/>
      <c r="FT51" s="233"/>
      <c r="FU51" s="233"/>
      <c r="FW51" s="231" t="s">
        <v>311</v>
      </c>
      <c r="FX51" s="233"/>
      <c r="FY51" s="233"/>
      <c r="FZ51" s="233"/>
      <c r="GA51" s="233"/>
      <c r="GB51" s="233"/>
      <c r="GD51" s="231" t="s">
        <v>311</v>
      </c>
      <c r="GE51" s="233"/>
      <c r="GF51" s="233"/>
      <c r="GG51" s="233"/>
      <c r="GH51" s="233"/>
      <c r="GI51" s="233"/>
      <c r="GK51" s="231" t="s">
        <v>311</v>
      </c>
      <c r="GL51" s="233"/>
      <c r="GM51" s="233"/>
      <c r="GN51" s="233"/>
      <c r="GO51" s="233"/>
      <c r="GP51" s="233"/>
      <c r="GR51" s="231" t="s">
        <v>311</v>
      </c>
      <c r="GS51" s="233"/>
      <c r="GT51" s="233"/>
      <c r="GU51" s="233"/>
      <c r="GV51" s="233"/>
      <c r="GW51" s="233"/>
      <c r="GY51" s="231" t="s">
        <v>311</v>
      </c>
      <c r="GZ51" s="233"/>
      <c r="HA51" s="233"/>
      <c r="HB51" s="233"/>
      <c r="HC51" s="233"/>
      <c r="HD51" s="233"/>
      <c r="HF51" s="231" t="s">
        <v>311</v>
      </c>
      <c r="HG51" s="233"/>
      <c r="HH51" s="233"/>
      <c r="HI51" s="233"/>
      <c r="HJ51" s="233"/>
      <c r="HK51" s="233"/>
      <c r="HM51" s="231" t="s">
        <v>311</v>
      </c>
      <c r="HN51" s="233"/>
      <c r="HO51" s="233"/>
      <c r="HP51" s="233"/>
      <c r="HQ51" s="233"/>
      <c r="HR51" s="233"/>
      <c r="HT51" s="231" t="s">
        <v>311</v>
      </c>
      <c r="HU51" s="233"/>
      <c r="HV51" s="233"/>
      <c r="HW51" s="233"/>
      <c r="HX51" s="233"/>
      <c r="HY51" s="233"/>
      <c r="IA51" s="231" t="s">
        <v>311</v>
      </c>
      <c r="IB51" s="233"/>
      <c r="IC51" s="233"/>
      <c r="ID51" s="233"/>
      <c r="IE51" s="233"/>
      <c r="IF51" s="233"/>
      <c r="IH51" s="231" t="s">
        <v>311</v>
      </c>
      <c r="II51" s="233"/>
      <c r="IJ51" s="233"/>
      <c r="IK51" s="233"/>
      <c r="IL51" s="233"/>
      <c r="IM51" s="233"/>
      <c r="IO51" s="231" t="s">
        <v>311</v>
      </c>
      <c r="IP51" s="233"/>
      <c r="IQ51" s="233"/>
      <c r="IR51" s="233"/>
      <c r="IS51" s="233"/>
      <c r="IT51" s="233"/>
      <c r="IV51" s="231" t="s">
        <v>311</v>
      </c>
      <c r="IW51" s="233"/>
      <c r="IX51" s="233"/>
      <c r="IY51" s="233"/>
      <c r="IZ51" s="233"/>
      <c r="JA51" s="233"/>
      <c r="JC51" s="231" t="s">
        <v>311</v>
      </c>
      <c r="JD51" s="233"/>
      <c r="JE51" s="233"/>
      <c r="JF51" s="233"/>
      <c r="JG51" s="233"/>
      <c r="JH51" s="233"/>
      <c r="JJ51" s="231" t="s">
        <v>311</v>
      </c>
      <c r="JK51" s="233"/>
      <c r="JL51" s="233"/>
      <c r="JM51" s="233"/>
      <c r="JN51" s="233"/>
      <c r="JO51" s="233"/>
      <c r="JQ51" s="231" t="s">
        <v>311</v>
      </c>
      <c r="JR51" s="233"/>
      <c r="JS51" s="233"/>
      <c r="JT51" s="233"/>
      <c r="JU51" s="233"/>
      <c r="JV51" s="233"/>
      <c r="JX51" s="231" t="s">
        <v>311</v>
      </c>
      <c r="JY51" s="233"/>
      <c r="JZ51" s="233"/>
      <c r="KA51" s="233"/>
      <c r="KB51" s="233"/>
      <c r="KC51" s="233"/>
      <c r="KE51" s="231" t="s">
        <v>311</v>
      </c>
      <c r="KF51" s="233"/>
      <c r="KG51" s="233"/>
      <c r="KH51" s="233"/>
      <c r="KI51" s="233"/>
      <c r="KJ51" s="233"/>
      <c r="KL51" s="231" t="s">
        <v>311</v>
      </c>
      <c r="KM51" s="233"/>
      <c r="KN51" s="233"/>
      <c r="KO51" s="233"/>
      <c r="KP51" s="233"/>
      <c r="KQ51" s="233"/>
      <c r="KS51" s="231" t="s">
        <v>311</v>
      </c>
      <c r="KT51" s="233"/>
      <c r="KU51" s="233"/>
      <c r="KV51" s="232"/>
      <c r="KW51" s="233"/>
      <c r="KX51" s="233"/>
      <c r="KZ51" s="231" t="s">
        <v>311</v>
      </c>
      <c r="LA51" s="233"/>
      <c r="LB51" s="234"/>
      <c r="LC51" s="234"/>
      <c r="LD51" s="234"/>
      <c r="LE51" s="233"/>
      <c r="LF51" s="581"/>
      <c r="LG51" s="231" t="s">
        <v>311</v>
      </c>
      <c r="LH51" s="234"/>
      <c r="LI51" s="234"/>
      <c r="LJ51" s="234"/>
      <c r="LK51" s="234"/>
      <c r="LL51" s="233"/>
      <c r="LM51" s="581"/>
      <c r="LN51" s="231" t="s">
        <v>311</v>
      </c>
      <c r="LO51" s="234"/>
      <c r="LP51" s="234"/>
      <c r="LQ51" s="234"/>
      <c r="LR51" s="234"/>
      <c r="LS51" s="233"/>
      <c r="LT51" s="581"/>
      <c r="LU51" s="231" t="s">
        <v>311</v>
      </c>
      <c r="LV51" s="234"/>
      <c r="LW51" s="234"/>
      <c r="LX51" s="234"/>
      <c r="LY51" s="234"/>
      <c r="LZ51" s="233"/>
      <c r="MA51" s="581"/>
      <c r="MB51" s="231" t="s">
        <v>311</v>
      </c>
      <c r="MC51" s="234"/>
      <c r="MD51" s="234"/>
      <c r="ME51" s="234"/>
      <c r="MF51" s="234"/>
      <c r="MG51" s="233"/>
      <c r="MH51" s="581"/>
    </row>
    <row r="52" spans="1:346" s="37" customFormat="1" ht="13.15" outlineLevel="1" x14ac:dyDescent="0.4">
      <c r="A52" s="48"/>
      <c r="B52" s="231" t="s">
        <v>312</v>
      </c>
      <c r="C52" s="235"/>
      <c r="D52" s="235"/>
      <c r="E52" s="235"/>
      <c r="F52" s="235"/>
      <c r="G52" s="235"/>
      <c r="H52" s="235"/>
      <c r="I52" s="235"/>
      <c r="J52" s="235"/>
      <c r="K52" s="235"/>
      <c r="L52" s="235">
        <v>210</v>
      </c>
      <c r="M52" s="235">
        <v>309</v>
      </c>
      <c r="N52" s="235">
        <f t="shared" si="178"/>
        <v>391</v>
      </c>
      <c r="O52" s="235">
        <f t="shared" si="179"/>
        <v>453</v>
      </c>
      <c r="P52" s="235">
        <f t="shared" si="180"/>
        <v>578</v>
      </c>
      <c r="Q52" s="235">
        <f t="shared" si="181"/>
        <v>576</v>
      </c>
      <c r="R52" s="235">
        <f t="shared" si="182"/>
        <v>559</v>
      </c>
      <c r="S52" s="235">
        <f t="shared" si="183"/>
        <v>600</v>
      </c>
      <c r="T52" s="235">
        <f t="shared" si="184"/>
        <v>636</v>
      </c>
      <c r="U52" s="235">
        <f t="shared" si="185"/>
        <v>630</v>
      </c>
      <c r="V52" s="235">
        <f t="shared" si="186"/>
        <v>600</v>
      </c>
      <c r="W52" s="235">
        <f t="shared" si="187"/>
        <v>596</v>
      </c>
      <c r="X52" s="235">
        <f t="shared" si="188"/>
        <v>546</v>
      </c>
      <c r="Y52" s="235">
        <f t="shared" si="189"/>
        <v>55</v>
      </c>
      <c r="Z52" s="235">
        <f t="shared" si="190"/>
        <v>60</v>
      </c>
      <c r="AA52" s="235">
        <f t="shared" si="191"/>
        <v>54</v>
      </c>
      <c r="AB52" s="235">
        <f t="shared" si="192"/>
        <v>0</v>
      </c>
      <c r="AC52" s="235">
        <f t="shared" si="193"/>
        <v>0</v>
      </c>
      <c r="AD52" s="235">
        <f t="shared" si="194"/>
        <v>0</v>
      </c>
      <c r="AE52" s="235">
        <f t="shared" si="195"/>
        <v>0</v>
      </c>
      <c r="AF52" s="235">
        <f t="shared" si="196"/>
        <v>0</v>
      </c>
      <c r="AG52" s="235">
        <f t="shared" si="197"/>
        <v>0</v>
      </c>
      <c r="AH52" s="235">
        <f t="shared" si="198"/>
        <v>0</v>
      </c>
      <c r="AI52" s="235">
        <f t="shared" si="199"/>
        <v>0</v>
      </c>
      <c r="AJ52" s="235">
        <f t="shared" si="200"/>
        <v>0</v>
      </c>
      <c r="AK52" s="235">
        <f t="shared" si="201"/>
        <v>0</v>
      </c>
      <c r="AL52" s="235">
        <f t="shared" si="202"/>
        <v>0</v>
      </c>
      <c r="AM52" s="235">
        <f t="shared" si="203"/>
        <v>0</v>
      </c>
      <c r="AN52" s="235">
        <f t="shared" si="204"/>
        <v>0</v>
      </c>
      <c r="AO52" s="235">
        <f t="shared" si="205"/>
        <v>0</v>
      </c>
      <c r="AP52" s="235">
        <f t="shared" si="206"/>
        <v>0</v>
      </c>
      <c r="AQ52" s="235">
        <f t="shared" si="207"/>
        <v>0</v>
      </c>
      <c r="AR52" s="235">
        <f t="shared" si="208"/>
        <v>0</v>
      </c>
      <c r="AS52" s="235">
        <f t="shared" si="209"/>
        <v>0</v>
      </c>
      <c r="AT52" s="235">
        <f t="shared" si="210"/>
        <v>0</v>
      </c>
      <c r="AU52" s="235">
        <f t="shared" si="211"/>
        <v>0</v>
      </c>
      <c r="AV52" s="235">
        <f t="shared" si="212"/>
        <v>0</v>
      </c>
      <c r="AW52" s="235">
        <f t="shared" si="213"/>
        <v>0</v>
      </c>
      <c r="AX52" s="235">
        <f t="shared" si="214"/>
        <v>0</v>
      </c>
      <c r="AY52" s="235">
        <f t="shared" si="215"/>
        <v>0</v>
      </c>
      <c r="AZ52" s="235">
        <f t="shared" si="216"/>
        <v>0</v>
      </c>
      <c r="BA52" s="235">
        <f t="shared" si="217"/>
        <v>0</v>
      </c>
      <c r="BB52" s="235"/>
      <c r="BC52" s="235"/>
      <c r="BD52" s="235"/>
      <c r="BE52" s="235"/>
      <c r="BF52" s="235"/>
      <c r="BG52" s="235"/>
      <c r="BH52" s="235"/>
      <c r="BI52" s="235"/>
      <c r="BJ52" s="235"/>
      <c r="BK52" s="235"/>
      <c r="BL52" s="235"/>
      <c r="BM52" s="235"/>
      <c r="BO52" s="231" t="s">
        <v>312</v>
      </c>
      <c r="BP52" s="233">
        <v>80</v>
      </c>
      <c r="BQ52" s="233">
        <v>99</v>
      </c>
      <c r="BR52" s="233">
        <v>104</v>
      </c>
      <c r="BS52" s="233">
        <v>108</v>
      </c>
      <c r="BT52" s="233">
        <f t="shared" si="218"/>
        <v>391</v>
      </c>
      <c r="BV52" s="231" t="s">
        <v>312</v>
      </c>
      <c r="BW52" s="233">
        <v>98</v>
      </c>
      <c r="BX52" s="233">
        <v>110</v>
      </c>
      <c r="BY52" s="233">
        <v>107</v>
      </c>
      <c r="BZ52" s="233">
        <v>138</v>
      </c>
      <c r="CA52" s="233">
        <f t="shared" si="219"/>
        <v>453</v>
      </c>
      <c r="CC52" s="231" t="s">
        <v>312</v>
      </c>
      <c r="CD52" s="233">
        <v>135</v>
      </c>
      <c r="CE52" s="233">
        <v>149</v>
      </c>
      <c r="CF52" s="233">
        <v>143</v>
      </c>
      <c r="CG52" s="233">
        <v>151</v>
      </c>
      <c r="CH52" s="233">
        <f t="shared" si="220"/>
        <v>578</v>
      </c>
      <c r="CJ52" s="231" t="s">
        <v>312</v>
      </c>
      <c r="CK52" s="233">
        <v>146</v>
      </c>
      <c r="CL52" s="233">
        <v>143</v>
      </c>
      <c r="CM52" s="233">
        <v>143</v>
      </c>
      <c r="CN52" s="233">
        <v>144</v>
      </c>
      <c r="CO52" s="233">
        <f t="shared" si="221"/>
        <v>576</v>
      </c>
      <c r="CQ52" s="231" t="s">
        <v>312</v>
      </c>
      <c r="CR52" s="233">
        <v>145</v>
      </c>
      <c r="CS52" s="233">
        <v>141</v>
      </c>
      <c r="CT52" s="233">
        <v>144</v>
      </c>
      <c r="CU52" s="233">
        <v>129</v>
      </c>
      <c r="CV52" s="233">
        <f t="shared" si="222"/>
        <v>559</v>
      </c>
      <c r="CX52" s="231" t="s">
        <v>312</v>
      </c>
      <c r="CY52" s="233">
        <v>148</v>
      </c>
      <c r="CZ52" s="233">
        <v>155</v>
      </c>
      <c r="DA52" s="233">
        <v>159</v>
      </c>
      <c r="DB52" s="233">
        <v>138</v>
      </c>
      <c r="DC52" s="233">
        <f t="shared" si="223"/>
        <v>600</v>
      </c>
      <c r="DE52" s="231" t="s">
        <v>312</v>
      </c>
      <c r="DF52" s="233">
        <v>149</v>
      </c>
      <c r="DG52" s="233">
        <v>150</v>
      </c>
      <c r="DH52" s="233">
        <v>160</v>
      </c>
      <c r="DI52" s="233">
        <v>177</v>
      </c>
      <c r="DJ52" s="233">
        <f t="shared" si="224"/>
        <v>636</v>
      </c>
      <c r="DL52" s="231" t="s">
        <v>312</v>
      </c>
      <c r="DM52" s="233">
        <v>159</v>
      </c>
      <c r="DN52" s="233">
        <v>158</v>
      </c>
      <c r="DO52" s="233">
        <v>156</v>
      </c>
      <c r="DP52" s="233">
        <v>157</v>
      </c>
      <c r="DQ52" s="233">
        <f t="shared" si="225"/>
        <v>630</v>
      </c>
      <c r="DS52" s="231" t="s">
        <v>312</v>
      </c>
      <c r="DT52" s="233">
        <v>157</v>
      </c>
      <c r="DU52" s="233">
        <v>148</v>
      </c>
      <c r="DV52" s="233">
        <v>147</v>
      </c>
      <c r="DW52" s="233">
        <v>148</v>
      </c>
      <c r="DX52" s="233">
        <f t="shared" si="226"/>
        <v>600</v>
      </c>
      <c r="DZ52" s="231" t="s">
        <v>312</v>
      </c>
      <c r="EA52" s="233">
        <v>146</v>
      </c>
      <c r="EB52" s="233">
        <v>150</v>
      </c>
      <c r="EC52" s="233">
        <v>153</v>
      </c>
      <c r="ED52" s="233">
        <v>147</v>
      </c>
      <c r="EE52" s="233">
        <f t="shared" si="227"/>
        <v>596</v>
      </c>
      <c r="EG52" s="231" t="s">
        <v>312</v>
      </c>
      <c r="EH52" s="233">
        <v>162</v>
      </c>
      <c r="EI52" s="233">
        <v>135</v>
      </c>
      <c r="EJ52" s="233">
        <v>132</v>
      </c>
      <c r="EK52" s="233">
        <v>117</v>
      </c>
      <c r="EL52" s="233">
        <f t="shared" si="228"/>
        <v>546</v>
      </c>
      <c r="EN52" s="231" t="s">
        <v>312</v>
      </c>
      <c r="EO52" s="233">
        <v>17</v>
      </c>
      <c r="EP52" s="233">
        <v>7</v>
      </c>
      <c r="EQ52" s="233">
        <v>15</v>
      </c>
      <c r="ER52" s="233">
        <v>16</v>
      </c>
      <c r="ES52" s="233">
        <f t="shared" si="229"/>
        <v>55</v>
      </c>
      <c r="EU52" s="231" t="s">
        <v>312</v>
      </c>
      <c r="EV52" s="233">
        <v>16</v>
      </c>
      <c r="EW52" s="233">
        <v>15</v>
      </c>
      <c r="EX52" s="233">
        <v>15</v>
      </c>
      <c r="EY52" s="233">
        <v>14</v>
      </c>
      <c r="EZ52" s="233">
        <f t="shared" si="230"/>
        <v>60</v>
      </c>
      <c r="FB52" s="231" t="s">
        <v>312</v>
      </c>
      <c r="FC52" s="233">
        <v>17</v>
      </c>
      <c r="FD52" s="233">
        <v>15</v>
      </c>
      <c r="FE52" s="233">
        <v>13</v>
      </c>
      <c r="FF52" s="233">
        <v>9</v>
      </c>
      <c r="FG52" s="233">
        <f t="shared" si="231"/>
        <v>54</v>
      </c>
      <c r="FI52" s="231" t="s">
        <v>312</v>
      </c>
      <c r="FJ52" s="233"/>
      <c r="FK52" s="233"/>
      <c r="FL52" s="233"/>
      <c r="FM52" s="233"/>
      <c r="FN52" s="233"/>
      <c r="FP52" s="231" t="s">
        <v>312</v>
      </c>
      <c r="FQ52" s="233"/>
      <c r="FR52" s="233"/>
      <c r="FS52" s="233"/>
      <c r="FT52" s="233"/>
      <c r="FU52" s="233"/>
      <c r="FW52" s="231" t="s">
        <v>312</v>
      </c>
      <c r="FX52" s="233"/>
      <c r="FY52" s="233"/>
      <c r="FZ52" s="233"/>
      <c r="GA52" s="233"/>
      <c r="GB52" s="233"/>
      <c r="GD52" s="231" t="s">
        <v>312</v>
      </c>
      <c r="GE52" s="233"/>
      <c r="GF52" s="233"/>
      <c r="GG52" s="233"/>
      <c r="GH52" s="233"/>
      <c r="GI52" s="233"/>
      <c r="GK52" s="231" t="s">
        <v>312</v>
      </c>
      <c r="GL52" s="233"/>
      <c r="GM52" s="233"/>
      <c r="GN52" s="233"/>
      <c r="GO52" s="233"/>
      <c r="GP52" s="233"/>
      <c r="GR52" s="231" t="s">
        <v>312</v>
      </c>
      <c r="GS52" s="233"/>
      <c r="GT52" s="233"/>
      <c r="GU52" s="233"/>
      <c r="GV52" s="233"/>
      <c r="GW52" s="233"/>
      <c r="GY52" s="231" t="s">
        <v>312</v>
      </c>
      <c r="GZ52" s="233"/>
      <c r="HA52" s="233"/>
      <c r="HB52" s="233"/>
      <c r="HC52" s="233"/>
      <c r="HD52" s="233"/>
      <c r="HF52" s="231" t="s">
        <v>312</v>
      </c>
      <c r="HG52" s="233"/>
      <c r="HH52" s="233"/>
      <c r="HI52" s="233"/>
      <c r="HJ52" s="233"/>
      <c r="HK52" s="233"/>
      <c r="HM52" s="231" t="s">
        <v>312</v>
      </c>
      <c r="HN52" s="233"/>
      <c r="HO52" s="233"/>
      <c r="HP52" s="233"/>
      <c r="HQ52" s="233"/>
      <c r="HR52" s="233"/>
      <c r="HT52" s="231" t="s">
        <v>312</v>
      </c>
      <c r="HU52" s="233"/>
      <c r="HV52" s="233"/>
      <c r="HW52" s="233"/>
      <c r="HX52" s="233"/>
      <c r="HY52" s="233"/>
      <c r="IA52" s="231" t="s">
        <v>312</v>
      </c>
      <c r="IB52" s="233"/>
      <c r="IC52" s="233"/>
      <c r="ID52" s="233"/>
      <c r="IE52" s="233"/>
      <c r="IF52" s="233"/>
      <c r="IH52" s="231" t="s">
        <v>312</v>
      </c>
      <c r="II52" s="233"/>
      <c r="IJ52" s="233"/>
      <c r="IK52" s="233"/>
      <c r="IL52" s="233"/>
      <c r="IM52" s="233"/>
      <c r="IO52" s="231" t="s">
        <v>312</v>
      </c>
      <c r="IP52" s="233"/>
      <c r="IQ52" s="233"/>
      <c r="IR52" s="233"/>
      <c r="IS52" s="233"/>
      <c r="IT52" s="233"/>
      <c r="IV52" s="231" t="s">
        <v>312</v>
      </c>
      <c r="IW52" s="233"/>
      <c r="IX52" s="233"/>
      <c r="IY52" s="233"/>
      <c r="IZ52" s="233"/>
      <c r="JA52" s="233"/>
      <c r="JC52" s="231" t="s">
        <v>312</v>
      </c>
      <c r="JD52" s="233"/>
      <c r="JE52" s="233"/>
      <c r="JF52" s="233"/>
      <c r="JG52" s="233"/>
      <c r="JH52" s="233"/>
      <c r="JJ52" s="231" t="s">
        <v>312</v>
      </c>
      <c r="JK52" s="233"/>
      <c r="JL52" s="233"/>
      <c r="JM52" s="233"/>
      <c r="JN52" s="233"/>
      <c r="JO52" s="233"/>
      <c r="JQ52" s="231" t="s">
        <v>312</v>
      </c>
      <c r="JR52" s="233"/>
      <c r="JS52" s="233"/>
      <c r="JT52" s="233"/>
      <c r="JU52" s="233"/>
      <c r="JV52" s="233"/>
      <c r="JX52" s="231" t="s">
        <v>312</v>
      </c>
      <c r="JY52" s="233"/>
      <c r="JZ52" s="233"/>
      <c r="KA52" s="233"/>
      <c r="KB52" s="233"/>
      <c r="KC52" s="233"/>
      <c r="KE52" s="231" t="s">
        <v>312</v>
      </c>
      <c r="KF52" s="233"/>
      <c r="KG52" s="233"/>
      <c r="KH52" s="233"/>
      <c r="KI52" s="233"/>
      <c r="KJ52" s="233"/>
      <c r="KL52" s="231" t="s">
        <v>312</v>
      </c>
      <c r="KM52" s="233"/>
      <c r="KN52" s="233"/>
      <c r="KO52" s="233"/>
      <c r="KP52" s="233"/>
      <c r="KQ52" s="233"/>
      <c r="KS52" s="231" t="s">
        <v>312</v>
      </c>
      <c r="KT52" s="233"/>
      <c r="KU52" s="233"/>
      <c r="KV52" s="232"/>
      <c r="KW52" s="233"/>
      <c r="KX52" s="233"/>
      <c r="KZ52" s="231" t="s">
        <v>312</v>
      </c>
      <c r="LA52" s="233"/>
      <c r="LB52" s="234"/>
      <c r="LC52" s="234"/>
      <c r="LD52" s="234"/>
      <c r="LE52" s="233"/>
      <c r="LF52" s="581"/>
      <c r="LG52" s="231" t="s">
        <v>312</v>
      </c>
      <c r="LH52" s="234"/>
      <c r="LI52" s="234"/>
      <c r="LJ52" s="234"/>
      <c r="LK52" s="234"/>
      <c r="LL52" s="233"/>
      <c r="LM52" s="581"/>
      <c r="LN52" s="231" t="s">
        <v>312</v>
      </c>
      <c r="LO52" s="234"/>
      <c r="LP52" s="234"/>
      <c r="LQ52" s="234"/>
      <c r="LR52" s="234"/>
      <c r="LS52" s="233"/>
      <c r="LT52" s="581"/>
      <c r="LU52" s="231" t="s">
        <v>312</v>
      </c>
      <c r="LV52" s="234"/>
      <c r="LW52" s="234"/>
      <c r="LX52" s="234"/>
      <c r="LY52" s="234"/>
      <c r="LZ52" s="233"/>
      <c r="MA52" s="581"/>
      <c r="MB52" s="231" t="s">
        <v>312</v>
      </c>
      <c r="MC52" s="234"/>
      <c r="MD52" s="234"/>
      <c r="ME52" s="234"/>
      <c r="MF52" s="234"/>
      <c r="MG52" s="233"/>
      <c r="MH52" s="581"/>
    </row>
    <row r="53" spans="1:346" s="37" customFormat="1" ht="13.15" outlineLevel="1" x14ac:dyDescent="0.4">
      <c r="A53" s="48"/>
      <c r="B53" s="231" t="s">
        <v>313</v>
      </c>
      <c r="C53" s="235"/>
      <c r="D53" s="235"/>
      <c r="E53" s="235"/>
      <c r="F53" s="235"/>
      <c r="G53" s="235"/>
      <c r="H53" s="235"/>
      <c r="I53" s="235"/>
      <c r="J53" s="235"/>
      <c r="K53" s="235"/>
      <c r="L53" s="235"/>
      <c r="M53" s="235"/>
      <c r="N53" s="235">
        <f t="shared" si="178"/>
        <v>124</v>
      </c>
      <c r="O53" s="235">
        <f t="shared" si="179"/>
        <v>538</v>
      </c>
      <c r="P53" s="235">
        <f t="shared" si="180"/>
        <v>642</v>
      </c>
      <c r="Q53" s="235">
        <f t="shared" si="181"/>
        <v>605</v>
      </c>
      <c r="R53" s="235">
        <f t="shared" si="182"/>
        <v>608</v>
      </c>
      <c r="S53" s="235">
        <f t="shared" si="183"/>
        <v>676</v>
      </c>
      <c r="T53" s="235">
        <f t="shared" si="184"/>
        <v>730</v>
      </c>
      <c r="U53" s="235">
        <f t="shared" si="185"/>
        <v>750</v>
      </c>
      <c r="V53" s="235">
        <f t="shared" si="186"/>
        <v>757</v>
      </c>
      <c r="W53" s="235">
        <f t="shared" si="187"/>
        <v>734</v>
      </c>
      <c r="X53" s="235">
        <f t="shared" si="188"/>
        <v>707</v>
      </c>
      <c r="Y53" s="235">
        <f t="shared" si="189"/>
        <v>116</v>
      </c>
      <c r="Z53" s="235">
        <f t="shared" si="190"/>
        <v>109</v>
      </c>
      <c r="AA53" s="235">
        <f t="shared" si="191"/>
        <v>128</v>
      </c>
      <c r="AB53" s="235">
        <f t="shared" si="192"/>
        <v>0</v>
      </c>
      <c r="AC53" s="235">
        <f t="shared" si="193"/>
        <v>0</v>
      </c>
      <c r="AD53" s="235">
        <f t="shared" si="194"/>
        <v>0</v>
      </c>
      <c r="AE53" s="235">
        <f t="shared" si="195"/>
        <v>0</v>
      </c>
      <c r="AF53" s="235">
        <f t="shared" si="196"/>
        <v>0</v>
      </c>
      <c r="AG53" s="235">
        <f t="shared" si="197"/>
        <v>0</v>
      </c>
      <c r="AH53" s="235">
        <f t="shared" si="198"/>
        <v>0</v>
      </c>
      <c r="AI53" s="235">
        <f t="shared" si="199"/>
        <v>0</v>
      </c>
      <c r="AJ53" s="235">
        <f t="shared" si="200"/>
        <v>0</v>
      </c>
      <c r="AK53" s="235">
        <f t="shared" si="201"/>
        <v>0</v>
      </c>
      <c r="AL53" s="235">
        <f t="shared" si="202"/>
        <v>0</v>
      </c>
      <c r="AM53" s="235">
        <f t="shared" si="203"/>
        <v>0</v>
      </c>
      <c r="AN53" s="235">
        <f t="shared" si="204"/>
        <v>0</v>
      </c>
      <c r="AO53" s="235">
        <f t="shared" si="205"/>
        <v>0</v>
      </c>
      <c r="AP53" s="235">
        <f t="shared" si="206"/>
        <v>0</v>
      </c>
      <c r="AQ53" s="235">
        <f t="shared" si="207"/>
        <v>0</v>
      </c>
      <c r="AR53" s="235">
        <f t="shared" si="208"/>
        <v>0</v>
      </c>
      <c r="AS53" s="235">
        <f t="shared" si="209"/>
        <v>0</v>
      </c>
      <c r="AT53" s="235">
        <f t="shared" si="210"/>
        <v>0</v>
      </c>
      <c r="AU53" s="235">
        <f t="shared" si="211"/>
        <v>0</v>
      </c>
      <c r="AV53" s="235">
        <f t="shared" si="212"/>
        <v>0</v>
      </c>
      <c r="AW53" s="235">
        <f t="shared" si="213"/>
        <v>0</v>
      </c>
      <c r="AX53" s="235">
        <f t="shared" si="214"/>
        <v>0</v>
      </c>
      <c r="AY53" s="235">
        <f t="shared" si="215"/>
        <v>0</v>
      </c>
      <c r="AZ53" s="235">
        <f t="shared" si="216"/>
        <v>0</v>
      </c>
      <c r="BA53" s="235">
        <f t="shared" si="217"/>
        <v>0</v>
      </c>
      <c r="BB53" s="235"/>
      <c r="BC53" s="235"/>
      <c r="BD53" s="235"/>
      <c r="BE53" s="235"/>
      <c r="BF53" s="235"/>
      <c r="BG53" s="235"/>
      <c r="BH53" s="235"/>
      <c r="BI53" s="235"/>
      <c r="BJ53" s="235"/>
      <c r="BK53" s="235"/>
      <c r="BL53" s="235"/>
      <c r="BM53" s="235"/>
      <c r="BO53" s="231" t="s">
        <v>313</v>
      </c>
      <c r="BP53" s="233"/>
      <c r="BQ53" s="233"/>
      <c r="BR53" s="233"/>
      <c r="BS53" s="233">
        <v>124</v>
      </c>
      <c r="BT53" s="233">
        <f t="shared" si="218"/>
        <v>124</v>
      </c>
      <c r="BV53" s="231" t="s">
        <v>313</v>
      </c>
      <c r="BW53" s="233">
        <v>115</v>
      </c>
      <c r="BX53" s="233">
        <v>129</v>
      </c>
      <c r="BY53" s="233">
        <v>137</v>
      </c>
      <c r="BZ53" s="233">
        <v>157</v>
      </c>
      <c r="CA53" s="233">
        <f t="shared" si="219"/>
        <v>538</v>
      </c>
      <c r="CC53" s="231" t="s">
        <v>313</v>
      </c>
      <c r="CD53" s="233">
        <v>147</v>
      </c>
      <c r="CE53" s="233">
        <v>165</v>
      </c>
      <c r="CF53" s="233">
        <v>159</v>
      </c>
      <c r="CG53" s="233">
        <v>171</v>
      </c>
      <c r="CH53" s="233">
        <f t="shared" si="220"/>
        <v>642</v>
      </c>
      <c r="CJ53" s="231" t="s">
        <v>313</v>
      </c>
      <c r="CK53" s="233">
        <v>153</v>
      </c>
      <c r="CL53" s="233">
        <v>150</v>
      </c>
      <c r="CM53" s="233">
        <v>153</v>
      </c>
      <c r="CN53" s="233">
        <v>149</v>
      </c>
      <c r="CO53" s="233">
        <f t="shared" si="221"/>
        <v>605</v>
      </c>
      <c r="CQ53" s="231" t="s">
        <v>313</v>
      </c>
      <c r="CR53" s="233">
        <v>146</v>
      </c>
      <c r="CS53" s="233">
        <v>154</v>
      </c>
      <c r="CT53" s="233">
        <v>155</v>
      </c>
      <c r="CU53" s="233">
        <v>153</v>
      </c>
      <c r="CV53" s="233">
        <f t="shared" si="222"/>
        <v>608</v>
      </c>
      <c r="CX53" s="231" t="s">
        <v>313</v>
      </c>
      <c r="CY53" s="233">
        <v>153</v>
      </c>
      <c r="CZ53" s="233">
        <v>158</v>
      </c>
      <c r="DA53" s="233">
        <v>177</v>
      </c>
      <c r="DB53" s="233">
        <v>188</v>
      </c>
      <c r="DC53" s="233">
        <f t="shared" si="223"/>
        <v>676</v>
      </c>
      <c r="DE53" s="231" t="s">
        <v>313</v>
      </c>
      <c r="DF53" s="233">
        <v>176</v>
      </c>
      <c r="DG53" s="233">
        <v>182</v>
      </c>
      <c r="DH53" s="233">
        <v>181</v>
      </c>
      <c r="DI53" s="233">
        <v>191</v>
      </c>
      <c r="DJ53" s="233">
        <f t="shared" si="224"/>
        <v>730</v>
      </c>
      <c r="DL53" s="231" t="s">
        <v>313</v>
      </c>
      <c r="DM53" s="233">
        <v>172</v>
      </c>
      <c r="DN53" s="233">
        <v>186</v>
      </c>
      <c r="DO53" s="233">
        <v>200</v>
      </c>
      <c r="DP53" s="233">
        <v>192</v>
      </c>
      <c r="DQ53" s="233">
        <f t="shared" si="225"/>
        <v>750</v>
      </c>
      <c r="DS53" s="231" t="s">
        <v>313</v>
      </c>
      <c r="DT53" s="233">
        <v>179</v>
      </c>
      <c r="DU53" s="233">
        <v>191</v>
      </c>
      <c r="DV53" s="233">
        <v>195</v>
      </c>
      <c r="DW53" s="233">
        <v>192</v>
      </c>
      <c r="DX53" s="233">
        <f t="shared" si="226"/>
        <v>757</v>
      </c>
      <c r="DZ53" s="231" t="s">
        <v>313</v>
      </c>
      <c r="EA53" s="233">
        <v>185</v>
      </c>
      <c r="EB53" s="233">
        <v>184</v>
      </c>
      <c r="EC53" s="233">
        <v>189</v>
      </c>
      <c r="ED53" s="233">
        <v>176</v>
      </c>
      <c r="EE53" s="233">
        <f t="shared" si="227"/>
        <v>734</v>
      </c>
      <c r="EG53" s="231" t="s">
        <v>313</v>
      </c>
      <c r="EH53" s="233">
        <v>179</v>
      </c>
      <c r="EI53" s="233">
        <v>179</v>
      </c>
      <c r="EJ53" s="233">
        <v>181</v>
      </c>
      <c r="EK53" s="233">
        <v>168</v>
      </c>
      <c r="EL53" s="233">
        <f t="shared" si="228"/>
        <v>707</v>
      </c>
      <c r="EN53" s="231" t="s">
        <v>313</v>
      </c>
      <c r="EO53" s="233">
        <v>26</v>
      </c>
      <c r="EP53" s="233">
        <v>30</v>
      </c>
      <c r="EQ53" s="233">
        <v>31</v>
      </c>
      <c r="ER53" s="233">
        <v>29</v>
      </c>
      <c r="ES53" s="233">
        <f t="shared" si="229"/>
        <v>116</v>
      </c>
      <c r="EU53" s="231" t="s">
        <v>313</v>
      </c>
      <c r="EV53" s="233">
        <v>27</v>
      </c>
      <c r="EW53" s="233">
        <v>28</v>
      </c>
      <c r="EX53" s="233">
        <v>28</v>
      </c>
      <c r="EY53" s="233">
        <v>26</v>
      </c>
      <c r="EZ53" s="233">
        <f t="shared" si="230"/>
        <v>109</v>
      </c>
      <c r="FB53" s="231" t="s">
        <v>313</v>
      </c>
      <c r="FC53" s="233">
        <v>28</v>
      </c>
      <c r="FD53" s="233">
        <f>30</f>
        <v>30</v>
      </c>
      <c r="FE53" s="233">
        <v>36</v>
      </c>
      <c r="FF53" s="233">
        <v>34</v>
      </c>
      <c r="FG53" s="233">
        <f t="shared" si="231"/>
        <v>128</v>
      </c>
      <c r="FI53" s="231" t="s">
        <v>313</v>
      </c>
      <c r="FJ53" s="233"/>
      <c r="FK53" s="233"/>
      <c r="FL53" s="233"/>
      <c r="FM53" s="233"/>
      <c r="FN53" s="233"/>
      <c r="FP53" s="231" t="s">
        <v>313</v>
      </c>
      <c r="FQ53" s="233"/>
      <c r="FR53" s="233"/>
      <c r="FS53" s="233"/>
      <c r="FT53" s="233"/>
      <c r="FU53" s="233"/>
      <c r="FW53" s="231" t="s">
        <v>313</v>
      </c>
      <c r="FX53" s="233"/>
      <c r="FY53" s="233"/>
      <c r="FZ53" s="233"/>
      <c r="GA53" s="233"/>
      <c r="GB53" s="233"/>
      <c r="GD53" s="231" t="s">
        <v>313</v>
      </c>
      <c r="GE53" s="233"/>
      <c r="GF53" s="233"/>
      <c r="GG53" s="233"/>
      <c r="GH53" s="233"/>
      <c r="GI53" s="233"/>
      <c r="GK53" s="231" t="s">
        <v>313</v>
      </c>
      <c r="GL53" s="233"/>
      <c r="GM53" s="233"/>
      <c r="GN53" s="233"/>
      <c r="GO53" s="233"/>
      <c r="GP53" s="233"/>
      <c r="GR53" s="231" t="s">
        <v>313</v>
      </c>
      <c r="GS53" s="233"/>
      <c r="GT53" s="233"/>
      <c r="GU53" s="233"/>
      <c r="GV53" s="233"/>
      <c r="GW53" s="233"/>
      <c r="GY53" s="231" t="s">
        <v>313</v>
      </c>
      <c r="GZ53" s="233"/>
      <c r="HA53" s="233"/>
      <c r="HB53" s="233"/>
      <c r="HC53" s="233"/>
      <c r="HD53" s="233"/>
      <c r="HF53" s="231" t="s">
        <v>313</v>
      </c>
      <c r="HG53" s="233"/>
      <c r="HH53" s="233"/>
      <c r="HI53" s="233"/>
      <c r="HJ53" s="233"/>
      <c r="HK53" s="233"/>
      <c r="HM53" s="231" t="s">
        <v>313</v>
      </c>
      <c r="HN53" s="233"/>
      <c r="HO53" s="233"/>
      <c r="HP53" s="233"/>
      <c r="HQ53" s="233"/>
      <c r="HR53" s="233"/>
      <c r="HT53" s="231" t="s">
        <v>313</v>
      </c>
      <c r="HU53" s="233"/>
      <c r="HV53" s="233"/>
      <c r="HW53" s="233"/>
      <c r="HX53" s="233"/>
      <c r="HY53" s="233"/>
      <c r="IA53" s="231" t="s">
        <v>313</v>
      </c>
      <c r="IB53" s="233"/>
      <c r="IC53" s="233"/>
      <c r="ID53" s="233"/>
      <c r="IE53" s="233"/>
      <c r="IF53" s="233"/>
      <c r="IH53" s="231" t="s">
        <v>313</v>
      </c>
      <c r="II53" s="233"/>
      <c r="IJ53" s="233"/>
      <c r="IK53" s="233"/>
      <c r="IL53" s="233"/>
      <c r="IM53" s="233"/>
      <c r="IO53" s="231" t="s">
        <v>313</v>
      </c>
      <c r="IP53" s="233"/>
      <c r="IQ53" s="233"/>
      <c r="IR53" s="233"/>
      <c r="IS53" s="233"/>
      <c r="IT53" s="233"/>
      <c r="IV53" s="231" t="s">
        <v>313</v>
      </c>
      <c r="IW53" s="233"/>
      <c r="IX53" s="233"/>
      <c r="IY53" s="233"/>
      <c r="IZ53" s="233"/>
      <c r="JA53" s="233"/>
      <c r="JC53" s="231" t="s">
        <v>313</v>
      </c>
      <c r="JD53" s="233"/>
      <c r="JE53" s="233"/>
      <c r="JF53" s="233"/>
      <c r="JG53" s="233"/>
      <c r="JH53" s="233"/>
      <c r="JJ53" s="231" t="s">
        <v>313</v>
      </c>
      <c r="JK53" s="233"/>
      <c r="JL53" s="233"/>
      <c r="JM53" s="233"/>
      <c r="JN53" s="233"/>
      <c r="JO53" s="233"/>
      <c r="JQ53" s="231" t="s">
        <v>313</v>
      </c>
      <c r="JR53" s="233"/>
      <c r="JS53" s="233"/>
      <c r="JT53" s="233"/>
      <c r="JU53" s="233"/>
      <c r="JV53" s="233"/>
      <c r="JX53" s="231" t="s">
        <v>313</v>
      </c>
      <c r="JY53" s="233"/>
      <c r="JZ53" s="233"/>
      <c r="KA53" s="233"/>
      <c r="KB53" s="233"/>
      <c r="KC53" s="233"/>
      <c r="KE53" s="231" t="s">
        <v>313</v>
      </c>
      <c r="KF53" s="233"/>
      <c r="KG53" s="233"/>
      <c r="KH53" s="233"/>
      <c r="KI53" s="233"/>
      <c r="KJ53" s="233"/>
      <c r="KL53" s="231" t="s">
        <v>313</v>
      </c>
      <c r="KM53" s="233"/>
      <c r="KN53" s="233"/>
      <c r="KO53" s="233"/>
      <c r="KP53" s="233"/>
      <c r="KQ53" s="233"/>
      <c r="KS53" s="231" t="s">
        <v>313</v>
      </c>
      <c r="KT53" s="233"/>
      <c r="KU53" s="233"/>
      <c r="KV53" s="232"/>
      <c r="KW53" s="233"/>
      <c r="KX53" s="233"/>
      <c r="KZ53" s="231" t="s">
        <v>313</v>
      </c>
      <c r="LA53" s="233"/>
      <c r="LB53" s="234"/>
      <c r="LC53" s="234"/>
      <c r="LD53" s="234"/>
      <c r="LE53" s="233"/>
      <c r="LF53" s="581"/>
      <c r="LG53" s="231" t="s">
        <v>313</v>
      </c>
      <c r="LH53" s="234"/>
      <c r="LI53" s="234"/>
      <c r="LJ53" s="234"/>
      <c r="LK53" s="234"/>
      <c r="LL53" s="233"/>
      <c r="LM53" s="581"/>
      <c r="LN53" s="231" t="s">
        <v>313</v>
      </c>
      <c r="LO53" s="234"/>
      <c r="LP53" s="234"/>
      <c r="LQ53" s="234"/>
      <c r="LR53" s="234"/>
      <c r="LS53" s="233"/>
      <c r="LT53" s="581"/>
      <c r="LU53" s="231" t="s">
        <v>313</v>
      </c>
      <c r="LV53" s="234"/>
      <c r="LW53" s="234"/>
      <c r="LX53" s="234"/>
      <c r="LY53" s="234"/>
      <c r="LZ53" s="233"/>
      <c r="MA53" s="581"/>
      <c r="MB53" s="231" t="s">
        <v>313</v>
      </c>
      <c r="MC53" s="234"/>
      <c r="MD53" s="234"/>
      <c r="ME53" s="234"/>
      <c r="MF53" s="234"/>
      <c r="MG53" s="233"/>
      <c r="MH53" s="581"/>
    </row>
    <row r="54" spans="1:346" s="37" customFormat="1" ht="13.15" outlineLevel="1" x14ac:dyDescent="0.4">
      <c r="A54" s="48"/>
      <c r="B54" s="231" t="s">
        <v>188</v>
      </c>
      <c r="C54" s="235"/>
      <c r="D54" s="235"/>
      <c r="E54" s="235"/>
      <c r="F54" s="235"/>
      <c r="G54" s="235"/>
      <c r="H54" s="235"/>
      <c r="I54" s="235"/>
      <c r="J54" s="235"/>
      <c r="K54" s="235"/>
      <c r="L54" s="235">
        <v>81</v>
      </c>
      <c r="M54" s="235">
        <v>87</v>
      </c>
      <c r="N54" s="235">
        <f t="shared" si="178"/>
        <v>80</v>
      </c>
      <c r="O54" s="235">
        <f t="shared" si="179"/>
        <v>99</v>
      </c>
      <c r="P54" s="235">
        <f t="shared" si="180"/>
        <v>105</v>
      </c>
      <c r="Q54" s="235">
        <f t="shared" si="181"/>
        <v>117</v>
      </c>
      <c r="R54" s="235">
        <f t="shared" si="182"/>
        <v>127</v>
      </c>
      <c r="S54" s="235">
        <f t="shared" si="183"/>
        <v>132</v>
      </c>
      <c r="T54" s="235">
        <f t="shared" si="184"/>
        <v>139</v>
      </c>
      <c r="U54" s="235">
        <f t="shared" si="185"/>
        <v>135</v>
      </c>
      <c r="V54" s="235">
        <f t="shared" si="186"/>
        <v>128</v>
      </c>
      <c r="W54" s="235">
        <f t="shared" si="187"/>
        <v>130</v>
      </c>
      <c r="X54" s="235">
        <f t="shared" si="188"/>
        <v>107</v>
      </c>
      <c r="Y54" s="235">
        <f t="shared" si="189"/>
        <v>27</v>
      </c>
      <c r="Z54" s="235">
        <f t="shared" si="190"/>
        <v>32</v>
      </c>
      <c r="AA54" s="235">
        <f t="shared" si="191"/>
        <v>26</v>
      </c>
      <c r="AB54" s="235">
        <f t="shared" si="192"/>
        <v>0</v>
      </c>
      <c r="AC54" s="235">
        <f t="shared" si="193"/>
        <v>0</v>
      </c>
      <c r="AD54" s="235">
        <f t="shared" si="194"/>
        <v>0</v>
      </c>
      <c r="AE54" s="235">
        <f t="shared" si="195"/>
        <v>0</v>
      </c>
      <c r="AF54" s="235">
        <f t="shared" si="196"/>
        <v>0</v>
      </c>
      <c r="AG54" s="235">
        <f t="shared" si="197"/>
        <v>0</v>
      </c>
      <c r="AH54" s="235">
        <f t="shared" si="198"/>
        <v>0</v>
      </c>
      <c r="AI54" s="235">
        <f t="shared" si="199"/>
        <v>0</v>
      </c>
      <c r="AJ54" s="235">
        <f t="shared" si="200"/>
        <v>0</v>
      </c>
      <c r="AK54" s="235">
        <f t="shared" si="201"/>
        <v>0</v>
      </c>
      <c r="AL54" s="235">
        <f t="shared" si="202"/>
        <v>0</v>
      </c>
      <c r="AM54" s="235">
        <f t="shared" si="203"/>
        <v>0</v>
      </c>
      <c r="AN54" s="235">
        <f t="shared" si="204"/>
        <v>0</v>
      </c>
      <c r="AO54" s="235">
        <f t="shared" si="205"/>
        <v>0</v>
      </c>
      <c r="AP54" s="235">
        <f t="shared" si="206"/>
        <v>0</v>
      </c>
      <c r="AQ54" s="235">
        <f t="shared" si="207"/>
        <v>0</v>
      </c>
      <c r="AR54" s="235">
        <f t="shared" si="208"/>
        <v>0</v>
      </c>
      <c r="AS54" s="235">
        <f t="shared" si="209"/>
        <v>0</v>
      </c>
      <c r="AT54" s="235">
        <f t="shared" si="210"/>
        <v>0</v>
      </c>
      <c r="AU54" s="235">
        <f t="shared" si="211"/>
        <v>0</v>
      </c>
      <c r="AV54" s="235">
        <f t="shared" si="212"/>
        <v>0</v>
      </c>
      <c r="AW54" s="235">
        <f t="shared" si="213"/>
        <v>0</v>
      </c>
      <c r="AX54" s="235">
        <f t="shared" si="214"/>
        <v>0</v>
      </c>
      <c r="AY54" s="235">
        <f t="shared" si="215"/>
        <v>0</v>
      </c>
      <c r="AZ54" s="235">
        <f t="shared" si="216"/>
        <v>0</v>
      </c>
      <c r="BA54" s="235">
        <f t="shared" si="217"/>
        <v>0</v>
      </c>
      <c r="BB54" s="235"/>
      <c r="BC54" s="235"/>
      <c r="BD54" s="235"/>
      <c r="BE54" s="235"/>
      <c r="BF54" s="235"/>
      <c r="BG54" s="235"/>
      <c r="BH54" s="235"/>
      <c r="BI54" s="235"/>
      <c r="BJ54" s="235"/>
      <c r="BK54" s="235"/>
      <c r="BL54" s="235"/>
      <c r="BM54" s="235"/>
      <c r="BO54" s="231" t="s">
        <v>188</v>
      </c>
      <c r="BP54" s="233">
        <v>20</v>
      </c>
      <c r="BQ54" s="233">
        <v>22</v>
      </c>
      <c r="BR54" s="233">
        <v>19</v>
      </c>
      <c r="BS54" s="233">
        <v>19</v>
      </c>
      <c r="BT54" s="233">
        <f t="shared" si="218"/>
        <v>80</v>
      </c>
      <c r="BV54" s="231" t="s">
        <v>188</v>
      </c>
      <c r="BW54" s="233">
        <v>21</v>
      </c>
      <c r="BX54" s="233">
        <v>25</v>
      </c>
      <c r="BY54" s="233">
        <v>26</v>
      </c>
      <c r="BZ54" s="233">
        <v>27</v>
      </c>
      <c r="CA54" s="233">
        <f t="shared" si="219"/>
        <v>99</v>
      </c>
      <c r="CC54" s="231" t="s">
        <v>188</v>
      </c>
      <c r="CD54" s="233">
        <v>23</v>
      </c>
      <c r="CE54" s="233">
        <v>27</v>
      </c>
      <c r="CF54" s="233">
        <v>27</v>
      </c>
      <c r="CG54" s="233">
        <v>28</v>
      </c>
      <c r="CH54" s="233">
        <f t="shared" si="220"/>
        <v>105</v>
      </c>
      <c r="CJ54" s="231" t="s">
        <v>188</v>
      </c>
      <c r="CK54" s="233">
        <v>28</v>
      </c>
      <c r="CL54" s="233">
        <v>29</v>
      </c>
      <c r="CM54" s="233">
        <v>29</v>
      </c>
      <c r="CN54" s="233">
        <v>31</v>
      </c>
      <c r="CO54" s="233">
        <f t="shared" si="221"/>
        <v>117</v>
      </c>
      <c r="CQ54" s="231" t="s">
        <v>188</v>
      </c>
      <c r="CR54" s="233">
        <v>31</v>
      </c>
      <c r="CS54" s="233">
        <v>32</v>
      </c>
      <c r="CT54" s="233">
        <v>32</v>
      </c>
      <c r="CU54" s="233">
        <v>32</v>
      </c>
      <c r="CV54" s="233">
        <f t="shared" si="222"/>
        <v>127</v>
      </c>
      <c r="CX54" s="231" t="s">
        <v>188</v>
      </c>
      <c r="CY54" s="233">
        <v>33</v>
      </c>
      <c r="CZ54" s="233">
        <v>33</v>
      </c>
      <c r="DA54" s="233">
        <v>33</v>
      </c>
      <c r="DB54" s="233">
        <v>33</v>
      </c>
      <c r="DC54" s="233">
        <f t="shared" si="223"/>
        <v>132</v>
      </c>
      <c r="DE54" s="231" t="s">
        <v>188</v>
      </c>
      <c r="DF54" s="233">
        <v>34</v>
      </c>
      <c r="DG54" s="233">
        <v>34</v>
      </c>
      <c r="DH54" s="233">
        <v>34</v>
      </c>
      <c r="DI54" s="233">
        <v>37</v>
      </c>
      <c r="DJ54" s="233">
        <f t="shared" si="224"/>
        <v>139</v>
      </c>
      <c r="DL54" s="231" t="s">
        <v>188</v>
      </c>
      <c r="DM54" s="233">
        <v>35</v>
      </c>
      <c r="DN54" s="233">
        <v>35</v>
      </c>
      <c r="DO54" s="233">
        <v>31</v>
      </c>
      <c r="DP54" s="233">
        <v>34</v>
      </c>
      <c r="DQ54" s="233">
        <f t="shared" si="225"/>
        <v>135</v>
      </c>
      <c r="DS54" s="231" t="s">
        <v>188</v>
      </c>
      <c r="DT54" s="233">
        <v>33</v>
      </c>
      <c r="DU54" s="233">
        <v>33</v>
      </c>
      <c r="DV54" s="233">
        <v>33</v>
      </c>
      <c r="DW54" s="233">
        <v>29</v>
      </c>
      <c r="DX54" s="233">
        <f t="shared" si="226"/>
        <v>128</v>
      </c>
      <c r="DZ54" s="231" t="s">
        <v>188</v>
      </c>
      <c r="EA54" s="233">
        <v>33</v>
      </c>
      <c r="EB54" s="233">
        <v>33</v>
      </c>
      <c r="EC54" s="233">
        <v>32</v>
      </c>
      <c r="ED54" s="233">
        <v>32</v>
      </c>
      <c r="EE54" s="233">
        <f t="shared" si="227"/>
        <v>130</v>
      </c>
      <c r="EG54" s="231" t="s">
        <v>188</v>
      </c>
      <c r="EH54" s="233">
        <v>35</v>
      </c>
      <c r="EI54" s="233">
        <v>35</v>
      </c>
      <c r="EJ54" s="233">
        <f>16+17</f>
        <v>33</v>
      </c>
      <c r="EK54" s="233">
        <v>4</v>
      </c>
      <c r="EL54" s="233">
        <f t="shared" si="228"/>
        <v>107</v>
      </c>
      <c r="EN54" s="231" t="s">
        <v>188</v>
      </c>
      <c r="EO54" s="233">
        <v>7</v>
      </c>
      <c r="EP54" s="233">
        <v>6</v>
      </c>
      <c r="EQ54" s="233">
        <v>7</v>
      </c>
      <c r="ER54" s="233">
        <v>7</v>
      </c>
      <c r="ES54" s="233">
        <f t="shared" si="229"/>
        <v>27</v>
      </c>
      <c r="EU54" s="231" t="s">
        <v>188</v>
      </c>
      <c r="EV54" s="233">
        <v>8</v>
      </c>
      <c r="EW54" s="233">
        <v>7</v>
      </c>
      <c r="EX54" s="233">
        <v>8</v>
      </c>
      <c r="EY54" s="233">
        <v>9</v>
      </c>
      <c r="EZ54" s="233">
        <f t="shared" si="230"/>
        <v>32</v>
      </c>
      <c r="FB54" s="231" t="s">
        <v>188</v>
      </c>
      <c r="FC54" s="233">
        <v>6</v>
      </c>
      <c r="FD54" s="233">
        <v>7</v>
      </c>
      <c r="FE54" s="233">
        <v>8</v>
      </c>
      <c r="FF54" s="233">
        <v>5</v>
      </c>
      <c r="FG54" s="233">
        <f t="shared" si="231"/>
        <v>26</v>
      </c>
      <c r="FI54" s="231" t="s">
        <v>188</v>
      </c>
      <c r="FJ54" s="233"/>
      <c r="FK54" s="233"/>
      <c r="FL54" s="233"/>
      <c r="FM54" s="233"/>
      <c r="FN54" s="233"/>
      <c r="FP54" s="231" t="s">
        <v>188</v>
      </c>
      <c r="FQ54" s="233"/>
      <c r="FR54" s="233"/>
      <c r="FS54" s="233"/>
      <c r="FT54" s="233"/>
      <c r="FU54" s="233"/>
      <c r="FW54" s="231" t="s">
        <v>188</v>
      </c>
      <c r="FX54" s="233"/>
      <c r="FY54" s="233"/>
      <c r="FZ54" s="233"/>
      <c r="GA54" s="233"/>
      <c r="GB54" s="233"/>
      <c r="GD54" s="231" t="s">
        <v>188</v>
      </c>
      <c r="GE54" s="233"/>
      <c r="GF54" s="233"/>
      <c r="GG54" s="233"/>
      <c r="GH54" s="233"/>
      <c r="GI54" s="233"/>
      <c r="GK54" s="231" t="s">
        <v>188</v>
      </c>
      <c r="GL54" s="233"/>
      <c r="GM54" s="233"/>
      <c r="GN54" s="233"/>
      <c r="GO54" s="233"/>
      <c r="GP54" s="233"/>
      <c r="GR54" s="231" t="s">
        <v>188</v>
      </c>
      <c r="GS54" s="233"/>
      <c r="GT54" s="233"/>
      <c r="GU54" s="233"/>
      <c r="GV54" s="233"/>
      <c r="GW54" s="233"/>
      <c r="GY54" s="231" t="s">
        <v>188</v>
      </c>
      <c r="GZ54" s="233"/>
      <c r="HA54" s="233"/>
      <c r="HB54" s="233"/>
      <c r="HC54" s="233"/>
      <c r="HD54" s="233"/>
      <c r="HF54" s="231" t="s">
        <v>188</v>
      </c>
      <c r="HG54" s="233"/>
      <c r="HH54" s="233"/>
      <c r="HI54" s="233"/>
      <c r="HJ54" s="233"/>
      <c r="HK54" s="233"/>
      <c r="HM54" s="231" t="s">
        <v>188</v>
      </c>
      <c r="HN54" s="233"/>
      <c r="HO54" s="233"/>
      <c r="HP54" s="233"/>
      <c r="HQ54" s="233"/>
      <c r="HR54" s="233"/>
      <c r="HT54" s="231" t="s">
        <v>188</v>
      </c>
      <c r="HU54" s="233"/>
      <c r="HV54" s="233"/>
      <c r="HW54" s="233"/>
      <c r="HX54" s="233"/>
      <c r="HY54" s="233"/>
      <c r="IA54" s="231" t="s">
        <v>188</v>
      </c>
      <c r="IB54" s="233"/>
      <c r="IC54" s="233"/>
      <c r="ID54" s="233"/>
      <c r="IE54" s="233"/>
      <c r="IF54" s="233"/>
      <c r="IH54" s="231" t="s">
        <v>188</v>
      </c>
      <c r="II54" s="233"/>
      <c r="IJ54" s="233"/>
      <c r="IK54" s="233"/>
      <c r="IL54" s="233"/>
      <c r="IM54" s="233"/>
      <c r="IO54" s="231" t="s">
        <v>188</v>
      </c>
      <c r="IP54" s="233"/>
      <c r="IQ54" s="233"/>
      <c r="IR54" s="233"/>
      <c r="IS54" s="233"/>
      <c r="IT54" s="233"/>
      <c r="IV54" s="231" t="s">
        <v>188</v>
      </c>
      <c r="IW54" s="233"/>
      <c r="IX54" s="233"/>
      <c r="IY54" s="233"/>
      <c r="IZ54" s="233"/>
      <c r="JA54" s="233"/>
      <c r="JC54" s="231" t="s">
        <v>188</v>
      </c>
      <c r="JD54" s="233"/>
      <c r="JE54" s="233"/>
      <c r="JF54" s="233"/>
      <c r="JG54" s="233"/>
      <c r="JH54" s="233"/>
      <c r="JJ54" s="231" t="s">
        <v>188</v>
      </c>
      <c r="JK54" s="233"/>
      <c r="JL54" s="233"/>
      <c r="JM54" s="233"/>
      <c r="JN54" s="233"/>
      <c r="JO54" s="233"/>
      <c r="JQ54" s="231" t="s">
        <v>188</v>
      </c>
      <c r="JR54" s="233"/>
      <c r="JS54" s="233"/>
      <c r="JT54" s="233"/>
      <c r="JU54" s="233"/>
      <c r="JV54" s="233"/>
      <c r="JX54" s="231" t="s">
        <v>188</v>
      </c>
      <c r="JY54" s="233"/>
      <c r="JZ54" s="233"/>
      <c r="KA54" s="233"/>
      <c r="KB54" s="233"/>
      <c r="KC54" s="233"/>
      <c r="KE54" s="231" t="s">
        <v>188</v>
      </c>
      <c r="KF54" s="233"/>
      <c r="KG54" s="233"/>
      <c r="KH54" s="233"/>
      <c r="KI54" s="233"/>
      <c r="KJ54" s="233"/>
      <c r="KL54" s="231" t="s">
        <v>188</v>
      </c>
      <c r="KM54" s="233"/>
      <c r="KN54" s="233"/>
      <c r="KO54" s="233"/>
      <c r="KP54" s="233"/>
      <c r="KQ54" s="233"/>
      <c r="KS54" s="231" t="s">
        <v>188</v>
      </c>
      <c r="KT54" s="233"/>
      <c r="KU54" s="233"/>
      <c r="KV54" s="232"/>
      <c r="KW54" s="233"/>
      <c r="KX54" s="233"/>
      <c r="KZ54" s="231" t="s">
        <v>188</v>
      </c>
      <c r="LA54" s="233"/>
      <c r="LB54" s="234"/>
      <c r="LC54" s="234"/>
      <c r="LD54" s="234"/>
      <c r="LE54" s="233"/>
      <c r="LF54" s="581"/>
      <c r="LG54" s="231" t="s">
        <v>188</v>
      </c>
      <c r="LH54" s="234"/>
      <c r="LI54" s="234"/>
      <c r="LJ54" s="234"/>
      <c r="LK54" s="234"/>
      <c r="LL54" s="233"/>
      <c r="LM54" s="581"/>
      <c r="LN54" s="231" t="s">
        <v>188</v>
      </c>
      <c r="LO54" s="234"/>
      <c r="LP54" s="234"/>
      <c r="LQ54" s="234"/>
      <c r="LR54" s="234"/>
      <c r="LS54" s="233"/>
      <c r="LT54" s="581"/>
      <c r="LU54" s="231" t="s">
        <v>188</v>
      </c>
      <c r="LV54" s="234"/>
      <c r="LW54" s="234"/>
      <c r="LX54" s="234"/>
      <c r="LY54" s="234"/>
      <c r="LZ54" s="233"/>
      <c r="MA54" s="581"/>
      <c r="MB54" s="231" t="s">
        <v>188</v>
      </c>
      <c r="MC54" s="234"/>
      <c r="MD54" s="234"/>
      <c r="ME54" s="234"/>
      <c r="MF54" s="234"/>
      <c r="MG54" s="233"/>
      <c r="MH54" s="581"/>
    </row>
    <row r="55" spans="1:346" s="37" customFormat="1" ht="13.15" outlineLevel="1" x14ac:dyDescent="0.4">
      <c r="A55" s="48"/>
      <c r="B55" s="231" t="s">
        <v>23</v>
      </c>
      <c r="C55" s="235"/>
      <c r="D55" s="235"/>
      <c r="E55" s="235"/>
      <c r="F55" s="235"/>
      <c r="G55" s="235"/>
      <c r="H55" s="235"/>
      <c r="I55" s="235"/>
      <c r="J55" s="235"/>
      <c r="K55" s="235"/>
      <c r="L55" s="235">
        <v>93</v>
      </c>
      <c r="M55" s="235">
        <v>80</v>
      </c>
      <c r="N55" s="235">
        <f t="shared" si="178"/>
        <v>85</v>
      </c>
      <c r="O55" s="235">
        <f t="shared" si="179"/>
        <v>104</v>
      </c>
      <c r="P55" s="235">
        <f t="shared" si="180"/>
        <v>127</v>
      </c>
      <c r="Q55" s="235">
        <f t="shared" si="181"/>
        <v>115</v>
      </c>
      <c r="R55" s="235">
        <f t="shared" si="182"/>
        <v>109</v>
      </c>
      <c r="S55" s="235">
        <f t="shared" si="183"/>
        <v>119</v>
      </c>
      <c r="T55" s="235">
        <f t="shared" si="184"/>
        <v>165</v>
      </c>
      <c r="U55" s="235">
        <f t="shared" si="185"/>
        <v>192</v>
      </c>
      <c r="V55" s="235">
        <f t="shared" si="186"/>
        <v>197</v>
      </c>
      <c r="W55" s="235">
        <f t="shared" si="187"/>
        <v>141</v>
      </c>
      <c r="X55" s="235">
        <f t="shared" si="188"/>
        <v>154</v>
      </c>
      <c r="Y55" s="235">
        <f t="shared" si="189"/>
        <v>72</v>
      </c>
      <c r="Z55" s="235">
        <f t="shared" si="190"/>
        <v>60</v>
      </c>
      <c r="AA55" s="235">
        <f t="shared" si="191"/>
        <v>66</v>
      </c>
      <c r="AB55" s="235">
        <f t="shared" si="192"/>
        <v>0</v>
      </c>
      <c r="AC55" s="235">
        <f t="shared" si="193"/>
        <v>0</v>
      </c>
      <c r="AD55" s="235">
        <f t="shared" si="194"/>
        <v>0</v>
      </c>
      <c r="AE55" s="235">
        <f t="shared" si="195"/>
        <v>0</v>
      </c>
      <c r="AF55" s="235">
        <f t="shared" si="196"/>
        <v>0</v>
      </c>
      <c r="AG55" s="235">
        <f t="shared" si="197"/>
        <v>0</v>
      </c>
      <c r="AH55" s="235">
        <f t="shared" si="198"/>
        <v>0</v>
      </c>
      <c r="AI55" s="235">
        <f t="shared" si="199"/>
        <v>0</v>
      </c>
      <c r="AJ55" s="235">
        <f t="shared" si="200"/>
        <v>0</v>
      </c>
      <c r="AK55" s="235">
        <f t="shared" si="201"/>
        <v>0</v>
      </c>
      <c r="AL55" s="235">
        <f t="shared" si="202"/>
        <v>0</v>
      </c>
      <c r="AM55" s="235">
        <f t="shared" si="203"/>
        <v>0</v>
      </c>
      <c r="AN55" s="235">
        <f t="shared" si="204"/>
        <v>0</v>
      </c>
      <c r="AO55" s="235">
        <f t="shared" si="205"/>
        <v>0</v>
      </c>
      <c r="AP55" s="235">
        <f t="shared" si="206"/>
        <v>0</v>
      </c>
      <c r="AQ55" s="235">
        <f t="shared" si="207"/>
        <v>0</v>
      </c>
      <c r="AR55" s="235">
        <f t="shared" si="208"/>
        <v>0</v>
      </c>
      <c r="AS55" s="235">
        <f t="shared" si="209"/>
        <v>0</v>
      </c>
      <c r="AT55" s="235">
        <f t="shared" si="210"/>
        <v>0</v>
      </c>
      <c r="AU55" s="235">
        <f t="shared" si="211"/>
        <v>0</v>
      </c>
      <c r="AV55" s="235">
        <f t="shared" si="212"/>
        <v>0</v>
      </c>
      <c r="AW55" s="235">
        <f t="shared" si="213"/>
        <v>0</v>
      </c>
      <c r="AX55" s="235">
        <f t="shared" si="214"/>
        <v>0</v>
      </c>
      <c r="AY55" s="235">
        <f t="shared" si="215"/>
        <v>0</v>
      </c>
      <c r="AZ55" s="235">
        <f t="shared" si="216"/>
        <v>0</v>
      </c>
      <c r="BA55" s="235">
        <f t="shared" si="217"/>
        <v>0</v>
      </c>
      <c r="BB55" s="235"/>
      <c r="BC55" s="235"/>
      <c r="BD55" s="235"/>
      <c r="BE55" s="235"/>
      <c r="BF55" s="235"/>
      <c r="BG55" s="235"/>
      <c r="BH55" s="235"/>
      <c r="BI55" s="235"/>
      <c r="BJ55" s="235"/>
      <c r="BK55" s="235"/>
      <c r="BL55" s="235"/>
      <c r="BM55" s="235"/>
      <c r="BO55" s="231" t="s">
        <v>23</v>
      </c>
      <c r="BP55" s="233">
        <v>18</v>
      </c>
      <c r="BQ55" s="233">
        <v>20</v>
      </c>
      <c r="BR55" s="233">
        <v>21</v>
      </c>
      <c r="BS55" s="233">
        <v>26</v>
      </c>
      <c r="BT55" s="233">
        <f t="shared" si="218"/>
        <v>85</v>
      </c>
      <c r="BV55" s="231" t="s">
        <v>23</v>
      </c>
      <c r="BW55" s="233">
        <v>25</v>
      </c>
      <c r="BX55" s="233">
        <v>24</v>
      </c>
      <c r="BY55" s="233">
        <v>18</v>
      </c>
      <c r="BZ55" s="233">
        <v>37</v>
      </c>
      <c r="CA55" s="233">
        <f t="shared" si="219"/>
        <v>104</v>
      </c>
      <c r="CC55" s="231" t="s">
        <v>23</v>
      </c>
      <c r="CD55" s="233">
        <v>41</v>
      </c>
      <c r="CE55" s="233">
        <v>25</v>
      </c>
      <c r="CF55" s="233">
        <v>27</v>
      </c>
      <c r="CG55" s="233">
        <v>34</v>
      </c>
      <c r="CH55" s="233">
        <f t="shared" si="220"/>
        <v>127</v>
      </c>
      <c r="CJ55" s="231" t="s">
        <v>23</v>
      </c>
      <c r="CK55" s="233">
        <v>25</v>
      </c>
      <c r="CL55" s="233">
        <v>25</v>
      </c>
      <c r="CM55" s="233">
        <v>31</v>
      </c>
      <c r="CN55" s="233">
        <v>34</v>
      </c>
      <c r="CO55" s="233">
        <f t="shared" si="221"/>
        <v>115</v>
      </c>
      <c r="CQ55" s="231" t="s">
        <v>23</v>
      </c>
      <c r="CR55" s="233">
        <v>28</v>
      </c>
      <c r="CS55" s="233">
        <v>29</v>
      </c>
      <c r="CT55" s="233">
        <v>26</v>
      </c>
      <c r="CU55" s="233">
        <v>26</v>
      </c>
      <c r="CV55" s="233">
        <f t="shared" si="222"/>
        <v>109</v>
      </c>
      <c r="CX55" s="231" t="s">
        <v>23</v>
      </c>
      <c r="CY55" s="233">
        <v>25</v>
      </c>
      <c r="CZ55" s="233">
        <v>25</v>
      </c>
      <c r="DA55" s="233">
        <v>34</v>
      </c>
      <c r="DB55" s="233">
        <v>35</v>
      </c>
      <c r="DC55" s="233">
        <f t="shared" si="223"/>
        <v>119</v>
      </c>
      <c r="DE55" s="231" t="s">
        <v>23</v>
      </c>
      <c r="DF55" s="233">
        <v>40</v>
      </c>
      <c r="DG55" s="233">
        <v>43</v>
      </c>
      <c r="DH55" s="233">
        <v>40</v>
      </c>
      <c r="DI55" s="233">
        <v>42</v>
      </c>
      <c r="DJ55" s="233">
        <f t="shared" si="224"/>
        <v>165</v>
      </c>
      <c r="DL55" s="231" t="s">
        <v>23</v>
      </c>
      <c r="DM55" s="233">
        <v>46</v>
      </c>
      <c r="DN55" s="233">
        <v>49</v>
      </c>
      <c r="DO55" s="233">
        <v>42</v>
      </c>
      <c r="DP55" s="233">
        <v>55</v>
      </c>
      <c r="DQ55" s="233">
        <f t="shared" si="225"/>
        <v>192</v>
      </c>
      <c r="DS55" s="231" t="s">
        <v>23</v>
      </c>
      <c r="DT55" s="233">
        <v>52</v>
      </c>
      <c r="DU55" s="233">
        <v>44</v>
      </c>
      <c r="DV55" s="233">
        <v>47</v>
      </c>
      <c r="DW55" s="233">
        <v>54</v>
      </c>
      <c r="DX55" s="233">
        <f t="shared" si="226"/>
        <v>197</v>
      </c>
      <c r="DZ55" s="231" t="s">
        <v>23</v>
      </c>
      <c r="EA55" s="233">
        <v>42</v>
      </c>
      <c r="EB55" s="233">
        <v>35</v>
      </c>
      <c r="EC55" s="233">
        <v>31</v>
      </c>
      <c r="ED55" s="233">
        <v>33</v>
      </c>
      <c r="EE55" s="233">
        <f t="shared" si="227"/>
        <v>141</v>
      </c>
      <c r="EG55" s="231" t="s">
        <v>23</v>
      </c>
      <c r="EH55" s="233">
        <v>29</v>
      </c>
      <c r="EI55" s="233">
        <v>34</v>
      </c>
      <c r="EJ55" s="233">
        <v>40</v>
      </c>
      <c r="EK55" s="233">
        <v>51</v>
      </c>
      <c r="EL55" s="233">
        <f t="shared" si="228"/>
        <v>154</v>
      </c>
      <c r="EN55" s="231" t="s">
        <v>23</v>
      </c>
      <c r="EO55" s="233">
        <v>17</v>
      </c>
      <c r="EP55" s="233">
        <v>18</v>
      </c>
      <c r="EQ55" s="233">
        <v>18</v>
      </c>
      <c r="ER55" s="233">
        <v>19</v>
      </c>
      <c r="ES55" s="233">
        <f t="shared" si="229"/>
        <v>72</v>
      </c>
      <c r="EU55" s="231" t="s">
        <v>23</v>
      </c>
      <c r="EV55" s="233">
        <v>16</v>
      </c>
      <c r="EW55" s="233">
        <v>15</v>
      </c>
      <c r="EX55" s="233">
        <v>15</v>
      </c>
      <c r="EY55" s="233">
        <v>14</v>
      </c>
      <c r="EZ55" s="233">
        <f t="shared" si="230"/>
        <v>60</v>
      </c>
      <c r="FB55" s="231" t="s">
        <v>23</v>
      </c>
      <c r="FC55" s="233">
        <v>12</v>
      </c>
      <c r="FD55" s="233">
        <v>16</v>
      </c>
      <c r="FE55" s="233">
        <v>19</v>
      </c>
      <c r="FF55" s="233">
        <v>19</v>
      </c>
      <c r="FG55" s="233">
        <f t="shared" si="231"/>
        <v>66</v>
      </c>
      <c r="FI55" s="231" t="s">
        <v>23</v>
      </c>
      <c r="FJ55" s="233"/>
      <c r="FK55" s="233"/>
      <c r="FL55" s="233"/>
      <c r="FM55" s="233"/>
      <c r="FN55" s="233"/>
      <c r="FP55" s="231" t="s">
        <v>23</v>
      </c>
      <c r="FQ55" s="233"/>
      <c r="FR55" s="233"/>
      <c r="FS55" s="233"/>
      <c r="FT55" s="233"/>
      <c r="FU55" s="233"/>
      <c r="FW55" s="231" t="s">
        <v>23</v>
      </c>
      <c r="FX55" s="233"/>
      <c r="FY55" s="233"/>
      <c r="FZ55" s="233"/>
      <c r="GA55" s="233"/>
      <c r="GB55" s="233"/>
      <c r="GD55" s="231" t="s">
        <v>23</v>
      </c>
      <c r="GE55" s="233"/>
      <c r="GF55" s="233"/>
      <c r="GG55" s="233"/>
      <c r="GH55" s="233"/>
      <c r="GI55" s="233"/>
      <c r="GK55" s="231" t="s">
        <v>23</v>
      </c>
      <c r="GL55" s="233"/>
      <c r="GM55" s="233"/>
      <c r="GN55" s="233"/>
      <c r="GO55" s="233"/>
      <c r="GP55" s="233"/>
      <c r="GR55" s="231" t="s">
        <v>23</v>
      </c>
      <c r="GS55" s="233"/>
      <c r="GT55" s="233"/>
      <c r="GU55" s="233"/>
      <c r="GV55" s="233"/>
      <c r="GW55" s="233"/>
      <c r="GY55" s="231" t="s">
        <v>23</v>
      </c>
      <c r="GZ55" s="233"/>
      <c r="HA55" s="233"/>
      <c r="HB55" s="233"/>
      <c r="HC55" s="233"/>
      <c r="HD55" s="233"/>
      <c r="HF55" s="231" t="s">
        <v>23</v>
      </c>
      <c r="HG55" s="233"/>
      <c r="HH55" s="233"/>
      <c r="HI55" s="233"/>
      <c r="HJ55" s="233"/>
      <c r="HK55" s="233"/>
      <c r="HM55" s="231" t="s">
        <v>23</v>
      </c>
      <c r="HN55" s="233"/>
      <c r="HO55" s="233"/>
      <c r="HP55" s="233"/>
      <c r="HQ55" s="233"/>
      <c r="HR55" s="233"/>
      <c r="HT55" s="231" t="s">
        <v>23</v>
      </c>
      <c r="HU55" s="233"/>
      <c r="HV55" s="233"/>
      <c r="HW55" s="233"/>
      <c r="HX55" s="233"/>
      <c r="HY55" s="233"/>
      <c r="IA55" s="231" t="s">
        <v>23</v>
      </c>
      <c r="IB55" s="233"/>
      <c r="IC55" s="233"/>
      <c r="ID55" s="233"/>
      <c r="IE55" s="233"/>
      <c r="IF55" s="233"/>
      <c r="IH55" s="231" t="s">
        <v>23</v>
      </c>
      <c r="II55" s="233"/>
      <c r="IJ55" s="233"/>
      <c r="IK55" s="233"/>
      <c r="IL55" s="233"/>
      <c r="IM55" s="233"/>
      <c r="IO55" s="231" t="s">
        <v>23</v>
      </c>
      <c r="IP55" s="233"/>
      <c r="IQ55" s="233"/>
      <c r="IR55" s="233"/>
      <c r="IS55" s="233"/>
      <c r="IT55" s="233"/>
      <c r="IV55" s="231" t="s">
        <v>23</v>
      </c>
      <c r="IW55" s="233"/>
      <c r="IX55" s="233"/>
      <c r="IY55" s="233"/>
      <c r="IZ55" s="233"/>
      <c r="JA55" s="233"/>
      <c r="JC55" s="231" t="s">
        <v>23</v>
      </c>
      <c r="JD55" s="233"/>
      <c r="JE55" s="233"/>
      <c r="JF55" s="233"/>
      <c r="JG55" s="233"/>
      <c r="JH55" s="233"/>
      <c r="JJ55" s="231" t="s">
        <v>23</v>
      </c>
      <c r="JK55" s="233"/>
      <c r="JL55" s="233"/>
      <c r="JM55" s="233"/>
      <c r="JN55" s="233"/>
      <c r="JO55" s="233"/>
      <c r="JQ55" s="231" t="s">
        <v>23</v>
      </c>
      <c r="JR55" s="233"/>
      <c r="JS55" s="233"/>
      <c r="JT55" s="233"/>
      <c r="JU55" s="233"/>
      <c r="JV55" s="233"/>
      <c r="JX55" s="231" t="s">
        <v>23</v>
      </c>
      <c r="JY55" s="233"/>
      <c r="JZ55" s="233"/>
      <c r="KA55" s="233"/>
      <c r="KB55" s="233"/>
      <c r="KC55" s="233"/>
      <c r="KE55" s="231" t="s">
        <v>23</v>
      </c>
      <c r="KF55" s="233"/>
      <c r="KG55" s="233"/>
      <c r="KH55" s="233"/>
      <c r="KI55" s="233"/>
      <c r="KJ55" s="233"/>
      <c r="KL55" s="231" t="s">
        <v>23</v>
      </c>
      <c r="KM55" s="233"/>
      <c r="KN55" s="233"/>
      <c r="KO55" s="233"/>
      <c r="KP55" s="233"/>
      <c r="KQ55" s="233"/>
      <c r="KS55" s="231" t="s">
        <v>23</v>
      </c>
      <c r="KT55" s="233"/>
      <c r="KU55" s="233"/>
      <c r="KV55" s="232"/>
      <c r="KW55" s="233"/>
      <c r="KX55" s="233"/>
      <c r="KZ55" s="231" t="s">
        <v>23</v>
      </c>
      <c r="LA55" s="233"/>
      <c r="LB55" s="234"/>
      <c r="LC55" s="234"/>
      <c r="LD55" s="234"/>
      <c r="LE55" s="233"/>
      <c r="LF55" s="581"/>
      <c r="LG55" s="231" t="s">
        <v>23</v>
      </c>
      <c r="LH55" s="234"/>
      <c r="LI55" s="234"/>
      <c r="LJ55" s="234"/>
      <c r="LK55" s="234"/>
      <c r="LL55" s="233"/>
      <c r="LM55" s="581"/>
      <c r="LN55" s="231" t="s">
        <v>23</v>
      </c>
      <c r="LO55" s="234"/>
      <c r="LP55" s="234"/>
      <c r="LQ55" s="234"/>
      <c r="LR55" s="234"/>
      <c r="LS55" s="233"/>
      <c r="LT55" s="581"/>
      <c r="LU55" s="231" t="s">
        <v>23</v>
      </c>
      <c r="LV55" s="234"/>
      <c r="LW55" s="234"/>
      <c r="LX55" s="234"/>
      <c r="LY55" s="234"/>
      <c r="LZ55" s="233"/>
      <c r="MA55" s="581"/>
      <c r="MB55" s="231" t="s">
        <v>23</v>
      </c>
      <c r="MC55" s="234"/>
      <c r="MD55" s="234"/>
      <c r="ME55" s="234"/>
      <c r="MF55" s="234"/>
      <c r="MG55" s="233"/>
      <c r="MH55" s="581"/>
    </row>
    <row r="56" spans="1:346" s="37" customFormat="1" ht="13.15" outlineLevel="1" x14ac:dyDescent="0.4">
      <c r="A56" s="48"/>
      <c r="B56" s="231" t="s">
        <v>344</v>
      </c>
      <c r="C56" s="235"/>
      <c r="D56" s="235"/>
      <c r="E56" s="235"/>
      <c r="F56" s="235"/>
      <c r="G56" s="235"/>
      <c r="H56" s="235"/>
      <c r="I56" s="235"/>
      <c r="J56" s="235"/>
      <c r="K56" s="235"/>
      <c r="L56" s="235"/>
      <c r="M56" s="235"/>
      <c r="N56" s="235">
        <f t="shared" si="178"/>
        <v>0</v>
      </c>
      <c r="O56" s="235">
        <f t="shared" si="179"/>
        <v>0</v>
      </c>
      <c r="P56" s="235">
        <f t="shared" si="180"/>
        <v>0</v>
      </c>
      <c r="Q56" s="235">
        <f t="shared" si="181"/>
        <v>0</v>
      </c>
      <c r="R56" s="235">
        <f t="shared" si="182"/>
        <v>0</v>
      </c>
      <c r="S56" s="235">
        <f t="shared" si="183"/>
        <v>0</v>
      </c>
      <c r="T56" s="235">
        <f t="shared" si="184"/>
        <v>0</v>
      </c>
      <c r="U56" s="235">
        <f t="shared" si="185"/>
        <v>-64</v>
      </c>
      <c r="V56" s="235">
        <f t="shared" si="186"/>
        <v>-63</v>
      </c>
      <c r="W56" s="235">
        <f t="shared" si="187"/>
        <v>-62</v>
      </c>
      <c r="X56" s="235">
        <f t="shared" si="188"/>
        <v>-41</v>
      </c>
      <c r="Y56" s="235">
        <f t="shared" si="189"/>
        <v>19</v>
      </c>
      <c r="Z56" s="235">
        <f t="shared" si="190"/>
        <v>9</v>
      </c>
      <c r="AA56" s="235">
        <f t="shared" si="191"/>
        <v>8</v>
      </c>
      <c r="AB56" s="235">
        <f t="shared" si="192"/>
        <v>0</v>
      </c>
      <c r="AC56" s="235">
        <f t="shared" si="193"/>
        <v>0</v>
      </c>
      <c r="AD56" s="235">
        <f t="shared" si="194"/>
        <v>0</v>
      </c>
      <c r="AE56" s="235">
        <f t="shared" si="195"/>
        <v>0</v>
      </c>
      <c r="AF56" s="235">
        <f t="shared" si="196"/>
        <v>0</v>
      </c>
      <c r="AG56" s="235">
        <f t="shared" si="197"/>
        <v>0</v>
      </c>
      <c r="AH56" s="235">
        <f t="shared" si="198"/>
        <v>0</v>
      </c>
      <c r="AI56" s="235">
        <f t="shared" si="199"/>
        <v>0</v>
      </c>
      <c r="AJ56" s="235">
        <f t="shared" si="200"/>
        <v>0</v>
      </c>
      <c r="AK56" s="235">
        <f t="shared" si="201"/>
        <v>0</v>
      </c>
      <c r="AL56" s="235">
        <f t="shared" si="202"/>
        <v>0</v>
      </c>
      <c r="AM56" s="235">
        <f t="shared" si="203"/>
        <v>0</v>
      </c>
      <c r="AN56" s="235">
        <f t="shared" si="204"/>
        <v>0</v>
      </c>
      <c r="AO56" s="235">
        <f t="shared" si="205"/>
        <v>0</v>
      </c>
      <c r="AP56" s="235">
        <f t="shared" si="206"/>
        <v>0</v>
      </c>
      <c r="AQ56" s="235">
        <f t="shared" si="207"/>
        <v>0</v>
      </c>
      <c r="AR56" s="235">
        <f t="shared" si="208"/>
        <v>0</v>
      </c>
      <c r="AS56" s="235">
        <f t="shared" si="209"/>
        <v>0</v>
      </c>
      <c r="AT56" s="235">
        <f t="shared" si="210"/>
        <v>0</v>
      </c>
      <c r="AU56" s="235">
        <f t="shared" si="211"/>
        <v>0</v>
      </c>
      <c r="AV56" s="235">
        <f t="shared" si="212"/>
        <v>0</v>
      </c>
      <c r="AW56" s="235">
        <f t="shared" si="213"/>
        <v>0</v>
      </c>
      <c r="AX56" s="235">
        <f t="shared" si="214"/>
        <v>0</v>
      </c>
      <c r="AY56" s="235">
        <f t="shared" si="215"/>
        <v>0</v>
      </c>
      <c r="AZ56" s="235">
        <f t="shared" si="216"/>
        <v>0</v>
      </c>
      <c r="BA56" s="235">
        <f t="shared" si="217"/>
        <v>0</v>
      </c>
      <c r="BB56" s="235"/>
      <c r="BC56" s="235"/>
      <c r="BD56" s="235"/>
      <c r="BE56" s="235"/>
      <c r="BF56" s="235"/>
      <c r="BG56" s="235"/>
      <c r="BH56" s="235"/>
      <c r="BI56" s="235"/>
      <c r="BJ56" s="235"/>
      <c r="BK56" s="235"/>
      <c r="BL56" s="235"/>
      <c r="BM56" s="235"/>
      <c r="BO56" s="231" t="s">
        <v>344</v>
      </c>
      <c r="BP56" s="233"/>
      <c r="BQ56" s="233"/>
      <c r="BR56" s="233"/>
      <c r="BS56" s="233"/>
      <c r="BT56" s="233"/>
      <c r="BV56" s="231" t="s">
        <v>344</v>
      </c>
      <c r="BW56" s="233"/>
      <c r="BX56" s="233"/>
      <c r="BY56" s="233"/>
      <c r="BZ56" s="233"/>
      <c r="CA56" s="233"/>
      <c r="CC56" s="231" t="s">
        <v>344</v>
      </c>
      <c r="CD56" s="233"/>
      <c r="CE56" s="233"/>
      <c r="CF56" s="233"/>
      <c r="CG56" s="233"/>
      <c r="CH56" s="233"/>
      <c r="CJ56" s="231" t="s">
        <v>344</v>
      </c>
      <c r="CK56" s="233"/>
      <c r="CL56" s="233"/>
      <c r="CM56" s="233"/>
      <c r="CN56" s="233"/>
      <c r="CO56" s="233"/>
      <c r="CQ56" s="231" t="s">
        <v>344</v>
      </c>
      <c r="CR56" s="233"/>
      <c r="CS56" s="233"/>
      <c r="CT56" s="233"/>
      <c r="CU56" s="233"/>
      <c r="CV56" s="233"/>
      <c r="CX56" s="231" t="s">
        <v>344</v>
      </c>
      <c r="CY56" s="233"/>
      <c r="CZ56" s="233"/>
      <c r="DA56" s="233"/>
      <c r="DB56" s="233"/>
      <c r="DC56" s="233"/>
      <c r="DE56" s="231" t="s">
        <v>344</v>
      </c>
      <c r="DF56" s="233"/>
      <c r="DG56" s="233"/>
      <c r="DH56" s="233"/>
      <c r="DI56" s="233"/>
      <c r="DJ56" s="233"/>
      <c r="DL56" s="231" t="s">
        <v>344</v>
      </c>
      <c r="DM56" s="233">
        <v>-16</v>
      </c>
      <c r="DN56" s="233">
        <v>-16</v>
      </c>
      <c r="DO56" s="233">
        <v>-16</v>
      </c>
      <c r="DP56" s="233">
        <v>-16</v>
      </c>
      <c r="DQ56" s="233">
        <f t="shared" si="225"/>
        <v>-64</v>
      </c>
      <c r="DS56" s="231" t="s">
        <v>344</v>
      </c>
      <c r="DT56" s="233">
        <v>-16</v>
      </c>
      <c r="DU56" s="233">
        <v>-16</v>
      </c>
      <c r="DV56" s="233">
        <v>-16</v>
      </c>
      <c r="DW56" s="233">
        <v>-15</v>
      </c>
      <c r="DX56" s="233">
        <f t="shared" si="226"/>
        <v>-63</v>
      </c>
      <c r="DZ56" s="231" t="s">
        <v>344</v>
      </c>
      <c r="EA56" s="233">
        <v>-16</v>
      </c>
      <c r="EB56" s="233">
        <v>-15</v>
      </c>
      <c r="EC56" s="233">
        <v>-16</v>
      </c>
      <c r="ED56" s="233">
        <v>-15</v>
      </c>
      <c r="EE56" s="233">
        <f t="shared" si="227"/>
        <v>-62</v>
      </c>
      <c r="EG56" s="231" t="s">
        <v>344</v>
      </c>
      <c r="EH56" s="233">
        <v>-15</v>
      </c>
      <c r="EI56" s="233">
        <v>4</v>
      </c>
      <c r="EJ56" s="233">
        <f>-15</f>
        <v>-15</v>
      </c>
      <c r="EK56" s="233">
        <f>-15</f>
        <v>-15</v>
      </c>
      <c r="EL56" s="233">
        <f t="shared" si="228"/>
        <v>-41</v>
      </c>
      <c r="EN56" s="231" t="s">
        <v>344</v>
      </c>
      <c r="EO56" s="233">
        <v>4</v>
      </c>
      <c r="EP56" s="233">
        <v>5</v>
      </c>
      <c r="EQ56" s="233">
        <v>5</v>
      </c>
      <c r="ER56" s="233">
        <v>5</v>
      </c>
      <c r="ES56" s="233">
        <f t="shared" si="229"/>
        <v>19</v>
      </c>
      <c r="EU56" s="231" t="s">
        <v>344</v>
      </c>
      <c r="EV56" s="233">
        <v>3</v>
      </c>
      <c r="EW56" s="233">
        <v>2</v>
      </c>
      <c r="EX56" s="233">
        <v>2</v>
      </c>
      <c r="EY56" s="233">
        <v>2</v>
      </c>
      <c r="EZ56" s="233">
        <f t="shared" si="230"/>
        <v>9</v>
      </c>
      <c r="FB56" s="231" t="s">
        <v>344</v>
      </c>
      <c r="FC56" s="233">
        <v>3</v>
      </c>
      <c r="FD56" s="233">
        <v>4</v>
      </c>
      <c r="FE56" s="233">
        <v>4</v>
      </c>
      <c r="FF56" s="233">
        <v>-3</v>
      </c>
      <c r="FG56" s="233">
        <f t="shared" si="231"/>
        <v>8</v>
      </c>
      <c r="FI56" s="231" t="s">
        <v>344</v>
      </c>
      <c r="FJ56" s="233"/>
      <c r="FK56" s="233"/>
      <c r="FL56" s="233"/>
      <c r="FM56" s="233"/>
      <c r="FN56" s="233"/>
      <c r="FP56" s="231" t="s">
        <v>344</v>
      </c>
      <c r="FQ56" s="233"/>
      <c r="FR56" s="233"/>
      <c r="FS56" s="233"/>
      <c r="FT56" s="233"/>
      <c r="FU56" s="233"/>
      <c r="FW56" s="231" t="s">
        <v>344</v>
      </c>
      <c r="FX56" s="233"/>
      <c r="FY56" s="233"/>
      <c r="FZ56" s="233"/>
      <c r="GA56" s="233"/>
      <c r="GB56" s="233"/>
      <c r="GD56" s="231" t="s">
        <v>344</v>
      </c>
      <c r="GE56" s="233"/>
      <c r="GF56" s="233"/>
      <c r="GG56" s="233"/>
      <c r="GH56" s="233"/>
      <c r="GI56" s="233"/>
      <c r="GK56" s="231" t="s">
        <v>344</v>
      </c>
      <c r="GL56" s="233"/>
      <c r="GM56" s="233"/>
      <c r="GN56" s="233"/>
      <c r="GO56" s="233"/>
      <c r="GP56" s="233"/>
      <c r="GR56" s="231" t="s">
        <v>344</v>
      </c>
      <c r="GS56" s="233"/>
      <c r="GT56" s="233"/>
      <c r="GU56" s="233"/>
      <c r="GV56" s="233"/>
      <c r="GW56" s="233"/>
      <c r="GY56" s="231" t="s">
        <v>344</v>
      </c>
      <c r="GZ56" s="233"/>
      <c r="HA56" s="233"/>
      <c r="HB56" s="233"/>
      <c r="HC56" s="233"/>
      <c r="HD56" s="233"/>
      <c r="HF56" s="231" t="s">
        <v>344</v>
      </c>
      <c r="HG56" s="233"/>
      <c r="HH56" s="233"/>
      <c r="HI56" s="233"/>
      <c r="HJ56" s="233"/>
      <c r="HK56" s="233"/>
      <c r="HM56" s="231" t="s">
        <v>344</v>
      </c>
      <c r="HN56" s="233"/>
      <c r="HO56" s="233"/>
      <c r="HP56" s="233"/>
      <c r="HQ56" s="233"/>
      <c r="HR56" s="233"/>
      <c r="HT56" s="231" t="s">
        <v>344</v>
      </c>
      <c r="HU56" s="233"/>
      <c r="HV56" s="233"/>
      <c r="HW56" s="233"/>
      <c r="HX56" s="233"/>
      <c r="HY56" s="233"/>
      <c r="IA56" s="231" t="s">
        <v>344</v>
      </c>
      <c r="IB56" s="233"/>
      <c r="IC56" s="233"/>
      <c r="ID56" s="233"/>
      <c r="IE56" s="233"/>
      <c r="IF56" s="233"/>
      <c r="IH56" s="231" t="s">
        <v>344</v>
      </c>
      <c r="II56" s="233"/>
      <c r="IJ56" s="233"/>
      <c r="IK56" s="233"/>
      <c r="IL56" s="233"/>
      <c r="IM56" s="233"/>
      <c r="IO56" s="231" t="s">
        <v>344</v>
      </c>
      <c r="IP56" s="233"/>
      <c r="IQ56" s="233"/>
      <c r="IR56" s="233"/>
      <c r="IS56" s="233"/>
      <c r="IT56" s="233"/>
      <c r="IV56" s="231" t="s">
        <v>344</v>
      </c>
      <c r="IW56" s="233"/>
      <c r="IX56" s="233"/>
      <c r="IY56" s="233"/>
      <c r="IZ56" s="233"/>
      <c r="JA56" s="233"/>
      <c r="JC56" s="231" t="s">
        <v>344</v>
      </c>
      <c r="JD56" s="233"/>
      <c r="JE56" s="233"/>
      <c r="JF56" s="233"/>
      <c r="JG56" s="233"/>
      <c r="JH56" s="233"/>
      <c r="JJ56" s="231" t="s">
        <v>344</v>
      </c>
      <c r="JK56" s="233"/>
      <c r="JL56" s="233"/>
      <c r="JM56" s="233"/>
      <c r="JN56" s="233"/>
      <c r="JO56" s="233"/>
      <c r="JQ56" s="231" t="s">
        <v>344</v>
      </c>
      <c r="JR56" s="233"/>
      <c r="JS56" s="233"/>
      <c r="JT56" s="233"/>
      <c r="JU56" s="233"/>
      <c r="JV56" s="233"/>
      <c r="JX56" s="231" t="s">
        <v>344</v>
      </c>
      <c r="JY56" s="233"/>
      <c r="JZ56" s="233"/>
      <c r="KA56" s="233"/>
      <c r="KB56" s="233"/>
      <c r="KC56" s="233"/>
      <c r="KE56" s="231" t="s">
        <v>344</v>
      </c>
      <c r="KF56" s="233"/>
      <c r="KG56" s="233"/>
      <c r="KH56" s="233"/>
      <c r="KI56" s="233"/>
      <c r="KJ56" s="233"/>
      <c r="KL56" s="231" t="s">
        <v>344</v>
      </c>
      <c r="KM56" s="233"/>
      <c r="KN56" s="233"/>
      <c r="KO56" s="233"/>
      <c r="KP56" s="233"/>
      <c r="KQ56" s="233"/>
      <c r="KS56" s="231" t="s">
        <v>344</v>
      </c>
      <c r="KT56" s="233"/>
      <c r="KU56" s="233"/>
      <c r="KV56" s="232"/>
      <c r="KW56" s="233"/>
      <c r="KX56" s="233"/>
      <c r="KZ56" s="231" t="s">
        <v>344</v>
      </c>
      <c r="LA56" s="233"/>
      <c r="LB56" s="234"/>
      <c r="LC56" s="234"/>
      <c r="LD56" s="234"/>
      <c r="LE56" s="233"/>
      <c r="LF56" s="581"/>
      <c r="LG56" s="231" t="s">
        <v>344</v>
      </c>
      <c r="LH56" s="234"/>
      <c r="LI56" s="234"/>
      <c r="LJ56" s="234"/>
      <c r="LK56" s="234"/>
      <c r="LL56" s="233"/>
      <c r="LM56" s="581"/>
      <c r="LN56" s="231" t="s">
        <v>344</v>
      </c>
      <c r="LO56" s="234"/>
      <c r="LP56" s="234"/>
      <c r="LQ56" s="234"/>
      <c r="LR56" s="234"/>
      <c r="LS56" s="233"/>
      <c r="LT56" s="581"/>
      <c r="LU56" s="231" t="s">
        <v>344</v>
      </c>
      <c r="LV56" s="234"/>
      <c r="LW56" s="234"/>
      <c r="LX56" s="234"/>
      <c r="LY56" s="234"/>
      <c r="LZ56" s="233"/>
      <c r="MA56" s="581"/>
      <c r="MB56" s="231" t="s">
        <v>344</v>
      </c>
      <c r="MC56" s="234"/>
      <c r="MD56" s="234"/>
      <c r="ME56" s="234"/>
      <c r="MF56" s="234"/>
      <c r="MG56" s="233"/>
      <c r="MH56" s="581"/>
    </row>
    <row r="57" spans="1:346" s="37" customFormat="1" ht="13.15" outlineLevel="1" x14ac:dyDescent="0.4">
      <c r="A57" s="48"/>
      <c r="B57" s="231"/>
      <c r="C57" s="235"/>
      <c r="D57" s="235"/>
      <c r="E57" s="235"/>
      <c r="F57" s="235"/>
      <c r="G57" s="235"/>
      <c r="H57" s="235"/>
      <c r="I57" s="235"/>
      <c r="J57" s="235"/>
      <c r="K57" s="235"/>
      <c r="L57" s="235"/>
      <c r="M57" s="235"/>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6"/>
      <c r="AV57" s="236"/>
      <c r="AW57" s="236"/>
      <c r="AX57" s="236"/>
      <c r="AY57" s="236"/>
      <c r="AZ57" s="236"/>
      <c r="BA57" s="236"/>
      <c r="BB57" s="236"/>
      <c r="BC57" s="236"/>
      <c r="BD57" s="236"/>
      <c r="BE57" s="236"/>
      <c r="BF57" s="236"/>
      <c r="BG57" s="236"/>
      <c r="BH57" s="236"/>
      <c r="BI57" s="236"/>
      <c r="BJ57" s="236"/>
      <c r="BK57" s="236"/>
      <c r="BL57" s="236"/>
      <c r="BM57" s="236"/>
      <c r="BO57" s="231"/>
      <c r="BP57" s="233"/>
      <c r="BQ57" s="233"/>
      <c r="BR57" s="233"/>
      <c r="BS57" s="233"/>
      <c r="BT57" s="233"/>
      <c r="BV57" s="231"/>
      <c r="BW57" s="233"/>
      <c r="BX57" s="233"/>
      <c r="BY57" s="233"/>
      <c r="BZ57" s="233"/>
      <c r="CA57" s="233"/>
      <c r="CC57" s="231"/>
      <c r="CD57" s="233"/>
      <c r="CE57" s="233"/>
      <c r="CF57" s="233"/>
      <c r="CG57" s="233"/>
      <c r="CH57" s="233"/>
      <c r="CJ57" s="231"/>
      <c r="CK57" s="233"/>
      <c r="CL57" s="233"/>
      <c r="CM57" s="233"/>
      <c r="CN57" s="233"/>
      <c r="CO57" s="233"/>
      <c r="CQ57" s="231"/>
      <c r="CR57" s="233"/>
      <c r="CS57" s="233"/>
      <c r="CT57" s="233"/>
      <c r="CU57" s="233"/>
      <c r="CV57" s="233"/>
      <c r="CX57" s="231"/>
      <c r="CY57" s="233"/>
      <c r="CZ57" s="233"/>
      <c r="DA57" s="233"/>
      <c r="DB57" s="233"/>
      <c r="DC57" s="233"/>
      <c r="DE57" s="231"/>
      <c r="DF57" s="233"/>
      <c r="DG57" s="233"/>
      <c r="DH57" s="233"/>
      <c r="DI57" s="233"/>
      <c r="DJ57" s="233"/>
      <c r="DL57" s="231"/>
      <c r="DM57" s="233"/>
      <c r="DN57" s="233"/>
      <c r="DO57" s="233"/>
      <c r="DP57" s="233"/>
      <c r="DQ57" s="233"/>
      <c r="DS57" s="231"/>
      <c r="DT57" s="233"/>
      <c r="DU57" s="233"/>
      <c r="DV57" s="233"/>
      <c r="DW57" s="233"/>
      <c r="DX57" s="233"/>
      <c r="DZ57" s="231"/>
      <c r="EA57" s="233"/>
      <c r="EB57" s="233"/>
      <c r="EC57" s="233"/>
      <c r="ED57" s="233"/>
      <c r="EE57" s="233"/>
      <c r="EG57" s="231"/>
      <c r="EH57" s="233"/>
      <c r="EI57" s="233"/>
      <c r="EJ57" s="233"/>
      <c r="EK57" s="233"/>
      <c r="EL57" s="233"/>
      <c r="EN57" s="231"/>
      <c r="EO57" s="233"/>
      <c r="EP57" s="233"/>
      <c r="EQ57" s="233"/>
      <c r="ER57" s="233"/>
      <c r="ES57" s="233"/>
      <c r="EU57" s="231"/>
      <c r="EV57" s="233"/>
      <c r="EW57" s="233"/>
      <c r="EX57" s="233"/>
      <c r="EY57" s="233"/>
      <c r="EZ57" s="233"/>
      <c r="FB57" s="231"/>
      <c r="FC57" s="233"/>
      <c r="FD57" s="233"/>
      <c r="FE57" s="233"/>
      <c r="FF57" s="233"/>
      <c r="FG57" s="233"/>
      <c r="FI57" s="231"/>
      <c r="FJ57" s="233"/>
      <c r="FK57" s="233"/>
      <c r="FL57" s="233"/>
      <c r="FM57" s="233"/>
      <c r="FN57" s="233"/>
      <c r="FP57" s="231"/>
      <c r="FQ57" s="233"/>
      <c r="FR57" s="233"/>
      <c r="FS57" s="233"/>
      <c r="FT57" s="233"/>
      <c r="FU57" s="233"/>
      <c r="FW57" s="231"/>
      <c r="FX57" s="233"/>
      <c r="FY57" s="233"/>
      <c r="FZ57" s="233"/>
      <c r="GA57" s="233"/>
      <c r="GB57" s="233"/>
      <c r="GD57" s="231"/>
      <c r="GE57" s="233"/>
      <c r="GF57" s="233"/>
      <c r="GG57" s="233"/>
      <c r="GH57" s="233"/>
      <c r="GI57" s="233"/>
      <c r="GK57" s="231"/>
      <c r="GL57" s="233"/>
      <c r="GM57" s="233"/>
      <c r="GN57" s="233"/>
      <c r="GO57" s="233"/>
      <c r="GP57" s="233"/>
      <c r="GR57" s="231"/>
      <c r="GS57" s="233"/>
      <c r="GT57" s="233"/>
      <c r="GU57" s="233"/>
      <c r="GV57" s="233"/>
      <c r="GW57" s="233"/>
      <c r="GY57" s="231"/>
      <c r="GZ57" s="233"/>
      <c r="HA57" s="233"/>
      <c r="HB57" s="233"/>
      <c r="HC57" s="233"/>
      <c r="HD57" s="233"/>
      <c r="HF57" s="231"/>
      <c r="HG57" s="233"/>
      <c r="HH57" s="233"/>
      <c r="HI57" s="233"/>
      <c r="HJ57" s="233"/>
      <c r="HK57" s="233"/>
      <c r="HM57" s="231"/>
      <c r="HN57" s="233"/>
      <c r="HO57" s="233"/>
      <c r="HP57" s="233"/>
      <c r="HQ57" s="233"/>
      <c r="HR57" s="233"/>
      <c r="HT57" s="231"/>
      <c r="HU57" s="233"/>
      <c r="HV57" s="233"/>
      <c r="HW57" s="233"/>
      <c r="HX57" s="233"/>
      <c r="HY57" s="233"/>
      <c r="IA57" s="231"/>
      <c r="IB57" s="233"/>
      <c r="IC57" s="233"/>
      <c r="ID57" s="233"/>
      <c r="IE57" s="233"/>
      <c r="IF57" s="233"/>
      <c r="IH57" s="231"/>
      <c r="II57" s="233"/>
      <c r="IJ57" s="233"/>
      <c r="IK57" s="233"/>
      <c r="IL57" s="233"/>
      <c r="IM57" s="233"/>
      <c r="IO57" s="231"/>
      <c r="IP57" s="233"/>
      <c r="IQ57" s="233"/>
      <c r="IR57" s="233"/>
      <c r="IS57" s="233"/>
      <c r="IT57" s="233"/>
      <c r="IV57" s="231"/>
      <c r="IW57" s="233"/>
      <c r="IX57" s="233"/>
      <c r="IY57" s="233"/>
      <c r="IZ57" s="233"/>
      <c r="JA57" s="233"/>
      <c r="JC57" s="231"/>
      <c r="JD57" s="233"/>
      <c r="JE57" s="233"/>
      <c r="JF57" s="233"/>
      <c r="JG57" s="233"/>
      <c r="JH57" s="233"/>
      <c r="JJ57" s="231"/>
      <c r="JK57" s="233"/>
      <c r="JL57" s="233"/>
      <c r="JM57" s="233"/>
      <c r="JN57" s="233"/>
      <c r="JO57" s="233"/>
      <c r="JQ57" s="231"/>
      <c r="JR57" s="233"/>
      <c r="JS57" s="233"/>
      <c r="JT57" s="233"/>
      <c r="JU57" s="233"/>
      <c r="JV57" s="233"/>
      <c r="JX57" s="231"/>
      <c r="JY57" s="233"/>
      <c r="JZ57" s="233"/>
      <c r="KA57" s="233"/>
      <c r="KB57" s="233"/>
      <c r="KC57" s="233"/>
      <c r="KE57" s="231"/>
      <c r="KF57" s="233"/>
      <c r="KG57" s="233"/>
      <c r="KH57" s="233"/>
      <c r="KI57" s="233"/>
      <c r="KJ57" s="233"/>
      <c r="KL57" s="231"/>
      <c r="KM57" s="233"/>
      <c r="KN57" s="233"/>
      <c r="KO57" s="233"/>
      <c r="KP57" s="233"/>
      <c r="KQ57" s="233"/>
      <c r="KS57" s="231"/>
      <c r="KT57" s="233"/>
      <c r="KU57" s="233"/>
      <c r="KV57" s="232"/>
      <c r="KW57" s="233"/>
      <c r="KX57" s="233"/>
      <c r="KZ57" s="231"/>
      <c r="LA57" s="233"/>
      <c r="LB57" s="234"/>
      <c r="LC57" s="234"/>
      <c r="LD57" s="234"/>
      <c r="LE57" s="233"/>
      <c r="LF57" s="581"/>
      <c r="LG57" s="231"/>
      <c r="LH57" s="234"/>
      <c r="LI57" s="234"/>
      <c r="LJ57" s="234"/>
      <c r="LK57" s="234"/>
      <c r="LL57" s="233"/>
      <c r="LM57" s="581"/>
      <c r="LN57" s="231"/>
      <c r="LO57" s="234"/>
      <c r="LP57" s="234"/>
      <c r="LQ57" s="234"/>
      <c r="LR57" s="234"/>
      <c r="LS57" s="233"/>
      <c r="LT57" s="581"/>
      <c r="LU57" s="231"/>
      <c r="LV57" s="234"/>
      <c r="LW57" s="234"/>
      <c r="LX57" s="234"/>
      <c r="LY57" s="234"/>
      <c r="LZ57" s="233"/>
      <c r="MA57" s="581"/>
      <c r="MB57" s="231"/>
      <c r="MC57" s="234"/>
      <c r="MD57" s="234"/>
      <c r="ME57" s="234"/>
      <c r="MF57" s="234"/>
      <c r="MG57" s="233"/>
      <c r="MH57" s="581"/>
    </row>
    <row r="58" spans="1:346" s="37" customFormat="1" ht="13.15" outlineLevel="1" x14ac:dyDescent="0.4">
      <c r="A58" s="48"/>
      <c r="B58" s="231" t="s">
        <v>345</v>
      </c>
      <c r="C58" s="235"/>
      <c r="D58" s="235"/>
      <c r="E58" s="235"/>
      <c r="F58" s="235"/>
      <c r="G58" s="235"/>
      <c r="H58" s="235"/>
      <c r="I58" s="235"/>
      <c r="J58" s="235"/>
      <c r="K58" s="235"/>
      <c r="L58" s="235"/>
      <c r="M58" s="235"/>
      <c r="N58" s="236"/>
      <c r="O58" s="236"/>
      <c r="P58" s="236"/>
      <c r="Q58" s="236"/>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236"/>
      <c r="AT58" s="236"/>
      <c r="AU58" s="236"/>
      <c r="AV58" s="236"/>
      <c r="AW58" s="236"/>
      <c r="AX58" s="236"/>
      <c r="AY58" s="236"/>
      <c r="AZ58" s="236"/>
      <c r="BA58" s="236"/>
      <c r="BB58" s="236"/>
      <c r="BC58" s="236"/>
      <c r="BD58" s="236"/>
      <c r="BE58" s="236"/>
      <c r="BF58" s="236"/>
      <c r="BG58" s="236"/>
      <c r="BH58" s="236"/>
      <c r="BI58" s="236"/>
      <c r="BJ58" s="236"/>
      <c r="BK58" s="236"/>
      <c r="BL58" s="236"/>
      <c r="BM58" s="236"/>
      <c r="BO58" s="231" t="s">
        <v>345</v>
      </c>
      <c r="BP58" s="233"/>
      <c r="BQ58" s="233"/>
      <c r="BR58" s="233"/>
      <c r="BS58" s="233"/>
      <c r="BT58" s="233"/>
      <c r="BV58" s="231" t="s">
        <v>345</v>
      </c>
      <c r="BW58" s="233"/>
      <c r="BX58" s="233"/>
      <c r="BY58" s="233"/>
      <c r="BZ58" s="233"/>
      <c r="CA58" s="233"/>
      <c r="CC58" s="231" t="s">
        <v>345</v>
      </c>
      <c r="CD58" s="233"/>
      <c r="CE58" s="233"/>
      <c r="CF58" s="233"/>
      <c r="CG58" s="233"/>
      <c r="CH58" s="233"/>
      <c r="CJ58" s="231" t="s">
        <v>345</v>
      </c>
      <c r="CK58" s="233"/>
      <c r="CL58" s="233"/>
      <c r="CM58" s="233"/>
      <c r="CN58" s="233"/>
      <c r="CO58" s="233"/>
      <c r="CQ58" s="231" t="s">
        <v>345</v>
      </c>
      <c r="CR58" s="233"/>
      <c r="CS58" s="233"/>
      <c r="CT58" s="233"/>
      <c r="CU58" s="233"/>
      <c r="CV58" s="233"/>
      <c r="CX58" s="231" t="s">
        <v>345</v>
      </c>
      <c r="CY58" s="233"/>
      <c r="CZ58" s="233"/>
      <c r="DA58" s="233"/>
      <c r="DB58" s="233"/>
      <c r="DC58" s="233"/>
      <c r="DE58" s="231" t="s">
        <v>345</v>
      </c>
      <c r="DF58" s="233"/>
      <c r="DG58" s="233"/>
      <c r="DH58" s="233"/>
      <c r="DI58" s="233"/>
      <c r="DJ58" s="233"/>
      <c r="DL58" s="231" t="s">
        <v>345</v>
      </c>
      <c r="DM58" s="233"/>
      <c r="DN58" s="233"/>
      <c r="DO58" s="233"/>
      <c r="DP58" s="233"/>
      <c r="DQ58" s="233"/>
      <c r="DS58" s="231" t="s">
        <v>345</v>
      </c>
      <c r="DT58" s="233"/>
      <c r="DU58" s="233"/>
      <c r="DV58" s="233"/>
      <c r="DW58" s="233"/>
      <c r="DX58" s="233"/>
      <c r="DZ58" s="231" t="s">
        <v>345</v>
      </c>
      <c r="EA58" s="233"/>
      <c r="EB58" s="233"/>
      <c r="EC58" s="233"/>
      <c r="ED58" s="233"/>
      <c r="EE58" s="233"/>
      <c r="EG58" s="231" t="s">
        <v>345</v>
      </c>
      <c r="EH58" s="233"/>
      <c r="EI58" s="233"/>
      <c r="EJ58" s="233"/>
      <c r="EK58" s="233"/>
      <c r="EL58" s="233"/>
      <c r="EN58" s="231" t="s">
        <v>345</v>
      </c>
      <c r="EO58" s="233"/>
      <c r="EP58" s="233"/>
      <c r="EQ58" s="233"/>
      <c r="ER58" s="233"/>
      <c r="ES58" s="233"/>
      <c r="EU58" s="231" t="s">
        <v>345</v>
      </c>
      <c r="EV58" s="233"/>
      <c r="EW58" s="233"/>
      <c r="EX58" s="233"/>
      <c r="EY58" s="233"/>
      <c r="EZ58" s="233"/>
      <c r="FB58" s="231" t="s">
        <v>345</v>
      </c>
      <c r="FC58" s="233"/>
      <c r="FD58" s="233"/>
      <c r="FE58" s="233"/>
      <c r="FF58" s="233"/>
      <c r="FG58" s="233"/>
      <c r="FI58" s="231" t="s">
        <v>345</v>
      </c>
      <c r="FJ58" s="233"/>
      <c r="FK58" s="233"/>
      <c r="FL58" s="233"/>
      <c r="FM58" s="233"/>
      <c r="FN58" s="233"/>
      <c r="FP58" s="231" t="s">
        <v>345</v>
      </c>
      <c r="FQ58" s="233"/>
      <c r="FR58" s="233"/>
      <c r="FS58" s="233"/>
      <c r="FT58" s="233"/>
      <c r="FU58" s="233"/>
      <c r="FW58" s="231" t="s">
        <v>345</v>
      </c>
      <c r="FX58" s="233"/>
      <c r="FY58" s="233"/>
      <c r="FZ58" s="233"/>
      <c r="GA58" s="233"/>
      <c r="GB58" s="233"/>
      <c r="GD58" s="231" t="s">
        <v>345</v>
      </c>
      <c r="GE58" s="233"/>
      <c r="GF58" s="233"/>
      <c r="GG58" s="233"/>
      <c r="GH58" s="233"/>
      <c r="GI58" s="233"/>
      <c r="GK58" s="231" t="s">
        <v>345</v>
      </c>
      <c r="GL58" s="233"/>
      <c r="GM58" s="233"/>
      <c r="GN58" s="233"/>
      <c r="GO58" s="233"/>
      <c r="GP58" s="233"/>
      <c r="GR58" s="231" t="s">
        <v>345</v>
      </c>
      <c r="GS58" s="233"/>
      <c r="GT58" s="233"/>
      <c r="GU58" s="233"/>
      <c r="GV58" s="233"/>
      <c r="GW58" s="233"/>
      <c r="GY58" s="231" t="s">
        <v>345</v>
      </c>
      <c r="GZ58" s="233"/>
      <c r="HA58" s="233"/>
      <c r="HB58" s="233"/>
      <c r="HC58" s="233"/>
      <c r="HD58" s="233"/>
      <c r="HF58" s="231" t="s">
        <v>345</v>
      </c>
      <c r="HG58" s="233"/>
      <c r="HH58" s="233"/>
      <c r="HI58" s="233"/>
      <c r="HJ58" s="233"/>
      <c r="HK58" s="233"/>
      <c r="HM58" s="231" t="s">
        <v>345</v>
      </c>
      <c r="HN58" s="233"/>
      <c r="HO58" s="233"/>
      <c r="HP58" s="233"/>
      <c r="HQ58" s="233"/>
      <c r="HR58" s="233"/>
      <c r="HT58" s="231" t="s">
        <v>345</v>
      </c>
      <c r="HU58" s="233"/>
      <c r="HV58" s="233"/>
      <c r="HW58" s="233"/>
      <c r="HX58" s="233"/>
      <c r="HY58" s="233"/>
      <c r="IA58" s="231" t="s">
        <v>345</v>
      </c>
      <c r="IB58" s="233"/>
      <c r="IC58" s="233"/>
      <c r="ID58" s="233"/>
      <c r="IE58" s="233"/>
      <c r="IF58" s="233"/>
      <c r="IH58" s="231" t="s">
        <v>345</v>
      </c>
      <c r="II58" s="233"/>
      <c r="IJ58" s="233"/>
      <c r="IK58" s="233"/>
      <c r="IL58" s="233"/>
      <c r="IM58" s="233"/>
      <c r="IO58" s="231" t="s">
        <v>345</v>
      </c>
      <c r="IP58" s="233"/>
      <c r="IQ58" s="233"/>
      <c r="IR58" s="233"/>
      <c r="IS58" s="233"/>
      <c r="IT58" s="233"/>
      <c r="IV58" s="231" t="s">
        <v>345</v>
      </c>
      <c r="IW58" s="233"/>
      <c r="IX58" s="233"/>
      <c r="IY58" s="233"/>
      <c r="IZ58" s="233"/>
      <c r="JA58" s="233"/>
      <c r="JC58" s="231" t="s">
        <v>345</v>
      </c>
      <c r="JD58" s="233"/>
      <c r="JE58" s="233"/>
      <c r="JF58" s="233"/>
      <c r="JG58" s="233"/>
      <c r="JH58" s="233"/>
      <c r="JJ58" s="231" t="s">
        <v>345</v>
      </c>
      <c r="JK58" s="233"/>
      <c r="JL58" s="233"/>
      <c r="JM58" s="233"/>
      <c r="JN58" s="233"/>
      <c r="JO58" s="233"/>
      <c r="JQ58" s="231" t="s">
        <v>345</v>
      </c>
      <c r="JR58" s="233"/>
      <c r="JS58" s="233"/>
      <c r="JT58" s="233"/>
      <c r="JU58" s="233"/>
      <c r="JV58" s="233"/>
      <c r="JX58" s="231" t="s">
        <v>345</v>
      </c>
      <c r="JY58" s="233"/>
      <c r="JZ58" s="233"/>
      <c r="KA58" s="233"/>
      <c r="KB58" s="233"/>
      <c r="KC58" s="233"/>
      <c r="KE58" s="231" t="s">
        <v>345</v>
      </c>
      <c r="KF58" s="233"/>
      <c r="KG58" s="233"/>
      <c r="KH58" s="233"/>
      <c r="KI58" s="233"/>
      <c r="KJ58" s="233"/>
      <c r="KL58" s="231" t="s">
        <v>345</v>
      </c>
      <c r="KM58" s="233"/>
      <c r="KN58" s="233"/>
      <c r="KO58" s="233"/>
      <c r="KP58" s="233"/>
      <c r="KQ58" s="233"/>
      <c r="KS58" s="231" t="s">
        <v>345</v>
      </c>
      <c r="KT58" s="233"/>
      <c r="KU58" s="233"/>
      <c r="KV58" s="232"/>
      <c r="KW58" s="233"/>
      <c r="KX58" s="233"/>
      <c r="KZ58" s="231" t="s">
        <v>345</v>
      </c>
      <c r="LA58" s="233"/>
      <c r="LB58" s="234"/>
      <c r="LC58" s="234"/>
      <c r="LD58" s="234"/>
      <c r="LE58" s="233"/>
      <c r="LF58" s="581"/>
      <c r="LG58" s="231" t="s">
        <v>345</v>
      </c>
      <c r="LH58" s="234"/>
      <c r="LI58" s="234"/>
      <c r="LJ58" s="234"/>
      <c r="LK58" s="234"/>
      <c r="LL58" s="233"/>
      <c r="LM58" s="581"/>
      <c r="LN58" s="231" t="s">
        <v>345</v>
      </c>
      <c r="LO58" s="234"/>
      <c r="LP58" s="234"/>
      <c r="LQ58" s="234"/>
      <c r="LR58" s="234"/>
      <c r="LS58" s="233"/>
      <c r="LT58" s="581"/>
      <c r="LU58" s="231" t="s">
        <v>345</v>
      </c>
      <c r="LV58" s="234"/>
      <c r="LW58" s="234"/>
      <c r="LX58" s="234"/>
      <c r="LY58" s="234"/>
      <c r="LZ58" s="233"/>
      <c r="MA58" s="581"/>
      <c r="MB58" s="231" t="s">
        <v>345</v>
      </c>
      <c r="MC58" s="234"/>
      <c r="MD58" s="234"/>
      <c r="ME58" s="234"/>
      <c r="MF58" s="234"/>
      <c r="MG58" s="233"/>
      <c r="MH58" s="581"/>
    </row>
    <row r="59" spans="1:346" s="37" customFormat="1" ht="13.15" outlineLevel="1" x14ac:dyDescent="0.4">
      <c r="A59" s="48"/>
      <c r="B59" s="231" t="s">
        <v>310</v>
      </c>
      <c r="C59" s="235"/>
      <c r="D59" s="235"/>
      <c r="E59" s="235"/>
      <c r="F59" s="235"/>
      <c r="G59" s="235"/>
      <c r="H59" s="235">
        <v>28</v>
      </c>
      <c r="I59" s="235">
        <v>65</v>
      </c>
      <c r="J59" s="235">
        <v>65</v>
      </c>
      <c r="K59" s="235">
        <v>48</v>
      </c>
      <c r="L59" s="235">
        <v>55</v>
      </c>
      <c r="M59" s="235">
        <v>67</v>
      </c>
      <c r="N59" s="235">
        <f>BT59</f>
        <v>77</v>
      </c>
      <c r="O59" s="235">
        <f>CA59</f>
        <v>93</v>
      </c>
      <c r="P59" s="235">
        <f>CH59</f>
        <v>101</v>
      </c>
      <c r="Q59" s="235">
        <f>CO59</f>
        <v>114</v>
      </c>
      <c r="R59" s="235">
        <f>CV59</f>
        <v>107</v>
      </c>
      <c r="S59" s="235">
        <f>DC59</f>
        <v>104</v>
      </c>
      <c r="T59" s="235">
        <f>DJ59</f>
        <v>122</v>
      </c>
      <c r="U59" s="235">
        <f>DQ59</f>
        <v>138</v>
      </c>
      <c r="V59" s="235">
        <f>DX59</f>
        <v>151</v>
      </c>
      <c r="W59" s="235">
        <f>EE59</f>
        <v>0</v>
      </c>
      <c r="X59" s="235">
        <f>EL59</f>
        <v>0</v>
      </c>
      <c r="Y59" s="235">
        <f>ES59</f>
        <v>0</v>
      </c>
      <c r="Z59" s="235">
        <f>EZ59</f>
        <v>0</v>
      </c>
      <c r="AA59" s="235">
        <f>FG59</f>
        <v>0</v>
      </c>
      <c r="AB59" s="235">
        <f>FN59</f>
        <v>0</v>
      </c>
      <c r="AC59" s="235">
        <f>FU59</f>
        <v>0</v>
      </c>
      <c r="AD59" s="235">
        <f>GB59</f>
        <v>0</v>
      </c>
      <c r="AE59" s="235">
        <f>GI59</f>
        <v>0</v>
      </c>
      <c r="AF59" s="235">
        <f>GP59</f>
        <v>0</v>
      </c>
      <c r="AG59" s="235">
        <f>GW59</f>
        <v>0</v>
      </c>
      <c r="AH59" s="235">
        <f>HD59</f>
        <v>0</v>
      </c>
      <c r="AI59" s="235">
        <f>HK59</f>
        <v>0</v>
      </c>
      <c r="AJ59" s="235">
        <f>HR59</f>
        <v>0</v>
      </c>
      <c r="AK59" s="235">
        <f>HY59</f>
        <v>0</v>
      </c>
      <c r="AL59" s="235">
        <f>IF59</f>
        <v>0</v>
      </c>
      <c r="AM59" s="235">
        <f>IM59</f>
        <v>0</v>
      </c>
      <c r="AN59" s="235">
        <f>IT59</f>
        <v>0</v>
      </c>
      <c r="AO59" s="235">
        <f>JA59</f>
        <v>0</v>
      </c>
      <c r="AP59" s="235">
        <f>JH59</f>
        <v>0</v>
      </c>
      <c r="AQ59" s="235">
        <f>JO59</f>
        <v>0</v>
      </c>
      <c r="AR59" s="235">
        <f>JV59</f>
        <v>0</v>
      </c>
      <c r="AS59" s="235">
        <f>KC59</f>
        <v>0</v>
      </c>
      <c r="AT59" s="235">
        <f>KJ59</f>
        <v>0</v>
      </c>
      <c r="AU59" s="235">
        <f>KQ59</f>
        <v>0</v>
      </c>
      <c r="AV59" s="235">
        <f>KX59</f>
        <v>0</v>
      </c>
      <c r="AW59" s="235">
        <f>LE59</f>
        <v>0</v>
      </c>
      <c r="AX59" s="235">
        <f>LL59</f>
        <v>0</v>
      </c>
      <c r="AY59" s="235">
        <f>LS59</f>
        <v>0</v>
      </c>
      <c r="AZ59" s="235">
        <f>LZ59</f>
        <v>0</v>
      </c>
      <c r="BA59" s="235">
        <f>MG59</f>
        <v>0</v>
      </c>
      <c r="BB59" s="235"/>
      <c r="BC59" s="235"/>
      <c r="BD59" s="235"/>
      <c r="BE59" s="235"/>
      <c r="BF59" s="235"/>
      <c r="BG59" s="235"/>
      <c r="BH59" s="235"/>
      <c r="BI59" s="235"/>
      <c r="BJ59" s="235"/>
      <c r="BK59" s="235"/>
      <c r="BL59" s="235"/>
      <c r="BM59" s="235"/>
      <c r="BO59" s="231" t="s">
        <v>310</v>
      </c>
      <c r="BP59" s="233">
        <v>18</v>
      </c>
      <c r="BQ59" s="233">
        <v>19</v>
      </c>
      <c r="BR59" s="233">
        <v>20</v>
      </c>
      <c r="BS59" s="233">
        <v>20</v>
      </c>
      <c r="BT59" s="233">
        <f>BP59+BQ59+BR59+BS59</f>
        <v>77</v>
      </c>
      <c r="BV59" s="231" t="s">
        <v>310</v>
      </c>
      <c r="BW59" s="233">
        <v>24</v>
      </c>
      <c r="BX59" s="233">
        <v>23</v>
      </c>
      <c r="BY59" s="233">
        <v>22</v>
      </c>
      <c r="BZ59" s="233">
        <v>24</v>
      </c>
      <c r="CA59" s="233">
        <f>BW59+BX59+BY59+BZ59</f>
        <v>93</v>
      </c>
      <c r="CC59" s="231" t="s">
        <v>310</v>
      </c>
      <c r="CD59" s="233">
        <v>25</v>
      </c>
      <c r="CE59" s="233">
        <v>25</v>
      </c>
      <c r="CF59" s="233">
        <v>23</v>
      </c>
      <c r="CG59" s="233">
        <v>28</v>
      </c>
      <c r="CH59" s="233">
        <f>CD59+CE59+CF59+CG59</f>
        <v>101</v>
      </c>
      <c r="CJ59" s="231" t="s">
        <v>310</v>
      </c>
      <c r="CK59" s="233">
        <v>27</v>
      </c>
      <c r="CL59" s="233">
        <v>29</v>
      </c>
      <c r="CM59" s="233">
        <v>29</v>
      </c>
      <c r="CN59" s="233">
        <v>29</v>
      </c>
      <c r="CO59" s="233">
        <f>CK59+CL59+CM59+CN59</f>
        <v>114</v>
      </c>
      <c r="CQ59" s="231" t="s">
        <v>310</v>
      </c>
      <c r="CR59" s="233">
        <v>26</v>
      </c>
      <c r="CS59" s="233">
        <v>27</v>
      </c>
      <c r="CT59" s="233">
        <v>25</v>
      </c>
      <c r="CU59" s="233">
        <v>29</v>
      </c>
      <c r="CV59" s="233">
        <f>CR59+CS59+CT59+CU59</f>
        <v>107</v>
      </c>
      <c r="CX59" s="231" t="s">
        <v>310</v>
      </c>
      <c r="CY59" s="233">
        <v>25</v>
      </c>
      <c r="CZ59" s="233">
        <v>24</v>
      </c>
      <c r="DA59" s="233">
        <v>25</v>
      </c>
      <c r="DB59" s="233">
        <v>30</v>
      </c>
      <c r="DC59" s="233">
        <f>CY59+CZ59+DA59+DB59</f>
        <v>104</v>
      </c>
      <c r="DE59" s="231" t="s">
        <v>310</v>
      </c>
      <c r="DF59" s="233">
        <v>29</v>
      </c>
      <c r="DG59" s="233">
        <v>27</v>
      </c>
      <c r="DH59" s="233">
        <v>33</v>
      </c>
      <c r="DI59" s="233">
        <v>33</v>
      </c>
      <c r="DJ59" s="233">
        <f>DF59+DG59+DH59+DI59</f>
        <v>122</v>
      </c>
      <c r="DL59" s="231" t="s">
        <v>310</v>
      </c>
      <c r="DM59" s="233">
        <v>33</v>
      </c>
      <c r="DN59" s="233">
        <v>34</v>
      </c>
      <c r="DO59" s="233">
        <v>35</v>
      </c>
      <c r="DP59" s="233">
        <v>36</v>
      </c>
      <c r="DQ59" s="233">
        <f>DM59+DN59+DO59+DP59</f>
        <v>138</v>
      </c>
      <c r="DS59" s="231" t="s">
        <v>310</v>
      </c>
      <c r="DT59" s="233">
        <v>36</v>
      </c>
      <c r="DU59" s="233">
        <v>36</v>
      </c>
      <c r="DV59" s="233">
        <v>39</v>
      </c>
      <c r="DW59" s="233">
        <v>40</v>
      </c>
      <c r="DX59" s="233">
        <f>DT59+DU59+DV59+DW59</f>
        <v>151</v>
      </c>
      <c r="DZ59" s="231" t="s">
        <v>310</v>
      </c>
      <c r="EA59" s="233"/>
      <c r="EB59" s="233"/>
      <c r="EC59" s="233"/>
      <c r="ED59" s="233"/>
      <c r="EE59" s="233"/>
      <c r="EG59" s="231" t="s">
        <v>310</v>
      </c>
      <c r="EH59" s="233"/>
      <c r="EI59" s="233"/>
      <c r="EJ59" s="233"/>
      <c r="EK59" s="233"/>
      <c r="EL59" s="233"/>
      <c r="EN59" s="231" t="s">
        <v>310</v>
      </c>
      <c r="EO59" s="233"/>
      <c r="EP59" s="233"/>
      <c r="EQ59" s="233"/>
      <c r="ER59" s="233"/>
      <c r="ES59" s="233"/>
      <c r="EU59" s="231" t="s">
        <v>310</v>
      </c>
      <c r="EV59" s="233"/>
      <c r="EW59" s="233"/>
      <c r="EX59" s="233"/>
      <c r="EY59" s="233"/>
      <c r="EZ59" s="233"/>
      <c r="FB59" s="231" t="s">
        <v>310</v>
      </c>
      <c r="FC59" s="233"/>
      <c r="FD59" s="233"/>
      <c r="FE59" s="233"/>
      <c r="FF59" s="233"/>
      <c r="FG59" s="233"/>
      <c r="FI59" s="231" t="s">
        <v>310</v>
      </c>
      <c r="FJ59" s="233"/>
      <c r="FK59" s="233"/>
      <c r="FL59" s="233"/>
      <c r="FM59" s="233"/>
      <c r="FN59" s="233"/>
      <c r="FP59" s="231" t="s">
        <v>310</v>
      </c>
      <c r="FQ59" s="233"/>
      <c r="FR59" s="233"/>
      <c r="FS59" s="233"/>
      <c r="FT59" s="233"/>
      <c r="FU59" s="233"/>
      <c r="FW59" s="231" t="s">
        <v>310</v>
      </c>
      <c r="FX59" s="233"/>
      <c r="FY59" s="233"/>
      <c r="FZ59" s="233"/>
      <c r="GA59" s="233"/>
      <c r="GB59" s="233"/>
      <c r="GD59" s="231" t="s">
        <v>310</v>
      </c>
      <c r="GE59" s="233"/>
      <c r="GF59" s="233"/>
      <c r="GG59" s="233"/>
      <c r="GH59" s="233"/>
      <c r="GI59" s="233"/>
      <c r="GK59" s="231" t="s">
        <v>310</v>
      </c>
      <c r="GL59" s="233"/>
      <c r="GM59" s="233"/>
      <c r="GN59" s="233"/>
      <c r="GO59" s="233"/>
      <c r="GP59" s="233"/>
      <c r="GR59" s="231" t="s">
        <v>310</v>
      </c>
      <c r="GS59" s="233"/>
      <c r="GT59" s="233"/>
      <c r="GU59" s="233"/>
      <c r="GV59" s="233"/>
      <c r="GW59" s="233"/>
      <c r="GY59" s="231" t="s">
        <v>310</v>
      </c>
      <c r="GZ59" s="233"/>
      <c r="HA59" s="233"/>
      <c r="HB59" s="233"/>
      <c r="HC59" s="233"/>
      <c r="HD59" s="233"/>
      <c r="HF59" s="231" t="s">
        <v>310</v>
      </c>
      <c r="HG59" s="233"/>
      <c r="HH59" s="233"/>
      <c r="HI59" s="233"/>
      <c r="HJ59" s="233"/>
      <c r="HK59" s="233"/>
      <c r="HM59" s="231" t="s">
        <v>310</v>
      </c>
      <c r="HN59" s="233"/>
      <c r="HO59" s="233"/>
      <c r="HP59" s="233"/>
      <c r="HQ59" s="233"/>
      <c r="HR59" s="233"/>
      <c r="HT59" s="231" t="s">
        <v>310</v>
      </c>
      <c r="HU59" s="233"/>
      <c r="HV59" s="233"/>
      <c r="HW59" s="233"/>
      <c r="HX59" s="233"/>
      <c r="HY59" s="233"/>
      <c r="IA59" s="231" t="s">
        <v>310</v>
      </c>
      <c r="IB59" s="233"/>
      <c r="IC59" s="233"/>
      <c r="ID59" s="233"/>
      <c r="IE59" s="233"/>
      <c r="IF59" s="233"/>
      <c r="IH59" s="231" t="s">
        <v>310</v>
      </c>
      <c r="II59" s="233"/>
      <c r="IJ59" s="233"/>
      <c r="IK59" s="233"/>
      <c r="IL59" s="233"/>
      <c r="IM59" s="233"/>
      <c r="IO59" s="231" t="s">
        <v>310</v>
      </c>
      <c r="IP59" s="233"/>
      <c r="IQ59" s="233"/>
      <c r="IR59" s="233"/>
      <c r="IS59" s="233"/>
      <c r="IT59" s="233"/>
      <c r="IV59" s="231" t="s">
        <v>310</v>
      </c>
      <c r="IW59" s="233"/>
      <c r="IX59" s="233"/>
      <c r="IY59" s="233"/>
      <c r="IZ59" s="233"/>
      <c r="JA59" s="233"/>
      <c r="JC59" s="231" t="s">
        <v>310</v>
      </c>
      <c r="JD59" s="233"/>
      <c r="JE59" s="233"/>
      <c r="JF59" s="233"/>
      <c r="JG59" s="233"/>
      <c r="JH59" s="233"/>
      <c r="JJ59" s="231" t="s">
        <v>310</v>
      </c>
      <c r="JK59" s="233"/>
      <c r="JL59" s="233"/>
      <c r="JM59" s="233"/>
      <c r="JN59" s="233"/>
      <c r="JO59" s="233"/>
      <c r="JQ59" s="231" t="s">
        <v>310</v>
      </c>
      <c r="JR59" s="233"/>
      <c r="JS59" s="233"/>
      <c r="JT59" s="233"/>
      <c r="JU59" s="233"/>
      <c r="JV59" s="233"/>
      <c r="JX59" s="231" t="s">
        <v>310</v>
      </c>
      <c r="JY59" s="233"/>
      <c r="JZ59" s="233"/>
      <c r="KA59" s="233"/>
      <c r="KB59" s="233"/>
      <c r="KC59" s="233"/>
      <c r="KE59" s="231" t="s">
        <v>310</v>
      </c>
      <c r="KF59" s="233"/>
      <c r="KG59" s="233"/>
      <c r="KH59" s="233"/>
      <c r="KI59" s="233"/>
      <c r="KJ59" s="233"/>
      <c r="KL59" s="231" t="s">
        <v>310</v>
      </c>
      <c r="KM59" s="233"/>
      <c r="KN59" s="233"/>
      <c r="KO59" s="233"/>
      <c r="KP59" s="233"/>
      <c r="KQ59" s="233"/>
      <c r="KS59" s="231" t="s">
        <v>310</v>
      </c>
      <c r="KT59" s="233"/>
      <c r="KU59" s="233"/>
      <c r="KV59" s="232"/>
      <c r="KW59" s="233"/>
      <c r="KX59" s="233"/>
      <c r="KZ59" s="231" t="s">
        <v>310</v>
      </c>
      <c r="LA59" s="233"/>
      <c r="LB59" s="234"/>
      <c r="LC59" s="234"/>
      <c r="LD59" s="234"/>
      <c r="LE59" s="233"/>
      <c r="LF59" s="581"/>
      <c r="LG59" s="231" t="s">
        <v>310</v>
      </c>
      <c r="LH59" s="234"/>
      <c r="LI59" s="234"/>
      <c r="LJ59" s="234"/>
      <c r="LK59" s="234"/>
      <c r="LL59" s="233"/>
      <c r="LM59" s="581"/>
      <c r="LN59" s="231" t="s">
        <v>310</v>
      </c>
      <c r="LO59" s="234"/>
      <c r="LP59" s="234"/>
      <c r="LQ59" s="234"/>
      <c r="LR59" s="234"/>
      <c r="LS59" s="233"/>
      <c r="LT59" s="581"/>
      <c r="LU59" s="231" t="s">
        <v>310</v>
      </c>
      <c r="LV59" s="234"/>
      <c r="LW59" s="234"/>
      <c r="LX59" s="234"/>
      <c r="LY59" s="234"/>
      <c r="LZ59" s="233"/>
      <c r="MA59" s="581"/>
      <c r="MB59" s="231" t="s">
        <v>310</v>
      </c>
      <c r="MC59" s="234"/>
      <c r="MD59" s="234"/>
      <c r="ME59" s="234"/>
      <c r="MF59" s="234"/>
      <c r="MG59" s="233"/>
      <c r="MH59" s="581"/>
    </row>
    <row r="60" spans="1:346" s="37" customFormat="1" ht="13.15" outlineLevel="1" x14ac:dyDescent="0.4">
      <c r="A60" s="48"/>
      <c r="B60" s="231" t="s">
        <v>311</v>
      </c>
      <c r="C60" s="235"/>
      <c r="D60" s="235"/>
      <c r="E60" s="235"/>
      <c r="F60" s="235"/>
      <c r="G60" s="235"/>
      <c r="H60" s="235">
        <v>42</v>
      </c>
      <c r="I60" s="235">
        <v>112</v>
      </c>
      <c r="J60" s="235">
        <v>89</v>
      </c>
      <c r="K60" s="235">
        <v>79</v>
      </c>
      <c r="L60" s="235">
        <v>82</v>
      </c>
      <c r="M60" s="235">
        <v>93</v>
      </c>
      <c r="N60" s="235">
        <f>BT60</f>
        <v>103</v>
      </c>
      <c r="O60" s="235">
        <f>CA60</f>
        <v>141</v>
      </c>
      <c r="P60" s="235">
        <f>CH60</f>
        <v>131</v>
      </c>
      <c r="Q60" s="235">
        <f>CO60</f>
        <v>174</v>
      </c>
      <c r="R60" s="235">
        <f>CV60</f>
        <v>175</v>
      </c>
      <c r="S60" s="235">
        <f>DC60</f>
        <v>191</v>
      </c>
      <c r="T60" s="235">
        <f>DJ60</f>
        <v>232</v>
      </c>
      <c r="U60" s="235">
        <f>DQ60</f>
        <v>242</v>
      </c>
      <c r="V60" s="235">
        <f>DX60</f>
        <v>262</v>
      </c>
      <c r="W60" s="235">
        <f>EE60</f>
        <v>0</v>
      </c>
      <c r="X60" s="235">
        <f>EL60</f>
        <v>0</v>
      </c>
      <c r="Y60" s="235">
        <f>ES60</f>
        <v>0</v>
      </c>
      <c r="Z60" s="235">
        <f>EZ60</f>
        <v>0</v>
      </c>
      <c r="AA60" s="235">
        <f>FG60</f>
        <v>0</v>
      </c>
      <c r="AB60" s="235">
        <f>FN60</f>
        <v>0</v>
      </c>
      <c r="AC60" s="235">
        <f>FU60</f>
        <v>0</v>
      </c>
      <c r="AD60" s="235">
        <f>GB60</f>
        <v>0</v>
      </c>
      <c r="AE60" s="235">
        <f>GI60</f>
        <v>0</v>
      </c>
      <c r="AF60" s="235">
        <f>GP60</f>
        <v>0</v>
      </c>
      <c r="AG60" s="235">
        <f>GW60</f>
        <v>0</v>
      </c>
      <c r="AH60" s="235">
        <f>HD60</f>
        <v>0</v>
      </c>
      <c r="AI60" s="235">
        <f>HK60</f>
        <v>0</v>
      </c>
      <c r="AJ60" s="235">
        <f>HR60</f>
        <v>0</v>
      </c>
      <c r="AK60" s="235">
        <f>HY60</f>
        <v>0</v>
      </c>
      <c r="AL60" s="235">
        <f>IF60</f>
        <v>0</v>
      </c>
      <c r="AM60" s="235">
        <f>IM60</f>
        <v>0</v>
      </c>
      <c r="AN60" s="235">
        <f>IT60</f>
        <v>0</v>
      </c>
      <c r="AO60" s="235">
        <f>JA60</f>
        <v>0</v>
      </c>
      <c r="AP60" s="235">
        <f>JH60</f>
        <v>0</v>
      </c>
      <c r="AQ60" s="235">
        <f>JO60</f>
        <v>0</v>
      </c>
      <c r="AR60" s="235">
        <f>JV60</f>
        <v>0</v>
      </c>
      <c r="AS60" s="235">
        <f>KC60</f>
        <v>0</v>
      </c>
      <c r="AT60" s="235">
        <f>KJ60</f>
        <v>0</v>
      </c>
      <c r="AU60" s="235">
        <f>KQ60</f>
        <v>0</v>
      </c>
      <c r="AV60" s="235">
        <f>KX60</f>
        <v>0</v>
      </c>
      <c r="AW60" s="235">
        <f>LE60</f>
        <v>0</v>
      </c>
      <c r="AX60" s="235">
        <f>LL60</f>
        <v>0</v>
      </c>
      <c r="AY60" s="235">
        <f>LS60</f>
        <v>0</v>
      </c>
      <c r="AZ60" s="235">
        <f>LZ60</f>
        <v>0</v>
      </c>
      <c r="BA60" s="235">
        <f>MG60</f>
        <v>0</v>
      </c>
      <c r="BB60" s="235"/>
      <c r="BC60" s="235"/>
      <c r="BD60" s="235"/>
      <c r="BE60" s="235"/>
      <c r="BF60" s="235"/>
      <c r="BG60" s="235"/>
      <c r="BH60" s="235"/>
      <c r="BI60" s="235"/>
      <c r="BJ60" s="235"/>
      <c r="BK60" s="235"/>
      <c r="BL60" s="235"/>
      <c r="BM60" s="235"/>
      <c r="BO60" s="231" t="s">
        <v>311</v>
      </c>
      <c r="BP60" s="233">
        <v>23</v>
      </c>
      <c r="BQ60" s="233">
        <v>25</v>
      </c>
      <c r="BR60" s="233">
        <v>27</v>
      </c>
      <c r="BS60" s="233">
        <v>28</v>
      </c>
      <c r="BT60" s="233">
        <f>BP60+BQ60+BR60+BS60</f>
        <v>103</v>
      </c>
      <c r="BV60" s="231" t="s">
        <v>311</v>
      </c>
      <c r="BW60" s="233">
        <v>31</v>
      </c>
      <c r="BX60" s="233">
        <v>39</v>
      </c>
      <c r="BY60" s="233">
        <v>38</v>
      </c>
      <c r="BZ60" s="233">
        <v>33</v>
      </c>
      <c r="CA60" s="233">
        <f>BW60+BX60+BY60+BZ60</f>
        <v>141</v>
      </c>
      <c r="CC60" s="231" t="s">
        <v>311</v>
      </c>
      <c r="CD60" s="233">
        <v>34</v>
      </c>
      <c r="CE60" s="233">
        <v>35</v>
      </c>
      <c r="CF60" s="233">
        <v>34</v>
      </c>
      <c r="CG60" s="233">
        <v>28</v>
      </c>
      <c r="CH60" s="233">
        <f>CD60+CE60+CF60+CG60</f>
        <v>131</v>
      </c>
      <c r="CJ60" s="231" t="s">
        <v>311</v>
      </c>
      <c r="CK60" s="233">
        <v>38</v>
      </c>
      <c r="CL60" s="233">
        <v>42</v>
      </c>
      <c r="CM60" s="233">
        <v>49</v>
      </c>
      <c r="CN60" s="233">
        <v>45</v>
      </c>
      <c r="CO60" s="233">
        <f>CK60+CL60+CM60+CN60</f>
        <v>174</v>
      </c>
      <c r="CQ60" s="231" t="s">
        <v>311</v>
      </c>
      <c r="CR60" s="233">
        <v>43</v>
      </c>
      <c r="CS60" s="233">
        <v>44</v>
      </c>
      <c r="CT60" s="233">
        <v>40</v>
      </c>
      <c r="CU60" s="233">
        <v>48</v>
      </c>
      <c r="CV60" s="233">
        <f>CR60+CS60+CT60+CU60</f>
        <v>175</v>
      </c>
      <c r="CX60" s="231" t="s">
        <v>311</v>
      </c>
      <c r="CY60" s="233">
        <v>43</v>
      </c>
      <c r="CZ60" s="233">
        <v>51</v>
      </c>
      <c r="DA60" s="233">
        <v>50</v>
      </c>
      <c r="DB60" s="233">
        <v>47</v>
      </c>
      <c r="DC60" s="233">
        <f>CY60+CZ60+DA60+DB60</f>
        <v>191</v>
      </c>
      <c r="DE60" s="231" t="s">
        <v>311</v>
      </c>
      <c r="DF60" s="233">
        <v>61</v>
      </c>
      <c r="DG60" s="233">
        <v>52</v>
      </c>
      <c r="DH60" s="233">
        <v>59</v>
      </c>
      <c r="DI60" s="233">
        <v>60</v>
      </c>
      <c r="DJ60" s="233">
        <f>DF60+DG60+DH60+DI60</f>
        <v>232</v>
      </c>
      <c r="DL60" s="231" t="s">
        <v>311</v>
      </c>
      <c r="DM60" s="233">
        <v>51</v>
      </c>
      <c r="DN60" s="233">
        <v>63</v>
      </c>
      <c r="DO60" s="233">
        <v>67</v>
      </c>
      <c r="DP60" s="233">
        <v>61</v>
      </c>
      <c r="DQ60" s="233">
        <f>DM60+DN60+DO60+DP60</f>
        <v>242</v>
      </c>
      <c r="DS60" s="231" t="s">
        <v>311</v>
      </c>
      <c r="DT60" s="233">
        <v>51</v>
      </c>
      <c r="DU60" s="233">
        <v>65</v>
      </c>
      <c r="DV60" s="233">
        <v>76</v>
      </c>
      <c r="DW60" s="233">
        <v>70</v>
      </c>
      <c r="DX60" s="233">
        <f>DT60+DU60+DV60+DW60</f>
        <v>262</v>
      </c>
      <c r="DZ60" s="231" t="s">
        <v>311</v>
      </c>
      <c r="EA60" s="233"/>
      <c r="EB60" s="233"/>
      <c r="EC60" s="233"/>
      <c r="ED60" s="233"/>
      <c r="EE60" s="233"/>
      <c r="EG60" s="231" t="s">
        <v>311</v>
      </c>
      <c r="EH60" s="233"/>
      <c r="EI60" s="233"/>
      <c r="EJ60" s="233"/>
      <c r="EK60" s="233"/>
      <c r="EL60" s="233"/>
      <c r="EN60" s="231" t="s">
        <v>311</v>
      </c>
      <c r="EO60" s="233"/>
      <c r="EP60" s="233"/>
      <c r="EQ60" s="233"/>
      <c r="ER60" s="233"/>
      <c r="ES60" s="233"/>
      <c r="EU60" s="231" t="s">
        <v>311</v>
      </c>
      <c r="EV60" s="233"/>
      <c r="EW60" s="233"/>
      <c r="EX60" s="233"/>
      <c r="EY60" s="233"/>
      <c r="EZ60" s="233"/>
      <c r="FB60" s="231" t="s">
        <v>311</v>
      </c>
      <c r="FC60" s="233"/>
      <c r="FD60" s="233"/>
      <c r="FE60" s="233"/>
      <c r="FF60" s="233"/>
      <c r="FG60" s="233"/>
      <c r="FI60" s="231" t="s">
        <v>311</v>
      </c>
      <c r="FJ60" s="233"/>
      <c r="FK60" s="233"/>
      <c r="FL60" s="233"/>
      <c r="FM60" s="233"/>
      <c r="FN60" s="233"/>
      <c r="FP60" s="231" t="s">
        <v>311</v>
      </c>
      <c r="FQ60" s="233"/>
      <c r="FR60" s="233"/>
      <c r="FS60" s="233"/>
      <c r="FT60" s="233"/>
      <c r="FU60" s="233"/>
      <c r="FW60" s="231" t="s">
        <v>311</v>
      </c>
      <c r="FX60" s="233"/>
      <c r="FY60" s="233"/>
      <c r="FZ60" s="233"/>
      <c r="GA60" s="233"/>
      <c r="GB60" s="233"/>
      <c r="GD60" s="231" t="s">
        <v>311</v>
      </c>
      <c r="GE60" s="233"/>
      <c r="GF60" s="233"/>
      <c r="GG60" s="233"/>
      <c r="GH60" s="233"/>
      <c r="GI60" s="233"/>
      <c r="GK60" s="231" t="s">
        <v>311</v>
      </c>
      <c r="GL60" s="233"/>
      <c r="GM60" s="233"/>
      <c r="GN60" s="233"/>
      <c r="GO60" s="233"/>
      <c r="GP60" s="233"/>
      <c r="GR60" s="231" t="s">
        <v>311</v>
      </c>
      <c r="GS60" s="233"/>
      <c r="GT60" s="233"/>
      <c r="GU60" s="233"/>
      <c r="GV60" s="233"/>
      <c r="GW60" s="233"/>
      <c r="GY60" s="231" t="s">
        <v>311</v>
      </c>
      <c r="GZ60" s="233"/>
      <c r="HA60" s="233"/>
      <c r="HB60" s="233"/>
      <c r="HC60" s="233"/>
      <c r="HD60" s="233"/>
      <c r="HF60" s="231" t="s">
        <v>311</v>
      </c>
      <c r="HG60" s="233"/>
      <c r="HH60" s="233"/>
      <c r="HI60" s="233"/>
      <c r="HJ60" s="233"/>
      <c r="HK60" s="233"/>
      <c r="HM60" s="231" t="s">
        <v>311</v>
      </c>
      <c r="HN60" s="233"/>
      <c r="HO60" s="233"/>
      <c r="HP60" s="233"/>
      <c r="HQ60" s="233"/>
      <c r="HR60" s="233"/>
      <c r="HT60" s="231" t="s">
        <v>311</v>
      </c>
      <c r="HU60" s="233"/>
      <c r="HV60" s="233"/>
      <c r="HW60" s="233"/>
      <c r="HX60" s="233"/>
      <c r="HY60" s="233"/>
      <c r="IA60" s="231" t="s">
        <v>311</v>
      </c>
      <c r="IB60" s="233"/>
      <c r="IC60" s="233"/>
      <c r="ID60" s="233"/>
      <c r="IE60" s="233"/>
      <c r="IF60" s="233"/>
      <c r="IH60" s="231" t="s">
        <v>311</v>
      </c>
      <c r="II60" s="233"/>
      <c r="IJ60" s="233"/>
      <c r="IK60" s="233"/>
      <c r="IL60" s="233"/>
      <c r="IM60" s="233"/>
      <c r="IO60" s="231" t="s">
        <v>311</v>
      </c>
      <c r="IP60" s="233"/>
      <c r="IQ60" s="233"/>
      <c r="IR60" s="233"/>
      <c r="IS60" s="233"/>
      <c r="IT60" s="233"/>
      <c r="IV60" s="231" t="s">
        <v>311</v>
      </c>
      <c r="IW60" s="233"/>
      <c r="IX60" s="233"/>
      <c r="IY60" s="233"/>
      <c r="IZ60" s="233"/>
      <c r="JA60" s="233"/>
      <c r="JC60" s="231" t="s">
        <v>311</v>
      </c>
      <c r="JD60" s="233"/>
      <c r="JE60" s="233"/>
      <c r="JF60" s="233"/>
      <c r="JG60" s="233"/>
      <c r="JH60" s="233"/>
      <c r="JJ60" s="231" t="s">
        <v>311</v>
      </c>
      <c r="JK60" s="233"/>
      <c r="JL60" s="233"/>
      <c r="JM60" s="233"/>
      <c r="JN60" s="233"/>
      <c r="JO60" s="233"/>
      <c r="JQ60" s="231" t="s">
        <v>311</v>
      </c>
      <c r="JR60" s="233"/>
      <c r="JS60" s="233"/>
      <c r="JT60" s="233"/>
      <c r="JU60" s="233"/>
      <c r="JV60" s="233"/>
      <c r="JX60" s="231" t="s">
        <v>311</v>
      </c>
      <c r="JY60" s="233"/>
      <c r="JZ60" s="233"/>
      <c r="KA60" s="233"/>
      <c r="KB60" s="233"/>
      <c r="KC60" s="233"/>
      <c r="KE60" s="231" t="s">
        <v>311</v>
      </c>
      <c r="KF60" s="233"/>
      <c r="KG60" s="233"/>
      <c r="KH60" s="233"/>
      <c r="KI60" s="233"/>
      <c r="KJ60" s="233"/>
      <c r="KL60" s="231" t="s">
        <v>311</v>
      </c>
      <c r="KM60" s="233"/>
      <c r="KN60" s="233"/>
      <c r="KO60" s="233"/>
      <c r="KP60" s="233"/>
      <c r="KQ60" s="233"/>
      <c r="KS60" s="231" t="s">
        <v>311</v>
      </c>
      <c r="KT60" s="233"/>
      <c r="KU60" s="233"/>
      <c r="KV60" s="232"/>
      <c r="KW60" s="233"/>
      <c r="KX60" s="233"/>
      <c r="KZ60" s="231" t="s">
        <v>311</v>
      </c>
      <c r="LA60" s="233"/>
      <c r="LB60" s="234"/>
      <c r="LC60" s="234"/>
      <c r="LD60" s="234"/>
      <c r="LE60" s="233"/>
      <c r="LF60" s="581"/>
      <c r="LG60" s="231" t="s">
        <v>311</v>
      </c>
      <c r="LH60" s="234"/>
      <c r="LI60" s="234"/>
      <c r="LJ60" s="234"/>
      <c r="LK60" s="234"/>
      <c r="LL60" s="233"/>
      <c r="LM60" s="581"/>
      <c r="LN60" s="231" t="s">
        <v>311</v>
      </c>
      <c r="LO60" s="234"/>
      <c r="LP60" s="234"/>
      <c r="LQ60" s="234"/>
      <c r="LR60" s="234"/>
      <c r="LS60" s="233"/>
      <c r="LT60" s="581"/>
      <c r="LU60" s="231" t="s">
        <v>311</v>
      </c>
      <c r="LV60" s="234"/>
      <c r="LW60" s="234"/>
      <c r="LX60" s="234"/>
      <c r="LY60" s="234"/>
      <c r="LZ60" s="233"/>
      <c r="MA60" s="581"/>
      <c r="MB60" s="231" t="s">
        <v>311</v>
      </c>
      <c r="MC60" s="234"/>
      <c r="MD60" s="234"/>
      <c r="ME60" s="234"/>
      <c r="MF60" s="234"/>
      <c r="MG60" s="233"/>
      <c r="MH60" s="581"/>
    </row>
    <row r="61" spans="1:346" s="37" customFormat="1" ht="13.15" outlineLevel="1" x14ac:dyDescent="0.4">
      <c r="A61" s="48"/>
      <c r="B61" s="231" t="s">
        <v>312</v>
      </c>
      <c r="C61" s="235"/>
      <c r="D61" s="235"/>
      <c r="E61" s="235"/>
      <c r="F61" s="235"/>
      <c r="G61" s="235"/>
      <c r="H61" s="235">
        <v>4</v>
      </c>
      <c r="I61" s="235">
        <v>10</v>
      </c>
      <c r="J61" s="235">
        <v>13</v>
      </c>
      <c r="K61" s="235">
        <v>19</v>
      </c>
      <c r="L61" s="235">
        <v>18</v>
      </c>
      <c r="M61" s="235">
        <v>24</v>
      </c>
      <c r="N61" s="235">
        <f>BT61</f>
        <v>24</v>
      </c>
      <c r="O61" s="235">
        <f>CA61</f>
        <v>23</v>
      </c>
      <c r="P61" s="235">
        <f>CH61</f>
        <v>25</v>
      </c>
      <c r="Q61" s="235">
        <f>CO61</f>
        <v>25</v>
      </c>
      <c r="R61" s="235">
        <f>CV61</f>
        <v>19</v>
      </c>
      <c r="S61" s="235">
        <f>DC61</f>
        <v>19</v>
      </c>
      <c r="T61" s="235">
        <f>DJ61</f>
        <v>20</v>
      </c>
      <c r="U61" s="235">
        <f>DQ61</f>
        <v>35</v>
      </c>
      <c r="V61" s="235">
        <f>DX61</f>
        <v>40</v>
      </c>
      <c r="W61" s="235">
        <f>EE61</f>
        <v>0</v>
      </c>
      <c r="X61" s="235">
        <f>EL61</f>
        <v>0</v>
      </c>
      <c r="Y61" s="235">
        <f>ES61</f>
        <v>0</v>
      </c>
      <c r="Z61" s="235">
        <f>EZ61</f>
        <v>0</v>
      </c>
      <c r="AA61" s="235">
        <f>FG61</f>
        <v>0</v>
      </c>
      <c r="AB61" s="235">
        <f>FN61</f>
        <v>0</v>
      </c>
      <c r="AC61" s="235">
        <f>FU61</f>
        <v>0</v>
      </c>
      <c r="AD61" s="235">
        <f>GB61</f>
        <v>0</v>
      </c>
      <c r="AE61" s="235">
        <f>GI61</f>
        <v>0</v>
      </c>
      <c r="AF61" s="235">
        <f>GP61</f>
        <v>0</v>
      </c>
      <c r="AG61" s="235">
        <f>GW61</f>
        <v>0</v>
      </c>
      <c r="AH61" s="235">
        <f>HD61</f>
        <v>0</v>
      </c>
      <c r="AI61" s="235">
        <f>HK61</f>
        <v>0</v>
      </c>
      <c r="AJ61" s="235">
        <f>HR61</f>
        <v>0</v>
      </c>
      <c r="AK61" s="235">
        <f>HY61</f>
        <v>0</v>
      </c>
      <c r="AL61" s="235">
        <f>IF61</f>
        <v>0</v>
      </c>
      <c r="AM61" s="235">
        <f>IM61</f>
        <v>0</v>
      </c>
      <c r="AN61" s="235">
        <f>IT61</f>
        <v>0</v>
      </c>
      <c r="AO61" s="235">
        <f>JA61</f>
        <v>0</v>
      </c>
      <c r="AP61" s="235">
        <f>JH61</f>
        <v>0</v>
      </c>
      <c r="AQ61" s="235">
        <f>JO61</f>
        <v>0</v>
      </c>
      <c r="AR61" s="235">
        <f>JV61</f>
        <v>0</v>
      </c>
      <c r="AS61" s="235">
        <f>KC61</f>
        <v>0</v>
      </c>
      <c r="AT61" s="235">
        <f>KJ61</f>
        <v>0</v>
      </c>
      <c r="AU61" s="235">
        <f>KQ61</f>
        <v>0</v>
      </c>
      <c r="AV61" s="235">
        <f>KX61</f>
        <v>0</v>
      </c>
      <c r="AW61" s="235">
        <f>LE61</f>
        <v>0</v>
      </c>
      <c r="AX61" s="235">
        <f>LL61</f>
        <v>0</v>
      </c>
      <c r="AY61" s="235">
        <f>LS61</f>
        <v>0</v>
      </c>
      <c r="AZ61" s="235">
        <f>LZ61</f>
        <v>0</v>
      </c>
      <c r="BA61" s="235">
        <f>MG61</f>
        <v>0</v>
      </c>
      <c r="BB61" s="235"/>
      <c r="BC61" s="235"/>
      <c r="BD61" s="235"/>
      <c r="BE61" s="235"/>
      <c r="BF61" s="235"/>
      <c r="BG61" s="235"/>
      <c r="BH61" s="235"/>
      <c r="BI61" s="235"/>
      <c r="BJ61" s="235"/>
      <c r="BK61" s="235"/>
      <c r="BL61" s="235"/>
      <c r="BM61" s="235"/>
      <c r="BO61" s="231" t="s">
        <v>312</v>
      </c>
      <c r="BP61" s="233">
        <v>6</v>
      </c>
      <c r="BQ61" s="233">
        <v>6</v>
      </c>
      <c r="BR61" s="233">
        <v>5</v>
      </c>
      <c r="BS61" s="233">
        <v>7</v>
      </c>
      <c r="BT61" s="233">
        <f>BP61+BQ61+BR61+BS61</f>
        <v>24</v>
      </c>
      <c r="BV61" s="231" t="s">
        <v>312</v>
      </c>
      <c r="BW61" s="233">
        <v>6</v>
      </c>
      <c r="BX61" s="233">
        <v>7</v>
      </c>
      <c r="BY61" s="233">
        <v>5</v>
      </c>
      <c r="BZ61" s="233">
        <v>5</v>
      </c>
      <c r="CA61" s="233">
        <f>BW61+BX61+BY61+BZ61</f>
        <v>23</v>
      </c>
      <c r="CC61" s="231" t="s">
        <v>312</v>
      </c>
      <c r="CD61" s="233">
        <v>6</v>
      </c>
      <c r="CE61" s="233">
        <v>5</v>
      </c>
      <c r="CF61" s="233">
        <v>7</v>
      </c>
      <c r="CG61" s="233">
        <v>7</v>
      </c>
      <c r="CH61" s="233">
        <f>CD61+CE61+CF61+CG61</f>
        <v>25</v>
      </c>
      <c r="CJ61" s="231" t="s">
        <v>312</v>
      </c>
      <c r="CK61" s="233">
        <v>7</v>
      </c>
      <c r="CL61" s="233">
        <v>6</v>
      </c>
      <c r="CM61" s="233">
        <v>7</v>
      </c>
      <c r="CN61" s="233">
        <v>5</v>
      </c>
      <c r="CO61" s="233">
        <f>CK61+CL61+CM61+CN61</f>
        <v>25</v>
      </c>
      <c r="CQ61" s="231" t="s">
        <v>312</v>
      </c>
      <c r="CR61" s="233">
        <v>5</v>
      </c>
      <c r="CS61" s="233">
        <v>4</v>
      </c>
      <c r="CT61" s="233">
        <v>5</v>
      </c>
      <c r="CU61" s="233">
        <v>5</v>
      </c>
      <c r="CV61" s="233">
        <f>CR61+CS61+CT61+CU61</f>
        <v>19</v>
      </c>
      <c r="CX61" s="231" t="s">
        <v>312</v>
      </c>
      <c r="CY61" s="233">
        <v>4</v>
      </c>
      <c r="CZ61" s="233">
        <v>5</v>
      </c>
      <c r="DA61" s="233">
        <v>5</v>
      </c>
      <c r="DB61" s="233">
        <v>5</v>
      </c>
      <c r="DC61" s="233">
        <f>CY61+CZ61+DA61+DB61</f>
        <v>19</v>
      </c>
      <c r="DE61" s="231" t="s">
        <v>312</v>
      </c>
      <c r="DF61" s="233">
        <v>5</v>
      </c>
      <c r="DG61" s="233">
        <v>5</v>
      </c>
      <c r="DH61" s="233">
        <v>5</v>
      </c>
      <c r="DI61" s="233">
        <v>5</v>
      </c>
      <c r="DJ61" s="233">
        <f>DF61+DG61+DH61+DI61</f>
        <v>20</v>
      </c>
      <c r="DL61" s="231" t="s">
        <v>312</v>
      </c>
      <c r="DM61" s="233">
        <v>8</v>
      </c>
      <c r="DN61" s="233">
        <v>8</v>
      </c>
      <c r="DO61" s="233">
        <v>9</v>
      </c>
      <c r="DP61" s="233">
        <v>10</v>
      </c>
      <c r="DQ61" s="233">
        <f>DM61+DN61+DO61+DP61</f>
        <v>35</v>
      </c>
      <c r="DS61" s="231" t="s">
        <v>312</v>
      </c>
      <c r="DT61" s="233">
        <v>10</v>
      </c>
      <c r="DU61" s="233">
        <v>10</v>
      </c>
      <c r="DV61" s="233">
        <v>10</v>
      </c>
      <c r="DW61" s="233">
        <v>10</v>
      </c>
      <c r="DX61" s="233">
        <f>DT61+DU61+DV61+DW61</f>
        <v>40</v>
      </c>
      <c r="DZ61" s="231" t="s">
        <v>312</v>
      </c>
      <c r="EA61" s="233"/>
      <c r="EB61" s="233"/>
      <c r="EC61" s="233"/>
      <c r="ED61" s="233"/>
      <c r="EE61" s="233"/>
      <c r="EG61" s="231" t="s">
        <v>312</v>
      </c>
      <c r="EH61" s="233"/>
      <c r="EI61" s="233"/>
      <c r="EJ61" s="233"/>
      <c r="EK61" s="233"/>
      <c r="EL61" s="233"/>
      <c r="EN61" s="231" t="s">
        <v>312</v>
      </c>
      <c r="EO61" s="233"/>
      <c r="EP61" s="233"/>
      <c r="EQ61" s="233"/>
      <c r="ER61" s="233"/>
      <c r="ES61" s="233"/>
      <c r="EU61" s="231" t="s">
        <v>312</v>
      </c>
      <c r="EV61" s="233"/>
      <c r="EW61" s="233"/>
      <c r="EX61" s="233"/>
      <c r="EY61" s="233"/>
      <c r="EZ61" s="233"/>
      <c r="FB61" s="231" t="s">
        <v>312</v>
      </c>
      <c r="FC61" s="233"/>
      <c r="FD61" s="233"/>
      <c r="FE61" s="233"/>
      <c r="FF61" s="233"/>
      <c r="FG61" s="233"/>
      <c r="FI61" s="231" t="s">
        <v>312</v>
      </c>
      <c r="FJ61" s="233"/>
      <c r="FK61" s="233"/>
      <c r="FL61" s="233"/>
      <c r="FM61" s="233"/>
      <c r="FN61" s="233"/>
      <c r="FP61" s="231" t="s">
        <v>312</v>
      </c>
      <c r="FQ61" s="233"/>
      <c r="FR61" s="233"/>
      <c r="FS61" s="233"/>
      <c r="FT61" s="233"/>
      <c r="FU61" s="233"/>
      <c r="FW61" s="231" t="s">
        <v>312</v>
      </c>
      <c r="FX61" s="233"/>
      <c r="FY61" s="233"/>
      <c r="FZ61" s="233"/>
      <c r="GA61" s="233"/>
      <c r="GB61" s="233"/>
      <c r="GD61" s="231" t="s">
        <v>312</v>
      </c>
      <c r="GE61" s="233"/>
      <c r="GF61" s="233"/>
      <c r="GG61" s="233"/>
      <c r="GH61" s="233"/>
      <c r="GI61" s="233"/>
      <c r="GK61" s="231" t="s">
        <v>312</v>
      </c>
      <c r="GL61" s="233"/>
      <c r="GM61" s="233"/>
      <c r="GN61" s="233"/>
      <c r="GO61" s="233"/>
      <c r="GP61" s="233"/>
      <c r="GR61" s="231" t="s">
        <v>312</v>
      </c>
      <c r="GS61" s="233"/>
      <c r="GT61" s="233"/>
      <c r="GU61" s="233"/>
      <c r="GV61" s="233"/>
      <c r="GW61" s="233"/>
      <c r="GY61" s="231" t="s">
        <v>312</v>
      </c>
      <c r="GZ61" s="233"/>
      <c r="HA61" s="233"/>
      <c r="HB61" s="233"/>
      <c r="HC61" s="233"/>
      <c r="HD61" s="233"/>
      <c r="HF61" s="231" t="s">
        <v>312</v>
      </c>
      <c r="HG61" s="233"/>
      <c r="HH61" s="233"/>
      <c r="HI61" s="233"/>
      <c r="HJ61" s="233"/>
      <c r="HK61" s="233"/>
      <c r="HM61" s="231" t="s">
        <v>312</v>
      </c>
      <c r="HN61" s="233"/>
      <c r="HO61" s="233"/>
      <c r="HP61" s="233"/>
      <c r="HQ61" s="233"/>
      <c r="HR61" s="233"/>
      <c r="HT61" s="231" t="s">
        <v>312</v>
      </c>
      <c r="HU61" s="233"/>
      <c r="HV61" s="233"/>
      <c r="HW61" s="233"/>
      <c r="HX61" s="233"/>
      <c r="HY61" s="233"/>
      <c r="IA61" s="231" t="s">
        <v>312</v>
      </c>
      <c r="IB61" s="233"/>
      <c r="IC61" s="233"/>
      <c r="ID61" s="233"/>
      <c r="IE61" s="233"/>
      <c r="IF61" s="233"/>
      <c r="IH61" s="231" t="s">
        <v>312</v>
      </c>
      <c r="II61" s="233"/>
      <c r="IJ61" s="233"/>
      <c r="IK61" s="233"/>
      <c r="IL61" s="233"/>
      <c r="IM61" s="233"/>
      <c r="IO61" s="231" t="s">
        <v>312</v>
      </c>
      <c r="IP61" s="233"/>
      <c r="IQ61" s="233"/>
      <c r="IR61" s="233"/>
      <c r="IS61" s="233"/>
      <c r="IT61" s="233"/>
      <c r="IV61" s="231" t="s">
        <v>312</v>
      </c>
      <c r="IW61" s="233"/>
      <c r="IX61" s="233"/>
      <c r="IY61" s="233"/>
      <c r="IZ61" s="233"/>
      <c r="JA61" s="233"/>
      <c r="JC61" s="231" t="s">
        <v>312</v>
      </c>
      <c r="JD61" s="233"/>
      <c r="JE61" s="233"/>
      <c r="JF61" s="233"/>
      <c r="JG61" s="233"/>
      <c r="JH61" s="233"/>
      <c r="JJ61" s="231" t="s">
        <v>312</v>
      </c>
      <c r="JK61" s="233"/>
      <c r="JL61" s="233"/>
      <c r="JM61" s="233"/>
      <c r="JN61" s="233"/>
      <c r="JO61" s="233"/>
      <c r="JQ61" s="231" t="s">
        <v>312</v>
      </c>
      <c r="JR61" s="233"/>
      <c r="JS61" s="233"/>
      <c r="JT61" s="233"/>
      <c r="JU61" s="233"/>
      <c r="JV61" s="233"/>
      <c r="JX61" s="231" t="s">
        <v>312</v>
      </c>
      <c r="JY61" s="233"/>
      <c r="JZ61" s="233"/>
      <c r="KA61" s="233"/>
      <c r="KB61" s="233"/>
      <c r="KC61" s="233"/>
      <c r="KE61" s="231" t="s">
        <v>312</v>
      </c>
      <c r="KF61" s="233"/>
      <c r="KG61" s="233"/>
      <c r="KH61" s="233"/>
      <c r="KI61" s="233"/>
      <c r="KJ61" s="233"/>
      <c r="KL61" s="231" t="s">
        <v>312</v>
      </c>
      <c r="KM61" s="233"/>
      <c r="KN61" s="233"/>
      <c r="KO61" s="233"/>
      <c r="KP61" s="233"/>
      <c r="KQ61" s="233"/>
      <c r="KS61" s="231" t="s">
        <v>312</v>
      </c>
      <c r="KT61" s="233"/>
      <c r="KU61" s="233"/>
      <c r="KV61" s="232"/>
      <c r="KW61" s="233"/>
      <c r="KX61" s="233"/>
      <c r="KZ61" s="231" t="s">
        <v>312</v>
      </c>
      <c r="LA61" s="233"/>
      <c r="LB61" s="234"/>
      <c r="LC61" s="234"/>
      <c r="LD61" s="234"/>
      <c r="LE61" s="233"/>
      <c r="LF61" s="581"/>
      <c r="LG61" s="231" t="s">
        <v>312</v>
      </c>
      <c r="LH61" s="234"/>
      <c r="LI61" s="234"/>
      <c r="LJ61" s="234"/>
      <c r="LK61" s="234"/>
      <c r="LL61" s="233"/>
      <c r="LM61" s="581"/>
      <c r="LN61" s="231" t="s">
        <v>312</v>
      </c>
      <c r="LO61" s="234"/>
      <c r="LP61" s="234"/>
      <c r="LQ61" s="234"/>
      <c r="LR61" s="234"/>
      <c r="LS61" s="233"/>
      <c r="LT61" s="581"/>
      <c r="LU61" s="231" t="s">
        <v>312</v>
      </c>
      <c r="LV61" s="234"/>
      <c r="LW61" s="234"/>
      <c r="LX61" s="234"/>
      <c r="LY61" s="234"/>
      <c r="LZ61" s="233"/>
      <c r="MA61" s="581"/>
      <c r="MB61" s="231" t="s">
        <v>312</v>
      </c>
      <c r="MC61" s="234"/>
      <c r="MD61" s="234"/>
      <c r="ME61" s="234"/>
      <c r="MF61" s="234"/>
      <c r="MG61" s="233"/>
      <c r="MH61" s="581"/>
    </row>
    <row r="62" spans="1:346" s="37" customFormat="1" ht="13.15" outlineLevel="1" x14ac:dyDescent="0.4">
      <c r="A62" s="48"/>
      <c r="B62" s="231" t="s">
        <v>188</v>
      </c>
      <c r="C62" s="235"/>
      <c r="D62" s="235"/>
      <c r="E62" s="235"/>
      <c r="F62" s="235"/>
      <c r="G62" s="235"/>
      <c r="H62" s="235">
        <v>6</v>
      </c>
      <c r="I62" s="235">
        <v>15</v>
      </c>
      <c r="J62" s="235">
        <v>19</v>
      </c>
      <c r="K62" s="235">
        <v>16</v>
      </c>
      <c r="L62" s="235">
        <v>16</v>
      </c>
      <c r="M62" s="235">
        <v>13</v>
      </c>
      <c r="N62" s="235">
        <f>BT62</f>
        <v>14</v>
      </c>
      <c r="O62" s="235">
        <f>CA62</f>
        <v>15</v>
      </c>
      <c r="P62" s="235">
        <f>CH62</f>
        <v>16</v>
      </c>
      <c r="Q62" s="235">
        <f>CO62</f>
        <v>23</v>
      </c>
      <c r="R62" s="235">
        <f>CV62</f>
        <v>29</v>
      </c>
      <c r="S62" s="235">
        <f>DC62</f>
        <v>32</v>
      </c>
      <c r="T62" s="235">
        <f>DJ62</f>
        <v>32</v>
      </c>
      <c r="U62" s="235">
        <f>DQ62</f>
        <v>36</v>
      </c>
      <c r="V62" s="235">
        <f>DX62</f>
        <v>39</v>
      </c>
      <c r="W62" s="235">
        <f>EE62</f>
        <v>0</v>
      </c>
      <c r="X62" s="235">
        <f>EL62</f>
        <v>0</v>
      </c>
      <c r="Y62" s="235">
        <f>ES62</f>
        <v>0</v>
      </c>
      <c r="Z62" s="235">
        <f>EZ62</f>
        <v>0</v>
      </c>
      <c r="AA62" s="235">
        <f>FG62</f>
        <v>0</v>
      </c>
      <c r="AB62" s="235">
        <f>FN62</f>
        <v>0</v>
      </c>
      <c r="AC62" s="235">
        <f>FU62</f>
        <v>0</v>
      </c>
      <c r="AD62" s="235">
        <f>GB62</f>
        <v>0</v>
      </c>
      <c r="AE62" s="235">
        <f>GI62</f>
        <v>0</v>
      </c>
      <c r="AF62" s="235">
        <f>GP62</f>
        <v>0</v>
      </c>
      <c r="AG62" s="235">
        <f>GW62</f>
        <v>0</v>
      </c>
      <c r="AH62" s="235">
        <f>HD62</f>
        <v>0</v>
      </c>
      <c r="AI62" s="235">
        <f>HK62</f>
        <v>0</v>
      </c>
      <c r="AJ62" s="235">
        <f>HR62</f>
        <v>0</v>
      </c>
      <c r="AK62" s="235">
        <f>HY62</f>
        <v>0</v>
      </c>
      <c r="AL62" s="235">
        <f>IF62</f>
        <v>0</v>
      </c>
      <c r="AM62" s="235">
        <f>IM62</f>
        <v>0</v>
      </c>
      <c r="AN62" s="235">
        <f>IT62</f>
        <v>0</v>
      </c>
      <c r="AO62" s="235">
        <f>JA62</f>
        <v>0</v>
      </c>
      <c r="AP62" s="235">
        <f>JH62</f>
        <v>0</v>
      </c>
      <c r="AQ62" s="235">
        <f>JO62</f>
        <v>0</v>
      </c>
      <c r="AR62" s="235">
        <f>JV62</f>
        <v>0</v>
      </c>
      <c r="AS62" s="235">
        <f>KC62</f>
        <v>0</v>
      </c>
      <c r="AT62" s="235">
        <f>KJ62</f>
        <v>0</v>
      </c>
      <c r="AU62" s="235">
        <f>KQ62</f>
        <v>0</v>
      </c>
      <c r="AV62" s="235">
        <f>KX62</f>
        <v>0</v>
      </c>
      <c r="AW62" s="235">
        <f>LE62</f>
        <v>0</v>
      </c>
      <c r="AX62" s="235">
        <f>LL62</f>
        <v>0</v>
      </c>
      <c r="AY62" s="235">
        <f>LS62</f>
        <v>0</v>
      </c>
      <c r="AZ62" s="235">
        <f>LZ62</f>
        <v>0</v>
      </c>
      <c r="BA62" s="235">
        <f>MG62</f>
        <v>0</v>
      </c>
      <c r="BB62" s="235"/>
      <c r="BC62" s="235"/>
      <c r="BD62" s="235"/>
      <c r="BE62" s="235"/>
      <c r="BF62" s="235"/>
      <c r="BG62" s="235"/>
      <c r="BH62" s="235"/>
      <c r="BI62" s="235"/>
      <c r="BJ62" s="235"/>
      <c r="BK62" s="235"/>
      <c r="BL62" s="235"/>
      <c r="BM62" s="235"/>
      <c r="BO62" s="231" t="s">
        <v>188</v>
      </c>
      <c r="BP62" s="233">
        <v>4</v>
      </c>
      <c r="BQ62" s="233">
        <v>4</v>
      </c>
      <c r="BR62" s="233">
        <v>3</v>
      </c>
      <c r="BS62" s="233">
        <v>3</v>
      </c>
      <c r="BT62" s="233">
        <f>BP62+BQ62+BR62+BS62</f>
        <v>14</v>
      </c>
      <c r="BV62" s="231" t="s">
        <v>188</v>
      </c>
      <c r="BW62" s="233">
        <v>4</v>
      </c>
      <c r="BX62" s="233">
        <v>3</v>
      </c>
      <c r="BY62" s="233">
        <v>4</v>
      </c>
      <c r="BZ62" s="233">
        <v>4</v>
      </c>
      <c r="CA62" s="233">
        <f>BW62+BX62+BY62+BZ62</f>
        <v>15</v>
      </c>
      <c r="CC62" s="231" t="s">
        <v>188</v>
      </c>
      <c r="CD62" s="233">
        <v>4</v>
      </c>
      <c r="CE62" s="233">
        <v>4</v>
      </c>
      <c r="CF62" s="233">
        <v>4</v>
      </c>
      <c r="CG62" s="233">
        <v>4</v>
      </c>
      <c r="CH62" s="233">
        <f>CD62+CE62+CF62+CG62</f>
        <v>16</v>
      </c>
      <c r="CJ62" s="231" t="s">
        <v>188</v>
      </c>
      <c r="CK62" s="233">
        <v>4</v>
      </c>
      <c r="CL62" s="233">
        <v>5</v>
      </c>
      <c r="CM62" s="233">
        <v>7</v>
      </c>
      <c r="CN62" s="233">
        <v>7</v>
      </c>
      <c r="CO62" s="233">
        <f>CK62+CL62+CM62+CN62</f>
        <v>23</v>
      </c>
      <c r="CQ62" s="231" t="s">
        <v>188</v>
      </c>
      <c r="CR62" s="233">
        <v>7</v>
      </c>
      <c r="CS62" s="233">
        <v>8</v>
      </c>
      <c r="CT62" s="233">
        <v>7</v>
      </c>
      <c r="CU62" s="233">
        <v>7</v>
      </c>
      <c r="CV62" s="233">
        <f>CR62+CS62+CT62+CU62</f>
        <v>29</v>
      </c>
      <c r="CX62" s="231" t="s">
        <v>188</v>
      </c>
      <c r="CY62" s="233">
        <v>8</v>
      </c>
      <c r="CZ62" s="233">
        <v>8</v>
      </c>
      <c r="DA62" s="233">
        <v>8</v>
      </c>
      <c r="DB62" s="233">
        <v>8</v>
      </c>
      <c r="DC62" s="233">
        <f>CY62+CZ62+DA62+DB62</f>
        <v>32</v>
      </c>
      <c r="DE62" s="231" t="s">
        <v>188</v>
      </c>
      <c r="DF62" s="233">
        <v>8</v>
      </c>
      <c r="DG62" s="233">
        <v>8</v>
      </c>
      <c r="DH62" s="233">
        <v>8</v>
      </c>
      <c r="DI62" s="233">
        <v>8</v>
      </c>
      <c r="DJ62" s="233">
        <f>DF62+DG62+DH62+DI62</f>
        <v>32</v>
      </c>
      <c r="DL62" s="231" t="s">
        <v>188</v>
      </c>
      <c r="DM62" s="233">
        <v>8</v>
      </c>
      <c r="DN62" s="233">
        <v>10</v>
      </c>
      <c r="DO62" s="233">
        <v>9</v>
      </c>
      <c r="DP62" s="233">
        <v>9</v>
      </c>
      <c r="DQ62" s="233">
        <f>DM62+DN62+DO62+DP62</f>
        <v>36</v>
      </c>
      <c r="DS62" s="231" t="s">
        <v>188</v>
      </c>
      <c r="DT62" s="233">
        <v>9</v>
      </c>
      <c r="DU62" s="233">
        <v>10</v>
      </c>
      <c r="DV62" s="233">
        <v>10</v>
      </c>
      <c r="DW62" s="233">
        <v>10</v>
      </c>
      <c r="DX62" s="233">
        <f>DT62+DU62+DV62+DW62</f>
        <v>39</v>
      </c>
      <c r="DZ62" s="231" t="s">
        <v>188</v>
      </c>
      <c r="EA62" s="233"/>
      <c r="EB62" s="233"/>
      <c r="EC62" s="233"/>
      <c r="ED62" s="233"/>
      <c r="EE62" s="233"/>
      <c r="EG62" s="231" t="s">
        <v>188</v>
      </c>
      <c r="EH62" s="233"/>
      <c r="EI62" s="233"/>
      <c r="EJ62" s="233"/>
      <c r="EK62" s="233"/>
      <c r="EL62" s="233"/>
      <c r="EN62" s="231" t="s">
        <v>188</v>
      </c>
      <c r="EO62" s="233"/>
      <c r="EP62" s="233"/>
      <c r="EQ62" s="233"/>
      <c r="ER62" s="233"/>
      <c r="ES62" s="233"/>
      <c r="EU62" s="231" t="s">
        <v>188</v>
      </c>
      <c r="EV62" s="233"/>
      <c r="EW62" s="233"/>
      <c r="EX62" s="233"/>
      <c r="EY62" s="233"/>
      <c r="EZ62" s="233"/>
      <c r="FB62" s="231" t="s">
        <v>188</v>
      </c>
      <c r="FC62" s="233"/>
      <c r="FD62" s="233"/>
      <c r="FE62" s="233"/>
      <c r="FF62" s="233"/>
      <c r="FG62" s="233"/>
      <c r="FI62" s="231" t="s">
        <v>188</v>
      </c>
      <c r="FJ62" s="233"/>
      <c r="FK62" s="233"/>
      <c r="FL62" s="233"/>
      <c r="FM62" s="233"/>
      <c r="FN62" s="233"/>
      <c r="FP62" s="231" t="s">
        <v>188</v>
      </c>
      <c r="FQ62" s="233"/>
      <c r="FR62" s="233"/>
      <c r="FS62" s="233"/>
      <c r="FT62" s="233"/>
      <c r="FU62" s="233"/>
      <c r="FW62" s="231" t="s">
        <v>188</v>
      </c>
      <c r="FX62" s="233"/>
      <c r="FY62" s="233"/>
      <c r="FZ62" s="233"/>
      <c r="GA62" s="233"/>
      <c r="GB62" s="233"/>
      <c r="GD62" s="231" t="s">
        <v>188</v>
      </c>
      <c r="GE62" s="233"/>
      <c r="GF62" s="233"/>
      <c r="GG62" s="233"/>
      <c r="GH62" s="233"/>
      <c r="GI62" s="233"/>
      <c r="GK62" s="231" t="s">
        <v>188</v>
      </c>
      <c r="GL62" s="233"/>
      <c r="GM62" s="233"/>
      <c r="GN62" s="233"/>
      <c r="GO62" s="233"/>
      <c r="GP62" s="233"/>
      <c r="GR62" s="231" t="s">
        <v>188</v>
      </c>
      <c r="GS62" s="233"/>
      <c r="GT62" s="233"/>
      <c r="GU62" s="233"/>
      <c r="GV62" s="233"/>
      <c r="GW62" s="233"/>
      <c r="GY62" s="231" t="s">
        <v>188</v>
      </c>
      <c r="GZ62" s="233"/>
      <c r="HA62" s="233"/>
      <c r="HB62" s="233"/>
      <c r="HC62" s="233"/>
      <c r="HD62" s="233"/>
      <c r="HF62" s="231" t="s">
        <v>188</v>
      </c>
      <c r="HG62" s="233"/>
      <c r="HH62" s="233"/>
      <c r="HI62" s="233"/>
      <c r="HJ62" s="233"/>
      <c r="HK62" s="233"/>
      <c r="HM62" s="231" t="s">
        <v>188</v>
      </c>
      <c r="HN62" s="233"/>
      <c r="HO62" s="233"/>
      <c r="HP62" s="233"/>
      <c r="HQ62" s="233"/>
      <c r="HR62" s="233"/>
      <c r="HT62" s="231" t="s">
        <v>188</v>
      </c>
      <c r="HU62" s="233"/>
      <c r="HV62" s="233"/>
      <c r="HW62" s="233"/>
      <c r="HX62" s="233"/>
      <c r="HY62" s="233"/>
      <c r="IA62" s="231" t="s">
        <v>188</v>
      </c>
      <c r="IB62" s="233"/>
      <c r="IC62" s="233"/>
      <c r="ID62" s="233"/>
      <c r="IE62" s="233"/>
      <c r="IF62" s="233"/>
      <c r="IH62" s="231" t="s">
        <v>188</v>
      </c>
      <c r="II62" s="233"/>
      <c r="IJ62" s="233"/>
      <c r="IK62" s="233"/>
      <c r="IL62" s="233"/>
      <c r="IM62" s="233"/>
      <c r="IO62" s="231" t="s">
        <v>188</v>
      </c>
      <c r="IP62" s="233"/>
      <c r="IQ62" s="233"/>
      <c r="IR62" s="233"/>
      <c r="IS62" s="233"/>
      <c r="IT62" s="233"/>
      <c r="IV62" s="231" t="s">
        <v>188</v>
      </c>
      <c r="IW62" s="233"/>
      <c r="IX62" s="233"/>
      <c r="IY62" s="233"/>
      <c r="IZ62" s="233"/>
      <c r="JA62" s="233"/>
      <c r="JC62" s="231" t="s">
        <v>188</v>
      </c>
      <c r="JD62" s="233"/>
      <c r="JE62" s="233"/>
      <c r="JF62" s="233"/>
      <c r="JG62" s="233"/>
      <c r="JH62" s="233"/>
      <c r="JJ62" s="231" t="s">
        <v>188</v>
      </c>
      <c r="JK62" s="233"/>
      <c r="JL62" s="233"/>
      <c r="JM62" s="233"/>
      <c r="JN62" s="233"/>
      <c r="JO62" s="233"/>
      <c r="JQ62" s="231" t="s">
        <v>188</v>
      </c>
      <c r="JR62" s="233"/>
      <c r="JS62" s="233"/>
      <c r="JT62" s="233"/>
      <c r="JU62" s="233"/>
      <c r="JV62" s="233"/>
      <c r="JX62" s="231" t="s">
        <v>188</v>
      </c>
      <c r="JY62" s="233"/>
      <c r="JZ62" s="233"/>
      <c r="KA62" s="233"/>
      <c r="KB62" s="233"/>
      <c r="KC62" s="233"/>
      <c r="KE62" s="231" t="s">
        <v>188</v>
      </c>
      <c r="KF62" s="233"/>
      <c r="KG62" s="233"/>
      <c r="KH62" s="233"/>
      <c r="KI62" s="233"/>
      <c r="KJ62" s="233"/>
      <c r="KL62" s="231" t="s">
        <v>188</v>
      </c>
      <c r="KM62" s="233"/>
      <c r="KN62" s="233"/>
      <c r="KO62" s="233"/>
      <c r="KP62" s="233"/>
      <c r="KQ62" s="233"/>
      <c r="KS62" s="231" t="s">
        <v>188</v>
      </c>
      <c r="KT62" s="233"/>
      <c r="KU62" s="233"/>
      <c r="KV62" s="232"/>
      <c r="KW62" s="233"/>
      <c r="KX62" s="233"/>
      <c r="KZ62" s="231" t="s">
        <v>188</v>
      </c>
      <c r="LA62" s="233"/>
      <c r="LB62" s="234"/>
      <c r="LC62" s="234"/>
      <c r="LD62" s="234"/>
      <c r="LE62" s="233"/>
      <c r="LF62" s="581"/>
      <c r="LG62" s="231" t="s">
        <v>188</v>
      </c>
      <c r="LH62" s="234"/>
      <c r="LI62" s="234"/>
      <c r="LJ62" s="234"/>
      <c r="LK62" s="234"/>
      <c r="LL62" s="233"/>
      <c r="LM62" s="581"/>
      <c r="LN62" s="231" t="s">
        <v>188</v>
      </c>
      <c r="LO62" s="234"/>
      <c r="LP62" s="234"/>
      <c r="LQ62" s="234"/>
      <c r="LR62" s="234"/>
      <c r="LS62" s="233"/>
      <c r="LT62" s="581"/>
      <c r="LU62" s="231" t="s">
        <v>188</v>
      </c>
      <c r="LV62" s="234"/>
      <c r="LW62" s="234"/>
      <c r="LX62" s="234"/>
      <c r="LY62" s="234"/>
      <c r="LZ62" s="233"/>
      <c r="MA62" s="581"/>
      <c r="MB62" s="231" t="s">
        <v>188</v>
      </c>
      <c r="MC62" s="234"/>
      <c r="MD62" s="234"/>
      <c r="ME62" s="234"/>
      <c r="MF62" s="234"/>
      <c r="MG62" s="233"/>
      <c r="MH62" s="581"/>
    </row>
    <row r="63" spans="1:346" s="37" customFormat="1" ht="13.15" outlineLevel="1" x14ac:dyDescent="0.4">
      <c r="A63" s="48"/>
      <c r="B63" s="231" t="s">
        <v>23</v>
      </c>
      <c r="C63" s="235"/>
      <c r="D63" s="235"/>
      <c r="E63" s="235"/>
      <c r="F63" s="235"/>
      <c r="G63" s="235"/>
      <c r="H63" s="235">
        <v>14</v>
      </c>
      <c r="I63" s="235">
        <v>36</v>
      </c>
      <c r="J63" s="235">
        <v>37</v>
      </c>
      <c r="K63" s="235">
        <v>26</v>
      </c>
      <c r="L63" s="235">
        <v>29</v>
      </c>
      <c r="M63" s="235">
        <v>33</v>
      </c>
      <c r="N63" s="235">
        <f>BT63</f>
        <v>36</v>
      </c>
      <c r="O63" s="235">
        <f>CA63</f>
        <v>44</v>
      </c>
      <c r="P63" s="235">
        <f>CH63</f>
        <v>44</v>
      </c>
      <c r="Q63" s="235">
        <f>CO63</f>
        <v>47</v>
      </c>
      <c r="R63" s="235">
        <f>CV63</f>
        <v>42</v>
      </c>
      <c r="S63" s="235">
        <f>DC63</f>
        <v>40</v>
      </c>
      <c r="T63" s="235">
        <f>DJ63</f>
        <v>42</v>
      </c>
      <c r="U63" s="235">
        <f>DQ63</f>
        <v>59</v>
      </c>
      <c r="V63" s="235">
        <f>DX63</f>
        <v>57</v>
      </c>
      <c r="W63" s="235">
        <f>EE63</f>
        <v>0</v>
      </c>
      <c r="X63" s="235">
        <f>EL63</f>
        <v>0</v>
      </c>
      <c r="Y63" s="235">
        <f>ES63</f>
        <v>0</v>
      </c>
      <c r="Z63" s="235">
        <f>EZ63</f>
        <v>0</v>
      </c>
      <c r="AA63" s="235">
        <f>FG63</f>
        <v>0</v>
      </c>
      <c r="AB63" s="235">
        <f>FN63</f>
        <v>0</v>
      </c>
      <c r="AC63" s="235">
        <f>FU63</f>
        <v>0</v>
      </c>
      <c r="AD63" s="235">
        <f>GB63</f>
        <v>0</v>
      </c>
      <c r="AE63" s="235">
        <f>GI63</f>
        <v>0</v>
      </c>
      <c r="AF63" s="235">
        <f>GP63</f>
        <v>0</v>
      </c>
      <c r="AG63" s="235">
        <f>GW63</f>
        <v>0</v>
      </c>
      <c r="AH63" s="235">
        <f>HD63</f>
        <v>0</v>
      </c>
      <c r="AI63" s="235">
        <f>HK63</f>
        <v>0</v>
      </c>
      <c r="AJ63" s="235">
        <f>HR63</f>
        <v>0</v>
      </c>
      <c r="AK63" s="235">
        <f>HY63</f>
        <v>0</v>
      </c>
      <c r="AL63" s="235">
        <f>IF63</f>
        <v>0</v>
      </c>
      <c r="AM63" s="235">
        <f>IM63</f>
        <v>0</v>
      </c>
      <c r="AN63" s="235">
        <f>IT63</f>
        <v>0</v>
      </c>
      <c r="AO63" s="235">
        <f>JA63</f>
        <v>0</v>
      </c>
      <c r="AP63" s="235">
        <f>JH63</f>
        <v>0</v>
      </c>
      <c r="AQ63" s="235">
        <f>JO63</f>
        <v>0</v>
      </c>
      <c r="AR63" s="235">
        <f>JV63</f>
        <v>0</v>
      </c>
      <c r="AS63" s="235">
        <f>KC63</f>
        <v>0</v>
      </c>
      <c r="AT63" s="235">
        <f>KJ63</f>
        <v>0</v>
      </c>
      <c r="AU63" s="235">
        <f>KQ63</f>
        <v>0</v>
      </c>
      <c r="AV63" s="235">
        <f>KX63</f>
        <v>0</v>
      </c>
      <c r="AW63" s="235">
        <f>LE63</f>
        <v>0</v>
      </c>
      <c r="AX63" s="235">
        <f>LL63</f>
        <v>0</v>
      </c>
      <c r="AY63" s="235">
        <f>LS63</f>
        <v>0</v>
      </c>
      <c r="AZ63" s="235">
        <f>LZ63</f>
        <v>0</v>
      </c>
      <c r="BA63" s="235">
        <f>MG63</f>
        <v>0</v>
      </c>
      <c r="BB63" s="235"/>
      <c r="BC63" s="235"/>
      <c r="BD63" s="235"/>
      <c r="BE63" s="235"/>
      <c r="BF63" s="235"/>
      <c r="BG63" s="235"/>
      <c r="BH63" s="235"/>
      <c r="BI63" s="235"/>
      <c r="BJ63" s="235"/>
      <c r="BK63" s="235"/>
      <c r="BL63" s="235"/>
      <c r="BM63" s="235"/>
      <c r="BO63" s="231" t="s">
        <v>23</v>
      </c>
      <c r="BP63" s="233">
        <v>8</v>
      </c>
      <c r="BQ63" s="233">
        <v>11</v>
      </c>
      <c r="BR63" s="233">
        <v>8</v>
      </c>
      <c r="BS63" s="233">
        <v>9</v>
      </c>
      <c r="BT63" s="233">
        <f>BP63+BQ63+BR63+BS63</f>
        <v>36</v>
      </c>
      <c r="BV63" s="231" t="s">
        <v>23</v>
      </c>
      <c r="BW63" s="233">
        <v>11</v>
      </c>
      <c r="BX63" s="233">
        <v>11</v>
      </c>
      <c r="BY63" s="233">
        <v>10</v>
      </c>
      <c r="BZ63" s="233">
        <v>12</v>
      </c>
      <c r="CA63" s="233">
        <f>BW63+BX63+BY63+BZ63</f>
        <v>44</v>
      </c>
      <c r="CC63" s="231" t="s">
        <v>23</v>
      </c>
      <c r="CD63" s="233">
        <v>13</v>
      </c>
      <c r="CE63" s="233">
        <v>9</v>
      </c>
      <c r="CF63" s="233">
        <v>10</v>
      </c>
      <c r="CG63" s="233">
        <v>12</v>
      </c>
      <c r="CH63" s="233">
        <f>CD63+CE63+CF63+CG63</f>
        <v>44</v>
      </c>
      <c r="CJ63" s="231" t="s">
        <v>23</v>
      </c>
      <c r="CK63" s="233">
        <v>9</v>
      </c>
      <c r="CL63" s="233">
        <v>12</v>
      </c>
      <c r="CM63" s="233">
        <v>13</v>
      </c>
      <c r="CN63" s="233">
        <v>13</v>
      </c>
      <c r="CO63" s="233">
        <f>CK63+CL63+CM63+CN63</f>
        <v>47</v>
      </c>
      <c r="CQ63" s="231" t="s">
        <v>23</v>
      </c>
      <c r="CR63" s="233">
        <v>11</v>
      </c>
      <c r="CS63" s="233">
        <v>12</v>
      </c>
      <c r="CT63" s="233">
        <v>8</v>
      </c>
      <c r="CU63" s="233">
        <v>11</v>
      </c>
      <c r="CV63" s="233">
        <f>CR63+CS63+CT63+CU63</f>
        <v>42</v>
      </c>
      <c r="CX63" s="231" t="s">
        <v>23</v>
      </c>
      <c r="CY63" s="233">
        <v>10</v>
      </c>
      <c r="CZ63" s="233">
        <v>10</v>
      </c>
      <c r="DA63" s="233">
        <v>10</v>
      </c>
      <c r="DB63" s="233">
        <v>10</v>
      </c>
      <c r="DC63" s="233">
        <f>CY63+CZ63+DA63+DB63</f>
        <v>40</v>
      </c>
      <c r="DE63" s="231" t="s">
        <v>23</v>
      </c>
      <c r="DF63" s="233">
        <v>10</v>
      </c>
      <c r="DG63" s="233">
        <v>10</v>
      </c>
      <c r="DH63" s="233">
        <v>11</v>
      </c>
      <c r="DI63" s="233">
        <v>11</v>
      </c>
      <c r="DJ63" s="233">
        <f>DF63+DG63+DH63+DI63</f>
        <v>42</v>
      </c>
      <c r="DL63" s="231" t="s">
        <v>23</v>
      </c>
      <c r="DM63" s="233">
        <v>13</v>
      </c>
      <c r="DN63" s="233">
        <v>15</v>
      </c>
      <c r="DO63" s="233">
        <v>14</v>
      </c>
      <c r="DP63" s="233">
        <v>17</v>
      </c>
      <c r="DQ63" s="233">
        <f>DM63+DN63+DO63+DP63</f>
        <v>59</v>
      </c>
      <c r="DS63" s="231" t="s">
        <v>23</v>
      </c>
      <c r="DT63" s="233">
        <v>16</v>
      </c>
      <c r="DU63" s="233">
        <v>14</v>
      </c>
      <c r="DV63" s="233">
        <v>13</v>
      </c>
      <c r="DW63" s="233">
        <v>14</v>
      </c>
      <c r="DX63" s="233">
        <f>DT63+DU63+DV63+DW63</f>
        <v>57</v>
      </c>
      <c r="DZ63" s="231" t="s">
        <v>23</v>
      </c>
      <c r="EA63" s="233"/>
      <c r="EB63" s="233"/>
      <c r="EC63" s="233"/>
      <c r="ED63" s="233"/>
      <c r="EE63" s="233"/>
      <c r="EG63" s="231" t="s">
        <v>23</v>
      </c>
      <c r="EH63" s="233"/>
      <c r="EI63" s="233"/>
      <c r="EJ63" s="233"/>
      <c r="EK63" s="233"/>
      <c r="EL63" s="233"/>
      <c r="EN63" s="231" t="s">
        <v>23</v>
      </c>
      <c r="EO63" s="233"/>
      <c r="EP63" s="233"/>
      <c r="EQ63" s="233"/>
      <c r="ER63" s="233"/>
      <c r="ES63" s="233"/>
      <c r="EU63" s="231" t="s">
        <v>23</v>
      </c>
      <c r="EV63" s="233"/>
      <c r="EW63" s="233"/>
      <c r="EX63" s="233"/>
      <c r="EY63" s="233"/>
      <c r="EZ63" s="233"/>
      <c r="FB63" s="231" t="s">
        <v>23</v>
      </c>
      <c r="FC63" s="233"/>
      <c r="FD63" s="233"/>
      <c r="FE63" s="233"/>
      <c r="FF63" s="233"/>
      <c r="FG63" s="233"/>
      <c r="FI63" s="231" t="s">
        <v>23</v>
      </c>
      <c r="FJ63" s="233"/>
      <c r="FK63" s="233"/>
      <c r="FL63" s="233"/>
      <c r="FM63" s="233"/>
      <c r="FN63" s="233"/>
      <c r="FP63" s="231" t="s">
        <v>23</v>
      </c>
      <c r="FQ63" s="233"/>
      <c r="FR63" s="233"/>
      <c r="FS63" s="233"/>
      <c r="FT63" s="233"/>
      <c r="FU63" s="233"/>
      <c r="FW63" s="231" t="s">
        <v>23</v>
      </c>
      <c r="FX63" s="233"/>
      <c r="FY63" s="233"/>
      <c r="FZ63" s="233"/>
      <c r="GA63" s="233"/>
      <c r="GB63" s="233"/>
      <c r="GD63" s="231" t="s">
        <v>23</v>
      </c>
      <c r="GE63" s="233"/>
      <c r="GF63" s="233"/>
      <c r="GG63" s="233"/>
      <c r="GH63" s="233"/>
      <c r="GI63" s="233"/>
      <c r="GK63" s="231" t="s">
        <v>23</v>
      </c>
      <c r="GL63" s="233"/>
      <c r="GM63" s="233"/>
      <c r="GN63" s="233"/>
      <c r="GO63" s="233"/>
      <c r="GP63" s="233"/>
      <c r="GR63" s="231" t="s">
        <v>23</v>
      </c>
      <c r="GS63" s="233"/>
      <c r="GT63" s="233"/>
      <c r="GU63" s="233"/>
      <c r="GV63" s="233"/>
      <c r="GW63" s="233"/>
      <c r="GY63" s="231" t="s">
        <v>23</v>
      </c>
      <c r="GZ63" s="233"/>
      <c r="HA63" s="233"/>
      <c r="HB63" s="233"/>
      <c r="HC63" s="233"/>
      <c r="HD63" s="233"/>
      <c r="HF63" s="231" t="s">
        <v>23</v>
      </c>
      <c r="HG63" s="233"/>
      <c r="HH63" s="233"/>
      <c r="HI63" s="233"/>
      <c r="HJ63" s="233"/>
      <c r="HK63" s="233"/>
      <c r="HM63" s="231" t="s">
        <v>23</v>
      </c>
      <c r="HN63" s="233"/>
      <c r="HO63" s="233"/>
      <c r="HP63" s="233"/>
      <c r="HQ63" s="233"/>
      <c r="HR63" s="233"/>
      <c r="HT63" s="231" t="s">
        <v>23</v>
      </c>
      <c r="HU63" s="233"/>
      <c r="HV63" s="233"/>
      <c r="HW63" s="233"/>
      <c r="HX63" s="233"/>
      <c r="HY63" s="233"/>
      <c r="IA63" s="231" t="s">
        <v>23</v>
      </c>
      <c r="IB63" s="233"/>
      <c r="IC63" s="233"/>
      <c r="ID63" s="233"/>
      <c r="IE63" s="233"/>
      <c r="IF63" s="233"/>
      <c r="IH63" s="231" t="s">
        <v>23</v>
      </c>
      <c r="II63" s="233"/>
      <c r="IJ63" s="233"/>
      <c r="IK63" s="233"/>
      <c r="IL63" s="233"/>
      <c r="IM63" s="233"/>
      <c r="IO63" s="231" t="s">
        <v>23</v>
      </c>
      <c r="IP63" s="233"/>
      <c r="IQ63" s="233"/>
      <c r="IR63" s="233"/>
      <c r="IS63" s="233"/>
      <c r="IT63" s="233"/>
      <c r="IV63" s="231" t="s">
        <v>23</v>
      </c>
      <c r="IW63" s="233"/>
      <c r="IX63" s="233"/>
      <c r="IY63" s="233"/>
      <c r="IZ63" s="233"/>
      <c r="JA63" s="233"/>
      <c r="JC63" s="231" t="s">
        <v>23</v>
      </c>
      <c r="JD63" s="233"/>
      <c r="JE63" s="233"/>
      <c r="JF63" s="233"/>
      <c r="JG63" s="233"/>
      <c r="JH63" s="233"/>
      <c r="JJ63" s="231" t="s">
        <v>23</v>
      </c>
      <c r="JK63" s="233"/>
      <c r="JL63" s="233"/>
      <c r="JM63" s="233"/>
      <c r="JN63" s="233"/>
      <c r="JO63" s="233"/>
      <c r="JQ63" s="231" t="s">
        <v>23</v>
      </c>
      <c r="JR63" s="233"/>
      <c r="JS63" s="233"/>
      <c r="JT63" s="233"/>
      <c r="JU63" s="233"/>
      <c r="JV63" s="233"/>
      <c r="JX63" s="231" t="s">
        <v>23</v>
      </c>
      <c r="JY63" s="233"/>
      <c r="JZ63" s="233"/>
      <c r="KA63" s="233"/>
      <c r="KB63" s="233"/>
      <c r="KC63" s="233"/>
      <c r="KE63" s="231" t="s">
        <v>23</v>
      </c>
      <c r="KF63" s="233"/>
      <c r="KG63" s="233"/>
      <c r="KH63" s="233"/>
      <c r="KI63" s="233"/>
      <c r="KJ63" s="233"/>
      <c r="KL63" s="231" t="s">
        <v>23</v>
      </c>
      <c r="KM63" s="233"/>
      <c r="KN63" s="233"/>
      <c r="KO63" s="233"/>
      <c r="KP63" s="233"/>
      <c r="KQ63" s="233"/>
      <c r="KS63" s="231" t="s">
        <v>23</v>
      </c>
      <c r="KT63" s="233"/>
      <c r="KU63" s="233"/>
      <c r="KV63" s="232"/>
      <c r="KW63" s="233"/>
      <c r="KX63" s="233"/>
      <c r="KZ63" s="231" t="s">
        <v>23</v>
      </c>
      <c r="LA63" s="233"/>
      <c r="LB63" s="234"/>
      <c r="LC63" s="234"/>
      <c r="LD63" s="234"/>
      <c r="LE63" s="233"/>
      <c r="LF63" s="581"/>
      <c r="LG63" s="231" t="s">
        <v>23</v>
      </c>
      <c r="LH63" s="234"/>
      <c r="LI63" s="234"/>
      <c r="LJ63" s="234"/>
      <c r="LK63" s="234"/>
      <c r="LL63" s="233"/>
      <c r="LM63" s="581"/>
      <c r="LN63" s="231" t="s">
        <v>23</v>
      </c>
      <c r="LO63" s="234"/>
      <c r="LP63" s="234"/>
      <c r="LQ63" s="234"/>
      <c r="LR63" s="234"/>
      <c r="LS63" s="233"/>
      <c r="LT63" s="581"/>
      <c r="LU63" s="231" t="s">
        <v>23</v>
      </c>
      <c r="LV63" s="234"/>
      <c r="LW63" s="234"/>
      <c r="LX63" s="234"/>
      <c r="LY63" s="234"/>
      <c r="LZ63" s="233"/>
      <c r="MA63" s="581"/>
      <c r="MB63" s="231" t="s">
        <v>23</v>
      </c>
      <c r="MC63" s="234"/>
      <c r="MD63" s="234"/>
      <c r="ME63" s="234"/>
      <c r="MF63" s="234"/>
      <c r="MG63" s="233"/>
      <c r="MH63" s="581"/>
    </row>
    <row r="64" spans="1:346" s="37" customFormat="1" ht="13.15" outlineLevel="1" x14ac:dyDescent="0.4">
      <c r="A64" s="48"/>
      <c r="B64" s="231"/>
      <c r="C64" s="235"/>
      <c r="D64" s="235"/>
      <c r="E64" s="235"/>
      <c r="F64" s="235"/>
      <c r="G64" s="235"/>
      <c r="H64" s="235"/>
      <c r="I64" s="235"/>
      <c r="J64" s="235"/>
      <c r="K64" s="235"/>
      <c r="L64" s="235"/>
      <c r="M64" s="235"/>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236"/>
      <c r="AT64" s="236"/>
      <c r="AU64" s="236"/>
      <c r="AV64" s="236"/>
      <c r="AW64" s="236"/>
      <c r="AX64" s="236"/>
      <c r="AY64" s="236"/>
      <c r="AZ64" s="236"/>
      <c r="BA64" s="236"/>
      <c r="BB64" s="236"/>
      <c r="BC64" s="236"/>
      <c r="BD64" s="236"/>
      <c r="BE64" s="236"/>
      <c r="BF64" s="236"/>
      <c r="BG64" s="236"/>
      <c r="BH64" s="236"/>
      <c r="BI64" s="236"/>
      <c r="BJ64" s="236"/>
      <c r="BK64" s="236"/>
      <c r="BL64" s="236"/>
      <c r="BM64" s="236"/>
      <c r="BO64" s="231"/>
      <c r="BP64" s="233"/>
      <c r="BQ64" s="233"/>
      <c r="BR64" s="233"/>
      <c r="BS64" s="233"/>
      <c r="BT64" s="233"/>
      <c r="BV64" s="231"/>
      <c r="BW64" s="233"/>
      <c r="BX64" s="233"/>
      <c r="BY64" s="233"/>
      <c r="BZ64" s="233"/>
      <c r="CA64" s="233"/>
      <c r="CC64" s="231"/>
      <c r="CD64" s="233"/>
      <c r="CE64" s="233"/>
      <c r="CF64" s="233"/>
      <c r="CG64" s="233"/>
      <c r="CH64" s="233"/>
      <c r="CJ64" s="231"/>
      <c r="CK64" s="233"/>
      <c r="CL64" s="233"/>
      <c r="CM64" s="233"/>
      <c r="CN64" s="233"/>
      <c r="CO64" s="233"/>
      <c r="CQ64" s="231"/>
      <c r="CR64" s="233"/>
      <c r="CS64" s="233"/>
      <c r="CT64" s="233"/>
      <c r="CU64" s="233"/>
      <c r="CV64" s="233"/>
      <c r="CX64" s="231"/>
      <c r="CY64" s="233"/>
      <c r="CZ64" s="233"/>
      <c r="DA64" s="233"/>
      <c r="DB64" s="233"/>
      <c r="DC64" s="233"/>
      <c r="DE64" s="231"/>
      <c r="DF64" s="233"/>
      <c r="DG64" s="233"/>
      <c r="DH64" s="233"/>
      <c r="DI64" s="233"/>
      <c r="DJ64" s="233"/>
      <c r="DL64" s="231"/>
      <c r="DM64" s="233"/>
      <c r="DN64" s="233"/>
      <c r="DO64" s="233"/>
      <c r="DP64" s="233"/>
      <c r="DQ64" s="233"/>
      <c r="DS64" s="231"/>
      <c r="DT64" s="233"/>
      <c r="DU64" s="233"/>
      <c r="DV64" s="233"/>
      <c r="DW64" s="233"/>
      <c r="DX64" s="233"/>
      <c r="DZ64" s="231"/>
      <c r="EA64" s="233"/>
      <c r="EB64" s="233"/>
      <c r="EC64" s="233"/>
      <c r="ED64" s="233"/>
      <c r="EE64" s="233"/>
      <c r="EG64" s="231"/>
      <c r="EH64" s="233"/>
      <c r="EI64" s="233"/>
      <c r="EJ64" s="233"/>
      <c r="EK64" s="233"/>
      <c r="EL64" s="233"/>
      <c r="EN64" s="231"/>
      <c r="EO64" s="233"/>
      <c r="EP64" s="233"/>
      <c r="EQ64" s="233"/>
      <c r="ER64" s="233"/>
      <c r="ES64" s="233"/>
      <c r="EU64" s="231"/>
      <c r="EV64" s="233"/>
      <c r="EW64" s="233"/>
      <c r="EX64" s="233"/>
      <c r="EY64" s="233"/>
      <c r="EZ64" s="233"/>
      <c r="FB64" s="231"/>
      <c r="FC64" s="233"/>
      <c r="FD64" s="233"/>
      <c r="FE64" s="233"/>
      <c r="FF64" s="233"/>
      <c r="FG64" s="233"/>
      <c r="FI64" s="231"/>
      <c r="FJ64" s="233"/>
      <c r="FK64" s="233"/>
      <c r="FL64" s="233"/>
      <c r="FM64" s="233"/>
      <c r="FN64" s="233"/>
      <c r="FP64" s="231"/>
      <c r="FQ64" s="233"/>
      <c r="FR64" s="233"/>
      <c r="FS64" s="233"/>
      <c r="FT64" s="233"/>
      <c r="FU64" s="233"/>
      <c r="FW64" s="231"/>
      <c r="FX64" s="233"/>
      <c r="FY64" s="233"/>
      <c r="FZ64" s="233"/>
      <c r="GA64" s="233"/>
      <c r="GB64" s="233"/>
      <c r="GD64" s="231"/>
      <c r="GE64" s="233"/>
      <c r="GF64" s="233"/>
      <c r="GG64" s="233"/>
      <c r="GH64" s="233"/>
      <c r="GI64" s="233"/>
      <c r="GK64" s="231"/>
      <c r="GL64" s="233"/>
      <c r="GM64" s="233"/>
      <c r="GN64" s="233"/>
      <c r="GO64" s="233"/>
      <c r="GP64" s="233"/>
      <c r="GR64" s="231"/>
      <c r="GS64" s="233"/>
      <c r="GT64" s="233"/>
      <c r="GU64" s="233"/>
      <c r="GV64" s="233"/>
      <c r="GW64" s="233"/>
      <c r="GY64" s="231"/>
      <c r="GZ64" s="233"/>
      <c r="HA64" s="233"/>
      <c r="HB64" s="233"/>
      <c r="HC64" s="233"/>
      <c r="HD64" s="233"/>
      <c r="HF64" s="231"/>
      <c r="HG64" s="233"/>
      <c r="HH64" s="233"/>
      <c r="HI64" s="233"/>
      <c r="HJ64" s="233"/>
      <c r="HK64" s="233"/>
      <c r="HM64" s="231"/>
      <c r="HN64" s="233"/>
      <c r="HO64" s="233"/>
      <c r="HP64" s="233"/>
      <c r="HQ64" s="233"/>
      <c r="HR64" s="233"/>
      <c r="HT64" s="231"/>
      <c r="HU64" s="233"/>
      <c r="HV64" s="233"/>
      <c r="HW64" s="233"/>
      <c r="HX64" s="233"/>
      <c r="HY64" s="233"/>
      <c r="IA64" s="231"/>
      <c r="IB64" s="233"/>
      <c r="IC64" s="233"/>
      <c r="ID64" s="233"/>
      <c r="IE64" s="233"/>
      <c r="IF64" s="233"/>
      <c r="IH64" s="231"/>
      <c r="II64" s="233"/>
      <c r="IJ64" s="233"/>
      <c r="IK64" s="233"/>
      <c r="IL64" s="233"/>
      <c r="IM64" s="233"/>
      <c r="IO64" s="231"/>
      <c r="IP64" s="233"/>
      <c r="IQ64" s="233"/>
      <c r="IR64" s="233"/>
      <c r="IS64" s="233"/>
      <c r="IT64" s="233"/>
      <c r="IV64" s="231"/>
      <c r="IW64" s="233"/>
      <c r="IX64" s="233"/>
      <c r="IY64" s="233"/>
      <c r="IZ64" s="233"/>
      <c r="JA64" s="233"/>
      <c r="JC64" s="231"/>
      <c r="JD64" s="233"/>
      <c r="JE64" s="233"/>
      <c r="JF64" s="233"/>
      <c r="JG64" s="233"/>
      <c r="JH64" s="233"/>
      <c r="JJ64" s="231"/>
      <c r="JK64" s="233"/>
      <c r="JL64" s="233"/>
      <c r="JM64" s="233"/>
      <c r="JN64" s="233"/>
      <c r="JO64" s="233"/>
      <c r="JQ64" s="231"/>
      <c r="JR64" s="233"/>
      <c r="JS64" s="233"/>
      <c r="JT64" s="233"/>
      <c r="JU64" s="233"/>
      <c r="JV64" s="233"/>
      <c r="JX64" s="231"/>
      <c r="JY64" s="233"/>
      <c r="JZ64" s="233"/>
      <c r="KA64" s="233"/>
      <c r="KB64" s="233"/>
      <c r="KC64" s="233"/>
      <c r="KE64" s="231"/>
      <c r="KF64" s="233"/>
      <c r="KG64" s="233"/>
      <c r="KH64" s="233"/>
      <c r="KI64" s="233"/>
      <c r="KJ64" s="233"/>
      <c r="KL64" s="231"/>
      <c r="KM64" s="233"/>
      <c r="KN64" s="233"/>
      <c r="KO64" s="233"/>
      <c r="KP64" s="233"/>
      <c r="KQ64" s="233"/>
      <c r="KS64" s="231"/>
      <c r="KT64" s="233"/>
      <c r="KU64" s="233"/>
      <c r="KV64" s="232"/>
      <c r="KW64" s="233"/>
      <c r="KX64" s="233"/>
      <c r="KZ64" s="231"/>
      <c r="LA64" s="233"/>
      <c r="LB64" s="234"/>
      <c r="LC64" s="234"/>
      <c r="LD64" s="234"/>
      <c r="LE64" s="233"/>
      <c r="LF64" s="581"/>
      <c r="LG64" s="231"/>
      <c r="LH64" s="234"/>
      <c r="LI64" s="234"/>
      <c r="LJ64" s="234"/>
      <c r="LK64" s="234"/>
      <c r="LL64" s="233"/>
      <c r="LM64" s="581"/>
      <c r="LN64" s="231"/>
      <c r="LO64" s="234"/>
      <c r="LP64" s="234"/>
      <c r="LQ64" s="234"/>
      <c r="LR64" s="234"/>
      <c r="LS64" s="233"/>
      <c r="LT64" s="581"/>
      <c r="LU64" s="231"/>
      <c r="LV64" s="234"/>
      <c r="LW64" s="234"/>
      <c r="LX64" s="234"/>
      <c r="LY64" s="234"/>
      <c r="LZ64" s="233"/>
      <c r="MA64" s="581"/>
      <c r="MB64" s="231"/>
      <c r="MC64" s="234"/>
      <c r="MD64" s="234"/>
      <c r="ME64" s="234"/>
      <c r="MF64" s="234"/>
      <c r="MG64" s="233"/>
      <c r="MH64" s="581"/>
    </row>
    <row r="65" spans="1:346" s="37" customFormat="1" ht="13.15" outlineLevel="1" x14ac:dyDescent="0.4">
      <c r="A65" s="48"/>
      <c r="B65" s="231" t="s">
        <v>506</v>
      </c>
      <c r="C65" s="235"/>
      <c r="D65" s="235"/>
      <c r="E65" s="235"/>
      <c r="F65" s="235"/>
      <c r="G65" s="235"/>
      <c r="H65" s="235"/>
      <c r="I65" s="235"/>
      <c r="J65" s="235"/>
      <c r="K65" s="235"/>
      <c r="L65" s="235"/>
      <c r="M65" s="235"/>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236"/>
      <c r="AT65" s="236"/>
      <c r="AU65" s="236"/>
      <c r="AV65" s="236"/>
      <c r="AW65" s="236"/>
      <c r="AX65" s="236"/>
      <c r="AY65" s="236"/>
      <c r="AZ65" s="236"/>
      <c r="BA65" s="236"/>
      <c r="BB65" s="236"/>
      <c r="BC65" s="236"/>
      <c r="BD65" s="236"/>
      <c r="BE65" s="236"/>
      <c r="BF65" s="236"/>
      <c r="BG65" s="236"/>
      <c r="BH65" s="236"/>
      <c r="BI65" s="236"/>
      <c r="BJ65" s="236"/>
      <c r="BK65" s="236"/>
      <c r="BL65" s="236"/>
      <c r="BM65" s="236"/>
      <c r="BO65" s="231" t="s">
        <v>506</v>
      </c>
      <c r="BP65" s="233"/>
      <c r="BQ65" s="233"/>
      <c r="BR65" s="233"/>
      <c r="BS65" s="233"/>
      <c r="BT65" s="233"/>
      <c r="BV65" s="231" t="s">
        <v>506</v>
      </c>
      <c r="BW65" s="233"/>
      <c r="BX65" s="233"/>
      <c r="BY65" s="233"/>
      <c r="BZ65" s="233"/>
      <c r="CA65" s="233"/>
      <c r="CC65" s="231" t="s">
        <v>506</v>
      </c>
      <c r="CD65" s="233"/>
      <c r="CE65" s="233"/>
      <c r="CF65" s="233"/>
      <c r="CG65" s="233"/>
      <c r="CH65" s="233"/>
      <c r="CJ65" s="231" t="s">
        <v>506</v>
      </c>
      <c r="CK65" s="233"/>
      <c r="CL65" s="233"/>
      <c r="CM65" s="233"/>
      <c r="CN65" s="233"/>
      <c r="CO65" s="233"/>
      <c r="CQ65" s="231" t="s">
        <v>506</v>
      </c>
      <c r="CR65" s="233"/>
      <c r="CS65" s="233"/>
      <c r="CT65" s="233"/>
      <c r="CU65" s="233"/>
      <c r="CV65" s="233"/>
      <c r="CX65" s="231" t="s">
        <v>506</v>
      </c>
      <c r="CY65" s="233"/>
      <c r="CZ65" s="233"/>
      <c r="DA65" s="233"/>
      <c r="DB65" s="233"/>
      <c r="DC65" s="233"/>
      <c r="DE65" s="231" t="s">
        <v>506</v>
      </c>
      <c r="DF65" s="233"/>
      <c r="DG65" s="233"/>
      <c r="DH65" s="233"/>
      <c r="DI65" s="233"/>
      <c r="DJ65" s="233"/>
      <c r="DL65" s="231" t="s">
        <v>506</v>
      </c>
      <c r="DM65" s="233"/>
      <c r="DN65" s="233"/>
      <c r="DO65" s="233"/>
      <c r="DP65" s="233"/>
      <c r="DQ65" s="233"/>
      <c r="DS65" s="231" t="s">
        <v>506</v>
      </c>
      <c r="DT65" s="233"/>
      <c r="DU65" s="233"/>
      <c r="DV65" s="233"/>
      <c r="DW65" s="233"/>
      <c r="DX65" s="233"/>
      <c r="DZ65" s="231" t="s">
        <v>506</v>
      </c>
      <c r="EA65" s="233"/>
      <c r="EB65" s="233"/>
      <c r="EC65" s="233"/>
      <c r="ED65" s="233"/>
      <c r="EE65" s="233"/>
      <c r="EG65" s="231" t="s">
        <v>506</v>
      </c>
      <c r="EH65" s="233"/>
      <c r="EI65" s="233"/>
      <c r="EJ65" s="233"/>
      <c r="EK65" s="233"/>
      <c r="EL65" s="233"/>
      <c r="EN65" s="231" t="s">
        <v>506</v>
      </c>
      <c r="EO65" s="233"/>
      <c r="EP65" s="233"/>
      <c r="EQ65" s="233"/>
      <c r="ER65" s="233"/>
      <c r="ES65" s="233"/>
      <c r="EU65" s="231" t="s">
        <v>506</v>
      </c>
      <c r="EV65" s="233"/>
      <c r="EW65" s="233"/>
      <c r="EX65" s="233"/>
      <c r="EY65" s="233"/>
      <c r="EZ65" s="233"/>
      <c r="FB65" s="231" t="s">
        <v>506</v>
      </c>
      <c r="FC65" s="233"/>
      <c r="FD65" s="233"/>
      <c r="FE65" s="233"/>
      <c r="FF65" s="233"/>
      <c r="FG65" s="233"/>
      <c r="FI65" s="231" t="s">
        <v>506</v>
      </c>
      <c r="FJ65" s="233"/>
      <c r="FK65" s="233"/>
      <c r="FL65" s="233"/>
      <c r="FM65" s="233"/>
      <c r="FN65" s="233"/>
      <c r="FP65" s="231" t="s">
        <v>506</v>
      </c>
      <c r="FQ65" s="233"/>
      <c r="FR65" s="233"/>
      <c r="FS65" s="233"/>
      <c r="FT65" s="233"/>
      <c r="FU65" s="233"/>
      <c r="FW65" s="231" t="s">
        <v>506</v>
      </c>
      <c r="FX65" s="233"/>
      <c r="FY65" s="233"/>
      <c r="FZ65" s="233"/>
      <c r="GA65" s="233"/>
      <c r="GB65" s="233"/>
      <c r="GD65" s="231" t="s">
        <v>506</v>
      </c>
      <c r="GE65" s="233"/>
      <c r="GF65" s="233"/>
      <c r="GG65" s="233"/>
      <c r="GH65" s="233"/>
      <c r="GI65" s="233"/>
      <c r="GK65" s="231" t="s">
        <v>506</v>
      </c>
      <c r="GL65" s="233"/>
      <c r="GM65" s="233"/>
      <c r="GN65" s="233"/>
      <c r="GO65" s="233"/>
      <c r="GP65" s="233"/>
      <c r="GR65" s="231" t="s">
        <v>506</v>
      </c>
      <c r="GS65" s="233"/>
      <c r="GT65" s="233"/>
      <c r="GU65" s="233"/>
      <c r="GV65" s="233"/>
      <c r="GW65" s="233"/>
      <c r="GY65" s="231" t="s">
        <v>506</v>
      </c>
      <c r="GZ65" s="233"/>
      <c r="HA65" s="233"/>
      <c r="HB65" s="233"/>
      <c r="HC65" s="233"/>
      <c r="HD65" s="233"/>
      <c r="HF65" s="231" t="s">
        <v>506</v>
      </c>
      <c r="HG65" s="233"/>
      <c r="HH65" s="233"/>
      <c r="HI65" s="233"/>
      <c r="HJ65" s="233"/>
      <c r="HK65" s="233"/>
      <c r="HM65" s="231" t="s">
        <v>506</v>
      </c>
      <c r="HN65" s="233"/>
      <c r="HO65" s="233"/>
      <c r="HP65" s="233"/>
      <c r="HQ65" s="233"/>
      <c r="HR65" s="233"/>
      <c r="HT65" s="231" t="s">
        <v>506</v>
      </c>
      <c r="HU65" s="233"/>
      <c r="HV65" s="233"/>
      <c r="HW65" s="233"/>
      <c r="HX65" s="233"/>
      <c r="HY65" s="233"/>
      <c r="IA65" s="231" t="s">
        <v>506</v>
      </c>
      <c r="IB65" s="233"/>
      <c r="IC65" s="233"/>
      <c r="ID65" s="233"/>
      <c r="IE65" s="233"/>
      <c r="IF65" s="233"/>
      <c r="IH65" s="231" t="s">
        <v>506</v>
      </c>
      <c r="II65" s="233"/>
      <c r="IJ65" s="233"/>
      <c r="IK65" s="233"/>
      <c r="IL65" s="233"/>
      <c r="IM65" s="233"/>
      <c r="IO65" s="231" t="s">
        <v>506</v>
      </c>
      <c r="IP65" s="233"/>
      <c r="IQ65" s="233"/>
      <c r="IR65" s="233"/>
      <c r="IS65" s="233"/>
      <c r="IT65" s="233"/>
      <c r="IV65" s="231" t="s">
        <v>506</v>
      </c>
      <c r="IW65" s="233"/>
      <c r="IX65" s="233"/>
      <c r="IY65" s="233"/>
      <c r="IZ65" s="233"/>
      <c r="JA65" s="233"/>
      <c r="JC65" s="231" t="s">
        <v>506</v>
      </c>
      <c r="JD65" s="233"/>
      <c r="JE65" s="233"/>
      <c r="JF65" s="233"/>
      <c r="JG65" s="233"/>
      <c r="JH65" s="233"/>
      <c r="JJ65" s="231" t="s">
        <v>506</v>
      </c>
      <c r="JK65" s="233"/>
      <c r="JL65" s="233"/>
      <c r="JM65" s="233"/>
      <c r="JN65" s="233"/>
      <c r="JO65" s="233"/>
      <c r="JQ65" s="231" t="s">
        <v>506</v>
      </c>
      <c r="JR65" s="233"/>
      <c r="JS65" s="233"/>
      <c r="JT65" s="233"/>
      <c r="JU65" s="233"/>
      <c r="JV65" s="233"/>
      <c r="JX65" s="231" t="s">
        <v>506</v>
      </c>
      <c r="JY65" s="233"/>
      <c r="JZ65" s="233"/>
      <c r="KA65" s="233"/>
      <c r="KB65" s="233"/>
      <c r="KC65" s="233"/>
      <c r="KE65" s="231" t="s">
        <v>506</v>
      </c>
      <c r="KF65" s="233"/>
      <c r="KG65" s="233"/>
      <c r="KH65" s="233"/>
      <c r="KI65" s="233"/>
      <c r="KJ65" s="233"/>
      <c r="KL65" s="231" t="s">
        <v>506</v>
      </c>
      <c r="KM65" s="233"/>
      <c r="KN65" s="233"/>
      <c r="KO65" s="233"/>
      <c r="KP65" s="233"/>
      <c r="KQ65" s="233"/>
      <c r="KS65" s="231" t="s">
        <v>506</v>
      </c>
      <c r="KT65" s="233"/>
      <c r="KU65" s="233"/>
      <c r="KV65" s="232"/>
      <c r="KW65" s="233"/>
      <c r="KX65" s="233"/>
      <c r="KZ65" s="231" t="s">
        <v>506</v>
      </c>
      <c r="LA65" s="233"/>
      <c r="LB65" s="234"/>
      <c r="LC65" s="234"/>
      <c r="LD65" s="234"/>
      <c r="LE65" s="233"/>
      <c r="LF65" s="581"/>
      <c r="LG65" s="231" t="s">
        <v>506</v>
      </c>
      <c r="LH65" s="234"/>
      <c r="LI65" s="234"/>
      <c r="LJ65" s="234"/>
      <c r="LK65" s="234"/>
      <c r="LL65" s="233"/>
      <c r="LM65" s="581"/>
      <c r="LN65" s="231" t="s">
        <v>506</v>
      </c>
      <c r="LO65" s="234"/>
      <c r="LP65" s="234"/>
      <c r="LQ65" s="234"/>
      <c r="LR65" s="234"/>
      <c r="LS65" s="233"/>
      <c r="LT65" s="581"/>
      <c r="LU65" s="231" t="s">
        <v>506</v>
      </c>
      <c r="LV65" s="234"/>
      <c r="LW65" s="234"/>
      <c r="LX65" s="234"/>
      <c r="LY65" s="234"/>
      <c r="LZ65" s="233"/>
      <c r="MA65" s="581"/>
      <c r="MB65" s="231" t="s">
        <v>506</v>
      </c>
      <c r="MC65" s="234"/>
      <c r="MD65" s="234"/>
      <c r="ME65" s="234"/>
      <c r="MF65" s="234"/>
      <c r="MG65" s="233"/>
      <c r="MH65" s="581"/>
    </row>
    <row r="66" spans="1:346" s="37" customFormat="1" ht="13.15" outlineLevel="1" x14ac:dyDescent="0.4">
      <c r="A66" s="48"/>
      <c r="B66" s="231" t="s">
        <v>507</v>
      </c>
      <c r="C66" s="235"/>
      <c r="D66" s="235"/>
      <c r="E66" s="235"/>
      <c r="F66" s="235"/>
      <c r="G66" s="235"/>
      <c r="H66" s="235"/>
      <c r="I66" s="235"/>
      <c r="J66" s="235"/>
      <c r="K66" s="235"/>
      <c r="L66" s="235"/>
      <c r="M66" s="235"/>
      <c r="N66" s="235">
        <f>BT66</f>
        <v>0</v>
      </c>
      <c r="O66" s="235">
        <f>CA66</f>
        <v>0</v>
      </c>
      <c r="P66" s="235">
        <f>CH66</f>
        <v>0</v>
      </c>
      <c r="Q66" s="235">
        <f>CO66</f>
        <v>0</v>
      </c>
      <c r="R66" s="235">
        <f>CV66</f>
        <v>0</v>
      </c>
      <c r="S66" s="235">
        <f>DC66</f>
        <v>0</v>
      </c>
      <c r="T66" s="235">
        <f>DJ66</f>
        <v>240</v>
      </c>
      <c r="U66" s="235">
        <f>DQ66</f>
        <v>316</v>
      </c>
      <c r="V66" s="235">
        <f>DX66</f>
        <v>389</v>
      </c>
      <c r="W66" s="235">
        <f>EE66</f>
        <v>408</v>
      </c>
      <c r="X66" s="235">
        <f>EL66</f>
        <v>484</v>
      </c>
      <c r="Y66" s="235">
        <f>ES66</f>
        <v>257</v>
      </c>
      <c r="Z66" s="235">
        <f>EZ66</f>
        <v>0</v>
      </c>
      <c r="AA66" s="235">
        <f>FG66</f>
        <v>0</v>
      </c>
      <c r="AB66" s="235">
        <f>FN66</f>
        <v>0</v>
      </c>
      <c r="AC66" s="235">
        <f>FU66</f>
        <v>0</v>
      </c>
      <c r="AD66" s="235">
        <f>GB66</f>
        <v>0</v>
      </c>
      <c r="AE66" s="235">
        <f>GI66</f>
        <v>0</v>
      </c>
      <c r="AF66" s="235">
        <f>GP66</f>
        <v>0</v>
      </c>
      <c r="AG66" s="235">
        <f>GW66</f>
        <v>0</v>
      </c>
      <c r="AH66" s="235">
        <f>HD66</f>
        <v>0</v>
      </c>
      <c r="AI66" s="235">
        <f>HK66</f>
        <v>0</v>
      </c>
      <c r="AJ66" s="235">
        <f>HR66</f>
        <v>0</v>
      </c>
      <c r="AK66" s="235">
        <f>HY66</f>
        <v>0</v>
      </c>
      <c r="AL66" s="235">
        <f>IF66</f>
        <v>0</v>
      </c>
      <c r="AM66" s="235">
        <f>IM66</f>
        <v>0</v>
      </c>
      <c r="AN66" s="235">
        <f>IT66</f>
        <v>0</v>
      </c>
      <c r="AO66" s="235">
        <f>JA66</f>
        <v>0</v>
      </c>
      <c r="AP66" s="235">
        <f>JH66</f>
        <v>0</v>
      </c>
      <c r="AQ66" s="235">
        <f>JO66</f>
        <v>0</v>
      </c>
      <c r="AR66" s="235">
        <f>JV66</f>
        <v>0</v>
      </c>
      <c r="AS66" s="235">
        <f>KC66</f>
        <v>0</v>
      </c>
      <c r="AT66" s="235">
        <f>KJ66</f>
        <v>0</v>
      </c>
      <c r="AU66" s="235">
        <f>KQ66</f>
        <v>0</v>
      </c>
      <c r="AV66" s="235">
        <f>KX66</f>
        <v>0</v>
      </c>
      <c r="AW66" s="235">
        <f>LE66</f>
        <v>0</v>
      </c>
      <c r="AX66" s="235">
        <f>LL66</f>
        <v>0</v>
      </c>
      <c r="AY66" s="235">
        <f>LS66</f>
        <v>0</v>
      </c>
      <c r="AZ66" s="235">
        <f>LZ66</f>
        <v>0</v>
      </c>
      <c r="BA66" s="235">
        <f>MG66</f>
        <v>0</v>
      </c>
      <c r="BB66" s="235"/>
      <c r="BC66" s="235"/>
      <c r="BD66" s="235"/>
      <c r="BE66" s="235"/>
      <c r="BF66" s="235"/>
      <c r="BG66" s="235"/>
      <c r="BH66" s="235"/>
      <c r="BI66" s="235"/>
      <c r="BJ66" s="235"/>
      <c r="BK66" s="235"/>
      <c r="BL66" s="235"/>
      <c r="BM66" s="235"/>
      <c r="BO66" s="231" t="s">
        <v>507</v>
      </c>
      <c r="BP66" s="233"/>
      <c r="BQ66" s="233"/>
      <c r="BR66" s="233"/>
      <c r="BS66" s="233"/>
      <c r="BT66" s="233"/>
      <c r="BV66" s="231" t="s">
        <v>507</v>
      </c>
      <c r="BW66" s="233"/>
      <c r="BX66" s="233"/>
      <c r="BY66" s="233"/>
      <c r="BZ66" s="233"/>
      <c r="CA66" s="233"/>
      <c r="CC66" s="231" t="s">
        <v>507</v>
      </c>
      <c r="CD66" s="233"/>
      <c r="CE66" s="233"/>
      <c r="CF66" s="233"/>
      <c r="CG66" s="233"/>
      <c r="CH66" s="233"/>
      <c r="CJ66" s="231" t="s">
        <v>507</v>
      </c>
      <c r="CK66" s="233"/>
      <c r="CL66" s="233"/>
      <c r="CM66" s="233"/>
      <c r="CN66" s="233"/>
      <c r="CO66" s="233"/>
      <c r="CQ66" s="231" t="s">
        <v>507</v>
      </c>
      <c r="CR66" s="233"/>
      <c r="CS66" s="233"/>
      <c r="CT66" s="233"/>
      <c r="CU66" s="233"/>
      <c r="CV66" s="233"/>
      <c r="CX66" s="231" t="s">
        <v>507</v>
      </c>
      <c r="CY66" s="233"/>
      <c r="CZ66" s="233"/>
      <c r="DA66" s="233"/>
      <c r="DB66" s="233"/>
      <c r="DC66" s="233"/>
      <c r="DE66" s="231" t="s">
        <v>507</v>
      </c>
      <c r="DF66" s="233">
        <v>54</v>
      </c>
      <c r="DG66" s="233">
        <v>57</v>
      </c>
      <c r="DH66" s="233">
        <v>62</v>
      </c>
      <c r="DI66" s="233">
        <v>67</v>
      </c>
      <c r="DJ66" s="233">
        <f>DF66+DG66+DH66+DI66</f>
        <v>240</v>
      </c>
      <c r="DL66" s="231" t="s">
        <v>507</v>
      </c>
      <c r="DM66" s="233">
        <v>71</v>
      </c>
      <c r="DN66" s="233">
        <v>79</v>
      </c>
      <c r="DO66" s="233">
        <v>83</v>
      </c>
      <c r="DP66" s="233">
        <v>83</v>
      </c>
      <c r="DQ66" s="233">
        <f>DM66+DN66+DO66+DP66</f>
        <v>316</v>
      </c>
      <c r="DS66" s="231" t="s">
        <v>507</v>
      </c>
      <c r="DT66" s="233">
        <v>92</v>
      </c>
      <c r="DU66" s="233">
        <v>104</v>
      </c>
      <c r="DV66" s="233">
        <v>94</v>
      </c>
      <c r="DW66" s="233">
        <v>99</v>
      </c>
      <c r="DX66" s="233">
        <f>DT66+DU66+DV66+DW66</f>
        <v>389</v>
      </c>
      <c r="DZ66" s="231" t="s">
        <v>507</v>
      </c>
      <c r="EA66" s="233">
        <v>107</v>
      </c>
      <c r="EB66" s="233">
        <v>100</v>
      </c>
      <c r="EC66" s="233">
        <v>90</v>
      </c>
      <c r="ED66" s="233">
        <v>111</v>
      </c>
      <c r="EE66" s="233">
        <f>EA66+EB66+EC66+ED66</f>
        <v>408</v>
      </c>
      <c r="EG66" s="231" t="s">
        <v>507</v>
      </c>
      <c r="EH66" s="233">
        <v>120</v>
      </c>
      <c r="EI66" s="233">
        <v>117</v>
      </c>
      <c r="EJ66" s="233">
        <v>110</v>
      </c>
      <c r="EK66" s="233">
        <v>137</v>
      </c>
      <c r="EL66" s="233">
        <f>EH66+EI66+EJ66+EK66</f>
        <v>484</v>
      </c>
      <c r="EN66" s="231" t="s">
        <v>507</v>
      </c>
      <c r="EO66" s="233">
        <v>126</v>
      </c>
      <c r="EP66" s="233">
        <v>131</v>
      </c>
      <c r="EQ66" s="233">
        <v>0</v>
      </c>
      <c r="ER66" s="233"/>
      <c r="ES66" s="233">
        <f>EO66+EP66+EQ66+ER66</f>
        <v>257</v>
      </c>
      <c r="EU66" s="231" t="s">
        <v>507</v>
      </c>
      <c r="EV66" s="233"/>
      <c r="EW66" s="233"/>
      <c r="EX66" s="233"/>
      <c r="EY66" s="233"/>
      <c r="EZ66" s="233"/>
      <c r="FB66" s="231" t="s">
        <v>507</v>
      </c>
      <c r="FC66" s="233"/>
      <c r="FD66" s="233"/>
      <c r="FE66" s="233"/>
      <c r="FF66" s="233"/>
      <c r="FG66" s="233"/>
      <c r="FI66" s="231" t="s">
        <v>507</v>
      </c>
      <c r="FJ66" s="233"/>
      <c r="FK66" s="233"/>
      <c r="FL66" s="233"/>
      <c r="FM66" s="233"/>
      <c r="FN66" s="233"/>
      <c r="FP66" s="231" t="s">
        <v>507</v>
      </c>
      <c r="FQ66" s="233"/>
      <c r="FR66" s="233"/>
      <c r="FS66" s="233"/>
      <c r="FT66" s="233"/>
      <c r="FU66" s="233"/>
      <c r="FW66" s="231" t="s">
        <v>507</v>
      </c>
      <c r="FX66" s="233"/>
      <c r="FY66" s="233"/>
      <c r="FZ66" s="233"/>
      <c r="GA66" s="233"/>
      <c r="GB66" s="233"/>
      <c r="GD66" s="231" t="s">
        <v>507</v>
      </c>
      <c r="GE66" s="233"/>
      <c r="GF66" s="233"/>
      <c r="GG66" s="233"/>
      <c r="GH66" s="233"/>
      <c r="GI66" s="233"/>
      <c r="GK66" s="231" t="s">
        <v>507</v>
      </c>
      <c r="GL66" s="233"/>
      <c r="GM66" s="233"/>
      <c r="GN66" s="233"/>
      <c r="GO66" s="233"/>
      <c r="GP66" s="233"/>
      <c r="GR66" s="231" t="s">
        <v>507</v>
      </c>
      <c r="GS66" s="233"/>
      <c r="GT66" s="233"/>
      <c r="GU66" s="233"/>
      <c r="GV66" s="233"/>
      <c r="GW66" s="233"/>
      <c r="GY66" s="231" t="s">
        <v>507</v>
      </c>
      <c r="GZ66" s="233"/>
      <c r="HA66" s="233"/>
      <c r="HB66" s="233"/>
      <c r="HC66" s="233"/>
      <c r="HD66" s="233"/>
      <c r="HF66" s="231" t="s">
        <v>507</v>
      </c>
      <c r="HG66" s="233"/>
      <c r="HH66" s="233"/>
      <c r="HI66" s="233"/>
      <c r="HJ66" s="233"/>
      <c r="HK66" s="233"/>
      <c r="HM66" s="231" t="s">
        <v>507</v>
      </c>
      <c r="HN66" s="233"/>
      <c r="HO66" s="233"/>
      <c r="HP66" s="233"/>
      <c r="HQ66" s="233"/>
      <c r="HR66" s="233"/>
      <c r="HT66" s="231" t="s">
        <v>507</v>
      </c>
      <c r="HU66" s="233"/>
      <c r="HV66" s="233"/>
      <c r="HW66" s="233"/>
      <c r="HX66" s="233"/>
      <c r="HY66" s="233"/>
      <c r="IA66" s="231" t="s">
        <v>507</v>
      </c>
      <c r="IB66" s="233"/>
      <c r="IC66" s="233"/>
      <c r="ID66" s="233"/>
      <c r="IE66" s="233"/>
      <c r="IF66" s="233"/>
      <c r="IH66" s="231" t="s">
        <v>507</v>
      </c>
      <c r="II66" s="233"/>
      <c r="IJ66" s="233"/>
      <c r="IK66" s="233"/>
      <c r="IL66" s="233"/>
      <c r="IM66" s="233"/>
      <c r="IO66" s="231" t="s">
        <v>507</v>
      </c>
      <c r="IP66" s="233"/>
      <c r="IQ66" s="233"/>
      <c r="IR66" s="233"/>
      <c r="IS66" s="233"/>
      <c r="IT66" s="233"/>
      <c r="IV66" s="231" t="s">
        <v>507</v>
      </c>
      <c r="IW66" s="233"/>
      <c r="IX66" s="233"/>
      <c r="IY66" s="233"/>
      <c r="IZ66" s="233"/>
      <c r="JA66" s="233"/>
      <c r="JC66" s="231" t="s">
        <v>507</v>
      </c>
      <c r="JD66" s="233"/>
      <c r="JE66" s="233"/>
      <c r="JF66" s="233"/>
      <c r="JG66" s="233"/>
      <c r="JH66" s="233"/>
      <c r="JJ66" s="231" t="s">
        <v>507</v>
      </c>
      <c r="JK66" s="233"/>
      <c r="JL66" s="233"/>
      <c r="JM66" s="233"/>
      <c r="JN66" s="233"/>
      <c r="JO66" s="233"/>
      <c r="JQ66" s="231" t="s">
        <v>507</v>
      </c>
      <c r="JR66" s="233"/>
      <c r="JS66" s="233"/>
      <c r="JT66" s="233"/>
      <c r="JU66" s="233"/>
      <c r="JV66" s="233"/>
      <c r="JX66" s="231" t="s">
        <v>507</v>
      </c>
      <c r="JY66" s="233"/>
      <c r="JZ66" s="233"/>
      <c r="KA66" s="233"/>
      <c r="KB66" s="233"/>
      <c r="KC66" s="233"/>
      <c r="KE66" s="231" t="s">
        <v>507</v>
      </c>
      <c r="KF66" s="233"/>
      <c r="KG66" s="233"/>
      <c r="KH66" s="233"/>
      <c r="KI66" s="233"/>
      <c r="KJ66" s="233"/>
      <c r="KL66" s="231" t="s">
        <v>507</v>
      </c>
      <c r="KM66" s="233"/>
      <c r="KN66" s="233"/>
      <c r="KO66" s="233"/>
      <c r="KP66" s="233"/>
      <c r="KQ66" s="233"/>
      <c r="KS66" s="231" t="s">
        <v>507</v>
      </c>
      <c r="KT66" s="233"/>
      <c r="KU66" s="233"/>
      <c r="KV66" s="232"/>
      <c r="KW66" s="233"/>
      <c r="KX66" s="233"/>
      <c r="KZ66" s="231" t="s">
        <v>507</v>
      </c>
      <c r="LA66" s="233"/>
      <c r="LB66" s="234"/>
      <c r="LC66" s="234"/>
      <c r="LD66" s="234"/>
      <c r="LE66" s="233"/>
      <c r="LF66" s="581"/>
      <c r="LG66" s="231" t="s">
        <v>507</v>
      </c>
      <c r="LH66" s="234"/>
      <c r="LI66" s="234"/>
      <c r="LJ66" s="234"/>
      <c r="LK66" s="234"/>
      <c r="LL66" s="233"/>
      <c r="LM66" s="581"/>
      <c r="LN66" s="231" t="s">
        <v>507</v>
      </c>
      <c r="LO66" s="234"/>
      <c r="LP66" s="234"/>
      <c r="LQ66" s="234"/>
      <c r="LR66" s="234"/>
      <c r="LS66" s="233"/>
      <c r="LT66" s="581"/>
      <c r="LU66" s="231" t="s">
        <v>507</v>
      </c>
      <c r="LV66" s="234"/>
      <c r="LW66" s="234"/>
      <c r="LX66" s="234"/>
      <c r="LY66" s="234"/>
      <c r="LZ66" s="233"/>
      <c r="MA66" s="581"/>
      <c r="MB66" s="231" t="s">
        <v>507</v>
      </c>
      <c r="MC66" s="234"/>
      <c r="MD66" s="234"/>
      <c r="ME66" s="234"/>
      <c r="MF66" s="234"/>
      <c r="MG66" s="233"/>
      <c r="MH66" s="581"/>
    </row>
    <row r="67" spans="1:346" s="37" customFormat="1" ht="13.15" outlineLevel="1" x14ac:dyDescent="0.4">
      <c r="A67" s="48"/>
      <c r="B67" s="231" t="s">
        <v>508</v>
      </c>
      <c r="C67" s="235"/>
      <c r="D67" s="235"/>
      <c r="E67" s="235"/>
      <c r="F67" s="235"/>
      <c r="G67" s="235"/>
      <c r="H67" s="235"/>
      <c r="I67" s="235"/>
      <c r="J67" s="235"/>
      <c r="K67" s="235"/>
      <c r="L67" s="235"/>
      <c r="M67" s="235"/>
      <c r="N67" s="235">
        <f>BT67</f>
        <v>0</v>
      </c>
      <c r="O67" s="235">
        <f>CA67</f>
        <v>0</v>
      </c>
      <c r="P67" s="235">
        <f>CH67</f>
        <v>0</v>
      </c>
      <c r="Q67" s="235">
        <f>CO67</f>
        <v>0</v>
      </c>
      <c r="R67" s="235">
        <f>CV67</f>
        <v>0</v>
      </c>
      <c r="S67" s="235">
        <f>DC67</f>
        <v>0</v>
      </c>
      <c r="T67" s="235">
        <f>DJ67</f>
        <v>228</v>
      </c>
      <c r="U67" s="235">
        <f>DQ67</f>
        <v>299</v>
      </c>
      <c r="V67" s="235">
        <f>DX67</f>
        <v>365</v>
      </c>
      <c r="W67" s="235">
        <f>EE67</f>
        <v>379</v>
      </c>
      <c r="X67" s="235">
        <f>EL67</f>
        <v>450</v>
      </c>
      <c r="Y67" s="235">
        <f>ES67</f>
        <v>239</v>
      </c>
      <c r="Z67" s="235">
        <f>EZ67</f>
        <v>0</v>
      </c>
      <c r="AA67" s="235">
        <f>FG67</f>
        <v>0</v>
      </c>
      <c r="AB67" s="235">
        <f>FN67</f>
        <v>0</v>
      </c>
      <c r="AC67" s="235">
        <f>FU67</f>
        <v>0</v>
      </c>
      <c r="AD67" s="235">
        <f>GB67</f>
        <v>0</v>
      </c>
      <c r="AE67" s="235">
        <f>GI67</f>
        <v>0</v>
      </c>
      <c r="AF67" s="235">
        <f>GP67</f>
        <v>0</v>
      </c>
      <c r="AG67" s="235">
        <f>GW67</f>
        <v>0</v>
      </c>
      <c r="AH67" s="235">
        <f>HD67</f>
        <v>0</v>
      </c>
      <c r="AI67" s="235">
        <f>HK67</f>
        <v>0</v>
      </c>
      <c r="AJ67" s="235">
        <f>HR67</f>
        <v>0</v>
      </c>
      <c r="AK67" s="235">
        <f>HY67</f>
        <v>0</v>
      </c>
      <c r="AL67" s="235">
        <f>IF67</f>
        <v>0</v>
      </c>
      <c r="AM67" s="235">
        <f>IM67</f>
        <v>0</v>
      </c>
      <c r="AN67" s="235">
        <f>IT67</f>
        <v>0</v>
      </c>
      <c r="AO67" s="235">
        <f>JA67</f>
        <v>0</v>
      </c>
      <c r="AP67" s="235">
        <f>JH67</f>
        <v>0</v>
      </c>
      <c r="AQ67" s="235">
        <f>JO67</f>
        <v>0</v>
      </c>
      <c r="AR67" s="235">
        <f>JV67</f>
        <v>0</v>
      </c>
      <c r="AS67" s="235">
        <f>KC67</f>
        <v>0</v>
      </c>
      <c r="AT67" s="235">
        <f>KJ67</f>
        <v>0</v>
      </c>
      <c r="AU67" s="235">
        <f>KQ67</f>
        <v>0</v>
      </c>
      <c r="AV67" s="235">
        <f>KX67</f>
        <v>0</v>
      </c>
      <c r="AW67" s="235">
        <f>LE67</f>
        <v>0</v>
      </c>
      <c r="AX67" s="235">
        <f>LL67</f>
        <v>0</v>
      </c>
      <c r="AY67" s="235">
        <f>LS67</f>
        <v>0</v>
      </c>
      <c r="AZ67" s="235">
        <f>LZ67</f>
        <v>0</v>
      </c>
      <c r="BA67" s="235">
        <f>MG67</f>
        <v>0</v>
      </c>
      <c r="BB67" s="235"/>
      <c r="BC67" s="235"/>
      <c r="BD67" s="235"/>
      <c r="BE67" s="235"/>
      <c r="BF67" s="235"/>
      <c r="BG67" s="235"/>
      <c r="BH67" s="235"/>
      <c r="BI67" s="235"/>
      <c r="BJ67" s="235"/>
      <c r="BK67" s="235"/>
      <c r="BL67" s="235"/>
      <c r="BM67" s="235"/>
      <c r="BO67" s="231" t="s">
        <v>508</v>
      </c>
      <c r="BP67" s="233"/>
      <c r="BQ67" s="233"/>
      <c r="BR67" s="233"/>
      <c r="BS67" s="233"/>
      <c r="BT67" s="233"/>
      <c r="BV67" s="231" t="s">
        <v>508</v>
      </c>
      <c r="BW67" s="233"/>
      <c r="BX67" s="233"/>
      <c r="BY67" s="233"/>
      <c r="BZ67" s="233"/>
      <c r="CA67" s="233"/>
      <c r="CC67" s="231" t="s">
        <v>508</v>
      </c>
      <c r="CD67" s="233"/>
      <c r="CE67" s="233"/>
      <c r="CF67" s="233"/>
      <c r="CG67" s="233"/>
      <c r="CH67" s="233"/>
      <c r="CJ67" s="231" t="s">
        <v>508</v>
      </c>
      <c r="CK67" s="233"/>
      <c r="CL67" s="233"/>
      <c r="CM67" s="233"/>
      <c r="CN67" s="233"/>
      <c r="CO67" s="233"/>
      <c r="CQ67" s="231" t="s">
        <v>508</v>
      </c>
      <c r="CR67" s="233"/>
      <c r="CS67" s="233"/>
      <c r="CT67" s="233"/>
      <c r="CU67" s="233"/>
      <c r="CV67" s="233"/>
      <c r="CX67" s="231" t="s">
        <v>508</v>
      </c>
      <c r="CY67" s="233"/>
      <c r="CZ67" s="233"/>
      <c r="DA67" s="233"/>
      <c r="DB67" s="233"/>
      <c r="DC67" s="233"/>
      <c r="DE67" s="231" t="s">
        <v>508</v>
      </c>
      <c r="DF67" s="233">
        <v>51</v>
      </c>
      <c r="DG67" s="233">
        <v>54</v>
      </c>
      <c r="DH67" s="233">
        <v>59</v>
      </c>
      <c r="DI67" s="233">
        <v>64</v>
      </c>
      <c r="DJ67" s="233">
        <f>DF67+DG67+DH67+DI67</f>
        <v>228</v>
      </c>
      <c r="DL67" s="231" t="s">
        <v>508</v>
      </c>
      <c r="DM67" s="233">
        <v>68</v>
      </c>
      <c r="DN67" s="233">
        <v>75</v>
      </c>
      <c r="DO67" s="233">
        <v>78</v>
      </c>
      <c r="DP67" s="233">
        <v>78</v>
      </c>
      <c r="DQ67" s="233">
        <f>DM67+DN67+DO67+DP67</f>
        <v>299</v>
      </c>
      <c r="DS67" s="231" t="s">
        <v>508</v>
      </c>
      <c r="DT67" s="233">
        <v>86</v>
      </c>
      <c r="DU67" s="233">
        <v>98</v>
      </c>
      <c r="DV67" s="233">
        <v>88</v>
      </c>
      <c r="DW67" s="233">
        <v>93</v>
      </c>
      <c r="DX67" s="233">
        <f>DT67+DU67+DV67+DW67</f>
        <v>365</v>
      </c>
      <c r="DZ67" s="231" t="s">
        <v>508</v>
      </c>
      <c r="EA67" s="233">
        <v>100</v>
      </c>
      <c r="EB67" s="233">
        <v>93</v>
      </c>
      <c r="EC67" s="233">
        <v>84</v>
      </c>
      <c r="ED67" s="233">
        <v>102</v>
      </c>
      <c r="EE67" s="233">
        <f>EA67+EB67+EC67+ED67</f>
        <v>379</v>
      </c>
      <c r="EG67" s="231" t="s">
        <v>508</v>
      </c>
      <c r="EH67" s="233">
        <v>111</v>
      </c>
      <c r="EI67" s="233">
        <v>108</v>
      </c>
      <c r="EJ67" s="233">
        <v>102</v>
      </c>
      <c r="EK67" s="233">
        <v>129</v>
      </c>
      <c r="EL67" s="233">
        <f>EH67+EI67+EJ67+EK67</f>
        <v>450</v>
      </c>
      <c r="EN67" s="231" t="s">
        <v>508</v>
      </c>
      <c r="EO67" s="233">
        <v>119</v>
      </c>
      <c r="EP67" s="233">
        <v>120</v>
      </c>
      <c r="EQ67" s="233">
        <v>0</v>
      </c>
      <c r="ER67" s="233"/>
      <c r="ES67" s="233">
        <f>EO67+EP67+EQ67+ER67</f>
        <v>239</v>
      </c>
      <c r="EU67" s="231" t="s">
        <v>508</v>
      </c>
      <c r="EV67" s="233"/>
      <c r="EW67" s="233"/>
      <c r="EX67" s="233"/>
      <c r="EY67" s="233"/>
      <c r="EZ67" s="233"/>
      <c r="FB67" s="231" t="s">
        <v>508</v>
      </c>
      <c r="FC67" s="233"/>
      <c r="FD67" s="233"/>
      <c r="FE67" s="233"/>
      <c r="FF67" s="233"/>
      <c r="FG67" s="233"/>
      <c r="FI67" s="231" t="s">
        <v>508</v>
      </c>
      <c r="FJ67" s="233"/>
      <c r="FK67" s="233"/>
      <c r="FL67" s="233"/>
      <c r="FM67" s="233"/>
      <c r="FN67" s="233"/>
      <c r="FP67" s="231" t="s">
        <v>508</v>
      </c>
      <c r="FQ67" s="233"/>
      <c r="FR67" s="233"/>
      <c r="FS67" s="233"/>
      <c r="FT67" s="233"/>
      <c r="FU67" s="233"/>
      <c r="FW67" s="231" t="s">
        <v>508</v>
      </c>
      <c r="FX67" s="233"/>
      <c r="FY67" s="233"/>
      <c r="FZ67" s="233"/>
      <c r="GA67" s="233"/>
      <c r="GB67" s="233"/>
      <c r="GD67" s="231" t="s">
        <v>508</v>
      </c>
      <c r="GE67" s="233"/>
      <c r="GF67" s="233"/>
      <c r="GG67" s="233"/>
      <c r="GH67" s="233"/>
      <c r="GI67" s="233"/>
      <c r="GK67" s="231" t="s">
        <v>508</v>
      </c>
      <c r="GL67" s="233"/>
      <c r="GM67" s="233"/>
      <c r="GN67" s="233"/>
      <c r="GO67" s="233"/>
      <c r="GP67" s="233"/>
      <c r="GR67" s="231" t="s">
        <v>508</v>
      </c>
      <c r="GS67" s="233"/>
      <c r="GT67" s="233"/>
      <c r="GU67" s="233"/>
      <c r="GV67" s="233"/>
      <c r="GW67" s="233"/>
      <c r="GY67" s="231" t="s">
        <v>508</v>
      </c>
      <c r="GZ67" s="233"/>
      <c r="HA67" s="233"/>
      <c r="HB67" s="233"/>
      <c r="HC67" s="233"/>
      <c r="HD67" s="233"/>
      <c r="HF67" s="231" t="s">
        <v>508</v>
      </c>
      <c r="HG67" s="233"/>
      <c r="HH67" s="233"/>
      <c r="HI67" s="233"/>
      <c r="HJ67" s="233"/>
      <c r="HK67" s="233"/>
      <c r="HM67" s="231" t="s">
        <v>508</v>
      </c>
      <c r="HN67" s="233"/>
      <c r="HO67" s="233"/>
      <c r="HP67" s="233"/>
      <c r="HQ67" s="233"/>
      <c r="HR67" s="233"/>
      <c r="HT67" s="231" t="s">
        <v>508</v>
      </c>
      <c r="HU67" s="233"/>
      <c r="HV67" s="233"/>
      <c r="HW67" s="233"/>
      <c r="HX67" s="233"/>
      <c r="HY67" s="233"/>
      <c r="IA67" s="231" t="s">
        <v>508</v>
      </c>
      <c r="IB67" s="233"/>
      <c r="IC67" s="233"/>
      <c r="ID67" s="233"/>
      <c r="IE67" s="233"/>
      <c r="IF67" s="233"/>
      <c r="IH67" s="231" t="s">
        <v>508</v>
      </c>
      <c r="II67" s="233"/>
      <c r="IJ67" s="233"/>
      <c r="IK67" s="233"/>
      <c r="IL67" s="233"/>
      <c r="IM67" s="233"/>
      <c r="IO67" s="231" t="s">
        <v>508</v>
      </c>
      <c r="IP67" s="233"/>
      <c r="IQ67" s="233"/>
      <c r="IR67" s="233"/>
      <c r="IS67" s="233"/>
      <c r="IT67" s="233"/>
      <c r="IV67" s="231" t="s">
        <v>508</v>
      </c>
      <c r="IW67" s="233"/>
      <c r="IX67" s="233"/>
      <c r="IY67" s="233"/>
      <c r="IZ67" s="233"/>
      <c r="JA67" s="233"/>
      <c r="JC67" s="231" t="s">
        <v>508</v>
      </c>
      <c r="JD67" s="233"/>
      <c r="JE67" s="233"/>
      <c r="JF67" s="233"/>
      <c r="JG67" s="233"/>
      <c r="JH67" s="233"/>
      <c r="JJ67" s="231" t="s">
        <v>508</v>
      </c>
      <c r="JK67" s="233"/>
      <c r="JL67" s="233"/>
      <c r="JM67" s="233"/>
      <c r="JN67" s="233"/>
      <c r="JO67" s="233"/>
      <c r="JQ67" s="231" t="s">
        <v>508</v>
      </c>
      <c r="JR67" s="233"/>
      <c r="JS67" s="233"/>
      <c r="JT67" s="233"/>
      <c r="JU67" s="233"/>
      <c r="JV67" s="233"/>
      <c r="JX67" s="231" t="s">
        <v>508</v>
      </c>
      <c r="JY67" s="233"/>
      <c r="JZ67" s="233"/>
      <c r="KA67" s="233"/>
      <c r="KB67" s="233"/>
      <c r="KC67" s="233"/>
      <c r="KE67" s="231" t="s">
        <v>508</v>
      </c>
      <c r="KF67" s="233"/>
      <c r="KG67" s="233"/>
      <c r="KH67" s="233"/>
      <c r="KI67" s="233"/>
      <c r="KJ67" s="233"/>
      <c r="KL67" s="231" t="s">
        <v>508</v>
      </c>
      <c r="KM67" s="233"/>
      <c r="KN67" s="233"/>
      <c r="KO67" s="233"/>
      <c r="KP67" s="233"/>
      <c r="KQ67" s="233"/>
      <c r="KS67" s="231" t="s">
        <v>508</v>
      </c>
      <c r="KT67" s="233"/>
      <c r="KU67" s="233"/>
      <c r="KV67" s="232"/>
      <c r="KW67" s="233"/>
      <c r="KX67" s="233"/>
      <c r="KZ67" s="231" t="s">
        <v>508</v>
      </c>
      <c r="LA67" s="233"/>
      <c r="LB67" s="234"/>
      <c r="LC67" s="234"/>
      <c r="LD67" s="234"/>
      <c r="LE67" s="233"/>
      <c r="LF67" s="581"/>
      <c r="LG67" s="231" t="s">
        <v>508</v>
      </c>
      <c r="LH67" s="234"/>
      <c r="LI67" s="234"/>
      <c r="LJ67" s="234"/>
      <c r="LK67" s="234"/>
      <c r="LL67" s="233"/>
      <c r="LM67" s="581"/>
      <c r="LN67" s="231" t="s">
        <v>508</v>
      </c>
      <c r="LO67" s="234"/>
      <c r="LP67" s="234"/>
      <c r="LQ67" s="234"/>
      <c r="LR67" s="234"/>
      <c r="LS67" s="233"/>
      <c r="LT67" s="581"/>
      <c r="LU67" s="231" t="s">
        <v>508</v>
      </c>
      <c r="LV67" s="234"/>
      <c r="LW67" s="234"/>
      <c r="LX67" s="234"/>
      <c r="LY67" s="234"/>
      <c r="LZ67" s="233"/>
      <c r="MA67" s="581"/>
      <c r="MB67" s="231" t="s">
        <v>508</v>
      </c>
      <c r="MC67" s="234"/>
      <c r="MD67" s="234"/>
      <c r="ME67" s="234"/>
      <c r="MF67" s="234"/>
      <c r="MG67" s="233"/>
      <c r="MH67" s="581"/>
    </row>
    <row r="68" spans="1:346" s="37" customFormat="1" ht="13.15" outlineLevel="1" x14ac:dyDescent="0.4">
      <c r="A68" s="48"/>
      <c r="B68" s="231"/>
      <c r="C68" s="235"/>
      <c r="D68" s="235"/>
      <c r="E68" s="235"/>
      <c r="F68" s="235"/>
      <c r="G68" s="235"/>
      <c r="H68" s="235"/>
      <c r="I68" s="235"/>
      <c r="J68" s="235"/>
      <c r="K68" s="235"/>
      <c r="L68" s="235"/>
      <c r="M68" s="235"/>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236"/>
      <c r="AT68" s="236"/>
      <c r="AU68" s="236"/>
      <c r="AV68" s="236"/>
      <c r="AW68" s="236"/>
      <c r="AX68" s="236"/>
      <c r="AY68" s="236"/>
      <c r="AZ68" s="236"/>
      <c r="BA68" s="236"/>
      <c r="BB68" s="236"/>
      <c r="BC68" s="236"/>
      <c r="BD68" s="236"/>
      <c r="BE68" s="236"/>
      <c r="BF68" s="236"/>
      <c r="BG68" s="236"/>
      <c r="BH68" s="236"/>
      <c r="BI68" s="236"/>
      <c r="BJ68" s="236"/>
      <c r="BK68" s="236"/>
      <c r="BL68" s="236"/>
      <c r="BM68" s="236"/>
      <c r="BO68" s="231"/>
      <c r="BP68" s="233"/>
      <c r="BQ68" s="233"/>
      <c r="BR68" s="233"/>
      <c r="BS68" s="233"/>
      <c r="BT68" s="233"/>
      <c r="BV68" s="231"/>
      <c r="BW68" s="233"/>
      <c r="BX68" s="233"/>
      <c r="BY68" s="233"/>
      <c r="BZ68" s="233"/>
      <c r="CA68" s="233"/>
      <c r="CC68" s="231"/>
      <c r="CD68" s="233"/>
      <c r="CE68" s="233"/>
      <c r="CF68" s="233"/>
      <c r="CG68" s="233"/>
      <c r="CH68" s="233"/>
      <c r="CJ68" s="231"/>
      <c r="CK68" s="233"/>
      <c r="CL68" s="233"/>
      <c r="CM68" s="233"/>
      <c r="CN68" s="233"/>
      <c r="CO68" s="233"/>
      <c r="CQ68" s="231"/>
      <c r="CR68" s="233"/>
      <c r="CS68" s="233"/>
      <c r="CT68" s="233"/>
      <c r="CU68" s="233"/>
      <c r="CV68" s="233"/>
      <c r="CX68" s="231"/>
      <c r="CY68" s="233"/>
      <c r="CZ68" s="233"/>
      <c r="DA68" s="233"/>
      <c r="DB68" s="233"/>
      <c r="DC68" s="233"/>
      <c r="DE68" s="231"/>
      <c r="DF68" s="233"/>
      <c r="DG68" s="233"/>
      <c r="DH68" s="233"/>
      <c r="DI68" s="233"/>
      <c r="DJ68" s="233"/>
      <c r="DL68" s="231"/>
      <c r="DM68" s="233"/>
      <c r="DN68" s="233"/>
      <c r="DO68" s="233"/>
      <c r="DP68" s="233"/>
      <c r="DQ68" s="233"/>
      <c r="DS68" s="231"/>
      <c r="DT68" s="233"/>
      <c r="DU68" s="233"/>
      <c r="DV68" s="233"/>
      <c r="DW68" s="233"/>
      <c r="DX68" s="233"/>
      <c r="DZ68" s="231"/>
      <c r="EA68" s="233"/>
      <c r="EB68" s="233"/>
      <c r="EC68" s="233"/>
      <c r="ED68" s="233"/>
      <c r="EE68" s="233"/>
      <c r="EG68" s="231"/>
      <c r="EH68" s="233"/>
      <c r="EI68" s="233"/>
      <c r="EJ68" s="233"/>
      <c r="EK68" s="233"/>
      <c r="EL68" s="233"/>
      <c r="EN68" s="231"/>
      <c r="EO68" s="233"/>
      <c r="EP68" s="233"/>
      <c r="EQ68" s="233"/>
      <c r="ER68" s="233"/>
      <c r="ES68" s="233"/>
      <c r="EU68" s="231"/>
      <c r="EV68" s="233"/>
      <c r="EW68" s="233"/>
      <c r="EX68" s="233"/>
      <c r="EY68" s="233"/>
      <c r="EZ68" s="233"/>
      <c r="FB68" s="231"/>
      <c r="FC68" s="233"/>
      <c r="FD68" s="233"/>
      <c r="FE68" s="233"/>
      <c r="FF68" s="233"/>
      <c r="FG68" s="233"/>
      <c r="FI68" s="231"/>
      <c r="FJ68" s="233"/>
      <c r="FK68" s="233"/>
      <c r="FL68" s="233"/>
      <c r="FM68" s="233"/>
      <c r="FN68" s="233"/>
      <c r="FP68" s="231"/>
      <c r="FQ68" s="233"/>
      <c r="FR68" s="233"/>
      <c r="FS68" s="233"/>
      <c r="FT68" s="233"/>
      <c r="FU68" s="233"/>
      <c r="FW68" s="231"/>
      <c r="FX68" s="233"/>
      <c r="FY68" s="233"/>
      <c r="FZ68" s="233"/>
      <c r="GA68" s="233"/>
      <c r="GB68" s="233"/>
      <c r="GD68" s="231"/>
      <c r="GE68" s="233"/>
      <c r="GF68" s="233"/>
      <c r="GG68" s="233"/>
      <c r="GH68" s="233"/>
      <c r="GI68" s="233"/>
      <c r="GK68" s="231"/>
      <c r="GL68" s="233"/>
      <c r="GM68" s="233"/>
      <c r="GN68" s="233"/>
      <c r="GO68" s="233"/>
      <c r="GP68" s="233"/>
      <c r="GR68" s="231"/>
      <c r="GS68" s="233"/>
      <c r="GT68" s="233"/>
      <c r="GU68" s="233"/>
      <c r="GV68" s="233"/>
      <c r="GW68" s="233"/>
      <c r="GY68" s="231"/>
      <c r="GZ68" s="233"/>
      <c r="HA68" s="233"/>
      <c r="HB68" s="233"/>
      <c r="HC68" s="233"/>
      <c r="HD68" s="233"/>
      <c r="HF68" s="231"/>
      <c r="HG68" s="233"/>
      <c r="HH68" s="233"/>
      <c r="HI68" s="233"/>
      <c r="HJ68" s="233"/>
      <c r="HK68" s="233"/>
      <c r="HM68" s="231"/>
      <c r="HN68" s="233"/>
      <c r="HO68" s="233"/>
      <c r="HP68" s="233"/>
      <c r="HQ68" s="233"/>
      <c r="HR68" s="233"/>
      <c r="HT68" s="231"/>
      <c r="HU68" s="233"/>
      <c r="HV68" s="233"/>
      <c r="HW68" s="233"/>
      <c r="HX68" s="233"/>
      <c r="HY68" s="233"/>
      <c r="IA68" s="231"/>
      <c r="IB68" s="233"/>
      <c r="IC68" s="233"/>
      <c r="ID68" s="233"/>
      <c r="IE68" s="233"/>
      <c r="IF68" s="233"/>
      <c r="IH68" s="231"/>
      <c r="II68" s="233"/>
      <c r="IJ68" s="233"/>
      <c r="IK68" s="233"/>
      <c r="IL68" s="233"/>
      <c r="IM68" s="233"/>
      <c r="IO68" s="231"/>
      <c r="IP68" s="233"/>
      <c r="IQ68" s="233"/>
      <c r="IR68" s="233"/>
      <c r="IS68" s="233"/>
      <c r="IT68" s="233"/>
      <c r="IV68" s="231"/>
      <c r="IW68" s="233"/>
      <c r="IX68" s="233"/>
      <c r="IY68" s="233"/>
      <c r="IZ68" s="233"/>
      <c r="JA68" s="233"/>
      <c r="JC68" s="231"/>
      <c r="JD68" s="233"/>
      <c r="JE68" s="233"/>
      <c r="JF68" s="233"/>
      <c r="JG68" s="233"/>
      <c r="JH68" s="233"/>
      <c r="JJ68" s="231"/>
      <c r="JK68" s="233"/>
      <c r="JL68" s="233"/>
      <c r="JM68" s="233"/>
      <c r="JN68" s="233"/>
      <c r="JO68" s="233"/>
      <c r="JQ68" s="231"/>
      <c r="JR68" s="233"/>
      <c r="JS68" s="233"/>
      <c r="JT68" s="233"/>
      <c r="JU68" s="233"/>
      <c r="JV68" s="233"/>
      <c r="JX68" s="231"/>
      <c r="JY68" s="233"/>
      <c r="JZ68" s="233"/>
      <c r="KA68" s="233"/>
      <c r="KB68" s="233"/>
      <c r="KC68" s="233"/>
      <c r="KE68" s="231"/>
      <c r="KF68" s="233"/>
      <c r="KG68" s="233"/>
      <c r="KH68" s="233"/>
      <c r="KI68" s="233"/>
      <c r="KJ68" s="233"/>
      <c r="KL68" s="231"/>
      <c r="KM68" s="233"/>
      <c r="KN68" s="233"/>
      <c r="KO68" s="233"/>
      <c r="KP68" s="233"/>
      <c r="KQ68" s="233"/>
      <c r="KS68" s="231"/>
      <c r="KT68" s="233"/>
      <c r="KU68" s="233"/>
      <c r="KV68" s="232"/>
      <c r="KW68" s="233"/>
      <c r="KX68" s="233"/>
      <c r="KZ68" s="231"/>
      <c r="LA68" s="233"/>
      <c r="LB68" s="234"/>
      <c r="LC68" s="234"/>
      <c r="LD68" s="234"/>
      <c r="LE68" s="233"/>
      <c r="LF68" s="581"/>
      <c r="LG68" s="231"/>
      <c r="LH68" s="234"/>
      <c r="LI68" s="234"/>
      <c r="LJ68" s="234"/>
      <c r="LK68" s="234"/>
      <c r="LL68" s="233"/>
      <c r="LM68" s="581"/>
      <c r="LN68" s="231"/>
      <c r="LO68" s="234"/>
      <c r="LP68" s="234"/>
      <c r="LQ68" s="234"/>
      <c r="LR68" s="234"/>
      <c r="LS68" s="233"/>
      <c r="LT68" s="581"/>
      <c r="LU68" s="231"/>
      <c r="LV68" s="234"/>
      <c r="LW68" s="234"/>
      <c r="LX68" s="234"/>
      <c r="LY68" s="234"/>
      <c r="LZ68" s="233"/>
      <c r="MA68" s="581"/>
      <c r="MB68" s="231"/>
      <c r="MC68" s="234"/>
      <c r="MD68" s="234"/>
      <c r="ME68" s="234"/>
      <c r="MF68" s="234"/>
      <c r="MG68" s="233"/>
      <c r="MH68" s="581"/>
    </row>
    <row r="69" spans="1:346" s="37" customFormat="1" ht="13.15" outlineLevel="1" x14ac:dyDescent="0.4">
      <c r="A69" s="48"/>
      <c r="B69" s="231" t="s">
        <v>509</v>
      </c>
      <c r="C69" s="235"/>
      <c r="D69" s="235"/>
      <c r="E69" s="235"/>
      <c r="F69" s="235"/>
      <c r="G69" s="235"/>
      <c r="H69" s="235"/>
      <c r="I69" s="235"/>
      <c r="J69" s="235"/>
      <c r="K69" s="235"/>
      <c r="L69" s="235"/>
      <c r="M69" s="235">
        <f>[17]CSX_IS!M77</f>
        <v>-164</v>
      </c>
      <c r="N69" s="235">
        <f>BT69</f>
        <v>-205</v>
      </c>
      <c r="O69" s="235">
        <f>CA69</f>
        <v>-209</v>
      </c>
      <c r="P69" s="235">
        <f>CH69</f>
        <v>-243</v>
      </c>
      <c r="Q69" s="235">
        <f>CO69</f>
        <v>-214</v>
      </c>
      <c r="R69" s="235">
        <f>CV69</f>
        <v>-69</v>
      </c>
      <c r="S69" s="235">
        <f>DC69</f>
        <v>-58</v>
      </c>
      <c r="T69" s="235">
        <f>DJ69</f>
        <v>-24</v>
      </c>
      <c r="U69" s="235">
        <f>DQ69</f>
        <v>-22</v>
      </c>
      <c r="V69" s="235">
        <f>DX69</f>
        <v>307</v>
      </c>
      <c r="W69" s="235">
        <f>EE69</f>
        <v>-47</v>
      </c>
      <c r="X69" s="235">
        <f>EL69</f>
        <v>-64</v>
      </c>
      <c r="Y69" s="235">
        <f>ES69</f>
        <v>-33</v>
      </c>
      <c r="Z69" s="235">
        <f>EZ69</f>
        <v>-8</v>
      </c>
      <c r="AA69" s="235">
        <f>FG69</f>
        <v>-27</v>
      </c>
      <c r="AB69" s="235">
        <f>FN69</f>
        <v>128</v>
      </c>
      <c r="AC69" s="235">
        <f>FU69</f>
        <v>0</v>
      </c>
      <c r="AD69" s="235">
        <f>GB69</f>
        <v>0</v>
      </c>
      <c r="AE69" s="235">
        <f>GI69</f>
        <v>0</v>
      </c>
      <c r="AF69" s="235">
        <f>GP69</f>
        <v>0</v>
      </c>
      <c r="AG69" s="235">
        <f>GW69</f>
        <v>0</v>
      </c>
      <c r="AH69" s="235">
        <f>HD69</f>
        <v>0</v>
      </c>
      <c r="AI69" s="235">
        <f>HK69</f>
        <v>0</v>
      </c>
      <c r="AJ69" s="235">
        <f>HR69</f>
        <v>0</v>
      </c>
      <c r="AK69" s="235">
        <f>HY69</f>
        <v>0</v>
      </c>
      <c r="AL69" s="235">
        <f>IF69</f>
        <v>0</v>
      </c>
      <c r="AM69" s="235">
        <f>IM69</f>
        <v>0</v>
      </c>
      <c r="AN69" s="235">
        <f>IT69</f>
        <v>0</v>
      </c>
      <c r="AO69" s="235">
        <f>JA69</f>
        <v>0</v>
      </c>
      <c r="AP69" s="235">
        <f>JH69</f>
        <v>0</v>
      </c>
      <c r="AQ69" s="235">
        <f>JO69</f>
        <v>0</v>
      </c>
      <c r="AR69" s="235">
        <f>JV69</f>
        <v>0</v>
      </c>
      <c r="AS69" s="235">
        <f>KC69</f>
        <v>0</v>
      </c>
      <c r="AT69" s="235">
        <f>KJ69</f>
        <v>0</v>
      </c>
      <c r="AU69" s="235">
        <f>KQ69</f>
        <v>0</v>
      </c>
      <c r="AV69" s="235">
        <f>KX69</f>
        <v>0</v>
      </c>
      <c r="AW69" s="235">
        <f>LE69</f>
        <v>0</v>
      </c>
      <c r="AX69" s="235">
        <f>LL69</f>
        <v>0</v>
      </c>
      <c r="AY69" s="235">
        <f>LS69</f>
        <v>0</v>
      </c>
      <c r="AZ69" s="235">
        <f>LZ69</f>
        <v>0</v>
      </c>
      <c r="BA69" s="235">
        <f>MG69</f>
        <v>0</v>
      </c>
      <c r="BB69" s="235"/>
      <c r="BC69" s="235"/>
      <c r="BD69" s="235"/>
      <c r="BE69" s="235"/>
      <c r="BF69" s="235"/>
      <c r="BG69" s="235"/>
      <c r="BH69" s="235"/>
      <c r="BI69" s="235"/>
      <c r="BJ69" s="235"/>
      <c r="BK69" s="235"/>
      <c r="BL69" s="235"/>
      <c r="BM69" s="235"/>
      <c r="BO69" s="231" t="s">
        <v>509</v>
      </c>
      <c r="BP69" s="233">
        <v>-46</v>
      </c>
      <c r="BQ69" s="233">
        <v>-51</v>
      </c>
      <c r="BR69" s="233">
        <v>-58</v>
      </c>
      <c r="BS69" s="233">
        <v>-50</v>
      </c>
      <c r="BT69" s="233">
        <f>BP69+BQ69+BR69+BS69</f>
        <v>-205</v>
      </c>
      <c r="BV69" s="231" t="s">
        <v>509</v>
      </c>
      <c r="BW69" s="233">
        <v>-47</v>
      </c>
      <c r="BX69" s="233">
        <v>-50</v>
      </c>
      <c r="BY69" s="233">
        <v>-56</v>
      </c>
      <c r="BZ69" s="233">
        <v>-56</v>
      </c>
      <c r="CA69" s="233">
        <f>BW69+BX69+BY69+BZ69</f>
        <v>-209</v>
      </c>
      <c r="CC69" s="231" t="s">
        <v>509</v>
      </c>
      <c r="CD69" s="233">
        <v>-53</v>
      </c>
      <c r="CE69" s="233">
        <v>-60</v>
      </c>
      <c r="CF69" s="233">
        <v>-65</v>
      </c>
      <c r="CG69" s="233">
        <v>-65</v>
      </c>
      <c r="CH69" s="233">
        <f>CD69+CE69+CF69+CG69</f>
        <v>-243</v>
      </c>
      <c r="CJ69" s="231" t="s">
        <v>509</v>
      </c>
      <c r="CK69" s="233">
        <v>-56</v>
      </c>
      <c r="CL69" s="233">
        <v>-55</v>
      </c>
      <c r="CM69" s="233">
        <v>-53</v>
      </c>
      <c r="CN69" s="233">
        <v>-50</v>
      </c>
      <c r="CO69" s="233">
        <f>CK69+CL69+CM69+CN69</f>
        <v>-214</v>
      </c>
      <c r="CQ69" s="231" t="s">
        <v>509</v>
      </c>
      <c r="CR69" s="233">
        <v>-14</v>
      </c>
      <c r="CS69" s="233">
        <v>-10</v>
      </c>
      <c r="CT69" s="233">
        <v>-26</v>
      </c>
      <c r="CU69" s="233">
        <v>-19</v>
      </c>
      <c r="CV69" s="233">
        <f>CR69+CS69+CT69+CU69</f>
        <v>-69</v>
      </c>
      <c r="CX69" s="231" t="s">
        <v>509</v>
      </c>
      <c r="CY69" s="233">
        <v>-11</v>
      </c>
      <c r="CZ69" s="233">
        <v>-9</v>
      </c>
      <c r="DA69" s="233">
        <v>-20</v>
      </c>
      <c r="DB69" s="233">
        <v>-18</v>
      </c>
      <c r="DC69" s="233">
        <f>CY69+CZ69+DA69+DB69</f>
        <v>-58</v>
      </c>
      <c r="DE69" s="231" t="s">
        <v>509</v>
      </c>
      <c r="DF69" s="233">
        <v>-7</v>
      </c>
      <c r="DG69" s="233">
        <v>-8</v>
      </c>
      <c r="DH69" s="233">
        <v>-4</v>
      </c>
      <c r="DI69" s="233">
        <v>-5</v>
      </c>
      <c r="DJ69" s="233">
        <f>DF69+DG69+DH69+DI69</f>
        <v>-24</v>
      </c>
      <c r="DL69" s="231" t="s">
        <v>509</v>
      </c>
      <c r="DM69" s="233">
        <v>-5</v>
      </c>
      <c r="DN69" s="233">
        <v>-7</v>
      </c>
      <c r="DO69" s="233">
        <v>-5</v>
      </c>
      <c r="DP69" s="233">
        <v>-5</v>
      </c>
      <c r="DQ69" s="233">
        <f>DM69+DN69+DO69+DP69</f>
        <v>-22</v>
      </c>
      <c r="DS69" s="231" t="s">
        <v>509</v>
      </c>
      <c r="DT69" s="233">
        <v>-5</v>
      </c>
      <c r="DU69" s="233">
        <v>-6</v>
      </c>
      <c r="DV69" s="233">
        <v>151</v>
      </c>
      <c r="DW69" s="233">
        <v>167</v>
      </c>
      <c r="DX69" s="233">
        <f>DT69+DU69+DV69+DW69</f>
        <v>307</v>
      </c>
      <c r="DZ69" s="231" t="s">
        <v>509</v>
      </c>
      <c r="EA69" s="233">
        <v>-14</v>
      </c>
      <c r="EB69" s="233">
        <v>-14</v>
      </c>
      <c r="EC69" s="233">
        <v>-14</v>
      </c>
      <c r="ED69" s="233">
        <v>-5</v>
      </c>
      <c r="EE69" s="233">
        <f>EA69+EB69+EC69+ED69</f>
        <v>-47</v>
      </c>
      <c r="EG69" s="231" t="s">
        <v>509</v>
      </c>
      <c r="EH69" s="233">
        <v>-18</v>
      </c>
      <c r="EI69" s="233">
        <v>-19</v>
      </c>
      <c r="EJ69" s="233">
        <v>-12</v>
      </c>
      <c r="EK69" s="233">
        <v>-15</v>
      </c>
      <c r="EL69" s="233">
        <f>EH69+EI69+EJ69+EK69</f>
        <v>-64</v>
      </c>
      <c r="EN69" s="231" t="s">
        <v>509</v>
      </c>
      <c r="EO69" s="233">
        <v>-18</v>
      </c>
      <c r="EP69" s="233">
        <v>-5</v>
      </c>
      <c r="EQ69" s="233">
        <v>-5</v>
      </c>
      <c r="ER69" s="233">
        <v>-5</v>
      </c>
      <c r="ES69" s="233">
        <f>EO69+EP69+EQ69+ER69</f>
        <v>-33</v>
      </c>
      <c r="EU69" s="231" t="s">
        <v>509</v>
      </c>
      <c r="EV69" s="233">
        <v>-5</v>
      </c>
      <c r="EW69" s="233">
        <v>2</v>
      </c>
      <c r="EX69" s="233">
        <v>-1</v>
      </c>
      <c r="EY69" s="233">
        <v>-4</v>
      </c>
      <c r="EZ69" s="233">
        <f>EV69+EW69+EX69+EY69</f>
        <v>-8</v>
      </c>
      <c r="FB69" s="231" t="s">
        <v>509</v>
      </c>
      <c r="FC69" s="233">
        <v>-5</v>
      </c>
      <c r="FD69" s="233">
        <v>-8</v>
      </c>
      <c r="FE69" s="233">
        <v>-10</v>
      </c>
      <c r="FF69" s="233">
        <v>-4</v>
      </c>
      <c r="FG69" s="233">
        <f>FC69+FD69+FE69+FF69</f>
        <v>-27</v>
      </c>
      <c r="FI69" s="231" t="s">
        <v>509</v>
      </c>
      <c r="FJ69" s="233">
        <v>127</v>
      </c>
      <c r="FK69" s="233">
        <v>1</v>
      </c>
      <c r="FL69" s="233">
        <v>0</v>
      </c>
      <c r="FM69" s="233">
        <v>0</v>
      </c>
      <c r="FN69" s="233">
        <f>FJ69+FK69+FL69+FM69</f>
        <v>128</v>
      </c>
      <c r="FP69" s="231" t="s">
        <v>509</v>
      </c>
      <c r="FQ69" s="233">
        <v>0</v>
      </c>
      <c r="FR69" s="233">
        <v>0</v>
      </c>
      <c r="FS69" s="233">
        <v>0</v>
      </c>
      <c r="FT69" s="233">
        <v>0</v>
      </c>
      <c r="FU69" s="233">
        <f>FQ69+FR69+FS69+FT69</f>
        <v>0</v>
      </c>
      <c r="FW69" s="231" t="s">
        <v>509</v>
      </c>
      <c r="FX69" s="233">
        <v>0</v>
      </c>
      <c r="FY69" s="233">
        <v>0</v>
      </c>
      <c r="FZ69" s="233">
        <v>0</v>
      </c>
      <c r="GA69" s="233">
        <v>0</v>
      </c>
      <c r="GB69" s="233">
        <f>FX69+FY69+FZ69+GA69</f>
        <v>0</v>
      </c>
      <c r="GD69" s="231" t="s">
        <v>509</v>
      </c>
      <c r="GE69" s="233"/>
      <c r="GF69" s="233"/>
      <c r="GG69" s="233"/>
      <c r="GH69" s="233"/>
      <c r="GI69" s="233"/>
      <c r="GK69" s="231" t="s">
        <v>509</v>
      </c>
      <c r="GL69" s="233"/>
      <c r="GM69" s="233"/>
      <c r="GN69" s="233"/>
      <c r="GO69" s="233"/>
      <c r="GP69" s="233"/>
      <c r="GR69" s="231" t="s">
        <v>509</v>
      </c>
      <c r="GS69" s="233"/>
      <c r="GT69" s="233"/>
      <c r="GU69" s="233"/>
      <c r="GV69" s="233"/>
      <c r="GW69" s="233"/>
      <c r="GY69" s="231" t="s">
        <v>509</v>
      </c>
      <c r="GZ69" s="233"/>
      <c r="HA69" s="233"/>
      <c r="HB69" s="233"/>
      <c r="HC69" s="233"/>
      <c r="HD69" s="233"/>
      <c r="HF69" s="231" t="s">
        <v>509</v>
      </c>
      <c r="HG69" s="233"/>
      <c r="HH69" s="233"/>
      <c r="HI69" s="233"/>
      <c r="HJ69" s="233"/>
      <c r="HK69" s="233"/>
      <c r="HM69" s="231" t="s">
        <v>509</v>
      </c>
      <c r="HN69" s="233"/>
      <c r="HO69" s="233"/>
      <c r="HP69" s="233"/>
      <c r="HQ69" s="233"/>
      <c r="HR69" s="233"/>
      <c r="HT69" s="231" t="s">
        <v>509</v>
      </c>
      <c r="HU69" s="233"/>
      <c r="HV69" s="233"/>
      <c r="HW69" s="233"/>
      <c r="HX69" s="233"/>
      <c r="HY69" s="233"/>
      <c r="IA69" s="231" t="s">
        <v>509</v>
      </c>
      <c r="IB69" s="233"/>
      <c r="IC69" s="233"/>
      <c r="ID69" s="233"/>
      <c r="IE69" s="233"/>
      <c r="IF69" s="233"/>
      <c r="IH69" s="231" t="s">
        <v>509</v>
      </c>
      <c r="II69" s="233"/>
      <c r="IJ69" s="233"/>
      <c r="IK69" s="233"/>
      <c r="IL69" s="233"/>
      <c r="IM69" s="233"/>
      <c r="IO69" s="231" t="s">
        <v>509</v>
      </c>
      <c r="IP69" s="233"/>
      <c r="IQ69" s="233"/>
      <c r="IR69" s="233"/>
      <c r="IS69" s="233"/>
      <c r="IT69" s="233"/>
      <c r="IV69" s="231" t="s">
        <v>509</v>
      </c>
      <c r="IW69" s="233"/>
      <c r="IX69" s="233"/>
      <c r="IY69" s="233"/>
      <c r="IZ69" s="233"/>
      <c r="JA69" s="233"/>
      <c r="JC69" s="231" t="s">
        <v>509</v>
      </c>
      <c r="JD69" s="233"/>
      <c r="JE69" s="233"/>
      <c r="JF69" s="233"/>
      <c r="JG69" s="233"/>
      <c r="JH69" s="233"/>
      <c r="JJ69" s="231" t="s">
        <v>509</v>
      </c>
      <c r="JK69" s="233"/>
      <c r="JL69" s="233"/>
      <c r="JM69" s="233"/>
      <c r="JN69" s="233"/>
      <c r="JO69" s="233"/>
      <c r="JQ69" s="231" t="s">
        <v>509</v>
      </c>
      <c r="JR69" s="233"/>
      <c r="JS69" s="233"/>
      <c r="JT69" s="233"/>
      <c r="JU69" s="233"/>
      <c r="JV69" s="233"/>
      <c r="JX69" s="231" t="s">
        <v>509</v>
      </c>
      <c r="JY69" s="233"/>
      <c r="JZ69" s="233"/>
      <c r="KA69" s="233"/>
      <c r="KB69" s="233"/>
      <c r="KC69" s="233"/>
      <c r="KE69" s="231" t="s">
        <v>509</v>
      </c>
      <c r="KF69" s="233"/>
      <c r="KG69" s="233"/>
      <c r="KH69" s="233"/>
      <c r="KI69" s="233"/>
      <c r="KJ69" s="233"/>
      <c r="KL69" s="231" t="s">
        <v>509</v>
      </c>
      <c r="KM69" s="233"/>
      <c r="KN69" s="233"/>
      <c r="KO69" s="233"/>
      <c r="KP69" s="233"/>
      <c r="KQ69" s="233"/>
      <c r="KS69" s="231" t="s">
        <v>509</v>
      </c>
      <c r="KT69" s="233"/>
      <c r="KU69" s="233"/>
      <c r="KV69" s="232"/>
      <c r="KW69" s="233"/>
      <c r="KX69" s="233"/>
      <c r="KZ69" s="231" t="s">
        <v>509</v>
      </c>
      <c r="LA69" s="233"/>
      <c r="LB69" s="234"/>
      <c r="LC69" s="234"/>
      <c r="LD69" s="234"/>
      <c r="LE69" s="233"/>
      <c r="LF69" s="581"/>
      <c r="LG69" s="231" t="s">
        <v>509</v>
      </c>
      <c r="LH69" s="234"/>
      <c r="LI69" s="234"/>
      <c r="LJ69" s="234"/>
      <c r="LK69" s="234"/>
      <c r="LL69" s="233"/>
      <c r="LM69" s="581"/>
      <c r="LN69" s="231" t="s">
        <v>509</v>
      </c>
      <c r="LO69" s="234"/>
      <c r="LP69" s="234"/>
      <c r="LQ69" s="234"/>
      <c r="LR69" s="234"/>
      <c r="LS69" s="233"/>
      <c r="LT69" s="581"/>
      <c r="LU69" s="231" t="s">
        <v>509</v>
      </c>
      <c r="LV69" s="234"/>
      <c r="LW69" s="234"/>
      <c r="LX69" s="234"/>
      <c r="LY69" s="234"/>
      <c r="LZ69" s="233"/>
      <c r="MA69" s="581"/>
      <c r="MB69" s="231" t="s">
        <v>509</v>
      </c>
      <c r="MC69" s="234"/>
      <c r="MD69" s="234"/>
      <c r="ME69" s="234"/>
      <c r="MF69" s="234"/>
      <c r="MG69" s="233"/>
      <c r="MH69" s="581"/>
    </row>
    <row r="70" spans="1:346" s="37" customFormat="1" ht="13.15" outlineLevel="1" x14ac:dyDescent="0.4">
      <c r="A70" s="48"/>
      <c r="B70" s="231" t="s">
        <v>507</v>
      </c>
      <c r="C70" s="235"/>
      <c r="D70" s="235"/>
      <c r="E70" s="235"/>
      <c r="F70" s="235"/>
      <c r="G70" s="235"/>
      <c r="H70" s="235"/>
      <c r="I70" s="235"/>
      <c r="J70" s="235"/>
      <c r="K70" s="235"/>
      <c r="L70" s="235"/>
      <c r="M70" s="235">
        <f>[17]CSX_IS!M996-M69</f>
        <v>-34</v>
      </c>
      <c r="N70" s="235">
        <f>BT70</f>
        <v>-145</v>
      </c>
      <c r="O70" s="235">
        <f>CA70</f>
        <v>-141</v>
      </c>
      <c r="P70" s="235">
        <f>CH70</f>
        <v>-177</v>
      </c>
      <c r="Q70" s="235">
        <f>CO70</f>
        <v>-130</v>
      </c>
      <c r="R70" s="235">
        <f>CV70</f>
        <v>7</v>
      </c>
      <c r="S70" s="235">
        <f>DC70</f>
        <v>4</v>
      </c>
      <c r="T70" s="235">
        <f>DJ70</f>
        <v>45</v>
      </c>
      <c r="U70" s="235">
        <f>DQ70</f>
        <v>65</v>
      </c>
      <c r="V70" s="235">
        <f>DX70</f>
        <v>320</v>
      </c>
      <c r="W70" s="235">
        <f>EE70</f>
        <v>19</v>
      </c>
      <c r="X70" s="235">
        <f>EL70</f>
        <v>-23</v>
      </c>
      <c r="Y70" s="235">
        <f>ES70</f>
        <v>-53</v>
      </c>
      <c r="Z70" s="235">
        <f>EZ70</f>
        <v>-15</v>
      </c>
      <c r="AA70" s="235">
        <f>FG70</f>
        <v>-52</v>
      </c>
      <c r="AB70" s="235">
        <f>FN70</f>
        <v>119</v>
      </c>
      <c r="AC70" s="235">
        <f>FU70</f>
        <v>-17</v>
      </c>
      <c r="AD70" s="235">
        <f>GB70</f>
        <v>-1</v>
      </c>
      <c r="AE70" s="235">
        <f>GI70</f>
        <v>0</v>
      </c>
      <c r="AF70" s="235">
        <f>GP70</f>
        <v>0</v>
      </c>
      <c r="AG70" s="235">
        <f>GW70</f>
        <v>0</v>
      </c>
      <c r="AH70" s="235">
        <f>HD70</f>
        <v>0</v>
      </c>
      <c r="AI70" s="235">
        <f>HK70</f>
        <v>0</v>
      </c>
      <c r="AJ70" s="235">
        <f>HR70</f>
        <v>0</v>
      </c>
      <c r="AK70" s="235">
        <f>HY70</f>
        <v>0</v>
      </c>
      <c r="AL70" s="235">
        <f>IF70</f>
        <v>0</v>
      </c>
      <c r="AM70" s="235">
        <f>IM70</f>
        <v>0</v>
      </c>
      <c r="AN70" s="235">
        <f>IT70</f>
        <v>0</v>
      </c>
      <c r="AO70" s="235">
        <f>JA70</f>
        <v>0</v>
      </c>
      <c r="AP70" s="235">
        <f>JH70</f>
        <v>0</v>
      </c>
      <c r="AQ70" s="235">
        <f>JO70</f>
        <v>0</v>
      </c>
      <c r="AR70" s="235">
        <f>JV70</f>
        <v>0</v>
      </c>
      <c r="AS70" s="235">
        <f>KC70</f>
        <v>0</v>
      </c>
      <c r="AT70" s="235">
        <f>KJ70</f>
        <v>0</v>
      </c>
      <c r="AU70" s="235">
        <f>KQ70</f>
        <v>0</v>
      </c>
      <c r="AV70" s="235">
        <f>KX70</f>
        <v>0</v>
      </c>
      <c r="AW70" s="235">
        <f>LE70</f>
        <v>0</v>
      </c>
      <c r="AX70" s="235">
        <f>LL70</f>
        <v>0</v>
      </c>
      <c r="AY70" s="235">
        <f>LS70</f>
        <v>0</v>
      </c>
      <c r="AZ70" s="235">
        <f>LZ70</f>
        <v>0</v>
      </c>
      <c r="BA70" s="235">
        <f>MG70</f>
        <v>0</v>
      </c>
      <c r="BB70" s="235"/>
      <c r="BC70" s="235"/>
      <c r="BD70" s="235"/>
      <c r="BE70" s="235"/>
      <c r="BF70" s="235"/>
      <c r="BG70" s="235"/>
      <c r="BH70" s="235"/>
      <c r="BI70" s="235"/>
      <c r="BJ70" s="235"/>
      <c r="BK70" s="235"/>
      <c r="BL70" s="235"/>
      <c r="BM70" s="235"/>
      <c r="BO70" s="231" t="s">
        <v>507</v>
      </c>
      <c r="BP70" s="233">
        <v>-34</v>
      </c>
      <c r="BQ70" s="233">
        <v>-36</v>
      </c>
      <c r="BR70" s="233">
        <v>-43</v>
      </c>
      <c r="BS70" s="233">
        <v>-32</v>
      </c>
      <c r="BT70" s="233">
        <f>BP70+BQ70+BR70+BS70</f>
        <v>-145</v>
      </c>
      <c r="BV70" s="231" t="s">
        <v>507</v>
      </c>
      <c r="BW70" s="233">
        <v>-32</v>
      </c>
      <c r="BX70" s="233">
        <v>-33</v>
      </c>
      <c r="BY70" s="233">
        <v>-38</v>
      </c>
      <c r="BZ70" s="233">
        <v>-38</v>
      </c>
      <c r="CA70" s="233">
        <f>BW70+BX70+BY70+BZ70</f>
        <v>-141</v>
      </c>
      <c r="CC70" s="231" t="s">
        <v>507</v>
      </c>
      <c r="CD70" s="233">
        <v>-37</v>
      </c>
      <c r="CE70" s="233">
        <v>-44</v>
      </c>
      <c r="CF70" s="233">
        <v>-47</v>
      </c>
      <c r="CG70" s="233">
        <v>-49</v>
      </c>
      <c r="CH70" s="233">
        <f>CD70+CE70+CF70+CG70</f>
        <v>-177</v>
      </c>
      <c r="CJ70" s="231" t="s">
        <v>507</v>
      </c>
      <c r="CK70" s="233">
        <v>-39</v>
      </c>
      <c r="CL70" s="233">
        <v>-31</v>
      </c>
      <c r="CM70" s="233">
        <v>-35</v>
      </c>
      <c r="CN70" s="233">
        <v>-25</v>
      </c>
      <c r="CO70" s="233">
        <f>CK70+CL70+CM70+CN70</f>
        <v>-130</v>
      </c>
      <c r="CQ70" s="231" t="s">
        <v>507</v>
      </c>
      <c r="CR70" s="233">
        <v>0</v>
      </c>
      <c r="CS70" s="233">
        <v>13</v>
      </c>
      <c r="CT70" s="233">
        <v>-7</v>
      </c>
      <c r="CU70" s="233">
        <v>1</v>
      </c>
      <c r="CV70" s="233">
        <f>CR70+CS70+CT70+CU70</f>
        <v>7</v>
      </c>
      <c r="CX70" s="231" t="s">
        <v>507</v>
      </c>
      <c r="CY70" s="233">
        <v>3</v>
      </c>
      <c r="CZ70" s="233">
        <v>2</v>
      </c>
      <c r="DA70" s="233">
        <v>0</v>
      </c>
      <c r="DB70" s="233">
        <v>-1</v>
      </c>
      <c r="DC70" s="233">
        <f>CY70+CZ70+DA70+DB70</f>
        <v>4</v>
      </c>
      <c r="DE70" s="231" t="s">
        <v>507</v>
      </c>
      <c r="DF70" s="233">
        <v>16</v>
      </c>
      <c r="DG70" s="233">
        <v>5</v>
      </c>
      <c r="DH70" s="233">
        <v>12</v>
      </c>
      <c r="DI70" s="233">
        <v>12</v>
      </c>
      <c r="DJ70" s="233">
        <f>DF70+DG70+DH70+DI70</f>
        <v>45</v>
      </c>
      <c r="DL70" s="231" t="s">
        <v>507</v>
      </c>
      <c r="DM70" s="233">
        <v>11</v>
      </c>
      <c r="DN70" s="233">
        <v>16</v>
      </c>
      <c r="DO70" s="233">
        <v>19</v>
      </c>
      <c r="DP70" s="233">
        <v>19</v>
      </c>
      <c r="DQ70" s="233">
        <f>DM70+DN70+DO70+DP70</f>
        <v>65</v>
      </c>
      <c r="DS70" s="231" t="s">
        <v>507</v>
      </c>
      <c r="DT70" s="233">
        <v>7</v>
      </c>
      <c r="DU70" s="233">
        <v>14</v>
      </c>
      <c r="DV70" s="233">
        <v>149</v>
      </c>
      <c r="DW70" s="233">
        <v>150</v>
      </c>
      <c r="DX70" s="233">
        <f>DT70+DU70+DV70+DW70</f>
        <v>320</v>
      </c>
      <c r="DZ70" s="231" t="s">
        <v>507</v>
      </c>
      <c r="EA70" s="233">
        <v>3</v>
      </c>
      <c r="EB70" s="233">
        <v>4</v>
      </c>
      <c r="EC70" s="233">
        <f>-6+-8+24</f>
        <v>10</v>
      </c>
      <c r="ED70" s="233">
        <v>2</v>
      </c>
      <c r="EE70" s="233">
        <f>EA70+EB70+EC70+ED70</f>
        <v>19</v>
      </c>
      <c r="EG70" s="231" t="s">
        <v>507</v>
      </c>
      <c r="EH70" s="233">
        <v>0</v>
      </c>
      <c r="EI70" s="233">
        <v>-30</v>
      </c>
      <c r="EJ70" s="233">
        <f>-7-11-1+15</f>
        <v>-4</v>
      </c>
      <c r="EK70" s="233">
        <f>7-10-2+16</f>
        <v>11</v>
      </c>
      <c r="EL70" s="233">
        <f>EH70+EI70+EJ70+EK70</f>
        <v>-23</v>
      </c>
      <c r="EN70" s="231" t="s">
        <v>507</v>
      </c>
      <c r="EO70" s="233">
        <v>-18</v>
      </c>
      <c r="EP70" s="233">
        <v>-14</v>
      </c>
      <c r="EQ70" s="233">
        <v>-13</v>
      </c>
      <c r="ER70" s="233">
        <v>-8</v>
      </c>
      <c r="ES70" s="233">
        <f>EO70+EP70+EQ70+ER70</f>
        <v>-53</v>
      </c>
      <c r="EU70" s="231" t="s">
        <v>507</v>
      </c>
      <c r="EV70" s="233">
        <v>-3</v>
      </c>
      <c r="EW70" s="233">
        <v>4</v>
      </c>
      <c r="EX70" s="233">
        <v>-9</v>
      </c>
      <c r="EY70" s="233">
        <v>-7</v>
      </c>
      <c r="EZ70" s="233">
        <f>EV70+EW70+EX70+EY70</f>
        <v>-15</v>
      </c>
      <c r="FB70" s="231" t="s">
        <v>507</v>
      </c>
      <c r="FC70" s="233">
        <v>-11</v>
      </c>
      <c r="FD70" s="233">
        <v>-11</v>
      </c>
      <c r="FE70" s="233">
        <v>-19</v>
      </c>
      <c r="FF70" s="233">
        <v>-11</v>
      </c>
      <c r="FG70" s="233">
        <f>FC70+FD70+FE70+FF70</f>
        <v>-52</v>
      </c>
      <c r="FI70" s="231" t="s">
        <v>507</v>
      </c>
      <c r="FJ70" s="233">
        <v>134</v>
      </c>
      <c r="FK70" s="233">
        <v>-8</v>
      </c>
      <c r="FL70" s="233">
        <v>-9</v>
      </c>
      <c r="FM70" s="233">
        <v>2</v>
      </c>
      <c r="FN70" s="233">
        <f>FJ70+FK70+FL70+FM70</f>
        <v>119</v>
      </c>
      <c r="FP70" s="231" t="s">
        <v>507</v>
      </c>
      <c r="FQ70" s="233">
        <v>-1</v>
      </c>
      <c r="FR70" s="233">
        <v>-5</v>
      </c>
      <c r="FS70" s="233">
        <v>-9</v>
      </c>
      <c r="FT70" s="233">
        <v>-2</v>
      </c>
      <c r="FU70" s="233">
        <f>FQ70+FR70+FS70+FT70</f>
        <v>-17</v>
      </c>
      <c r="FW70" s="231" t="s">
        <v>507</v>
      </c>
      <c r="FX70" s="233">
        <v>-3</v>
      </c>
      <c r="FY70" s="233">
        <v>-9</v>
      </c>
      <c r="FZ70" s="233">
        <v>8</v>
      </c>
      <c r="GA70" s="233">
        <v>3</v>
      </c>
      <c r="GB70" s="233">
        <f>FX70+FY70+FZ70+GA70</f>
        <v>-1</v>
      </c>
      <c r="GD70" s="231" t="s">
        <v>507</v>
      </c>
      <c r="GE70" s="233"/>
      <c r="GF70" s="233"/>
      <c r="GG70" s="233"/>
      <c r="GH70" s="233"/>
      <c r="GI70" s="233"/>
      <c r="GK70" s="231" t="s">
        <v>507</v>
      </c>
      <c r="GL70" s="233"/>
      <c r="GM70" s="233"/>
      <c r="GN70" s="233"/>
      <c r="GO70" s="233"/>
      <c r="GP70" s="233"/>
      <c r="GR70" s="231" t="s">
        <v>507</v>
      </c>
      <c r="GS70" s="233"/>
      <c r="GT70" s="233"/>
      <c r="GU70" s="233"/>
      <c r="GV70" s="233"/>
      <c r="GW70" s="233"/>
      <c r="GY70" s="231" t="s">
        <v>507</v>
      </c>
      <c r="GZ70" s="233"/>
      <c r="HA70" s="233"/>
      <c r="HB70" s="233"/>
      <c r="HC70" s="233"/>
      <c r="HD70" s="233"/>
      <c r="HF70" s="231" t="s">
        <v>507</v>
      </c>
      <c r="HG70" s="233"/>
      <c r="HH70" s="233"/>
      <c r="HI70" s="233"/>
      <c r="HJ70" s="233"/>
      <c r="HK70" s="233"/>
      <c r="HM70" s="231" t="s">
        <v>507</v>
      </c>
      <c r="HN70" s="233"/>
      <c r="HO70" s="233"/>
      <c r="HP70" s="233"/>
      <c r="HQ70" s="233"/>
      <c r="HR70" s="233"/>
      <c r="HT70" s="231" t="s">
        <v>507</v>
      </c>
      <c r="HU70" s="233"/>
      <c r="HV70" s="233"/>
      <c r="HW70" s="233"/>
      <c r="HX70" s="233"/>
      <c r="HY70" s="233"/>
      <c r="IA70" s="231" t="s">
        <v>507</v>
      </c>
      <c r="IB70" s="233"/>
      <c r="IC70" s="233"/>
      <c r="ID70" s="233"/>
      <c r="IE70" s="233"/>
      <c r="IF70" s="233"/>
      <c r="IH70" s="231" t="s">
        <v>507</v>
      </c>
      <c r="II70" s="233"/>
      <c r="IJ70" s="233"/>
      <c r="IK70" s="233"/>
      <c r="IL70" s="233"/>
      <c r="IM70" s="233"/>
      <c r="IO70" s="231" t="s">
        <v>507</v>
      </c>
      <c r="IP70" s="233"/>
      <c r="IQ70" s="233"/>
      <c r="IR70" s="233"/>
      <c r="IS70" s="233"/>
      <c r="IT70" s="233"/>
      <c r="IV70" s="231" t="s">
        <v>507</v>
      </c>
      <c r="IW70" s="233"/>
      <c r="IX70" s="233"/>
      <c r="IY70" s="233"/>
      <c r="IZ70" s="233"/>
      <c r="JA70" s="233"/>
      <c r="JC70" s="231" t="s">
        <v>507</v>
      </c>
      <c r="JD70" s="233"/>
      <c r="JE70" s="233"/>
      <c r="JF70" s="233"/>
      <c r="JG70" s="233"/>
      <c r="JH70" s="233"/>
      <c r="JJ70" s="231" t="s">
        <v>507</v>
      </c>
      <c r="JK70" s="233"/>
      <c r="JL70" s="233"/>
      <c r="JM70" s="233"/>
      <c r="JN70" s="233"/>
      <c r="JO70" s="233"/>
      <c r="JQ70" s="231" t="s">
        <v>507</v>
      </c>
      <c r="JR70" s="233"/>
      <c r="JS70" s="233"/>
      <c r="JT70" s="233"/>
      <c r="JU70" s="233"/>
      <c r="JV70" s="233"/>
      <c r="JX70" s="231" t="s">
        <v>507</v>
      </c>
      <c r="JY70" s="233"/>
      <c r="JZ70" s="233"/>
      <c r="KA70" s="233"/>
      <c r="KB70" s="233"/>
      <c r="KC70" s="233"/>
      <c r="KE70" s="231" t="s">
        <v>507</v>
      </c>
      <c r="KF70" s="233"/>
      <c r="KG70" s="233"/>
      <c r="KH70" s="233"/>
      <c r="KI70" s="233"/>
      <c r="KJ70" s="233"/>
      <c r="KL70" s="231" t="s">
        <v>507</v>
      </c>
      <c r="KM70" s="233"/>
      <c r="KN70" s="233"/>
      <c r="KO70" s="233"/>
      <c r="KP70" s="233"/>
      <c r="KQ70" s="233"/>
      <c r="KS70" s="231" t="s">
        <v>507</v>
      </c>
      <c r="KT70" s="233"/>
      <c r="KU70" s="233"/>
      <c r="KV70" s="232"/>
      <c r="KW70" s="233"/>
      <c r="KX70" s="233"/>
      <c r="KZ70" s="231" t="s">
        <v>507</v>
      </c>
      <c r="LA70" s="233"/>
      <c r="LB70" s="234"/>
      <c r="LC70" s="234"/>
      <c r="LD70" s="234"/>
      <c r="LE70" s="233"/>
      <c r="LF70" s="581"/>
      <c r="LG70" s="231" t="s">
        <v>507</v>
      </c>
      <c r="LH70" s="234"/>
      <c r="LI70" s="234"/>
      <c r="LJ70" s="234"/>
      <c r="LK70" s="234"/>
      <c r="LL70" s="233"/>
      <c r="LM70" s="581"/>
      <c r="LN70" s="231" t="s">
        <v>507</v>
      </c>
      <c r="LO70" s="234"/>
      <c r="LP70" s="234"/>
      <c r="LQ70" s="234"/>
      <c r="LR70" s="234"/>
      <c r="LS70" s="233"/>
      <c r="LT70" s="581"/>
      <c r="LU70" s="231" t="s">
        <v>507</v>
      </c>
      <c r="LV70" s="234"/>
      <c r="LW70" s="234"/>
      <c r="LX70" s="234"/>
      <c r="LY70" s="234"/>
      <c r="LZ70" s="233"/>
      <c r="MA70" s="581"/>
      <c r="MB70" s="231" t="s">
        <v>507</v>
      </c>
      <c r="MC70" s="234"/>
      <c r="MD70" s="234"/>
      <c r="ME70" s="234"/>
      <c r="MF70" s="234"/>
      <c r="MG70" s="233"/>
      <c r="MH70" s="581"/>
    </row>
    <row r="71" spans="1:346" s="37" customFormat="1" ht="13.15" outlineLevel="1" x14ac:dyDescent="0.4">
      <c r="A71" s="48"/>
      <c r="B71" s="231" t="s">
        <v>508</v>
      </c>
      <c r="C71" s="237"/>
      <c r="D71" s="237"/>
      <c r="E71" s="237"/>
      <c r="F71" s="237"/>
      <c r="G71" s="237"/>
      <c r="H71" s="237"/>
      <c r="I71" s="237"/>
      <c r="J71" s="237"/>
      <c r="K71" s="237"/>
      <c r="L71" s="237"/>
      <c r="M71" s="237"/>
      <c r="N71" s="232"/>
      <c r="O71" s="232"/>
      <c r="P71" s="232"/>
      <c r="Q71" s="232"/>
      <c r="R71" s="232"/>
      <c r="S71" s="232"/>
      <c r="T71" s="232"/>
      <c r="U71" s="232"/>
      <c r="V71" s="232"/>
      <c r="W71" s="232"/>
      <c r="X71" s="232"/>
      <c r="Y71" s="232"/>
      <c r="Z71" s="232"/>
      <c r="AA71" s="232"/>
      <c r="AB71" s="232"/>
      <c r="AC71" s="232"/>
      <c r="AD71" s="232"/>
      <c r="AE71" s="232"/>
      <c r="AF71" s="232"/>
      <c r="AG71" s="232"/>
      <c r="AH71" s="232"/>
      <c r="AI71" s="232"/>
      <c r="AJ71" s="232"/>
      <c r="AK71" s="232"/>
      <c r="AL71" s="232"/>
      <c r="AM71" s="232"/>
      <c r="AN71" s="232"/>
      <c r="AO71" s="232"/>
      <c r="AP71" s="232"/>
      <c r="AQ71" s="232"/>
      <c r="AR71" s="232"/>
      <c r="AS71" s="232"/>
      <c r="AT71" s="232"/>
      <c r="AU71" s="232"/>
      <c r="AV71" s="232"/>
      <c r="AW71" s="232"/>
      <c r="AX71" s="232"/>
      <c r="AY71" s="232"/>
      <c r="AZ71" s="232"/>
      <c r="BA71" s="232"/>
      <c r="BB71" s="232"/>
      <c r="BC71" s="232"/>
      <c r="BD71" s="232"/>
      <c r="BE71" s="232"/>
      <c r="BF71" s="232"/>
      <c r="BG71" s="232"/>
      <c r="BH71" s="232"/>
      <c r="BI71" s="232"/>
      <c r="BJ71" s="232"/>
      <c r="BK71" s="232"/>
      <c r="BL71" s="232"/>
      <c r="BM71" s="232"/>
      <c r="BO71" s="231" t="s">
        <v>508</v>
      </c>
      <c r="BP71" s="233"/>
      <c r="BQ71" s="233"/>
      <c r="BR71" s="233"/>
      <c r="BS71" s="233"/>
      <c r="BT71" s="233"/>
      <c r="BV71" s="231" t="s">
        <v>508</v>
      </c>
      <c r="BW71" s="233"/>
      <c r="BX71" s="233"/>
      <c r="BY71" s="233"/>
      <c r="BZ71" s="233"/>
      <c r="CA71" s="233"/>
      <c r="CC71" s="231" t="s">
        <v>508</v>
      </c>
      <c r="CD71" s="233"/>
      <c r="CE71" s="233"/>
      <c r="CF71" s="233"/>
      <c r="CG71" s="233"/>
      <c r="CH71" s="233"/>
      <c r="CJ71" s="231" t="s">
        <v>508</v>
      </c>
      <c r="CK71" s="233"/>
      <c r="CL71" s="233"/>
      <c r="CM71" s="233"/>
      <c r="CN71" s="233"/>
      <c r="CO71" s="233"/>
      <c r="CQ71" s="231" t="s">
        <v>508</v>
      </c>
      <c r="CR71" s="233"/>
      <c r="CS71" s="233"/>
      <c r="CT71" s="233"/>
      <c r="CU71" s="233"/>
      <c r="CV71" s="233"/>
      <c r="CX71" s="231" t="s">
        <v>508</v>
      </c>
      <c r="CY71" s="233"/>
      <c r="CZ71" s="233"/>
      <c r="DA71" s="233"/>
      <c r="DB71" s="233"/>
      <c r="DC71" s="233"/>
      <c r="DE71" s="231" t="s">
        <v>508</v>
      </c>
      <c r="DF71" s="233"/>
      <c r="DG71" s="233"/>
      <c r="DH71" s="233"/>
      <c r="DI71" s="233"/>
      <c r="DJ71" s="233"/>
      <c r="DL71" s="231" t="s">
        <v>508</v>
      </c>
      <c r="DM71" s="233"/>
      <c r="DN71" s="233"/>
      <c r="DO71" s="233"/>
      <c r="DP71" s="233"/>
      <c r="DQ71" s="233"/>
      <c r="DS71" s="231" t="s">
        <v>508</v>
      </c>
      <c r="DT71" s="233"/>
      <c r="DU71" s="233"/>
      <c r="DV71" s="233"/>
      <c r="DW71" s="233"/>
      <c r="DX71" s="233"/>
      <c r="DZ71" s="231" t="s">
        <v>508</v>
      </c>
      <c r="EA71" s="233"/>
      <c r="EB71" s="233"/>
      <c r="EC71" s="233"/>
      <c r="ED71" s="233"/>
      <c r="EE71" s="233"/>
      <c r="EG71" s="231" t="s">
        <v>508</v>
      </c>
      <c r="EH71" s="233"/>
      <c r="EI71" s="233"/>
      <c r="EJ71" s="233"/>
      <c r="EK71" s="233"/>
      <c r="EL71" s="233"/>
      <c r="EN71" s="231" t="s">
        <v>508</v>
      </c>
      <c r="EO71" s="233"/>
      <c r="EP71" s="233"/>
      <c r="EQ71" s="233"/>
      <c r="ER71" s="233"/>
      <c r="ES71" s="233"/>
      <c r="EU71" s="231" t="s">
        <v>508</v>
      </c>
      <c r="EV71" s="233"/>
      <c r="EW71" s="233"/>
      <c r="EX71" s="233"/>
      <c r="EY71" s="233"/>
      <c r="EZ71" s="233"/>
      <c r="FB71" s="231" t="s">
        <v>508</v>
      </c>
      <c r="FC71" s="233"/>
      <c r="FD71" s="233"/>
      <c r="FE71" s="233"/>
      <c r="FF71" s="233"/>
      <c r="FG71" s="233"/>
      <c r="FI71" s="231" t="s">
        <v>508</v>
      </c>
      <c r="FJ71" s="233"/>
      <c r="FK71" s="233"/>
      <c r="FL71" s="233"/>
      <c r="FM71" s="233"/>
      <c r="FN71" s="233"/>
      <c r="FP71" s="231" t="s">
        <v>508</v>
      </c>
      <c r="FQ71" s="233"/>
      <c r="FR71" s="233"/>
      <c r="FS71" s="233"/>
      <c r="FT71" s="233"/>
      <c r="FU71" s="233"/>
      <c r="FW71" s="231" t="s">
        <v>508</v>
      </c>
      <c r="FX71" s="233"/>
      <c r="FY71" s="233"/>
      <c r="FZ71" s="233"/>
      <c r="GA71" s="233"/>
      <c r="GB71" s="233"/>
      <c r="GD71" s="231" t="s">
        <v>508</v>
      </c>
      <c r="GE71" s="233"/>
      <c r="GF71" s="233"/>
      <c r="GG71" s="233"/>
      <c r="GH71" s="233"/>
      <c r="GI71" s="233"/>
      <c r="GK71" s="231" t="s">
        <v>508</v>
      </c>
      <c r="GL71" s="233"/>
      <c r="GM71" s="233"/>
      <c r="GN71" s="233"/>
      <c r="GO71" s="233"/>
      <c r="GP71" s="233"/>
      <c r="GR71" s="231" t="s">
        <v>508</v>
      </c>
      <c r="GS71" s="233"/>
      <c r="GT71" s="233"/>
      <c r="GU71" s="233"/>
      <c r="GV71" s="233"/>
      <c r="GW71" s="233"/>
      <c r="GY71" s="231" t="s">
        <v>508</v>
      </c>
      <c r="GZ71" s="233"/>
      <c r="HA71" s="233"/>
      <c r="HB71" s="233"/>
      <c r="HC71" s="233"/>
      <c r="HD71" s="233"/>
      <c r="HF71" s="231" t="s">
        <v>508</v>
      </c>
      <c r="HG71" s="233"/>
      <c r="HH71" s="233"/>
      <c r="HI71" s="233"/>
      <c r="HJ71" s="233"/>
      <c r="HK71" s="233"/>
      <c r="HM71" s="231" t="s">
        <v>508</v>
      </c>
      <c r="HN71" s="233"/>
      <c r="HO71" s="233"/>
      <c r="HP71" s="233"/>
      <c r="HQ71" s="233"/>
      <c r="HR71" s="233"/>
      <c r="HT71" s="231" t="s">
        <v>508</v>
      </c>
      <c r="HU71" s="233"/>
      <c r="HV71" s="233"/>
      <c r="HW71" s="233"/>
      <c r="HX71" s="233"/>
      <c r="HY71" s="233"/>
      <c r="IA71" s="231" t="s">
        <v>508</v>
      </c>
      <c r="IB71" s="233"/>
      <c r="IC71" s="233"/>
      <c r="ID71" s="233"/>
      <c r="IE71" s="233"/>
      <c r="IF71" s="233"/>
      <c r="IH71" s="231" t="s">
        <v>508</v>
      </c>
      <c r="II71" s="233"/>
      <c r="IJ71" s="233"/>
      <c r="IK71" s="233"/>
      <c r="IL71" s="233"/>
      <c r="IM71" s="233"/>
      <c r="IO71" s="231" t="s">
        <v>508</v>
      </c>
      <c r="IP71" s="233"/>
      <c r="IQ71" s="233"/>
      <c r="IR71" s="233"/>
      <c r="IS71" s="233"/>
      <c r="IT71" s="233"/>
      <c r="IV71" s="231" t="s">
        <v>508</v>
      </c>
      <c r="IW71" s="233"/>
      <c r="IX71" s="233"/>
      <c r="IY71" s="233"/>
      <c r="IZ71" s="233"/>
      <c r="JA71" s="233"/>
      <c r="JC71" s="231" t="s">
        <v>508</v>
      </c>
      <c r="JD71" s="233"/>
      <c r="JE71" s="233"/>
      <c r="JF71" s="233"/>
      <c r="JG71" s="233"/>
      <c r="JH71" s="233"/>
      <c r="JJ71" s="231" t="s">
        <v>508</v>
      </c>
      <c r="JK71" s="233"/>
      <c r="JL71" s="233"/>
      <c r="JM71" s="233"/>
      <c r="JN71" s="233"/>
      <c r="JO71" s="233"/>
      <c r="JQ71" s="231" t="s">
        <v>508</v>
      </c>
      <c r="JR71" s="233"/>
      <c r="JS71" s="233"/>
      <c r="JT71" s="233"/>
      <c r="JU71" s="233"/>
      <c r="JV71" s="233"/>
      <c r="JX71" s="231" t="s">
        <v>508</v>
      </c>
      <c r="JY71" s="233"/>
      <c r="JZ71" s="233"/>
      <c r="KA71" s="233"/>
      <c r="KB71" s="233"/>
      <c r="KC71" s="233"/>
      <c r="KE71" s="231" t="s">
        <v>508</v>
      </c>
      <c r="KF71" s="233"/>
      <c r="KG71" s="233"/>
      <c r="KH71" s="233"/>
      <c r="KI71" s="233"/>
      <c r="KJ71" s="233"/>
      <c r="KL71" s="231" t="s">
        <v>508</v>
      </c>
      <c r="KM71" s="233"/>
      <c r="KN71" s="233"/>
      <c r="KO71" s="233"/>
      <c r="KP71" s="233"/>
      <c r="KQ71" s="233"/>
      <c r="KS71" s="231" t="s">
        <v>508</v>
      </c>
      <c r="KT71" s="233"/>
      <c r="KU71" s="233"/>
      <c r="KV71" s="232"/>
      <c r="KW71" s="233"/>
      <c r="KX71" s="233"/>
      <c r="KZ71" s="231" t="s">
        <v>508</v>
      </c>
      <c r="LA71" s="233"/>
      <c r="LB71" s="234"/>
      <c r="LC71" s="234"/>
      <c r="LD71" s="234"/>
      <c r="LE71" s="233"/>
      <c r="LF71" s="581"/>
      <c r="LG71" s="231" t="s">
        <v>508</v>
      </c>
      <c r="LH71" s="234"/>
      <c r="LI71" s="234"/>
      <c r="LJ71" s="234"/>
      <c r="LK71" s="234"/>
      <c r="LL71" s="233"/>
      <c r="LM71" s="581"/>
      <c r="LN71" s="231" t="s">
        <v>508</v>
      </c>
      <c r="LO71" s="234"/>
      <c r="LP71" s="234"/>
      <c r="LQ71" s="234"/>
      <c r="LR71" s="234"/>
      <c r="LS71" s="233"/>
      <c r="LT71" s="581"/>
      <c r="LU71" s="231" t="s">
        <v>508</v>
      </c>
      <c r="LV71" s="234"/>
      <c r="LW71" s="234"/>
      <c r="LX71" s="234"/>
      <c r="LY71" s="234"/>
      <c r="LZ71" s="233"/>
      <c r="MA71" s="581"/>
      <c r="MB71" s="231" t="s">
        <v>508</v>
      </c>
      <c r="MC71" s="234"/>
      <c r="MD71" s="234"/>
      <c r="ME71" s="234"/>
      <c r="MF71" s="234"/>
      <c r="MG71" s="233"/>
      <c r="MH71" s="581"/>
    </row>
    <row r="72" spans="1:346" s="37" customFormat="1" ht="13.15" x14ac:dyDescent="0.4">
      <c r="A72" s="96"/>
      <c r="B72" s="36"/>
      <c r="BO72" s="36"/>
      <c r="BV72" s="36"/>
      <c r="CC72" s="36"/>
      <c r="CJ72" s="36"/>
      <c r="CQ72" s="36"/>
      <c r="CX72" s="36"/>
      <c r="DE72" s="36"/>
      <c r="DL72" s="36"/>
      <c r="DS72" s="36"/>
      <c r="DZ72" s="36"/>
      <c r="EG72" s="36"/>
      <c r="EN72" s="36"/>
      <c r="EU72" s="36"/>
      <c r="FB72" s="36"/>
      <c r="FI72" s="36"/>
      <c r="FP72" s="36"/>
      <c r="FW72" s="36"/>
      <c r="GD72" s="36"/>
      <c r="GK72" s="36"/>
      <c r="GR72" s="36"/>
      <c r="GY72" s="36"/>
      <c r="HF72" s="36"/>
      <c r="HM72" s="36"/>
      <c r="HT72" s="36"/>
      <c r="IA72" s="36"/>
      <c r="IH72" s="36"/>
      <c r="IO72" s="36"/>
      <c r="IV72" s="36"/>
      <c r="JC72" s="36"/>
      <c r="JJ72" s="36"/>
      <c r="JQ72" s="36"/>
      <c r="JX72" s="36"/>
      <c r="KE72" s="36"/>
      <c r="KL72" s="36"/>
      <c r="KS72" s="36"/>
      <c r="KZ72" s="642"/>
      <c r="LA72" s="643"/>
      <c r="LB72" s="643"/>
      <c r="LC72" s="643"/>
      <c r="LD72" s="643"/>
      <c r="LE72" s="643"/>
      <c r="LF72" s="584"/>
      <c r="LG72" s="642"/>
      <c r="LH72" s="643"/>
      <c r="LI72" s="643"/>
      <c r="LJ72" s="643"/>
      <c r="LK72" s="643"/>
      <c r="LL72" s="643"/>
      <c r="LM72" s="584"/>
      <c r="LN72" s="642"/>
      <c r="LO72" s="643"/>
      <c r="LP72" s="643"/>
      <c r="LQ72" s="643"/>
      <c r="LR72" s="643"/>
      <c r="LS72" s="643"/>
      <c r="LT72" s="584"/>
      <c r="LU72" s="642"/>
      <c r="LV72" s="643"/>
      <c r="LW72" s="643"/>
      <c r="LX72" s="643"/>
      <c r="LY72" s="643"/>
      <c r="LZ72" s="643"/>
      <c r="MA72" s="584"/>
      <c r="MB72" s="642"/>
      <c r="MC72" s="643"/>
      <c r="MD72" s="643"/>
      <c r="ME72" s="643"/>
      <c r="MF72" s="643"/>
      <c r="MG72" s="643"/>
      <c r="MH72" s="584"/>
    </row>
    <row r="73" spans="1:346" s="37" customFormat="1" ht="13.15" x14ac:dyDescent="0.4">
      <c r="A73" s="48"/>
      <c r="B73" s="36" t="s">
        <v>30</v>
      </c>
      <c r="BO73" s="36" t="s">
        <v>30</v>
      </c>
      <c r="BV73" s="36" t="s">
        <v>30</v>
      </c>
      <c r="CC73" s="36" t="s">
        <v>30</v>
      </c>
      <c r="CJ73" s="36" t="s">
        <v>30</v>
      </c>
      <c r="CQ73" s="36" t="s">
        <v>30</v>
      </c>
      <c r="CX73" s="36" t="s">
        <v>30</v>
      </c>
      <c r="DE73" s="36" t="s">
        <v>30</v>
      </c>
      <c r="DL73" s="36" t="s">
        <v>30</v>
      </c>
      <c r="DS73" s="36" t="s">
        <v>30</v>
      </c>
      <c r="DZ73" s="36" t="s">
        <v>30</v>
      </c>
      <c r="EG73" s="36" t="s">
        <v>30</v>
      </c>
      <c r="EN73" s="36" t="s">
        <v>30</v>
      </c>
      <c r="EU73" s="36" t="s">
        <v>30</v>
      </c>
      <c r="FB73" s="36" t="s">
        <v>30</v>
      </c>
      <c r="FI73" s="36" t="s">
        <v>30</v>
      </c>
      <c r="FP73" s="36" t="s">
        <v>30</v>
      </c>
      <c r="FW73" s="36" t="s">
        <v>30</v>
      </c>
      <c r="GD73" s="36" t="s">
        <v>30</v>
      </c>
      <c r="GK73" s="36" t="s">
        <v>30</v>
      </c>
      <c r="GR73" s="36" t="s">
        <v>30</v>
      </c>
      <c r="GY73" s="36" t="s">
        <v>30</v>
      </c>
      <c r="HF73" s="36" t="s">
        <v>30</v>
      </c>
      <c r="HM73" s="36" t="s">
        <v>30</v>
      </c>
      <c r="HT73" s="36" t="s">
        <v>30</v>
      </c>
      <c r="IA73" s="36" t="s">
        <v>30</v>
      </c>
      <c r="IH73" s="36" t="s">
        <v>30</v>
      </c>
      <c r="IO73" s="36" t="s">
        <v>30</v>
      </c>
      <c r="IV73" s="36" t="s">
        <v>30</v>
      </c>
      <c r="JC73" s="36" t="s">
        <v>30</v>
      </c>
      <c r="JJ73" s="36" t="s">
        <v>30</v>
      </c>
      <c r="JQ73" s="36" t="s">
        <v>30</v>
      </c>
      <c r="JX73" s="36" t="s">
        <v>30</v>
      </c>
      <c r="KE73" s="36" t="s">
        <v>30</v>
      </c>
      <c r="KL73" s="36" t="s">
        <v>30</v>
      </c>
      <c r="KS73" s="36" t="s">
        <v>30</v>
      </c>
      <c r="KZ73" s="36" t="s">
        <v>30</v>
      </c>
      <c r="LF73" s="565"/>
      <c r="LG73" s="36" t="s">
        <v>30</v>
      </c>
      <c r="LH73" s="731">
        <f>(LH27-LD27)*10000</f>
        <v>389.15561890926597</v>
      </c>
      <c r="LI73" s="731">
        <f>(LI27-LH27)*10000</f>
        <v>-548.62339606281068</v>
      </c>
      <c r="LJ73" s="731">
        <f>(LJ27-LI27)*10000</f>
        <v>4.6466683380230744</v>
      </c>
      <c r="LK73" s="731">
        <f>(LK27-LJ27)*10000</f>
        <v>272.73993030069499</v>
      </c>
      <c r="LM73" s="565"/>
      <c r="LN73" s="36" t="s">
        <v>30</v>
      </c>
      <c r="LO73" s="731">
        <f>(LO27-LK27)*10000</f>
        <v>-65.861007323767538</v>
      </c>
      <c r="LP73" s="731">
        <f>(LP27-LO27)*10000</f>
        <v>-379.74575531935619</v>
      </c>
      <c r="LQ73" s="731">
        <f>(LQ27-LP27)*10000</f>
        <v>-40.441764222958199</v>
      </c>
      <c r="LR73" s="731">
        <f>(LR27-LQ27)*10000</f>
        <v>182.84340207274542</v>
      </c>
      <c r="LS73" s="731">
        <f>(LS27-LL27)*10000</f>
        <v>-255.08959376154604</v>
      </c>
      <c r="LT73" s="565"/>
      <c r="LU73" s="36" t="s">
        <v>30</v>
      </c>
      <c r="LV73" s="731">
        <f>(LV27-LR27)*10000</f>
        <v>19.442013644708211</v>
      </c>
      <c r="LW73" s="731">
        <f>(LW27-LV27)*10000</f>
        <v>-364.60584640302994</v>
      </c>
      <c r="LX73" s="731">
        <f>(LX27-LW27)*10000</f>
        <v>-55.034381942435928</v>
      </c>
      <c r="LY73" s="731">
        <f>(LY27-LX27)*10000</f>
        <v>178.89163875258185</v>
      </c>
      <c r="LZ73" s="731"/>
      <c r="MA73" s="565"/>
      <c r="MB73" s="36" t="s">
        <v>30</v>
      </c>
      <c r="MC73" s="731">
        <f>(MC27-LY27)*10000</f>
        <v>123.45118354036289</v>
      </c>
      <c r="MD73" s="731">
        <f>(MD27-MC27)*10000</f>
        <v>-327.19413536175688</v>
      </c>
      <c r="ME73" s="731">
        <f>(ME27-MD27)*10000</f>
        <v>-29.773370915433528</v>
      </c>
      <c r="MF73" s="731">
        <f>(MF27-ME27)*10000</f>
        <v>133.11573491884721</v>
      </c>
      <c r="MG73" s="731"/>
      <c r="MH73" s="565"/>
    </row>
    <row r="74" spans="1:346" x14ac:dyDescent="0.4">
      <c r="LH74" s="731"/>
      <c r="LI74" s="731"/>
      <c r="LJ74" s="731"/>
      <c r="LK74" s="731"/>
      <c r="LO74" s="731"/>
      <c r="LP74" s="731"/>
      <c r="LQ74" s="731"/>
      <c r="LR74" s="731"/>
      <c r="LV74" s="731"/>
      <c r="LW74" s="731"/>
      <c r="LX74" s="731"/>
      <c r="LY74" s="731"/>
      <c r="LZ74" s="731"/>
      <c r="MC74" s="731"/>
      <c r="MD74" s="731"/>
      <c r="ME74" s="731"/>
      <c r="MF74" s="731"/>
    </row>
    <row r="75" spans="1:346" s="37" customFormat="1" ht="13.15" x14ac:dyDescent="0.4">
      <c r="A75" s="46"/>
      <c r="B75" s="39" t="s">
        <v>233</v>
      </c>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O75" s="39" t="s">
        <v>233</v>
      </c>
      <c r="BP75" s="40" t="str">
        <f>BP2</f>
        <v>1Q89</v>
      </c>
      <c r="BQ75" s="40" t="str">
        <f>CSX!BS4</f>
        <v>2Q89</v>
      </c>
      <c r="BR75" s="40" t="str">
        <f>CSX!BT4</f>
        <v>3Q89</v>
      </c>
      <c r="BS75" s="40" t="str">
        <f>CSX!BU4</f>
        <v>4Q89</v>
      </c>
      <c r="BT75" s="40">
        <f>CSX!BV4</f>
        <v>1989</v>
      </c>
      <c r="BV75" s="39" t="s">
        <v>233</v>
      </c>
      <c r="BW75" s="40" t="str">
        <f>BW2</f>
        <v>1Q90</v>
      </c>
      <c r="BX75" s="40" t="str">
        <f>CSX!BZ4</f>
        <v>2Q90</v>
      </c>
      <c r="BY75" s="40" t="str">
        <f>CSX!CA4</f>
        <v>3Q90</v>
      </c>
      <c r="BZ75" s="40" t="str">
        <f>CSX!CB4</f>
        <v>4Q90</v>
      </c>
      <c r="CA75" s="40">
        <f>CSX!CC4</f>
        <v>1990</v>
      </c>
      <c r="CC75" s="39" t="s">
        <v>233</v>
      </c>
      <c r="CD75" s="40" t="str">
        <f>CD2</f>
        <v>1Q91</v>
      </c>
      <c r="CE75" s="40" t="str">
        <f>CSX!CG4</f>
        <v>2Q91</v>
      </c>
      <c r="CF75" s="40" t="str">
        <f>CSX!CH4</f>
        <v>3Q91</v>
      </c>
      <c r="CG75" s="40" t="str">
        <f>CSX!CI4</f>
        <v>4Q91</v>
      </c>
      <c r="CH75" s="40">
        <f>CSX!CJ4</f>
        <v>1991</v>
      </c>
      <c r="CJ75" s="39" t="s">
        <v>233</v>
      </c>
      <c r="CK75" s="40" t="str">
        <f>CK2</f>
        <v>1Q92</v>
      </c>
      <c r="CL75" s="40" t="str">
        <f>CSX!CN4</f>
        <v>2Q92</v>
      </c>
      <c r="CM75" s="40" t="str">
        <f>CSX!CO4</f>
        <v>3Q92</v>
      </c>
      <c r="CN75" s="40" t="str">
        <f>CSX!CP4</f>
        <v>4Q92</v>
      </c>
      <c r="CO75" s="40">
        <f>CSX!CQ4</f>
        <v>1992</v>
      </c>
      <c r="CQ75" s="39" t="s">
        <v>233</v>
      </c>
      <c r="CR75" s="40" t="str">
        <f>CR2</f>
        <v>1Q93</v>
      </c>
      <c r="CS75" s="40" t="str">
        <f>CSX!CU4</f>
        <v>2Q93</v>
      </c>
      <c r="CT75" s="40" t="str">
        <f>CSX!CV4</f>
        <v>3Q93</v>
      </c>
      <c r="CU75" s="40" t="str">
        <f>CSX!CW4</f>
        <v>4Q93</v>
      </c>
      <c r="CV75" s="40">
        <f>CSX!CX4</f>
        <v>1993</v>
      </c>
      <c r="CX75" s="39" t="s">
        <v>233</v>
      </c>
      <c r="CY75" s="40" t="str">
        <f>CY2</f>
        <v>1Q94</v>
      </c>
      <c r="CZ75" s="40" t="str">
        <f>CSX!DB4</f>
        <v>2Q94</v>
      </c>
      <c r="DA75" s="40" t="str">
        <f>CSX!DC4</f>
        <v>3Q94</v>
      </c>
      <c r="DB75" s="40" t="str">
        <f>CSX!DD4</f>
        <v>4Q94</v>
      </c>
      <c r="DC75" s="40">
        <f>CSX!DE4</f>
        <v>1994</v>
      </c>
      <c r="DE75" s="39" t="s">
        <v>233</v>
      </c>
      <c r="DF75" s="40" t="str">
        <f>DF2</f>
        <v>1Q95</v>
      </c>
      <c r="DG75" s="40" t="str">
        <f>CSX!DI4</f>
        <v>2Q95</v>
      </c>
      <c r="DH75" s="40" t="str">
        <f>CSX!DJ4</f>
        <v>3Q95</v>
      </c>
      <c r="DI75" s="40" t="str">
        <f>CSX!DK4</f>
        <v>4Q95</v>
      </c>
      <c r="DJ75" s="40">
        <f>CSX!DL4</f>
        <v>1995</v>
      </c>
      <c r="DL75" s="39" t="s">
        <v>233</v>
      </c>
      <c r="DM75" s="40" t="str">
        <f>DM2</f>
        <v>1Q96</v>
      </c>
      <c r="DN75" s="40" t="str">
        <f>CSX!DP4</f>
        <v>2Q96</v>
      </c>
      <c r="DO75" s="40" t="str">
        <f>CSX!DQ4</f>
        <v>3Q96</v>
      </c>
      <c r="DP75" s="40" t="str">
        <f>CSX!DR4</f>
        <v>4Q96</v>
      </c>
      <c r="DQ75" s="40">
        <f>CSX!DS4</f>
        <v>1996</v>
      </c>
      <c r="DS75" s="39" t="s">
        <v>233</v>
      </c>
      <c r="DT75" s="40" t="str">
        <f>DT2</f>
        <v>1Q97</v>
      </c>
      <c r="DU75" s="40" t="str">
        <f>CSX!DW4</f>
        <v>2Q97</v>
      </c>
      <c r="DV75" s="40" t="str">
        <f>CSX!DX4</f>
        <v>3Q97</v>
      </c>
      <c r="DW75" s="40" t="str">
        <f>CSX!DY4</f>
        <v>4Q97</v>
      </c>
      <c r="DX75" s="40">
        <f>CSX!DZ4</f>
        <v>1997</v>
      </c>
      <c r="DZ75" s="39" t="s">
        <v>233</v>
      </c>
      <c r="EA75" s="40" t="str">
        <f>EA2</f>
        <v>1Q98</v>
      </c>
      <c r="EB75" s="40" t="str">
        <f>CSX!ED4</f>
        <v>2Q98</v>
      </c>
      <c r="EC75" s="40" t="str">
        <f>CSX!EE4</f>
        <v>3Q98</v>
      </c>
      <c r="ED75" s="40" t="str">
        <f>CSX!EF4</f>
        <v>4Q98</v>
      </c>
      <c r="EE75" s="40">
        <f>CSX!EG4</f>
        <v>1998</v>
      </c>
      <c r="EG75" s="39" t="s">
        <v>233</v>
      </c>
      <c r="EH75" s="40" t="str">
        <f>EH2</f>
        <v>1Q99</v>
      </c>
      <c r="EI75" s="40" t="str">
        <f>CSX!EK4</f>
        <v>2Q99</v>
      </c>
      <c r="EJ75" s="40" t="str">
        <f>CSX!EL4</f>
        <v>3Q99</v>
      </c>
      <c r="EK75" s="40" t="str">
        <f>CSX!EM4</f>
        <v>4Q99</v>
      </c>
      <c r="EL75" s="40">
        <f>CSX!EN4</f>
        <v>1999</v>
      </c>
      <c r="EN75" s="39" t="s">
        <v>233</v>
      </c>
      <c r="EO75" s="40" t="str">
        <f>EO2</f>
        <v>1Q00</v>
      </c>
      <c r="EP75" s="40" t="str">
        <f>CSX!ER4</f>
        <v>2Q00</v>
      </c>
      <c r="EQ75" s="40" t="str">
        <f>CSX!ES4</f>
        <v>3Q00</v>
      </c>
      <c r="ER75" s="40" t="str">
        <f>CSX!ET4</f>
        <v>4Q00</v>
      </c>
      <c r="ES75" s="40">
        <f>CSX!EU4</f>
        <v>2000</v>
      </c>
      <c r="EU75" s="39" t="s">
        <v>233</v>
      </c>
      <c r="EV75" s="40" t="str">
        <f>EV2</f>
        <v>1Q01</v>
      </c>
      <c r="EW75" s="40" t="str">
        <f>CSX!EY4</f>
        <v>2Q01</v>
      </c>
      <c r="EX75" s="40" t="str">
        <f>CSX!EZ4</f>
        <v>3Q01</v>
      </c>
      <c r="EY75" s="40" t="str">
        <f>CSX!FA4</f>
        <v>4Q01</v>
      </c>
      <c r="EZ75" s="40">
        <f>CSX!FB4</f>
        <v>2001</v>
      </c>
      <c r="FB75" s="39" t="s">
        <v>233</v>
      </c>
      <c r="FC75" s="40" t="str">
        <f>FC2</f>
        <v>1Q02</v>
      </c>
      <c r="FD75" s="40" t="str">
        <f>CSX!FF4</f>
        <v>2Q02</v>
      </c>
      <c r="FE75" s="40" t="str">
        <f>CSX!FG4</f>
        <v>3Q02</v>
      </c>
      <c r="FF75" s="40" t="str">
        <f>CSX!FH4</f>
        <v>4Q02</v>
      </c>
      <c r="FG75" s="40">
        <f>CSX!FI4</f>
        <v>2002</v>
      </c>
      <c r="FI75" s="39" t="s">
        <v>233</v>
      </c>
      <c r="FJ75" s="40" t="str">
        <f>FJ2</f>
        <v>1Q03</v>
      </c>
      <c r="FK75" s="40" t="str">
        <f>CSX!FM4</f>
        <v>2Q03</v>
      </c>
      <c r="FL75" s="40" t="str">
        <f>CSX!FN4</f>
        <v>3Q03</v>
      </c>
      <c r="FM75" s="40" t="str">
        <f>CSX!FO4</f>
        <v>4Q03</v>
      </c>
      <c r="FN75" s="40">
        <f>CSX!FP4</f>
        <v>2003</v>
      </c>
      <c r="FP75" s="39" t="s">
        <v>233</v>
      </c>
      <c r="FQ75" s="40" t="str">
        <f>FQ2</f>
        <v>1Q04</v>
      </c>
      <c r="FR75" s="40" t="str">
        <f>CSX!FT4</f>
        <v>2Q04</v>
      </c>
      <c r="FS75" s="40" t="str">
        <f>CSX!FU4</f>
        <v>3Q04</v>
      </c>
      <c r="FT75" s="40" t="str">
        <f>CSX!FV4</f>
        <v>4Q04</v>
      </c>
      <c r="FU75" s="40">
        <f>CSX!FW4</f>
        <v>2004</v>
      </c>
      <c r="FW75" s="39" t="s">
        <v>233</v>
      </c>
      <c r="FX75" s="40" t="str">
        <f>FX2</f>
        <v>1Q05</v>
      </c>
      <c r="FY75" s="40" t="str">
        <f>CSX!GA4</f>
        <v>2Q05</v>
      </c>
      <c r="FZ75" s="40" t="str">
        <f>CSX!GB4</f>
        <v>3Q05</v>
      </c>
      <c r="GA75" s="40" t="str">
        <f>CSX!GC4</f>
        <v>4Q05</v>
      </c>
      <c r="GB75" s="40">
        <f>CSX!GD4</f>
        <v>2005</v>
      </c>
      <c r="GD75" s="39" t="s">
        <v>233</v>
      </c>
      <c r="GE75" s="40" t="str">
        <f>GE2</f>
        <v>1Q06</v>
      </c>
      <c r="GF75" s="40" t="str">
        <f>CSX!GH4</f>
        <v>2Q06</v>
      </c>
      <c r="GG75" s="40" t="str">
        <f>CSX!GI4</f>
        <v>3Q06</v>
      </c>
      <c r="GH75" s="40" t="str">
        <f>CSX!GJ4</f>
        <v>4Q06</v>
      </c>
      <c r="GI75" s="40">
        <f>CSX!GK4</f>
        <v>2006</v>
      </c>
      <c r="GK75" s="39" t="s">
        <v>233</v>
      </c>
      <c r="GL75" s="40" t="str">
        <f>GL2</f>
        <v>1Q07</v>
      </c>
      <c r="GM75" s="40" t="str">
        <f>CSX!GO4</f>
        <v>2Q07</v>
      </c>
      <c r="GN75" s="40" t="str">
        <f>CSX!GP4</f>
        <v>3Q07</v>
      </c>
      <c r="GO75" s="40" t="str">
        <f>CSX!GQ4</f>
        <v>4Q07</v>
      </c>
      <c r="GP75" s="40">
        <f>CSX!GR4</f>
        <v>2007</v>
      </c>
      <c r="GR75" s="39" t="s">
        <v>233</v>
      </c>
      <c r="GS75" s="40" t="str">
        <f>GS2</f>
        <v>1Q08</v>
      </c>
      <c r="GT75" s="40" t="str">
        <f>CSX!GV4</f>
        <v>2Q08</v>
      </c>
      <c r="GU75" s="40" t="str">
        <f>CSX!GW4</f>
        <v>3Q08</v>
      </c>
      <c r="GV75" s="40" t="str">
        <f>CSX!GX4</f>
        <v>4Q08</v>
      </c>
      <c r="GW75" s="40">
        <f>CSX!GY4</f>
        <v>2008</v>
      </c>
      <c r="GY75" s="39" t="s">
        <v>233</v>
      </c>
      <c r="GZ75" s="40" t="str">
        <f>GZ2</f>
        <v>1Q09</v>
      </c>
      <c r="HA75" s="40" t="str">
        <f>CSX!HC4</f>
        <v>2Q09</v>
      </c>
      <c r="HB75" s="40" t="str">
        <f>CSX!HD4</f>
        <v>3Q09</v>
      </c>
      <c r="HC75" s="40" t="str">
        <f>CSX!HE4</f>
        <v>4Q09</v>
      </c>
      <c r="HD75" s="40">
        <f>CSX!HF4</f>
        <v>2009</v>
      </c>
      <c r="HF75" s="39" t="s">
        <v>233</v>
      </c>
      <c r="HG75" s="40" t="str">
        <f>HG2</f>
        <v>1Q10</v>
      </c>
      <c r="HH75" s="40" t="str">
        <f>CSX!HJ4</f>
        <v>2Q10</v>
      </c>
      <c r="HI75" s="40" t="str">
        <f>CSX!HK4</f>
        <v>3Q10</v>
      </c>
      <c r="HJ75" s="40" t="str">
        <f>CSX!HL4</f>
        <v>4Q10</v>
      </c>
      <c r="HK75" s="40">
        <f>CSX!HM4</f>
        <v>2010</v>
      </c>
      <c r="HM75" s="39" t="s">
        <v>233</v>
      </c>
      <c r="HN75" s="40" t="str">
        <f>HN2</f>
        <v>1Q11</v>
      </c>
      <c r="HO75" s="40" t="str">
        <f>CSX!HQ4</f>
        <v>2Q11</v>
      </c>
      <c r="HP75" s="40" t="str">
        <f>CSX!HR4</f>
        <v>3Q11</v>
      </c>
      <c r="HQ75" s="40" t="str">
        <f>CSX!HS4</f>
        <v>4Q11</v>
      </c>
      <c r="HR75" s="40">
        <f>CSX!HT4</f>
        <v>2011</v>
      </c>
      <c r="HT75" s="39" t="s">
        <v>233</v>
      </c>
      <c r="HU75" s="40" t="str">
        <f>HU2</f>
        <v>1Q12</v>
      </c>
      <c r="HV75" s="40" t="str">
        <f>CSX!HX4</f>
        <v>2Q12</v>
      </c>
      <c r="HW75" s="40" t="str">
        <f>CSX!HY4</f>
        <v>3Q12</v>
      </c>
      <c r="HX75" s="40" t="str">
        <f>CSX!HZ4</f>
        <v>4Q12</v>
      </c>
      <c r="HY75" s="40">
        <f>CSX!IA4</f>
        <v>2012</v>
      </c>
      <c r="IA75" s="39" t="s">
        <v>233</v>
      </c>
      <c r="IB75" s="40" t="str">
        <f>IB2</f>
        <v>1Q13</v>
      </c>
      <c r="IC75" s="40" t="str">
        <f>CSX!IE4</f>
        <v>2Q13</v>
      </c>
      <c r="ID75" s="40" t="str">
        <f>CSX!IF4</f>
        <v>3Q13</v>
      </c>
      <c r="IE75" s="40" t="str">
        <f>CSX!IG4</f>
        <v>4Q13</v>
      </c>
      <c r="IF75" s="40">
        <f>CSX!IH4</f>
        <v>2013</v>
      </c>
      <c r="IH75" s="39" t="s">
        <v>233</v>
      </c>
      <c r="II75" s="40" t="str">
        <f>II2</f>
        <v>1Q14</v>
      </c>
      <c r="IJ75" s="40" t="str">
        <f>CSX!IL4</f>
        <v>2Q14</v>
      </c>
      <c r="IK75" s="40" t="str">
        <f>CSX!IM4</f>
        <v>3Q14</v>
      </c>
      <c r="IL75" s="40" t="str">
        <f>CSX!IN4</f>
        <v>4Q14</v>
      </c>
      <c r="IM75" s="40">
        <f>CSX!IO4</f>
        <v>2014</v>
      </c>
      <c r="IO75" s="39" t="s">
        <v>233</v>
      </c>
      <c r="IP75" s="40" t="str">
        <f>IP2</f>
        <v>1Q15</v>
      </c>
      <c r="IQ75" s="40" t="str">
        <f>CSX!IS4</f>
        <v>2Q15</v>
      </c>
      <c r="IR75" s="40" t="str">
        <f>CSX!IT4</f>
        <v>3Q15</v>
      </c>
      <c r="IS75" s="40" t="str">
        <f>CSX!IU4</f>
        <v>4Q15</v>
      </c>
      <c r="IT75" s="40">
        <f>CSX!IV4</f>
        <v>2015</v>
      </c>
      <c r="IV75" s="39" t="s">
        <v>233</v>
      </c>
      <c r="IW75" s="40" t="str">
        <f>IW2</f>
        <v>1Q16</v>
      </c>
      <c r="IX75" s="40" t="str">
        <f>CSX!IZ4</f>
        <v>2Q16</v>
      </c>
      <c r="IY75" s="40" t="str">
        <f>CSX!JA4</f>
        <v>3Q16</v>
      </c>
      <c r="IZ75" s="40" t="str">
        <f>CSX!JB4</f>
        <v>4Q16</v>
      </c>
      <c r="JA75" s="40">
        <f>CSX!JC4</f>
        <v>2016</v>
      </c>
      <c r="JC75" s="39" t="s">
        <v>233</v>
      </c>
      <c r="JD75" s="40" t="str">
        <f>JD2</f>
        <v>1Q17</v>
      </c>
      <c r="JE75" s="40" t="str">
        <f>CSX!JG4</f>
        <v>2Q17</v>
      </c>
      <c r="JF75" s="40" t="str">
        <f>CSX!JH4</f>
        <v>3Q17</v>
      </c>
      <c r="JG75" s="40" t="str">
        <f>CSX!JI4</f>
        <v>4Q17</v>
      </c>
      <c r="JH75" s="40">
        <f>CSX!JJ4</f>
        <v>2017</v>
      </c>
      <c r="JJ75" s="39" t="s">
        <v>233</v>
      </c>
      <c r="JK75" s="40" t="str">
        <f>JK2</f>
        <v>1Q18</v>
      </c>
      <c r="JL75" s="40" t="str">
        <f>CSX!JN4</f>
        <v>2Q18</v>
      </c>
      <c r="JM75" s="40" t="str">
        <f>CSX!JO4</f>
        <v>3Q18</v>
      </c>
      <c r="JN75" s="40" t="str">
        <f>CSX!JP4</f>
        <v>4Q18</v>
      </c>
      <c r="JO75" s="40">
        <f>CSX!JQ4</f>
        <v>2018</v>
      </c>
      <c r="JQ75" s="39" t="s">
        <v>233</v>
      </c>
      <c r="JR75" s="40" t="str">
        <f>JR2</f>
        <v>1Q19</v>
      </c>
      <c r="JS75" s="40" t="str">
        <f>CSX!JU4</f>
        <v>2Q19</v>
      </c>
      <c r="JT75" s="40" t="str">
        <f>CSX!JV4</f>
        <v>3Q19</v>
      </c>
      <c r="JU75" s="40" t="str">
        <f>CSX!JW4</f>
        <v>4Q19</v>
      </c>
      <c r="JV75" s="40">
        <f>CSX!JX4</f>
        <v>2019</v>
      </c>
      <c r="JX75" s="39" t="s">
        <v>233</v>
      </c>
      <c r="JY75" s="40" t="str">
        <f>JY2</f>
        <v>1Q20</v>
      </c>
      <c r="JZ75" s="40" t="str">
        <f>CSX!KB4</f>
        <v>2Q20</v>
      </c>
      <c r="KA75" s="40" t="str">
        <f>CSX!KC4</f>
        <v>3Q20</v>
      </c>
      <c r="KB75" s="40" t="str">
        <f>CSX!KD4</f>
        <v>4Q20</v>
      </c>
      <c r="KC75" s="40">
        <f>CSX!KE4</f>
        <v>2020</v>
      </c>
      <c r="KE75" s="39" t="s">
        <v>233</v>
      </c>
      <c r="KF75" s="40" t="str">
        <f>KF2</f>
        <v>1Q21</v>
      </c>
      <c r="KG75" s="40" t="str">
        <f>CSX!KI4</f>
        <v>2Q21</v>
      </c>
      <c r="KH75" s="40" t="str">
        <f>CSX!KJ4</f>
        <v>3Q21</v>
      </c>
      <c r="KI75" s="40" t="str">
        <f>CSX!KK4</f>
        <v>4Q21</v>
      </c>
      <c r="KJ75" s="40">
        <f>CSX!KL4</f>
        <v>2021</v>
      </c>
      <c r="KL75" s="39" t="s">
        <v>233</v>
      </c>
      <c r="KM75" s="40" t="str">
        <f>KM2</f>
        <v>1Q22</v>
      </c>
      <c r="KN75" s="40" t="str">
        <f>CSX!KP4</f>
        <v>2Q22</v>
      </c>
      <c r="KO75" s="40" t="str">
        <f>CSX!KQ4</f>
        <v>3Q22</v>
      </c>
      <c r="KP75" s="40" t="str">
        <f>CSX!KR4</f>
        <v>4Q22</v>
      </c>
      <c r="KQ75" s="40">
        <f>CSX!KS4</f>
        <v>2022</v>
      </c>
      <c r="KS75" s="39" t="s">
        <v>233</v>
      </c>
      <c r="KT75" s="40" t="str">
        <f>KT2</f>
        <v>1Q23</v>
      </c>
      <c r="KU75" s="40" t="str">
        <f>CSX!KW4</f>
        <v>2Q23</v>
      </c>
      <c r="KV75" s="40" t="str">
        <f>CSX!KX4</f>
        <v>3Q23</v>
      </c>
      <c r="KW75" s="40" t="str">
        <f>CSX!KY4</f>
        <v>4Q23</v>
      </c>
      <c r="KX75" s="40">
        <f>CSX!KZ4</f>
        <v>2023</v>
      </c>
      <c r="KZ75" s="39" t="s">
        <v>233</v>
      </c>
      <c r="LA75" s="40" t="str">
        <f>LA2</f>
        <v>1Q24</v>
      </c>
      <c r="LB75" s="40" t="str">
        <f>CSX!LD4</f>
        <v>2Q24</v>
      </c>
      <c r="LC75" s="40" t="str">
        <f>CSX!LE4</f>
        <v>3Q24</v>
      </c>
      <c r="LD75" s="40" t="str">
        <f>CSX!LF4</f>
        <v>4Q24</v>
      </c>
      <c r="LE75" s="40">
        <f>CSX!LG4</f>
        <v>2024</v>
      </c>
      <c r="LF75" s="546"/>
      <c r="LG75" s="39" t="s">
        <v>233</v>
      </c>
      <c r="LH75" s="40" t="str">
        <f>LH2</f>
        <v>1Q25</v>
      </c>
      <c r="LI75" s="40" t="str">
        <f>CSX!LK4</f>
        <v>2Q25</v>
      </c>
      <c r="LJ75" s="40" t="str">
        <f>CSX!LL4</f>
        <v>3Q25</v>
      </c>
      <c r="LK75" s="40" t="str">
        <f>CSX!LM4</f>
        <v>4Q25</v>
      </c>
      <c r="LL75" s="40">
        <f>CSX!LN4</f>
        <v>2025</v>
      </c>
      <c r="LM75" s="546"/>
      <c r="LN75" s="39" t="s">
        <v>233</v>
      </c>
      <c r="LO75" s="40" t="str">
        <f>LO2</f>
        <v>1Q26E</v>
      </c>
      <c r="LP75" s="40" t="str">
        <f>CSX!LR4</f>
        <v>2Q26E</v>
      </c>
      <c r="LQ75" s="40" t="str">
        <f>CSX!LS4</f>
        <v>3Q26E</v>
      </c>
      <c r="LR75" s="40" t="str">
        <f>CSX!LT4</f>
        <v>4Q26E</v>
      </c>
      <c r="LS75" s="40" t="str">
        <f>CSX!LU4</f>
        <v>2026E</v>
      </c>
      <c r="LT75" s="546"/>
      <c r="LU75" s="39" t="s">
        <v>233</v>
      </c>
      <c r="LV75" s="40" t="str">
        <f>LV2</f>
        <v>1Q27E</v>
      </c>
      <c r="LW75" s="40" t="str">
        <f>CSX!LY4</f>
        <v>2Q27E</v>
      </c>
      <c r="LX75" s="40" t="str">
        <f>CSX!LZ4</f>
        <v>3Q27E</v>
      </c>
      <c r="LY75" s="40" t="str">
        <f>CSX!MA4</f>
        <v>4Q27E</v>
      </c>
      <c r="LZ75" s="40" t="str">
        <f>CSX!MB4</f>
        <v>2027E</v>
      </c>
      <c r="MA75" s="546"/>
      <c r="MB75" s="39" t="s">
        <v>233</v>
      </c>
      <c r="MC75" s="40" t="str">
        <f>MC2</f>
        <v>1Q28E</v>
      </c>
      <c r="MD75" s="40" t="str">
        <f>CSX!MF4</f>
        <v>2Q28E</v>
      </c>
      <c r="ME75" s="40" t="str">
        <f>CSX!MG4</f>
        <v>3Q28E</v>
      </c>
      <c r="MF75" s="40" t="str">
        <f>CSX!MH4</f>
        <v>4Q28E</v>
      </c>
      <c r="MG75" s="40" t="str">
        <f>CSX!MI4</f>
        <v>2028E</v>
      </c>
      <c r="MH75" s="546"/>
    </row>
    <row r="76" spans="1:346" s="37" customFormat="1" ht="13.15" x14ac:dyDescent="0.4">
      <c r="A76" s="46"/>
      <c r="B76" s="42" t="s">
        <v>1</v>
      </c>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c r="BF76" s="43"/>
      <c r="BG76" s="43"/>
      <c r="BH76" s="43"/>
      <c r="BI76" s="43"/>
      <c r="BJ76" s="43"/>
      <c r="BK76" s="43"/>
      <c r="BL76" s="43"/>
      <c r="BM76" s="43"/>
      <c r="BO76" s="42" t="s">
        <v>1</v>
      </c>
      <c r="BP76" s="223">
        <f>BP3</f>
        <v>32598</v>
      </c>
      <c r="BQ76" s="223">
        <f>CSX!BS5</f>
        <v>32689</v>
      </c>
      <c r="BR76" s="223">
        <f>CSX!BT5</f>
        <v>32781</v>
      </c>
      <c r="BS76" s="223">
        <f>CSX!BU5</f>
        <v>32873</v>
      </c>
      <c r="BT76" s="43" t="str">
        <f>CSX!BV5</f>
        <v>FY</v>
      </c>
      <c r="BV76" s="42" t="s">
        <v>1</v>
      </c>
      <c r="BW76" s="223">
        <f>BW3</f>
        <v>32963</v>
      </c>
      <c r="BX76" s="223">
        <f>CSX!BZ5</f>
        <v>33054</v>
      </c>
      <c r="BY76" s="223">
        <f>CSX!CA5</f>
        <v>33146</v>
      </c>
      <c r="BZ76" s="223">
        <f>CSX!CB5</f>
        <v>33238</v>
      </c>
      <c r="CA76" s="43" t="str">
        <f>CSX!CC5</f>
        <v>FY</v>
      </c>
      <c r="CC76" s="42" t="s">
        <v>1</v>
      </c>
      <c r="CD76" s="223">
        <f>CD3</f>
        <v>33328</v>
      </c>
      <c r="CE76" s="223">
        <f>CSX!CG5</f>
        <v>33419</v>
      </c>
      <c r="CF76" s="223">
        <f>CSX!CH5</f>
        <v>33511</v>
      </c>
      <c r="CG76" s="223">
        <f>CSX!CI5</f>
        <v>33603</v>
      </c>
      <c r="CH76" s="43" t="str">
        <f>CSX!CJ5</f>
        <v>FY</v>
      </c>
      <c r="CJ76" s="42" t="s">
        <v>1</v>
      </c>
      <c r="CK76" s="223">
        <f>CK3</f>
        <v>33694</v>
      </c>
      <c r="CL76" s="223">
        <f>CSX!CN5</f>
        <v>33785</v>
      </c>
      <c r="CM76" s="223">
        <f>CSX!CO5</f>
        <v>33877</v>
      </c>
      <c r="CN76" s="223">
        <f>CSX!CP5</f>
        <v>33969</v>
      </c>
      <c r="CO76" s="43" t="str">
        <f>CSX!CQ5</f>
        <v>FY</v>
      </c>
      <c r="CQ76" s="42" t="s">
        <v>1</v>
      </c>
      <c r="CR76" s="223">
        <f>CR3</f>
        <v>34059</v>
      </c>
      <c r="CS76" s="223">
        <f>CSX!CU5</f>
        <v>34150</v>
      </c>
      <c r="CT76" s="223">
        <f>CSX!CV5</f>
        <v>34242</v>
      </c>
      <c r="CU76" s="223">
        <f>CSX!CW5</f>
        <v>34334</v>
      </c>
      <c r="CV76" s="43" t="str">
        <f>CSX!CX5</f>
        <v>FY</v>
      </c>
      <c r="CX76" s="42" t="s">
        <v>1</v>
      </c>
      <c r="CY76" s="223">
        <f>CY3</f>
        <v>34424</v>
      </c>
      <c r="CZ76" s="223">
        <f>CSX!DB5</f>
        <v>34515</v>
      </c>
      <c r="DA76" s="223">
        <f>CSX!DC5</f>
        <v>34607</v>
      </c>
      <c r="DB76" s="223">
        <f>CSX!DD5</f>
        <v>34699</v>
      </c>
      <c r="DC76" s="43" t="str">
        <f>CSX!DE5</f>
        <v>FY</v>
      </c>
      <c r="DE76" s="42" t="s">
        <v>1</v>
      </c>
      <c r="DF76" s="223">
        <f>DF3</f>
        <v>34789</v>
      </c>
      <c r="DG76" s="223">
        <f>CSX!DI5</f>
        <v>34880</v>
      </c>
      <c r="DH76" s="223">
        <f>CSX!DJ5</f>
        <v>34972</v>
      </c>
      <c r="DI76" s="223">
        <f>CSX!DK5</f>
        <v>35064</v>
      </c>
      <c r="DJ76" s="43" t="str">
        <f>CSX!DL5</f>
        <v>FY</v>
      </c>
      <c r="DL76" s="42" t="s">
        <v>1</v>
      </c>
      <c r="DM76" s="223">
        <f>DM3</f>
        <v>35155</v>
      </c>
      <c r="DN76" s="223">
        <f>CSX!DP5</f>
        <v>35246</v>
      </c>
      <c r="DO76" s="223">
        <f>CSX!DQ5</f>
        <v>35338</v>
      </c>
      <c r="DP76" s="223">
        <f>CSX!DR5</f>
        <v>35430</v>
      </c>
      <c r="DQ76" s="43" t="str">
        <f>CSX!DS5</f>
        <v>FY</v>
      </c>
      <c r="DS76" s="42" t="s">
        <v>1</v>
      </c>
      <c r="DT76" s="223">
        <f>DT3</f>
        <v>35520</v>
      </c>
      <c r="DU76" s="223">
        <f>CSX!DW5</f>
        <v>35611</v>
      </c>
      <c r="DV76" s="223">
        <f>CSX!DX5</f>
        <v>35703</v>
      </c>
      <c r="DW76" s="223">
        <f>CSX!DY5</f>
        <v>35795</v>
      </c>
      <c r="DX76" s="43" t="str">
        <f>CSX!DZ5</f>
        <v>FY</v>
      </c>
      <c r="DZ76" s="42" t="s">
        <v>1</v>
      </c>
      <c r="EA76" s="223">
        <f>EA3</f>
        <v>35885</v>
      </c>
      <c r="EB76" s="223">
        <f>CSX!ED5</f>
        <v>35976</v>
      </c>
      <c r="EC76" s="223">
        <f>CSX!EE5</f>
        <v>36068</v>
      </c>
      <c r="ED76" s="223">
        <f>CSX!EF5</f>
        <v>36160</v>
      </c>
      <c r="EE76" s="43" t="str">
        <f>CSX!EG5</f>
        <v>FY</v>
      </c>
      <c r="EG76" s="42" t="s">
        <v>1</v>
      </c>
      <c r="EH76" s="223">
        <f>EH3</f>
        <v>36250</v>
      </c>
      <c r="EI76" s="223">
        <f>CSX!EK5</f>
        <v>36341</v>
      </c>
      <c r="EJ76" s="223">
        <f>CSX!EL5</f>
        <v>36433</v>
      </c>
      <c r="EK76" s="223">
        <f>CSX!EM5</f>
        <v>36525</v>
      </c>
      <c r="EL76" s="43" t="str">
        <f>CSX!EN5</f>
        <v>FY</v>
      </c>
      <c r="EN76" s="42" t="s">
        <v>1</v>
      </c>
      <c r="EO76" s="223">
        <f>EO3</f>
        <v>36616</v>
      </c>
      <c r="EP76" s="223">
        <f>CSX!ER5</f>
        <v>36707</v>
      </c>
      <c r="EQ76" s="223">
        <f>CSX!ES5</f>
        <v>36799</v>
      </c>
      <c r="ER76" s="223">
        <f>CSX!ET5</f>
        <v>36891</v>
      </c>
      <c r="ES76" s="43" t="str">
        <f>CSX!EU5</f>
        <v>FY</v>
      </c>
      <c r="EU76" s="42" t="s">
        <v>1</v>
      </c>
      <c r="EV76" s="223">
        <f>EV3</f>
        <v>36981</v>
      </c>
      <c r="EW76" s="223">
        <f>CSX!EY5</f>
        <v>37072</v>
      </c>
      <c r="EX76" s="223">
        <f>CSX!EZ5</f>
        <v>37164</v>
      </c>
      <c r="EY76" s="223">
        <f>CSX!FA5</f>
        <v>37256</v>
      </c>
      <c r="EZ76" s="43" t="str">
        <f>CSX!FB5</f>
        <v>FY</v>
      </c>
      <c r="FB76" s="42" t="s">
        <v>1</v>
      </c>
      <c r="FC76" s="223">
        <f>FC3</f>
        <v>37346</v>
      </c>
      <c r="FD76" s="223">
        <f>CSX!FF5</f>
        <v>37437</v>
      </c>
      <c r="FE76" s="223">
        <f>CSX!FG5</f>
        <v>37529</v>
      </c>
      <c r="FF76" s="223">
        <f>CSX!FH5</f>
        <v>37621</v>
      </c>
      <c r="FG76" s="43" t="str">
        <f>CSX!FI5</f>
        <v>FY</v>
      </c>
      <c r="FI76" s="42" t="s">
        <v>1</v>
      </c>
      <c r="FJ76" s="223">
        <f>FJ3</f>
        <v>37711</v>
      </c>
      <c r="FK76" s="223">
        <f>CSX!FM5</f>
        <v>37802</v>
      </c>
      <c r="FL76" s="223">
        <f>CSX!FN5</f>
        <v>37894</v>
      </c>
      <c r="FM76" s="223">
        <f>CSX!FO5</f>
        <v>37986</v>
      </c>
      <c r="FN76" s="43" t="str">
        <f>CSX!FP5</f>
        <v>FY</v>
      </c>
      <c r="FP76" s="42" t="s">
        <v>1</v>
      </c>
      <c r="FQ76" s="223">
        <f>FQ3</f>
        <v>38077</v>
      </c>
      <c r="FR76" s="223">
        <f>CSX!FT5</f>
        <v>38168</v>
      </c>
      <c r="FS76" s="223">
        <f>CSX!FU5</f>
        <v>38260</v>
      </c>
      <c r="FT76" s="223">
        <f>CSX!FV5</f>
        <v>38352</v>
      </c>
      <c r="FU76" s="43" t="str">
        <f>CSX!FW5</f>
        <v>FY</v>
      </c>
      <c r="FW76" s="42" t="s">
        <v>1</v>
      </c>
      <c r="FX76" s="223">
        <f>FX3</f>
        <v>38442</v>
      </c>
      <c r="FY76" s="223">
        <f>CSX!GA5</f>
        <v>38533</v>
      </c>
      <c r="FZ76" s="223">
        <f>CSX!GB5</f>
        <v>38625</v>
      </c>
      <c r="GA76" s="223">
        <f>CSX!GC5</f>
        <v>38717</v>
      </c>
      <c r="GB76" s="43" t="str">
        <f>CSX!GD5</f>
        <v>FY</v>
      </c>
      <c r="GD76" s="42" t="s">
        <v>1</v>
      </c>
      <c r="GE76" s="223">
        <f>GE3</f>
        <v>38807</v>
      </c>
      <c r="GF76" s="223">
        <f>CSX!GH5</f>
        <v>38898</v>
      </c>
      <c r="GG76" s="223">
        <f>CSX!GI5</f>
        <v>38990</v>
      </c>
      <c r="GH76" s="223">
        <f>CSX!GJ5</f>
        <v>39082</v>
      </c>
      <c r="GI76" s="43" t="str">
        <f>CSX!GK5</f>
        <v>FY</v>
      </c>
      <c r="GK76" s="42" t="s">
        <v>1</v>
      </c>
      <c r="GL76" s="223">
        <f>GL3</f>
        <v>39172</v>
      </c>
      <c r="GM76" s="223">
        <f>CSX!GO5</f>
        <v>39263</v>
      </c>
      <c r="GN76" s="223">
        <f>CSX!GP5</f>
        <v>39355</v>
      </c>
      <c r="GO76" s="223">
        <f>CSX!GQ5</f>
        <v>39447</v>
      </c>
      <c r="GP76" s="43" t="str">
        <f>CSX!GR5</f>
        <v>FY</v>
      </c>
      <c r="GR76" s="42" t="s">
        <v>1</v>
      </c>
      <c r="GS76" s="223">
        <f>GS3</f>
        <v>39538</v>
      </c>
      <c r="GT76" s="223">
        <f>CSX!GV5</f>
        <v>39629</v>
      </c>
      <c r="GU76" s="223">
        <f>CSX!GW5</f>
        <v>39721</v>
      </c>
      <c r="GV76" s="223">
        <f>CSX!GX5</f>
        <v>39813</v>
      </c>
      <c r="GW76" s="43" t="str">
        <f>CSX!GY5</f>
        <v>FY</v>
      </c>
      <c r="GY76" s="42" t="s">
        <v>1</v>
      </c>
      <c r="GZ76" s="223">
        <f>GZ3</f>
        <v>39903</v>
      </c>
      <c r="HA76" s="223">
        <f>CSX!HC5</f>
        <v>39994</v>
      </c>
      <c r="HB76" s="223">
        <f>CSX!HD5</f>
        <v>40086</v>
      </c>
      <c r="HC76" s="223">
        <f>CSX!HE5</f>
        <v>40178</v>
      </c>
      <c r="HD76" s="43" t="str">
        <f>CSX!HF5</f>
        <v>FY</v>
      </c>
      <c r="HF76" s="42" t="s">
        <v>1</v>
      </c>
      <c r="HG76" s="223">
        <f>HG3</f>
        <v>40268</v>
      </c>
      <c r="HH76" s="223">
        <f>CSX!HJ5</f>
        <v>40359</v>
      </c>
      <c r="HI76" s="223">
        <f>CSX!HK5</f>
        <v>40451</v>
      </c>
      <c r="HJ76" s="223">
        <f>CSX!HL5</f>
        <v>40543</v>
      </c>
      <c r="HK76" s="43" t="str">
        <f>CSX!HM5</f>
        <v>FY</v>
      </c>
      <c r="HM76" s="42" t="s">
        <v>1</v>
      </c>
      <c r="HN76" s="223">
        <f>HN3</f>
        <v>40633</v>
      </c>
      <c r="HO76" s="223">
        <f>CSX!HQ5</f>
        <v>40724</v>
      </c>
      <c r="HP76" s="223">
        <f>CSX!HR5</f>
        <v>40816</v>
      </c>
      <c r="HQ76" s="223">
        <f>CSX!HS5</f>
        <v>40908</v>
      </c>
      <c r="HR76" s="43" t="str">
        <f>CSX!HT5</f>
        <v>FY</v>
      </c>
      <c r="HT76" s="42" t="s">
        <v>1</v>
      </c>
      <c r="HU76" s="223">
        <f>HU3</f>
        <v>40999</v>
      </c>
      <c r="HV76" s="223">
        <f>CSX!HX5</f>
        <v>41090</v>
      </c>
      <c r="HW76" s="223">
        <f>CSX!HY5</f>
        <v>41182</v>
      </c>
      <c r="HX76" s="223">
        <f>CSX!HZ5</f>
        <v>41274</v>
      </c>
      <c r="HY76" s="43" t="str">
        <f>CSX!IA5</f>
        <v>FY</v>
      </c>
      <c r="IA76" s="42" t="s">
        <v>1</v>
      </c>
      <c r="IB76" s="223">
        <f>IB3</f>
        <v>41364</v>
      </c>
      <c r="IC76" s="223">
        <f>CSX!IE5</f>
        <v>41455</v>
      </c>
      <c r="ID76" s="223">
        <f>CSX!IF5</f>
        <v>41547</v>
      </c>
      <c r="IE76" s="223">
        <f>CSX!IG5</f>
        <v>41639</v>
      </c>
      <c r="IF76" s="43" t="str">
        <f>CSX!IH5</f>
        <v>FY</v>
      </c>
      <c r="IH76" s="42" t="s">
        <v>1</v>
      </c>
      <c r="II76" s="223">
        <f>II3</f>
        <v>41729</v>
      </c>
      <c r="IJ76" s="223">
        <f>CSX!IL5</f>
        <v>41820</v>
      </c>
      <c r="IK76" s="223">
        <f>CSX!IM5</f>
        <v>41912</v>
      </c>
      <c r="IL76" s="223">
        <f>CSX!IN5</f>
        <v>42004</v>
      </c>
      <c r="IM76" s="43" t="str">
        <f>CSX!IO5</f>
        <v>FY</v>
      </c>
      <c r="IO76" s="42" t="s">
        <v>1</v>
      </c>
      <c r="IP76" s="223">
        <f>IP3</f>
        <v>42094</v>
      </c>
      <c r="IQ76" s="223">
        <f>CSX!IS5</f>
        <v>42185</v>
      </c>
      <c r="IR76" s="223">
        <f>CSX!IT5</f>
        <v>42277</v>
      </c>
      <c r="IS76" s="223">
        <f>CSX!IU5</f>
        <v>42369</v>
      </c>
      <c r="IT76" s="43" t="str">
        <f>CSX!IV5</f>
        <v>FY</v>
      </c>
      <c r="IV76" s="42" t="s">
        <v>1</v>
      </c>
      <c r="IW76" s="223">
        <f>IW3</f>
        <v>42460</v>
      </c>
      <c r="IX76" s="223">
        <f>CSX!IZ5</f>
        <v>42551</v>
      </c>
      <c r="IY76" s="223">
        <f>CSX!JA5</f>
        <v>42643</v>
      </c>
      <c r="IZ76" s="223">
        <f>CSX!JB5</f>
        <v>42735</v>
      </c>
      <c r="JA76" s="43" t="str">
        <f>CSX!JC5</f>
        <v>FY</v>
      </c>
      <c r="JC76" s="42" t="s">
        <v>1</v>
      </c>
      <c r="JD76" s="223">
        <f>JD3</f>
        <v>42825</v>
      </c>
      <c r="JE76" s="223">
        <f>CSX!JG5</f>
        <v>42916</v>
      </c>
      <c r="JF76" s="223">
        <f>CSX!JH5</f>
        <v>43008</v>
      </c>
      <c r="JG76" s="223">
        <f>CSX!JI5</f>
        <v>43100</v>
      </c>
      <c r="JH76" s="43" t="str">
        <f>CSX!JJ5</f>
        <v>FY</v>
      </c>
      <c r="JJ76" s="42" t="s">
        <v>1</v>
      </c>
      <c r="JK76" s="223">
        <f>JK3</f>
        <v>43190</v>
      </c>
      <c r="JL76" s="223">
        <f>CSX!JN5</f>
        <v>43281</v>
      </c>
      <c r="JM76" s="223">
        <f>CSX!JO5</f>
        <v>43373</v>
      </c>
      <c r="JN76" s="223">
        <f>CSX!JP5</f>
        <v>43465</v>
      </c>
      <c r="JO76" s="43" t="str">
        <f>CSX!JQ5</f>
        <v>FY</v>
      </c>
      <c r="JQ76" s="42" t="s">
        <v>1</v>
      </c>
      <c r="JR76" s="223">
        <f>JR3</f>
        <v>43555</v>
      </c>
      <c r="JS76" s="223">
        <f>CSX!JU5</f>
        <v>43646</v>
      </c>
      <c r="JT76" s="223">
        <f>CSX!JV5</f>
        <v>43738</v>
      </c>
      <c r="JU76" s="223">
        <f>CSX!JW5</f>
        <v>43830</v>
      </c>
      <c r="JV76" s="43" t="str">
        <f>CSX!JX5</f>
        <v>FY</v>
      </c>
      <c r="JX76" s="42" t="s">
        <v>1</v>
      </c>
      <c r="JY76" s="223">
        <f>JY3</f>
        <v>43921</v>
      </c>
      <c r="JZ76" s="223">
        <f>CSX!KB5</f>
        <v>44012</v>
      </c>
      <c r="KA76" s="223">
        <f>CSX!KC5</f>
        <v>44104</v>
      </c>
      <c r="KB76" s="223">
        <f>CSX!KD5</f>
        <v>44196</v>
      </c>
      <c r="KC76" s="43" t="str">
        <f>CSX!KE5</f>
        <v>FY</v>
      </c>
      <c r="KE76" s="42" t="s">
        <v>1</v>
      </c>
      <c r="KF76" s="223">
        <f>KF3</f>
        <v>44286</v>
      </c>
      <c r="KG76" s="223">
        <f>CSX!KI5</f>
        <v>44377</v>
      </c>
      <c r="KH76" s="223">
        <f>CSX!KJ5</f>
        <v>44469</v>
      </c>
      <c r="KI76" s="223">
        <f>CSX!KK5</f>
        <v>44561</v>
      </c>
      <c r="KJ76" s="43" t="str">
        <f>CSX!KL5</f>
        <v>FY</v>
      </c>
      <c r="KL76" s="42" t="s">
        <v>1</v>
      </c>
      <c r="KM76" s="223">
        <f>KM3</f>
        <v>44651</v>
      </c>
      <c r="KN76" s="223">
        <f>CSX!KP5</f>
        <v>44742</v>
      </c>
      <c r="KO76" s="223">
        <f>CSX!KQ5</f>
        <v>44834</v>
      </c>
      <c r="KP76" s="223">
        <f>CSX!KR5</f>
        <v>44926</v>
      </c>
      <c r="KQ76" s="43" t="str">
        <f>CSX!KS5</f>
        <v>FY</v>
      </c>
      <c r="KS76" s="42" t="s">
        <v>1</v>
      </c>
      <c r="KT76" s="223">
        <f>KT3</f>
        <v>45016</v>
      </c>
      <c r="KU76" s="223">
        <f>CSX!KW5</f>
        <v>45107</v>
      </c>
      <c r="KV76" s="223">
        <f>CSX!KX5</f>
        <v>45199</v>
      </c>
      <c r="KW76" s="223">
        <f>CSX!KY5</f>
        <v>45291</v>
      </c>
      <c r="KX76" s="43" t="str">
        <f>CSX!KZ5</f>
        <v>FY</v>
      </c>
      <c r="KZ76" s="42" t="s">
        <v>1</v>
      </c>
      <c r="LA76" s="223">
        <f>LA3</f>
        <v>45382</v>
      </c>
      <c r="LB76" s="223">
        <f>CSX!LD5</f>
        <v>45473</v>
      </c>
      <c r="LC76" s="223">
        <f>CSX!LE5</f>
        <v>45565</v>
      </c>
      <c r="LD76" s="223">
        <f>CSX!LF5</f>
        <v>45657</v>
      </c>
      <c r="LE76" s="43" t="str">
        <f>CSX!LG5</f>
        <v>FY</v>
      </c>
      <c r="LF76" s="583"/>
      <c r="LG76" s="42" t="s">
        <v>1</v>
      </c>
      <c r="LH76" s="223">
        <f>LH3</f>
        <v>45747</v>
      </c>
      <c r="LI76" s="223">
        <f>CSX!LK5</f>
        <v>45838</v>
      </c>
      <c r="LJ76" s="223">
        <f>CSX!LL5</f>
        <v>45930</v>
      </c>
      <c r="LK76" s="223">
        <f>CSX!LM5</f>
        <v>46022</v>
      </c>
      <c r="LL76" s="43" t="str">
        <f>CSX!LN5</f>
        <v>FY</v>
      </c>
      <c r="LM76" s="583"/>
      <c r="LN76" s="42" t="s">
        <v>1</v>
      </c>
      <c r="LO76" s="223">
        <f>LO3</f>
        <v>46112</v>
      </c>
      <c r="LP76" s="223">
        <f>CSX!LR5</f>
        <v>46203</v>
      </c>
      <c r="LQ76" s="223">
        <f>CSX!LS5</f>
        <v>46295</v>
      </c>
      <c r="LR76" s="223">
        <f>CSX!LT5</f>
        <v>46387</v>
      </c>
      <c r="LS76" s="43" t="str">
        <f>CSX!LU5</f>
        <v>FY</v>
      </c>
      <c r="LT76" s="583"/>
      <c r="LU76" s="42" t="s">
        <v>1</v>
      </c>
      <c r="LV76" s="223">
        <f>LV3</f>
        <v>46477</v>
      </c>
      <c r="LW76" s="223">
        <f>CSX!LY5</f>
        <v>46568</v>
      </c>
      <c r="LX76" s="223">
        <f>CSX!LZ5</f>
        <v>46660</v>
      </c>
      <c r="LY76" s="223">
        <f>CSX!MA5</f>
        <v>46752</v>
      </c>
      <c r="LZ76" s="43" t="str">
        <f>CSX!MB5</f>
        <v>FY</v>
      </c>
      <c r="MA76" s="583"/>
      <c r="MB76" s="42" t="s">
        <v>1</v>
      </c>
      <c r="MC76" s="223">
        <f>MC3</f>
        <v>46843</v>
      </c>
      <c r="MD76" s="223">
        <f>CSX!MF5</f>
        <v>46934</v>
      </c>
      <c r="ME76" s="223">
        <f>CSX!MG5</f>
        <v>47026</v>
      </c>
      <c r="MF76" s="223">
        <f>CSX!MH5</f>
        <v>47118</v>
      </c>
      <c r="MG76" s="43" t="str">
        <f>CSX!MI5</f>
        <v>FY</v>
      </c>
      <c r="MH76" s="583"/>
    </row>
    <row r="77" spans="1:346" s="37" customFormat="1" ht="13.5" thickBot="1" x14ac:dyDescent="0.45">
      <c r="A77" s="96"/>
      <c r="B77" s="36"/>
      <c r="BO77" s="36"/>
      <c r="BV77" s="36"/>
      <c r="CC77" s="36"/>
      <c r="CJ77" s="36"/>
      <c r="CQ77" s="36"/>
      <c r="CX77" s="36"/>
      <c r="DE77" s="36"/>
      <c r="DL77" s="36"/>
      <c r="DS77" s="36"/>
      <c r="DZ77" s="36"/>
      <c r="EG77" s="36"/>
      <c r="EN77" s="36"/>
      <c r="EU77" s="36"/>
      <c r="FB77" s="36"/>
      <c r="FI77" s="36"/>
      <c r="FP77" s="36"/>
      <c r="FW77" s="36"/>
      <c r="GD77" s="36"/>
      <c r="GK77" s="36"/>
      <c r="GR77" s="36"/>
      <c r="GY77" s="36"/>
      <c r="HF77" s="36"/>
      <c r="HM77" s="36"/>
      <c r="HT77" s="36"/>
      <c r="IA77" s="36"/>
      <c r="IH77" s="36"/>
      <c r="IO77" s="36"/>
      <c r="IV77" s="36"/>
      <c r="JC77" s="36"/>
      <c r="JJ77" s="36"/>
      <c r="JQ77" s="36"/>
      <c r="JX77" s="36"/>
      <c r="KE77" s="36"/>
      <c r="KL77" s="36"/>
      <c r="KS77" s="36"/>
      <c r="KZ77" s="36"/>
      <c r="LF77" s="565"/>
      <c r="LG77" s="36"/>
      <c r="LM77" s="565"/>
      <c r="LN77" s="36"/>
      <c r="LT77" s="565"/>
      <c r="LU77" s="36"/>
      <c r="MA77" s="565"/>
      <c r="MB77" s="36"/>
      <c r="MH77" s="565"/>
    </row>
    <row r="78" spans="1:346" s="37" customFormat="1" ht="13.5" thickBot="1" x14ac:dyDescent="0.45">
      <c r="A78" s="97"/>
      <c r="B78" s="98" t="s">
        <v>262</v>
      </c>
      <c r="C78" s="99"/>
      <c r="D78" s="99"/>
      <c r="E78" s="99"/>
      <c r="F78" s="99"/>
      <c r="G78" s="99"/>
      <c r="H78" s="99"/>
      <c r="I78" s="99"/>
      <c r="J78" s="99"/>
      <c r="K78" s="99"/>
      <c r="L78" s="99"/>
      <c r="M78" s="99"/>
      <c r="N78" s="99"/>
      <c r="O78" s="99"/>
      <c r="P78" s="99"/>
      <c r="Q78" s="99"/>
      <c r="R78" s="99"/>
      <c r="S78" s="99"/>
      <c r="T78" s="99"/>
      <c r="U78" s="99"/>
      <c r="V78" s="99"/>
      <c r="W78" s="99"/>
      <c r="X78" s="99"/>
      <c r="Y78" s="99"/>
      <c r="Z78" s="99"/>
      <c r="AA78" s="99"/>
      <c r="AB78" s="99"/>
      <c r="AC78" s="99"/>
      <c r="AD78" s="99"/>
      <c r="AE78" s="99"/>
      <c r="AF78" s="99"/>
      <c r="AG78" s="99"/>
      <c r="AH78" s="99"/>
      <c r="AI78" s="99"/>
      <c r="AJ78" s="99"/>
      <c r="AK78" s="99"/>
      <c r="AL78" s="99"/>
      <c r="AM78" s="99"/>
      <c r="AN78" s="99"/>
      <c r="AO78" s="99"/>
      <c r="AP78" s="99"/>
      <c r="AQ78" s="99"/>
      <c r="AR78" s="99"/>
      <c r="AS78" s="99"/>
      <c r="AT78" s="99"/>
      <c r="AU78" s="99"/>
      <c r="AV78" s="99"/>
      <c r="AW78" s="99"/>
      <c r="AX78" s="99"/>
      <c r="AY78" s="99"/>
      <c r="AZ78" s="99"/>
      <c r="BA78" s="99"/>
      <c r="BB78" s="99"/>
      <c r="BC78" s="99"/>
      <c r="BD78" s="99"/>
      <c r="BE78" s="99"/>
      <c r="BF78" s="99"/>
      <c r="BG78" s="99"/>
      <c r="BH78" s="99"/>
      <c r="BI78" s="99"/>
      <c r="BJ78" s="99"/>
      <c r="BK78" s="99"/>
      <c r="BL78" s="99"/>
      <c r="BM78" s="99"/>
      <c r="BO78" s="98" t="s">
        <v>262</v>
      </c>
      <c r="BP78" s="99"/>
      <c r="BQ78" s="99"/>
      <c r="BR78" s="99"/>
      <c r="BS78" s="99"/>
      <c r="BT78" s="99"/>
      <c r="BV78" s="98" t="s">
        <v>262</v>
      </c>
      <c r="BW78" s="99"/>
      <c r="BX78" s="99"/>
      <c r="BY78" s="99"/>
      <c r="BZ78" s="99"/>
      <c r="CA78" s="99"/>
      <c r="CC78" s="98" t="s">
        <v>262</v>
      </c>
      <c r="CD78" s="99"/>
      <c r="CE78" s="99"/>
      <c r="CF78" s="99"/>
      <c r="CG78" s="99"/>
      <c r="CH78" s="99"/>
      <c r="CJ78" s="98" t="s">
        <v>262</v>
      </c>
      <c r="CK78" s="99"/>
      <c r="CL78" s="99"/>
      <c r="CM78" s="99"/>
      <c r="CN78" s="99"/>
      <c r="CO78" s="99"/>
      <c r="CQ78" s="98" t="s">
        <v>262</v>
      </c>
      <c r="CR78" s="99"/>
      <c r="CS78" s="99"/>
      <c r="CT78" s="99"/>
      <c r="CU78" s="99"/>
      <c r="CV78" s="99"/>
      <c r="CX78" s="98" t="s">
        <v>262</v>
      </c>
      <c r="CY78" s="99"/>
      <c r="CZ78" s="99"/>
      <c r="DA78" s="99"/>
      <c r="DB78" s="99"/>
      <c r="DC78" s="99"/>
      <c r="DE78" s="98" t="s">
        <v>262</v>
      </c>
      <c r="DF78" s="99"/>
      <c r="DG78" s="99"/>
      <c r="DH78" s="99"/>
      <c r="DI78" s="99"/>
      <c r="DJ78" s="99"/>
      <c r="DL78" s="98" t="s">
        <v>262</v>
      </c>
      <c r="DM78" s="99"/>
      <c r="DN78" s="99"/>
      <c r="DO78" s="99"/>
      <c r="DP78" s="99"/>
      <c r="DQ78" s="99"/>
      <c r="DS78" s="98" t="s">
        <v>262</v>
      </c>
      <c r="DT78" s="99"/>
      <c r="DU78" s="99"/>
      <c r="DV78" s="99"/>
      <c r="DW78" s="99"/>
      <c r="DX78" s="99"/>
      <c r="DZ78" s="98" t="s">
        <v>262</v>
      </c>
      <c r="EA78" s="99"/>
      <c r="EB78" s="99"/>
      <c r="EC78" s="99"/>
      <c r="ED78" s="99"/>
      <c r="EE78" s="99"/>
      <c r="EG78" s="98" t="s">
        <v>262</v>
      </c>
      <c r="EH78" s="99"/>
      <c r="EI78" s="99"/>
      <c r="EJ78" s="99"/>
      <c r="EK78" s="99"/>
      <c r="EL78" s="99"/>
      <c r="EN78" s="98" t="s">
        <v>262</v>
      </c>
      <c r="EO78" s="99"/>
      <c r="EP78" s="99"/>
      <c r="EQ78" s="99"/>
      <c r="ER78" s="99"/>
      <c r="ES78" s="99"/>
      <c r="EU78" s="98" t="s">
        <v>262</v>
      </c>
      <c r="EV78" s="99"/>
      <c r="EW78" s="99"/>
      <c r="EX78" s="99"/>
      <c r="EY78" s="99"/>
      <c r="EZ78" s="99"/>
      <c r="FB78" s="98" t="s">
        <v>262</v>
      </c>
      <c r="FC78" s="99"/>
      <c r="FD78" s="99"/>
      <c r="FE78" s="99"/>
      <c r="FF78" s="99"/>
      <c r="FG78" s="99"/>
      <c r="FI78" s="98" t="s">
        <v>262</v>
      </c>
      <c r="FJ78" s="99"/>
      <c r="FK78" s="99"/>
      <c r="FL78" s="99"/>
      <c r="FM78" s="99"/>
      <c r="FN78" s="99"/>
      <c r="FP78" s="98" t="s">
        <v>262</v>
      </c>
      <c r="FQ78" s="99"/>
      <c r="FR78" s="99"/>
      <c r="FS78" s="99"/>
      <c r="FT78" s="99"/>
      <c r="FU78" s="99"/>
      <c r="FW78" s="98" t="s">
        <v>262</v>
      </c>
      <c r="FX78" s="99"/>
      <c r="FY78" s="99"/>
      <c r="FZ78" s="99"/>
      <c r="GA78" s="99"/>
      <c r="GB78" s="99"/>
      <c r="GD78" s="98" t="s">
        <v>262</v>
      </c>
      <c r="GE78" s="99"/>
      <c r="GF78" s="99"/>
      <c r="GG78" s="99"/>
      <c r="GH78" s="99"/>
      <c r="GI78" s="99"/>
      <c r="GK78" s="98" t="s">
        <v>262</v>
      </c>
      <c r="GL78" s="99"/>
      <c r="GM78" s="99"/>
      <c r="GN78" s="99"/>
      <c r="GO78" s="99"/>
      <c r="GP78" s="99"/>
      <c r="GR78" s="98" t="s">
        <v>262</v>
      </c>
      <c r="GS78" s="99"/>
      <c r="GT78" s="99"/>
      <c r="GU78" s="99"/>
      <c r="GV78" s="99"/>
      <c r="GW78" s="99"/>
      <c r="GY78" s="98" t="s">
        <v>262</v>
      </c>
      <c r="GZ78" s="99"/>
      <c r="HA78" s="99"/>
      <c r="HB78" s="99"/>
      <c r="HC78" s="99"/>
      <c r="HD78" s="99"/>
      <c r="HF78" s="98" t="s">
        <v>262</v>
      </c>
      <c r="HG78" s="99"/>
      <c r="HH78" s="99"/>
      <c r="HI78" s="99"/>
      <c r="HJ78" s="99"/>
      <c r="HK78" s="99"/>
      <c r="HM78" s="98" t="s">
        <v>262</v>
      </c>
      <c r="HN78" s="99"/>
      <c r="HO78" s="99"/>
      <c r="HP78" s="99"/>
      <c r="HQ78" s="99"/>
      <c r="HR78" s="99"/>
      <c r="HT78" s="98" t="s">
        <v>262</v>
      </c>
      <c r="HU78" s="99"/>
      <c r="HV78" s="99"/>
      <c r="HW78" s="99"/>
      <c r="HX78" s="99"/>
      <c r="HY78" s="99"/>
      <c r="IA78" s="98" t="s">
        <v>262</v>
      </c>
      <c r="IB78" s="99"/>
      <c r="IC78" s="99"/>
      <c r="ID78" s="99"/>
      <c r="IE78" s="99"/>
      <c r="IF78" s="99"/>
      <c r="IH78" s="98" t="s">
        <v>262</v>
      </c>
      <c r="II78" s="99"/>
      <c r="IJ78" s="99"/>
      <c r="IK78" s="99"/>
      <c r="IL78" s="99"/>
      <c r="IM78" s="99"/>
      <c r="IO78" s="98" t="s">
        <v>262</v>
      </c>
      <c r="IP78" s="99"/>
      <c r="IQ78" s="99"/>
      <c r="IR78" s="99"/>
      <c r="IS78" s="99"/>
      <c r="IT78" s="99"/>
      <c r="IV78" s="98" t="s">
        <v>262</v>
      </c>
      <c r="IW78" s="99"/>
      <c r="IX78" s="99"/>
      <c r="IY78" s="99"/>
      <c r="IZ78" s="99"/>
      <c r="JA78" s="99"/>
      <c r="JC78" s="98" t="s">
        <v>262</v>
      </c>
      <c r="JD78" s="99"/>
      <c r="JE78" s="99"/>
      <c r="JF78" s="99"/>
      <c r="JG78" s="99"/>
      <c r="JH78" s="99"/>
      <c r="JJ78" s="98" t="s">
        <v>262</v>
      </c>
      <c r="JK78" s="99"/>
      <c r="JL78" s="99"/>
      <c r="JM78" s="99"/>
      <c r="JN78" s="99"/>
      <c r="JO78" s="99"/>
      <c r="JQ78" s="98" t="s">
        <v>262</v>
      </c>
      <c r="JR78" s="99"/>
      <c r="JS78" s="99"/>
      <c r="JT78" s="99"/>
      <c r="JU78" s="99"/>
      <c r="JV78" s="99"/>
      <c r="JX78" s="98" t="s">
        <v>262</v>
      </c>
      <c r="JY78" s="99"/>
      <c r="JZ78" s="99"/>
      <c r="KA78" s="99"/>
      <c r="KB78" s="99"/>
      <c r="KC78" s="99"/>
      <c r="KE78" s="98" t="s">
        <v>262</v>
      </c>
      <c r="KF78" s="99"/>
      <c r="KG78" s="99"/>
      <c r="KH78" s="99"/>
      <c r="KI78" s="99"/>
      <c r="KJ78" s="99"/>
      <c r="KL78" s="98" t="s">
        <v>262</v>
      </c>
      <c r="KM78" s="99"/>
      <c r="KN78" s="99"/>
      <c r="KO78" s="99"/>
      <c r="KP78" s="99"/>
      <c r="KQ78" s="99"/>
      <c r="KS78" s="98" t="s">
        <v>262</v>
      </c>
      <c r="KT78" s="99"/>
      <c r="KU78" s="99"/>
      <c r="KV78" s="99"/>
      <c r="KW78" s="99"/>
      <c r="KX78" s="99"/>
      <c r="KZ78" s="98" t="s">
        <v>262</v>
      </c>
      <c r="LA78" s="99"/>
      <c r="LB78" s="99"/>
      <c r="LC78" s="99"/>
      <c r="LD78" s="99"/>
      <c r="LE78" s="99"/>
      <c r="LF78" s="565"/>
      <c r="LG78" s="98" t="s">
        <v>262</v>
      </c>
      <c r="LH78" s="99"/>
      <c r="LI78" s="99"/>
      <c r="LJ78" s="99"/>
      <c r="LK78" s="99"/>
      <c r="LL78" s="99"/>
      <c r="LM78" s="565"/>
      <c r="LN78" s="98" t="s">
        <v>262</v>
      </c>
      <c r="LO78" s="99"/>
      <c r="LP78" s="99"/>
      <c r="LQ78" s="99"/>
      <c r="LR78" s="99"/>
      <c r="LS78" s="99"/>
      <c r="LT78" s="565"/>
      <c r="LU78" s="98" t="s">
        <v>262</v>
      </c>
      <c r="LV78" s="99"/>
      <c r="LW78" s="99"/>
      <c r="LX78" s="99"/>
      <c r="LY78" s="99"/>
      <c r="LZ78" s="99"/>
      <c r="MA78" s="565"/>
      <c r="MB78" s="98" t="s">
        <v>262</v>
      </c>
      <c r="MC78" s="99"/>
      <c r="MD78" s="99"/>
      <c r="ME78" s="99"/>
      <c r="MF78" s="99"/>
      <c r="MG78" s="99"/>
      <c r="MH78" s="565"/>
    </row>
    <row r="79" spans="1:346" s="37" customFormat="1" ht="13.15" collapsed="1" x14ac:dyDescent="0.4">
      <c r="A79" s="96"/>
      <c r="B79" s="36"/>
      <c r="BO79" s="36"/>
      <c r="BV79" s="36"/>
      <c r="CC79" s="36"/>
      <c r="CJ79" s="36"/>
      <c r="CQ79" s="36"/>
      <c r="CX79" s="36"/>
      <c r="DE79" s="36"/>
      <c r="DL79" s="36"/>
      <c r="DS79" s="36"/>
      <c r="DZ79" s="36"/>
      <c r="EG79" s="36"/>
      <c r="EN79" s="36"/>
      <c r="EU79" s="36"/>
      <c r="FB79" s="36"/>
      <c r="FI79" s="36"/>
      <c r="FP79" s="36"/>
      <c r="FW79" s="36"/>
      <c r="GD79" s="36"/>
      <c r="GK79" s="36"/>
      <c r="GR79" s="36"/>
      <c r="GY79" s="36"/>
      <c r="HF79" s="36"/>
      <c r="HM79" s="36"/>
      <c r="HT79" s="36"/>
      <c r="IA79" s="36"/>
      <c r="IH79" s="36"/>
      <c r="IO79" s="36"/>
      <c r="IV79" s="36"/>
      <c r="JC79" s="36"/>
      <c r="JJ79" s="36"/>
      <c r="JQ79" s="36"/>
      <c r="JX79" s="36"/>
      <c r="KE79" s="36"/>
      <c r="KL79" s="36"/>
      <c r="KS79" s="36"/>
      <c r="KZ79" s="642"/>
      <c r="LA79" s="643"/>
      <c r="LB79" s="643"/>
      <c r="LC79" s="643"/>
      <c r="LD79" s="643"/>
      <c r="LE79" s="643"/>
      <c r="LF79" s="584"/>
      <c r="LG79" s="642"/>
      <c r="LH79" s="643"/>
      <c r="LI79" s="643"/>
      <c r="LJ79" s="643"/>
      <c r="LK79" s="643"/>
      <c r="LL79" s="643"/>
      <c r="LM79" s="584"/>
      <c r="LN79" s="642"/>
      <c r="LO79" s="643"/>
      <c r="LP79" s="643"/>
      <c r="LQ79" s="643"/>
      <c r="LR79" s="643"/>
      <c r="LS79" s="643"/>
      <c r="LT79" s="584"/>
      <c r="LU79" s="642"/>
      <c r="LV79" s="643"/>
      <c r="LW79" s="643"/>
      <c r="LX79" s="643"/>
      <c r="LY79" s="643"/>
      <c r="LZ79" s="643"/>
      <c r="MA79" s="584"/>
      <c r="MB79" s="642"/>
      <c r="MC79" s="643"/>
      <c r="MD79" s="643"/>
      <c r="ME79" s="643"/>
      <c r="MF79" s="643"/>
      <c r="MG79" s="643"/>
      <c r="MH79" s="584"/>
    </row>
    <row r="80" spans="1:346" s="53" customFormat="1" ht="13.15" x14ac:dyDescent="0.4">
      <c r="A80" s="100"/>
      <c r="B80" s="238" t="s">
        <v>241</v>
      </c>
      <c r="C80" s="239"/>
      <c r="D80" s="239"/>
      <c r="E80" s="239">
        <f t="shared" ref="E80:M80" si="232">SUM(E100:E103)</f>
        <v>71336</v>
      </c>
      <c r="F80" s="239">
        <f t="shared" si="232"/>
        <v>70076</v>
      </c>
      <c r="G80" s="239">
        <f t="shared" si="232"/>
        <v>58395</v>
      </c>
      <c r="H80" s="239">
        <f t="shared" si="232"/>
        <v>56092</v>
      </c>
      <c r="I80" s="239">
        <f t="shared" si="232"/>
        <v>53031</v>
      </c>
      <c r="J80" s="239">
        <f t="shared" si="232"/>
        <v>50741</v>
      </c>
      <c r="K80" s="239">
        <f t="shared" si="232"/>
        <v>48451</v>
      </c>
      <c r="L80" s="239">
        <f t="shared" si="232"/>
        <v>42489</v>
      </c>
      <c r="M80" s="239">
        <f t="shared" si="232"/>
        <v>39675</v>
      </c>
      <c r="N80" s="239">
        <f>BT80</f>
        <v>37774.75</v>
      </c>
      <c r="O80" s="239">
        <f>CA80</f>
        <v>36106.75</v>
      </c>
      <c r="P80" s="239">
        <f>CH80</f>
        <v>43709</v>
      </c>
      <c r="Q80" s="239">
        <f>CO80</f>
        <v>45020.75</v>
      </c>
      <c r="R80" s="239">
        <f>CV80</f>
        <v>43019.5</v>
      </c>
      <c r="S80" s="239">
        <f>DC80</f>
        <v>43129.5</v>
      </c>
      <c r="T80" s="239">
        <f>DJ80</f>
        <v>42952.25</v>
      </c>
      <c r="U80" s="239">
        <f>DQ80</f>
        <v>42190.75</v>
      </c>
      <c r="V80" s="239">
        <f>DX80</f>
        <v>41852.5</v>
      </c>
      <c r="W80" s="239">
        <f>EE80</f>
        <v>39169.75</v>
      </c>
      <c r="X80" s="239">
        <f>EL80</f>
        <v>35538.5</v>
      </c>
      <c r="Y80" s="239">
        <f>ES80</f>
        <v>39588.25</v>
      </c>
      <c r="Z80" s="239">
        <f>EZ80</f>
        <v>38975.25</v>
      </c>
      <c r="AA80" s="239">
        <f>FG80</f>
        <v>35664.75</v>
      </c>
      <c r="AB80" s="239">
        <f>FN80</f>
        <v>34972.25</v>
      </c>
      <c r="AC80" s="239">
        <f>FU80</f>
        <v>33166.25</v>
      </c>
      <c r="AD80" s="239">
        <f>GB80</f>
        <v>33101.25</v>
      </c>
      <c r="AE80" s="239">
        <f>GI80</f>
        <v>34013.25</v>
      </c>
      <c r="AF80" s="239">
        <f>GP80</f>
        <v>33455.25</v>
      </c>
      <c r="AG80" s="239">
        <f>GW80</f>
        <v>33420.75</v>
      </c>
      <c r="AH80" s="239">
        <f>HD80</f>
        <v>30088.25</v>
      </c>
      <c r="AI80" s="239">
        <f>HK80</f>
        <v>30040.25</v>
      </c>
      <c r="AJ80" s="239">
        <f>HR80</f>
        <v>31344.25</v>
      </c>
      <c r="AK80" s="239">
        <f>HY80</f>
        <v>32120.5</v>
      </c>
      <c r="AL80" s="239">
        <f>IF80</f>
        <v>31254.75</v>
      </c>
      <c r="AM80" s="239">
        <f>IM80</f>
        <v>31566.5</v>
      </c>
      <c r="AN80" s="239">
        <f>IT80</f>
        <v>31297.5</v>
      </c>
      <c r="AO80" s="239">
        <f>JA80</f>
        <v>27674</v>
      </c>
      <c r="AP80" s="239">
        <f>JH80</f>
        <v>25230</v>
      </c>
      <c r="AQ80" s="239">
        <f>JO80</f>
        <v>22901</v>
      </c>
      <c r="AR80" s="239">
        <f>JV80</f>
        <v>21561</v>
      </c>
      <c r="AS80" s="239">
        <f>KC80</f>
        <v>19630</v>
      </c>
      <c r="AT80" s="239">
        <f>KJ80</f>
        <v>19889</v>
      </c>
      <c r="AU80" s="239">
        <f>KQ80</f>
        <v>21637</v>
      </c>
      <c r="AV80" s="239">
        <f>KX80</f>
        <v>22845</v>
      </c>
      <c r="AW80" s="239">
        <f>LE80</f>
        <v>23368.5</v>
      </c>
      <c r="AX80" s="239">
        <f>LL80</f>
        <v>23298.25</v>
      </c>
      <c r="AY80" s="239">
        <f>LS80</f>
        <v>22862.5</v>
      </c>
      <c r="AZ80" s="239">
        <f>LZ80</f>
        <v>22875</v>
      </c>
      <c r="BA80" s="239">
        <f>MG80</f>
        <v>23025</v>
      </c>
      <c r="BB80" s="239"/>
      <c r="BC80" s="239"/>
      <c r="BD80" s="239"/>
      <c r="BE80" s="239"/>
      <c r="BF80" s="239"/>
      <c r="BG80" s="239"/>
      <c r="BH80" s="239"/>
      <c r="BI80" s="239"/>
      <c r="BJ80" s="239"/>
      <c r="BK80" s="239"/>
      <c r="BL80" s="239"/>
      <c r="BM80" s="239"/>
      <c r="BO80" s="238" t="s">
        <v>241</v>
      </c>
      <c r="BP80" s="240">
        <f>SUM(BP100:BP103)</f>
        <v>37413</v>
      </c>
      <c r="BQ80" s="240">
        <f>SUM(BQ100:BQ103)</f>
        <v>38566</v>
      </c>
      <c r="BR80" s="240">
        <f>SUM(BR100:BR103)</f>
        <v>37778</v>
      </c>
      <c r="BS80" s="240">
        <f>SUM(BS100:BS103)</f>
        <v>37342</v>
      </c>
      <c r="BT80" s="240">
        <f>SUM(BT100:BT103)</f>
        <v>37774.75</v>
      </c>
      <c r="BV80" s="238" t="s">
        <v>241</v>
      </c>
      <c r="BW80" s="240">
        <f>SUM(BW100:BW103)</f>
        <v>35178</v>
      </c>
      <c r="BX80" s="240">
        <f>SUM(BX100:BX103)</f>
        <v>36995</v>
      </c>
      <c r="BY80" s="240">
        <f>SUM(BY100:BY103)</f>
        <v>36780</v>
      </c>
      <c r="BZ80" s="240">
        <f>SUM(BZ100:BZ103)</f>
        <v>35474</v>
      </c>
      <c r="CA80" s="240">
        <f>SUM(CA100:CA103)</f>
        <v>36106.75</v>
      </c>
      <c r="CC80" s="238" t="s">
        <v>241</v>
      </c>
      <c r="CD80" s="240">
        <f>SUM(CD100:CD103)</f>
        <v>34041</v>
      </c>
      <c r="CE80" s="240">
        <f>SUM(CE100:CE103)</f>
        <v>34472</v>
      </c>
      <c r="CF80" s="240">
        <f>SUM(CF100:CF103)</f>
        <v>34467</v>
      </c>
      <c r="CG80" s="240">
        <f>SUM(CG100:CG103)</f>
        <v>32868</v>
      </c>
      <c r="CH80" s="240">
        <f>SUM(CH100:CH103)</f>
        <v>43709</v>
      </c>
      <c r="CJ80" s="238" t="s">
        <v>241</v>
      </c>
      <c r="CK80" s="240">
        <f>SUM(CK100:CK103)</f>
        <v>44893</v>
      </c>
      <c r="CL80" s="240">
        <f>SUM(CL100:CL103)</f>
        <v>45239</v>
      </c>
      <c r="CM80" s="240">
        <f>SUM(CM100:CM103)</f>
        <v>44693</v>
      </c>
      <c r="CN80" s="240">
        <f>SUM(CN100:CN103)</f>
        <v>44490</v>
      </c>
      <c r="CO80" s="240">
        <f>SUM(CO100:CO103)</f>
        <v>45020.75</v>
      </c>
      <c r="CQ80" s="238" t="s">
        <v>241</v>
      </c>
      <c r="CR80" s="240">
        <f>SUM(CR100:CR103)</f>
        <v>43213</v>
      </c>
      <c r="CS80" s="240">
        <f>SUM(CS100:CS103)</f>
        <v>43114</v>
      </c>
      <c r="CT80" s="240">
        <f>SUM(CT100:CT103)</f>
        <v>42498</v>
      </c>
      <c r="CU80" s="240">
        <f>SUM(CU100:CU103)</f>
        <v>42763.5</v>
      </c>
      <c r="CV80" s="240">
        <f>SUM(CV100:CV103)</f>
        <v>43019.5</v>
      </c>
      <c r="CX80" s="238" t="s">
        <v>241</v>
      </c>
      <c r="CY80" s="240">
        <f>SUM(CY100:CY103)</f>
        <v>42229</v>
      </c>
      <c r="CZ80" s="240">
        <f>SUM(CZ100:CZ103)</f>
        <v>43418</v>
      </c>
      <c r="DA80" s="240">
        <f>SUM(DA100:DA103)</f>
        <v>43611</v>
      </c>
      <c r="DB80" s="240">
        <f>SUM(DB100:DB103)</f>
        <v>43533.25</v>
      </c>
      <c r="DC80" s="240">
        <f>SUM(DC100:DC103)</f>
        <v>43129.5</v>
      </c>
      <c r="DE80" s="238" t="s">
        <v>241</v>
      </c>
      <c r="DF80" s="240">
        <f>SUM(DF100:DF103)</f>
        <v>42882</v>
      </c>
      <c r="DG80" s="240">
        <f>SUM(DG100:DG103)</f>
        <v>43418</v>
      </c>
      <c r="DH80" s="240">
        <f>SUM(DH100:DH103)</f>
        <v>43054</v>
      </c>
      <c r="DI80" s="240">
        <f>SUM(DI100:DI103)</f>
        <v>42981.25</v>
      </c>
      <c r="DJ80" s="240">
        <f>SUM(DJ100:DJ103)</f>
        <v>42952.25</v>
      </c>
      <c r="DL80" s="238" t="s">
        <v>241</v>
      </c>
      <c r="DM80" s="240">
        <f>SUM(DM100:DM103)</f>
        <v>42124</v>
      </c>
      <c r="DN80" s="240">
        <f>SUM(DN100:DN103)</f>
        <v>42212</v>
      </c>
      <c r="DO80" s="240">
        <f>SUM(DO100:DO103)</f>
        <v>42372</v>
      </c>
      <c r="DP80" s="240">
        <f>SUM(DP100:DP103)</f>
        <v>42109.25</v>
      </c>
      <c r="DQ80" s="240">
        <f>SUM(DQ100:DQ103)</f>
        <v>42190.75</v>
      </c>
      <c r="DS80" s="238" t="s">
        <v>241</v>
      </c>
      <c r="DT80" s="240">
        <f>SUM(DT100:DT103)</f>
        <v>41235</v>
      </c>
      <c r="DU80" s="240">
        <f>SUM(DU100:DU103)</f>
        <v>41383</v>
      </c>
      <c r="DV80" s="240">
        <f>SUM(DV100:DV103)</f>
        <v>41312</v>
      </c>
      <c r="DW80" s="240">
        <f>SUM(DW100:DW103)</f>
        <v>41492.25</v>
      </c>
      <c r="DX80" s="240">
        <f>SUM(DX100:DX103)</f>
        <v>41852.5</v>
      </c>
      <c r="DZ80" s="238" t="s">
        <v>241</v>
      </c>
      <c r="EA80" s="240">
        <f>SUM(EA100:EA103)</f>
        <v>42575</v>
      </c>
      <c r="EB80" s="240">
        <f>SUM(EB100:EB103)</f>
        <v>42317</v>
      </c>
      <c r="EC80" s="240">
        <f>SUM(EC100:EC103)</f>
        <v>38898</v>
      </c>
      <c r="ED80" s="240">
        <f>SUM(ED100:ED103)</f>
        <v>39197.5</v>
      </c>
      <c r="EE80" s="240">
        <f>SUM(EE100:EE103)</f>
        <v>39169.75</v>
      </c>
      <c r="EG80" s="238" t="s">
        <v>241</v>
      </c>
      <c r="EH80" s="240">
        <f>SUM(EH100:EH103)</f>
        <v>39263</v>
      </c>
      <c r="EI80" s="240">
        <f>SUM(EI100:EI103)</f>
        <v>40069</v>
      </c>
      <c r="EJ80" s="240">
        <f>SUM(EJ100:EJ103)</f>
        <v>44293</v>
      </c>
      <c r="EK80" s="240">
        <f>SUM(EK100:EK103)</f>
        <v>46954.25</v>
      </c>
      <c r="EL80" s="240">
        <f>SUM(EL100:EL103)</f>
        <v>35538.5</v>
      </c>
      <c r="EN80" s="238" t="s">
        <v>241</v>
      </c>
      <c r="EO80" s="240">
        <f>SUM(EO100:EO103)</f>
        <v>38971</v>
      </c>
      <c r="EP80" s="240">
        <f>SUM(EP100:EP103)</f>
        <v>39469</v>
      </c>
      <c r="EQ80" s="240">
        <f>SUM(EQ100:EQ103)</f>
        <v>39781</v>
      </c>
      <c r="ER80" s="240">
        <f>SUM(ER100:ER103)</f>
        <v>40268</v>
      </c>
      <c r="ES80" s="240">
        <f>SUM(ES100:ES103)</f>
        <v>39588.25</v>
      </c>
      <c r="EU80" s="238" t="s">
        <v>241</v>
      </c>
      <c r="EV80" s="240">
        <f>SUM(EV100:EV103)</f>
        <v>39533</v>
      </c>
      <c r="EW80" s="240">
        <f>SUM(EW100:EW103)</f>
        <v>39505</v>
      </c>
      <c r="EX80" s="240">
        <f>SUM(EX100:EX103)</f>
        <v>38865</v>
      </c>
      <c r="EY80" s="240">
        <f>SUM(EY100:EY103)</f>
        <v>38150.75</v>
      </c>
      <c r="EZ80" s="240">
        <f>SUM(EZ100:EZ103)</f>
        <v>38975.25</v>
      </c>
      <c r="FB80" s="238" t="s">
        <v>241</v>
      </c>
      <c r="FC80" s="240">
        <f>SUM(FC100:FC103)</f>
        <v>36842</v>
      </c>
      <c r="FD80" s="240">
        <f>SUM(FD100:FD103)</f>
        <v>37744</v>
      </c>
      <c r="FE80" s="240">
        <f>SUM(FE100:FE103)</f>
        <v>37885</v>
      </c>
      <c r="FF80" s="240">
        <f>SUM(FF100:FF103)</f>
        <v>37315.5</v>
      </c>
      <c r="FG80" s="240">
        <f>SUM(FG100:FG103)</f>
        <v>35664.75</v>
      </c>
      <c r="FI80" s="238" t="s">
        <v>241</v>
      </c>
      <c r="FJ80" s="240">
        <f>SUM(FJ100:FJ103)</f>
        <v>34682</v>
      </c>
      <c r="FK80" s="240">
        <f>SUM(FK100:FK103)</f>
        <v>35320</v>
      </c>
      <c r="FL80" s="240">
        <f>SUM(FL100:FL103)</f>
        <v>35909</v>
      </c>
      <c r="FM80" s="240">
        <f>SUM(FM100:FM103)</f>
        <v>33274</v>
      </c>
      <c r="FN80" s="240">
        <f>SUM(FN100:FN103)</f>
        <v>34972.25</v>
      </c>
      <c r="FP80" s="238" t="s">
        <v>241</v>
      </c>
      <c r="FQ80" s="240">
        <f>SUM(FQ100:FQ103)</f>
        <v>33926</v>
      </c>
      <c r="FR80" s="240">
        <f>SUM(FR100:FR103)</f>
        <v>33914</v>
      </c>
      <c r="FS80" s="240">
        <f>SUM(FS100:FS103)</f>
        <v>33202</v>
      </c>
      <c r="FT80" s="240">
        <f>SUM(FT100:FT103)</f>
        <v>33044</v>
      </c>
      <c r="FU80" s="240">
        <f>SUM(FU100:FU103)</f>
        <v>33166.25</v>
      </c>
      <c r="FW80" s="238" t="s">
        <v>241</v>
      </c>
      <c r="FX80" s="240">
        <f>SUM(FX100:FX103)</f>
        <v>32304</v>
      </c>
      <c r="FY80" s="240">
        <f>SUM(FY100:FY103)</f>
        <v>33081</v>
      </c>
      <c r="FZ80" s="240">
        <f>SUM(FZ100:FZ103)</f>
        <v>33429</v>
      </c>
      <c r="GA80" s="240">
        <f>SUM(GA100:GA103)</f>
        <v>33591</v>
      </c>
      <c r="GB80" s="240">
        <f>SUM(GB100:GB103)</f>
        <v>33101.25</v>
      </c>
      <c r="GD80" s="238" t="s">
        <v>241</v>
      </c>
      <c r="GE80" s="240">
        <f>SUM(GE100:GE103)</f>
        <v>33651</v>
      </c>
      <c r="GF80" s="240">
        <f>SUM(GF100:GF103)</f>
        <v>34159</v>
      </c>
      <c r="GG80" s="240">
        <f>SUM(GG100:GG103)</f>
        <v>34154</v>
      </c>
      <c r="GH80" s="240">
        <f>SUM(GH100:GH103)</f>
        <v>34089</v>
      </c>
      <c r="GI80" s="240">
        <f>SUM(GI100:GI103)</f>
        <v>34013.25</v>
      </c>
      <c r="GK80" s="238" t="s">
        <v>241</v>
      </c>
      <c r="GL80" s="240">
        <f>SUM(GL100:GL103)</f>
        <v>33638</v>
      </c>
      <c r="GM80" s="240">
        <f>SUM(GM100:GM103)</f>
        <v>33638</v>
      </c>
      <c r="GN80" s="240">
        <f>SUM(GN100:GN103)</f>
        <v>33639</v>
      </c>
      <c r="GO80" s="240">
        <f>SUM(GO100:GO103)</f>
        <v>32906</v>
      </c>
      <c r="GP80" s="240">
        <f>SUM(GP100:GP103)</f>
        <v>33455.25</v>
      </c>
      <c r="GR80" s="238" t="s">
        <v>241</v>
      </c>
      <c r="GS80" s="240">
        <v>33810</v>
      </c>
      <c r="GT80" s="240">
        <v>33082</v>
      </c>
      <c r="GU80" s="240">
        <v>33428</v>
      </c>
      <c r="GV80" s="240">
        <v>33363</v>
      </c>
      <c r="GW80" s="240">
        <f>+AVERAGE(GS80:GV80)</f>
        <v>33420.75</v>
      </c>
      <c r="GY80" s="238" t="s">
        <v>241</v>
      </c>
      <c r="GZ80" s="240">
        <v>31175</v>
      </c>
      <c r="HA80" s="240">
        <v>29878</v>
      </c>
      <c r="HB80" s="240">
        <v>29883</v>
      </c>
      <c r="HC80" s="240">
        <v>29417</v>
      </c>
      <c r="HD80" s="240">
        <f>+AVERAGE(GZ80:HC80)</f>
        <v>30088.25</v>
      </c>
      <c r="HF80" s="238" t="s">
        <v>241</v>
      </c>
      <c r="HG80" s="240">
        <v>29310</v>
      </c>
      <c r="HH80" s="240">
        <v>30250</v>
      </c>
      <c r="HI80" s="240">
        <v>30370</v>
      </c>
      <c r="HJ80" s="240">
        <v>30231</v>
      </c>
      <c r="HK80" s="240">
        <f>+AVERAGE(HG80:HJ80)</f>
        <v>30040.25</v>
      </c>
      <c r="HM80" s="238" t="s">
        <v>241</v>
      </c>
      <c r="HN80" s="240">
        <v>30444</v>
      </c>
      <c r="HO80" s="240">
        <v>31130</v>
      </c>
      <c r="HP80" s="240">
        <v>31664</v>
      </c>
      <c r="HQ80" s="240">
        <v>32139</v>
      </c>
      <c r="HR80" s="240">
        <f>+AVERAGE(HN80:HQ80)</f>
        <v>31344.25</v>
      </c>
      <c r="HT80" s="238" t="s">
        <v>241</v>
      </c>
      <c r="HU80" s="240">
        <v>32393</v>
      </c>
      <c r="HV80" s="240">
        <v>32422</v>
      </c>
      <c r="HW80" s="240">
        <v>32204</v>
      </c>
      <c r="HX80" s="240">
        <v>31463</v>
      </c>
      <c r="HY80" s="240">
        <f>+AVERAGE(HU80:HX80)</f>
        <v>32120.5</v>
      </c>
      <c r="IA80" s="238" t="s">
        <v>241</v>
      </c>
      <c r="IB80" s="240">
        <v>31010</v>
      </c>
      <c r="IC80" s="240">
        <v>31291</v>
      </c>
      <c r="ID80" s="240">
        <v>31265</v>
      </c>
      <c r="IE80" s="240">
        <v>31453</v>
      </c>
      <c r="IF80" s="240">
        <f>+AVERAGE(IB80:IE80)</f>
        <v>31254.75</v>
      </c>
      <c r="IH80" s="238" t="s">
        <v>241</v>
      </c>
      <c r="II80" s="240">
        <v>31175</v>
      </c>
      <c r="IJ80" s="240">
        <v>31380</v>
      </c>
      <c r="IK80" s="240">
        <v>31590</v>
      </c>
      <c r="IL80" s="240">
        <v>32121</v>
      </c>
      <c r="IM80" s="240">
        <f>+AVERAGE(II80:IL80)</f>
        <v>31566.5</v>
      </c>
      <c r="IO80" s="238" t="s">
        <v>241</v>
      </c>
      <c r="IP80" s="240">
        <v>32335</v>
      </c>
      <c r="IQ80" s="240">
        <v>32191</v>
      </c>
      <c r="IR80" s="240">
        <v>30889</v>
      </c>
      <c r="IS80" s="240">
        <v>29775</v>
      </c>
      <c r="IT80" s="240">
        <f>+AVERAGE(IP80:IS80)</f>
        <v>31297.5</v>
      </c>
      <c r="IV80" s="238" t="s">
        <v>241</v>
      </c>
      <c r="IW80" s="240">
        <v>28305</v>
      </c>
      <c r="IX80" s="240">
        <v>27936</v>
      </c>
      <c r="IY80" s="240">
        <v>27275</v>
      </c>
      <c r="IZ80" s="240">
        <v>27178</v>
      </c>
      <c r="JA80" s="240">
        <v>27674</v>
      </c>
      <c r="JC80" s="238" t="s">
        <v>241</v>
      </c>
      <c r="JD80" s="240">
        <v>26504</v>
      </c>
      <c r="JE80" s="240">
        <v>25785</v>
      </c>
      <c r="JF80" s="240">
        <v>24608</v>
      </c>
      <c r="JG80" s="240">
        <v>24025</v>
      </c>
      <c r="JH80" s="240">
        <v>25230</v>
      </c>
      <c r="JJ80" s="238" t="s">
        <v>241</v>
      </c>
      <c r="JK80" s="240">
        <v>23482</v>
      </c>
      <c r="JL80" s="240">
        <v>22942</v>
      </c>
      <c r="JM80" s="240">
        <v>22696</v>
      </c>
      <c r="JN80" s="240">
        <v>22484</v>
      </c>
      <c r="JO80" s="240">
        <v>22901</v>
      </c>
      <c r="JQ80" s="238" t="s">
        <v>241</v>
      </c>
      <c r="JR80" s="240">
        <v>22194</v>
      </c>
      <c r="JS80" s="240">
        <v>21806</v>
      </c>
      <c r="JT80" s="240">
        <v>21331</v>
      </c>
      <c r="JU80" s="240">
        <v>20912</v>
      </c>
      <c r="JV80" s="240">
        <v>21561</v>
      </c>
      <c r="JX80" s="238" t="s">
        <v>241</v>
      </c>
      <c r="JY80" s="240">
        <v>20627</v>
      </c>
      <c r="JZ80" s="240">
        <v>19339</v>
      </c>
      <c r="KA80" s="240">
        <v>19313</v>
      </c>
      <c r="KB80" s="240">
        <v>19240</v>
      </c>
      <c r="KC80" s="240">
        <v>19630</v>
      </c>
      <c r="KE80" s="238" t="s">
        <v>241</v>
      </c>
      <c r="KF80" s="240">
        <v>19200</v>
      </c>
      <c r="KG80" s="240">
        <v>19146</v>
      </c>
      <c r="KH80" s="240">
        <v>20489</v>
      </c>
      <c r="KI80" s="240">
        <v>20719</v>
      </c>
      <c r="KJ80" s="240">
        <v>19889</v>
      </c>
      <c r="KL80" s="238" t="s">
        <v>241</v>
      </c>
      <c r="KM80" s="240">
        <v>20841</v>
      </c>
      <c r="KN80" s="240">
        <v>21270</v>
      </c>
      <c r="KO80" s="240">
        <v>21786</v>
      </c>
      <c r="KP80" s="240">
        <v>22395</v>
      </c>
      <c r="KQ80" s="240">
        <v>21637</v>
      </c>
      <c r="KS80" s="238" t="s">
        <v>241</v>
      </c>
      <c r="KT80" s="240">
        <v>22612</v>
      </c>
      <c r="KU80" s="240">
        <v>22700</v>
      </c>
      <c r="KV80" s="239">
        <v>22884</v>
      </c>
      <c r="KW80" s="240">
        <v>23183</v>
      </c>
      <c r="KX80" s="240">
        <v>22845</v>
      </c>
      <c r="KZ80" s="238" t="s">
        <v>241</v>
      </c>
      <c r="LA80" s="240">
        <v>23382</v>
      </c>
      <c r="LB80" s="239">
        <v>23312</v>
      </c>
      <c r="LC80" s="239">
        <v>23316</v>
      </c>
      <c r="LD80" s="239">
        <v>23464</v>
      </c>
      <c r="LE80" s="239">
        <f>AVERAGE(LA80:LD80)</f>
        <v>23368.5</v>
      </c>
      <c r="LF80" s="586"/>
      <c r="LG80" s="238" t="s">
        <v>241</v>
      </c>
      <c r="LH80" s="239">
        <v>23413</v>
      </c>
      <c r="LI80" s="239">
        <v>23510</v>
      </c>
      <c r="LJ80" s="239">
        <v>23275</v>
      </c>
      <c r="LK80" s="239">
        <v>22995</v>
      </c>
      <c r="LL80" s="239">
        <f>AVERAGE(LH80:LK80)</f>
        <v>23298.25</v>
      </c>
      <c r="LM80" s="586"/>
      <c r="LN80" s="238" t="s">
        <v>241</v>
      </c>
      <c r="LO80" s="239">
        <f>AVERAGE(LO84,LK84)</f>
        <v>22912.5</v>
      </c>
      <c r="LP80" s="239">
        <f>AVERAGE(LO84,LP84)</f>
        <v>22872.5</v>
      </c>
      <c r="LQ80" s="239">
        <f>AVERAGE(LP84,LQ84)</f>
        <v>22840</v>
      </c>
      <c r="LR80" s="239">
        <f>AVERAGE(LQ84,LR84)</f>
        <v>22825</v>
      </c>
      <c r="LS80" s="239">
        <f>AVERAGE(LO80:LR80)</f>
        <v>22862.5</v>
      </c>
      <c r="LT80" s="586"/>
      <c r="LU80" s="238" t="s">
        <v>241</v>
      </c>
      <c r="LV80" s="239">
        <f>AVERAGE(LV84,LR84)</f>
        <v>22837.5</v>
      </c>
      <c r="LW80" s="239">
        <f>AVERAGE(LV84,LW84)</f>
        <v>22862.5</v>
      </c>
      <c r="LX80" s="239">
        <f>AVERAGE(LW84,LX84)</f>
        <v>22887.5</v>
      </c>
      <c r="LY80" s="239">
        <f>AVERAGE(LX84,LY84)</f>
        <v>22912.5</v>
      </c>
      <c r="LZ80" s="239">
        <f>AVERAGE(LV80:LY80)</f>
        <v>22875</v>
      </c>
      <c r="MA80" s="586"/>
      <c r="MB80" s="238" t="s">
        <v>241</v>
      </c>
      <c r="MC80" s="239">
        <f>AVERAGE(MC84,LY84)</f>
        <v>22950</v>
      </c>
      <c r="MD80" s="239">
        <f>AVERAGE(MC84,MD84)</f>
        <v>23000</v>
      </c>
      <c r="ME80" s="239">
        <f>AVERAGE(MD84,ME84)</f>
        <v>23050</v>
      </c>
      <c r="MF80" s="239">
        <f>AVERAGE(ME84,MF84)</f>
        <v>23100</v>
      </c>
      <c r="MG80" s="239">
        <f>AVERAGE(MC80:MF80)</f>
        <v>23025</v>
      </c>
      <c r="MH80" s="586"/>
    </row>
    <row r="81" spans="1:346" s="37" customFormat="1" ht="13.15" x14ac:dyDescent="0.4">
      <c r="A81" s="100"/>
      <c r="B81" s="111" t="s">
        <v>3</v>
      </c>
      <c r="C81" s="112"/>
      <c r="D81" s="112"/>
      <c r="E81" s="112"/>
      <c r="F81" s="112"/>
      <c r="G81" s="112"/>
      <c r="H81" s="112"/>
      <c r="I81" s="112"/>
      <c r="J81" s="112"/>
      <c r="K81" s="112"/>
      <c r="L81" s="112"/>
      <c r="M81" s="112"/>
      <c r="N81" s="112">
        <f>BT81</f>
        <v>0</v>
      </c>
      <c r="O81" s="112">
        <f>CA81</f>
        <v>0</v>
      </c>
      <c r="P81" s="112">
        <f>CH81</f>
        <v>0</v>
      </c>
      <c r="Q81" s="112">
        <f>CO81</f>
        <v>0</v>
      </c>
      <c r="R81" s="112">
        <f>CV81</f>
        <v>0</v>
      </c>
      <c r="S81" s="112">
        <f>DC81</f>
        <v>0</v>
      </c>
      <c r="T81" s="112">
        <f>DJ81</f>
        <v>0</v>
      </c>
      <c r="U81" s="112">
        <f>DQ81</f>
        <v>0</v>
      </c>
      <c r="V81" s="112">
        <f>DX81</f>
        <v>0</v>
      </c>
      <c r="W81" s="112">
        <f>EE81</f>
        <v>0</v>
      </c>
      <c r="X81" s="112">
        <f>EL81</f>
        <v>0</v>
      </c>
      <c r="Y81" s="112">
        <f>ES81</f>
        <v>0</v>
      </c>
      <c r="Z81" s="112">
        <f>EZ81</f>
        <v>0</v>
      </c>
      <c r="AA81" s="112">
        <f>FG81</f>
        <v>0</v>
      </c>
      <c r="AB81" s="112">
        <f>FN81</f>
        <v>0</v>
      </c>
      <c r="AC81" s="112">
        <f>FU81</f>
        <v>0</v>
      </c>
      <c r="AD81" s="112" t="str">
        <f>GB81</f>
        <v>-</v>
      </c>
      <c r="AE81" s="112" t="str">
        <f>GI81</f>
        <v>-</v>
      </c>
      <c r="AF81" s="112" t="str">
        <f>GP81</f>
        <v>-</v>
      </c>
      <c r="AG81" s="112" t="str">
        <f>GW81</f>
        <v>-</v>
      </c>
      <c r="AH81" s="112">
        <f>HD81</f>
        <v>-9.9713501342728716E-2</v>
      </c>
      <c r="AI81" s="112">
        <f>HK81</f>
        <v>-1.5953071381685779E-3</v>
      </c>
      <c r="AJ81" s="112">
        <f>HR81</f>
        <v>4.3408427027072038E-2</v>
      </c>
      <c r="AK81" s="112">
        <f>HY81</f>
        <v>2.476530783157993E-2</v>
      </c>
      <c r="AL81" s="112">
        <f>IF81</f>
        <v>-2.6953191886801231E-2</v>
      </c>
      <c r="AM81" s="112">
        <f>IM81</f>
        <v>9.9744838784505685E-3</v>
      </c>
      <c r="AN81" s="112">
        <f>IT81</f>
        <v>-8.5216923003816891E-3</v>
      </c>
      <c r="AO81" s="112">
        <f>JA81</f>
        <v>-0.11577602044891766</v>
      </c>
      <c r="AP81" s="112">
        <f>JH81</f>
        <v>-8.8313940883139375E-2</v>
      </c>
      <c r="AQ81" s="112">
        <f>JO81</f>
        <v>-9.2310741181133582E-2</v>
      </c>
      <c r="AR81" s="112">
        <f>JV81</f>
        <v>-5.8512728701803463E-2</v>
      </c>
      <c r="AS81" s="112">
        <f>KC81</f>
        <v>-8.9559853439079795E-2</v>
      </c>
      <c r="AT81" s="112">
        <f>KJ81</f>
        <v>1.3194090677534298E-2</v>
      </c>
      <c r="AU81" s="112">
        <f>KQ81</f>
        <v>8.788777716325602E-2</v>
      </c>
      <c r="AV81" s="112">
        <f>KX81</f>
        <v>5.583029070573553E-2</v>
      </c>
      <c r="AW81" s="112">
        <f>LE81</f>
        <v>2.2915298752462343E-2</v>
      </c>
      <c r="AX81" s="112">
        <f>LL81</f>
        <v>-3.0061835376682389E-3</v>
      </c>
      <c r="AY81" s="112">
        <f>LS81</f>
        <v>-1.8703121479081042E-2</v>
      </c>
      <c r="AZ81" s="112">
        <f>LZ81</f>
        <v>5.4674685620548225E-4</v>
      </c>
      <c r="BA81" s="112">
        <f>MG81</f>
        <v>6.5573770491802463E-3</v>
      </c>
      <c r="BB81" s="112"/>
      <c r="BC81" s="112"/>
      <c r="BD81" s="112"/>
      <c r="BE81" s="112"/>
      <c r="BF81" s="112"/>
      <c r="BG81" s="112"/>
      <c r="BH81" s="112"/>
      <c r="BI81" s="112"/>
      <c r="BJ81" s="112"/>
      <c r="BK81" s="112"/>
      <c r="BL81" s="112"/>
      <c r="BM81" s="112"/>
      <c r="BO81" s="111" t="s">
        <v>3</v>
      </c>
      <c r="BP81" s="66"/>
      <c r="BQ81" s="66"/>
      <c r="BR81" s="66"/>
      <c r="BS81" s="66"/>
      <c r="BT81" s="66"/>
      <c r="BV81" s="111" t="s">
        <v>3</v>
      </c>
      <c r="BW81" s="66"/>
      <c r="BX81" s="66"/>
      <c r="BY81" s="66"/>
      <c r="BZ81" s="66"/>
      <c r="CA81" s="66"/>
      <c r="CC81" s="111" t="s">
        <v>3</v>
      </c>
      <c r="CD81" s="66"/>
      <c r="CE81" s="66"/>
      <c r="CF81" s="66"/>
      <c r="CG81" s="66"/>
      <c r="CH81" s="66"/>
      <c r="CJ81" s="111" t="s">
        <v>3</v>
      </c>
      <c r="CK81" s="66"/>
      <c r="CL81" s="66"/>
      <c r="CM81" s="66"/>
      <c r="CN81" s="66"/>
      <c r="CO81" s="66"/>
      <c r="CQ81" s="111" t="s">
        <v>3</v>
      </c>
      <c r="CR81" s="66"/>
      <c r="CS81" s="66"/>
      <c r="CT81" s="66"/>
      <c r="CU81" s="66"/>
      <c r="CV81" s="66"/>
      <c r="CX81" s="111" t="s">
        <v>3</v>
      </c>
      <c r="CY81" s="66"/>
      <c r="CZ81" s="66"/>
      <c r="DA81" s="66"/>
      <c r="DB81" s="66"/>
      <c r="DC81" s="66"/>
      <c r="DE81" s="111" t="s">
        <v>3</v>
      </c>
      <c r="DF81" s="66"/>
      <c r="DG81" s="66"/>
      <c r="DH81" s="66"/>
      <c r="DI81" s="66"/>
      <c r="DJ81" s="66"/>
      <c r="DL81" s="111" t="s">
        <v>3</v>
      </c>
      <c r="DM81" s="66"/>
      <c r="DN81" s="66"/>
      <c r="DO81" s="66"/>
      <c r="DP81" s="66"/>
      <c r="DQ81" s="66"/>
      <c r="DS81" s="111" t="s">
        <v>3</v>
      </c>
      <c r="DT81" s="66"/>
      <c r="DU81" s="66"/>
      <c r="DV81" s="66"/>
      <c r="DW81" s="66"/>
      <c r="DX81" s="66"/>
      <c r="DZ81" s="111" t="s">
        <v>3</v>
      </c>
      <c r="EA81" s="66"/>
      <c r="EB81" s="66"/>
      <c r="EC81" s="66"/>
      <c r="ED81" s="66"/>
      <c r="EE81" s="66"/>
      <c r="EG81" s="111" t="s">
        <v>3</v>
      </c>
      <c r="EH81" s="66"/>
      <c r="EI81" s="66"/>
      <c r="EJ81" s="66"/>
      <c r="EK81" s="66"/>
      <c r="EL81" s="66"/>
      <c r="EN81" s="111" t="s">
        <v>3</v>
      </c>
      <c r="EO81" s="66"/>
      <c r="EP81" s="66"/>
      <c r="EQ81" s="66"/>
      <c r="ER81" s="66"/>
      <c r="ES81" s="66"/>
      <c r="EU81" s="111" t="s">
        <v>3</v>
      </c>
      <c r="EV81" s="66"/>
      <c r="EW81" s="66"/>
      <c r="EX81" s="66"/>
      <c r="EY81" s="66"/>
      <c r="EZ81" s="66"/>
      <c r="FB81" s="111" t="s">
        <v>3</v>
      </c>
      <c r="FC81" s="66"/>
      <c r="FD81" s="66"/>
      <c r="FE81" s="66"/>
      <c r="FF81" s="66"/>
      <c r="FG81" s="66"/>
      <c r="FI81" s="111" t="s">
        <v>3</v>
      </c>
      <c r="FJ81" s="66"/>
      <c r="FK81" s="66"/>
      <c r="FL81" s="66"/>
      <c r="FM81" s="66"/>
      <c r="FN81" s="66"/>
      <c r="FP81" s="111" t="s">
        <v>3</v>
      </c>
      <c r="FQ81" s="66"/>
      <c r="FR81" s="66"/>
      <c r="FS81" s="66"/>
      <c r="FT81" s="66"/>
      <c r="FU81" s="66"/>
      <c r="FW81" s="111" t="s">
        <v>3</v>
      </c>
      <c r="FX81" s="66" t="s">
        <v>80</v>
      </c>
      <c r="FY81" s="66" t="s">
        <v>80</v>
      </c>
      <c r="FZ81" s="66" t="s">
        <v>80</v>
      </c>
      <c r="GA81" s="66" t="s">
        <v>80</v>
      </c>
      <c r="GB81" s="66" t="s">
        <v>80</v>
      </c>
      <c r="GD81" s="111" t="s">
        <v>3</v>
      </c>
      <c r="GE81" s="66" t="s">
        <v>80</v>
      </c>
      <c r="GF81" s="66" t="s">
        <v>80</v>
      </c>
      <c r="GG81" s="66" t="s">
        <v>80</v>
      </c>
      <c r="GH81" s="66" t="s">
        <v>80</v>
      </c>
      <c r="GI81" s="66" t="s">
        <v>80</v>
      </c>
      <c r="GK81" s="111" t="s">
        <v>3</v>
      </c>
      <c r="GL81" s="66" t="s">
        <v>80</v>
      </c>
      <c r="GM81" s="66" t="s">
        <v>80</v>
      </c>
      <c r="GN81" s="66" t="s">
        <v>80</v>
      </c>
      <c r="GO81" s="66" t="s">
        <v>80</v>
      </c>
      <c r="GP81" s="66" t="s">
        <v>80</v>
      </c>
      <c r="GR81" s="111" t="s">
        <v>3</v>
      </c>
      <c r="GS81" s="66" t="s">
        <v>80</v>
      </c>
      <c r="GT81" s="66" t="s">
        <v>80</v>
      </c>
      <c r="GU81" s="66" t="s">
        <v>80</v>
      </c>
      <c r="GV81" s="66" t="s">
        <v>80</v>
      </c>
      <c r="GW81" s="66" t="s">
        <v>80</v>
      </c>
      <c r="GY81" s="111" t="s">
        <v>3</v>
      </c>
      <c r="GZ81" s="66">
        <f>IFERROR(GZ80/GS80-1,"NM")</f>
        <v>-7.793552203490095E-2</v>
      </c>
      <c r="HA81" s="66">
        <f>IFERROR(HA80/GT80-1,"NM")</f>
        <v>-9.685025089172361E-2</v>
      </c>
      <c r="HB81" s="66">
        <f>IFERROR(HB80/GU80-1,"NM")</f>
        <v>-0.10604882134737348</v>
      </c>
      <c r="HC81" s="66">
        <f>IFERROR(HC80/GV80-1,"NM")</f>
        <v>-0.118274735485418</v>
      </c>
      <c r="HD81" s="66">
        <f>IFERROR(HD80/GW80-1,"NM")</f>
        <v>-9.9713501342728716E-2</v>
      </c>
      <c r="HF81" s="111" t="s">
        <v>3</v>
      </c>
      <c r="HG81" s="66">
        <f>IFERROR(HG80/GZ80-1,"NM")</f>
        <v>-5.9823576583801108E-2</v>
      </c>
      <c r="HH81" s="66">
        <f>IFERROR(HH80/HA80-1,"NM")</f>
        <v>1.2450632572461373E-2</v>
      </c>
      <c r="HI81" s="66">
        <f>IFERROR(HI80/HB80-1,"NM")</f>
        <v>1.6296891209048647E-2</v>
      </c>
      <c r="HJ81" s="66">
        <f>IFERROR(HJ80/HC80-1,"NM")</f>
        <v>2.7671074548730301E-2</v>
      </c>
      <c r="HK81" s="66">
        <f>IFERROR(HK80/HD80-1,"NM")</f>
        <v>-1.5953071381685779E-3</v>
      </c>
      <c r="HM81" s="111" t="s">
        <v>3</v>
      </c>
      <c r="HN81" s="66">
        <f>IFERROR(HN80/HG80-1,"NM")</f>
        <v>3.8689866939610962E-2</v>
      </c>
      <c r="HO81" s="66">
        <f>IFERROR(HO80/HH80-1,"NM")</f>
        <v>2.9090909090909056E-2</v>
      </c>
      <c r="HP81" s="66">
        <f>IFERROR(HP80/HI80-1,"NM")</f>
        <v>4.2607836680935041E-2</v>
      </c>
      <c r="HQ81" s="66">
        <f>IFERROR(HQ80/HJ80-1,"NM")</f>
        <v>6.311402203036609E-2</v>
      </c>
      <c r="HR81" s="66">
        <f>IFERROR(HR80/HK80-1,"NM")</f>
        <v>4.3408427027072038E-2</v>
      </c>
      <c r="HT81" s="111" t="s">
        <v>3</v>
      </c>
      <c r="HU81" s="66">
        <f>IFERROR(HU80/HN80-1,"NM")</f>
        <v>6.4019182761792193E-2</v>
      </c>
      <c r="HV81" s="66">
        <f>IFERROR(HV80/HO80-1,"NM")</f>
        <v>4.1503372952136131E-2</v>
      </c>
      <c r="HW81" s="66">
        <f>IFERROR(HW80/HP80-1,"NM")</f>
        <v>1.7054067710965182E-2</v>
      </c>
      <c r="HX81" s="66">
        <f>IFERROR(HX80/HQ80-1,"NM")</f>
        <v>-2.1033635147328811E-2</v>
      </c>
      <c r="HY81" s="66">
        <f>IFERROR(HY80/HR80-1,"NM")</f>
        <v>2.476530783157993E-2</v>
      </c>
      <c r="IA81" s="111" t="s">
        <v>3</v>
      </c>
      <c r="IB81" s="66">
        <f>IFERROR(IB80/HU80-1,"NM")</f>
        <v>-4.2694409285956803E-2</v>
      </c>
      <c r="IC81" s="66">
        <f>IFERROR(IC80/HV80-1,"NM")</f>
        <v>-3.4883720930232509E-2</v>
      </c>
      <c r="ID81" s="66">
        <f>IFERROR(ID80/HW80-1,"NM")</f>
        <v>-2.9157868587753044E-2</v>
      </c>
      <c r="IE81" s="66">
        <f>IFERROR(IE80/HX80-1,"NM")</f>
        <v>-3.1783364586979168E-4</v>
      </c>
      <c r="IF81" s="66">
        <f>IFERROR(IF80/HY80-1,"NM")</f>
        <v>-2.6953191886801231E-2</v>
      </c>
      <c r="IH81" s="111" t="s">
        <v>3</v>
      </c>
      <c r="II81" s="66">
        <f>IFERROR(II80/IB80-1,"NM")</f>
        <v>5.3208642373427928E-3</v>
      </c>
      <c r="IJ81" s="66">
        <f>IFERROR(IJ80/IC80-1,"NM")</f>
        <v>2.8442683199643159E-3</v>
      </c>
      <c r="IK81" s="66">
        <f>IFERROR(IK80/ID80-1,"NM")</f>
        <v>1.039501039501034E-2</v>
      </c>
      <c r="IL81" s="66">
        <f>IFERROR(IL80/IE80-1,"NM")</f>
        <v>2.1238037707054902E-2</v>
      </c>
      <c r="IM81" s="66">
        <f>IFERROR(IM80/IF80-1,"NM")</f>
        <v>9.9744838784505685E-3</v>
      </c>
      <c r="IO81" s="111" t="s">
        <v>3</v>
      </c>
      <c r="IP81" s="66">
        <f>IFERROR(IP80/II80-1,"NM")</f>
        <v>3.7209302325581506E-2</v>
      </c>
      <c r="IQ81" s="66">
        <f>IFERROR(IQ80/IJ80-1,"NM")</f>
        <v>2.5844486934353039E-2</v>
      </c>
      <c r="IR81" s="66">
        <f>IFERROR(IR80/IK80-1,"NM")</f>
        <v>-2.2190566635011066E-2</v>
      </c>
      <c r="IS81" s="66">
        <f>IFERROR(IS80/IL80-1,"NM")</f>
        <v>-7.3036331371999608E-2</v>
      </c>
      <c r="IT81" s="66">
        <f>IFERROR(IT80/IM80-1,"NM")</f>
        <v>-8.5216923003816891E-3</v>
      </c>
      <c r="IV81" s="111" t="s">
        <v>3</v>
      </c>
      <c r="IW81" s="66">
        <f>IFERROR(IW80/IP80-1,"NM")</f>
        <v>-0.1246327508891294</v>
      </c>
      <c r="IX81" s="66">
        <f>IFERROR(IX80/IQ80-1,"NM")</f>
        <v>-0.13217980180795874</v>
      </c>
      <c r="IY81" s="66">
        <f>IFERROR(IY80/IR80-1,"NM")</f>
        <v>-0.11699957913820458</v>
      </c>
      <c r="IZ81" s="66">
        <f>IFERROR(IZ80/IS80-1,"NM")</f>
        <v>-8.7220822837951295E-2</v>
      </c>
      <c r="JA81" s="66">
        <f>IFERROR(JA80/IT80-1,"NM")</f>
        <v>-0.11577602044891766</v>
      </c>
      <c r="JC81" s="111" t="s">
        <v>3</v>
      </c>
      <c r="JD81" s="66">
        <f>IFERROR(JD80/IW80-1,"NM")</f>
        <v>-6.3628334216569549E-2</v>
      </c>
      <c r="JE81" s="66">
        <f>IFERROR(JE80/IX80-1,"NM")</f>
        <v>-7.699742268041232E-2</v>
      </c>
      <c r="JF81" s="66">
        <f>IFERROR(JF80/IY80-1,"NM")</f>
        <v>-9.7781851512373952E-2</v>
      </c>
      <c r="JG81" s="66">
        <f>IFERROR(JG80/IZ80-1,"NM")</f>
        <v>-0.11601295165207148</v>
      </c>
      <c r="JH81" s="66">
        <f>IFERROR(JH80/JA80-1,"NM")</f>
        <v>-8.8313940883139375E-2</v>
      </c>
      <c r="JJ81" s="111" t="s">
        <v>3</v>
      </c>
      <c r="JK81" s="66">
        <f>IFERROR(JK80/JD80-1,"NM")</f>
        <v>-0.11402052520374284</v>
      </c>
      <c r="JL81" s="66">
        <f>IFERROR(JL80/JE80-1,"NM")</f>
        <v>-0.11025790188093854</v>
      </c>
      <c r="JM81" s="66">
        <f>IFERROR(JM80/JF80-1,"NM")</f>
        <v>-7.7698309492847839E-2</v>
      </c>
      <c r="JN81" s="66">
        <f>IFERROR(JN80/JG80-1,"NM")</f>
        <v>-6.4141519250780488E-2</v>
      </c>
      <c r="JO81" s="66">
        <f>IFERROR(JO80/JH80-1,"NM")</f>
        <v>-9.2310741181133582E-2</v>
      </c>
      <c r="JQ81" s="111" t="s">
        <v>3</v>
      </c>
      <c r="JR81" s="66">
        <f>IFERROR(JR80/JK80-1,"NM")</f>
        <v>-5.4850523805468065E-2</v>
      </c>
      <c r="JS81" s="66">
        <f>IFERROR(JS80/JL80-1,"NM")</f>
        <v>-4.9516171214366689E-2</v>
      </c>
      <c r="JT81" s="66">
        <f>IFERROR(JT80/JM80-1,"NM")</f>
        <v>-6.0142756432851607E-2</v>
      </c>
      <c r="JU81" s="66">
        <f>IFERROR(JU80/JN80-1,"NM")</f>
        <v>-6.9916384984878177E-2</v>
      </c>
      <c r="JV81" s="66">
        <f>IFERROR(JV80/JO80-1,"NM")</f>
        <v>-5.8512728701803463E-2</v>
      </c>
      <c r="JX81" s="111" t="s">
        <v>3</v>
      </c>
      <c r="JY81" s="66">
        <f>IFERROR(JY80/JR80-1,"NM")</f>
        <v>-7.0604667928268916E-2</v>
      </c>
      <c r="JZ81" s="66">
        <f>IFERROR(JZ80/JS80-1,"NM")</f>
        <v>-0.11313399981656425</v>
      </c>
      <c r="KA81" s="66">
        <f>IFERROR(KA80/JT80-1,"NM")</f>
        <v>-9.4604097323144676E-2</v>
      </c>
      <c r="KB81" s="66">
        <f>IFERROR(KB80/JU80-1,"NM")</f>
        <v>-7.995409334353476E-2</v>
      </c>
      <c r="KC81" s="66">
        <f>IFERROR(KC80/JV80-1,"NM")</f>
        <v>-8.9559853439079795E-2</v>
      </c>
      <c r="KE81" s="111" t="s">
        <v>3</v>
      </c>
      <c r="KF81" s="66">
        <f>IFERROR(KF80/JY80-1,"NM")</f>
        <v>-6.9181170310757767E-2</v>
      </c>
      <c r="KG81" s="66">
        <f>IFERROR(KG80/JZ80-1,"NM")</f>
        <v>-9.9798334970784275E-3</v>
      </c>
      <c r="KH81" s="66">
        <f>IFERROR(KH80/KA80-1,"NM")</f>
        <v>6.0891627401232329E-2</v>
      </c>
      <c r="KI81" s="66">
        <f>IFERROR(KI80/KB80-1,"NM")</f>
        <v>7.687110187110191E-2</v>
      </c>
      <c r="KJ81" s="66">
        <f>IFERROR(KJ80/KC80-1,"NM")</f>
        <v>1.3194090677534298E-2</v>
      </c>
      <c r="KL81" s="111" t="s">
        <v>3</v>
      </c>
      <c r="KM81" s="66">
        <f>IFERROR(KM80/KF80-1,"NM")</f>
        <v>8.5468749999999982E-2</v>
      </c>
      <c r="KN81" s="66">
        <f>IFERROR(KN80/KG80-1,"NM")</f>
        <v>0.11093701034158565</v>
      </c>
      <c r="KO81" s="66">
        <f>IFERROR(KO80/KH80-1,"NM")</f>
        <v>6.3302259749133727E-2</v>
      </c>
      <c r="KP81" s="66">
        <f>IFERROR(KP80/KI80-1,"NM")</f>
        <v>8.0891934938944976E-2</v>
      </c>
      <c r="KQ81" s="66">
        <f>IFERROR(KQ80/KJ80-1,"NM")</f>
        <v>8.788777716325602E-2</v>
      </c>
      <c r="KS81" s="111" t="s">
        <v>3</v>
      </c>
      <c r="KT81" s="66">
        <f>IFERROR(KT80/KM80-1,"NM")</f>
        <v>8.4976728563888493E-2</v>
      </c>
      <c r="KU81" s="66">
        <f>IFERROR(KU80/KN80-1,"NM")</f>
        <v>6.723084156088377E-2</v>
      </c>
      <c r="KV81" s="112">
        <f>IFERROR(KV80/KO80-1,"NM")</f>
        <v>5.0399339025061884E-2</v>
      </c>
      <c r="KW81" s="66">
        <f>IFERROR(KW80/KP80-1,"NM")</f>
        <v>3.51864255414156E-2</v>
      </c>
      <c r="KX81" s="66">
        <f>IFERROR(KX80/KQ80-1,"NM")</f>
        <v>5.583029070573553E-2</v>
      </c>
      <c r="KZ81" s="111" t="s">
        <v>3</v>
      </c>
      <c r="LA81" s="66">
        <f>IFERROR(LA80/KT80-1,"NM")</f>
        <v>3.4052715372368647E-2</v>
      </c>
      <c r="LB81" s="112">
        <f>IFERROR(LB80/KU80-1,"NM")</f>
        <v>2.6960352422907397E-2</v>
      </c>
      <c r="LC81" s="112">
        <f>IFERROR(LC80/KV80-1,"NM")</f>
        <v>1.8877818563188153E-2</v>
      </c>
      <c r="LD81" s="112">
        <f>IFERROR(LD80/KW80-1,"NM")</f>
        <v>1.2120950696631105E-2</v>
      </c>
      <c r="LE81" s="112">
        <f>IFERROR(LE80/KX80-1,"NM")</f>
        <v>2.2915298752462343E-2</v>
      </c>
      <c r="LF81" s="585"/>
      <c r="LG81" s="111" t="s">
        <v>3</v>
      </c>
      <c r="LH81" s="112">
        <f>IFERROR(LH80/LA80-1,"NM")</f>
        <v>1.3258061756906692E-3</v>
      </c>
      <c r="LI81" s="112">
        <f>IFERROR(LI80/LB80-1,"NM")</f>
        <v>8.4934797529170325E-3</v>
      </c>
      <c r="LJ81" s="112">
        <f>IFERROR(LJ80/LC80-1,"NM")</f>
        <v>-1.7584491336420927E-3</v>
      </c>
      <c r="LK81" s="112">
        <f>IFERROR(LK80/LD80-1,"NM")</f>
        <v>-1.9988066825775697E-2</v>
      </c>
      <c r="LL81" s="112">
        <f>IFERROR(LL80/LE80-1,"NM")</f>
        <v>-3.0061835376682389E-3</v>
      </c>
      <c r="LM81" s="585"/>
      <c r="LN81" s="111" t="s">
        <v>3</v>
      </c>
      <c r="LO81" s="112">
        <f>IFERROR(LO80/LH80-1,"NM")</f>
        <v>-2.1377012770682935E-2</v>
      </c>
      <c r="LP81" s="112">
        <f>IFERROR(LP80/LI80-1,"NM")</f>
        <v>-2.7116120799659749E-2</v>
      </c>
      <c r="LQ81" s="112">
        <f>IFERROR(LQ80/LJ80-1,"NM")</f>
        <v>-1.8689581095596153E-2</v>
      </c>
      <c r="LR81" s="112">
        <f>IFERROR(LR80/LK80-1,"NM")</f>
        <v>-7.3929115025005432E-3</v>
      </c>
      <c r="LS81" s="112">
        <f>IFERROR(LS80/LL80-1,"NM")</f>
        <v>-1.8703121479081042E-2</v>
      </c>
      <c r="LT81" s="585"/>
      <c r="LU81" s="111" t="s">
        <v>3</v>
      </c>
      <c r="LV81" s="112">
        <f>IFERROR(LV80/LO80-1,"NM")</f>
        <v>-3.2733224222586399E-3</v>
      </c>
      <c r="LW81" s="112">
        <f>IFERROR(LW80/LP80-1,"NM")</f>
        <v>-4.3720625204934915E-4</v>
      </c>
      <c r="LX81" s="112">
        <f>IFERROR(LX80/LQ80-1,"NM")</f>
        <v>2.0796847635726756E-3</v>
      </c>
      <c r="LY81" s="112">
        <f>IFERROR(LY80/LR80-1,"NM")</f>
        <v>3.8335158817086601E-3</v>
      </c>
      <c r="LZ81" s="112">
        <f>IFERROR(LZ80/LS80-1,"NM")</f>
        <v>5.4674685620548225E-4</v>
      </c>
      <c r="MA81" s="585"/>
      <c r="MB81" s="111" t="s">
        <v>3</v>
      </c>
      <c r="MC81" s="112">
        <f>IFERROR(MC80/LV80-1,"NM")</f>
        <v>4.9261083743843415E-3</v>
      </c>
      <c r="MD81" s="112">
        <f>IFERROR(MD80/LW80-1,"NM")</f>
        <v>6.0142154182614149E-3</v>
      </c>
      <c r="ME81" s="112">
        <f>IFERROR(ME80/LX80-1,"NM")</f>
        <v>7.0999453850355554E-3</v>
      </c>
      <c r="MF81" s="112">
        <f>IFERROR(MF80/LY80-1,"NM")</f>
        <v>8.1833060556464332E-3</v>
      </c>
      <c r="MG81" s="112">
        <f>IFERROR(MG80/LZ80-1,"NM")</f>
        <v>6.5573770491802463E-3</v>
      </c>
      <c r="MH81" s="585"/>
    </row>
    <row r="82" spans="1:346" s="37" customFormat="1" ht="13.15" x14ac:dyDescent="0.4">
      <c r="A82" s="100"/>
      <c r="B82" s="241" t="s">
        <v>261</v>
      </c>
      <c r="C82" s="242"/>
      <c r="D82" s="242"/>
      <c r="E82" s="242"/>
      <c r="F82" s="242"/>
      <c r="G82" s="242"/>
      <c r="H82" s="242"/>
      <c r="I82" s="242"/>
      <c r="J82" s="242"/>
      <c r="K82" s="242"/>
      <c r="L82" s="242"/>
      <c r="M82" s="242"/>
      <c r="N82" s="242">
        <f>BT82</f>
        <v>0</v>
      </c>
      <c r="O82" s="242">
        <f>CA82</f>
        <v>0</v>
      </c>
      <c r="P82" s="242">
        <f>CH82</f>
        <v>0</v>
      </c>
      <c r="Q82" s="242">
        <f>CO82</f>
        <v>0</v>
      </c>
      <c r="R82" s="242">
        <f>CV82</f>
        <v>0</v>
      </c>
      <c r="S82" s="242">
        <f>DC82</f>
        <v>0</v>
      </c>
      <c r="T82" s="242">
        <f>DJ82</f>
        <v>0</v>
      </c>
      <c r="U82" s="242">
        <f>DQ82</f>
        <v>0</v>
      </c>
      <c r="V82" s="242">
        <f>DX82</f>
        <v>0</v>
      </c>
      <c r="W82" s="242">
        <f>EE82</f>
        <v>0</v>
      </c>
      <c r="X82" s="242">
        <f>EL82</f>
        <v>0</v>
      </c>
      <c r="Y82" s="242">
        <f>ES82</f>
        <v>0</v>
      </c>
      <c r="Z82" s="242">
        <f>EZ82</f>
        <v>0</v>
      </c>
      <c r="AA82" s="242">
        <f>FG82</f>
        <v>0</v>
      </c>
      <c r="AB82" s="242">
        <f>FN82</f>
        <v>0</v>
      </c>
      <c r="AC82" s="242">
        <f>FU82</f>
        <v>0</v>
      </c>
      <c r="AD82" s="242" t="str">
        <f>GB82</f>
        <v>-</v>
      </c>
      <c r="AE82" s="242" t="str">
        <f>GI82</f>
        <v>-</v>
      </c>
      <c r="AF82" s="242" t="str">
        <f>GP82</f>
        <v>-</v>
      </c>
      <c r="AG82" s="242" t="str">
        <f>GW82</f>
        <v>-</v>
      </c>
      <c r="AH82" s="242">
        <f>HD82</f>
        <v>-3332.5</v>
      </c>
      <c r="AI82" s="242">
        <f>HK82</f>
        <v>-48</v>
      </c>
      <c r="AJ82" s="242">
        <f>HR82</f>
        <v>1304</v>
      </c>
      <c r="AK82" s="242">
        <f>HY82</f>
        <v>776.25</v>
      </c>
      <c r="AL82" s="242">
        <f>IF82</f>
        <v>-865.75</v>
      </c>
      <c r="AM82" s="242">
        <f>IM82</f>
        <v>311.75</v>
      </c>
      <c r="AN82" s="242">
        <f>IT82</f>
        <v>-269</v>
      </c>
      <c r="AO82" s="242">
        <f>JA82</f>
        <v>-3623.5</v>
      </c>
      <c r="AP82" s="242">
        <f>JH82</f>
        <v>-2444</v>
      </c>
      <c r="AQ82" s="242">
        <f>JO82</f>
        <v>-2329</v>
      </c>
      <c r="AR82" s="242">
        <f>JV82</f>
        <v>-1340</v>
      </c>
      <c r="AS82" s="242">
        <f>KC82</f>
        <v>-1931</v>
      </c>
      <c r="AT82" s="242">
        <f>KJ82</f>
        <v>259</v>
      </c>
      <c r="AU82" s="242">
        <f>KQ82</f>
        <v>1748</v>
      </c>
      <c r="AV82" s="242">
        <f>KX82</f>
        <v>1208</v>
      </c>
      <c r="AW82" s="242">
        <f>LE82</f>
        <v>523.5</v>
      </c>
      <c r="AX82" s="242">
        <f>LL82</f>
        <v>-70.25</v>
      </c>
      <c r="AY82" s="242">
        <f>LS82</f>
        <v>-435.75</v>
      </c>
      <c r="AZ82" s="242">
        <f>LZ82</f>
        <v>12.5</v>
      </c>
      <c r="BA82" s="242">
        <f>MG82</f>
        <v>150</v>
      </c>
      <c r="BB82" s="242"/>
      <c r="BC82" s="242"/>
      <c r="BD82" s="242"/>
      <c r="BE82" s="242"/>
      <c r="BF82" s="242"/>
      <c r="BG82" s="242"/>
      <c r="BH82" s="242"/>
      <c r="BI82" s="242"/>
      <c r="BJ82" s="242"/>
      <c r="BK82" s="242"/>
      <c r="BL82" s="242"/>
      <c r="BM82" s="242"/>
      <c r="BO82" s="241" t="s">
        <v>261</v>
      </c>
      <c r="BP82" s="242"/>
      <c r="BQ82" s="242"/>
      <c r="BR82" s="242"/>
      <c r="BS82" s="242"/>
      <c r="BT82" s="242"/>
      <c r="BV82" s="241" t="s">
        <v>261</v>
      </c>
      <c r="BW82" s="242"/>
      <c r="BX82" s="242"/>
      <c r="BY82" s="242"/>
      <c r="BZ82" s="242"/>
      <c r="CA82" s="242"/>
      <c r="CC82" s="241" t="s">
        <v>261</v>
      </c>
      <c r="CD82" s="242"/>
      <c r="CE82" s="242"/>
      <c r="CF82" s="242"/>
      <c r="CG82" s="242"/>
      <c r="CH82" s="242"/>
      <c r="CJ82" s="241" t="s">
        <v>261</v>
      </c>
      <c r="CK82" s="242"/>
      <c r="CL82" s="242"/>
      <c r="CM82" s="242"/>
      <c r="CN82" s="242"/>
      <c r="CO82" s="242"/>
      <c r="CQ82" s="241" t="s">
        <v>261</v>
      </c>
      <c r="CR82" s="242"/>
      <c r="CS82" s="242"/>
      <c r="CT82" s="242"/>
      <c r="CU82" s="242"/>
      <c r="CV82" s="242"/>
      <c r="CX82" s="241" t="s">
        <v>261</v>
      </c>
      <c r="CY82" s="242"/>
      <c r="CZ82" s="242"/>
      <c r="DA82" s="242"/>
      <c r="DB82" s="242"/>
      <c r="DC82" s="242"/>
      <c r="DE82" s="241" t="s">
        <v>261</v>
      </c>
      <c r="DF82" s="242"/>
      <c r="DG82" s="242"/>
      <c r="DH82" s="242"/>
      <c r="DI82" s="242"/>
      <c r="DJ82" s="242"/>
      <c r="DL82" s="241" t="s">
        <v>261</v>
      </c>
      <c r="DM82" s="242"/>
      <c r="DN82" s="242"/>
      <c r="DO82" s="242"/>
      <c r="DP82" s="242"/>
      <c r="DQ82" s="242"/>
      <c r="DS82" s="241" t="s">
        <v>261</v>
      </c>
      <c r="DT82" s="242"/>
      <c r="DU82" s="242"/>
      <c r="DV82" s="242"/>
      <c r="DW82" s="242"/>
      <c r="DX82" s="242"/>
      <c r="DZ82" s="241" t="s">
        <v>261</v>
      </c>
      <c r="EA82" s="242"/>
      <c r="EB82" s="242"/>
      <c r="EC82" s="242"/>
      <c r="ED82" s="242"/>
      <c r="EE82" s="242"/>
      <c r="EG82" s="241" t="s">
        <v>261</v>
      </c>
      <c r="EH82" s="242"/>
      <c r="EI82" s="242"/>
      <c r="EJ82" s="242"/>
      <c r="EK82" s="242"/>
      <c r="EL82" s="242"/>
      <c r="EN82" s="241" t="s">
        <v>261</v>
      </c>
      <c r="EO82" s="242"/>
      <c r="EP82" s="242"/>
      <c r="EQ82" s="242"/>
      <c r="ER82" s="242"/>
      <c r="ES82" s="242"/>
      <c r="EU82" s="241" t="s">
        <v>261</v>
      </c>
      <c r="EV82" s="242"/>
      <c r="EW82" s="242"/>
      <c r="EX82" s="242"/>
      <c r="EY82" s="242"/>
      <c r="EZ82" s="242"/>
      <c r="FB82" s="241" t="s">
        <v>261</v>
      </c>
      <c r="FC82" s="242"/>
      <c r="FD82" s="242"/>
      <c r="FE82" s="242"/>
      <c r="FF82" s="242"/>
      <c r="FG82" s="242"/>
      <c r="FI82" s="241" t="s">
        <v>261</v>
      </c>
      <c r="FJ82" s="242"/>
      <c r="FK82" s="242"/>
      <c r="FL82" s="242"/>
      <c r="FM82" s="242"/>
      <c r="FN82" s="242"/>
      <c r="FP82" s="241" t="s">
        <v>261</v>
      </c>
      <c r="FQ82" s="242"/>
      <c r="FR82" s="242"/>
      <c r="FS82" s="242"/>
      <c r="FT82" s="242"/>
      <c r="FU82" s="242"/>
      <c r="FW82" s="241" t="s">
        <v>261</v>
      </c>
      <c r="FX82" s="242" t="s">
        <v>80</v>
      </c>
      <c r="FY82" s="242" t="s">
        <v>80</v>
      </c>
      <c r="FZ82" s="242" t="s">
        <v>80</v>
      </c>
      <c r="GA82" s="242" t="s">
        <v>80</v>
      </c>
      <c r="GB82" s="242" t="s">
        <v>80</v>
      </c>
      <c r="GD82" s="241" t="s">
        <v>261</v>
      </c>
      <c r="GE82" s="242" t="s">
        <v>80</v>
      </c>
      <c r="GF82" s="242" t="s">
        <v>80</v>
      </c>
      <c r="GG82" s="242" t="s">
        <v>80</v>
      </c>
      <c r="GH82" s="242" t="s">
        <v>80</v>
      </c>
      <c r="GI82" s="242" t="s">
        <v>80</v>
      </c>
      <c r="GK82" s="241" t="s">
        <v>261</v>
      </c>
      <c r="GL82" s="242" t="s">
        <v>80</v>
      </c>
      <c r="GM82" s="242" t="s">
        <v>80</v>
      </c>
      <c r="GN82" s="242" t="s">
        <v>80</v>
      </c>
      <c r="GO82" s="242" t="s">
        <v>80</v>
      </c>
      <c r="GP82" s="242" t="s">
        <v>80</v>
      </c>
      <c r="GR82" s="241" t="s">
        <v>261</v>
      </c>
      <c r="GS82" s="242" t="s">
        <v>80</v>
      </c>
      <c r="GT82" s="242">
        <f>+GT80-GS80</f>
        <v>-728</v>
      </c>
      <c r="GU82" s="242">
        <f>+GU80-GT80</f>
        <v>346</v>
      </c>
      <c r="GV82" s="242">
        <f>+GV80-GU80</f>
        <v>-65</v>
      </c>
      <c r="GW82" s="242" t="s">
        <v>80</v>
      </c>
      <c r="GY82" s="241" t="s">
        <v>261</v>
      </c>
      <c r="GZ82" s="242">
        <f>+GZ80-GV80</f>
        <v>-2188</v>
      </c>
      <c r="HA82" s="242">
        <f>+HA80-GZ80</f>
        <v>-1297</v>
      </c>
      <c r="HB82" s="242">
        <f>+HB80-HA80</f>
        <v>5</v>
      </c>
      <c r="HC82" s="242">
        <f>+HC80-HB80</f>
        <v>-466</v>
      </c>
      <c r="HD82" s="242">
        <f>+HD80-GW80</f>
        <v>-3332.5</v>
      </c>
      <c r="HF82" s="241" t="s">
        <v>261</v>
      </c>
      <c r="HG82" s="242">
        <f>+HG80-HC80</f>
        <v>-107</v>
      </c>
      <c r="HH82" s="242">
        <f>+HH80-HG80</f>
        <v>940</v>
      </c>
      <c r="HI82" s="242">
        <f>+HI80-HH80</f>
        <v>120</v>
      </c>
      <c r="HJ82" s="242">
        <f>+HJ80-HI80</f>
        <v>-139</v>
      </c>
      <c r="HK82" s="242">
        <f>+HK80-HD80</f>
        <v>-48</v>
      </c>
      <c r="HM82" s="241" t="s">
        <v>261</v>
      </c>
      <c r="HN82" s="242">
        <f>+HN80-HJ80</f>
        <v>213</v>
      </c>
      <c r="HO82" s="242">
        <f>+HO80-HN80</f>
        <v>686</v>
      </c>
      <c r="HP82" s="242">
        <f>+HP80-HO80</f>
        <v>534</v>
      </c>
      <c r="HQ82" s="242">
        <f>+HQ80-HP80</f>
        <v>475</v>
      </c>
      <c r="HR82" s="242">
        <f>+HR80-HK80</f>
        <v>1304</v>
      </c>
      <c r="HT82" s="241" t="s">
        <v>261</v>
      </c>
      <c r="HU82" s="242">
        <f>+HU80-HQ80</f>
        <v>254</v>
      </c>
      <c r="HV82" s="242">
        <f>+HV80-HU80</f>
        <v>29</v>
      </c>
      <c r="HW82" s="242">
        <f>+HW80-HV80</f>
        <v>-218</v>
      </c>
      <c r="HX82" s="242">
        <f>+HX80-HW80</f>
        <v>-741</v>
      </c>
      <c r="HY82" s="242">
        <f>+HY80-HR80</f>
        <v>776.25</v>
      </c>
      <c r="IA82" s="241" t="s">
        <v>261</v>
      </c>
      <c r="IB82" s="242">
        <f>+IB80-HX80</f>
        <v>-453</v>
      </c>
      <c r="IC82" s="242">
        <f>+IC80-IB80</f>
        <v>281</v>
      </c>
      <c r="ID82" s="242">
        <f>+ID80-IC80</f>
        <v>-26</v>
      </c>
      <c r="IE82" s="242">
        <f>+IE80-ID80</f>
        <v>188</v>
      </c>
      <c r="IF82" s="242">
        <f>+IF80-HY80</f>
        <v>-865.75</v>
      </c>
      <c r="IH82" s="241" t="s">
        <v>261</v>
      </c>
      <c r="II82" s="242">
        <f>+II80-IE80</f>
        <v>-278</v>
      </c>
      <c r="IJ82" s="242">
        <f>+IJ80-II80</f>
        <v>205</v>
      </c>
      <c r="IK82" s="242">
        <f>+IK80-IJ80</f>
        <v>210</v>
      </c>
      <c r="IL82" s="242">
        <f>+IL80-IK80</f>
        <v>531</v>
      </c>
      <c r="IM82" s="242">
        <f>+IM80-IF80</f>
        <v>311.75</v>
      </c>
      <c r="IO82" s="241" t="s">
        <v>261</v>
      </c>
      <c r="IP82" s="242">
        <f>+IP80-IL80</f>
        <v>214</v>
      </c>
      <c r="IQ82" s="242">
        <f>+IQ80-IP80</f>
        <v>-144</v>
      </c>
      <c r="IR82" s="242">
        <f>+IR80-IQ80</f>
        <v>-1302</v>
      </c>
      <c r="IS82" s="242">
        <f>+IS80-IR80</f>
        <v>-1114</v>
      </c>
      <c r="IT82" s="242">
        <f>+IT80-IM80</f>
        <v>-269</v>
      </c>
      <c r="IV82" s="241" t="s">
        <v>261</v>
      </c>
      <c r="IW82" s="242">
        <f>+IW80-IS80</f>
        <v>-1470</v>
      </c>
      <c r="IX82" s="242">
        <f>+IX80-IW80</f>
        <v>-369</v>
      </c>
      <c r="IY82" s="242">
        <f>+IY80-IX80</f>
        <v>-661</v>
      </c>
      <c r="IZ82" s="242">
        <f>+IZ80-IY80</f>
        <v>-97</v>
      </c>
      <c r="JA82" s="242">
        <f>+JA80-IT80</f>
        <v>-3623.5</v>
      </c>
      <c r="JC82" s="241" t="s">
        <v>261</v>
      </c>
      <c r="JD82" s="242">
        <f>+JD80-IZ80</f>
        <v>-674</v>
      </c>
      <c r="JE82" s="242">
        <f>+JE80-JD80</f>
        <v>-719</v>
      </c>
      <c r="JF82" s="242">
        <f>+JF80-JE80</f>
        <v>-1177</v>
      </c>
      <c r="JG82" s="242">
        <f>+JG80-JF80</f>
        <v>-583</v>
      </c>
      <c r="JH82" s="242">
        <f>+JH80-JA80</f>
        <v>-2444</v>
      </c>
      <c r="JJ82" s="241" t="s">
        <v>261</v>
      </c>
      <c r="JK82" s="242">
        <f>+JK80-JG80</f>
        <v>-543</v>
      </c>
      <c r="JL82" s="242">
        <f>+JL80-JK80</f>
        <v>-540</v>
      </c>
      <c r="JM82" s="242">
        <f>+JM80-JL80</f>
        <v>-246</v>
      </c>
      <c r="JN82" s="242">
        <f>+JN80-JM80</f>
        <v>-212</v>
      </c>
      <c r="JO82" s="242">
        <f>+JO80-JH80</f>
        <v>-2329</v>
      </c>
      <c r="JQ82" s="241" t="s">
        <v>261</v>
      </c>
      <c r="JR82" s="242">
        <f>+JR80-JN80</f>
        <v>-290</v>
      </c>
      <c r="JS82" s="242">
        <f>+JS80-JR80</f>
        <v>-388</v>
      </c>
      <c r="JT82" s="242">
        <f>+JT80-JS80</f>
        <v>-475</v>
      </c>
      <c r="JU82" s="242">
        <f>+JU80-JT80</f>
        <v>-419</v>
      </c>
      <c r="JV82" s="242">
        <f>+JV80-JO80</f>
        <v>-1340</v>
      </c>
      <c r="JX82" s="241" t="s">
        <v>261</v>
      </c>
      <c r="JY82" s="242">
        <f>+JY80-JU80</f>
        <v>-285</v>
      </c>
      <c r="JZ82" s="242">
        <f>+JZ80-JY80</f>
        <v>-1288</v>
      </c>
      <c r="KA82" s="242">
        <f>+KA80-JZ80</f>
        <v>-26</v>
      </c>
      <c r="KB82" s="242">
        <f>+KB80-KA80</f>
        <v>-73</v>
      </c>
      <c r="KC82" s="242">
        <f>+KC80-JV80</f>
        <v>-1931</v>
      </c>
      <c r="KE82" s="241" t="s">
        <v>261</v>
      </c>
      <c r="KF82" s="242">
        <f>+KF80-KB80</f>
        <v>-40</v>
      </c>
      <c r="KG82" s="242">
        <f>+KG80-KF80</f>
        <v>-54</v>
      </c>
      <c r="KH82" s="242">
        <f>+KH80-KG80</f>
        <v>1343</v>
      </c>
      <c r="KI82" s="242">
        <f>+KI80-KH80</f>
        <v>230</v>
      </c>
      <c r="KJ82" s="242">
        <f>+KJ80-KC80</f>
        <v>259</v>
      </c>
      <c r="KL82" s="241" t="s">
        <v>261</v>
      </c>
      <c r="KM82" s="242">
        <f>+KM80-KI80</f>
        <v>122</v>
      </c>
      <c r="KN82" s="242">
        <f>+KN80-KM80</f>
        <v>429</v>
      </c>
      <c r="KO82" s="242">
        <f>+KO80-KN80</f>
        <v>516</v>
      </c>
      <c r="KP82" s="242">
        <f>+KP80-KO80</f>
        <v>609</v>
      </c>
      <c r="KQ82" s="242">
        <f>+KQ80-KJ80</f>
        <v>1748</v>
      </c>
      <c r="KS82" s="241" t="s">
        <v>261</v>
      </c>
      <c r="KT82" s="242">
        <f>+KT80-KP80</f>
        <v>217</v>
      </c>
      <c r="KU82" s="242">
        <f>+KU80-KT80</f>
        <v>88</v>
      </c>
      <c r="KV82" s="242">
        <f>+KV80-KU80</f>
        <v>184</v>
      </c>
      <c r="KW82" s="243">
        <f>+KW80-KV80</f>
        <v>299</v>
      </c>
      <c r="KX82" s="242">
        <f>+KX80-KQ80</f>
        <v>1208</v>
      </c>
      <c r="KZ82" s="241" t="s">
        <v>261</v>
      </c>
      <c r="LA82" s="242">
        <f>+LA80-KW80</f>
        <v>199</v>
      </c>
      <c r="LB82" s="243">
        <f>LB80-LA80</f>
        <v>-70</v>
      </c>
      <c r="LC82" s="242">
        <f>+LC80-LB80</f>
        <v>4</v>
      </c>
      <c r="LD82" s="242">
        <f>+LD80-LC80</f>
        <v>148</v>
      </c>
      <c r="LE82" s="242">
        <f>+LE80-KX80</f>
        <v>523.5</v>
      </c>
      <c r="LF82" s="587"/>
      <c r="LG82" s="241" t="s">
        <v>261</v>
      </c>
      <c r="LH82" s="242">
        <f>+LH80-LD80</f>
        <v>-51</v>
      </c>
      <c r="LI82" s="242">
        <f>+LI80-LH80</f>
        <v>97</v>
      </c>
      <c r="LJ82" s="242">
        <f>+LJ80-LI80</f>
        <v>-235</v>
      </c>
      <c r="LK82" s="242">
        <f>+LK80-LJ80</f>
        <v>-280</v>
      </c>
      <c r="LL82" s="242">
        <f>+LL80-LE80</f>
        <v>-70.25</v>
      </c>
      <c r="LM82" s="587"/>
      <c r="LN82" s="241" t="s">
        <v>261</v>
      </c>
      <c r="LO82" s="242">
        <f>+LO80-LK80</f>
        <v>-82.5</v>
      </c>
      <c r="LP82" s="242">
        <f t="shared" ref="LP82:LR82" si="233">+LP80-LO80</f>
        <v>-40</v>
      </c>
      <c r="LQ82" s="242">
        <f t="shared" si="233"/>
        <v>-32.5</v>
      </c>
      <c r="LR82" s="242">
        <f t="shared" si="233"/>
        <v>-15</v>
      </c>
      <c r="LS82" s="242">
        <f>+LS80-LL80</f>
        <v>-435.75</v>
      </c>
      <c r="LT82" s="587"/>
      <c r="LU82" s="241" t="s">
        <v>261</v>
      </c>
      <c r="LV82" s="242">
        <f>+LV80-LR80</f>
        <v>12.5</v>
      </c>
      <c r="LW82" s="242">
        <f>+LW80-LV80</f>
        <v>25</v>
      </c>
      <c r="LX82" s="242">
        <f>+LX80-LW80</f>
        <v>25</v>
      </c>
      <c r="LY82" s="242">
        <f>+LY80-LX80</f>
        <v>25</v>
      </c>
      <c r="LZ82" s="242">
        <f>+LZ80-LS80</f>
        <v>12.5</v>
      </c>
      <c r="MA82" s="587"/>
      <c r="MB82" s="241" t="s">
        <v>261</v>
      </c>
      <c r="MC82" s="242">
        <f>+MC80-LY80</f>
        <v>37.5</v>
      </c>
      <c r="MD82" s="242">
        <f>+MD80-MC80</f>
        <v>50</v>
      </c>
      <c r="ME82" s="242">
        <f>+ME80-MD80</f>
        <v>50</v>
      </c>
      <c r="MF82" s="242">
        <f>+MF80-ME80</f>
        <v>50</v>
      </c>
      <c r="MG82" s="242">
        <f>+MG80-LZ80</f>
        <v>150</v>
      </c>
      <c r="MH82" s="587"/>
    </row>
    <row r="83" spans="1:346" s="37" customFormat="1" ht="13.15" x14ac:dyDescent="0.4">
      <c r="A83" s="100"/>
      <c r="B83" s="111"/>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c r="AG83" s="112"/>
      <c r="AH83" s="112"/>
      <c r="AI83" s="112"/>
      <c r="AJ83" s="112"/>
      <c r="AK83" s="112"/>
      <c r="AL83" s="112"/>
      <c r="AM83" s="112"/>
      <c r="AN83" s="112"/>
      <c r="AO83" s="112"/>
      <c r="AP83" s="112"/>
      <c r="AQ83" s="112"/>
      <c r="AR83" s="112"/>
      <c r="AS83" s="112"/>
      <c r="AT83" s="112"/>
      <c r="AU83" s="112"/>
      <c r="AV83" s="112"/>
      <c r="AW83" s="112"/>
      <c r="AX83" s="112"/>
      <c r="AY83" s="112"/>
      <c r="AZ83" s="112"/>
      <c r="BA83" s="112"/>
      <c r="BB83" s="112"/>
      <c r="BC83" s="112"/>
      <c r="BD83" s="112"/>
      <c r="BE83" s="112"/>
      <c r="BF83" s="112"/>
      <c r="BG83" s="112"/>
      <c r="BH83" s="112"/>
      <c r="BI83" s="112"/>
      <c r="BJ83" s="112"/>
      <c r="BK83" s="112"/>
      <c r="BL83" s="112"/>
      <c r="BM83" s="112"/>
      <c r="BO83" s="111"/>
      <c r="BP83" s="66"/>
      <c r="BQ83" s="66"/>
      <c r="BR83" s="66"/>
      <c r="BS83" s="66"/>
      <c r="BT83" s="66"/>
      <c r="BV83" s="111"/>
      <c r="BW83" s="66"/>
      <c r="BX83" s="66"/>
      <c r="BY83" s="66"/>
      <c r="BZ83" s="66"/>
      <c r="CA83" s="66"/>
      <c r="CC83" s="111"/>
      <c r="CD83" s="66"/>
      <c r="CE83" s="66"/>
      <c r="CF83" s="66"/>
      <c r="CG83" s="66"/>
      <c r="CH83" s="66"/>
      <c r="CJ83" s="111"/>
      <c r="CK83" s="66"/>
      <c r="CL83" s="66"/>
      <c r="CM83" s="66"/>
      <c r="CN83" s="66"/>
      <c r="CO83" s="66"/>
      <c r="CQ83" s="111"/>
      <c r="CR83" s="66"/>
      <c r="CS83" s="66"/>
      <c r="CT83" s="66"/>
      <c r="CU83" s="66"/>
      <c r="CV83" s="66"/>
      <c r="CX83" s="111"/>
      <c r="CY83" s="66"/>
      <c r="CZ83" s="66"/>
      <c r="DA83" s="66"/>
      <c r="DB83" s="66"/>
      <c r="DC83" s="66"/>
      <c r="DE83" s="111"/>
      <c r="DF83" s="66"/>
      <c r="DG83" s="66"/>
      <c r="DH83" s="66"/>
      <c r="DI83" s="66"/>
      <c r="DJ83" s="66"/>
      <c r="DL83" s="111"/>
      <c r="DM83" s="66"/>
      <c r="DN83" s="66"/>
      <c r="DO83" s="66"/>
      <c r="DP83" s="66"/>
      <c r="DQ83" s="66"/>
      <c r="DS83" s="111"/>
      <c r="DT83" s="66"/>
      <c r="DU83" s="66"/>
      <c r="DV83" s="66"/>
      <c r="DW83" s="66"/>
      <c r="DX83" s="66"/>
      <c r="DZ83" s="111"/>
      <c r="EA83" s="66"/>
      <c r="EB83" s="66"/>
      <c r="EC83" s="66"/>
      <c r="ED83" s="66"/>
      <c r="EE83" s="66"/>
      <c r="EG83" s="111"/>
      <c r="EH83" s="66"/>
      <c r="EI83" s="66"/>
      <c r="EJ83" s="66"/>
      <c r="EK83" s="66"/>
      <c r="EL83" s="66"/>
      <c r="EN83" s="111"/>
      <c r="EO83" s="66"/>
      <c r="EP83" s="66"/>
      <c r="EQ83" s="66"/>
      <c r="ER83" s="66"/>
      <c r="ES83" s="66"/>
      <c r="EU83" s="111"/>
      <c r="EV83" s="66"/>
      <c r="EW83" s="66"/>
      <c r="EX83" s="66"/>
      <c r="EY83" s="66"/>
      <c r="EZ83" s="66"/>
      <c r="FB83" s="111"/>
      <c r="FC83" s="66"/>
      <c r="FD83" s="66"/>
      <c r="FE83" s="66"/>
      <c r="FF83" s="66"/>
      <c r="FG83" s="66"/>
      <c r="FI83" s="111"/>
      <c r="FJ83" s="66"/>
      <c r="FK83" s="66"/>
      <c r="FL83" s="66"/>
      <c r="FM83" s="66"/>
      <c r="FN83" s="66"/>
      <c r="FP83" s="111"/>
      <c r="FQ83" s="66"/>
      <c r="FR83" s="66"/>
      <c r="FS83" s="66"/>
      <c r="FT83" s="66"/>
      <c r="FU83" s="66"/>
      <c r="FW83" s="111"/>
      <c r="FX83" s="66"/>
      <c r="FY83" s="66"/>
      <c r="FZ83" s="66"/>
      <c r="GA83" s="66"/>
      <c r="GB83" s="66"/>
      <c r="GD83" s="111"/>
      <c r="GE83" s="66"/>
      <c r="GF83" s="66"/>
      <c r="GG83" s="66"/>
      <c r="GH83" s="66"/>
      <c r="GI83" s="66"/>
      <c r="GK83" s="111"/>
      <c r="GL83" s="66"/>
      <c r="GM83" s="66"/>
      <c r="GN83" s="66"/>
      <c r="GO83" s="66"/>
      <c r="GP83" s="66"/>
      <c r="GR83" s="111"/>
      <c r="GS83" s="66"/>
      <c r="GT83" s="66"/>
      <c r="GU83" s="66"/>
      <c r="GV83" s="66"/>
      <c r="GW83" s="66"/>
      <c r="GY83" s="111"/>
      <c r="GZ83" s="66"/>
      <c r="HA83" s="66"/>
      <c r="HB83" s="66"/>
      <c r="HC83" s="66"/>
      <c r="HD83" s="66"/>
      <c r="HF83" s="111"/>
      <c r="HG83" s="66"/>
      <c r="HH83" s="66"/>
      <c r="HI83" s="66"/>
      <c r="HJ83" s="66"/>
      <c r="HK83" s="66"/>
      <c r="HM83" s="111"/>
      <c r="HN83" s="66"/>
      <c r="HO83" s="66"/>
      <c r="HP83" s="66"/>
      <c r="HQ83" s="66"/>
      <c r="HR83" s="66"/>
      <c r="HT83" s="111"/>
      <c r="HU83" s="66"/>
      <c r="HV83" s="66"/>
      <c r="HW83" s="66"/>
      <c r="HX83" s="66"/>
      <c r="HY83" s="66"/>
      <c r="IA83" s="111"/>
      <c r="IB83" s="66"/>
      <c r="IC83" s="66"/>
      <c r="ID83" s="66"/>
      <c r="IE83" s="66"/>
      <c r="IF83" s="66"/>
      <c r="IH83" s="111"/>
      <c r="II83" s="66"/>
      <c r="IJ83" s="66"/>
      <c r="IK83" s="66"/>
      <c r="IL83" s="66"/>
      <c r="IM83" s="66"/>
      <c r="IO83" s="111"/>
      <c r="IP83" s="66"/>
      <c r="IQ83" s="66"/>
      <c r="IR83" s="66"/>
      <c r="IS83" s="66"/>
      <c r="IT83" s="66"/>
      <c r="IV83" s="111"/>
      <c r="IW83" s="66"/>
      <c r="IX83" s="66"/>
      <c r="IY83" s="66"/>
      <c r="IZ83" s="66"/>
      <c r="JA83" s="66"/>
      <c r="JC83" s="111"/>
      <c r="JD83" s="66"/>
      <c r="JE83" s="66"/>
      <c r="JF83" s="66"/>
      <c r="JG83" s="66"/>
      <c r="JH83" s="66"/>
      <c r="JJ83" s="111"/>
      <c r="JK83" s="66"/>
      <c r="JL83" s="66"/>
      <c r="JM83" s="66"/>
      <c r="JN83" s="66"/>
      <c r="JO83" s="66"/>
      <c r="JQ83" s="111"/>
      <c r="JR83" s="66"/>
      <c r="JS83" s="66"/>
      <c r="JT83" s="66"/>
      <c r="JU83" s="66"/>
      <c r="JV83" s="66"/>
      <c r="JX83" s="111"/>
      <c r="JY83" s="66"/>
      <c r="JZ83" s="66"/>
      <c r="KA83" s="66"/>
      <c r="KB83" s="66"/>
      <c r="KC83" s="66"/>
      <c r="KE83" s="111"/>
      <c r="KF83" s="66"/>
      <c r="KG83" s="66"/>
      <c r="KH83" s="66"/>
      <c r="KI83" s="66"/>
      <c r="KJ83" s="66"/>
      <c r="KL83" s="111"/>
      <c r="KM83" s="66"/>
      <c r="KN83" s="66"/>
      <c r="KO83" s="66"/>
      <c r="KP83" s="66"/>
      <c r="KQ83" s="66"/>
      <c r="KS83" s="111"/>
      <c r="KT83" s="66"/>
      <c r="KU83" s="66"/>
      <c r="KV83" s="112"/>
      <c r="KW83" s="144"/>
      <c r="KX83" s="66"/>
      <c r="KZ83" s="111"/>
      <c r="LA83" s="66"/>
      <c r="LB83" s="302"/>
      <c r="LC83" s="112"/>
      <c r="LD83" s="184"/>
      <c r="LE83" s="112"/>
      <c r="LF83" s="585"/>
      <c r="LG83" s="111"/>
      <c r="LH83" s="112"/>
      <c r="LI83" s="112"/>
      <c r="LJ83" s="112"/>
      <c r="LK83" s="112"/>
      <c r="LL83" s="112"/>
      <c r="LM83" s="585"/>
      <c r="LN83" s="111"/>
      <c r="LO83" s="112"/>
      <c r="LP83" s="112"/>
      <c r="LQ83" s="112"/>
      <c r="LR83" s="112"/>
      <c r="LS83" s="112"/>
      <c r="LT83" s="585"/>
      <c r="LU83" s="111"/>
      <c r="LV83" s="112"/>
      <c r="LW83" s="112"/>
      <c r="LX83" s="112"/>
      <c r="LY83" s="112"/>
      <c r="LZ83" s="112"/>
      <c r="MA83" s="585"/>
      <c r="MB83" s="111"/>
      <c r="MC83" s="112"/>
      <c r="MD83" s="112"/>
      <c r="ME83" s="112"/>
      <c r="MF83" s="112"/>
      <c r="MG83" s="112"/>
      <c r="MH83" s="585"/>
    </row>
    <row r="84" spans="1:346" s="53" customFormat="1" ht="13.15" x14ac:dyDescent="0.4">
      <c r="A84" s="100"/>
      <c r="B84" s="238" t="s">
        <v>242</v>
      </c>
      <c r="C84" s="239"/>
      <c r="D84" s="239"/>
      <c r="E84" s="239"/>
      <c r="F84" s="239"/>
      <c r="G84" s="239"/>
      <c r="H84" s="239"/>
      <c r="I84" s="239"/>
      <c r="J84" s="239"/>
      <c r="K84" s="239"/>
      <c r="L84" s="239"/>
      <c r="M84" s="239"/>
      <c r="N84" s="239">
        <f>BT84</f>
        <v>0</v>
      </c>
      <c r="O84" s="239">
        <f>CA84</f>
        <v>0</v>
      </c>
      <c r="P84" s="239">
        <f>CH84</f>
        <v>0</v>
      </c>
      <c r="Q84" s="239">
        <f>CO84</f>
        <v>0</v>
      </c>
      <c r="R84" s="239">
        <f>CV84</f>
        <v>0</v>
      </c>
      <c r="S84" s="239">
        <f>DC84</f>
        <v>0</v>
      </c>
      <c r="T84" s="239">
        <f>DJ84</f>
        <v>0</v>
      </c>
      <c r="U84" s="239">
        <f>DQ84</f>
        <v>0</v>
      </c>
      <c r="V84" s="239">
        <f>DX84</f>
        <v>0</v>
      </c>
      <c r="W84" s="239">
        <f>EE84</f>
        <v>0</v>
      </c>
      <c r="X84" s="239">
        <f>EL84</f>
        <v>0</v>
      </c>
      <c r="Y84" s="239">
        <f>ES84</f>
        <v>0</v>
      </c>
      <c r="Z84" s="239">
        <f>EZ84</f>
        <v>0</v>
      </c>
      <c r="AA84" s="239">
        <f>FG84</f>
        <v>0</v>
      </c>
      <c r="AB84" s="239">
        <f>FN84</f>
        <v>0</v>
      </c>
      <c r="AC84" s="239">
        <f>FU84</f>
        <v>0</v>
      </c>
      <c r="AD84" s="239" t="str">
        <f>GB84</f>
        <v>-</v>
      </c>
      <c r="AE84" s="239" t="str">
        <f>GI84</f>
        <v>-</v>
      </c>
      <c r="AF84" s="239" t="str">
        <f>GP84</f>
        <v>-</v>
      </c>
      <c r="AG84" s="239">
        <f>GW84</f>
        <v>33185</v>
      </c>
      <c r="AH84" s="239">
        <f>HD84</f>
        <v>29308</v>
      </c>
      <c r="AI84" s="239">
        <f>HK84</f>
        <v>30132</v>
      </c>
      <c r="AJ84" s="239">
        <f>HR84</f>
        <v>32235</v>
      </c>
      <c r="AK84" s="239">
        <f>HY84</f>
        <v>30787</v>
      </c>
      <c r="AL84" s="239">
        <f>IF84</f>
        <v>31413</v>
      </c>
      <c r="AM84" s="239">
        <f>IM84</f>
        <v>32287</v>
      </c>
      <c r="AN84" s="239">
        <f>IT84</f>
        <v>29424</v>
      </c>
      <c r="AO84" s="239">
        <f>JA84</f>
        <v>27288</v>
      </c>
      <c r="AP84" s="239">
        <f>JH84</f>
        <v>24006</v>
      </c>
      <c r="AQ84" s="239">
        <f>JO84</f>
        <v>22475</v>
      </c>
      <c r="AR84" s="239">
        <f>JV84</f>
        <v>20908</v>
      </c>
      <c r="AS84" s="239">
        <f>KC84</f>
        <v>19282</v>
      </c>
      <c r="AT84" s="239">
        <f>KJ84</f>
        <v>20919</v>
      </c>
      <c r="AU84" s="239">
        <f>KQ84</f>
        <v>22542</v>
      </c>
      <c r="AV84" s="239">
        <f>KX84</f>
        <v>23232</v>
      </c>
      <c r="AW84" s="239">
        <f>LE84</f>
        <v>23536</v>
      </c>
      <c r="AX84" s="239">
        <f>LL84</f>
        <v>22935</v>
      </c>
      <c r="AY84" s="239">
        <f>LS84</f>
        <v>22825</v>
      </c>
      <c r="AZ84" s="239">
        <f>LZ84</f>
        <v>22925</v>
      </c>
      <c r="BA84" s="239">
        <f>MG84</f>
        <v>23125</v>
      </c>
      <c r="BB84" s="239"/>
      <c r="BC84" s="239"/>
      <c r="BD84" s="239"/>
      <c r="BE84" s="239"/>
      <c r="BF84" s="239"/>
      <c r="BG84" s="239"/>
      <c r="BH84" s="239"/>
      <c r="BI84" s="239"/>
      <c r="BJ84" s="239"/>
      <c r="BK84" s="239"/>
      <c r="BL84" s="239"/>
      <c r="BM84" s="239"/>
      <c r="BO84" s="238" t="s">
        <v>242</v>
      </c>
      <c r="BP84" s="240"/>
      <c r="BQ84" s="240"/>
      <c r="BR84" s="240"/>
      <c r="BS84" s="240"/>
      <c r="BT84" s="240"/>
      <c r="BV84" s="238" t="s">
        <v>242</v>
      </c>
      <c r="BW84" s="240"/>
      <c r="BX84" s="240"/>
      <c r="BY84" s="240"/>
      <c r="BZ84" s="240"/>
      <c r="CA84" s="240"/>
      <c r="CC84" s="238" t="s">
        <v>242</v>
      </c>
      <c r="CD84" s="240"/>
      <c r="CE84" s="240"/>
      <c r="CF84" s="240"/>
      <c r="CG84" s="240"/>
      <c r="CH84" s="240"/>
      <c r="CJ84" s="238" t="s">
        <v>242</v>
      </c>
      <c r="CK84" s="240"/>
      <c r="CL84" s="240"/>
      <c r="CM84" s="240"/>
      <c r="CN84" s="240"/>
      <c r="CO84" s="240"/>
      <c r="CQ84" s="238" t="s">
        <v>242</v>
      </c>
      <c r="CR84" s="240"/>
      <c r="CS84" s="240"/>
      <c r="CT84" s="240"/>
      <c r="CU84" s="240"/>
      <c r="CV84" s="240"/>
      <c r="CX84" s="238" t="s">
        <v>242</v>
      </c>
      <c r="CY84" s="240"/>
      <c r="CZ84" s="240"/>
      <c r="DA84" s="240"/>
      <c r="DB84" s="240"/>
      <c r="DC84" s="240"/>
      <c r="DE84" s="238" t="s">
        <v>242</v>
      </c>
      <c r="DF84" s="240"/>
      <c r="DG84" s="240"/>
      <c r="DH84" s="240"/>
      <c r="DI84" s="240"/>
      <c r="DJ84" s="240"/>
      <c r="DL84" s="238" t="s">
        <v>242</v>
      </c>
      <c r="DM84" s="240"/>
      <c r="DN84" s="240"/>
      <c r="DO84" s="240"/>
      <c r="DP84" s="240"/>
      <c r="DQ84" s="240"/>
      <c r="DS84" s="238" t="s">
        <v>242</v>
      </c>
      <c r="DT84" s="240"/>
      <c r="DU84" s="240"/>
      <c r="DV84" s="240"/>
      <c r="DW84" s="240"/>
      <c r="DX84" s="240"/>
      <c r="DZ84" s="238" t="s">
        <v>242</v>
      </c>
      <c r="EA84" s="240"/>
      <c r="EB84" s="240"/>
      <c r="EC84" s="240"/>
      <c r="ED84" s="240"/>
      <c r="EE84" s="240"/>
      <c r="EG84" s="238" t="s">
        <v>242</v>
      </c>
      <c r="EH84" s="240"/>
      <c r="EI84" s="240"/>
      <c r="EJ84" s="240"/>
      <c r="EK84" s="240"/>
      <c r="EL84" s="240"/>
      <c r="EN84" s="238" t="s">
        <v>242</v>
      </c>
      <c r="EO84" s="240"/>
      <c r="EP84" s="240"/>
      <c r="EQ84" s="240"/>
      <c r="ER84" s="240"/>
      <c r="ES84" s="240"/>
      <c r="EU84" s="238" t="s">
        <v>242</v>
      </c>
      <c r="EV84" s="240"/>
      <c r="EW84" s="240"/>
      <c r="EX84" s="240"/>
      <c r="EY84" s="240"/>
      <c r="EZ84" s="240"/>
      <c r="FB84" s="238" t="s">
        <v>242</v>
      </c>
      <c r="FC84" s="240"/>
      <c r="FD84" s="240"/>
      <c r="FE84" s="240"/>
      <c r="FF84" s="240"/>
      <c r="FG84" s="240"/>
      <c r="FI84" s="238" t="s">
        <v>242</v>
      </c>
      <c r="FJ84" s="240"/>
      <c r="FK84" s="240"/>
      <c r="FL84" s="240"/>
      <c r="FM84" s="240"/>
      <c r="FN84" s="240"/>
      <c r="FP84" s="238" t="s">
        <v>242</v>
      </c>
      <c r="FQ84" s="240"/>
      <c r="FR84" s="240"/>
      <c r="FS84" s="240"/>
      <c r="FT84" s="240"/>
      <c r="FU84" s="240"/>
      <c r="FW84" s="238" t="s">
        <v>242</v>
      </c>
      <c r="FX84" s="240" t="s">
        <v>80</v>
      </c>
      <c r="FY84" s="240" t="s">
        <v>80</v>
      </c>
      <c r="FZ84" s="240" t="s">
        <v>80</v>
      </c>
      <c r="GA84" s="240" t="s">
        <v>80</v>
      </c>
      <c r="GB84" s="240" t="s">
        <v>80</v>
      </c>
      <c r="GD84" s="238" t="s">
        <v>242</v>
      </c>
      <c r="GE84" s="240" t="s">
        <v>80</v>
      </c>
      <c r="GF84" s="240" t="s">
        <v>80</v>
      </c>
      <c r="GG84" s="240" t="s">
        <v>80</v>
      </c>
      <c r="GH84" s="240" t="s">
        <v>80</v>
      </c>
      <c r="GI84" s="240" t="s">
        <v>80</v>
      </c>
      <c r="GK84" s="238" t="s">
        <v>242</v>
      </c>
      <c r="GL84" s="240" t="s">
        <v>80</v>
      </c>
      <c r="GM84" s="240" t="s">
        <v>80</v>
      </c>
      <c r="GN84" s="240" t="s">
        <v>80</v>
      </c>
      <c r="GO84" s="240" t="s">
        <v>80</v>
      </c>
      <c r="GP84" s="240" t="s">
        <v>80</v>
      </c>
      <c r="GR84" s="238" t="s">
        <v>242</v>
      </c>
      <c r="GS84" s="240">
        <v>33736</v>
      </c>
      <c r="GT84" s="240">
        <v>33035</v>
      </c>
      <c r="GU84" s="240">
        <v>33452</v>
      </c>
      <c r="GV84" s="240">
        <v>33185</v>
      </c>
      <c r="GW84" s="240">
        <v>33185</v>
      </c>
      <c r="GY84" s="238" t="s">
        <v>242</v>
      </c>
      <c r="GZ84" s="240">
        <v>30595</v>
      </c>
      <c r="HA84" s="240">
        <v>29651</v>
      </c>
      <c r="HB84" s="240">
        <v>29742</v>
      </c>
      <c r="HC84" s="240">
        <v>29308</v>
      </c>
      <c r="HD84" s="240">
        <v>29308</v>
      </c>
      <c r="HF84" s="238" t="s">
        <v>242</v>
      </c>
      <c r="HG84" s="240">
        <v>29590</v>
      </c>
      <c r="HH84" s="240">
        <v>30052</v>
      </c>
      <c r="HI84" s="240">
        <v>30340</v>
      </c>
      <c r="HJ84" s="240">
        <v>30132</v>
      </c>
      <c r="HK84" s="240">
        <v>30132</v>
      </c>
      <c r="HM84" s="238" t="s">
        <v>242</v>
      </c>
      <c r="HN84" s="240">
        <v>30613</v>
      </c>
      <c r="HO84" s="240">
        <v>31339</v>
      </c>
      <c r="HP84" s="240">
        <v>31843</v>
      </c>
      <c r="HQ84" s="240">
        <v>32235</v>
      </c>
      <c r="HR84" s="240">
        <v>32235</v>
      </c>
      <c r="HT84" s="238" t="s">
        <v>242</v>
      </c>
      <c r="HU84" s="240">
        <v>32437</v>
      </c>
      <c r="HV84" s="240">
        <v>32445</v>
      </c>
      <c r="HW84" s="240">
        <v>31970</v>
      </c>
      <c r="HX84" s="240">
        <v>30787</v>
      </c>
      <c r="HY84" s="240">
        <v>30787</v>
      </c>
      <c r="IA84" s="238" t="s">
        <v>242</v>
      </c>
      <c r="IB84" s="240">
        <v>30928</v>
      </c>
      <c r="IC84" s="240">
        <v>31374</v>
      </c>
      <c r="ID84" s="240">
        <v>31226</v>
      </c>
      <c r="IE84" s="240">
        <v>31413</v>
      </c>
      <c r="IF84" s="240">
        <v>31413</v>
      </c>
      <c r="IH84" s="238" t="s">
        <v>242</v>
      </c>
      <c r="II84" s="240">
        <v>31040</v>
      </c>
      <c r="IJ84" s="240">
        <v>31437</v>
      </c>
      <c r="IK84" s="240">
        <v>31793</v>
      </c>
      <c r="IL84" s="240">
        <v>32287</v>
      </c>
      <c r="IM84" s="240">
        <v>32287</v>
      </c>
      <c r="IO84" s="238" t="s">
        <v>242</v>
      </c>
      <c r="IP84" s="240">
        <v>32451</v>
      </c>
      <c r="IQ84" s="240">
        <v>31885</v>
      </c>
      <c r="IR84" s="240">
        <v>30419</v>
      </c>
      <c r="IS84" s="240">
        <v>29424</v>
      </c>
      <c r="IT84" s="240">
        <v>29424</v>
      </c>
      <c r="IV84" s="238" t="s">
        <v>242</v>
      </c>
      <c r="IW84" s="240">
        <v>28054</v>
      </c>
      <c r="IX84" s="240">
        <v>27710</v>
      </c>
      <c r="IY84" s="240">
        <v>27084</v>
      </c>
      <c r="IZ84" s="240">
        <v>27288</v>
      </c>
      <c r="JA84" s="240">
        <v>27288</v>
      </c>
      <c r="JC84" s="238" t="s">
        <v>242</v>
      </c>
      <c r="JD84" s="240">
        <v>26027</v>
      </c>
      <c r="JE84" s="240">
        <v>25512</v>
      </c>
      <c r="JF84" s="240">
        <v>24388</v>
      </c>
      <c r="JG84" s="240">
        <v>24006</v>
      </c>
      <c r="JH84" s="240">
        <v>24006</v>
      </c>
      <c r="JJ84" s="238" t="s">
        <v>242</v>
      </c>
      <c r="JK84" s="240">
        <v>23019</v>
      </c>
      <c r="JL84" s="240">
        <v>22810</v>
      </c>
      <c r="JM84" s="240">
        <v>22562</v>
      </c>
      <c r="JN84" s="240">
        <v>22475</v>
      </c>
      <c r="JO84" s="240">
        <v>22475</v>
      </c>
      <c r="JQ84" s="238" t="s">
        <v>242</v>
      </c>
      <c r="JR84" s="240">
        <v>22001</v>
      </c>
      <c r="JS84" s="240">
        <v>21541</v>
      </c>
      <c r="JT84" s="240">
        <v>21158</v>
      </c>
      <c r="JU84" s="240">
        <v>20908</v>
      </c>
      <c r="JV84" s="240">
        <v>20908</v>
      </c>
      <c r="JX84" s="238" t="s">
        <v>242</v>
      </c>
      <c r="JY84" s="240">
        <v>20455</v>
      </c>
      <c r="JZ84" s="240">
        <v>18856</v>
      </c>
      <c r="KA84" s="240">
        <v>19300</v>
      </c>
      <c r="KB84" s="240">
        <v>19282</v>
      </c>
      <c r="KC84" s="240">
        <v>19282</v>
      </c>
      <c r="KE84" s="238" t="s">
        <v>242</v>
      </c>
      <c r="KF84" s="240">
        <v>19184</v>
      </c>
      <c r="KG84" s="240">
        <v>19181</v>
      </c>
      <c r="KH84" s="240">
        <v>20506</v>
      </c>
      <c r="KI84" s="240">
        <v>20919</v>
      </c>
      <c r="KJ84" s="240">
        <v>20919</v>
      </c>
      <c r="KL84" s="238" t="s">
        <v>242</v>
      </c>
      <c r="KM84" s="240">
        <v>20866</v>
      </c>
      <c r="KN84" s="240">
        <v>21712</v>
      </c>
      <c r="KO84" s="240">
        <v>21946</v>
      </c>
      <c r="KP84" s="240">
        <v>22542</v>
      </c>
      <c r="KQ84" s="240">
        <f>KP84</f>
        <v>22542</v>
      </c>
      <c r="KS84" s="238" t="s">
        <v>242</v>
      </c>
      <c r="KT84" s="240">
        <v>22637</v>
      </c>
      <c r="KU84" s="240">
        <v>22743</v>
      </c>
      <c r="KV84" s="239">
        <v>23023</v>
      </c>
      <c r="KW84" s="240">
        <v>23232</v>
      </c>
      <c r="KX84" s="240">
        <f>KW84</f>
        <v>23232</v>
      </c>
      <c r="KZ84" s="238" t="s">
        <v>242</v>
      </c>
      <c r="LA84" s="240">
        <v>23396</v>
      </c>
      <c r="LB84" s="239">
        <v>23275</v>
      </c>
      <c r="LC84" s="239">
        <v>23355</v>
      </c>
      <c r="LD84" s="239">
        <v>23536</v>
      </c>
      <c r="LE84" s="239">
        <f>LD84</f>
        <v>23536</v>
      </c>
      <c r="LF84" s="586"/>
      <c r="LG84" s="238" t="s">
        <v>242</v>
      </c>
      <c r="LH84" s="239">
        <v>23378</v>
      </c>
      <c r="LI84" s="239">
        <v>23543</v>
      </c>
      <c r="LJ84" s="239">
        <v>23221</v>
      </c>
      <c r="LK84" s="239">
        <v>22935</v>
      </c>
      <c r="LL84" s="239">
        <f>LK84</f>
        <v>22935</v>
      </c>
      <c r="LM84" s="586"/>
      <c r="LN84" s="238" t="s">
        <v>242</v>
      </c>
      <c r="LO84" s="239">
        <f>LK84+LO86</f>
        <v>22890</v>
      </c>
      <c r="LP84" s="239">
        <f>LO84+LP86</f>
        <v>22855</v>
      </c>
      <c r="LQ84" s="239">
        <f>LP84+LQ86</f>
        <v>22825</v>
      </c>
      <c r="LR84" s="239">
        <f>LQ84+LR86</f>
        <v>22825</v>
      </c>
      <c r="LS84" s="239">
        <f>LR84</f>
        <v>22825</v>
      </c>
      <c r="LT84" s="586"/>
      <c r="LU84" s="238" t="s">
        <v>242</v>
      </c>
      <c r="LV84" s="239">
        <f>LR84+LV86</f>
        <v>22850</v>
      </c>
      <c r="LW84" s="239">
        <f>LV84+LW86</f>
        <v>22875</v>
      </c>
      <c r="LX84" s="239">
        <f>LW84+LX86</f>
        <v>22900</v>
      </c>
      <c r="LY84" s="239">
        <f>LX84+LY86</f>
        <v>22925</v>
      </c>
      <c r="LZ84" s="239">
        <f>LY84</f>
        <v>22925</v>
      </c>
      <c r="MA84" s="586"/>
      <c r="MB84" s="238" t="s">
        <v>242</v>
      </c>
      <c r="MC84" s="239">
        <f>LY84+MC86</f>
        <v>22975</v>
      </c>
      <c r="MD84" s="239">
        <f>MC84+MD86</f>
        <v>23025</v>
      </c>
      <c r="ME84" s="239">
        <f>MD84+ME86</f>
        <v>23075</v>
      </c>
      <c r="MF84" s="239">
        <f>ME84+MF86</f>
        <v>23125</v>
      </c>
      <c r="MG84" s="239">
        <f>MF84</f>
        <v>23125</v>
      </c>
      <c r="MH84" s="586"/>
    </row>
    <row r="85" spans="1:346" s="37" customFormat="1" ht="13.15" x14ac:dyDescent="0.4">
      <c r="A85" s="100"/>
      <c r="B85" s="111" t="s">
        <v>3</v>
      </c>
      <c r="C85" s="112"/>
      <c r="D85" s="112"/>
      <c r="E85" s="112"/>
      <c r="F85" s="112"/>
      <c r="G85" s="112"/>
      <c r="H85" s="112"/>
      <c r="I85" s="112"/>
      <c r="J85" s="112"/>
      <c r="K85" s="112"/>
      <c r="L85" s="112"/>
      <c r="M85" s="112"/>
      <c r="N85" s="112">
        <f>BT85</f>
        <v>0</v>
      </c>
      <c r="O85" s="112">
        <f>CA85</f>
        <v>0</v>
      </c>
      <c r="P85" s="112">
        <f>CH85</f>
        <v>0</v>
      </c>
      <c r="Q85" s="112">
        <f>CO85</f>
        <v>0</v>
      </c>
      <c r="R85" s="112">
        <f>CV85</f>
        <v>0</v>
      </c>
      <c r="S85" s="112">
        <f>DC85</f>
        <v>0</v>
      </c>
      <c r="T85" s="112">
        <f>DJ85</f>
        <v>0</v>
      </c>
      <c r="U85" s="112">
        <f>DQ85</f>
        <v>0</v>
      </c>
      <c r="V85" s="112">
        <f>DX85</f>
        <v>0</v>
      </c>
      <c r="W85" s="112">
        <f>EE85</f>
        <v>0</v>
      </c>
      <c r="X85" s="112">
        <f>EL85</f>
        <v>0</v>
      </c>
      <c r="Y85" s="112">
        <f>ES85</f>
        <v>0</v>
      </c>
      <c r="Z85" s="112">
        <f>EZ85</f>
        <v>0</v>
      </c>
      <c r="AA85" s="112">
        <f>FG85</f>
        <v>0</v>
      </c>
      <c r="AB85" s="112">
        <f>FN85</f>
        <v>0</v>
      </c>
      <c r="AC85" s="112">
        <f>FU85</f>
        <v>0</v>
      </c>
      <c r="AD85" s="112" t="str">
        <f>GB85</f>
        <v>-</v>
      </c>
      <c r="AE85" s="112" t="str">
        <f>GI85</f>
        <v>NM</v>
      </c>
      <c r="AF85" s="112" t="str">
        <f>GP85</f>
        <v>NM</v>
      </c>
      <c r="AG85" s="112" t="str">
        <f>GW85</f>
        <v>NM</v>
      </c>
      <c r="AH85" s="112">
        <f>HD85</f>
        <v>-0.11682989302395663</v>
      </c>
      <c r="AI85" s="112">
        <f>HK85</f>
        <v>2.811519039170185E-2</v>
      </c>
      <c r="AJ85" s="112">
        <f>HR85</f>
        <v>6.9792911190760698E-2</v>
      </c>
      <c r="AK85" s="112">
        <f>HY85</f>
        <v>-4.4920117884287292E-2</v>
      </c>
      <c r="AL85" s="112">
        <f>IF85</f>
        <v>2.0333257543768468E-2</v>
      </c>
      <c r="AM85" s="112">
        <f>IM85</f>
        <v>2.7822875879413012E-2</v>
      </c>
      <c r="AN85" s="112">
        <f>IT85</f>
        <v>-8.8673459906463914E-2</v>
      </c>
      <c r="AO85" s="112">
        <f>JA85</f>
        <v>-7.2593800978792866E-2</v>
      </c>
      <c r="AP85" s="112">
        <f>JH85</f>
        <v>-0.1202726473175022</v>
      </c>
      <c r="AQ85" s="112">
        <f>JO85</f>
        <v>-6.3775722735982643E-2</v>
      </c>
      <c r="AR85" s="112">
        <f>JV85</f>
        <v>-6.9721913236929889E-2</v>
      </c>
      <c r="AS85" s="112">
        <f>KC85</f>
        <v>-7.7769274918691456E-2</v>
      </c>
      <c r="AT85" s="112">
        <f>KJ85</f>
        <v>8.4897832175085508E-2</v>
      </c>
      <c r="AU85" s="112">
        <f>KQ85</f>
        <v>7.7584970600889092E-2</v>
      </c>
      <c r="AV85" s="112">
        <f>KX85</f>
        <v>3.060952887942503E-2</v>
      </c>
      <c r="AW85" s="112">
        <f>LE85</f>
        <v>1.3085399449035862E-2</v>
      </c>
      <c r="AX85" s="112">
        <f>LL85</f>
        <v>-2.5535350101971499E-2</v>
      </c>
      <c r="AY85" s="112">
        <f>LS85</f>
        <v>-4.7961630695443347E-3</v>
      </c>
      <c r="AZ85" s="112">
        <f>LZ85</f>
        <v>4.3811610076669449E-3</v>
      </c>
      <c r="BA85" s="112">
        <f>MG85</f>
        <v>8.724100327153872E-3</v>
      </c>
      <c r="BB85" s="112"/>
      <c r="BC85" s="112"/>
      <c r="BD85" s="112"/>
      <c r="BE85" s="112"/>
      <c r="BF85" s="112"/>
      <c r="BG85" s="112"/>
      <c r="BH85" s="112"/>
      <c r="BI85" s="112"/>
      <c r="BJ85" s="112"/>
      <c r="BK85" s="112"/>
      <c r="BL85" s="112"/>
      <c r="BM85" s="112"/>
      <c r="BO85" s="111" t="s">
        <v>3</v>
      </c>
      <c r="BP85" s="66"/>
      <c r="BQ85" s="66"/>
      <c r="BR85" s="66"/>
      <c r="BS85" s="66"/>
      <c r="BT85" s="66"/>
      <c r="BV85" s="111" t="s">
        <v>3</v>
      </c>
      <c r="BW85" s="66"/>
      <c r="BX85" s="66"/>
      <c r="BY85" s="66"/>
      <c r="BZ85" s="66"/>
      <c r="CA85" s="66"/>
      <c r="CC85" s="111" t="s">
        <v>3</v>
      </c>
      <c r="CD85" s="66"/>
      <c r="CE85" s="66"/>
      <c r="CF85" s="66"/>
      <c r="CG85" s="66"/>
      <c r="CH85" s="66"/>
      <c r="CJ85" s="111" t="s">
        <v>3</v>
      </c>
      <c r="CK85" s="66"/>
      <c r="CL85" s="66"/>
      <c r="CM85" s="66"/>
      <c r="CN85" s="66"/>
      <c r="CO85" s="66"/>
      <c r="CQ85" s="111" t="s">
        <v>3</v>
      </c>
      <c r="CR85" s="66"/>
      <c r="CS85" s="66"/>
      <c r="CT85" s="66"/>
      <c r="CU85" s="66"/>
      <c r="CV85" s="66"/>
      <c r="CX85" s="111" t="s">
        <v>3</v>
      </c>
      <c r="CY85" s="66"/>
      <c r="CZ85" s="66"/>
      <c r="DA85" s="66"/>
      <c r="DB85" s="66"/>
      <c r="DC85" s="66"/>
      <c r="DE85" s="111" t="s">
        <v>3</v>
      </c>
      <c r="DF85" s="66"/>
      <c r="DG85" s="66"/>
      <c r="DH85" s="66"/>
      <c r="DI85" s="66"/>
      <c r="DJ85" s="66"/>
      <c r="DL85" s="111" t="s">
        <v>3</v>
      </c>
      <c r="DM85" s="66"/>
      <c r="DN85" s="66"/>
      <c r="DO85" s="66"/>
      <c r="DP85" s="66"/>
      <c r="DQ85" s="66"/>
      <c r="DS85" s="111" t="s">
        <v>3</v>
      </c>
      <c r="DT85" s="66"/>
      <c r="DU85" s="66"/>
      <c r="DV85" s="66"/>
      <c r="DW85" s="66"/>
      <c r="DX85" s="66"/>
      <c r="DZ85" s="111" t="s">
        <v>3</v>
      </c>
      <c r="EA85" s="66"/>
      <c r="EB85" s="66"/>
      <c r="EC85" s="66"/>
      <c r="ED85" s="66"/>
      <c r="EE85" s="66"/>
      <c r="EG85" s="111" t="s">
        <v>3</v>
      </c>
      <c r="EH85" s="66"/>
      <c r="EI85" s="66"/>
      <c r="EJ85" s="66"/>
      <c r="EK85" s="66"/>
      <c r="EL85" s="66"/>
      <c r="EN85" s="111" t="s">
        <v>3</v>
      </c>
      <c r="EO85" s="66"/>
      <c r="EP85" s="66"/>
      <c r="EQ85" s="66"/>
      <c r="ER85" s="66"/>
      <c r="ES85" s="66"/>
      <c r="EU85" s="111" t="s">
        <v>3</v>
      </c>
      <c r="EV85" s="66"/>
      <c r="EW85" s="66"/>
      <c r="EX85" s="66"/>
      <c r="EY85" s="66"/>
      <c r="EZ85" s="66"/>
      <c r="FB85" s="111" t="s">
        <v>3</v>
      </c>
      <c r="FC85" s="66"/>
      <c r="FD85" s="66"/>
      <c r="FE85" s="66"/>
      <c r="FF85" s="66"/>
      <c r="FG85" s="66"/>
      <c r="FI85" s="111" t="s">
        <v>3</v>
      </c>
      <c r="FJ85" s="66"/>
      <c r="FK85" s="66"/>
      <c r="FL85" s="66"/>
      <c r="FM85" s="66"/>
      <c r="FN85" s="66"/>
      <c r="FP85" s="111" t="s">
        <v>3</v>
      </c>
      <c r="FQ85" s="66"/>
      <c r="FR85" s="66"/>
      <c r="FS85" s="66"/>
      <c r="FT85" s="66"/>
      <c r="FU85" s="66"/>
      <c r="FW85" s="111" t="s">
        <v>3</v>
      </c>
      <c r="FX85" s="66" t="s">
        <v>80</v>
      </c>
      <c r="FY85" s="66" t="s">
        <v>80</v>
      </c>
      <c r="FZ85" s="66" t="s">
        <v>80</v>
      </c>
      <c r="GA85" s="66" t="s">
        <v>80</v>
      </c>
      <c r="GB85" s="66" t="s">
        <v>80</v>
      </c>
      <c r="GD85" s="111" t="s">
        <v>3</v>
      </c>
      <c r="GE85" s="66" t="str">
        <f>IFERROR(GE84/FX84-1,"NM")</f>
        <v>NM</v>
      </c>
      <c r="GF85" s="66" t="str">
        <f>IFERROR(GF84/FY84-1,"NM")</f>
        <v>NM</v>
      </c>
      <c r="GG85" s="66" t="str">
        <f>IFERROR(GG84/FZ84-1,"NM")</f>
        <v>NM</v>
      </c>
      <c r="GH85" s="66" t="str">
        <f>IFERROR(GH84/GA84-1,"NM")</f>
        <v>NM</v>
      </c>
      <c r="GI85" s="66" t="str">
        <f>IFERROR(GI84/GB84-1,"NM")</f>
        <v>NM</v>
      </c>
      <c r="GK85" s="111" t="s">
        <v>3</v>
      </c>
      <c r="GL85" s="66" t="str">
        <f>IFERROR(GL84/GE84-1,"NM")</f>
        <v>NM</v>
      </c>
      <c r="GM85" s="66" t="str">
        <f>IFERROR(GM84/GF84-1,"NM")</f>
        <v>NM</v>
      </c>
      <c r="GN85" s="66" t="str">
        <f>IFERROR(GN84/GG84-1,"NM")</f>
        <v>NM</v>
      </c>
      <c r="GO85" s="66" t="str">
        <f>IFERROR(GO84/GH84-1,"NM")</f>
        <v>NM</v>
      </c>
      <c r="GP85" s="66" t="str">
        <f>IFERROR(GP84/GI84-1,"NM")</f>
        <v>NM</v>
      </c>
      <c r="GR85" s="111" t="s">
        <v>3</v>
      </c>
      <c r="GS85" s="66" t="str">
        <f>IFERROR(GS84/GL84-1,"NM")</f>
        <v>NM</v>
      </c>
      <c r="GT85" s="66" t="str">
        <f>IFERROR(GT84/GM84-1,"NM")</f>
        <v>NM</v>
      </c>
      <c r="GU85" s="66" t="str">
        <f>IFERROR(GU84/GN84-1,"NM")</f>
        <v>NM</v>
      </c>
      <c r="GV85" s="66" t="str">
        <f>IFERROR(GV84/GO84-1,"NM")</f>
        <v>NM</v>
      </c>
      <c r="GW85" s="66" t="str">
        <f>IFERROR(GW84/GP84-1,"NM")</f>
        <v>NM</v>
      </c>
      <c r="GY85" s="111" t="s">
        <v>3</v>
      </c>
      <c r="GZ85" s="66">
        <f>IFERROR(GZ84/GS84-1,"NM")</f>
        <v>-9.3105288119516239E-2</v>
      </c>
      <c r="HA85" s="66">
        <f>IFERROR(HA84/GT84-1,"NM")</f>
        <v>-0.10243680944452849</v>
      </c>
      <c r="HB85" s="66">
        <f>IFERROR(HB84/GU84-1,"NM")</f>
        <v>-0.11090517756785845</v>
      </c>
      <c r="HC85" s="66">
        <f>IFERROR(HC84/GV84-1,"NM")</f>
        <v>-0.11682989302395663</v>
      </c>
      <c r="HD85" s="66">
        <f>IFERROR(HD84/GW84-1,"NM")</f>
        <v>-0.11682989302395663</v>
      </c>
      <c r="HF85" s="111" t="s">
        <v>3</v>
      </c>
      <c r="HG85" s="66">
        <f>IFERROR(HG84/GZ84-1,"NM")</f>
        <v>-3.2848504657623789E-2</v>
      </c>
      <c r="HH85" s="66">
        <f>IFERROR(HH84/HA84-1,"NM")</f>
        <v>1.3523995818016221E-2</v>
      </c>
      <c r="HI85" s="66">
        <f>IFERROR(HI84/HB84-1,"NM")</f>
        <v>2.0106247058032434E-2</v>
      </c>
      <c r="HJ85" s="66">
        <f>IFERROR(HJ84/HC84-1,"NM")</f>
        <v>2.811519039170185E-2</v>
      </c>
      <c r="HK85" s="66">
        <f>IFERROR(HK84/HD84-1,"NM")</f>
        <v>2.811519039170185E-2</v>
      </c>
      <c r="HM85" s="111" t="s">
        <v>3</v>
      </c>
      <c r="HN85" s="66">
        <f>IFERROR(HN84/HG84-1,"NM")</f>
        <v>3.4572490706319625E-2</v>
      </c>
      <c r="HO85" s="66">
        <f>IFERROR(HO84/HH84-1,"NM")</f>
        <v>4.2825768667642761E-2</v>
      </c>
      <c r="HP85" s="66">
        <f>IFERROR(HP84/HI84-1,"NM")</f>
        <v>4.953856295319703E-2</v>
      </c>
      <c r="HQ85" s="66">
        <f>IFERROR(HQ84/HJ84-1,"NM")</f>
        <v>6.9792911190760698E-2</v>
      </c>
      <c r="HR85" s="66">
        <f>IFERROR(HR84/HK84-1,"NM")</f>
        <v>6.9792911190760698E-2</v>
      </c>
      <c r="HT85" s="111" t="s">
        <v>3</v>
      </c>
      <c r="HU85" s="66">
        <f>IFERROR(HU84/HN84-1,"NM")</f>
        <v>5.9582530297586089E-2</v>
      </c>
      <c r="HV85" s="66">
        <f>IFERROR(HV84/HO84-1,"NM")</f>
        <v>3.5291489836944301E-2</v>
      </c>
      <c r="HW85" s="66">
        <f>IFERROR(HW84/HP84-1,"NM")</f>
        <v>3.9883176836352785E-3</v>
      </c>
      <c r="HX85" s="66">
        <f>IFERROR(HX84/HQ84-1,"NM")</f>
        <v>-4.4920117884287292E-2</v>
      </c>
      <c r="HY85" s="66">
        <f>IFERROR(HY84/HR84-1,"NM")</f>
        <v>-4.4920117884287292E-2</v>
      </c>
      <c r="IA85" s="111" t="s">
        <v>3</v>
      </c>
      <c r="IB85" s="66">
        <f>IFERROR(IB84/HU84-1,"NM")</f>
        <v>-4.6520948299781151E-2</v>
      </c>
      <c r="IC85" s="66">
        <f>IFERROR(IC84/HV84-1,"NM")</f>
        <v>-3.300970873786413E-2</v>
      </c>
      <c r="ID85" s="66">
        <f>IFERROR(ID84/HW84-1,"NM")</f>
        <v>-2.3271817328745725E-2</v>
      </c>
      <c r="IE85" s="66">
        <f>IFERROR(IE84/HX84-1,"NM")</f>
        <v>2.0333257543768468E-2</v>
      </c>
      <c r="IF85" s="66">
        <f>IFERROR(IF84/HY84-1,"NM")</f>
        <v>2.0333257543768468E-2</v>
      </c>
      <c r="IH85" s="111" t="s">
        <v>3</v>
      </c>
      <c r="II85" s="66">
        <f>IFERROR(II84/IB84-1,"NM")</f>
        <v>3.6213140196585947E-3</v>
      </c>
      <c r="IJ85" s="66">
        <f>IFERROR(IJ84/IC84-1,"NM")</f>
        <v>2.0080321285140812E-3</v>
      </c>
      <c r="IK85" s="66">
        <f>IFERROR(IK84/ID84-1,"NM")</f>
        <v>1.8157945301991996E-2</v>
      </c>
      <c r="IL85" s="66">
        <f>IFERROR(IL84/IE84-1,"NM")</f>
        <v>2.7822875879413012E-2</v>
      </c>
      <c r="IM85" s="66">
        <f>IFERROR(IM84/IF84-1,"NM")</f>
        <v>2.7822875879413012E-2</v>
      </c>
      <c r="IO85" s="111" t="s">
        <v>3</v>
      </c>
      <c r="IP85" s="66">
        <f>IFERROR(IP84/II84-1,"NM")</f>
        <v>4.5457474226804129E-2</v>
      </c>
      <c r="IQ85" s="66">
        <f>IFERROR(IQ84/IJ84-1,"NM")</f>
        <v>1.425072366956126E-2</v>
      </c>
      <c r="IR85" s="66">
        <f>IFERROR(IR84/IK84-1,"NM")</f>
        <v>-4.3217060359198589E-2</v>
      </c>
      <c r="IS85" s="66">
        <f>IFERROR(IS84/IL84-1,"NM")</f>
        <v>-8.8673459906463914E-2</v>
      </c>
      <c r="IT85" s="66">
        <f>IFERROR(IT84/IM84-1,"NM")</f>
        <v>-8.8673459906463914E-2</v>
      </c>
      <c r="IV85" s="111" t="s">
        <v>3</v>
      </c>
      <c r="IW85" s="66">
        <f>IFERROR(IW84/IP84-1,"NM")</f>
        <v>-0.13549659486610577</v>
      </c>
      <c r="IX85" s="66">
        <f>IFERROR(IX84/IQ84-1,"NM")</f>
        <v>-0.13093931315665674</v>
      </c>
      <c r="IY85" s="66">
        <f>IFERROR(IY84/IR84-1,"NM")</f>
        <v>-0.10963542522765379</v>
      </c>
      <c r="IZ85" s="66">
        <f>IFERROR(IZ84/IS84-1,"NM")</f>
        <v>-7.2593800978792866E-2</v>
      </c>
      <c r="JA85" s="66">
        <f>IFERROR(JA84/IT84-1,"NM")</f>
        <v>-7.2593800978792866E-2</v>
      </c>
      <c r="JC85" s="111" t="s">
        <v>3</v>
      </c>
      <c r="JD85" s="66">
        <f>IFERROR(JD84/IW84-1,"NM")</f>
        <v>-7.2253511085763167E-2</v>
      </c>
      <c r="JE85" s="66">
        <f>IFERROR(JE84/IX84-1,"NM")</f>
        <v>-7.9321544568747737E-2</v>
      </c>
      <c r="JF85" s="66">
        <f>IFERROR(JF84/IY84-1,"NM")</f>
        <v>-9.954216511593561E-2</v>
      </c>
      <c r="JG85" s="66">
        <f>IFERROR(JG84/IZ84-1,"NM")</f>
        <v>-0.1202726473175022</v>
      </c>
      <c r="JH85" s="66">
        <f>IFERROR(JH84/JA84-1,"NM")</f>
        <v>-0.1202726473175022</v>
      </c>
      <c r="JJ85" s="111" t="s">
        <v>3</v>
      </c>
      <c r="JK85" s="66">
        <f>IFERROR(JK84/JD84-1,"NM")</f>
        <v>-0.11557229031390481</v>
      </c>
      <c r="JL85" s="66">
        <f>IFERROR(JL84/JE84-1,"NM")</f>
        <v>-0.10591094386955158</v>
      </c>
      <c r="JM85" s="66">
        <f>IFERROR(JM84/JF84-1,"NM")</f>
        <v>-7.4872888305724139E-2</v>
      </c>
      <c r="JN85" s="66">
        <f>IFERROR(JN84/JG84-1,"NM")</f>
        <v>-6.3775722735982643E-2</v>
      </c>
      <c r="JO85" s="66">
        <f>IFERROR(JO84/JH84-1,"NM")</f>
        <v>-6.3775722735982643E-2</v>
      </c>
      <c r="JQ85" s="111" t="s">
        <v>3</v>
      </c>
      <c r="JR85" s="66">
        <f>IFERROR(JR84/JK84-1,"NM")</f>
        <v>-4.4224336417741816E-2</v>
      </c>
      <c r="JS85" s="66">
        <f>IFERROR(JS84/JL84-1,"NM")</f>
        <v>-5.5633494081543167E-2</v>
      </c>
      <c r="JT85" s="66">
        <f>IFERROR(JT84/JM84-1,"NM")</f>
        <v>-6.2228525839907789E-2</v>
      </c>
      <c r="JU85" s="66">
        <f>IFERROR(JU84/JN84-1,"NM")</f>
        <v>-6.9721913236929889E-2</v>
      </c>
      <c r="JV85" s="66">
        <f>IFERROR(JV84/JO84-1,"NM")</f>
        <v>-6.9721913236929889E-2</v>
      </c>
      <c r="JX85" s="111" t="s">
        <v>3</v>
      </c>
      <c r="JY85" s="66">
        <f>IFERROR(JY84/JR84-1,"NM")</f>
        <v>-7.0269533203036194E-2</v>
      </c>
      <c r="JZ85" s="66">
        <f>IFERROR(JZ84/JS84-1,"NM")</f>
        <v>-0.1246460238614735</v>
      </c>
      <c r="KA85" s="66">
        <f>IFERROR(KA84/JT84-1,"NM")</f>
        <v>-8.781548350505719E-2</v>
      </c>
      <c r="KB85" s="66">
        <f>IFERROR(KB84/JU84-1,"NM")</f>
        <v>-7.7769274918691456E-2</v>
      </c>
      <c r="KC85" s="66">
        <f>IFERROR(KC84/JV84-1,"NM")</f>
        <v>-7.7769274918691456E-2</v>
      </c>
      <c r="KE85" s="111" t="s">
        <v>3</v>
      </c>
      <c r="KF85" s="66">
        <f>IFERROR(KF84/JY84-1,"NM")</f>
        <v>-6.2136396968956231E-2</v>
      </c>
      <c r="KG85" s="66">
        <f>IFERROR(KG84/JZ84-1,"NM")</f>
        <v>1.723589308442941E-2</v>
      </c>
      <c r="KH85" s="66">
        <f>IFERROR(KH84/KA84-1,"NM")</f>
        <v>6.2487046632124343E-2</v>
      </c>
      <c r="KI85" s="66">
        <f>IFERROR(KI84/KB84-1,"NM")</f>
        <v>8.4897832175085508E-2</v>
      </c>
      <c r="KJ85" s="66">
        <f>IFERROR(KJ84/KC84-1,"NM")</f>
        <v>8.4897832175085508E-2</v>
      </c>
      <c r="KL85" s="111" t="s">
        <v>3</v>
      </c>
      <c r="KM85" s="66">
        <f>IFERROR(KM84/KF84-1,"NM")</f>
        <v>8.7677231025854896E-2</v>
      </c>
      <c r="KN85" s="66">
        <f>IFERROR(KN84/KG84-1,"NM")</f>
        <v>0.13195349564673364</v>
      </c>
      <c r="KO85" s="66">
        <f>IFERROR(KO84/KH84-1,"NM")</f>
        <v>7.0223349263630164E-2</v>
      </c>
      <c r="KP85" s="66">
        <f>IFERROR(KP84/KI84-1,"NM")</f>
        <v>7.7584970600889092E-2</v>
      </c>
      <c r="KQ85" s="66">
        <f>IFERROR(KQ84/KJ84-1,"NM")</f>
        <v>7.7584970600889092E-2</v>
      </c>
      <c r="KS85" s="111" t="s">
        <v>3</v>
      </c>
      <c r="KT85" s="66">
        <f>IFERROR(KT84/KM84-1,"NM")</f>
        <v>8.4874916131505884E-2</v>
      </c>
      <c r="KU85" s="66">
        <f>IFERROR(KU84/KN84-1,"NM")</f>
        <v>4.7485261606484919E-2</v>
      </c>
      <c r="KV85" s="112">
        <f>IFERROR(KV84/KO84-1,"NM")</f>
        <v>4.9075002278319513E-2</v>
      </c>
      <c r="KW85" s="66">
        <f>IFERROR(KW84/KP84-1,"NM")</f>
        <v>3.060952887942503E-2</v>
      </c>
      <c r="KX85" s="66">
        <f>IFERROR(KX84/KQ84-1,"NM")</f>
        <v>3.060952887942503E-2</v>
      </c>
      <c r="KZ85" s="111" t="s">
        <v>3</v>
      </c>
      <c r="LA85" s="66">
        <f>IFERROR(LA84/KT84-1,"NM")</f>
        <v>3.3529177894597417E-2</v>
      </c>
      <c r="LB85" s="112">
        <f>IFERROR(LB84/KU84-1,"NM")</f>
        <v>2.3391812865497075E-2</v>
      </c>
      <c r="LC85" s="112">
        <f>IFERROR(LC84/KV84-1,"NM")</f>
        <v>1.4420362246449159E-2</v>
      </c>
      <c r="LD85" s="112">
        <f>IFERROR(LD84/KW84-1,"NM")</f>
        <v>1.3085399449035862E-2</v>
      </c>
      <c r="LE85" s="112">
        <f>IFERROR(LE84/KX84-1,"NM")</f>
        <v>1.3085399449035862E-2</v>
      </c>
      <c r="LF85" s="585"/>
      <c r="LG85" s="111" t="s">
        <v>3</v>
      </c>
      <c r="LH85" s="66">
        <f>IFERROR(LH84/LA84-1,"NM")</f>
        <v>-7.6936228415114272E-4</v>
      </c>
      <c r="LI85" s="112">
        <f>IFERROR(LI84/LB84-1,"NM")</f>
        <v>1.1514500537056938E-2</v>
      </c>
      <c r="LJ85" s="112">
        <f>IFERROR(LJ84/LC84-1,"NM")</f>
        <v>-5.737529436951383E-3</v>
      </c>
      <c r="LK85" s="112">
        <f>IFERROR(LK84/LD84-1,"NM")</f>
        <v>-2.5535350101971499E-2</v>
      </c>
      <c r="LL85" s="112">
        <f>IFERROR(LL84/LE84-1,"NM")</f>
        <v>-2.5535350101971499E-2</v>
      </c>
      <c r="LM85" s="585"/>
      <c r="LN85" s="111" t="s">
        <v>3</v>
      </c>
      <c r="LO85" s="112">
        <f>IFERROR(LO84/LH84-1,"NM")</f>
        <v>-2.0874326289674006E-2</v>
      </c>
      <c r="LP85" s="112">
        <f>IFERROR(LP84/LI84-1,"NM")</f>
        <v>-2.9223123646094362E-2</v>
      </c>
      <c r="LQ85" s="112">
        <f>IFERROR(LQ84/LJ84-1,"NM")</f>
        <v>-1.7053529133112311E-2</v>
      </c>
      <c r="LR85" s="112">
        <f>IFERROR(LR84/LK84-1,"NM")</f>
        <v>-4.7961630695443347E-3</v>
      </c>
      <c r="LS85" s="112">
        <f>IFERROR(LS84/LL84-1,"NM")</f>
        <v>-4.7961630695443347E-3</v>
      </c>
      <c r="LT85" s="585"/>
      <c r="LU85" s="111" t="s">
        <v>3</v>
      </c>
      <c r="LV85" s="112">
        <f>IFERROR(LV84/LO84-1,"NM")</f>
        <v>-1.7474879860200909E-3</v>
      </c>
      <c r="LW85" s="112">
        <f>IFERROR(LW84/LP84-1,"NM")</f>
        <v>8.750820389411551E-4</v>
      </c>
      <c r="LX85" s="112">
        <f>IFERROR(LX84/LQ84-1,"NM")</f>
        <v>3.2858707557503752E-3</v>
      </c>
      <c r="LY85" s="112">
        <f>IFERROR(LY84/LR84-1,"NM")</f>
        <v>4.3811610076669449E-3</v>
      </c>
      <c r="LZ85" s="112">
        <f>IFERROR(LZ84/LS84-1,"NM")</f>
        <v>4.3811610076669449E-3</v>
      </c>
      <c r="MA85" s="585"/>
      <c r="MB85" s="111" t="s">
        <v>3</v>
      </c>
      <c r="MC85" s="112">
        <f>IFERROR(MC84/LV84-1,"NM")</f>
        <v>5.4704595185994798E-3</v>
      </c>
      <c r="MD85" s="112">
        <f>IFERROR(MD84/LW84-1,"NM")</f>
        <v>6.5573770491802463E-3</v>
      </c>
      <c r="ME85" s="112">
        <f>IFERROR(ME84/LX84-1,"NM")</f>
        <v>7.6419213973799582E-3</v>
      </c>
      <c r="MF85" s="112">
        <f>IFERROR(MF84/LY84-1,"NM")</f>
        <v>8.724100327153872E-3</v>
      </c>
      <c r="MG85" s="112">
        <f>IFERROR(MG84/LZ84-1,"NM")</f>
        <v>8.724100327153872E-3</v>
      </c>
      <c r="MH85" s="585"/>
    </row>
    <row r="86" spans="1:346" s="37" customFormat="1" ht="13.15" x14ac:dyDescent="0.4">
      <c r="A86" s="100"/>
      <c r="B86" s="241" t="s">
        <v>261</v>
      </c>
      <c r="C86" s="242"/>
      <c r="D86" s="242"/>
      <c r="E86" s="242"/>
      <c r="F86" s="242"/>
      <c r="G86" s="242"/>
      <c r="H86" s="242"/>
      <c r="I86" s="242"/>
      <c r="J86" s="242"/>
      <c r="K86" s="242"/>
      <c r="L86" s="242"/>
      <c r="M86" s="242"/>
      <c r="N86" s="242">
        <f>BT86</f>
        <v>0</v>
      </c>
      <c r="O86" s="242">
        <f>CA86</f>
        <v>0</v>
      </c>
      <c r="P86" s="242">
        <f>CH86</f>
        <v>0</v>
      </c>
      <c r="Q86" s="242">
        <f>CO86</f>
        <v>0</v>
      </c>
      <c r="R86" s="242">
        <f>CV86</f>
        <v>0</v>
      </c>
      <c r="S86" s="242">
        <f>DC86</f>
        <v>0</v>
      </c>
      <c r="T86" s="242">
        <f>DJ86</f>
        <v>0</v>
      </c>
      <c r="U86" s="242">
        <f>DQ86</f>
        <v>0</v>
      </c>
      <c r="V86" s="242">
        <f>DX86</f>
        <v>0</v>
      </c>
      <c r="W86" s="242">
        <f>EE86</f>
        <v>0</v>
      </c>
      <c r="X86" s="242">
        <f>EL86</f>
        <v>0</v>
      </c>
      <c r="Y86" s="242">
        <f>ES86</f>
        <v>0</v>
      </c>
      <c r="Z86" s="242">
        <f>EZ86</f>
        <v>0</v>
      </c>
      <c r="AA86" s="242">
        <f>FG86</f>
        <v>0</v>
      </c>
      <c r="AB86" s="242">
        <f>FN86</f>
        <v>0</v>
      </c>
      <c r="AC86" s="242">
        <f>FU86</f>
        <v>0</v>
      </c>
      <c r="AD86" s="242" t="str">
        <f>GB86</f>
        <v>-</v>
      </c>
      <c r="AE86" s="242" t="str">
        <f>GI86</f>
        <v>-</v>
      </c>
      <c r="AF86" s="242" t="str">
        <f>GP86</f>
        <v>-</v>
      </c>
      <c r="AG86" s="242" t="str">
        <f>GW86</f>
        <v>-</v>
      </c>
      <c r="AH86" s="242">
        <f>HD86</f>
        <v>-3877</v>
      </c>
      <c r="AI86" s="242">
        <f>HK86</f>
        <v>824</v>
      </c>
      <c r="AJ86" s="242">
        <f>HR86</f>
        <v>2103</v>
      </c>
      <c r="AK86" s="242">
        <f>HY86</f>
        <v>-1448</v>
      </c>
      <c r="AL86" s="242">
        <f>IF86</f>
        <v>626</v>
      </c>
      <c r="AM86" s="242">
        <f>IM86</f>
        <v>874</v>
      </c>
      <c r="AN86" s="242">
        <f>IT86</f>
        <v>-2863</v>
      </c>
      <c r="AO86" s="242">
        <f>JA86</f>
        <v>-2136</v>
      </c>
      <c r="AP86" s="242">
        <f>JH86</f>
        <v>-3282</v>
      </c>
      <c r="AQ86" s="242">
        <f>JO86</f>
        <v>-1531</v>
      </c>
      <c r="AR86" s="242">
        <f>JV86</f>
        <v>-1567</v>
      </c>
      <c r="AS86" s="242">
        <f>KC86</f>
        <v>-1626</v>
      </c>
      <c r="AT86" s="242">
        <f>KJ86</f>
        <v>1637</v>
      </c>
      <c r="AU86" s="242">
        <f>KQ86</f>
        <v>1623</v>
      </c>
      <c r="AV86" s="242">
        <f>KX86</f>
        <v>690</v>
      </c>
      <c r="AW86" s="242">
        <f>LE86</f>
        <v>303</v>
      </c>
      <c r="AX86" s="242">
        <f>LL86</f>
        <v>-602</v>
      </c>
      <c r="AY86" s="242">
        <f>LS86</f>
        <v>-111</v>
      </c>
      <c r="AZ86" s="242">
        <f>LZ86</f>
        <v>99</v>
      </c>
      <c r="BA86" s="242">
        <f>MG86</f>
        <v>199</v>
      </c>
      <c r="BB86" s="242"/>
      <c r="BC86" s="242"/>
      <c r="BD86" s="242"/>
      <c r="BE86" s="242"/>
      <c r="BF86" s="242"/>
      <c r="BG86" s="242"/>
      <c r="BH86" s="242"/>
      <c r="BI86" s="242"/>
      <c r="BJ86" s="242"/>
      <c r="BK86" s="242"/>
      <c r="BL86" s="242"/>
      <c r="BM86" s="242"/>
      <c r="BO86" s="241" t="s">
        <v>261</v>
      </c>
      <c r="BP86" s="242"/>
      <c r="BQ86" s="242"/>
      <c r="BR86" s="242"/>
      <c r="BS86" s="242"/>
      <c r="BT86" s="242"/>
      <c r="BV86" s="241" t="s">
        <v>261</v>
      </c>
      <c r="BW86" s="242"/>
      <c r="BX86" s="242"/>
      <c r="BY86" s="242"/>
      <c r="BZ86" s="242"/>
      <c r="CA86" s="242"/>
      <c r="CC86" s="241" t="s">
        <v>261</v>
      </c>
      <c r="CD86" s="242"/>
      <c r="CE86" s="242"/>
      <c r="CF86" s="242"/>
      <c r="CG86" s="242"/>
      <c r="CH86" s="242"/>
      <c r="CJ86" s="241" t="s">
        <v>261</v>
      </c>
      <c r="CK86" s="242"/>
      <c r="CL86" s="242"/>
      <c r="CM86" s="242"/>
      <c r="CN86" s="242"/>
      <c r="CO86" s="242"/>
      <c r="CQ86" s="241" t="s">
        <v>261</v>
      </c>
      <c r="CR86" s="242"/>
      <c r="CS86" s="242"/>
      <c r="CT86" s="242"/>
      <c r="CU86" s="242"/>
      <c r="CV86" s="242"/>
      <c r="CX86" s="241" t="s">
        <v>261</v>
      </c>
      <c r="CY86" s="242"/>
      <c r="CZ86" s="242"/>
      <c r="DA86" s="242"/>
      <c r="DB86" s="242"/>
      <c r="DC86" s="242"/>
      <c r="DE86" s="241" t="s">
        <v>261</v>
      </c>
      <c r="DF86" s="242"/>
      <c r="DG86" s="242"/>
      <c r="DH86" s="242"/>
      <c r="DI86" s="242"/>
      <c r="DJ86" s="242"/>
      <c r="DL86" s="241" t="s">
        <v>261</v>
      </c>
      <c r="DM86" s="242"/>
      <c r="DN86" s="242"/>
      <c r="DO86" s="242"/>
      <c r="DP86" s="242"/>
      <c r="DQ86" s="242"/>
      <c r="DS86" s="241" t="s">
        <v>261</v>
      </c>
      <c r="DT86" s="242"/>
      <c r="DU86" s="242"/>
      <c r="DV86" s="242"/>
      <c r="DW86" s="242"/>
      <c r="DX86" s="242"/>
      <c r="DZ86" s="241" t="s">
        <v>261</v>
      </c>
      <c r="EA86" s="242"/>
      <c r="EB86" s="242"/>
      <c r="EC86" s="242"/>
      <c r="ED86" s="242"/>
      <c r="EE86" s="242"/>
      <c r="EG86" s="241" t="s">
        <v>261</v>
      </c>
      <c r="EH86" s="242"/>
      <c r="EI86" s="242"/>
      <c r="EJ86" s="242"/>
      <c r="EK86" s="242"/>
      <c r="EL86" s="242"/>
      <c r="EN86" s="241" t="s">
        <v>261</v>
      </c>
      <c r="EO86" s="242"/>
      <c r="EP86" s="242"/>
      <c r="EQ86" s="242"/>
      <c r="ER86" s="242"/>
      <c r="ES86" s="242"/>
      <c r="EU86" s="241" t="s">
        <v>261</v>
      </c>
      <c r="EV86" s="242"/>
      <c r="EW86" s="242"/>
      <c r="EX86" s="242"/>
      <c r="EY86" s="242"/>
      <c r="EZ86" s="242"/>
      <c r="FB86" s="241" t="s">
        <v>261</v>
      </c>
      <c r="FC86" s="242"/>
      <c r="FD86" s="242"/>
      <c r="FE86" s="242"/>
      <c r="FF86" s="242"/>
      <c r="FG86" s="242"/>
      <c r="FI86" s="241" t="s">
        <v>261</v>
      </c>
      <c r="FJ86" s="242"/>
      <c r="FK86" s="242"/>
      <c r="FL86" s="242"/>
      <c r="FM86" s="242"/>
      <c r="FN86" s="242"/>
      <c r="FP86" s="241" t="s">
        <v>261</v>
      </c>
      <c r="FQ86" s="242"/>
      <c r="FR86" s="242"/>
      <c r="FS86" s="242"/>
      <c r="FT86" s="242"/>
      <c r="FU86" s="242"/>
      <c r="FW86" s="241" t="s">
        <v>261</v>
      </c>
      <c r="FX86" s="242" t="s">
        <v>80</v>
      </c>
      <c r="FY86" s="242" t="s">
        <v>80</v>
      </c>
      <c r="FZ86" s="242" t="s">
        <v>80</v>
      </c>
      <c r="GA86" s="242" t="s">
        <v>80</v>
      </c>
      <c r="GB86" s="242" t="s">
        <v>80</v>
      </c>
      <c r="GD86" s="241" t="s">
        <v>261</v>
      </c>
      <c r="GE86" s="242" t="s">
        <v>80</v>
      </c>
      <c r="GF86" s="242" t="s">
        <v>80</v>
      </c>
      <c r="GG86" s="242" t="s">
        <v>80</v>
      </c>
      <c r="GH86" s="242" t="s">
        <v>80</v>
      </c>
      <c r="GI86" s="242" t="s">
        <v>80</v>
      </c>
      <c r="GK86" s="241" t="s">
        <v>261</v>
      </c>
      <c r="GL86" s="242" t="s">
        <v>80</v>
      </c>
      <c r="GM86" s="242" t="s">
        <v>80</v>
      </c>
      <c r="GN86" s="242" t="s">
        <v>80</v>
      </c>
      <c r="GO86" s="242" t="s">
        <v>80</v>
      </c>
      <c r="GP86" s="242" t="s">
        <v>80</v>
      </c>
      <c r="GR86" s="241" t="s">
        <v>261</v>
      </c>
      <c r="GS86" s="242" t="s">
        <v>80</v>
      </c>
      <c r="GT86" s="242">
        <f>+GT84-GS84</f>
        <v>-701</v>
      </c>
      <c r="GU86" s="242">
        <f>+GU84-GT84</f>
        <v>417</v>
      </c>
      <c r="GV86" s="242">
        <f>+GV84-GU84</f>
        <v>-267</v>
      </c>
      <c r="GW86" s="242" t="s">
        <v>80</v>
      </c>
      <c r="GY86" s="241" t="s">
        <v>261</v>
      </c>
      <c r="GZ86" s="242">
        <f>+GZ84-GV84</f>
        <v>-2590</v>
      </c>
      <c r="HA86" s="242">
        <f>+HA84-GZ84</f>
        <v>-944</v>
      </c>
      <c r="HB86" s="242">
        <f>+HB84-HA84</f>
        <v>91</v>
      </c>
      <c r="HC86" s="242">
        <f>+HC84-HB84</f>
        <v>-434</v>
      </c>
      <c r="HD86" s="242">
        <f>+HD84-GW84</f>
        <v>-3877</v>
      </c>
      <c r="HF86" s="241" t="s">
        <v>261</v>
      </c>
      <c r="HG86" s="242">
        <f>+HG84-HC84</f>
        <v>282</v>
      </c>
      <c r="HH86" s="242">
        <f>+HH84-HG84</f>
        <v>462</v>
      </c>
      <c r="HI86" s="242">
        <f>+HI84-HH84</f>
        <v>288</v>
      </c>
      <c r="HJ86" s="242">
        <f>+HJ84-HI84</f>
        <v>-208</v>
      </c>
      <c r="HK86" s="242">
        <f>+HK84-HD84</f>
        <v>824</v>
      </c>
      <c r="HM86" s="241" t="s">
        <v>261</v>
      </c>
      <c r="HN86" s="242">
        <f>+HN84-HJ84</f>
        <v>481</v>
      </c>
      <c r="HO86" s="242">
        <f>+HO84-HN84</f>
        <v>726</v>
      </c>
      <c r="HP86" s="242">
        <f>+HP84-HO84</f>
        <v>504</v>
      </c>
      <c r="HQ86" s="242">
        <f>+HQ84-HP84</f>
        <v>392</v>
      </c>
      <c r="HR86" s="242">
        <f>+HR84-HK84</f>
        <v>2103</v>
      </c>
      <c r="HT86" s="241" t="s">
        <v>261</v>
      </c>
      <c r="HU86" s="242">
        <f>+HU84-HQ84</f>
        <v>202</v>
      </c>
      <c r="HV86" s="242">
        <f>+HV84-HU84</f>
        <v>8</v>
      </c>
      <c r="HW86" s="242">
        <f>+HW84-HV84</f>
        <v>-475</v>
      </c>
      <c r="HX86" s="242">
        <f>+HX84-HW84</f>
        <v>-1183</v>
      </c>
      <c r="HY86" s="242">
        <f>+HY84-HR84</f>
        <v>-1448</v>
      </c>
      <c r="IA86" s="241" t="s">
        <v>261</v>
      </c>
      <c r="IB86" s="242">
        <f>+IB84-HX84</f>
        <v>141</v>
      </c>
      <c r="IC86" s="242">
        <f>+IC84-IB84</f>
        <v>446</v>
      </c>
      <c r="ID86" s="242">
        <f>+ID84-IC84</f>
        <v>-148</v>
      </c>
      <c r="IE86" s="242">
        <f>+IE84-ID84</f>
        <v>187</v>
      </c>
      <c r="IF86" s="242">
        <f>+IF84-HY84</f>
        <v>626</v>
      </c>
      <c r="IH86" s="241" t="s">
        <v>261</v>
      </c>
      <c r="II86" s="242">
        <f>+II84-IE84</f>
        <v>-373</v>
      </c>
      <c r="IJ86" s="242">
        <f>+IJ84-II84</f>
        <v>397</v>
      </c>
      <c r="IK86" s="242">
        <f>+IK84-IJ84</f>
        <v>356</v>
      </c>
      <c r="IL86" s="242">
        <f>+IL84-IK84</f>
        <v>494</v>
      </c>
      <c r="IM86" s="242">
        <f>+IM84-IF84</f>
        <v>874</v>
      </c>
      <c r="IO86" s="241" t="s">
        <v>261</v>
      </c>
      <c r="IP86" s="242">
        <f>+IP84-IL84</f>
        <v>164</v>
      </c>
      <c r="IQ86" s="242">
        <f>+IQ84-IP84</f>
        <v>-566</v>
      </c>
      <c r="IR86" s="242">
        <f>+IR84-IQ84</f>
        <v>-1466</v>
      </c>
      <c r="IS86" s="242">
        <f>+IS84-IR84</f>
        <v>-995</v>
      </c>
      <c r="IT86" s="242">
        <f>+IT84-IM84</f>
        <v>-2863</v>
      </c>
      <c r="IV86" s="241" t="s">
        <v>261</v>
      </c>
      <c r="IW86" s="242">
        <f>+IW84-IS84</f>
        <v>-1370</v>
      </c>
      <c r="IX86" s="242">
        <f>+IX84-IW84</f>
        <v>-344</v>
      </c>
      <c r="IY86" s="242">
        <f>+IY84-IX84</f>
        <v>-626</v>
      </c>
      <c r="IZ86" s="242">
        <f>+IZ84-IY84</f>
        <v>204</v>
      </c>
      <c r="JA86" s="242">
        <f>+JA84-IT84</f>
        <v>-2136</v>
      </c>
      <c r="JC86" s="241" t="s">
        <v>261</v>
      </c>
      <c r="JD86" s="242">
        <f>+JD84-IZ84</f>
        <v>-1261</v>
      </c>
      <c r="JE86" s="242">
        <f>+JE84-JD84</f>
        <v>-515</v>
      </c>
      <c r="JF86" s="242">
        <f>+JF84-JE84</f>
        <v>-1124</v>
      </c>
      <c r="JG86" s="242">
        <f>+JG84-JF84</f>
        <v>-382</v>
      </c>
      <c r="JH86" s="242">
        <f>+JH84-JA84</f>
        <v>-3282</v>
      </c>
      <c r="JJ86" s="241" t="s">
        <v>261</v>
      </c>
      <c r="JK86" s="242">
        <f>+JK84-JG84</f>
        <v>-987</v>
      </c>
      <c r="JL86" s="242">
        <f>+JL84-JK84</f>
        <v>-209</v>
      </c>
      <c r="JM86" s="242">
        <f>+JM84-JL84</f>
        <v>-248</v>
      </c>
      <c r="JN86" s="242">
        <f>+JN84-JM84</f>
        <v>-87</v>
      </c>
      <c r="JO86" s="242">
        <f>+JO84-JH84</f>
        <v>-1531</v>
      </c>
      <c r="JQ86" s="241" t="s">
        <v>261</v>
      </c>
      <c r="JR86" s="242">
        <f>+JR84-JN84</f>
        <v>-474</v>
      </c>
      <c r="JS86" s="242">
        <f>+JS84-JR84</f>
        <v>-460</v>
      </c>
      <c r="JT86" s="242">
        <f>+JT84-JS84</f>
        <v>-383</v>
      </c>
      <c r="JU86" s="242">
        <f>+JU84-JT84</f>
        <v>-250</v>
      </c>
      <c r="JV86" s="242">
        <f>+JV84-JO84</f>
        <v>-1567</v>
      </c>
      <c r="JX86" s="241" t="s">
        <v>261</v>
      </c>
      <c r="JY86" s="242">
        <f>+JY84-JU84</f>
        <v>-453</v>
      </c>
      <c r="JZ86" s="242">
        <f>+JZ84-JY84</f>
        <v>-1599</v>
      </c>
      <c r="KA86" s="242">
        <f>+KA84-JZ84</f>
        <v>444</v>
      </c>
      <c r="KB86" s="242">
        <f>+KB84-KA84</f>
        <v>-18</v>
      </c>
      <c r="KC86" s="242">
        <f>+KC84-JV84</f>
        <v>-1626</v>
      </c>
      <c r="KE86" s="241" t="s">
        <v>261</v>
      </c>
      <c r="KF86" s="242">
        <f>+KF84-KB84</f>
        <v>-98</v>
      </c>
      <c r="KG86" s="242">
        <f>+KG84-KF84</f>
        <v>-3</v>
      </c>
      <c r="KH86" s="242">
        <f>+KH84-KG84</f>
        <v>1325</v>
      </c>
      <c r="KI86" s="242">
        <f>+KI84-KH84</f>
        <v>413</v>
      </c>
      <c r="KJ86" s="242">
        <f>+KJ84-KC84</f>
        <v>1637</v>
      </c>
      <c r="KL86" s="241" t="s">
        <v>261</v>
      </c>
      <c r="KM86" s="242">
        <f>+KM84-KI84</f>
        <v>-53</v>
      </c>
      <c r="KN86" s="242">
        <f>+KN84-KM84</f>
        <v>846</v>
      </c>
      <c r="KO86" s="242">
        <f>+KO84-KN84</f>
        <v>234</v>
      </c>
      <c r="KP86" s="242">
        <f>+KP84-KO84</f>
        <v>596</v>
      </c>
      <c r="KQ86" s="242">
        <f>+KQ84-KJ84</f>
        <v>1623</v>
      </c>
      <c r="KS86" s="241" t="s">
        <v>261</v>
      </c>
      <c r="KT86" s="242">
        <f>+KT84-KP84</f>
        <v>95</v>
      </c>
      <c r="KU86" s="242">
        <f>+KU84-KT84</f>
        <v>106</v>
      </c>
      <c r="KV86" s="242">
        <f>+KV84-KU84</f>
        <v>280</v>
      </c>
      <c r="KW86" s="242">
        <f>+KW84-KV84</f>
        <v>209</v>
      </c>
      <c r="KX86" s="242">
        <f>+KX84-KQ84</f>
        <v>690</v>
      </c>
      <c r="KZ86" s="241" t="s">
        <v>261</v>
      </c>
      <c r="LA86" s="242">
        <f>+LA84-KW84</f>
        <v>164</v>
      </c>
      <c r="LB86" s="243">
        <f>LB84-LA84</f>
        <v>-121</v>
      </c>
      <c r="LC86" s="243">
        <f>LC84-LB84</f>
        <v>80</v>
      </c>
      <c r="LD86" s="243">
        <f>LD84-LC84</f>
        <v>181</v>
      </c>
      <c r="LE86" s="242">
        <f>IFERROR(LE84-KX84-1,"NM")</f>
        <v>303</v>
      </c>
      <c r="LF86" s="587"/>
      <c r="LG86" s="241" t="s">
        <v>261</v>
      </c>
      <c r="LH86" s="242">
        <f>+LH84-LD84</f>
        <v>-158</v>
      </c>
      <c r="LI86" s="243">
        <f>LI84-LH84</f>
        <v>165</v>
      </c>
      <c r="LJ86" s="243">
        <f>LJ84-LI84</f>
        <v>-322</v>
      </c>
      <c r="LK86" s="243">
        <f>LK84-LJ84</f>
        <v>-286</v>
      </c>
      <c r="LL86" s="242">
        <f>IFERROR(LL84-LE84-1,"NM")</f>
        <v>-602</v>
      </c>
      <c r="LM86" s="587"/>
      <c r="LN86" s="241" t="s">
        <v>261</v>
      </c>
      <c r="LO86" s="511">
        <v>-45</v>
      </c>
      <c r="LP86" s="511">
        <v>-35</v>
      </c>
      <c r="LQ86" s="511">
        <v>-30</v>
      </c>
      <c r="LR86" s="511">
        <v>0</v>
      </c>
      <c r="LS86" s="242">
        <f>IFERROR(LS84-LL84-1,"NM")</f>
        <v>-111</v>
      </c>
      <c r="LT86" s="587"/>
      <c r="LU86" s="241" t="s">
        <v>261</v>
      </c>
      <c r="LV86" s="511">
        <v>25</v>
      </c>
      <c r="LW86" s="511">
        <v>25</v>
      </c>
      <c r="LX86" s="511">
        <v>25</v>
      </c>
      <c r="LY86" s="511">
        <v>25</v>
      </c>
      <c r="LZ86" s="242">
        <f>IFERROR(LZ84-LS84-1,"NM")</f>
        <v>99</v>
      </c>
      <c r="MA86" s="587"/>
      <c r="MB86" s="241" t="s">
        <v>261</v>
      </c>
      <c r="MC86" s="511">
        <v>50</v>
      </c>
      <c r="MD86" s="511">
        <v>50</v>
      </c>
      <c r="ME86" s="511">
        <v>50</v>
      </c>
      <c r="MF86" s="511">
        <v>50</v>
      </c>
      <c r="MG86" s="242">
        <f>IFERROR(MG84-LZ84-1,"NM")</f>
        <v>199</v>
      </c>
      <c r="MH86" s="587"/>
    </row>
    <row r="87" spans="1:346" s="37" customFormat="1" ht="13.15" x14ac:dyDescent="0.4">
      <c r="A87" s="100"/>
      <c r="B87" s="244"/>
      <c r="C87" s="245"/>
      <c r="D87" s="245"/>
      <c r="E87" s="245"/>
      <c r="F87" s="245"/>
      <c r="G87" s="245"/>
      <c r="H87" s="245"/>
      <c r="I87" s="245"/>
      <c r="J87" s="245"/>
      <c r="K87" s="245"/>
      <c r="L87" s="245"/>
      <c r="M87" s="245"/>
      <c r="N87" s="245"/>
      <c r="O87" s="245"/>
      <c r="P87" s="245"/>
      <c r="Q87" s="245"/>
      <c r="R87" s="245"/>
      <c r="S87" s="245"/>
      <c r="T87" s="245"/>
      <c r="U87" s="245"/>
      <c r="V87" s="245"/>
      <c r="W87" s="245"/>
      <c r="X87" s="245"/>
      <c r="Y87" s="245"/>
      <c r="Z87" s="245"/>
      <c r="AA87" s="245"/>
      <c r="AB87" s="245"/>
      <c r="AC87" s="245"/>
      <c r="AD87" s="245"/>
      <c r="AE87" s="245"/>
      <c r="AF87" s="245"/>
      <c r="AG87" s="245"/>
      <c r="AH87" s="245"/>
      <c r="AI87" s="245"/>
      <c r="AJ87" s="245"/>
      <c r="AK87" s="245"/>
      <c r="AL87" s="245"/>
      <c r="AM87" s="245"/>
      <c r="AN87" s="245"/>
      <c r="AO87" s="245"/>
      <c r="AP87" s="245"/>
      <c r="AQ87" s="245"/>
      <c r="AR87" s="245"/>
      <c r="AS87" s="245"/>
      <c r="AT87" s="245"/>
      <c r="AU87" s="245"/>
      <c r="AV87" s="245"/>
      <c r="AW87" s="245"/>
      <c r="AX87" s="245"/>
      <c r="AY87" s="245"/>
      <c r="AZ87" s="245"/>
      <c r="BA87" s="245"/>
      <c r="BB87" s="245"/>
      <c r="BC87" s="245"/>
      <c r="BD87" s="245"/>
      <c r="BE87" s="245"/>
      <c r="BF87" s="245"/>
      <c r="BG87" s="245"/>
      <c r="BH87" s="245"/>
      <c r="BI87" s="245"/>
      <c r="BJ87" s="245"/>
      <c r="BK87" s="245"/>
      <c r="BL87" s="245"/>
      <c r="BM87" s="245"/>
      <c r="BO87" s="244"/>
      <c r="BP87" s="104"/>
      <c r="BQ87" s="104"/>
      <c r="BR87" s="104"/>
      <c r="BS87" s="104"/>
      <c r="BT87" s="104"/>
      <c r="BV87" s="244"/>
      <c r="BW87" s="104"/>
      <c r="BX87" s="104"/>
      <c r="BY87" s="104"/>
      <c r="BZ87" s="104"/>
      <c r="CA87" s="104"/>
      <c r="CC87" s="244"/>
      <c r="CD87" s="104"/>
      <c r="CE87" s="104"/>
      <c r="CF87" s="104"/>
      <c r="CG87" s="104"/>
      <c r="CH87" s="104"/>
      <c r="CJ87" s="244"/>
      <c r="CK87" s="104"/>
      <c r="CL87" s="104"/>
      <c r="CM87" s="104"/>
      <c r="CN87" s="104"/>
      <c r="CO87" s="104"/>
      <c r="CQ87" s="244"/>
      <c r="CR87" s="104"/>
      <c r="CS87" s="104"/>
      <c r="CT87" s="104"/>
      <c r="CU87" s="104"/>
      <c r="CV87" s="104"/>
      <c r="CX87" s="244"/>
      <c r="CY87" s="104"/>
      <c r="CZ87" s="104"/>
      <c r="DA87" s="104"/>
      <c r="DB87" s="104"/>
      <c r="DC87" s="104"/>
      <c r="DE87" s="244"/>
      <c r="DF87" s="104"/>
      <c r="DG87" s="104"/>
      <c r="DH87" s="104"/>
      <c r="DI87" s="104"/>
      <c r="DJ87" s="104"/>
      <c r="DL87" s="244"/>
      <c r="DM87" s="104"/>
      <c r="DN87" s="104"/>
      <c r="DO87" s="104"/>
      <c r="DP87" s="104"/>
      <c r="DQ87" s="104"/>
      <c r="DS87" s="244"/>
      <c r="DT87" s="104"/>
      <c r="DU87" s="104"/>
      <c r="DV87" s="104"/>
      <c r="DW87" s="104"/>
      <c r="DX87" s="104"/>
      <c r="DZ87" s="244"/>
      <c r="EA87" s="104"/>
      <c r="EB87" s="104"/>
      <c r="EC87" s="104"/>
      <c r="ED87" s="104"/>
      <c r="EE87" s="104"/>
      <c r="EG87" s="244"/>
      <c r="EH87" s="104"/>
      <c r="EI87" s="104"/>
      <c r="EJ87" s="104"/>
      <c r="EK87" s="104"/>
      <c r="EL87" s="104"/>
      <c r="EN87" s="244"/>
      <c r="EO87" s="104"/>
      <c r="EP87" s="104"/>
      <c r="EQ87" s="104"/>
      <c r="ER87" s="104"/>
      <c r="ES87" s="104"/>
      <c r="EU87" s="244"/>
      <c r="EV87" s="104"/>
      <c r="EW87" s="104"/>
      <c r="EX87" s="104"/>
      <c r="EY87" s="104"/>
      <c r="EZ87" s="104"/>
      <c r="FB87" s="244"/>
      <c r="FC87" s="104"/>
      <c r="FD87" s="104"/>
      <c r="FE87" s="104"/>
      <c r="FF87" s="104"/>
      <c r="FG87" s="104"/>
      <c r="FI87" s="244"/>
      <c r="FJ87" s="104"/>
      <c r="FK87" s="104"/>
      <c r="FL87" s="104"/>
      <c r="FM87" s="104"/>
      <c r="FN87" s="104"/>
      <c r="FP87" s="244"/>
      <c r="FQ87" s="104"/>
      <c r="FR87" s="104"/>
      <c r="FS87" s="104"/>
      <c r="FT87" s="104"/>
      <c r="FU87" s="104"/>
      <c r="FW87" s="244"/>
      <c r="FX87" s="104"/>
      <c r="FY87" s="104"/>
      <c r="FZ87" s="104"/>
      <c r="GA87" s="104"/>
      <c r="GB87" s="104"/>
      <c r="GD87" s="244"/>
      <c r="GE87" s="104"/>
      <c r="GF87" s="104"/>
      <c r="GG87" s="104"/>
      <c r="GH87" s="104"/>
      <c r="GI87" s="104"/>
      <c r="GK87" s="244"/>
      <c r="GL87" s="104"/>
      <c r="GM87" s="104"/>
      <c r="GN87" s="104"/>
      <c r="GO87" s="104"/>
      <c r="GP87" s="104"/>
      <c r="GR87" s="244"/>
      <c r="GS87" s="104"/>
      <c r="GT87" s="104"/>
      <c r="GU87" s="104"/>
      <c r="GV87" s="104"/>
      <c r="GW87" s="104"/>
      <c r="GY87" s="244"/>
      <c r="GZ87" s="104"/>
      <c r="HA87" s="104"/>
      <c r="HB87" s="104"/>
      <c r="HC87" s="104"/>
      <c r="HD87" s="104"/>
      <c r="HF87" s="244"/>
      <c r="HG87" s="104"/>
      <c r="HH87" s="104"/>
      <c r="HI87" s="104"/>
      <c r="HJ87" s="104"/>
      <c r="HK87" s="104"/>
      <c r="HM87" s="244"/>
      <c r="HN87" s="104"/>
      <c r="HO87" s="104"/>
      <c r="HP87" s="104"/>
      <c r="HQ87" s="104"/>
      <c r="HR87" s="104"/>
      <c r="HT87" s="244"/>
      <c r="HU87" s="104"/>
      <c r="HV87" s="104"/>
      <c r="HW87" s="104"/>
      <c r="HX87" s="104"/>
      <c r="HY87" s="104"/>
      <c r="IA87" s="244"/>
      <c r="IB87" s="104"/>
      <c r="IC87" s="104"/>
      <c r="ID87" s="104"/>
      <c r="IE87" s="104"/>
      <c r="IF87" s="104"/>
      <c r="IH87" s="244"/>
      <c r="II87" s="104"/>
      <c r="IJ87" s="104"/>
      <c r="IK87" s="104"/>
      <c r="IL87" s="104"/>
      <c r="IM87" s="104"/>
      <c r="IO87" s="244"/>
      <c r="IP87" s="104"/>
      <c r="IQ87" s="104"/>
      <c r="IR87" s="104"/>
      <c r="IS87" s="104"/>
      <c r="IT87" s="104"/>
      <c r="IV87" s="244"/>
      <c r="IW87" s="104"/>
      <c r="IX87" s="104"/>
      <c r="IY87" s="104"/>
      <c r="IZ87" s="104"/>
      <c r="JA87" s="104"/>
      <c r="JC87" s="244"/>
      <c r="JD87" s="104"/>
      <c r="JE87" s="104"/>
      <c r="JF87" s="104"/>
      <c r="JG87" s="104"/>
      <c r="JH87" s="104"/>
      <c r="JJ87" s="244"/>
      <c r="JK87" s="104"/>
      <c r="JL87" s="104"/>
      <c r="JM87" s="104"/>
      <c r="JN87" s="104"/>
      <c r="JO87" s="104"/>
      <c r="JQ87" s="244"/>
      <c r="JR87" s="104"/>
      <c r="JS87" s="104"/>
      <c r="JT87" s="104"/>
      <c r="JU87" s="104"/>
      <c r="JV87" s="104"/>
      <c r="JX87" s="244"/>
      <c r="JY87" s="104"/>
      <c r="JZ87" s="104"/>
      <c r="KA87" s="104"/>
      <c r="KB87" s="104"/>
      <c r="KC87" s="104"/>
      <c r="KE87" s="244"/>
      <c r="KF87" s="104"/>
      <c r="KG87" s="104"/>
      <c r="KH87" s="104"/>
      <c r="KI87" s="104"/>
      <c r="KJ87" s="104"/>
      <c r="KL87" s="244"/>
      <c r="KM87" s="104"/>
      <c r="KN87" s="104"/>
      <c r="KO87" s="104"/>
      <c r="KP87" s="104"/>
      <c r="KQ87" s="104"/>
      <c r="KS87" s="244"/>
      <c r="KT87" s="104"/>
      <c r="KU87" s="104"/>
      <c r="KV87" s="245"/>
      <c r="KW87" s="105"/>
      <c r="KX87" s="104"/>
      <c r="KZ87" s="244"/>
      <c r="LA87" s="104"/>
      <c r="LB87" s="102"/>
      <c r="LC87" s="300"/>
      <c r="LD87" s="102"/>
      <c r="LE87" s="102"/>
      <c r="LF87" s="555"/>
      <c r="LG87" s="244"/>
      <c r="LH87" s="102"/>
      <c r="LI87" s="102"/>
      <c r="LJ87" s="736"/>
      <c r="LK87" s="648"/>
      <c r="LL87" s="102"/>
      <c r="LM87" s="555"/>
      <c r="LN87" s="244"/>
      <c r="LO87" s="102"/>
      <c r="LP87" s="102"/>
      <c r="LQ87" s="102"/>
      <c r="LR87" s="102"/>
      <c r="LS87" s="102"/>
      <c r="LT87" s="555"/>
      <c r="LU87" s="244"/>
      <c r="LV87" s="102"/>
      <c r="LW87" s="102"/>
      <c r="LX87" s="102"/>
      <c r="LY87" s="102"/>
      <c r="LZ87" s="102"/>
      <c r="MA87" s="555"/>
      <c r="MB87" s="244"/>
      <c r="MC87" s="102"/>
      <c r="MD87" s="102"/>
      <c r="ME87" s="102"/>
      <c r="MF87" s="102"/>
      <c r="MG87" s="102"/>
      <c r="MH87" s="555"/>
    </row>
    <row r="88" spans="1:346" s="37" customFormat="1" ht="13.15" x14ac:dyDescent="0.4">
      <c r="A88" s="100"/>
      <c r="B88" s="246" t="s">
        <v>467</v>
      </c>
      <c r="C88" s="247"/>
      <c r="D88" s="247"/>
      <c r="E88" s="247">
        <f>CSX!E27/E80*1000000</f>
        <v>28920.881462375237</v>
      </c>
      <c r="F88" s="247">
        <f>CSX!F27/F80*1000000</f>
        <v>32887.151093098924</v>
      </c>
      <c r="G88" s="247">
        <f>CSX!G27/G80*1000000</f>
        <v>38222.450552273309</v>
      </c>
      <c r="H88" s="247">
        <f>CSX!H27/H80*1000000</f>
        <v>42430.293089923696</v>
      </c>
      <c r="I88" s="247">
        <f>CSX!I27/I80*1000000</f>
        <v>47783.371989968131</v>
      </c>
      <c r="J88" s="247">
        <f>CSX!J27/J80*1000000</f>
        <v>45072.032478666166</v>
      </c>
      <c r="K88" s="247">
        <f>CSX!K27/K80*1000000</f>
        <v>44581.123196631648</v>
      </c>
      <c r="L88" s="247">
        <f>CSX!L27/L80*1000000</f>
        <v>61027.560074372188</v>
      </c>
      <c r="M88" s="247">
        <f>CSX!M27/M80*1000000</f>
        <v>68960.302457466911</v>
      </c>
      <c r="N88" s="247">
        <f>BT88</f>
        <v>73011.734028683175</v>
      </c>
      <c r="O88" s="247">
        <f>CA88</f>
        <v>77714.000844717404</v>
      </c>
      <c r="P88" s="247">
        <f>CH88</f>
        <v>65089.569653847029</v>
      </c>
      <c r="Q88" s="247">
        <f>CO88</f>
        <v>62038.060227783855</v>
      </c>
      <c r="R88" s="247">
        <f>CV88</f>
        <v>65249.479887027977</v>
      </c>
      <c r="S88" s="247">
        <f>DC88</f>
        <v>66775.64080269885</v>
      </c>
      <c r="T88" s="247">
        <f>DJ88</f>
        <v>69321.164781821673</v>
      </c>
      <c r="U88" s="247">
        <f>DQ88</f>
        <v>71911.497188364752</v>
      </c>
      <c r="V88" s="247">
        <f>DX88</f>
        <v>73424.526611313544</v>
      </c>
      <c r="W88" s="247">
        <f>EE88</f>
        <v>76155.706891159629</v>
      </c>
      <c r="X88" s="247">
        <f>EL88</f>
        <v>93025.873348621913</v>
      </c>
      <c r="Y88" s="247">
        <f>ES88</f>
        <v>73254.058969517471</v>
      </c>
      <c r="Z88" s="247">
        <f>EZ88</f>
        <v>75201.57022725961</v>
      </c>
      <c r="AA88" s="247">
        <f>FG88</f>
        <v>81088.46970748427</v>
      </c>
      <c r="AB88" s="247">
        <f>FN88</f>
        <v>75145.293768630843</v>
      </c>
      <c r="AC88" s="247">
        <f>FU88</f>
        <v>83217.125843289483</v>
      </c>
      <c r="AD88" s="247">
        <f>GB88</f>
        <v>86522.41229560817</v>
      </c>
      <c r="AE88" s="247">
        <f>GI88</f>
        <v>85907.697735441339</v>
      </c>
      <c r="AF88" s="247">
        <f>GP88</f>
        <v>89253.555122140766</v>
      </c>
      <c r="AG88" s="247">
        <f>GW88</f>
        <v>88418.123471196785</v>
      </c>
      <c r="AH88" s="247">
        <f>HD88</f>
        <v>87376.301380106859</v>
      </c>
      <c r="AI88" s="247">
        <f>HK88</f>
        <v>98434.600244671732</v>
      </c>
      <c r="AJ88" s="247">
        <f>HR88</f>
        <v>98040.310423761941</v>
      </c>
      <c r="AK88" s="247">
        <f>HY88</f>
        <v>94020.952351302127</v>
      </c>
      <c r="AL88" s="247">
        <f>IF88</f>
        <v>100400.73908765867</v>
      </c>
      <c r="AM88" s="247">
        <f>IM88</f>
        <v>106980.50148100042</v>
      </c>
      <c r="AN88" s="247">
        <f>IT88</f>
        <v>105120.21726974998</v>
      </c>
      <c r="AO88" s="247">
        <f>JA88</f>
        <v>114150.46614150466</v>
      </c>
      <c r="AP88" s="247">
        <f>JH88</f>
        <v>116765.75505350773</v>
      </c>
      <c r="AQ88" s="247">
        <f>JO88</f>
        <v>119558.09789965504</v>
      </c>
      <c r="AR88" s="247">
        <f>JV88</f>
        <v>121330.17949074719</v>
      </c>
      <c r="AS88" s="247">
        <f>KC88</f>
        <v>115894.03973509933</v>
      </c>
      <c r="AT88" s="247">
        <f>KJ88</f>
        <v>128211.57423701543</v>
      </c>
      <c r="AU88" s="247">
        <f>KQ88</f>
        <v>132227.20340158063</v>
      </c>
      <c r="AV88" s="247">
        <f>KX88</f>
        <v>133595.9728605822</v>
      </c>
      <c r="AW88" s="247">
        <f>LE88</f>
        <v>135438.73162590666</v>
      </c>
      <c r="AX88" s="247">
        <f>LL88</f>
        <v>137735.66684193019</v>
      </c>
      <c r="AY88" s="247">
        <f>LS88</f>
        <v>139124.25330252506</v>
      </c>
      <c r="AZ88" s="247">
        <f>LZ88</f>
        <v>143470.80732450783</v>
      </c>
      <c r="BA88" s="247">
        <f>MG88</f>
        <v>147416.12944842366</v>
      </c>
      <c r="BB88" s="247"/>
      <c r="BC88" s="247"/>
      <c r="BD88" s="247"/>
      <c r="BE88" s="247"/>
      <c r="BF88" s="247"/>
      <c r="BG88" s="247"/>
      <c r="BH88" s="247"/>
      <c r="BI88" s="247"/>
      <c r="BJ88" s="247"/>
      <c r="BK88" s="247"/>
      <c r="BL88" s="247"/>
      <c r="BM88" s="247"/>
      <c r="BO88" s="246" t="s">
        <v>467</v>
      </c>
      <c r="BP88" s="247">
        <f>CSX!BR27/BP80*1000000</f>
        <v>18148.771817282763</v>
      </c>
      <c r="BQ88" s="247">
        <f>CSX!BS27/BQ80*1000000</f>
        <v>17735.829487113002</v>
      </c>
      <c r="BR88" s="247">
        <f>CSX!BT27/BR80*1000000</f>
        <v>17973.423685743022</v>
      </c>
      <c r="BS88" s="247">
        <f>CSX!BU27/BS80*1000000</f>
        <v>19174.120293503292</v>
      </c>
      <c r="BT88" s="247">
        <f>CSX!BV27/BT80*1000000</f>
        <v>73011.734028683175</v>
      </c>
      <c r="BV88" s="246" t="s">
        <v>467</v>
      </c>
      <c r="BW88" s="247">
        <f>CSX!BY27/BW80*1000000</f>
        <v>19813.519813519812</v>
      </c>
      <c r="BX88" s="247">
        <f>CSX!BZ27/BX80*1000000</f>
        <v>19110.690633869443</v>
      </c>
      <c r="BY88" s="247">
        <f>CSX!CA27/BY80*1000000</f>
        <v>19276.780859162587</v>
      </c>
      <c r="BZ88" s="247">
        <f>CSX!CB27/BZ80*1000000</f>
        <v>19535.434402661103</v>
      </c>
      <c r="CA88" s="247">
        <f>CSX!CC27/CA80*1000000</f>
        <v>77714.000844717404</v>
      </c>
      <c r="CC88" s="246" t="s">
        <v>467</v>
      </c>
      <c r="CD88" s="247">
        <f>CSX!CF27/CD80*1000000</f>
        <v>20416.556505390559</v>
      </c>
      <c r="CE88" s="247">
        <f>CSX!CG27/CE80*1000000</f>
        <v>19958.226966813647</v>
      </c>
      <c r="CF88" s="247">
        <f>CSX!CH27/CF80*1000000</f>
        <v>20686.453709345169</v>
      </c>
      <c r="CG88" s="247">
        <f>CSX!CI27/CG80*1000000</f>
        <v>22788.122185712546</v>
      </c>
      <c r="CH88" s="247">
        <f>CSX!CJ27/CH80*1000000</f>
        <v>65089.569653847029</v>
      </c>
      <c r="CJ88" s="246" t="s">
        <v>467</v>
      </c>
      <c r="CK88" s="247">
        <f>CSX!CM27/CK80*1000000</f>
        <v>16082.68549662531</v>
      </c>
      <c r="CL88" s="247">
        <f>CSX!CN27/CL80*1000000</f>
        <v>15451.269921969981</v>
      </c>
      <c r="CM88" s="247">
        <f>CSX!CO27/CM80*1000000</f>
        <v>15013.536795471327</v>
      </c>
      <c r="CN88" s="247">
        <f>CSX!CP27/CN80*1000000</f>
        <v>15756.349741514947</v>
      </c>
      <c r="CO88" s="247">
        <f>CSX!CQ27/CO80*1000000</f>
        <v>62038.060227783855</v>
      </c>
      <c r="CQ88" s="246" t="s">
        <v>467</v>
      </c>
      <c r="CR88" s="247">
        <f>CSX!CT27/CR80*1000000</f>
        <v>16337.676162265985</v>
      </c>
      <c r="CS88" s="247">
        <f>CSX!CU27/CS80*1000000</f>
        <v>15864.916268497471</v>
      </c>
      <c r="CT88" s="247">
        <f>CSX!CV27/CT80*1000000</f>
        <v>16400.77180102593</v>
      </c>
      <c r="CU88" s="247">
        <f>CSX!CW27/CU80*1000000</f>
        <v>16836.788382616018</v>
      </c>
      <c r="CV88" s="247">
        <f>CSX!CX27/CV80*1000000</f>
        <v>65249.479887027977</v>
      </c>
      <c r="CX88" s="246" t="s">
        <v>467</v>
      </c>
      <c r="CY88" s="247">
        <f>CSX!DA27/CY80*1000000</f>
        <v>17144.616258968956</v>
      </c>
      <c r="CZ88" s="247">
        <f>CSX!DB27/CZ80*1000000</f>
        <v>16260.537104426736</v>
      </c>
      <c r="DA88" s="247">
        <f>CSX!DC27/DA80*1000000</f>
        <v>16326.156244984062</v>
      </c>
      <c r="DB88" s="247">
        <f>CSX!DD27/DB80*1000000</f>
        <v>16952.559250687693</v>
      </c>
      <c r="DC88" s="247">
        <f>CSX!DE27/DC80*1000000</f>
        <v>66775.64080269885</v>
      </c>
      <c r="DE88" s="246" t="s">
        <v>467</v>
      </c>
      <c r="DF88" s="247">
        <f>CSX!DH27/DF80*1000000</f>
        <v>17326.617228674037</v>
      </c>
      <c r="DG88" s="247">
        <f>CSX!DI27/DG80*1000000</f>
        <v>16882.399005020958</v>
      </c>
      <c r="DH88" s="247">
        <f>CSX!DJ27/DH80*1000000</f>
        <v>17245.784363822178</v>
      </c>
      <c r="DI88" s="247">
        <f>CSX!DK27/DI80*1000000</f>
        <v>17658.862876254181</v>
      </c>
      <c r="DJ88" s="247">
        <f>CSX!DL27/DJ80*1000000</f>
        <v>69321.164781821673</v>
      </c>
      <c r="DL88" s="246" t="s">
        <v>467</v>
      </c>
      <c r="DM88" s="247">
        <f>CSX!DO27/DM80*1000000</f>
        <v>18160.668502516379</v>
      </c>
      <c r="DN88" s="247">
        <f>CSX!DP27/DN80*1000000</f>
        <v>18170.188571970055</v>
      </c>
      <c r="DO88" s="247">
        <f>CSX!DQ27/DO80*1000000</f>
        <v>17865.571603889362</v>
      </c>
      <c r="DP88" s="247">
        <f>CSX!DR27/DP80*1000000</f>
        <v>17692.074781669111</v>
      </c>
      <c r="DQ88" s="247">
        <f>CSX!DS27/DQ80*1000000</f>
        <v>71911.497188364752</v>
      </c>
      <c r="DS88" s="246" t="s">
        <v>467</v>
      </c>
      <c r="DT88" s="247">
        <f>CSX!DV27/DT80*1000000</f>
        <v>18479.447071662424</v>
      </c>
      <c r="DU88" s="247">
        <f>CSX!DW27/DU80*1000000</f>
        <v>18244.206558248556</v>
      </c>
      <c r="DV88" s="247">
        <f>CSX!DX27/DV80*1000000</f>
        <v>18880.71262587142</v>
      </c>
      <c r="DW88" s="247">
        <f>CSX!DY27/DW80*1000000</f>
        <v>18702.287776632984</v>
      </c>
      <c r="DX88" s="247">
        <f>CSX!DZ27/DX80*1000000</f>
        <v>73424.526611313544</v>
      </c>
      <c r="DZ88" s="246" t="s">
        <v>467</v>
      </c>
      <c r="EA88" s="247">
        <f>CSX!EC27/EA80*1000000</f>
        <v>18156.194950088076</v>
      </c>
      <c r="EB88" s="247">
        <f>CSX!ED27/EB80*1000000</f>
        <v>16990.807476900536</v>
      </c>
      <c r="EC88" s="247">
        <f>CSX!EE27/EC80*1000000</f>
        <v>19229.780451437091</v>
      </c>
      <c r="ED88" s="247">
        <f>CSX!EF27/ED80*1000000</f>
        <v>18955.290515976787</v>
      </c>
      <c r="EE88" s="247">
        <f>CSX!EG27/EE80*1000000</f>
        <v>76155.706891159629</v>
      </c>
      <c r="EG88" s="246" t="s">
        <v>467</v>
      </c>
      <c r="EH88" s="247">
        <f>CSX!EJ27/EH80*1000000</f>
        <v>20273.539974021343</v>
      </c>
      <c r="EI88" s="247">
        <f>CSX!EK27/EI80*1000000</f>
        <v>20115.301105592851</v>
      </c>
      <c r="EJ88" s="247">
        <f>CSX!EL27/EJ80*1000000</f>
        <v>19709.660668728695</v>
      </c>
      <c r="EK88" s="247">
        <f>CSX!EM27/EK80*1000000</f>
        <v>17698.078448702727</v>
      </c>
      <c r="EL88" s="247">
        <f>CSX!EN27/EL80*1000000</f>
        <v>93025.873348621913</v>
      </c>
      <c r="EN88" s="246" t="s">
        <v>467</v>
      </c>
      <c r="EO88" s="247">
        <f>CSX!EQ27/EO80*1000000</f>
        <v>18654.897231274539</v>
      </c>
      <c r="EP88" s="247">
        <f>CSX!ER27/EP80*1000000</f>
        <v>18495.528136005472</v>
      </c>
      <c r="EQ88" s="247">
        <f>CSX!ES27/EQ80*1000000</f>
        <v>18275.055931223447</v>
      </c>
      <c r="ER88" s="247">
        <f>CSX!ET27/ER80*1000000</f>
        <v>17780.868183172741</v>
      </c>
      <c r="ES88" s="247">
        <f>CSX!EU27/ES80*1000000</f>
        <v>73254.058969517471</v>
      </c>
      <c r="EU88" s="246" t="s">
        <v>467</v>
      </c>
      <c r="EV88" s="247">
        <f>CSX!EX27/EV80*1000000</f>
        <v>19047.378139781955</v>
      </c>
      <c r="EW88" s="247">
        <f>CSX!EY27/EW80*1000000</f>
        <v>18731.80610049361</v>
      </c>
      <c r="EX88" s="247">
        <f>CSX!EZ27/EX80*1000000</f>
        <v>18216.90467001158</v>
      </c>
      <c r="EY88" s="247">
        <f>CSX!FA27/EY80*1000000</f>
        <v>19134.617274889744</v>
      </c>
      <c r="EZ88" s="247">
        <f>CSX!FB27/EZ80*1000000</f>
        <v>75201.57022725961</v>
      </c>
      <c r="FB88" s="246" t="s">
        <v>467</v>
      </c>
      <c r="FC88" s="247">
        <f>CSX!FE27/FC80*1000000</f>
        <v>19787.199391998263</v>
      </c>
      <c r="FD88" s="247">
        <f>CSX!FF27/FD80*1000000</f>
        <v>18996.39677829589</v>
      </c>
      <c r="FE88" s="247">
        <f>CSX!FG27/FE80*1000000</f>
        <v>18952.091856935462</v>
      </c>
      <c r="FF88" s="247">
        <f>CSX!FH27/FF80*1000000</f>
        <v>19509.319183717223</v>
      </c>
      <c r="FG88" s="247">
        <f>CSX!FI27/FG80*1000000</f>
        <v>81088.46970748427</v>
      </c>
      <c r="FI88" s="246" t="s">
        <v>467</v>
      </c>
      <c r="FJ88" s="247">
        <f>CSX!FL27/FJ80*1000000</f>
        <v>19231.878207715818</v>
      </c>
      <c r="FK88" s="247">
        <f>CSX!FM27/FK80*1000000</f>
        <v>18771.234428086071</v>
      </c>
      <c r="FL88" s="247">
        <f>CSX!FN27/FL80*1000000</f>
        <v>17906.374446517588</v>
      </c>
      <c r="FM88" s="247">
        <f>CSX!FO27/FM80*1000000</f>
        <v>19685.039370078739</v>
      </c>
      <c r="FN88" s="247">
        <f>CSX!FP27/FN80*1000000</f>
        <v>75145.293768630843</v>
      </c>
      <c r="FP88" s="246" t="s">
        <v>467</v>
      </c>
      <c r="FQ88" s="247">
        <f>CSX!FS27/FQ80*1000000</f>
        <v>20191.003949773036</v>
      </c>
      <c r="FR88" s="247">
        <f>CSX!FT27/FR80*1000000</f>
        <v>19578.934953116706</v>
      </c>
      <c r="FS88" s="247">
        <f>CSX!FU27/FS80*1000000</f>
        <v>20209.625926149027</v>
      </c>
      <c r="FT88" s="247">
        <f>CSX!FV27/FT80*1000000</f>
        <v>22394.383246580317</v>
      </c>
      <c r="FU88" s="247">
        <f>CSX!FW27/FU80*1000000</f>
        <v>83217.125843289483</v>
      </c>
      <c r="FW88" s="246" t="s">
        <v>467</v>
      </c>
      <c r="FX88" s="247">
        <f>CSX!FZ27/FX80*1000000</f>
        <v>21731.054977711738</v>
      </c>
      <c r="FY88" s="247">
        <f>CSX!GA27/FY80*1000000</f>
        <v>21341.555575708113</v>
      </c>
      <c r="FZ88" s="247">
        <f>CSX!GB27/FZ80*1000000</f>
        <v>21687.756139878547</v>
      </c>
      <c r="GA88" s="247">
        <f>CSX!GC27/GA80*1000000</f>
        <v>21761.781429549581</v>
      </c>
      <c r="GB88" s="247">
        <f>CSX!GD27/GB80*1000000</f>
        <v>86522.41229560817</v>
      </c>
      <c r="GD88" s="246" t="s">
        <v>467</v>
      </c>
      <c r="GE88" s="247">
        <f>CSX!GG27/GE80*1000000</f>
        <v>21336.661614810851</v>
      </c>
      <c r="GF88" s="247">
        <f>CSX!GH27/GF80*1000000</f>
        <v>20931.526098539183</v>
      </c>
      <c r="GG88" s="247">
        <f>CSX!GI27/GG80*1000000</f>
        <v>21549.452479943782</v>
      </c>
      <c r="GH88" s="247">
        <f>CSX!GJ27/GH80*1000000</f>
        <v>22089.236997271848</v>
      </c>
      <c r="GI88" s="247">
        <f>CSX!GK27/GI80*1000000</f>
        <v>85907.697735441339</v>
      </c>
      <c r="GK88" s="246" t="s">
        <v>467</v>
      </c>
      <c r="GL88" s="247">
        <f>CSX!GN27/GL80*1000000</f>
        <v>21820.560080860931</v>
      </c>
      <c r="GM88" s="247">
        <f>CSX!GO27/GM80*1000000</f>
        <v>22088.114632261135</v>
      </c>
      <c r="GN88" s="247">
        <f>CSX!GP27/GN80*1000000</f>
        <v>22236.095008769582</v>
      </c>
      <c r="GO88" s="247">
        <f>CSX!GQ27/GO80*1000000</f>
        <v>23126.481492736886</v>
      </c>
      <c r="GP88" s="247">
        <f>CSX!GR27/GP80*1000000</f>
        <v>89253.555122140766</v>
      </c>
      <c r="GR88" s="246" t="s">
        <v>467</v>
      </c>
      <c r="GS88" s="247">
        <f>CSX!GU27/GS80*1000000</f>
        <v>22034.900916888495</v>
      </c>
      <c r="GT88" s="247">
        <f>CSX!GV27/GT80*1000000</f>
        <v>22157.064264554745</v>
      </c>
      <c r="GU88" s="247">
        <f>CSX!GW27/GU80*1000000</f>
        <v>22555.941127198756</v>
      </c>
      <c r="GV88" s="247">
        <f>CSX!GX27/GV80*1000000</f>
        <v>21670.71306537182</v>
      </c>
      <c r="GW88" s="247">
        <f>CSX!GY27/GW80*1000000</f>
        <v>88418.123471196785</v>
      </c>
      <c r="GY88" s="246" t="s">
        <v>467</v>
      </c>
      <c r="GZ88" s="247">
        <f>CSX!HB27/GZ80*1000000</f>
        <v>21234.963913392141</v>
      </c>
      <c r="HA88" s="247">
        <f>CSX!HC27/HA80*1000000</f>
        <v>21889.015329004618</v>
      </c>
      <c r="HB88" s="247">
        <f>CSX!HD27/HB80*1000000</f>
        <v>21851.889033898871</v>
      </c>
      <c r="HC88" s="247">
        <f>CSX!HE27/HC80*1000000</f>
        <v>22436.006390862429</v>
      </c>
      <c r="HD88" s="247">
        <f>CSX!HF27/HD80*1000000</f>
        <v>87376.301380106859</v>
      </c>
      <c r="HF88" s="246" t="s">
        <v>467</v>
      </c>
      <c r="HG88" s="247">
        <f>CSX!HI27/HG80*1000000</f>
        <v>24872.057318321393</v>
      </c>
      <c r="HH88" s="247">
        <f>CSX!HJ27/HH80*1000000</f>
        <v>23834.710743801654</v>
      </c>
      <c r="HI88" s="247">
        <f>CSX!HK27/HI80*1000000</f>
        <v>24069.805729338161</v>
      </c>
      <c r="HJ88" s="247">
        <f>CSX!HL27/HJ80*1000000</f>
        <v>25669.015249247463</v>
      </c>
      <c r="HK88" s="247">
        <f>CSX!HM27/HK80*1000000</f>
        <v>98434.600244671732</v>
      </c>
      <c r="HM88" s="246" t="s">
        <v>467</v>
      </c>
      <c r="HN88" s="247">
        <f>CSX!HP27/HN80*1000000</f>
        <v>25128.104059913283</v>
      </c>
      <c r="HO88" s="247">
        <f>CSX!HQ27/HO80*1000000</f>
        <v>24542.24221008673</v>
      </c>
      <c r="HP88" s="247">
        <f>CSX!HR27/HP80*1000000</f>
        <v>24159.929257200605</v>
      </c>
      <c r="HQ88" s="247">
        <f>CSX!HS27/HQ80*1000000</f>
        <v>24238.464171256106</v>
      </c>
      <c r="HR88" s="247">
        <f>CSX!HT27/HR80*1000000</f>
        <v>98040.310423761941</v>
      </c>
      <c r="HT88" s="246" t="s">
        <v>467</v>
      </c>
      <c r="HU88" s="247">
        <f>CSX!HW27/HU80*1000000</f>
        <v>23770.567715247122</v>
      </c>
      <c r="HV88" s="247">
        <f>CSX!HX27/HV80*1000000</f>
        <v>22947.381407686138</v>
      </c>
      <c r="HW88" s="247">
        <f>CSX!HY27/HW80*1000000</f>
        <v>23413.240591230904</v>
      </c>
      <c r="HX88" s="247">
        <f>CSX!HZ27/HX80*1000000</f>
        <v>23901.090169405332</v>
      </c>
      <c r="HY88" s="247">
        <f>CSX!IA27/HY80*1000000</f>
        <v>94020.952351302127</v>
      </c>
      <c r="IA88" s="246" t="s">
        <v>467</v>
      </c>
      <c r="IB88" s="247">
        <f>CSX!ID27/IB80*1000000</f>
        <v>24733.956788132858</v>
      </c>
      <c r="IC88" s="247">
        <f>CSX!IE27/IC80*1000000</f>
        <v>24831.421175417854</v>
      </c>
      <c r="ID88" s="247">
        <f>CSX!IF27/ID80*1000000</f>
        <v>25299.85606908684</v>
      </c>
      <c r="IE88" s="247">
        <f>CSX!IG27/IE80*1000000</f>
        <v>25530.156105935843</v>
      </c>
      <c r="IF88" s="247">
        <f>CSX!IH27/IF80*1000000</f>
        <v>100400.73908765867</v>
      </c>
      <c r="IH88" s="246" t="s">
        <v>467</v>
      </c>
      <c r="II88" s="247">
        <f>CSX!IK27/II80*1000000</f>
        <v>26110.665597433839</v>
      </c>
      <c r="IJ88" s="247">
        <f>CSX!IL27/IJ80*1000000</f>
        <v>25780.752071383045</v>
      </c>
      <c r="IK88" s="247">
        <f>CSX!IM27/IK80*1000000</f>
        <v>26748.971193415637</v>
      </c>
      <c r="IL88" s="247">
        <f>CSX!IN27/IL80*1000000</f>
        <v>28299.243485570187</v>
      </c>
      <c r="IM88" s="247">
        <f>CSX!IO27/IM80*1000000</f>
        <v>106980.50148100042</v>
      </c>
      <c r="IO88" s="246" t="s">
        <v>467</v>
      </c>
      <c r="IP88" s="247">
        <f>CSX!IR27/IP80*1000000</f>
        <v>27184.165764651309</v>
      </c>
      <c r="IQ88" s="247">
        <f>CSX!IS27/IQ80*1000000</f>
        <v>25628.281196607746</v>
      </c>
      <c r="IR88" s="247">
        <f>CSX!IT27/IR80*1000000</f>
        <v>25478.325617533748</v>
      </c>
      <c r="IS88" s="247">
        <f>CSX!IU27/IS80*1000000</f>
        <v>26834.592779177161</v>
      </c>
      <c r="IT88" s="247">
        <f>CSX!IV27/IT80*1000000</f>
        <v>105120.21726974998</v>
      </c>
      <c r="IV88" s="246" t="s">
        <v>467</v>
      </c>
      <c r="IW88" s="247">
        <f>CSX!IY27/IW80*1000000</f>
        <v>28122.239886945772</v>
      </c>
      <c r="IX88" s="247">
        <f>CSX!IZ27/IX80*1000000</f>
        <v>26811.282932416951</v>
      </c>
      <c r="IY88" s="247">
        <f>CSX!JA27/IY80*1000000</f>
        <v>27937.671860678274</v>
      </c>
      <c r="IZ88" s="247">
        <f>CSX!JB27/IZ80*1000000</f>
        <v>31348.8851276768</v>
      </c>
      <c r="JA88" s="247">
        <f>CSX!JC27/JA80*1000000</f>
        <v>114150.46614150466</v>
      </c>
      <c r="JC88" s="246" t="s">
        <v>467</v>
      </c>
      <c r="JD88" s="247">
        <f>CSX!JF27/JD80*1000000</f>
        <v>29995.472381527314</v>
      </c>
      <c r="JE88" s="247">
        <f>CSX!JG27/JE80*1000000</f>
        <v>29125.460539073105</v>
      </c>
      <c r="JF88" s="247">
        <f>CSX!JH27/JF80*1000000</f>
        <v>29461.96358907672</v>
      </c>
      <c r="JG88" s="247">
        <f>CSX!JI27/JG80*1000000</f>
        <v>28095.733610822062</v>
      </c>
      <c r="JH88" s="247">
        <f>CSX!JJ27/JH80*1000000</f>
        <v>116765.75505350773</v>
      </c>
      <c r="JJ88" s="246" t="s">
        <v>467</v>
      </c>
      <c r="JK88" s="247">
        <f>CSX!JM27/JK80*1000000</f>
        <v>29639.724043948554</v>
      </c>
      <c r="JL88" s="247">
        <f>CSX!JN27/JL80*1000000</f>
        <v>29160.491674657835</v>
      </c>
      <c r="JM88" s="247">
        <f>CSX!JO27/JM80*1000000</f>
        <v>30622.136059217482</v>
      </c>
      <c r="JN88" s="247">
        <f>CSX!JP27/JN80*1000000</f>
        <v>30154.776730119196</v>
      </c>
      <c r="JO88" s="247">
        <f>CSX!JQ27/JO80*1000000</f>
        <v>119558.09789965504</v>
      </c>
      <c r="JQ88" s="246" t="s">
        <v>467</v>
      </c>
      <c r="JR88" s="247">
        <f>CSX!JT27/JR80*1000000</f>
        <v>30278.453636117869</v>
      </c>
      <c r="JS88" s="247">
        <f>CSX!JU27/JS80*1000000</f>
        <v>29716.591763734752</v>
      </c>
      <c r="JT88" s="247">
        <f>CSX!JV27/JT80*1000000</f>
        <v>29909.521353898082</v>
      </c>
      <c r="JU88" s="247">
        <f>CSX!JW27/JU80*1000000</f>
        <v>31465.187452180569</v>
      </c>
      <c r="JV88" s="247">
        <f>CSX!JX27/JV80*1000000</f>
        <v>121330.17949074719</v>
      </c>
      <c r="JX88" s="246" t="s">
        <v>467</v>
      </c>
      <c r="JY88" s="247">
        <f>CSX!KA27/JY80*1000000</f>
        <v>29378.969312066707</v>
      </c>
      <c r="JZ88" s="247">
        <f>CSX!KB27/JZ80*1000000</f>
        <v>26216.453798024715</v>
      </c>
      <c r="KA88" s="247">
        <f>CSX!KC27/KA80*1000000</f>
        <v>29720.913374411019</v>
      </c>
      <c r="KB88" s="247">
        <f>CSX!KD27/KB80*1000000</f>
        <v>30561.330561330564</v>
      </c>
      <c r="KC88" s="247">
        <f>CSX!KE27/KC80*1000000</f>
        <v>115894.03973509933</v>
      </c>
      <c r="KE88" s="246" t="s">
        <v>467</v>
      </c>
      <c r="KF88" s="247">
        <f>CSX!KH27/KF80*1000000</f>
        <v>32291.666666666672</v>
      </c>
      <c r="KG88" s="247">
        <f>CSX!KI27/KG80*1000000</f>
        <v>31129.217591141754</v>
      </c>
      <c r="KH88" s="247">
        <f>CSX!KJ27/KH80*1000000</f>
        <v>30797.013031382692</v>
      </c>
      <c r="KI88" s="247">
        <f>CSX!KK27/KI80*1000000</f>
        <v>33930.208986920217</v>
      </c>
      <c r="KJ88" s="247">
        <f>CSX!KL27/KJ80*1000000</f>
        <v>128211.57423701543</v>
      </c>
      <c r="KL88" s="246" t="s">
        <v>467</v>
      </c>
      <c r="KM88" s="247">
        <f>CSX!KO27/KM80*1000000</f>
        <v>33203.781008588841</v>
      </c>
      <c r="KN88" s="247">
        <f>CSX!KP27/KN80*1000000</f>
        <v>32157.968970380818</v>
      </c>
      <c r="KO88" s="247">
        <f>CSX!KQ27/KO80*1000000</f>
        <v>34838.887358854314</v>
      </c>
      <c r="KP88" s="247">
        <f>CSX!KR27/KP80*1000000</f>
        <v>32417.950435365037</v>
      </c>
      <c r="KQ88" s="247">
        <f>CSX!KS27/KQ80*1000000</f>
        <v>132227.20340158063</v>
      </c>
      <c r="KS88" s="246" t="s">
        <v>467</v>
      </c>
      <c r="KT88" s="247">
        <f>CSX!KV27/KT80*1000000</f>
        <v>32283.74314523262</v>
      </c>
      <c r="KU88" s="247">
        <f>CSX!KW27/KU80*1000000</f>
        <v>32951.541850220266</v>
      </c>
      <c r="KV88" s="247">
        <f>CSX!KX27/KV80*1000000</f>
        <v>33254.675755986718</v>
      </c>
      <c r="KW88" s="103">
        <f>KW91/KW80*1000000</f>
        <v>34421.774576198077</v>
      </c>
      <c r="KX88" s="247">
        <f>CSX!KZ27/KX80*1000000</f>
        <v>133595.9728605822</v>
      </c>
      <c r="KZ88" s="246" t="s">
        <v>467</v>
      </c>
      <c r="LA88" s="247">
        <f>CSX!LC27/LA80*1000000</f>
        <v>34428.192626806944</v>
      </c>
      <c r="LB88" s="247">
        <f>CSX!LD27/LB80*1000000</f>
        <v>32858.613589567605</v>
      </c>
      <c r="LC88" s="247">
        <f>CSX!LE27/LC80*1000000</f>
        <v>34568.536627208785</v>
      </c>
      <c r="LD88" s="247">
        <f>CSX!LF27/LD80*1000000</f>
        <v>33583.36174565291</v>
      </c>
      <c r="LE88" s="301">
        <f>Expense!LE7/LE80*1000000</f>
        <v>135438.73162590666</v>
      </c>
      <c r="LF88" s="561"/>
      <c r="LG88" s="246" t="s">
        <v>467</v>
      </c>
      <c r="LH88" s="247">
        <f>CSX!LJ27/LH80*1000000</f>
        <v>35065.988980480935</v>
      </c>
      <c r="LI88" s="247">
        <f>CSX!LK27/LI80*1000000</f>
        <v>33645.257337303272</v>
      </c>
      <c r="LJ88" s="247">
        <f>CSX!LL27/LJ80*1000000</f>
        <v>34070.891514500538</v>
      </c>
      <c r="LK88" s="247">
        <f>CSX!LM27/LK80*1000000</f>
        <v>34964.12263535551</v>
      </c>
      <c r="LL88" s="301">
        <f>Expense!LL7/LL80*1000000</f>
        <v>137735.66684193019</v>
      </c>
      <c r="LM88" s="561"/>
      <c r="LN88" s="246" t="s">
        <v>467</v>
      </c>
      <c r="LO88" s="102">
        <f>LH88*(1+LO89)</f>
        <v>35416.648870285746</v>
      </c>
      <c r="LP88" s="102">
        <f>LI88*(1+LP89)</f>
        <v>33981.709910676305</v>
      </c>
      <c r="LQ88" s="102">
        <f>LJ88*(1+LQ89)</f>
        <v>34411.600429645543</v>
      </c>
      <c r="LR88" s="102">
        <f>LK88*(1+LR89)</f>
        <v>35313.763861709063</v>
      </c>
      <c r="LS88" s="301">
        <f>Expense!LS7/LS80*1000000</f>
        <v>139124.25330252506</v>
      </c>
      <c r="LT88" s="561"/>
      <c r="LU88" s="246" t="s">
        <v>467</v>
      </c>
      <c r="LV88" s="102">
        <f>LO88*(1+LV89)</f>
        <v>36567.68995857003</v>
      </c>
      <c r="LW88" s="102">
        <f>LP88*(1+LW89)</f>
        <v>35086.115482773283</v>
      </c>
      <c r="LX88" s="102">
        <f>LQ88*(1+LX89)</f>
        <v>35443.948442534907</v>
      </c>
      <c r="LY88" s="102">
        <f>LR88*(1+LY89)</f>
        <v>36373.176777560337</v>
      </c>
      <c r="LZ88" s="301">
        <f>Expense!LZ7/LZ80*1000000</f>
        <v>143470.80732450783</v>
      </c>
      <c r="MA88" s="561"/>
      <c r="MB88" s="246" t="s">
        <v>467</v>
      </c>
      <c r="MC88" s="102">
        <f>LV88*(1+MC89)</f>
        <v>37573.301432430708</v>
      </c>
      <c r="MD88" s="102">
        <f>LW88*(1+MD89)</f>
        <v>36050.98365854955</v>
      </c>
      <c r="ME88" s="102">
        <f>LX88*(1+ME89)</f>
        <v>36418.657024704618</v>
      </c>
      <c r="MF88" s="102">
        <f>LY88*(1+MF89)</f>
        <v>37373.439138943249</v>
      </c>
      <c r="MG88" s="301">
        <f>Expense!MG7/MG80*1000000</f>
        <v>147416.12944842366</v>
      </c>
      <c r="MH88" s="561"/>
    </row>
    <row r="89" spans="1:346" s="37" customFormat="1" ht="13.15" x14ac:dyDescent="0.4">
      <c r="A89" s="100"/>
      <c r="B89" s="65" t="s">
        <v>3</v>
      </c>
      <c r="C89" s="66"/>
      <c r="D89" s="66"/>
      <c r="E89" s="66" t="s">
        <v>80</v>
      </c>
      <c r="F89" s="66" t="s">
        <v>80</v>
      </c>
      <c r="G89" s="66" t="s">
        <v>80</v>
      </c>
      <c r="H89" s="66" t="s">
        <v>80</v>
      </c>
      <c r="I89" s="66" t="s">
        <v>80</v>
      </c>
      <c r="J89" s="66" t="s">
        <v>80</v>
      </c>
      <c r="K89" s="66" t="s">
        <v>80</v>
      </c>
      <c r="L89" s="66" t="s">
        <v>80</v>
      </c>
      <c r="M89" s="66" t="s">
        <v>80</v>
      </c>
      <c r="N89" s="66" t="str">
        <f>BT89</f>
        <v>-</v>
      </c>
      <c r="O89" s="66" t="str">
        <f>CA89</f>
        <v>-</v>
      </c>
      <c r="P89" s="66" t="str">
        <f>CH89</f>
        <v>-</v>
      </c>
      <c r="Q89" s="66" t="str">
        <f>CO89</f>
        <v>-</v>
      </c>
      <c r="R89" s="66" t="str">
        <f>CV89</f>
        <v>-</v>
      </c>
      <c r="S89" s="66" t="str">
        <f>DC89</f>
        <v>-</v>
      </c>
      <c r="T89" s="66" t="str">
        <f>DJ89</f>
        <v>-</v>
      </c>
      <c r="U89" s="66" t="str">
        <f>DQ89</f>
        <v>-</v>
      </c>
      <c r="V89" s="66" t="str">
        <f>DX89</f>
        <v>-</v>
      </c>
      <c r="W89" s="66" t="str">
        <f>EE89</f>
        <v>-</v>
      </c>
      <c r="X89" s="66" t="str">
        <f>EL89</f>
        <v>-</v>
      </c>
      <c r="Y89" s="66" t="str">
        <f>ES89</f>
        <v>-</v>
      </c>
      <c r="Z89" s="66" t="str">
        <f>EZ89</f>
        <v>-</v>
      </c>
      <c r="AA89" s="66" t="str">
        <f>FG89</f>
        <v>-</v>
      </c>
      <c r="AB89" s="66" t="str">
        <f>FN89</f>
        <v>-</v>
      </c>
      <c r="AC89" s="66" t="str">
        <f>FU89</f>
        <v>-</v>
      </c>
      <c r="AD89" s="66" t="str">
        <f>GB89</f>
        <v>-</v>
      </c>
      <c r="AE89" s="66" t="str">
        <f>GI89</f>
        <v>-</v>
      </c>
      <c r="AF89" s="66" t="str">
        <f>GP89</f>
        <v>-</v>
      </c>
      <c r="AG89" s="66" t="str">
        <f>GW89</f>
        <v>-</v>
      </c>
      <c r="AH89" s="66">
        <f>HD89</f>
        <v>-1.1782902081486801E-2</v>
      </c>
      <c r="AI89" s="66">
        <f>HK89</f>
        <v>0.12655947539434909</v>
      </c>
      <c r="AJ89" s="66">
        <f>HR89</f>
        <v>-4.0056018913038338E-3</v>
      </c>
      <c r="AK89" s="66">
        <f>HY89</f>
        <v>-4.0996994553432642E-2</v>
      </c>
      <c r="AL89" s="66">
        <f>IF89</f>
        <v>6.7854946975212105E-2</v>
      </c>
      <c r="AM89" s="66">
        <f>IM89</f>
        <v>6.5534999574027308E-2</v>
      </c>
      <c r="AN89" s="66">
        <f>IT89</f>
        <v>-1.7389002533146902E-2</v>
      </c>
      <c r="AO89" s="66">
        <f>JA89</f>
        <v>8.5904016432748254E-2</v>
      </c>
      <c r="AP89" s="66">
        <f>JH89</f>
        <v>2.2910891215819351E-2</v>
      </c>
      <c r="AQ89" s="66">
        <f>JO89</f>
        <v>2.391405635040611E-2</v>
      </c>
      <c r="AR89" s="66">
        <f>JV89</f>
        <v>1.4821928603945045E-2</v>
      </c>
      <c r="AS89" s="66">
        <f>KC89</f>
        <v>-4.4804514247524296E-2</v>
      </c>
      <c r="AT89" s="66">
        <f>KJ89</f>
        <v>0.10628272627367608</v>
      </c>
      <c r="AU89" s="66">
        <f>KQ89</f>
        <v>3.1320332727073463E-2</v>
      </c>
      <c r="AV89" s="66">
        <f>KX89</f>
        <v>1.0351647949813803E-2</v>
      </c>
      <c r="AW89" s="66">
        <f>LE89</f>
        <v>1.3793520312528562E-2</v>
      </c>
      <c r="AX89" s="66">
        <f>LL89</f>
        <v>1.6959219777455292E-2</v>
      </c>
      <c r="AY89" s="66">
        <f>LS89</f>
        <v>1.0081531475710337E-2</v>
      </c>
      <c r="AZ89" s="66">
        <f>LZ89</f>
        <v>3.1242245106834154E-2</v>
      </c>
      <c r="BA89" s="66">
        <f>MG89</f>
        <v>2.749912820238154E-2</v>
      </c>
      <c r="BB89" s="66"/>
      <c r="BC89" s="66"/>
      <c r="BD89" s="66"/>
      <c r="BE89" s="66"/>
      <c r="BF89" s="66"/>
      <c r="BG89" s="66"/>
      <c r="BH89" s="66"/>
      <c r="BI89" s="66"/>
      <c r="BJ89" s="66"/>
      <c r="BK89" s="66"/>
      <c r="BL89" s="66"/>
      <c r="BM89" s="66"/>
      <c r="BO89" s="65" t="s">
        <v>3</v>
      </c>
      <c r="BP89" s="66" t="s">
        <v>80</v>
      </c>
      <c r="BQ89" s="66" t="s">
        <v>80</v>
      </c>
      <c r="BR89" s="66" t="s">
        <v>80</v>
      </c>
      <c r="BS89" s="66" t="s">
        <v>80</v>
      </c>
      <c r="BT89" s="66" t="s">
        <v>80</v>
      </c>
      <c r="BV89" s="65" t="s">
        <v>3</v>
      </c>
      <c r="BW89" s="66" t="s">
        <v>80</v>
      </c>
      <c r="BX89" s="66" t="s">
        <v>80</v>
      </c>
      <c r="BY89" s="66" t="s">
        <v>80</v>
      </c>
      <c r="BZ89" s="66" t="s">
        <v>80</v>
      </c>
      <c r="CA89" s="66" t="s">
        <v>80</v>
      </c>
      <c r="CC89" s="65" t="s">
        <v>3</v>
      </c>
      <c r="CD89" s="66" t="s">
        <v>80</v>
      </c>
      <c r="CE89" s="66" t="s">
        <v>80</v>
      </c>
      <c r="CF89" s="66" t="s">
        <v>80</v>
      </c>
      <c r="CG89" s="66" t="s">
        <v>80</v>
      </c>
      <c r="CH89" s="66" t="s">
        <v>80</v>
      </c>
      <c r="CJ89" s="65" t="s">
        <v>3</v>
      </c>
      <c r="CK89" s="66" t="s">
        <v>80</v>
      </c>
      <c r="CL89" s="66" t="s">
        <v>80</v>
      </c>
      <c r="CM89" s="66" t="s">
        <v>80</v>
      </c>
      <c r="CN89" s="66" t="s">
        <v>80</v>
      </c>
      <c r="CO89" s="66" t="s">
        <v>80</v>
      </c>
      <c r="CQ89" s="65" t="s">
        <v>3</v>
      </c>
      <c r="CR89" s="66" t="s">
        <v>80</v>
      </c>
      <c r="CS89" s="66" t="s">
        <v>80</v>
      </c>
      <c r="CT89" s="66" t="s">
        <v>80</v>
      </c>
      <c r="CU89" s="66" t="s">
        <v>80</v>
      </c>
      <c r="CV89" s="66" t="s">
        <v>80</v>
      </c>
      <c r="CX89" s="65" t="s">
        <v>3</v>
      </c>
      <c r="CY89" s="66" t="s">
        <v>80</v>
      </c>
      <c r="CZ89" s="66" t="s">
        <v>80</v>
      </c>
      <c r="DA89" s="66" t="s">
        <v>80</v>
      </c>
      <c r="DB89" s="66" t="s">
        <v>80</v>
      </c>
      <c r="DC89" s="66" t="s">
        <v>80</v>
      </c>
      <c r="DE89" s="65" t="s">
        <v>3</v>
      </c>
      <c r="DF89" s="66" t="s">
        <v>80</v>
      </c>
      <c r="DG89" s="66" t="s">
        <v>80</v>
      </c>
      <c r="DH89" s="66" t="s">
        <v>80</v>
      </c>
      <c r="DI89" s="66" t="s">
        <v>80</v>
      </c>
      <c r="DJ89" s="66" t="s">
        <v>80</v>
      </c>
      <c r="DL89" s="65" t="s">
        <v>3</v>
      </c>
      <c r="DM89" s="66" t="s">
        <v>80</v>
      </c>
      <c r="DN89" s="66" t="s">
        <v>80</v>
      </c>
      <c r="DO89" s="66" t="s">
        <v>80</v>
      </c>
      <c r="DP89" s="66" t="s">
        <v>80</v>
      </c>
      <c r="DQ89" s="66" t="s">
        <v>80</v>
      </c>
      <c r="DS89" s="65" t="s">
        <v>3</v>
      </c>
      <c r="DT89" s="66" t="s">
        <v>80</v>
      </c>
      <c r="DU89" s="66" t="s">
        <v>80</v>
      </c>
      <c r="DV89" s="66" t="s">
        <v>80</v>
      </c>
      <c r="DW89" s="66" t="s">
        <v>80</v>
      </c>
      <c r="DX89" s="66" t="s">
        <v>80</v>
      </c>
      <c r="DZ89" s="65" t="s">
        <v>3</v>
      </c>
      <c r="EA89" s="66" t="s">
        <v>80</v>
      </c>
      <c r="EB89" s="66" t="s">
        <v>80</v>
      </c>
      <c r="EC89" s="66" t="s">
        <v>80</v>
      </c>
      <c r="ED89" s="66" t="s">
        <v>80</v>
      </c>
      <c r="EE89" s="66" t="s">
        <v>80</v>
      </c>
      <c r="EG89" s="65" t="s">
        <v>3</v>
      </c>
      <c r="EH89" s="66" t="s">
        <v>80</v>
      </c>
      <c r="EI89" s="66" t="s">
        <v>80</v>
      </c>
      <c r="EJ89" s="66" t="s">
        <v>80</v>
      </c>
      <c r="EK89" s="66" t="s">
        <v>80</v>
      </c>
      <c r="EL89" s="66" t="s">
        <v>80</v>
      </c>
      <c r="EN89" s="65" t="s">
        <v>3</v>
      </c>
      <c r="EO89" s="66" t="s">
        <v>80</v>
      </c>
      <c r="EP89" s="66" t="s">
        <v>80</v>
      </c>
      <c r="EQ89" s="66" t="s">
        <v>80</v>
      </c>
      <c r="ER89" s="66" t="s">
        <v>80</v>
      </c>
      <c r="ES89" s="66" t="s">
        <v>80</v>
      </c>
      <c r="EU89" s="65" t="s">
        <v>3</v>
      </c>
      <c r="EV89" s="66" t="s">
        <v>80</v>
      </c>
      <c r="EW89" s="66" t="s">
        <v>80</v>
      </c>
      <c r="EX89" s="66" t="s">
        <v>80</v>
      </c>
      <c r="EY89" s="66" t="s">
        <v>80</v>
      </c>
      <c r="EZ89" s="66" t="s">
        <v>80</v>
      </c>
      <c r="FB89" s="65" t="s">
        <v>3</v>
      </c>
      <c r="FC89" s="66" t="s">
        <v>80</v>
      </c>
      <c r="FD89" s="66" t="s">
        <v>80</v>
      </c>
      <c r="FE89" s="66" t="s">
        <v>80</v>
      </c>
      <c r="FF89" s="66" t="s">
        <v>80</v>
      </c>
      <c r="FG89" s="66" t="s">
        <v>80</v>
      </c>
      <c r="FI89" s="65" t="s">
        <v>3</v>
      </c>
      <c r="FJ89" s="66" t="s">
        <v>80</v>
      </c>
      <c r="FK89" s="66" t="s">
        <v>80</v>
      </c>
      <c r="FL89" s="66" t="s">
        <v>80</v>
      </c>
      <c r="FM89" s="66" t="s">
        <v>80</v>
      </c>
      <c r="FN89" s="66" t="s">
        <v>80</v>
      </c>
      <c r="FP89" s="65" t="s">
        <v>3</v>
      </c>
      <c r="FQ89" s="66" t="s">
        <v>80</v>
      </c>
      <c r="FR89" s="66" t="s">
        <v>80</v>
      </c>
      <c r="FS89" s="66" t="s">
        <v>80</v>
      </c>
      <c r="FT89" s="66" t="s">
        <v>80</v>
      </c>
      <c r="FU89" s="66" t="s">
        <v>80</v>
      </c>
      <c r="FW89" s="65" t="s">
        <v>3</v>
      </c>
      <c r="FX89" s="66" t="s">
        <v>80</v>
      </c>
      <c r="FY89" s="66" t="s">
        <v>80</v>
      </c>
      <c r="FZ89" s="66" t="s">
        <v>80</v>
      </c>
      <c r="GA89" s="66" t="s">
        <v>80</v>
      </c>
      <c r="GB89" s="66" t="s">
        <v>80</v>
      </c>
      <c r="GD89" s="65" t="s">
        <v>3</v>
      </c>
      <c r="GE89" s="66" t="s">
        <v>80</v>
      </c>
      <c r="GF89" s="66" t="s">
        <v>80</v>
      </c>
      <c r="GG89" s="66" t="s">
        <v>80</v>
      </c>
      <c r="GH89" s="66" t="s">
        <v>80</v>
      </c>
      <c r="GI89" s="66" t="s">
        <v>80</v>
      </c>
      <c r="GK89" s="65" t="s">
        <v>3</v>
      </c>
      <c r="GL89" s="66" t="s">
        <v>80</v>
      </c>
      <c r="GM89" s="66" t="s">
        <v>80</v>
      </c>
      <c r="GN89" s="66" t="s">
        <v>80</v>
      </c>
      <c r="GO89" s="66" t="s">
        <v>80</v>
      </c>
      <c r="GP89" s="66" t="s">
        <v>80</v>
      </c>
      <c r="GR89" s="65" t="s">
        <v>3</v>
      </c>
      <c r="GS89" s="66" t="s">
        <v>80</v>
      </c>
      <c r="GT89" s="66" t="s">
        <v>80</v>
      </c>
      <c r="GU89" s="66" t="s">
        <v>80</v>
      </c>
      <c r="GV89" s="66" t="s">
        <v>80</v>
      </c>
      <c r="GW89" s="66" t="s">
        <v>80</v>
      </c>
      <c r="GY89" s="65" t="s">
        <v>3</v>
      </c>
      <c r="GZ89" s="66">
        <f>IFERROR(GZ88/GS88-1,"NM")</f>
        <v>-3.6303181326458711E-2</v>
      </c>
      <c r="HA89" s="66">
        <f>IFERROR(HA88/GT88-1,"NM")</f>
        <v>-1.2097673786997665E-2</v>
      </c>
      <c r="HB89" s="66">
        <f>IFERROR(HB88/GU88-1,"NM")</f>
        <v>-3.1213598640356111E-2</v>
      </c>
      <c r="HC89" s="66">
        <f>IFERROR(HC88/GV88-1,"NM")</f>
        <v>3.5314635156767915E-2</v>
      </c>
      <c r="HD89" s="66">
        <f>IFERROR(HD88/GW88-1,"NM")</f>
        <v>-1.1782902081486801E-2</v>
      </c>
      <c r="HF89" s="65" t="s">
        <v>3</v>
      </c>
      <c r="HG89" s="66">
        <f>IFERROR(HG88/GZ88-1,"NM")</f>
        <v>0.17127853005841298</v>
      </c>
      <c r="HH89" s="66">
        <f>IFERROR(HH88/HA88-1,"NM")</f>
        <v>8.8889124775696882E-2</v>
      </c>
      <c r="HI89" s="66">
        <f>IFERROR(HI88/HB88-1,"NM")</f>
        <v>0.10149770996908458</v>
      </c>
      <c r="HJ89" s="66">
        <f>IFERROR(HJ88/HC88-1,"NM")</f>
        <v>0.14409912361683719</v>
      </c>
      <c r="HK89" s="66">
        <f>IFERROR(HK88/HD88-1,"NM")</f>
        <v>0.12655947539434909</v>
      </c>
      <c r="HM89" s="65" t="s">
        <v>3</v>
      </c>
      <c r="HN89" s="66">
        <f>IFERROR(HN88/HG88-1,"NM")</f>
        <v>1.0294554178406523E-2</v>
      </c>
      <c r="HO89" s="66">
        <f>IFERROR(HO88/HH88-1,"NM")</f>
        <v>2.9684919355233763E-2</v>
      </c>
      <c r="HP89" s="66">
        <f>IFERROR(HP88/HI88-1,"NM")</f>
        <v>3.7442565542851192E-3</v>
      </c>
      <c r="HQ89" s="66">
        <f>IFERROR(HQ88/HJ88-1,"NM")</f>
        <v>-5.5730656750975105E-2</v>
      </c>
      <c r="HR89" s="66">
        <f>IFERROR(HR88/HK88-1,"NM")</f>
        <v>-4.0056018913038338E-3</v>
      </c>
      <c r="HT89" s="65" t="s">
        <v>3</v>
      </c>
      <c r="HU89" s="66">
        <f>IFERROR(HU88/HN88-1,"NM")</f>
        <v>-5.4024622845773362E-2</v>
      </c>
      <c r="HV89" s="66">
        <f>IFERROR(HV88/HO88-1,"NM")</f>
        <v>-6.4984315155406369E-2</v>
      </c>
      <c r="HW89" s="66">
        <f>IFERROR(HW88/HP88-1,"NM")</f>
        <v>-3.0906078325836139E-2</v>
      </c>
      <c r="HX89" s="66">
        <f>IFERROR(HX88/HQ88-1,"NM")</f>
        <v>-1.3918951277897329E-2</v>
      </c>
      <c r="HY89" s="66">
        <f>IFERROR(HY88/HR88-1,"NM")</f>
        <v>-4.0996994553432642E-2</v>
      </c>
      <c r="IA89" s="65" t="s">
        <v>3</v>
      </c>
      <c r="IB89" s="66">
        <f>IFERROR(IB88/HU88-1,"NM")</f>
        <v>4.0528652257126874E-2</v>
      </c>
      <c r="IC89" s="66">
        <f>IFERROR(IC88/HV88-1,"NM")</f>
        <v>8.2102603964244292E-2</v>
      </c>
      <c r="ID89" s="66">
        <f>IFERROR(ID88/HW88-1,"NM")</f>
        <v>8.0578998473305852E-2</v>
      </c>
      <c r="IE89" s="66">
        <f>IFERROR(IE88/HX88-1,"NM")</f>
        <v>6.8158645692898201E-2</v>
      </c>
      <c r="IF89" s="66">
        <f>IFERROR(IF88/HY88-1,"NM")</f>
        <v>6.7854946975212105E-2</v>
      </c>
      <c r="IH89" s="65" t="s">
        <v>3</v>
      </c>
      <c r="II89" s="66">
        <f>IFERROR(II88/IB88-1,"NM")</f>
        <v>5.5660678196119084E-2</v>
      </c>
      <c r="IJ89" s="66">
        <f>IFERROR(IJ88/IC88-1,"NM")</f>
        <v>3.823103354652102E-2</v>
      </c>
      <c r="IK89" s="66">
        <f>IFERROR(IK88/ID88-1,"NM")</f>
        <v>5.7277603491959317E-2</v>
      </c>
      <c r="IL89" s="66">
        <f>IFERROR(IL88/IE88-1,"NM")</f>
        <v>0.10846339396219062</v>
      </c>
      <c r="IM89" s="66">
        <f>IFERROR(IM88/IF88-1,"NM")</f>
        <v>6.5534999574027308E-2</v>
      </c>
      <c r="IO89" s="65" t="s">
        <v>3</v>
      </c>
      <c r="IP89" s="66">
        <f>IFERROR(IP88/II88-1,"NM")</f>
        <v>4.1113473848900073E-2</v>
      </c>
      <c r="IQ89" s="66">
        <f>IFERROR(IQ88/IJ88-1,"NM")</f>
        <v>-5.9141360326933068E-3</v>
      </c>
      <c r="IR89" s="66">
        <f>IFERROR(IR88/IK88-1,"NM")</f>
        <v>-4.750259614450747E-2</v>
      </c>
      <c r="IS89" s="66">
        <f>IFERROR(IS88/IL88-1,"NM")</f>
        <v>-5.1755825456601068E-2</v>
      </c>
      <c r="IT89" s="66">
        <f>IFERROR(IT88/IM88-1,"NM")</f>
        <v>-1.7389002533146902E-2</v>
      </c>
      <c r="IV89" s="65" t="s">
        <v>3</v>
      </c>
      <c r="IW89" s="66">
        <f>IFERROR(IW88/IP88-1,"NM")</f>
        <v>3.4508107786565878E-2</v>
      </c>
      <c r="IX89" s="66">
        <f>IFERROR(IX88/IQ88-1,"NM")</f>
        <v>4.6160010760526227E-2</v>
      </c>
      <c r="IY89" s="66">
        <f>IFERROR(IY88/IR88-1,"NM")</f>
        <v>9.6526996320827507E-2</v>
      </c>
      <c r="IZ89" s="66">
        <f>IFERROR(IZ88/IS88-1,"NM")</f>
        <v>0.16822660159771807</v>
      </c>
      <c r="JA89" s="66">
        <f>IFERROR(JA88/IT88-1,"NM")</f>
        <v>8.5904016432748254E-2</v>
      </c>
      <c r="JC89" s="65" t="s">
        <v>3</v>
      </c>
      <c r="JD89" s="66">
        <f>IFERROR(JD88/IW88-1,"NM")</f>
        <v>6.6610358993882679E-2</v>
      </c>
      <c r="JE89" s="66">
        <f>IFERROR(JE88/IX88-1,"NM")</f>
        <v>8.6313572255735993E-2</v>
      </c>
      <c r="JF89" s="66">
        <f>IFERROR(JF88/IY88-1,"NM")</f>
        <v>5.4560442115574315E-2</v>
      </c>
      <c r="JG89" s="66">
        <f>IFERROR(JG88/IZ88-1,"NM")</f>
        <v>-0.10377247878530282</v>
      </c>
      <c r="JH89" s="66">
        <f>IFERROR(JH88/JA88-1,"NM")</f>
        <v>2.2910891215819351E-2</v>
      </c>
      <c r="JJ89" s="65" t="s">
        <v>3</v>
      </c>
      <c r="JK89" s="66">
        <f>IFERROR(JK88/JD88-1,"NM")</f>
        <v>-1.1860067848034506E-2</v>
      </c>
      <c r="JL89" s="66">
        <f>IFERROR(JL88/JE88-1,"NM")</f>
        <v>1.2027667523997199E-3</v>
      </c>
      <c r="JM89" s="66">
        <f>IFERROR(JM88/JF88-1,"NM")</f>
        <v>3.9378653993412227E-2</v>
      </c>
      <c r="JN89" s="66">
        <f>IFERROR(JN88/JG88-1,"NM")</f>
        <v>7.328668287572393E-2</v>
      </c>
      <c r="JO89" s="66">
        <f>IFERROR(JO88/JH88-1,"NM")</f>
        <v>2.391405635040611E-2</v>
      </c>
      <c r="JQ89" s="65" t="s">
        <v>3</v>
      </c>
      <c r="JR89" s="66">
        <f>IFERROR(JR88/JK88-1,"NM")</f>
        <v>2.154978201626423E-2</v>
      </c>
      <c r="JS89" s="66">
        <f>IFERROR(JS88/JL88-1,"NM")</f>
        <v>1.907032622362137E-2</v>
      </c>
      <c r="JT89" s="66">
        <f>IFERROR(JT88/JM88-1,"NM")</f>
        <v>-2.3271227844502307E-2</v>
      </c>
      <c r="JU89" s="66">
        <f>IFERROR(JU88/JN88-1,"NM")</f>
        <v>4.3456157337504298E-2</v>
      </c>
      <c r="JV89" s="66">
        <f>IFERROR(JV88/JO88-1,"NM")</f>
        <v>1.4821928603945045E-2</v>
      </c>
      <c r="JX89" s="65" t="s">
        <v>3</v>
      </c>
      <c r="JY89" s="66">
        <f>IFERROR(JY88/JR88-1,"NM")</f>
        <v>-2.9707076023796852E-2</v>
      </c>
      <c r="JZ89" s="66">
        <f>IFERROR(JZ88/JS88-1,"NM")</f>
        <v>-0.11778396370412514</v>
      </c>
      <c r="KA89" s="66">
        <f>IFERROR(KA88/JT88-1,"NM")</f>
        <v>-6.3059511135400426E-3</v>
      </c>
      <c r="KB89" s="66">
        <f>IFERROR(KB88/JU88-1,"NM")</f>
        <v>-2.8725615959658501E-2</v>
      </c>
      <c r="KC89" s="66">
        <f>IFERROR(KC88/JV88-1,"NM")</f>
        <v>-4.4804514247524296E-2</v>
      </c>
      <c r="KE89" s="65" t="s">
        <v>3</v>
      </c>
      <c r="KF89" s="66">
        <f>IFERROR(KF88/JY88-1,"NM")</f>
        <v>9.9142257975797898E-2</v>
      </c>
      <c r="KG89" s="66">
        <f>IFERROR(KG88/JZ88-1,"NM")</f>
        <v>0.18739238460570107</v>
      </c>
      <c r="KH89" s="66">
        <f>IFERROR(KH88/KA88-1,"NM")</f>
        <v>3.6206816507132311E-2</v>
      </c>
      <c r="KI89" s="66">
        <f>IFERROR(KI88/KB88-1,"NM")</f>
        <v>0.11023336889174318</v>
      </c>
      <c r="KJ89" s="66">
        <f>IFERROR(KJ88/KC88-1,"NM")</f>
        <v>0.10628272627367608</v>
      </c>
      <c r="KL89" s="65" t="s">
        <v>3</v>
      </c>
      <c r="KM89" s="66">
        <f>IFERROR(KM88/KF88-1,"NM")</f>
        <v>2.8246121556299464E-2</v>
      </c>
      <c r="KN89" s="66">
        <f>IFERROR(KN88/KG88-1,"NM")</f>
        <v>3.3047775011595837E-2</v>
      </c>
      <c r="KO89" s="66">
        <f>IFERROR(KO88/KH88-1,"NM")</f>
        <v>0.13124241378061186</v>
      </c>
      <c r="KP89" s="66">
        <f>IFERROR(KP88/KI88-1,"NM")</f>
        <v>-4.4569679843060817E-2</v>
      </c>
      <c r="KQ89" s="66">
        <f>IFERROR(KQ88/KJ88-1,"NM")</f>
        <v>3.1320332727073463E-2</v>
      </c>
      <c r="KS89" s="65" t="s">
        <v>3</v>
      </c>
      <c r="KT89" s="66">
        <f>IFERROR(KT88/KM88-1,"NM")</f>
        <v>-2.7708828193940716E-2</v>
      </c>
      <c r="KU89" s="66">
        <f>IFERROR(KU88/KN88-1,"NM")</f>
        <v>2.4677332096761706E-2</v>
      </c>
      <c r="KV89" s="66">
        <f>IFERROR(KV88/KO88-1,"NM")</f>
        <v>-4.5472508537646172E-2</v>
      </c>
      <c r="KW89" s="66">
        <f>IFERROR(KW88/KP88-1,"NM")</f>
        <v>6.1812178559167874E-2</v>
      </c>
      <c r="KX89" s="66">
        <f>IFERROR(KX88/KQ88-1,"NM")</f>
        <v>1.0351647949813803E-2</v>
      </c>
      <c r="KZ89" s="65" t="s">
        <v>3</v>
      </c>
      <c r="LA89" s="66">
        <f>IFERROR(LA88/KT88-1,"NM")</f>
        <v>6.6425057092271977E-2</v>
      </c>
      <c r="LB89" s="66">
        <f>IFERROR(LB88/KU88-1,"NM")</f>
        <v>-2.8201490866516243E-3</v>
      </c>
      <c r="LC89" s="66">
        <f>IFERROR(LC88/KV88-1,"NM")</f>
        <v>3.9509056737248027E-2</v>
      </c>
      <c r="LD89" s="66">
        <f>IFERROR(LD88/KW88-1,"NM")</f>
        <v>-2.4357048434246353E-2</v>
      </c>
      <c r="LE89" s="49">
        <f>IFERROR(LE88/KX88-1,"NM")</f>
        <v>1.3793520312528562E-2</v>
      </c>
      <c r="LF89" s="588"/>
      <c r="LG89" s="71" t="s">
        <v>3</v>
      </c>
      <c r="LH89" s="66">
        <f>IFERROR(LH88/LA88-1,"NM")</f>
        <v>1.8525409120006442E-2</v>
      </c>
      <c r="LI89" s="66">
        <f>IFERROR(LI88/LB88-1,"NM")</f>
        <v>2.3940259852759604E-2</v>
      </c>
      <c r="LJ89" s="66">
        <f>IFERROR(LJ88/LC88-1,"NM")</f>
        <v>-1.439589757804649E-2</v>
      </c>
      <c r="LK89" s="66">
        <f>IFERROR(LK88/LD88-1,"NM")</f>
        <v>4.1114433395915917E-2</v>
      </c>
      <c r="LL89" s="49">
        <f>IFERROR(LL88/LE88-1,"NM")</f>
        <v>1.6959219777455292E-2</v>
      </c>
      <c r="LM89" s="588"/>
      <c r="LN89" s="71" t="s">
        <v>3</v>
      </c>
      <c r="LO89" s="512">
        <v>0.01</v>
      </c>
      <c r="LP89" s="512">
        <v>0.01</v>
      </c>
      <c r="LQ89" s="512">
        <v>0.01</v>
      </c>
      <c r="LR89" s="512">
        <v>0.01</v>
      </c>
      <c r="LS89" s="49">
        <f>IFERROR(LS88/LL88-1,"NM")</f>
        <v>1.0081531475710337E-2</v>
      </c>
      <c r="LT89" s="588"/>
      <c r="LU89" s="71" t="s">
        <v>3</v>
      </c>
      <c r="LV89" s="512">
        <v>3.2500000000000001E-2</v>
      </c>
      <c r="LW89" s="512">
        <v>3.2500000000000001E-2</v>
      </c>
      <c r="LX89" s="512">
        <v>0.03</v>
      </c>
      <c r="LY89" s="512">
        <v>0.03</v>
      </c>
      <c r="LZ89" s="49">
        <f>IFERROR(LZ88/LS88-1,"NM")</f>
        <v>3.1242245106834154E-2</v>
      </c>
      <c r="MA89" s="588"/>
      <c r="MB89" s="71" t="s">
        <v>3</v>
      </c>
      <c r="MC89" s="512">
        <v>2.75E-2</v>
      </c>
      <c r="MD89" s="512">
        <v>2.75E-2</v>
      </c>
      <c r="ME89" s="512">
        <v>2.75E-2</v>
      </c>
      <c r="MF89" s="512">
        <v>2.75E-2</v>
      </c>
      <c r="MG89" s="49">
        <f>IFERROR(MG88/LZ88-1,"NM")</f>
        <v>2.749912820238154E-2</v>
      </c>
      <c r="MH89" s="588"/>
    </row>
    <row r="90" spans="1:346" s="37" customFormat="1" ht="13.15" collapsed="1" x14ac:dyDescent="0.4">
      <c r="A90" s="96"/>
      <c r="B90" s="36"/>
      <c r="BO90" s="36"/>
      <c r="BV90" s="36"/>
      <c r="CC90" s="36"/>
      <c r="CJ90" s="36"/>
      <c r="CQ90" s="36"/>
      <c r="CX90" s="36"/>
      <c r="DE90" s="36"/>
      <c r="DL90" s="36"/>
      <c r="DS90" s="36"/>
      <c r="DZ90" s="36"/>
      <c r="EG90" s="36"/>
      <c r="EN90" s="36"/>
      <c r="EU90" s="36"/>
      <c r="FB90" s="36"/>
      <c r="FI90" s="36"/>
      <c r="FP90" s="36"/>
      <c r="FW90" s="36"/>
      <c r="GD90" s="36"/>
      <c r="GK90" s="36"/>
      <c r="GR90" s="36"/>
      <c r="GY90" s="36"/>
      <c r="HF90" s="36"/>
      <c r="HM90" s="36"/>
      <c r="HT90" s="36"/>
      <c r="IA90" s="36"/>
      <c r="IH90" s="36"/>
      <c r="IO90" s="36"/>
      <c r="IV90" s="36"/>
      <c r="JC90" s="36"/>
      <c r="JJ90" s="36"/>
      <c r="JQ90" s="36"/>
      <c r="JX90" s="36"/>
      <c r="KE90" s="36"/>
      <c r="KL90" s="36"/>
      <c r="KS90" s="36"/>
      <c r="KZ90" s="642"/>
      <c r="LA90" s="643"/>
      <c r="LB90" s="643"/>
      <c r="LC90" s="643"/>
      <c r="LD90" s="643"/>
      <c r="LE90" s="643"/>
      <c r="LF90" s="584"/>
      <c r="LG90" s="642"/>
      <c r="LH90" s="643"/>
      <c r="LI90" s="643"/>
      <c r="LJ90" s="643"/>
      <c r="LK90" s="643"/>
      <c r="LL90" s="643"/>
      <c r="LM90" s="584"/>
      <c r="LN90" s="642"/>
      <c r="LO90" s="643"/>
      <c r="LP90" s="643"/>
      <c r="LQ90" s="643"/>
      <c r="LR90" s="643"/>
      <c r="LS90" s="643"/>
      <c r="LT90" s="584"/>
      <c r="LU90" s="642"/>
      <c r="LV90" s="643"/>
      <c r="LW90" s="643"/>
      <c r="LX90" s="643"/>
      <c r="LY90" s="643"/>
      <c r="LZ90" s="643"/>
      <c r="MA90" s="584"/>
      <c r="MB90" s="642"/>
      <c r="MC90" s="643"/>
      <c r="MD90" s="643"/>
      <c r="ME90" s="643"/>
      <c r="MF90" s="643"/>
      <c r="MG90" s="643"/>
      <c r="MH90" s="584"/>
    </row>
    <row r="91" spans="1:346" s="37" customFormat="1" ht="13.5" thickBot="1" x14ac:dyDescent="0.45">
      <c r="A91" s="100"/>
      <c r="B91" s="248" t="s">
        <v>468</v>
      </c>
      <c r="C91" s="135"/>
      <c r="D91" s="135"/>
      <c r="E91" s="135">
        <f>CSX!E27</f>
        <v>2063.1</v>
      </c>
      <c r="F91" s="135">
        <f>CSX!F27</f>
        <v>2304.6</v>
      </c>
      <c r="G91" s="135">
        <f>CSX!G27</f>
        <v>2232</v>
      </c>
      <c r="H91" s="135">
        <f>CSX!H27</f>
        <v>2380</v>
      </c>
      <c r="I91" s="135">
        <f>CSX!I27</f>
        <v>2534</v>
      </c>
      <c r="J91" s="135">
        <f>CSX!J27</f>
        <v>2287</v>
      </c>
      <c r="K91" s="135">
        <f>CSX!K27</f>
        <v>2160</v>
      </c>
      <c r="L91" s="135">
        <f>CSX!L27</f>
        <v>2593</v>
      </c>
      <c r="M91" s="135">
        <f>CSX!M27</f>
        <v>2736</v>
      </c>
      <c r="N91" s="135">
        <f>BT91</f>
        <v>2758</v>
      </c>
      <c r="O91" s="135">
        <f>CA91</f>
        <v>2806</v>
      </c>
      <c r="P91" s="135">
        <f>CH91</f>
        <v>2845</v>
      </c>
      <c r="Q91" s="135">
        <f>CO91</f>
        <v>2793</v>
      </c>
      <c r="R91" s="135">
        <f>CV91</f>
        <v>2807</v>
      </c>
      <c r="S91" s="135">
        <f>DC91</f>
        <v>2880</v>
      </c>
      <c r="T91" s="135">
        <f>DJ91</f>
        <v>2977.5</v>
      </c>
      <c r="U91" s="135">
        <f>DQ91</f>
        <v>3034</v>
      </c>
      <c r="V91" s="135">
        <f>DX91</f>
        <v>3073</v>
      </c>
      <c r="W91" s="135">
        <f>EE91</f>
        <v>2983</v>
      </c>
      <c r="X91" s="135">
        <f>EL91</f>
        <v>3306</v>
      </c>
      <c r="Y91" s="135">
        <f>ES91</f>
        <v>2900</v>
      </c>
      <c r="Z91" s="135">
        <f>EZ91</f>
        <v>2931</v>
      </c>
      <c r="AA91" s="135">
        <f>FG91</f>
        <v>2892</v>
      </c>
      <c r="AB91" s="135">
        <f>FN91</f>
        <v>2628</v>
      </c>
      <c r="AC91" s="135">
        <f>FU91</f>
        <v>2760</v>
      </c>
      <c r="AD91" s="135">
        <f>GB91</f>
        <v>2864</v>
      </c>
      <c r="AE91" s="135">
        <f>GI91</f>
        <v>2922</v>
      </c>
      <c r="AF91" s="135">
        <f>GP91</f>
        <v>2986</v>
      </c>
      <c r="AG91" s="135">
        <f>GW91</f>
        <v>2955</v>
      </c>
      <c r="AH91" s="135">
        <f>HD91</f>
        <v>2629</v>
      </c>
      <c r="AI91" s="135">
        <f>HK91</f>
        <v>2957</v>
      </c>
      <c r="AJ91" s="135">
        <f>HR91</f>
        <v>3073</v>
      </c>
      <c r="AK91" s="135">
        <f>HY91</f>
        <v>3020</v>
      </c>
      <c r="AL91" s="135">
        <f>IF91</f>
        <v>3138</v>
      </c>
      <c r="AM91" s="135">
        <f>IM91</f>
        <v>3377</v>
      </c>
      <c r="AN91" s="135">
        <f>IT91</f>
        <v>3290</v>
      </c>
      <c r="AO91" s="135">
        <f>JA91</f>
        <v>3159</v>
      </c>
      <c r="AP91" s="135">
        <f>JH91</f>
        <v>2946</v>
      </c>
      <c r="AQ91" s="135">
        <f>JO91</f>
        <v>2738</v>
      </c>
      <c r="AR91" s="135">
        <f>JV91</f>
        <v>2616</v>
      </c>
      <c r="AS91" s="135">
        <f>KC91</f>
        <v>2275</v>
      </c>
      <c r="AT91" s="135">
        <f>KJ91</f>
        <v>2550</v>
      </c>
      <c r="AU91" s="135">
        <f>KQ91</f>
        <v>2861</v>
      </c>
      <c r="AV91" s="135">
        <f>KX91</f>
        <v>3052</v>
      </c>
      <c r="AW91" s="135">
        <f>LE91</f>
        <v>3165</v>
      </c>
      <c r="AX91" s="135">
        <f>LL91</f>
        <v>3209</v>
      </c>
      <c r="AY91" s="135">
        <f>LS91</f>
        <v>3180.7282411289793</v>
      </c>
      <c r="AZ91" s="135">
        <f>LZ91</f>
        <v>3281.8947175481162</v>
      </c>
      <c r="BA91" s="135">
        <f>MG91</f>
        <v>3394.2563805499549</v>
      </c>
      <c r="BB91" s="135"/>
      <c r="BC91" s="135"/>
      <c r="BD91" s="135"/>
      <c r="BE91" s="135"/>
      <c r="BF91" s="135"/>
      <c r="BG91" s="135"/>
      <c r="BH91" s="135"/>
      <c r="BI91" s="135"/>
      <c r="BJ91" s="135"/>
      <c r="BK91" s="135"/>
      <c r="BL91" s="135"/>
      <c r="BM91" s="135"/>
      <c r="BO91" s="248" t="s">
        <v>468</v>
      </c>
      <c r="BP91" s="135">
        <f>CSX!BR27</f>
        <v>679</v>
      </c>
      <c r="BQ91" s="135">
        <f>CSX!BS27</f>
        <v>684</v>
      </c>
      <c r="BR91" s="135">
        <f>CSX!BT27</f>
        <v>679</v>
      </c>
      <c r="BS91" s="135">
        <f>CSX!BU27</f>
        <v>716</v>
      </c>
      <c r="BT91" s="135">
        <f>CSX!BV27</f>
        <v>2758</v>
      </c>
      <c r="BV91" s="248" t="s">
        <v>468</v>
      </c>
      <c r="BW91" s="135">
        <f>CSX!BY27</f>
        <v>697</v>
      </c>
      <c r="BX91" s="135">
        <f>CSX!BZ27</f>
        <v>707</v>
      </c>
      <c r="BY91" s="135">
        <f>CSX!CA27</f>
        <v>709</v>
      </c>
      <c r="BZ91" s="135">
        <f>CSX!CB27</f>
        <v>693</v>
      </c>
      <c r="CA91" s="135">
        <f>CSX!CC27</f>
        <v>2806</v>
      </c>
      <c r="CC91" s="248" t="s">
        <v>468</v>
      </c>
      <c r="CD91" s="135">
        <f>CSX!CF27</f>
        <v>695</v>
      </c>
      <c r="CE91" s="135">
        <f>CSX!CG27</f>
        <v>688</v>
      </c>
      <c r="CF91" s="135">
        <f>CSX!CH27</f>
        <v>713</v>
      </c>
      <c r="CG91" s="135">
        <f>CSX!CI27</f>
        <v>749</v>
      </c>
      <c r="CH91" s="135">
        <f>CSX!CJ27</f>
        <v>2845</v>
      </c>
      <c r="CJ91" s="248" t="s">
        <v>468</v>
      </c>
      <c r="CK91" s="135">
        <f>CSX!CM27</f>
        <v>722</v>
      </c>
      <c r="CL91" s="135">
        <f>CSX!CN27</f>
        <v>699</v>
      </c>
      <c r="CM91" s="135">
        <f>CSX!CO27</f>
        <v>671</v>
      </c>
      <c r="CN91" s="135">
        <f>CSX!CP27</f>
        <v>701</v>
      </c>
      <c r="CO91" s="135">
        <f>CSX!CQ27</f>
        <v>2793</v>
      </c>
      <c r="CQ91" s="248" t="s">
        <v>468</v>
      </c>
      <c r="CR91" s="135">
        <f>CSX!CT27</f>
        <v>706</v>
      </c>
      <c r="CS91" s="135">
        <f>CSX!CU27</f>
        <v>684</v>
      </c>
      <c r="CT91" s="135">
        <f>CSX!CV27</f>
        <v>697</v>
      </c>
      <c r="CU91" s="135">
        <f>CSX!CW27</f>
        <v>720</v>
      </c>
      <c r="CV91" s="135">
        <f>CSX!CX27</f>
        <v>2807</v>
      </c>
      <c r="CX91" s="248" t="s">
        <v>468</v>
      </c>
      <c r="CY91" s="135">
        <f>CSX!DA27</f>
        <v>724</v>
      </c>
      <c r="CZ91" s="135">
        <f>CSX!DB27</f>
        <v>706</v>
      </c>
      <c r="DA91" s="135">
        <f>CSX!DC27</f>
        <v>712</v>
      </c>
      <c r="DB91" s="135">
        <f>CSX!DD27</f>
        <v>738</v>
      </c>
      <c r="DC91" s="135">
        <f>CSX!DE27</f>
        <v>2880</v>
      </c>
      <c r="DE91" s="248" t="s">
        <v>468</v>
      </c>
      <c r="DF91" s="135">
        <f>CSX!DH27</f>
        <v>743</v>
      </c>
      <c r="DG91" s="135">
        <f>CSX!DI27</f>
        <v>733</v>
      </c>
      <c r="DH91" s="135">
        <f>CSX!DJ27</f>
        <v>742.5</v>
      </c>
      <c r="DI91" s="135">
        <f>CSX!DK27</f>
        <v>759</v>
      </c>
      <c r="DJ91" s="135">
        <f>CSX!DL27</f>
        <v>2977.5</v>
      </c>
      <c r="DL91" s="248" t="s">
        <v>468</v>
      </c>
      <c r="DM91" s="135">
        <f>CSX!DO27</f>
        <v>765</v>
      </c>
      <c r="DN91" s="135">
        <f>CSX!DP27</f>
        <v>767</v>
      </c>
      <c r="DO91" s="135">
        <f>CSX!DQ27</f>
        <v>757</v>
      </c>
      <c r="DP91" s="135">
        <f>CSX!DR27</f>
        <v>745</v>
      </c>
      <c r="DQ91" s="135">
        <f>CSX!DS27</f>
        <v>3034</v>
      </c>
      <c r="DS91" s="248" t="s">
        <v>468</v>
      </c>
      <c r="DT91" s="135">
        <f>CSX!DV27</f>
        <v>762</v>
      </c>
      <c r="DU91" s="135">
        <f>CSX!DW27</f>
        <v>755</v>
      </c>
      <c r="DV91" s="135">
        <f>CSX!DX27</f>
        <v>780</v>
      </c>
      <c r="DW91" s="135">
        <f>CSX!DY27</f>
        <v>776</v>
      </c>
      <c r="DX91" s="135">
        <f>CSX!DZ27</f>
        <v>3073</v>
      </c>
      <c r="DZ91" s="248" t="s">
        <v>468</v>
      </c>
      <c r="EA91" s="135">
        <f>CSX!EC27</f>
        <v>773</v>
      </c>
      <c r="EB91" s="135">
        <f>CSX!ED27</f>
        <v>719</v>
      </c>
      <c r="EC91" s="135">
        <f>CSX!EE27</f>
        <v>748</v>
      </c>
      <c r="ED91" s="135">
        <f>CSX!EF27</f>
        <v>743</v>
      </c>
      <c r="EE91" s="135">
        <f>CSX!EG27</f>
        <v>2983</v>
      </c>
      <c r="EG91" s="248" t="s">
        <v>468</v>
      </c>
      <c r="EH91" s="135">
        <f>CSX!EJ27</f>
        <v>796</v>
      </c>
      <c r="EI91" s="135">
        <f>CSX!EK27</f>
        <v>806</v>
      </c>
      <c r="EJ91" s="135">
        <f>CSX!EL27</f>
        <v>873</v>
      </c>
      <c r="EK91" s="135">
        <f>CSX!EM27</f>
        <v>831</v>
      </c>
      <c r="EL91" s="135">
        <f>CSX!EN27</f>
        <v>3306</v>
      </c>
      <c r="EN91" s="248" t="s">
        <v>468</v>
      </c>
      <c r="EO91" s="135">
        <f>CSX!EQ27</f>
        <v>727</v>
      </c>
      <c r="EP91" s="135">
        <f>CSX!ER27</f>
        <v>730</v>
      </c>
      <c r="EQ91" s="135">
        <f>CSX!ES27</f>
        <v>727</v>
      </c>
      <c r="ER91" s="135">
        <f>CSX!ET27</f>
        <v>716</v>
      </c>
      <c r="ES91" s="135">
        <f>CSX!EU27</f>
        <v>2900</v>
      </c>
      <c r="EU91" s="248" t="s">
        <v>468</v>
      </c>
      <c r="EV91" s="135">
        <f>CSX!EX27</f>
        <v>753</v>
      </c>
      <c r="EW91" s="135">
        <f>CSX!EY27</f>
        <v>740</v>
      </c>
      <c r="EX91" s="135">
        <f>CSX!EZ27</f>
        <v>708</v>
      </c>
      <c r="EY91" s="135">
        <f>CSX!FA27</f>
        <v>730</v>
      </c>
      <c r="EZ91" s="135">
        <f>CSX!FB27</f>
        <v>2931</v>
      </c>
      <c r="FB91" s="248" t="s">
        <v>468</v>
      </c>
      <c r="FC91" s="135">
        <f>CSX!FE27</f>
        <v>729</v>
      </c>
      <c r="FD91" s="135">
        <f>CSX!FF27</f>
        <v>717</v>
      </c>
      <c r="FE91" s="135">
        <f>CSX!FG27</f>
        <v>718</v>
      </c>
      <c r="FF91" s="135">
        <f>CSX!FH27</f>
        <v>728</v>
      </c>
      <c r="FG91" s="135">
        <f>CSX!FI27</f>
        <v>2892</v>
      </c>
      <c r="FI91" s="248" t="s">
        <v>468</v>
      </c>
      <c r="FJ91" s="135">
        <f>CSX!FL27</f>
        <v>667</v>
      </c>
      <c r="FK91" s="135">
        <f>CSX!FM27</f>
        <v>663</v>
      </c>
      <c r="FL91" s="135">
        <f>CSX!FN27</f>
        <v>643</v>
      </c>
      <c r="FM91" s="135">
        <f>CSX!FO27</f>
        <v>655</v>
      </c>
      <c r="FN91" s="135">
        <f>CSX!FP27</f>
        <v>2628</v>
      </c>
      <c r="FP91" s="248" t="s">
        <v>468</v>
      </c>
      <c r="FQ91" s="135">
        <f>CSX!FS27</f>
        <v>685</v>
      </c>
      <c r="FR91" s="135">
        <f>CSX!FT27</f>
        <v>664</v>
      </c>
      <c r="FS91" s="135">
        <f>CSX!FU27</f>
        <v>671</v>
      </c>
      <c r="FT91" s="135">
        <f>CSX!FV27</f>
        <v>740</v>
      </c>
      <c r="FU91" s="135">
        <f>CSX!FW27</f>
        <v>2760</v>
      </c>
      <c r="FW91" s="248" t="s">
        <v>468</v>
      </c>
      <c r="FX91" s="135">
        <f>CSX!FZ27</f>
        <v>702</v>
      </c>
      <c r="FY91" s="135">
        <f>CSX!GA27</f>
        <v>706</v>
      </c>
      <c r="FZ91" s="135">
        <f>CSX!GB27</f>
        <v>725</v>
      </c>
      <c r="GA91" s="135">
        <f>CSX!GC27</f>
        <v>731</v>
      </c>
      <c r="GB91" s="135">
        <f>CSX!GD27</f>
        <v>2864</v>
      </c>
      <c r="GD91" s="248" t="s">
        <v>468</v>
      </c>
      <c r="GE91" s="135">
        <f>CSX!GG27</f>
        <v>718</v>
      </c>
      <c r="GF91" s="135">
        <f>CSX!GH27</f>
        <v>715</v>
      </c>
      <c r="GG91" s="135">
        <f>CSX!GI27</f>
        <v>736</v>
      </c>
      <c r="GH91" s="135">
        <f>CSX!GJ27</f>
        <v>753</v>
      </c>
      <c r="GI91" s="135">
        <f>CSX!GK27</f>
        <v>2922</v>
      </c>
      <c r="GK91" s="248" t="s">
        <v>468</v>
      </c>
      <c r="GL91" s="135">
        <f>CSX!GN27</f>
        <v>734</v>
      </c>
      <c r="GM91" s="135">
        <f>CSX!GO27</f>
        <v>743</v>
      </c>
      <c r="GN91" s="135">
        <f>CSX!GP27</f>
        <v>748</v>
      </c>
      <c r="GO91" s="135">
        <f>CSX!GQ27</f>
        <v>761</v>
      </c>
      <c r="GP91" s="135">
        <f>CSX!GR27</f>
        <v>2986</v>
      </c>
      <c r="GR91" s="248" t="s">
        <v>468</v>
      </c>
      <c r="GS91" s="135">
        <f>CSX!GU27</f>
        <v>745</v>
      </c>
      <c r="GT91" s="135">
        <f>CSX!GV27</f>
        <v>733</v>
      </c>
      <c r="GU91" s="135">
        <f>CSX!GW27</f>
        <v>754</v>
      </c>
      <c r="GV91" s="135">
        <f>CSX!GX27</f>
        <v>723</v>
      </c>
      <c r="GW91" s="135">
        <f>CSX!GY27</f>
        <v>2955</v>
      </c>
      <c r="GY91" s="248" t="s">
        <v>468</v>
      </c>
      <c r="GZ91" s="135">
        <f>CSX!HB27</f>
        <v>662</v>
      </c>
      <c r="HA91" s="135">
        <f>CSX!HC27</f>
        <v>654</v>
      </c>
      <c r="HB91" s="135">
        <f>CSX!HD27</f>
        <v>653</v>
      </c>
      <c r="HC91" s="135">
        <f>CSX!HE27</f>
        <v>660</v>
      </c>
      <c r="HD91" s="135">
        <f>CSX!HF27</f>
        <v>2629</v>
      </c>
      <c r="HF91" s="248" t="s">
        <v>468</v>
      </c>
      <c r="HG91" s="135">
        <f>CSX!HI27</f>
        <v>729</v>
      </c>
      <c r="HH91" s="135">
        <f>CSX!HJ27</f>
        <v>721</v>
      </c>
      <c r="HI91" s="135">
        <f>CSX!HK27</f>
        <v>731</v>
      </c>
      <c r="HJ91" s="135">
        <f>CSX!HL27</f>
        <v>776</v>
      </c>
      <c r="HK91" s="135">
        <f>CSX!HM27</f>
        <v>2957</v>
      </c>
      <c r="HM91" s="248" t="s">
        <v>468</v>
      </c>
      <c r="HN91" s="135">
        <f>CSX!HP27</f>
        <v>765</v>
      </c>
      <c r="HO91" s="135">
        <f>CSX!HQ27</f>
        <v>764</v>
      </c>
      <c r="HP91" s="135">
        <f>CSX!HR27</f>
        <v>765</v>
      </c>
      <c r="HQ91" s="135">
        <f>CSX!HS27</f>
        <v>779</v>
      </c>
      <c r="HR91" s="135">
        <f>CSX!HT27</f>
        <v>3073</v>
      </c>
      <c r="HT91" s="248" t="s">
        <v>468</v>
      </c>
      <c r="HU91" s="135">
        <f>CSX!HW27</f>
        <v>770</v>
      </c>
      <c r="HV91" s="135">
        <f>CSX!HX27</f>
        <v>744</v>
      </c>
      <c r="HW91" s="135">
        <f>CSX!HY27</f>
        <v>754</v>
      </c>
      <c r="HX91" s="135">
        <f>CSX!HZ27</f>
        <v>752</v>
      </c>
      <c r="HY91" s="135">
        <f>CSX!IA27</f>
        <v>3020</v>
      </c>
      <c r="IA91" s="248" t="s">
        <v>468</v>
      </c>
      <c r="IB91" s="135">
        <f>CSX!ID27</f>
        <v>767</v>
      </c>
      <c r="IC91" s="135">
        <f>CSX!IE27</f>
        <v>777</v>
      </c>
      <c r="ID91" s="135">
        <f>CSX!IF27</f>
        <v>791</v>
      </c>
      <c r="IE91" s="135">
        <f>CSX!IG27</f>
        <v>803</v>
      </c>
      <c r="IF91" s="135">
        <f>CSX!IH27</f>
        <v>3138</v>
      </c>
      <c r="IH91" s="248" t="s">
        <v>468</v>
      </c>
      <c r="II91" s="135">
        <f>CSX!IK27</f>
        <v>814</v>
      </c>
      <c r="IJ91" s="135">
        <f>CSX!IL27</f>
        <v>809</v>
      </c>
      <c r="IK91" s="135">
        <f>CSX!IM27</f>
        <v>845</v>
      </c>
      <c r="IL91" s="135">
        <f>CSX!IN27</f>
        <v>909</v>
      </c>
      <c r="IM91" s="135">
        <f>CSX!IO27</f>
        <v>3377</v>
      </c>
      <c r="IO91" s="248" t="s">
        <v>468</v>
      </c>
      <c r="IP91" s="135">
        <f>CSX!IR27</f>
        <v>879</v>
      </c>
      <c r="IQ91" s="135">
        <f>CSX!IS27</f>
        <v>825</v>
      </c>
      <c r="IR91" s="135">
        <f>CSX!IT27</f>
        <v>787</v>
      </c>
      <c r="IS91" s="135">
        <f>CSX!IU27</f>
        <v>799</v>
      </c>
      <c r="IT91" s="135">
        <f>CSX!IV27</f>
        <v>3290</v>
      </c>
      <c r="IV91" s="248" t="s">
        <v>468</v>
      </c>
      <c r="IW91" s="135">
        <f>CSX!IY27</f>
        <v>796</v>
      </c>
      <c r="IX91" s="135">
        <f>CSX!IZ27</f>
        <v>749</v>
      </c>
      <c r="IY91" s="135">
        <f>CSX!JA27</f>
        <v>762</v>
      </c>
      <c r="IZ91" s="135">
        <f>CSX!JB27</f>
        <v>852</v>
      </c>
      <c r="JA91" s="135">
        <f>CSX!JC27</f>
        <v>3159</v>
      </c>
      <c r="JC91" s="248" t="s">
        <v>468</v>
      </c>
      <c r="JD91" s="135">
        <f>CSX!JF27</f>
        <v>795</v>
      </c>
      <c r="JE91" s="135">
        <f>CSX!JG27</f>
        <v>751</v>
      </c>
      <c r="JF91" s="135">
        <f>CSX!JH27</f>
        <v>725</v>
      </c>
      <c r="JG91" s="135">
        <f>CSX!JI27</f>
        <v>675</v>
      </c>
      <c r="JH91" s="135">
        <f>CSX!JJ27</f>
        <v>2946</v>
      </c>
      <c r="JJ91" s="248" t="s">
        <v>468</v>
      </c>
      <c r="JK91" s="135">
        <f>CSX!JM27</f>
        <v>696</v>
      </c>
      <c r="JL91" s="135">
        <f>CSX!JN27</f>
        <v>669</v>
      </c>
      <c r="JM91" s="135">
        <f>CSX!JO27</f>
        <v>695</v>
      </c>
      <c r="JN91" s="135">
        <f>CSX!JP27</f>
        <v>678</v>
      </c>
      <c r="JO91" s="135">
        <f>CSX!JQ27</f>
        <v>2738</v>
      </c>
      <c r="JQ91" s="248" t="s">
        <v>468</v>
      </c>
      <c r="JR91" s="135">
        <f>CSX!JT27</f>
        <v>672</v>
      </c>
      <c r="JS91" s="135">
        <f>CSX!JU27</f>
        <v>648</v>
      </c>
      <c r="JT91" s="135">
        <f>CSX!JV27</f>
        <v>638</v>
      </c>
      <c r="JU91" s="135">
        <f>CSX!JW27</f>
        <v>658</v>
      </c>
      <c r="JV91" s="135">
        <f>CSX!JX27</f>
        <v>2616</v>
      </c>
      <c r="JX91" s="248" t="s">
        <v>468</v>
      </c>
      <c r="JY91" s="135">
        <f>CSX!KA27</f>
        <v>606</v>
      </c>
      <c r="JZ91" s="135">
        <f>CSX!KB27</f>
        <v>507</v>
      </c>
      <c r="KA91" s="135">
        <f>CSX!KC27</f>
        <v>574</v>
      </c>
      <c r="KB91" s="135">
        <f>CSX!KD27</f>
        <v>588</v>
      </c>
      <c r="KC91" s="135">
        <f>CSX!KE27</f>
        <v>2275</v>
      </c>
      <c r="KE91" s="248" t="s">
        <v>468</v>
      </c>
      <c r="KF91" s="135">
        <f>CSX!KH27</f>
        <v>620</v>
      </c>
      <c r="KG91" s="135">
        <f>CSX!KI27</f>
        <v>596</v>
      </c>
      <c r="KH91" s="135">
        <f>CSX!KJ27</f>
        <v>631</v>
      </c>
      <c r="KI91" s="135">
        <f>CSX!KK27</f>
        <v>703</v>
      </c>
      <c r="KJ91" s="135">
        <f>CSX!KL27</f>
        <v>2550</v>
      </c>
      <c r="KL91" s="248" t="s">
        <v>468</v>
      </c>
      <c r="KM91" s="135">
        <f>CSX!KO27</f>
        <v>692</v>
      </c>
      <c r="KN91" s="135">
        <f>CSX!KP27</f>
        <v>684</v>
      </c>
      <c r="KO91" s="135">
        <f>CSX!KQ27</f>
        <v>759</v>
      </c>
      <c r="KP91" s="135">
        <f>CSX!KR27</f>
        <v>726</v>
      </c>
      <c r="KQ91" s="135">
        <f>CSX!KS27</f>
        <v>2861</v>
      </c>
      <c r="KS91" s="248" t="s">
        <v>468</v>
      </c>
      <c r="KT91" s="135">
        <f>CSX!KV27</f>
        <v>730</v>
      </c>
      <c r="KU91" s="135">
        <f>CSX!KW27</f>
        <v>748</v>
      </c>
      <c r="KV91" s="135">
        <f>CSX!KX27</f>
        <v>761</v>
      </c>
      <c r="KW91" s="135">
        <f>CSX!KY27-15</f>
        <v>798</v>
      </c>
      <c r="KX91" s="135">
        <f>CSX!KZ27</f>
        <v>3052</v>
      </c>
      <c r="KZ91" s="248" t="s">
        <v>468</v>
      </c>
      <c r="LA91" s="135">
        <f>Expense!LA7</f>
        <v>805</v>
      </c>
      <c r="LB91" s="135">
        <f>Expense!LB7</f>
        <v>766</v>
      </c>
      <c r="LC91" s="134">
        <f>Expense!LC7</f>
        <v>806</v>
      </c>
      <c r="LD91" s="134">
        <f>Expense!LD7</f>
        <v>788</v>
      </c>
      <c r="LE91" s="134">
        <f>Expense!LE7</f>
        <v>3165</v>
      </c>
      <c r="LF91" s="558"/>
      <c r="LG91" s="248" t="s">
        <v>468</v>
      </c>
      <c r="LH91" s="135">
        <f>Expense!LH7</f>
        <v>821</v>
      </c>
      <c r="LI91" s="134">
        <f>Expense!LI7</f>
        <v>791</v>
      </c>
      <c r="LJ91" s="134">
        <f>Expense!LJ7</f>
        <v>793</v>
      </c>
      <c r="LK91" s="134">
        <f>Expense!LK7</f>
        <v>804</v>
      </c>
      <c r="LL91" s="134">
        <f>Expense!LL7</f>
        <v>3209</v>
      </c>
      <c r="LM91" s="558"/>
      <c r="LN91" s="248" t="s">
        <v>468</v>
      </c>
      <c r="LO91" s="134">
        <f>Expense!LO7</f>
        <v>811.48396724042209</v>
      </c>
      <c r="LP91" s="134">
        <f>Expense!LP7</f>
        <v>777.24665993194378</v>
      </c>
      <c r="LQ91" s="134">
        <f>Expense!LQ7</f>
        <v>785.9609538131042</v>
      </c>
      <c r="LR91" s="134">
        <f>Expense!LR7</f>
        <v>806.03666014350938</v>
      </c>
      <c r="LS91" s="134">
        <f>Expense!LS7</f>
        <v>3180.7282411289793</v>
      </c>
      <c r="LT91" s="558"/>
      <c r="LU91" s="248" t="s">
        <v>468</v>
      </c>
      <c r="LV91" s="134">
        <f>Expense!LV7</f>
        <v>835.11461942884307</v>
      </c>
      <c r="LW91" s="134">
        <f>Expense!LW7</f>
        <v>802.15631522490423</v>
      </c>
      <c r="LX91" s="134">
        <f>Expense!LX7</f>
        <v>811.22336997851767</v>
      </c>
      <c r="LY91" s="134">
        <f>Expense!LY7</f>
        <v>833.40041291585123</v>
      </c>
      <c r="LZ91" s="134">
        <f>Expense!LZ7</f>
        <v>3281.8947175481162</v>
      </c>
      <c r="MA91" s="558"/>
      <c r="MB91" s="248" t="s">
        <v>468</v>
      </c>
      <c r="MC91" s="134">
        <f>Expense!MC7</f>
        <v>862.30726787428478</v>
      </c>
      <c r="MD91" s="134">
        <f>Expense!MD7</f>
        <v>829.17262414663969</v>
      </c>
      <c r="ME91" s="134">
        <f>Expense!ME7</f>
        <v>839.4500444194415</v>
      </c>
      <c r="MF91" s="134">
        <f>Expense!MF7</f>
        <v>863.32644410958915</v>
      </c>
      <c r="MG91" s="134">
        <f>Expense!MG7</f>
        <v>3394.2563805499549</v>
      </c>
      <c r="MH91" s="558"/>
    </row>
    <row r="92" spans="1:346" s="37" customFormat="1" ht="13.15" x14ac:dyDescent="0.4">
      <c r="A92" s="100"/>
      <c r="B92" s="249" t="s">
        <v>6</v>
      </c>
      <c r="C92" s="250"/>
      <c r="D92" s="250"/>
      <c r="E92" s="250">
        <f>E91/CSX!E20</f>
        <v>0.43678282593047385</v>
      </c>
      <c r="F92" s="250">
        <f>F91/CSX!F20</f>
        <v>0.43115318416523235</v>
      </c>
      <c r="G92" s="250">
        <f>G91/CSX!G20</f>
        <v>0.45973223480947478</v>
      </c>
      <c r="H92" s="250">
        <f>H91/CSX!H20</f>
        <v>0.48551611587107302</v>
      </c>
      <c r="I92" s="250">
        <f>I91/CSX!I20</f>
        <v>0.45274254064677505</v>
      </c>
      <c r="J92" s="250">
        <f>J91/CSX!J20</f>
        <v>0.42659951501585525</v>
      </c>
      <c r="K92" s="250">
        <f>K91/CSX!K20</f>
        <v>0.35856573705179284</v>
      </c>
      <c r="L92" s="250">
        <f>L91/CSX!L20</f>
        <v>0.37309352517985611</v>
      </c>
      <c r="M92" s="250">
        <f>M91/CSX!M20</f>
        <v>0.36037934668071653</v>
      </c>
      <c r="N92" s="250">
        <f>BT92</f>
        <v>0.35610071013557132</v>
      </c>
      <c r="O92" s="250">
        <f>CA92</f>
        <v>0.34197338140622718</v>
      </c>
      <c r="P92" s="250">
        <f>CH92</f>
        <v>0.32942347996248389</v>
      </c>
      <c r="Q92" s="250">
        <f>CO92</f>
        <v>0.31978108791976273</v>
      </c>
      <c r="R92" s="250">
        <f>CV92</f>
        <v>0.31396454337005758</v>
      </c>
      <c r="S92" s="250">
        <f>DC92</f>
        <v>0.2997502081598668</v>
      </c>
      <c r="T92" s="250">
        <f>DJ92</f>
        <v>0.28896545031055898</v>
      </c>
      <c r="U92" s="250">
        <f>DQ92</f>
        <v>0.28796507213363703</v>
      </c>
      <c r="V92" s="250">
        <f>DX92</f>
        <v>0.28030648545106268</v>
      </c>
      <c r="W92" s="250">
        <f>EE92</f>
        <v>0.30250481695568399</v>
      </c>
      <c r="X92" s="250">
        <f>EL92</f>
        <v>0.30579964850615116</v>
      </c>
      <c r="Y92" s="250">
        <f>ES92</f>
        <v>0.34380557202133966</v>
      </c>
      <c r="Z92" s="250">
        <f>EZ92</f>
        <v>0.36140567200986434</v>
      </c>
      <c r="AA92" s="250">
        <f>FG92</f>
        <v>0.35475956820412169</v>
      </c>
      <c r="AB92" s="250">
        <f>FN92</f>
        <v>0.34729747588211973</v>
      </c>
      <c r="AC92" s="250">
        <f>FU92</f>
        <v>0.34392523364485983</v>
      </c>
      <c r="AD92" s="250">
        <f>GB92</f>
        <v>0.33298453668178118</v>
      </c>
      <c r="AE92" s="250">
        <f>GI92</f>
        <v>0.30545682625966969</v>
      </c>
      <c r="AF92" s="250">
        <f>GP92</f>
        <v>0.29770687936191426</v>
      </c>
      <c r="AG92" s="250">
        <f>GW92</f>
        <v>0.26254997778764994</v>
      </c>
      <c r="AH92" s="250">
        <f>HD92</f>
        <v>0.29078641743170003</v>
      </c>
      <c r="AI92" s="250">
        <f>HK92</f>
        <v>0.27801805189921025</v>
      </c>
      <c r="AJ92" s="250">
        <f>HR92</f>
        <v>0.26168781401686109</v>
      </c>
      <c r="AK92" s="250">
        <f>HY92</f>
        <v>0.25689009867301804</v>
      </c>
      <c r="AL92" s="250">
        <f>IF92</f>
        <v>0.26024216287941615</v>
      </c>
      <c r="AM92" s="250">
        <f>IM92</f>
        <v>0.26655616070723814</v>
      </c>
      <c r="AN92" s="250">
        <f>IT92</f>
        <v>0.27855389044111423</v>
      </c>
      <c r="AO92" s="250">
        <f>JA92</f>
        <v>0.28539163429397418</v>
      </c>
      <c r="AP92" s="250">
        <f>JH92</f>
        <v>0.25823983169705472</v>
      </c>
      <c r="AQ92" s="250">
        <f>JO92</f>
        <v>0.22351020408163266</v>
      </c>
      <c r="AR92" s="250">
        <f>JV92</f>
        <v>0.21915054033676803</v>
      </c>
      <c r="AS92" s="250">
        <f>KC92</f>
        <v>0.21496740054804875</v>
      </c>
      <c r="AT92" s="250">
        <f>KJ92</f>
        <v>0.20364159080019167</v>
      </c>
      <c r="AU92" s="250">
        <f>KQ92</f>
        <v>0.19262101932269576</v>
      </c>
      <c r="AV92" s="250">
        <f>KX92</f>
        <v>0.20822815037183598</v>
      </c>
      <c r="AW92" s="250">
        <f>LE92</f>
        <v>0.21767537826685007</v>
      </c>
      <c r="AX92" s="250">
        <f>LL92</f>
        <v>0.22771785410161793</v>
      </c>
      <c r="AY92" s="250">
        <f>LS92</f>
        <v>0.21943933534645801</v>
      </c>
      <c r="AZ92" s="250">
        <f>LZ92</f>
        <v>0.21618569720241257</v>
      </c>
      <c r="BA92" s="250">
        <f>MG92</f>
        <v>0.21416707930363407</v>
      </c>
      <c r="BB92" s="250"/>
      <c r="BC92" s="250"/>
      <c r="BD92" s="250"/>
      <c r="BE92" s="250"/>
      <c r="BF92" s="250"/>
      <c r="BG92" s="250"/>
      <c r="BH92" s="250"/>
      <c r="BI92" s="250"/>
      <c r="BJ92" s="250"/>
      <c r="BK92" s="250"/>
      <c r="BL92" s="250"/>
      <c r="BM92" s="250"/>
      <c r="BO92" s="249" t="s">
        <v>6</v>
      </c>
      <c r="BP92" s="250">
        <f>BP91/CSX!BR20</f>
        <v>0.36826119969627941</v>
      </c>
      <c r="BQ92" s="250">
        <f>BQ91/CSX!BS20</f>
        <v>0.34650455927051671</v>
      </c>
      <c r="BR92" s="250">
        <f>BR91/CSX!BT20</f>
        <v>0.35870885942205083</v>
      </c>
      <c r="BS92" s="250">
        <f>BS91/CSX!BU20</f>
        <v>0.35196382047878877</v>
      </c>
      <c r="BT92" s="250">
        <f>BT91/CSX!BV20</f>
        <v>0.35610071013557132</v>
      </c>
      <c r="BV92" s="249" t="s">
        <v>6</v>
      </c>
      <c r="BW92" s="250">
        <f>BW91/CSX!BY20</f>
        <v>0.36536142999423388</v>
      </c>
      <c r="BX92" s="250">
        <f>BX91/CSX!BZ20</f>
        <v>0.34540036152230202</v>
      </c>
      <c r="BY92" s="250">
        <f>BY91/CSX!CA20</f>
        <v>0.3436742607852642</v>
      </c>
      <c r="BZ92" s="250">
        <f>BZ91/CSX!CB20</f>
        <v>0.31676857655720553</v>
      </c>
      <c r="CA92" s="250">
        <f>CA91/CSX!CC20</f>
        <v>0.34197338140622718</v>
      </c>
      <c r="CC92" s="249" t="s">
        <v>6</v>
      </c>
      <c r="CD92" s="250">
        <f>CD91/CSX!CF20</f>
        <v>0.34231394375215485</v>
      </c>
      <c r="CE92" s="250">
        <f>CE91/CSX!CG20</f>
        <v>0.32376470588235295</v>
      </c>
      <c r="CF92" s="250">
        <f>CF91/CSX!CH20</f>
        <v>0.32337067440700257</v>
      </c>
      <c r="CG92" s="250">
        <f>CG91/CSX!CI20</f>
        <v>0.32907165766003255</v>
      </c>
      <c r="CH92" s="250">
        <f>CH91/CSX!CJ20</f>
        <v>0.32942347996248389</v>
      </c>
      <c r="CJ92" s="249" t="s">
        <v>6</v>
      </c>
      <c r="CK92" s="250">
        <f>CK91/CSX!CM20</f>
        <v>0.3460506134969325</v>
      </c>
      <c r="CL92" s="250">
        <f>CL91/CSX!CN20</f>
        <v>0.31944063613929258</v>
      </c>
      <c r="CM92" s="250">
        <f>CM91/CSX!CO20</f>
        <v>0.30303030303030298</v>
      </c>
      <c r="CN92" s="250">
        <f>CN91/CSX!CP20</f>
        <v>0.31222162836272943</v>
      </c>
      <c r="CO92" s="250">
        <f>CO91/CSX!CQ20</f>
        <v>0.31978108791976273</v>
      </c>
      <c r="CQ92" s="249" t="s">
        <v>6</v>
      </c>
      <c r="CR92" s="250">
        <f>CR91/CSX!CT20</f>
        <v>0.33250129515377003</v>
      </c>
      <c r="CS92" s="250">
        <f>CS91/CSX!CU20</f>
        <v>0.30218687872763417</v>
      </c>
      <c r="CT92" s="250">
        <f>CT91/CSX!CV20</f>
        <v>0.31134140349309869</v>
      </c>
      <c r="CU92" s="250">
        <f>CU91/CSX!CW20</f>
        <v>0.31101511879049676</v>
      </c>
      <c r="CV92" s="250">
        <f>CV91/CSX!CX20</f>
        <v>0.31396454337005758</v>
      </c>
      <c r="CX92" s="249" t="s">
        <v>6</v>
      </c>
      <c r="CY92" s="250">
        <f>CY91/CSX!DA20</f>
        <v>0.32510103277952401</v>
      </c>
      <c r="CZ92" s="250">
        <f>CZ91/CSX!DB20</f>
        <v>0.29776465626318011</v>
      </c>
      <c r="DA92" s="250">
        <f>DA91/CSX!DC20</f>
        <v>0.28825910931174087</v>
      </c>
      <c r="DB92" s="250">
        <f>DB91/CSX!DD20</f>
        <v>0.29055118110236222</v>
      </c>
      <c r="DC92" s="250">
        <f>DC91/CSX!DE20</f>
        <v>0.2997502081598668</v>
      </c>
      <c r="DE92" s="249" t="s">
        <v>6</v>
      </c>
      <c r="DF92" s="250">
        <f>DF91/CSX!DH20</f>
        <v>0.30400981996726678</v>
      </c>
      <c r="DG92" s="250">
        <f>DG91/CSX!DI20</f>
        <v>0.2875637504903884</v>
      </c>
      <c r="DH92" s="250">
        <f>DH91/CSX!DJ20</f>
        <v>0.28546712802768165</v>
      </c>
      <c r="DI92" s="250">
        <f>DI91/CSX!DK20</f>
        <v>0.28007380073800736</v>
      </c>
      <c r="DJ92" s="250">
        <f>DJ91/CSX!DL20</f>
        <v>0.28896545031055898</v>
      </c>
      <c r="DL92" s="249" t="s">
        <v>6</v>
      </c>
      <c r="DM92" s="250">
        <f>DM91/CSX!DO20</f>
        <v>0.30429594272076371</v>
      </c>
      <c r="DN92" s="250">
        <f>DN91/CSX!DP20</f>
        <v>0.28705089820359281</v>
      </c>
      <c r="DO92" s="250">
        <f>DO91/CSX!DQ20</f>
        <v>0.28598413298073289</v>
      </c>
      <c r="DP92" s="250">
        <f>DP91/CSX!DR20</f>
        <v>0.27561968183499813</v>
      </c>
      <c r="DQ92" s="250">
        <f>DQ91/CSX!DS20</f>
        <v>0.28796507213363703</v>
      </c>
      <c r="DS92" s="249" t="s">
        <v>6</v>
      </c>
      <c r="DT92" s="250">
        <f>DT91/CSX!DV20</f>
        <v>0.29684456564082584</v>
      </c>
      <c r="DU92" s="250">
        <f>DU91/CSX!DW20</f>
        <v>0.28192681105302464</v>
      </c>
      <c r="DV92" s="250">
        <f>DV91/CSX!DX20</f>
        <v>0.27708703374777977</v>
      </c>
      <c r="DW92" s="250">
        <f>DW91/CSX!DY20</f>
        <v>0.2673096796417499</v>
      </c>
      <c r="DX92" s="250">
        <f>DX91/CSX!DZ20</f>
        <v>0.28030648545106268</v>
      </c>
      <c r="DZ92" s="249" t="s">
        <v>6</v>
      </c>
      <c r="EA92" s="250">
        <f>EA91/CSX!EC20</f>
        <v>0.31654381654381653</v>
      </c>
      <c r="EB92" s="250">
        <f>EB91/CSX!ED20</f>
        <v>0.28875502008032128</v>
      </c>
      <c r="EC92" s="250">
        <f>EC91/CSX!EE20</f>
        <v>0.30794565664882667</v>
      </c>
      <c r="ED92" s="250">
        <f>ED91/CSX!EF20</f>
        <v>0.29720000000000002</v>
      </c>
      <c r="EE92" s="250">
        <f>EE91/CSX!EG20</f>
        <v>0.30250481695568399</v>
      </c>
      <c r="EG92" s="249" t="s">
        <v>6</v>
      </c>
      <c r="EH92" s="250">
        <f>EH91/CSX!EJ20</f>
        <v>0.31326249508067688</v>
      </c>
      <c r="EI92" s="250">
        <f>EI91/CSX!EK20</f>
        <v>0.30810397553516822</v>
      </c>
      <c r="EJ92" s="250">
        <f>EJ91/CSX!EL20</f>
        <v>0.30041293874741914</v>
      </c>
      <c r="EK92" s="250">
        <f>EK91/CSX!EM20</f>
        <v>0.30240174672489084</v>
      </c>
      <c r="EL92" s="250">
        <f>EL91/CSX!EN20</f>
        <v>0.30579964850615116</v>
      </c>
      <c r="EN92" s="249" t="s">
        <v>6</v>
      </c>
      <c r="EO92" s="250">
        <f>EO91/CSX!EQ20</f>
        <v>0.33861201676758268</v>
      </c>
      <c r="EP92" s="250">
        <f>EP91/CSX!ER20</f>
        <v>0.33151680290644869</v>
      </c>
      <c r="EQ92" s="250">
        <f>EQ91/CSX!ES20</f>
        <v>0.35654732712113779</v>
      </c>
      <c r="ER92" s="250">
        <f>ER91/CSX!ET20</f>
        <v>0.34978016609672691</v>
      </c>
      <c r="ES92" s="250">
        <f>ES91/CSX!EU20</f>
        <v>0.34380557202133966</v>
      </c>
      <c r="EU92" s="249" t="s">
        <v>6</v>
      </c>
      <c r="EV92" s="250">
        <f>EV91/CSX!EX20</f>
        <v>0.37185185185185188</v>
      </c>
      <c r="EW92" s="250">
        <f>EW91/CSX!EY20</f>
        <v>0.35974720466699078</v>
      </c>
      <c r="EX92" s="250">
        <f>EX91/CSX!EZ20</f>
        <v>0.35066864784546803</v>
      </c>
      <c r="EY92" s="250">
        <f>EY91/CSX!FA20</f>
        <v>0.36336485813837732</v>
      </c>
      <c r="EZ92" s="250">
        <f>EZ91/CSX!FB20</f>
        <v>0.36140567200986434</v>
      </c>
      <c r="FB92" s="249" t="s">
        <v>6</v>
      </c>
      <c r="FC92" s="250">
        <f>FC91/CSX!FE20</f>
        <v>0.37118126272912422</v>
      </c>
      <c r="FD92" s="250">
        <f>FD91/CSX!FF20</f>
        <v>0.34587554269175108</v>
      </c>
      <c r="FE92" s="250">
        <f>FE91/CSX!FG20</f>
        <v>0.34939172749391728</v>
      </c>
      <c r="FF92" s="250">
        <f>FF91/CSX!FH20</f>
        <v>0.35339805825242721</v>
      </c>
      <c r="FG92" s="250">
        <f>FG91/CSX!FI20</f>
        <v>0.35475956820412169</v>
      </c>
      <c r="FI92" s="249" t="s">
        <v>6</v>
      </c>
      <c r="FJ92" s="250">
        <f>FJ91/CSX!FL20</f>
        <v>0.34030612244897956</v>
      </c>
      <c r="FK92" s="250">
        <f>FK91/CSX!FM20</f>
        <v>0.35116525423728812</v>
      </c>
      <c r="FL92" s="250">
        <f>FL91/CSX!FN20</f>
        <v>0.35271530444322546</v>
      </c>
      <c r="FM92" s="250">
        <f>FM91/CSX!FO20</f>
        <v>0.34546413502109707</v>
      </c>
      <c r="FN92" s="250">
        <f>FN91/CSX!FP20</f>
        <v>0.34729747588211973</v>
      </c>
      <c r="FP92" s="249" t="s">
        <v>6</v>
      </c>
      <c r="FQ92" s="250">
        <f>FQ91/CSX!FS20</f>
        <v>0.35677083333333331</v>
      </c>
      <c r="FR92" s="250">
        <f>FR91/CSX!FT20</f>
        <v>0.33283208020050126</v>
      </c>
      <c r="FS92" s="250">
        <f>FS91/CSX!FU20</f>
        <v>0.34623323013415891</v>
      </c>
      <c r="FT92" s="250">
        <f>FT91/CSX!FV20</f>
        <v>0.3406998158379374</v>
      </c>
      <c r="FU92" s="250">
        <f>FU91/CSX!FW20</f>
        <v>0.34392523364485983</v>
      </c>
      <c r="FW92" s="249" t="s">
        <v>6</v>
      </c>
      <c r="FX92" s="250">
        <f>FX91/CSX!FZ20</f>
        <v>0.33301707779886147</v>
      </c>
      <c r="FY92" s="250">
        <f>FY91/CSX!GA20</f>
        <v>0.32852489530013962</v>
      </c>
      <c r="FZ92" s="250">
        <f>FZ91/CSX!GB20</f>
        <v>0.3411764705882353</v>
      </c>
      <c r="GA92" s="250">
        <f>GA91/CSX!GC20</f>
        <v>0.32942767012167645</v>
      </c>
      <c r="GB92" s="250">
        <f>GB91/CSX!GD20</f>
        <v>0.33298453668178118</v>
      </c>
      <c r="GD92" s="249" t="s">
        <v>6</v>
      </c>
      <c r="GE92" s="250">
        <f>GE91/CSX!GG20</f>
        <v>0.30802230802230801</v>
      </c>
      <c r="GF92" s="250">
        <f>GF91/CSX!GH20</f>
        <v>0.29533250722841803</v>
      </c>
      <c r="GG92" s="250">
        <f>GG91/CSX!GI20</f>
        <v>0.30438378825475598</v>
      </c>
      <c r="GH92" s="250">
        <f>GH91/CSX!GJ20</f>
        <v>0.31427378964941571</v>
      </c>
      <c r="GI92" s="250">
        <f>GI91/CSX!GK20</f>
        <v>0.30545682625966969</v>
      </c>
      <c r="GK92" s="249" t="s">
        <v>6</v>
      </c>
      <c r="GL92" s="250">
        <f>GL91/CSX!GN20</f>
        <v>0.30305532617671344</v>
      </c>
      <c r="GM92" s="250">
        <f>GM91/CSX!GO20</f>
        <v>0.29367588932806327</v>
      </c>
      <c r="GN92" s="250">
        <f>GN91/CSX!GP20</f>
        <v>0.29908036785285885</v>
      </c>
      <c r="GO92" s="250">
        <f>GO91/CSX!GQ20</f>
        <v>0.29530461777260381</v>
      </c>
      <c r="GP92" s="250">
        <f>GP91/CSX!GR20</f>
        <v>0.29770687936191426</v>
      </c>
      <c r="GR92" s="249" t="s">
        <v>6</v>
      </c>
      <c r="GS92" s="250">
        <f>GS91/CSX!GU20</f>
        <v>0.27460375967563583</v>
      </c>
      <c r="GT92" s="250">
        <f>GT91/CSX!GV20</f>
        <v>0.25214998280013762</v>
      </c>
      <c r="GU92" s="250">
        <f>GU91/CSX!GW20</f>
        <v>0.2546437014522121</v>
      </c>
      <c r="GV92" s="250">
        <f>GV91/CSX!GX20</f>
        <v>0.27038145100972327</v>
      </c>
      <c r="GW92" s="250">
        <f>GW91/CSX!GY20</f>
        <v>0.26254997778764994</v>
      </c>
      <c r="GY92" s="249" t="s">
        <v>6</v>
      </c>
      <c r="GZ92" s="250">
        <f>GZ91/CSX!HB20</f>
        <v>0.2946150422785937</v>
      </c>
      <c r="HA92" s="250">
        <f>HA91/CSX!HC20</f>
        <v>0.29931350114416477</v>
      </c>
      <c r="HB92" s="250">
        <f>HB91/CSX!HD20</f>
        <v>0.2852774137177807</v>
      </c>
      <c r="HC92" s="250">
        <f>HC91/CSX!HE20</f>
        <v>0.28448275862068967</v>
      </c>
      <c r="HD92" s="250">
        <f>HD91/CSX!HF20</f>
        <v>0.29078641743170003</v>
      </c>
      <c r="HF92" s="249" t="s">
        <v>6</v>
      </c>
      <c r="HG92" s="250">
        <f>HG91/CSX!HI20</f>
        <v>0.29265355279004418</v>
      </c>
      <c r="HH92" s="250">
        <f>HH91/CSX!HJ20</f>
        <v>0.27074727750657152</v>
      </c>
      <c r="HI92" s="250">
        <f>HI91/CSX!HK20</f>
        <v>0.27419354838709675</v>
      </c>
      <c r="HJ92" s="250">
        <f>HJ91/CSX!HL20</f>
        <v>0.27556818181818182</v>
      </c>
      <c r="HK92" s="250">
        <f>HK91/CSX!HM20</f>
        <v>0.27801805189921025</v>
      </c>
      <c r="HM92" s="249" t="s">
        <v>6</v>
      </c>
      <c r="HN92" s="250">
        <f>HN91/CSX!HP20</f>
        <v>0.27224199288256229</v>
      </c>
      <c r="HO92" s="250">
        <f>HO91/CSX!HQ20</f>
        <v>0.25306392845313019</v>
      </c>
      <c r="HP92" s="250">
        <f>HP91/CSX!HR20</f>
        <v>0.25818427269659128</v>
      </c>
      <c r="HQ92" s="250">
        <f>HQ91/CSX!HS20</f>
        <v>0.26397831243646219</v>
      </c>
      <c r="HR92" s="250">
        <f>HR91/CSX!HT20</f>
        <v>0.26168781401686109</v>
      </c>
      <c r="HT92" s="249" t="s">
        <v>6</v>
      </c>
      <c r="HU92" s="250">
        <f>HU91/CSX!HW20</f>
        <v>0.25960890087660149</v>
      </c>
      <c r="HV92" s="250">
        <f>HV91/CSX!HX20</f>
        <v>0.24701195219123506</v>
      </c>
      <c r="HW92" s="250">
        <f>HW91/CSX!HY20</f>
        <v>0.26053904630269525</v>
      </c>
      <c r="HX92" s="250">
        <f>HX91/CSX!HZ20</f>
        <v>0.26074895977808599</v>
      </c>
      <c r="HY92" s="250">
        <f>HY91/CSX!IA20</f>
        <v>0.25689009867301804</v>
      </c>
      <c r="IA92" s="249" t="s">
        <v>6</v>
      </c>
      <c r="IB92" s="250">
        <f>IB91/CSX!ID20</f>
        <v>0.25929682217714672</v>
      </c>
      <c r="IC92" s="250">
        <f>IC91/CSX!IE20</f>
        <v>0.25317693059628543</v>
      </c>
      <c r="ID92" s="250">
        <f>ID91/CSX!IF20</f>
        <v>0.26375458486162057</v>
      </c>
      <c r="IE92" s="250">
        <f>IE91/CSX!IG20</f>
        <v>0.26484168865435354</v>
      </c>
      <c r="IF92" s="250">
        <f>IF91/CSX!IH20</f>
        <v>0.26024216287941615</v>
      </c>
      <c r="IH92" s="249" t="s">
        <v>6</v>
      </c>
      <c r="II92" s="250">
        <f>II91/CSX!IK20</f>
        <v>0.27025232403718458</v>
      </c>
      <c r="IJ92" s="250">
        <f>IJ91/CSX!IL20</f>
        <v>0.24938347718865597</v>
      </c>
      <c r="IK92" s="250">
        <f>IK91/CSX!IM20</f>
        <v>0.26234088792300525</v>
      </c>
      <c r="IL92" s="250">
        <f>IL91/CSX!IN20</f>
        <v>0.28477443609022557</v>
      </c>
      <c r="IM92" s="250">
        <f>IM91/CSX!IO20</f>
        <v>0.26655616070723814</v>
      </c>
      <c r="IO92" s="249" t="s">
        <v>6</v>
      </c>
      <c r="IP92" s="250">
        <f>IP91/CSX!IR20</f>
        <v>0.29038652130822595</v>
      </c>
      <c r="IQ92" s="250">
        <f>IQ91/CSX!IS20</f>
        <v>0.26925587467362927</v>
      </c>
      <c r="IR92" s="250">
        <f>IR91/CSX!IT20</f>
        <v>0.26777815583531811</v>
      </c>
      <c r="IS92" s="250">
        <f>IS91/CSX!IU20</f>
        <v>0.28730672419992809</v>
      </c>
      <c r="IT92" s="250">
        <f>IT91/CSX!IV20</f>
        <v>0.27855389044111423</v>
      </c>
      <c r="IV92" s="249" t="s">
        <v>6</v>
      </c>
      <c r="IW92" s="250">
        <f>IW91/CSX!IY20</f>
        <v>0.30404889228418641</v>
      </c>
      <c r="IX92" s="250">
        <f>IX91/CSX!IZ20</f>
        <v>0.27699704142011833</v>
      </c>
      <c r="IY92" s="250">
        <f>IY91/CSX!JA20</f>
        <v>0.2811808118081181</v>
      </c>
      <c r="IZ92" s="250">
        <f>IZ91/CSX!JB20</f>
        <v>0.28054000658544614</v>
      </c>
      <c r="JA92" s="250">
        <f>JA91/CSX!JC20</f>
        <v>0.28539163429397418</v>
      </c>
      <c r="JC92" s="249" t="s">
        <v>6</v>
      </c>
      <c r="JD92" s="250">
        <f>JD91/CSX!JF20</f>
        <v>0.27710003485535029</v>
      </c>
      <c r="JE92" s="250">
        <f>JE91/CSX!JG20</f>
        <v>0.25605182407091714</v>
      </c>
      <c r="JF92" s="250">
        <f>JF91/CSX!JH20</f>
        <v>0.26430915056507476</v>
      </c>
      <c r="JG92" s="250">
        <f>JG91/CSX!JI20</f>
        <v>0.2357666783094656</v>
      </c>
      <c r="JH92" s="250">
        <f>JH91/CSX!JJ20</f>
        <v>0.25823983169705472</v>
      </c>
      <c r="JJ92" s="249" t="s">
        <v>6</v>
      </c>
      <c r="JK92" s="250">
        <f>JK91/CSX!JM20</f>
        <v>0.24200278164116829</v>
      </c>
      <c r="JL92" s="250">
        <f>JL91/CSX!JN20</f>
        <v>0.21566731141199227</v>
      </c>
      <c r="JM92" s="250">
        <f>JM91/CSX!JO20</f>
        <v>0.22211569191434963</v>
      </c>
      <c r="JN92" s="250">
        <f>JN91/CSX!JP20</f>
        <v>0.215717467387846</v>
      </c>
      <c r="JO92" s="250">
        <f>JO91/CSX!JQ20</f>
        <v>0.22351020408163266</v>
      </c>
      <c r="JQ92" s="249" t="s">
        <v>6</v>
      </c>
      <c r="JR92" s="250">
        <f>JR91/CSX!JT20</f>
        <v>0.22303352140723531</v>
      </c>
      <c r="JS92" s="250">
        <f>JS91/CSX!JU20</f>
        <v>0.21169552433845149</v>
      </c>
      <c r="JT92" s="250">
        <f>JT91/CSX!JV20</f>
        <v>0.21423774345198118</v>
      </c>
      <c r="JU92" s="250">
        <f>JU91/CSX!JW20</f>
        <v>0.22807625649913346</v>
      </c>
      <c r="JV92" s="250">
        <f>JV91/CSX!JX20</f>
        <v>0.21915054033676803</v>
      </c>
      <c r="JX92" s="249" t="s">
        <v>6</v>
      </c>
      <c r="JY92" s="250">
        <f>JY91/CSX!KA20</f>
        <v>0.21225919439579685</v>
      </c>
      <c r="JZ92" s="250">
        <f>JZ91/CSX!KB20</f>
        <v>0.22483370288248336</v>
      </c>
      <c r="KA92" s="250">
        <f>KA91/CSX!KC20</f>
        <v>0.21676737160120846</v>
      </c>
      <c r="KB92" s="250">
        <f>KB91/CSX!KD20</f>
        <v>0.20814159292035397</v>
      </c>
      <c r="KC92" s="250">
        <f>KC91/CSX!KE20</f>
        <v>0.21496740054804875</v>
      </c>
      <c r="KE92" s="249" t="s">
        <v>6</v>
      </c>
      <c r="KF92" s="250">
        <f>KF91/CSX!KH20</f>
        <v>0.22040526128688234</v>
      </c>
      <c r="KG92" s="250">
        <f>KG91/CSX!KI20</f>
        <v>0.19933110367892976</v>
      </c>
      <c r="KH92" s="250">
        <f>KH91/CSX!KJ20</f>
        <v>0.19167679222357228</v>
      </c>
      <c r="KI92" s="250">
        <f>KI91/CSX!KK20</f>
        <v>0.20513568718996206</v>
      </c>
      <c r="KJ92" s="250">
        <f>KJ91/CSX!KL20</f>
        <v>0.20364159080019167</v>
      </c>
      <c r="KL92" s="249" t="s">
        <v>6</v>
      </c>
      <c r="KM92" s="250">
        <f>KM91/CSX!KO20</f>
        <v>0.20275417521242309</v>
      </c>
      <c r="KN92" s="250">
        <f>KN91/CSX!KP20</f>
        <v>0.17929226736566187</v>
      </c>
      <c r="KO92" s="250">
        <f>KO91/CSX!KQ20</f>
        <v>0.19486521181001284</v>
      </c>
      <c r="KP92" s="250">
        <f>KP91/CSX!KR20</f>
        <v>0.19463806970509384</v>
      </c>
      <c r="KQ92" s="250">
        <f>KQ91/CSX!KS20</f>
        <v>0.19262101932269576</v>
      </c>
      <c r="KS92" s="249" t="s">
        <v>6</v>
      </c>
      <c r="KT92" s="250">
        <f>KT91/CSX!KV20</f>
        <v>0.19697787371829464</v>
      </c>
      <c r="KU92" s="250">
        <f>KU91/CSX!KW20</f>
        <v>0.20221681535550148</v>
      </c>
      <c r="KV92" s="250">
        <f>KV91/CSX!KX20</f>
        <v>0.21304591265397538</v>
      </c>
      <c r="KW92" s="250">
        <f>KW91/CSX!KY20</f>
        <v>0.21684782608695652</v>
      </c>
      <c r="KX92" s="250">
        <f>KX91/CSX!KZ20</f>
        <v>0.20822815037183598</v>
      </c>
      <c r="KZ92" s="249" t="s">
        <v>6</v>
      </c>
      <c r="LA92" s="250">
        <f>LA91/CSX!LC20</f>
        <v>0.21869057321380059</v>
      </c>
      <c r="LB92" s="275">
        <f>LB91/CSX!LD20</f>
        <v>0.20697108889489327</v>
      </c>
      <c r="LC92" s="275">
        <f>LC91/CSX!LE20</f>
        <v>0.22271345675600995</v>
      </c>
      <c r="LD92" s="275">
        <f>LD91/CSX!LF20</f>
        <v>0.22266176886126024</v>
      </c>
      <c r="LE92" s="302">
        <f>LE91/CSX!LG20</f>
        <v>0.21767537826685007</v>
      </c>
      <c r="LF92" s="589"/>
      <c r="LG92" s="249" t="s">
        <v>6</v>
      </c>
      <c r="LH92" s="250">
        <f>LH91/CSX!LJ20</f>
        <v>0.23984808647385333</v>
      </c>
      <c r="LI92" s="275">
        <f>LI91/CSX!LK20</f>
        <v>0.2213206491326245</v>
      </c>
      <c r="LJ92" s="275">
        <f>LJ91/CSX!LL20</f>
        <v>0.22107610816838583</v>
      </c>
      <c r="LK92" s="275">
        <f>LK91/CSX!LM20</f>
        <v>0.22919042189281641</v>
      </c>
      <c r="LL92" s="302">
        <f>LL91/CSX!LN20</f>
        <v>0.22771785410161793</v>
      </c>
      <c r="LM92" s="589"/>
      <c r="LN92" s="249" t="s">
        <v>6</v>
      </c>
      <c r="LO92" s="275">
        <f>LO91/CSX!LQ20</f>
        <v>0.23447754318921407</v>
      </c>
      <c r="LP92" s="275">
        <f>LP91/CSX!LR20</f>
        <v>0.21377067952131246</v>
      </c>
      <c r="LQ92" s="275">
        <f>LQ91/CSX!LS20</f>
        <v>0.21219625457248054</v>
      </c>
      <c r="LR92" s="275">
        <f>LR91/CSX!LT20</f>
        <v>0.21819250340858085</v>
      </c>
      <c r="LS92" s="302">
        <f>LS91/CSX!LU20</f>
        <v>0.21943933534645801</v>
      </c>
      <c r="LT92" s="589"/>
      <c r="LU92" s="249" t="s">
        <v>6</v>
      </c>
      <c r="LV92" s="275">
        <f>LV91/CSX!LX20</f>
        <v>0.2301710496132208</v>
      </c>
      <c r="LW92" s="275">
        <f>LW91/CSX!LY20</f>
        <v>0.21059759063509106</v>
      </c>
      <c r="LX92" s="275">
        <f>LX91/CSX!LZ20</f>
        <v>0.20929333992868732</v>
      </c>
      <c r="LY92" s="275">
        <f>LY91/CSX!MA20</f>
        <v>0.21547663298534131</v>
      </c>
      <c r="LZ92" s="302">
        <f>LZ91/CSX!MB20</f>
        <v>0.21618569720241257</v>
      </c>
      <c r="MA92" s="589"/>
      <c r="MB92" s="249" t="s">
        <v>6</v>
      </c>
      <c r="MC92" s="275">
        <f>MC91/CSX!ME20</f>
        <v>0.22746321999861255</v>
      </c>
      <c r="MD92" s="275">
        <f>MD91/CSX!MF20</f>
        <v>0.20847914406080001</v>
      </c>
      <c r="ME92" s="275">
        <f>ME91/CSX!MG20</f>
        <v>0.20747103355469257</v>
      </c>
      <c r="MF92" s="275">
        <f>MF91/CSX!MH20</f>
        <v>0.21399602166535142</v>
      </c>
      <c r="MG92" s="302">
        <f>MG91/CSX!MI20</f>
        <v>0.21416707930363407</v>
      </c>
      <c r="MH92" s="589"/>
    </row>
    <row r="93" spans="1:346" s="37" customFormat="1" ht="13.15" x14ac:dyDescent="0.4">
      <c r="A93" s="100"/>
      <c r="B93" s="113"/>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O93" s="113"/>
      <c r="BP93" s="104"/>
      <c r="BQ93" s="104"/>
      <c r="BR93" s="104"/>
      <c r="BS93" s="104"/>
      <c r="BT93" s="104"/>
      <c r="BV93" s="113"/>
      <c r="BW93" s="104"/>
      <c r="BX93" s="104"/>
      <c r="BY93" s="104"/>
      <c r="BZ93" s="104"/>
      <c r="CA93" s="104"/>
      <c r="CC93" s="113"/>
      <c r="CD93" s="104"/>
      <c r="CE93" s="104"/>
      <c r="CF93" s="104"/>
      <c r="CG93" s="104"/>
      <c r="CH93" s="104"/>
      <c r="CJ93" s="113"/>
      <c r="CK93" s="104"/>
      <c r="CL93" s="104"/>
      <c r="CM93" s="104"/>
      <c r="CN93" s="104"/>
      <c r="CO93" s="104"/>
      <c r="CQ93" s="113"/>
      <c r="CR93" s="104"/>
      <c r="CS93" s="104"/>
      <c r="CT93" s="104"/>
      <c r="CU93" s="104"/>
      <c r="CV93" s="104"/>
      <c r="CX93" s="113"/>
      <c r="CY93" s="104"/>
      <c r="CZ93" s="104"/>
      <c r="DA93" s="104"/>
      <c r="DB93" s="104"/>
      <c r="DC93" s="104"/>
      <c r="DE93" s="113"/>
      <c r="DF93" s="104"/>
      <c r="DG93" s="104"/>
      <c r="DH93" s="104"/>
      <c r="DI93" s="104"/>
      <c r="DJ93" s="104"/>
      <c r="DL93" s="113"/>
      <c r="DM93" s="104"/>
      <c r="DN93" s="104"/>
      <c r="DO93" s="104"/>
      <c r="DP93" s="104"/>
      <c r="DQ93" s="104"/>
      <c r="DS93" s="113"/>
      <c r="DT93" s="104"/>
      <c r="DU93" s="104"/>
      <c r="DV93" s="104"/>
      <c r="DW93" s="104"/>
      <c r="DX93" s="104"/>
      <c r="DZ93" s="113"/>
      <c r="EA93" s="104"/>
      <c r="EB93" s="104"/>
      <c r="EC93" s="104"/>
      <c r="ED93" s="104"/>
      <c r="EE93" s="104"/>
      <c r="EG93" s="113"/>
      <c r="EH93" s="104"/>
      <c r="EI93" s="104"/>
      <c r="EJ93" s="104"/>
      <c r="EK93" s="104"/>
      <c r="EL93" s="104"/>
      <c r="EN93" s="113"/>
      <c r="EO93" s="104"/>
      <c r="EP93" s="104"/>
      <c r="EQ93" s="104"/>
      <c r="ER93" s="104"/>
      <c r="ES93" s="104"/>
      <c r="EU93" s="113"/>
      <c r="EV93" s="104"/>
      <c r="EW93" s="104"/>
      <c r="EX93" s="104"/>
      <c r="EY93" s="104"/>
      <c r="EZ93" s="104"/>
      <c r="FB93" s="113"/>
      <c r="FC93" s="104"/>
      <c r="FD93" s="104"/>
      <c r="FE93" s="104"/>
      <c r="FF93" s="104"/>
      <c r="FG93" s="104"/>
      <c r="FI93" s="113"/>
      <c r="FJ93" s="104"/>
      <c r="FK93" s="104"/>
      <c r="FL93" s="104"/>
      <c r="FM93" s="104"/>
      <c r="FN93" s="104"/>
      <c r="FP93" s="113"/>
      <c r="FQ93" s="104"/>
      <c r="FR93" s="104"/>
      <c r="FS93" s="104"/>
      <c r="FT93" s="104"/>
      <c r="FU93" s="104"/>
      <c r="FW93" s="113"/>
      <c r="FX93" s="104"/>
      <c r="FY93" s="104"/>
      <c r="FZ93" s="104"/>
      <c r="GA93" s="104"/>
      <c r="GB93" s="104"/>
      <c r="GD93" s="113"/>
      <c r="GE93" s="104"/>
      <c r="GF93" s="104"/>
      <c r="GG93" s="104"/>
      <c r="GH93" s="104"/>
      <c r="GI93" s="104"/>
      <c r="GK93" s="113"/>
      <c r="GL93" s="104"/>
      <c r="GM93" s="104"/>
      <c r="GN93" s="104"/>
      <c r="GO93" s="104"/>
      <c r="GP93" s="104"/>
      <c r="GR93" s="113"/>
      <c r="GS93" s="104"/>
      <c r="GT93" s="104"/>
      <c r="GU93" s="104"/>
      <c r="GV93" s="104"/>
      <c r="GW93" s="104"/>
      <c r="GY93" s="113"/>
      <c r="GZ93" s="104"/>
      <c r="HA93" s="104"/>
      <c r="HB93" s="104"/>
      <c r="HC93" s="104"/>
      <c r="HD93" s="104"/>
      <c r="HF93" s="113"/>
      <c r="HG93" s="104"/>
      <c r="HH93" s="104"/>
      <c r="HI93" s="104"/>
      <c r="HJ93" s="104"/>
      <c r="HK93" s="104"/>
      <c r="HM93" s="113"/>
      <c r="HN93" s="104"/>
      <c r="HO93" s="104"/>
      <c r="HP93" s="104"/>
      <c r="HQ93" s="104"/>
      <c r="HR93" s="104"/>
      <c r="HT93" s="113"/>
      <c r="HU93" s="104"/>
      <c r="HV93" s="104"/>
      <c r="HW93" s="104"/>
      <c r="HX93" s="104"/>
      <c r="HY93" s="104"/>
      <c r="IA93" s="113"/>
      <c r="IB93" s="104"/>
      <c r="IC93" s="104"/>
      <c r="ID93" s="104"/>
      <c r="IE93" s="104"/>
      <c r="IF93" s="104"/>
      <c r="IH93" s="113"/>
      <c r="II93" s="104"/>
      <c r="IJ93" s="104"/>
      <c r="IK93" s="104"/>
      <c r="IL93" s="104"/>
      <c r="IM93" s="104"/>
      <c r="IO93" s="113"/>
      <c r="IP93" s="104"/>
      <c r="IQ93" s="104"/>
      <c r="IR93" s="104"/>
      <c r="IS93" s="104"/>
      <c r="IT93" s="104"/>
      <c r="IV93" s="113"/>
      <c r="IW93" s="104"/>
      <c r="IX93" s="104"/>
      <c r="IY93" s="104"/>
      <c r="IZ93" s="104"/>
      <c r="JA93" s="104"/>
      <c r="JC93" s="113"/>
      <c r="JD93" s="104"/>
      <c r="JE93" s="104"/>
      <c r="JF93" s="104"/>
      <c r="JG93" s="104"/>
      <c r="JH93" s="104"/>
      <c r="JJ93" s="113"/>
      <c r="JK93" s="104"/>
      <c r="JL93" s="104"/>
      <c r="JM93" s="104"/>
      <c r="JN93" s="104"/>
      <c r="JO93" s="104"/>
      <c r="JQ93" s="113"/>
      <c r="JR93" s="104"/>
      <c r="JS93" s="104"/>
      <c r="JT93" s="104"/>
      <c r="JU93" s="104"/>
      <c r="JV93" s="104"/>
      <c r="JX93" s="113"/>
      <c r="JY93" s="104"/>
      <c r="JZ93" s="104"/>
      <c r="KA93" s="104"/>
      <c r="KB93" s="104"/>
      <c r="KC93" s="104"/>
      <c r="KE93" s="113"/>
      <c r="KF93" s="104"/>
      <c r="KG93" s="104"/>
      <c r="KH93" s="104"/>
      <c r="KI93" s="104"/>
      <c r="KJ93" s="104"/>
      <c r="KL93" s="113"/>
      <c r="KM93" s="104"/>
      <c r="KN93" s="104"/>
      <c r="KO93" s="104"/>
      <c r="KP93" s="104"/>
      <c r="KQ93" s="104"/>
      <c r="KS93" s="113"/>
      <c r="KT93" s="104"/>
      <c r="KU93" s="104"/>
      <c r="KV93" s="104"/>
      <c r="KW93" s="104"/>
      <c r="KX93" s="104"/>
      <c r="KZ93" s="113"/>
      <c r="LA93" s="104"/>
      <c r="LB93" s="102"/>
      <c r="LC93" s="102"/>
      <c r="LD93" s="102"/>
      <c r="LE93" s="102"/>
      <c r="LF93" s="555"/>
      <c r="LG93" s="113"/>
      <c r="LH93" s="102"/>
      <c r="LI93" s="102"/>
      <c r="LJ93" s="102"/>
      <c r="LK93" s="102"/>
      <c r="LL93" s="102"/>
      <c r="LM93" s="555"/>
      <c r="LN93" s="113"/>
      <c r="LO93" s="102"/>
      <c r="LP93" s="102"/>
      <c r="LQ93" s="102"/>
      <c r="LR93" s="102"/>
      <c r="LS93" s="102"/>
      <c r="LT93" s="555"/>
      <c r="LU93" s="113"/>
      <c r="LV93" s="102"/>
      <c r="LW93" s="102"/>
      <c r="LX93" s="102"/>
      <c r="LY93" s="102"/>
      <c r="LZ93" s="102"/>
      <c r="MA93" s="555"/>
      <c r="MB93" s="113"/>
      <c r="MC93" s="102"/>
      <c r="MD93" s="102"/>
      <c r="ME93" s="102"/>
      <c r="MF93" s="102"/>
      <c r="MG93" s="102"/>
      <c r="MH93" s="555"/>
    </row>
    <row r="94" spans="1:346" s="68" customFormat="1" ht="12.75" x14ac:dyDescent="0.35">
      <c r="A94" s="140"/>
      <c r="B94" s="734" t="s">
        <v>513</v>
      </c>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c r="AA94" s="167"/>
      <c r="AB94" s="167"/>
      <c r="AC94" s="167"/>
      <c r="AD94" s="167"/>
      <c r="AE94" s="167"/>
      <c r="AF94" s="167"/>
      <c r="AG94" s="167"/>
      <c r="AH94" s="167"/>
      <c r="AI94" s="167"/>
      <c r="AJ94" s="167"/>
      <c r="AK94" s="167"/>
      <c r="AL94" s="167"/>
      <c r="AM94" s="167"/>
      <c r="AN94" s="167"/>
      <c r="AO94" s="167"/>
      <c r="AP94" s="167"/>
      <c r="AQ94" s="167"/>
      <c r="AR94" s="167"/>
      <c r="AS94" s="167"/>
      <c r="AT94" s="167"/>
      <c r="AU94" s="167"/>
      <c r="AV94" s="167"/>
      <c r="AW94" s="167"/>
      <c r="AX94" s="167"/>
      <c r="AY94" s="167"/>
      <c r="AZ94" s="167"/>
      <c r="BA94" s="167"/>
      <c r="BB94" s="167"/>
      <c r="BC94" s="167"/>
      <c r="BD94" s="167"/>
      <c r="BE94" s="167"/>
      <c r="BF94" s="167"/>
      <c r="BG94" s="167"/>
      <c r="BH94" s="167"/>
      <c r="BI94" s="167"/>
      <c r="BJ94" s="167"/>
      <c r="BK94" s="167"/>
      <c r="BL94" s="167"/>
      <c r="BM94" s="167"/>
      <c r="BO94" s="734" t="s">
        <v>513</v>
      </c>
      <c r="BP94" s="167"/>
      <c r="BQ94" s="167"/>
      <c r="BR94" s="167"/>
      <c r="BS94" s="167"/>
      <c r="BT94" s="167"/>
      <c r="BV94" s="734" t="s">
        <v>513</v>
      </c>
      <c r="BW94" s="167"/>
      <c r="BX94" s="167"/>
      <c r="BY94" s="167"/>
      <c r="BZ94" s="167"/>
      <c r="CA94" s="167"/>
      <c r="CC94" s="734" t="s">
        <v>513</v>
      </c>
      <c r="CD94" s="167"/>
      <c r="CE94" s="167"/>
      <c r="CF94" s="167"/>
      <c r="CG94" s="167"/>
      <c r="CH94" s="167"/>
      <c r="CJ94" s="734" t="s">
        <v>513</v>
      </c>
      <c r="CK94" s="167"/>
      <c r="CL94" s="167"/>
      <c r="CM94" s="167"/>
      <c r="CN94" s="167"/>
      <c r="CO94" s="167"/>
      <c r="CQ94" s="734" t="s">
        <v>513</v>
      </c>
      <c r="CR94" s="167"/>
      <c r="CS94" s="167"/>
      <c r="CT94" s="167"/>
      <c r="CU94" s="167"/>
      <c r="CV94" s="167"/>
      <c r="CX94" s="734" t="s">
        <v>513</v>
      </c>
      <c r="CY94" s="167"/>
      <c r="CZ94" s="167"/>
      <c r="DA94" s="167"/>
      <c r="DB94" s="167"/>
      <c r="DC94" s="167"/>
      <c r="DE94" s="734" t="s">
        <v>513</v>
      </c>
      <c r="DF94" s="167"/>
      <c r="DG94" s="167"/>
      <c r="DH94" s="167"/>
      <c r="DI94" s="167"/>
      <c r="DJ94" s="167"/>
      <c r="DL94" s="734" t="s">
        <v>513</v>
      </c>
      <c r="DM94" s="167"/>
      <c r="DN94" s="167"/>
      <c r="DO94" s="167"/>
      <c r="DP94" s="167"/>
      <c r="DQ94" s="167"/>
      <c r="DS94" s="734" t="s">
        <v>513</v>
      </c>
      <c r="DT94" s="167"/>
      <c r="DU94" s="167"/>
      <c r="DV94" s="167"/>
      <c r="DW94" s="167"/>
      <c r="DX94" s="167"/>
      <c r="DZ94" s="734" t="s">
        <v>513</v>
      </c>
      <c r="EA94" s="167"/>
      <c r="EB94" s="167"/>
      <c r="EC94" s="167"/>
      <c r="ED94" s="167"/>
      <c r="EE94" s="167"/>
      <c r="EG94" s="734" t="s">
        <v>513</v>
      </c>
      <c r="EH94" s="167"/>
      <c r="EI94" s="167"/>
      <c r="EJ94" s="167"/>
      <c r="EK94" s="167"/>
      <c r="EL94" s="167"/>
      <c r="EN94" s="734" t="s">
        <v>513</v>
      </c>
      <c r="EO94" s="167"/>
      <c r="EP94" s="167"/>
      <c r="EQ94" s="167"/>
      <c r="ER94" s="167"/>
      <c r="ES94" s="167"/>
      <c r="EU94" s="734" t="s">
        <v>513</v>
      </c>
      <c r="EV94" s="167"/>
      <c r="EW94" s="167"/>
      <c r="EX94" s="167"/>
      <c r="EY94" s="167"/>
      <c r="EZ94" s="167"/>
      <c r="FB94" s="734" t="s">
        <v>513</v>
      </c>
      <c r="FC94" s="167"/>
      <c r="FD94" s="167"/>
      <c r="FE94" s="167"/>
      <c r="FF94" s="167"/>
      <c r="FG94" s="167"/>
      <c r="FI94" s="734" t="s">
        <v>513</v>
      </c>
      <c r="FJ94" s="167"/>
      <c r="FK94" s="167"/>
      <c r="FL94" s="167"/>
      <c r="FM94" s="167"/>
      <c r="FN94" s="167"/>
      <c r="FP94" s="734" t="s">
        <v>513</v>
      </c>
      <c r="FQ94" s="167"/>
      <c r="FR94" s="167"/>
      <c r="FS94" s="167"/>
      <c r="FT94" s="167"/>
      <c r="FU94" s="167"/>
      <c r="FW94" s="734" t="s">
        <v>513</v>
      </c>
      <c r="FX94" s="167"/>
      <c r="FY94" s="167"/>
      <c r="FZ94" s="167"/>
      <c r="GA94" s="167"/>
      <c r="GB94" s="167"/>
      <c r="GD94" s="734" t="s">
        <v>513</v>
      </c>
      <c r="GE94" s="167"/>
      <c r="GF94" s="167"/>
      <c r="GG94" s="167"/>
      <c r="GH94" s="167"/>
      <c r="GI94" s="167"/>
      <c r="GK94" s="734" t="s">
        <v>513</v>
      </c>
      <c r="GL94" s="167"/>
      <c r="GM94" s="167"/>
      <c r="GN94" s="167"/>
      <c r="GO94" s="167"/>
      <c r="GP94" s="167"/>
      <c r="GR94" s="734" t="s">
        <v>513</v>
      </c>
      <c r="GS94" s="167"/>
      <c r="GT94" s="167"/>
      <c r="GU94" s="167"/>
      <c r="GV94" s="167"/>
      <c r="GW94" s="167"/>
      <c r="GY94" s="734" t="s">
        <v>513</v>
      </c>
      <c r="GZ94" s="167"/>
      <c r="HA94" s="167"/>
      <c r="HB94" s="167"/>
      <c r="HC94" s="167"/>
      <c r="HD94" s="167"/>
      <c r="HF94" s="734" t="s">
        <v>513</v>
      </c>
      <c r="HG94" s="167"/>
      <c r="HH94" s="167"/>
      <c r="HI94" s="167"/>
      <c r="HJ94" s="167"/>
      <c r="HK94" s="167"/>
      <c r="HM94" s="734" t="s">
        <v>513</v>
      </c>
      <c r="HN94" s="167"/>
      <c r="HO94" s="167"/>
      <c r="HP94" s="167"/>
      <c r="HQ94" s="167"/>
      <c r="HR94" s="167"/>
      <c r="HT94" s="734" t="s">
        <v>513</v>
      </c>
      <c r="HU94" s="167"/>
      <c r="HV94" s="167"/>
      <c r="HW94" s="167"/>
      <c r="HX94" s="167"/>
      <c r="HY94" s="167"/>
      <c r="IA94" s="734" t="s">
        <v>513</v>
      </c>
      <c r="IB94" s="167"/>
      <c r="IC94" s="167"/>
      <c r="ID94" s="167"/>
      <c r="IE94" s="167"/>
      <c r="IF94" s="167"/>
      <c r="IH94" s="734" t="s">
        <v>513</v>
      </c>
      <c r="II94" s="167"/>
      <c r="IJ94" s="167"/>
      <c r="IK94" s="167"/>
      <c r="IL94" s="167"/>
      <c r="IM94" s="167"/>
      <c r="IO94" s="734" t="s">
        <v>513</v>
      </c>
      <c r="IP94" s="167"/>
      <c r="IQ94" s="167"/>
      <c r="IR94" s="167"/>
      <c r="IS94" s="167"/>
      <c r="IT94" s="167"/>
      <c r="IV94" s="734" t="s">
        <v>513</v>
      </c>
      <c r="IW94" s="167"/>
      <c r="IX94" s="167"/>
      <c r="IY94" s="167"/>
      <c r="IZ94" s="167"/>
      <c r="JA94" s="167"/>
      <c r="JC94" s="734" t="s">
        <v>513</v>
      </c>
      <c r="JD94" s="167"/>
      <c r="JE94" s="167"/>
      <c r="JF94" s="167"/>
      <c r="JG94" s="167"/>
      <c r="JH94" s="167"/>
      <c r="JJ94" s="734" t="s">
        <v>513</v>
      </c>
      <c r="JK94" s="167"/>
      <c r="JL94" s="167"/>
      <c r="JM94" s="167"/>
      <c r="JN94" s="167"/>
      <c r="JO94" s="167"/>
      <c r="JQ94" s="734" t="s">
        <v>513</v>
      </c>
      <c r="JR94" s="167"/>
      <c r="JS94" s="167"/>
      <c r="JT94" s="167"/>
      <c r="JU94" s="167"/>
      <c r="JV94" s="167"/>
      <c r="JX94" s="734" t="s">
        <v>513</v>
      </c>
      <c r="JY94" s="167"/>
      <c r="JZ94" s="167"/>
      <c r="KA94" s="167"/>
      <c r="KB94" s="167"/>
      <c r="KC94" s="167"/>
      <c r="KE94" s="734" t="s">
        <v>513</v>
      </c>
      <c r="KF94" s="167"/>
      <c r="KG94" s="167"/>
      <c r="KH94" s="167"/>
      <c r="KI94" s="167"/>
      <c r="KJ94" s="167"/>
      <c r="KL94" s="734" t="s">
        <v>513</v>
      </c>
      <c r="KM94" s="167"/>
      <c r="KN94" s="167"/>
      <c r="KO94" s="167"/>
      <c r="KP94" s="167"/>
      <c r="KQ94" s="167"/>
      <c r="KS94" s="734" t="s">
        <v>513</v>
      </c>
      <c r="KT94" s="167"/>
      <c r="KU94" s="167"/>
      <c r="KV94" s="167"/>
      <c r="KW94" s="167"/>
      <c r="KX94" s="167"/>
      <c r="KZ94" s="734" t="s">
        <v>513</v>
      </c>
      <c r="LA94" s="167"/>
      <c r="LB94" s="735"/>
      <c r="LC94" s="735"/>
      <c r="LD94" s="735"/>
      <c r="LE94" s="735"/>
      <c r="LF94" s="555"/>
      <c r="LG94" s="734" t="s">
        <v>513</v>
      </c>
      <c r="LH94" s="735"/>
      <c r="LI94" s="735"/>
      <c r="LJ94" s="735"/>
      <c r="LK94" s="735"/>
      <c r="LL94" s="735"/>
      <c r="LM94" s="555"/>
      <c r="LN94" s="734" t="s">
        <v>513</v>
      </c>
      <c r="LO94" s="735"/>
      <c r="LP94" s="735"/>
      <c r="LQ94" s="735"/>
      <c r="LR94" s="735"/>
      <c r="LS94" s="735"/>
      <c r="LT94" s="555"/>
      <c r="LU94" s="734" t="s">
        <v>513</v>
      </c>
      <c r="LV94" s="735"/>
      <c r="LW94" s="735"/>
      <c r="LX94" s="735"/>
      <c r="LY94" s="735"/>
      <c r="LZ94" s="735"/>
      <c r="MA94" s="555"/>
      <c r="MB94" s="734" t="s">
        <v>513</v>
      </c>
      <c r="MC94" s="735"/>
      <c r="MD94" s="735"/>
      <c r="ME94" s="735"/>
      <c r="MF94" s="735"/>
      <c r="MG94" s="735"/>
      <c r="MH94" s="555"/>
    </row>
    <row r="95" spans="1:346" s="53" customFormat="1" ht="13.15" x14ac:dyDescent="0.4">
      <c r="A95" s="100"/>
      <c r="B95" s="251" t="s">
        <v>438</v>
      </c>
      <c r="C95" s="252"/>
      <c r="D95" s="252"/>
      <c r="E95" s="252">
        <f>CSX!E20/E80*1000</f>
        <v>66.213412582707193</v>
      </c>
      <c r="F95" s="252">
        <f>CSX!F20/F80*1000</f>
        <v>76.277184770820256</v>
      </c>
      <c r="G95" s="252">
        <f>CSX!G20/G80*1000</f>
        <v>83.140679852727118</v>
      </c>
      <c r="H95" s="252">
        <f>CSX!H20/H80*1000</f>
        <v>87.39214148185124</v>
      </c>
      <c r="I95" s="252">
        <f>CSX!I20/I80*1000</f>
        <v>105.54204144745526</v>
      </c>
      <c r="J95" s="252">
        <f>CSX!J20/J80*1000</f>
        <v>105.6542046865454</v>
      </c>
      <c r="K95" s="252">
        <f>CSX!K20/K80*1000</f>
        <v>124.33179913727271</v>
      </c>
      <c r="L95" s="252">
        <f>CSX!L20/L80*1000</f>
        <v>163.57174798183058</v>
      </c>
      <c r="M95" s="252">
        <f>CSX!M20/M80*1000</f>
        <v>191.35475740390675</v>
      </c>
      <c r="N95" s="252">
        <f>BT95</f>
        <v>205.03113852507298</v>
      </c>
      <c r="O95" s="252">
        <f>CA95</f>
        <v>227.25160807882185</v>
      </c>
      <c r="P95" s="252">
        <f>CH95</f>
        <v>197.58630945571852</v>
      </c>
      <c r="Q95" s="252">
        <f>CO95</f>
        <v>194.00165479251237</v>
      </c>
      <c r="R95" s="252">
        <f>CV95</f>
        <v>207.82435872104509</v>
      </c>
      <c r="S95" s="252">
        <f>DC95</f>
        <v>222.77095723344812</v>
      </c>
      <c r="T95" s="252">
        <f>DJ95</f>
        <v>239.89430122985408</v>
      </c>
      <c r="U95" s="252">
        <f>DQ95</f>
        <v>249.72298430343142</v>
      </c>
      <c r="V95" s="252">
        <f>DX95</f>
        <v>261.94373095991875</v>
      </c>
      <c r="W95" s="252">
        <f>EE95</f>
        <v>251.75039411790991</v>
      </c>
      <c r="X95" s="252">
        <f>EL95</f>
        <v>304.20529847911422</v>
      </c>
      <c r="Y95" s="252">
        <f>ES95</f>
        <v>213.06827151995859</v>
      </c>
      <c r="Z95" s="252">
        <f>EZ95</f>
        <v>208.08076920609875</v>
      </c>
      <c r="AA95" s="252">
        <f>FG95</f>
        <v>228.5730307937109</v>
      </c>
      <c r="AB95" s="252">
        <f>FN95</f>
        <v>216.37155173030047</v>
      </c>
      <c r="AC95" s="252">
        <f>FU95</f>
        <v>241.96283872912977</v>
      </c>
      <c r="AD95" s="252">
        <f>GB95</f>
        <v>259.83912994222277</v>
      </c>
      <c r="AE95" s="252">
        <f>GI95</f>
        <v>281.24333899289252</v>
      </c>
      <c r="AF95" s="252">
        <f>GP95</f>
        <v>299.80346881281713</v>
      </c>
      <c r="AG95" s="252">
        <f>GW95</f>
        <v>336.76682899097113</v>
      </c>
      <c r="AH95" s="252">
        <f>HD95</f>
        <v>300.48274658712285</v>
      </c>
      <c r="AI95" s="252">
        <f>HK95</f>
        <v>354.05830510731437</v>
      </c>
      <c r="AJ95" s="252">
        <f>HR95</f>
        <v>374.64606746053903</v>
      </c>
      <c r="AK95" s="252">
        <f>HY95</f>
        <v>365.996793325135</v>
      </c>
      <c r="AL95" s="252">
        <f>IF95</f>
        <v>385.79735880146217</v>
      </c>
      <c r="AM95" s="252">
        <f>IM95</f>
        <v>401.34319610979998</v>
      </c>
      <c r="AN95" s="252">
        <f>IT95</f>
        <v>377.37838485502033</v>
      </c>
      <c r="AO95" s="252">
        <f>JA95</f>
        <v>399.9783189997832</v>
      </c>
      <c r="AP95" s="252">
        <f>JH95</f>
        <v>452.16012683313517</v>
      </c>
      <c r="AQ95" s="252">
        <f>JO95</f>
        <v>534.91113925156105</v>
      </c>
      <c r="AR95" s="252">
        <f>JV95</f>
        <v>553.63851398358145</v>
      </c>
      <c r="AS95" s="252">
        <f>KC95</f>
        <v>539.12379011716757</v>
      </c>
      <c r="AT95" s="252">
        <f>KJ95</f>
        <v>629.59424807682637</v>
      </c>
      <c r="AU95" s="252">
        <f>KQ95</f>
        <v>686.46300318898182</v>
      </c>
      <c r="AV95" s="252">
        <f>KX95</f>
        <v>641.58459181440139</v>
      </c>
      <c r="AW95" s="252">
        <f>LE95</f>
        <v>622.20510516293302</v>
      </c>
      <c r="AX95" s="252">
        <f>LL95</f>
        <v>604.85229577328766</v>
      </c>
      <c r="AY95" s="252">
        <f>LS95</f>
        <v>633.9986998359758</v>
      </c>
      <c r="AZ95" s="252">
        <f>LZ95</f>
        <v>663.64615782226088</v>
      </c>
      <c r="BA95" s="252">
        <f>MG95</f>
        <v>688.32301363845625</v>
      </c>
      <c r="BB95" s="252"/>
      <c r="BC95" s="252"/>
      <c r="BD95" s="252"/>
      <c r="BE95" s="252"/>
      <c r="BF95" s="252"/>
      <c r="BG95" s="252"/>
      <c r="BH95" s="252"/>
      <c r="BI95" s="252"/>
      <c r="BJ95" s="252"/>
      <c r="BK95" s="252"/>
      <c r="BL95" s="252"/>
      <c r="BM95" s="252"/>
      <c r="BO95" s="251" t="s">
        <v>438</v>
      </c>
      <c r="BP95" s="252">
        <f>CSX!BR20/BP80*1000</f>
        <v>49.282335017240001</v>
      </c>
      <c r="BQ95" s="252">
        <f>CSX!BS20/BQ80*1000</f>
        <v>51.184981590001556</v>
      </c>
      <c r="BR95" s="252">
        <f>CSX!BT20/BR80*1000</f>
        <v>50.10588173010747</v>
      </c>
      <c r="BS95" s="252">
        <f>CSX!BU20/BS80*1000</f>
        <v>54.477532001499647</v>
      </c>
      <c r="BT95" s="252">
        <f>CSX!BV20/BT80*1000</f>
        <v>205.03113852507298</v>
      </c>
      <c r="BV95" s="251" t="s">
        <v>438</v>
      </c>
      <c r="BW95" s="252">
        <f>CSX!BY20/BW80*1000</f>
        <v>54.229916425038375</v>
      </c>
      <c r="BX95" s="252">
        <f>CSX!BZ20/BX80*1000</f>
        <v>55.329098526827948</v>
      </c>
      <c r="BY95" s="252">
        <f>CSX!CA20/BY80*1000</f>
        <v>56.090266449157149</v>
      </c>
      <c r="BZ95" s="252">
        <f>CSX!CB20/BZ80*1000</f>
        <v>61.67099847775836</v>
      </c>
      <c r="CA95" s="252">
        <f>CSX!CC20/CA80*1000</f>
        <v>227.25160807882185</v>
      </c>
      <c r="CC95" s="251" t="s">
        <v>438</v>
      </c>
      <c r="CD95" s="252">
        <f>CSX!CF20/CD80*1000</f>
        <v>59.642783702006405</v>
      </c>
      <c r="CE95" s="252">
        <f>CSX!CG20/CE80*1000</f>
        <v>61.644233000696218</v>
      </c>
      <c r="CF95" s="252">
        <f>CSX!CH20/CF80*1000</f>
        <v>63.971334900049328</v>
      </c>
      <c r="CG95" s="252">
        <f>CSX!CI20/CG80*1000</f>
        <v>69.249726177437026</v>
      </c>
      <c r="CH95" s="252">
        <f>CSX!CJ20/CH80*1000</f>
        <v>197.58630945571852</v>
      </c>
      <c r="CJ95" s="251" t="s">
        <v>438</v>
      </c>
      <c r="CK95" s="252">
        <f>CSX!CM20/CK80*1000</f>
        <v>46.474951551466823</v>
      </c>
      <c r="CL95" s="252">
        <f>CSX!CN20/CL80*1000</f>
        <v>48.369769446716326</v>
      </c>
      <c r="CM95" s="252">
        <f>CSX!CO20/CM80*1000</f>
        <v>49.544671425055384</v>
      </c>
      <c r="CN95" s="252">
        <f>CSX!CP20/CN80*1000</f>
        <v>50.465273095077542</v>
      </c>
      <c r="CO95" s="252">
        <f>CSX!CQ20/CO80*1000</f>
        <v>194.00165479251237</v>
      </c>
      <c r="CQ95" s="251" t="s">
        <v>438</v>
      </c>
      <c r="CR95" s="252">
        <f>CSX!CT20/CR80*1000</f>
        <v>49.135676763936786</v>
      </c>
      <c r="CS95" s="252">
        <f>CSX!CU20/CS80*1000</f>
        <v>52.500347914830449</v>
      </c>
      <c r="CT95" s="252">
        <f>CSX!CV20/CT80*1000</f>
        <v>52.677773071673954</v>
      </c>
      <c r="CU95" s="252">
        <f>CSX!CW20/CU80*1000</f>
        <v>54.134951535772331</v>
      </c>
      <c r="CV95" s="252">
        <f>CSX!CX20/CV80*1000</f>
        <v>207.82435872104509</v>
      </c>
      <c r="CX95" s="251" t="s">
        <v>438</v>
      </c>
      <c r="CY95" s="252">
        <f>CSX!DA20/CY80*1000</f>
        <v>52.736271282767767</v>
      </c>
      <c r="CZ95" s="252">
        <f>CSX!DB20/CZ80*1000</f>
        <v>54.608687641070524</v>
      </c>
      <c r="DA95" s="252">
        <f>CSX!DC20/DA80*1000</f>
        <v>56.637086973469998</v>
      </c>
      <c r="DB95" s="252">
        <f>CSX!DD20/DB80*1000</f>
        <v>58.346206635158183</v>
      </c>
      <c r="DC95" s="252">
        <f>CSX!DE20/DC80*1000</f>
        <v>222.77095723344812</v>
      </c>
      <c r="DE95" s="251" t="s">
        <v>438</v>
      </c>
      <c r="DF95" s="252">
        <f>CSX!DH20/DF80*1000</f>
        <v>56.993610372650529</v>
      </c>
      <c r="DG95" s="252">
        <f>CSX!DI20/DG80*1000</f>
        <v>58.708369800543551</v>
      </c>
      <c r="DH95" s="252">
        <f>CSX!DJ20/DH80*1000</f>
        <v>60.412505225995261</v>
      </c>
      <c r="DI95" s="252">
        <f>CSX!DK20/DI80*1000</f>
        <v>63.05074887305512</v>
      </c>
      <c r="DJ95" s="252">
        <f>CSX!DL20/DJ80*1000</f>
        <v>239.89430122985408</v>
      </c>
      <c r="DL95" s="251" t="s">
        <v>438</v>
      </c>
      <c r="DM95" s="252">
        <f>CSX!DO20/DM80*1000</f>
        <v>59.680941980818538</v>
      </c>
      <c r="DN95" s="252">
        <f>CSX!DP20/DN80*1000</f>
        <v>63.299535677058664</v>
      </c>
      <c r="DO95" s="252">
        <f>CSX!DQ20/DO80*1000</f>
        <v>62.470499386387232</v>
      </c>
      <c r="DP95" s="252">
        <f>CSX!DR20/DP80*1000</f>
        <v>64.190171993089407</v>
      </c>
      <c r="DQ95" s="252">
        <f>CSX!DS20/DQ80*1000</f>
        <v>249.72298430343142</v>
      </c>
      <c r="DS95" s="251" t="s">
        <v>438</v>
      </c>
      <c r="DT95" s="252">
        <f>CSX!DV20/DT80*1000</f>
        <v>62.252940463198733</v>
      </c>
      <c r="DU95" s="252">
        <f>CSX!DW20/DU80*1000</f>
        <v>64.712563129787597</v>
      </c>
      <c r="DV95" s="252">
        <f>CSX!DX20/DV80*1000</f>
        <v>68.140007745933389</v>
      </c>
      <c r="DW95" s="252">
        <f>CSX!DY20/DW80*1000</f>
        <v>69.964872958203046</v>
      </c>
      <c r="DX95" s="252">
        <f>CSX!DZ20/DX80*1000</f>
        <v>261.94373095991875</v>
      </c>
      <c r="DZ95" s="251" t="s">
        <v>438</v>
      </c>
      <c r="EA95" s="252">
        <f>CSX!EC20/EA80*1000</f>
        <v>57.357604227833235</v>
      </c>
      <c r="EB95" s="252">
        <f>CSX!ED20/EB80*1000</f>
        <v>58.841600302478909</v>
      </c>
      <c r="EC95" s="252">
        <f>CSX!EE20/EC80*1000</f>
        <v>62.445369941899322</v>
      </c>
      <c r="ED95" s="252">
        <f>CSX!EF20/ED80*1000</f>
        <v>63.779577779195101</v>
      </c>
      <c r="EE95" s="252">
        <f>CSX!EG20/EE80*1000</f>
        <v>251.75039411790991</v>
      </c>
      <c r="EG95" s="251" t="s">
        <v>438</v>
      </c>
      <c r="EH95" s="252">
        <f>CSX!EJ20/EH80*1000</f>
        <v>64.717418434658583</v>
      </c>
      <c r="EI95" s="252">
        <f>CSX!EK20/EI80*1000</f>
        <v>65.287379270757938</v>
      </c>
      <c r="EJ95" s="252">
        <f>CSX!EL20/EJ80*1000</f>
        <v>65.608561172194257</v>
      </c>
      <c r="EK95" s="252">
        <f>CSX!EM20/EK80*1000</f>
        <v>58.52505364264151</v>
      </c>
      <c r="EL95" s="252">
        <f>CSX!EN20/EL80*1000</f>
        <v>304.20529847911422</v>
      </c>
      <c r="EN95" s="251" t="s">
        <v>438</v>
      </c>
      <c r="EO95" s="252">
        <f>CSX!EQ20/EO80*1000</f>
        <v>55.092248081907059</v>
      </c>
      <c r="EP95" s="252">
        <f>CSX!ER20/EP80*1000</f>
        <v>55.790620486964457</v>
      </c>
      <c r="EQ95" s="252">
        <f>CSX!ES20/EQ80*1000</f>
        <v>51.255624544380481</v>
      </c>
      <c r="ER95" s="252">
        <f>CSX!ET20/ER80*1000</f>
        <v>50.834409456640508</v>
      </c>
      <c r="ES95" s="252">
        <f>CSX!EU20/ES80*1000</f>
        <v>213.06827151995859</v>
      </c>
      <c r="EU95" s="251" t="s">
        <v>438</v>
      </c>
      <c r="EV95" s="252">
        <f>CSX!EX20/EV80*1000</f>
        <v>51.223028861963421</v>
      </c>
      <c r="EW95" s="252">
        <f>CSX!EY20/EW80*1000</f>
        <v>52.069358309074801</v>
      </c>
      <c r="EX95" s="252">
        <f>CSX!EZ20/EX80*1000</f>
        <v>51.949054419143188</v>
      </c>
      <c r="EY95" s="252">
        <f>CSX!FA20/EY80*1000</f>
        <v>52.659515212676027</v>
      </c>
      <c r="EZ95" s="252">
        <f>CSX!FB20/EZ80*1000</f>
        <v>208.08076920609875</v>
      </c>
      <c r="FB95" s="251" t="s">
        <v>438</v>
      </c>
      <c r="FC95" s="252">
        <f>CSX!FE20/FC80*1000</f>
        <v>53.308723739210684</v>
      </c>
      <c r="FD95" s="252">
        <f>CSX!FF20/FD80*1000</f>
        <v>54.922636710470542</v>
      </c>
      <c r="FE95" s="252">
        <f>CSX!FG20/FE80*1000</f>
        <v>54.243104130922532</v>
      </c>
      <c r="FF95" s="252">
        <f>CSX!FH20/FF80*1000</f>
        <v>55.204941646232797</v>
      </c>
      <c r="FG95" s="252">
        <f>CSX!FI20/FG80*1000</f>
        <v>228.5730307937109</v>
      </c>
      <c r="FI95" s="251" t="s">
        <v>438</v>
      </c>
      <c r="FJ95" s="252">
        <f>CSX!FL20/FJ80*1000</f>
        <v>56.513465198085463</v>
      </c>
      <c r="FK95" s="252">
        <f>CSX!FM20/FK80*1000</f>
        <v>53.454133635334095</v>
      </c>
      <c r="FL95" s="252">
        <f>CSX!FN20/FL80*1000</f>
        <v>50.76721713219527</v>
      </c>
      <c r="FM95" s="252">
        <f>CSX!FO20/FM80*1000</f>
        <v>56.981426939953117</v>
      </c>
      <c r="FN95" s="252">
        <f>CSX!FP20/FN80*1000</f>
        <v>216.37155173030047</v>
      </c>
      <c r="FP95" s="251" t="s">
        <v>438</v>
      </c>
      <c r="FQ95" s="252">
        <f>CSX!FS20/FQ80*1000</f>
        <v>56.5937628957142</v>
      </c>
      <c r="FR95" s="252">
        <f>CSX!FT20/FR80*1000</f>
        <v>58.825263902812999</v>
      </c>
      <c r="FS95" s="252">
        <f>CSX!FU20/FS80*1000</f>
        <v>58.369977712186014</v>
      </c>
      <c r="FT95" s="252">
        <f>CSX!FV20/FT80*1000</f>
        <v>65.73054109671952</v>
      </c>
      <c r="FU95" s="252">
        <f>CSX!FW20/FU80*1000</f>
        <v>241.96283872912977</v>
      </c>
      <c r="FW95" s="251" t="s">
        <v>438</v>
      </c>
      <c r="FX95" s="252">
        <f>CSX!FZ20/FX80*1000</f>
        <v>65.255076770678556</v>
      </c>
      <c r="FY95" s="252">
        <f>CSX!GA20/FY80*1000</f>
        <v>64.961760527190833</v>
      </c>
      <c r="FZ95" s="252">
        <f>CSX!GB20/FZ80*1000</f>
        <v>63.567561099644024</v>
      </c>
      <c r="GA95" s="252">
        <f>CSX!GC20/GA80*1000</f>
        <v>66.059361138400163</v>
      </c>
      <c r="GB95" s="252">
        <f>CSX!GD20/GB80*1000</f>
        <v>259.83912994222277</v>
      </c>
      <c r="GD95" s="251" t="s">
        <v>438</v>
      </c>
      <c r="GE95" s="252">
        <f>CSX!GG20/GE80*1000</f>
        <v>69.26985825086922</v>
      </c>
      <c r="GF95" s="252">
        <f>CSX!GH20/GF80*1000</f>
        <v>70.874440118270442</v>
      </c>
      <c r="GG95" s="252">
        <f>CSX!GI20/GG80*1000</f>
        <v>70.796978391989228</v>
      </c>
      <c r="GH95" s="252">
        <f>CSX!GJ20/GH80*1000</f>
        <v>70.286602716418784</v>
      </c>
      <c r="GI95" s="252">
        <f>CSX!GK20/GI80*1000</f>
        <v>281.24333899289252</v>
      </c>
      <c r="GK95" s="251" t="s">
        <v>438</v>
      </c>
      <c r="GL95" s="252">
        <f>CSX!GN20/GL80*1000</f>
        <v>72.00190261014329</v>
      </c>
      <c r="GM95" s="252">
        <f>CSX!GO20/GM80*1000</f>
        <v>75.212557226945705</v>
      </c>
      <c r="GN95" s="252">
        <f>CSX!GP20/GN80*1000</f>
        <v>74.348226760605243</v>
      </c>
      <c r="GO95" s="252">
        <f>CSX!GQ20/GO80*1000</f>
        <v>78.313985291436211</v>
      </c>
      <c r="GP95" s="252">
        <f>CSX!GR20/GP80*1000</f>
        <v>299.80346881281713</v>
      </c>
      <c r="GR95" s="251" t="s">
        <v>438</v>
      </c>
      <c r="GS95" s="252">
        <f>CSX!GU20/GS80*1000</f>
        <v>80.242531795326826</v>
      </c>
      <c r="GT95" s="252">
        <f>CSX!GV20/GT80*1000</f>
        <v>87.872559095580684</v>
      </c>
      <c r="GU95" s="252">
        <f>CSX!GW20/GU80*1000</f>
        <v>88.578437238243396</v>
      </c>
      <c r="GV95" s="252">
        <f>CSX!GX20/GV80*1000</f>
        <v>80.148667685759676</v>
      </c>
      <c r="GW95" s="252">
        <f>CSX!GY20/GW80*1000</f>
        <v>336.76682899097113</v>
      </c>
      <c r="GY95" s="251" t="s">
        <v>438</v>
      </c>
      <c r="GZ95" s="252">
        <f>CSX!HB20/GZ80*1000</f>
        <v>72.076984763432236</v>
      </c>
      <c r="HA95" s="252">
        <f>CSX!HC20/HA80*1000</f>
        <v>73.130731642010844</v>
      </c>
      <c r="HB95" s="252">
        <f>CSX!HD20/HB80*1000</f>
        <v>76.598735066760369</v>
      </c>
      <c r="HC95" s="252">
        <f>CSX!HE20/HC80*1000</f>
        <v>78.865961858789134</v>
      </c>
      <c r="HD95" s="252">
        <f>CSX!HF20/HD80*1000</f>
        <v>300.48274658712285</v>
      </c>
      <c r="HF95" s="251" t="s">
        <v>438</v>
      </c>
      <c r="HG95" s="252">
        <f>CSX!HI20/HG80*1000</f>
        <v>84.988058683043334</v>
      </c>
      <c r="HH95" s="252">
        <f>CSX!HJ20/HH80*1000</f>
        <v>88.033057851239676</v>
      </c>
      <c r="HI95" s="252">
        <f>CSX!HK20/HI80*1000</f>
        <v>87.783997365821534</v>
      </c>
      <c r="HJ95" s="252">
        <f>CSX!HL20/HJ80*1000</f>
        <v>93.149416162217591</v>
      </c>
      <c r="HK95" s="252">
        <f>CSX!HM20/HK80*1000</f>
        <v>354.05830510731437</v>
      </c>
      <c r="HM95" s="251" t="s">
        <v>438</v>
      </c>
      <c r="HN95" s="252">
        <f>CSX!HP20/HN80*1000</f>
        <v>92.300617527263171</v>
      </c>
      <c r="HO95" s="252">
        <f>CSX!HQ20/HO80*1000</f>
        <v>96.980404754256341</v>
      </c>
      <c r="HP95" s="252">
        <f>CSX!HR20/HP80*1000</f>
        <v>93.576301162203123</v>
      </c>
      <c r="HQ95" s="252">
        <f>CSX!HS20/HQ80*1000</f>
        <v>91.819907277762226</v>
      </c>
      <c r="HR95" s="252">
        <f>CSX!HT20/HR80*1000</f>
        <v>374.64606746053903</v>
      </c>
      <c r="HT95" s="251" t="s">
        <v>438</v>
      </c>
      <c r="HU95" s="252">
        <f>CSX!HW20/HU80*1000</f>
        <v>91.562992004445391</v>
      </c>
      <c r="HV95" s="252">
        <f>CSX!HX20/HV80*1000</f>
        <v>92.899882795632593</v>
      </c>
      <c r="HW95" s="252">
        <f>CSX!HY20/HW80*1000</f>
        <v>89.864613091541429</v>
      </c>
      <c r="HX95" s="252">
        <f>CSX!HZ20/HX80*1000</f>
        <v>91.663223468836421</v>
      </c>
      <c r="HY95" s="252">
        <f>CSX!IA20/HY80*1000</f>
        <v>365.996793325135</v>
      </c>
      <c r="IA95" s="251" t="s">
        <v>438</v>
      </c>
      <c r="IB95" s="252">
        <f>CSX!ID20/IB80*1000</f>
        <v>95.388584327636252</v>
      </c>
      <c r="IC95" s="252">
        <f>CSX!IE20/IC80*1000</f>
        <v>98.079319932248893</v>
      </c>
      <c r="ID95" s="252">
        <f>CSX!IF20/ID80*1000</f>
        <v>95.921957460418994</v>
      </c>
      <c r="IE95" s="252">
        <f>CSX!IG20/IE80*1000</f>
        <v>96.397799891902196</v>
      </c>
      <c r="IF95" s="252">
        <f>CSX!IH20/IF80*1000</f>
        <v>385.79735880146217</v>
      </c>
      <c r="IH95" s="251" t="s">
        <v>438</v>
      </c>
      <c r="II95" s="252">
        <f>CSX!IK20/II80*1000</f>
        <v>96.615878107457888</v>
      </c>
      <c r="IJ95" s="252">
        <f>CSX!IL20/IJ80*1000</f>
        <v>103.37794773741237</v>
      </c>
      <c r="IK95" s="252">
        <f>CSX!IM20/IK80*1000</f>
        <v>101.96264640709086</v>
      </c>
      <c r="IL95" s="252">
        <f>CSX!IN20/IL80*1000</f>
        <v>99.374241150649112</v>
      </c>
      <c r="IM95" s="252">
        <f>CSX!IO20/IM80*1000</f>
        <v>401.34319610979998</v>
      </c>
      <c r="IO95" s="251" t="s">
        <v>438</v>
      </c>
      <c r="IP95" s="252">
        <f>CSX!IR20/IP80*1000</f>
        <v>93.613731250966453</v>
      </c>
      <c r="IQ95" s="252">
        <f>CSX!IS20/IQ80*1000</f>
        <v>95.181883135037737</v>
      </c>
      <c r="IR95" s="252">
        <f>CSX!IT20/IR80*1000</f>
        <v>95.147139758490084</v>
      </c>
      <c r="IS95" s="252">
        <f>CSX!IU20/IS80*1000</f>
        <v>93.400503778337523</v>
      </c>
      <c r="IT95" s="252">
        <f>CSX!IV20/IT80*1000</f>
        <v>377.37838485502033</v>
      </c>
      <c r="IV95" s="251" t="s">
        <v>438</v>
      </c>
      <c r="IW95" s="252">
        <f>CSX!IY20/IW80*1000</f>
        <v>92.492492492492488</v>
      </c>
      <c r="IX95" s="252">
        <f>CSX!IZ20/IX80*1000</f>
        <v>96.792668957617408</v>
      </c>
      <c r="IY95" s="252">
        <f>CSX!JA20/IY80*1000</f>
        <v>99.358386801099897</v>
      </c>
      <c r="IZ95" s="252">
        <f>CSX!JB20/IZ80*1000</f>
        <v>111.74479358304511</v>
      </c>
      <c r="JA95" s="252">
        <f>CSX!JC20/JA80*1000</f>
        <v>399.9783189997832</v>
      </c>
      <c r="JC95" s="251" t="s">
        <v>438</v>
      </c>
      <c r="JD95" s="252">
        <f>CSX!JF20/JD80*1000</f>
        <v>108.24781165107154</v>
      </c>
      <c r="JE95" s="252">
        <f>CSX!JG20/JE80*1000</f>
        <v>113.74830327709908</v>
      </c>
      <c r="JF95" s="252">
        <f>CSX!JH20/JF80*1000</f>
        <v>111.46781534460338</v>
      </c>
      <c r="JG95" s="252">
        <f>CSX!JI20/JG80*1000</f>
        <v>119.16753381893861</v>
      </c>
      <c r="JH95" s="252">
        <f>CSX!JJ20/JH80*1000</f>
        <v>452.16012683313517</v>
      </c>
      <c r="JJ95" s="251" t="s">
        <v>438</v>
      </c>
      <c r="JK95" s="252">
        <f>CSX!JM20/JK80*1000</f>
        <v>122.47679073332765</v>
      </c>
      <c r="JL95" s="252">
        <f>CSX!JN20/JL80*1000</f>
        <v>135.21053090401884</v>
      </c>
      <c r="JM95" s="252">
        <f>CSX!JO20/JM80*1000</f>
        <v>137.86570320761368</v>
      </c>
      <c r="JN95" s="252">
        <f>CSX!JP20/JN80*1000</f>
        <v>139.78829389788294</v>
      </c>
      <c r="JO95" s="252">
        <f>CSX!JQ20/JO80*1000</f>
        <v>534.91113925156105</v>
      </c>
      <c r="JQ95" s="251" t="s">
        <v>438</v>
      </c>
      <c r="JR95" s="252">
        <f>CSX!JT20/JR80*1000</f>
        <v>135.75741191312969</v>
      </c>
      <c r="JS95" s="252">
        <f>CSX!JU20/JS80*1000</f>
        <v>140.37420893332111</v>
      </c>
      <c r="JT95" s="252">
        <f>CSX!JV20/JT80*1000</f>
        <v>139.6090197365337</v>
      </c>
      <c r="JU95" s="252">
        <f>CSX!JW20/JU80*1000</f>
        <v>137.95906656465186</v>
      </c>
      <c r="JV95" s="252">
        <f>CSX!JX20/JV80*1000</f>
        <v>553.63851398358145</v>
      </c>
      <c r="JX95" s="251" t="s">
        <v>438</v>
      </c>
      <c r="JY95" s="252">
        <f>CSX!KA20/JY80*1000</f>
        <v>138.41082076889512</v>
      </c>
      <c r="JZ95" s="252">
        <f>CSX!KB20/JZ80*1000</f>
        <v>116.60375407208231</v>
      </c>
      <c r="KA95" s="252">
        <f>CSX!KC20/KA80*1000</f>
        <v>137.10971884223062</v>
      </c>
      <c r="KB95" s="252">
        <f>CSX!KD20/KB80*1000</f>
        <v>146.82952182952184</v>
      </c>
      <c r="KC95" s="252">
        <f>CSX!KE20/KC80*1000</f>
        <v>539.12379011716757</v>
      </c>
      <c r="KE95" s="251" t="s">
        <v>438</v>
      </c>
      <c r="KF95" s="252">
        <f>CSX!KH20/KF80*1000</f>
        <v>146.51041666666666</v>
      </c>
      <c r="KG95" s="252">
        <f>CSX!KI20/KG80*1000</f>
        <v>156.16839026428497</v>
      </c>
      <c r="KH95" s="252">
        <f>CSX!KJ20/KH80*1000</f>
        <v>160.67157987212653</v>
      </c>
      <c r="KI95" s="252">
        <f>CSX!KK20/KI80*1000</f>
        <v>165.40373570153</v>
      </c>
      <c r="KJ95" s="252">
        <f>CSX!KL20/KJ80*1000</f>
        <v>629.59424807682637</v>
      </c>
      <c r="KL95" s="251" t="s">
        <v>438</v>
      </c>
      <c r="KM95" s="252">
        <f>CSX!KO20/KM80*1000</f>
        <v>163.76373494554002</v>
      </c>
      <c r="KN95" s="252">
        <f>CSX!KP20/KN80*1000</f>
        <v>179.36060178655384</v>
      </c>
      <c r="KO95" s="252">
        <f>CSX!KQ20/KO80*1000</f>
        <v>178.784540530616</v>
      </c>
      <c r="KP95" s="252">
        <f>CSX!KR20/KP80*1000</f>
        <v>166.55503460593883</v>
      </c>
      <c r="KQ95" s="252">
        <f>CSX!KS20/KQ80*1000</f>
        <v>686.46300318898182</v>
      </c>
      <c r="KS95" s="251" t="s">
        <v>438</v>
      </c>
      <c r="KT95" s="252">
        <f>CSX!KV20/KT80*1000</f>
        <v>163.89527684415356</v>
      </c>
      <c r="KU95" s="252">
        <f>CSX!KW20/KU80*1000</f>
        <v>162.95154185022025</v>
      </c>
      <c r="KV95" s="252">
        <f>CSX!KX20/KV80*1000</f>
        <v>156.09159237895474</v>
      </c>
      <c r="KW95" s="252">
        <f>CSX!KY20/KW80*1000</f>
        <v>158.73700556442222</v>
      </c>
      <c r="KX95" s="252">
        <f>CSX!KZ20/KX80*1000</f>
        <v>641.58459181440139</v>
      </c>
      <c r="KZ95" s="251" t="s">
        <v>438</v>
      </c>
      <c r="LA95" s="252">
        <f>CSX!LC20/LA80*1000</f>
        <v>157.42879137798306</v>
      </c>
      <c r="LB95" s="303">
        <f>CSX!LD20/LB80*1000</f>
        <v>158.75943719972545</v>
      </c>
      <c r="LC95" s="303">
        <f>CSX!LE20/LC80*1000</f>
        <v>155.21530279636301</v>
      </c>
      <c r="LD95" s="303">
        <f>CSX!LF20/LD80*1000</f>
        <v>150.82679849982952</v>
      </c>
      <c r="LE95" s="303">
        <f>CSX!LG20/LE80*1000</f>
        <v>622.20510516293302</v>
      </c>
      <c r="LF95" s="590"/>
      <c r="LG95" s="251" t="s">
        <v>438</v>
      </c>
      <c r="LH95" s="303">
        <f>CSX!LJ20/LH80*1000</f>
        <v>146.20082859949602</v>
      </c>
      <c r="LI95" s="303">
        <f>CSX!LK20/LI80*1000</f>
        <v>152.02041684389621</v>
      </c>
      <c r="LJ95" s="303">
        <f>CSX!LL20/LJ80*1000</f>
        <v>154.11385606874327</v>
      </c>
      <c r="LK95" s="303">
        <f>CSX!LM20/LK80*1000</f>
        <v>152.55490323983474</v>
      </c>
      <c r="LL95" s="303">
        <f>CSX!LN20/LL80*1000</f>
        <v>604.85229577328766</v>
      </c>
      <c r="LM95" s="590"/>
      <c r="LN95" s="251" t="s">
        <v>438</v>
      </c>
      <c r="LO95" s="303">
        <f>CSX!LQ20/LO80*1000</f>
        <v>151.04495035460991</v>
      </c>
      <c r="LP95" s="303">
        <f>CSX!LR20/LP80*1000</f>
        <v>158.96338069734398</v>
      </c>
      <c r="LQ95" s="303">
        <f>CSX!LS20/LQ80*1000</f>
        <v>162.16874562171625</v>
      </c>
      <c r="LR95" s="303">
        <f>CSX!LT20/LR80*1000</f>
        <v>161.8468247535597</v>
      </c>
      <c r="LS95" s="303">
        <f>CSX!LU20/LS80*1000</f>
        <v>633.9986998359758</v>
      </c>
      <c r="LT95" s="590"/>
      <c r="LU95" s="251" t="s">
        <v>438</v>
      </c>
      <c r="LV95" s="303">
        <f>CSX!LX20/LV80*1000</f>
        <v>158.87180433863574</v>
      </c>
      <c r="LW95" s="303">
        <f>CSX!LY20/LW80*1000</f>
        <v>166.60264429885183</v>
      </c>
      <c r="LX95" s="303">
        <f>CSX!LZ20/LX80*1000</f>
        <v>169.3505796916985</v>
      </c>
      <c r="LY95" s="303">
        <f>CSX!MA20/LY80*1000</f>
        <v>168.80334667209496</v>
      </c>
      <c r="LZ95" s="303">
        <f>CSX!MB20/LZ80*1000</f>
        <v>663.64615782226088</v>
      </c>
      <c r="MA95" s="590"/>
      <c r="MB95" s="251" t="s">
        <v>438</v>
      </c>
      <c r="MC95" s="303">
        <f>CSX!ME20/MC80*1000</f>
        <v>165.18407429851689</v>
      </c>
      <c r="MD95" s="303">
        <f>CSX!MF20/MD80*1000</f>
        <v>172.92369373905234</v>
      </c>
      <c r="ME95" s="303">
        <f>CSX!MG20/ME80*1000</f>
        <v>175.5361044899991</v>
      </c>
      <c r="MF95" s="303">
        <f>CSX!MH20/MF80*1000</f>
        <v>174.64548568752423</v>
      </c>
      <c r="MG95" s="303">
        <f>CSX!MI20/MG80*1000</f>
        <v>688.32301363845625</v>
      </c>
      <c r="MH95" s="590"/>
    </row>
    <row r="96" spans="1:346" s="53" customFormat="1" ht="13.15" x14ac:dyDescent="0.4">
      <c r="A96" s="100"/>
      <c r="B96" s="251" t="s">
        <v>437</v>
      </c>
      <c r="C96" s="252"/>
      <c r="D96" s="252"/>
      <c r="E96" s="252">
        <f>CSX!E23/E80*1000</f>
        <v>56.955814735897725</v>
      </c>
      <c r="F96" s="252">
        <f>CSX!F23/F80*1000</f>
        <v>64.779667789257374</v>
      </c>
      <c r="G96" s="252">
        <f>CSX!G23/G80*1000</f>
        <v>75.057796044181856</v>
      </c>
      <c r="H96" s="252">
        <f>CSX!H23/H80*1000</f>
        <v>77.729444484061901</v>
      </c>
      <c r="I96" s="252">
        <f>CSX!I23/I80*1000</f>
        <v>89.871961682789305</v>
      </c>
      <c r="J96" s="252">
        <f>CSX!J23/J80*1000</f>
        <v>89.5725350308429</v>
      </c>
      <c r="K96" s="252">
        <f>CSX!K23/K80*1000</f>
        <v>108.81096365400094</v>
      </c>
      <c r="L96" s="252">
        <f>CSX!L23/L80*1000</f>
        <v>144.86102285297369</v>
      </c>
      <c r="M96" s="252">
        <f>CSX!M23/M80*1000</f>
        <v>168.44360428481411</v>
      </c>
      <c r="N96" s="252">
        <f>BT96</f>
        <v>182.02635358275037</v>
      </c>
      <c r="O96" s="252">
        <f>CA96</f>
        <v>203.20300220872826</v>
      </c>
      <c r="P96" s="252">
        <f>CH96</f>
        <v>178.04113569287787</v>
      </c>
      <c r="Q96" s="252">
        <f>CO96</f>
        <v>172.56487286417928</v>
      </c>
      <c r="R96" s="252">
        <f>CV96</f>
        <v>184.42799195713573</v>
      </c>
      <c r="S96" s="252">
        <f>DC96</f>
        <v>194.2058220011825</v>
      </c>
      <c r="T96" s="252">
        <f>DJ96</f>
        <v>207.25340348875787</v>
      </c>
      <c r="U96" s="252">
        <f>DQ96</f>
        <v>213.87389415926478</v>
      </c>
      <c r="V96" s="252">
        <f>DX96</f>
        <v>222.92575114987156</v>
      </c>
      <c r="W96" s="252">
        <f>EE96</f>
        <v>223.33560974987077</v>
      </c>
      <c r="X96" s="252">
        <f>EL96</f>
        <v>275.25078436062302</v>
      </c>
      <c r="Y96" s="252">
        <f>ES96</f>
        <v>192.53187498815936</v>
      </c>
      <c r="Z96" s="252">
        <f>EZ96</f>
        <v>182.03860142013201</v>
      </c>
      <c r="AA96" s="252">
        <f>FG96</f>
        <v>197.28162962028333</v>
      </c>
      <c r="AB96" s="252">
        <f>FN96</f>
        <v>190.32232698782605</v>
      </c>
      <c r="AC96" s="252">
        <f>FU96</f>
        <v>209.36946444050804</v>
      </c>
      <c r="AD96" s="252">
        <f>GB96</f>
        <v>213.52667950606093</v>
      </c>
      <c r="AE96" s="252">
        <f>GI96</f>
        <v>218.79708642955319</v>
      </c>
      <c r="AF96" s="252">
        <f>GP96</f>
        <v>232.25054363664896</v>
      </c>
      <c r="AG96" s="252">
        <f>GW96</f>
        <v>254.00387483823673</v>
      </c>
      <c r="AH96" s="252">
        <f>HD96</f>
        <v>224.83859978563061</v>
      </c>
      <c r="AI96" s="252">
        <f>HK96</f>
        <v>250.83013623388624</v>
      </c>
      <c r="AJ96" s="252">
        <f>HR96</f>
        <v>265.59895355607489</v>
      </c>
      <c r="AK96" s="252">
        <f>HY96</f>
        <v>258.37082237200542</v>
      </c>
      <c r="AL96" s="252">
        <f>IF96</f>
        <v>273.65440453051139</v>
      </c>
      <c r="AM96" s="252">
        <f>IM96</f>
        <v>286.88641439500736</v>
      </c>
      <c r="AN96" s="252">
        <f>IT96</f>
        <v>262.86444604201614</v>
      </c>
      <c r="AO96" s="252">
        <f>JA96</f>
        <v>277.51680277516806</v>
      </c>
      <c r="AP96" s="252">
        <f>JH96</f>
        <v>300.83234244946493</v>
      </c>
      <c r="AQ96" s="252">
        <f>JO96</f>
        <v>322.300336229859</v>
      </c>
      <c r="AR96" s="252">
        <f>JV96</f>
        <v>323.36162515653263</v>
      </c>
      <c r="AS96" s="252">
        <f>KC96</f>
        <v>316.91288843606725</v>
      </c>
      <c r="AT96" s="252">
        <f>KJ96</f>
        <v>365.88063753833779</v>
      </c>
      <c r="AU96" s="252">
        <f>KQ96</f>
        <v>413.73573046170907</v>
      </c>
      <c r="AV96" s="252">
        <f>KX96</f>
        <v>400.87546509082949</v>
      </c>
      <c r="AW96" s="252">
        <f>LE96</f>
        <v>393.13605922502512</v>
      </c>
      <c r="AX96" s="252">
        <f>LL96</f>
        <v>400.03004517506679</v>
      </c>
      <c r="AY96" s="252">
        <f>LS96</f>
        <v>403.13390149297089</v>
      </c>
      <c r="AZ96" s="252">
        <f>LZ96</f>
        <v>407.73406334517256</v>
      </c>
      <c r="BA96" s="252">
        <f>MG96</f>
        <v>416.86810714109873</v>
      </c>
      <c r="BB96" s="252"/>
      <c r="BC96" s="252"/>
      <c r="BD96" s="252"/>
      <c r="BE96" s="252"/>
      <c r="BF96" s="252"/>
      <c r="BG96" s="252"/>
      <c r="BH96" s="252"/>
      <c r="BI96" s="252"/>
      <c r="BJ96" s="252"/>
      <c r="BK96" s="252"/>
      <c r="BL96" s="252"/>
      <c r="BM96" s="252"/>
      <c r="BO96" s="251" t="s">
        <v>437</v>
      </c>
      <c r="BP96" s="252">
        <f>CSX!BR23/BP80*1000</f>
        <v>44.262689439499638</v>
      </c>
      <c r="BQ96" s="252">
        <f>CSX!BS23/BQ80*1000</f>
        <v>45.221179277083436</v>
      </c>
      <c r="BR96" s="252">
        <f>CSX!BT23/BR80*1000</f>
        <v>45.449732648631482</v>
      </c>
      <c r="BS96" s="252">
        <f>CSX!BU23/BS80*1000</f>
        <v>47.105136307642866</v>
      </c>
      <c r="BT96" s="252">
        <f>CSX!BV23/BT80*1000</f>
        <v>182.02635358275037</v>
      </c>
      <c r="BV96" s="251" t="s">
        <v>437</v>
      </c>
      <c r="BW96" s="252">
        <f>CSX!BY23/BW80*1000</f>
        <v>49.462732389561658</v>
      </c>
      <c r="BX96" s="252">
        <f>CSX!BZ23/BX80*1000</f>
        <v>49.35802135423706</v>
      </c>
      <c r="BY96" s="252">
        <f>CSX!CA23/BY80*1000</f>
        <v>49.673735725938009</v>
      </c>
      <c r="BZ96" s="252">
        <f>CSX!CB23/BZ80*1000</f>
        <v>54.80069910356881</v>
      </c>
      <c r="CA96" s="252">
        <f>CSX!CC23/CA80*1000</f>
        <v>203.20300220872826</v>
      </c>
      <c r="CC96" s="251" t="s">
        <v>437</v>
      </c>
      <c r="CD96" s="252">
        <f>CSX!CF23/CD80*1000</f>
        <v>55.374401457066476</v>
      </c>
      <c r="CE96" s="252">
        <f>CSX!CG23/CE80*1000</f>
        <v>55.668368530981667</v>
      </c>
      <c r="CF96" s="252">
        <f>CSX!CH23/CF80*1000</f>
        <v>56.982040792642238</v>
      </c>
      <c r="CG96" s="252">
        <f>CSX!CI23/CG80*1000</f>
        <v>61.275404648898629</v>
      </c>
      <c r="CH96" s="252">
        <f>CSX!CJ23/CH80*1000</f>
        <v>178.04113569287787</v>
      </c>
      <c r="CJ96" s="251" t="s">
        <v>437</v>
      </c>
      <c r="CK96" s="252">
        <f>CSX!CM23/CK80*1000</f>
        <v>42.968837012451829</v>
      </c>
      <c r="CL96" s="252">
        <f>CSX!CN23/CL80*1000</f>
        <v>42.772828753951231</v>
      </c>
      <c r="CM96" s="252">
        <f>CSX!CO23/CM80*1000</f>
        <v>43.675743405007495</v>
      </c>
      <c r="CN96" s="252">
        <f>CSX!CP23/CN80*1000</f>
        <v>43.897505057316252</v>
      </c>
      <c r="CO96" s="252">
        <f>CSX!CQ23/CO80*1000</f>
        <v>172.56487286417928</v>
      </c>
      <c r="CQ96" s="251" t="s">
        <v>437</v>
      </c>
      <c r="CR96" s="252">
        <f>CSX!CT23/CR80*1000</f>
        <v>45.51870964755976</v>
      </c>
      <c r="CS96" s="252">
        <f>CSX!CU23/CS80*1000</f>
        <v>46.063923551514591</v>
      </c>
      <c r="CT96" s="252">
        <f>CSX!CV23/CT80*1000</f>
        <v>46.731610899336438</v>
      </c>
      <c r="CU96" s="252">
        <f>CSX!CW23/CU80*1000</f>
        <v>46.651934476831876</v>
      </c>
      <c r="CV96" s="252">
        <f>CSX!CX23/CV80*1000</f>
        <v>184.42799195713573</v>
      </c>
      <c r="CX96" s="251" t="s">
        <v>437</v>
      </c>
      <c r="CY96" s="252">
        <f>CSX!DA23/CY80*1000</f>
        <v>48.331715172038173</v>
      </c>
      <c r="CZ96" s="252">
        <f>CSX!DB23/CZ80*1000</f>
        <v>47.606983278824451</v>
      </c>
      <c r="DA96" s="252">
        <f>CSX!DC23/DA80*1000</f>
        <v>48.611588819334571</v>
      </c>
      <c r="DB96" s="252">
        <f>CSX!DD23/DB80*1000</f>
        <v>49.341595217448734</v>
      </c>
      <c r="DC96" s="252">
        <f>CSX!DE23/DC80*1000</f>
        <v>194.2058220011825</v>
      </c>
      <c r="DE96" s="251" t="s">
        <v>437</v>
      </c>
      <c r="DF96" s="252">
        <f>CSX!DH23/DF80*1000</f>
        <v>50.557343407490322</v>
      </c>
      <c r="DG96" s="252">
        <f>CSX!DI23/DG80*1000</f>
        <v>50.670228937307101</v>
      </c>
      <c r="DH96" s="252">
        <f>CSX!DJ23/DH80*1000</f>
        <v>51.586379895015561</v>
      </c>
      <c r="DI96" s="252">
        <f>CSX!DK23/DI80*1000</f>
        <v>53.814163152537446</v>
      </c>
      <c r="DJ96" s="252">
        <f>CSX!DL23/DJ80*1000</f>
        <v>207.25340348875787</v>
      </c>
      <c r="DL96" s="251" t="s">
        <v>437</v>
      </c>
      <c r="DM96" s="252">
        <f>CSX!DO23/DM80*1000</f>
        <v>52.654068939322002</v>
      </c>
      <c r="DN96" s="252">
        <f>CSX!DP23/DN80*1000</f>
        <v>53.859092201269782</v>
      </c>
      <c r="DO96" s="252">
        <f>CSX!DQ23/DO80*1000</f>
        <v>53.219106957424714</v>
      </c>
      <c r="DP96" s="252">
        <f>CSX!DR23/DP80*1000</f>
        <v>54.073629903168545</v>
      </c>
      <c r="DQ96" s="252">
        <f>CSX!DS23/DQ80*1000</f>
        <v>213.87389415926478</v>
      </c>
      <c r="DS96" s="251" t="s">
        <v>437</v>
      </c>
      <c r="DT96" s="252">
        <f>CSX!DV23/DT80*1000</f>
        <v>54.395537771310778</v>
      </c>
      <c r="DU96" s="252">
        <f>CSX!DW23/DU80*1000</f>
        <v>54.24932943479206</v>
      </c>
      <c r="DV96" s="252">
        <f>CSX!DX23/DV80*1000</f>
        <v>58.409178931061192</v>
      </c>
      <c r="DW96" s="252">
        <f>CSX!DY23/DW80*1000</f>
        <v>58.541052847218459</v>
      </c>
      <c r="DX96" s="252">
        <f>CSX!DZ23/DX80*1000</f>
        <v>222.92575114987156</v>
      </c>
      <c r="DZ96" s="251" t="s">
        <v>437</v>
      </c>
      <c r="EA96" s="252">
        <f>CSX!EC23/EA80*1000</f>
        <v>51.297709923664122</v>
      </c>
      <c r="EB96" s="252">
        <f>CSX!ED23/EB80*1000</f>
        <v>50.901528936361274</v>
      </c>
      <c r="EC96" s="252">
        <f>CSX!EE23/EC80*1000</f>
        <v>56.198262121445829</v>
      </c>
      <c r="ED96" s="252">
        <f>CSX!EF23/ED80*1000</f>
        <v>56.738312392371959</v>
      </c>
      <c r="EE96" s="252">
        <f>CSX!EG23/EE80*1000</f>
        <v>223.33560974987077</v>
      </c>
      <c r="EG96" s="251" t="s">
        <v>437</v>
      </c>
      <c r="EH96" s="252">
        <f>CSX!EJ23/EH80*1000</f>
        <v>58.06993861905611</v>
      </c>
      <c r="EI96" s="252">
        <f>CSX!EK23/EI80*1000</f>
        <v>58.449175172826877</v>
      </c>
      <c r="EJ96" s="252">
        <f>CSX!EL23/EJ80*1000</f>
        <v>58.474251010317651</v>
      </c>
      <c r="EK96" s="252">
        <f>CSX!EM23/EK80*1000</f>
        <v>54.734129498394715</v>
      </c>
      <c r="EL96" s="252">
        <f>CSX!EN23/EL80*1000</f>
        <v>275.25078436062302</v>
      </c>
      <c r="EN96" s="251" t="s">
        <v>437</v>
      </c>
      <c r="EO96" s="252">
        <f>CSX!EQ23/EO80*1000</f>
        <v>50.704369916091451</v>
      </c>
      <c r="EP96" s="252">
        <f>CSX!ER23/EP80*1000</f>
        <v>50.7233525044972</v>
      </c>
      <c r="EQ96" s="252">
        <f>CSX!ES23/EQ80*1000</f>
        <v>45.6247957567683</v>
      </c>
      <c r="ER96" s="252">
        <f>CSX!ET23/ER80*1000</f>
        <v>45.420681434389593</v>
      </c>
      <c r="ES96" s="252">
        <f>CSX!EU23/ES80*1000</f>
        <v>192.53187498815936</v>
      </c>
      <c r="EU96" s="251" t="s">
        <v>437</v>
      </c>
      <c r="EV96" s="252">
        <f>CSX!EX23/EV80*1000</f>
        <v>46.442212834846835</v>
      </c>
      <c r="EW96" s="252">
        <f>CSX!EY23/EW80*1000</f>
        <v>45.361346664979116</v>
      </c>
      <c r="EX96" s="252">
        <f>CSX!EZ23/EX80*1000</f>
        <v>44.744628843432395</v>
      </c>
      <c r="EY96" s="252">
        <f>CSX!FA23/EY80*1000</f>
        <v>45.293998152067786</v>
      </c>
      <c r="EZ96" s="252">
        <f>CSX!FB23/EZ80*1000</f>
        <v>182.03860142013201</v>
      </c>
      <c r="FB96" s="251" t="s">
        <v>437</v>
      </c>
      <c r="FC96" s="252">
        <f>CSX!FE23/FC80*1000</f>
        <v>47.554421584061664</v>
      </c>
      <c r="FD96" s="252">
        <f>CSX!FF23/FD80*1000</f>
        <v>46.709410767274271</v>
      </c>
      <c r="FE96" s="252">
        <f>CSX!FG23/FE80*1000</f>
        <v>46.95789890457965</v>
      </c>
      <c r="FF96" s="252">
        <f>CSX!FH23/FF80*1000</f>
        <v>46.683013761037635</v>
      </c>
      <c r="FG96" s="252">
        <f>CSX!FI23/FG80*1000</f>
        <v>197.28162962028333</v>
      </c>
      <c r="FI96" s="251" t="s">
        <v>437</v>
      </c>
      <c r="FJ96" s="252">
        <f>CSX!FL23/FJ80*1000</f>
        <v>51.84245429906003</v>
      </c>
      <c r="FK96" s="252">
        <f>CSX!FM23/FK80*1000</f>
        <v>45.866364665911668</v>
      </c>
      <c r="FL96" s="252">
        <f>CSX!FN23/FL80*1000</f>
        <v>44.306441282129832</v>
      </c>
      <c r="FM96" s="252">
        <f>CSX!FO23/FM80*1000</f>
        <v>49.498106629801043</v>
      </c>
      <c r="FN96" s="252">
        <f>CSX!FP23/FN80*1000</f>
        <v>190.32232698782605</v>
      </c>
      <c r="FP96" s="251" t="s">
        <v>437</v>
      </c>
      <c r="FQ96" s="252">
        <f>CSX!FS23/FQ80*1000</f>
        <v>50.55119966986971</v>
      </c>
      <c r="FR96" s="252">
        <f>CSX!FT23/FR80*1000</f>
        <v>49.979359556525324</v>
      </c>
      <c r="FS96" s="252">
        <f>CSX!FU23/FS80*1000</f>
        <v>50.569242816697788</v>
      </c>
      <c r="FT96" s="252">
        <f>CSX!FV23/FT80*1000</f>
        <v>56.137271516765523</v>
      </c>
      <c r="FU96" s="252">
        <f>CSX!FW23/FU80*1000</f>
        <v>209.36946444050804</v>
      </c>
      <c r="FW96" s="251" t="s">
        <v>437</v>
      </c>
      <c r="FX96" s="252">
        <f>CSX!FZ23/FX80*1000</f>
        <v>54.29668152550768</v>
      </c>
      <c r="FY96" s="252">
        <f>CSX!GA23/FY80*1000</f>
        <v>52.447023971463985</v>
      </c>
      <c r="FZ96" s="252">
        <f>CSX!GB23/FZ80*1000</f>
        <v>53.007867420503153</v>
      </c>
      <c r="GA96" s="252">
        <f>CSX!GC23/GA80*1000</f>
        <v>53.794171057723794</v>
      </c>
      <c r="GB96" s="252">
        <f>CSX!GD23/GB80*1000</f>
        <v>213.52667950606093</v>
      </c>
      <c r="GD96" s="251" t="s">
        <v>437</v>
      </c>
      <c r="GE96" s="252">
        <f>CSX!GG23/GE80*1000</f>
        <v>54.797777183441802</v>
      </c>
      <c r="GF96" s="252">
        <f>CSX!GH23/GF80*1000</f>
        <v>51.992154337070758</v>
      </c>
      <c r="GG96" s="252">
        <f>CSX!GI23/GG80*1000</f>
        <v>56.479475317678755</v>
      </c>
      <c r="GH96" s="252">
        <f>CSX!GJ23/GH80*1000</f>
        <v>55.53110974214556</v>
      </c>
      <c r="GI96" s="252">
        <f>CSX!GK23/GI80*1000</f>
        <v>218.79708642955319</v>
      </c>
      <c r="GK96" s="251" t="s">
        <v>437</v>
      </c>
      <c r="GL96" s="252">
        <f>CSX!GN23/GL80*1000</f>
        <v>57.583685118021286</v>
      </c>
      <c r="GM96" s="252">
        <f>CSX!GO23/GM80*1000</f>
        <v>57.018847731731974</v>
      </c>
      <c r="GN96" s="252">
        <f>CSX!GP23/GN80*1000</f>
        <v>57.760337703261094</v>
      </c>
      <c r="GO96" s="252">
        <f>CSX!GQ23/GO80*1000</f>
        <v>59.92828055673737</v>
      </c>
      <c r="GP96" s="252">
        <f>CSX!GR23/GP80*1000</f>
        <v>232.25054363664896</v>
      </c>
      <c r="GR96" s="251" t="s">
        <v>437</v>
      </c>
      <c r="GS96" s="252">
        <f>CSX!GU23/GS80*1000</f>
        <v>61.786453711919549</v>
      </c>
      <c r="GT96" s="252">
        <f>CSX!GV23/GT80*1000</f>
        <v>66.199141527114435</v>
      </c>
      <c r="GU96" s="252">
        <f>CSX!GW23/GU80*1000</f>
        <v>66.650711977982525</v>
      </c>
      <c r="GV96" s="252">
        <f>CSX!GX23/GV80*1000</f>
        <v>59.407127656385818</v>
      </c>
      <c r="GW96" s="252">
        <f>CSX!GY23/GW80*1000</f>
        <v>254.00387483823673</v>
      </c>
      <c r="GY96" s="251" t="s">
        <v>437</v>
      </c>
      <c r="GZ96" s="252">
        <f>CSX!HB23/GZ80*1000</f>
        <v>55.332798716920607</v>
      </c>
      <c r="HA96" s="252">
        <f>CSX!HC23/HA80*1000</f>
        <v>53.818863377736129</v>
      </c>
      <c r="HB96" s="252">
        <f>CSX!HD23/HB80*1000</f>
        <v>56.721212729645615</v>
      </c>
      <c r="HC96" s="252">
        <f>CSX!HE23/HC80*1000</f>
        <v>59.047489546860653</v>
      </c>
      <c r="HD96" s="252">
        <f>CSX!HF23/HD80*1000</f>
        <v>224.83859978563061</v>
      </c>
      <c r="HF96" s="251" t="s">
        <v>437</v>
      </c>
      <c r="HG96" s="252">
        <f>CSX!HI23/HG80*1000</f>
        <v>63.425452064141936</v>
      </c>
      <c r="HH96" s="252">
        <f>CSX!HJ23/HH80*1000</f>
        <v>61.652892561983478</v>
      </c>
      <c r="HI96" s="252">
        <f>CSX!HK23/HI80*1000</f>
        <v>60.619031939413901</v>
      </c>
      <c r="HJ96" s="252">
        <f>CSX!HL23/HJ80*1000</f>
        <v>65.164896960074088</v>
      </c>
      <c r="HK96" s="252">
        <f>CSX!HM23/HK80*1000</f>
        <v>250.83013623388624</v>
      </c>
      <c r="HM96" s="251" t="s">
        <v>437</v>
      </c>
      <c r="HN96" s="252">
        <f>CSX!HP23/HN80*1000</f>
        <v>66.909735908553415</v>
      </c>
      <c r="HO96" s="252">
        <f>CSX!HQ23/HO80*1000</f>
        <v>67.234179248313524</v>
      </c>
      <c r="HP96" s="252">
        <f>CSX!HR23/HP80*1000</f>
        <v>65.847650328448708</v>
      </c>
      <c r="HQ96" s="252">
        <f>CSX!HS23/HQ80*1000</f>
        <v>65.652322723171224</v>
      </c>
      <c r="HR96" s="252">
        <f>CSX!HT23/HR80*1000</f>
        <v>265.59895355607489</v>
      </c>
      <c r="HT96" s="251" t="s">
        <v>437</v>
      </c>
      <c r="HU96" s="252">
        <f>CSX!HW23/HU80*1000</f>
        <v>65.137529713209645</v>
      </c>
      <c r="HV96" s="252">
        <f>CSX!HX23/HV80*1000</f>
        <v>63.81469372648202</v>
      </c>
      <c r="HW96" s="252">
        <f>CSX!HY23/HW80*1000</f>
        <v>63.346168177866105</v>
      </c>
      <c r="HX96" s="252">
        <f>CSX!HZ23/HX80*1000</f>
        <v>66.109398340908371</v>
      </c>
      <c r="HY96" s="252">
        <f>CSX!IA23/HY80*1000</f>
        <v>258.37082237200542</v>
      </c>
      <c r="IA96" s="251" t="s">
        <v>437</v>
      </c>
      <c r="IB96" s="252">
        <f>CSX!ID23/IB80*1000</f>
        <v>67.171880038697182</v>
      </c>
      <c r="IC96" s="252">
        <f>CSX!IE23/IC80*1000</f>
        <v>67.303697548815947</v>
      </c>
      <c r="ID96" s="252">
        <f>CSX!IF23/ID80*1000</f>
        <v>68.607068607068612</v>
      </c>
      <c r="IE96" s="252">
        <f>CSX!IG23/IE80*1000</f>
        <v>70.549709089752966</v>
      </c>
      <c r="IF96" s="252">
        <f>CSX!IH23/IF80*1000</f>
        <v>273.65440453051139</v>
      </c>
      <c r="IH96" s="251" t="s">
        <v>437</v>
      </c>
      <c r="II96" s="252">
        <f>CSX!IK23/II80*1000</f>
        <v>72.910986367281481</v>
      </c>
      <c r="IJ96" s="252">
        <f>CSX!IL23/IJ80*1000</f>
        <v>71.606118546845124</v>
      </c>
      <c r="IK96" s="252">
        <f>CSX!IM23/IK80*1000</f>
        <v>71.066793289015507</v>
      </c>
      <c r="IL96" s="252">
        <f>CSX!IN23/IL80*1000</f>
        <v>71.324055913576785</v>
      </c>
      <c r="IM96" s="252">
        <f>CSX!IO23/IM80*1000</f>
        <v>286.88641439500736</v>
      </c>
      <c r="IO96" s="251" t="s">
        <v>437</v>
      </c>
      <c r="IP96" s="252">
        <f>CSX!IR23/IP80*1000</f>
        <v>67.542910159270136</v>
      </c>
      <c r="IQ96" s="252">
        <f>CSX!IS23/IQ80*1000</f>
        <v>63.589201950855823</v>
      </c>
      <c r="IR96" s="252">
        <f>CSX!IT23/IR80*1000</f>
        <v>64.942212438084752</v>
      </c>
      <c r="IS96" s="252">
        <f>CSX!IU23/IS80*1000</f>
        <v>66.834592779177171</v>
      </c>
      <c r="IT96" s="252">
        <f>CSX!IV23/IT80*1000</f>
        <v>262.86444604201614</v>
      </c>
      <c r="IV96" s="251" t="s">
        <v>437</v>
      </c>
      <c r="IW96" s="252">
        <f>CSX!IY23/IW80*1000</f>
        <v>67.620561738208792</v>
      </c>
      <c r="IX96" s="252">
        <f>CSX!IZ23/IX80*1000</f>
        <v>66.723940435280639</v>
      </c>
      <c r="IY96" s="252">
        <f>CSX!JA23/IY80*1000</f>
        <v>68.524289642529794</v>
      </c>
      <c r="IZ96" s="252">
        <f>CSX!JB23/IZ80*1000</f>
        <v>74.803149606299215</v>
      </c>
      <c r="JA96" s="252">
        <f>CSX!JC23/JA80*1000</f>
        <v>277.51680277516806</v>
      </c>
      <c r="JC96" s="251" t="s">
        <v>437</v>
      </c>
      <c r="JD96" s="252">
        <f>CSX!JF23/JD80*1000</f>
        <v>75.083006338665868</v>
      </c>
      <c r="JE96" s="252">
        <f>CSX!JG23/JE80*1000</f>
        <v>72.173744425053329</v>
      </c>
      <c r="JF96" s="252">
        <f>CSX!JH23/JF80*1000</f>
        <v>76.154096228868667</v>
      </c>
      <c r="JG96" s="252">
        <f>CSX!JI23/JG80*1000</f>
        <v>77.627471383975021</v>
      </c>
      <c r="JH96" s="252">
        <f>CSX!JJ23/JH80*1000</f>
        <v>300.83234244946493</v>
      </c>
      <c r="JJ96" s="251" t="s">
        <v>437</v>
      </c>
      <c r="JK96" s="252">
        <f>CSX!JM23/JK80*1000</f>
        <v>78.017204667404812</v>
      </c>
      <c r="JL96" s="252">
        <f>CSX!JN23/JL80*1000</f>
        <v>79.286897393426898</v>
      </c>
      <c r="JM96" s="252">
        <f>CSX!JO23/JM80*1000</f>
        <v>80.895311949242156</v>
      </c>
      <c r="JN96" s="252">
        <f>CSX!JP23/JN80*1000</f>
        <v>84.237680128091085</v>
      </c>
      <c r="JO96" s="252">
        <f>CSX!JQ23/JO80*1000</f>
        <v>322.300336229859</v>
      </c>
      <c r="JQ96" s="251" t="s">
        <v>437</v>
      </c>
      <c r="JR96" s="252">
        <f>CSX!JT23/JR80*1000</f>
        <v>80.83265747499324</v>
      </c>
      <c r="JS96" s="252">
        <f>CSX!JU23/JS80*1000</f>
        <v>80.528294964688627</v>
      </c>
      <c r="JT96" s="252">
        <f>CSX!JV23/JT80*1000</f>
        <v>79.274295626084111</v>
      </c>
      <c r="JU96" s="252">
        <f>CSX!JW23/JU80*1000</f>
        <v>82.775439938791123</v>
      </c>
      <c r="JV96" s="252">
        <f>CSX!JX23/JV80*1000</f>
        <v>323.36162515653263</v>
      </c>
      <c r="JX96" s="251" t="s">
        <v>437</v>
      </c>
      <c r="JY96" s="252">
        <f>CSX!KA23/JY80*1000</f>
        <v>81.301207155669758</v>
      </c>
      <c r="JZ96" s="252">
        <f>CSX!KB23/JZ80*1000</f>
        <v>73.788717100160298</v>
      </c>
      <c r="KA96" s="252">
        <f>CSX!KC23/KA80*1000</f>
        <v>78.030342256511162</v>
      </c>
      <c r="KB96" s="252">
        <f>CSX!KD23/KB80*1000</f>
        <v>83.679833679833678</v>
      </c>
      <c r="KC96" s="252">
        <f>CSX!KE23/KC80*1000</f>
        <v>316.91288843606725</v>
      </c>
      <c r="KE96" s="251" t="s">
        <v>437</v>
      </c>
      <c r="KF96" s="252">
        <f>CSX!KH23/KF80*1000</f>
        <v>89.166666666666671</v>
      </c>
      <c r="KG96" s="252">
        <f>CSX!KI23/KG80*1000</f>
        <v>86.075420453358404</v>
      </c>
      <c r="KH96" s="252">
        <f>CSX!KJ23/KH80*1000</f>
        <v>90.585192054273023</v>
      </c>
      <c r="KI96" s="252">
        <f>CSX!KK23/KI80*1000</f>
        <v>99.473912833630962</v>
      </c>
      <c r="KJ96" s="252">
        <f>CSX!KL23/KJ80*1000</f>
        <v>365.88063753833779</v>
      </c>
      <c r="KL96" s="251" t="s">
        <v>437</v>
      </c>
      <c r="KM96" s="252">
        <f>CSX!KO23/KM80*1000</f>
        <v>102.25037186315436</v>
      </c>
      <c r="KN96" s="252">
        <f>CSX!KP23/KN80*1000</f>
        <v>105.03055947343677</v>
      </c>
      <c r="KO96" s="252">
        <f>CSX!KQ23/KO80*1000</f>
        <v>106.30680253373727</v>
      </c>
      <c r="KP96" s="252">
        <f>CSX!KR23/KP80*1000</f>
        <v>101.40656396517079</v>
      </c>
      <c r="KQ96" s="252">
        <f>CSX!KS23/KQ80*1000</f>
        <v>413.73573046170907</v>
      </c>
      <c r="KS96" s="251" t="s">
        <v>437</v>
      </c>
      <c r="KT96" s="252">
        <f>CSX!KV23/KT80*1000</f>
        <v>99.902706527507519</v>
      </c>
      <c r="KU96" s="252">
        <f>CSX!KW23/KU80*1000</f>
        <v>98.370044052863435</v>
      </c>
      <c r="KV96" s="252">
        <f>CSX!KX23/KV80*1000</f>
        <v>100.55060304142633</v>
      </c>
      <c r="KW96" s="252">
        <f>CSX!KY23/KW80*1000</f>
        <v>102.01440710865721</v>
      </c>
      <c r="KX96" s="252">
        <f>CSX!KZ23/KX80*1000</f>
        <v>400.87546509082949</v>
      </c>
      <c r="KZ96" s="251" t="s">
        <v>437</v>
      </c>
      <c r="LA96" s="252">
        <f>CSX!LC23/LA80*1000</f>
        <v>100.24805405867762</v>
      </c>
      <c r="LB96" s="303">
        <f>CSX!LD23/LB80*1000</f>
        <v>96.645504461221691</v>
      </c>
      <c r="LC96" s="303">
        <f>CSX!LE23/LC80*1000</f>
        <v>97.143592382913027</v>
      </c>
      <c r="LD96" s="303">
        <f>CSX!LF23/LD80*1000</f>
        <v>99.087964541425151</v>
      </c>
      <c r="LE96" s="303">
        <f>CSX!LG23/LE80*1000</f>
        <v>393.13605922502512</v>
      </c>
      <c r="LF96" s="590"/>
      <c r="LG96" s="251" t="s">
        <v>437</v>
      </c>
      <c r="LH96" s="303">
        <f>CSX!LJ23/LH80*1000</f>
        <v>101.73835048904455</v>
      </c>
      <c r="LI96" s="303">
        <f>CSX!LK23/LI80*1000</f>
        <v>97.447894512973193</v>
      </c>
      <c r="LJ96" s="303">
        <f>CSX!LL23/LJ80*1000</f>
        <v>98.861439312567128</v>
      </c>
      <c r="LK96" s="303">
        <f>CSX!LM23/LK80*1000</f>
        <v>102.02217873450751</v>
      </c>
      <c r="LL96" s="303">
        <f>CSX!LN23/LL80*1000</f>
        <v>400.03004517506679</v>
      </c>
      <c r="LM96" s="590"/>
      <c r="LN96" s="251" t="s">
        <v>437</v>
      </c>
      <c r="LO96" s="303">
        <f>CSX!LQ23/LO80*1000</f>
        <v>100.01758972357939</v>
      </c>
      <c r="LP96" s="303">
        <f>CSX!LR23/LP80*1000</f>
        <v>99.224377959531196</v>
      </c>
      <c r="LQ96" s="303">
        <f>CSX!LS23/LQ80*1000</f>
        <v>100.56931634977521</v>
      </c>
      <c r="LR96" s="303">
        <f>CSX!LT23/LR80*1000</f>
        <v>103.32893879663929</v>
      </c>
      <c r="LS96" s="303">
        <f>CSX!LU23/LS80*1000</f>
        <v>403.13390149297089</v>
      </c>
      <c r="LT96" s="590"/>
      <c r="LU96" s="251" t="s">
        <v>437</v>
      </c>
      <c r="LV96" s="303">
        <f>CSX!LX23/LV80*1000</f>
        <v>101.73845561486216</v>
      </c>
      <c r="LW96" s="303">
        <f>CSX!LY23/LW80*1000</f>
        <v>100.61470739896527</v>
      </c>
      <c r="LX96" s="303">
        <f>CSX!LZ23/LX80*1000</f>
        <v>101.34223072717899</v>
      </c>
      <c r="LY96" s="303">
        <f>CSX!MA23/LY80*1000</f>
        <v>104.03450803008204</v>
      </c>
      <c r="LZ96" s="303">
        <f>CSX!MB23/LZ80*1000</f>
        <v>407.73406334517256</v>
      </c>
      <c r="MA96" s="590"/>
      <c r="MB96" s="251" t="s">
        <v>437</v>
      </c>
      <c r="MC96" s="303">
        <f>CSX!ME23/MC80*1000</f>
        <v>103.84314585548991</v>
      </c>
      <c r="MD96" s="303">
        <f>CSX!MF23/MD80*1000</f>
        <v>103.05070409004389</v>
      </c>
      <c r="ME96" s="303">
        <f>CSX!MG23/ME80*1000</f>
        <v>104.08489221408064</v>
      </c>
      <c r="MF96" s="303">
        <f>CSX!MH23/MF80*1000</f>
        <v>105.88160216167688</v>
      </c>
      <c r="MG96" s="303">
        <f>CSX!MI23/MG80*1000</f>
        <v>416.86810714109873</v>
      </c>
      <c r="MH96" s="590"/>
    </row>
    <row r="97" spans="1:346" s="53" customFormat="1" ht="13.15" x14ac:dyDescent="0.4">
      <c r="A97" s="100"/>
      <c r="B97" s="253" t="s">
        <v>436</v>
      </c>
      <c r="C97" s="254"/>
      <c r="D97" s="254"/>
      <c r="E97" s="254">
        <f>Revenue!E90/E80*1000</f>
        <v>106.04603566221823</v>
      </c>
      <c r="F97" s="254">
        <f>Revenue!F90/F80*1000</f>
        <v>103.82299217991894</v>
      </c>
      <c r="G97" s="254">
        <f>Revenue!G90/G80*1000</f>
        <v>106.13922424865142</v>
      </c>
      <c r="H97" s="254">
        <f>Revenue!H90/H80*1000</f>
        <v>104.31077515510233</v>
      </c>
      <c r="I97" s="254">
        <f>Revenue!I90/I80*1000</f>
        <v>123.43723482491373</v>
      </c>
      <c r="J97" s="254">
        <f>Revenue!J90/J80*1000</f>
        <v>113.69503951439665</v>
      </c>
      <c r="K97" s="254">
        <f>Revenue!K90/K80*1000</f>
        <v>117.89230356442592</v>
      </c>
      <c r="L97" s="254">
        <f>Revenue!L90/L80*1000</f>
        <v>142.55454352891337</v>
      </c>
      <c r="M97" s="254">
        <f>Revenue!M90/M80*1000</f>
        <v>151.07750472589794</v>
      </c>
      <c r="N97" s="254">
        <f>BT97</f>
        <v>152.21808218452804</v>
      </c>
      <c r="O97" s="254">
        <f>CA97</f>
        <v>157.20052344783178</v>
      </c>
      <c r="P97" s="254">
        <f>CH97</f>
        <v>121.1649774645954</v>
      </c>
      <c r="Q97" s="254">
        <f>CO97</f>
        <v>119.560424915178</v>
      </c>
      <c r="R97" s="254">
        <f>CV97</f>
        <v>124.22273620102511</v>
      </c>
      <c r="S97" s="254">
        <f>DC97</f>
        <v>133.62083956456715</v>
      </c>
      <c r="T97" s="254">
        <f>DJ97</f>
        <v>129.32966259043474</v>
      </c>
      <c r="U97" s="254">
        <f>DQ97</f>
        <v>131.450614174908</v>
      </c>
      <c r="V97" s="254">
        <f>DX97</f>
        <v>136.71823666447645</v>
      </c>
      <c r="W97" s="254">
        <f>EE97</f>
        <v>146.36294589574862</v>
      </c>
      <c r="X97" s="254">
        <f>EL97</f>
        <v>189.23139693571761</v>
      </c>
      <c r="Y97" s="254">
        <f>ES97</f>
        <v>184.85282880652721</v>
      </c>
      <c r="Z97" s="254">
        <f>EZ97</f>
        <v>182.62871950789284</v>
      </c>
      <c r="AA97" s="254">
        <f>FG97</f>
        <v>198.82376856700242</v>
      </c>
      <c r="AB97" s="254">
        <f>FN97</f>
        <v>208.25082744175739</v>
      </c>
      <c r="AC97" s="254">
        <f>FU97</f>
        <v>227.0380281159311</v>
      </c>
      <c r="AD97" s="254">
        <f>GB97</f>
        <v>222.04599524187151</v>
      </c>
      <c r="AE97" s="254">
        <f>GI97</f>
        <v>216.3274606219635</v>
      </c>
      <c r="AF97" s="254">
        <f>GP97</f>
        <v>212.70204228035956</v>
      </c>
      <c r="AG97" s="254">
        <f>GW97</f>
        <v>204.30421220349635</v>
      </c>
      <c r="AH97" s="254">
        <f>HD97</f>
        <v>192.53363023771738</v>
      </c>
      <c r="AI97" s="254">
        <f>HK97</f>
        <v>212.5148758748679</v>
      </c>
      <c r="AJ97" s="254">
        <f>HR97</f>
        <v>206.60886765515207</v>
      </c>
      <c r="AK97" s="254">
        <f>HY97</f>
        <v>199.52989523824348</v>
      </c>
      <c r="AL97" s="254">
        <f>IF97</f>
        <v>209.21619913773108</v>
      </c>
      <c r="AM97" s="254">
        <f>IM97</f>
        <v>219.28310075554779</v>
      </c>
      <c r="AN97" s="254">
        <f>IT97</f>
        <v>216.02364406102723</v>
      </c>
      <c r="AO97" s="254">
        <f>JA97</f>
        <v>233.10688733106889</v>
      </c>
      <c r="AP97" s="254">
        <f>JH97</f>
        <v>253.66627031311927</v>
      </c>
      <c r="AQ97" s="254">
        <f>JO97</f>
        <v>283.04440854111175</v>
      </c>
      <c r="AR97" s="254">
        <f>JV97</f>
        <v>288.48383655674598</v>
      </c>
      <c r="AS97" s="254">
        <f>KC97</f>
        <v>300.15282730514519</v>
      </c>
      <c r="AT97" s="254">
        <f>KJ97</f>
        <v>314.39489164865006</v>
      </c>
      <c r="AU97" s="254">
        <f>KQ97</f>
        <v>287.37810232472157</v>
      </c>
      <c r="AV97" s="254">
        <f>KX97</f>
        <v>268.85532939374042</v>
      </c>
      <c r="AW97" s="254">
        <f>LE97</f>
        <v>268.60945289599249</v>
      </c>
      <c r="AX97" s="254">
        <f>LL97</f>
        <v>270.70702735183971</v>
      </c>
      <c r="AY97" s="254">
        <f>LS97</f>
        <v>282.399562602515</v>
      </c>
      <c r="AZ97" s="254">
        <f>LZ97</f>
        <v>289.38514863387974</v>
      </c>
      <c r="BA97" s="254">
        <f>MG97</f>
        <v>294.42170830890336</v>
      </c>
      <c r="BB97" s="254"/>
      <c r="BC97" s="254"/>
      <c r="BD97" s="254"/>
      <c r="BE97" s="254"/>
      <c r="BF97" s="254"/>
      <c r="BG97" s="254"/>
      <c r="BH97" s="254"/>
      <c r="BI97" s="254"/>
      <c r="BJ97" s="254"/>
      <c r="BK97" s="254"/>
      <c r="BL97" s="254"/>
      <c r="BM97" s="254"/>
      <c r="BO97" s="253" t="s">
        <v>436</v>
      </c>
      <c r="BP97" s="254">
        <f>Revenue!BP90/BP80*1000</f>
        <v>38.997140031539843</v>
      </c>
      <c r="BQ97" s="254">
        <f>Revenue!BQ90/BQ80*1000</f>
        <v>38.375771404864388</v>
      </c>
      <c r="BR97" s="254">
        <f>Revenue!BR90/BR80*1000</f>
        <v>37.138016835195089</v>
      </c>
      <c r="BS97" s="254">
        <f>Revenue!BS90/BS80*1000</f>
        <v>37.705532644207594</v>
      </c>
      <c r="BT97" s="254">
        <f>Revenue!BT90/BT80*1000</f>
        <v>152.21808218452804</v>
      </c>
      <c r="BV97" s="253" t="s">
        <v>436</v>
      </c>
      <c r="BW97" s="254">
        <f>Revenue!BW90/BW80*1000</f>
        <v>40.963101938711695</v>
      </c>
      <c r="BX97" s="254">
        <f>Revenue!BX90/BX80*1000</f>
        <v>39.437761859710768</v>
      </c>
      <c r="BY97" s="254">
        <f>Revenue!BY90/BY80*1000</f>
        <v>37.955410549211528</v>
      </c>
      <c r="BZ97" s="254">
        <f>Revenue!BZ90/BZ80*1000</f>
        <v>38.901730845126004</v>
      </c>
      <c r="CA97" s="254">
        <f>Revenue!CA90/CA80*1000</f>
        <v>157.20052344783178</v>
      </c>
      <c r="CC97" s="253" t="s">
        <v>436</v>
      </c>
      <c r="CD97" s="254">
        <f>Revenue!CD90/CD80*1000</f>
        <v>37.924855321524042</v>
      </c>
      <c r="CE97" s="254">
        <f>Revenue!CE90/CE80*1000</f>
        <v>37.62473891854259</v>
      </c>
      <c r="CF97" s="254">
        <f>Revenue!CF90/CF80*1000</f>
        <v>39.080859952998523</v>
      </c>
      <c r="CG97" s="254">
        <f>Revenue!CG90/CG80*1000</f>
        <v>41.408056468297431</v>
      </c>
      <c r="CH97" s="254">
        <f>Revenue!CH90/CH80*1000</f>
        <v>121.1649774645954</v>
      </c>
      <c r="CJ97" s="253" t="s">
        <v>436</v>
      </c>
      <c r="CK97" s="254">
        <f>Revenue!CK90/CK80*1000</f>
        <v>29.588131780010244</v>
      </c>
      <c r="CL97" s="254">
        <f>Revenue!CL90/CL80*1000</f>
        <v>29.784035898229405</v>
      </c>
      <c r="CM97" s="254">
        <f>Revenue!CM90/CM80*1000</f>
        <v>29.80332490546618</v>
      </c>
      <c r="CN97" s="254">
        <f>Revenue!CN90/CN80*1000</f>
        <v>30.905821532928751</v>
      </c>
      <c r="CO97" s="254">
        <f>Revenue!CO90/CO80*1000</f>
        <v>119.560424915178</v>
      </c>
      <c r="CQ97" s="253" t="s">
        <v>436</v>
      </c>
      <c r="CR97" s="254">
        <f>Revenue!CR90/CR80*1000</f>
        <v>30.199245597389677</v>
      </c>
      <c r="CS97" s="254">
        <f>Revenue!CS90/CS80*1000</f>
        <v>31.312334740455533</v>
      </c>
      <c r="CT97" s="254">
        <f>Revenue!CT90/CT80*1000</f>
        <v>31.27205986164055</v>
      </c>
      <c r="CU97" s="254">
        <f>Revenue!CU90/CU80*1000</f>
        <v>31.802822500496916</v>
      </c>
      <c r="CV97" s="254">
        <f>Revenue!CV90/CV80*1000</f>
        <v>124.22273620102511</v>
      </c>
      <c r="CX97" s="253" t="s">
        <v>436</v>
      </c>
      <c r="CY97" s="254">
        <f>Revenue!CY90/CY80*1000</f>
        <v>32.584243055720002</v>
      </c>
      <c r="CZ97" s="254">
        <f>Revenue!CZ90/CZ80*1000</f>
        <v>33.672670321064999</v>
      </c>
      <c r="DA97" s="254">
        <f>Revenue!DA90/DA80*1000</f>
        <v>32.996262410859643</v>
      </c>
      <c r="DB97" s="254">
        <f>Revenue!DB90/DB80*1000</f>
        <v>34.134827976316949</v>
      </c>
      <c r="DC97" s="254">
        <f>Revenue!DC90/DC80*1000</f>
        <v>133.62083956456715</v>
      </c>
      <c r="DE97" s="253" t="s">
        <v>436</v>
      </c>
      <c r="DF97" s="254">
        <f>Revenue!DF90/DF80*1000</f>
        <v>32.251294249335388</v>
      </c>
      <c r="DG97" s="254">
        <f>Revenue!DG90/DG80*1000</f>
        <v>32.290754986411166</v>
      </c>
      <c r="DH97" s="254">
        <f>Revenue!DH90/DH80*1000</f>
        <v>32.006317647605329</v>
      </c>
      <c r="DI97" s="254">
        <f>Revenue!DI90/DI80*1000</f>
        <v>32.386214919296208</v>
      </c>
      <c r="DJ97" s="254">
        <f>Revenue!DJ90/DJ80*1000</f>
        <v>129.32966259043474</v>
      </c>
      <c r="DL97" s="253" t="s">
        <v>436</v>
      </c>
      <c r="DM97" s="254">
        <f>Revenue!DM90/DM80*1000</f>
        <v>31.810844174342421</v>
      </c>
      <c r="DN97" s="254">
        <f>Revenue!DN90/DN80*1000</f>
        <v>33.402823841561641</v>
      </c>
      <c r="DO97" s="254">
        <f>Revenue!DO90/DO80*1000</f>
        <v>32.663079392051351</v>
      </c>
      <c r="DP97" s="254">
        <f>Revenue!DP90/DP80*1000</f>
        <v>33.531824955324545</v>
      </c>
      <c r="DQ97" s="254">
        <f>Revenue!DQ90/DQ80*1000</f>
        <v>131.450614174908</v>
      </c>
      <c r="DS97" s="253" t="s">
        <v>436</v>
      </c>
      <c r="DT97" s="254">
        <f>Revenue!DT90/DT80*1000</f>
        <v>34.121498726809754</v>
      </c>
      <c r="DU97" s="254">
        <f>Revenue!DU90/DU80*1000</f>
        <v>34.72440374066646</v>
      </c>
      <c r="DV97" s="254">
        <f>Revenue!DV90/DV80*1000</f>
        <v>34.299961270333071</v>
      </c>
      <c r="DW97" s="254">
        <f>Revenue!DW90/DW80*1000</f>
        <v>35.211394899047413</v>
      </c>
      <c r="DX97" s="254">
        <f>Revenue!DX90/DX80*1000</f>
        <v>136.71823666447645</v>
      </c>
      <c r="DZ97" s="253" t="s">
        <v>436</v>
      </c>
      <c r="EA97" s="254">
        <f>Revenue!EA90/EA80*1000</f>
        <v>33.024075161479736</v>
      </c>
      <c r="EB97" s="254">
        <f>Revenue!EB90/EB80*1000</f>
        <v>34.241557766382307</v>
      </c>
      <c r="EC97" s="254">
        <f>Revenue!EC90/EC80*1000</f>
        <v>36.454316417296518</v>
      </c>
      <c r="ED97" s="254">
        <f>Revenue!ED90/ED80*1000</f>
        <v>37.323808916384976</v>
      </c>
      <c r="EE97" s="254">
        <f>Revenue!EE90/EE80*1000</f>
        <v>146.36294589574862</v>
      </c>
      <c r="EG97" s="253" t="s">
        <v>436</v>
      </c>
      <c r="EH97" s="254">
        <f>Revenue!EH90/EH80*1000</f>
        <v>37.923745001655504</v>
      </c>
      <c r="EI97" s="254">
        <f>Revenue!EI90/EI80*1000</f>
        <v>39.132496443634729</v>
      </c>
      <c r="EJ97" s="254">
        <f>Revenue!EJ90/EJ80*1000</f>
        <v>41.428668186846679</v>
      </c>
      <c r="EK97" s="254">
        <f>Revenue!EK90/EK80*1000</f>
        <v>39.272270348264534</v>
      </c>
      <c r="EL97" s="254">
        <f>Revenue!EL90/EL80*1000</f>
        <v>189.23139693571761</v>
      </c>
      <c r="EN97" s="253" t="s">
        <v>436</v>
      </c>
      <c r="EO97" s="254">
        <f>Revenue!EO90/EO80*1000</f>
        <v>47.39421621205512</v>
      </c>
      <c r="EP97" s="254">
        <f>Revenue!EP90/EP80*1000</f>
        <v>47.100255897033115</v>
      </c>
      <c r="EQ97" s="254">
        <f>Revenue!EQ90/EQ80*1000</f>
        <v>45.775621527865063</v>
      </c>
      <c r="ER97" s="254">
        <f>Revenue!ER90/ER80*1000</f>
        <v>44.477004072712823</v>
      </c>
      <c r="ES97" s="254">
        <f>Revenue!ES90/ES80*1000</f>
        <v>184.85282880652721</v>
      </c>
      <c r="EU97" s="253" t="s">
        <v>436</v>
      </c>
      <c r="EV97" s="254">
        <f>Revenue!EV90/EV80*1000</f>
        <v>44.848607492474642</v>
      </c>
      <c r="EW97" s="254">
        <f>Revenue!EW90/EW80*1000</f>
        <v>45.487912922414885</v>
      </c>
      <c r="EX97" s="254">
        <f>Revenue!EX90/EX80*1000</f>
        <v>45.645182040396243</v>
      </c>
      <c r="EY97" s="254">
        <f>Revenue!EY90/EY80*1000</f>
        <v>46.499741158430695</v>
      </c>
      <c r="EZ97" s="254">
        <f>Revenue!EZ90/EZ80*1000</f>
        <v>182.62871950789284</v>
      </c>
      <c r="FB97" s="253" t="s">
        <v>436</v>
      </c>
      <c r="FC97" s="254">
        <f>Revenue!FC90/FC80*1000</f>
        <v>46.088703110580319</v>
      </c>
      <c r="FD97" s="254">
        <f>Revenue!FD90/FD80*1000</f>
        <v>47.954641797371764</v>
      </c>
      <c r="FE97" s="254">
        <f>Revenue!FE90/FE80*1000</f>
        <v>47.828956051207598</v>
      </c>
      <c r="FF97" s="254">
        <f>Revenue!FF90/FF80*1000</f>
        <v>47.460170706542854</v>
      </c>
      <c r="FG97" s="254">
        <f>Revenue!FG90/FG80*1000</f>
        <v>198.82376856700242</v>
      </c>
      <c r="FI97" s="253" t="s">
        <v>436</v>
      </c>
      <c r="FJ97" s="254">
        <f>Revenue!FJ90/FJ80*1000</f>
        <v>50.400784268496622</v>
      </c>
      <c r="FK97" s="254">
        <f>Revenue!FK90/FK80*1000</f>
        <v>52.293318233295579</v>
      </c>
      <c r="FL97" s="254">
        <f>Revenue!FL90/FL80*1000</f>
        <v>50.711520788660224</v>
      </c>
      <c r="FM97" s="254">
        <f>Revenue!FM90/FM80*1000</f>
        <v>56.109875578529781</v>
      </c>
      <c r="FN97" s="254">
        <f>Revenue!FN90/FN80*1000</f>
        <v>208.25082744175739</v>
      </c>
      <c r="FP97" s="253" t="s">
        <v>436</v>
      </c>
      <c r="FQ97" s="254">
        <f>Revenue!FQ90/FQ80*1000</f>
        <v>53.764074750928486</v>
      </c>
      <c r="FR97" s="254">
        <f>Revenue!FR90/FR80*1000</f>
        <v>56.200978946747661</v>
      </c>
      <c r="FS97" s="254">
        <f>Revenue!FS90/FS80*1000</f>
        <v>54.725618938618155</v>
      </c>
      <c r="FT97" s="254">
        <f>Revenue!FT90/FT80*1000</f>
        <v>60.010894564822664</v>
      </c>
      <c r="FU97" s="254">
        <f>Revenue!FU90/FU80*1000</f>
        <v>227.0380281159311</v>
      </c>
      <c r="FW97" s="253" t="s">
        <v>436</v>
      </c>
      <c r="FX97" s="254">
        <f>Revenue!FX90/FX80*1000</f>
        <v>57.082714214957896</v>
      </c>
      <c r="FY97" s="254">
        <f>Revenue!FY90/FY80*1000</f>
        <v>56.497687494332091</v>
      </c>
      <c r="FZ97" s="254">
        <f>Revenue!FZ90/FZ80*1000</f>
        <v>54.41383230129528</v>
      </c>
      <c r="GA97" s="254">
        <f>Revenue!GA90/GA80*1000</f>
        <v>54.121639724926318</v>
      </c>
      <c r="GB97" s="254">
        <f>Revenue!GB90/GB80*1000</f>
        <v>222.04599524187151</v>
      </c>
      <c r="GD97" s="253" t="s">
        <v>436</v>
      </c>
      <c r="GE97" s="254">
        <f>Revenue!GE90/GE80*1000</f>
        <v>54.262874803126209</v>
      </c>
      <c r="GF97" s="254">
        <f>Revenue!GF90/GF80*1000</f>
        <v>54.743991334640945</v>
      </c>
      <c r="GG97" s="254">
        <f>Revenue!GG90/GG80*1000</f>
        <v>54.224980968554192</v>
      </c>
      <c r="GH97" s="254">
        <f>Revenue!GH90/GH80*1000</f>
        <v>53.096306726510015</v>
      </c>
      <c r="GI97" s="254">
        <f>Revenue!GI90/GI80*1000</f>
        <v>216.3274606219635</v>
      </c>
      <c r="GK97" s="253" t="s">
        <v>436</v>
      </c>
      <c r="GL97" s="254">
        <f>Revenue!GL90/GL80*1000</f>
        <v>52.173137523039422</v>
      </c>
      <c r="GM97" s="254">
        <f>Revenue!GM90/GM80*1000</f>
        <v>54.313573934241035</v>
      </c>
      <c r="GN97" s="254">
        <f>Revenue!GN90/GN80*1000</f>
        <v>52.70667974672255</v>
      </c>
      <c r="GO97" s="254">
        <f>Revenue!GO90/GO80*1000</f>
        <v>53.516076095544889</v>
      </c>
      <c r="GP97" s="254">
        <f>Revenue!GP90/GP80*1000</f>
        <v>212.70204228035956</v>
      </c>
      <c r="GR97" s="253" t="s">
        <v>436</v>
      </c>
      <c r="GS97" s="254">
        <f>Revenue!GS90/GS80*1000</f>
        <v>50.783791777580596</v>
      </c>
      <c r="GT97" s="254">
        <f>Revenue!GT90/GT80*1000</f>
        <v>53.684783265824315</v>
      </c>
      <c r="GU97" s="254">
        <f>Revenue!GU90/GU80*1000</f>
        <v>51.812851501735068</v>
      </c>
      <c r="GV97" s="254">
        <f>Revenue!GV90/GV80*1000</f>
        <v>48.047237958217188</v>
      </c>
      <c r="GW97" s="254">
        <f>Revenue!GW90/GW80*1000</f>
        <v>204.30421220349635</v>
      </c>
      <c r="GY97" s="253" t="s">
        <v>436</v>
      </c>
      <c r="GZ97" s="254">
        <f>Revenue!GZ90/GZ80*1000</f>
        <v>45.517241379310349</v>
      </c>
      <c r="HA97" s="254">
        <f>Revenue!HA90/HA80*1000</f>
        <v>47.225383225115472</v>
      </c>
      <c r="HB97" s="254">
        <f>Revenue!HB90/HB80*1000</f>
        <v>49.02452899641937</v>
      </c>
      <c r="HC97" s="254">
        <f>Revenue!HC90/HC80*1000</f>
        <v>50.922935717442293</v>
      </c>
      <c r="HD97" s="254">
        <f>Revenue!HD90/HD80*1000</f>
        <v>192.53363023771738</v>
      </c>
      <c r="HF97" s="253" t="s">
        <v>436</v>
      </c>
      <c r="HG97" s="254">
        <f>Revenue!HG90/HG80*1000</f>
        <v>50.699419993176392</v>
      </c>
      <c r="HH97" s="254">
        <f>Revenue!HH90/HH80*1000</f>
        <v>52.826446280991739</v>
      </c>
      <c r="HI97" s="254">
        <f>Revenue!HI90/HI80*1000</f>
        <v>52.97991438919987</v>
      </c>
      <c r="HJ97" s="254">
        <f>Revenue!HJ90/HJ80*1000</f>
        <v>55.935959776388472</v>
      </c>
      <c r="HK97" s="254">
        <f>Revenue!HK90/HK80*1000</f>
        <v>212.5148758748679</v>
      </c>
      <c r="HM97" s="253" t="s">
        <v>436</v>
      </c>
      <c r="HN97" s="254">
        <f>Revenue!HN90/HN80*1000</f>
        <v>52.292734200499275</v>
      </c>
      <c r="HO97" s="254">
        <f>Revenue!HO90/HO80*1000</f>
        <v>52.875040154192092</v>
      </c>
      <c r="HP97" s="254">
        <f>Revenue!HP90/HP80*1000</f>
        <v>51.130621526023248</v>
      </c>
      <c r="HQ97" s="254">
        <f>Revenue!HQ90/HQ80*1000</f>
        <v>50.374933880954607</v>
      </c>
      <c r="HR97" s="254">
        <f>Revenue!HR90/HR80*1000</f>
        <v>206.60886765515207</v>
      </c>
      <c r="HT97" s="253" t="s">
        <v>436</v>
      </c>
      <c r="HU97" s="254">
        <f>Revenue!HU90/HU80*1000</f>
        <v>49.455129194579072</v>
      </c>
      <c r="HV97" s="254">
        <f>Revenue!HV90/HV80*1000</f>
        <v>50.582937511566222</v>
      </c>
      <c r="HW97" s="254">
        <f>Revenue!HW90/HW80*1000</f>
        <v>49.683269159110672</v>
      </c>
      <c r="HX97" s="254">
        <f>Revenue!HX90/HX80*1000</f>
        <v>49.804532307790105</v>
      </c>
      <c r="HY97" s="254">
        <f>Revenue!HY90/HY80*1000</f>
        <v>199.52989523824348</v>
      </c>
      <c r="IA97" s="253" t="s">
        <v>436</v>
      </c>
      <c r="IB97" s="254">
        <f>Revenue!IB90/IB80*1000</f>
        <v>50.886810706223798</v>
      </c>
      <c r="IC97" s="254">
        <f>Revenue!IC90/IC80*1000</f>
        <v>52.922565593940746</v>
      </c>
      <c r="ID97" s="254">
        <f>Revenue!ID90/ID80*1000</f>
        <v>52.550775627698705</v>
      </c>
      <c r="IE97" s="254">
        <f>Revenue!IE90/IE80*1000</f>
        <v>52.840746510666712</v>
      </c>
      <c r="IF97" s="254">
        <f>Revenue!IF90/IF80*1000</f>
        <v>209.21619913773108</v>
      </c>
      <c r="IH97" s="253" t="s">
        <v>436</v>
      </c>
      <c r="II97" s="254">
        <f>Revenue!II90/II80*1000</f>
        <v>51.964715316760227</v>
      </c>
      <c r="IJ97" s="254">
        <f>Revenue!IJ90/IJ80*1000</f>
        <v>56.755895474824726</v>
      </c>
      <c r="IK97" s="254">
        <f>Revenue!IK90/IK80*1000</f>
        <v>55.650522317188987</v>
      </c>
      <c r="IL97" s="254">
        <f>Revenue!IL90/IL80*1000</f>
        <v>54.886211512717537</v>
      </c>
      <c r="IM97" s="254">
        <f>Revenue!IM90/IM80*1000</f>
        <v>219.28310075554779</v>
      </c>
      <c r="IO97" s="253" t="s">
        <v>436</v>
      </c>
      <c r="IP97" s="254">
        <f>Revenue!IP90/IP80*1000</f>
        <v>50.564403896706352</v>
      </c>
      <c r="IQ97" s="254">
        <f>Revenue!IQ90/IQ80*1000</f>
        <v>54.642601969494578</v>
      </c>
      <c r="IR97" s="254">
        <f>Revenue!IR90/IR80*1000</f>
        <v>55.424261063809119</v>
      </c>
      <c r="IS97" s="254">
        <f>Revenue!IS90/IS80*1000</f>
        <v>55.583543240973967</v>
      </c>
      <c r="IT97" s="254">
        <f>Revenue!IT90/IT80*1000</f>
        <v>216.02364406102723</v>
      </c>
      <c r="IV97" s="253" t="s">
        <v>436</v>
      </c>
      <c r="IW97" s="254">
        <f>Revenue!IW90/IW80*1000</f>
        <v>54.795972443031268</v>
      </c>
      <c r="IX97" s="254">
        <f>Revenue!IX90/IX80*1000</f>
        <v>57.094788087056124</v>
      </c>
      <c r="IY97" s="254">
        <f>Revenue!IY90/IY80*1000</f>
        <v>57.708524289642533</v>
      </c>
      <c r="IZ97" s="254">
        <f>Revenue!IZ90/IZ80*1000</f>
        <v>63.691220840385604</v>
      </c>
      <c r="JA97" s="254">
        <f>Revenue!JA90/JA80*1000</f>
        <v>233.10688733106889</v>
      </c>
      <c r="JC97" s="253" t="s">
        <v>436</v>
      </c>
      <c r="JD97" s="254">
        <f>Revenue!JD90/JD80*1000</f>
        <v>60.066405070932689</v>
      </c>
      <c r="JE97" s="254">
        <f>Revenue!JE90/JE80*1000</f>
        <v>62.827225130890049</v>
      </c>
      <c r="JF97" s="254">
        <f>Revenue!JF90/JF80*1000</f>
        <v>64.491222366710005</v>
      </c>
      <c r="JG97" s="254">
        <f>Revenue!JG90/JG80*1000</f>
        <v>66.638917793964623</v>
      </c>
      <c r="JH97" s="254">
        <f>Revenue!JH90/JH80*1000</f>
        <v>253.66627031311927</v>
      </c>
      <c r="JJ97" s="253" t="s">
        <v>436</v>
      </c>
      <c r="JK97" s="254">
        <f>Revenue!JK90/JK80*1000</f>
        <v>65.241461545013209</v>
      </c>
      <c r="JL97" s="254">
        <f>Revenue!JL90/JL80*1000</f>
        <v>71.746142446168605</v>
      </c>
      <c r="JM97" s="254">
        <f>Revenue!JM90/JM80*1000</f>
        <v>72.964399013041941</v>
      </c>
      <c r="JN97" s="254">
        <f>Revenue!JN90/JN80*1000</f>
        <v>73.296566447251379</v>
      </c>
      <c r="JO97" s="254">
        <f>Revenue!JO90/JO80*1000</f>
        <v>283.04440854111175</v>
      </c>
      <c r="JQ97" s="253" t="s">
        <v>436</v>
      </c>
      <c r="JR97" s="254">
        <f>Revenue!JR90/JR80*1000</f>
        <v>68.982607912048294</v>
      </c>
      <c r="JS97" s="254">
        <f>Revenue!JS90/JS80*1000</f>
        <v>72.502980830963963</v>
      </c>
      <c r="JT97" s="254">
        <f>Revenue!JT90/JT80*1000</f>
        <v>73.55492006938259</v>
      </c>
      <c r="JU97" s="254">
        <f>Revenue!JU90/JU80*1000</f>
        <v>73.594108645753636</v>
      </c>
      <c r="JV97" s="254">
        <f>Revenue!JV90/JV80*1000</f>
        <v>288.48383655674598</v>
      </c>
      <c r="JX97" s="253" t="s">
        <v>436</v>
      </c>
      <c r="JY97" s="254">
        <f>Revenue!JY90/JY80*1000</f>
        <v>73.398943132787124</v>
      </c>
      <c r="JZ97" s="254">
        <f>Revenue!JZ90/JZ80*1000</f>
        <v>64.998190185635238</v>
      </c>
      <c r="KA97" s="254">
        <f>Revenue!KA90/KA80*1000</f>
        <v>78.80702117744525</v>
      </c>
      <c r="KB97" s="254">
        <f>Revenue!KB90/KB80*1000</f>
        <v>83.108108108108112</v>
      </c>
      <c r="KC97" s="254">
        <f>Revenue!KC90/KC80*1000</f>
        <v>300.15282730514519</v>
      </c>
      <c r="KE97" s="253" t="s">
        <v>436</v>
      </c>
      <c r="KF97" s="254">
        <f>Revenue!KF90/KF80*1000</f>
        <v>79.635416666666671</v>
      </c>
      <c r="KG97" s="254">
        <f>Revenue!KG90/KG80*1000</f>
        <v>83.098297294474037</v>
      </c>
      <c r="KH97" s="254">
        <f>Revenue!KH90/KH80*1000</f>
        <v>76.284835765532733</v>
      </c>
      <c r="KI97" s="254">
        <f>Revenue!KI90/KI80*1000</f>
        <v>75.775857908200194</v>
      </c>
      <c r="KJ97" s="254">
        <f>Revenue!KJ90/KJ80*1000</f>
        <v>314.39489164865006</v>
      </c>
      <c r="KL97" s="253" t="s">
        <v>436</v>
      </c>
      <c r="KM97" s="254">
        <f>Revenue!KM90/KM80*1000</f>
        <v>71.877549061945203</v>
      </c>
      <c r="KN97" s="254">
        <f>Revenue!KN90/KN80*1000</f>
        <v>74.941231781852366</v>
      </c>
      <c r="KO97" s="254">
        <f>Revenue!KO90/KO80*1000</f>
        <v>72.844946295786272</v>
      </c>
      <c r="KP97" s="254">
        <f>Revenue!KP90/KP80*1000</f>
        <v>68.720696584058942</v>
      </c>
      <c r="KQ97" s="254">
        <f>Revenue!KQ90/KQ80*1000</f>
        <v>287.37810232472157</v>
      </c>
      <c r="KS97" s="253" t="s">
        <v>436</v>
      </c>
      <c r="KT97" s="254">
        <f>Revenue!KT90/KT80*1000</f>
        <v>65.717318238103658</v>
      </c>
      <c r="KU97" s="254">
        <f>Revenue!KU90/KU80*1000</f>
        <v>68.105726872246692</v>
      </c>
      <c r="KV97" s="254">
        <f>Revenue!KV90/KV80*1000</f>
        <v>67.732913826254148</v>
      </c>
      <c r="KW97" s="254">
        <f>Revenue!KW90/KW80*1000</f>
        <v>67.290687141439847</v>
      </c>
      <c r="KX97" s="254">
        <f>Revenue!KX90/KX80*1000</f>
        <v>268.85532939374042</v>
      </c>
      <c r="KZ97" s="253" t="s">
        <v>436</v>
      </c>
      <c r="LA97" s="254">
        <f>Revenue!LA90/LA80*1000</f>
        <v>65.606021726114093</v>
      </c>
      <c r="LB97" s="304">
        <f>Revenue!LB90/LB80*1000</f>
        <v>67.69045984900481</v>
      </c>
      <c r="LC97" s="304">
        <f>Revenue!LC90/LC80*1000</f>
        <v>68.193515182707145</v>
      </c>
      <c r="LD97" s="304">
        <f>Revenue!LD90/LD80*1000</f>
        <v>67.124105011933182</v>
      </c>
      <c r="LE97" s="304">
        <f>Revenue!LE90/LE80*1000</f>
        <v>268.60945289599249</v>
      </c>
      <c r="LF97" s="591"/>
      <c r="LG97" s="253" t="s">
        <v>436</v>
      </c>
      <c r="LH97" s="304">
        <f>Revenue!LH90/LH80*1000</f>
        <v>64.835774996796658</v>
      </c>
      <c r="LI97" s="304">
        <f>Revenue!LI90/LI80*1000</f>
        <v>67.205444491705649</v>
      </c>
      <c r="LJ97" s="304">
        <f>Revenue!LJ90/LJ80*1000</f>
        <v>69.258861439312568</v>
      </c>
      <c r="LK97" s="304">
        <f>Revenue!LK90/LK80*1000</f>
        <v>69.449880408784509</v>
      </c>
      <c r="LL97" s="304">
        <f>Revenue!LL90/LL80*1000</f>
        <v>270.70702735183971</v>
      </c>
      <c r="LM97" s="591"/>
      <c r="LN97" s="253" t="s">
        <v>436</v>
      </c>
      <c r="LO97" s="304">
        <f>Revenue!LO90/LO80*1000</f>
        <v>67.370212765957433</v>
      </c>
      <c r="LP97" s="304">
        <f>Revenue!LP90/LP80*1000</f>
        <v>70.208547382227565</v>
      </c>
      <c r="LQ97" s="304">
        <f>Revenue!LQ90/LQ80*1000</f>
        <v>72.264667250437824</v>
      </c>
      <c r="LR97" s="304">
        <f>Revenue!LR90/LR80*1000</f>
        <v>72.568236582694411</v>
      </c>
      <c r="LS97" s="304">
        <f>Revenue!LS90/LS80*1000</f>
        <v>282.399562602515</v>
      </c>
      <c r="LT97" s="591"/>
      <c r="LU97" s="253" t="s">
        <v>436</v>
      </c>
      <c r="LV97" s="304">
        <f>Revenue!LV90/LV80*1000</f>
        <v>69.30920197044334</v>
      </c>
      <c r="LW97" s="304">
        <f>Revenue!LW90/LW80*1000</f>
        <v>72.071100054674687</v>
      </c>
      <c r="LX97" s="304">
        <f>Revenue!LX90/LX80*1000</f>
        <v>73.908621518296016</v>
      </c>
      <c r="LY97" s="304">
        <f>Revenue!LY90/LY80*1000</f>
        <v>74.087387888707028</v>
      </c>
      <c r="LZ97" s="304">
        <f>Revenue!LZ90/LZ80*1000</f>
        <v>289.38514863387974</v>
      </c>
      <c r="MA97" s="591"/>
      <c r="MB97" s="253" t="s">
        <v>436</v>
      </c>
      <c r="MC97" s="304">
        <f>Revenue!MC90/MC80*1000</f>
        <v>70.671418480392148</v>
      </c>
      <c r="MD97" s="304">
        <f>Revenue!MD90/MD80*1000</f>
        <v>73.387800673913034</v>
      </c>
      <c r="ME97" s="304">
        <f>Revenue!ME90/ME80*1000</f>
        <v>75.143008823210423</v>
      </c>
      <c r="MF97" s="304">
        <f>Revenue!MF90/MF80*1000</f>
        <v>75.202814320887455</v>
      </c>
      <c r="MG97" s="304">
        <f>Revenue!MG90/MG80*1000</f>
        <v>294.42170830890336</v>
      </c>
      <c r="MH97" s="591"/>
    </row>
    <row r="98" spans="1:346" s="37" customFormat="1" ht="13.15" x14ac:dyDescent="0.4">
      <c r="A98" s="100"/>
      <c r="B98" s="143"/>
      <c r="C98" s="104"/>
      <c r="D98" s="104"/>
      <c r="E98" s="104"/>
      <c r="F98" s="104"/>
      <c r="G98" s="104"/>
      <c r="H98" s="104"/>
      <c r="I98" s="104"/>
      <c r="J98" s="104"/>
      <c r="K98" s="104"/>
      <c r="L98" s="104"/>
      <c r="M98" s="104"/>
      <c r="N98" s="104"/>
      <c r="O98" s="104"/>
      <c r="P98" s="104"/>
      <c r="Q98" s="104"/>
      <c r="R98" s="104"/>
      <c r="S98" s="104"/>
      <c r="T98" s="104"/>
      <c r="U98" s="104"/>
      <c r="V98" s="104"/>
      <c r="W98" s="104"/>
      <c r="X98" s="104"/>
      <c r="Y98" s="104"/>
      <c r="Z98" s="104"/>
      <c r="AA98" s="104"/>
      <c r="AB98" s="104"/>
      <c r="AC98" s="104"/>
      <c r="AD98" s="104"/>
      <c r="AE98" s="104"/>
      <c r="AF98" s="104"/>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O98" s="143"/>
      <c r="BP98" s="104"/>
      <c r="BQ98" s="104"/>
      <c r="BR98" s="104"/>
      <c r="BS98" s="104"/>
      <c r="BT98" s="104"/>
      <c r="BV98" s="143"/>
      <c r="BW98" s="104"/>
      <c r="BX98" s="104"/>
      <c r="BY98" s="104"/>
      <c r="BZ98" s="104"/>
      <c r="CA98" s="104"/>
      <c r="CC98" s="143"/>
      <c r="CD98" s="104"/>
      <c r="CE98" s="104"/>
      <c r="CF98" s="104"/>
      <c r="CG98" s="104"/>
      <c r="CH98" s="104"/>
      <c r="CJ98" s="143"/>
      <c r="CK98" s="104"/>
      <c r="CL98" s="104"/>
      <c r="CM98" s="104"/>
      <c r="CN98" s="104"/>
      <c r="CO98" s="104"/>
      <c r="CQ98" s="143"/>
      <c r="CR98" s="104"/>
      <c r="CS98" s="104"/>
      <c r="CT98" s="104"/>
      <c r="CU98" s="104"/>
      <c r="CV98" s="104"/>
      <c r="CX98" s="143"/>
      <c r="CY98" s="104"/>
      <c r="CZ98" s="104"/>
      <c r="DA98" s="104"/>
      <c r="DB98" s="104"/>
      <c r="DC98" s="104"/>
      <c r="DE98" s="143"/>
      <c r="DF98" s="104"/>
      <c r="DG98" s="104"/>
      <c r="DH98" s="104"/>
      <c r="DI98" s="104"/>
      <c r="DJ98" s="104"/>
      <c r="DL98" s="143"/>
      <c r="DM98" s="104"/>
      <c r="DN98" s="104"/>
      <c r="DO98" s="104"/>
      <c r="DP98" s="104"/>
      <c r="DQ98" s="104"/>
      <c r="DS98" s="143"/>
      <c r="DT98" s="104"/>
      <c r="DU98" s="104"/>
      <c r="DV98" s="104"/>
      <c r="DW98" s="104"/>
      <c r="DX98" s="104"/>
      <c r="DZ98" s="143"/>
      <c r="EA98" s="104"/>
      <c r="EB98" s="104"/>
      <c r="EC98" s="104"/>
      <c r="ED98" s="104"/>
      <c r="EE98" s="104"/>
      <c r="EG98" s="143"/>
      <c r="EH98" s="104"/>
      <c r="EI98" s="104"/>
      <c r="EJ98" s="104"/>
      <c r="EK98" s="104"/>
      <c r="EL98" s="104"/>
      <c r="EN98" s="143"/>
      <c r="EO98" s="104"/>
      <c r="EP98" s="104"/>
      <c r="EQ98" s="104"/>
      <c r="ER98" s="104"/>
      <c r="ES98" s="104"/>
      <c r="EU98" s="143"/>
      <c r="EV98" s="104"/>
      <c r="EW98" s="104"/>
      <c r="EX98" s="104"/>
      <c r="EY98" s="104"/>
      <c r="EZ98" s="104"/>
      <c r="FB98" s="143"/>
      <c r="FC98" s="104"/>
      <c r="FD98" s="104"/>
      <c r="FE98" s="104"/>
      <c r="FF98" s="104"/>
      <c r="FG98" s="104"/>
      <c r="FI98" s="143"/>
      <c r="FJ98" s="104"/>
      <c r="FK98" s="104"/>
      <c r="FL98" s="104"/>
      <c r="FM98" s="104"/>
      <c r="FN98" s="104"/>
      <c r="FP98" s="143"/>
      <c r="FQ98" s="104"/>
      <c r="FR98" s="104"/>
      <c r="FS98" s="104"/>
      <c r="FT98" s="104"/>
      <c r="FU98" s="104"/>
      <c r="FW98" s="143"/>
      <c r="FX98" s="104"/>
      <c r="FY98" s="104"/>
      <c r="FZ98" s="104"/>
      <c r="GA98" s="104"/>
      <c r="GB98" s="104"/>
      <c r="GD98" s="143"/>
      <c r="GE98" s="104"/>
      <c r="GF98" s="104"/>
      <c r="GG98" s="104"/>
      <c r="GH98" s="104"/>
      <c r="GI98" s="104"/>
      <c r="GK98" s="143"/>
      <c r="GL98" s="104"/>
      <c r="GM98" s="104"/>
      <c r="GN98" s="104"/>
      <c r="GO98" s="104"/>
      <c r="GP98" s="104"/>
      <c r="GR98" s="143"/>
      <c r="GS98" s="104"/>
      <c r="GT98" s="104"/>
      <c r="GU98" s="104"/>
      <c r="GV98" s="104"/>
      <c r="GW98" s="104"/>
      <c r="GY98" s="143"/>
      <c r="GZ98" s="104"/>
      <c r="HA98" s="104"/>
      <c r="HB98" s="104"/>
      <c r="HC98" s="104"/>
      <c r="HD98" s="104"/>
      <c r="HF98" s="143"/>
      <c r="HG98" s="104"/>
      <c r="HH98" s="104"/>
      <c r="HI98" s="104"/>
      <c r="HJ98" s="104"/>
      <c r="HK98" s="104"/>
      <c r="HM98" s="143"/>
      <c r="HN98" s="104"/>
      <c r="HO98" s="104"/>
      <c r="HP98" s="104"/>
      <c r="HQ98" s="104"/>
      <c r="HR98" s="104"/>
      <c r="HT98" s="143"/>
      <c r="HU98" s="104"/>
      <c r="HV98" s="104"/>
      <c r="HW98" s="104"/>
      <c r="HX98" s="104"/>
      <c r="HY98" s="104"/>
      <c r="IA98" s="143"/>
      <c r="IB98" s="104"/>
      <c r="IC98" s="104"/>
      <c r="ID98" s="104"/>
      <c r="IE98" s="104"/>
      <c r="IF98" s="104"/>
      <c r="IH98" s="143"/>
      <c r="II98" s="104"/>
      <c r="IJ98" s="104"/>
      <c r="IK98" s="104"/>
      <c r="IL98" s="104"/>
      <c r="IM98" s="104"/>
      <c r="IO98" s="143"/>
      <c r="IP98" s="104"/>
      <c r="IQ98" s="104"/>
      <c r="IR98" s="104"/>
      <c r="IS98" s="104"/>
      <c r="IT98" s="104"/>
      <c r="IV98" s="143"/>
      <c r="IW98" s="104"/>
      <c r="IX98" s="104"/>
      <c r="IY98" s="104"/>
      <c r="IZ98" s="104"/>
      <c r="JA98" s="104"/>
      <c r="JC98" s="143"/>
      <c r="JD98" s="104"/>
      <c r="JE98" s="104"/>
      <c r="JF98" s="104"/>
      <c r="JG98" s="104"/>
      <c r="JH98" s="104"/>
      <c r="JJ98" s="143"/>
      <c r="JK98" s="104"/>
      <c r="JL98" s="104"/>
      <c r="JM98" s="104"/>
      <c r="JN98" s="104"/>
      <c r="JO98" s="104"/>
      <c r="JQ98" s="143"/>
      <c r="JR98" s="104"/>
      <c r="JS98" s="104"/>
      <c r="JT98" s="104"/>
      <c r="JU98" s="104"/>
      <c r="JV98" s="104"/>
      <c r="JX98" s="143"/>
      <c r="JY98" s="104"/>
      <c r="JZ98" s="104"/>
      <c r="KA98" s="104"/>
      <c r="KB98" s="104"/>
      <c r="KC98" s="104"/>
      <c r="KE98" s="143"/>
      <c r="KF98" s="104"/>
      <c r="KG98" s="104"/>
      <c r="KH98" s="104"/>
      <c r="KI98" s="104"/>
      <c r="KJ98" s="104"/>
      <c r="KL98" s="143"/>
      <c r="KM98" s="104"/>
      <c r="KN98" s="104"/>
      <c r="KO98" s="104"/>
      <c r="KP98" s="104"/>
      <c r="KQ98" s="104"/>
      <c r="KS98" s="143"/>
      <c r="KT98" s="104"/>
      <c r="KU98" s="104"/>
      <c r="KV98" s="104"/>
      <c r="KW98" s="104"/>
      <c r="KX98" s="104"/>
      <c r="KZ98" s="143"/>
      <c r="LA98" s="104"/>
      <c r="LB98" s="104"/>
      <c r="LC98" s="104"/>
      <c r="LD98" s="104"/>
      <c r="LE98" s="105"/>
      <c r="LF98" s="555"/>
      <c r="LG98" s="143"/>
      <c r="LH98" s="104"/>
      <c r="LI98" s="737"/>
      <c r="LJ98" s="737"/>
      <c r="LK98" s="104"/>
      <c r="LL98" s="105"/>
      <c r="LM98" s="555"/>
      <c r="LN98" s="143"/>
      <c r="LO98" s="104"/>
      <c r="LP98" s="104"/>
      <c r="LQ98" s="104"/>
      <c r="LR98" s="104"/>
      <c r="LS98" s="105"/>
      <c r="LT98" s="555"/>
      <c r="LU98" s="143"/>
      <c r="LV98" s="104"/>
      <c r="LW98" s="104"/>
      <c r="LX98" s="104"/>
      <c r="LY98" s="104"/>
      <c r="LZ98" s="743"/>
      <c r="MA98" s="555"/>
      <c r="MB98" s="143"/>
      <c r="MC98" s="104"/>
      <c r="MD98" s="104"/>
      <c r="ME98" s="104"/>
      <c r="MF98" s="104"/>
      <c r="MG98" s="743"/>
      <c r="MH98" s="555"/>
    </row>
    <row r="99" spans="1:346" s="37" customFormat="1" ht="13.15" outlineLevel="1" x14ac:dyDescent="0.4">
      <c r="A99" s="100"/>
      <c r="B99" s="143" t="s">
        <v>512</v>
      </c>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O99" s="143" t="s">
        <v>512</v>
      </c>
      <c r="BP99" s="104"/>
      <c r="BQ99" s="104"/>
      <c r="BR99" s="104"/>
      <c r="BS99" s="104"/>
      <c r="BT99" s="104"/>
      <c r="BV99" s="143" t="s">
        <v>512</v>
      </c>
      <c r="BW99" s="104"/>
      <c r="BX99" s="104"/>
      <c r="BY99" s="104"/>
      <c r="BZ99" s="104"/>
      <c r="CA99" s="104"/>
      <c r="CC99" s="143" t="s">
        <v>512</v>
      </c>
      <c r="CD99" s="104"/>
      <c r="CE99" s="104"/>
      <c r="CF99" s="104"/>
      <c r="CG99" s="104"/>
      <c r="CH99" s="104"/>
      <c r="CJ99" s="143" t="s">
        <v>512</v>
      </c>
      <c r="CK99" s="104"/>
      <c r="CL99" s="104"/>
      <c r="CM99" s="104"/>
      <c r="CN99" s="104"/>
      <c r="CO99" s="104"/>
      <c r="CQ99" s="143" t="s">
        <v>512</v>
      </c>
      <c r="CR99" s="104"/>
      <c r="CS99" s="104"/>
      <c r="CT99" s="104"/>
      <c r="CU99" s="104"/>
      <c r="CV99" s="104"/>
      <c r="CX99" s="143" t="s">
        <v>512</v>
      </c>
      <c r="CY99" s="104"/>
      <c r="CZ99" s="104"/>
      <c r="DA99" s="104"/>
      <c r="DB99" s="104"/>
      <c r="DC99" s="104"/>
      <c r="DE99" s="143" t="s">
        <v>512</v>
      </c>
      <c r="DF99" s="104"/>
      <c r="DG99" s="104"/>
      <c r="DH99" s="104"/>
      <c r="DI99" s="104"/>
      <c r="DJ99" s="104"/>
      <c r="DL99" s="143" t="s">
        <v>512</v>
      </c>
      <c r="DM99" s="104"/>
      <c r="DN99" s="104"/>
      <c r="DO99" s="104"/>
      <c r="DP99" s="104"/>
      <c r="DQ99" s="104"/>
      <c r="DS99" s="143" t="s">
        <v>512</v>
      </c>
      <c r="DT99" s="104"/>
      <c r="DU99" s="104"/>
      <c r="DV99" s="104"/>
      <c r="DW99" s="104"/>
      <c r="DX99" s="104"/>
      <c r="DZ99" s="143" t="s">
        <v>512</v>
      </c>
      <c r="EA99" s="104"/>
      <c r="EB99" s="104"/>
      <c r="EC99" s="104"/>
      <c r="ED99" s="104"/>
      <c r="EE99" s="104"/>
      <c r="EG99" s="143" t="s">
        <v>512</v>
      </c>
      <c r="EH99" s="104"/>
      <c r="EI99" s="104"/>
      <c r="EJ99" s="104"/>
      <c r="EK99" s="104"/>
      <c r="EL99" s="104"/>
      <c r="EN99" s="143" t="s">
        <v>512</v>
      </c>
      <c r="EO99" s="104"/>
      <c r="EP99" s="104"/>
      <c r="EQ99" s="104"/>
      <c r="ER99" s="104"/>
      <c r="ES99" s="104"/>
      <c r="EU99" s="143" t="s">
        <v>512</v>
      </c>
      <c r="EV99" s="104"/>
      <c r="EW99" s="104"/>
      <c r="EX99" s="104"/>
      <c r="EY99" s="104"/>
      <c r="EZ99" s="104"/>
      <c r="FB99" s="143" t="s">
        <v>512</v>
      </c>
      <c r="FC99" s="104"/>
      <c r="FD99" s="104"/>
      <c r="FE99" s="104"/>
      <c r="FF99" s="104"/>
      <c r="FG99" s="104"/>
      <c r="FI99" s="143" t="s">
        <v>512</v>
      </c>
      <c r="FJ99" s="104"/>
      <c r="FK99" s="104"/>
      <c r="FL99" s="104"/>
      <c r="FM99" s="104"/>
      <c r="FN99" s="104"/>
      <c r="FP99" s="143" t="s">
        <v>512</v>
      </c>
      <c r="FQ99" s="104"/>
      <c r="FR99" s="104"/>
      <c r="FS99" s="104"/>
      <c r="FT99" s="104"/>
      <c r="FU99" s="104"/>
      <c r="FW99" s="143" t="s">
        <v>512</v>
      </c>
      <c r="FX99" s="104"/>
      <c r="FY99" s="104"/>
      <c r="FZ99" s="104"/>
      <c r="GA99" s="104"/>
      <c r="GB99" s="104"/>
      <c r="GD99" s="143" t="s">
        <v>512</v>
      </c>
      <c r="GE99" s="104"/>
      <c r="GF99" s="104"/>
      <c r="GG99" s="104"/>
      <c r="GH99" s="104"/>
      <c r="GI99" s="104"/>
      <c r="GK99" s="143" t="s">
        <v>512</v>
      </c>
      <c r="GL99" s="104"/>
      <c r="GM99" s="104"/>
      <c r="GN99" s="104"/>
      <c r="GO99" s="104"/>
      <c r="GP99" s="104"/>
      <c r="GR99" s="143" t="s">
        <v>512</v>
      </c>
      <c r="GS99" s="104"/>
      <c r="GT99" s="104"/>
      <c r="GU99" s="104"/>
      <c r="GV99" s="104"/>
      <c r="GW99" s="104"/>
      <c r="GY99" s="143" t="s">
        <v>512</v>
      </c>
      <c r="GZ99" s="104"/>
      <c r="HA99" s="104"/>
      <c r="HB99" s="104"/>
      <c r="HC99" s="104"/>
      <c r="HD99" s="104"/>
      <c r="HF99" s="143" t="s">
        <v>512</v>
      </c>
      <c r="HG99" s="104"/>
      <c r="HH99" s="104"/>
      <c r="HI99" s="104"/>
      <c r="HJ99" s="104"/>
      <c r="HK99" s="104"/>
      <c r="HM99" s="143" t="s">
        <v>512</v>
      </c>
      <c r="HN99" s="104"/>
      <c r="HO99" s="104"/>
      <c r="HP99" s="104"/>
      <c r="HQ99" s="104"/>
      <c r="HR99" s="104"/>
      <c r="HT99" s="143" t="s">
        <v>512</v>
      </c>
      <c r="HU99" s="104"/>
      <c r="HV99" s="104"/>
      <c r="HW99" s="104"/>
      <c r="HX99" s="104"/>
      <c r="HY99" s="104"/>
      <c r="IA99" s="143" t="s">
        <v>512</v>
      </c>
      <c r="IB99" s="104"/>
      <c r="IC99" s="104"/>
      <c r="ID99" s="104"/>
      <c r="IE99" s="104"/>
      <c r="IF99" s="104"/>
      <c r="IH99" s="143" t="s">
        <v>512</v>
      </c>
      <c r="II99" s="104"/>
      <c r="IJ99" s="104"/>
      <c r="IK99" s="104"/>
      <c r="IL99" s="104"/>
      <c r="IM99" s="104"/>
      <c r="IO99" s="143" t="s">
        <v>512</v>
      </c>
      <c r="IP99" s="104"/>
      <c r="IQ99" s="104"/>
      <c r="IR99" s="104"/>
      <c r="IS99" s="104"/>
      <c r="IT99" s="104"/>
      <c r="IV99" s="143" t="s">
        <v>512</v>
      </c>
      <c r="IW99" s="104"/>
      <c r="IX99" s="104"/>
      <c r="IY99" s="104"/>
      <c r="IZ99" s="104"/>
      <c r="JA99" s="104"/>
      <c r="JC99" s="143" t="s">
        <v>512</v>
      </c>
      <c r="JD99" s="104"/>
      <c r="JE99" s="104"/>
      <c r="JF99" s="104"/>
      <c r="JG99" s="104"/>
      <c r="JH99" s="104"/>
      <c r="JJ99" s="143" t="s">
        <v>512</v>
      </c>
      <c r="JK99" s="104"/>
      <c r="JL99" s="104"/>
      <c r="JM99" s="104"/>
      <c r="JN99" s="104"/>
      <c r="JO99" s="104"/>
      <c r="JQ99" s="143" t="s">
        <v>512</v>
      </c>
      <c r="JR99" s="104"/>
      <c r="JS99" s="104"/>
      <c r="JT99" s="104"/>
      <c r="JU99" s="104"/>
      <c r="JV99" s="104"/>
      <c r="JX99" s="143" t="s">
        <v>512</v>
      </c>
      <c r="JY99" s="104"/>
      <c r="JZ99" s="104"/>
      <c r="KA99" s="104"/>
      <c r="KB99" s="104"/>
      <c r="KC99" s="104"/>
      <c r="KE99" s="143" t="s">
        <v>512</v>
      </c>
      <c r="KF99" s="104"/>
      <c r="KG99" s="104"/>
      <c r="KH99" s="104"/>
      <c r="KI99" s="104"/>
      <c r="KJ99" s="104"/>
      <c r="KL99" s="143" t="s">
        <v>512</v>
      </c>
      <c r="KM99" s="104"/>
      <c r="KN99" s="104"/>
      <c r="KO99" s="104"/>
      <c r="KP99" s="104"/>
      <c r="KQ99" s="104"/>
      <c r="KS99" s="143" t="s">
        <v>512</v>
      </c>
      <c r="KT99" s="104"/>
      <c r="KU99" s="104"/>
      <c r="KV99" s="104"/>
      <c r="KW99" s="104"/>
      <c r="KX99" s="104"/>
      <c r="KZ99" s="143" t="s">
        <v>512</v>
      </c>
      <c r="LA99" s="104"/>
      <c r="LB99" s="104"/>
      <c r="LC99" s="104"/>
      <c r="LD99" s="104"/>
      <c r="LE99" s="105"/>
      <c r="LF99" s="555"/>
      <c r="LG99" s="143" t="s">
        <v>512</v>
      </c>
      <c r="LH99" s="104"/>
      <c r="LI99" s="104"/>
      <c r="LJ99" s="104"/>
      <c r="LK99" s="104"/>
      <c r="LL99" s="105"/>
      <c r="LM99" s="555"/>
      <c r="LN99" s="143" t="s">
        <v>512</v>
      </c>
      <c r="LO99" s="104"/>
      <c r="LP99" s="104"/>
      <c r="LQ99" s="104"/>
      <c r="LR99" s="104"/>
      <c r="LS99" s="105"/>
      <c r="LT99" s="555"/>
      <c r="LU99" s="143" t="s">
        <v>512</v>
      </c>
      <c r="LV99" s="104"/>
      <c r="LW99" s="104"/>
      <c r="LX99" s="104"/>
      <c r="LY99" s="104"/>
      <c r="LZ99" s="105"/>
      <c r="MA99" s="555"/>
      <c r="MB99" s="143" t="s">
        <v>512</v>
      </c>
      <c r="MC99" s="104"/>
      <c r="MD99" s="104"/>
      <c r="ME99" s="104"/>
      <c r="MF99" s="104"/>
      <c r="MG99" s="105"/>
      <c r="MH99" s="555"/>
    </row>
    <row r="100" spans="1:346" s="37" customFormat="1" ht="13.15" outlineLevel="1" x14ac:dyDescent="0.4">
      <c r="A100" s="100"/>
      <c r="B100" s="147" t="s">
        <v>495</v>
      </c>
      <c r="C100" s="108"/>
      <c r="D100" s="108"/>
      <c r="E100" s="108">
        <v>71336</v>
      </c>
      <c r="F100" s="108">
        <v>70076</v>
      </c>
      <c r="G100" s="108">
        <v>58395</v>
      </c>
      <c r="H100" s="108">
        <v>56092</v>
      </c>
      <c r="I100" s="108">
        <v>53031</v>
      </c>
      <c r="J100" s="108">
        <f>53059-53059+((K100+I100)/2)</f>
        <v>50741</v>
      </c>
      <c r="K100" s="108">
        <v>48451</v>
      </c>
      <c r="L100" s="108">
        <v>42489</v>
      </c>
      <c r="M100" s="108">
        <v>39675</v>
      </c>
      <c r="N100" s="108">
        <f>BT100</f>
        <v>37774.75</v>
      </c>
      <c r="O100" s="108">
        <f>CA100</f>
        <v>36106.75</v>
      </c>
      <c r="P100" s="108">
        <f>CH100</f>
        <v>33962</v>
      </c>
      <c r="Q100" s="108">
        <f>CO100</f>
        <v>31020.5</v>
      </c>
      <c r="R100" s="108">
        <f>CV100</f>
        <v>29235</v>
      </c>
      <c r="S100" s="108">
        <f>DC100</f>
        <v>29493.5</v>
      </c>
      <c r="T100" s="108">
        <f>DJ100</f>
        <v>29470</v>
      </c>
      <c r="U100" s="108">
        <f>DQ100</f>
        <v>28629.75</v>
      </c>
      <c r="V100" s="108">
        <f>DX100</f>
        <v>27887.75</v>
      </c>
      <c r="W100" s="108">
        <f>EE100</f>
        <v>28328.5</v>
      </c>
      <c r="X100" s="108">
        <f>EL100</f>
        <v>31575.5</v>
      </c>
      <c r="Y100" s="108">
        <f>ES100</f>
        <v>35550.25</v>
      </c>
      <c r="Z100" s="108">
        <f>EZ100</f>
        <v>35056</v>
      </c>
      <c r="AA100" s="108">
        <f>FG100</f>
        <v>33530.25</v>
      </c>
      <c r="AB100" s="108">
        <f>FN100</f>
        <v>32988.75</v>
      </c>
      <c r="AC100" s="108">
        <f>FU100</f>
        <v>32074</v>
      </c>
      <c r="AD100" s="108">
        <f>GB100</f>
        <v>32033</v>
      </c>
      <c r="AE100" s="108">
        <f>GI100</f>
        <v>32986.75</v>
      </c>
      <c r="AF100" s="108">
        <f>GP100</f>
        <v>32417.25</v>
      </c>
      <c r="AG100" s="108">
        <f>GW100</f>
        <v>31564</v>
      </c>
      <c r="AH100" s="108">
        <f>HD100</f>
        <v>28563.5</v>
      </c>
      <c r="AI100" s="108">
        <f>HK100</f>
        <v>29990.75</v>
      </c>
      <c r="AJ100" s="108">
        <f>HR100</f>
        <v>31269.5</v>
      </c>
      <c r="AK100" s="108">
        <f>HY100</f>
        <v>32120.5</v>
      </c>
      <c r="AL100" s="108">
        <f>IF100</f>
        <v>31259.75</v>
      </c>
      <c r="AM100" s="108">
        <f>IM100</f>
        <v>31566.5</v>
      </c>
      <c r="AN100" s="108">
        <f>IT100</f>
        <v>31297.5</v>
      </c>
      <c r="AO100" s="108">
        <f>JA100</f>
        <v>27673.5</v>
      </c>
      <c r="AP100" s="108">
        <f>JH100</f>
        <v>25225.75</v>
      </c>
      <c r="AQ100" s="108">
        <f>JO100</f>
        <v>22901</v>
      </c>
      <c r="AR100" s="108">
        <f>JV100</f>
        <v>0</v>
      </c>
      <c r="AS100" s="108">
        <f>KC100</f>
        <v>0</v>
      </c>
      <c r="AT100" s="108">
        <f>KJ100</f>
        <v>0</v>
      </c>
      <c r="AU100" s="108">
        <f>KQ100</f>
        <v>0</v>
      </c>
      <c r="AV100" s="108">
        <f>KX100</f>
        <v>0</v>
      </c>
      <c r="AW100" s="108">
        <f>LE100</f>
        <v>0</v>
      </c>
      <c r="AX100" s="108">
        <f>LL100</f>
        <v>0</v>
      </c>
      <c r="AY100" s="108">
        <f>LS100</f>
        <v>0</v>
      </c>
      <c r="AZ100" s="108">
        <f>LZ100</f>
        <v>0</v>
      </c>
      <c r="BA100" s="108">
        <f>MG100</f>
        <v>0</v>
      </c>
      <c r="BB100" s="108"/>
      <c r="BC100" s="108"/>
      <c r="BD100" s="108"/>
      <c r="BE100" s="108"/>
      <c r="BF100" s="108"/>
      <c r="BG100" s="108"/>
      <c r="BH100" s="108"/>
      <c r="BI100" s="108"/>
      <c r="BJ100" s="108"/>
      <c r="BK100" s="108"/>
      <c r="BL100" s="108"/>
      <c r="BM100" s="108"/>
      <c r="BO100" s="147" t="s">
        <v>495</v>
      </c>
      <c r="BP100" s="109">
        <v>37413</v>
      </c>
      <c r="BQ100" s="109">
        <v>38566</v>
      </c>
      <c r="BR100" s="109">
        <v>37778</v>
      </c>
      <c r="BS100" s="109">
        <v>37342</v>
      </c>
      <c r="BT100" s="109">
        <f>(BP100+BQ100+BR100+BS100)/4</f>
        <v>37774.75</v>
      </c>
      <c r="BV100" s="147" t="s">
        <v>495</v>
      </c>
      <c r="BW100" s="109">
        <v>35178</v>
      </c>
      <c r="BX100" s="109">
        <v>36995</v>
      </c>
      <c r="BY100" s="109">
        <v>36780</v>
      </c>
      <c r="BZ100" s="109">
        <v>35474</v>
      </c>
      <c r="CA100" s="109">
        <f>(BW100+BX100+BY100+BZ100)/4</f>
        <v>36106.75</v>
      </c>
      <c r="CC100" s="147" t="s">
        <v>495</v>
      </c>
      <c r="CD100" s="109">
        <v>34041</v>
      </c>
      <c r="CE100" s="109">
        <v>34472</v>
      </c>
      <c r="CF100" s="109">
        <v>34467</v>
      </c>
      <c r="CG100" s="109">
        <v>32868</v>
      </c>
      <c r="CH100" s="109">
        <f>(CD100+CE100+CF100+CG100)/4</f>
        <v>33962</v>
      </c>
      <c r="CJ100" s="147" t="s">
        <v>495</v>
      </c>
      <c r="CK100" s="109">
        <v>31237</v>
      </c>
      <c r="CL100" s="109">
        <v>31505</v>
      </c>
      <c r="CM100" s="109">
        <v>30698</v>
      </c>
      <c r="CN100" s="109">
        <v>30642</v>
      </c>
      <c r="CO100" s="109">
        <f>(CK100+CL100+CM100+CN100)/4</f>
        <v>31020.5</v>
      </c>
      <c r="CQ100" s="147" t="s">
        <v>495</v>
      </c>
      <c r="CR100" s="109">
        <v>29351</v>
      </c>
      <c r="CS100" s="109">
        <v>29635</v>
      </c>
      <c r="CT100" s="109">
        <v>28901</v>
      </c>
      <c r="CU100" s="109">
        <v>29053</v>
      </c>
      <c r="CV100" s="109">
        <f>(CR100+CS100+CT100+CU100)/4</f>
        <v>29235</v>
      </c>
      <c r="CX100" s="147" t="s">
        <v>495</v>
      </c>
      <c r="CY100" s="109">
        <v>28557</v>
      </c>
      <c r="CZ100" s="109">
        <v>29750</v>
      </c>
      <c r="DA100" s="109">
        <v>29887</v>
      </c>
      <c r="DB100" s="109">
        <v>29780</v>
      </c>
      <c r="DC100" s="109">
        <f>(CY100+CZ100+DA100+DB100)/4</f>
        <v>29493.5</v>
      </c>
      <c r="DE100" s="147" t="s">
        <v>495</v>
      </c>
      <c r="DF100" s="109">
        <v>29343</v>
      </c>
      <c r="DG100" s="109">
        <v>29762</v>
      </c>
      <c r="DH100" s="109">
        <v>29472</v>
      </c>
      <c r="DI100" s="109">
        <v>29303</v>
      </c>
      <c r="DJ100" s="109">
        <f>(DF100+DG100+DH100+DI100)/4</f>
        <v>29470</v>
      </c>
      <c r="DL100" s="147" t="s">
        <v>495</v>
      </c>
      <c r="DM100" s="109">
        <v>28493</v>
      </c>
      <c r="DN100" s="109">
        <v>28810</v>
      </c>
      <c r="DO100" s="109">
        <v>28668</v>
      </c>
      <c r="DP100" s="109">
        <v>28548</v>
      </c>
      <c r="DQ100" s="109">
        <f>(DM100+DN100+DO100+DP100)/4</f>
        <v>28629.75</v>
      </c>
      <c r="DS100" s="147" t="s">
        <v>495</v>
      </c>
      <c r="DT100" s="109">
        <v>27623</v>
      </c>
      <c r="DU100" s="109">
        <v>27926</v>
      </c>
      <c r="DV100" s="109">
        <v>27973</v>
      </c>
      <c r="DW100" s="109">
        <v>28029</v>
      </c>
      <c r="DX100" s="109">
        <f>(DT100+DU100+DV100+DW100)/4</f>
        <v>27887.75</v>
      </c>
      <c r="DZ100" s="147" t="s">
        <v>495</v>
      </c>
      <c r="EA100" s="109">
        <v>28034</v>
      </c>
      <c r="EB100" s="109">
        <v>28248</v>
      </c>
      <c r="EC100" s="109">
        <v>28481</v>
      </c>
      <c r="ED100" s="109">
        <v>28551</v>
      </c>
      <c r="EE100" s="109">
        <f>(EA100+EB100+EC100+ED100)/4</f>
        <v>28328.5</v>
      </c>
      <c r="EG100" s="147" t="s">
        <v>495</v>
      </c>
      <c r="EH100" s="109">
        <v>28411</v>
      </c>
      <c r="EI100" s="109">
        <v>28912</v>
      </c>
      <c r="EJ100" s="109">
        <v>33226</v>
      </c>
      <c r="EK100" s="109">
        <v>35753</v>
      </c>
      <c r="EL100" s="109">
        <f>(EH100+EI100+EJ100+EK100)/4</f>
        <v>31575.5</v>
      </c>
      <c r="EN100" s="147" t="s">
        <v>495</v>
      </c>
      <c r="EO100" s="109">
        <v>34865</v>
      </c>
      <c r="EP100" s="109">
        <v>35383</v>
      </c>
      <c r="EQ100" s="109">
        <v>35683</v>
      </c>
      <c r="ER100" s="109">
        <v>36270</v>
      </c>
      <c r="ES100" s="109">
        <f>(EO100+EP100+EQ100+ER100)/4</f>
        <v>35550.25</v>
      </c>
      <c r="EU100" s="147" t="s">
        <v>495</v>
      </c>
      <c r="EV100" s="109">
        <v>35598</v>
      </c>
      <c r="EW100" s="109">
        <v>35569</v>
      </c>
      <c r="EX100" s="109">
        <v>34850</v>
      </c>
      <c r="EY100" s="109">
        <v>34207</v>
      </c>
      <c r="EZ100" s="109">
        <f>(EV100+EW100+EX100+EY100)/4</f>
        <v>35056</v>
      </c>
      <c r="FB100" s="147" t="s">
        <v>495</v>
      </c>
      <c r="FC100" s="109">
        <v>32953</v>
      </c>
      <c r="FD100" s="109">
        <v>33878</v>
      </c>
      <c r="FE100" s="109">
        <v>33912</v>
      </c>
      <c r="FF100" s="109">
        <v>33378</v>
      </c>
      <c r="FG100" s="109">
        <f>(FC100+FD100+FE100+FF100)/4</f>
        <v>33530.25</v>
      </c>
      <c r="FI100" s="147" t="s">
        <v>495</v>
      </c>
      <c r="FJ100" s="109">
        <v>32547</v>
      </c>
      <c r="FK100" s="109">
        <v>33427</v>
      </c>
      <c r="FL100" s="109">
        <v>33821</v>
      </c>
      <c r="FM100" s="109">
        <v>32160</v>
      </c>
      <c r="FN100" s="109">
        <f>(FJ100+FK100+FL100+FM100)/4</f>
        <v>32988.75</v>
      </c>
      <c r="FP100" s="147" t="s">
        <v>495</v>
      </c>
      <c r="FQ100" s="109">
        <v>32022</v>
      </c>
      <c r="FR100" s="109">
        <v>32184</v>
      </c>
      <c r="FS100" s="109">
        <v>32123</v>
      </c>
      <c r="FT100" s="109">
        <v>31967</v>
      </c>
      <c r="FU100" s="109">
        <f>(FQ100+FR100+FS100+FT100)/4</f>
        <v>32074</v>
      </c>
      <c r="FW100" s="147" t="s">
        <v>495</v>
      </c>
      <c r="FX100" s="109">
        <v>31243</v>
      </c>
      <c r="FY100" s="109">
        <v>32005</v>
      </c>
      <c r="FZ100" s="109">
        <v>32347</v>
      </c>
      <c r="GA100" s="109">
        <v>32537</v>
      </c>
      <c r="GB100" s="109">
        <v>32033</v>
      </c>
      <c r="GD100" s="147" t="s">
        <v>495</v>
      </c>
      <c r="GE100" s="109">
        <v>32614</v>
      </c>
      <c r="GF100" s="109">
        <v>33143</v>
      </c>
      <c r="GG100" s="109">
        <v>33148</v>
      </c>
      <c r="GH100" s="109">
        <v>33042</v>
      </c>
      <c r="GI100" s="109">
        <v>32986.75</v>
      </c>
      <c r="GK100" s="147" t="s">
        <v>495</v>
      </c>
      <c r="GL100" s="109">
        <v>32567</v>
      </c>
      <c r="GM100" s="109">
        <v>32567</v>
      </c>
      <c r="GN100" s="109">
        <v>32635</v>
      </c>
      <c r="GO100" s="109">
        <v>31900</v>
      </c>
      <c r="GP100" s="109">
        <v>32417.25</v>
      </c>
      <c r="GR100" s="147" t="s">
        <v>495</v>
      </c>
      <c r="GS100" s="109">
        <v>31229</v>
      </c>
      <c r="GT100" s="109">
        <v>31229</v>
      </c>
      <c r="GU100" s="109">
        <v>31874</v>
      </c>
      <c r="GV100" s="109">
        <v>31924</v>
      </c>
      <c r="GW100" s="109">
        <v>31564</v>
      </c>
      <c r="GY100" s="147" t="s">
        <v>495</v>
      </c>
      <c r="GZ100" s="109">
        <v>29609</v>
      </c>
      <c r="HA100" s="109">
        <v>28346</v>
      </c>
      <c r="HB100" s="109">
        <v>28387</v>
      </c>
      <c r="HC100" s="109">
        <v>27912</v>
      </c>
      <c r="HD100" s="109">
        <v>28563.5</v>
      </c>
      <c r="HF100" s="147" t="s">
        <v>495</v>
      </c>
      <c r="HG100" s="109">
        <v>29310</v>
      </c>
      <c r="HH100" s="109">
        <v>30052</v>
      </c>
      <c r="HI100" s="109">
        <v>30370</v>
      </c>
      <c r="HJ100" s="109">
        <v>30231</v>
      </c>
      <c r="HK100" s="109">
        <v>29990.75</v>
      </c>
      <c r="HM100" s="147" t="s">
        <v>495</v>
      </c>
      <c r="HN100" s="109">
        <v>30295</v>
      </c>
      <c r="HO100" s="109">
        <v>30980</v>
      </c>
      <c r="HP100" s="109">
        <v>31664</v>
      </c>
      <c r="HQ100" s="109">
        <v>32139</v>
      </c>
      <c r="HR100" s="109">
        <v>31269.5</v>
      </c>
      <c r="HT100" s="147" t="s">
        <v>495</v>
      </c>
      <c r="HU100" s="109">
        <v>32393</v>
      </c>
      <c r="HV100" s="109">
        <v>32422</v>
      </c>
      <c r="HW100" s="109">
        <v>32204</v>
      </c>
      <c r="HX100" s="109">
        <v>31463</v>
      </c>
      <c r="HY100" s="109">
        <v>32120.5</v>
      </c>
      <c r="IA100" s="147" t="s">
        <v>495</v>
      </c>
      <c r="IB100" s="109">
        <v>31040</v>
      </c>
      <c r="IC100" s="109">
        <v>31288</v>
      </c>
      <c r="ID100" s="109">
        <v>31259</v>
      </c>
      <c r="IE100" s="109">
        <v>31452</v>
      </c>
      <c r="IF100" s="109">
        <v>31259.75</v>
      </c>
      <c r="IH100" s="147" t="s">
        <v>495</v>
      </c>
      <c r="II100" s="109">
        <v>31175</v>
      </c>
      <c r="IJ100" s="109">
        <v>31380</v>
      </c>
      <c r="IK100" s="109">
        <v>31590</v>
      </c>
      <c r="IL100" s="109">
        <v>32121</v>
      </c>
      <c r="IM100" s="109">
        <v>31566.5</v>
      </c>
      <c r="IO100" s="147" t="s">
        <v>495</v>
      </c>
      <c r="IP100" s="109">
        <v>32335</v>
      </c>
      <c r="IQ100" s="109">
        <v>32191</v>
      </c>
      <c r="IR100" s="109">
        <v>30889</v>
      </c>
      <c r="IS100" s="109">
        <v>29775</v>
      </c>
      <c r="IT100" s="109">
        <v>31297.5</v>
      </c>
      <c r="IV100" s="147" t="s">
        <v>495</v>
      </c>
      <c r="IW100" s="109">
        <v>28305</v>
      </c>
      <c r="IX100" s="109">
        <v>27936</v>
      </c>
      <c r="IY100" s="109">
        <v>27275</v>
      </c>
      <c r="IZ100" s="109">
        <v>27178</v>
      </c>
      <c r="JA100" s="109">
        <v>27673.5</v>
      </c>
      <c r="JC100" s="147" t="s">
        <v>495</v>
      </c>
      <c r="JD100" s="109">
        <v>26504</v>
      </c>
      <c r="JE100" s="109">
        <v>25785</v>
      </c>
      <c r="JF100" s="109">
        <v>24608</v>
      </c>
      <c r="JG100" s="109">
        <v>24006</v>
      </c>
      <c r="JH100" s="109">
        <v>25225.75</v>
      </c>
      <c r="JJ100" s="147" t="s">
        <v>495</v>
      </c>
      <c r="JK100" s="109">
        <v>23482</v>
      </c>
      <c r="JL100" s="109">
        <v>22942</v>
      </c>
      <c r="JM100" s="109">
        <v>22696</v>
      </c>
      <c r="JN100" s="109">
        <v>22484</v>
      </c>
      <c r="JO100" s="109">
        <v>22901</v>
      </c>
      <c r="JQ100" s="147" t="s">
        <v>495</v>
      </c>
      <c r="JR100" s="109"/>
      <c r="JS100" s="109"/>
      <c r="JT100" s="109"/>
      <c r="JU100" s="109"/>
      <c r="JV100" s="109"/>
      <c r="JX100" s="147" t="s">
        <v>495</v>
      </c>
      <c r="JY100" s="109"/>
      <c r="JZ100" s="109"/>
      <c r="KA100" s="109"/>
      <c r="KB100" s="109"/>
      <c r="KC100" s="109"/>
      <c r="KE100" s="147" t="s">
        <v>495</v>
      </c>
      <c r="KF100" s="109"/>
      <c r="KG100" s="109"/>
      <c r="KH100" s="109"/>
      <c r="KI100" s="109"/>
      <c r="KJ100" s="109"/>
      <c r="KL100" s="147" t="s">
        <v>495</v>
      </c>
      <c r="KM100" s="109"/>
      <c r="KN100" s="109"/>
      <c r="KO100" s="109"/>
      <c r="KP100" s="109"/>
      <c r="KQ100" s="109"/>
      <c r="KS100" s="147" t="s">
        <v>495</v>
      </c>
      <c r="KT100" s="109"/>
      <c r="KU100" s="109"/>
      <c r="KV100" s="109"/>
      <c r="KW100" s="109"/>
      <c r="KX100" s="109"/>
      <c r="KZ100" s="147" t="s">
        <v>495</v>
      </c>
      <c r="LA100" s="109"/>
      <c r="LB100" s="109"/>
      <c r="LC100" s="109"/>
      <c r="LD100" s="109"/>
      <c r="LE100" s="110"/>
      <c r="LF100" s="555"/>
      <c r="LG100" s="147" t="s">
        <v>495</v>
      </c>
      <c r="LH100" s="109"/>
      <c r="LI100" s="109"/>
      <c r="LJ100" s="109"/>
      <c r="LK100" s="109"/>
      <c r="LL100" s="110"/>
      <c r="LM100" s="555"/>
      <c r="LN100" s="147" t="s">
        <v>495</v>
      </c>
      <c r="LO100" s="109"/>
      <c r="LP100" s="109"/>
      <c r="LQ100" s="109"/>
      <c r="LR100" s="109"/>
      <c r="LS100" s="110"/>
      <c r="LT100" s="555"/>
      <c r="LU100" s="147" t="s">
        <v>495</v>
      </c>
      <c r="LV100" s="109"/>
      <c r="LW100" s="109"/>
      <c r="LX100" s="109"/>
      <c r="LY100" s="109"/>
      <c r="LZ100" s="110"/>
      <c r="MA100" s="555"/>
      <c r="MB100" s="147" t="s">
        <v>495</v>
      </c>
      <c r="MC100" s="109"/>
      <c r="MD100" s="109"/>
      <c r="ME100" s="109"/>
      <c r="MF100" s="109"/>
      <c r="MG100" s="110"/>
      <c r="MH100" s="555"/>
    </row>
    <row r="101" spans="1:346" s="37" customFormat="1" ht="13.15" outlineLevel="1" x14ac:dyDescent="0.4">
      <c r="A101" s="100"/>
      <c r="B101" s="147" t="s">
        <v>496</v>
      </c>
      <c r="C101" s="108"/>
      <c r="D101" s="108"/>
      <c r="E101" s="108"/>
      <c r="F101" s="108"/>
      <c r="G101" s="108"/>
      <c r="H101" s="108"/>
      <c r="I101" s="108"/>
      <c r="J101" s="108"/>
      <c r="K101" s="108"/>
      <c r="L101" s="108"/>
      <c r="M101" s="108"/>
      <c r="N101" s="108">
        <f>BT101</f>
        <v>0</v>
      </c>
      <c r="O101" s="108">
        <f>CA101</f>
        <v>0</v>
      </c>
      <c r="P101" s="108">
        <f>CH101</f>
        <v>0</v>
      </c>
      <c r="Q101" s="108">
        <f>CO101</f>
        <v>1389.5</v>
      </c>
      <c r="R101" s="108">
        <f>CV101</f>
        <v>1518</v>
      </c>
      <c r="S101" s="108">
        <f>DC101</f>
        <v>1623.5</v>
      </c>
      <c r="T101" s="108">
        <f>DJ101</f>
        <v>1598.75</v>
      </c>
      <c r="U101" s="108">
        <f>DQ101</f>
        <v>1098</v>
      </c>
      <c r="V101" s="108">
        <f>DX101</f>
        <v>796</v>
      </c>
      <c r="W101" s="108">
        <f>EE101</f>
        <v>790.25</v>
      </c>
      <c r="X101" s="108">
        <f>EL101</f>
        <v>1083</v>
      </c>
      <c r="Y101" s="108">
        <f>ES101</f>
        <v>1222</v>
      </c>
      <c r="Z101" s="108">
        <f>EZ101</f>
        <v>1119.25</v>
      </c>
      <c r="AA101" s="108">
        <f>FG101</f>
        <v>1099.5</v>
      </c>
      <c r="AB101" s="108">
        <f>FN101</f>
        <v>1109.5</v>
      </c>
      <c r="AC101" s="108">
        <f>FU101</f>
        <v>1092.25</v>
      </c>
      <c r="AD101" s="108">
        <f>GB101</f>
        <v>1068.25</v>
      </c>
      <c r="AE101" s="108">
        <f>GI101</f>
        <v>1026.5</v>
      </c>
      <c r="AF101" s="108">
        <f>GP101</f>
        <v>1038</v>
      </c>
      <c r="AG101" s="108">
        <f>GW101</f>
        <v>966.25</v>
      </c>
      <c r="AH101" s="108">
        <f>HD101</f>
        <v>915.5</v>
      </c>
      <c r="AI101" s="108">
        <f>HK101</f>
        <v>0</v>
      </c>
      <c r="AJ101" s="108">
        <f>HR101</f>
        <v>0</v>
      </c>
      <c r="AK101" s="108">
        <f>HY101</f>
        <v>0</v>
      </c>
      <c r="AL101" s="108">
        <f>IF101</f>
        <v>0</v>
      </c>
      <c r="AM101" s="108">
        <f>IM101</f>
        <v>0</v>
      </c>
      <c r="AN101" s="108">
        <f>IT101</f>
        <v>0</v>
      </c>
      <c r="AO101" s="108">
        <f>JA101</f>
        <v>0</v>
      </c>
      <c r="AP101" s="108">
        <f>JH101</f>
        <v>0</v>
      </c>
      <c r="AQ101" s="108">
        <f>JO101</f>
        <v>0</v>
      </c>
      <c r="AR101" s="108">
        <f>JV101</f>
        <v>0</v>
      </c>
      <c r="AS101" s="108">
        <f>KC101</f>
        <v>0</v>
      </c>
      <c r="AT101" s="108">
        <f>KJ101</f>
        <v>0</v>
      </c>
      <c r="AU101" s="108">
        <f>KQ101</f>
        <v>0</v>
      </c>
      <c r="AV101" s="108">
        <f>KX101</f>
        <v>0</v>
      </c>
      <c r="AW101" s="108">
        <f>LE101</f>
        <v>0</v>
      </c>
      <c r="AX101" s="108">
        <f>LL101</f>
        <v>0</v>
      </c>
      <c r="AY101" s="108">
        <f>LS101</f>
        <v>0</v>
      </c>
      <c r="AZ101" s="108">
        <f>LZ101</f>
        <v>0</v>
      </c>
      <c r="BA101" s="108">
        <f>MG101</f>
        <v>0</v>
      </c>
      <c r="BB101" s="108"/>
      <c r="BC101" s="108"/>
      <c r="BD101" s="108"/>
      <c r="BE101" s="108"/>
      <c r="BF101" s="108"/>
      <c r="BG101" s="108"/>
      <c r="BH101" s="108"/>
      <c r="BI101" s="108"/>
      <c r="BJ101" s="108"/>
      <c r="BK101" s="108"/>
      <c r="BL101" s="108"/>
      <c r="BM101" s="108"/>
      <c r="BO101" s="147" t="s">
        <v>496</v>
      </c>
      <c r="BP101" s="109"/>
      <c r="BQ101" s="109"/>
      <c r="BR101" s="109"/>
      <c r="BS101" s="109"/>
      <c r="BT101" s="109"/>
      <c r="BV101" s="147" t="s">
        <v>496</v>
      </c>
      <c r="BW101" s="109"/>
      <c r="BX101" s="109"/>
      <c r="BY101" s="109"/>
      <c r="BZ101" s="109"/>
      <c r="CA101" s="109"/>
      <c r="CC101" s="147" t="s">
        <v>496</v>
      </c>
      <c r="CD101" s="109"/>
      <c r="CE101" s="109"/>
      <c r="CF101" s="109"/>
      <c r="CG101" s="109"/>
      <c r="CH101" s="109"/>
      <c r="CJ101" s="147" t="s">
        <v>496</v>
      </c>
      <c r="CK101" s="109">
        <v>1340</v>
      </c>
      <c r="CL101" s="109">
        <v>1366</v>
      </c>
      <c r="CM101" s="109">
        <v>1405</v>
      </c>
      <c r="CN101" s="109">
        <v>1447</v>
      </c>
      <c r="CO101" s="109">
        <v>1389.5</v>
      </c>
      <c r="CQ101" s="147" t="s">
        <v>496</v>
      </c>
      <c r="CR101" s="109">
        <v>1502</v>
      </c>
      <c r="CS101" s="109">
        <v>1513</v>
      </c>
      <c r="CT101" s="109">
        <v>1508</v>
      </c>
      <c r="CU101" s="109">
        <v>1549</v>
      </c>
      <c r="CV101" s="109">
        <v>1518</v>
      </c>
      <c r="CX101" s="147" t="s">
        <v>496</v>
      </c>
      <c r="CY101" s="109">
        <v>1598</v>
      </c>
      <c r="CZ101" s="109">
        <v>1602</v>
      </c>
      <c r="DA101" s="109">
        <v>1645</v>
      </c>
      <c r="DB101" s="109">
        <v>1649</v>
      </c>
      <c r="DC101" s="109">
        <v>1623.5</v>
      </c>
      <c r="DE101" s="147" t="s">
        <v>496</v>
      </c>
      <c r="DF101" s="109">
        <v>1668</v>
      </c>
      <c r="DG101" s="109">
        <v>1701</v>
      </c>
      <c r="DH101" s="109">
        <v>1593</v>
      </c>
      <c r="DI101" s="109">
        <v>1433</v>
      </c>
      <c r="DJ101" s="109">
        <v>1598.75</v>
      </c>
      <c r="DL101" s="147" t="s">
        <v>496</v>
      </c>
      <c r="DM101" s="109">
        <v>1420</v>
      </c>
      <c r="DN101" s="109">
        <v>983</v>
      </c>
      <c r="DO101" s="109">
        <v>993</v>
      </c>
      <c r="DP101" s="109">
        <v>996</v>
      </c>
      <c r="DQ101" s="109">
        <v>1098</v>
      </c>
      <c r="DS101" s="147" t="s">
        <v>496</v>
      </c>
      <c r="DT101" s="109">
        <v>828</v>
      </c>
      <c r="DU101" s="109">
        <v>815</v>
      </c>
      <c r="DV101" s="109">
        <v>779</v>
      </c>
      <c r="DW101" s="109">
        <v>762</v>
      </c>
      <c r="DX101" s="109">
        <v>796</v>
      </c>
      <c r="DZ101" s="147" t="s">
        <v>496</v>
      </c>
      <c r="EA101" s="109">
        <v>783</v>
      </c>
      <c r="EB101" s="109">
        <v>768</v>
      </c>
      <c r="EC101" s="109">
        <v>789</v>
      </c>
      <c r="ED101" s="109">
        <v>821</v>
      </c>
      <c r="EE101" s="109">
        <v>790.25</v>
      </c>
      <c r="EG101" s="147" t="s">
        <v>496</v>
      </c>
      <c r="EH101" s="109">
        <v>850</v>
      </c>
      <c r="EI101" s="109">
        <v>1100</v>
      </c>
      <c r="EJ101" s="109">
        <v>1180</v>
      </c>
      <c r="EK101" s="109">
        <v>1202</v>
      </c>
      <c r="EL101" s="109">
        <v>1083</v>
      </c>
      <c r="EN101" s="147" t="s">
        <v>496</v>
      </c>
      <c r="EO101" s="109">
        <v>1243</v>
      </c>
      <c r="EP101" s="109">
        <v>1273</v>
      </c>
      <c r="EQ101" s="109">
        <v>1230</v>
      </c>
      <c r="ER101" s="109">
        <v>1142</v>
      </c>
      <c r="ES101" s="109">
        <v>1222</v>
      </c>
      <c r="EU101" s="147" t="s">
        <v>496</v>
      </c>
      <c r="EV101" s="109">
        <v>1121</v>
      </c>
      <c r="EW101" s="109">
        <v>1122</v>
      </c>
      <c r="EX101" s="109">
        <v>1124</v>
      </c>
      <c r="EY101" s="109">
        <v>1110</v>
      </c>
      <c r="EZ101" s="109">
        <v>1119.25</v>
      </c>
      <c r="FB101" s="147" t="s">
        <v>496</v>
      </c>
      <c r="FC101" s="109">
        <v>1087</v>
      </c>
      <c r="FD101" s="109">
        <v>1077</v>
      </c>
      <c r="FE101" s="109">
        <v>1110</v>
      </c>
      <c r="FF101" s="109">
        <v>1124</v>
      </c>
      <c r="FG101" s="109">
        <v>1099.5</v>
      </c>
      <c r="FI101" s="147" t="s">
        <v>496</v>
      </c>
      <c r="FJ101" s="109">
        <v>1122</v>
      </c>
      <c r="FK101" s="109">
        <v>1115</v>
      </c>
      <c r="FL101" s="109">
        <v>1087</v>
      </c>
      <c r="FM101" s="109">
        <v>1114</v>
      </c>
      <c r="FN101" s="109">
        <v>1109.5</v>
      </c>
      <c r="FP101" s="147" t="s">
        <v>496</v>
      </c>
      <c r="FQ101" s="109">
        <v>1126</v>
      </c>
      <c r="FR101" s="109">
        <v>1087</v>
      </c>
      <c r="FS101" s="109">
        <v>1079</v>
      </c>
      <c r="FT101" s="109">
        <v>1077</v>
      </c>
      <c r="FU101" s="109">
        <v>1092.25</v>
      </c>
      <c r="FW101" s="147" t="s">
        <v>496</v>
      </c>
      <c r="FX101" s="109">
        <v>1061</v>
      </c>
      <c r="FY101" s="109">
        <v>1076</v>
      </c>
      <c r="FZ101" s="109">
        <v>1082</v>
      </c>
      <c r="GA101" s="109">
        <v>1054</v>
      </c>
      <c r="GB101" s="109">
        <v>1068.25</v>
      </c>
      <c r="GD101" s="147" t="s">
        <v>496</v>
      </c>
      <c r="GE101" s="109">
        <v>1037</v>
      </c>
      <c r="GF101" s="109">
        <v>1016</v>
      </c>
      <c r="GG101" s="109">
        <v>1006</v>
      </c>
      <c r="GH101" s="109">
        <v>1047</v>
      </c>
      <c r="GI101" s="109">
        <v>1026.5</v>
      </c>
      <c r="GK101" s="147" t="s">
        <v>496</v>
      </c>
      <c r="GL101" s="109">
        <v>1071</v>
      </c>
      <c r="GM101" s="109">
        <v>1071</v>
      </c>
      <c r="GN101" s="109">
        <v>1004</v>
      </c>
      <c r="GO101" s="109">
        <v>1006</v>
      </c>
      <c r="GP101" s="109">
        <v>1038</v>
      </c>
      <c r="GR101" s="147" t="s">
        <v>496</v>
      </c>
      <c r="GS101" s="109">
        <v>976</v>
      </c>
      <c r="GT101" s="109">
        <v>976</v>
      </c>
      <c r="GU101" s="109">
        <v>956</v>
      </c>
      <c r="GV101" s="109">
        <v>957</v>
      </c>
      <c r="GW101" s="109">
        <v>966.25</v>
      </c>
      <c r="GY101" s="147" t="s">
        <v>496</v>
      </c>
      <c r="GZ101" s="109">
        <v>953</v>
      </c>
      <c r="HA101" s="109">
        <v>925</v>
      </c>
      <c r="HB101" s="109">
        <v>906</v>
      </c>
      <c r="HC101" s="109">
        <v>878</v>
      </c>
      <c r="HD101" s="109">
        <v>915.5</v>
      </c>
      <c r="HF101" s="147" t="s">
        <v>496</v>
      </c>
      <c r="HG101" s="109">
        <v>879</v>
      </c>
      <c r="HH101" s="109"/>
      <c r="HI101" s="109"/>
      <c r="HJ101" s="109"/>
      <c r="HK101" s="109"/>
      <c r="HM101" s="147" t="s">
        <v>496</v>
      </c>
      <c r="HN101" s="109"/>
      <c r="HO101" s="109"/>
      <c r="HP101" s="109"/>
      <c r="HQ101" s="109"/>
      <c r="HR101" s="109"/>
      <c r="HT101" s="147" t="s">
        <v>496</v>
      </c>
      <c r="HU101" s="109"/>
      <c r="HV101" s="109"/>
      <c r="HW101" s="109"/>
      <c r="HX101" s="109"/>
      <c r="HY101" s="109"/>
      <c r="IA101" s="147" t="s">
        <v>496</v>
      </c>
      <c r="IB101" s="109"/>
      <c r="IC101" s="109"/>
      <c r="ID101" s="109"/>
      <c r="IE101" s="109"/>
      <c r="IF101" s="109"/>
      <c r="IH101" s="147" t="s">
        <v>496</v>
      </c>
      <c r="II101" s="109"/>
      <c r="IJ101" s="109"/>
      <c r="IK101" s="109"/>
      <c r="IL101" s="109"/>
      <c r="IM101" s="109"/>
      <c r="IO101" s="147" t="s">
        <v>496</v>
      </c>
      <c r="IP101" s="109"/>
      <c r="IQ101" s="109"/>
      <c r="IR101" s="109"/>
      <c r="IS101" s="109"/>
      <c r="IT101" s="109"/>
      <c r="IV101" s="147" t="s">
        <v>496</v>
      </c>
      <c r="IW101" s="109"/>
      <c r="IX101" s="109"/>
      <c r="IY101" s="109"/>
      <c r="IZ101" s="109"/>
      <c r="JA101" s="109"/>
      <c r="JC101" s="147" t="s">
        <v>496</v>
      </c>
      <c r="JD101" s="109"/>
      <c r="JE101" s="109"/>
      <c r="JF101" s="109"/>
      <c r="JG101" s="109"/>
      <c r="JH101" s="109"/>
      <c r="JJ101" s="147" t="s">
        <v>496</v>
      </c>
      <c r="JK101" s="109"/>
      <c r="JL101" s="109"/>
      <c r="JM101" s="109"/>
      <c r="JN101" s="109"/>
      <c r="JO101" s="109"/>
      <c r="JQ101" s="147" t="s">
        <v>496</v>
      </c>
      <c r="JR101" s="109"/>
      <c r="JS101" s="109"/>
      <c r="JT101" s="109"/>
      <c r="JU101" s="109"/>
      <c r="JV101" s="109"/>
      <c r="JX101" s="147" t="s">
        <v>496</v>
      </c>
      <c r="JY101" s="109"/>
      <c r="JZ101" s="109"/>
      <c r="KA101" s="109"/>
      <c r="KB101" s="109"/>
      <c r="KC101" s="109"/>
      <c r="KE101" s="147" t="s">
        <v>496</v>
      </c>
      <c r="KF101" s="109"/>
      <c r="KG101" s="109"/>
      <c r="KH101" s="109"/>
      <c r="KI101" s="109"/>
      <c r="KJ101" s="109"/>
      <c r="KL101" s="147" t="s">
        <v>496</v>
      </c>
      <c r="KM101" s="109"/>
      <c r="KN101" s="109"/>
      <c r="KO101" s="109"/>
      <c r="KP101" s="109"/>
      <c r="KQ101" s="109"/>
      <c r="KS101" s="147" t="s">
        <v>496</v>
      </c>
      <c r="KT101" s="109"/>
      <c r="KU101" s="109"/>
      <c r="KV101" s="109"/>
      <c r="KW101" s="109"/>
      <c r="KX101" s="109"/>
      <c r="KZ101" s="147" t="s">
        <v>496</v>
      </c>
      <c r="LA101" s="109"/>
      <c r="LB101" s="109"/>
      <c r="LC101" s="109"/>
      <c r="LD101" s="109"/>
      <c r="LE101" s="110"/>
      <c r="LF101" s="555"/>
      <c r="LG101" s="147" t="s">
        <v>496</v>
      </c>
      <c r="LH101" s="109"/>
      <c r="LI101" s="109"/>
      <c r="LJ101" s="109"/>
      <c r="LK101" s="109"/>
      <c r="LL101" s="110"/>
      <c r="LM101" s="555"/>
      <c r="LN101" s="147" t="s">
        <v>496</v>
      </c>
      <c r="LO101" s="109"/>
      <c r="LP101" s="109"/>
      <c r="LQ101" s="109"/>
      <c r="LR101" s="109"/>
      <c r="LS101" s="110"/>
      <c r="LT101" s="555"/>
      <c r="LU101" s="147" t="s">
        <v>496</v>
      </c>
      <c r="LV101" s="109"/>
      <c r="LW101" s="109"/>
      <c r="LX101" s="109"/>
      <c r="LY101" s="109"/>
      <c r="LZ101" s="110"/>
      <c r="MA101" s="555"/>
      <c r="MB101" s="147" t="s">
        <v>496</v>
      </c>
      <c r="MC101" s="109"/>
      <c r="MD101" s="109"/>
      <c r="ME101" s="109"/>
      <c r="MF101" s="109"/>
      <c r="MG101" s="110"/>
      <c r="MH101" s="555"/>
    </row>
    <row r="102" spans="1:346" s="37" customFormat="1" ht="13.15" outlineLevel="1" x14ac:dyDescent="0.4">
      <c r="A102" s="100"/>
      <c r="B102" s="147" t="s">
        <v>497</v>
      </c>
      <c r="C102" s="108"/>
      <c r="D102" s="108"/>
      <c r="E102" s="108"/>
      <c r="F102" s="108"/>
      <c r="G102" s="108"/>
      <c r="H102" s="108"/>
      <c r="I102" s="108"/>
      <c r="J102" s="108"/>
      <c r="K102" s="108"/>
      <c r="L102" s="108"/>
      <c r="M102" s="108"/>
      <c r="N102" s="108">
        <f>BT102</f>
        <v>0</v>
      </c>
      <c r="O102" s="108">
        <f>CA102</f>
        <v>0</v>
      </c>
      <c r="P102" s="108">
        <f>CH102</f>
        <v>9747</v>
      </c>
      <c r="Q102" s="108">
        <f>CO102</f>
        <v>9689</v>
      </c>
      <c r="R102" s="108">
        <f>CV102</f>
        <v>9522</v>
      </c>
      <c r="S102" s="108">
        <f>DC102</f>
        <v>9364</v>
      </c>
      <c r="T102" s="108">
        <f>DJ102</f>
        <v>8969</v>
      </c>
      <c r="U102" s="108">
        <f>DQ102</f>
        <v>9047</v>
      </c>
      <c r="V102" s="108">
        <f>DX102</f>
        <v>9628</v>
      </c>
      <c r="W102" s="108">
        <f>EE102</f>
        <v>10051</v>
      </c>
      <c r="X102" s="108">
        <f>EL102</f>
        <v>2880</v>
      </c>
      <c r="Y102" s="108">
        <f>ES102</f>
        <v>2816</v>
      </c>
      <c r="Z102" s="108">
        <f>EZ102</f>
        <v>2800</v>
      </c>
      <c r="AA102" s="108">
        <f>FG102</f>
        <v>1035</v>
      </c>
      <c r="AB102" s="108">
        <f>FN102</f>
        <v>874</v>
      </c>
      <c r="AC102" s="108">
        <f>FU102</f>
        <v>0</v>
      </c>
      <c r="AD102" s="108">
        <f>GB102</f>
        <v>0</v>
      </c>
      <c r="AE102" s="108">
        <f>GI102</f>
        <v>0</v>
      </c>
      <c r="AF102" s="108">
        <f>GP102</f>
        <v>0</v>
      </c>
      <c r="AG102" s="108">
        <f>GW102</f>
        <v>0</v>
      </c>
      <c r="AH102" s="108">
        <f>HD102</f>
        <v>0</v>
      </c>
      <c r="AI102" s="108">
        <f>HK102</f>
        <v>0</v>
      </c>
      <c r="AJ102" s="108">
        <f>HR102</f>
        <v>0</v>
      </c>
      <c r="AK102" s="108">
        <f>HY102</f>
        <v>0</v>
      </c>
      <c r="AL102" s="108">
        <f>IF102</f>
        <v>0</v>
      </c>
      <c r="AM102" s="108">
        <f>IM102</f>
        <v>0</v>
      </c>
      <c r="AN102" s="108">
        <f>IT102</f>
        <v>0</v>
      </c>
      <c r="AO102" s="108">
        <f>JA102</f>
        <v>0</v>
      </c>
      <c r="AP102" s="108">
        <f>JH102</f>
        <v>0</v>
      </c>
      <c r="AQ102" s="108">
        <f>JO102</f>
        <v>0</v>
      </c>
      <c r="AR102" s="108">
        <f>JV102</f>
        <v>0</v>
      </c>
      <c r="AS102" s="108">
        <f>KC102</f>
        <v>0</v>
      </c>
      <c r="AT102" s="108">
        <f>KJ102</f>
        <v>0</v>
      </c>
      <c r="AU102" s="108">
        <f>KQ102</f>
        <v>0</v>
      </c>
      <c r="AV102" s="108">
        <f>KX102</f>
        <v>0</v>
      </c>
      <c r="AW102" s="108">
        <f>LE102</f>
        <v>0</v>
      </c>
      <c r="AX102" s="108">
        <f>LL102</f>
        <v>0</v>
      </c>
      <c r="AY102" s="108">
        <f>LS102</f>
        <v>0</v>
      </c>
      <c r="AZ102" s="108">
        <f>LZ102</f>
        <v>0</v>
      </c>
      <c r="BA102" s="108">
        <f>MG102</f>
        <v>0</v>
      </c>
      <c r="BB102" s="108"/>
      <c r="BC102" s="108"/>
      <c r="BD102" s="108"/>
      <c r="BE102" s="108"/>
      <c r="BF102" s="108"/>
      <c r="BG102" s="108"/>
      <c r="BH102" s="108"/>
      <c r="BI102" s="108"/>
      <c r="BJ102" s="108"/>
      <c r="BK102" s="108"/>
      <c r="BL102" s="108"/>
      <c r="BM102" s="108"/>
      <c r="BO102" s="147" t="s">
        <v>497</v>
      </c>
      <c r="BP102" s="109"/>
      <c r="BQ102" s="109"/>
      <c r="BR102" s="109"/>
      <c r="BS102" s="109"/>
      <c r="BT102" s="109"/>
      <c r="BV102" s="147" t="s">
        <v>497</v>
      </c>
      <c r="BW102" s="109"/>
      <c r="BX102" s="109"/>
      <c r="BY102" s="109"/>
      <c r="BZ102" s="109"/>
      <c r="CA102" s="109"/>
      <c r="CC102" s="147" t="s">
        <v>497</v>
      </c>
      <c r="CD102" s="109"/>
      <c r="CE102" s="109"/>
      <c r="CF102" s="109"/>
      <c r="CG102" s="109"/>
      <c r="CH102" s="109">
        <v>9747</v>
      </c>
      <c r="CJ102" s="147" t="s">
        <v>497</v>
      </c>
      <c r="CK102" s="109">
        <v>9479</v>
      </c>
      <c r="CL102" s="109">
        <v>9468</v>
      </c>
      <c r="CM102" s="109">
        <v>9494</v>
      </c>
      <c r="CN102" s="109">
        <v>9547</v>
      </c>
      <c r="CO102" s="109">
        <v>9689</v>
      </c>
      <c r="CQ102" s="147" t="s">
        <v>497</v>
      </c>
      <c r="CR102" s="109">
        <v>9483</v>
      </c>
      <c r="CS102" s="109">
        <v>9252</v>
      </c>
      <c r="CT102" s="109">
        <v>9406</v>
      </c>
      <c r="CU102" s="109">
        <v>9457.5</v>
      </c>
      <c r="CV102" s="109">
        <v>9522</v>
      </c>
      <c r="CX102" s="147" t="s">
        <v>497</v>
      </c>
      <c r="CY102" s="109">
        <v>9441</v>
      </c>
      <c r="CZ102" s="109">
        <v>9425</v>
      </c>
      <c r="DA102" s="109">
        <v>9413</v>
      </c>
      <c r="DB102" s="109">
        <v>9450.25</v>
      </c>
      <c r="DC102" s="109">
        <v>9364</v>
      </c>
      <c r="DE102" s="147" t="s">
        <v>497</v>
      </c>
      <c r="DF102" s="109">
        <v>9135</v>
      </c>
      <c r="DG102" s="109">
        <v>9080</v>
      </c>
      <c r="DH102" s="109">
        <v>9034</v>
      </c>
      <c r="DI102" s="109">
        <v>9153.25</v>
      </c>
      <c r="DJ102" s="109">
        <v>8969</v>
      </c>
      <c r="DL102" s="147" t="s">
        <v>497</v>
      </c>
      <c r="DM102" s="109">
        <v>8926</v>
      </c>
      <c r="DN102" s="109">
        <v>9034</v>
      </c>
      <c r="DO102" s="109">
        <v>9240</v>
      </c>
      <c r="DP102" s="109">
        <v>9042.25</v>
      </c>
      <c r="DQ102" s="109">
        <v>9047</v>
      </c>
      <c r="DS102" s="147" t="s">
        <v>497</v>
      </c>
      <c r="DT102" s="109">
        <v>9230</v>
      </c>
      <c r="DU102" s="109">
        <v>9081</v>
      </c>
      <c r="DV102" s="109">
        <v>9099</v>
      </c>
      <c r="DW102" s="109">
        <v>9114.25</v>
      </c>
      <c r="DX102" s="109">
        <v>9628</v>
      </c>
      <c r="DZ102" s="147" t="s">
        <v>497</v>
      </c>
      <c r="EA102" s="109">
        <v>10283</v>
      </c>
      <c r="EB102" s="109">
        <v>9763</v>
      </c>
      <c r="EC102" s="109">
        <v>9628</v>
      </c>
      <c r="ED102" s="109">
        <v>9825.5</v>
      </c>
      <c r="EE102" s="109">
        <v>10051</v>
      </c>
      <c r="EG102" s="147" t="s">
        <v>497</v>
      </c>
      <c r="EH102" s="109">
        <v>10002</v>
      </c>
      <c r="EI102" s="109">
        <v>10057</v>
      </c>
      <c r="EJ102" s="109">
        <v>9887</v>
      </c>
      <c r="EK102" s="109">
        <v>9999.25</v>
      </c>
      <c r="EL102" s="109">
        <v>2880</v>
      </c>
      <c r="EN102" s="147" t="s">
        <v>497</v>
      </c>
      <c r="EO102" s="109">
        <v>2863</v>
      </c>
      <c r="EP102" s="109">
        <v>2813</v>
      </c>
      <c r="EQ102" s="109">
        <v>2868</v>
      </c>
      <c r="ER102" s="109">
        <v>2856</v>
      </c>
      <c r="ES102" s="109">
        <v>2816</v>
      </c>
      <c r="EU102" s="147" t="s">
        <v>497</v>
      </c>
      <c r="EV102" s="109">
        <v>2814</v>
      </c>
      <c r="EW102" s="109">
        <v>2814</v>
      </c>
      <c r="EX102" s="109">
        <v>2891</v>
      </c>
      <c r="EY102" s="109">
        <v>2833.75</v>
      </c>
      <c r="EZ102" s="109">
        <v>2800</v>
      </c>
      <c r="FB102" s="147" t="s">
        <v>497</v>
      </c>
      <c r="FC102" s="109">
        <v>2802</v>
      </c>
      <c r="FD102" s="109">
        <v>2789</v>
      </c>
      <c r="FE102" s="109">
        <v>2863</v>
      </c>
      <c r="FF102" s="109">
        <v>2813.5</v>
      </c>
      <c r="FG102" s="109">
        <v>1035</v>
      </c>
      <c r="FI102" s="147" t="s">
        <v>497</v>
      </c>
      <c r="FJ102" s="109">
        <v>1013</v>
      </c>
      <c r="FK102" s="109">
        <v>778</v>
      </c>
      <c r="FL102" s="109">
        <v>1001</v>
      </c>
      <c r="FM102" s="109"/>
      <c r="FN102" s="109">
        <v>874</v>
      </c>
      <c r="FP102" s="147" t="s">
        <v>497</v>
      </c>
      <c r="FQ102" s="109">
        <v>778</v>
      </c>
      <c r="FR102" s="109">
        <v>643</v>
      </c>
      <c r="FS102" s="109"/>
      <c r="FT102" s="109"/>
      <c r="FU102" s="109"/>
      <c r="FW102" s="147" t="s">
        <v>497</v>
      </c>
      <c r="FX102" s="109"/>
      <c r="FY102" s="109"/>
      <c r="FZ102" s="109"/>
      <c r="GA102" s="109"/>
      <c r="GB102" s="109"/>
      <c r="GD102" s="147" t="s">
        <v>497</v>
      </c>
      <c r="GE102" s="109"/>
      <c r="GF102" s="109"/>
      <c r="GG102" s="109"/>
      <c r="GH102" s="109"/>
      <c r="GI102" s="109"/>
      <c r="GK102" s="147" t="s">
        <v>497</v>
      </c>
      <c r="GL102" s="109"/>
      <c r="GM102" s="109"/>
      <c r="GN102" s="109"/>
      <c r="GO102" s="109"/>
      <c r="GP102" s="109"/>
      <c r="GR102" s="147" t="s">
        <v>497</v>
      </c>
      <c r="GS102" s="109"/>
      <c r="GT102" s="109"/>
      <c r="GU102" s="109"/>
      <c r="GV102" s="109"/>
      <c r="GW102" s="109"/>
      <c r="GY102" s="147" t="s">
        <v>497</v>
      </c>
      <c r="GZ102" s="109"/>
      <c r="HA102" s="109"/>
      <c r="HB102" s="109"/>
      <c r="HC102" s="109"/>
      <c r="HD102" s="109"/>
      <c r="HF102" s="147" t="s">
        <v>497</v>
      </c>
      <c r="HG102" s="109"/>
      <c r="HH102" s="109"/>
      <c r="HI102" s="109"/>
      <c r="HJ102" s="109"/>
      <c r="HK102" s="109"/>
      <c r="HM102" s="147" t="s">
        <v>497</v>
      </c>
      <c r="HN102" s="109"/>
      <c r="HO102" s="109"/>
      <c r="HP102" s="109"/>
      <c r="HQ102" s="109"/>
      <c r="HR102" s="109"/>
      <c r="HT102" s="147" t="s">
        <v>497</v>
      </c>
      <c r="HU102" s="109"/>
      <c r="HV102" s="109"/>
      <c r="HW102" s="109"/>
      <c r="HX102" s="109"/>
      <c r="HY102" s="109"/>
      <c r="IA102" s="147" t="s">
        <v>497</v>
      </c>
      <c r="IB102" s="109"/>
      <c r="IC102" s="109"/>
      <c r="ID102" s="109"/>
      <c r="IE102" s="109"/>
      <c r="IF102" s="109"/>
      <c r="IH102" s="147" t="s">
        <v>497</v>
      </c>
      <c r="II102" s="109"/>
      <c r="IJ102" s="109"/>
      <c r="IK102" s="109"/>
      <c r="IL102" s="109"/>
      <c r="IM102" s="109"/>
      <c r="IO102" s="147" t="s">
        <v>497</v>
      </c>
      <c r="IP102" s="109"/>
      <c r="IQ102" s="109"/>
      <c r="IR102" s="109"/>
      <c r="IS102" s="109"/>
      <c r="IT102" s="109"/>
      <c r="IV102" s="147" t="s">
        <v>497</v>
      </c>
      <c r="IW102" s="109"/>
      <c r="IX102" s="109"/>
      <c r="IY102" s="109"/>
      <c r="IZ102" s="109"/>
      <c r="JA102" s="109"/>
      <c r="JC102" s="147" t="s">
        <v>497</v>
      </c>
      <c r="JD102" s="109"/>
      <c r="JE102" s="109"/>
      <c r="JF102" s="109"/>
      <c r="JG102" s="109"/>
      <c r="JH102" s="109"/>
      <c r="JJ102" s="147" t="s">
        <v>497</v>
      </c>
      <c r="JK102" s="109"/>
      <c r="JL102" s="109"/>
      <c r="JM102" s="109"/>
      <c r="JN102" s="109"/>
      <c r="JO102" s="109"/>
      <c r="JQ102" s="147" t="s">
        <v>497</v>
      </c>
      <c r="JR102" s="109"/>
      <c r="JS102" s="109"/>
      <c r="JT102" s="109"/>
      <c r="JU102" s="109"/>
      <c r="JV102" s="109"/>
      <c r="JX102" s="147" t="s">
        <v>497</v>
      </c>
      <c r="JY102" s="109"/>
      <c r="JZ102" s="109"/>
      <c r="KA102" s="109"/>
      <c r="KB102" s="109"/>
      <c r="KC102" s="109"/>
      <c r="KE102" s="147" t="s">
        <v>497</v>
      </c>
      <c r="KF102" s="109"/>
      <c r="KG102" s="109"/>
      <c r="KH102" s="109"/>
      <c r="KI102" s="109"/>
      <c r="KJ102" s="109"/>
      <c r="KL102" s="147" t="s">
        <v>497</v>
      </c>
      <c r="KM102" s="109"/>
      <c r="KN102" s="109"/>
      <c r="KO102" s="109"/>
      <c r="KP102" s="109"/>
      <c r="KQ102" s="109"/>
      <c r="KS102" s="147" t="s">
        <v>497</v>
      </c>
      <c r="KT102" s="109"/>
      <c r="KU102" s="109"/>
      <c r="KV102" s="109"/>
      <c r="KW102" s="109"/>
      <c r="KX102" s="109"/>
      <c r="KZ102" s="147" t="s">
        <v>497</v>
      </c>
      <c r="LA102" s="109"/>
      <c r="LB102" s="109"/>
      <c r="LC102" s="109"/>
      <c r="LD102" s="109"/>
      <c r="LE102" s="110"/>
      <c r="LF102" s="555"/>
      <c r="LG102" s="147" t="s">
        <v>497</v>
      </c>
      <c r="LH102" s="109"/>
      <c r="LI102" s="109"/>
      <c r="LJ102" s="109"/>
      <c r="LK102" s="109"/>
      <c r="LL102" s="110"/>
      <c r="LM102" s="555"/>
      <c r="LN102" s="147" t="s">
        <v>497</v>
      </c>
      <c r="LO102" s="109"/>
      <c r="LP102" s="109"/>
      <c r="LQ102" s="109"/>
      <c r="LR102" s="109"/>
      <c r="LS102" s="110"/>
      <c r="LT102" s="555"/>
      <c r="LU102" s="147" t="s">
        <v>497</v>
      </c>
      <c r="LV102" s="109"/>
      <c r="LW102" s="109"/>
      <c r="LX102" s="109"/>
      <c r="LY102" s="109"/>
      <c r="LZ102" s="110"/>
      <c r="MA102" s="555"/>
      <c r="MB102" s="147" t="s">
        <v>497</v>
      </c>
      <c r="MC102" s="109"/>
      <c r="MD102" s="109"/>
      <c r="ME102" s="109"/>
      <c r="MF102" s="109"/>
      <c r="MG102" s="110"/>
      <c r="MH102" s="555"/>
    </row>
    <row r="103" spans="1:346" s="37" customFormat="1" ht="13.15" outlineLevel="1" x14ac:dyDescent="0.4">
      <c r="A103" s="100"/>
      <c r="B103" s="147" t="s">
        <v>498</v>
      </c>
      <c r="C103" s="108"/>
      <c r="D103" s="108"/>
      <c r="E103" s="108"/>
      <c r="F103" s="108"/>
      <c r="G103" s="108"/>
      <c r="H103" s="108"/>
      <c r="I103" s="108"/>
      <c r="J103" s="108"/>
      <c r="K103" s="108"/>
      <c r="L103" s="108"/>
      <c r="M103" s="108"/>
      <c r="N103" s="108">
        <f>BT103</f>
        <v>0</v>
      </c>
      <c r="O103" s="108">
        <f>CA103</f>
        <v>0</v>
      </c>
      <c r="P103" s="108">
        <f>CH103</f>
        <v>0</v>
      </c>
      <c r="Q103" s="108">
        <f>CO103</f>
        <v>2921.75</v>
      </c>
      <c r="R103" s="108">
        <f>CV103</f>
        <v>2744.5</v>
      </c>
      <c r="S103" s="108">
        <f>DC103</f>
        <v>2648.5</v>
      </c>
      <c r="T103" s="108">
        <f>DJ103</f>
        <v>2914.5</v>
      </c>
      <c r="U103" s="108">
        <f>DQ103</f>
        <v>3416</v>
      </c>
      <c r="V103" s="108">
        <f>DX103</f>
        <v>3540.75</v>
      </c>
      <c r="W103" s="108">
        <f>EE103</f>
        <v>0</v>
      </c>
      <c r="X103" s="108">
        <f>EL103</f>
        <v>0</v>
      </c>
      <c r="Y103" s="108">
        <f>ES103</f>
        <v>0</v>
      </c>
      <c r="Z103" s="108">
        <f>EZ103</f>
        <v>0</v>
      </c>
      <c r="AA103" s="108">
        <f>FG103</f>
        <v>0</v>
      </c>
      <c r="AB103" s="108">
        <f>FN103</f>
        <v>0</v>
      </c>
      <c r="AC103" s="108">
        <f>FU103</f>
        <v>0</v>
      </c>
      <c r="AD103" s="108">
        <f>GB103</f>
        <v>0</v>
      </c>
      <c r="AE103" s="108">
        <f>GI103</f>
        <v>0</v>
      </c>
      <c r="AF103" s="108">
        <f>GP103</f>
        <v>0</v>
      </c>
      <c r="AG103" s="108">
        <f>GW103</f>
        <v>0</v>
      </c>
      <c r="AH103" s="108">
        <f>HD103</f>
        <v>0</v>
      </c>
      <c r="AI103" s="108">
        <f>HK103</f>
        <v>0</v>
      </c>
      <c r="AJ103" s="108">
        <f>HR103</f>
        <v>0</v>
      </c>
      <c r="AK103" s="108">
        <f>HY103</f>
        <v>0</v>
      </c>
      <c r="AL103" s="108">
        <f>IF103</f>
        <v>0</v>
      </c>
      <c r="AM103" s="108">
        <f>IM103</f>
        <v>0</v>
      </c>
      <c r="AN103" s="108">
        <f>IT103</f>
        <v>0</v>
      </c>
      <c r="AO103" s="108">
        <f>JA103</f>
        <v>0</v>
      </c>
      <c r="AP103" s="108">
        <f>JH103</f>
        <v>0</v>
      </c>
      <c r="AQ103" s="108">
        <f>JO103</f>
        <v>0</v>
      </c>
      <c r="AR103" s="108">
        <f>JV103</f>
        <v>0</v>
      </c>
      <c r="AS103" s="108">
        <f>KC103</f>
        <v>0</v>
      </c>
      <c r="AT103" s="108">
        <f>KJ103</f>
        <v>0</v>
      </c>
      <c r="AU103" s="108">
        <f>KQ103</f>
        <v>0</v>
      </c>
      <c r="AV103" s="108">
        <f>KX103</f>
        <v>0</v>
      </c>
      <c r="AW103" s="108">
        <f>LE103</f>
        <v>0</v>
      </c>
      <c r="AX103" s="108">
        <f>LL103</f>
        <v>0</v>
      </c>
      <c r="AY103" s="108">
        <f>LS103</f>
        <v>0</v>
      </c>
      <c r="AZ103" s="108">
        <f>LZ103</f>
        <v>0</v>
      </c>
      <c r="BA103" s="108">
        <f>MG103</f>
        <v>0</v>
      </c>
      <c r="BB103" s="108"/>
      <c r="BC103" s="108"/>
      <c r="BD103" s="108"/>
      <c r="BE103" s="108"/>
      <c r="BF103" s="108"/>
      <c r="BG103" s="108"/>
      <c r="BH103" s="108"/>
      <c r="BI103" s="108"/>
      <c r="BJ103" s="108"/>
      <c r="BK103" s="108"/>
      <c r="BL103" s="108"/>
      <c r="BM103" s="108"/>
      <c r="BO103" s="147" t="s">
        <v>498</v>
      </c>
      <c r="BP103" s="109"/>
      <c r="BQ103" s="109"/>
      <c r="BR103" s="109"/>
      <c r="BS103" s="109"/>
      <c r="BT103" s="109"/>
      <c r="BV103" s="147" t="s">
        <v>498</v>
      </c>
      <c r="BW103" s="109"/>
      <c r="BX103" s="109"/>
      <c r="BY103" s="109"/>
      <c r="BZ103" s="109"/>
      <c r="CA103" s="109"/>
      <c r="CC103" s="147" t="s">
        <v>498</v>
      </c>
      <c r="CD103" s="109"/>
      <c r="CE103" s="109"/>
      <c r="CF103" s="109"/>
      <c r="CG103" s="109"/>
      <c r="CH103" s="109"/>
      <c r="CJ103" s="147" t="s">
        <v>498</v>
      </c>
      <c r="CK103" s="109">
        <v>2837</v>
      </c>
      <c r="CL103" s="109">
        <v>2900</v>
      </c>
      <c r="CM103" s="109">
        <v>3096</v>
      </c>
      <c r="CN103" s="109">
        <v>2854</v>
      </c>
      <c r="CO103" s="109">
        <v>2921.75</v>
      </c>
      <c r="CQ103" s="147" t="s">
        <v>498</v>
      </c>
      <c r="CR103" s="109">
        <v>2877</v>
      </c>
      <c r="CS103" s="109">
        <v>2714</v>
      </c>
      <c r="CT103" s="109">
        <v>2683</v>
      </c>
      <c r="CU103" s="109">
        <v>2704</v>
      </c>
      <c r="CV103" s="109">
        <v>2744.5</v>
      </c>
      <c r="CX103" s="147" t="s">
        <v>498</v>
      </c>
      <c r="CY103" s="109">
        <v>2633</v>
      </c>
      <c r="CZ103" s="109">
        <v>2641</v>
      </c>
      <c r="DA103" s="109">
        <v>2666</v>
      </c>
      <c r="DB103" s="109">
        <v>2654</v>
      </c>
      <c r="DC103" s="109">
        <v>2648.5</v>
      </c>
      <c r="DE103" s="147" t="s">
        <v>498</v>
      </c>
      <c r="DF103" s="109">
        <v>2736</v>
      </c>
      <c r="DG103" s="109">
        <v>2875</v>
      </c>
      <c r="DH103" s="109">
        <v>2955</v>
      </c>
      <c r="DI103" s="109">
        <v>3092</v>
      </c>
      <c r="DJ103" s="109">
        <v>2914.5</v>
      </c>
      <c r="DL103" s="147" t="s">
        <v>498</v>
      </c>
      <c r="DM103" s="109">
        <v>3285</v>
      </c>
      <c r="DN103" s="109">
        <v>3385</v>
      </c>
      <c r="DO103" s="109">
        <v>3471</v>
      </c>
      <c r="DP103" s="109">
        <v>3523</v>
      </c>
      <c r="DQ103" s="109">
        <v>3416</v>
      </c>
      <c r="DS103" s="147" t="s">
        <v>498</v>
      </c>
      <c r="DT103" s="109">
        <v>3554</v>
      </c>
      <c r="DU103" s="109">
        <v>3561</v>
      </c>
      <c r="DV103" s="109">
        <v>3461</v>
      </c>
      <c r="DW103" s="109">
        <v>3587</v>
      </c>
      <c r="DX103" s="109">
        <v>3540.75</v>
      </c>
      <c r="DZ103" s="147" t="s">
        <v>498</v>
      </c>
      <c r="EA103" s="109">
        <v>3475</v>
      </c>
      <c r="EB103" s="109">
        <v>3538</v>
      </c>
      <c r="EC103" s="109"/>
      <c r="ED103" s="109"/>
      <c r="EE103" s="109"/>
      <c r="EG103" s="147" t="s">
        <v>498</v>
      </c>
      <c r="EH103" s="109"/>
      <c r="EI103" s="109"/>
      <c r="EJ103" s="109"/>
      <c r="EK103" s="109"/>
      <c r="EL103" s="109"/>
      <c r="EN103" s="147" t="s">
        <v>498</v>
      </c>
      <c r="EO103" s="109"/>
      <c r="EP103" s="109"/>
      <c r="EQ103" s="109"/>
      <c r="ER103" s="109"/>
      <c r="ES103" s="109"/>
      <c r="EU103" s="147" t="s">
        <v>498</v>
      </c>
      <c r="EV103" s="109"/>
      <c r="EW103" s="109"/>
      <c r="EX103" s="109"/>
      <c r="EY103" s="109"/>
      <c r="EZ103" s="109"/>
      <c r="FB103" s="147" t="s">
        <v>498</v>
      </c>
      <c r="FC103" s="109"/>
      <c r="FD103" s="109"/>
      <c r="FE103" s="109"/>
      <c r="FF103" s="109"/>
      <c r="FG103" s="109"/>
      <c r="FI103" s="147" t="s">
        <v>498</v>
      </c>
      <c r="FJ103" s="109"/>
      <c r="FK103" s="109"/>
      <c r="FL103" s="109"/>
      <c r="FM103" s="109"/>
      <c r="FN103" s="109"/>
      <c r="FP103" s="147" t="s">
        <v>498</v>
      </c>
      <c r="FQ103" s="109"/>
      <c r="FR103" s="109"/>
      <c r="FS103" s="109"/>
      <c r="FT103" s="109"/>
      <c r="FU103" s="109"/>
      <c r="FW103" s="147" t="s">
        <v>498</v>
      </c>
      <c r="FX103" s="109"/>
      <c r="FY103" s="109"/>
      <c r="FZ103" s="109"/>
      <c r="GA103" s="109"/>
      <c r="GB103" s="109"/>
      <c r="GD103" s="147" t="s">
        <v>498</v>
      </c>
      <c r="GE103" s="109"/>
      <c r="GF103" s="109"/>
      <c r="GG103" s="109"/>
      <c r="GH103" s="109"/>
      <c r="GI103" s="109"/>
      <c r="GK103" s="147" t="s">
        <v>498</v>
      </c>
      <c r="GL103" s="109"/>
      <c r="GM103" s="109"/>
      <c r="GN103" s="109"/>
      <c r="GO103" s="109"/>
      <c r="GP103" s="109"/>
      <c r="GR103" s="147" t="s">
        <v>498</v>
      </c>
      <c r="GS103" s="109"/>
      <c r="GT103" s="109"/>
      <c r="GU103" s="109"/>
      <c r="GV103" s="109"/>
      <c r="GW103" s="109"/>
      <c r="GY103" s="147" t="s">
        <v>498</v>
      </c>
      <c r="GZ103" s="109"/>
      <c r="HA103" s="109"/>
      <c r="HB103" s="109"/>
      <c r="HC103" s="109"/>
      <c r="HD103" s="109"/>
      <c r="HF103" s="147" t="s">
        <v>498</v>
      </c>
      <c r="HG103" s="109"/>
      <c r="HH103" s="109"/>
      <c r="HI103" s="109"/>
      <c r="HJ103" s="109"/>
      <c r="HK103" s="109"/>
      <c r="HM103" s="147" t="s">
        <v>498</v>
      </c>
      <c r="HN103" s="109"/>
      <c r="HO103" s="109"/>
      <c r="HP103" s="109"/>
      <c r="HQ103" s="109"/>
      <c r="HR103" s="109"/>
      <c r="HT103" s="147" t="s">
        <v>498</v>
      </c>
      <c r="HU103" s="109"/>
      <c r="HV103" s="109"/>
      <c r="HW103" s="109"/>
      <c r="HX103" s="109"/>
      <c r="HY103" s="109"/>
      <c r="IA103" s="147" t="s">
        <v>498</v>
      </c>
      <c r="IB103" s="109"/>
      <c r="IC103" s="109"/>
      <c r="ID103" s="109"/>
      <c r="IE103" s="109"/>
      <c r="IF103" s="109"/>
      <c r="IH103" s="147" t="s">
        <v>498</v>
      </c>
      <c r="II103" s="109"/>
      <c r="IJ103" s="109"/>
      <c r="IK103" s="109"/>
      <c r="IL103" s="109"/>
      <c r="IM103" s="109"/>
      <c r="IO103" s="147" t="s">
        <v>498</v>
      </c>
      <c r="IP103" s="109"/>
      <c r="IQ103" s="109"/>
      <c r="IR103" s="109"/>
      <c r="IS103" s="109"/>
      <c r="IT103" s="109"/>
      <c r="IV103" s="147" t="s">
        <v>498</v>
      </c>
      <c r="IW103" s="109"/>
      <c r="IX103" s="109"/>
      <c r="IY103" s="109"/>
      <c r="IZ103" s="109"/>
      <c r="JA103" s="109"/>
      <c r="JC103" s="147" t="s">
        <v>498</v>
      </c>
      <c r="JD103" s="109"/>
      <c r="JE103" s="109"/>
      <c r="JF103" s="109"/>
      <c r="JG103" s="109"/>
      <c r="JH103" s="109"/>
      <c r="JJ103" s="147" t="s">
        <v>498</v>
      </c>
      <c r="JK103" s="109"/>
      <c r="JL103" s="109"/>
      <c r="JM103" s="109"/>
      <c r="JN103" s="109"/>
      <c r="JO103" s="109"/>
      <c r="JQ103" s="147" t="s">
        <v>498</v>
      </c>
      <c r="JR103" s="109"/>
      <c r="JS103" s="109"/>
      <c r="JT103" s="109"/>
      <c r="JU103" s="109"/>
      <c r="JV103" s="109"/>
      <c r="JX103" s="147" t="s">
        <v>498</v>
      </c>
      <c r="JY103" s="109"/>
      <c r="JZ103" s="109"/>
      <c r="KA103" s="109"/>
      <c r="KB103" s="109"/>
      <c r="KC103" s="109"/>
      <c r="KE103" s="147" t="s">
        <v>498</v>
      </c>
      <c r="KF103" s="109"/>
      <c r="KG103" s="109"/>
      <c r="KH103" s="109"/>
      <c r="KI103" s="109"/>
      <c r="KJ103" s="109"/>
      <c r="KL103" s="147" t="s">
        <v>498</v>
      </c>
      <c r="KM103" s="109"/>
      <c r="KN103" s="109"/>
      <c r="KO103" s="109"/>
      <c r="KP103" s="109"/>
      <c r="KQ103" s="109"/>
      <c r="KS103" s="147" t="s">
        <v>498</v>
      </c>
      <c r="KT103" s="109"/>
      <c r="KU103" s="109"/>
      <c r="KV103" s="109"/>
      <c r="KW103" s="109"/>
      <c r="KX103" s="109"/>
      <c r="KZ103" s="147" t="s">
        <v>498</v>
      </c>
      <c r="LA103" s="109"/>
      <c r="LB103" s="109"/>
      <c r="LC103" s="109"/>
      <c r="LD103" s="109"/>
      <c r="LE103" s="110"/>
      <c r="LF103" s="555"/>
      <c r="LG103" s="147" t="s">
        <v>498</v>
      </c>
      <c r="LH103" s="109"/>
      <c r="LI103" s="109"/>
      <c r="LJ103" s="109"/>
      <c r="LK103" s="109"/>
      <c r="LL103" s="110"/>
      <c r="LM103" s="555"/>
      <c r="LN103" s="147" t="s">
        <v>498</v>
      </c>
      <c r="LO103" s="109"/>
      <c r="LP103" s="109"/>
      <c r="LQ103" s="109"/>
      <c r="LR103" s="109"/>
      <c r="LS103" s="110"/>
      <c r="LT103" s="555"/>
      <c r="LU103" s="147" t="s">
        <v>498</v>
      </c>
      <c r="LV103" s="109"/>
      <c r="LW103" s="109"/>
      <c r="LX103" s="109"/>
      <c r="LY103" s="109"/>
      <c r="LZ103" s="110"/>
      <c r="MA103" s="555"/>
      <c r="MB103" s="147" t="s">
        <v>498</v>
      </c>
      <c r="MC103" s="109"/>
      <c r="MD103" s="109"/>
      <c r="ME103" s="109"/>
      <c r="MF103" s="109"/>
      <c r="MG103" s="110"/>
      <c r="MH103" s="555"/>
    </row>
    <row r="104" spans="1:346" s="37" customFormat="1" ht="13.5" thickBot="1" x14ac:dyDescent="0.45">
      <c r="A104" s="100"/>
      <c r="B104" s="113"/>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c r="Z104" s="104"/>
      <c r="AA104" s="104"/>
      <c r="AB104" s="104"/>
      <c r="AC104" s="104"/>
      <c r="AD104" s="104"/>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O104" s="113"/>
      <c r="BP104" s="104"/>
      <c r="BQ104" s="104"/>
      <c r="BR104" s="104"/>
      <c r="BS104" s="104"/>
      <c r="BT104" s="104"/>
      <c r="BV104" s="113"/>
      <c r="BW104" s="104"/>
      <c r="BX104" s="104"/>
      <c r="BY104" s="104"/>
      <c r="BZ104" s="104"/>
      <c r="CA104" s="104"/>
      <c r="CC104" s="113"/>
      <c r="CD104" s="104"/>
      <c r="CE104" s="104"/>
      <c r="CF104" s="104"/>
      <c r="CG104" s="104"/>
      <c r="CH104" s="104"/>
      <c r="CJ104" s="113"/>
      <c r="CK104" s="104"/>
      <c r="CL104" s="104"/>
      <c r="CM104" s="104"/>
      <c r="CN104" s="104"/>
      <c r="CO104" s="104"/>
      <c r="CQ104" s="113"/>
      <c r="CR104" s="104"/>
      <c r="CS104" s="104"/>
      <c r="CT104" s="104"/>
      <c r="CU104" s="104"/>
      <c r="CV104" s="104"/>
      <c r="CX104" s="113"/>
      <c r="CY104" s="104"/>
      <c r="CZ104" s="104"/>
      <c r="DA104" s="104"/>
      <c r="DB104" s="104"/>
      <c r="DC104" s="104"/>
      <c r="DE104" s="113"/>
      <c r="DF104" s="104"/>
      <c r="DG104" s="104"/>
      <c r="DH104" s="104"/>
      <c r="DI104" s="104"/>
      <c r="DJ104" s="104"/>
      <c r="DL104" s="113"/>
      <c r="DM104" s="104"/>
      <c r="DN104" s="104"/>
      <c r="DO104" s="104"/>
      <c r="DP104" s="104"/>
      <c r="DQ104" s="104"/>
      <c r="DS104" s="113"/>
      <c r="DT104" s="104"/>
      <c r="DU104" s="104"/>
      <c r="DV104" s="104"/>
      <c r="DW104" s="104"/>
      <c r="DX104" s="104"/>
      <c r="DZ104" s="113"/>
      <c r="EA104" s="104"/>
      <c r="EB104" s="104"/>
      <c r="EC104" s="104"/>
      <c r="ED104" s="104"/>
      <c r="EE104" s="104"/>
      <c r="EG104" s="113"/>
      <c r="EH104" s="104"/>
      <c r="EI104" s="104"/>
      <c r="EJ104" s="104"/>
      <c r="EK104" s="104"/>
      <c r="EL104" s="104"/>
      <c r="EN104" s="113"/>
      <c r="EO104" s="104"/>
      <c r="EP104" s="104"/>
      <c r="EQ104" s="104"/>
      <c r="ER104" s="104"/>
      <c r="ES104" s="104"/>
      <c r="EU104" s="113"/>
      <c r="EV104" s="104"/>
      <c r="EW104" s="104"/>
      <c r="EX104" s="104"/>
      <c r="EY104" s="104"/>
      <c r="EZ104" s="104"/>
      <c r="FB104" s="113"/>
      <c r="FC104" s="104"/>
      <c r="FD104" s="104"/>
      <c r="FE104" s="104"/>
      <c r="FF104" s="104"/>
      <c r="FG104" s="104"/>
      <c r="FI104" s="113"/>
      <c r="FJ104" s="104"/>
      <c r="FK104" s="104"/>
      <c r="FL104" s="104"/>
      <c r="FM104" s="104"/>
      <c r="FN104" s="104"/>
      <c r="FP104" s="113"/>
      <c r="FQ104" s="104"/>
      <c r="FR104" s="104"/>
      <c r="FS104" s="104"/>
      <c r="FT104" s="104"/>
      <c r="FU104" s="104"/>
      <c r="FW104" s="113"/>
      <c r="FX104" s="104"/>
      <c r="FY104" s="104"/>
      <c r="FZ104" s="104"/>
      <c r="GA104" s="104"/>
      <c r="GB104" s="104"/>
      <c r="GD104" s="113"/>
      <c r="GE104" s="104"/>
      <c r="GF104" s="104"/>
      <c r="GG104" s="104"/>
      <c r="GH104" s="104"/>
      <c r="GI104" s="104"/>
      <c r="GK104" s="113"/>
      <c r="GL104" s="104"/>
      <c r="GM104" s="104"/>
      <c r="GN104" s="104"/>
      <c r="GO104" s="104"/>
      <c r="GP104" s="104"/>
      <c r="GR104" s="113"/>
      <c r="GS104" s="104"/>
      <c r="GT104" s="104"/>
      <c r="GU104" s="104"/>
      <c r="GV104" s="104"/>
      <c r="GW104" s="104"/>
      <c r="GY104" s="113"/>
      <c r="GZ104" s="104"/>
      <c r="HA104" s="104"/>
      <c r="HB104" s="104"/>
      <c r="HC104" s="104"/>
      <c r="HD104" s="104"/>
      <c r="HF104" s="113"/>
      <c r="HG104" s="104"/>
      <c r="HH104" s="104"/>
      <c r="HI104" s="104"/>
      <c r="HJ104" s="104"/>
      <c r="HK104" s="104"/>
      <c r="HM104" s="113"/>
      <c r="HN104" s="104"/>
      <c r="HO104" s="104"/>
      <c r="HP104" s="104"/>
      <c r="HQ104" s="104"/>
      <c r="HR104" s="104"/>
      <c r="HT104" s="113"/>
      <c r="HU104" s="104"/>
      <c r="HV104" s="104"/>
      <c r="HW104" s="104"/>
      <c r="HX104" s="104"/>
      <c r="HY104" s="104"/>
      <c r="IA104" s="113"/>
      <c r="IB104" s="104"/>
      <c r="IC104" s="104"/>
      <c r="ID104" s="104"/>
      <c r="IE104" s="104"/>
      <c r="IF104" s="104"/>
      <c r="IH104" s="113"/>
      <c r="II104" s="104"/>
      <c r="IJ104" s="104"/>
      <c r="IK104" s="104"/>
      <c r="IL104" s="104"/>
      <c r="IM104" s="104"/>
      <c r="IO104" s="113"/>
      <c r="IP104" s="104"/>
      <c r="IQ104" s="104"/>
      <c r="IR104" s="104"/>
      <c r="IS104" s="104"/>
      <c r="IT104" s="104"/>
      <c r="IV104" s="113"/>
      <c r="IW104" s="104"/>
      <c r="IX104" s="104"/>
      <c r="IY104" s="104"/>
      <c r="IZ104" s="104"/>
      <c r="JA104" s="104"/>
      <c r="JC104" s="113"/>
      <c r="JD104" s="104"/>
      <c r="JE104" s="104"/>
      <c r="JF104" s="104"/>
      <c r="JG104" s="104"/>
      <c r="JH104" s="104"/>
      <c r="JJ104" s="113"/>
      <c r="JK104" s="104"/>
      <c r="JL104" s="104"/>
      <c r="JM104" s="104"/>
      <c r="JN104" s="104"/>
      <c r="JO104" s="104"/>
      <c r="JQ104" s="113"/>
      <c r="JR104" s="104"/>
      <c r="JS104" s="104"/>
      <c r="JT104" s="104"/>
      <c r="JU104" s="104"/>
      <c r="JV104" s="104"/>
      <c r="JX104" s="113"/>
      <c r="JY104" s="104"/>
      <c r="JZ104" s="104"/>
      <c r="KA104" s="104"/>
      <c r="KB104" s="104"/>
      <c r="KC104" s="104"/>
      <c r="KE104" s="113"/>
      <c r="KF104" s="104"/>
      <c r="KG104" s="104"/>
      <c r="KH104" s="104"/>
      <c r="KI104" s="104"/>
      <c r="KJ104" s="104"/>
      <c r="KL104" s="113"/>
      <c r="KM104" s="104"/>
      <c r="KN104" s="104"/>
      <c r="KO104" s="104"/>
      <c r="KP104" s="104"/>
      <c r="KQ104" s="104"/>
      <c r="KS104" s="113"/>
      <c r="KT104" s="104"/>
      <c r="KU104" s="104"/>
      <c r="KV104" s="104"/>
      <c r="KW104" s="104"/>
      <c r="KX104" s="104"/>
      <c r="KZ104" s="113"/>
      <c r="LA104" s="741"/>
      <c r="LB104" s="741"/>
      <c r="LC104" s="741"/>
      <c r="LD104" s="741"/>
      <c r="LE104" s="105"/>
      <c r="LF104" s="555"/>
      <c r="LG104" s="113"/>
      <c r="LH104" s="741"/>
      <c r="LI104" s="741"/>
      <c r="LJ104" s="741"/>
      <c r="LK104" s="742"/>
      <c r="LL104" s="105"/>
      <c r="LM104" s="555"/>
      <c r="LN104" s="113"/>
      <c r="LO104" s="104"/>
      <c r="LP104" s="104"/>
      <c r="LQ104" s="104"/>
      <c r="LR104" s="104"/>
      <c r="LS104" s="105"/>
      <c r="LT104" s="555"/>
      <c r="LU104" s="113"/>
      <c r="LV104" s="104"/>
      <c r="LW104" s="104"/>
      <c r="LX104" s="104"/>
      <c r="LY104" s="104"/>
      <c r="LZ104" s="105"/>
      <c r="MA104" s="555"/>
      <c r="MB104" s="113"/>
      <c r="MC104" s="104"/>
      <c r="MD104" s="104"/>
      <c r="ME104" s="104"/>
      <c r="MF104" s="104"/>
      <c r="MG104" s="105"/>
      <c r="MH104" s="555"/>
    </row>
    <row r="105" spans="1:346" s="37" customFormat="1" ht="13.5" thickBot="1" x14ac:dyDescent="0.45">
      <c r="A105" s="97"/>
      <c r="B105" s="98" t="s">
        <v>300</v>
      </c>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c r="AA105" s="99"/>
      <c r="AB105" s="99"/>
      <c r="AC105" s="99"/>
      <c r="AD105" s="99"/>
      <c r="AE105" s="99"/>
      <c r="AF105" s="99"/>
      <c r="AG105" s="99"/>
      <c r="AH105" s="99"/>
      <c r="AI105" s="99"/>
      <c r="AJ105" s="99"/>
      <c r="AK105" s="99"/>
      <c r="AL105" s="99"/>
      <c r="AM105" s="99"/>
      <c r="AN105" s="99"/>
      <c r="AO105" s="99"/>
      <c r="AP105" s="99"/>
      <c r="AQ105" s="99"/>
      <c r="AR105" s="99"/>
      <c r="AS105" s="99"/>
      <c r="AT105" s="99"/>
      <c r="AU105" s="99"/>
      <c r="AV105" s="99"/>
      <c r="AW105" s="99"/>
      <c r="AX105" s="99"/>
      <c r="AY105" s="99"/>
      <c r="AZ105" s="99"/>
      <c r="BA105" s="99"/>
      <c r="BB105" s="99"/>
      <c r="BC105" s="99"/>
      <c r="BD105" s="99"/>
      <c r="BE105" s="99"/>
      <c r="BF105" s="99"/>
      <c r="BG105" s="99"/>
      <c r="BH105" s="99"/>
      <c r="BI105" s="99"/>
      <c r="BJ105" s="99"/>
      <c r="BK105" s="99"/>
      <c r="BL105" s="99"/>
      <c r="BM105" s="99"/>
      <c r="BO105" s="98" t="s">
        <v>300</v>
      </c>
      <c r="BP105" s="99"/>
      <c r="BQ105" s="99"/>
      <c r="BR105" s="99"/>
      <c r="BS105" s="99"/>
      <c r="BT105" s="99"/>
      <c r="BV105" s="98" t="s">
        <v>300</v>
      </c>
      <c r="BW105" s="99"/>
      <c r="BX105" s="99"/>
      <c r="BY105" s="99"/>
      <c r="BZ105" s="99"/>
      <c r="CA105" s="99"/>
      <c r="CC105" s="98" t="s">
        <v>300</v>
      </c>
      <c r="CD105" s="99"/>
      <c r="CE105" s="99"/>
      <c r="CF105" s="99"/>
      <c r="CG105" s="99"/>
      <c r="CH105" s="99"/>
      <c r="CJ105" s="98" t="s">
        <v>300</v>
      </c>
      <c r="CK105" s="99"/>
      <c r="CL105" s="99"/>
      <c r="CM105" s="99"/>
      <c r="CN105" s="99"/>
      <c r="CO105" s="99"/>
      <c r="CQ105" s="98" t="s">
        <v>300</v>
      </c>
      <c r="CR105" s="99"/>
      <c r="CS105" s="99"/>
      <c r="CT105" s="99"/>
      <c r="CU105" s="99"/>
      <c r="CV105" s="99"/>
      <c r="CX105" s="98" t="s">
        <v>300</v>
      </c>
      <c r="CY105" s="99"/>
      <c r="CZ105" s="99"/>
      <c r="DA105" s="99"/>
      <c r="DB105" s="99"/>
      <c r="DC105" s="99"/>
      <c r="DE105" s="98" t="s">
        <v>300</v>
      </c>
      <c r="DF105" s="99"/>
      <c r="DG105" s="99"/>
      <c r="DH105" s="99"/>
      <c r="DI105" s="99"/>
      <c r="DJ105" s="99"/>
      <c r="DL105" s="98" t="s">
        <v>300</v>
      </c>
      <c r="DM105" s="99"/>
      <c r="DN105" s="99"/>
      <c r="DO105" s="99"/>
      <c r="DP105" s="99"/>
      <c r="DQ105" s="99"/>
      <c r="DS105" s="98" t="s">
        <v>300</v>
      </c>
      <c r="DT105" s="99"/>
      <c r="DU105" s="99"/>
      <c r="DV105" s="99"/>
      <c r="DW105" s="99"/>
      <c r="DX105" s="99"/>
      <c r="DZ105" s="98" t="s">
        <v>300</v>
      </c>
      <c r="EA105" s="99"/>
      <c r="EB105" s="99"/>
      <c r="EC105" s="99"/>
      <c r="ED105" s="99"/>
      <c r="EE105" s="99"/>
      <c r="EG105" s="98" t="s">
        <v>300</v>
      </c>
      <c r="EH105" s="99"/>
      <c r="EI105" s="99"/>
      <c r="EJ105" s="99"/>
      <c r="EK105" s="99"/>
      <c r="EL105" s="99"/>
      <c r="EN105" s="98" t="s">
        <v>300</v>
      </c>
      <c r="EO105" s="99"/>
      <c r="EP105" s="99"/>
      <c r="EQ105" s="99"/>
      <c r="ER105" s="99"/>
      <c r="ES105" s="99"/>
      <c r="EU105" s="98" t="s">
        <v>300</v>
      </c>
      <c r="EV105" s="99"/>
      <c r="EW105" s="99"/>
      <c r="EX105" s="99"/>
      <c r="EY105" s="99"/>
      <c r="EZ105" s="99"/>
      <c r="FB105" s="98" t="s">
        <v>300</v>
      </c>
      <c r="FC105" s="99"/>
      <c r="FD105" s="99"/>
      <c r="FE105" s="99"/>
      <c r="FF105" s="99"/>
      <c r="FG105" s="99"/>
      <c r="FI105" s="98" t="s">
        <v>300</v>
      </c>
      <c r="FJ105" s="99"/>
      <c r="FK105" s="99"/>
      <c r="FL105" s="99"/>
      <c r="FM105" s="99"/>
      <c r="FN105" s="99"/>
      <c r="FP105" s="98" t="s">
        <v>300</v>
      </c>
      <c r="FQ105" s="99"/>
      <c r="FR105" s="99"/>
      <c r="FS105" s="99"/>
      <c r="FT105" s="99"/>
      <c r="FU105" s="99"/>
      <c r="FW105" s="98" t="s">
        <v>300</v>
      </c>
      <c r="FX105" s="99"/>
      <c r="FY105" s="99"/>
      <c r="FZ105" s="99"/>
      <c r="GA105" s="99"/>
      <c r="GB105" s="99"/>
      <c r="GD105" s="98" t="s">
        <v>300</v>
      </c>
      <c r="GE105" s="99"/>
      <c r="GF105" s="99"/>
      <c r="GG105" s="99"/>
      <c r="GH105" s="99"/>
      <c r="GI105" s="99"/>
      <c r="GK105" s="98" t="s">
        <v>300</v>
      </c>
      <c r="GL105" s="99"/>
      <c r="GM105" s="99"/>
      <c r="GN105" s="99"/>
      <c r="GO105" s="99"/>
      <c r="GP105" s="99"/>
      <c r="GR105" s="98" t="s">
        <v>300</v>
      </c>
      <c r="GS105" s="99"/>
      <c r="GT105" s="99"/>
      <c r="GU105" s="99"/>
      <c r="GV105" s="99"/>
      <c r="GW105" s="99"/>
      <c r="GY105" s="98" t="s">
        <v>300</v>
      </c>
      <c r="GZ105" s="99"/>
      <c r="HA105" s="99"/>
      <c r="HB105" s="99"/>
      <c r="HC105" s="99"/>
      <c r="HD105" s="99"/>
      <c r="HF105" s="98" t="s">
        <v>300</v>
      </c>
      <c r="HG105" s="99"/>
      <c r="HH105" s="99"/>
      <c r="HI105" s="99"/>
      <c r="HJ105" s="99"/>
      <c r="HK105" s="99"/>
      <c r="HM105" s="98" t="s">
        <v>300</v>
      </c>
      <c r="HN105" s="99"/>
      <c r="HO105" s="99"/>
      <c r="HP105" s="99"/>
      <c r="HQ105" s="99"/>
      <c r="HR105" s="99"/>
      <c r="HT105" s="98" t="s">
        <v>300</v>
      </c>
      <c r="HU105" s="99"/>
      <c r="HV105" s="99"/>
      <c r="HW105" s="99"/>
      <c r="HX105" s="99"/>
      <c r="HY105" s="99"/>
      <c r="IA105" s="98" t="s">
        <v>300</v>
      </c>
      <c r="IB105" s="99"/>
      <c r="IC105" s="99"/>
      <c r="ID105" s="99"/>
      <c r="IE105" s="99"/>
      <c r="IF105" s="99"/>
      <c r="IH105" s="98" t="s">
        <v>300</v>
      </c>
      <c r="II105" s="99"/>
      <c r="IJ105" s="99"/>
      <c r="IK105" s="99"/>
      <c r="IL105" s="99"/>
      <c r="IM105" s="99"/>
      <c r="IO105" s="98" t="s">
        <v>300</v>
      </c>
      <c r="IP105" s="99"/>
      <c r="IQ105" s="99"/>
      <c r="IR105" s="99"/>
      <c r="IS105" s="99"/>
      <c r="IT105" s="99"/>
      <c r="IV105" s="98" t="s">
        <v>300</v>
      </c>
      <c r="IW105" s="99"/>
      <c r="IX105" s="99"/>
      <c r="IY105" s="99"/>
      <c r="IZ105" s="99"/>
      <c r="JA105" s="99"/>
      <c r="JC105" s="98" t="s">
        <v>300</v>
      </c>
      <c r="JD105" s="99"/>
      <c r="JE105" s="99"/>
      <c r="JF105" s="99"/>
      <c r="JG105" s="99"/>
      <c r="JH105" s="99"/>
      <c r="JJ105" s="98" t="s">
        <v>300</v>
      </c>
      <c r="JK105" s="99"/>
      <c r="JL105" s="99"/>
      <c r="JM105" s="99"/>
      <c r="JN105" s="99"/>
      <c r="JO105" s="99"/>
      <c r="JQ105" s="98" t="s">
        <v>300</v>
      </c>
      <c r="JR105" s="99"/>
      <c r="JS105" s="99"/>
      <c r="JT105" s="99"/>
      <c r="JU105" s="99"/>
      <c r="JV105" s="99"/>
      <c r="JX105" s="98" t="s">
        <v>300</v>
      </c>
      <c r="JY105" s="99"/>
      <c r="JZ105" s="99"/>
      <c r="KA105" s="99"/>
      <c r="KB105" s="99"/>
      <c r="KC105" s="99"/>
      <c r="KE105" s="98" t="s">
        <v>300</v>
      </c>
      <c r="KF105" s="99"/>
      <c r="KG105" s="99"/>
      <c r="KH105" s="99"/>
      <c r="KI105" s="99"/>
      <c r="KJ105" s="99"/>
      <c r="KL105" s="98" t="s">
        <v>300</v>
      </c>
      <c r="KM105" s="99"/>
      <c r="KN105" s="99"/>
      <c r="KO105" s="99"/>
      <c r="KP105" s="99"/>
      <c r="KQ105" s="99"/>
      <c r="KS105" s="98" t="s">
        <v>300</v>
      </c>
      <c r="KT105" s="99"/>
      <c r="KU105" s="99"/>
      <c r="KV105" s="99"/>
      <c r="KW105" s="99"/>
      <c r="KX105" s="99"/>
      <c r="KZ105" s="98" t="s">
        <v>300</v>
      </c>
      <c r="LA105" s="99"/>
      <c r="LB105" s="99"/>
      <c r="LC105" s="99"/>
      <c r="LD105" s="99"/>
      <c r="LE105" s="255"/>
      <c r="LF105" s="565"/>
      <c r="LG105" s="98" t="s">
        <v>300</v>
      </c>
      <c r="LH105" s="99"/>
      <c r="LI105" s="99"/>
      <c r="LJ105" s="99"/>
      <c r="LK105" s="99"/>
      <c r="LL105" s="255"/>
      <c r="LM105" s="565"/>
      <c r="LN105" s="98" t="s">
        <v>300</v>
      </c>
      <c r="LO105" s="99"/>
      <c r="LP105" s="99"/>
      <c r="LQ105" s="99"/>
      <c r="LR105" s="99"/>
      <c r="LS105" s="255"/>
      <c r="LT105" s="565"/>
      <c r="LU105" s="98" t="s">
        <v>300</v>
      </c>
      <c r="LV105" s="99"/>
      <c r="LW105" s="99"/>
      <c r="LX105" s="99"/>
      <c r="LY105" s="99"/>
      <c r="LZ105" s="255"/>
      <c r="MA105" s="565"/>
      <c r="MB105" s="98" t="s">
        <v>300</v>
      </c>
      <c r="MC105" s="99"/>
      <c r="MD105" s="99"/>
      <c r="ME105" s="99"/>
      <c r="MF105" s="99"/>
      <c r="MG105" s="255"/>
      <c r="MH105" s="565"/>
    </row>
    <row r="106" spans="1:346" s="37" customFormat="1" ht="13.15" x14ac:dyDescent="0.4">
      <c r="A106" s="100"/>
      <c r="B106" s="256"/>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45"/>
      <c r="AU106" s="145"/>
      <c r="AV106" s="145"/>
      <c r="AW106" s="145"/>
      <c r="AX106" s="145"/>
      <c r="AY106" s="145"/>
      <c r="AZ106" s="145"/>
      <c r="BA106" s="145"/>
      <c r="BB106" s="145"/>
      <c r="BC106" s="145"/>
      <c r="BD106" s="145"/>
      <c r="BE106" s="145"/>
      <c r="BF106" s="145"/>
      <c r="BG106" s="145"/>
      <c r="BH106" s="145"/>
      <c r="BI106" s="145"/>
      <c r="BJ106" s="145"/>
      <c r="BK106" s="145"/>
      <c r="BL106" s="145"/>
      <c r="BM106" s="145"/>
      <c r="BO106" s="256"/>
      <c r="BP106" s="145"/>
      <c r="BQ106" s="145"/>
      <c r="BR106" s="145"/>
      <c r="BS106" s="145"/>
      <c r="BT106" s="145"/>
      <c r="BV106" s="256"/>
      <c r="BW106" s="145"/>
      <c r="BX106" s="145"/>
      <c r="BY106" s="145"/>
      <c r="BZ106" s="145"/>
      <c r="CA106" s="145"/>
      <c r="CC106" s="256"/>
      <c r="CD106" s="145"/>
      <c r="CE106" s="145"/>
      <c r="CF106" s="145"/>
      <c r="CG106" s="145"/>
      <c r="CH106" s="145"/>
      <c r="CJ106" s="256"/>
      <c r="CK106" s="145"/>
      <c r="CL106" s="145"/>
      <c r="CM106" s="145"/>
      <c r="CN106" s="145"/>
      <c r="CO106" s="145"/>
      <c r="CQ106" s="256"/>
      <c r="CR106" s="145"/>
      <c r="CS106" s="145"/>
      <c r="CT106" s="145"/>
      <c r="CU106" s="145"/>
      <c r="CV106" s="145"/>
      <c r="CX106" s="256"/>
      <c r="CY106" s="145"/>
      <c r="CZ106" s="145"/>
      <c r="DA106" s="145"/>
      <c r="DB106" s="145"/>
      <c r="DC106" s="145"/>
      <c r="DE106" s="256"/>
      <c r="DF106" s="145"/>
      <c r="DG106" s="145"/>
      <c r="DH106" s="145"/>
      <c r="DI106" s="145"/>
      <c r="DJ106" s="145"/>
      <c r="DL106" s="256"/>
      <c r="DM106" s="145"/>
      <c r="DN106" s="145"/>
      <c r="DO106" s="145"/>
      <c r="DP106" s="145"/>
      <c r="DQ106" s="145"/>
      <c r="DS106" s="256"/>
      <c r="DT106" s="145"/>
      <c r="DU106" s="145"/>
      <c r="DV106" s="145"/>
      <c r="DW106" s="145"/>
      <c r="DX106" s="145"/>
      <c r="DZ106" s="256"/>
      <c r="EA106" s="145"/>
      <c r="EB106" s="145"/>
      <c r="EC106" s="145"/>
      <c r="ED106" s="145"/>
      <c r="EE106" s="145"/>
      <c r="EG106" s="256"/>
      <c r="EH106" s="145"/>
      <c r="EI106" s="145"/>
      <c r="EJ106" s="145"/>
      <c r="EK106" s="145"/>
      <c r="EL106" s="145"/>
      <c r="EN106" s="256"/>
      <c r="EO106" s="145"/>
      <c r="EP106" s="145"/>
      <c r="EQ106" s="145"/>
      <c r="ER106" s="145"/>
      <c r="ES106" s="145"/>
      <c r="EU106" s="256"/>
      <c r="EV106" s="145"/>
      <c r="EW106" s="145"/>
      <c r="EX106" s="145"/>
      <c r="EY106" s="145"/>
      <c r="EZ106" s="145"/>
      <c r="FB106" s="256"/>
      <c r="FC106" s="145"/>
      <c r="FD106" s="145"/>
      <c r="FE106" s="145"/>
      <c r="FF106" s="145"/>
      <c r="FG106" s="145"/>
      <c r="FI106" s="256"/>
      <c r="FJ106" s="145"/>
      <c r="FK106" s="145"/>
      <c r="FL106" s="145"/>
      <c r="FM106" s="145"/>
      <c r="FN106" s="145"/>
      <c r="FP106" s="256"/>
      <c r="FQ106" s="145"/>
      <c r="FR106" s="145"/>
      <c r="FS106" s="145"/>
      <c r="FT106" s="145"/>
      <c r="FU106" s="145"/>
      <c r="FW106" s="256"/>
      <c r="FX106" s="145"/>
      <c r="FY106" s="145"/>
      <c r="FZ106" s="145"/>
      <c r="GA106" s="145"/>
      <c r="GB106" s="145"/>
      <c r="GD106" s="256"/>
      <c r="GE106" s="145"/>
      <c r="GF106" s="145"/>
      <c r="GG106" s="145"/>
      <c r="GH106" s="145"/>
      <c r="GI106" s="145"/>
      <c r="GK106" s="256"/>
      <c r="GL106" s="145"/>
      <c r="GM106" s="145"/>
      <c r="GN106" s="145"/>
      <c r="GO106" s="145"/>
      <c r="GP106" s="145"/>
      <c r="GR106" s="256"/>
      <c r="GS106" s="145"/>
      <c r="GT106" s="145"/>
      <c r="GU106" s="145"/>
      <c r="GV106" s="145"/>
      <c r="GW106" s="145"/>
      <c r="GY106" s="256"/>
      <c r="GZ106" s="145"/>
      <c r="HA106" s="145"/>
      <c r="HB106" s="145"/>
      <c r="HC106" s="145"/>
      <c r="HD106" s="145"/>
      <c r="HF106" s="256"/>
      <c r="HG106" s="145"/>
      <c r="HH106" s="145"/>
      <c r="HI106" s="145"/>
      <c r="HJ106" s="145"/>
      <c r="HK106" s="145"/>
      <c r="HM106" s="256"/>
      <c r="HN106" s="145"/>
      <c r="HO106" s="145"/>
      <c r="HP106" s="145"/>
      <c r="HQ106" s="145"/>
      <c r="HR106" s="145"/>
      <c r="HT106" s="256"/>
      <c r="HU106" s="145"/>
      <c r="HV106" s="145"/>
      <c r="HW106" s="145"/>
      <c r="HX106" s="145"/>
      <c r="HY106" s="145"/>
      <c r="IA106" s="256"/>
      <c r="IB106" s="145"/>
      <c r="IC106" s="145"/>
      <c r="ID106" s="145"/>
      <c r="IE106" s="145"/>
      <c r="IF106" s="145"/>
      <c r="IH106" s="256"/>
      <c r="II106" s="145"/>
      <c r="IJ106" s="145"/>
      <c r="IK106" s="145"/>
      <c r="IL106" s="145"/>
      <c r="IM106" s="145"/>
      <c r="IO106" s="256"/>
      <c r="IP106" s="145"/>
      <c r="IQ106" s="145"/>
      <c r="IR106" s="145"/>
      <c r="IS106" s="145"/>
      <c r="IT106" s="145"/>
      <c r="IV106" s="256"/>
      <c r="IW106" s="145"/>
      <c r="IX106" s="145"/>
      <c r="IY106" s="145"/>
      <c r="IZ106" s="145"/>
      <c r="JA106" s="145"/>
      <c r="JC106" s="256"/>
      <c r="JD106" s="145"/>
      <c r="JE106" s="145"/>
      <c r="JF106" s="145"/>
      <c r="JG106" s="145"/>
      <c r="JH106" s="145"/>
      <c r="JJ106" s="256"/>
      <c r="JK106" s="145"/>
      <c r="JL106" s="145"/>
      <c r="JM106" s="145"/>
      <c r="JN106" s="145"/>
      <c r="JO106" s="145"/>
      <c r="JQ106" s="256"/>
      <c r="JR106" s="145"/>
      <c r="JS106" s="145"/>
      <c r="JT106" s="145"/>
      <c r="JU106" s="145"/>
      <c r="JV106" s="145"/>
      <c r="JX106" s="256"/>
      <c r="JY106" s="145"/>
      <c r="JZ106" s="145"/>
      <c r="KA106" s="145"/>
      <c r="KB106" s="145"/>
      <c r="KC106" s="145"/>
      <c r="KE106" s="256"/>
      <c r="KF106" s="145"/>
      <c r="KG106" s="145"/>
      <c r="KH106" s="145"/>
      <c r="KI106" s="145"/>
      <c r="KJ106" s="145"/>
      <c r="KL106" s="256"/>
      <c r="KM106" s="145"/>
      <c r="KN106" s="145"/>
      <c r="KO106" s="145"/>
      <c r="KP106" s="145"/>
      <c r="KQ106" s="145"/>
      <c r="KS106" s="256"/>
      <c r="KT106" s="145"/>
      <c r="KU106" s="145"/>
      <c r="KV106" s="145"/>
      <c r="KW106" s="145"/>
      <c r="KX106" s="145"/>
      <c r="KZ106" s="256"/>
      <c r="LA106" s="145"/>
      <c r="LB106" s="145"/>
      <c r="LC106" s="145"/>
      <c r="LD106" s="145"/>
      <c r="LE106" s="145"/>
      <c r="LF106" s="555"/>
      <c r="LG106" s="256"/>
      <c r="LH106" s="145"/>
      <c r="LI106" s="729"/>
      <c r="LJ106" s="145"/>
      <c r="LK106" s="145"/>
      <c r="LL106" s="145"/>
      <c r="LM106" s="555"/>
      <c r="LN106" s="256"/>
      <c r="LO106" s="145"/>
      <c r="LP106" s="145"/>
      <c r="LQ106" s="145"/>
      <c r="LR106" s="145"/>
      <c r="LS106" s="145"/>
      <c r="LT106" s="555"/>
      <c r="LU106" s="256"/>
      <c r="LV106" s="145"/>
      <c r="LW106" s="145"/>
      <c r="LX106" s="145"/>
      <c r="LY106" s="145"/>
      <c r="LZ106" s="145"/>
      <c r="MA106" s="555"/>
      <c r="MB106" s="256"/>
      <c r="MC106" s="145"/>
      <c r="MD106" s="145"/>
      <c r="ME106" s="145"/>
      <c r="MF106" s="145"/>
      <c r="MG106" s="145"/>
      <c r="MH106" s="555"/>
    </row>
    <row r="107" spans="1:346" s="37" customFormat="1" ht="13.15" x14ac:dyDescent="0.4">
      <c r="A107" s="100"/>
      <c r="B107" s="143" t="s">
        <v>295</v>
      </c>
      <c r="C107" s="144"/>
      <c r="D107" s="144"/>
      <c r="E107" s="144"/>
      <c r="F107" s="144"/>
      <c r="G107" s="144"/>
      <c r="H107" s="144"/>
      <c r="I107" s="144"/>
      <c r="J107" s="144"/>
      <c r="K107" s="144"/>
      <c r="L107" s="144"/>
      <c r="M107" s="144"/>
      <c r="N107" s="144"/>
      <c r="O107" s="144"/>
      <c r="P107" s="144"/>
      <c r="Q107" s="144"/>
      <c r="R107" s="144"/>
      <c r="S107" s="144"/>
      <c r="T107" s="144"/>
      <c r="U107" s="144"/>
      <c r="V107" s="144"/>
      <c r="W107" s="144"/>
      <c r="X107" s="144"/>
      <c r="Y107" s="144"/>
      <c r="Z107" s="144"/>
      <c r="AA107" s="144"/>
      <c r="AB107" s="144"/>
      <c r="AC107" s="144"/>
      <c r="AD107" s="144"/>
      <c r="AE107" s="144"/>
      <c r="AF107" s="144"/>
      <c r="AG107" s="144"/>
      <c r="AH107" s="144"/>
      <c r="AI107" s="144"/>
      <c r="AJ107" s="144"/>
      <c r="AK107" s="144"/>
      <c r="AL107" s="144"/>
      <c r="AM107" s="144"/>
      <c r="AN107" s="144"/>
      <c r="AO107" s="144"/>
      <c r="AP107" s="144"/>
      <c r="AQ107" s="144"/>
      <c r="AR107" s="144"/>
      <c r="AS107" s="144"/>
      <c r="AT107" s="144"/>
      <c r="AU107" s="144"/>
      <c r="AV107" s="144"/>
      <c r="AW107" s="144"/>
      <c r="AX107" s="144"/>
      <c r="AY107" s="144"/>
      <c r="AZ107" s="144"/>
      <c r="BA107" s="144"/>
      <c r="BB107" s="144"/>
      <c r="BC107" s="144"/>
      <c r="BD107" s="144"/>
      <c r="BE107" s="144"/>
      <c r="BF107" s="144"/>
      <c r="BG107" s="144"/>
      <c r="BH107" s="144"/>
      <c r="BI107" s="144"/>
      <c r="BJ107" s="144"/>
      <c r="BK107" s="144"/>
      <c r="BL107" s="144"/>
      <c r="BM107" s="144"/>
      <c r="BO107" s="143" t="s">
        <v>295</v>
      </c>
      <c r="BP107" s="145"/>
      <c r="BQ107" s="145"/>
      <c r="BR107" s="145"/>
      <c r="BS107" s="145"/>
      <c r="BT107" s="145"/>
      <c r="BV107" s="143" t="s">
        <v>295</v>
      </c>
      <c r="BW107" s="145"/>
      <c r="BX107" s="145"/>
      <c r="BY107" s="145"/>
      <c r="BZ107" s="145"/>
      <c r="CA107" s="145"/>
      <c r="CC107" s="143" t="s">
        <v>295</v>
      </c>
      <c r="CD107" s="145"/>
      <c r="CE107" s="145"/>
      <c r="CF107" s="145"/>
      <c r="CG107" s="145"/>
      <c r="CH107" s="145"/>
      <c r="CJ107" s="143" t="s">
        <v>295</v>
      </c>
      <c r="CK107" s="145"/>
      <c r="CL107" s="145"/>
      <c r="CM107" s="145"/>
      <c r="CN107" s="145"/>
      <c r="CO107" s="145"/>
      <c r="CQ107" s="143" t="s">
        <v>295</v>
      </c>
      <c r="CR107" s="145"/>
      <c r="CS107" s="145"/>
      <c r="CT107" s="145"/>
      <c r="CU107" s="145"/>
      <c r="CV107" s="145"/>
      <c r="CX107" s="143" t="s">
        <v>295</v>
      </c>
      <c r="CY107" s="145"/>
      <c r="CZ107" s="145"/>
      <c r="DA107" s="145"/>
      <c r="DB107" s="145"/>
      <c r="DC107" s="145"/>
      <c r="DE107" s="143" t="s">
        <v>295</v>
      </c>
      <c r="DF107" s="145"/>
      <c r="DG107" s="145"/>
      <c r="DH107" s="145"/>
      <c r="DI107" s="145"/>
      <c r="DJ107" s="145"/>
      <c r="DL107" s="143" t="s">
        <v>295</v>
      </c>
      <c r="DM107" s="145"/>
      <c r="DN107" s="145"/>
      <c r="DO107" s="145"/>
      <c r="DP107" s="145"/>
      <c r="DQ107" s="145"/>
      <c r="DS107" s="143" t="s">
        <v>295</v>
      </c>
      <c r="DT107" s="145"/>
      <c r="DU107" s="145"/>
      <c r="DV107" s="145"/>
      <c r="DW107" s="145"/>
      <c r="DX107" s="145"/>
      <c r="DZ107" s="143" t="s">
        <v>295</v>
      </c>
      <c r="EA107" s="145"/>
      <c r="EB107" s="145"/>
      <c r="EC107" s="145"/>
      <c r="ED107" s="145"/>
      <c r="EE107" s="145"/>
      <c r="EG107" s="143" t="s">
        <v>295</v>
      </c>
      <c r="EH107" s="145"/>
      <c r="EI107" s="145"/>
      <c r="EJ107" s="145"/>
      <c r="EK107" s="145"/>
      <c r="EL107" s="145"/>
      <c r="EN107" s="143" t="s">
        <v>295</v>
      </c>
      <c r="EO107" s="145"/>
      <c r="EP107" s="145"/>
      <c r="EQ107" s="145"/>
      <c r="ER107" s="145"/>
      <c r="ES107" s="145"/>
      <c r="EU107" s="143" t="s">
        <v>295</v>
      </c>
      <c r="EV107" s="145"/>
      <c r="EW107" s="145"/>
      <c r="EX107" s="145"/>
      <c r="EY107" s="145"/>
      <c r="EZ107" s="145"/>
      <c r="FB107" s="143" t="s">
        <v>295</v>
      </c>
      <c r="FC107" s="145"/>
      <c r="FD107" s="145"/>
      <c r="FE107" s="145"/>
      <c r="FF107" s="145"/>
      <c r="FG107" s="145"/>
      <c r="FI107" s="143" t="s">
        <v>295</v>
      </c>
      <c r="FJ107" s="145"/>
      <c r="FK107" s="145"/>
      <c r="FL107" s="145"/>
      <c r="FM107" s="145"/>
      <c r="FN107" s="145"/>
      <c r="FP107" s="143" t="s">
        <v>295</v>
      </c>
      <c r="FQ107" s="145"/>
      <c r="FR107" s="145"/>
      <c r="FS107" s="145"/>
      <c r="FT107" s="145"/>
      <c r="FU107" s="145"/>
      <c r="FW107" s="143" t="s">
        <v>295</v>
      </c>
      <c r="FX107" s="145"/>
      <c r="FY107" s="145"/>
      <c r="FZ107" s="145"/>
      <c r="GA107" s="145"/>
      <c r="GB107" s="145"/>
      <c r="GD107" s="143" t="s">
        <v>295</v>
      </c>
      <c r="GE107" s="145"/>
      <c r="GF107" s="145"/>
      <c r="GG107" s="145"/>
      <c r="GH107" s="145"/>
      <c r="GI107" s="145"/>
      <c r="GK107" s="143" t="s">
        <v>295</v>
      </c>
      <c r="GL107" s="58">
        <v>91</v>
      </c>
      <c r="GM107" s="58">
        <v>116</v>
      </c>
      <c r="GN107" s="58">
        <v>138</v>
      </c>
      <c r="GO107" s="58">
        <v>190.869</v>
      </c>
      <c r="GP107" s="58">
        <v>535.86900000000003</v>
      </c>
      <c r="GR107" s="143" t="s">
        <v>295</v>
      </c>
      <c r="GS107" s="145">
        <v>289</v>
      </c>
      <c r="GT107" s="145">
        <v>365</v>
      </c>
      <c r="GU107" s="145">
        <v>472</v>
      </c>
      <c r="GV107" s="145">
        <v>332</v>
      </c>
      <c r="GW107" s="145">
        <v>1458</v>
      </c>
      <c r="GY107" s="143" t="s">
        <v>295</v>
      </c>
      <c r="GZ107" s="145">
        <v>105</v>
      </c>
      <c r="HA107" s="145">
        <v>67</v>
      </c>
      <c r="HB107" s="145">
        <v>107</v>
      </c>
      <c r="HC107" s="145">
        <v>130</v>
      </c>
      <c r="HD107" s="145">
        <v>409</v>
      </c>
      <c r="HF107" s="143" t="s">
        <v>295</v>
      </c>
      <c r="HG107" s="145">
        <v>147</v>
      </c>
      <c r="HH107" s="145">
        <v>156</v>
      </c>
      <c r="HI107" s="145">
        <v>156</v>
      </c>
      <c r="HJ107" s="145">
        <v>168.74700000000001</v>
      </c>
      <c r="HK107" s="145">
        <v>627.74700000000007</v>
      </c>
      <c r="HM107" s="143" t="s">
        <v>295</v>
      </c>
      <c r="HN107" s="145"/>
      <c r="HO107" s="145"/>
      <c r="HP107" s="145"/>
      <c r="HQ107" s="145"/>
      <c r="HR107" s="145"/>
      <c r="HT107" s="143" t="s">
        <v>295</v>
      </c>
      <c r="HU107" s="145"/>
      <c r="HV107" s="145"/>
      <c r="HW107" s="145"/>
      <c r="HX107" s="145"/>
      <c r="HY107" s="145"/>
      <c r="IA107" s="143" t="s">
        <v>295</v>
      </c>
      <c r="IB107" s="145"/>
      <c r="IC107" s="145"/>
      <c r="ID107" s="145"/>
      <c r="IE107" s="145"/>
      <c r="IF107" s="145"/>
      <c r="IH107" s="143" t="s">
        <v>295</v>
      </c>
      <c r="II107" s="145"/>
      <c r="IJ107" s="145"/>
      <c r="IK107" s="145"/>
      <c r="IL107" s="145"/>
      <c r="IM107" s="145"/>
      <c r="IO107" s="143" t="s">
        <v>295</v>
      </c>
      <c r="IP107" s="145"/>
      <c r="IQ107" s="145"/>
      <c r="IR107" s="145"/>
      <c r="IS107" s="145"/>
      <c r="IT107" s="145"/>
      <c r="IV107" s="143" t="s">
        <v>295</v>
      </c>
      <c r="IW107" s="145"/>
      <c r="IX107" s="145"/>
      <c r="IY107" s="145"/>
      <c r="IZ107" s="145"/>
      <c r="JA107" s="145"/>
      <c r="JC107" s="143" t="s">
        <v>295</v>
      </c>
      <c r="JD107" s="145"/>
      <c r="JE107" s="145"/>
      <c r="JF107" s="145"/>
      <c r="JG107" s="145"/>
      <c r="JH107" s="145"/>
      <c r="JJ107" s="143" t="s">
        <v>295</v>
      </c>
      <c r="JK107" s="145"/>
      <c r="JL107" s="145"/>
      <c r="JM107" s="145"/>
      <c r="JN107" s="145"/>
      <c r="JO107" s="145"/>
      <c r="JQ107" s="143" t="s">
        <v>295</v>
      </c>
      <c r="JR107" s="145"/>
      <c r="JS107" s="145"/>
      <c r="JT107" s="145"/>
      <c r="JU107" s="145"/>
      <c r="JV107" s="145"/>
      <c r="JX107" s="143" t="s">
        <v>295</v>
      </c>
      <c r="JY107" s="145"/>
      <c r="JZ107" s="145"/>
      <c r="KA107" s="145"/>
      <c r="KB107" s="145"/>
      <c r="KC107" s="145"/>
      <c r="KE107" s="143" t="s">
        <v>295</v>
      </c>
      <c r="KF107" s="145"/>
      <c r="KG107" s="145"/>
      <c r="KH107" s="145"/>
      <c r="KI107" s="145"/>
      <c r="KJ107" s="145"/>
      <c r="KL107" s="143" t="s">
        <v>295</v>
      </c>
      <c r="KM107" s="145"/>
      <c r="KN107" s="145"/>
      <c r="KO107" s="145"/>
      <c r="KP107" s="145"/>
      <c r="KQ107" s="145"/>
      <c r="KS107" s="143" t="s">
        <v>295</v>
      </c>
      <c r="KT107" s="145"/>
      <c r="KU107" s="145"/>
      <c r="KV107" s="145"/>
      <c r="KW107" s="145"/>
      <c r="KX107" s="145"/>
      <c r="KZ107" s="143" t="s">
        <v>295</v>
      </c>
      <c r="LA107" s="145"/>
      <c r="LB107" s="145"/>
      <c r="LC107" s="145"/>
      <c r="LD107" s="145"/>
      <c r="LE107" s="145"/>
      <c r="LF107" s="555"/>
      <c r="LG107" s="143" t="s">
        <v>295</v>
      </c>
      <c r="LH107" s="145"/>
      <c r="LI107" s="729"/>
      <c r="LJ107" s="145"/>
      <c r="LK107" s="145"/>
      <c r="LL107" s="145"/>
      <c r="LM107" s="555"/>
      <c r="LN107" s="143" t="s">
        <v>295</v>
      </c>
      <c r="LO107" s="145"/>
      <c r="LP107" s="145"/>
      <c r="LQ107" s="145"/>
      <c r="LR107" s="145"/>
      <c r="LS107" s="145"/>
      <c r="LT107" s="555"/>
      <c r="LU107" s="143" t="s">
        <v>295</v>
      </c>
      <c r="LV107" s="145"/>
      <c r="LW107" s="145"/>
      <c r="LX107" s="145"/>
      <c r="LY107" s="145"/>
      <c r="LZ107" s="145"/>
      <c r="MA107" s="555"/>
      <c r="MB107" s="143" t="s">
        <v>295</v>
      </c>
      <c r="MC107" s="145"/>
      <c r="MD107" s="145"/>
      <c r="ME107" s="145"/>
      <c r="MF107" s="145"/>
      <c r="MG107" s="145"/>
      <c r="MH107" s="555"/>
    </row>
    <row r="108" spans="1:346" s="53" customFormat="1" ht="13.15" x14ac:dyDescent="0.4">
      <c r="A108" s="100"/>
      <c r="B108" s="57" t="s">
        <v>293</v>
      </c>
      <c r="C108" s="257"/>
      <c r="D108" s="257"/>
      <c r="E108" s="257"/>
      <c r="F108" s="257"/>
      <c r="G108" s="257"/>
      <c r="H108" s="257"/>
      <c r="I108" s="257"/>
      <c r="J108" s="257"/>
      <c r="K108" s="257"/>
      <c r="L108" s="257"/>
      <c r="M108" s="257"/>
      <c r="N108" s="257">
        <f>BT108</f>
        <v>0</v>
      </c>
      <c r="O108" s="257">
        <f>CA108</f>
        <v>0</v>
      </c>
      <c r="P108" s="257">
        <f>CH108</f>
        <v>0</v>
      </c>
      <c r="Q108" s="257">
        <f>CO108</f>
        <v>0</v>
      </c>
      <c r="R108" s="257">
        <f>CV108</f>
        <v>0</v>
      </c>
      <c r="S108" s="257">
        <f>DC108</f>
        <v>229.50812854295404</v>
      </c>
      <c r="T108" s="257">
        <f>DJ108</f>
        <v>238.2008514712727</v>
      </c>
      <c r="U108" s="257">
        <f>DQ108</f>
        <v>265.96117937000105</v>
      </c>
      <c r="V108" s="257">
        <f>DX108</f>
        <v>266.8186953591225</v>
      </c>
      <c r="W108" s="257">
        <f>EE108</f>
        <v>235.83619973942857</v>
      </c>
      <c r="X108" s="257">
        <f>EL108</f>
        <v>291.39541621305563</v>
      </c>
      <c r="Y108" s="257">
        <f>ES108</f>
        <v>478.64879163728506</v>
      </c>
      <c r="Z108" s="257">
        <f>EZ108</f>
        <v>442.62281933284009</v>
      </c>
      <c r="AA108" s="257">
        <f>FG108</f>
        <v>403.37476887926738</v>
      </c>
      <c r="AB108" s="257">
        <f>FN108</f>
        <v>472.35928111698098</v>
      </c>
      <c r="AC108" s="257">
        <f>FU108</f>
        <v>597.74682132626049</v>
      </c>
      <c r="AD108" s="257">
        <f>GB108</f>
        <v>769.72836376999646</v>
      </c>
      <c r="AE108" s="257">
        <f>GI108</f>
        <v>890.201600219836</v>
      </c>
      <c r="AF108" s="257">
        <f>GP108</f>
        <v>930.04322700142245</v>
      </c>
      <c r="AG108" s="257">
        <f>GW108</f>
        <v>1193.0649999999998</v>
      </c>
      <c r="AH108" s="257">
        <f>HD108</f>
        <v>298.72000000000003</v>
      </c>
      <c r="AI108" s="257">
        <f>HK108</f>
        <v>552.23800000000006</v>
      </c>
      <c r="AJ108" s="257">
        <f>HR108</f>
        <v>1053.3920000000001</v>
      </c>
      <c r="AK108" s="257">
        <f>HY108</f>
        <v>1131.6569999999999</v>
      </c>
      <c r="AL108" s="257">
        <f>IF108</f>
        <v>1149.9119999999998</v>
      </c>
      <c r="AM108" s="257">
        <f>IM108</f>
        <v>1183.8800000000001</v>
      </c>
      <c r="AN108" s="257">
        <f>IT108</f>
        <v>538.23500000000001</v>
      </c>
      <c r="AO108" s="257">
        <f>JA108</f>
        <v>228.90899999999999</v>
      </c>
      <c r="AP108" s="257">
        <f>JH108</f>
        <v>367.11599999999999</v>
      </c>
      <c r="AQ108" s="257">
        <f>JO108</f>
        <v>664.54299999999989</v>
      </c>
      <c r="AR108" s="257">
        <f>JV108</f>
        <v>609.51800000000003</v>
      </c>
      <c r="AS108" s="257">
        <f>KC108</f>
        <v>364.75099999999998</v>
      </c>
      <c r="AT108" s="257">
        <f>KJ108</f>
        <v>657.96600000000001</v>
      </c>
      <c r="AU108" s="257">
        <f>KQ108</f>
        <v>1514.8969999999999</v>
      </c>
      <c r="AV108" s="257">
        <f>KX108</f>
        <v>1256</v>
      </c>
      <c r="AW108" s="257">
        <f>LE108</f>
        <v>1018</v>
      </c>
      <c r="AX108" s="257">
        <f>LL108</f>
        <v>916</v>
      </c>
      <c r="AY108" s="257">
        <f>LS108</f>
        <v>940.98149928413068</v>
      </c>
      <c r="AZ108" s="257">
        <f>LZ108</f>
        <v>964.78532406163583</v>
      </c>
      <c r="BA108" s="257">
        <f>MG108</f>
        <v>988.01335212994854</v>
      </c>
      <c r="BB108" s="257"/>
      <c r="BC108" s="257"/>
      <c r="BD108" s="257"/>
      <c r="BE108" s="257"/>
      <c r="BF108" s="257"/>
      <c r="BG108" s="257"/>
      <c r="BH108" s="257"/>
      <c r="BI108" s="257"/>
      <c r="BJ108" s="257"/>
      <c r="BK108" s="257"/>
      <c r="BL108" s="257"/>
      <c r="BM108" s="257"/>
      <c r="BO108" s="57" t="s">
        <v>293</v>
      </c>
      <c r="BP108" s="58"/>
      <c r="BQ108" s="58"/>
      <c r="BR108" s="58"/>
      <c r="BS108" s="58"/>
      <c r="BT108" s="58"/>
      <c r="BV108" s="57" t="s">
        <v>293</v>
      </c>
      <c r="BW108" s="58"/>
      <c r="BX108" s="58"/>
      <c r="BY108" s="58"/>
      <c r="BZ108" s="58"/>
      <c r="CA108" s="58"/>
      <c r="CC108" s="57" t="s">
        <v>293</v>
      </c>
      <c r="CD108" s="58"/>
      <c r="CE108" s="58"/>
      <c r="CF108" s="58"/>
      <c r="CG108" s="58"/>
      <c r="CH108" s="58"/>
      <c r="CJ108" s="57" t="s">
        <v>293</v>
      </c>
      <c r="CK108" s="58"/>
      <c r="CL108" s="58"/>
      <c r="CM108" s="58"/>
      <c r="CN108" s="58"/>
      <c r="CO108" s="58"/>
      <c r="CQ108" s="57" t="s">
        <v>293</v>
      </c>
      <c r="CR108" s="58"/>
      <c r="CS108" s="58"/>
      <c r="CT108" s="58"/>
      <c r="CU108" s="58"/>
      <c r="CV108" s="58"/>
      <c r="CX108" s="57" t="s">
        <v>293</v>
      </c>
      <c r="CY108" s="58">
        <f>(CY113/CZ113)*(Revenue!CY305/Revenue!CZ305)*Expense!CZ108</f>
        <v>55.145797656288572</v>
      </c>
      <c r="CZ108" s="58">
        <f>(CZ113/DA113)*(Revenue!CZ305/Revenue!DA305)*Expense!DA108</f>
        <v>57.517659921075172</v>
      </c>
      <c r="DA108" s="58">
        <f>(DA113/DB113)*(Revenue!DA305/Revenue!DB305)*Expense!DB108</f>
        <v>57.449406180676114</v>
      </c>
      <c r="DB108" s="58">
        <f>DB113/DF113*Revenue!DB305/Revenue!DF305*Expense!DF108</f>
        <v>59.39526478491419</v>
      </c>
      <c r="DC108" s="58">
        <f>SUM(CY108:DB108)</f>
        <v>229.50812854295404</v>
      </c>
      <c r="DE108" s="57" t="s">
        <v>293</v>
      </c>
      <c r="DF108" s="58">
        <f>(DF113/DG113)*(Revenue!DF305/Revenue!DG305)*Expense!DG108</f>
        <v>58.798268486016788</v>
      </c>
      <c r="DG108" s="58">
        <f>(DG113/DH113)*(Revenue!DG305/Revenue!DH305)*Expense!DH108</f>
        <v>59.713065665407491</v>
      </c>
      <c r="DH108" s="58">
        <f>(DH113/DI113)*(Revenue!DH305/Revenue!DI305)*Expense!DI108</f>
        <v>58.654147399006156</v>
      </c>
      <c r="DI108" s="58">
        <f>DI113/DM113*Revenue!DI305/Revenue!DM305*Expense!DM108</f>
        <v>61.035369920842257</v>
      </c>
      <c r="DJ108" s="58">
        <f>SUM(DF108:DI108)</f>
        <v>238.2008514712727</v>
      </c>
      <c r="DL108" s="57" t="s">
        <v>293</v>
      </c>
      <c r="DM108" s="58">
        <f>(DM113/DN113)*(Revenue!DM305/Revenue!DN305)*Expense!DN108</f>
        <v>61.59443254643385</v>
      </c>
      <c r="DN108" s="58">
        <f>(DN113/DO113)*(Revenue!DN305/Revenue!DO305)*Expense!DO108</f>
        <v>68.336280847597976</v>
      </c>
      <c r="DO108" s="58">
        <f>(DO113/DP113)*(Revenue!DO305/Revenue!DP305)*Expense!DP108</f>
        <v>63.939244116206638</v>
      </c>
      <c r="DP108" s="58">
        <f>DP113/DT113*Revenue!DP305/Revenue!DT305*Expense!DT108</f>
        <v>72.091221859762598</v>
      </c>
      <c r="DQ108" s="58">
        <f>SUM(DM108:DP108)</f>
        <v>265.96117937000105</v>
      </c>
      <c r="DS108" s="57" t="s">
        <v>293</v>
      </c>
      <c r="DT108" s="58">
        <f>(DT113/DU113)*(Revenue!DT305/Revenue!DU305)*Expense!DU108</f>
        <v>70.287021116995831</v>
      </c>
      <c r="DU108" s="58">
        <f>(DU113/DV113)*(Revenue!DU305/Revenue!DV305)*Expense!DV108</f>
        <v>66.236269110516346</v>
      </c>
      <c r="DV108" s="58">
        <f>(DV113/DW113)*(Revenue!DV305/Revenue!DW305)*Expense!DW108</f>
        <v>62.737369196686032</v>
      </c>
      <c r="DW108" s="58">
        <f>DW113/EA113*Revenue!DW305/Revenue!EA305*Expense!EA108</f>
        <v>67.55803593492432</v>
      </c>
      <c r="DX108" s="58">
        <f>SUM(DT108:DW108)</f>
        <v>266.8186953591225</v>
      </c>
      <c r="DZ108" s="57" t="s">
        <v>293</v>
      </c>
      <c r="EA108" s="58">
        <f>(EA113/EB113)*(Revenue!EA305/Revenue!EB305)*Expense!EB108</f>
        <v>61.452550755368094</v>
      </c>
      <c r="EB108" s="58">
        <f>(EB113/EC113)*(Revenue!EB305/Revenue!EC305)*Expense!EC108</f>
        <v>59.75964302106042</v>
      </c>
      <c r="EC108" s="58">
        <f>(EC113/ED113)*(Revenue!EC305/Revenue!ED305)*Expense!ED108</f>
        <v>57.010683319160826</v>
      </c>
      <c r="ED108" s="58">
        <f>ED113/EH113*Revenue!ED305/Revenue!EH305*Expense!EH108</f>
        <v>57.61332264383924</v>
      </c>
      <c r="EE108" s="58">
        <f>SUM(EA108:ED108)</f>
        <v>235.83619973942857</v>
      </c>
      <c r="EG108" s="57" t="s">
        <v>293</v>
      </c>
      <c r="EH108" s="58">
        <f>(EH113/EI113)*(Revenue!EH305/Revenue!EI305)*Expense!EI108</f>
        <v>57.992793734653766</v>
      </c>
      <c r="EI108" s="58">
        <f>(EI113/EJ113)*(Revenue!EI305/Revenue!EJ305)*Expense!EJ108</f>
        <v>64.148842216644752</v>
      </c>
      <c r="EJ108" s="58">
        <f>(EJ113/EK113)*(Revenue!EJ305/Revenue!EK305)*Expense!EK108</f>
        <v>80.305586388342121</v>
      </c>
      <c r="EK108" s="58">
        <f>EK113/EO113*Revenue!EK305/Revenue!EO305*Expense!EO108</f>
        <v>88.948193873414979</v>
      </c>
      <c r="EL108" s="58">
        <f>SUM(EH108:EK108)</f>
        <v>291.39541621305563</v>
      </c>
      <c r="EN108" s="57" t="s">
        <v>293</v>
      </c>
      <c r="EO108" s="58">
        <f>(EO113/EP113)*(Revenue!EO305/Revenue!EP305)*Expense!EP108</f>
        <v>116.4021860868877</v>
      </c>
      <c r="EP108" s="58">
        <f>(EP113/EQ113)*(Revenue!EP305/Revenue!EQ305)*Expense!EQ108</f>
        <v>114.36250098256033</v>
      </c>
      <c r="EQ108" s="58">
        <f>(EQ113/ER113)*(Revenue!EQ305/Revenue!ER305)*Expense!ER108</f>
        <v>121.30664727938233</v>
      </c>
      <c r="ER108" s="58">
        <f>ER113/EV113*Revenue!ER305/Revenue!EV305*Expense!EV108</f>
        <v>126.5774572884547</v>
      </c>
      <c r="ES108" s="58">
        <f>SUM(EO108:ER108)</f>
        <v>478.64879163728506</v>
      </c>
      <c r="EU108" s="57" t="s">
        <v>293</v>
      </c>
      <c r="EV108" s="58">
        <f>(EV113/EW113)*(Revenue!EV305/Revenue!EW305)*Expense!EW108</f>
        <v>117.8469798305058</v>
      </c>
      <c r="EW108" s="58">
        <f>(EW113/EX113)*(Revenue!EW305/Revenue!EX305)*Expense!EX108</f>
        <v>116.65836154297871</v>
      </c>
      <c r="EX108" s="58">
        <f>(EX113/EY113)*(Revenue!EX305/Revenue!EY305)*Expense!EY108</f>
        <v>110.08468436727293</v>
      </c>
      <c r="EY108" s="58">
        <f>EY113/FC113*Revenue!EY305/Revenue!FC305*Expense!FC108</f>
        <v>98.032793592082683</v>
      </c>
      <c r="EZ108" s="58">
        <f>SUM(EV108:EY108)</f>
        <v>442.62281933284009</v>
      </c>
      <c r="FB108" s="57" t="s">
        <v>293</v>
      </c>
      <c r="FC108" s="58">
        <f>(FC113/FD113)*(Revenue!FC305/Revenue!FD305)*Expense!FD108</f>
        <v>89.291477941760732</v>
      </c>
      <c r="FD108" s="58">
        <f>(FD113/FE113)*(Revenue!FD305/Revenue!FE305)*Expense!FE108</f>
        <v>101.13108346137908</v>
      </c>
      <c r="FE108" s="58">
        <f>(FE113/FF113)*(Revenue!FE305/Revenue!FF305)*Expense!FF108</f>
        <v>102.90111254802741</v>
      </c>
      <c r="FF108" s="58">
        <f>FF113/FJ113*Revenue!FF305/Revenue!FJ305*Expense!FJ108</f>
        <v>110.05109492810014</v>
      </c>
      <c r="FG108" s="58">
        <f>SUM(FC108:FF108)</f>
        <v>403.37476887926738</v>
      </c>
      <c r="FI108" s="57" t="s">
        <v>293</v>
      </c>
      <c r="FJ108" s="58">
        <f>(FJ113/FK113)*(Revenue!FJ305/Revenue!FK305)*Expense!FK108</f>
        <v>123.81067279083406</v>
      </c>
      <c r="FK108" s="58">
        <f>(FK113/FL113)*(Revenue!FK305/Revenue!FL305)*Expense!FL108</f>
        <v>115.48855334138831</v>
      </c>
      <c r="FL108" s="58">
        <f>(FL113/FM113)*(Revenue!FL305/Revenue!FM305)*Expense!FM108</f>
        <v>114.59762705676977</v>
      </c>
      <c r="FM108" s="58">
        <f>FM113/FQ113*Revenue!FM305/Revenue!FQ305*Expense!FQ108</f>
        <v>118.46242792798881</v>
      </c>
      <c r="FN108" s="58">
        <f>SUM(FJ108:FM108)</f>
        <v>472.35928111698098</v>
      </c>
      <c r="FP108" s="57" t="s">
        <v>293</v>
      </c>
      <c r="FQ108" s="58">
        <f>(FQ113/FR113)*(Revenue!FQ305/Revenue!FR305)*Expense!FR108</f>
        <v>128.17559801837626</v>
      </c>
      <c r="FR108" s="58">
        <f>(FR113/FS113)*(Revenue!FR305/Revenue!FS305)*Expense!FS108</f>
        <v>137.9004124476769</v>
      </c>
      <c r="FS108" s="58">
        <f>(FS113/FT113)*(Revenue!FS305/Revenue!FT305)*Expense!FT108</f>
        <v>144.05632657191123</v>
      </c>
      <c r="FT108" s="58">
        <f>FT113/FX113*Revenue!FT305/Revenue!FX305*Expense!FX108</f>
        <v>187.61448428829613</v>
      </c>
      <c r="FU108" s="58">
        <f>SUM(FQ108:FT108)</f>
        <v>597.74682132626049</v>
      </c>
      <c r="FW108" s="57" t="s">
        <v>293</v>
      </c>
      <c r="FX108" s="58">
        <f>(FX113/FY113)*(Revenue!FX305/Revenue!FY305)*Expense!FY108</f>
        <v>165.91736021661458</v>
      </c>
      <c r="FY108" s="58">
        <f>(FY113/FZ113)*(Revenue!FY305/Revenue!FZ305)*Expense!FZ108</f>
        <v>182.72613569139244</v>
      </c>
      <c r="FZ108" s="58">
        <f>(FZ113/GA113)*(Revenue!FZ305/Revenue!GA305)*Expense!GA108</f>
        <v>201.81108659269802</v>
      </c>
      <c r="GA108" s="58">
        <f>GA113/GE113*Revenue!GA305/Revenue!GE305*Expense!GE108</f>
        <v>219.27378126929133</v>
      </c>
      <c r="GB108" s="58">
        <f>SUM(FX108:GA108)</f>
        <v>769.72836376999646</v>
      </c>
      <c r="GD108" s="57" t="s">
        <v>293</v>
      </c>
      <c r="GE108" s="58">
        <f>(GE113/GF113)*(Revenue!GE305/Revenue!GF305)*Expense!GF108</f>
        <v>206.73268356677679</v>
      </c>
      <c r="GF108" s="58">
        <f>(GF113/GG113)*(Revenue!GF305/Revenue!GG305)*Expense!GG108</f>
        <v>235.84690357404506</v>
      </c>
      <c r="GG108" s="58">
        <f>(GG113/GH113)*(Revenue!GG305/Revenue!GH305)*Expense!GH108</f>
        <v>240.62171986654491</v>
      </c>
      <c r="GH108" s="58">
        <f>GH113/GL113*Revenue!GH305/Revenue!GL305*Expense!GL108</f>
        <v>207.0002932124693</v>
      </c>
      <c r="GI108" s="58">
        <f>SUM(GE108:GH108)</f>
        <v>890.201600219836</v>
      </c>
      <c r="GK108" s="57" t="s">
        <v>293</v>
      </c>
      <c r="GL108" s="58">
        <f>(GL113/GM113)*(Revenue!GL305/Revenue!GM305)*Expense!GM108</f>
        <v>204.91004825077783</v>
      </c>
      <c r="GM108" s="58">
        <f>(GM113/GN113)*(Revenue!GM305/Revenue!GN305)*Expense!GN108</f>
        <v>234.80862817118458</v>
      </c>
      <c r="GN108" s="58">
        <f>(GN113/GO113)*(Revenue!GN305/Revenue!GO305)*Expense!GO108</f>
        <v>231.79892140439583</v>
      </c>
      <c r="GO108" s="58">
        <f>GO113/GS113*Revenue!GO305/Revenue!GS305*Expense!GS108</f>
        <v>258.52562917506418</v>
      </c>
      <c r="GP108" s="58">
        <f>SUM(GL108:GO108)</f>
        <v>930.04322700142245</v>
      </c>
      <c r="GR108" s="57" t="s">
        <v>293</v>
      </c>
      <c r="GS108" s="58">
        <f t="shared" ref="GS108:GV108" si="234">GS107</f>
        <v>289</v>
      </c>
      <c r="GT108" s="58">
        <f t="shared" si="234"/>
        <v>365</v>
      </c>
      <c r="GU108" s="58">
        <f t="shared" si="234"/>
        <v>472</v>
      </c>
      <c r="GV108" s="58">
        <f t="shared" si="234"/>
        <v>332</v>
      </c>
      <c r="GW108" s="58">
        <v>1193.0649999999998</v>
      </c>
      <c r="GY108" s="57" t="s">
        <v>293</v>
      </c>
      <c r="GZ108" s="58">
        <f>GZ107</f>
        <v>105</v>
      </c>
      <c r="HA108" s="58">
        <f>HA107</f>
        <v>67</v>
      </c>
      <c r="HB108" s="58">
        <f>HB107</f>
        <v>107</v>
      </c>
      <c r="HC108" s="58">
        <f>HC107</f>
        <v>130</v>
      </c>
      <c r="HD108" s="58">
        <v>298.72000000000003</v>
      </c>
      <c r="HF108" s="57" t="s">
        <v>293</v>
      </c>
      <c r="HG108" s="58">
        <f>HG107</f>
        <v>147</v>
      </c>
      <c r="HH108" s="58">
        <f>HH107</f>
        <v>156</v>
      </c>
      <c r="HI108" s="58">
        <v>156.434</v>
      </c>
      <c r="HJ108" s="58">
        <v>168.74700000000001</v>
      </c>
      <c r="HK108" s="58">
        <v>552.23800000000006</v>
      </c>
      <c r="HM108" s="57" t="s">
        <v>293</v>
      </c>
      <c r="HN108" s="58">
        <v>199.792</v>
      </c>
      <c r="HO108" s="58">
        <v>291.63900000000001</v>
      </c>
      <c r="HP108" s="58">
        <v>291.411</v>
      </c>
      <c r="HQ108" s="58">
        <v>270.55</v>
      </c>
      <c r="HR108" s="58">
        <v>1053.3920000000001</v>
      </c>
      <c r="HT108" s="57" t="s">
        <v>293</v>
      </c>
      <c r="HU108" s="58">
        <v>281.267</v>
      </c>
      <c r="HV108" s="58">
        <v>301.57100000000003</v>
      </c>
      <c r="HW108" s="58">
        <v>261.16699999999997</v>
      </c>
      <c r="HX108" s="58">
        <v>287.65199999999999</v>
      </c>
      <c r="HY108" s="58">
        <v>1131.6569999999999</v>
      </c>
      <c r="IA108" s="57" t="s">
        <v>293</v>
      </c>
      <c r="IB108" s="58">
        <v>284.303</v>
      </c>
      <c r="IC108" s="58">
        <v>301.11399999999998</v>
      </c>
      <c r="ID108" s="58">
        <v>272.791</v>
      </c>
      <c r="IE108" s="58">
        <v>291.70400000000001</v>
      </c>
      <c r="IF108" s="58">
        <v>1149.9119999999998</v>
      </c>
      <c r="IH108" s="57" t="s">
        <v>293</v>
      </c>
      <c r="II108" s="58">
        <v>279.75200000000001</v>
      </c>
      <c r="IJ108" s="58">
        <v>317.63</v>
      </c>
      <c r="IK108" s="58">
        <v>302.82</v>
      </c>
      <c r="IL108" s="58">
        <v>283.678</v>
      </c>
      <c r="IM108" s="58">
        <v>1183.8800000000001</v>
      </c>
      <c r="IO108" s="57" t="s">
        <v>293</v>
      </c>
      <c r="IP108" s="58">
        <v>190.83099999999999</v>
      </c>
      <c r="IQ108" s="58">
        <v>133.85</v>
      </c>
      <c r="IR108" s="58">
        <v>127.501</v>
      </c>
      <c r="IS108" s="58">
        <v>86.052999999999997</v>
      </c>
      <c r="IT108" s="58">
        <v>538.23500000000001</v>
      </c>
      <c r="IV108" s="57" t="s">
        <v>293</v>
      </c>
      <c r="IW108" s="58">
        <v>52.031999999999996</v>
      </c>
      <c r="IX108" s="58">
        <v>35.939</v>
      </c>
      <c r="IY108" s="58">
        <v>64.628</v>
      </c>
      <c r="IZ108" s="58">
        <v>76.31</v>
      </c>
      <c r="JA108" s="58">
        <v>228.90899999999999</v>
      </c>
      <c r="JC108" s="57" t="s">
        <v>293</v>
      </c>
      <c r="JD108" s="58">
        <v>85.131</v>
      </c>
      <c r="JE108" s="58">
        <v>87.674000000000007</v>
      </c>
      <c r="JF108" s="58">
        <v>83.215999999999994</v>
      </c>
      <c r="JG108" s="58">
        <v>111.095</v>
      </c>
      <c r="JH108" s="58">
        <v>367.11599999999999</v>
      </c>
      <c r="JJ108" s="57" t="s">
        <v>293</v>
      </c>
      <c r="JK108" s="58">
        <v>133.54599999999999</v>
      </c>
      <c r="JL108" s="58">
        <v>160.422</v>
      </c>
      <c r="JM108" s="58">
        <v>182.00299999999999</v>
      </c>
      <c r="JN108" s="58">
        <v>188.572</v>
      </c>
      <c r="JO108" s="58">
        <v>664.54299999999989</v>
      </c>
      <c r="JQ108" s="57" t="s">
        <v>293</v>
      </c>
      <c r="JR108" s="58">
        <v>155.17099999999999</v>
      </c>
      <c r="JS108" s="58">
        <v>154.74600000000001</v>
      </c>
      <c r="JT108" s="58">
        <v>153.548</v>
      </c>
      <c r="JU108" s="58">
        <v>146.053</v>
      </c>
      <c r="JV108" s="58">
        <v>609.51800000000003</v>
      </c>
      <c r="JX108" s="57" t="s">
        <v>293</v>
      </c>
      <c r="JY108" s="58">
        <v>145.30000000000001</v>
      </c>
      <c r="JZ108" s="58">
        <v>77.403999999999996</v>
      </c>
      <c r="KA108" s="58">
        <v>69.643000000000001</v>
      </c>
      <c r="KB108" s="58">
        <v>72.403999999999996</v>
      </c>
      <c r="KC108" s="58">
        <v>364.75099999999998</v>
      </c>
      <c r="KE108" s="57" t="s">
        <v>293</v>
      </c>
      <c r="KF108" s="58">
        <v>99.149000000000001</v>
      </c>
      <c r="KG108" s="58">
        <v>160.61799999999999</v>
      </c>
      <c r="KH108" s="58">
        <v>183.76900000000001</v>
      </c>
      <c r="KI108" s="58">
        <v>214.43</v>
      </c>
      <c r="KJ108" s="58">
        <v>657.96600000000001</v>
      </c>
      <c r="KL108" s="57" t="s">
        <v>293</v>
      </c>
      <c r="KM108" s="58">
        <v>239.93299999999999</v>
      </c>
      <c r="KN108" s="58">
        <v>394.76799999999997</v>
      </c>
      <c r="KO108" s="58">
        <v>474.24799999999999</v>
      </c>
      <c r="KP108" s="58">
        <v>405.94799999999998</v>
      </c>
      <c r="KQ108" s="58">
        <v>1514.8969999999999</v>
      </c>
      <c r="KS108" s="57" t="s">
        <v>293</v>
      </c>
      <c r="KT108" s="58">
        <v>361</v>
      </c>
      <c r="KU108" s="58">
        <v>295</v>
      </c>
      <c r="KV108" s="257">
        <v>266</v>
      </c>
      <c r="KW108" s="258">
        <v>334</v>
      </c>
      <c r="KX108" s="58">
        <f>SUM(KT108:KW108)</f>
        <v>1256</v>
      </c>
      <c r="KZ108" s="57" t="s">
        <v>293</v>
      </c>
      <c r="LA108" s="58">
        <v>277</v>
      </c>
      <c r="LB108" s="257">
        <v>275</v>
      </c>
      <c r="LC108" s="58">
        <v>245</v>
      </c>
      <c r="LD108" s="58">
        <v>221</v>
      </c>
      <c r="LE108" s="127">
        <f>SUM(LA108:LD108)</f>
        <v>1018</v>
      </c>
      <c r="LF108" s="558"/>
      <c r="LG108" s="57" t="s">
        <v>293</v>
      </c>
      <c r="LH108" s="58">
        <v>217</v>
      </c>
      <c r="LI108" s="58">
        <v>222</v>
      </c>
      <c r="LJ108" s="58">
        <v>234</v>
      </c>
      <c r="LK108" s="58">
        <v>243</v>
      </c>
      <c r="LL108" s="127">
        <f>SUM(LH108:LK108)</f>
        <v>916</v>
      </c>
      <c r="LM108" s="558"/>
      <c r="LN108" s="57" t="s">
        <v>293</v>
      </c>
      <c r="LO108" s="58">
        <f>(LO113/LK113)*(Revenue!LO90/Revenue!LK90)*Expense!LK108</f>
        <v>224.97473219042459</v>
      </c>
      <c r="LP108" s="58">
        <f>(LP113/LO113)*(Revenue!LP90/Revenue!LO90)*Expense!LO108</f>
        <v>234.04370817580261</v>
      </c>
      <c r="LQ108" s="58">
        <f>(LQ113/LP113)*(Revenue!LQ90/Revenue!LP90)*Expense!LP108</f>
        <v>240.5555900082926</v>
      </c>
      <c r="LR108" s="58">
        <f>(LR113/LQ113)*(Revenue!LR90/Revenue!LQ90)*Expense!LQ108</f>
        <v>241.40746890961091</v>
      </c>
      <c r="LS108" s="127">
        <f>SUM(LO108:LR108)</f>
        <v>940.98149928413068</v>
      </c>
      <c r="LT108" s="558"/>
      <c r="LU108" s="57" t="s">
        <v>293</v>
      </c>
      <c r="LV108" s="58">
        <f>(LV113/LR113)*(Revenue!LV90/Revenue!LR90)*Expense!LR108</f>
        <v>230.69214403506572</v>
      </c>
      <c r="LW108" s="58">
        <f>(LW113/LV113)*(Revenue!LW90/Revenue!LV90)*Expense!LV108</f>
        <v>240.14758082313125</v>
      </c>
      <c r="LX108" s="58">
        <f>(LX113/LW113)*(Revenue!LX90/Revenue!LW90)*Expense!LW108</f>
        <v>246.53966764057611</v>
      </c>
      <c r="LY108" s="58">
        <f>(LY113/LX113)*(Revenue!LY90/Revenue!LX90)*Expense!LX108</f>
        <v>247.40593156286278</v>
      </c>
      <c r="LZ108" s="127">
        <f>SUM(LV108:LY108)</f>
        <v>964.78532406163583</v>
      </c>
      <c r="MA108" s="558"/>
      <c r="MB108" s="57" t="s">
        <v>293</v>
      </c>
      <c r="MC108" s="58">
        <f>(MC113/LY113)*(Revenue!MC90/Revenue!LY90)*Expense!LY108</f>
        <v>236.38496203016072</v>
      </c>
      <c r="MD108" s="58">
        <f>(MD113/MC113)*(Revenue!MD90/Revenue!MC90)*Expense!MC108</f>
        <v>246.00563510522699</v>
      </c>
      <c r="ME108" s="58">
        <f>(ME113/MD113)*(Revenue!ME90/Revenue!MD90)*Expense!MD108</f>
        <v>252.43691095732248</v>
      </c>
      <c r="MF108" s="58">
        <f>(MF113/ME113)*(Revenue!MF90/Revenue!ME90)*Expense!ME108</f>
        <v>253.18584403723838</v>
      </c>
      <c r="MG108" s="127">
        <f>SUM(MC108:MF108)</f>
        <v>988.01335212994854</v>
      </c>
      <c r="MH108" s="558"/>
    </row>
    <row r="109" spans="1:346" s="53" customFormat="1" ht="13.15" outlineLevel="1" x14ac:dyDescent="0.4">
      <c r="A109" s="100"/>
      <c r="B109" s="60" t="s">
        <v>319</v>
      </c>
      <c r="C109" s="259"/>
      <c r="D109" s="259"/>
      <c r="E109" s="259"/>
      <c r="F109" s="259"/>
      <c r="G109" s="259"/>
      <c r="H109" s="259"/>
      <c r="I109" s="259"/>
      <c r="J109" s="259"/>
      <c r="K109" s="259"/>
      <c r="L109" s="259"/>
      <c r="M109" s="259"/>
      <c r="N109" s="259">
        <f>BT109</f>
        <v>0</v>
      </c>
      <c r="O109" s="259">
        <f>CA109</f>
        <v>0</v>
      </c>
      <c r="P109" s="259">
        <f>CH109</f>
        <v>0</v>
      </c>
      <c r="Q109" s="259">
        <f>CO109</f>
        <v>0</v>
      </c>
      <c r="R109" s="259">
        <f>CV109</f>
        <v>0</v>
      </c>
      <c r="S109" s="259">
        <f>DC109</f>
        <v>0</v>
      </c>
      <c r="T109" s="259">
        <f>DJ109</f>
        <v>0</v>
      </c>
      <c r="U109" s="259">
        <f>DQ109</f>
        <v>0</v>
      </c>
      <c r="V109" s="259">
        <f>DX109</f>
        <v>0</v>
      </c>
      <c r="W109" s="259">
        <f>EE109</f>
        <v>0</v>
      </c>
      <c r="X109" s="259">
        <f>EL109</f>
        <v>0</v>
      </c>
      <c r="Y109" s="259">
        <f>ES109</f>
        <v>0</v>
      </c>
      <c r="Z109" s="259">
        <f>EZ109</f>
        <v>0</v>
      </c>
      <c r="AA109" s="259">
        <f>FG109</f>
        <v>0</v>
      </c>
      <c r="AB109" s="259">
        <f>FN109</f>
        <v>0</v>
      </c>
      <c r="AC109" s="259">
        <f>FU109</f>
        <v>0</v>
      </c>
      <c r="AD109" s="259">
        <f>GB109</f>
        <v>0</v>
      </c>
      <c r="AE109" s="259">
        <f>GI109</f>
        <v>0</v>
      </c>
      <c r="AF109" s="259">
        <f>GP109</f>
        <v>0</v>
      </c>
      <c r="AG109" s="259">
        <f>GW109</f>
        <v>0</v>
      </c>
      <c r="AH109" s="259">
        <f>HD109</f>
        <v>-219</v>
      </c>
      <c r="AI109" s="259">
        <f>HK109</f>
        <v>42</v>
      </c>
      <c r="AJ109" s="259">
        <f>HR109</f>
        <v>0</v>
      </c>
      <c r="AK109" s="259">
        <f>HY109</f>
        <v>0</v>
      </c>
      <c r="AL109" s="259">
        <f>IF109</f>
        <v>0</v>
      </c>
      <c r="AM109" s="259">
        <f>IM109</f>
        <v>0</v>
      </c>
      <c r="AN109" s="259">
        <f>IT109</f>
        <v>0</v>
      </c>
      <c r="AO109" s="259">
        <f>JA109</f>
        <v>0</v>
      </c>
      <c r="AP109" s="259">
        <f>JH109</f>
        <v>0</v>
      </c>
      <c r="AQ109" s="259">
        <f>JO109</f>
        <v>0</v>
      </c>
      <c r="AR109" s="259">
        <f>JV109</f>
        <v>0</v>
      </c>
      <c r="AS109" s="259">
        <f>KC109</f>
        <v>0</v>
      </c>
      <c r="AT109" s="259">
        <f>KJ109</f>
        <v>0</v>
      </c>
      <c r="AU109" s="259">
        <f>KQ109</f>
        <v>0</v>
      </c>
      <c r="AV109" s="259">
        <f>KX109</f>
        <v>0</v>
      </c>
      <c r="AW109" s="259">
        <f>LE109</f>
        <v>0</v>
      </c>
      <c r="AX109" s="259">
        <f>LL109</f>
        <v>0</v>
      </c>
      <c r="AY109" s="259">
        <f>LS109</f>
        <v>0</v>
      </c>
      <c r="AZ109" s="259">
        <f>LZ109</f>
        <v>0</v>
      </c>
      <c r="BA109" s="259">
        <f>MG109</f>
        <v>0</v>
      </c>
      <c r="BB109" s="259"/>
      <c r="BC109" s="259"/>
      <c r="BD109" s="259"/>
      <c r="BE109" s="259"/>
      <c r="BF109" s="259"/>
      <c r="BG109" s="259"/>
      <c r="BH109" s="259"/>
      <c r="BI109" s="259"/>
      <c r="BJ109" s="259"/>
      <c r="BK109" s="259"/>
      <c r="BL109" s="259"/>
      <c r="BM109" s="259"/>
      <c r="BO109" s="60" t="s">
        <v>319</v>
      </c>
      <c r="BP109" s="61"/>
      <c r="BQ109" s="61"/>
      <c r="BR109" s="61"/>
      <c r="BS109" s="61"/>
      <c r="BT109" s="61"/>
      <c r="BV109" s="60" t="s">
        <v>319</v>
      </c>
      <c r="BW109" s="61"/>
      <c r="BX109" s="61"/>
      <c r="BY109" s="61"/>
      <c r="BZ109" s="61"/>
      <c r="CA109" s="61"/>
      <c r="CC109" s="60" t="s">
        <v>319</v>
      </c>
      <c r="CD109" s="61"/>
      <c r="CE109" s="61"/>
      <c r="CF109" s="61"/>
      <c r="CG109" s="61"/>
      <c r="CH109" s="61"/>
      <c r="CJ109" s="60" t="s">
        <v>319</v>
      </c>
      <c r="CK109" s="61"/>
      <c r="CL109" s="61"/>
      <c r="CM109" s="61"/>
      <c r="CN109" s="61"/>
      <c r="CO109" s="61"/>
      <c r="CQ109" s="60" t="s">
        <v>319</v>
      </c>
      <c r="CR109" s="61"/>
      <c r="CS109" s="61"/>
      <c r="CT109" s="61"/>
      <c r="CU109" s="61"/>
      <c r="CV109" s="61"/>
      <c r="CX109" s="60" t="s">
        <v>319</v>
      </c>
      <c r="CY109" s="61"/>
      <c r="CZ109" s="61"/>
      <c r="DA109" s="61"/>
      <c r="DB109" s="61"/>
      <c r="DC109" s="61"/>
      <c r="DE109" s="60" t="s">
        <v>319</v>
      </c>
      <c r="DF109" s="61"/>
      <c r="DG109" s="61"/>
      <c r="DH109" s="61"/>
      <c r="DI109" s="61"/>
      <c r="DJ109" s="61"/>
      <c r="DL109" s="60" t="s">
        <v>319</v>
      </c>
      <c r="DM109" s="61"/>
      <c r="DN109" s="61"/>
      <c r="DO109" s="61"/>
      <c r="DP109" s="61"/>
      <c r="DQ109" s="61"/>
      <c r="DS109" s="60" t="s">
        <v>319</v>
      </c>
      <c r="DT109" s="61"/>
      <c r="DU109" s="61"/>
      <c r="DV109" s="61"/>
      <c r="DW109" s="61"/>
      <c r="DX109" s="61"/>
      <c r="DZ109" s="60" t="s">
        <v>319</v>
      </c>
      <c r="EA109" s="61"/>
      <c r="EB109" s="61"/>
      <c r="EC109" s="61"/>
      <c r="ED109" s="61"/>
      <c r="EE109" s="61"/>
      <c r="EG109" s="60" t="s">
        <v>319</v>
      </c>
      <c r="EH109" s="61"/>
      <c r="EI109" s="61"/>
      <c r="EJ109" s="61"/>
      <c r="EK109" s="61"/>
      <c r="EL109" s="61"/>
      <c r="EN109" s="60" t="s">
        <v>319</v>
      </c>
      <c r="EO109" s="61"/>
      <c r="EP109" s="61"/>
      <c r="EQ109" s="61"/>
      <c r="ER109" s="61"/>
      <c r="ES109" s="61"/>
      <c r="EU109" s="60" t="s">
        <v>319</v>
      </c>
      <c r="EV109" s="61"/>
      <c r="EW109" s="61"/>
      <c r="EX109" s="61"/>
      <c r="EY109" s="61"/>
      <c r="EZ109" s="61"/>
      <c r="FB109" s="60" t="s">
        <v>319</v>
      </c>
      <c r="FC109" s="61"/>
      <c r="FD109" s="61"/>
      <c r="FE109" s="61"/>
      <c r="FF109" s="61"/>
      <c r="FG109" s="61"/>
      <c r="FI109" s="60" t="s">
        <v>319</v>
      </c>
      <c r="FJ109" s="61"/>
      <c r="FK109" s="61"/>
      <c r="FL109" s="61"/>
      <c r="FM109" s="61"/>
      <c r="FN109" s="61"/>
      <c r="FP109" s="60" t="s">
        <v>319</v>
      </c>
      <c r="FQ109" s="61"/>
      <c r="FR109" s="61"/>
      <c r="FS109" s="61"/>
      <c r="FT109" s="61"/>
      <c r="FU109" s="61"/>
      <c r="FW109" s="60" t="s">
        <v>319</v>
      </c>
      <c r="FX109" s="61"/>
      <c r="FY109" s="61"/>
      <c r="FZ109" s="61"/>
      <c r="GA109" s="61"/>
      <c r="GB109" s="61"/>
      <c r="GD109" s="60" t="s">
        <v>319</v>
      </c>
      <c r="GE109" s="61"/>
      <c r="GF109" s="61"/>
      <c r="GG109" s="61"/>
      <c r="GH109" s="61"/>
      <c r="GI109" s="61"/>
      <c r="GK109" s="60" t="s">
        <v>319</v>
      </c>
      <c r="GL109" s="61"/>
      <c r="GM109" s="61"/>
      <c r="GN109" s="61"/>
      <c r="GO109" s="61"/>
      <c r="GP109" s="61"/>
      <c r="GR109" s="60" t="s">
        <v>319</v>
      </c>
      <c r="GS109" s="61"/>
      <c r="GT109" s="61"/>
      <c r="GU109" s="61"/>
      <c r="GV109" s="61"/>
      <c r="GW109" s="61"/>
      <c r="GY109" s="60" t="s">
        <v>319</v>
      </c>
      <c r="GZ109" s="61">
        <v>-51</v>
      </c>
      <c r="HA109" s="61">
        <v>-75</v>
      </c>
      <c r="HB109" s="61">
        <v>-73</v>
      </c>
      <c r="HC109" s="61">
        <v>-20</v>
      </c>
      <c r="HD109" s="61">
        <v>-219</v>
      </c>
      <c r="HF109" s="60" t="s">
        <v>319</v>
      </c>
      <c r="HG109" s="61">
        <v>5</v>
      </c>
      <c r="HH109" s="61">
        <v>9</v>
      </c>
      <c r="HI109" s="61">
        <v>11</v>
      </c>
      <c r="HJ109" s="61">
        <v>17</v>
      </c>
      <c r="HK109" s="61">
        <v>42</v>
      </c>
      <c r="HM109" s="60" t="s">
        <v>319</v>
      </c>
      <c r="HN109" s="61"/>
      <c r="HO109" s="61"/>
      <c r="HP109" s="61"/>
      <c r="HQ109" s="61"/>
      <c r="HR109" s="61"/>
      <c r="HT109" s="60" t="s">
        <v>319</v>
      </c>
      <c r="HU109" s="61"/>
      <c r="HV109" s="61"/>
      <c r="HW109" s="61"/>
      <c r="HX109" s="61"/>
      <c r="HY109" s="61"/>
      <c r="IA109" s="60" t="s">
        <v>319</v>
      </c>
      <c r="IB109" s="61"/>
      <c r="IC109" s="61"/>
      <c r="ID109" s="61"/>
      <c r="IE109" s="61"/>
      <c r="IF109" s="61"/>
      <c r="IH109" s="60" t="s">
        <v>319</v>
      </c>
      <c r="II109" s="61"/>
      <c r="IJ109" s="61"/>
      <c r="IK109" s="61"/>
      <c r="IL109" s="61"/>
      <c r="IM109" s="61"/>
      <c r="IO109" s="60" t="s">
        <v>319</v>
      </c>
      <c r="IP109" s="61"/>
      <c r="IQ109" s="61"/>
      <c r="IR109" s="61"/>
      <c r="IS109" s="61"/>
      <c r="IT109" s="61"/>
      <c r="IV109" s="60" t="s">
        <v>319</v>
      </c>
      <c r="IW109" s="61"/>
      <c r="IX109" s="61"/>
      <c r="IY109" s="61"/>
      <c r="IZ109" s="61"/>
      <c r="JA109" s="61"/>
      <c r="JC109" s="60" t="s">
        <v>319</v>
      </c>
      <c r="JD109" s="61"/>
      <c r="JE109" s="61"/>
      <c r="JF109" s="61"/>
      <c r="JG109" s="61"/>
      <c r="JH109" s="61"/>
      <c r="JJ109" s="60" t="s">
        <v>319</v>
      </c>
      <c r="JK109" s="61"/>
      <c r="JL109" s="61"/>
      <c r="JM109" s="61"/>
      <c r="JN109" s="61"/>
      <c r="JO109" s="61"/>
      <c r="JQ109" s="60" t="s">
        <v>319</v>
      </c>
      <c r="JR109" s="61"/>
      <c r="JS109" s="61"/>
      <c r="JT109" s="61"/>
      <c r="JU109" s="61"/>
      <c r="JV109" s="61"/>
      <c r="JX109" s="60" t="s">
        <v>319</v>
      </c>
      <c r="JY109" s="61"/>
      <c r="JZ109" s="61"/>
      <c r="KA109" s="61"/>
      <c r="KB109" s="61"/>
      <c r="KC109" s="61"/>
      <c r="KE109" s="60" t="s">
        <v>319</v>
      </c>
      <c r="KF109" s="61"/>
      <c r="KG109" s="61"/>
      <c r="KH109" s="61"/>
      <c r="KI109" s="61"/>
      <c r="KJ109" s="61"/>
      <c r="KL109" s="60" t="s">
        <v>319</v>
      </c>
      <c r="KM109" s="61"/>
      <c r="KN109" s="61"/>
      <c r="KO109" s="61"/>
      <c r="KP109" s="61"/>
      <c r="KQ109" s="61"/>
      <c r="KS109" s="60" t="s">
        <v>319</v>
      </c>
      <c r="KT109" s="61"/>
      <c r="KU109" s="61"/>
      <c r="KV109" s="259"/>
      <c r="KW109" s="260"/>
      <c r="KX109" s="61"/>
      <c r="KZ109" s="60" t="s">
        <v>319</v>
      </c>
      <c r="LA109" s="61"/>
      <c r="LB109" s="259"/>
      <c r="LC109" s="259"/>
      <c r="LD109" s="259"/>
      <c r="LE109" s="129"/>
      <c r="LF109" s="558"/>
      <c r="LG109" s="60" t="s">
        <v>319</v>
      </c>
      <c r="LH109" s="259"/>
      <c r="LI109" s="259"/>
      <c r="LJ109" s="259"/>
      <c r="LK109" s="259"/>
      <c r="LL109" s="129"/>
      <c r="LM109" s="558"/>
      <c r="LN109" s="60" t="s">
        <v>319</v>
      </c>
      <c r="LO109" s="259"/>
      <c r="LP109" s="259"/>
      <c r="LQ109" s="259"/>
      <c r="LR109" s="259"/>
      <c r="LS109" s="129"/>
      <c r="LT109" s="558"/>
      <c r="LU109" s="60" t="s">
        <v>319</v>
      </c>
      <c r="LV109" s="259"/>
      <c r="LW109" s="259"/>
      <c r="LX109" s="259"/>
      <c r="LY109" s="259"/>
      <c r="LZ109" s="129"/>
      <c r="MA109" s="558"/>
      <c r="MB109" s="60" t="s">
        <v>319</v>
      </c>
      <c r="MC109" s="259"/>
      <c r="MD109" s="259"/>
      <c r="ME109" s="259"/>
      <c r="MF109" s="259"/>
      <c r="MG109" s="129"/>
      <c r="MH109" s="558"/>
    </row>
    <row r="110" spans="1:346" s="53" customFormat="1" ht="13.15" outlineLevel="1" x14ac:dyDescent="0.4">
      <c r="A110" s="100"/>
      <c r="B110" s="128" t="s">
        <v>320</v>
      </c>
      <c r="C110" s="259"/>
      <c r="D110" s="259"/>
      <c r="E110" s="259"/>
      <c r="F110" s="259"/>
      <c r="G110" s="259"/>
      <c r="H110" s="259"/>
      <c r="I110" s="259"/>
      <c r="J110" s="259"/>
      <c r="K110" s="259"/>
      <c r="L110" s="259"/>
      <c r="M110" s="259"/>
      <c r="N110" s="259">
        <f>BT110</f>
        <v>0</v>
      </c>
      <c r="O110" s="259">
        <f>CA110</f>
        <v>0</v>
      </c>
      <c r="P110" s="259">
        <f>CH110</f>
        <v>0</v>
      </c>
      <c r="Q110" s="259">
        <f>CO110</f>
        <v>0</v>
      </c>
      <c r="R110" s="259">
        <f>CV110</f>
        <v>0</v>
      </c>
      <c r="S110" s="259">
        <f>DC110</f>
        <v>0</v>
      </c>
      <c r="T110" s="259">
        <f>DJ110</f>
        <v>0</v>
      </c>
      <c r="U110" s="259">
        <f>DQ110</f>
        <v>0</v>
      </c>
      <c r="V110" s="259">
        <f>DX110</f>
        <v>0</v>
      </c>
      <c r="W110" s="259">
        <f>EE110</f>
        <v>0</v>
      </c>
      <c r="X110" s="259">
        <f>EL110</f>
        <v>0</v>
      </c>
      <c r="Y110" s="259">
        <f>ES110</f>
        <v>0</v>
      </c>
      <c r="Z110" s="259">
        <f>EZ110</f>
        <v>0</v>
      </c>
      <c r="AA110" s="259">
        <f>FG110</f>
        <v>0</v>
      </c>
      <c r="AB110" s="259">
        <f>FN110</f>
        <v>0</v>
      </c>
      <c r="AC110" s="259">
        <f>FU110</f>
        <v>0</v>
      </c>
      <c r="AD110" s="259">
        <f>GB110</f>
        <v>0</v>
      </c>
      <c r="AE110" s="259">
        <f>GI110</f>
        <v>0</v>
      </c>
      <c r="AF110" s="259">
        <f>GP110</f>
        <v>0</v>
      </c>
      <c r="AG110" s="259">
        <f>GW110</f>
        <v>0</v>
      </c>
      <c r="AH110" s="259">
        <f>HD110</f>
        <v>-830</v>
      </c>
      <c r="AI110" s="259">
        <f>HK110</f>
        <v>177</v>
      </c>
      <c r="AJ110" s="259">
        <f>HR110</f>
        <v>0</v>
      </c>
      <c r="AK110" s="259">
        <f>HY110</f>
        <v>0</v>
      </c>
      <c r="AL110" s="259">
        <f>IF110</f>
        <v>0</v>
      </c>
      <c r="AM110" s="259">
        <f>IM110</f>
        <v>0</v>
      </c>
      <c r="AN110" s="259">
        <f>IT110</f>
        <v>0</v>
      </c>
      <c r="AO110" s="259">
        <f>JA110</f>
        <v>0</v>
      </c>
      <c r="AP110" s="259">
        <f>JH110</f>
        <v>0</v>
      </c>
      <c r="AQ110" s="259">
        <f>JO110</f>
        <v>0</v>
      </c>
      <c r="AR110" s="259">
        <f>JV110</f>
        <v>0</v>
      </c>
      <c r="AS110" s="259">
        <f>KC110</f>
        <v>0</v>
      </c>
      <c r="AT110" s="259">
        <f>KJ110</f>
        <v>0</v>
      </c>
      <c r="AU110" s="259">
        <f>KQ110</f>
        <v>0</v>
      </c>
      <c r="AV110" s="259">
        <f>KX110</f>
        <v>0</v>
      </c>
      <c r="AW110" s="259">
        <f>LE110</f>
        <v>0</v>
      </c>
      <c r="AX110" s="259">
        <f>LL110</f>
        <v>0</v>
      </c>
      <c r="AY110" s="259">
        <f>LS110</f>
        <v>0</v>
      </c>
      <c r="AZ110" s="259">
        <f>LZ110</f>
        <v>0</v>
      </c>
      <c r="BA110" s="259">
        <f>MG110</f>
        <v>0</v>
      </c>
      <c r="BB110" s="259"/>
      <c r="BC110" s="259"/>
      <c r="BD110" s="259"/>
      <c r="BE110" s="259"/>
      <c r="BF110" s="259"/>
      <c r="BG110" s="259"/>
      <c r="BH110" s="259"/>
      <c r="BI110" s="259"/>
      <c r="BJ110" s="259"/>
      <c r="BK110" s="259"/>
      <c r="BL110" s="259"/>
      <c r="BM110" s="259"/>
      <c r="BO110" s="128" t="s">
        <v>320</v>
      </c>
      <c r="BP110" s="61"/>
      <c r="BQ110" s="61"/>
      <c r="BR110" s="61"/>
      <c r="BS110" s="61"/>
      <c r="BT110" s="61"/>
      <c r="BV110" s="128" t="s">
        <v>320</v>
      </c>
      <c r="BW110" s="61"/>
      <c r="BX110" s="61"/>
      <c r="BY110" s="61"/>
      <c r="BZ110" s="61"/>
      <c r="CA110" s="61"/>
      <c r="CC110" s="128" t="s">
        <v>320</v>
      </c>
      <c r="CD110" s="61"/>
      <c r="CE110" s="61"/>
      <c r="CF110" s="61"/>
      <c r="CG110" s="61"/>
      <c r="CH110" s="61"/>
      <c r="CJ110" s="128" t="s">
        <v>320</v>
      </c>
      <c r="CK110" s="61"/>
      <c r="CL110" s="61"/>
      <c r="CM110" s="61"/>
      <c r="CN110" s="61"/>
      <c r="CO110" s="61"/>
      <c r="CQ110" s="128" t="s">
        <v>320</v>
      </c>
      <c r="CR110" s="61"/>
      <c r="CS110" s="61"/>
      <c r="CT110" s="61"/>
      <c r="CU110" s="61"/>
      <c r="CV110" s="61"/>
      <c r="CX110" s="128" t="s">
        <v>320</v>
      </c>
      <c r="CY110" s="61"/>
      <c r="CZ110" s="61"/>
      <c r="DA110" s="61"/>
      <c r="DB110" s="61"/>
      <c r="DC110" s="61"/>
      <c r="DE110" s="128" t="s">
        <v>320</v>
      </c>
      <c r="DF110" s="61"/>
      <c r="DG110" s="61"/>
      <c r="DH110" s="61"/>
      <c r="DI110" s="61"/>
      <c r="DJ110" s="61"/>
      <c r="DL110" s="128" t="s">
        <v>320</v>
      </c>
      <c r="DM110" s="61"/>
      <c r="DN110" s="61"/>
      <c r="DO110" s="61"/>
      <c r="DP110" s="61"/>
      <c r="DQ110" s="61"/>
      <c r="DS110" s="128" t="s">
        <v>320</v>
      </c>
      <c r="DT110" s="61"/>
      <c r="DU110" s="61"/>
      <c r="DV110" s="61"/>
      <c r="DW110" s="61"/>
      <c r="DX110" s="61"/>
      <c r="DZ110" s="128" t="s">
        <v>320</v>
      </c>
      <c r="EA110" s="61"/>
      <c r="EB110" s="61"/>
      <c r="EC110" s="61"/>
      <c r="ED110" s="61"/>
      <c r="EE110" s="61"/>
      <c r="EG110" s="128" t="s">
        <v>320</v>
      </c>
      <c r="EH110" s="61"/>
      <c r="EI110" s="61"/>
      <c r="EJ110" s="61"/>
      <c r="EK110" s="61"/>
      <c r="EL110" s="61"/>
      <c r="EN110" s="128" t="s">
        <v>320</v>
      </c>
      <c r="EO110" s="61"/>
      <c r="EP110" s="61"/>
      <c r="EQ110" s="61"/>
      <c r="ER110" s="61"/>
      <c r="ES110" s="61"/>
      <c r="EU110" s="128" t="s">
        <v>320</v>
      </c>
      <c r="EV110" s="61"/>
      <c r="EW110" s="61"/>
      <c r="EX110" s="61"/>
      <c r="EY110" s="61"/>
      <c r="EZ110" s="61"/>
      <c r="FB110" s="128" t="s">
        <v>320</v>
      </c>
      <c r="FC110" s="61"/>
      <c r="FD110" s="61"/>
      <c r="FE110" s="61"/>
      <c r="FF110" s="61"/>
      <c r="FG110" s="61"/>
      <c r="FI110" s="128" t="s">
        <v>320</v>
      </c>
      <c r="FJ110" s="61"/>
      <c r="FK110" s="61"/>
      <c r="FL110" s="61"/>
      <c r="FM110" s="61"/>
      <c r="FN110" s="61"/>
      <c r="FP110" s="128" t="s">
        <v>320</v>
      </c>
      <c r="FQ110" s="61"/>
      <c r="FR110" s="61"/>
      <c r="FS110" s="61"/>
      <c r="FT110" s="61"/>
      <c r="FU110" s="61"/>
      <c r="FW110" s="128" t="s">
        <v>320</v>
      </c>
      <c r="FX110" s="61"/>
      <c r="FY110" s="61"/>
      <c r="FZ110" s="61"/>
      <c r="GA110" s="61"/>
      <c r="GB110" s="61"/>
      <c r="GD110" s="128" t="s">
        <v>320</v>
      </c>
      <c r="GE110" s="61"/>
      <c r="GF110" s="61"/>
      <c r="GG110" s="61"/>
      <c r="GH110" s="61"/>
      <c r="GI110" s="61"/>
      <c r="GK110" s="128" t="s">
        <v>320</v>
      </c>
      <c r="GL110" s="61"/>
      <c r="GM110" s="61"/>
      <c r="GN110" s="61"/>
      <c r="GO110" s="61"/>
      <c r="GP110" s="61"/>
      <c r="GR110" s="128" t="s">
        <v>320</v>
      </c>
      <c r="GS110" s="61"/>
      <c r="GT110" s="61"/>
      <c r="GU110" s="61"/>
      <c r="GV110" s="61"/>
      <c r="GW110" s="61"/>
      <c r="GY110" s="128" t="s">
        <v>320</v>
      </c>
      <c r="GZ110" s="61">
        <v>-133</v>
      </c>
      <c r="HA110" s="61">
        <v>-223</v>
      </c>
      <c r="HB110" s="61">
        <v>-292</v>
      </c>
      <c r="HC110" s="61">
        <v>-182</v>
      </c>
      <c r="HD110" s="61">
        <v>-830</v>
      </c>
      <c r="HF110" s="128" t="s">
        <v>320</v>
      </c>
      <c r="HG110" s="61">
        <v>37</v>
      </c>
      <c r="HH110" s="61">
        <v>80</v>
      </c>
      <c r="HI110" s="61">
        <v>38</v>
      </c>
      <c r="HJ110" s="61">
        <v>22</v>
      </c>
      <c r="HK110" s="61">
        <v>177</v>
      </c>
      <c r="HM110" s="128" t="s">
        <v>320</v>
      </c>
      <c r="HN110" s="61"/>
      <c r="HO110" s="61"/>
      <c r="HP110" s="61"/>
      <c r="HQ110" s="61"/>
      <c r="HR110" s="61"/>
      <c r="HT110" s="128" t="s">
        <v>320</v>
      </c>
      <c r="HU110" s="61"/>
      <c r="HV110" s="61"/>
      <c r="HW110" s="61"/>
      <c r="HX110" s="61"/>
      <c r="HY110" s="61"/>
      <c r="IA110" s="128" t="s">
        <v>320</v>
      </c>
      <c r="IB110" s="61"/>
      <c r="IC110" s="61"/>
      <c r="ID110" s="61"/>
      <c r="IE110" s="61"/>
      <c r="IF110" s="61"/>
      <c r="IH110" s="128" t="s">
        <v>320</v>
      </c>
      <c r="II110" s="61"/>
      <c r="IJ110" s="61"/>
      <c r="IK110" s="61"/>
      <c r="IL110" s="61"/>
      <c r="IM110" s="61"/>
      <c r="IO110" s="128" t="s">
        <v>320</v>
      </c>
      <c r="IP110" s="61"/>
      <c r="IQ110" s="61"/>
      <c r="IR110" s="61"/>
      <c r="IS110" s="61"/>
      <c r="IT110" s="61"/>
      <c r="IV110" s="128" t="s">
        <v>320</v>
      </c>
      <c r="IW110" s="61"/>
      <c r="IX110" s="61"/>
      <c r="IY110" s="61"/>
      <c r="IZ110" s="61"/>
      <c r="JA110" s="61"/>
      <c r="JC110" s="128" t="s">
        <v>320</v>
      </c>
      <c r="JD110" s="61"/>
      <c r="JE110" s="61"/>
      <c r="JF110" s="61"/>
      <c r="JG110" s="61"/>
      <c r="JH110" s="61"/>
      <c r="JJ110" s="128" t="s">
        <v>320</v>
      </c>
      <c r="JK110" s="61"/>
      <c r="JL110" s="61"/>
      <c r="JM110" s="61"/>
      <c r="JN110" s="61"/>
      <c r="JO110" s="61"/>
      <c r="JQ110" s="128" t="s">
        <v>320</v>
      </c>
      <c r="JR110" s="61"/>
      <c r="JS110" s="61"/>
      <c r="JT110" s="61"/>
      <c r="JU110" s="61"/>
      <c r="JV110" s="61"/>
      <c r="JX110" s="128" t="s">
        <v>320</v>
      </c>
      <c r="JY110" s="61"/>
      <c r="JZ110" s="61"/>
      <c r="KA110" s="61"/>
      <c r="KB110" s="61"/>
      <c r="KC110" s="61"/>
      <c r="KE110" s="128" t="s">
        <v>320</v>
      </c>
      <c r="KF110" s="61"/>
      <c r="KG110" s="61"/>
      <c r="KH110" s="61"/>
      <c r="KI110" s="61"/>
      <c r="KJ110" s="61"/>
      <c r="KL110" s="128" t="s">
        <v>320</v>
      </c>
      <c r="KM110" s="61"/>
      <c r="KN110" s="61"/>
      <c r="KO110" s="61"/>
      <c r="KP110" s="61"/>
      <c r="KQ110" s="61"/>
      <c r="KS110" s="128" t="s">
        <v>320</v>
      </c>
      <c r="KT110" s="61"/>
      <c r="KU110" s="61"/>
      <c r="KV110" s="259"/>
      <c r="KW110" s="260"/>
      <c r="KX110" s="61"/>
      <c r="KZ110" s="128" t="s">
        <v>320</v>
      </c>
      <c r="LA110" s="61"/>
      <c r="LB110" s="259"/>
      <c r="LC110" s="259"/>
      <c r="LD110" s="259"/>
      <c r="LE110" s="129"/>
      <c r="LF110" s="558"/>
      <c r="LG110" s="128" t="s">
        <v>320</v>
      </c>
      <c r="LH110" s="259"/>
      <c r="LI110" s="259"/>
      <c r="LJ110" s="259"/>
      <c r="LK110" s="259"/>
      <c r="LL110" s="129"/>
      <c r="LM110" s="558"/>
      <c r="LN110" s="128" t="s">
        <v>320</v>
      </c>
      <c r="LO110" s="259"/>
      <c r="LP110" s="259"/>
      <c r="LQ110" s="259"/>
      <c r="LR110" s="259"/>
      <c r="LS110" s="129"/>
      <c r="LT110" s="558"/>
      <c r="LU110" s="128" t="s">
        <v>320</v>
      </c>
      <c r="LV110" s="259"/>
      <c r="LW110" s="259"/>
      <c r="LX110" s="259"/>
      <c r="LY110" s="259"/>
      <c r="LZ110" s="129"/>
      <c r="MA110" s="558"/>
      <c r="MB110" s="128" t="s">
        <v>320</v>
      </c>
      <c r="MC110" s="259"/>
      <c r="MD110" s="259"/>
      <c r="ME110" s="259"/>
      <c r="MF110" s="259"/>
      <c r="MG110" s="129"/>
      <c r="MH110" s="558"/>
    </row>
    <row r="111" spans="1:346" s="53" customFormat="1" ht="13.15" x14ac:dyDescent="0.4">
      <c r="A111" s="100"/>
      <c r="B111" s="126" t="s">
        <v>294</v>
      </c>
      <c r="C111" s="257"/>
      <c r="D111" s="257"/>
      <c r="E111" s="257"/>
      <c r="F111" s="257"/>
      <c r="G111" s="257"/>
      <c r="H111" s="257"/>
      <c r="I111" s="257"/>
      <c r="J111" s="257"/>
      <c r="K111" s="257"/>
      <c r="L111" s="257"/>
      <c r="M111" s="257"/>
      <c r="N111" s="257">
        <f>BT111</f>
        <v>0</v>
      </c>
      <c r="O111" s="257">
        <f>CA111</f>
        <v>0</v>
      </c>
      <c r="P111" s="257">
        <f>CH111</f>
        <v>0</v>
      </c>
      <c r="Q111" s="257">
        <f>CO111</f>
        <v>0</v>
      </c>
      <c r="R111" s="257">
        <f>CV111</f>
        <v>0</v>
      </c>
      <c r="S111" s="257">
        <f>DC111</f>
        <v>0</v>
      </c>
      <c r="T111" s="257">
        <f>DJ111</f>
        <v>0</v>
      </c>
      <c r="U111" s="257">
        <f>DQ111</f>
        <v>0</v>
      </c>
      <c r="V111" s="257">
        <f>DX111</f>
        <v>0</v>
      </c>
      <c r="W111" s="257">
        <f>EE111</f>
        <v>0</v>
      </c>
      <c r="X111" s="257">
        <f>EL111</f>
        <v>0</v>
      </c>
      <c r="Y111" s="257">
        <f>ES111</f>
        <v>0</v>
      </c>
      <c r="Z111" s="257">
        <f>EZ111</f>
        <v>0</v>
      </c>
      <c r="AA111" s="257">
        <f>FG111</f>
        <v>0</v>
      </c>
      <c r="AB111" s="257">
        <f>FN111</f>
        <v>0</v>
      </c>
      <c r="AC111" s="257">
        <f>FU111</f>
        <v>0</v>
      </c>
      <c r="AD111" s="257">
        <f>GB111</f>
        <v>0</v>
      </c>
      <c r="AE111" s="257">
        <f>GI111</f>
        <v>0</v>
      </c>
      <c r="AF111" s="257" t="str">
        <f>GP111</f>
        <v>-</v>
      </c>
      <c r="AG111" s="257" t="str">
        <f>GW111</f>
        <v>-</v>
      </c>
      <c r="AH111" s="257" t="str">
        <f>HD111</f>
        <v>-</v>
      </c>
      <c r="AI111" s="257" t="str">
        <f>HK111</f>
        <v>-</v>
      </c>
      <c r="AJ111" s="257" t="str">
        <f>HR111</f>
        <v>-</v>
      </c>
      <c r="AK111" s="257" t="str">
        <f>HY111</f>
        <v>-</v>
      </c>
      <c r="AL111" s="257" t="str">
        <f>IF111</f>
        <v>-</v>
      </c>
      <c r="AM111" s="257">
        <f>IM111</f>
        <v>26</v>
      </c>
      <c r="AN111" s="257">
        <f>IT111</f>
        <v>62</v>
      </c>
      <c r="AO111" s="257">
        <f>JA111</f>
        <v>3</v>
      </c>
      <c r="AP111" s="257">
        <f>JH111</f>
        <v>-23</v>
      </c>
      <c r="AQ111" s="257">
        <f>JO111</f>
        <v>-14</v>
      </c>
      <c r="AR111" s="257">
        <f>JV111</f>
        <v>13</v>
      </c>
      <c r="AS111" s="257">
        <f>KC111</f>
        <v>30</v>
      </c>
      <c r="AT111" s="257">
        <f>KJ111</f>
        <v>-61</v>
      </c>
      <c r="AU111" s="257">
        <f>KQ111</f>
        <v>-57</v>
      </c>
      <c r="AV111" s="257">
        <f>KX111</f>
        <v>59</v>
      </c>
      <c r="AW111" s="257">
        <f>LE111</f>
        <v>38</v>
      </c>
      <c r="AX111" s="257">
        <f>LL111</f>
        <v>-11</v>
      </c>
      <c r="AY111" s="257" t="str">
        <f>LS111</f>
        <v>-</v>
      </c>
      <c r="AZ111" s="257" t="str">
        <f>LZ111</f>
        <v>-</v>
      </c>
      <c r="BA111" s="257" t="str">
        <f>MG111</f>
        <v>-</v>
      </c>
      <c r="BB111" s="257"/>
      <c r="BC111" s="257"/>
      <c r="BD111" s="257"/>
      <c r="BE111" s="257"/>
      <c r="BF111" s="257"/>
      <c r="BG111" s="257"/>
      <c r="BH111" s="257"/>
      <c r="BI111" s="257"/>
      <c r="BJ111" s="257"/>
      <c r="BK111" s="257"/>
      <c r="BL111" s="257"/>
      <c r="BM111" s="257"/>
      <c r="BO111" s="126" t="s">
        <v>294</v>
      </c>
      <c r="BP111" s="58"/>
      <c r="BQ111" s="58"/>
      <c r="BR111" s="58"/>
      <c r="BS111" s="58"/>
      <c r="BT111" s="58"/>
      <c r="BV111" s="126" t="s">
        <v>294</v>
      </c>
      <c r="BW111" s="58"/>
      <c r="BX111" s="58"/>
      <c r="BY111" s="58"/>
      <c r="BZ111" s="58"/>
      <c r="CA111" s="58"/>
      <c r="CC111" s="126" t="s">
        <v>294</v>
      </c>
      <c r="CD111" s="58"/>
      <c r="CE111" s="58"/>
      <c r="CF111" s="58"/>
      <c r="CG111" s="58"/>
      <c r="CH111" s="58"/>
      <c r="CJ111" s="126" t="s">
        <v>294</v>
      </c>
      <c r="CK111" s="58"/>
      <c r="CL111" s="58"/>
      <c r="CM111" s="58"/>
      <c r="CN111" s="58"/>
      <c r="CO111" s="58"/>
      <c r="CQ111" s="126" t="s">
        <v>294</v>
      </c>
      <c r="CR111" s="58"/>
      <c r="CS111" s="58"/>
      <c r="CT111" s="58"/>
      <c r="CU111" s="58"/>
      <c r="CV111" s="58"/>
      <c r="CX111" s="126" t="s">
        <v>294</v>
      </c>
      <c r="CY111" s="58"/>
      <c r="CZ111" s="58"/>
      <c r="DA111" s="58"/>
      <c r="DB111" s="58"/>
      <c r="DC111" s="58"/>
      <c r="DE111" s="126" t="s">
        <v>294</v>
      </c>
      <c r="DF111" s="58"/>
      <c r="DG111" s="58"/>
      <c r="DH111" s="58"/>
      <c r="DI111" s="58"/>
      <c r="DJ111" s="58"/>
      <c r="DL111" s="126" t="s">
        <v>294</v>
      </c>
      <c r="DM111" s="58"/>
      <c r="DN111" s="58"/>
      <c r="DO111" s="58"/>
      <c r="DP111" s="58"/>
      <c r="DQ111" s="58"/>
      <c r="DS111" s="126" t="s">
        <v>294</v>
      </c>
      <c r="DT111" s="58"/>
      <c r="DU111" s="58"/>
      <c r="DV111" s="58"/>
      <c r="DW111" s="58"/>
      <c r="DX111" s="58"/>
      <c r="DZ111" s="126" t="s">
        <v>294</v>
      </c>
      <c r="EA111" s="58"/>
      <c r="EB111" s="58"/>
      <c r="EC111" s="58"/>
      <c r="ED111" s="58"/>
      <c r="EE111" s="58"/>
      <c r="EG111" s="126" t="s">
        <v>294</v>
      </c>
      <c r="EH111" s="58"/>
      <c r="EI111" s="58"/>
      <c r="EJ111" s="58"/>
      <c r="EK111" s="58"/>
      <c r="EL111" s="58"/>
      <c r="EN111" s="126" t="s">
        <v>294</v>
      </c>
      <c r="EO111" s="58"/>
      <c r="EP111" s="58"/>
      <c r="EQ111" s="58"/>
      <c r="ER111" s="58"/>
      <c r="ES111" s="58"/>
      <c r="EU111" s="126" t="s">
        <v>294</v>
      </c>
      <c r="EV111" s="58"/>
      <c r="EW111" s="58"/>
      <c r="EX111" s="58"/>
      <c r="EY111" s="58"/>
      <c r="EZ111" s="58"/>
      <c r="FB111" s="126" t="s">
        <v>294</v>
      </c>
      <c r="FC111" s="58"/>
      <c r="FD111" s="58"/>
      <c r="FE111" s="58"/>
      <c r="FF111" s="58"/>
      <c r="FG111" s="58"/>
      <c r="FI111" s="126" t="s">
        <v>294</v>
      </c>
      <c r="FJ111" s="58"/>
      <c r="FK111" s="58"/>
      <c r="FL111" s="58"/>
      <c r="FM111" s="58"/>
      <c r="FN111" s="58"/>
      <c r="FP111" s="126" t="s">
        <v>294</v>
      </c>
      <c r="FQ111" s="58"/>
      <c r="FR111" s="58"/>
      <c r="FS111" s="58"/>
      <c r="FT111" s="58"/>
      <c r="FU111" s="58"/>
      <c r="FW111" s="126" t="s">
        <v>294</v>
      </c>
      <c r="FX111" s="58"/>
      <c r="FY111" s="58"/>
      <c r="FZ111" s="58"/>
      <c r="GA111" s="58"/>
      <c r="GB111" s="58"/>
      <c r="GD111" s="126" t="s">
        <v>294</v>
      </c>
      <c r="GE111" s="58"/>
      <c r="GF111" s="58"/>
      <c r="GG111" s="58"/>
      <c r="GH111" s="58"/>
      <c r="GI111" s="58"/>
      <c r="GK111" s="126" t="s">
        <v>294</v>
      </c>
      <c r="GL111" s="58" t="s">
        <v>80</v>
      </c>
      <c r="GM111" s="58" t="s">
        <v>80</v>
      </c>
      <c r="GN111" s="58" t="s">
        <v>80</v>
      </c>
      <c r="GO111" s="58" t="s">
        <v>80</v>
      </c>
      <c r="GP111" s="58" t="s">
        <v>80</v>
      </c>
      <c r="GR111" s="126" t="s">
        <v>294</v>
      </c>
      <c r="GS111" s="58" t="s">
        <v>80</v>
      </c>
      <c r="GT111" s="58" t="s">
        <v>80</v>
      </c>
      <c r="GU111" s="58" t="s">
        <v>80</v>
      </c>
      <c r="GV111" s="58" t="s">
        <v>80</v>
      </c>
      <c r="GW111" s="58" t="s">
        <v>80</v>
      </c>
      <c r="GY111" s="126" t="s">
        <v>294</v>
      </c>
      <c r="GZ111" s="58" t="s">
        <v>80</v>
      </c>
      <c r="HA111" s="58" t="s">
        <v>80</v>
      </c>
      <c r="HB111" s="58" t="s">
        <v>80</v>
      </c>
      <c r="HC111" s="58" t="s">
        <v>80</v>
      </c>
      <c r="HD111" s="58" t="s">
        <v>80</v>
      </c>
      <c r="HF111" s="126" t="s">
        <v>294</v>
      </c>
      <c r="HG111" s="58" t="s">
        <v>80</v>
      </c>
      <c r="HH111" s="58" t="s">
        <v>80</v>
      </c>
      <c r="HI111" s="58" t="s">
        <v>80</v>
      </c>
      <c r="HJ111" s="58" t="s">
        <v>80</v>
      </c>
      <c r="HK111" s="58" t="s">
        <v>80</v>
      </c>
      <c r="HM111" s="126" t="s">
        <v>294</v>
      </c>
      <c r="HN111" s="58" t="s">
        <v>80</v>
      </c>
      <c r="HO111" s="58" t="s">
        <v>80</v>
      </c>
      <c r="HP111" s="58" t="s">
        <v>80</v>
      </c>
      <c r="HQ111" s="58" t="s">
        <v>80</v>
      </c>
      <c r="HR111" s="58" t="s">
        <v>80</v>
      </c>
      <c r="HT111" s="126" t="s">
        <v>294</v>
      </c>
      <c r="HU111" s="58" t="s">
        <v>80</v>
      </c>
      <c r="HV111" s="58" t="s">
        <v>80</v>
      </c>
      <c r="HW111" s="58" t="s">
        <v>80</v>
      </c>
      <c r="HX111" s="58" t="s">
        <v>80</v>
      </c>
      <c r="HY111" s="58" t="s">
        <v>80</v>
      </c>
      <c r="IA111" s="126" t="s">
        <v>294</v>
      </c>
      <c r="IB111" s="58" t="s">
        <v>80</v>
      </c>
      <c r="IC111" s="58" t="s">
        <v>80</v>
      </c>
      <c r="ID111" s="58" t="s">
        <v>80</v>
      </c>
      <c r="IE111" s="58" t="s">
        <v>80</v>
      </c>
      <c r="IF111" s="58" t="s">
        <v>80</v>
      </c>
      <c r="IH111" s="126" t="s">
        <v>294</v>
      </c>
      <c r="II111" s="58">
        <v>-9</v>
      </c>
      <c r="IJ111" s="58">
        <v>4</v>
      </c>
      <c r="IK111" s="58">
        <v>8</v>
      </c>
      <c r="IL111" s="58">
        <v>23</v>
      </c>
      <c r="IM111" s="58">
        <f>SUM(II111:IL111)</f>
        <v>26</v>
      </c>
      <c r="IO111" s="126" t="s">
        <v>294</v>
      </c>
      <c r="IP111" s="58">
        <v>37</v>
      </c>
      <c r="IQ111" s="58">
        <v>-1</v>
      </c>
      <c r="IR111" s="58">
        <v>18</v>
      </c>
      <c r="IS111" s="58">
        <v>8</v>
      </c>
      <c r="IT111" s="58">
        <f>SUM(IP111:IS111)</f>
        <v>62</v>
      </c>
      <c r="IV111" s="126" t="s">
        <v>294</v>
      </c>
      <c r="IW111" s="58">
        <v>19</v>
      </c>
      <c r="IX111" s="58">
        <v>-10</v>
      </c>
      <c r="IY111" s="58">
        <v>-1</v>
      </c>
      <c r="IZ111" s="58">
        <v>-5</v>
      </c>
      <c r="JA111" s="58">
        <f>SUM(IW111:IZ111)</f>
        <v>3</v>
      </c>
      <c r="JC111" s="126" t="s">
        <v>294</v>
      </c>
      <c r="JD111" s="58">
        <v>-5</v>
      </c>
      <c r="JE111" s="58">
        <v>1</v>
      </c>
      <c r="JF111" s="58">
        <v>-7</v>
      </c>
      <c r="JG111" s="58">
        <v>-12</v>
      </c>
      <c r="JH111" s="58">
        <f>SUM(JD111:JG111)</f>
        <v>-23</v>
      </c>
      <c r="JJ111" s="126" t="s">
        <v>294</v>
      </c>
      <c r="JK111" s="58">
        <v>-6</v>
      </c>
      <c r="JL111" s="58">
        <v>-13</v>
      </c>
      <c r="JM111" s="58">
        <v>3</v>
      </c>
      <c r="JN111" s="58">
        <v>2</v>
      </c>
      <c r="JO111" s="58">
        <v>-14</v>
      </c>
      <c r="JQ111" s="126" t="s">
        <v>294</v>
      </c>
      <c r="JR111" s="58">
        <v>13</v>
      </c>
      <c r="JS111" s="58">
        <v>-6</v>
      </c>
      <c r="JT111" s="58">
        <v>8</v>
      </c>
      <c r="JU111" s="58">
        <v>-2</v>
      </c>
      <c r="JV111" s="58">
        <v>13</v>
      </c>
      <c r="JX111" s="126" t="s">
        <v>294</v>
      </c>
      <c r="JY111" s="58">
        <v>16</v>
      </c>
      <c r="JZ111" s="58">
        <v>19</v>
      </c>
      <c r="KA111" s="58">
        <v>-1</v>
      </c>
      <c r="KB111" s="58">
        <v>-4</v>
      </c>
      <c r="KC111" s="58">
        <v>30</v>
      </c>
      <c r="KE111" s="126" t="s">
        <v>294</v>
      </c>
      <c r="KF111" s="58">
        <v>-26</v>
      </c>
      <c r="KG111" s="58">
        <v>-13</v>
      </c>
      <c r="KH111" s="58">
        <v>-5</v>
      </c>
      <c r="KI111" s="58">
        <v>-17</v>
      </c>
      <c r="KJ111" s="58">
        <v>-61</v>
      </c>
      <c r="KL111" s="126" t="s">
        <v>294</v>
      </c>
      <c r="KM111" s="58">
        <v>-45</v>
      </c>
      <c r="KN111" s="58">
        <v>-56</v>
      </c>
      <c r="KO111" s="58">
        <v>40</v>
      </c>
      <c r="KP111" s="58">
        <v>4</v>
      </c>
      <c r="KQ111" s="58">
        <v>-57</v>
      </c>
      <c r="KS111" s="126" t="s">
        <v>294</v>
      </c>
      <c r="KT111" s="58">
        <v>41</v>
      </c>
      <c r="KU111" s="58">
        <v>28</v>
      </c>
      <c r="KV111" s="257">
        <v>-32</v>
      </c>
      <c r="KW111" s="258">
        <v>22</v>
      </c>
      <c r="KX111" s="58">
        <f>SUM(KT111:KW111)</f>
        <v>59</v>
      </c>
      <c r="KZ111" s="126" t="s">
        <v>294</v>
      </c>
      <c r="LA111" s="58">
        <v>6</v>
      </c>
      <c r="LB111" s="257">
        <v>17</v>
      </c>
      <c r="LC111" s="257">
        <v>9</v>
      </c>
      <c r="LD111" s="257">
        <v>6</v>
      </c>
      <c r="LE111" s="127">
        <f>SUM(LA111:LD111)</f>
        <v>38</v>
      </c>
      <c r="LF111" s="558"/>
      <c r="LG111" s="126" t="s">
        <v>294</v>
      </c>
      <c r="LH111" s="257">
        <v>-5</v>
      </c>
      <c r="LI111" s="257">
        <v>4</v>
      </c>
      <c r="LJ111" s="257">
        <v>-11</v>
      </c>
      <c r="LK111" s="257">
        <v>1</v>
      </c>
      <c r="LL111" s="127">
        <f>SUM(LH111:LK111)</f>
        <v>-11</v>
      </c>
      <c r="LM111" s="558"/>
      <c r="LN111" s="126" t="s">
        <v>294</v>
      </c>
      <c r="LO111" s="257" t="s">
        <v>80</v>
      </c>
      <c r="LP111" s="257" t="s">
        <v>80</v>
      </c>
      <c r="LQ111" s="257" t="s">
        <v>80</v>
      </c>
      <c r="LR111" s="257" t="s">
        <v>80</v>
      </c>
      <c r="LS111" s="127" t="s">
        <v>80</v>
      </c>
      <c r="LT111" s="558"/>
      <c r="LU111" s="126" t="s">
        <v>294</v>
      </c>
      <c r="LV111" s="257" t="s">
        <v>80</v>
      </c>
      <c r="LW111" s="257" t="s">
        <v>80</v>
      </c>
      <c r="LX111" s="257" t="s">
        <v>80</v>
      </c>
      <c r="LY111" s="257" t="s">
        <v>80</v>
      </c>
      <c r="LZ111" s="127" t="s">
        <v>80</v>
      </c>
      <c r="MA111" s="558"/>
      <c r="MB111" s="126" t="s">
        <v>294</v>
      </c>
      <c r="MC111" s="257" t="s">
        <v>80</v>
      </c>
      <c r="MD111" s="257" t="s">
        <v>80</v>
      </c>
      <c r="ME111" s="257" t="s">
        <v>80</v>
      </c>
      <c r="MF111" s="257" t="s">
        <v>80</v>
      </c>
      <c r="MG111" s="127" t="s">
        <v>80</v>
      </c>
      <c r="MH111" s="558"/>
    </row>
    <row r="112" spans="1:346" s="53" customFormat="1" ht="13.15" x14ac:dyDescent="0.4">
      <c r="A112" s="100"/>
      <c r="B112" s="256"/>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c r="AG112" s="145"/>
      <c r="AH112" s="145"/>
      <c r="AI112" s="145"/>
      <c r="AJ112" s="145"/>
      <c r="AK112" s="145"/>
      <c r="AL112" s="145"/>
      <c r="AM112" s="145"/>
      <c r="AN112" s="145"/>
      <c r="AO112" s="145"/>
      <c r="AP112" s="145"/>
      <c r="AQ112" s="145"/>
      <c r="AR112" s="145"/>
      <c r="AS112" s="145"/>
      <c r="AT112" s="145"/>
      <c r="AU112" s="145"/>
      <c r="AV112" s="145"/>
      <c r="AW112" s="145"/>
      <c r="AX112" s="145"/>
      <c r="AY112" s="145"/>
      <c r="AZ112" s="145"/>
      <c r="BA112" s="145"/>
      <c r="BB112" s="145"/>
      <c r="BC112" s="145"/>
      <c r="BD112" s="145"/>
      <c r="BE112" s="145"/>
      <c r="BF112" s="145"/>
      <c r="BG112" s="145"/>
      <c r="BH112" s="145"/>
      <c r="BI112" s="145"/>
      <c r="BJ112" s="145"/>
      <c r="BK112" s="145"/>
      <c r="BL112" s="145"/>
      <c r="BM112" s="145"/>
      <c r="BO112" s="256"/>
      <c r="BP112" s="58"/>
      <c r="BQ112" s="58"/>
      <c r="BR112" s="58"/>
      <c r="BS112" s="58"/>
      <c r="BT112" s="58"/>
      <c r="BV112" s="256"/>
      <c r="BW112" s="58"/>
      <c r="BX112" s="58"/>
      <c r="BY112" s="58"/>
      <c r="BZ112" s="58"/>
      <c r="CA112" s="58"/>
      <c r="CC112" s="256"/>
      <c r="CD112" s="58"/>
      <c r="CE112" s="58"/>
      <c r="CF112" s="58"/>
      <c r="CG112" s="58"/>
      <c r="CH112" s="58"/>
      <c r="CJ112" s="256"/>
      <c r="CK112" s="58"/>
      <c r="CL112" s="58"/>
      <c r="CM112" s="58"/>
      <c r="CN112" s="58"/>
      <c r="CO112" s="58"/>
      <c r="CQ112" s="256"/>
      <c r="CR112" s="58"/>
      <c r="CS112" s="58"/>
      <c r="CT112" s="58"/>
      <c r="CU112" s="58"/>
      <c r="CV112" s="58"/>
      <c r="CX112" s="256"/>
      <c r="CY112" s="58"/>
      <c r="CZ112" s="58"/>
      <c r="DA112" s="58"/>
      <c r="DB112" s="58"/>
      <c r="DC112" s="58"/>
      <c r="DE112" s="256"/>
      <c r="DF112" s="58"/>
      <c r="DG112" s="58"/>
      <c r="DH112" s="58"/>
      <c r="DI112" s="58"/>
      <c r="DJ112" s="58"/>
      <c r="DL112" s="256"/>
      <c r="DM112" s="58"/>
      <c r="DN112" s="58"/>
      <c r="DO112" s="58"/>
      <c r="DP112" s="58"/>
      <c r="DQ112" s="58"/>
      <c r="DS112" s="256"/>
      <c r="DT112" s="58"/>
      <c r="DU112" s="58"/>
      <c r="DV112" s="58"/>
      <c r="DW112" s="58"/>
      <c r="DX112" s="58"/>
      <c r="DZ112" s="256"/>
      <c r="EA112" s="58"/>
      <c r="EB112" s="58"/>
      <c r="EC112" s="58"/>
      <c r="ED112" s="58"/>
      <c r="EE112" s="58"/>
      <c r="EG112" s="256"/>
      <c r="EH112" s="58"/>
      <c r="EI112" s="58"/>
      <c r="EJ112" s="58"/>
      <c r="EK112" s="58"/>
      <c r="EL112" s="58"/>
      <c r="EN112" s="256"/>
      <c r="EO112" s="58"/>
      <c r="EP112" s="58"/>
      <c r="EQ112" s="58"/>
      <c r="ER112" s="58"/>
      <c r="ES112" s="58"/>
      <c r="EU112" s="256"/>
      <c r="EV112" s="58"/>
      <c r="EW112" s="58"/>
      <c r="EX112" s="58"/>
      <c r="EY112" s="58"/>
      <c r="EZ112" s="58"/>
      <c r="FB112" s="256"/>
      <c r="FC112" s="58"/>
      <c r="FD112" s="58"/>
      <c r="FE112" s="58"/>
      <c r="FF112" s="58"/>
      <c r="FG112" s="58"/>
      <c r="FI112" s="256"/>
      <c r="FJ112" s="58"/>
      <c r="FK112" s="58"/>
      <c r="FL112" s="58"/>
      <c r="FM112" s="58"/>
      <c r="FN112" s="58"/>
      <c r="FP112" s="256"/>
      <c r="FQ112" s="58"/>
      <c r="FR112" s="58"/>
      <c r="FS112" s="58"/>
      <c r="FT112" s="58"/>
      <c r="FU112" s="58"/>
      <c r="FW112" s="256"/>
      <c r="FX112" s="58"/>
      <c r="FY112" s="58"/>
      <c r="FZ112" s="58"/>
      <c r="GA112" s="58"/>
      <c r="GB112" s="58"/>
      <c r="GD112" s="256"/>
      <c r="GE112" s="58"/>
      <c r="GF112" s="58"/>
      <c r="GG112" s="58"/>
      <c r="GH112" s="58"/>
      <c r="GI112" s="58"/>
      <c r="GK112" s="256"/>
      <c r="GL112" s="58"/>
      <c r="GM112" s="58"/>
      <c r="GN112" s="58"/>
      <c r="GO112" s="58"/>
      <c r="GP112" s="58"/>
      <c r="GR112" s="256"/>
      <c r="GS112" s="58"/>
      <c r="GT112" s="58"/>
      <c r="GU112" s="58"/>
      <c r="GV112" s="58"/>
      <c r="GW112" s="58"/>
      <c r="GY112" s="256"/>
      <c r="GZ112" s="58"/>
      <c r="HA112" s="58"/>
      <c r="HB112" s="58"/>
      <c r="HC112" s="58"/>
      <c r="HD112" s="58"/>
      <c r="HF112" s="256"/>
      <c r="HG112" s="58"/>
      <c r="HH112" s="58"/>
      <c r="HI112" s="58"/>
      <c r="HJ112" s="58"/>
      <c r="HK112" s="58"/>
      <c r="HM112" s="256"/>
      <c r="HN112" s="58"/>
      <c r="HO112" s="58"/>
      <c r="HP112" s="58"/>
      <c r="HQ112" s="58"/>
      <c r="HR112" s="58"/>
      <c r="HT112" s="256"/>
      <c r="HU112" s="58"/>
      <c r="HV112" s="58"/>
      <c r="HW112" s="58"/>
      <c r="HX112" s="58"/>
      <c r="HY112" s="58"/>
      <c r="IA112" s="256"/>
      <c r="IB112" s="58"/>
      <c r="IC112" s="58"/>
      <c r="ID112" s="58"/>
      <c r="IE112" s="58"/>
      <c r="IF112" s="58"/>
      <c r="IH112" s="256"/>
      <c r="II112" s="58"/>
      <c r="IJ112" s="58"/>
      <c r="IK112" s="58"/>
      <c r="IL112" s="58"/>
      <c r="IM112" s="58"/>
      <c r="IO112" s="256"/>
      <c r="IP112" s="58"/>
      <c r="IQ112" s="58"/>
      <c r="IR112" s="58"/>
      <c r="IS112" s="58"/>
      <c r="IT112" s="58"/>
      <c r="IV112" s="256"/>
      <c r="IW112" s="58"/>
      <c r="IX112" s="58"/>
      <c r="IY112" s="58"/>
      <c r="IZ112" s="58"/>
      <c r="JA112" s="58"/>
      <c r="JC112" s="256"/>
      <c r="JD112" s="58"/>
      <c r="JE112" s="58"/>
      <c r="JF112" s="58"/>
      <c r="JG112" s="58"/>
      <c r="JH112" s="58"/>
      <c r="JJ112" s="256"/>
      <c r="JK112" s="58"/>
      <c r="JL112" s="58"/>
      <c r="JM112" s="58"/>
      <c r="JN112" s="58"/>
      <c r="JO112" s="58"/>
      <c r="JQ112" s="256"/>
      <c r="JR112" s="58"/>
      <c r="JS112" s="58"/>
      <c r="JT112" s="58"/>
      <c r="JU112" s="58"/>
      <c r="JV112" s="58"/>
      <c r="JX112" s="256"/>
      <c r="JY112" s="58"/>
      <c r="JZ112" s="58"/>
      <c r="KA112" s="58"/>
      <c r="KB112" s="58"/>
      <c r="KC112" s="58"/>
      <c r="KE112" s="256"/>
      <c r="KF112" s="58"/>
      <c r="KG112" s="58"/>
      <c r="KH112" s="58"/>
      <c r="KI112" s="58"/>
      <c r="KJ112" s="58"/>
      <c r="KL112" s="256"/>
      <c r="KM112" s="58"/>
      <c r="KN112" s="58"/>
      <c r="KO112" s="58"/>
      <c r="KP112" s="58"/>
      <c r="KQ112" s="58"/>
      <c r="KS112" s="256"/>
      <c r="KT112" s="58"/>
      <c r="KU112" s="58"/>
      <c r="KV112" s="145"/>
      <c r="KW112" s="144"/>
      <c r="KX112" s="58"/>
      <c r="KZ112" s="256"/>
      <c r="LA112" s="58"/>
      <c r="LB112" s="184"/>
      <c r="LC112" s="184"/>
      <c r="LD112" s="184"/>
      <c r="LE112" s="127"/>
      <c r="LF112" s="555"/>
      <c r="LG112" s="256"/>
      <c r="LH112" s="184"/>
      <c r="LI112" s="184"/>
      <c r="LJ112" s="184"/>
      <c r="LK112" s="184"/>
      <c r="LL112" s="127"/>
      <c r="LM112" s="555"/>
      <c r="LN112" s="256"/>
      <c r="LO112" s="184"/>
      <c r="LP112" s="184"/>
      <c r="LQ112" s="184"/>
      <c r="LR112" s="184"/>
      <c r="LS112" s="127"/>
      <c r="LT112" s="555"/>
      <c r="LU112" s="256"/>
      <c r="LV112" s="184"/>
      <c r="LW112" s="184"/>
      <c r="LX112" s="184"/>
      <c r="LY112" s="184"/>
      <c r="LZ112" s="127"/>
      <c r="MA112" s="555"/>
      <c r="MB112" s="256"/>
      <c r="MC112" s="184"/>
      <c r="MD112" s="184"/>
      <c r="ME112" s="184"/>
      <c r="MF112" s="184"/>
      <c r="MG112" s="127"/>
      <c r="MH112" s="555"/>
    </row>
    <row r="113" spans="1:346" s="53" customFormat="1" x14ac:dyDescent="0.4">
      <c r="A113" s="100"/>
      <c r="B113" s="261" t="s">
        <v>453</v>
      </c>
      <c r="C113" s="262"/>
      <c r="D113" s="262"/>
      <c r="E113" s="262"/>
      <c r="F113" s="262"/>
      <c r="G113" s="262"/>
      <c r="H113" s="262"/>
      <c r="I113" s="262"/>
      <c r="J113" s="262"/>
      <c r="K113" s="262"/>
      <c r="L113" s="262"/>
      <c r="M113" s="262"/>
      <c r="N113" s="262">
        <f>BT113</f>
        <v>0</v>
      </c>
      <c r="O113" s="262">
        <f>CA113</f>
        <v>0</v>
      </c>
      <c r="P113" s="262">
        <f>CH113</f>
        <v>0</v>
      </c>
      <c r="Q113" s="262">
        <f>CO113</f>
        <v>0</v>
      </c>
      <c r="R113" s="262">
        <f>CV113</f>
        <v>0</v>
      </c>
      <c r="S113" s="262">
        <f>DC113</f>
        <v>1.114888888888889</v>
      </c>
      <c r="T113" s="262">
        <f>DJ113</f>
        <v>1.1094166666666667</v>
      </c>
      <c r="U113" s="262">
        <f>DQ113</f>
        <v>1.2349166666666667</v>
      </c>
      <c r="V113" s="262">
        <f>DX113</f>
        <v>1.1998333333333333</v>
      </c>
      <c r="W113" s="262">
        <f>EE113</f>
        <v>1.0448333333333333</v>
      </c>
      <c r="X113" s="262">
        <f>EL113</f>
        <v>1.1200833333333333</v>
      </c>
      <c r="Y113" s="262">
        <f>ES113</f>
        <v>1.4932500000000002</v>
      </c>
      <c r="Z113" s="262">
        <f>EZ113</f>
        <v>1.4040833333333333</v>
      </c>
      <c r="AA113" s="262">
        <f>FG113</f>
        <v>1.3153333333333335</v>
      </c>
      <c r="AB113" s="262">
        <f>FN113</f>
        <v>1.5083333333333333</v>
      </c>
      <c r="AC113" s="262">
        <f>FU113</f>
        <v>1.8074999999999997</v>
      </c>
      <c r="AD113" s="262">
        <f>GB113</f>
        <v>2.4015192307692308</v>
      </c>
      <c r="AE113" s="262">
        <f>GI113</f>
        <v>2.7048461538461535</v>
      </c>
      <c r="AF113" s="262">
        <f>GP113</f>
        <v>2.8780137362637364</v>
      </c>
      <c r="AG113" s="262">
        <f>GW113</f>
        <v>3.8029615384615387</v>
      </c>
      <c r="AH113" s="262">
        <f>HD113</f>
        <v>2.4673269230769233</v>
      </c>
      <c r="AI113" s="262">
        <f>HK113</f>
        <v>2.9915576923076923</v>
      </c>
      <c r="AJ113" s="262">
        <f>HR113</f>
        <v>3.8397115384615383</v>
      </c>
      <c r="AK113" s="262">
        <f>HY113</f>
        <v>3.9667403846153846</v>
      </c>
      <c r="AL113" s="262">
        <f>IF113</f>
        <v>3.9240011446886447</v>
      </c>
      <c r="AM113" s="262">
        <f>IM113</f>
        <v>3.8246346153846158</v>
      </c>
      <c r="AN113" s="262">
        <f>IT113</f>
        <v>2.706634615384615</v>
      </c>
      <c r="AO113" s="262">
        <f>JA113</f>
        <v>2.3039423076923078</v>
      </c>
      <c r="AP113" s="262">
        <f>JH113</f>
        <v>2.6500384615384616</v>
      </c>
      <c r="AQ113" s="262">
        <f>JO113</f>
        <v>3.1760590659340657</v>
      </c>
      <c r="AR113" s="262">
        <f>JV113</f>
        <v>3.0557142857142856</v>
      </c>
      <c r="AS113" s="262">
        <f>KC113</f>
        <v>2.5508076923076923</v>
      </c>
      <c r="AT113" s="262">
        <f>KJ113</f>
        <v>3.2867500000000001</v>
      </c>
      <c r="AU113" s="262">
        <f>KQ113</f>
        <v>4.9889423076923078</v>
      </c>
      <c r="AV113" s="262">
        <f>KX113</f>
        <v>4.2071813186813189</v>
      </c>
      <c r="AW113" s="262">
        <f>LE113</f>
        <v>3.752936673070649</v>
      </c>
      <c r="AX113" s="262">
        <f>LL113</f>
        <v>3.6603750000000002</v>
      </c>
      <c r="AY113" s="262">
        <f>LS113</f>
        <v>3.544</v>
      </c>
      <c r="AZ113" s="262">
        <f>LZ113</f>
        <v>3.544</v>
      </c>
      <c r="BA113" s="262">
        <f>MG113</f>
        <v>3.544</v>
      </c>
      <c r="BB113" s="262"/>
      <c r="BC113" s="262"/>
      <c r="BD113" s="262"/>
      <c r="BE113" s="262"/>
      <c r="BF113" s="262"/>
      <c r="BG113" s="262"/>
      <c r="BH113" s="262"/>
      <c r="BI113" s="262"/>
      <c r="BJ113" s="262"/>
      <c r="BK113" s="262"/>
      <c r="BL113" s="262"/>
      <c r="BM113" s="262"/>
      <c r="BO113" s="261" t="s">
        <v>453</v>
      </c>
      <c r="BP113" s="262"/>
      <c r="BQ113" s="262"/>
      <c r="BR113" s="262"/>
      <c r="BS113" s="262"/>
      <c r="BT113" s="262"/>
      <c r="BV113" s="261" t="s">
        <v>453</v>
      </c>
      <c r="BW113" s="262"/>
      <c r="BX113" s="262"/>
      <c r="BY113" s="262"/>
      <c r="BZ113" s="262"/>
      <c r="CA113" s="262"/>
      <c r="CC113" s="261" t="s">
        <v>453</v>
      </c>
      <c r="CD113" s="262"/>
      <c r="CE113" s="262"/>
      <c r="CF113" s="262"/>
      <c r="CG113" s="262"/>
      <c r="CH113" s="262"/>
      <c r="CJ113" s="261" t="s">
        <v>453</v>
      </c>
      <c r="CK113" s="262"/>
      <c r="CL113" s="262"/>
      <c r="CM113" s="262"/>
      <c r="CN113" s="262"/>
      <c r="CO113" s="262"/>
      <c r="CQ113" s="261" t="s">
        <v>453</v>
      </c>
      <c r="CR113" s="262"/>
      <c r="CS113" s="262"/>
      <c r="CT113" s="262"/>
      <c r="CU113" s="262"/>
      <c r="CV113" s="262"/>
      <c r="CX113" s="261" t="s">
        <v>453</v>
      </c>
      <c r="CY113" s="635">
        <v>1.1033333333333333</v>
      </c>
      <c r="CZ113" s="635">
        <v>1.1033333333333333</v>
      </c>
      <c r="DA113" s="635">
        <v>1.1193333333333333</v>
      </c>
      <c r="DB113" s="635">
        <v>1.1220000000000001</v>
      </c>
      <c r="DC113" s="635">
        <v>1.114888888888889</v>
      </c>
      <c r="DD113" s="77"/>
      <c r="DE113" s="636" t="s">
        <v>559</v>
      </c>
      <c r="DF113" s="635">
        <v>1.0913333333333333</v>
      </c>
      <c r="DG113" s="635">
        <v>1.1166666666666667</v>
      </c>
      <c r="DH113" s="635">
        <v>1.1079999999999999</v>
      </c>
      <c r="DI113" s="635">
        <v>1.1216666666666668</v>
      </c>
      <c r="DJ113" s="635">
        <v>1.1094166666666667</v>
      </c>
      <c r="DK113" s="77"/>
      <c r="DL113" s="636" t="s">
        <v>559</v>
      </c>
      <c r="DM113" s="635">
        <v>1.1576666666666666</v>
      </c>
      <c r="DN113" s="635">
        <v>1.2496666666666667</v>
      </c>
      <c r="DO113" s="635">
        <v>1.2139999999999997</v>
      </c>
      <c r="DP113" s="635">
        <v>1.3183333333333334</v>
      </c>
      <c r="DQ113" s="635">
        <v>1.2349166666666667</v>
      </c>
      <c r="DR113" s="77"/>
      <c r="DS113" s="636" t="s">
        <v>559</v>
      </c>
      <c r="DT113" s="635">
        <v>1.2666666666666666</v>
      </c>
      <c r="DU113" s="635">
        <v>1.1936666666666667</v>
      </c>
      <c r="DV113" s="635">
        <v>1.1586666666666667</v>
      </c>
      <c r="DW113" s="635">
        <v>1.1803333333333332</v>
      </c>
      <c r="DX113" s="635">
        <v>1.1998333333333333</v>
      </c>
      <c r="DY113" s="77"/>
      <c r="DZ113" s="636" t="s">
        <v>559</v>
      </c>
      <c r="EA113" s="635">
        <v>1.0890000000000002</v>
      </c>
      <c r="EB113" s="635">
        <v>1.0589999999999999</v>
      </c>
      <c r="EC113" s="635">
        <v>1.0199999999999998</v>
      </c>
      <c r="ED113" s="635">
        <v>1.0113333333333332</v>
      </c>
      <c r="EE113" s="635">
        <v>1.0448333333333333</v>
      </c>
      <c r="EF113" s="77"/>
      <c r="EG113" s="636" t="s">
        <v>559</v>
      </c>
      <c r="EH113" s="635">
        <v>0.97433333333333338</v>
      </c>
      <c r="EI113" s="635">
        <v>1.0753333333333333</v>
      </c>
      <c r="EJ113" s="635">
        <v>1.1696666666666669</v>
      </c>
      <c r="EK113" s="635">
        <v>1.2609999999999999</v>
      </c>
      <c r="EL113" s="635">
        <v>1.1200833333333333</v>
      </c>
      <c r="EM113" s="77"/>
      <c r="EN113" s="636" t="s">
        <v>559</v>
      </c>
      <c r="EO113" s="635">
        <v>1.4320000000000002</v>
      </c>
      <c r="EP113" s="635">
        <v>1.421</v>
      </c>
      <c r="EQ113" s="635">
        <v>1.5123333333333333</v>
      </c>
      <c r="ER113" s="635">
        <v>1.6076666666666668</v>
      </c>
      <c r="ES113" s="635">
        <v>1.4932500000000002</v>
      </c>
      <c r="ET113" s="77"/>
      <c r="EU113" s="636" t="s">
        <v>559</v>
      </c>
      <c r="EV113" s="635">
        <v>1.4716666666666667</v>
      </c>
      <c r="EW113" s="635">
        <v>1.4666666666666668</v>
      </c>
      <c r="EX113" s="635">
        <v>1.42</v>
      </c>
      <c r="EY113" s="635">
        <v>1.258</v>
      </c>
      <c r="EZ113" s="635">
        <v>1.4040833333333333</v>
      </c>
      <c r="FA113" s="77"/>
      <c r="FB113" s="636" t="s">
        <v>559</v>
      </c>
      <c r="FC113" s="635">
        <v>1.1783333333333332</v>
      </c>
      <c r="FD113" s="635">
        <v>1.3</v>
      </c>
      <c r="FE113" s="635">
        <v>1.3460000000000001</v>
      </c>
      <c r="FF113" s="635">
        <v>1.4370000000000001</v>
      </c>
      <c r="FG113" s="635">
        <v>1.3153333333333335</v>
      </c>
      <c r="FH113" s="77"/>
      <c r="FI113" s="636" t="s">
        <v>559</v>
      </c>
      <c r="FJ113" s="635">
        <v>1.6166666666666665</v>
      </c>
      <c r="FK113" s="635">
        <v>1.4693333333333332</v>
      </c>
      <c r="FL113" s="635">
        <v>1.4630000000000001</v>
      </c>
      <c r="FM113" s="635">
        <v>1.4843333333333335</v>
      </c>
      <c r="FN113" s="635">
        <v>1.5083333333333333</v>
      </c>
      <c r="FO113" s="77"/>
      <c r="FP113" s="636" t="s">
        <v>559</v>
      </c>
      <c r="FQ113" s="635">
        <v>1.5873333333333335</v>
      </c>
      <c r="FR113" s="635">
        <v>1.7163333333333333</v>
      </c>
      <c r="FS113" s="635">
        <v>1.8296666666666666</v>
      </c>
      <c r="FT113" s="635">
        <v>2.0966666666666662</v>
      </c>
      <c r="FU113" s="635">
        <v>1.8074999999999997</v>
      </c>
      <c r="FW113" s="261" t="s">
        <v>453</v>
      </c>
      <c r="FX113" s="262">
        <v>2.058153846153846</v>
      </c>
      <c r="FY113" s="262">
        <v>2.2553846153846155</v>
      </c>
      <c r="FZ113" s="262">
        <v>2.558846153846154</v>
      </c>
      <c r="GA113" s="262">
        <v>2.7336923076923076</v>
      </c>
      <c r="GB113" s="262">
        <f>AVERAGE(FX113:GA113)</f>
        <v>2.4015192307692308</v>
      </c>
      <c r="GD113" s="261" t="s">
        <v>453</v>
      </c>
      <c r="GE113" s="262">
        <v>2.4978461538461536</v>
      </c>
      <c r="GF113" s="262">
        <v>2.8450000000000002</v>
      </c>
      <c r="GG113" s="262">
        <v>2.9215384615384616</v>
      </c>
      <c r="GH113" s="262">
        <v>2.5550000000000002</v>
      </c>
      <c r="GI113" s="262">
        <f>AVERAGE(GE113:GH113)</f>
        <v>2.7048461538461535</v>
      </c>
      <c r="GK113" s="261" t="s">
        <v>453</v>
      </c>
      <c r="GL113" s="262">
        <v>2.5418461538461536</v>
      </c>
      <c r="GM113" s="262">
        <v>2.8142307692307691</v>
      </c>
      <c r="GN113" s="262">
        <v>2.8946923076923077</v>
      </c>
      <c r="GO113" s="262">
        <v>3.2612857142857141</v>
      </c>
      <c r="GP113" s="262">
        <f>AVERAGE(GL113:GO113)</f>
        <v>2.8780137362637364</v>
      </c>
      <c r="GR113" s="261" t="s">
        <v>453</v>
      </c>
      <c r="GS113" s="262">
        <v>3.5494615384615384</v>
      </c>
      <c r="GT113" s="262">
        <v>4.4167692307692308</v>
      </c>
      <c r="GU113" s="262">
        <v>4.3183846153846153</v>
      </c>
      <c r="GV113" s="262">
        <v>2.9272307692307691</v>
      </c>
      <c r="GW113" s="262">
        <f>AVERAGE(GS113:GV113)</f>
        <v>3.8029615384615387</v>
      </c>
      <c r="GY113" s="261" t="s">
        <v>453</v>
      </c>
      <c r="GZ113" s="262">
        <v>2.1853846153846153</v>
      </c>
      <c r="HA113" s="262">
        <v>2.340846153846154</v>
      </c>
      <c r="HB113" s="262">
        <v>2.6025384615384617</v>
      </c>
      <c r="HC113" s="262">
        <v>2.7405384615384616</v>
      </c>
      <c r="HD113" s="262">
        <f>AVERAGE(GZ113:HC113)</f>
        <v>2.4673269230769233</v>
      </c>
      <c r="HF113" s="261" t="s">
        <v>453</v>
      </c>
      <c r="HG113" s="262">
        <v>2.8531538461538464</v>
      </c>
      <c r="HH113" s="262">
        <v>3.0285384615384614</v>
      </c>
      <c r="HI113" s="262">
        <v>2.940230769230769</v>
      </c>
      <c r="HJ113" s="262">
        <v>3.1443076923076925</v>
      </c>
      <c r="HK113" s="262">
        <f>AVERAGE(HG113:HJ113)</f>
        <v>2.9915576923076923</v>
      </c>
      <c r="HM113" s="261" t="s">
        <v>453</v>
      </c>
      <c r="HN113" s="262">
        <v>3.6071538461538464</v>
      </c>
      <c r="HO113" s="262">
        <v>4.0171538461538461</v>
      </c>
      <c r="HP113" s="262">
        <v>3.8668461538461538</v>
      </c>
      <c r="HQ113" s="262">
        <v>3.8676923076923075</v>
      </c>
      <c r="HR113" s="262">
        <f>AVERAGE(HN113:HQ113)</f>
        <v>3.8397115384615383</v>
      </c>
      <c r="HT113" s="261" t="s">
        <v>453</v>
      </c>
      <c r="HU113" s="262">
        <v>3.9599230769230771</v>
      </c>
      <c r="HV113" s="262">
        <v>3.9633076923076924</v>
      </c>
      <c r="HW113" s="262">
        <v>3.9242307692307694</v>
      </c>
      <c r="HX113" s="262">
        <v>4.0194999999999999</v>
      </c>
      <c r="HY113" s="262">
        <f>AVERAGE(HU113:HX113)</f>
        <v>3.9667403846153846</v>
      </c>
      <c r="IA113" s="261" t="s">
        <v>453</v>
      </c>
      <c r="IB113" s="262">
        <v>4.0289166666666665</v>
      </c>
      <c r="IC113" s="262">
        <v>3.886769230769231</v>
      </c>
      <c r="ID113" s="262">
        <v>3.910857142857143</v>
      </c>
      <c r="IE113" s="262">
        <v>3.8694615384615383</v>
      </c>
      <c r="IF113" s="262">
        <f>AVERAGE(IB113:IE113)</f>
        <v>3.9240011446886447</v>
      </c>
      <c r="IH113" s="261" t="s">
        <v>453</v>
      </c>
      <c r="II113" s="262">
        <v>3.9623076923076921</v>
      </c>
      <c r="IJ113" s="262">
        <v>3.9353076923076924</v>
      </c>
      <c r="IK113" s="262">
        <v>3.8344615384615386</v>
      </c>
      <c r="IL113" s="262">
        <v>3.5664615384615383</v>
      </c>
      <c r="IM113" s="262">
        <f>AVERAGE(II113:IL113)</f>
        <v>3.8246346153846158</v>
      </c>
      <c r="IO113" s="261" t="s">
        <v>453</v>
      </c>
      <c r="IP113" s="262">
        <v>2.9157692307692309</v>
      </c>
      <c r="IQ113" s="262">
        <v>2.8495384615384616</v>
      </c>
      <c r="IR113" s="262">
        <v>2.6266153846153846</v>
      </c>
      <c r="IS113" s="262">
        <v>2.4346153846153844</v>
      </c>
      <c r="IT113" s="262">
        <f>AVERAGE(IP113:IS113)</f>
        <v>2.706634615384615</v>
      </c>
      <c r="IV113" s="261" t="s">
        <v>453</v>
      </c>
      <c r="IW113" s="262">
        <v>2.0709230769230769</v>
      </c>
      <c r="IX113" s="262">
        <v>2.2976153846153844</v>
      </c>
      <c r="IY113" s="262">
        <v>2.3806153846153846</v>
      </c>
      <c r="IZ113" s="262">
        <v>2.4666153846153844</v>
      </c>
      <c r="JA113" s="262">
        <f>AVERAGE(IW113:IZ113)</f>
        <v>2.3039423076923078</v>
      </c>
      <c r="JC113" s="261" t="s">
        <v>453</v>
      </c>
      <c r="JD113" s="262">
        <v>2.5680769230769229</v>
      </c>
      <c r="JE113" s="262">
        <v>2.5518461538461539</v>
      </c>
      <c r="JF113" s="262">
        <v>2.6154615384615383</v>
      </c>
      <c r="JG113" s="262">
        <v>2.8647692307692307</v>
      </c>
      <c r="JH113" s="262">
        <f>AVERAGE(JD113:JG113)</f>
        <v>2.6500384615384616</v>
      </c>
      <c r="JJ113" s="261" t="s">
        <v>453</v>
      </c>
      <c r="JK113" s="262">
        <v>3.0173076923076922</v>
      </c>
      <c r="JL113" s="262">
        <v>3.1896153846153847</v>
      </c>
      <c r="JM113" s="262">
        <v>3.2373846153846153</v>
      </c>
      <c r="JN113" s="262">
        <v>3.2599285714285715</v>
      </c>
      <c r="JO113" s="262">
        <f>AVERAGE(JK113:JN113)</f>
        <v>3.1760590659340657</v>
      </c>
      <c r="JQ113" s="261" t="s">
        <v>453</v>
      </c>
      <c r="JR113" s="262">
        <v>3.0175000000000001</v>
      </c>
      <c r="JS113" s="262">
        <v>3.1233846153846154</v>
      </c>
      <c r="JT113" s="262">
        <v>3.0233571428571429</v>
      </c>
      <c r="JU113" s="262">
        <v>3.0586153846153845</v>
      </c>
      <c r="JV113" s="262">
        <f>AVERAGE(JR113:JU113)</f>
        <v>3.0557142857142856</v>
      </c>
      <c r="JX113" s="261" t="s">
        <v>453</v>
      </c>
      <c r="JY113" s="262">
        <v>2.8823846153846153</v>
      </c>
      <c r="JZ113" s="262">
        <v>2.4293076923076922</v>
      </c>
      <c r="KA113" s="262">
        <v>2.425846153846154</v>
      </c>
      <c r="KB113" s="262">
        <v>2.4656923076923078</v>
      </c>
      <c r="KC113" s="262">
        <f>AVERAGE(JY113:KB113)</f>
        <v>2.5508076923076923</v>
      </c>
      <c r="KE113" s="261" t="s">
        <v>453</v>
      </c>
      <c r="KF113" s="262">
        <v>2.913153846153846</v>
      </c>
      <c r="KG113" s="262">
        <v>3.2117692307692307</v>
      </c>
      <c r="KH113" s="262">
        <v>3.3570000000000002</v>
      </c>
      <c r="KI113" s="262">
        <v>3.6650769230769229</v>
      </c>
      <c r="KJ113" s="262">
        <f>AVERAGE(KF113:KI113)</f>
        <v>3.2867500000000001</v>
      </c>
      <c r="KL113" s="261" t="s">
        <v>453</v>
      </c>
      <c r="KM113" s="262">
        <v>4.2436923076923074</v>
      </c>
      <c r="KN113" s="262">
        <v>5.4882307692307695</v>
      </c>
      <c r="KO113" s="262">
        <v>5.1522307692307692</v>
      </c>
      <c r="KP113" s="262">
        <v>5.0716153846153844</v>
      </c>
      <c r="KQ113" s="262">
        <f>AVERAGE(KM113:KP113)</f>
        <v>4.9889423076923078</v>
      </c>
      <c r="KS113" s="261" t="s">
        <v>453</v>
      </c>
      <c r="KT113" s="262">
        <v>4.4136153846153849</v>
      </c>
      <c r="KU113" s="262">
        <v>3.9367692307692308</v>
      </c>
      <c r="KV113" s="262">
        <v>4.241769230769231</v>
      </c>
      <c r="KW113" s="262">
        <v>4.2365714285714287</v>
      </c>
      <c r="KX113" s="262">
        <f>AVERAGE(KT113:KW113)</f>
        <v>4.2071813186813189</v>
      </c>
      <c r="KZ113" s="261" t="s">
        <v>453</v>
      </c>
      <c r="LA113" s="262">
        <v>3.923746692282597</v>
      </c>
      <c r="LB113" s="644">
        <v>3.88</v>
      </c>
      <c r="LC113" s="644">
        <v>3.6880000000000002</v>
      </c>
      <c r="LD113" s="644">
        <v>3.52</v>
      </c>
      <c r="LE113" s="262">
        <f>AVERAGE(LA113:LD113)</f>
        <v>3.752936673070649</v>
      </c>
      <c r="LF113" s="592"/>
      <c r="LG113" s="261" t="s">
        <v>453</v>
      </c>
      <c r="LH113" s="644">
        <v>3.6364999999999998</v>
      </c>
      <c r="LI113" s="644">
        <v>3.55</v>
      </c>
      <c r="LJ113" s="644">
        <v>3.7549999999999999</v>
      </c>
      <c r="LK113" s="262">
        <v>3.7</v>
      </c>
      <c r="LL113" s="262">
        <f>AVERAGE(LH113:LK113)</f>
        <v>3.6603750000000002</v>
      </c>
      <c r="LM113" s="592"/>
      <c r="LN113" s="261" t="s">
        <v>453</v>
      </c>
      <c r="LO113" s="513">
        <v>3.544</v>
      </c>
      <c r="LP113" s="513">
        <f>LO113</f>
        <v>3.544</v>
      </c>
      <c r="LQ113" s="513">
        <f t="shared" ref="LQ113:LR113" si="235">LP113</f>
        <v>3.544</v>
      </c>
      <c r="LR113" s="513">
        <f t="shared" si="235"/>
        <v>3.544</v>
      </c>
      <c r="LS113" s="262">
        <f>AVERAGE(LO113:LR113)</f>
        <v>3.544</v>
      </c>
      <c r="LT113" s="592"/>
      <c r="LU113" s="261" t="s">
        <v>453</v>
      </c>
      <c r="LV113" s="513">
        <f>LR113</f>
        <v>3.544</v>
      </c>
      <c r="LW113" s="513">
        <f>LV113</f>
        <v>3.544</v>
      </c>
      <c r="LX113" s="513">
        <f t="shared" ref="LX113:LY113" si="236">LW113</f>
        <v>3.544</v>
      </c>
      <c r="LY113" s="513">
        <f t="shared" si="236"/>
        <v>3.544</v>
      </c>
      <c r="LZ113" s="262">
        <f>AVERAGE(LV113:LY113)</f>
        <v>3.544</v>
      </c>
      <c r="MA113" s="592"/>
      <c r="MB113" s="261" t="s">
        <v>453</v>
      </c>
      <c r="MC113" s="513">
        <f>LY113</f>
        <v>3.544</v>
      </c>
      <c r="MD113" s="513">
        <f>MC113</f>
        <v>3.544</v>
      </c>
      <c r="ME113" s="513">
        <f t="shared" ref="ME113:MF113" si="237">MD113</f>
        <v>3.544</v>
      </c>
      <c r="MF113" s="513">
        <f t="shared" si="237"/>
        <v>3.544</v>
      </c>
      <c r="MG113" s="262">
        <f>AVERAGE(MC113:MF113)</f>
        <v>3.544</v>
      </c>
      <c r="MH113" s="592"/>
    </row>
    <row r="114" spans="1:346" s="53" customFormat="1" ht="16.149999999999999" x14ac:dyDescent="0.55000000000000004">
      <c r="A114" s="100"/>
      <c r="B114" s="263" t="s">
        <v>454</v>
      </c>
      <c r="C114" s="264"/>
      <c r="D114" s="264"/>
      <c r="E114" s="264"/>
      <c r="F114" s="264"/>
      <c r="G114" s="264"/>
      <c r="H114" s="264"/>
      <c r="I114" s="264"/>
      <c r="J114" s="264"/>
      <c r="K114" s="264"/>
      <c r="L114" s="264"/>
      <c r="M114" s="264"/>
      <c r="N114" s="264">
        <f>BT114</f>
        <v>0</v>
      </c>
      <c r="O114" s="264">
        <f>CA114</f>
        <v>0</v>
      </c>
      <c r="P114" s="264">
        <f>CH114</f>
        <v>0</v>
      </c>
      <c r="Q114" s="264">
        <f>CO114</f>
        <v>0</v>
      </c>
      <c r="R114" s="264">
        <f>CV114</f>
        <v>0</v>
      </c>
      <c r="S114" s="264">
        <f>DC114</f>
        <v>0</v>
      </c>
      <c r="T114" s="264">
        <f>DJ114</f>
        <v>0</v>
      </c>
      <c r="U114" s="264">
        <f>DQ114</f>
        <v>0</v>
      </c>
      <c r="V114" s="264">
        <f>DX114</f>
        <v>0</v>
      </c>
      <c r="W114" s="264">
        <f>EE114</f>
        <v>0</v>
      </c>
      <c r="X114" s="264">
        <f>EL114</f>
        <v>0</v>
      </c>
      <c r="Y114" s="264">
        <f>ES114</f>
        <v>0</v>
      </c>
      <c r="Z114" s="264">
        <f>EZ114</f>
        <v>0</v>
      </c>
      <c r="AA114" s="264">
        <f>FG114</f>
        <v>0</v>
      </c>
      <c r="AB114" s="264">
        <f>FN114</f>
        <v>0</v>
      </c>
      <c r="AC114" s="264">
        <f>FU114</f>
        <v>0</v>
      </c>
      <c r="AD114" s="264">
        <f>GB114</f>
        <v>-1.0866192307692308</v>
      </c>
      <c r="AE114" s="264">
        <f>GI114</f>
        <v>-0.84484615384615336</v>
      </c>
      <c r="AF114" s="264">
        <f>GP114</f>
        <v>-0.74801373626373646</v>
      </c>
      <c r="AG114" s="264">
        <f>GW114</f>
        <v>-0.74296153846153867</v>
      </c>
      <c r="AH114" s="264">
        <f>HD114</f>
        <v>-0.75732692307692329</v>
      </c>
      <c r="AI114" s="264">
        <f>HK114</f>
        <v>-0.73155769230769252</v>
      </c>
      <c r="AJ114" s="264">
        <f>HR114</f>
        <v>-0.77971153846153829</v>
      </c>
      <c r="AK114" s="264">
        <f>HY114</f>
        <v>-0.74674038461538439</v>
      </c>
      <c r="AL114" s="264">
        <f>IF114</f>
        <v>-0.75400114468864476</v>
      </c>
      <c r="AM114" s="264">
        <f>IM114</f>
        <v>-0.87463461538461562</v>
      </c>
      <c r="AN114" s="264">
        <f>IT114</f>
        <v>-0.90663461538461498</v>
      </c>
      <c r="AO114" s="264">
        <f>JA114</f>
        <v>-0.82394230769230781</v>
      </c>
      <c r="AP114" s="264">
        <f>JH114</f>
        <v>-0.81003846153846149</v>
      </c>
      <c r="AQ114" s="264">
        <f>JO114</f>
        <v>-0.89605906593406592</v>
      </c>
      <c r="AR114" s="264">
        <f>JV114</f>
        <v>-0.95571428571428552</v>
      </c>
      <c r="AS114" s="264">
        <f>KC114</f>
        <v>-1.1108076923076924</v>
      </c>
      <c r="AT114" s="264">
        <f>KJ114</f>
        <v>-1.0567500000000001</v>
      </c>
      <c r="AU114" s="264">
        <f>KQ114</f>
        <v>-1.2889423076923077</v>
      </c>
      <c r="AV114" s="264">
        <f>KX114</f>
        <v>-1.1971813186813192</v>
      </c>
      <c r="AW114" s="264">
        <f>LE114</f>
        <v>-1.150436673070649</v>
      </c>
      <c r="AX114" s="264">
        <f>LL114</f>
        <v>-1.2178750000000003</v>
      </c>
      <c r="AY114" s="264">
        <f>LS114</f>
        <v>-1.1999999999999997</v>
      </c>
      <c r="AZ114" s="264">
        <f>LZ114</f>
        <v>-1.1999999999999997</v>
      </c>
      <c r="BA114" s="264">
        <f>MG114</f>
        <v>-1.1999999999999997</v>
      </c>
      <c r="BB114" s="264"/>
      <c r="BC114" s="264"/>
      <c r="BD114" s="264"/>
      <c r="BE114" s="264"/>
      <c r="BF114" s="264"/>
      <c r="BG114" s="264"/>
      <c r="BH114" s="264"/>
      <c r="BI114" s="264"/>
      <c r="BJ114" s="264"/>
      <c r="BK114" s="264"/>
      <c r="BL114" s="264"/>
      <c r="BM114" s="264"/>
      <c r="BO114" s="263" t="s">
        <v>454</v>
      </c>
      <c r="BP114" s="264"/>
      <c r="BQ114" s="264"/>
      <c r="BR114" s="264"/>
      <c r="BS114" s="264"/>
      <c r="BT114" s="264"/>
      <c r="BV114" s="263" t="s">
        <v>454</v>
      </c>
      <c r="BW114" s="264"/>
      <c r="BX114" s="264"/>
      <c r="BY114" s="264"/>
      <c r="BZ114" s="264"/>
      <c r="CA114" s="264"/>
      <c r="CC114" s="263" t="s">
        <v>454</v>
      </c>
      <c r="CD114" s="264"/>
      <c r="CE114" s="264"/>
      <c r="CF114" s="264"/>
      <c r="CG114" s="264"/>
      <c r="CH114" s="264"/>
      <c r="CJ114" s="263" t="s">
        <v>454</v>
      </c>
      <c r="CK114" s="264"/>
      <c r="CL114" s="264"/>
      <c r="CM114" s="264"/>
      <c r="CN114" s="264"/>
      <c r="CO114" s="264"/>
      <c r="CQ114" s="263" t="s">
        <v>454</v>
      </c>
      <c r="CR114" s="264"/>
      <c r="CS114" s="264"/>
      <c r="CT114" s="264"/>
      <c r="CU114" s="264"/>
      <c r="CV114" s="264"/>
      <c r="CX114" s="263" t="s">
        <v>454</v>
      </c>
      <c r="CY114" s="264"/>
      <c r="CZ114" s="264"/>
      <c r="DA114" s="264"/>
      <c r="DB114" s="264"/>
      <c r="DC114" s="264"/>
      <c r="DE114" s="263" t="s">
        <v>454</v>
      </c>
      <c r="DF114" s="264"/>
      <c r="DG114" s="264"/>
      <c r="DH114" s="264"/>
      <c r="DI114" s="264"/>
      <c r="DJ114" s="264"/>
      <c r="DL114" s="263" t="s">
        <v>454</v>
      </c>
      <c r="DM114" s="264"/>
      <c r="DN114" s="264"/>
      <c r="DO114" s="264"/>
      <c r="DP114" s="264"/>
      <c r="DQ114" s="264"/>
      <c r="DS114" s="263" t="s">
        <v>454</v>
      </c>
      <c r="DT114" s="264"/>
      <c r="DU114" s="264"/>
      <c r="DV114" s="264"/>
      <c r="DW114" s="264"/>
      <c r="DX114" s="264"/>
      <c r="DZ114" s="263" t="s">
        <v>454</v>
      </c>
      <c r="EA114" s="264"/>
      <c r="EB114" s="264"/>
      <c r="EC114" s="264"/>
      <c r="ED114" s="264"/>
      <c r="EE114" s="264"/>
      <c r="EG114" s="263" t="s">
        <v>454</v>
      </c>
      <c r="EH114" s="264"/>
      <c r="EI114" s="264"/>
      <c r="EJ114" s="264"/>
      <c r="EK114" s="264"/>
      <c r="EL114" s="264"/>
      <c r="EN114" s="263" t="s">
        <v>454</v>
      </c>
      <c r="EO114" s="264"/>
      <c r="EP114" s="264"/>
      <c r="EQ114" s="264"/>
      <c r="ER114" s="264"/>
      <c r="ES114" s="264"/>
      <c r="EU114" s="263" t="s">
        <v>454</v>
      </c>
      <c r="EV114" s="264"/>
      <c r="EW114" s="264"/>
      <c r="EX114" s="264"/>
      <c r="EY114" s="264"/>
      <c r="EZ114" s="264"/>
      <c r="FB114" s="263" t="s">
        <v>454</v>
      </c>
      <c r="FC114" s="264"/>
      <c r="FD114" s="264"/>
      <c r="FE114" s="264"/>
      <c r="FF114" s="264"/>
      <c r="FG114" s="264"/>
      <c r="FI114" s="263" t="s">
        <v>454</v>
      </c>
      <c r="FJ114" s="264"/>
      <c r="FK114" s="264"/>
      <c r="FL114" s="264"/>
      <c r="FM114" s="264"/>
      <c r="FN114" s="264"/>
      <c r="FP114" s="263" t="s">
        <v>454</v>
      </c>
      <c r="FQ114" s="264"/>
      <c r="FR114" s="264"/>
      <c r="FS114" s="264"/>
      <c r="FT114" s="264"/>
      <c r="FU114" s="264"/>
      <c r="FW114" s="263" t="s">
        <v>454</v>
      </c>
      <c r="FX114" s="264">
        <f>+FX115-FX113</f>
        <v>-0.91845384615384607</v>
      </c>
      <c r="FY114" s="264">
        <f>+FY115-FY113</f>
        <v>-1.0648846153846157</v>
      </c>
      <c r="FZ114" s="264">
        <f>+FZ115-FZ113</f>
        <v>-1.2234461538461541</v>
      </c>
      <c r="GA114" s="264">
        <f>+GA115-GA113</f>
        <v>-1.1304923076923077</v>
      </c>
      <c r="GB114" s="264">
        <f>+GB115-GB113</f>
        <v>-1.0866192307692308</v>
      </c>
      <c r="GD114" s="263" t="s">
        <v>454</v>
      </c>
      <c r="GE114" s="264">
        <f>+GE115-GE113</f>
        <v>-0.88784615384615351</v>
      </c>
      <c r="GF114" s="264">
        <f>+GF115-GF113</f>
        <v>-0.89500000000000024</v>
      </c>
      <c r="GG114" s="264">
        <f>+GG115-GG113</f>
        <v>-0.83153846153846178</v>
      </c>
      <c r="GH114" s="264">
        <f>+GH115-GH113</f>
        <v>-0.74500000000000011</v>
      </c>
      <c r="GI114" s="264">
        <f>+GI115-GI113</f>
        <v>-0.84484615384615336</v>
      </c>
      <c r="GK114" s="263" t="s">
        <v>454</v>
      </c>
      <c r="GL114" s="264">
        <f>+GL115-GL113</f>
        <v>-0.81184615384615366</v>
      </c>
      <c r="GM114" s="264">
        <f>+GM115-GM113</f>
        <v>-0.81423076923076909</v>
      </c>
      <c r="GN114" s="264">
        <f>+GN115-GN113</f>
        <v>-0.64469230769230768</v>
      </c>
      <c r="GO114" s="264">
        <f>+GO115-GO113</f>
        <v>-0.70128571428571407</v>
      </c>
      <c r="GP114" s="264">
        <f>+GP115-GP113</f>
        <v>-0.74801373626373646</v>
      </c>
      <c r="GR114" s="263" t="s">
        <v>454</v>
      </c>
      <c r="GS114" s="264">
        <f>+GS115-GS113</f>
        <v>-0.72946153846153861</v>
      </c>
      <c r="GT114" s="264">
        <f>+GT115-GT113</f>
        <v>-0.79676923076923067</v>
      </c>
      <c r="GU114" s="264">
        <f>+GU115-GU113</f>
        <v>-0.74838461538461543</v>
      </c>
      <c r="GV114" s="264">
        <f>+GV115-GV113</f>
        <v>-0.70723076923076889</v>
      </c>
      <c r="GW114" s="264">
        <f>+GW115-GW113</f>
        <v>-0.74296153846153867</v>
      </c>
      <c r="GY114" s="263" t="s">
        <v>454</v>
      </c>
      <c r="GZ114" s="264">
        <f>+GZ115-GZ113</f>
        <v>-0.79538461538461536</v>
      </c>
      <c r="HA114" s="264">
        <f>+HA115-HA113</f>
        <v>-0.78084615384615397</v>
      </c>
      <c r="HB114" s="264">
        <f>+HB115-HB113</f>
        <v>-0.7225384615384618</v>
      </c>
      <c r="HC114" s="264">
        <f>+HC115-HC113</f>
        <v>-0.71053846153846179</v>
      </c>
      <c r="HD114" s="264">
        <f>+HD115-HD113</f>
        <v>-0.75732692307692329</v>
      </c>
      <c r="HF114" s="263" t="s">
        <v>454</v>
      </c>
      <c r="HG114" s="264">
        <f>+HG115-HG113</f>
        <v>-0.7431538461538465</v>
      </c>
      <c r="HH114" s="264">
        <f>+HH115-HH113</f>
        <v>-0.71853846153846135</v>
      </c>
      <c r="HI114" s="264">
        <f>+HI115-HI113</f>
        <v>-0.77023076923076905</v>
      </c>
      <c r="HJ114" s="264">
        <f>+HJ115-HJ113</f>
        <v>-0.72430769230769254</v>
      </c>
      <c r="HK114" s="264">
        <f>+HK115-HK113</f>
        <v>-0.73155769230769252</v>
      </c>
      <c r="HM114" s="263" t="s">
        <v>454</v>
      </c>
      <c r="HN114" s="264">
        <f>+HN115-HN113</f>
        <v>-0.7471538461538465</v>
      </c>
      <c r="HO114" s="264">
        <f>+HO115-HO113</f>
        <v>-0.80715384615384611</v>
      </c>
      <c r="HP114" s="264">
        <f>+HP115-HP113</f>
        <v>-0.73684615384615393</v>
      </c>
      <c r="HQ114" s="264">
        <f>+HQ115-HQ113</f>
        <v>-0.81769230769230772</v>
      </c>
      <c r="HR114" s="264">
        <f>+HR115-HR113</f>
        <v>-0.77971153846153829</v>
      </c>
      <c r="HT114" s="263" t="s">
        <v>454</v>
      </c>
      <c r="HU114" s="264">
        <f>+HU115-HU113</f>
        <v>-0.80992307692307719</v>
      </c>
      <c r="HV114" s="264">
        <f>+HV115-HV113</f>
        <v>-0.8233076923076923</v>
      </c>
      <c r="HW114" s="264">
        <f>+HW115-HW113</f>
        <v>-0.72423076923076923</v>
      </c>
      <c r="HX114" s="264">
        <f>+HX115-HX113</f>
        <v>-0.68949999999999978</v>
      </c>
      <c r="HY114" s="264">
        <f>+HY115-HY113</f>
        <v>-0.74674038461538439</v>
      </c>
      <c r="IA114" s="263" t="s">
        <v>454</v>
      </c>
      <c r="IB114" s="264">
        <f>+IB115-IB113</f>
        <v>-0.72891666666666666</v>
      </c>
      <c r="IC114" s="264">
        <f>+IC115-IC113</f>
        <v>-0.76676923076923087</v>
      </c>
      <c r="ID114" s="264">
        <f>+ID115-ID113</f>
        <v>-0.7408571428571431</v>
      </c>
      <c r="IE114" s="264">
        <f>+IE115-IE113</f>
        <v>-0.7694615384615382</v>
      </c>
      <c r="IF114" s="264">
        <f>+IF115-IF113</f>
        <v>-0.75400114468864476</v>
      </c>
      <c r="IH114" s="263" t="s">
        <v>454</v>
      </c>
      <c r="II114" s="264">
        <f>+II115-II113</f>
        <v>-0.82230769230769196</v>
      </c>
      <c r="IJ114" s="264">
        <f>+IJ115-IJ113</f>
        <v>-0.87530769230769234</v>
      </c>
      <c r="IK114" s="264">
        <f>+IK115-IK113</f>
        <v>-0.83446153846153859</v>
      </c>
      <c r="IL114" s="264">
        <f>+IL115-IL113</f>
        <v>-0.95646153846153847</v>
      </c>
      <c r="IM114" s="264">
        <f>+IM115-IM113</f>
        <v>-0.87463461538461562</v>
      </c>
      <c r="IO114" s="263" t="s">
        <v>454</v>
      </c>
      <c r="IP114" s="264">
        <f>+IP115-IP113</f>
        <v>-1.0557692307692308</v>
      </c>
      <c r="IQ114" s="264">
        <f>+IQ115-IQ113</f>
        <v>-0.85953846153846158</v>
      </c>
      <c r="IR114" s="264">
        <f>+IR115-IR113</f>
        <v>-0.86661538461538457</v>
      </c>
      <c r="IS114" s="264">
        <f>+IS115-IS113</f>
        <v>-0.85461538461538433</v>
      </c>
      <c r="IT114" s="264">
        <f>+IT115-IT113</f>
        <v>-0.90663461538461498</v>
      </c>
      <c r="IV114" s="263" t="s">
        <v>454</v>
      </c>
      <c r="IW114" s="264">
        <f>+IW115-IW113</f>
        <v>-0.88092307692307692</v>
      </c>
      <c r="IX114" s="264">
        <f>+IX115-IX113</f>
        <v>-0.8076153846153844</v>
      </c>
      <c r="IY114" s="264">
        <f>+IY115-IY113</f>
        <v>-0.81061538461538452</v>
      </c>
      <c r="IZ114" s="264">
        <f>+IZ115-IZ113</f>
        <v>-0.77661538461538449</v>
      </c>
      <c r="JA114" s="264">
        <f>+JA115-JA113</f>
        <v>-0.82394230769230781</v>
      </c>
      <c r="JC114" s="263" t="s">
        <v>454</v>
      </c>
      <c r="JD114" s="264">
        <f>+JD115-JD113</f>
        <v>-0.83807692307692294</v>
      </c>
      <c r="JE114" s="264">
        <f>+JE115-JE113</f>
        <v>-0.84184615384615391</v>
      </c>
      <c r="JF114" s="264">
        <f>+JF115-JF113</f>
        <v>-0.74546153846153818</v>
      </c>
      <c r="JG114" s="264">
        <f>+JG115-JG113</f>
        <v>-0.78476923076923066</v>
      </c>
      <c r="JH114" s="264">
        <f>+JH115-JH113</f>
        <v>-0.81003846153846149</v>
      </c>
      <c r="JJ114" s="263" t="s">
        <v>454</v>
      </c>
      <c r="JK114" s="264">
        <f>+JK115-JK113</f>
        <v>-0.86730769230769234</v>
      </c>
      <c r="JL114" s="264">
        <f>+JL115-JL113</f>
        <v>-0.85961538461538467</v>
      </c>
      <c r="JM114" s="264">
        <f>+JM115-JM113</f>
        <v>-0.8673846153846152</v>
      </c>
      <c r="JN114" s="264">
        <f>+JN115-JN113</f>
        <v>-0.96992857142857147</v>
      </c>
      <c r="JO114" s="264">
        <f>+JO115-JO113</f>
        <v>-0.89605906593406592</v>
      </c>
      <c r="JQ114" s="263" t="s">
        <v>454</v>
      </c>
      <c r="JR114" s="264">
        <f>+JR115-JR113</f>
        <v>-0.97750000000000004</v>
      </c>
      <c r="JS114" s="264">
        <f>+JS115-JS113</f>
        <v>-0.93338461538461548</v>
      </c>
      <c r="JT114" s="264">
        <f>+JT115-JT113</f>
        <v>-0.97335714285714303</v>
      </c>
      <c r="JU114" s="264">
        <f>+JU115-JU113</f>
        <v>-0.93861538461538441</v>
      </c>
      <c r="JV114" s="264">
        <f>+JV115-JV113</f>
        <v>-0.95571428571428552</v>
      </c>
      <c r="JX114" s="263" t="s">
        <v>454</v>
      </c>
      <c r="JY114" s="264">
        <f>+JY115-JY113</f>
        <v>-1.0823846153846153</v>
      </c>
      <c r="JZ114" s="264">
        <f>+JZ115-JZ113</f>
        <v>-1.3293076923076921</v>
      </c>
      <c r="KA114" s="264">
        <f>+KA115-KA113</f>
        <v>-1.1058461538461539</v>
      </c>
      <c r="KB114" s="264">
        <f>+KB115-KB113</f>
        <v>-1.0356923076923079</v>
      </c>
      <c r="KC114" s="264">
        <f>+KC115-KC113</f>
        <v>-1.1108076923076924</v>
      </c>
      <c r="KE114" s="263" t="s">
        <v>454</v>
      </c>
      <c r="KF114" s="264">
        <f>+KF115-KF113</f>
        <v>-1.0331538461538461</v>
      </c>
      <c r="KG114" s="264">
        <f>+KG115-KG113</f>
        <v>-1.0917692307692306</v>
      </c>
      <c r="KH114" s="264">
        <f>+KH115-KH113</f>
        <v>-1.0170000000000003</v>
      </c>
      <c r="KI114" s="264">
        <f>+KI115-KI113</f>
        <v>-1.0850769230769228</v>
      </c>
      <c r="KJ114" s="264">
        <f>+KJ115-KJ113</f>
        <v>-1.0567500000000001</v>
      </c>
      <c r="KL114" s="263" t="s">
        <v>454</v>
      </c>
      <c r="KM114" s="264">
        <f>+KM115-KM113</f>
        <v>-1.2636923076923074</v>
      </c>
      <c r="KN114" s="264">
        <f>+KN115-KN113</f>
        <v>-1.4082307692307694</v>
      </c>
      <c r="KO114" s="264">
        <f>+KO115-KO113</f>
        <v>-1.162230769230769</v>
      </c>
      <c r="KP114" s="264">
        <f>+KP115-KP113</f>
        <v>-1.3116153846153846</v>
      </c>
      <c r="KQ114" s="264">
        <f>+KQ115-KQ113</f>
        <v>-1.2889423076923077</v>
      </c>
      <c r="KS114" s="263" t="s">
        <v>454</v>
      </c>
      <c r="KT114" s="264">
        <f>+KT115-KT113</f>
        <v>-1.243615384615385</v>
      </c>
      <c r="KU114" s="264">
        <f>+KU115-KU113</f>
        <v>-1.176769230769231</v>
      </c>
      <c r="KV114" s="264">
        <f>+KV115-KV113</f>
        <v>-1.2217692307692309</v>
      </c>
      <c r="KW114" s="264">
        <f>+KW115-KW113</f>
        <v>-1.1565714285714286</v>
      </c>
      <c r="KX114" s="264">
        <f>+KX115-KX113</f>
        <v>-1.1971813186813192</v>
      </c>
      <c r="KZ114" s="263" t="s">
        <v>454</v>
      </c>
      <c r="LA114" s="264">
        <f>+LA115-LA113</f>
        <v>-1.0737466922825969</v>
      </c>
      <c r="LB114" s="264">
        <f>+LB115-LB113</f>
        <v>-1.2199999999999998</v>
      </c>
      <c r="LC114" s="264">
        <f>+LC115-LC113</f>
        <v>-1.1680000000000001</v>
      </c>
      <c r="LD114" s="264">
        <f>+LD115-LD113</f>
        <v>-1.1400000000000001</v>
      </c>
      <c r="LE114" s="264">
        <f>+LE115-LE113</f>
        <v>-1.150436673070649</v>
      </c>
      <c r="LF114" s="593"/>
      <c r="LG114" s="263" t="s">
        <v>454</v>
      </c>
      <c r="LH114" s="264">
        <f>+LH115-LH113</f>
        <v>-1.2164999999999999</v>
      </c>
      <c r="LI114" s="264">
        <f>+LI115-LI113</f>
        <v>-1.2199999999999998</v>
      </c>
      <c r="LJ114" s="264">
        <f>+LJ115-LJ113</f>
        <v>-1.2149999999999999</v>
      </c>
      <c r="LK114" s="264">
        <f>+LK115-LK113</f>
        <v>-1.2200000000000002</v>
      </c>
      <c r="LL114" s="264">
        <f>+LL115-LL113</f>
        <v>-1.2178750000000003</v>
      </c>
      <c r="LM114" s="593"/>
      <c r="LN114" s="263" t="s">
        <v>454</v>
      </c>
      <c r="LO114" s="514">
        <v>-1.2</v>
      </c>
      <c r="LP114" s="514">
        <v>-1.2</v>
      </c>
      <c r="LQ114" s="514">
        <v>-1.2</v>
      </c>
      <c r="LR114" s="514">
        <v>-1.2</v>
      </c>
      <c r="LS114" s="264">
        <f>+LS115-LS113</f>
        <v>-1.1999999999999997</v>
      </c>
      <c r="LT114" s="593"/>
      <c r="LU114" s="263" t="s">
        <v>454</v>
      </c>
      <c r="LV114" s="514">
        <v>-1.2</v>
      </c>
      <c r="LW114" s="514">
        <v>-1.2</v>
      </c>
      <c r="LX114" s="514">
        <v>-1.2</v>
      </c>
      <c r="LY114" s="514">
        <v>-1.2</v>
      </c>
      <c r="LZ114" s="264">
        <f>+LZ115-LZ113</f>
        <v>-1.1999999999999997</v>
      </c>
      <c r="MA114" s="593"/>
      <c r="MB114" s="263" t="s">
        <v>454</v>
      </c>
      <c r="MC114" s="514">
        <v>-1.2</v>
      </c>
      <c r="MD114" s="514">
        <v>-1.2</v>
      </c>
      <c r="ME114" s="514">
        <v>-1.2</v>
      </c>
      <c r="MF114" s="514">
        <v>-1.2</v>
      </c>
      <c r="MG114" s="264">
        <f>+MG115-MG113</f>
        <v>-1.1999999999999997</v>
      </c>
      <c r="MH114" s="593"/>
    </row>
    <row r="115" spans="1:346" s="53" customFormat="1" ht="13.15" x14ac:dyDescent="0.4">
      <c r="A115" s="100"/>
      <c r="B115" s="261" t="s">
        <v>455</v>
      </c>
      <c r="C115" s="262"/>
      <c r="D115" s="262"/>
      <c r="E115" s="262"/>
      <c r="F115" s="262"/>
      <c r="G115" s="262"/>
      <c r="H115" s="262"/>
      <c r="I115" s="262"/>
      <c r="J115" s="262"/>
      <c r="K115" s="262"/>
      <c r="L115" s="262"/>
      <c r="M115" s="262"/>
      <c r="N115" s="262">
        <f>BT115</f>
        <v>0</v>
      </c>
      <c r="O115" s="262">
        <f>CA115</f>
        <v>0</v>
      </c>
      <c r="P115" s="262">
        <f>CH115</f>
        <v>0</v>
      </c>
      <c r="Q115" s="262">
        <f>CO115</f>
        <v>0</v>
      </c>
      <c r="R115" s="262">
        <f>CV115</f>
        <v>0</v>
      </c>
      <c r="S115" s="262">
        <f>DC115</f>
        <v>0</v>
      </c>
      <c r="T115" s="262">
        <f>DJ115</f>
        <v>0</v>
      </c>
      <c r="U115" s="262">
        <f>DQ115</f>
        <v>0</v>
      </c>
      <c r="V115" s="262">
        <f>DX115</f>
        <v>0</v>
      </c>
      <c r="W115" s="262">
        <f>EE115</f>
        <v>0</v>
      </c>
      <c r="X115" s="262">
        <f>EL115</f>
        <v>0</v>
      </c>
      <c r="Y115" s="262">
        <f>ES115</f>
        <v>0</v>
      </c>
      <c r="Z115" s="262">
        <f>EZ115</f>
        <v>0</v>
      </c>
      <c r="AA115" s="262">
        <f>FG115</f>
        <v>0</v>
      </c>
      <c r="AB115" s="262">
        <f>FN115</f>
        <v>0</v>
      </c>
      <c r="AC115" s="262">
        <f>FU115</f>
        <v>0</v>
      </c>
      <c r="AD115" s="262">
        <f>GB115</f>
        <v>1.3149</v>
      </c>
      <c r="AE115" s="262">
        <f>GI115</f>
        <v>1.86</v>
      </c>
      <c r="AF115" s="262">
        <f>GP115</f>
        <v>2.13</v>
      </c>
      <c r="AG115" s="262">
        <f>GW115</f>
        <v>3.06</v>
      </c>
      <c r="AH115" s="262">
        <f>HD115</f>
        <v>1.71</v>
      </c>
      <c r="AI115" s="262">
        <f>HK115</f>
        <v>2.2599999999999998</v>
      </c>
      <c r="AJ115" s="262">
        <f>HR115</f>
        <v>3.06</v>
      </c>
      <c r="AK115" s="262">
        <f>HY115</f>
        <v>3.22</v>
      </c>
      <c r="AL115" s="262">
        <f>IF115</f>
        <v>3.17</v>
      </c>
      <c r="AM115" s="262">
        <f>IM115</f>
        <v>2.95</v>
      </c>
      <c r="AN115" s="262">
        <f>IT115</f>
        <v>1.8</v>
      </c>
      <c r="AO115" s="262">
        <f>JA115</f>
        <v>1.48</v>
      </c>
      <c r="AP115" s="262">
        <f>JH115</f>
        <v>1.84</v>
      </c>
      <c r="AQ115" s="262">
        <f>JO115</f>
        <v>2.2799999999999998</v>
      </c>
      <c r="AR115" s="262">
        <f>JV115</f>
        <v>2.1</v>
      </c>
      <c r="AS115" s="262">
        <f>KC115</f>
        <v>1.44</v>
      </c>
      <c r="AT115" s="262">
        <f>KJ115</f>
        <v>2.23</v>
      </c>
      <c r="AU115" s="262">
        <f>KQ115</f>
        <v>3.7</v>
      </c>
      <c r="AV115" s="262">
        <f>KX115</f>
        <v>3.01</v>
      </c>
      <c r="AW115" s="262">
        <f>LE115</f>
        <v>2.6025</v>
      </c>
      <c r="AX115" s="262">
        <f>LL115</f>
        <v>2.4424999999999999</v>
      </c>
      <c r="AY115" s="262">
        <f>LS115</f>
        <v>2.3440000000000003</v>
      </c>
      <c r="AZ115" s="262">
        <f>LZ115</f>
        <v>2.3440000000000003</v>
      </c>
      <c r="BA115" s="262">
        <f>MG115</f>
        <v>2.3440000000000003</v>
      </c>
      <c r="BB115" s="262"/>
      <c r="BC115" s="262"/>
      <c r="BD115" s="262"/>
      <c r="BE115" s="262"/>
      <c r="BF115" s="262"/>
      <c r="BG115" s="262"/>
      <c r="BH115" s="262"/>
      <c r="BI115" s="262"/>
      <c r="BJ115" s="262"/>
      <c r="BK115" s="262"/>
      <c r="BL115" s="262"/>
      <c r="BM115" s="262"/>
      <c r="BO115" s="261" t="s">
        <v>455</v>
      </c>
      <c r="BP115" s="262"/>
      <c r="BQ115" s="262"/>
      <c r="BR115" s="262"/>
      <c r="BS115" s="262"/>
      <c r="BT115" s="262"/>
      <c r="BV115" s="261" t="s">
        <v>455</v>
      </c>
      <c r="BW115" s="262"/>
      <c r="BX115" s="262"/>
      <c r="BY115" s="262"/>
      <c r="BZ115" s="262"/>
      <c r="CA115" s="262"/>
      <c r="CC115" s="261" t="s">
        <v>455</v>
      </c>
      <c r="CD115" s="262"/>
      <c r="CE115" s="262"/>
      <c r="CF115" s="262"/>
      <c r="CG115" s="262"/>
      <c r="CH115" s="262"/>
      <c r="CJ115" s="261" t="s">
        <v>455</v>
      </c>
      <c r="CK115" s="262"/>
      <c r="CL115" s="262"/>
      <c r="CM115" s="262"/>
      <c r="CN115" s="262"/>
      <c r="CO115" s="262"/>
      <c r="CQ115" s="261" t="s">
        <v>455</v>
      </c>
      <c r="CR115" s="262"/>
      <c r="CS115" s="262"/>
      <c r="CT115" s="262"/>
      <c r="CU115" s="262"/>
      <c r="CV115" s="262"/>
      <c r="CX115" s="261" t="s">
        <v>455</v>
      </c>
      <c r="CY115" s="262"/>
      <c r="CZ115" s="262"/>
      <c r="DA115" s="262"/>
      <c r="DB115" s="262"/>
      <c r="DC115" s="262"/>
      <c r="DE115" s="261" t="s">
        <v>455</v>
      </c>
      <c r="DF115" s="262"/>
      <c r="DG115" s="262"/>
      <c r="DH115" s="262"/>
      <c r="DI115" s="262"/>
      <c r="DJ115" s="262"/>
      <c r="DL115" s="261" t="s">
        <v>455</v>
      </c>
      <c r="DM115" s="262"/>
      <c r="DN115" s="262"/>
      <c r="DO115" s="262"/>
      <c r="DP115" s="262"/>
      <c r="DQ115" s="262"/>
      <c r="DS115" s="261" t="s">
        <v>455</v>
      </c>
      <c r="DT115" s="262"/>
      <c r="DU115" s="262"/>
      <c r="DV115" s="262"/>
      <c r="DW115" s="262"/>
      <c r="DX115" s="262"/>
      <c r="DZ115" s="261" t="s">
        <v>455</v>
      </c>
      <c r="EA115" s="262"/>
      <c r="EB115" s="262"/>
      <c r="EC115" s="262"/>
      <c r="ED115" s="262"/>
      <c r="EE115" s="262"/>
      <c r="EG115" s="261" t="s">
        <v>455</v>
      </c>
      <c r="EH115" s="262"/>
      <c r="EI115" s="262"/>
      <c r="EJ115" s="262"/>
      <c r="EK115" s="262"/>
      <c r="EL115" s="262"/>
      <c r="EN115" s="261" t="s">
        <v>455</v>
      </c>
      <c r="EO115" s="262"/>
      <c r="EP115" s="262"/>
      <c r="EQ115" s="262"/>
      <c r="ER115" s="262"/>
      <c r="ES115" s="262"/>
      <c r="EU115" s="261" t="s">
        <v>455</v>
      </c>
      <c r="EV115" s="262"/>
      <c r="EW115" s="262"/>
      <c r="EX115" s="262"/>
      <c r="EY115" s="262"/>
      <c r="EZ115" s="262"/>
      <c r="FB115" s="261" t="s">
        <v>455</v>
      </c>
      <c r="FC115" s="262"/>
      <c r="FD115" s="262"/>
      <c r="FE115" s="262"/>
      <c r="FF115" s="262"/>
      <c r="FG115" s="262"/>
      <c r="FI115" s="261" t="s">
        <v>455</v>
      </c>
      <c r="FJ115" s="262"/>
      <c r="FK115" s="262"/>
      <c r="FL115" s="262"/>
      <c r="FM115" s="262"/>
      <c r="FN115" s="262"/>
      <c r="FP115" s="261" t="s">
        <v>455</v>
      </c>
      <c r="FQ115" s="262"/>
      <c r="FR115" s="262"/>
      <c r="FS115" s="262"/>
      <c r="FT115" s="262"/>
      <c r="FU115" s="262"/>
      <c r="FW115" s="261" t="s">
        <v>455</v>
      </c>
      <c r="FX115" s="262">
        <f>FX118</f>
        <v>1.1396999999999999</v>
      </c>
      <c r="FY115" s="262">
        <f>FY118</f>
        <v>1.1904999999999999</v>
      </c>
      <c r="FZ115" s="262">
        <f>FZ118</f>
        <v>1.3353999999999999</v>
      </c>
      <c r="GA115" s="262">
        <f>GA118</f>
        <v>1.6032</v>
      </c>
      <c r="GB115" s="262">
        <f>GB118</f>
        <v>1.3149</v>
      </c>
      <c r="GD115" s="261" t="s">
        <v>455</v>
      </c>
      <c r="GE115" s="262">
        <f>GE118</f>
        <v>1.61</v>
      </c>
      <c r="GF115" s="262">
        <f>GF118</f>
        <v>1.95</v>
      </c>
      <c r="GG115" s="262">
        <f>GG118</f>
        <v>2.09</v>
      </c>
      <c r="GH115" s="262">
        <f>GH118</f>
        <v>1.81</v>
      </c>
      <c r="GI115" s="262">
        <f>GI118</f>
        <v>1.86</v>
      </c>
      <c r="GK115" s="261" t="s">
        <v>455</v>
      </c>
      <c r="GL115" s="262">
        <f>GL118</f>
        <v>1.73</v>
      </c>
      <c r="GM115" s="262">
        <f>GM118</f>
        <v>2</v>
      </c>
      <c r="GN115" s="262">
        <f>GN118</f>
        <v>2.25</v>
      </c>
      <c r="GO115" s="262">
        <f>GO118</f>
        <v>2.56</v>
      </c>
      <c r="GP115" s="262">
        <f>GP118</f>
        <v>2.13</v>
      </c>
      <c r="GR115" s="261" t="s">
        <v>455</v>
      </c>
      <c r="GS115" s="262">
        <f>GS118</f>
        <v>2.82</v>
      </c>
      <c r="GT115" s="262">
        <f>GT118</f>
        <v>3.62</v>
      </c>
      <c r="GU115" s="262">
        <f>GU118</f>
        <v>3.57</v>
      </c>
      <c r="GV115" s="262">
        <f>GV118</f>
        <v>2.2200000000000002</v>
      </c>
      <c r="GW115" s="262">
        <f>GW118</f>
        <v>3.06</v>
      </c>
      <c r="GY115" s="261" t="s">
        <v>455</v>
      </c>
      <c r="GZ115" s="262">
        <f>GZ118</f>
        <v>1.39</v>
      </c>
      <c r="HA115" s="262">
        <f>HA118</f>
        <v>1.56</v>
      </c>
      <c r="HB115" s="262">
        <f>HB118</f>
        <v>1.88</v>
      </c>
      <c r="HC115" s="262">
        <f>HC118</f>
        <v>2.0299999999999998</v>
      </c>
      <c r="HD115" s="262">
        <f>HD118</f>
        <v>1.71</v>
      </c>
      <c r="HF115" s="261" t="s">
        <v>455</v>
      </c>
      <c r="HG115" s="262">
        <f>HG118</f>
        <v>2.11</v>
      </c>
      <c r="HH115" s="262">
        <f>HH118</f>
        <v>2.31</v>
      </c>
      <c r="HI115" s="262">
        <f>HI118</f>
        <v>2.17</v>
      </c>
      <c r="HJ115" s="262">
        <f>HJ118</f>
        <v>2.42</v>
      </c>
      <c r="HK115" s="262">
        <f>HK118</f>
        <v>2.2599999999999998</v>
      </c>
      <c r="HM115" s="261" t="s">
        <v>455</v>
      </c>
      <c r="HN115" s="262">
        <f>HN118</f>
        <v>2.86</v>
      </c>
      <c r="HO115" s="262">
        <f>HO118</f>
        <v>3.21</v>
      </c>
      <c r="HP115" s="262">
        <f>HP118</f>
        <v>3.13</v>
      </c>
      <c r="HQ115" s="262">
        <f>HQ118</f>
        <v>3.05</v>
      </c>
      <c r="HR115" s="262">
        <f>HR118</f>
        <v>3.06</v>
      </c>
      <c r="HT115" s="261" t="s">
        <v>455</v>
      </c>
      <c r="HU115" s="262">
        <f>HU118</f>
        <v>3.15</v>
      </c>
      <c r="HV115" s="262">
        <f>HV118</f>
        <v>3.14</v>
      </c>
      <c r="HW115" s="262">
        <f>HW118</f>
        <v>3.2</v>
      </c>
      <c r="HX115" s="262">
        <f>HX118</f>
        <v>3.33</v>
      </c>
      <c r="HY115" s="262">
        <f>HY118</f>
        <v>3.22</v>
      </c>
      <c r="IA115" s="261" t="s">
        <v>455</v>
      </c>
      <c r="IB115" s="262">
        <f>IB118</f>
        <v>3.3</v>
      </c>
      <c r="IC115" s="262">
        <f>IC118</f>
        <v>3.12</v>
      </c>
      <c r="ID115" s="262">
        <f>ID118</f>
        <v>3.17</v>
      </c>
      <c r="IE115" s="262">
        <f>IE118</f>
        <v>3.1</v>
      </c>
      <c r="IF115" s="262">
        <f>IF118</f>
        <v>3.17</v>
      </c>
      <c r="IH115" s="261" t="s">
        <v>455</v>
      </c>
      <c r="II115" s="262">
        <f>II118</f>
        <v>3.14</v>
      </c>
      <c r="IJ115" s="262">
        <f>IJ118</f>
        <v>3.06</v>
      </c>
      <c r="IK115" s="262">
        <f>IK118</f>
        <v>3</v>
      </c>
      <c r="IL115" s="262">
        <f>IL118</f>
        <v>2.61</v>
      </c>
      <c r="IM115" s="262">
        <f>IM118</f>
        <v>2.95</v>
      </c>
      <c r="IO115" s="261" t="s">
        <v>455</v>
      </c>
      <c r="IP115" s="262">
        <f>IP118</f>
        <v>1.86</v>
      </c>
      <c r="IQ115" s="262">
        <f>IQ118</f>
        <v>1.99</v>
      </c>
      <c r="IR115" s="262">
        <f>IR118</f>
        <v>1.76</v>
      </c>
      <c r="IS115" s="262">
        <f>IS118</f>
        <v>1.58</v>
      </c>
      <c r="IT115" s="262">
        <f>IT118</f>
        <v>1.8</v>
      </c>
      <c r="IV115" s="261" t="s">
        <v>455</v>
      </c>
      <c r="IW115" s="262">
        <f>IW118</f>
        <v>1.19</v>
      </c>
      <c r="IX115" s="262">
        <f>IX118</f>
        <v>1.49</v>
      </c>
      <c r="IY115" s="262">
        <f>IY118</f>
        <v>1.57</v>
      </c>
      <c r="IZ115" s="262">
        <f>IZ118</f>
        <v>1.69</v>
      </c>
      <c r="JA115" s="262">
        <f>JA118</f>
        <v>1.48</v>
      </c>
      <c r="JC115" s="261" t="s">
        <v>455</v>
      </c>
      <c r="JD115" s="262">
        <f>JD118</f>
        <v>1.73</v>
      </c>
      <c r="JE115" s="262">
        <f>JE118</f>
        <v>1.71</v>
      </c>
      <c r="JF115" s="262">
        <f>JF118</f>
        <v>1.87</v>
      </c>
      <c r="JG115" s="262">
        <f>JG118</f>
        <v>2.08</v>
      </c>
      <c r="JH115" s="262">
        <f>JH118</f>
        <v>1.84</v>
      </c>
      <c r="JJ115" s="261" t="s">
        <v>455</v>
      </c>
      <c r="JK115" s="262">
        <f>JK118</f>
        <v>2.15</v>
      </c>
      <c r="JL115" s="262">
        <f>JL118</f>
        <v>2.33</v>
      </c>
      <c r="JM115" s="262">
        <f>JM118</f>
        <v>2.37</v>
      </c>
      <c r="JN115" s="262">
        <f>JN118</f>
        <v>2.29</v>
      </c>
      <c r="JO115" s="262">
        <f>JO118</f>
        <v>2.2799999999999998</v>
      </c>
      <c r="JQ115" s="261" t="s">
        <v>455</v>
      </c>
      <c r="JR115" s="262">
        <f>JR118</f>
        <v>2.04</v>
      </c>
      <c r="JS115" s="262">
        <f>JS118</f>
        <v>2.19</v>
      </c>
      <c r="JT115" s="262">
        <f>JT118</f>
        <v>2.0499999999999998</v>
      </c>
      <c r="JU115" s="262">
        <f>JU118</f>
        <v>2.12</v>
      </c>
      <c r="JV115" s="262">
        <f>JV118</f>
        <v>2.1</v>
      </c>
      <c r="JX115" s="261" t="s">
        <v>455</v>
      </c>
      <c r="JY115" s="262">
        <f>JY118</f>
        <v>1.8</v>
      </c>
      <c r="JZ115" s="262">
        <f>JZ118</f>
        <v>1.1000000000000001</v>
      </c>
      <c r="KA115" s="262">
        <f>KA118</f>
        <v>1.32</v>
      </c>
      <c r="KB115" s="262">
        <f>KB118</f>
        <v>1.43</v>
      </c>
      <c r="KC115" s="262">
        <f>KC118</f>
        <v>1.44</v>
      </c>
      <c r="KE115" s="261" t="s">
        <v>455</v>
      </c>
      <c r="KF115" s="262">
        <f>KF118</f>
        <v>1.88</v>
      </c>
      <c r="KG115" s="262">
        <f>KG118</f>
        <v>2.12</v>
      </c>
      <c r="KH115" s="262">
        <f>KH118</f>
        <v>2.34</v>
      </c>
      <c r="KI115" s="262">
        <f>KI118</f>
        <v>2.58</v>
      </c>
      <c r="KJ115" s="262">
        <f>KJ118</f>
        <v>2.23</v>
      </c>
      <c r="KL115" s="261" t="s">
        <v>455</v>
      </c>
      <c r="KM115" s="262">
        <f>KM118</f>
        <v>2.98</v>
      </c>
      <c r="KN115" s="262">
        <f>KN118</f>
        <v>4.08</v>
      </c>
      <c r="KO115" s="262">
        <f>KO118</f>
        <v>3.99</v>
      </c>
      <c r="KP115" s="262">
        <f>KP118</f>
        <v>3.76</v>
      </c>
      <c r="KQ115" s="262">
        <f>KQ118</f>
        <v>3.7</v>
      </c>
      <c r="KS115" s="261" t="s">
        <v>455</v>
      </c>
      <c r="KT115" s="262">
        <f>KT118</f>
        <v>3.17</v>
      </c>
      <c r="KU115" s="262">
        <f>KU118</f>
        <v>2.76</v>
      </c>
      <c r="KV115" s="262">
        <f>KV118</f>
        <v>3.02</v>
      </c>
      <c r="KW115" s="262">
        <f>KW118</f>
        <v>3.08</v>
      </c>
      <c r="KX115" s="262">
        <f>KX118</f>
        <v>3.01</v>
      </c>
      <c r="KZ115" s="261" t="s">
        <v>455</v>
      </c>
      <c r="LA115" s="262">
        <f>LA118</f>
        <v>2.85</v>
      </c>
      <c r="LB115" s="262">
        <f>LB118</f>
        <v>2.66</v>
      </c>
      <c r="LC115" s="262">
        <f>LC118</f>
        <v>2.52</v>
      </c>
      <c r="LD115" s="262">
        <f>LD118</f>
        <v>2.38</v>
      </c>
      <c r="LE115" s="262">
        <f>LE118</f>
        <v>2.6025</v>
      </c>
      <c r="LF115" s="592"/>
      <c r="LG115" s="261" t="s">
        <v>455</v>
      </c>
      <c r="LH115" s="262">
        <f>LH118</f>
        <v>2.42</v>
      </c>
      <c r="LI115" s="262">
        <f>LI118</f>
        <v>2.33</v>
      </c>
      <c r="LJ115" s="262">
        <v>2.54</v>
      </c>
      <c r="LK115" s="262">
        <v>2.48</v>
      </c>
      <c r="LL115" s="262">
        <f>LL118</f>
        <v>2.4424999999999999</v>
      </c>
      <c r="LM115" s="592"/>
      <c r="LN115" s="261" t="s">
        <v>455</v>
      </c>
      <c r="LO115" s="262">
        <f>+LO113+LO114</f>
        <v>2.3440000000000003</v>
      </c>
      <c r="LP115" s="262">
        <f>+LP113+LP114</f>
        <v>2.3440000000000003</v>
      </c>
      <c r="LQ115" s="262">
        <f>+LQ113+LQ114</f>
        <v>2.3440000000000003</v>
      </c>
      <c r="LR115" s="262">
        <f>+LR113+LR114</f>
        <v>2.3440000000000003</v>
      </c>
      <c r="LS115" s="262">
        <f>LS118</f>
        <v>2.3440000000000003</v>
      </c>
      <c r="LT115" s="592"/>
      <c r="LU115" s="261" t="s">
        <v>455</v>
      </c>
      <c r="LV115" s="262">
        <f>+LV113+LV114</f>
        <v>2.3440000000000003</v>
      </c>
      <c r="LW115" s="262">
        <f>+LW113+LW114</f>
        <v>2.3440000000000003</v>
      </c>
      <c r="LX115" s="262">
        <f>+LX113+LX114</f>
        <v>2.3440000000000003</v>
      </c>
      <c r="LY115" s="262">
        <f>+LY113+LY114</f>
        <v>2.3440000000000003</v>
      </c>
      <c r="LZ115" s="262">
        <f>LZ118</f>
        <v>2.3440000000000003</v>
      </c>
      <c r="MA115" s="592"/>
      <c r="MB115" s="261" t="s">
        <v>455</v>
      </c>
      <c r="MC115" s="262">
        <f>+MC113+MC114</f>
        <v>2.3440000000000003</v>
      </c>
      <c r="MD115" s="262">
        <f>+MD113+MD114</f>
        <v>2.3440000000000003</v>
      </c>
      <c r="ME115" s="262">
        <f>+ME113+ME114</f>
        <v>2.3440000000000003</v>
      </c>
      <c r="MF115" s="262">
        <f>+MF113+MF114</f>
        <v>2.3440000000000003</v>
      </c>
      <c r="MG115" s="262">
        <f>MG118</f>
        <v>2.3440000000000003</v>
      </c>
      <c r="MH115" s="592"/>
    </row>
    <row r="116" spans="1:346" s="53" customFormat="1" ht="13.15" x14ac:dyDescent="0.4">
      <c r="A116" s="100"/>
      <c r="B116" s="256"/>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c r="BC116" s="145"/>
      <c r="BD116" s="145"/>
      <c r="BE116" s="145"/>
      <c r="BF116" s="145"/>
      <c r="BG116" s="145"/>
      <c r="BH116" s="145"/>
      <c r="BI116" s="145"/>
      <c r="BJ116" s="145"/>
      <c r="BK116" s="145"/>
      <c r="BL116" s="145"/>
      <c r="BM116" s="145"/>
      <c r="BO116" s="256"/>
      <c r="BP116" s="58"/>
      <c r="BQ116" s="58"/>
      <c r="BR116" s="58"/>
      <c r="BS116" s="58"/>
      <c r="BT116" s="58"/>
      <c r="BV116" s="256"/>
      <c r="BW116" s="58"/>
      <c r="BX116" s="58"/>
      <c r="BY116" s="58"/>
      <c r="BZ116" s="58"/>
      <c r="CA116" s="58"/>
      <c r="CC116" s="256"/>
      <c r="CD116" s="58"/>
      <c r="CE116" s="58"/>
      <c r="CF116" s="58"/>
      <c r="CG116" s="58"/>
      <c r="CH116" s="58"/>
      <c r="CJ116" s="256"/>
      <c r="CK116" s="58"/>
      <c r="CL116" s="58"/>
      <c r="CM116" s="58"/>
      <c r="CN116" s="58"/>
      <c r="CO116" s="58"/>
      <c r="CQ116" s="256"/>
      <c r="CR116" s="58"/>
      <c r="CS116" s="58"/>
      <c r="CT116" s="58"/>
      <c r="CU116" s="58"/>
      <c r="CV116" s="58"/>
      <c r="CX116" s="256"/>
      <c r="CY116" s="58"/>
      <c r="CZ116" s="58"/>
      <c r="DA116" s="58"/>
      <c r="DB116" s="58"/>
      <c r="DC116" s="58"/>
      <c r="DE116" s="256"/>
      <c r="DF116" s="58"/>
      <c r="DG116" s="58"/>
      <c r="DH116" s="58"/>
      <c r="DI116" s="58"/>
      <c r="DJ116" s="58"/>
      <c r="DL116" s="256"/>
      <c r="DM116" s="58"/>
      <c r="DN116" s="58"/>
      <c r="DO116" s="58"/>
      <c r="DP116" s="58"/>
      <c r="DQ116" s="58"/>
      <c r="DS116" s="256"/>
      <c r="DT116" s="58"/>
      <c r="DU116" s="58"/>
      <c r="DV116" s="58"/>
      <c r="DW116" s="58"/>
      <c r="DX116" s="58"/>
      <c r="DZ116" s="256"/>
      <c r="EA116" s="58"/>
      <c r="EB116" s="58"/>
      <c r="EC116" s="58"/>
      <c r="ED116" s="58"/>
      <c r="EE116" s="58"/>
      <c r="EG116" s="256"/>
      <c r="EH116" s="58"/>
      <c r="EI116" s="58"/>
      <c r="EJ116" s="58"/>
      <c r="EK116" s="58"/>
      <c r="EL116" s="58"/>
      <c r="EN116" s="256"/>
      <c r="EO116" s="58"/>
      <c r="EP116" s="58"/>
      <c r="EQ116" s="58"/>
      <c r="ER116" s="58"/>
      <c r="ES116" s="58"/>
      <c r="EU116" s="256"/>
      <c r="EV116" s="58"/>
      <c r="EW116" s="58"/>
      <c r="EX116" s="58"/>
      <c r="EY116" s="58"/>
      <c r="EZ116" s="58"/>
      <c r="FB116" s="256"/>
      <c r="FC116" s="58"/>
      <c r="FD116" s="58"/>
      <c r="FE116" s="58"/>
      <c r="FF116" s="58"/>
      <c r="FG116" s="58"/>
      <c r="FI116" s="256"/>
      <c r="FJ116" s="58"/>
      <c r="FK116" s="58"/>
      <c r="FL116" s="58"/>
      <c r="FM116" s="58"/>
      <c r="FN116" s="58"/>
      <c r="FP116" s="256"/>
      <c r="FQ116" s="58"/>
      <c r="FR116" s="58"/>
      <c r="FS116" s="58"/>
      <c r="FT116" s="58"/>
      <c r="FU116" s="58"/>
      <c r="FW116" s="256"/>
      <c r="FX116" s="58"/>
      <c r="FY116" s="58"/>
      <c r="FZ116" s="58"/>
      <c r="GA116" s="58"/>
      <c r="GB116" s="58"/>
      <c r="GD116" s="256"/>
      <c r="GE116" s="58"/>
      <c r="GF116" s="58"/>
      <c r="GG116" s="58"/>
      <c r="GH116" s="58"/>
      <c r="GI116" s="58"/>
      <c r="GK116" s="256"/>
      <c r="GL116" s="58"/>
      <c r="GM116" s="58"/>
      <c r="GN116" s="58"/>
      <c r="GO116" s="58"/>
      <c r="GP116" s="58"/>
      <c r="GR116" s="256"/>
      <c r="GS116" s="58"/>
      <c r="GT116" s="58"/>
      <c r="GU116" s="58"/>
      <c r="GV116" s="58"/>
      <c r="GW116" s="58"/>
      <c r="GY116" s="256"/>
      <c r="GZ116" s="58"/>
      <c r="HA116" s="58"/>
      <c r="HB116" s="58"/>
      <c r="HC116" s="58"/>
      <c r="HD116" s="58"/>
      <c r="HF116" s="256"/>
      <c r="HG116" s="58"/>
      <c r="HH116" s="58"/>
      <c r="HI116" s="58"/>
      <c r="HJ116" s="58"/>
      <c r="HK116" s="58"/>
      <c r="HM116" s="256"/>
      <c r="HN116" s="58"/>
      <c r="HO116" s="58"/>
      <c r="HP116" s="58"/>
      <c r="HQ116" s="58"/>
      <c r="HR116" s="58"/>
      <c r="HT116" s="256"/>
      <c r="HU116" s="58"/>
      <c r="HV116" s="58"/>
      <c r="HW116" s="58"/>
      <c r="HX116" s="58"/>
      <c r="HY116" s="58"/>
      <c r="IA116" s="256"/>
      <c r="IB116" s="58"/>
      <c r="IC116" s="58"/>
      <c r="ID116" s="58"/>
      <c r="IE116" s="58"/>
      <c r="IF116" s="58"/>
      <c r="IH116" s="256"/>
      <c r="II116" s="58"/>
      <c r="IJ116" s="58"/>
      <c r="IK116" s="58"/>
      <c r="IL116" s="58"/>
      <c r="IM116" s="58"/>
      <c r="IO116" s="256"/>
      <c r="IP116" s="58"/>
      <c r="IQ116" s="58"/>
      <c r="IR116" s="58"/>
      <c r="IS116" s="58"/>
      <c r="IT116" s="58"/>
      <c r="IV116" s="256"/>
      <c r="IW116" s="58"/>
      <c r="IX116" s="58"/>
      <c r="IY116" s="58"/>
      <c r="IZ116" s="58"/>
      <c r="JA116" s="58"/>
      <c r="JC116" s="256"/>
      <c r="JD116" s="58"/>
      <c r="JE116" s="58"/>
      <c r="JF116" s="58"/>
      <c r="JG116" s="58"/>
      <c r="JH116" s="58"/>
      <c r="JJ116" s="256"/>
      <c r="JK116" s="58"/>
      <c r="JL116" s="58"/>
      <c r="JM116" s="58"/>
      <c r="JN116" s="58"/>
      <c r="JO116" s="58"/>
      <c r="JQ116" s="256"/>
      <c r="JR116" s="58"/>
      <c r="JS116" s="58"/>
      <c r="JT116" s="58"/>
      <c r="JU116" s="58"/>
      <c r="JV116" s="58"/>
      <c r="JX116" s="256"/>
      <c r="JY116" s="58"/>
      <c r="JZ116" s="58"/>
      <c r="KA116" s="58"/>
      <c r="KB116" s="58"/>
      <c r="KC116" s="58"/>
      <c r="KE116" s="256"/>
      <c r="KF116" s="58"/>
      <c r="KG116" s="58"/>
      <c r="KH116" s="58"/>
      <c r="KI116" s="58"/>
      <c r="KJ116" s="58"/>
      <c r="KL116" s="256"/>
      <c r="KM116" s="58"/>
      <c r="KN116" s="58"/>
      <c r="KO116" s="58"/>
      <c r="KP116" s="58"/>
      <c r="KQ116" s="58"/>
      <c r="KS116" s="256"/>
      <c r="KT116" s="58"/>
      <c r="KU116" s="58"/>
      <c r="KV116" s="145"/>
      <c r="KW116" s="145"/>
      <c r="KX116" s="58"/>
      <c r="KZ116" s="256"/>
      <c r="LA116" s="58"/>
      <c r="LB116" s="184"/>
      <c r="LC116" s="184"/>
      <c r="LD116" s="184"/>
      <c r="LE116" s="127"/>
      <c r="LF116" s="555"/>
      <c r="LG116" s="256"/>
      <c r="LH116" s="184"/>
      <c r="LI116" s="184"/>
      <c r="LJ116" s="184"/>
      <c r="LK116" s="184"/>
      <c r="LL116" s="127"/>
      <c r="LM116" s="555"/>
      <c r="LN116" s="256"/>
      <c r="LO116" s="184"/>
      <c r="LP116" s="184"/>
      <c r="LQ116" s="184"/>
      <c r="LR116" s="184"/>
      <c r="LS116" s="127"/>
      <c r="LT116" s="555"/>
      <c r="LU116" s="256"/>
      <c r="LV116" s="184"/>
      <c r="LW116" s="184"/>
      <c r="LX116" s="184"/>
      <c r="LY116" s="184"/>
      <c r="LZ116" s="127"/>
      <c r="MA116" s="555"/>
      <c r="MB116" s="256"/>
      <c r="MC116" s="184"/>
      <c r="MD116" s="184"/>
      <c r="ME116" s="184"/>
      <c r="MF116" s="184"/>
      <c r="MG116" s="127"/>
      <c r="MH116" s="555"/>
    </row>
    <row r="117" spans="1:346" s="53" customFormat="1" ht="13.15" x14ac:dyDescent="0.4">
      <c r="A117" s="100"/>
      <c r="B117" s="168" t="s">
        <v>443</v>
      </c>
      <c r="C117" s="169"/>
      <c r="D117" s="169"/>
      <c r="E117" s="169"/>
      <c r="F117" s="169"/>
      <c r="G117" s="169"/>
      <c r="H117" s="169"/>
      <c r="I117" s="169"/>
      <c r="J117" s="169"/>
      <c r="K117" s="169"/>
      <c r="L117" s="169"/>
      <c r="M117" s="169"/>
      <c r="N117" s="169">
        <f t="shared" ref="N117:N128" si="238">BT117</f>
        <v>465.19999999999993</v>
      </c>
      <c r="O117" s="169">
        <f t="shared" ref="O117:O128" si="239">CA117</f>
        <v>443.4</v>
      </c>
      <c r="P117" s="169">
        <f t="shared" ref="P117:P128" si="240">CH117</f>
        <v>402</v>
      </c>
      <c r="Q117" s="169">
        <f t="shared" ref="Q117:Q128" si="241">CO117</f>
        <v>404</v>
      </c>
      <c r="R117" s="169">
        <f t="shared" ref="R117:R128" si="242">CV117</f>
        <v>395</v>
      </c>
      <c r="S117" s="169">
        <f t="shared" ref="S117:S128" si="243">DC117</f>
        <v>417</v>
      </c>
      <c r="T117" s="169">
        <f t="shared" ref="T117:T128" si="244">DJ117</f>
        <v>423</v>
      </c>
      <c r="U117" s="169">
        <f t="shared" ref="U117:U128" si="245">DQ117</f>
        <v>429</v>
      </c>
      <c r="V117" s="169">
        <f t="shared" ref="V117:V128" si="246">DX117</f>
        <v>437</v>
      </c>
      <c r="W117" s="169">
        <f t="shared" ref="W117:W128" si="247">EE117</f>
        <v>440</v>
      </c>
      <c r="X117" s="169">
        <f t="shared" ref="X117:X128" si="248">EL117</f>
        <v>526.70000000000005</v>
      </c>
      <c r="Y117" s="169">
        <f t="shared" ref="Y117:Y128" si="249">ES117</f>
        <v>604.79999999999995</v>
      </c>
      <c r="Z117" s="169">
        <f t="shared" ref="Z117:Z128" si="250">EZ117</f>
        <v>580.4</v>
      </c>
      <c r="AA117" s="169">
        <f t="shared" ref="AA117:AA128" si="251">FG117</f>
        <v>572.1</v>
      </c>
      <c r="AB117" s="169">
        <f t="shared" ref="AB117:AB128" si="252">FN117</f>
        <v>591.6</v>
      </c>
      <c r="AC117" s="169">
        <f t="shared" ref="AC117:AC128" si="253">FU117</f>
        <v>614.59999999999991</v>
      </c>
      <c r="AD117" s="169">
        <f t="shared" ref="AD117:AD128" si="254">GB117</f>
        <v>595.5</v>
      </c>
      <c r="AE117" s="169">
        <f t="shared" ref="AE117:AE128" si="255">GI117</f>
        <v>598</v>
      </c>
      <c r="AF117" s="169">
        <f t="shared" ref="AF117:AF128" si="256">GP117</f>
        <v>568.6</v>
      </c>
      <c r="AG117" s="169">
        <f t="shared" ref="AG117:AG128" si="257">GW117</f>
        <v>544.79999999999995</v>
      </c>
      <c r="AH117" s="169">
        <f t="shared" ref="AH117:AH128" si="258">HD117</f>
        <v>445.7</v>
      </c>
      <c r="AI117" s="169">
        <f t="shared" ref="AI117:AI128" si="259">HK117</f>
        <v>489.6</v>
      </c>
      <c r="AJ117" s="169">
        <f t="shared" ref="AJ117:AJ128" si="260">HR117</f>
        <v>500.7</v>
      </c>
      <c r="AK117" s="169">
        <f t="shared" ref="AK117:AK128" si="261">HY117</f>
        <v>484.4</v>
      </c>
      <c r="AL117" s="169">
        <f t="shared" ref="AL117:AL128" si="262">IF117</f>
        <v>481.9</v>
      </c>
      <c r="AM117" s="169">
        <f t="shared" ref="AM117:AM128" si="263">IM117</f>
        <v>507.3</v>
      </c>
      <c r="AN117" s="169">
        <f t="shared" ref="AN117:AN128" si="264">IT117</f>
        <v>487.5</v>
      </c>
      <c r="AO117" s="169">
        <f t="shared" ref="AO117:AO128" si="265">JA117</f>
        <v>437.4</v>
      </c>
      <c r="AP117" s="169">
        <f t="shared" ref="AP117:AP128" si="266">JH117</f>
        <v>426.7</v>
      </c>
      <c r="AQ117" s="169">
        <f t="shared" ref="AQ117:AQ128" si="267">JO117</f>
        <v>424</v>
      </c>
      <c r="AR117" s="169">
        <f t="shared" ref="AR117:AR128" si="268">JV117</f>
        <v>391.8</v>
      </c>
      <c r="AS117" s="169">
        <f t="shared" ref="AS117:AS128" si="269">KC117</f>
        <v>345.2</v>
      </c>
      <c r="AT117" s="169">
        <f t="shared" ref="AT117:AT128" si="270">KJ117</f>
        <v>362.1</v>
      </c>
      <c r="AU117" s="169">
        <f t="shared" ref="AU117:AU128" si="271">KQ117</f>
        <v>372.9</v>
      </c>
      <c r="AV117" s="169">
        <f t="shared" ref="AV117:AV128" si="272">KX117</f>
        <v>388.7</v>
      </c>
      <c r="AW117" s="169">
        <f t="shared" ref="AW117:AW128" si="273">LE117</f>
        <v>375.4</v>
      </c>
      <c r="AX117" s="169">
        <f t="shared" ref="AX117:AX128" si="274">LL117</f>
        <v>374.4</v>
      </c>
      <c r="AY117" s="169">
        <f t="shared" ref="AY117:AY128" si="275">LS117</f>
        <v>379.8126004257237</v>
      </c>
      <c r="AZ117" s="169">
        <f t="shared" ref="AZ117:AZ128" si="276">LZ117</f>
        <v>386.31107106319007</v>
      </c>
      <c r="BA117" s="169">
        <f t="shared" ref="BA117:BA128" si="277">MG117</f>
        <v>394.12918873803369</v>
      </c>
      <c r="BB117" s="169"/>
      <c r="BC117" s="169"/>
      <c r="BD117" s="169"/>
      <c r="BE117" s="169"/>
      <c r="BF117" s="169"/>
      <c r="BG117" s="169"/>
      <c r="BH117" s="169"/>
      <c r="BI117" s="169"/>
      <c r="BJ117" s="169"/>
      <c r="BK117" s="169"/>
      <c r="BL117" s="169"/>
      <c r="BM117" s="169"/>
      <c r="BO117" s="168" t="s">
        <v>443</v>
      </c>
      <c r="BP117" s="169">
        <v>123.3</v>
      </c>
      <c r="BQ117" s="169">
        <v>116.1</v>
      </c>
      <c r="BR117" s="169">
        <v>107.9</v>
      </c>
      <c r="BS117" s="169">
        <v>117.9</v>
      </c>
      <c r="BT117" s="169">
        <v>465.19999999999993</v>
      </c>
      <c r="BV117" s="168" t="s">
        <v>443</v>
      </c>
      <c r="BW117" s="169">
        <v>114.8</v>
      </c>
      <c r="BX117" s="169">
        <v>112.8</v>
      </c>
      <c r="BY117" s="169">
        <v>106.8</v>
      </c>
      <c r="BZ117" s="169">
        <v>109</v>
      </c>
      <c r="CA117" s="169">
        <v>443.4</v>
      </c>
      <c r="CC117" s="168" t="s">
        <v>443</v>
      </c>
      <c r="CD117" s="169">
        <v>105</v>
      </c>
      <c r="CE117" s="169">
        <v>99</v>
      </c>
      <c r="CF117" s="169">
        <v>97</v>
      </c>
      <c r="CG117" s="169">
        <v>101</v>
      </c>
      <c r="CH117" s="169">
        <v>402</v>
      </c>
      <c r="CJ117" s="168" t="s">
        <v>443</v>
      </c>
      <c r="CK117" s="169">
        <v>102</v>
      </c>
      <c r="CL117" s="169">
        <v>99</v>
      </c>
      <c r="CM117" s="169">
        <v>96</v>
      </c>
      <c r="CN117" s="169">
        <v>107</v>
      </c>
      <c r="CO117" s="169">
        <v>404</v>
      </c>
      <c r="CQ117" s="168" t="s">
        <v>443</v>
      </c>
      <c r="CR117" s="169">
        <v>102</v>
      </c>
      <c r="CS117" s="169">
        <v>98</v>
      </c>
      <c r="CT117" s="169">
        <v>94</v>
      </c>
      <c r="CU117" s="169">
        <v>101</v>
      </c>
      <c r="CV117" s="169">
        <v>395</v>
      </c>
      <c r="CX117" s="168" t="s">
        <v>443</v>
      </c>
      <c r="CY117" s="169">
        <v>106</v>
      </c>
      <c r="CZ117" s="169">
        <v>104</v>
      </c>
      <c r="DA117" s="169">
        <v>100</v>
      </c>
      <c r="DB117" s="169">
        <v>107</v>
      </c>
      <c r="DC117" s="169">
        <v>417</v>
      </c>
      <c r="DE117" s="168" t="s">
        <v>443</v>
      </c>
      <c r="DF117" s="169">
        <v>110</v>
      </c>
      <c r="DG117" s="169">
        <v>104</v>
      </c>
      <c r="DH117" s="169">
        <v>101</v>
      </c>
      <c r="DI117" s="169">
        <v>108</v>
      </c>
      <c r="DJ117" s="169">
        <v>423</v>
      </c>
      <c r="DL117" s="168" t="s">
        <v>443</v>
      </c>
      <c r="DM117" s="169">
        <v>110</v>
      </c>
      <c r="DN117" s="169">
        <v>108</v>
      </c>
      <c r="DO117" s="169">
        <v>100</v>
      </c>
      <c r="DP117" s="169">
        <v>111</v>
      </c>
      <c r="DQ117" s="169">
        <v>429</v>
      </c>
      <c r="DS117" s="168" t="s">
        <v>443</v>
      </c>
      <c r="DT117" s="169">
        <v>112</v>
      </c>
      <c r="DU117" s="169">
        <v>108</v>
      </c>
      <c r="DV117" s="169">
        <v>103</v>
      </c>
      <c r="DW117" s="169">
        <v>114</v>
      </c>
      <c r="DX117" s="169">
        <v>437</v>
      </c>
      <c r="DZ117" s="168" t="s">
        <v>443</v>
      </c>
      <c r="EA117" s="169">
        <v>114</v>
      </c>
      <c r="EB117" s="169">
        <v>108</v>
      </c>
      <c r="EC117" s="169">
        <v>105</v>
      </c>
      <c r="ED117" s="169">
        <v>113</v>
      </c>
      <c r="EE117" s="169">
        <v>440</v>
      </c>
      <c r="EG117" s="168" t="s">
        <v>443</v>
      </c>
      <c r="EH117" s="169">
        <v>120</v>
      </c>
      <c r="EI117" s="169">
        <v>118</v>
      </c>
      <c r="EJ117" s="169">
        <v>135</v>
      </c>
      <c r="EK117" s="169">
        <v>153.69999999999999</v>
      </c>
      <c r="EL117" s="169">
        <v>526.70000000000005</v>
      </c>
      <c r="EN117" s="168" t="s">
        <v>443</v>
      </c>
      <c r="EO117" s="169">
        <v>161</v>
      </c>
      <c r="EP117" s="169">
        <v>147</v>
      </c>
      <c r="EQ117" s="169">
        <v>143</v>
      </c>
      <c r="ER117" s="169">
        <v>153.80000000000001</v>
      </c>
      <c r="ES117" s="169">
        <v>604.79999999999995</v>
      </c>
      <c r="EU117" s="168" t="s">
        <v>443</v>
      </c>
      <c r="EV117" s="169">
        <v>155.9</v>
      </c>
      <c r="EW117" s="169">
        <v>143</v>
      </c>
      <c r="EX117" s="169">
        <v>136.80000000000001</v>
      </c>
      <c r="EY117" s="169">
        <v>144.69999999999999</v>
      </c>
      <c r="EZ117" s="169">
        <v>580.4</v>
      </c>
      <c r="FB117" s="168" t="s">
        <v>443</v>
      </c>
      <c r="FC117" s="169">
        <v>145.6</v>
      </c>
      <c r="FD117" s="169">
        <v>144</v>
      </c>
      <c r="FE117" s="169">
        <v>136.30000000000001</v>
      </c>
      <c r="FF117" s="169">
        <v>146.19999999999999</v>
      </c>
      <c r="FG117" s="169">
        <v>572.1</v>
      </c>
      <c r="FI117" s="168" t="s">
        <v>443</v>
      </c>
      <c r="FJ117" s="169">
        <v>148.5</v>
      </c>
      <c r="FK117" s="169">
        <v>145.5</v>
      </c>
      <c r="FL117" s="169">
        <v>145.1</v>
      </c>
      <c r="FM117" s="169">
        <v>152.5</v>
      </c>
      <c r="FN117" s="169">
        <v>591.6</v>
      </c>
      <c r="FP117" s="168" t="s">
        <v>443</v>
      </c>
      <c r="FQ117" s="169">
        <v>158.69999999999999</v>
      </c>
      <c r="FR117" s="169">
        <v>151.69999999999999</v>
      </c>
      <c r="FS117" s="169">
        <v>142.5</v>
      </c>
      <c r="FT117" s="169">
        <v>161.69999999999999</v>
      </c>
      <c r="FU117" s="169">
        <v>614.59999999999991</v>
      </c>
      <c r="FW117" s="168" t="s">
        <v>443</v>
      </c>
      <c r="FX117" s="169">
        <v>157.30000000000001</v>
      </c>
      <c r="FY117" s="169">
        <v>147.69999999999999</v>
      </c>
      <c r="FZ117" s="169">
        <v>140.69999999999999</v>
      </c>
      <c r="GA117" s="169">
        <v>149.69999999999999</v>
      </c>
      <c r="GB117" s="169">
        <v>595.5</v>
      </c>
      <c r="GD117" s="168" t="s">
        <v>443</v>
      </c>
      <c r="GE117" s="169">
        <v>157</v>
      </c>
      <c r="GF117" s="169">
        <v>148</v>
      </c>
      <c r="GG117" s="169">
        <v>144</v>
      </c>
      <c r="GH117" s="169">
        <v>150</v>
      </c>
      <c r="GI117" s="169">
        <v>598</v>
      </c>
      <c r="GK117" s="168" t="s">
        <v>443</v>
      </c>
      <c r="GL117" s="169">
        <v>149.69999999999999</v>
      </c>
      <c r="GM117" s="169">
        <v>114.3</v>
      </c>
      <c r="GN117" s="169">
        <v>135.4</v>
      </c>
      <c r="GO117" s="169">
        <v>139.5</v>
      </c>
      <c r="GP117" s="169">
        <v>568.6</v>
      </c>
      <c r="GR117" s="168" t="s">
        <v>443</v>
      </c>
      <c r="GS117" s="169">
        <v>143.6</v>
      </c>
      <c r="GT117" s="169">
        <v>137.6</v>
      </c>
      <c r="GU117" s="169">
        <v>131.19999999999999</v>
      </c>
      <c r="GV117" s="169">
        <v>133</v>
      </c>
      <c r="GW117" s="169">
        <v>544.79999999999995</v>
      </c>
      <c r="GY117" s="168" t="s">
        <v>443</v>
      </c>
      <c r="GZ117" s="169">
        <v>119.6</v>
      </c>
      <c r="HA117" s="169">
        <v>106.3</v>
      </c>
      <c r="HB117" s="169">
        <v>107.6</v>
      </c>
      <c r="HC117" s="169">
        <v>112.2</v>
      </c>
      <c r="HD117" s="169">
        <v>445.7</v>
      </c>
      <c r="HF117" s="168" t="s">
        <v>443</v>
      </c>
      <c r="HG117" s="169">
        <v>120.9</v>
      </c>
      <c r="HH117" s="169">
        <v>119.6</v>
      </c>
      <c r="HI117" s="169">
        <v>117.4</v>
      </c>
      <c r="HJ117" s="169">
        <v>131.69999999999999</v>
      </c>
      <c r="HK117" s="169">
        <v>489.6</v>
      </c>
      <c r="HM117" s="168" t="s">
        <v>443</v>
      </c>
      <c r="HN117" s="169">
        <v>127.9</v>
      </c>
      <c r="HO117" s="169">
        <v>123.8</v>
      </c>
      <c r="HP117" s="169">
        <v>121.1</v>
      </c>
      <c r="HQ117" s="169">
        <v>128</v>
      </c>
      <c r="HR117" s="169">
        <v>500.7</v>
      </c>
      <c r="HT117" s="168" t="s">
        <v>443</v>
      </c>
      <c r="HU117" s="169">
        <v>130</v>
      </c>
      <c r="HV117" s="169">
        <v>120</v>
      </c>
      <c r="HW117" s="169">
        <v>116.1</v>
      </c>
      <c r="HX117" s="169">
        <v>118.3</v>
      </c>
      <c r="HY117" s="169">
        <v>484.4</v>
      </c>
      <c r="IA117" s="168" t="s">
        <v>443</v>
      </c>
      <c r="IB117" s="169">
        <v>125.3</v>
      </c>
      <c r="IC117" s="169">
        <v>118.8</v>
      </c>
      <c r="ID117" s="169">
        <v>115.2</v>
      </c>
      <c r="IE117" s="169">
        <v>122.6</v>
      </c>
      <c r="IF117" s="169">
        <v>481.9</v>
      </c>
      <c r="IH117" s="168" t="s">
        <v>443</v>
      </c>
      <c r="II117" s="169">
        <v>130.1</v>
      </c>
      <c r="IJ117" s="169">
        <v>126.7</v>
      </c>
      <c r="IK117" s="169">
        <v>122.3</v>
      </c>
      <c r="IL117" s="169">
        <v>128.19999999999999</v>
      </c>
      <c r="IM117" s="169">
        <v>507.3</v>
      </c>
      <c r="IO117" s="168" t="s">
        <v>443</v>
      </c>
      <c r="IP117" s="169">
        <v>131.9</v>
      </c>
      <c r="IQ117" s="169">
        <v>122.1</v>
      </c>
      <c r="IR117" s="169">
        <v>116.7</v>
      </c>
      <c r="IS117" s="169">
        <v>116.8</v>
      </c>
      <c r="IT117" s="169">
        <v>487.5</v>
      </c>
      <c r="IV117" s="168" t="s">
        <v>443</v>
      </c>
      <c r="IW117" s="169">
        <v>113.1</v>
      </c>
      <c r="IX117" s="169">
        <v>106.1</v>
      </c>
      <c r="IY117" s="169">
        <v>100.3</v>
      </c>
      <c r="IZ117" s="169">
        <v>117.9</v>
      </c>
      <c r="JA117" s="169">
        <v>437.4</v>
      </c>
      <c r="JC117" s="168" t="s">
        <v>443</v>
      </c>
      <c r="JD117" s="169">
        <v>114.7</v>
      </c>
      <c r="JE117" s="169">
        <v>105</v>
      </c>
      <c r="JF117" s="169">
        <v>100</v>
      </c>
      <c r="JG117" s="169">
        <v>107</v>
      </c>
      <c r="JH117" s="169">
        <v>426.7</v>
      </c>
      <c r="JJ117" s="168" t="s">
        <v>443</v>
      </c>
      <c r="JK117" s="169">
        <v>106.6</v>
      </c>
      <c r="JL117" s="169">
        <v>106.8</v>
      </c>
      <c r="JM117" s="169">
        <v>105.2</v>
      </c>
      <c r="JN117" s="169">
        <v>105.4</v>
      </c>
      <c r="JO117" s="169">
        <v>424</v>
      </c>
      <c r="JQ117" s="168" t="s">
        <v>443</v>
      </c>
      <c r="JR117" s="169">
        <v>104.7</v>
      </c>
      <c r="JS117" s="169">
        <v>98.7</v>
      </c>
      <c r="JT117" s="169">
        <v>94.7</v>
      </c>
      <c r="JU117" s="169">
        <v>93.7</v>
      </c>
      <c r="JV117" s="169">
        <v>391.8</v>
      </c>
      <c r="JX117" s="168" t="s">
        <v>443</v>
      </c>
      <c r="JY117" s="169">
        <v>96.4</v>
      </c>
      <c r="JZ117" s="169">
        <v>74.3</v>
      </c>
      <c r="KA117" s="169">
        <v>84.3</v>
      </c>
      <c r="KB117" s="169">
        <v>90.2</v>
      </c>
      <c r="KC117" s="169">
        <v>345.2</v>
      </c>
      <c r="KE117" s="168" t="s">
        <v>443</v>
      </c>
      <c r="KF117" s="169">
        <v>91.8</v>
      </c>
      <c r="KG117" s="169">
        <v>92.1</v>
      </c>
      <c r="KH117" s="169">
        <v>85.9</v>
      </c>
      <c r="KI117" s="169">
        <v>92.3</v>
      </c>
      <c r="KJ117" s="169">
        <v>362.1</v>
      </c>
      <c r="KL117" s="168" t="s">
        <v>443</v>
      </c>
      <c r="KM117" s="169">
        <v>92.5</v>
      </c>
      <c r="KN117" s="169">
        <v>92</v>
      </c>
      <c r="KO117" s="169">
        <v>94.4</v>
      </c>
      <c r="KP117" s="169">
        <v>94</v>
      </c>
      <c r="KQ117" s="169">
        <v>372.9</v>
      </c>
      <c r="KS117" s="168" t="s">
        <v>443</v>
      </c>
      <c r="KT117" s="169">
        <v>96.6</v>
      </c>
      <c r="KU117" s="169">
        <v>95.8</v>
      </c>
      <c r="KV117" s="169">
        <v>99.8</v>
      </c>
      <c r="KW117" s="265">
        <v>96.8</v>
      </c>
      <c r="KX117" s="169">
        <v>388.7</v>
      </c>
      <c r="KZ117" s="168" t="s">
        <v>443</v>
      </c>
      <c r="LA117" s="169">
        <v>96.8</v>
      </c>
      <c r="LB117" s="265">
        <v>93.6</v>
      </c>
      <c r="LC117" s="265">
        <v>90.9</v>
      </c>
      <c r="LD117" s="265">
        <v>94.1</v>
      </c>
      <c r="LE117" s="265">
        <f>SUM(LA117:LD117)</f>
        <v>375.4</v>
      </c>
      <c r="LF117" s="573"/>
      <c r="LG117" s="168" t="s">
        <v>443</v>
      </c>
      <c r="LH117" s="265">
        <v>92.9</v>
      </c>
      <c r="LI117" s="265">
        <v>97.2</v>
      </c>
      <c r="LJ117" s="265">
        <v>93.2</v>
      </c>
      <c r="LK117" s="265">
        <v>91.1</v>
      </c>
      <c r="LL117" s="265">
        <f>SUM(LH117:LK117)</f>
        <v>374.4</v>
      </c>
      <c r="LM117" s="573"/>
      <c r="LN117" s="168" t="s">
        <v>443</v>
      </c>
      <c r="LO117" s="265">
        <f>LO136*LO133</f>
        <v>93.995577411067202</v>
      </c>
      <c r="LP117" s="265">
        <f>LP136*LP133</f>
        <v>97.80205864556963</v>
      </c>
      <c r="LQ117" s="265">
        <f>LQ136*LQ133</f>
        <v>94.473102171215885</v>
      </c>
      <c r="LR117" s="265">
        <f>LR136*LR133</f>
        <v>93.541862197870998</v>
      </c>
      <c r="LS117" s="265">
        <f>SUM(LO117:LR117)</f>
        <v>379.8126004257237</v>
      </c>
      <c r="LT117" s="573"/>
      <c r="LU117" s="168" t="s">
        <v>443</v>
      </c>
      <c r="LV117" s="265">
        <f>LV136*LV133</f>
        <v>95.613266179171532</v>
      </c>
      <c r="LW117" s="265">
        <f>LW136*LW133</f>
        <v>99.549919724773687</v>
      </c>
      <c r="LX117" s="265">
        <f>LX136*LX133</f>
        <v>96.048635875753845</v>
      </c>
      <c r="LY117" s="265">
        <f>LY136*LY133</f>
        <v>95.099249283491034</v>
      </c>
      <c r="LZ117" s="265">
        <f>SUM(LV117:LY117)</f>
        <v>386.31107106319007</v>
      </c>
      <c r="MA117" s="573"/>
      <c r="MB117" s="168" t="s">
        <v>443</v>
      </c>
      <c r="MC117" s="265">
        <f>MC136*MC133</f>
        <v>97.482862704020349</v>
      </c>
      <c r="MD117" s="265">
        <f>MD136*MD133</f>
        <v>101.46840512368547</v>
      </c>
      <c r="ME117" s="265">
        <f>ME136*ME133</f>
        <v>98.100259569767076</v>
      </c>
      <c r="MF117" s="265">
        <f>MF136*MF133</f>
        <v>97.077661340560795</v>
      </c>
      <c r="MG117" s="265">
        <f>SUM(MC117:MF117)</f>
        <v>394.12918873803369</v>
      </c>
      <c r="MH117" s="573"/>
    </row>
    <row r="118" spans="1:346" s="53" customFormat="1" ht="16.149999999999999" x14ac:dyDescent="0.55000000000000004">
      <c r="A118" s="100"/>
      <c r="B118" s="263" t="s">
        <v>244</v>
      </c>
      <c r="C118" s="264"/>
      <c r="D118" s="264"/>
      <c r="E118" s="264"/>
      <c r="F118" s="264"/>
      <c r="G118" s="264"/>
      <c r="H118" s="264"/>
      <c r="I118" s="264"/>
      <c r="J118" s="264"/>
      <c r="K118" s="264"/>
      <c r="L118" s="264"/>
      <c r="M118" s="264"/>
      <c r="N118" s="264">
        <f t="shared" si="238"/>
        <v>0.5309544282029236</v>
      </c>
      <c r="O118" s="264">
        <f t="shared" si="239"/>
        <v>0.61569688768606223</v>
      </c>
      <c r="P118" s="264">
        <f t="shared" si="240"/>
        <v>0.67910447761194026</v>
      </c>
      <c r="Q118" s="264">
        <f t="shared" si="241"/>
        <v>0.58168316831683164</v>
      </c>
      <c r="R118" s="264">
        <f t="shared" si="242"/>
        <v>0.569620253164557</v>
      </c>
      <c r="S118" s="264">
        <f t="shared" si="243"/>
        <v>0.53717026378896882</v>
      </c>
      <c r="T118" s="264">
        <f t="shared" si="244"/>
        <v>0.53664302600472813</v>
      </c>
      <c r="U118" s="264">
        <f t="shared" si="245"/>
        <v>0.72027972027972031</v>
      </c>
      <c r="V118" s="264">
        <f t="shared" si="246"/>
        <v>0.68</v>
      </c>
      <c r="W118" s="264">
        <f t="shared" si="247"/>
        <v>0.5675</v>
      </c>
      <c r="X118" s="264">
        <f t="shared" si="248"/>
        <v>0.59224999999999994</v>
      </c>
      <c r="Y118" s="264">
        <f t="shared" si="249"/>
        <v>0.95699999999999985</v>
      </c>
      <c r="Z118" s="264">
        <f t="shared" si="250"/>
        <v>0.90239999999999998</v>
      </c>
      <c r="AA118" s="264">
        <f t="shared" si="251"/>
        <v>0.78395000000000004</v>
      </c>
      <c r="AB118" s="264">
        <f t="shared" si="252"/>
        <v>0.95635000000000003</v>
      </c>
      <c r="AC118" s="264">
        <f t="shared" si="253"/>
        <v>1.0951</v>
      </c>
      <c r="AD118" s="264">
        <f t="shared" si="254"/>
        <v>1.3149</v>
      </c>
      <c r="AE118" s="264">
        <f t="shared" si="255"/>
        <v>1.86</v>
      </c>
      <c r="AF118" s="264">
        <f t="shared" si="256"/>
        <v>2.13</v>
      </c>
      <c r="AG118" s="264">
        <f t="shared" si="257"/>
        <v>3.06</v>
      </c>
      <c r="AH118" s="264">
        <f t="shared" si="258"/>
        <v>1.71</v>
      </c>
      <c r="AI118" s="264">
        <f t="shared" si="259"/>
        <v>2.2599999999999998</v>
      </c>
      <c r="AJ118" s="264">
        <f t="shared" si="260"/>
        <v>3.06</v>
      </c>
      <c r="AK118" s="264">
        <f t="shared" si="261"/>
        <v>3.22</v>
      </c>
      <c r="AL118" s="264">
        <f t="shared" si="262"/>
        <v>3.17</v>
      </c>
      <c r="AM118" s="264">
        <f t="shared" si="263"/>
        <v>2.95</v>
      </c>
      <c r="AN118" s="264">
        <f t="shared" si="264"/>
        <v>1.8</v>
      </c>
      <c r="AO118" s="264">
        <f t="shared" si="265"/>
        <v>1.48</v>
      </c>
      <c r="AP118" s="264">
        <f t="shared" si="266"/>
        <v>1.84</v>
      </c>
      <c r="AQ118" s="264">
        <f t="shared" si="267"/>
        <v>2.2799999999999998</v>
      </c>
      <c r="AR118" s="264">
        <f t="shared" si="268"/>
        <v>2.1</v>
      </c>
      <c r="AS118" s="264">
        <f t="shared" si="269"/>
        <v>1.44</v>
      </c>
      <c r="AT118" s="264">
        <f t="shared" si="270"/>
        <v>2.23</v>
      </c>
      <c r="AU118" s="264">
        <f t="shared" si="271"/>
        <v>3.7</v>
      </c>
      <c r="AV118" s="264">
        <f t="shared" si="272"/>
        <v>3.01</v>
      </c>
      <c r="AW118" s="264">
        <f t="shared" si="273"/>
        <v>2.6025</v>
      </c>
      <c r="AX118" s="264">
        <f t="shared" si="274"/>
        <v>2.4424999999999999</v>
      </c>
      <c r="AY118" s="264">
        <f t="shared" si="275"/>
        <v>2.3440000000000003</v>
      </c>
      <c r="AZ118" s="264">
        <f t="shared" si="276"/>
        <v>2.3440000000000003</v>
      </c>
      <c r="BA118" s="264">
        <f t="shared" si="277"/>
        <v>2.3440000000000003</v>
      </c>
      <c r="BB118" s="264"/>
      <c r="BC118" s="264"/>
      <c r="BD118" s="264"/>
      <c r="BE118" s="264"/>
      <c r="BF118" s="264"/>
      <c r="BG118" s="264"/>
      <c r="BH118" s="264"/>
      <c r="BI118" s="264"/>
      <c r="BJ118" s="264"/>
      <c r="BK118" s="264"/>
      <c r="BL118" s="264"/>
      <c r="BM118" s="264"/>
      <c r="BO118" s="263" t="s">
        <v>244</v>
      </c>
      <c r="BP118" s="264">
        <v>0.51094890510948909</v>
      </c>
      <c r="BQ118" s="264">
        <v>0.52540913006029288</v>
      </c>
      <c r="BR118" s="264">
        <v>0.50046339202965706</v>
      </c>
      <c r="BS118" s="264">
        <v>0.58524173027989823</v>
      </c>
      <c r="BT118" s="264">
        <v>0.5309544282029236</v>
      </c>
      <c r="BV118" s="263" t="s">
        <v>244</v>
      </c>
      <c r="BW118" s="264">
        <v>0.65331010452961669</v>
      </c>
      <c r="BX118" s="264">
        <v>0.52304964539007093</v>
      </c>
      <c r="BY118" s="264">
        <v>0.61797752808988771</v>
      </c>
      <c r="BZ118" s="264">
        <v>0.66972477064220182</v>
      </c>
      <c r="CA118" s="264">
        <v>0.61569688768606223</v>
      </c>
      <c r="CC118" s="263" t="s">
        <v>244</v>
      </c>
      <c r="CD118" s="264">
        <v>0.73333333333333328</v>
      </c>
      <c r="CE118" s="264">
        <v>0.6262626262626263</v>
      </c>
      <c r="CF118" s="264">
        <v>0.62886597938144329</v>
      </c>
      <c r="CG118" s="264">
        <v>0.72277227722772275</v>
      </c>
      <c r="CH118" s="264">
        <v>0.67910447761194026</v>
      </c>
      <c r="CJ118" s="263" t="s">
        <v>244</v>
      </c>
      <c r="CK118" s="264">
        <v>0.57843137254901966</v>
      </c>
      <c r="CL118" s="264">
        <v>0.56565656565656564</v>
      </c>
      <c r="CM118" s="264">
        <v>0.57291666666666663</v>
      </c>
      <c r="CN118" s="264">
        <v>0.60747663551401865</v>
      </c>
      <c r="CO118" s="264">
        <v>0.58168316831683164</v>
      </c>
      <c r="CQ118" s="263" t="s">
        <v>244</v>
      </c>
      <c r="CR118" s="264">
        <v>0.66</v>
      </c>
      <c r="CS118" s="264">
        <v>0.63</v>
      </c>
      <c r="CT118" s="264">
        <v>0.59063829787234035</v>
      </c>
      <c r="CU118" s="264">
        <v>0.67405940594059399</v>
      </c>
      <c r="CV118" s="264">
        <v>0.569620253164557</v>
      </c>
      <c r="CX118" s="263" t="s">
        <v>244</v>
      </c>
      <c r="CY118" s="264">
        <v>0.6</v>
      </c>
      <c r="CZ118" s="264">
        <v>0.61</v>
      </c>
      <c r="DA118" s="264">
        <v>0.61</v>
      </c>
      <c r="DB118" s="264">
        <v>0.61</v>
      </c>
      <c r="DC118" s="264">
        <v>0.53717026378896882</v>
      </c>
      <c r="DE118" s="263" t="s">
        <v>244</v>
      </c>
      <c r="DF118" s="264">
        <v>0.59</v>
      </c>
      <c r="DG118" s="264">
        <v>0.61</v>
      </c>
      <c r="DH118" s="264">
        <v>0.6</v>
      </c>
      <c r="DI118" s="264">
        <v>0.61</v>
      </c>
      <c r="DJ118" s="264">
        <v>0.53664302600472813</v>
      </c>
      <c r="DL118" s="263" t="s">
        <v>244</v>
      </c>
      <c r="DM118" s="264">
        <v>0.66</v>
      </c>
      <c r="DN118" s="264">
        <v>0.7</v>
      </c>
      <c r="DO118" s="264">
        <v>0.69</v>
      </c>
      <c r="DP118" s="264">
        <v>0.81</v>
      </c>
      <c r="DQ118" s="264">
        <v>0.72027972027972031</v>
      </c>
      <c r="DS118" s="263" t="s">
        <v>244</v>
      </c>
      <c r="DT118" s="264">
        <v>0.75</v>
      </c>
      <c r="DU118" s="264">
        <v>0.67</v>
      </c>
      <c r="DV118" s="264">
        <v>0.64</v>
      </c>
      <c r="DW118" s="264">
        <v>0.66</v>
      </c>
      <c r="DX118" s="264">
        <v>0.68</v>
      </c>
      <c r="DZ118" s="263" t="s">
        <v>244</v>
      </c>
      <c r="EA118" s="264">
        <v>0.59</v>
      </c>
      <c r="EB118" s="264">
        <v>0.56999999999999995</v>
      </c>
      <c r="EC118" s="264">
        <v>0.55000000000000004</v>
      </c>
      <c r="ED118" s="264">
        <v>0.56000000000000005</v>
      </c>
      <c r="EE118" s="264">
        <v>0.5675</v>
      </c>
      <c r="EG118" s="263" t="s">
        <v>244</v>
      </c>
      <c r="EH118" s="264">
        <v>0.45</v>
      </c>
      <c r="EI118" s="264">
        <v>0.54</v>
      </c>
      <c r="EJ118" s="264">
        <v>0.64</v>
      </c>
      <c r="EK118" s="264">
        <v>0.73899999999999999</v>
      </c>
      <c r="EL118" s="264">
        <v>0.59224999999999994</v>
      </c>
      <c r="EN118" s="263" t="s">
        <v>244</v>
      </c>
      <c r="EO118" s="264">
        <v>0.86</v>
      </c>
      <c r="EP118" s="264">
        <v>0.90300000000000002</v>
      </c>
      <c r="EQ118" s="264">
        <v>0.97</v>
      </c>
      <c r="ER118" s="264">
        <v>1.095</v>
      </c>
      <c r="ES118" s="264">
        <v>0.95699999999999985</v>
      </c>
      <c r="EU118" s="263" t="s">
        <v>244</v>
      </c>
      <c r="EV118" s="264">
        <v>0.98860000000000003</v>
      </c>
      <c r="EW118" s="264">
        <v>0.91700000000000004</v>
      </c>
      <c r="EX118" s="264">
        <v>0.89700000000000002</v>
      </c>
      <c r="EY118" s="264">
        <v>0.80700000000000005</v>
      </c>
      <c r="EZ118" s="264">
        <v>0.90239999999999998</v>
      </c>
      <c r="FB118" s="263" t="s">
        <v>244</v>
      </c>
      <c r="FC118" s="264">
        <v>0.71619999999999995</v>
      </c>
      <c r="FD118" s="264">
        <v>0.77629999999999999</v>
      </c>
      <c r="FE118" s="264">
        <v>0.80169999999999997</v>
      </c>
      <c r="FF118" s="264">
        <v>0.84160000000000001</v>
      </c>
      <c r="FG118" s="264">
        <v>0.78395000000000004</v>
      </c>
      <c r="FI118" s="263" t="s">
        <v>244</v>
      </c>
      <c r="FJ118" s="264">
        <v>1.0618000000000001</v>
      </c>
      <c r="FK118" s="264">
        <v>0.93810000000000004</v>
      </c>
      <c r="FL118" s="264">
        <v>0.90869999999999995</v>
      </c>
      <c r="FM118" s="264">
        <v>0.91679999999999995</v>
      </c>
      <c r="FN118" s="264">
        <v>0.95635000000000003</v>
      </c>
      <c r="FP118" s="263" t="s">
        <v>244</v>
      </c>
      <c r="FQ118" s="264">
        <v>1.0170999999999999</v>
      </c>
      <c r="FR118" s="264">
        <v>1.0409999999999999</v>
      </c>
      <c r="FS118" s="264">
        <v>1.137</v>
      </c>
      <c r="FT118" s="264">
        <v>1.1853</v>
      </c>
      <c r="FU118" s="264">
        <v>1.0951</v>
      </c>
      <c r="FW118" s="263" t="s">
        <v>244</v>
      </c>
      <c r="FX118" s="264">
        <v>1.1396999999999999</v>
      </c>
      <c r="FY118" s="264">
        <v>1.1904999999999999</v>
      </c>
      <c r="FZ118" s="264">
        <v>1.3353999999999999</v>
      </c>
      <c r="GA118" s="264">
        <v>1.6032</v>
      </c>
      <c r="GB118" s="264">
        <v>1.3149</v>
      </c>
      <c r="GD118" s="263" t="s">
        <v>244</v>
      </c>
      <c r="GE118" s="264">
        <v>1.61</v>
      </c>
      <c r="GF118" s="264">
        <v>1.95</v>
      </c>
      <c r="GG118" s="264">
        <v>2.09</v>
      </c>
      <c r="GH118" s="264">
        <v>1.81</v>
      </c>
      <c r="GI118" s="264">
        <v>1.86</v>
      </c>
      <c r="GK118" s="263" t="s">
        <v>244</v>
      </c>
      <c r="GL118" s="264">
        <v>1.73</v>
      </c>
      <c r="GM118" s="264">
        <v>2</v>
      </c>
      <c r="GN118" s="264">
        <v>2.25</v>
      </c>
      <c r="GO118" s="264">
        <v>2.56</v>
      </c>
      <c r="GP118" s="264">
        <v>2.13</v>
      </c>
      <c r="GR118" s="263" t="s">
        <v>244</v>
      </c>
      <c r="GS118" s="264">
        <v>2.82</v>
      </c>
      <c r="GT118" s="264">
        <v>3.62</v>
      </c>
      <c r="GU118" s="264">
        <v>3.57</v>
      </c>
      <c r="GV118" s="264">
        <v>2.2200000000000002</v>
      </c>
      <c r="GW118" s="264">
        <v>3.06</v>
      </c>
      <c r="GY118" s="263" t="s">
        <v>244</v>
      </c>
      <c r="GZ118" s="264">
        <v>1.39</v>
      </c>
      <c r="HA118" s="264">
        <v>1.56</v>
      </c>
      <c r="HB118" s="264">
        <v>1.88</v>
      </c>
      <c r="HC118" s="264">
        <v>2.0299999999999998</v>
      </c>
      <c r="HD118" s="264">
        <v>1.71</v>
      </c>
      <c r="HF118" s="263" t="s">
        <v>244</v>
      </c>
      <c r="HG118" s="264">
        <v>2.11</v>
      </c>
      <c r="HH118" s="264">
        <v>2.31</v>
      </c>
      <c r="HI118" s="264">
        <v>2.17</v>
      </c>
      <c r="HJ118" s="264">
        <v>2.42</v>
      </c>
      <c r="HK118" s="264">
        <v>2.2599999999999998</v>
      </c>
      <c r="HM118" s="263" t="s">
        <v>244</v>
      </c>
      <c r="HN118" s="264">
        <v>2.86</v>
      </c>
      <c r="HO118" s="264">
        <v>3.21</v>
      </c>
      <c r="HP118" s="264">
        <v>3.13</v>
      </c>
      <c r="HQ118" s="264">
        <v>3.05</v>
      </c>
      <c r="HR118" s="264">
        <v>3.06</v>
      </c>
      <c r="HT118" s="263" t="s">
        <v>244</v>
      </c>
      <c r="HU118" s="264">
        <v>3.15</v>
      </c>
      <c r="HV118" s="264">
        <v>3.14</v>
      </c>
      <c r="HW118" s="264">
        <v>3.2</v>
      </c>
      <c r="HX118" s="264">
        <v>3.33</v>
      </c>
      <c r="HY118" s="264">
        <v>3.22</v>
      </c>
      <c r="IA118" s="263" t="s">
        <v>244</v>
      </c>
      <c r="IB118" s="264">
        <v>3.3</v>
      </c>
      <c r="IC118" s="264">
        <v>3.12</v>
      </c>
      <c r="ID118" s="264">
        <v>3.17</v>
      </c>
      <c r="IE118" s="264">
        <v>3.1</v>
      </c>
      <c r="IF118" s="264">
        <v>3.17</v>
      </c>
      <c r="IH118" s="263" t="s">
        <v>244</v>
      </c>
      <c r="II118" s="264">
        <v>3.14</v>
      </c>
      <c r="IJ118" s="264">
        <v>3.06</v>
      </c>
      <c r="IK118" s="264">
        <v>3</v>
      </c>
      <c r="IL118" s="264">
        <v>2.61</v>
      </c>
      <c r="IM118" s="264">
        <v>2.95</v>
      </c>
      <c r="IO118" s="263" t="s">
        <v>244</v>
      </c>
      <c r="IP118" s="264">
        <v>1.86</v>
      </c>
      <c r="IQ118" s="264">
        <v>1.99</v>
      </c>
      <c r="IR118" s="264">
        <v>1.76</v>
      </c>
      <c r="IS118" s="264">
        <v>1.58</v>
      </c>
      <c r="IT118" s="264">
        <v>1.8</v>
      </c>
      <c r="IV118" s="263" t="s">
        <v>244</v>
      </c>
      <c r="IW118" s="264">
        <v>1.19</v>
      </c>
      <c r="IX118" s="264">
        <v>1.49</v>
      </c>
      <c r="IY118" s="264">
        <v>1.57</v>
      </c>
      <c r="IZ118" s="264">
        <v>1.69</v>
      </c>
      <c r="JA118" s="264">
        <v>1.48</v>
      </c>
      <c r="JC118" s="263" t="s">
        <v>244</v>
      </c>
      <c r="JD118" s="264">
        <v>1.73</v>
      </c>
      <c r="JE118" s="264">
        <v>1.71</v>
      </c>
      <c r="JF118" s="264">
        <v>1.87</v>
      </c>
      <c r="JG118" s="264">
        <v>2.08</v>
      </c>
      <c r="JH118" s="264">
        <v>1.84</v>
      </c>
      <c r="JJ118" s="263" t="s">
        <v>244</v>
      </c>
      <c r="JK118" s="264">
        <v>2.15</v>
      </c>
      <c r="JL118" s="264">
        <v>2.33</v>
      </c>
      <c r="JM118" s="264">
        <v>2.37</v>
      </c>
      <c r="JN118" s="264">
        <v>2.29</v>
      </c>
      <c r="JO118" s="264">
        <v>2.2799999999999998</v>
      </c>
      <c r="JQ118" s="263" t="s">
        <v>244</v>
      </c>
      <c r="JR118" s="264">
        <v>2.04</v>
      </c>
      <c r="JS118" s="264">
        <v>2.19</v>
      </c>
      <c r="JT118" s="264">
        <v>2.0499999999999998</v>
      </c>
      <c r="JU118" s="264">
        <v>2.12</v>
      </c>
      <c r="JV118" s="264">
        <v>2.1</v>
      </c>
      <c r="JX118" s="263" t="s">
        <v>244</v>
      </c>
      <c r="JY118" s="264">
        <v>1.8</v>
      </c>
      <c r="JZ118" s="264">
        <v>1.1000000000000001</v>
      </c>
      <c r="KA118" s="264">
        <v>1.32</v>
      </c>
      <c r="KB118" s="264">
        <v>1.43</v>
      </c>
      <c r="KC118" s="264">
        <v>1.44</v>
      </c>
      <c r="KE118" s="263" t="s">
        <v>244</v>
      </c>
      <c r="KF118" s="264">
        <v>1.88</v>
      </c>
      <c r="KG118" s="264">
        <v>2.12</v>
      </c>
      <c r="KH118" s="264">
        <v>2.34</v>
      </c>
      <c r="KI118" s="264">
        <v>2.58</v>
      </c>
      <c r="KJ118" s="264">
        <v>2.23</v>
      </c>
      <c r="KL118" s="263" t="s">
        <v>244</v>
      </c>
      <c r="KM118" s="264">
        <v>2.98</v>
      </c>
      <c r="KN118" s="264">
        <v>4.08</v>
      </c>
      <c r="KO118" s="264">
        <v>3.99</v>
      </c>
      <c r="KP118" s="264">
        <v>3.76</v>
      </c>
      <c r="KQ118" s="264">
        <v>3.7</v>
      </c>
      <c r="KS118" s="263" t="s">
        <v>244</v>
      </c>
      <c r="KT118" s="264">
        <v>3.17</v>
      </c>
      <c r="KU118" s="264">
        <v>2.76</v>
      </c>
      <c r="KV118" s="264">
        <v>3.02</v>
      </c>
      <c r="KW118" s="264">
        <v>3.08</v>
      </c>
      <c r="KX118" s="264">
        <v>3.01</v>
      </c>
      <c r="KZ118" s="263" t="s">
        <v>244</v>
      </c>
      <c r="LA118" s="264">
        <v>2.85</v>
      </c>
      <c r="LB118" s="264">
        <v>2.66</v>
      </c>
      <c r="LC118" s="264">
        <v>2.52</v>
      </c>
      <c r="LD118" s="264">
        <v>2.38</v>
      </c>
      <c r="LE118" s="264">
        <f>AVERAGE(LA118:LD118)</f>
        <v>2.6025</v>
      </c>
      <c r="LF118" s="593"/>
      <c r="LG118" s="263" t="s">
        <v>244</v>
      </c>
      <c r="LH118" s="264">
        <v>2.42</v>
      </c>
      <c r="LI118" s="264">
        <v>2.33</v>
      </c>
      <c r="LJ118" s="264">
        <f>+LJ115</f>
        <v>2.54</v>
      </c>
      <c r="LK118" s="264">
        <f>+LK115</f>
        <v>2.48</v>
      </c>
      <c r="LL118" s="264">
        <f>AVERAGE(LH118:LK118)</f>
        <v>2.4424999999999999</v>
      </c>
      <c r="LM118" s="593"/>
      <c r="LN118" s="263" t="s">
        <v>244</v>
      </c>
      <c r="LO118" s="264">
        <f>+LO115</f>
        <v>2.3440000000000003</v>
      </c>
      <c r="LP118" s="264">
        <f>+LP115</f>
        <v>2.3440000000000003</v>
      </c>
      <c r="LQ118" s="264">
        <f>+LQ115</f>
        <v>2.3440000000000003</v>
      </c>
      <c r="LR118" s="264">
        <f>+LR115</f>
        <v>2.3440000000000003</v>
      </c>
      <c r="LS118" s="264">
        <f>AVERAGE(LO118:LR118)</f>
        <v>2.3440000000000003</v>
      </c>
      <c r="LT118" s="593"/>
      <c r="LU118" s="263" t="s">
        <v>244</v>
      </c>
      <c r="LV118" s="264">
        <f>+LV115</f>
        <v>2.3440000000000003</v>
      </c>
      <c r="LW118" s="264">
        <f>+LW115</f>
        <v>2.3440000000000003</v>
      </c>
      <c r="LX118" s="264">
        <f>+LX115</f>
        <v>2.3440000000000003</v>
      </c>
      <c r="LY118" s="264">
        <f>+LY115</f>
        <v>2.3440000000000003</v>
      </c>
      <c r="LZ118" s="264">
        <f>AVERAGE(LV118:LY118)</f>
        <v>2.3440000000000003</v>
      </c>
      <c r="MA118" s="593"/>
      <c r="MB118" s="263" t="s">
        <v>244</v>
      </c>
      <c r="MC118" s="264">
        <f>+MC115</f>
        <v>2.3440000000000003</v>
      </c>
      <c r="MD118" s="264">
        <f>+MD115</f>
        <v>2.3440000000000003</v>
      </c>
      <c r="ME118" s="264">
        <f>+ME115</f>
        <v>2.3440000000000003</v>
      </c>
      <c r="MF118" s="264">
        <f>+MF115</f>
        <v>2.3440000000000003</v>
      </c>
      <c r="MG118" s="264">
        <f>AVERAGE(MC118:MF118)</f>
        <v>2.3440000000000003</v>
      </c>
      <c r="MH118" s="593"/>
    </row>
    <row r="119" spans="1:346" s="37" customFormat="1" ht="13.15" x14ac:dyDescent="0.4">
      <c r="A119" s="100"/>
      <c r="B119" s="266" t="s">
        <v>301</v>
      </c>
      <c r="C119" s="267"/>
      <c r="D119" s="267"/>
      <c r="E119" s="267"/>
      <c r="F119" s="267"/>
      <c r="G119" s="267"/>
      <c r="H119" s="267"/>
      <c r="I119" s="267"/>
      <c r="J119" s="267"/>
      <c r="K119" s="267"/>
      <c r="L119" s="267"/>
      <c r="M119" s="267"/>
      <c r="N119" s="267">
        <f t="shared" si="238"/>
        <v>247.00000000000003</v>
      </c>
      <c r="O119" s="267">
        <f t="shared" si="239"/>
        <v>273</v>
      </c>
      <c r="P119" s="267">
        <f t="shared" si="240"/>
        <v>273</v>
      </c>
      <c r="Q119" s="267">
        <f t="shared" si="241"/>
        <v>234.99999999999997</v>
      </c>
      <c r="R119" s="267">
        <f t="shared" si="242"/>
        <v>225.00000000000003</v>
      </c>
      <c r="S119" s="267">
        <f t="shared" si="243"/>
        <v>224</v>
      </c>
      <c r="T119" s="267">
        <f t="shared" si="244"/>
        <v>227</v>
      </c>
      <c r="U119" s="267">
        <f t="shared" si="245"/>
        <v>309</v>
      </c>
      <c r="V119" s="267">
        <f t="shared" si="246"/>
        <v>297.16000000000003</v>
      </c>
      <c r="W119" s="267">
        <f t="shared" si="247"/>
        <v>249.7</v>
      </c>
      <c r="X119" s="267">
        <f t="shared" si="248"/>
        <v>311.93807499999997</v>
      </c>
      <c r="Y119" s="267">
        <f t="shared" si="249"/>
        <v>578.79359999999986</v>
      </c>
      <c r="Z119" s="267">
        <f t="shared" si="250"/>
        <v>523.75295999999992</v>
      </c>
      <c r="AA119" s="267">
        <f t="shared" si="251"/>
        <v>448.49779500000005</v>
      </c>
      <c r="AB119" s="267">
        <f t="shared" si="252"/>
        <v>565.77665999999999</v>
      </c>
      <c r="AC119" s="267">
        <f t="shared" si="253"/>
        <v>673.04845999999986</v>
      </c>
      <c r="AD119" s="267">
        <f t="shared" si="254"/>
        <v>783.02294999999992</v>
      </c>
      <c r="AE119" s="267">
        <f t="shared" si="255"/>
        <v>1112.28</v>
      </c>
      <c r="AF119" s="267">
        <f t="shared" si="256"/>
        <v>1211.1179999999999</v>
      </c>
      <c r="AG119" s="267">
        <f t="shared" si="257"/>
        <v>1667.088</v>
      </c>
      <c r="AH119" s="267">
        <f t="shared" si="258"/>
        <v>762.14699999999993</v>
      </c>
      <c r="AI119" s="267">
        <f t="shared" si="259"/>
        <v>1106.4959999999999</v>
      </c>
      <c r="AJ119" s="267">
        <f t="shared" si="260"/>
        <v>1532.1420000000001</v>
      </c>
      <c r="AK119" s="267">
        <f t="shared" si="261"/>
        <v>1559.768</v>
      </c>
      <c r="AL119" s="267">
        <f t="shared" si="262"/>
        <v>1527.6229999999998</v>
      </c>
      <c r="AM119" s="267">
        <f t="shared" si="263"/>
        <v>1496.5350000000001</v>
      </c>
      <c r="AN119" s="267">
        <f t="shared" si="264"/>
        <v>877.5</v>
      </c>
      <c r="AO119" s="267">
        <f t="shared" si="265"/>
        <v>647.35199999999998</v>
      </c>
      <c r="AP119" s="267">
        <f t="shared" si="266"/>
        <v>785.12800000000004</v>
      </c>
      <c r="AQ119" s="267">
        <f t="shared" si="267"/>
        <v>966.71999999999991</v>
      </c>
      <c r="AR119" s="267">
        <f t="shared" si="268"/>
        <v>822.78000000000009</v>
      </c>
      <c r="AS119" s="267">
        <f t="shared" si="269"/>
        <v>497.08799999999997</v>
      </c>
      <c r="AT119" s="267">
        <f t="shared" si="270"/>
        <v>807.48300000000006</v>
      </c>
      <c r="AU119" s="267">
        <f t="shared" si="271"/>
        <v>1381</v>
      </c>
      <c r="AV119" s="267">
        <f t="shared" si="272"/>
        <v>1169</v>
      </c>
      <c r="AW119" s="267">
        <f t="shared" si="273"/>
        <v>977.88199999999995</v>
      </c>
      <c r="AX119" s="267">
        <f t="shared" si="274"/>
        <v>913.95</v>
      </c>
      <c r="AY119" s="267">
        <f t="shared" si="275"/>
        <v>890.28073539789648</v>
      </c>
      <c r="AZ119" s="267">
        <f t="shared" si="276"/>
        <v>905.51315057211764</v>
      </c>
      <c r="BA119" s="267">
        <f t="shared" si="277"/>
        <v>923.83881840195113</v>
      </c>
      <c r="BB119" s="267"/>
      <c r="BC119" s="267"/>
      <c r="BD119" s="267"/>
      <c r="BE119" s="267"/>
      <c r="BF119" s="267"/>
      <c r="BG119" s="267"/>
      <c r="BH119" s="267"/>
      <c r="BI119" s="267"/>
      <c r="BJ119" s="267"/>
      <c r="BK119" s="267"/>
      <c r="BL119" s="267"/>
      <c r="BM119" s="267"/>
      <c r="BO119" s="266" t="s">
        <v>301</v>
      </c>
      <c r="BP119" s="267">
        <f>BP117*BP118</f>
        <v>63.000000000000007</v>
      </c>
      <c r="BQ119" s="267">
        <f>BQ117*BQ118</f>
        <v>61</v>
      </c>
      <c r="BR119" s="267">
        <f>BR117*BR118</f>
        <v>54</v>
      </c>
      <c r="BS119" s="267">
        <f>BS117*BS118</f>
        <v>69</v>
      </c>
      <c r="BT119" s="267">
        <f>BT117*BT118</f>
        <v>247.00000000000003</v>
      </c>
      <c r="BV119" s="266" t="s">
        <v>301</v>
      </c>
      <c r="BW119" s="267">
        <f>BW117*BW118</f>
        <v>75</v>
      </c>
      <c r="BX119" s="267">
        <f>BX117*BX118</f>
        <v>59</v>
      </c>
      <c r="BY119" s="267">
        <f>BY117*BY118</f>
        <v>66</v>
      </c>
      <c r="BZ119" s="267">
        <f>BZ117*BZ118</f>
        <v>73</v>
      </c>
      <c r="CA119" s="267">
        <f>CA117*CA118</f>
        <v>273</v>
      </c>
      <c r="CC119" s="266" t="s">
        <v>301</v>
      </c>
      <c r="CD119" s="267">
        <f>CD117*CD118</f>
        <v>77</v>
      </c>
      <c r="CE119" s="267">
        <f>CE117*CE118</f>
        <v>62</v>
      </c>
      <c r="CF119" s="267">
        <f>CF117*CF118</f>
        <v>61</v>
      </c>
      <c r="CG119" s="267">
        <f>CG117*CG118</f>
        <v>73</v>
      </c>
      <c r="CH119" s="267">
        <f>CH117*CH118</f>
        <v>273</v>
      </c>
      <c r="CJ119" s="266" t="s">
        <v>301</v>
      </c>
      <c r="CK119" s="267">
        <f>CK117*CK118</f>
        <v>59.000000000000007</v>
      </c>
      <c r="CL119" s="267">
        <f>CL117*CL118</f>
        <v>56</v>
      </c>
      <c r="CM119" s="267">
        <f>CM117*CM118</f>
        <v>55</v>
      </c>
      <c r="CN119" s="267">
        <f>CN117*CN118</f>
        <v>65</v>
      </c>
      <c r="CO119" s="267">
        <f>CO117*CO118</f>
        <v>234.99999999999997</v>
      </c>
      <c r="CQ119" s="266" t="s">
        <v>301</v>
      </c>
      <c r="CR119" s="267">
        <f>CR117*CR118</f>
        <v>67.320000000000007</v>
      </c>
      <c r="CS119" s="267">
        <f>CS117*CS118</f>
        <v>61.74</v>
      </c>
      <c r="CT119" s="267">
        <f>CT117*CT118</f>
        <v>55.519999999999996</v>
      </c>
      <c r="CU119" s="267">
        <f>CU117*CU118</f>
        <v>68.08</v>
      </c>
      <c r="CV119" s="267">
        <f>CV117*CV118</f>
        <v>225.00000000000003</v>
      </c>
      <c r="CX119" s="266" t="s">
        <v>301</v>
      </c>
      <c r="CY119" s="267">
        <f>CY117*CY118</f>
        <v>63.599999999999994</v>
      </c>
      <c r="CZ119" s="267">
        <f>CZ117*CZ118</f>
        <v>63.44</v>
      </c>
      <c r="DA119" s="267">
        <f>DA117*DA118</f>
        <v>61</v>
      </c>
      <c r="DB119" s="267">
        <f>DB117*DB118</f>
        <v>65.27</v>
      </c>
      <c r="DC119" s="267">
        <f>DC117*DC118</f>
        <v>224</v>
      </c>
      <c r="DE119" s="266" t="s">
        <v>301</v>
      </c>
      <c r="DF119" s="267">
        <f>DF117*DF118</f>
        <v>64.899999999999991</v>
      </c>
      <c r="DG119" s="267">
        <f>DG117*DG118</f>
        <v>63.44</v>
      </c>
      <c r="DH119" s="267">
        <f>DH117*DH118</f>
        <v>60.599999999999994</v>
      </c>
      <c r="DI119" s="267">
        <f>DI117*DI118</f>
        <v>65.88</v>
      </c>
      <c r="DJ119" s="267">
        <f>DJ117*DJ118</f>
        <v>227</v>
      </c>
      <c r="DL119" s="266" t="s">
        <v>301</v>
      </c>
      <c r="DM119" s="267">
        <f>DM117*DM118</f>
        <v>72.600000000000009</v>
      </c>
      <c r="DN119" s="267">
        <f>DN117*DN118</f>
        <v>75.599999999999994</v>
      </c>
      <c r="DO119" s="267">
        <f>DO117*DO118</f>
        <v>69</v>
      </c>
      <c r="DP119" s="267">
        <f>DP117*DP118</f>
        <v>89.910000000000011</v>
      </c>
      <c r="DQ119" s="267">
        <f>DQ117*DQ118</f>
        <v>309</v>
      </c>
      <c r="DS119" s="266" t="s">
        <v>301</v>
      </c>
      <c r="DT119" s="267">
        <f>DT117*DT118</f>
        <v>84</v>
      </c>
      <c r="DU119" s="267">
        <f>DU117*DU118</f>
        <v>72.36</v>
      </c>
      <c r="DV119" s="267">
        <f>DV117*DV118</f>
        <v>65.92</v>
      </c>
      <c r="DW119" s="267">
        <f>DW117*DW118</f>
        <v>75.240000000000009</v>
      </c>
      <c r="DX119" s="267">
        <f>DX117*DX118</f>
        <v>297.16000000000003</v>
      </c>
      <c r="DZ119" s="266" t="s">
        <v>301</v>
      </c>
      <c r="EA119" s="267">
        <f>EA117*EA118</f>
        <v>67.259999999999991</v>
      </c>
      <c r="EB119" s="267">
        <f>EB117*EB118</f>
        <v>61.559999999999995</v>
      </c>
      <c r="EC119" s="267">
        <f>EC117*EC118</f>
        <v>57.750000000000007</v>
      </c>
      <c r="ED119" s="267">
        <f>ED117*ED118</f>
        <v>63.280000000000008</v>
      </c>
      <c r="EE119" s="267">
        <f>EE117*EE118</f>
        <v>249.7</v>
      </c>
      <c r="EG119" s="266" t="s">
        <v>301</v>
      </c>
      <c r="EH119" s="267">
        <f>EH117*EH118</f>
        <v>54</v>
      </c>
      <c r="EI119" s="267">
        <f>EI117*EI118</f>
        <v>63.720000000000006</v>
      </c>
      <c r="EJ119" s="267">
        <f>EJ117*EJ118</f>
        <v>86.4</v>
      </c>
      <c r="EK119" s="267">
        <f>EK117*EK118</f>
        <v>113.58429999999998</v>
      </c>
      <c r="EL119" s="267">
        <f>EL117*EL118</f>
        <v>311.93807499999997</v>
      </c>
      <c r="EN119" s="266" t="s">
        <v>301</v>
      </c>
      <c r="EO119" s="267">
        <f>EO117*EO118</f>
        <v>138.46</v>
      </c>
      <c r="EP119" s="267">
        <f>EP117*EP118</f>
        <v>132.74100000000001</v>
      </c>
      <c r="EQ119" s="267">
        <f>EQ117*EQ118</f>
        <v>138.71</v>
      </c>
      <c r="ER119" s="267">
        <f>ER117*ER118</f>
        <v>168.411</v>
      </c>
      <c r="ES119" s="267">
        <f>ES117*ES118</f>
        <v>578.79359999999986</v>
      </c>
      <c r="EU119" s="266" t="s">
        <v>301</v>
      </c>
      <c r="EV119" s="267">
        <f>EV117*EV118</f>
        <v>154.12274000000002</v>
      </c>
      <c r="EW119" s="267">
        <f>EW117*EW118</f>
        <v>131.131</v>
      </c>
      <c r="EX119" s="267">
        <f>EX117*EX118</f>
        <v>122.70960000000001</v>
      </c>
      <c r="EY119" s="267">
        <f>EY117*EY118</f>
        <v>116.77289999999999</v>
      </c>
      <c r="EZ119" s="267">
        <f>EZ117*EZ118</f>
        <v>523.75295999999992</v>
      </c>
      <c r="FB119" s="266" t="s">
        <v>301</v>
      </c>
      <c r="FC119" s="267">
        <f>FC117*FC118</f>
        <v>104.27871999999999</v>
      </c>
      <c r="FD119" s="267">
        <f>FD117*FD118</f>
        <v>111.7872</v>
      </c>
      <c r="FE119" s="267">
        <f>FE117*FE118</f>
        <v>109.27171</v>
      </c>
      <c r="FF119" s="267">
        <f>FF117*FF118</f>
        <v>123.04191999999999</v>
      </c>
      <c r="FG119" s="267">
        <f>FG117*FG118</f>
        <v>448.49779500000005</v>
      </c>
      <c r="FI119" s="266" t="s">
        <v>301</v>
      </c>
      <c r="FJ119" s="267">
        <f>FJ117*FJ118</f>
        <v>157.6773</v>
      </c>
      <c r="FK119" s="267">
        <f>FK117*FK118</f>
        <v>136.49355</v>
      </c>
      <c r="FL119" s="267">
        <f>FL117*FL118</f>
        <v>131.85236999999998</v>
      </c>
      <c r="FM119" s="267">
        <f>FM117*FM118</f>
        <v>139.81199999999998</v>
      </c>
      <c r="FN119" s="267">
        <f>FN117*FN118</f>
        <v>565.77665999999999</v>
      </c>
      <c r="FP119" s="266" t="s">
        <v>301</v>
      </c>
      <c r="FQ119" s="267">
        <f>FQ117*FQ118</f>
        <v>161.41376999999997</v>
      </c>
      <c r="FR119" s="267">
        <f>FR117*FR118</f>
        <v>157.91969999999998</v>
      </c>
      <c r="FS119" s="267">
        <f>FS117*FS118</f>
        <v>162.02250000000001</v>
      </c>
      <c r="FT119" s="267">
        <f>FT117*FT118</f>
        <v>191.66300999999999</v>
      </c>
      <c r="FU119" s="267">
        <f>FU117*FU118</f>
        <v>673.04845999999986</v>
      </c>
      <c r="FW119" s="266" t="s">
        <v>301</v>
      </c>
      <c r="FX119" s="267">
        <f>FX117*FX118</f>
        <v>179.27481</v>
      </c>
      <c r="FY119" s="267">
        <f>FY117*FY118</f>
        <v>175.83684999999997</v>
      </c>
      <c r="FZ119" s="267">
        <f>FZ117*FZ118</f>
        <v>187.89077999999998</v>
      </c>
      <c r="GA119" s="267">
        <f>GA117*GA118</f>
        <v>239.99903999999998</v>
      </c>
      <c r="GB119" s="267">
        <f>GB117*GB118</f>
        <v>783.02294999999992</v>
      </c>
      <c r="GD119" s="266" t="s">
        <v>301</v>
      </c>
      <c r="GE119" s="267">
        <f>GE117*GE118</f>
        <v>252.77</v>
      </c>
      <c r="GF119" s="267">
        <f>GF117*GF118</f>
        <v>288.59999999999997</v>
      </c>
      <c r="GG119" s="267">
        <f>GG117*GG118</f>
        <v>300.95999999999998</v>
      </c>
      <c r="GH119" s="267">
        <f>GH117*GH118</f>
        <v>271.5</v>
      </c>
      <c r="GI119" s="267">
        <f>GI117*GI118</f>
        <v>1112.28</v>
      </c>
      <c r="GK119" s="266" t="s">
        <v>301</v>
      </c>
      <c r="GL119" s="267">
        <f>GL117*GL118</f>
        <v>258.98099999999999</v>
      </c>
      <c r="GM119" s="267">
        <f>GM117*GM118</f>
        <v>228.6</v>
      </c>
      <c r="GN119" s="267">
        <f>GN117*GN118</f>
        <v>304.65000000000003</v>
      </c>
      <c r="GO119" s="267">
        <f>GO117*GO118</f>
        <v>357.12</v>
      </c>
      <c r="GP119" s="267">
        <f>GP117*GP118</f>
        <v>1211.1179999999999</v>
      </c>
      <c r="GR119" s="266" t="s">
        <v>301</v>
      </c>
      <c r="GS119" s="267">
        <f>GS117*GS118</f>
        <v>404.95199999999994</v>
      </c>
      <c r="GT119" s="267">
        <f>GT117*GT118</f>
        <v>498.11199999999997</v>
      </c>
      <c r="GU119" s="267">
        <f>GU117*GU118</f>
        <v>468.38399999999996</v>
      </c>
      <c r="GV119" s="267">
        <f>GV117*GV118</f>
        <v>295.26000000000005</v>
      </c>
      <c r="GW119" s="267">
        <f>GW117*GW118</f>
        <v>1667.088</v>
      </c>
      <c r="GY119" s="266" t="s">
        <v>301</v>
      </c>
      <c r="GZ119" s="267">
        <f>GZ117*GZ118</f>
        <v>166.24399999999997</v>
      </c>
      <c r="HA119" s="267">
        <f>HA117*HA118</f>
        <v>165.828</v>
      </c>
      <c r="HB119" s="267">
        <f>HB117*HB118</f>
        <v>202.28799999999998</v>
      </c>
      <c r="HC119" s="267">
        <f>HC117*HC118</f>
        <v>227.76599999999999</v>
      </c>
      <c r="HD119" s="267">
        <f>HD117*HD118</f>
        <v>762.14699999999993</v>
      </c>
      <c r="HF119" s="266" t="s">
        <v>301</v>
      </c>
      <c r="HG119" s="267">
        <f>HG117*HG118</f>
        <v>255.09899999999999</v>
      </c>
      <c r="HH119" s="267">
        <f>HH117*HH118</f>
        <v>276.27600000000001</v>
      </c>
      <c r="HI119" s="267">
        <f>HI117*HI118</f>
        <v>254.75800000000001</v>
      </c>
      <c r="HJ119" s="267">
        <f>HJ117*HJ118</f>
        <v>318.71399999999994</v>
      </c>
      <c r="HK119" s="267">
        <f>HK117*HK118</f>
        <v>1106.4959999999999</v>
      </c>
      <c r="HM119" s="266" t="s">
        <v>301</v>
      </c>
      <c r="HN119" s="267">
        <f>HN117*HN118</f>
        <v>365.79399999999998</v>
      </c>
      <c r="HO119" s="267">
        <f>HO117*HO118</f>
        <v>397.39799999999997</v>
      </c>
      <c r="HP119" s="267">
        <f>HP117*HP118</f>
        <v>379.04299999999995</v>
      </c>
      <c r="HQ119" s="267">
        <f>HQ117*HQ118</f>
        <v>390.4</v>
      </c>
      <c r="HR119" s="267">
        <f>HR117*HR118</f>
        <v>1532.1420000000001</v>
      </c>
      <c r="HT119" s="266" t="s">
        <v>301</v>
      </c>
      <c r="HU119" s="267">
        <f>HU117*HU118</f>
        <v>409.5</v>
      </c>
      <c r="HV119" s="267">
        <f>HV117*HV118</f>
        <v>376.8</v>
      </c>
      <c r="HW119" s="267">
        <f>HW117*HW118</f>
        <v>371.52</v>
      </c>
      <c r="HX119" s="267">
        <f>HX117*HX118</f>
        <v>393.93900000000002</v>
      </c>
      <c r="HY119" s="267">
        <f>HY117*HY118</f>
        <v>1559.768</v>
      </c>
      <c r="IA119" s="266" t="s">
        <v>301</v>
      </c>
      <c r="IB119" s="267">
        <f>IB117*IB118</f>
        <v>413.48999999999995</v>
      </c>
      <c r="IC119" s="267">
        <f>IC117*IC118</f>
        <v>370.65600000000001</v>
      </c>
      <c r="ID119" s="267">
        <f>ID117*ID118</f>
        <v>365.18400000000003</v>
      </c>
      <c r="IE119" s="267">
        <f>IE117*IE118</f>
        <v>380.06</v>
      </c>
      <c r="IF119" s="267">
        <f>IF117*IF118</f>
        <v>1527.6229999999998</v>
      </c>
      <c r="IH119" s="266" t="s">
        <v>301</v>
      </c>
      <c r="II119" s="267">
        <f>II117*II118</f>
        <v>408.51400000000001</v>
      </c>
      <c r="IJ119" s="267">
        <f>IJ117*IJ118</f>
        <v>387.702</v>
      </c>
      <c r="IK119" s="267">
        <f>IK117*IK118</f>
        <v>366.9</v>
      </c>
      <c r="IL119" s="267">
        <f>IL117*IL118</f>
        <v>334.60199999999998</v>
      </c>
      <c r="IM119" s="267">
        <f>IM117*IM118</f>
        <v>1496.5350000000001</v>
      </c>
      <c r="IO119" s="266" t="s">
        <v>301</v>
      </c>
      <c r="IP119" s="267">
        <f>IP117*IP118</f>
        <v>245.33400000000003</v>
      </c>
      <c r="IQ119" s="267">
        <f>IQ117*IQ118</f>
        <v>242.97899999999998</v>
      </c>
      <c r="IR119" s="267">
        <f>IR117*IR118</f>
        <v>205.392</v>
      </c>
      <c r="IS119" s="267">
        <f>IS117*IS118</f>
        <v>184.54400000000001</v>
      </c>
      <c r="IT119" s="267">
        <f>IT117*IT118</f>
        <v>877.5</v>
      </c>
      <c r="IV119" s="266" t="s">
        <v>301</v>
      </c>
      <c r="IW119" s="267">
        <f>IW117*IW118</f>
        <v>134.589</v>
      </c>
      <c r="IX119" s="267">
        <f>IX117*IX118</f>
        <v>158.089</v>
      </c>
      <c r="IY119" s="267">
        <f>IY117*IY118</f>
        <v>157.471</v>
      </c>
      <c r="IZ119" s="267">
        <f>IZ117*IZ118</f>
        <v>199.251</v>
      </c>
      <c r="JA119" s="267">
        <f>JA117*JA118</f>
        <v>647.35199999999998</v>
      </c>
      <c r="JC119" s="266" t="s">
        <v>301</v>
      </c>
      <c r="JD119" s="267">
        <f>JD117*JD118</f>
        <v>198.43100000000001</v>
      </c>
      <c r="JE119" s="267">
        <f>JE117*JE118</f>
        <v>179.54999999999998</v>
      </c>
      <c r="JF119" s="267">
        <f>JF117*JF118</f>
        <v>187</v>
      </c>
      <c r="JG119" s="267">
        <f>JG117*JG118</f>
        <v>222.56</v>
      </c>
      <c r="JH119" s="267">
        <f>JH117*JH118</f>
        <v>785.12800000000004</v>
      </c>
      <c r="JJ119" s="266" t="s">
        <v>301</v>
      </c>
      <c r="JK119" s="267">
        <f>JK117*JK118</f>
        <v>229.18999999999997</v>
      </c>
      <c r="JL119" s="267">
        <f>JL117*JL118</f>
        <v>248.84399999999999</v>
      </c>
      <c r="JM119" s="267">
        <f>JM117*JM118</f>
        <v>249.32400000000001</v>
      </c>
      <c r="JN119" s="267">
        <f>JN117*JN118</f>
        <v>241.36600000000001</v>
      </c>
      <c r="JO119" s="267">
        <f>JO117*JO118</f>
        <v>966.71999999999991</v>
      </c>
      <c r="JQ119" s="266" t="s">
        <v>301</v>
      </c>
      <c r="JR119" s="267">
        <f>JR117*JR118</f>
        <v>213.58800000000002</v>
      </c>
      <c r="JS119" s="267">
        <f>JS117*JS118</f>
        <v>216.15299999999999</v>
      </c>
      <c r="JT119" s="267">
        <f>JT117*JT118</f>
        <v>194.13499999999999</v>
      </c>
      <c r="JU119" s="267">
        <f>JU117*JU118</f>
        <v>198.64400000000001</v>
      </c>
      <c r="JV119" s="267">
        <f>JV117*JV118</f>
        <v>822.78000000000009</v>
      </c>
      <c r="JX119" s="266" t="s">
        <v>301</v>
      </c>
      <c r="JY119" s="267">
        <f>JY117*JY118</f>
        <v>173.52</v>
      </c>
      <c r="JZ119" s="267">
        <f>JZ117*JZ118</f>
        <v>81.73</v>
      </c>
      <c r="KA119" s="267">
        <f>KA117*KA118</f>
        <v>111.276</v>
      </c>
      <c r="KB119" s="267">
        <f>KB117*KB118</f>
        <v>128.98599999999999</v>
      </c>
      <c r="KC119" s="267">
        <f>KC117*KC118</f>
        <v>497.08799999999997</v>
      </c>
      <c r="KE119" s="266" t="s">
        <v>301</v>
      </c>
      <c r="KF119" s="267">
        <f>KF117*KF118</f>
        <v>172.58399999999997</v>
      </c>
      <c r="KG119" s="267">
        <f>KG117*KG118</f>
        <v>195.25200000000001</v>
      </c>
      <c r="KH119" s="267">
        <f>KH117*KH118</f>
        <v>201.006</v>
      </c>
      <c r="KI119" s="267">
        <f>KI117*KI118</f>
        <v>238.13399999999999</v>
      </c>
      <c r="KJ119" s="267">
        <f>KJ117*KJ118</f>
        <v>807.48300000000006</v>
      </c>
      <c r="KL119" s="266" t="s">
        <v>301</v>
      </c>
      <c r="KM119" s="267">
        <f>KM117*KM118</f>
        <v>275.64999999999998</v>
      </c>
      <c r="KN119" s="267">
        <f>KN117*KN118</f>
        <v>375.36</v>
      </c>
      <c r="KO119" s="267">
        <f>KO117*KO118</f>
        <v>376.65600000000006</v>
      </c>
      <c r="KP119" s="267">
        <f>KP117*KP118</f>
        <v>353.44</v>
      </c>
      <c r="KQ119" s="267">
        <v>1381</v>
      </c>
      <c r="KS119" s="266" t="s">
        <v>301</v>
      </c>
      <c r="KT119" s="267">
        <f>KT117*KT118</f>
        <v>306.22199999999998</v>
      </c>
      <c r="KU119" s="267">
        <f>KU117*KU118</f>
        <v>264.40799999999996</v>
      </c>
      <c r="KV119" s="267">
        <f>KV117*KV118</f>
        <v>301.39600000000002</v>
      </c>
      <c r="KW119" s="267">
        <f>KW117*KW118</f>
        <v>298.14400000000001</v>
      </c>
      <c r="KX119" s="267">
        <v>1169</v>
      </c>
      <c r="KZ119" s="266" t="s">
        <v>301</v>
      </c>
      <c r="LA119" s="267">
        <f>LA117*LA118</f>
        <v>275.88</v>
      </c>
      <c r="LB119" s="515">
        <f>LB117*LB118</f>
        <v>248.976</v>
      </c>
      <c r="LC119" s="515">
        <f>LC117*LC118</f>
        <v>229.06800000000001</v>
      </c>
      <c r="LD119" s="515">
        <f>LD117*LD118</f>
        <v>223.95799999999997</v>
      </c>
      <c r="LE119" s="515">
        <f>SUM(LA119:LD119)</f>
        <v>977.88199999999995</v>
      </c>
      <c r="LF119" s="594"/>
      <c r="LG119" s="516" t="s">
        <v>301</v>
      </c>
      <c r="LH119" s="515">
        <f>LH117*LH118</f>
        <v>224.81800000000001</v>
      </c>
      <c r="LI119" s="515">
        <f>LI117*LI118</f>
        <v>226.47600000000003</v>
      </c>
      <c r="LJ119" s="515">
        <f>LJ117*LJ118</f>
        <v>236.72800000000001</v>
      </c>
      <c r="LK119" s="515">
        <f>LK117*LK118</f>
        <v>225.928</v>
      </c>
      <c r="LL119" s="515">
        <f>SUM(LH119:LK119)</f>
        <v>913.95</v>
      </c>
      <c r="LM119" s="594"/>
      <c r="LN119" s="516" t="s">
        <v>301</v>
      </c>
      <c r="LO119" s="515">
        <f>LO117*LO118</f>
        <v>220.32563345154156</v>
      </c>
      <c r="LP119" s="515">
        <f>LP117*LP118</f>
        <v>229.24802546521525</v>
      </c>
      <c r="LQ119" s="515">
        <f>LQ117*LQ118</f>
        <v>221.44495148933007</v>
      </c>
      <c r="LR119" s="515">
        <f>LR117*LR118</f>
        <v>219.26212499180966</v>
      </c>
      <c r="LS119" s="515">
        <f>SUM(LO119:LR119)</f>
        <v>890.28073539789648</v>
      </c>
      <c r="LT119" s="594"/>
      <c r="LU119" s="516" t="s">
        <v>301</v>
      </c>
      <c r="LV119" s="515">
        <f>LV117*LV118</f>
        <v>224.11749592397811</v>
      </c>
      <c r="LW119" s="515">
        <f>LW117*LW118</f>
        <v>233.34501183486955</v>
      </c>
      <c r="LX119" s="515">
        <f>LX117*LX118</f>
        <v>225.13800249276704</v>
      </c>
      <c r="LY119" s="515">
        <f>LY117*LY118</f>
        <v>222.91264032050302</v>
      </c>
      <c r="LZ119" s="515">
        <f>SUM(LV119:LY119)</f>
        <v>905.51315057211764</v>
      </c>
      <c r="MA119" s="594"/>
      <c r="MB119" s="516" t="s">
        <v>301</v>
      </c>
      <c r="MC119" s="515">
        <f>MC117*MC118</f>
        <v>228.49983017822373</v>
      </c>
      <c r="MD119" s="515">
        <f>MD117*MD118</f>
        <v>237.84194160991876</v>
      </c>
      <c r="ME119" s="515">
        <f>ME117*ME118</f>
        <v>229.94700843153404</v>
      </c>
      <c r="MF119" s="515">
        <f>MF117*MF118</f>
        <v>227.55003818227453</v>
      </c>
      <c r="MG119" s="515">
        <f>SUM(MC119:MF119)</f>
        <v>923.83881840195113</v>
      </c>
      <c r="MH119" s="594"/>
    </row>
    <row r="120" spans="1:346" s="37" customFormat="1" ht="13.15" x14ac:dyDescent="0.4">
      <c r="A120" s="100"/>
      <c r="B120" s="268" t="s">
        <v>302</v>
      </c>
      <c r="C120" s="269"/>
      <c r="D120" s="269"/>
      <c r="E120" s="269"/>
      <c r="F120" s="269"/>
      <c r="G120" s="269"/>
      <c r="H120" s="269"/>
      <c r="I120" s="269"/>
      <c r="J120" s="269"/>
      <c r="K120" s="269"/>
      <c r="L120" s="269"/>
      <c r="M120" s="269"/>
      <c r="N120" s="269">
        <f t="shared" si="238"/>
        <v>120.99999999999997</v>
      </c>
      <c r="O120" s="269">
        <f t="shared" si="239"/>
        <v>148</v>
      </c>
      <c r="P120" s="269">
        <f t="shared" si="240"/>
        <v>171</v>
      </c>
      <c r="Q120" s="269">
        <f t="shared" si="241"/>
        <v>163.00000000000003</v>
      </c>
      <c r="R120" s="269">
        <f t="shared" si="242"/>
        <v>151.99999999999997</v>
      </c>
      <c r="S120" s="269">
        <f t="shared" si="243"/>
        <v>160</v>
      </c>
      <c r="T120" s="269">
        <f t="shared" si="244"/>
        <v>208</v>
      </c>
      <c r="U120" s="269">
        <f t="shared" si="245"/>
        <v>252</v>
      </c>
      <c r="V120" s="269">
        <f t="shared" si="246"/>
        <v>256.83999999999997</v>
      </c>
      <c r="W120" s="269">
        <f t="shared" si="247"/>
        <v>143.30000000000001</v>
      </c>
      <c r="X120" s="269">
        <f t="shared" si="248"/>
        <v>160.06192500000003</v>
      </c>
      <c r="Y120" s="269">
        <f t="shared" si="249"/>
        <v>71.206400000000144</v>
      </c>
      <c r="Z120" s="269">
        <f t="shared" si="250"/>
        <v>61.247040000000084</v>
      </c>
      <c r="AA120" s="269">
        <f t="shared" si="251"/>
        <v>66.502204999999947</v>
      </c>
      <c r="AB120" s="269">
        <f t="shared" si="252"/>
        <v>0.22334000000000742</v>
      </c>
      <c r="AC120" s="269">
        <f t="shared" si="253"/>
        <v>-17.048459999999864</v>
      </c>
      <c r="AD120" s="269">
        <f t="shared" si="254"/>
        <v>-2.2949999999923421E-2</v>
      </c>
      <c r="AE120" s="269">
        <f t="shared" si="255"/>
        <v>-0.27999999999997272</v>
      </c>
      <c r="AF120" s="269">
        <f t="shared" si="256"/>
        <v>100.88200000000006</v>
      </c>
      <c r="AG120" s="269">
        <f t="shared" si="257"/>
        <v>149.91200000000003</v>
      </c>
      <c r="AH120" s="269">
        <f t="shared" si="258"/>
        <v>86.853000000000065</v>
      </c>
      <c r="AI120" s="269">
        <f t="shared" si="259"/>
        <v>105.50400000000013</v>
      </c>
      <c r="AJ120" s="269">
        <f t="shared" si="260"/>
        <v>135.85799999999995</v>
      </c>
      <c r="AK120" s="269">
        <f t="shared" si="261"/>
        <v>112.23199999999997</v>
      </c>
      <c r="AL120" s="269">
        <f t="shared" si="262"/>
        <v>128.37700000000018</v>
      </c>
      <c r="AM120" s="269">
        <f t="shared" si="263"/>
        <v>119.46499999999992</v>
      </c>
      <c r="AN120" s="269">
        <f t="shared" si="264"/>
        <v>79.5</v>
      </c>
      <c r="AO120" s="269">
        <f t="shared" si="265"/>
        <v>65.648000000000025</v>
      </c>
      <c r="AP120" s="269">
        <f t="shared" si="266"/>
        <v>78.871999999999957</v>
      </c>
      <c r="AQ120" s="269">
        <f t="shared" si="267"/>
        <v>79.280000000000086</v>
      </c>
      <c r="AR120" s="269">
        <f t="shared" si="268"/>
        <v>83.219999999999914</v>
      </c>
      <c r="AS120" s="269">
        <f t="shared" si="269"/>
        <v>43.912000000000035</v>
      </c>
      <c r="AT120" s="269">
        <f t="shared" si="270"/>
        <v>105.51699999999994</v>
      </c>
      <c r="AU120" s="269">
        <f t="shared" si="271"/>
        <v>245</v>
      </c>
      <c r="AV120" s="269">
        <f t="shared" si="272"/>
        <v>208</v>
      </c>
      <c r="AW120" s="269">
        <f t="shared" si="273"/>
        <v>190.11800000000005</v>
      </c>
      <c r="AX120" s="269">
        <f t="shared" si="274"/>
        <v>181.04999999999995</v>
      </c>
      <c r="AY120" s="269">
        <f t="shared" si="275"/>
        <v>168.3738401436724</v>
      </c>
      <c r="AZ120" s="269">
        <f t="shared" si="276"/>
        <v>173.42505534798261</v>
      </c>
      <c r="BA120" s="269">
        <f t="shared" si="277"/>
        <v>178.627807008422</v>
      </c>
      <c r="BB120" s="269"/>
      <c r="BC120" s="269"/>
      <c r="BD120" s="269"/>
      <c r="BE120" s="269"/>
      <c r="BF120" s="269"/>
      <c r="BG120" s="269"/>
      <c r="BH120" s="269"/>
      <c r="BI120" s="269"/>
      <c r="BJ120" s="269"/>
      <c r="BK120" s="269"/>
      <c r="BL120" s="269"/>
      <c r="BM120" s="269"/>
      <c r="BO120" s="268" t="s">
        <v>302</v>
      </c>
      <c r="BP120" s="269">
        <f>CSX!BR30-BP119</f>
        <v>25.999999999999993</v>
      </c>
      <c r="BQ120" s="269">
        <f>CSX!BS30-BQ119</f>
        <v>31</v>
      </c>
      <c r="BR120" s="269">
        <f>CSX!BT30-BR119</f>
        <v>29</v>
      </c>
      <c r="BS120" s="269">
        <f>CSX!BU30-BS119</f>
        <v>35</v>
      </c>
      <c r="BT120" s="269">
        <f>CSX!BV30-BT119</f>
        <v>120.99999999999997</v>
      </c>
      <c r="BV120" s="268" t="s">
        <v>302</v>
      </c>
      <c r="BW120" s="269">
        <f>CSX!BY30-BW119</f>
        <v>36</v>
      </c>
      <c r="BX120" s="269">
        <f>CSX!BZ30-BX119</f>
        <v>35</v>
      </c>
      <c r="BY120" s="269">
        <f>CSX!CA30-BY119</f>
        <v>28</v>
      </c>
      <c r="BZ120" s="269">
        <f>CSX!CB30-BZ119</f>
        <v>49</v>
      </c>
      <c r="CA120" s="269">
        <f>CSX!CC30-CA119</f>
        <v>148</v>
      </c>
      <c r="CC120" s="268" t="s">
        <v>302</v>
      </c>
      <c r="CD120" s="269">
        <f>CSX!CF30-CD119</f>
        <v>54</v>
      </c>
      <c r="CE120" s="269">
        <f>CSX!CG30-CE119</f>
        <v>34</v>
      </c>
      <c r="CF120" s="269">
        <f>CSX!CH30-CF119</f>
        <v>37</v>
      </c>
      <c r="CG120" s="269">
        <f>CSX!CI30-CG119</f>
        <v>46</v>
      </c>
      <c r="CH120" s="269">
        <f>CSX!CJ30-CH119</f>
        <v>171</v>
      </c>
      <c r="CJ120" s="268" t="s">
        <v>302</v>
      </c>
      <c r="CK120" s="269">
        <f>CSX!CM30-CK119</f>
        <v>33.999999999999993</v>
      </c>
      <c r="CL120" s="269">
        <f>CSX!CN30-CL119</f>
        <v>37</v>
      </c>
      <c r="CM120" s="269">
        <f>CSX!CO30-CM119</f>
        <v>44</v>
      </c>
      <c r="CN120" s="269">
        <f>CSX!CP30-CN119</f>
        <v>48</v>
      </c>
      <c r="CO120" s="269">
        <f>CSX!CQ30-CO119</f>
        <v>163.00000000000003</v>
      </c>
      <c r="CQ120" s="268" t="s">
        <v>302</v>
      </c>
      <c r="CR120" s="269">
        <f>CSX!CT30-CR119</f>
        <v>32.679999999999993</v>
      </c>
      <c r="CS120" s="269">
        <f>CSX!CU30-CS119</f>
        <v>36.26</v>
      </c>
      <c r="CT120" s="269">
        <f>CSX!CV30-CT119</f>
        <v>26.480000000000004</v>
      </c>
      <c r="CU120" s="269">
        <f>CSX!CW30-CU119</f>
        <v>28.92</v>
      </c>
      <c r="CV120" s="269">
        <f>CSX!CX30-CV119</f>
        <v>151.99999999999997</v>
      </c>
      <c r="CX120" s="268" t="s">
        <v>302</v>
      </c>
      <c r="CY120" s="269">
        <f>CSX!DA30-CY119</f>
        <v>28.400000000000006</v>
      </c>
      <c r="CZ120" s="269">
        <f>CSX!DB30-CZ119</f>
        <v>27.560000000000002</v>
      </c>
      <c r="DA120" s="269">
        <f>CSX!DC30-DA119</f>
        <v>37</v>
      </c>
      <c r="DB120" s="269">
        <f>CSX!DD30-DB119</f>
        <v>37.730000000000004</v>
      </c>
      <c r="DC120" s="269">
        <f>CSX!DE30-DC119</f>
        <v>160</v>
      </c>
      <c r="DE120" s="268" t="s">
        <v>302</v>
      </c>
      <c r="DF120" s="269">
        <f>CSX!DH30-DF119</f>
        <v>43.100000000000009</v>
      </c>
      <c r="DG120" s="269">
        <f>CSX!DI30-DG119</f>
        <v>46.56</v>
      </c>
      <c r="DH120" s="269">
        <f>CSX!DJ30-DH119</f>
        <v>45.400000000000006</v>
      </c>
      <c r="DI120" s="269">
        <f>CSX!DK30-DI119</f>
        <v>45.120000000000005</v>
      </c>
      <c r="DJ120" s="269">
        <f>CSX!DL30-DJ119</f>
        <v>208</v>
      </c>
      <c r="DL120" s="268" t="s">
        <v>302</v>
      </c>
      <c r="DM120" s="269">
        <f>CSX!DO30-DM119</f>
        <v>59.399999999999991</v>
      </c>
      <c r="DN120" s="269">
        <f>CSX!DP30-DN119</f>
        <v>63.400000000000006</v>
      </c>
      <c r="DO120" s="269">
        <f>CSX!DQ30-DO119</f>
        <v>56</v>
      </c>
      <c r="DP120" s="269">
        <f>CSX!DR30-DP119</f>
        <v>75.089999999999989</v>
      </c>
      <c r="DQ120" s="269">
        <f>CSX!DS30-DQ119</f>
        <v>252</v>
      </c>
      <c r="DS120" s="268" t="s">
        <v>302</v>
      </c>
      <c r="DT120" s="269">
        <f>CSX!DV30-DT119</f>
        <v>69</v>
      </c>
      <c r="DU120" s="269">
        <f>CSX!DW30-DU119</f>
        <v>58.64</v>
      </c>
      <c r="DV120" s="269">
        <f>CSX!DX30-DV119</f>
        <v>60.08</v>
      </c>
      <c r="DW120" s="269">
        <f>CSX!DY30-DW119</f>
        <v>68.759999999999991</v>
      </c>
      <c r="DX120" s="269">
        <f>CSX!DZ30-DX119</f>
        <v>256.83999999999997</v>
      </c>
      <c r="DZ120" s="268" t="s">
        <v>302</v>
      </c>
      <c r="EA120" s="269">
        <f>CSX!EC30-EA119</f>
        <v>41.740000000000009</v>
      </c>
      <c r="EB120" s="269">
        <f>CSX!ED30-EB119</f>
        <v>35.440000000000005</v>
      </c>
      <c r="EC120" s="269">
        <f>CSX!EE30-EC119</f>
        <v>31.249999999999993</v>
      </c>
      <c r="ED120" s="269">
        <f>CSX!EF30-ED119</f>
        <v>34.719999999999992</v>
      </c>
      <c r="EE120" s="269">
        <f>CSX!EG30-EE119</f>
        <v>143.30000000000001</v>
      </c>
      <c r="EG120" s="268" t="s">
        <v>302</v>
      </c>
      <c r="EH120" s="269">
        <f>CSX!EJ30-EH119</f>
        <v>29</v>
      </c>
      <c r="EI120" s="269">
        <f>CSX!EK30-EI119</f>
        <v>34.279999999999994</v>
      </c>
      <c r="EJ120" s="269">
        <f>CSX!EL30-EJ119</f>
        <v>40.599999999999994</v>
      </c>
      <c r="EK120" s="269">
        <f>CSX!EM30-EK119</f>
        <v>50.415700000000015</v>
      </c>
      <c r="EL120" s="269">
        <f>CSX!EN30-EL119</f>
        <v>160.06192500000003</v>
      </c>
      <c r="EN120" s="268" t="s">
        <v>302</v>
      </c>
      <c r="EO120" s="269">
        <f>CSX!EQ30-EO119</f>
        <v>17.539999999999992</v>
      </c>
      <c r="EP120" s="269">
        <f>CSX!ER30-EP119</f>
        <v>18.258999999999986</v>
      </c>
      <c r="EQ120" s="269">
        <f>CSX!ES30-EQ119</f>
        <v>17.289999999999992</v>
      </c>
      <c r="ER120" s="269">
        <f>CSX!ET30-ER119</f>
        <v>18.588999999999999</v>
      </c>
      <c r="ES120" s="269">
        <f>CSX!EU30-ES119</f>
        <v>71.206400000000144</v>
      </c>
      <c r="EU120" s="268" t="s">
        <v>302</v>
      </c>
      <c r="EV120" s="269">
        <f>CSX!EX30-EV119</f>
        <v>15.877259999999978</v>
      </c>
      <c r="EW120" s="269">
        <f>CSX!EY30-EW119</f>
        <v>14.869</v>
      </c>
      <c r="EX120" s="269">
        <f>CSX!EZ30-EX119</f>
        <v>15.290399999999991</v>
      </c>
      <c r="EY120" s="269">
        <f>CSX!FA30-EY119</f>
        <v>14.227100000000007</v>
      </c>
      <c r="EZ120" s="269">
        <f>CSX!FB30-EZ119</f>
        <v>61.247040000000084</v>
      </c>
      <c r="FB120" s="268" t="s">
        <v>302</v>
      </c>
      <c r="FC120" s="269">
        <f>CSX!FE30-FC119</f>
        <v>11.721280000000007</v>
      </c>
      <c r="FD120" s="269">
        <f>CSX!FF30-FD119</f>
        <v>16.212800000000001</v>
      </c>
      <c r="FE120" s="269">
        <f>CSX!FG30-FE119</f>
        <v>18.728290000000001</v>
      </c>
      <c r="FF120" s="269">
        <f>CSX!FH30-FF119</f>
        <v>19.95808000000001</v>
      </c>
      <c r="FG120" s="269">
        <f>CSX!FI30-FG119</f>
        <v>66.502204999999947</v>
      </c>
      <c r="FI120" s="268" t="s">
        <v>302</v>
      </c>
      <c r="FJ120" s="269">
        <f>CSX!FL30-FJ119</f>
        <v>0.32269999999999754</v>
      </c>
      <c r="FK120" s="269">
        <f>CSX!FM30-FK119</f>
        <v>-0.49354999999999905</v>
      </c>
      <c r="FL120" s="269">
        <f>CSX!FN30-FL119</f>
        <v>0.1476300000000208</v>
      </c>
      <c r="FM120" s="269">
        <f>CSX!FO30-FM119</f>
        <v>0.1880000000000166</v>
      </c>
      <c r="FN120" s="269">
        <f>CSX!FP30-FN119</f>
        <v>0.22334000000000742</v>
      </c>
      <c r="FP120" s="268" t="s">
        <v>302</v>
      </c>
      <c r="FQ120" s="269">
        <f>CSX!FS30-FQ119</f>
        <v>-7.4137699999999711</v>
      </c>
      <c r="FR120" s="269">
        <f>CSX!FT30-FR119</f>
        <v>-6.9196999999999775</v>
      </c>
      <c r="FS120" s="269">
        <f>CSX!FU30-FS119</f>
        <v>-2.2500000000007958E-2</v>
      </c>
      <c r="FT120" s="269">
        <f>CSX!FV30-FT119</f>
        <v>-2.6630099999999857</v>
      </c>
      <c r="FU120" s="269">
        <f>CSX!FW30-FU119</f>
        <v>-17.048459999999864</v>
      </c>
      <c r="FW120" s="268" t="s">
        <v>302</v>
      </c>
      <c r="FX120" s="269">
        <f>CSX!FZ30-FX119</f>
        <v>-0.27481000000000222</v>
      </c>
      <c r="FY120" s="269">
        <f>CSX!GA30-FY119</f>
        <v>0.1631500000000301</v>
      </c>
      <c r="FZ120" s="269">
        <f>CSX!GB30-FZ119</f>
        <v>0.10922000000002186</v>
      </c>
      <c r="GA120" s="269">
        <f>CSX!GC30-GA119</f>
        <v>9.6000000002050001E-4</v>
      </c>
      <c r="GB120" s="269">
        <f>CSX!GD30-GB119</f>
        <v>-2.2949999999923421E-2</v>
      </c>
      <c r="GD120" s="268" t="s">
        <v>302</v>
      </c>
      <c r="GE120" s="269">
        <f>CSX!GG30-GE119</f>
        <v>0.22999999999998977</v>
      </c>
      <c r="GF120" s="269">
        <f>CSX!GH30-GF119</f>
        <v>-0.59999999999996589</v>
      </c>
      <c r="GG120" s="269">
        <f>CSX!GI30-GG119</f>
        <v>-0.95999999999997954</v>
      </c>
      <c r="GH120" s="269">
        <f>CSX!GJ30-GH119</f>
        <v>-0.5</v>
      </c>
      <c r="GI120" s="269">
        <f>CSX!GK30-GI119</f>
        <v>-0.27999999999997272</v>
      </c>
      <c r="GK120" s="268" t="s">
        <v>302</v>
      </c>
      <c r="GL120" s="269">
        <f>CSX!GN30-GL119</f>
        <v>25.019000000000005</v>
      </c>
      <c r="GM120" s="269">
        <f>CSX!GO30-GM119</f>
        <v>87.4</v>
      </c>
      <c r="GN120" s="269">
        <f>CSX!GP30-GN119</f>
        <v>25.349999999999966</v>
      </c>
      <c r="GO120" s="269">
        <f>CSX!GQ30-GO119</f>
        <v>24.879999999999995</v>
      </c>
      <c r="GP120" s="269">
        <f>CSX!GR30-GP119</f>
        <v>100.88200000000006</v>
      </c>
      <c r="GR120" s="268" t="s">
        <v>302</v>
      </c>
      <c r="GS120" s="269">
        <f>CSX!GU30-GS119</f>
        <v>36.048000000000059</v>
      </c>
      <c r="GT120" s="269">
        <f>CSX!GV30-GT119</f>
        <v>38.888000000000034</v>
      </c>
      <c r="GU120" s="269">
        <f>CSX!GW30-GU119</f>
        <v>39.616000000000042</v>
      </c>
      <c r="GV120" s="269">
        <f>CSX!GX30-GV119</f>
        <v>35.739999999999952</v>
      </c>
      <c r="GW120" s="269">
        <f>CSX!GY30-GW119</f>
        <v>149.91200000000003</v>
      </c>
      <c r="GY120" s="268" t="s">
        <v>302</v>
      </c>
      <c r="GZ120" s="269">
        <f>CSX!HB30-GZ119</f>
        <v>24.756000000000029</v>
      </c>
      <c r="HA120" s="269">
        <f>CSX!HC30-HA119</f>
        <v>19.171999999999997</v>
      </c>
      <c r="HB120" s="269">
        <f>CSX!HD30-HB119</f>
        <v>20.712000000000018</v>
      </c>
      <c r="HC120" s="269">
        <f>CSX!HE30-HC119</f>
        <v>22.234000000000009</v>
      </c>
      <c r="HD120" s="269">
        <f>CSX!HF30-HD119</f>
        <v>86.853000000000065</v>
      </c>
      <c r="HF120" s="268" t="s">
        <v>302</v>
      </c>
      <c r="HG120" s="269">
        <f>CSX!HI30-HG119</f>
        <v>27.90100000000001</v>
      </c>
      <c r="HH120" s="269">
        <f>CSX!HJ30-HH119</f>
        <v>27.72399999999999</v>
      </c>
      <c r="HI120" s="269">
        <f>CSX!HK30-HI119</f>
        <v>24.24199999999999</v>
      </c>
      <c r="HJ120" s="269">
        <f>CSX!HL30-HJ119</f>
        <v>27.286000000000058</v>
      </c>
      <c r="HK120" s="269">
        <f>CSX!HM30-HK119</f>
        <v>105.50400000000013</v>
      </c>
      <c r="HM120" s="268" t="s">
        <v>302</v>
      </c>
      <c r="HN120" s="269">
        <f>CSX!HP30-HN119</f>
        <v>36.206000000000017</v>
      </c>
      <c r="HO120" s="269">
        <f>CSX!HQ30-HO119</f>
        <v>33.602000000000032</v>
      </c>
      <c r="HP120" s="269">
        <f>CSX!HR30-HP119</f>
        <v>32.95700000000005</v>
      </c>
      <c r="HQ120" s="269">
        <f>CSX!HS30-HQ119</f>
        <v>32.600000000000023</v>
      </c>
      <c r="HR120" s="269">
        <f>CSX!HT30-HR119</f>
        <v>135.85799999999995</v>
      </c>
      <c r="HT120" s="268" t="s">
        <v>302</v>
      </c>
      <c r="HU120" s="269">
        <f>CSX!HW30-HU119</f>
        <v>34.5</v>
      </c>
      <c r="HV120" s="269">
        <f>CSX!HX30-HV119</f>
        <v>33.199999999999989</v>
      </c>
      <c r="HW120" s="269">
        <f>CSX!HY30-HW119</f>
        <v>25.480000000000018</v>
      </c>
      <c r="HX120" s="269">
        <f>CSX!HZ30-HX119</f>
        <v>27.060999999999979</v>
      </c>
      <c r="HY120" s="269">
        <f>CSX!IA30-HY119</f>
        <v>112.23199999999997</v>
      </c>
      <c r="IA120" s="268" t="s">
        <v>302</v>
      </c>
      <c r="IB120" s="269">
        <f>CSX!ID30-IB119</f>
        <v>30.510000000000048</v>
      </c>
      <c r="IC120" s="269">
        <f>CSX!IE30-IC119</f>
        <v>26.343999999999994</v>
      </c>
      <c r="ID120" s="269">
        <f>CSX!IF30-ID119</f>
        <v>41.815999999999974</v>
      </c>
      <c r="IE120" s="269">
        <f>CSX!IG30-IE119</f>
        <v>27.939999999999998</v>
      </c>
      <c r="IF120" s="269">
        <f>CSX!IH30-IF119</f>
        <v>128.37700000000018</v>
      </c>
      <c r="IH120" s="268" t="s">
        <v>302</v>
      </c>
      <c r="II120" s="269">
        <f>CSX!IK30-II119</f>
        <v>37.48599999999999</v>
      </c>
      <c r="IJ120" s="269">
        <f>CSX!IL30-IJ119</f>
        <v>28.298000000000002</v>
      </c>
      <c r="IK120" s="269">
        <f>CSX!IM30-IK119</f>
        <v>26.100000000000023</v>
      </c>
      <c r="IL120" s="269">
        <f>CSX!IN30-IL119</f>
        <v>26.398000000000025</v>
      </c>
      <c r="IM120" s="269">
        <f>CSX!IO30-IM119</f>
        <v>119.46499999999992</v>
      </c>
      <c r="IO120" s="268" t="s">
        <v>302</v>
      </c>
      <c r="IP120" s="269">
        <f>CSX!IR30-IP119</f>
        <v>24.665999999999968</v>
      </c>
      <c r="IQ120" s="269">
        <f>CSX!IS30-IQ119</f>
        <v>20.021000000000015</v>
      </c>
      <c r="IR120" s="269">
        <f>CSX!IT30-IR119</f>
        <v>17.608000000000004</v>
      </c>
      <c r="IS120" s="269">
        <f>CSX!IU30-IS119</f>
        <v>16.455999999999989</v>
      </c>
      <c r="IT120" s="269">
        <f>CSX!IV30-IT119</f>
        <v>79.5</v>
      </c>
      <c r="IV120" s="268" t="s">
        <v>302</v>
      </c>
      <c r="IW120" s="269">
        <f>CSX!IY30-IW119</f>
        <v>15.411000000000001</v>
      </c>
      <c r="IX120" s="269">
        <f>CSX!IZ30-IX119</f>
        <v>13.911000000000001</v>
      </c>
      <c r="IY120" s="269">
        <f>CSX!JA30-IY119</f>
        <v>16.528999999999996</v>
      </c>
      <c r="IZ120" s="269">
        <f>CSX!JB30-IZ119</f>
        <v>17.748999999999995</v>
      </c>
      <c r="JA120" s="269">
        <f>CSX!JC30-JA119</f>
        <v>65.648000000000025</v>
      </c>
      <c r="JC120" s="268" t="s">
        <v>302</v>
      </c>
      <c r="JD120" s="269">
        <f>CSX!JF30-JD119</f>
        <v>19.568999999999988</v>
      </c>
      <c r="JE120" s="269">
        <f>CSX!JG30-JE119</f>
        <v>18.450000000000017</v>
      </c>
      <c r="JF120" s="269">
        <f>CSX!JH30-JF119</f>
        <v>18</v>
      </c>
      <c r="JG120" s="269">
        <f>CSX!JI30-JG119</f>
        <v>20.439999999999998</v>
      </c>
      <c r="JH120" s="269">
        <f>CSX!JJ30-JH119</f>
        <v>78.871999999999957</v>
      </c>
      <c r="JJ120" s="268" t="s">
        <v>302</v>
      </c>
      <c r="JK120" s="269">
        <f>CSX!JM30-JK119</f>
        <v>25.810000000000031</v>
      </c>
      <c r="JL120" s="269">
        <f>CSX!JN30-JL119</f>
        <v>21.156000000000006</v>
      </c>
      <c r="JM120" s="269">
        <f>CSX!JO30-JM119</f>
        <v>18.675999999999988</v>
      </c>
      <c r="JN120" s="269">
        <f>CSX!JP30-JN119</f>
        <v>11.633999999999986</v>
      </c>
      <c r="JO120" s="269">
        <f>CSX!JQ30-JO119</f>
        <v>79.280000000000086</v>
      </c>
      <c r="JQ120" s="268" t="s">
        <v>302</v>
      </c>
      <c r="JR120" s="269">
        <f>CSX!JT30-JR119</f>
        <v>19.411999999999978</v>
      </c>
      <c r="JS120" s="269">
        <f>CSX!JU30-JS119</f>
        <v>17.847000000000008</v>
      </c>
      <c r="JT120" s="269">
        <f>CSX!JV30-JT119</f>
        <v>28.865000000000009</v>
      </c>
      <c r="JU120" s="269">
        <f>CSX!JW30-JU119</f>
        <v>17.355999999999995</v>
      </c>
      <c r="JV120" s="269">
        <f>CSX!JX30-JV119</f>
        <v>83.219999999999914</v>
      </c>
      <c r="JX120" s="268" t="s">
        <v>302</v>
      </c>
      <c r="JY120" s="269">
        <f>CSX!KA30-JY119</f>
        <v>18.47999999999999</v>
      </c>
      <c r="JZ120" s="269">
        <f>CSX!KB30-JZ119</f>
        <v>9.269999999999996</v>
      </c>
      <c r="KA120" s="269">
        <f>CSX!KC30-KA119</f>
        <v>7.7240000000000038</v>
      </c>
      <c r="KB120" s="269">
        <f>CSX!KD30-KB119</f>
        <v>10.01400000000001</v>
      </c>
      <c r="KC120" s="269">
        <f>CSX!KE30-KC119</f>
        <v>43.912000000000035</v>
      </c>
      <c r="KE120" s="268" t="s">
        <v>302</v>
      </c>
      <c r="KF120" s="269">
        <f>CSX!KH30-KF119</f>
        <v>17.416000000000025</v>
      </c>
      <c r="KG120" s="269">
        <f>CSX!KI30-KG119</f>
        <v>-1.2520000000000095</v>
      </c>
      <c r="KH120" s="269">
        <f>CSX!KJ30-KH119</f>
        <v>45.994</v>
      </c>
      <c r="KI120" s="269">
        <f>CSX!KK30-KI119</f>
        <v>43.866000000000014</v>
      </c>
      <c r="KJ120" s="269">
        <f>CSX!KL30-KJ119</f>
        <v>105.51699999999994</v>
      </c>
      <c r="KL120" s="268" t="s">
        <v>302</v>
      </c>
      <c r="KM120" s="269">
        <f>CSX!KO30-KM119</f>
        <v>55.350000000000023</v>
      </c>
      <c r="KN120" s="269">
        <f>CSX!KP30-KN119</f>
        <v>70.639999999999986</v>
      </c>
      <c r="KO120" s="269">
        <f>CSX!KQ30-KO119</f>
        <v>61.343999999999937</v>
      </c>
      <c r="KP120" s="269">
        <f>CSX!KR30-KP119</f>
        <v>57.56</v>
      </c>
      <c r="KQ120" s="269">
        <f>CSX!KS30-KQ119</f>
        <v>245</v>
      </c>
      <c r="KS120" s="268" t="s">
        <v>302</v>
      </c>
      <c r="KT120" s="269">
        <f>CSX!KV30-KT119</f>
        <v>57.77800000000002</v>
      </c>
      <c r="KU120" s="269">
        <v>48</v>
      </c>
      <c r="KV120" s="269">
        <v>48</v>
      </c>
      <c r="KW120" s="269">
        <v>54</v>
      </c>
      <c r="KX120" s="269">
        <f>CSX!KZ30-KX119</f>
        <v>208</v>
      </c>
      <c r="KZ120" s="268" t="s">
        <v>302</v>
      </c>
      <c r="LA120" s="269">
        <f>CSX!LC30-LA119</f>
        <v>49.120000000000005</v>
      </c>
      <c r="LB120" s="269">
        <f>CSX!LD30-LB119</f>
        <v>52.024000000000001</v>
      </c>
      <c r="LC120" s="269">
        <f>CSX!LE30-LC119</f>
        <v>46.931999999999988</v>
      </c>
      <c r="LD120" s="269">
        <f>CSX!LF30-LD119</f>
        <v>42.04200000000003</v>
      </c>
      <c r="LE120" s="277">
        <f>Expense!LE10-LE119</f>
        <v>190.11800000000005</v>
      </c>
      <c r="LF120" s="582"/>
      <c r="LG120" s="518" t="s">
        <v>302</v>
      </c>
      <c r="LH120" s="269">
        <f>CSX!LJ30-LH119</f>
        <v>50.181999999999988</v>
      </c>
      <c r="LI120" s="269">
        <f>CSX!LK30-LI119</f>
        <v>42.523999999999972</v>
      </c>
      <c r="LJ120" s="269">
        <f>CSX!LL30-LJ119</f>
        <v>44.271999999999991</v>
      </c>
      <c r="LK120" s="269">
        <f>CSX!LM30-LK119</f>
        <v>44.072000000000003</v>
      </c>
      <c r="LL120" s="277">
        <f>Expense!LL10-LL119</f>
        <v>181.04999999999995</v>
      </c>
      <c r="LM120" s="582"/>
      <c r="LN120" s="518" t="s">
        <v>302</v>
      </c>
      <c r="LO120" s="517">
        <f>(1+Revenue!LO57)*LH120*(LO113/LH113)-8</f>
        <v>41.394598674549698</v>
      </c>
      <c r="LP120" s="517">
        <f>(1+Revenue!LP57)*LI120*(LP113/LI113)-2</f>
        <v>41.301171019718282</v>
      </c>
      <c r="LQ120" s="517">
        <f>(1+Revenue!LQ57)*LJ120*(LQ113/LJ113)</f>
        <v>42.619964676431422</v>
      </c>
      <c r="LR120" s="517">
        <f>(1+Revenue!LR57)*LK120*(LR113/LK113)</f>
        <v>43.058105772972972</v>
      </c>
      <c r="LS120" s="277">
        <f>Expense!LS10-LS119</f>
        <v>168.3738401436724</v>
      </c>
      <c r="LT120" s="582"/>
      <c r="LU120" s="518" t="s">
        <v>302</v>
      </c>
      <c r="LV120" s="517">
        <f>(1+Revenue!LV57)*LO120*(LV113/LO113)</f>
        <v>42.636436634786193</v>
      </c>
      <c r="LW120" s="517">
        <f>(1+Revenue!LW57)*LP120*(LW113/LP113)</f>
        <v>42.540206150309835</v>
      </c>
      <c r="LX120" s="517">
        <f>(1+Revenue!LX57)*LQ120*(LX113/LQ113)</f>
        <v>43.898563616724367</v>
      </c>
      <c r="LY120" s="517">
        <f>(1+Revenue!LY57)*LR120*(LY113/LR113)</f>
        <v>44.349848946162162</v>
      </c>
      <c r="LZ120" s="277">
        <f>Expense!LZ10-LZ119</f>
        <v>173.42505534798261</v>
      </c>
      <c r="MA120" s="582"/>
      <c r="MB120" s="518" t="s">
        <v>302</v>
      </c>
      <c r="MC120" s="517">
        <f>(1+Revenue!MC57)*LV120*(MC113/LV113)</f>
        <v>43.915529733829779</v>
      </c>
      <c r="MD120" s="517">
        <f>(1+Revenue!MD57)*LW120*(MD113/LW113)</f>
        <v>43.816412334819134</v>
      </c>
      <c r="ME120" s="517">
        <f>(1+Revenue!ME57)*LX120*(ME113/LX113)</f>
        <v>45.215520525226097</v>
      </c>
      <c r="MF120" s="517">
        <f>(1+Revenue!MF57)*LY120*(MF113/LY113)</f>
        <v>45.680344414547029</v>
      </c>
      <c r="MG120" s="277">
        <f>Expense!MG10-MG119</f>
        <v>178.627807008422</v>
      </c>
      <c r="MH120" s="582"/>
    </row>
    <row r="121" spans="1:346" s="37" customFormat="1" ht="13.15" outlineLevel="1" x14ac:dyDescent="0.4">
      <c r="A121" s="100"/>
      <c r="B121" s="147" t="s">
        <v>499</v>
      </c>
      <c r="C121" s="108"/>
      <c r="D121" s="108"/>
      <c r="E121" s="108"/>
      <c r="F121" s="108"/>
      <c r="G121" s="108"/>
      <c r="H121" s="108"/>
      <c r="I121" s="108"/>
      <c r="J121" s="108"/>
      <c r="K121" s="108"/>
      <c r="L121" s="108"/>
      <c r="M121" s="108"/>
      <c r="N121" s="108">
        <f t="shared" si="238"/>
        <v>0</v>
      </c>
      <c r="O121" s="108">
        <f t="shared" si="239"/>
        <v>0</v>
      </c>
      <c r="P121" s="108">
        <f t="shared" si="240"/>
        <v>0</v>
      </c>
      <c r="Q121" s="108">
        <f t="shared" si="241"/>
        <v>0</v>
      </c>
      <c r="R121" s="108">
        <f t="shared" si="242"/>
        <v>0</v>
      </c>
      <c r="S121" s="108">
        <f t="shared" si="243"/>
        <v>0</v>
      </c>
      <c r="T121" s="108">
        <f t="shared" si="244"/>
        <v>0</v>
      </c>
      <c r="U121" s="108">
        <f t="shared" si="245"/>
        <v>0</v>
      </c>
      <c r="V121" s="108">
        <f t="shared" si="246"/>
        <v>0</v>
      </c>
      <c r="W121" s="108">
        <f t="shared" si="247"/>
        <v>0</v>
      </c>
      <c r="X121" s="108">
        <f t="shared" si="248"/>
        <v>0</v>
      </c>
      <c r="Y121" s="108">
        <f t="shared" si="249"/>
        <v>0</v>
      </c>
      <c r="Z121" s="108">
        <f t="shared" si="250"/>
        <v>0</v>
      </c>
      <c r="AA121" s="108">
        <f t="shared" si="251"/>
        <v>0</v>
      </c>
      <c r="AB121" s="108">
        <f t="shared" si="252"/>
        <v>0</v>
      </c>
      <c r="AC121" s="108">
        <f t="shared" si="253"/>
        <v>0</v>
      </c>
      <c r="AD121" s="108">
        <f t="shared" si="254"/>
        <v>0</v>
      </c>
      <c r="AE121" s="108">
        <f t="shared" si="255"/>
        <v>0</v>
      </c>
      <c r="AF121" s="108">
        <f t="shared" si="256"/>
        <v>0</v>
      </c>
      <c r="AG121" s="108">
        <f t="shared" si="257"/>
        <v>0</v>
      </c>
      <c r="AH121" s="108">
        <f t="shared" si="258"/>
        <v>0</v>
      </c>
      <c r="AI121" s="108">
        <f t="shared" si="259"/>
        <v>0</v>
      </c>
      <c r="AJ121" s="108">
        <f t="shared" si="260"/>
        <v>0</v>
      </c>
      <c r="AK121" s="108">
        <f t="shared" si="261"/>
        <v>0</v>
      </c>
      <c r="AL121" s="108">
        <f t="shared" si="262"/>
        <v>0</v>
      </c>
      <c r="AM121" s="108">
        <f t="shared" si="263"/>
        <v>0</v>
      </c>
      <c r="AN121" s="108">
        <f t="shared" si="264"/>
        <v>0</v>
      </c>
      <c r="AO121" s="108">
        <f t="shared" si="265"/>
        <v>0</v>
      </c>
      <c r="AP121" s="108">
        <f t="shared" si="266"/>
        <v>0</v>
      </c>
      <c r="AQ121" s="108">
        <f t="shared" si="267"/>
        <v>0</v>
      </c>
      <c r="AR121" s="108">
        <f t="shared" si="268"/>
        <v>0</v>
      </c>
      <c r="AS121" s="108">
        <f t="shared" si="269"/>
        <v>0</v>
      </c>
      <c r="AT121" s="108">
        <f t="shared" si="270"/>
        <v>0</v>
      </c>
      <c r="AU121" s="108">
        <f t="shared" si="271"/>
        <v>0</v>
      </c>
      <c r="AV121" s="108">
        <f t="shared" si="272"/>
        <v>0</v>
      </c>
      <c r="AW121" s="108">
        <f t="shared" si="273"/>
        <v>0</v>
      </c>
      <c r="AX121" s="108">
        <f t="shared" si="274"/>
        <v>0</v>
      </c>
      <c r="AY121" s="108">
        <f t="shared" si="275"/>
        <v>0</v>
      </c>
      <c r="AZ121" s="108">
        <f t="shared" si="276"/>
        <v>0</v>
      </c>
      <c r="BA121" s="108">
        <f t="shared" si="277"/>
        <v>0</v>
      </c>
      <c r="BB121" s="108"/>
      <c r="BC121" s="108"/>
      <c r="BD121" s="108"/>
      <c r="BE121" s="108"/>
      <c r="BF121" s="108"/>
      <c r="BG121" s="108"/>
      <c r="BH121" s="108"/>
      <c r="BI121" s="108"/>
      <c r="BJ121" s="108"/>
      <c r="BK121" s="108"/>
      <c r="BL121" s="108"/>
      <c r="BM121" s="108"/>
      <c r="BO121" s="147" t="s">
        <v>499</v>
      </c>
      <c r="BP121" s="109"/>
      <c r="BQ121" s="109"/>
      <c r="BR121" s="109"/>
      <c r="BS121" s="109"/>
      <c r="BT121" s="109"/>
      <c r="BV121" s="147" t="s">
        <v>499</v>
      </c>
      <c r="BW121" s="109"/>
      <c r="BX121" s="109"/>
      <c r="BY121" s="109"/>
      <c r="BZ121" s="109"/>
      <c r="CA121" s="109"/>
      <c r="CC121" s="147" t="s">
        <v>499</v>
      </c>
      <c r="CD121" s="109"/>
      <c r="CE121" s="109"/>
      <c r="CF121" s="109"/>
      <c r="CG121" s="109"/>
      <c r="CH121" s="109"/>
      <c r="CJ121" s="147" t="s">
        <v>499</v>
      </c>
      <c r="CK121" s="109"/>
      <c r="CL121" s="109"/>
      <c r="CM121" s="109"/>
      <c r="CN121" s="109"/>
      <c r="CO121" s="109"/>
      <c r="CQ121" s="147" t="s">
        <v>499</v>
      </c>
      <c r="CR121" s="109"/>
      <c r="CS121" s="109"/>
      <c r="CT121" s="109"/>
      <c r="CU121" s="109"/>
      <c r="CV121" s="109"/>
      <c r="CX121" s="147" t="s">
        <v>499</v>
      </c>
      <c r="CY121" s="109"/>
      <c r="CZ121" s="109"/>
      <c r="DA121" s="109"/>
      <c r="DB121" s="109"/>
      <c r="DC121" s="109"/>
      <c r="DE121" s="147" t="s">
        <v>499</v>
      </c>
      <c r="DF121" s="109"/>
      <c r="DG121" s="109"/>
      <c r="DH121" s="109"/>
      <c r="DI121" s="109"/>
      <c r="DJ121" s="109"/>
      <c r="DL121" s="147" t="s">
        <v>499</v>
      </c>
      <c r="DM121" s="109"/>
      <c r="DN121" s="109"/>
      <c r="DO121" s="109"/>
      <c r="DP121" s="109"/>
      <c r="DQ121" s="109"/>
      <c r="DS121" s="147" t="s">
        <v>499</v>
      </c>
      <c r="DT121" s="109"/>
      <c r="DU121" s="109"/>
      <c r="DV121" s="109"/>
      <c r="DW121" s="109"/>
      <c r="DX121" s="109"/>
      <c r="DZ121" s="147" t="s">
        <v>499</v>
      </c>
      <c r="EA121" s="109"/>
      <c r="EB121" s="109"/>
      <c r="EC121" s="109"/>
      <c r="ED121" s="109"/>
      <c r="EE121" s="109"/>
      <c r="EG121" s="147" t="s">
        <v>499</v>
      </c>
      <c r="EH121" s="109"/>
      <c r="EI121" s="109"/>
      <c r="EJ121" s="109"/>
      <c r="EK121" s="109"/>
      <c r="EL121" s="109"/>
      <c r="EN121" s="147" t="s">
        <v>499</v>
      </c>
      <c r="EO121" s="109"/>
      <c r="EP121" s="109"/>
      <c r="EQ121" s="109"/>
      <c r="ER121" s="109"/>
      <c r="ES121" s="109"/>
      <c r="EU121" s="147" t="s">
        <v>499</v>
      </c>
      <c r="EV121" s="109"/>
      <c r="EW121" s="109"/>
      <c r="EX121" s="109"/>
      <c r="EY121" s="109"/>
      <c r="EZ121" s="109"/>
      <c r="FB121" s="147" t="s">
        <v>499</v>
      </c>
      <c r="FC121" s="109"/>
      <c r="FD121" s="109"/>
      <c r="FE121" s="109"/>
      <c r="FF121" s="109"/>
      <c r="FG121" s="109"/>
      <c r="FI121" s="147" t="s">
        <v>499</v>
      </c>
      <c r="FJ121" s="109"/>
      <c r="FK121" s="109"/>
      <c r="FL121" s="109"/>
      <c r="FM121" s="109"/>
      <c r="FN121" s="109"/>
      <c r="FP121" s="147" t="s">
        <v>499</v>
      </c>
      <c r="FQ121" s="109"/>
      <c r="FR121" s="109"/>
      <c r="FS121" s="109"/>
      <c r="FT121" s="109"/>
      <c r="FU121" s="109"/>
      <c r="FW121" s="147" t="s">
        <v>499</v>
      </c>
      <c r="FX121" s="109"/>
      <c r="FY121" s="109"/>
      <c r="FZ121" s="109"/>
      <c r="GA121" s="109"/>
      <c r="GB121" s="109"/>
      <c r="GD121" s="147" t="s">
        <v>499</v>
      </c>
      <c r="GE121" s="109"/>
      <c r="GF121" s="109"/>
      <c r="GG121" s="109"/>
      <c r="GH121" s="109"/>
      <c r="GI121" s="109"/>
      <c r="GK121" s="147" t="s">
        <v>499</v>
      </c>
      <c r="GL121" s="109"/>
      <c r="GM121" s="109"/>
      <c r="GN121" s="109"/>
      <c r="GO121" s="109"/>
      <c r="GP121" s="109"/>
      <c r="GR121" s="147" t="s">
        <v>499</v>
      </c>
      <c r="GS121" s="109"/>
      <c r="GT121" s="109"/>
      <c r="GU121" s="109"/>
      <c r="GV121" s="109"/>
      <c r="GW121" s="109"/>
      <c r="GY121" s="147" t="s">
        <v>499</v>
      </c>
      <c r="GZ121" s="109"/>
      <c r="HA121" s="109"/>
      <c r="HB121" s="109"/>
      <c r="HC121" s="109"/>
      <c r="HD121" s="109"/>
      <c r="HF121" s="147" t="s">
        <v>499</v>
      </c>
      <c r="HG121" s="109"/>
      <c r="HH121" s="109"/>
      <c r="HI121" s="109"/>
      <c r="HJ121" s="109"/>
      <c r="HK121" s="109"/>
      <c r="HM121" s="147" t="s">
        <v>499</v>
      </c>
      <c r="HN121" s="109"/>
      <c r="HO121" s="109"/>
      <c r="HP121" s="109"/>
      <c r="HQ121" s="109"/>
      <c r="HR121" s="109"/>
      <c r="HT121" s="147" t="s">
        <v>499</v>
      </c>
      <c r="HU121" s="109"/>
      <c r="HV121" s="109"/>
      <c r="HW121" s="109"/>
      <c r="HX121" s="109"/>
      <c r="HY121" s="109"/>
      <c r="IA121" s="147" t="s">
        <v>499</v>
      </c>
      <c r="IB121" s="109"/>
      <c r="IC121" s="109"/>
      <c r="ID121" s="109"/>
      <c r="IE121" s="109"/>
      <c r="IF121" s="109"/>
      <c r="IH121" s="147" t="s">
        <v>499</v>
      </c>
      <c r="II121" s="109"/>
      <c r="IJ121" s="109"/>
      <c r="IK121" s="109"/>
      <c r="IL121" s="109"/>
      <c r="IM121" s="109"/>
      <c r="IO121" s="147" t="s">
        <v>499</v>
      </c>
      <c r="IP121" s="109"/>
      <c r="IQ121" s="109"/>
      <c r="IR121" s="109"/>
      <c r="IS121" s="109"/>
      <c r="IT121" s="109"/>
      <c r="IV121" s="147" t="s">
        <v>499</v>
      </c>
      <c r="IW121" s="109"/>
      <c r="IX121" s="109"/>
      <c r="IY121" s="109"/>
      <c r="IZ121" s="109"/>
      <c r="JA121" s="109"/>
      <c r="JC121" s="147" t="s">
        <v>499</v>
      </c>
      <c r="JD121" s="109"/>
      <c r="JE121" s="109"/>
      <c r="JF121" s="109"/>
      <c r="JG121" s="109"/>
      <c r="JH121" s="109"/>
      <c r="JJ121" s="147" t="s">
        <v>499</v>
      </c>
      <c r="JK121" s="109"/>
      <c r="JL121" s="109"/>
      <c r="JM121" s="109"/>
      <c r="JN121" s="109"/>
      <c r="JO121" s="109"/>
      <c r="JQ121" s="147" t="s">
        <v>499</v>
      </c>
      <c r="JR121" s="109"/>
      <c r="JS121" s="109"/>
      <c r="JT121" s="109"/>
      <c r="JU121" s="109"/>
      <c r="JV121" s="109"/>
      <c r="JX121" s="147" t="s">
        <v>499</v>
      </c>
      <c r="JY121" s="109"/>
      <c r="JZ121" s="109"/>
      <c r="KA121" s="109"/>
      <c r="KB121" s="109"/>
      <c r="KC121" s="109"/>
      <c r="KE121" s="147" t="s">
        <v>499</v>
      </c>
      <c r="KF121" s="109"/>
      <c r="KG121" s="109"/>
      <c r="KH121" s="109"/>
      <c r="KI121" s="109"/>
      <c r="KJ121" s="109"/>
      <c r="KL121" s="147" t="s">
        <v>499</v>
      </c>
      <c r="KM121" s="109"/>
      <c r="KN121" s="109"/>
      <c r="KO121" s="109"/>
      <c r="KP121" s="109"/>
      <c r="KQ121" s="109"/>
      <c r="KS121" s="147" t="s">
        <v>499</v>
      </c>
      <c r="KT121" s="109"/>
      <c r="KU121" s="109"/>
      <c r="KV121" s="109"/>
      <c r="KW121" s="109"/>
      <c r="KX121" s="109"/>
      <c r="KZ121" s="147" t="s">
        <v>499</v>
      </c>
      <c r="LA121" s="109"/>
      <c r="LB121" s="102"/>
      <c r="LC121" s="102"/>
      <c r="LD121" s="102"/>
      <c r="LE121" s="102"/>
      <c r="LF121" s="555"/>
      <c r="LG121" s="143" t="s">
        <v>499</v>
      </c>
      <c r="LH121" s="102"/>
      <c r="LI121" s="102"/>
      <c r="LJ121" s="102"/>
      <c r="LK121" s="102"/>
      <c r="LL121" s="102"/>
      <c r="LM121" s="555"/>
      <c r="LN121" s="143" t="s">
        <v>499</v>
      </c>
      <c r="LO121" s="102"/>
      <c r="LP121" s="102"/>
      <c r="LQ121" s="102"/>
      <c r="LR121" s="102"/>
      <c r="LS121" s="102"/>
      <c r="LT121" s="555"/>
      <c r="LU121" s="143" t="s">
        <v>499</v>
      </c>
      <c r="LV121" s="102"/>
      <c r="LW121" s="102"/>
      <c r="LX121" s="102"/>
      <c r="LY121" s="102"/>
      <c r="LZ121" s="102"/>
      <c r="MA121" s="555"/>
      <c r="MB121" s="143" t="s">
        <v>499</v>
      </c>
      <c r="MC121" s="102"/>
      <c r="MD121" s="102"/>
      <c r="ME121" s="102"/>
      <c r="MF121" s="102"/>
      <c r="MG121" s="102"/>
      <c r="MH121" s="555"/>
    </row>
    <row r="122" spans="1:346" s="37" customFormat="1" ht="13.15" outlineLevel="1" x14ac:dyDescent="0.4">
      <c r="A122" s="100"/>
      <c r="B122" s="147" t="s">
        <v>347</v>
      </c>
      <c r="C122" s="108"/>
      <c r="D122" s="108"/>
      <c r="E122" s="108"/>
      <c r="F122" s="108"/>
      <c r="G122" s="108"/>
      <c r="H122" s="108"/>
      <c r="I122" s="108"/>
      <c r="J122" s="108"/>
      <c r="K122" s="108"/>
      <c r="L122" s="108"/>
      <c r="M122" s="108"/>
      <c r="N122" s="108">
        <f t="shared" si="238"/>
        <v>291.2</v>
      </c>
      <c r="O122" s="108">
        <f t="shared" si="239"/>
        <v>310.70000000000005</v>
      </c>
      <c r="P122" s="108">
        <f t="shared" si="240"/>
        <v>339</v>
      </c>
      <c r="Q122" s="108">
        <f t="shared" si="241"/>
        <v>339</v>
      </c>
      <c r="R122" s="108">
        <f t="shared" si="242"/>
        <v>350</v>
      </c>
      <c r="S122" s="108">
        <f t="shared" si="243"/>
        <v>362</v>
      </c>
      <c r="T122" s="108">
        <f t="shared" si="244"/>
        <v>425</v>
      </c>
      <c r="U122" s="108">
        <f t="shared" si="245"/>
        <v>460</v>
      </c>
      <c r="V122" s="108">
        <f t="shared" si="246"/>
        <v>490</v>
      </c>
      <c r="W122" s="108">
        <f t="shared" si="247"/>
        <v>492</v>
      </c>
      <c r="X122" s="108">
        <f t="shared" si="248"/>
        <v>473</v>
      </c>
      <c r="Y122" s="108">
        <f t="shared" si="249"/>
        <v>125.49999999999999</v>
      </c>
      <c r="Z122" s="108">
        <f t="shared" si="250"/>
        <v>121.80000000000001</v>
      </c>
      <c r="AA122" s="108">
        <f t="shared" si="251"/>
        <v>123.3</v>
      </c>
      <c r="AB122" s="108">
        <f t="shared" si="252"/>
        <v>0</v>
      </c>
      <c r="AC122" s="108">
        <f t="shared" si="253"/>
        <v>0</v>
      </c>
      <c r="AD122" s="108">
        <f t="shared" si="254"/>
        <v>0</v>
      </c>
      <c r="AE122" s="108">
        <f t="shared" si="255"/>
        <v>0</v>
      </c>
      <c r="AF122" s="108">
        <f t="shared" si="256"/>
        <v>0</v>
      </c>
      <c r="AG122" s="108">
        <f t="shared" si="257"/>
        <v>0</v>
      </c>
      <c r="AH122" s="108">
        <f t="shared" si="258"/>
        <v>0</v>
      </c>
      <c r="AI122" s="108">
        <f t="shared" si="259"/>
        <v>0</v>
      </c>
      <c r="AJ122" s="108">
        <f t="shared" si="260"/>
        <v>0</v>
      </c>
      <c r="AK122" s="108">
        <f t="shared" si="261"/>
        <v>0</v>
      </c>
      <c r="AL122" s="108">
        <f t="shared" si="262"/>
        <v>0</v>
      </c>
      <c r="AM122" s="108">
        <f t="shared" si="263"/>
        <v>0</v>
      </c>
      <c r="AN122" s="108">
        <f t="shared" si="264"/>
        <v>0</v>
      </c>
      <c r="AO122" s="108">
        <f t="shared" si="265"/>
        <v>0</v>
      </c>
      <c r="AP122" s="108">
        <f t="shared" si="266"/>
        <v>0</v>
      </c>
      <c r="AQ122" s="108">
        <f t="shared" si="267"/>
        <v>0</v>
      </c>
      <c r="AR122" s="108">
        <f t="shared" si="268"/>
        <v>0</v>
      </c>
      <c r="AS122" s="108">
        <f t="shared" si="269"/>
        <v>0</v>
      </c>
      <c r="AT122" s="108">
        <f t="shared" si="270"/>
        <v>0</v>
      </c>
      <c r="AU122" s="108">
        <f t="shared" si="271"/>
        <v>0</v>
      </c>
      <c r="AV122" s="108">
        <f t="shared" si="272"/>
        <v>0</v>
      </c>
      <c r="AW122" s="108">
        <f t="shared" si="273"/>
        <v>0</v>
      </c>
      <c r="AX122" s="108">
        <f t="shared" si="274"/>
        <v>0</v>
      </c>
      <c r="AY122" s="108">
        <f t="shared" si="275"/>
        <v>0</v>
      </c>
      <c r="AZ122" s="108">
        <f t="shared" si="276"/>
        <v>0</v>
      </c>
      <c r="BA122" s="108">
        <f t="shared" si="277"/>
        <v>0</v>
      </c>
      <c r="BB122" s="108"/>
      <c r="BC122" s="108"/>
      <c r="BD122" s="108"/>
      <c r="BE122" s="108"/>
      <c r="BF122" s="108"/>
      <c r="BG122" s="108"/>
      <c r="BH122" s="108"/>
      <c r="BI122" s="108"/>
      <c r="BJ122" s="108"/>
      <c r="BK122" s="108"/>
      <c r="BL122" s="108"/>
      <c r="BM122" s="108"/>
      <c r="BO122" s="147" t="s">
        <v>347</v>
      </c>
      <c r="BP122" s="109">
        <v>69.5</v>
      </c>
      <c r="BQ122" s="109">
        <v>74</v>
      </c>
      <c r="BR122" s="109">
        <v>68.099999999999994</v>
      </c>
      <c r="BS122" s="109">
        <v>79.599999999999994</v>
      </c>
      <c r="BT122" s="109">
        <v>291.2</v>
      </c>
      <c r="BV122" s="147" t="s">
        <v>347</v>
      </c>
      <c r="BW122" s="109">
        <v>76.7</v>
      </c>
      <c r="BX122" s="109">
        <v>78.599999999999994</v>
      </c>
      <c r="BY122" s="109">
        <v>73.400000000000006</v>
      </c>
      <c r="BZ122" s="109">
        <v>82</v>
      </c>
      <c r="CA122" s="109">
        <v>310.70000000000005</v>
      </c>
      <c r="CC122" s="147" t="s">
        <v>347</v>
      </c>
      <c r="CD122" s="109">
        <v>77</v>
      </c>
      <c r="CE122" s="109">
        <v>85</v>
      </c>
      <c r="CF122" s="109">
        <v>83</v>
      </c>
      <c r="CG122" s="109">
        <v>94</v>
      </c>
      <c r="CH122" s="109">
        <v>339</v>
      </c>
      <c r="CJ122" s="147" t="s">
        <v>347</v>
      </c>
      <c r="CK122" s="109">
        <v>85</v>
      </c>
      <c r="CL122" s="109">
        <v>83</v>
      </c>
      <c r="CM122" s="109">
        <v>83</v>
      </c>
      <c r="CN122" s="109">
        <v>88</v>
      </c>
      <c r="CO122" s="109">
        <v>339</v>
      </c>
      <c r="CQ122" s="147" t="s">
        <v>347</v>
      </c>
      <c r="CR122" s="109">
        <v>86</v>
      </c>
      <c r="CS122" s="109">
        <v>93</v>
      </c>
      <c r="CT122" s="109">
        <v>85</v>
      </c>
      <c r="CU122" s="109">
        <v>86</v>
      </c>
      <c r="CV122" s="109">
        <v>350</v>
      </c>
      <c r="CX122" s="147" t="s">
        <v>347</v>
      </c>
      <c r="CY122" s="109">
        <v>86</v>
      </c>
      <c r="CZ122" s="109">
        <v>85</v>
      </c>
      <c r="DA122" s="109">
        <v>91</v>
      </c>
      <c r="DB122" s="109">
        <v>100</v>
      </c>
      <c r="DC122" s="109">
        <v>362</v>
      </c>
      <c r="DE122" s="147" t="s">
        <v>347</v>
      </c>
      <c r="DF122" s="109">
        <v>103</v>
      </c>
      <c r="DG122" s="109">
        <v>103</v>
      </c>
      <c r="DH122" s="109">
        <v>103</v>
      </c>
      <c r="DI122" s="109">
        <v>116</v>
      </c>
      <c r="DJ122" s="109">
        <v>425</v>
      </c>
      <c r="DL122" s="147" t="s">
        <v>347</v>
      </c>
      <c r="DM122" s="109">
        <v>112</v>
      </c>
      <c r="DN122" s="109">
        <v>116</v>
      </c>
      <c r="DO122" s="109">
        <v>114</v>
      </c>
      <c r="DP122" s="109">
        <v>118</v>
      </c>
      <c r="DQ122" s="109">
        <v>460</v>
      </c>
      <c r="DS122" s="147" t="s">
        <v>347</v>
      </c>
      <c r="DT122" s="109">
        <v>119</v>
      </c>
      <c r="DU122" s="109">
        <v>118</v>
      </c>
      <c r="DV122" s="109">
        <v>123</v>
      </c>
      <c r="DW122" s="109">
        <v>130</v>
      </c>
      <c r="DX122" s="109">
        <v>490</v>
      </c>
      <c r="DZ122" s="147" t="s">
        <v>347</v>
      </c>
      <c r="EA122" s="109">
        <v>128</v>
      </c>
      <c r="EB122" s="109">
        <v>127</v>
      </c>
      <c r="EC122" s="109">
        <v>120</v>
      </c>
      <c r="ED122" s="109">
        <v>117</v>
      </c>
      <c r="EE122" s="109">
        <v>492</v>
      </c>
      <c r="EG122" s="147" t="s">
        <v>347</v>
      </c>
      <c r="EH122" s="109">
        <v>120</v>
      </c>
      <c r="EI122" s="109">
        <v>119</v>
      </c>
      <c r="EJ122" s="109">
        <v>117</v>
      </c>
      <c r="EK122" s="109">
        <v>117</v>
      </c>
      <c r="EL122" s="109">
        <v>473</v>
      </c>
      <c r="EN122" s="147" t="s">
        <v>347</v>
      </c>
      <c r="EO122" s="109">
        <v>33</v>
      </c>
      <c r="EP122" s="109">
        <v>31.3</v>
      </c>
      <c r="EQ122" s="109">
        <v>29.9</v>
      </c>
      <c r="ER122" s="109">
        <v>31.3</v>
      </c>
      <c r="ES122" s="109">
        <v>125.49999999999999</v>
      </c>
      <c r="EU122" s="147" t="s">
        <v>347</v>
      </c>
      <c r="EV122" s="109">
        <v>31.6</v>
      </c>
      <c r="EW122" s="109">
        <v>30.8</v>
      </c>
      <c r="EX122" s="109">
        <v>30.2</v>
      </c>
      <c r="EY122" s="109">
        <v>29.2</v>
      </c>
      <c r="EZ122" s="109">
        <v>121.80000000000001</v>
      </c>
      <c r="FB122" s="147" t="s">
        <v>347</v>
      </c>
      <c r="FC122" s="109">
        <v>30.4</v>
      </c>
      <c r="FD122" s="109">
        <v>30.4</v>
      </c>
      <c r="FE122" s="109">
        <v>31.8</v>
      </c>
      <c r="FF122" s="109">
        <v>30.7</v>
      </c>
      <c r="FG122" s="109">
        <v>123.3</v>
      </c>
      <c r="FI122" s="147" t="s">
        <v>347</v>
      </c>
      <c r="FJ122" s="109"/>
      <c r="FK122" s="109"/>
      <c r="FL122" s="109"/>
      <c r="FM122" s="109"/>
      <c r="FN122" s="109"/>
      <c r="FP122" s="147" t="s">
        <v>347</v>
      </c>
      <c r="FQ122" s="109"/>
      <c r="FR122" s="109"/>
      <c r="FS122" s="109"/>
      <c r="FT122" s="109"/>
      <c r="FU122" s="109"/>
      <c r="FW122" s="147" t="s">
        <v>347</v>
      </c>
      <c r="FX122" s="109"/>
      <c r="FY122" s="109"/>
      <c r="FZ122" s="109"/>
      <c r="GA122" s="109"/>
      <c r="GB122" s="109"/>
      <c r="GD122" s="147" t="s">
        <v>347</v>
      </c>
      <c r="GE122" s="109"/>
      <c r="GF122" s="109"/>
      <c r="GG122" s="109"/>
      <c r="GH122" s="109"/>
      <c r="GI122" s="109"/>
      <c r="GK122" s="147" t="s">
        <v>347</v>
      </c>
      <c r="GL122" s="109"/>
      <c r="GM122" s="109"/>
      <c r="GN122" s="109"/>
      <c r="GO122" s="109"/>
      <c r="GP122" s="109"/>
      <c r="GR122" s="147" t="s">
        <v>347</v>
      </c>
      <c r="GS122" s="109"/>
      <c r="GT122" s="109"/>
      <c r="GU122" s="109"/>
      <c r="GV122" s="109"/>
      <c r="GW122" s="109"/>
      <c r="GY122" s="147" t="s">
        <v>347</v>
      </c>
      <c r="GZ122" s="109"/>
      <c r="HA122" s="109"/>
      <c r="HB122" s="109"/>
      <c r="HC122" s="109"/>
      <c r="HD122" s="109"/>
      <c r="HF122" s="147" t="s">
        <v>347</v>
      </c>
      <c r="HG122" s="109"/>
      <c r="HH122" s="109"/>
      <c r="HI122" s="109"/>
      <c r="HJ122" s="109"/>
      <c r="HK122" s="109"/>
      <c r="HM122" s="147" t="s">
        <v>347</v>
      </c>
      <c r="HN122" s="109"/>
      <c r="HO122" s="109"/>
      <c r="HP122" s="109"/>
      <c r="HQ122" s="109"/>
      <c r="HR122" s="109"/>
      <c r="HT122" s="147" t="s">
        <v>347</v>
      </c>
      <c r="HU122" s="109"/>
      <c r="HV122" s="109"/>
      <c r="HW122" s="109"/>
      <c r="HX122" s="109"/>
      <c r="HY122" s="109"/>
      <c r="IA122" s="147" t="s">
        <v>347</v>
      </c>
      <c r="IB122" s="109"/>
      <c r="IC122" s="109"/>
      <c r="ID122" s="109"/>
      <c r="IE122" s="109"/>
      <c r="IF122" s="109"/>
      <c r="IH122" s="147" t="s">
        <v>347</v>
      </c>
      <c r="II122" s="109"/>
      <c r="IJ122" s="109"/>
      <c r="IK122" s="109"/>
      <c r="IL122" s="109"/>
      <c r="IM122" s="109"/>
      <c r="IO122" s="147" t="s">
        <v>347</v>
      </c>
      <c r="IP122" s="109"/>
      <c r="IQ122" s="109"/>
      <c r="IR122" s="109"/>
      <c r="IS122" s="109"/>
      <c r="IT122" s="109"/>
      <c r="IV122" s="147" t="s">
        <v>347</v>
      </c>
      <c r="IW122" s="109"/>
      <c r="IX122" s="109"/>
      <c r="IY122" s="109"/>
      <c r="IZ122" s="109"/>
      <c r="JA122" s="109"/>
      <c r="JC122" s="147" t="s">
        <v>347</v>
      </c>
      <c r="JD122" s="109"/>
      <c r="JE122" s="109"/>
      <c r="JF122" s="109"/>
      <c r="JG122" s="109"/>
      <c r="JH122" s="109"/>
      <c r="JJ122" s="147" t="s">
        <v>347</v>
      </c>
      <c r="JK122" s="109"/>
      <c r="JL122" s="109"/>
      <c r="JM122" s="109"/>
      <c r="JN122" s="109"/>
      <c r="JO122" s="109"/>
      <c r="JQ122" s="147" t="s">
        <v>347</v>
      </c>
      <c r="JR122" s="109"/>
      <c r="JS122" s="109"/>
      <c r="JT122" s="109"/>
      <c r="JU122" s="109"/>
      <c r="JV122" s="109"/>
      <c r="JX122" s="147" t="s">
        <v>347</v>
      </c>
      <c r="JY122" s="109"/>
      <c r="JZ122" s="109"/>
      <c r="KA122" s="109"/>
      <c r="KB122" s="109"/>
      <c r="KC122" s="109"/>
      <c r="KE122" s="147" t="s">
        <v>347</v>
      </c>
      <c r="KF122" s="109"/>
      <c r="KG122" s="109"/>
      <c r="KH122" s="109"/>
      <c r="KI122" s="109"/>
      <c r="KJ122" s="109"/>
      <c r="KL122" s="147" t="s">
        <v>347</v>
      </c>
      <c r="KM122" s="109"/>
      <c r="KN122" s="109"/>
      <c r="KO122" s="109"/>
      <c r="KP122" s="109"/>
      <c r="KQ122" s="109"/>
      <c r="KS122" s="147" t="s">
        <v>347</v>
      </c>
      <c r="KT122" s="109"/>
      <c r="KU122" s="109"/>
      <c r="KV122" s="109"/>
      <c r="KW122" s="109"/>
      <c r="KX122" s="109"/>
      <c r="KZ122" s="147" t="s">
        <v>347</v>
      </c>
      <c r="LA122" s="109"/>
      <c r="LB122" s="102"/>
      <c r="LC122" s="102"/>
      <c r="LD122" s="102"/>
      <c r="LE122" s="102"/>
      <c r="LF122" s="555"/>
      <c r="LG122" s="143" t="s">
        <v>347</v>
      </c>
      <c r="LH122" s="102"/>
      <c r="LI122" s="102"/>
      <c r="LJ122" s="102"/>
      <c r="LK122" s="102"/>
      <c r="LL122" s="102"/>
      <c r="LM122" s="555"/>
      <c r="LN122" s="143" t="s">
        <v>347</v>
      </c>
      <c r="LO122" s="102"/>
      <c r="LP122" s="102"/>
      <c r="LQ122" s="102"/>
      <c r="LR122" s="102"/>
      <c r="LS122" s="102"/>
      <c r="LT122" s="555"/>
      <c r="LU122" s="143" t="s">
        <v>347</v>
      </c>
      <c r="LV122" s="102"/>
      <c r="LW122" s="102"/>
      <c r="LX122" s="102"/>
      <c r="LY122" s="102"/>
      <c r="LZ122" s="102"/>
      <c r="MA122" s="555"/>
      <c r="MB122" s="143" t="s">
        <v>347</v>
      </c>
      <c r="MC122" s="102"/>
      <c r="MD122" s="102"/>
      <c r="ME122" s="102"/>
      <c r="MF122" s="102"/>
      <c r="MG122" s="102"/>
      <c r="MH122" s="555"/>
    </row>
    <row r="123" spans="1:346" s="37" customFormat="1" ht="13.15" outlineLevel="1" x14ac:dyDescent="0.4">
      <c r="A123" s="100"/>
      <c r="B123" s="147" t="s">
        <v>348</v>
      </c>
      <c r="C123" s="108"/>
      <c r="D123" s="108"/>
      <c r="E123" s="108"/>
      <c r="F123" s="108"/>
      <c r="G123" s="108"/>
      <c r="H123" s="108"/>
      <c r="I123" s="108"/>
      <c r="J123" s="108"/>
      <c r="K123" s="108"/>
      <c r="L123" s="108"/>
      <c r="M123" s="108"/>
      <c r="N123" s="108">
        <f t="shared" si="238"/>
        <v>0.29189560439560441</v>
      </c>
      <c r="O123" s="108">
        <f t="shared" si="239"/>
        <v>0.33472803347280328</v>
      </c>
      <c r="P123" s="108">
        <f t="shared" si="240"/>
        <v>0.37463126843657818</v>
      </c>
      <c r="Q123" s="108">
        <f t="shared" si="241"/>
        <v>0.33923303834808261</v>
      </c>
      <c r="R123" s="108">
        <f t="shared" si="242"/>
        <v>0.31142857142857144</v>
      </c>
      <c r="S123" s="108">
        <f t="shared" si="243"/>
        <v>0.32872928176795579</v>
      </c>
      <c r="T123" s="108">
        <f t="shared" si="244"/>
        <v>0.38823529411764707</v>
      </c>
      <c r="U123" s="108">
        <f t="shared" si="245"/>
        <v>0.41739130434782606</v>
      </c>
      <c r="V123" s="108">
        <f t="shared" si="246"/>
        <v>0.4020408163265306</v>
      </c>
      <c r="W123" s="108">
        <f t="shared" si="247"/>
        <v>0.28658536585365851</v>
      </c>
      <c r="X123" s="108">
        <f t="shared" si="248"/>
        <v>0.32558139534883723</v>
      </c>
      <c r="Y123" s="108">
        <f t="shared" si="249"/>
        <v>0.57370517928286857</v>
      </c>
      <c r="Z123" s="108">
        <f t="shared" si="250"/>
        <v>0.4926108374384236</v>
      </c>
      <c r="AA123" s="108">
        <f t="shared" si="251"/>
        <v>0.53527980535279807</v>
      </c>
      <c r="AB123" s="108">
        <f t="shared" si="252"/>
        <v>0</v>
      </c>
      <c r="AC123" s="108">
        <f t="shared" si="253"/>
        <v>0</v>
      </c>
      <c r="AD123" s="108">
        <f t="shared" si="254"/>
        <v>0</v>
      </c>
      <c r="AE123" s="108">
        <f t="shared" si="255"/>
        <v>0</v>
      </c>
      <c r="AF123" s="108">
        <f t="shared" si="256"/>
        <v>0</v>
      </c>
      <c r="AG123" s="108">
        <f t="shared" si="257"/>
        <v>0</v>
      </c>
      <c r="AH123" s="108">
        <f t="shared" si="258"/>
        <v>0</v>
      </c>
      <c r="AI123" s="108">
        <f t="shared" si="259"/>
        <v>0</v>
      </c>
      <c r="AJ123" s="108">
        <f t="shared" si="260"/>
        <v>0</v>
      </c>
      <c r="AK123" s="108">
        <f t="shared" si="261"/>
        <v>0</v>
      </c>
      <c r="AL123" s="108">
        <f t="shared" si="262"/>
        <v>0</v>
      </c>
      <c r="AM123" s="108">
        <f t="shared" si="263"/>
        <v>0</v>
      </c>
      <c r="AN123" s="108">
        <f t="shared" si="264"/>
        <v>0</v>
      </c>
      <c r="AO123" s="108">
        <f t="shared" si="265"/>
        <v>0</v>
      </c>
      <c r="AP123" s="108">
        <f t="shared" si="266"/>
        <v>0</v>
      </c>
      <c r="AQ123" s="108">
        <f t="shared" si="267"/>
        <v>0</v>
      </c>
      <c r="AR123" s="108">
        <f t="shared" si="268"/>
        <v>0</v>
      </c>
      <c r="AS123" s="108">
        <f t="shared" si="269"/>
        <v>0</v>
      </c>
      <c r="AT123" s="108">
        <f t="shared" si="270"/>
        <v>0</v>
      </c>
      <c r="AU123" s="108">
        <f t="shared" si="271"/>
        <v>0</v>
      </c>
      <c r="AV123" s="108">
        <f t="shared" si="272"/>
        <v>0</v>
      </c>
      <c r="AW123" s="108">
        <f t="shared" si="273"/>
        <v>0</v>
      </c>
      <c r="AX123" s="108">
        <f t="shared" si="274"/>
        <v>0</v>
      </c>
      <c r="AY123" s="108">
        <f t="shared" si="275"/>
        <v>0</v>
      </c>
      <c r="AZ123" s="108">
        <f t="shared" si="276"/>
        <v>0</v>
      </c>
      <c r="BA123" s="108">
        <f t="shared" si="277"/>
        <v>0</v>
      </c>
      <c r="BB123" s="108"/>
      <c r="BC123" s="108"/>
      <c r="BD123" s="108"/>
      <c r="BE123" s="108"/>
      <c r="BF123" s="108"/>
      <c r="BG123" s="108"/>
      <c r="BH123" s="108"/>
      <c r="BI123" s="108"/>
      <c r="BJ123" s="108"/>
      <c r="BK123" s="108"/>
      <c r="BL123" s="108"/>
      <c r="BM123" s="108"/>
      <c r="BO123" s="147" t="s">
        <v>348</v>
      </c>
      <c r="BP123" s="109">
        <v>0.25899280575539568</v>
      </c>
      <c r="BQ123" s="109">
        <v>0.27027027027027029</v>
      </c>
      <c r="BR123" s="109">
        <v>0.30837004405286345</v>
      </c>
      <c r="BS123" s="109">
        <v>0.32663316582914576</v>
      </c>
      <c r="BT123" s="109">
        <v>0.29189560439560441</v>
      </c>
      <c r="BV123" s="147" t="s">
        <v>348</v>
      </c>
      <c r="BW123" s="109">
        <v>0.32594524119947849</v>
      </c>
      <c r="BX123" s="109">
        <v>0.30534351145038169</v>
      </c>
      <c r="BY123" s="109">
        <v>0.24523160762942778</v>
      </c>
      <c r="BZ123" s="109">
        <v>0.45121951219512196</v>
      </c>
      <c r="CA123" s="109">
        <v>0.33472803347280328</v>
      </c>
      <c r="CC123" s="147" t="s">
        <v>348</v>
      </c>
      <c r="CD123" s="109">
        <v>0.53246753246753242</v>
      </c>
      <c r="CE123" s="109">
        <v>0.29411764705882354</v>
      </c>
      <c r="CF123" s="109">
        <v>0.3253012048192771</v>
      </c>
      <c r="CG123" s="109">
        <v>0.36170212765957449</v>
      </c>
      <c r="CH123" s="109">
        <v>0.37463126843657818</v>
      </c>
      <c r="CJ123" s="147" t="s">
        <v>348</v>
      </c>
      <c r="CK123" s="109">
        <v>0.29411764705882354</v>
      </c>
      <c r="CL123" s="109">
        <v>0.30120481927710846</v>
      </c>
      <c r="CM123" s="109">
        <v>0.37349397590361444</v>
      </c>
      <c r="CN123" s="109">
        <v>0.38636363636363635</v>
      </c>
      <c r="CO123" s="109">
        <v>0.33923303834808261</v>
      </c>
      <c r="CQ123" s="147" t="s">
        <v>348</v>
      </c>
      <c r="CR123" s="109">
        <v>0.32558139534883723</v>
      </c>
      <c r="CS123" s="109">
        <v>0.31182795698924731</v>
      </c>
      <c r="CT123" s="109">
        <v>0.30588235294117649</v>
      </c>
      <c r="CU123" s="109">
        <v>0.30232558139534882</v>
      </c>
      <c r="CV123" s="109">
        <v>0.31142857142857144</v>
      </c>
      <c r="CX123" s="147" t="s">
        <v>348</v>
      </c>
      <c r="CY123" s="109">
        <v>0.29069767441860467</v>
      </c>
      <c r="CZ123" s="109">
        <v>0.31411764705882356</v>
      </c>
      <c r="DA123" s="109">
        <v>0.38362637362637364</v>
      </c>
      <c r="DB123" s="109">
        <v>0.36</v>
      </c>
      <c r="DC123" s="109">
        <v>0.32872928176795579</v>
      </c>
      <c r="DE123" s="147" t="s">
        <v>348</v>
      </c>
      <c r="DF123" s="109">
        <v>0.38834951456310679</v>
      </c>
      <c r="DG123" s="109">
        <v>0.4</v>
      </c>
      <c r="DH123" s="109">
        <v>0.38834951456310679</v>
      </c>
      <c r="DI123" s="109">
        <v>0.36</v>
      </c>
      <c r="DJ123" s="109">
        <v>0.38823529411764707</v>
      </c>
      <c r="DL123" s="147" t="s">
        <v>348</v>
      </c>
      <c r="DM123" s="109">
        <v>0.4107142857142857</v>
      </c>
      <c r="DN123" s="109">
        <v>0.42</v>
      </c>
      <c r="DO123" s="109">
        <v>0.36842105263157893</v>
      </c>
      <c r="DP123" s="109">
        <v>0.46</v>
      </c>
      <c r="DQ123" s="109">
        <v>0.41739130434782606</v>
      </c>
      <c r="DS123" s="147" t="s">
        <v>348</v>
      </c>
      <c r="DT123" s="109">
        <v>0.43697478991596639</v>
      </c>
      <c r="DU123" s="109">
        <v>0.37</v>
      </c>
      <c r="DV123" s="109">
        <v>0.38211382113821141</v>
      </c>
      <c r="DW123" s="109">
        <v>0.41</v>
      </c>
      <c r="DX123" s="109">
        <v>0.4020408163265306</v>
      </c>
      <c r="DZ123" s="147" t="s">
        <v>348</v>
      </c>
      <c r="EA123" s="109">
        <v>0.328125</v>
      </c>
      <c r="EB123" s="109">
        <v>0.27</v>
      </c>
      <c r="EC123" s="109">
        <v>0.25833333333333336</v>
      </c>
      <c r="ED123" s="109">
        <v>0.28205128205128205</v>
      </c>
      <c r="EE123" s="109">
        <v>0.28658536585365851</v>
      </c>
      <c r="EG123" s="147" t="s">
        <v>348</v>
      </c>
      <c r="EH123" s="109">
        <v>0.24166666666666667</v>
      </c>
      <c r="EI123" s="109">
        <v>0.2857142857142857</v>
      </c>
      <c r="EJ123" s="109">
        <v>0.34188034188034189</v>
      </c>
      <c r="EK123" s="109">
        <v>0.4358974358974359</v>
      </c>
      <c r="EL123" s="109">
        <v>0.32558139534883723</v>
      </c>
      <c r="EN123" s="147" t="s">
        <v>348</v>
      </c>
      <c r="EO123" s="109">
        <v>0.51515151515151514</v>
      </c>
      <c r="EP123" s="109">
        <v>0.57120000000000004</v>
      </c>
      <c r="EQ123" s="109">
        <v>0.56999999999999995</v>
      </c>
      <c r="ER123" s="109">
        <v>0.60702875399361023</v>
      </c>
      <c r="ES123" s="109">
        <v>0.57370517928286857</v>
      </c>
      <c r="EU123" s="147" t="s">
        <v>348</v>
      </c>
      <c r="EV123" s="109">
        <v>0.50632911392405056</v>
      </c>
      <c r="EW123" s="109">
        <v>0.50260000000000005</v>
      </c>
      <c r="EX123" s="109">
        <v>0.503</v>
      </c>
      <c r="EY123" s="109">
        <v>0.47945205479452058</v>
      </c>
      <c r="EZ123" s="109">
        <v>0.4926108374384236</v>
      </c>
      <c r="FB123" s="147" t="s">
        <v>348</v>
      </c>
      <c r="FC123" s="109">
        <v>0.39473684210526316</v>
      </c>
      <c r="FD123" s="109">
        <v>0.51829999999999998</v>
      </c>
      <c r="FE123" s="109">
        <v>0.58050000000000002</v>
      </c>
      <c r="FF123" s="109">
        <v>0.61889250814332253</v>
      </c>
      <c r="FG123" s="109">
        <v>0.53527980535279807</v>
      </c>
      <c r="FI123" s="147" t="s">
        <v>348</v>
      </c>
      <c r="FJ123" s="109"/>
      <c r="FK123" s="109"/>
      <c r="FL123" s="109"/>
      <c r="FM123" s="109"/>
      <c r="FN123" s="109"/>
      <c r="FP123" s="147" t="s">
        <v>348</v>
      </c>
      <c r="FQ123" s="109"/>
      <c r="FR123" s="109"/>
      <c r="FS123" s="109"/>
      <c r="FT123" s="109"/>
      <c r="FU123" s="109"/>
      <c r="FW123" s="147" t="s">
        <v>348</v>
      </c>
      <c r="FX123" s="109"/>
      <c r="FY123" s="109"/>
      <c r="FZ123" s="109"/>
      <c r="GA123" s="109"/>
      <c r="GB123" s="109"/>
      <c r="GD123" s="147" t="s">
        <v>348</v>
      </c>
      <c r="GE123" s="109"/>
      <c r="GF123" s="109"/>
      <c r="GG123" s="109"/>
      <c r="GH123" s="109"/>
      <c r="GI123" s="109"/>
      <c r="GK123" s="147" t="s">
        <v>348</v>
      </c>
      <c r="GL123" s="109"/>
      <c r="GM123" s="109"/>
      <c r="GN123" s="109"/>
      <c r="GO123" s="109"/>
      <c r="GP123" s="109"/>
      <c r="GR123" s="147" t="s">
        <v>348</v>
      </c>
      <c r="GS123" s="109"/>
      <c r="GT123" s="109"/>
      <c r="GU123" s="109"/>
      <c r="GV123" s="109"/>
      <c r="GW123" s="109"/>
      <c r="GY123" s="147" t="s">
        <v>348</v>
      </c>
      <c r="GZ123" s="109"/>
      <c r="HA123" s="109"/>
      <c r="HB123" s="109"/>
      <c r="HC123" s="109"/>
      <c r="HD123" s="109"/>
      <c r="HF123" s="147" t="s">
        <v>348</v>
      </c>
      <c r="HG123" s="109"/>
      <c r="HH123" s="109"/>
      <c r="HI123" s="109"/>
      <c r="HJ123" s="109"/>
      <c r="HK123" s="109"/>
      <c r="HM123" s="147" t="s">
        <v>348</v>
      </c>
      <c r="HN123" s="109"/>
      <c r="HO123" s="109"/>
      <c r="HP123" s="109"/>
      <c r="HQ123" s="109"/>
      <c r="HR123" s="109"/>
      <c r="HT123" s="147" t="s">
        <v>348</v>
      </c>
      <c r="HU123" s="109"/>
      <c r="HV123" s="109"/>
      <c r="HW123" s="109"/>
      <c r="HX123" s="109"/>
      <c r="HY123" s="109"/>
      <c r="IA123" s="147" t="s">
        <v>348</v>
      </c>
      <c r="IB123" s="109"/>
      <c r="IC123" s="109"/>
      <c r="ID123" s="109"/>
      <c r="IE123" s="109"/>
      <c r="IF123" s="109"/>
      <c r="IH123" s="147" t="s">
        <v>348</v>
      </c>
      <c r="II123" s="109"/>
      <c r="IJ123" s="109"/>
      <c r="IK123" s="109"/>
      <c r="IL123" s="109"/>
      <c r="IM123" s="109"/>
      <c r="IO123" s="147" t="s">
        <v>348</v>
      </c>
      <c r="IP123" s="109"/>
      <c r="IQ123" s="109"/>
      <c r="IR123" s="109"/>
      <c r="IS123" s="109"/>
      <c r="IT123" s="109"/>
      <c r="IV123" s="147" t="s">
        <v>348</v>
      </c>
      <c r="IW123" s="109"/>
      <c r="IX123" s="109"/>
      <c r="IY123" s="109"/>
      <c r="IZ123" s="109"/>
      <c r="JA123" s="109"/>
      <c r="JC123" s="147" t="s">
        <v>348</v>
      </c>
      <c r="JD123" s="109"/>
      <c r="JE123" s="109"/>
      <c r="JF123" s="109"/>
      <c r="JG123" s="109"/>
      <c r="JH123" s="109"/>
      <c r="JJ123" s="147" t="s">
        <v>348</v>
      </c>
      <c r="JK123" s="109"/>
      <c r="JL123" s="109"/>
      <c r="JM123" s="109"/>
      <c r="JN123" s="109"/>
      <c r="JO123" s="109"/>
      <c r="JQ123" s="147" t="s">
        <v>348</v>
      </c>
      <c r="JR123" s="109"/>
      <c r="JS123" s="109"/>
      <c r="JT123" s="109"/>
      <c r="JU123" s="109"/>
      <c r="JV123" s="109"/>
      <c r="JX123" s="147" t="s">
        <v>348</v>
      </c>
      <c r="JY123" s="109"/>
      <c r="JZ123" s="109"/>
      <c r="KA123" s="109"/>
      <c r="KB123" s="109"/>
      <c r="KC123" s="109"/>
      <c r="KE123" s="147" t="s">
        <v>348</v>
      </c>
      <c r="KF123" s="109"/>
      <c r="KG123" s="109"/>
      <c r="KH123" s="109"/>
      <c r="KI123" s="109"/>
      <c r="KJ123" s="109"/>
      <c r="KL123" s="147" t="s">
        <v>348</v>
      </c>
      <c r="KM123" s="109"/>
      <c r="KN123" s="109"/>
      <c r="KO123" s="109"/>
      <c r="KP123" s="109"/>
      <c r="KQ123" s="109"/>
      <c r="KS123" s="147" t="s">
        <v>348</v>
      </c>
      <c r="KT123" s="109"/>
      <c r="KU123" s="109"/>
      <c r="KV123" s="109"/>
      <c r="KW123" s="109"/>
      <c r="KX123" s="109"/>
      <c r="KZ123" s="147" t="s">
        <v>348</v>
      </c>
      <c r="LA123" s="109"/>
      <c r="LB123" s="102"/>
      <c r="LC123" s="102"/>
      <c r="LD123" s="102"/>
      <c r="LE123" s="102"/>
      <c r="LF123" s="555"/>
      <c r="LG123" s="143" t="s">
        <v>348</v>
      </c>
      <c r="LH123" s="102"/>
      <c r="LI123" s="102"/>
      <c r="LJ123" s="102"/>
      <c r="LK123" s="102"/>
      <c r="LL123" s="102"/>
      <c r="LM123" s="555"/>
      <c r="LN123" s="143" t="s">
        <v>348</v>
      </c>
      <c r="LO123" s="102"/>
      <c r="LP123" s="102"/>
      <c r="LQ123" s="102"/>
      <c r="LR123" s="102"/>
      <c r="LS123" s="102"/>
      <c r="LT123" s="555"/>
      <c r="LU123" s="143" t="s">
        <v>348</v>
      </c>
      <c r="LV123" s="102"/>
      <c r="LW123" s="102"/>
      <c r="LX123" s="102"/>
      <c r="LY123" s="102"/>
      <c r="LZ123" s="102"/>
      <c r="MA123" s="555"/>
      <c r="MB123" s="143" t="s">
        <v>348</v>
      </c>
      <c r="MC123" s="102"/>
      <c r="MD123" s="102"/>
      <c r="ME123" s="102"/>
      <c r="MF123" s="102"/>
      <c r="MG123" s="102"/>
      <c r="MH123" s="555"/>
    </row>
    <row r="124" spans="1:346" s="37" customFormat="1" ht="13.15" outlineLevel="1" x14ac:dyDescent="0.4">
      <c r="A124" s="100"/>
      <c r="B124" s="270" t="s">
        <v>510</v>
      </c>
      <c r="C124" s="271"/>
      <c r="D124" s="271"/>
      <c r="E124" s="271"/>
      <c r="F124" s="271"/>
      <c r="G124" s="271"/>
      <c r="H124" s="271"/>
      <c r="I124" s="271"/>
      <c r="J124" s="271"/>
      <c r="K124" s="271"/>
      <c r="L124" s="271"/>
      <c r="M124" s="271"/>
      <c r="N124" s="271">
        <f t="shared" si="238"/>
        <v>85</v>
      </c>
      <c r="O124" s="271">
        <f t="shared" si="239"/>
        <v>104</v>
      </c>
      <c r="P124" s="271">
        <f t="shared" si="240"/>
        <v>127</v>
      </c>
      <c r="Q124" s="271">
        <f t="shared" si="241"/>
        <v>115</v>
      </c>
      <c r="R124" s="271">
        <f t="shared" si="242"/>
        <v>109</v>
      </c>
      <c r="S124" s="271">
        <f t="shared" si="243"/>
        <v>122.61000000000001</v>
      </c>
      <c r="T124" s="271">
        <f t="shared" si="244"/>
        <v>162.96</v>
      </c>
      <c r="U124" s="271">
        <f t="shared" si="245"/>
        <v>191</v>
      </c>
      <c r="V124" s="271">
        <f t="shared" si="246"/>
        <v>195.95999999999998</v>
      </c>
      <c r="W124" s="271">
        <f t="shared" si="247"/>
        <v>140.29</v>
      </c>
      <c r="X124" s="271">
        <f t="shared" si="248"/>
        <v>154</v>
      </c>
      <c r="Y124" s="271">
        <f t="shared" si="249"/>
        <v>70.921559999999999</v>
      </c>
      <c r="Z124" s="271">
        <f t="shared" si="250"/>
        <v>60.670680000000004</v>
      </c>
      <c r="AA124" s="271">
        <f t="shared" si="251"/>
        <v>65.216219999999993</v>
      </c>
      <c r="AB124" s="271">
        <f t="shared" si="252"/>
        <v>0</v>
      </c>
      <c r="AC124" s="271">
        <f t="shared" si="253"/>
        <v>0</v>
      </c>
      <c r="AD124" s="271">
        <f t="shared" si="254"/>
        <v>0</v>
      </c>
      <c r="AE124" s="271">
        <f t="shared" si="255"/>
        <v>0</v>
      </c>
      <c r="AF124" s="271">
        <f t="shared" si="256"/>
        <v>0</v>
      </c>
      <c r="AG124" s="271">
        <f t="shared" si="257"/>
        <v>0</v>
      </c>
      <c r="AH124" s="271">
        <f t="shared" si="258"/>
        <v>0</v>
      </c>
      <c r="AI124" s="271">
        <f t="shared" si="259"/>
        <v>0</v>
      </c>
      <c r="AJ124" s="271">
        <f t="shared" si="260"/>
        <v>0</v>
      </c>
      <c r="AK124" s="271">
        <f t="shared" si="261"/>
        <v>0</v>
      </c>
      <c r="AL124" s="271">
        <f t="shared" si="262"/>
        <v>0</v>
      </c>
      <c r="AM124" s="271">
        <f t="shared" si="263"/>
        <v>0</v>
      </c>
      <c r="AN124" s="271">
        <f t="shared" si="264"/>
        <v>0</v>
      </c>
      <c r="AO124" s="271">
        <f t="shared" si="265"/>
        <v>0</v>
      </c>
      <c r="AP124" s="271">
        <f t="shared" si="266"/>
        <v>0</v>
      </c>
      <c r="AQ124" s="271">
        <f t="shared" si="267"/>
        <v>0</v>
      </c>
      <c r="AR124" s="271">
        <f t="shared" si="268"/>
        <v>0</v>
      </c>
      <c r="AS124" s="271">
        <f t="shared" si="269"/>
        <v>0</v>
      </c>
      <c r="AT124" s="271">
        <f t="shared" si="270"/>
        <v>0</v>
      </c>
      <c r="AU124" s="271">
        <f t="shared" si="271"/>
        <v>0</v>
      </c>
      <c r="AV124" s="271">
        <f t="shared" si="272"/>
        <v>0</v>
      </c>
      <c r="AW124" s="271">
        <f t="shared" si="273"/>
        <v>0</v>
      </c>
      <c r="AX124" s="271">
        <f t="shared" si="274"/>
        <v>0</v>
      </c>
      <c r="AY124" s="271">
        <f t="shared" si="275"/>
        <v>0</v>
      </c>
      <c r="AZ124" s="271">
        <f t="shared" si="276"/>
        <v>0</v>
      </c>
      <c r="BA124" s="271">
        <f t="shared" si="277"/>
        <v>0</v>
      </c>
      <c r="BB124" s="271"/>
      <c r="BC124" s="271"/>
      <c r="BD124" s="271"/>
      <c r="BE124" s="271"/>
      <c r="BF124" s="271"/>
      <c r="BG124" s="271"/>
      <c r="BH124" s="271"/>
      <c r="BI124" s="271"/>
      <c r="BJ124" s="271"/>
      <c r="BK124" s="271"/>
      <c r="BL124" s="271"/>
      <c r="BM124" s="271"/>
      <c r="BO124" s="270" t="s">
        <v>510</v>
      </c>
      <c r="BP124" s="271">
        <f>BP123*BP122</f>
        <v>18</v>
      </c>
      <c r="BQ124" s="271">
        <f>BQ123*BQ122</f>
        <v>20</v>
      </c>
      <c r="BR124" s="271">
        <f>BR123*BR122</f>
        <v>21</v>
      </c>
      <c r="BS124" s="271">
        <f>BS123*BS122</f>
        <v>26</v>
      </c>
      <c r="BT124" s="271">
        <f>SUM(BP124:BS124)</f>
        <v>85</v>
      </c>
      <c r="BV124" s="270" t="s">
        <v>510</v>
      </c>
      <c r="BW124" s="271">
        <f>BW123*BW122</f>
        <v>25</v>
      </c>
      <c r="BX124" s="271">
        <f>BX123*BX122</f>
        <v>24</v>
      </c>
      <c r="BY124" s="271">
        <f>BY123*BY122</f>
        <v>18</v>
      </c>
      <c r="BZ124" s="271">
        <f>BZ123*BZ122</f>
        <v>37</v>
      </c>
      <c r="CA124" s="271">
        <f>SUM(BW124:BZ124)</f>
        <v>104</v>
      </c>
      <c r="CC124" s="270" t="s">
        <v>510</v>
      </c>
      <c r="CD124" s="271">
        <f>CD123*CD122</f>
        <v>41</v>
      </c>
      <c r="CE124" s="271">
        <f>CE123*CE122</f>
        <v>25</v>
      </c>
      <c r="CF124" s="271">
        <f>CF123*CF122</f>
        <v>27</v>
      </c>
      <c r="CG124" s="271">
        <f>CG123*CG122</f>
        <v>34</v>
      </c>
      <c r="CH124" s="271">
        <f>SUM(CD124:CG124)</f>
        <v>127</v>
      </c>
      <c r="CJ124" s="270" t="s">
        <v>510</v>
      </c>
      <c r="CK124" s="271">
        <f>CK123*CK122</f>
        <v>25</v>
      </c>
      <c r="CL124" s="271">
        <f>CL123*CL122</f>
        <v>25.000000000000004</v>
      </c>
      <c r="CM124" s="271">
        <f>CM123*CM122</f>
        <v>31</v>
      </c>
      <c r="CN124" s="271">
        <f>CN123*CN122</f>
        <v>34</v>
      </c>
      <c r="CO124" s="271">
        <f>SUM(CK124:CN124)</f>
        <v>115</v>
      </c>
      <c r="CQ124" s="270" t="s">
        <v>510</v>
      </c>
      <c r="CR124" s="271">
        <f>CR123*CR122</f>
        <v>28.000000000000004</v>
      </c>
      <c r="CS124" s="271">
        <f>CS123*CS122</f>
        <v>29</v>
      </c>
      <c r="CT124" s="271">
        <f>CT123*CT122</f>
        <v>26.000000000000004</v>
      </c>
      <c r="CU124" s="271">
        <f>CU123*CU122</f>
        <v>26</v>
      </c>
      <c r="CV124" s="271">
        <f>SUM(CR124:CU124)</f>
        <v>109</v>
      </c>
      <c r="CX124" s="270" t="s">
        <v>510</v>
      </c>
      <c r="CY124" s="271">
        <f>CY123*CY122</f>
        <v>25</v>
      </c>
      <c r="CZ124" s="271">
        <f>CZ123*CZ122</f>
        <v>26.700000000000003</v>
      </c>
      <c r="DA124" s="271">
        <f>DA123*DA122</f>
        <v>34.910000000000004</v>
      </c>
      <c r="DB124" s="271">
        <f>DB123*DB122</f>
        <v>36</v>
      </c>
      <c r="DC124" s="271">
        <f>SUM(CY124:DB124)</f>
        <v>122.61000000000001</v>
      </c>
      <c r="DE124" s="270" t="s">
        <v>510</v>
      </c>
      <c r="DF124" s="271">
        <f>DF123*DF122</f>
        <v>40</v>
      </c>
      <c r="DG124" s="271">
        <f>DG123*DG122</f>
        <v>41.2</v>
      </c>
      <c r="DH124" s="271">
        <f>DH123*DH122</f>
        <v>40</v>
      </c>
      <c r="DI124" s="271">
        <f>DI123*DI122</f>
        <v>41.76</v>
      </c>
      <c r="DJ124" s="271">
        <f>SUM(DF124:DI124)</f>
        <v>162.96</v>
      </c>
      <c r="DL124" s="270" t="s">
        <v>510</v>
      </c>
      <c r="DM124" s="271">
        <f>DM123*DM122</f>
        <v>46</v>
      </c>
      <c r="DN124" s="271">
        <f>DN123*DN122</f>
        <v>48.72</v>
      </c>
      <c r="DO124" s="271">
        <f>DO123*DO122</f>
        <v>42</v>
      </c>
      <c r="DP124" s="271">
        <f>DP123*DP122</f>
        <v>54.28</v>
      </c>
      <c r="DQ124" s="271">
        <f>SUM(DM124:DP124)</f>
        <v>191</v>
      </c>
      <c r="DS124" s="270" t="s">
        <v>510</v>
      </c>
      <c r="DT124" s="271">
        <f>DT123*DT122</f>
        <v>52</v>
      </c>
      <c r="DU124" s="271">
        <f>DU123*DU122</f>
        <v>43.66</v>
      </c>
      <c r="DV124" s="271">
        <f>DV123*DV122</f>
        <v>47</v>
      </c>
      <c r="DW124" s="271">
        <f>DW123*DW122</f>
        <v>53.3</v>
      </c>
      <c r="DX124" s="271">
        <f>SUM(DT124:DW124)</f>
        <v>195.95999999999998</v>
      </c>
      <c r="DZ124" s="270" t="s">
        <v>510</v>
      </c>
      <c r="EA124" s="271">
        <f>EA123*EA122</f>
        <v>42</v>
      </c>
      <c r="EB124" s="271">
        <f>EB123*EB122</f>
        <v>34.29</v>
      </c>
      <c r="EC124" s="271">
        <f>EC123*EC122</f>
        <v>31.000000000000004</v>
      </c>
      <c r="ED124" s="271">
        <f>ED123*ED122</f>
        <v>33</v>
      </c>
      <c r="EE124" s="271">
        <f>SUM(EA124:ED124)</f>
        <v>140.29</v>
      </c>
      <c r="EG124" s="270" t="s">
        <v>510</v>
      </c>
      <c r="EH124" s="271">
        <f>EH123*EH122</f>
        <v>29</v>
      </c>
      <c r="EI124" s="271">
        <f>EI123*EI122</f>
        <v>34</v>
      </c>
      <c r="EJ124" s="271">
        <f>EJ123*EJ122</f>
        <v>40</v>
      </c>
      <c r="EK124" s="271">
        <f>EK123*EK122</f>
        <v>51</v>
      </c>
      <c r="EL124" s="271">
        <f>SUM(EH124:EK124)</f>
        <v>154</v>
      </c>
      <c r="EN124" s="270" t="s">
        <v>510</v>
      </c>
      <c r="EO124" s="271">
        <f>EO123*EO122</f>
        <v>17</v>
      </c>
      <c r="EP124" s="271">
        <f>EP123*EP122</f>
        <v>17.87856</v>
      </c>
      <c r="EQ124" s="271">
        <f>EQ123*EQ122</f>
        <v>17.042999999999999</v>
      </c>
      <c r="ER124" s="271">
        <f>ER123*ER122</f>
        <v>19</v>
      </c>
      <c r="ES124" s="271">
        <f>SUM(EO124:ER124)</f>
        <v>70.921559999999999</v>
      </c>
      <c r="EU124" s="270" t="s">
        <v>510</v>
      </c>
      <c r="EV124" s="271">
        <f>EV123*EV122</f>
        <v>15.999999999999998</v>
      </c>
      <c r="EW124" s="271">
        <f>EW123*EW122</f>
        <v>15.480080000000001</v>
      </c>
      <c r="EX124" s="271">
        <f>EX123*EX122</f>
        <v>15.1906</v>
      </c>
      <c r="EY124" s="271">
        <f>EY123*EY122</f>
        <v>14</v>
      </c>
      <c r="EZ124" s="271">
        <f>SUM(EV124:EY124)</f>
        <v>60.670680000000004</v>
      </c>
      <c r="FB124" s="270" t="s">
        <v>510</v>
      </c>
      <c r="FC124" s="271">
        <f>FC123*FC122</f>
        <v>12</v>
      </c>
      <c r="FD124" s="271">
        <f>FD123*FD122</f>
        <v>15.756319999999999</v>
      </c>
      <c r="FE124" s="271">
        <f>FE123*FE122</f>
        <v>18.459900000000001</v>
      </c>
      <c r="FF124" s="271">
        <f>FF123*FF122</f>
        <v>19</v>
      </c>
      <c r="FG124" s="271">
        <f>SUM(FC124:FF124)</f>
        <v>65.216219999999993</v>
      </c>
      <c r="FI124" s="270" t="s">
        <v>510</v>
      </c>
      <c r="FJ124" s="271"/>
      <c r="FK124" s="271"/>
      <c r="FL124" s="271"/>
      <c r="FM124" s="271"/>
      <c r="FN124" s="271"/>
      <c r="FP124" s="270" t="s">
        <v>510</v>
      </c>
      <c r="FQ124" s="271"/>
      <c r="FR124" s="271"/>
      <c r="FS124" s="271"/>
      <c r="FT124" s="271"/>
      <c r="FU124" s="271"/>
      <c r="FW124" s="270" t="s">
        <v>510</v>
      </c>
      <c r="FX124" s="271"/>
      <c r="FY124" s="271"/>
      <c r="FZ124" s="271"/>
      <c r="GA124" s="271"/>
      <c r="GB124" s="271"/>
      <c r="GD124" s="270" t="s">
        <v>510</v>
      </c>
      <c r="GE124" s="271"/>
      <c r="GF124" s="271"/>
      <c r="GG124" s="271"/>
      <c r="GH124" s="271"/>
      <c r="GI124" s="271"/>
      <c r="GK124" s="270" t="s">
        <v>510</v>
      </c>
      <c r="GL124" s="271"/>
      <c r="GM124" s="271"/>
      <c r="GN124" s="271"/>
      <c r="GO124" s="271"/>
      <c r="GP124" s="271"/>
      <c r="GR124" s="270" t="s">
        <v>510</v>
      </c>
      <c r="GS124" s="271"/>
      <c r="GT124" s="271"/>
      <c r="GU124" s="271"/>
      <c r="GV124" s="271"/>
      <c r="GW124" s="271"/>
      <c r="GY124" s="270" t="s">
        <v>510</v>
      </c>
      <c r="GZ124" s="271"/>
      <c r="HA124" s="271"/>
      <c r="HB124" s="271"/>
      <c r="HC124" s="271"/>
      <c r="HD124" s="271"/>
      <c r="HF124" s="270" t="s">
        <v>510</v>
      </c>
      <c r="HG124" s="271"/>
      <c r="HH124" s="271"/>
      <c r="HI124" s="271"/>
      <c r="HJ124" s="271"/>
      <c r="HK124" s="271"/>
      <c r="HM124" s="270" t="s">
        <v>510</v>
      </c>
      <c r="HN124" s="271"/>
      <c r="HO124" s="271"/>
      <c r="HP124" s="271"/>
      <c r="HQ124" s="271"/>
      <c r="HR124" s="271"/>
      <c r="HT124" s="270" t="s">
        <v>510</v>
      </c>
      <c r="HU124" s="271"/>
      <c r="HV124" s="271"/>
      <c r="HW124" s="271"/>
      <c r="HX124" s="271"/>
      <c r="HY124" s="271"/>
      <c r="IA124" s="270" t="s">
        <v>510</v>
      </c>
      <c r="IB124" s="271"/>
      <c r="IC124" s="271"/>
      <c r="ID124" s="271"/>
      <c r="IE124" s="271"/>
      <c r="IF124" s="271"/>
      <c r="IH124" s="270" t="s">
        <v>510</v>
      </c>
      <c r="II124" s="271"/>
      <c r="IJ124" s="271"/>
      <c r="IK124" s="271"/>
      <c r="IL124" s="271"/>
      <c r="IM124" s="271"/>
      <c r="IO124" s="270" t="s">
        <v>510</v>
      </c>
      <c r="IP124" s="271"/>
      <c r="IQ124" s="271"/>
      <c r="IR124" s="271"/>
      <c r="IS124" s="271"/>
      <c r="IT124" s="271"/>
      <c r="IV124" s="270" t="s">
        <v>510</v>
      </c>
      <c r="IW124" s="271"/>
      <c r="IX124" s="271"/>
      <c r="IY124" s="271"/>
      <c r="IZ124" s="271"/>
      <c r="JA124" s="271"/>
      <c r="JC124" s="270" t="s">
        <v>510</v>
      </c>
      <c r="JD124" s="271"/>
      <c r="JE124" s="271"/>
      <c r="JF124" s="271"/>
      <c r="JG124" s="271"/>
      <c r="JH124" s="271"/>
      <c r="JJ124" s="270" t="s">
        <v>510</v>
      </c>
      <c r="JK124" s="271"/>
      <c r="JL124" s="271"/>
      <c r="JM124" s="271"/>
      <c r="JN124" s="271"/>
      <c r="JO124" s="271"/>
      <c r="JQ124" s="270" t="s">
        <v>510</v>
      </c>
      <c r="JR124" s="271"/>
      <c r="JS124" s="271"/>
      <c r="JT124" s="271"/>
      <c r="JU124" s="271"/>
      <c r="JV124" s="271"/>
      <c r="JX124" s="270" t="s">
        <v>510</v>
      </c>
      <c r="JY124" s="271"/>
      <c r="JZ124" s="271"/>
      <c r="KA124" s="271"/>
      <c r="KB124" s="271"/>
      <c r="KC124" s="271"/>
      <c r="KE124" s="270" t="s">
        <v>510</v>
      </c>
      <c r="KF124" s="271"/>
      <c r="KG124" s="271"/>
      <c r="KH124" s="271"/>
      <c r="KI124" s="271"/>
      <c r="KJ124" s="271"/>
      <c r="KL124" s="270" t="s">
        <v>510</v>
      </c>
      <c r="KM124" s="271"/>
      <c r="KN124" s="271"/>
      <c r="KO124" s="271"/>
      <c r="KP124" s="271"/>
      <c r="KQ124" s="271"/>
      <c r="KS124" s="270" t="s">
        <v>510</v>
      </c>
      <c r="KT124" s="271"/>
      <c r="KU124" s="271"/>
      <c r="KV124" s="271"/>
      <c r="KW124" s="271"/>
      <c r="KX124" s="271"/>
      <c r="KZ124" s="270" t="s">
        <v>510</v>
      </c>
      <c r="LA124" s="271"/>
      <c r="LB124" s="515"/>
      <c r="LC124" s="515"/>
      <c r="LD124" s="515"/>
      <c r="LE124" s="515"/>
      <c r="LF124" s="594"/>
      <c r="LG124" s="516" t="s">
        <v>510</v>
      </c>
      <c r="LH124" s="515"/>
      <c r="LI124" s="515"/>
      <c r="LJ124" s="515"/>
      <c r="LK124" s="515"/>
      <c r="LL124" s="515"/>
      <c r="LM124" s="594"/>
      <c r="LN124" s="516" t="s">
        <v>510</v>
      </c>
      <c r="LO124" s="515"/>
      <c r="LP124" s="515"/>
      <c r="LQ124" s="515"/>
      <c r="LR124" s="515"/>
      <c r="LS124" s="515"/>
      <c r="LT124" s="594"/>
      <c r="LU124" s="516" t="s">
        <v>510</v>
      </c>
      <c r="LV124" s="515"/>
      <c r="LW124" s="515"/>
      <c r="LX124" s="515"/>
      <c r="LY124" s="515"/>
      <c r="LZ124" s="515"/>
      <c r="MA124" s="594"/>
      <c r="MB124" s="516" t="s">
        <v>510</v>
      </c>
      <c r="MC124" s="515"/>
      <c r="MD124" s="515"/>
      <c r="ME124" s="515"/>
      <c r="MF124" s="515"/>
      <c r="MG124" s="515"/>
      <c r="MH124" s="594"/>
    </row>
    <row r="125" spans="1:346" s="37" customFormat="1" ht="13.15" outlineLevel="1" x14ac:dyDescent="0.4">
      <c r="A125" s="100"/>
      <c r="B125" s="147" t="s">
        <v>500</v>
      </c>
      <c r="C125" s="108"/>
      <c r="D125" s="108"/>
      <c r="E125" s="108"/>
      <c r="F125" s="108"/>
      <c r="G125" s="108"/>
      <c r="H125" s="108"/>
      <c r="I125" s="108"/>
      <c r="J125" s="108"/>
      <c r="K125" s="108"/>
      <c r="L125" s="108"/>
      <c r="M125" s="108"/>
      <c r="N125" s="108">
        <f t="shared" si="238"/>
        <v>0</v>
      </c>
      <c r="O125" s="108">
        <f t="shared" si="239"/>
        <v>0</v>
      </c>
      <c r="P125" s="108">
        <f t="shared" si="240"/>
        <v>0</v>
      </c>
      <c r="Q125" s="108">
        <f t="shared" si="241"/>
        <v>0</v>
      </c>
      <c r="R125" s="108">
        <f t="shared" si="242"/>
        <v>0</v>
      </c>
      <c r="S125" s="108">
        <f t="shared" si="243"/>
        <v>0</v>
      </c>
      <c r="T125" s="108">
        <f t="shared" si="244"/>
        <v>0</v>
      </c>
      <c r="U125" s="108">
        <f t="shared" si="245"/>
        <v>0</v>
      </c>
      <c r="V125" s="108">
        <f t="shared" si="246"/>
        <v>0</v>
      </c>
      <c r="W125" s="108">
        <f t="shared" si="247"/>
        <v>0</v>
      </c>
      <c r="X125" s="108">
        <f t="shared" si="248"/>
        <v>0</v>
      </c>
      <c r="Y125" s="108">
        <f t="shared" si="249"/>
        <v>0</v>
      </c>
      <c r="Z125" s="108">
        <f t="shared" si="250"/>
        <v>0</v>
      </c>
      <c r="AA125" s="108">
        <f t="shared" si="251"/>
        <v>0</v>
      </c>
      <c r="AB125" s="108">
        <f t="shared" si="252"/>
        <v>0</v>
      </c>
      <c r="AC125" s="108">
        <f t="shared" si="253"/>
        <v>0</v>
      </c>
      <c r="AD125" s="108">
        <f t="shared" si="254"/>
        <v>0</v>
      </c>
      <c r="AE125" s="108">
        <f t="shared" si="255"/>
        <v>0</v>
      </c>
      <c r="AF125" s="108">
        <f t="shared" si="256"/>
        <v>0</v>
      </c>
      <c r="AG125" s="108">
        <f t="shared" si="257"/>
        <v>0</v>
      </c>
      <c r="AH125" s="108">
        <f t="shared" si="258"/>
        <v>0</v>
      </c>
      <c r="AI125" s="108">
        <f t="shared" si="259"/>
        <v>0</v>
      </c>
      <c r="AJ125" s="108">
        <f t="shared" si="260"/>
        <v>0</v>
      </c>
      <c r="AK125" s="108">
        <f t="shared" si="261"/>
        <v>0</v>
      </c>
      <c r="AL125" s="108">
        <f t="shared" si="262"/>
        <v>0</v>
      </c>
      <c r="AM125" s="108">
        <f t="shared" si="263"/>
        <v>0</v>
      </c>
      <c r="AN125" s="108">
        <f t="shared" si="264"/>
        <v>0</v>
      </c>
      <c r="AO125" s="108">
        <f t="shared" si="265"/>
        <v>0</v>
      </c>
      <c r="AP125" s="108">
        <f t="shared" si="266"/>
        <v>0</v>
      </c>
      <c r="AQ125" s="108">
        <f t="shared" si="267"/>
        <v>0</v>
      </c>
      <c r="AR125" s="108">
        <f t="shared" si="268"/>
        <v>0</v>
      </c>
      <c r="AS125" s="108">
        <f t="shared" si="269"/>
        <v>0</v>
      </c>
      <c r="AT125" s="108">
        <f t="shared" si="270"/>
        <v>0</v>
      </c>
      <c r="AU125" s="108">
        <f t="shared" si="271"/>
        <v>0</v>
      </c>
      <c r="AV125" s="108">
        <f t="shared" si="272"/>
        <v>0</v>
      </c>
      <c r="AW125" s="108">
        <f t="shared" si="273"/>
        <v>0</v>
      </c>
      <c r="AX125" s="108">
        <f t="shared" si="274"/>
        <v>0</v>
      </c>
      <c r="AY125" s="108">
        <f t="shared" si="275"/>
        <v>0</v>
      </c>
      <c r="AZ125" s="108">
        <f t="shared" si="276"/>
        <v>0</v>
      </c>
      <c r="BA125" s="108">
        <f t="shared" si="277"/>
        <v>0</v>
      </c>
      <c r="BB125" s="108"/>
      <c r="BC125" s="108"/>
      <c r="BD125" s="108"/>
      <c r="BE125" s="108"/>
      <c r="BF125" s="108"/>
      <c r="BG125" s="108"/>
      <c r="BH125" s="108"/>
      <c r="BI125" s="108"/>
      <c r="BJ125" s="108"/>
      <c r="BK125" s="108"/>
      <c r="BL125" s="108"/>
      <c r="BM125" s="108"/>
      <c r="BO125" s="147" t="s">
        <v>500</v>
      </c>
      <c r="BP125" s="109"/>
      <c r="BQ125" s="109"/>
      <c r="BR125" s="109"/>
      <c r="BS125" s="109"/>
      <c r="BT125" s="109"/>
      <c r="BV125" s="147" t="s">
        <v>500</v>
      </c>
      <c r="BW125" s="109"/>
      <c r="BX125" s="109"/>
      <c r="BY125" s="109"/>
      <c r="BZ125" s="109"/>
      <c r="CA125" s="109"/>
      <c r="CC125" s="147" t="s">
        <v>500</v>
      </c>
      <c r="CD125" s="109"/>
      <c r="CE125" s="109"/>
      <c r="CF125" s="109"/>
      <c r="CG125" s="109"/>
      <c r="CH125" s="109"/>
      <c r="CJ125" s="147" t="s">
        <v>500</v>
      </c>
      <c r="CK125" s="109"/>
      <c r="CL125" s="109"/>
      <c r="CM125" s="109"/>
      <c r="CN125" s="109"/>
      <c r="CO125" s="109"/>
      <c r="CQ125" s="147" t="s">
        <v>500</v>
      </c>
      <c r="CR125" s="109"/>
      <c r="CS125" s="109"/>
      <c r="CT125" s="109"/>
      <c r="CU125" s="109"/>
      <c r="CV125" s="109"/>
      <c r="CX125" s="147" t="s">
        <v>500</v>
      </c>
      <c r="CY125" s="109"/>
      <c r="CZ125" s="109"/>
      <c r="DA125" s="109"/>
      <c r="DB125" s="109"/>
      <c r="DC125" s="109"/>
      <c r="DE125" s="147" t="s">
        <v>500</v>
      </c>
      <c r="DF125" s="109"/>
      <c r="DG125" s="109"/>
      <c r="DH125" s="109"/>
      <c r="DI125" s="109"/>
      <c r="DJ125" s="109"/>
      <c r="DL125" s="147" t="s">
        <v>500</v>
      </c>
      <c r="DM125" s="109"/>
      <c r="DN125" s="109"/>
      <c r="DO125" s="109"/>
      <c r="DP125" s="109"/>
      <c r="DQ125" s="109"/>
      <c r="DS125" s="147" t="s">
        <v>500</v>
      </c>
      <c r="DT125" s="109"/>
      <c r="DU125" s="109"/>
      <c r="DV125" s="109"/>
      <c r="DW125" s="109"/>
      <c r="DX125" s="109"/>
      <c r="DZ125" s="147" t="s">
        <v>500</v>
      </c>
      <c r="EA125" s="109"/>
      <c r="EB125" s="109"/>
      <c r="EC125" s="109"/>
      <c r="ED125" s="109"/>
      <c r="EE125" s="109"/>
      <c r="EG125" s="147" t="s">
        <v>500</v>
      </c>
      <c r="EH125" s="109"/>
      <c r="EI125" s="109"/>
      <c r="EJ125" s="109"/>
      <c r="EK125" s="109"/>
      <c r="EL125" s="109"/>
      <c r="EN125" s="147" t="s">
        <v>500</v>
      </c>
      <c r="EO125" s="109"/>
      <c r="EP125" s="109"/>
      <c r="EQ125" s="109"/>
      <c r="ER125" s="109"/>
      <c r="ES125" s="109"/>
      <c r="EU125" s="147" t="s">
        <v>500</v>
      </c>
      <c r="EV125" s="109"/>
      <c r="EW125" s="109"/>
      <c r="EX125" s="109"/>
      <c r="EY125" s="109"/>
      <c r="EZ125" s="109"/>
      <c r="FB125" s="147" t="s">
        <v>500</v>
      </c>
      <c r="FC125" s="109"/>
      <c r="FD125" s="109"/>
      <c r="FE125" s="109"/>
      <c r="FF125" s="109"/>
      <c r="FG125" s="109"/>
      <c r="FI125" s="147" t="s">
        <v>500</v>
      </c>
      <c r="FJ125" s="109"/>
      <c r="FK125" s="109"/>
      <c r="FL125" s="109"/>
      <c r="FM125" s="109"/>
      <c r="FN125" s="109"/>
      <c r="FP125" s="147" t="s">
        <v>500</v>
      </c>
      <c r="FQ125" s="109"/>
      <c r="FR125" s="109"/>
      <c r="FS125" s="109"/>
      <c r="FT125" s="109"/>
      <c r="FU125" s="109"/>
      <c r="FW125" s="147" t="s">
        <v>500</v>
      </c>
      <c r="FX125" s="109"/>
      <c r="FY125" s="109"/>
      <c r="FZ125" s="109"/>
      <c r="GA125" s="109"/>
      <c r="GB125" s="109"/>
      <c r="GD125" s="147" t="s">
        <v>500</v>
      </c>
      <c r="GE125" s="109"/>
      <c r="GF125" s="109"/>
      <c r="GG125" s="109"/>
      <c r="GH125" s="109"/>
      <c r="GI125" s="109"/>
      <c r="GK125" s="147" t="s">
        <v>500</v>
      </c>
      <c r="GL125" s="109"/>
      <c r="GM125" s="109"/>
      <c r="GN125" s="109"/>
      <c r="GO125" s="109"/>
      <c r="GP125" s="109"/>
      <c r="GR125" s="147" t="s">
        <v>500</v>
      </c>
      <c r="GS125" s="109"/>
      <c r="GT125" s="109"/>
      <c r="GU125" s="109"/>
      <c r="GV125" s="109"/>
      <c r="GW125" s="109"/>
      <c r="GY125" s="147" t="s">
        <v>500</v>
      </c>
      <c r="GZ125" s="109"/>
      <c r="HA125" s="109"/>
      <c r="HB125" s="109"/>
      <c r="HC125" s="109"/>
      <c r="HD125" s="109"/>
      <c r="HF125" s="147" t="s">
        <v>500</v>
      </c>
      <c r="HG125" s="109"/>
      <c r="HH125" s="109"/>
      <c r="HI125" s="109"/>
      <c r="HJ125" s="109"/>
      <c r="HK125" s="109"/>
      <c r="HM125" s="147" t="s">
        <v>500</v>
      </c>
      <c r="HN125" s="109"/>
      <c r="HO125" s="109"/>
      <c r="HP125" s="109"/>
      <c r="HQ125" s="109"/>
      <c r="HR125" s="109"/>
      <c r="HT125" s="147" t="s">
        <v>500</v>
      </c>
      <c r="HU125" s="109"/>
      <c r="HV125" s="109"/>
      <c r="HW125" s="109"/>
      <c r="HX125" s="109"/>
      <c r="HY125" s="109"/>
      <c r="IA125" s="147" t="s">
        <v>500</v>
      </c>
      <c r="IB125" s="109"/>
      <c r="IC125" s="109"/>
      <c r="ID125" s="109"/>
      <c r="IE125" s="109"/>
      <c r="IF125" s="109"/>
      <c r="IH125" s="147" t="s">
        <v>500</v>
      </c>
      <c r="II125" s="109"/>
      <c r="IJ125" s="109"/>
      <c r="IK125" s="109"/>
      <c r="IL125" s="109"/>
      <c r="IM125" s="109"/>
      <c r="IO125" s="147" t="s">
        <v>500</v>
      </c>
      <c r="IP125" s="109"/>
      <c r="IQ125" s="109"/>
      <c r="IR125" s="109"/>
      <c r="IS125" s="109"/>
      <c r="IT125" s="109"/>
      <c r="IV125" s="147" t="s">
        <v>500</v>
      </c>
      <c r="IW125" s="109"/>
      <c r="IX125" s="109"/>
      <c r="IY125" s="109"/>
      <c r="IZ125" s="109"/>
      <c r="JA125" s="109"/>
      <c r="JC125" s="147" t="s">
        <v>500</v>
      </c>
      <c r="JD125" s="109"/>
      <c r="JE125" s="109"/>
      <c r="JF125" s="109"/>
      <c r="JG125" s="109"/>
      <c r="JH125" s="109"/>
      <c r="JJ125" s="147" t="s">
        <v>500</v>
      </c>
      <c r="JK125" s="109"/>
      <c r="JL125" s="109"/>
      <c r="JM125" s="109"/>
      <c r="JN125" s="109"/>
      <c r="JO125" s="109"/>
      <c r="JQ125" s="147" t="s">
        <v>500</v>
      </c>
      <c r="JR125" s="109"/>
      <c r="JS125" s="109"/>
      <c r="JT125" s="109"/>
      <c r="JU125" s="109"/>
      <c r="JV125" s="109"/>
      <c r="JX125" s="147" t="s">
        <v>500</v>
      </c>
      <c r="JY125" s="109"/>
      <c r="JZ125" s="109"/>
      <c r="KA125" s="109"/>
      <c r="KB125" s="109"/>
      <c r="KC125" s="109"/>
      <c r="KE125" s="147" t="s">
        <v>500</v>
      </c>
      <c r="KF125" s="109"/>
      <c r="KG125" s="109"/>
      <c r="KH125" s="109"/>
      <c r="KI125" s="109"/>
      <c r="KJ125" s="109"/>
      <c r="KL125" s="147" t="s">
        <v>500</v>
      </c>
      <c r="KM125" s="109"/>
      <c r="KN125" s="109"/>
      <c r="KO125" s="109"/>
      <c r="KP125" s="109"/>
      <c r="KQ125" s="109"/>
      <c r="KS125" s="147" t="s">
        <v>500</v>
      </c>
      <c r="KT125" s="109"/>
      <c r="KU125" s="109"/>
      <c r="KV125" s="109"/>
      <c r="KW125" s="109"/>
      <c r="KX125" s="109"/>
      <c r="KZ125" s="147" t="s">
        <v>500</v>
      </c>
      <c r="LA125" s="109"/>
      <c r="LB125" s="102"/>
      <c r="LC125" s="102"/>
      <c r="LD125" s="102"/>
      <c r="LE125" s="102"/>
      <c r="LF125" s="555"/>
      <c r="LG125" s="143" t="s">
        <v>500</v>
      </c>
      <c r="LH125" s="102"/>
      <c r="LI125" s="102"/>
      <c r="LJ125" s="102"/>
      <c r="LK125" s="102"/>
      <c r="LL125" s="102"/>
      <c r="LM125" s="555"/>
      <c r="LN125" s="143" t="s">
        <v>500</v>
      </c>
      <c r="LO125" s="102"/>
      <c r="LP125" s="102"/>
      <c r="LQ125" s="102"/>
      <c r="LR125" s="102"/>
      <c r="LS125" s="102"/>
      <c r="LT125" s="555"/>
      <c r="LU125" s="143" t="s">
        <v>500</v>
      </c>
      <c r="LV125" s="102"/>
      <c r="LW125" s="102"/>
      <c r="LX125" s="102"/>
      <c r="LY125" s="102"/>
      <c r="LZ125" s="102"/>
      <c r="MA125" s="555"/>
      <c r="MB125" s="143" t="s">
        <v>500</v>
      </c>
      <c r="MC125" s="102"/>
      <c r="MD125" s="102"/>
      <c r="ME125" s="102"/>
      <c r="MF125" s="102"/>
      <c r="MG125" s="102"/>
      <c r="MH125" s="555"/>
    </row>
    <row r="126" spans="1:346" s="37" customFormat="1" ht="13.15" outlineLevel="1" x14ac:dyDescent="0.4">
      <c r="A126" s="100"/>
      <c r="B126" s="147" t="s">
        <v>347</v>
      </c>
      <c r="C126" s="108"/>
      <c r="D126" s="108"/>
      <c r="E126" s="108"/>
      <c r="F126" s="108"/>
      <c r="G126" s="108"/>
      <c r="H126" s="108"/>
      <c r="I126" s="108"/>
      <c r="J126" s="108"/>
      <c r="K126" s="108"/>
      <c r="L126" s="108"/>
      <c r="M126" s="108"/>
      <c r="N126" s="108">
        <f t="shared" si="238"/>
        <v>66.8</v>
      </c>
      <c r="O126" s="108">
        <f t="shared" si="239"/>
        <v>69</v>
      </c>
      <c r="P126" s="108">
        <f t="shared" si="240"/>
        <v>65</v>
      </c>
      <c r="Q126" s="108">
        <f t="shared" si="241"/>
        <v>75</v>
      </c>
      <c r="R126" s="108">
        <f t="shared" si="242"/>
        <v>70</v>
      </c>
      <c r="S126" s="108">
        <f t="shared" si="243"/>
        <v>75</v>
      </c>
      <c r="T126" s="108">
        <f t="shared" si="244"/>
        <v>79</v>
      </c>
      <c r="U126" s="108">
        <f t="shared" si="245"/>
        <v>91</v>
      </c>
      <c r="V126" s="108">
        <f t="shared" si="246"/>
        <v>87</v>
      </c>
      <c r="W126" s="108">
        <f t="shared" si="247"/>
        <v>0</v>
      </c>
      <c r="X126" s="108">
        <f t="shared" si="248"/>
        <v>0</v>
      </c>
      <c r="Y126" s="108">
        <f t="shared" si="249"/>
        <v>0</v>
      </c>
      <c r="Z126" s="108">
        <f t="shared" si="250"/>
        <v>0</v>
      </c>
      <c r="AA126" s="108">
        <f t="shared" si="251"/>
        <v>0</v>
      </c>
      <c r="AB126" s="108">
        <f t="shared" si="252"/>
        <v>0</v>
      </c>
      <c r="AC126" s="108">
        <f t="shared" si="253"/>
        <v>0</v>
      </c>
      <c r="AD126" s="108">
        <f t="shared" si="254"/>
        <v>0</v>
      </c>
      <c r="AE126" s="108">
        <f t="shared" si="255"/>
        <v>0</v>
      </c>
      <c r="AF126" s="108">
        <f t="shared" si="256"/>
        <v>0</v>
      </c>
      <c r="AG126" s="108">
        <f t="shared" si="257"/>
        <v>0</v>
      </c>
      <c r="AH126" s="108">
        <f t="shared" si="258"/>
        <v>0</v>
      </c>
      <c r="AI126" s="108">
        <f t="shared" si="259"/>
        <v>0</v>
      </c>
      <c r="AJ126" s="108">
        <f t="shared" si="260"/>
        <v>0</v>
      </c>
      <c r="AK126" s="108">
        <f t="shared" si="261"/>
        <v>0</v>
      </c>
      <c r="AL126" s="108">
        <f t="shared" si="262"/>
        <v>0</v>
      </c>
      <c r="AM126" s="108">
        <f t="shared" si="263"/>
        <v>0</v>
      </c>
      <c r="AN126" s="108">
        <f t="shared" si="264"/>
        <v>0</v>
      </c>
      <c r="AO126" s="108">
        <f t="shared" si="265"/>
        <v>0</v>
      </c>
      <c r="AP126" s="108">
        <f t="shared" si="266"/>
        <v>0</v>
      </c>
      <c r="AQ126" s="108">
        <f t="shared" si="267"/>
        <v>0</v>
      </c>
      <c r="AR126" s="108">
        <f t="shared" si="268"/>
        <v>0</v>
      </c>
      <c r="AS126" s="108">
        <f t="shared" si="269"/>
        <v>0</v>
      </c>
      <c r="AT126" s="108">
        <f t="shared" si="270"/>
        <v>0</v>
      </c>
      <c r="AU126" s="108">
        <f t="shared" si="271"/>
        <v>0</v>
      </c>
      <c r="AV126" s="108">
        <f t="shared" si="272"/>
        <v>0</v>
      </c>
      <c r="AW126" s="108">
        <f t="shared" si="273"/>
        <v>0</v>
      </c>
      <c r="AX126" s="108">
        <f t="shared" si="274"/>
        <v>0</v>
      </c>
      <c r="AY126" s="108">
        <f t="shared" si="275"/>
        <v>0</v>
      </c>
      <c r="AZ126" s="108">
        <f t="shared" si="276"/>
        <v>0</v>
      </c>
      <c r="BA126" s="108">
        <f t="shared" si="277"/>
        <v>0</v>
      </c>
      <c r="BB126" s="108"/>
      <c r="BC126" s="108"/>
      <c r="BD126" s="108"/>
      <c r="BE126" s="108"/>
      <c r="BF126" s="108"/>
      <c r="BG126" s="108"/>
      <c r="BH126" s="108"/>
      <c r="BI126" s="108"/>
      <c r="BJ126" s="108"/>
      <c r="BK126" s="108"/>
      <c r="BL126" s="108"/>
      <c r="BM126" s="108"/>
      <c r="BO126" s="147" t="s">
        <v>347</v>
      </c>
      <c r="BP126" s="109">
        <v>15.7</v>
      </c>
      <c r="BQ126" s="109">
        <v>19.100000000000001</v>
      </c>
      <c r="BR126" s="109">
        <v>16.2</v>
      </c>
      <c r="BS126" s="109">
        <v>15.8</v>
      </c>
      <c r="BT126" s="109">
        <v>66.8</v>
      </c>
      <c r="BV126" s="147" t="s">
        <v>347</v>
      </c>
      <c r="BW126" s="109">
        <v>17.899999999999999</v>
      </c>
      <c r="BX126" s="109">
        <v>18.8</v>
      </c>
      <c r="BY126" s="109">
        <v>16.3</v>
      </c>
      <c r="BZ126" s="109">
        <v>16</v>
      </c>
      <c r="CA126" s="109">
        <v>69</v>
      </c>
      <c r="CC126" s="147" t="s">
        <v>347</v>
      </c>
      <c r="CD126" s="109">
        <v>16</v>
      </c>
      <c r="CE126" s="109">
        <v>15</v>
      </c>
      <c r="CF126" s="109">
        <v>17</v>
      </c>
      <c r="CG126" s="109">
        <v>17</v>
      </c>
      <c r="CH126" s="109">
        <v>65</v>
      </c>
      <c r="CJ126" s="147" t="s">
        <v>347</v>
      </c>
      <c r="CK126" s="109">
        <v>14</v>
      </c>
      <c r="CL126" s="109">
        <v>19</v>
      </c>
      <c r="CM126" s="109">
        <v>22</v>
      </c>
      <c r="CN126" s="109">
        <v>20</v>
      </c>
      <c r="CO126" s="109">
        <v>75</v>
      </c>
      <c r="CQ126" s="147" t="s">
        <v>347</v>
      </c>
      <c r="CR126" s="109">
        <v>19</v>
      </c>
      <c r="CS126" s="109">
        <v>20</v>
      </c>
      <c r="CT126" s="109">
        <v>13</v>
      </c>
      <c r="CU126" s="109">
        <v>18</v>
      </c>
      <c r="CV126" s="109">
        <v>70</v>
      </c>
      <c r="CX126" s="147" t="s">
        <v>347</v>
      </c>
      <c r="CY126" s="109">
        <v>17</v>
      </c>
      <c r="CZ126" s="109">
        <v>18</v>
      </c>
      <c r="DA126" s="109">
        <v>19</v>
      </c>
      <c r="DB126" s="109">
        <v>21</v>
      </c>
      <c r="DC126" s="109">
        <v>75</v>
      </c>
      <c r="DE126" s="147" t="s">
        <v>347</v>
      </c>
      <c r="DF126" s="109">
        <v>19</v>
      </c>
      <c r="DG126" s="109">
        <v>20</v>
      </c>
      <c r="DH126" s="109">
        <v>20</v>
      </c>
      <c r="DI126" s="109">
        <v>20</v>
      </c>
      <c r="DJ126" s="109">
        <v>79</v>
      </c>
      <c r="DL126" s="147" t="s">
        <v>347</v>
      </c>
      <c r="DM126" s="109">
        <v>22</v>
      </c>
      <c r="DN126" s="109">
        <v>24</v>
      </c>
      <c r="DO126" s="109">
        <v>21</v>
      </c>
      <c r="DP126" s="109">
        <v>24</v>
      </c>
      <c r="DQ126" s="109">
        <v>91</v>
      </c>
      <c r="DS126" s="147" t="s">
        <v>347</v>
      </c>
      <c r="DT126" s="109">
        <v>22</v>
      </c>
      <c r="DU126" s="109">
        <v>23</v>
      </c>
      <c r="DV126" s="109">
        <v>21</v>
      </c>
      <c r="DW126" s="109">
        <v>21</v>
      </c>
      <c r="DX126" s="109">
        <f>SUM(DT126:DW126)</f>
        <v>87</v>
      </c>
      <c r="DZ126" s="147" t="s">
        <v>347</v>
      </c>
      <c r="EA126" s="109"/>
      <c r="EB126" s="109"/>
      <c r="EC126" s="109"/>
      <c r="ED126" s="109"/>
      <c r="EE126" s="109"/>
      <c r="EG126" s="147" t="s">
        <v>347</v>
      </c>
      <c r="EH126" s="109"/>
      <c r="EI126" s="109"/>
      <c r="EJ126" s="109"/>
      <c r="EK126" s="109"/>
      <c r="EL126" s="109"/>
      <c r="EN126" s="147" t="s">
        <v>347</v>
      </c>
      <c r="EO126" s="109"/>
      <c r="EP126" s="109"/>
      <c r="EQ126" s="109"/>
      <c r="ER126" s="109"/>
      <c r="ES126" s="109"/>
      <c r="EU126" s="147" t="s">
        <v>347</v>
      </c>
      <c r="EV126" s="109"/>
      <c r="EW126" s="109"/>
      <c r="EX126" s="109"/>
      <c r="EY126" s="109"/>
      <c r="EZ126" s="109"/>
      <c r="FB126" s="147" t="s">
        <v>347</v>
      </c>
      <c r="FC126" s="109"/>
      <c r="FD126" s="109"/>
      <c r="FE126" s="109"/>
      <c r="FF126" s="109"/>
      <c r="FG126" s="109"/>
      <c r="FI126" s="147" t="s">
        <v>347</v>
      </c>
      <c r="FJ126" s="109"/>
      <c r="FK126" s="109"/>
      <c r="FL126" s="109"/>
      <c r="FM126" s="109"/>
      <c r="FN126" s="109"/>
      <c r="FP126" s="147" t="s">
        <v>347</v>
      </c>
      <c r="FQ126" s="109"/>
      <c r="FR126" s="109"/>
      <c r="FS126" s="109"/>
      <c r="FT126" s="109"/>
      <c r="FU126" s="109"/>
      <c r="FW126" s="147" t="s">
        <v>347</v>
      </c>
      <c r="FX126" s="109"/>
      <c r="FY126" s="109"/>
      <c r="FZ126" s="109"/>
      <c r="GA126" s="109"/>
      <c r="GB126" s="109"/>
      <c r="GD126" s="147" t="s">
        <v>347</v>
      </c>
      <c r="GE126" s="109"/>
      <c r="GF126" s="109"/>
      <c r="GG126" s="109"/>
      <c r="GH126" s="109"/>
      <c r="GI126" s="109"/>
      <c r="GK126" s="147" t="s">
        <v>347</v>
      </c>
      <c r="GL126" s="109"/>
      <c r="GM126" s="109"/>
      <c r="GN126" s="109"/>
      <c r="GO126" s="109"/>
      <c r="GP126" s="109"/>
      <c r="GR126" s="147" t="s">
        <v>347</v>
      </c>
      <c r="GS126" s="109"/>
      <c r="GT126" s="109"/>
      <c r="GU126" s="109"/>
      <c r="GV126" s="109"/>
      <c r="GW126" s="109"/>
      <c r="GY126" s="147" t="s">
        <v>347</v>
      </c>
      <c r="GZ126" s="109"/>
      <c r="HA126" s="109"/>
      <c r="HB126" s="109"/>
      <c r="HC126" s="109"/>
      <c r="HD126" s="109"/>
      <c r="HF126" s="147" t="s">
        <v>347</v>
      </c>
      <c r="HG126" s="109"/>
      <c r="HH126" s="109"/>
      <c r="HI126" s="109"/>
      <c r="HJ126" s="109"/>
      <c r="HK126" s="109"/>
      <c r="HM126" s="147" t="s">
        <v>347</v>
      </c>
      <c r="HN126" s="109"/>
      <c r="HO126" s="109"/>
      <c r="HP126" s="109"/>
      <c r="HQ126" s="109"/>
      <c r="HR126" s="109"/>
      <c r="HT126" s="147" t="s">
        <v>347</v>
      </c>
      <c r="HU126" s="109"/>
      <c r="HV126" s="109"/>
      <c r="HW126" s="109"/>
      <c r="HX126" s="109"/>
      <c r="HY126" s="109"/>
      <c r="IA126" s="147" t="s">
        <v>347</v>
      </c>
      <c r="IB126" s="109"/>
      <c r="IC126" s="109"/>
      <c r="ID126" s="109"/>
      <c r="IE126" s="109"/>
      <c r="IF126" s="109"/>
      <c r="IH126" s="147" t="s">
        <v>347</v>
      </c>
      <c r="II126" s="109"/>
      <c r="IJ126" s="109"/>
      <c r="IK126" s="109"/>
      <c r="IL126" s="109"/>
      <c r="IM126" s="109"/>
      <c r="IO126" s="147" t="s">
        <v>347</v>
      </c>
      <c r="IP126" s="109"/>
      <c r="IQ126" s="109"/>
      <c r="IR126" s="109"/>
      <c r="IS126" s="109"/>
      <c r="IT126" s="109"/>
      <c r="IV126" s="147" t="s">
        <v>347</v>
      </c>
      <c r="IW126" s="109"/>
      <c r="IX126" s="109"/>
      <c r="IY126" s="109"/>
      <c r="IZ126" s="109"/>
      <c r="JA126" s="109"/>
      <c r="JC126" s="147" t="s">
        <v>347</v>
      </c>
      <c r="JD126" s="109"/>
      <c r="JE126" s="109"/>
      <c r="JF126" s="109"/>
      <c r="JG126" s="109"/>
      <c r="JH126" s="109"/>
      <c r="JJ126" s="147" t="s">
        <v>347</v>
      </c>
      <c r="JK126" s="109"/>
      <c r="JL126" s="109"/>
      <c r="JM126" s="109"/>
      <c r="JN126" s="109"/>
      <c r="JO126" s="109"/>
      <c r="JQ126" s="147" t="s">
        <v>347</v>
      </c>
      <c r="JR126" s="109"/>
      <c r="JS126" s="109"/>
      <c r="JT126" s="109"/>
      <c r="JU126" s="109"/>
      <c r="JV126" s="109"/>
      <c r="JX126" s="147" t="s">
        <v>347</v>
      </c>
      <c r="JY126" s="109"/>
      <c r="JZ126" s="109"/>
      <c r="KA126" s="109"/>
      <c r="KB126" s="109"/>
      <c r="KC126" s="109"/>
      <c r="KE126" s="147" t="s">
        <v>347</v>
      </c>
      <c r="KF126" s="109"/>
      <c r="KG126" s="109"/>
      <c r="KH126" s="109"/>
      <c r="KI126" s="109"/>
      <c r="KJ126" s="109"/>
      <c r="KL126" s="147" t="s">
        <v>347</v>
      </c>
      <c r="KM126" s="109"/>
      <c r="KN126" s="109"/>
      <c r="KO126" s="109"/>
      <c r="KP126" s="109"/>
      <c r="KQ126" s="109"/>
      <c r="KS126" s="147" t="s">
        <v>347</v>
      </c>
      <c r="KT126" s="109"/>
      <c r="KU126" s="109"/>
      <c r="KV126" s="109"/>
      <c r="KW126" s="109"/>
      <c r="KX126" s="109"/>
      <c r="KZ126" s="147" t="s">
        <v>347</v>
      </c>
      <c r="LA126" s="109"/>
      <c r="LB126" s="102"/>
      <c r="LC126" s="102"/>
      <c r="LD126" s="102"/>
      <c r="LE126" s="102"/>
      <c r="LF126" s="555"/>
      <c r="LG126" s="143" t="s">
        <v>347</v>
      </c>
      <c r="LH126" s="102"/>
      <c r="LI126" s="102"/>
      <c r="LJ126" s="102"/>
      <c r="LK126" s="102"/>
      <c r="LL126" s="102"/>
      <c r="LM126" s="555"/>
      <c r="LN126" s="143" t="s">
        <v>347</v>
      </c>
      <c r="LO126" s="102"/>
      <c r="LP126" s="102"/>
      <c r="LQ126" s="102"/>
      <c r="LR126" s="102"/>
      <c r="LS126" s="102"/>
      <c r="LT126" s="555"/>
      <c r="LU126" s="143" t="s">
        <v>347</v>
      </c>
      <c r="LV126" s="102"/>
      <c r="LW126" s="102"/>
      <c r="LX126" s="102"/>
      <c r="LY126" s="102"/>
      <c r="LZ126" s="102"/>
      <c r="MA126" s="555"/>
      <c r="MB126" s="143" t="s">
        <v>347</v>
      </c>
      <c r="MC126" s="102"/>
      <c r="MD126" s="102"/>
      <c r="ME126" s="102"/>
      <c r="MF126" s="102"/>
      <c r="MG126" s="102"/>
      <c r="MH126" s="555"/>
    </row>
    <row r="127" spans="1:346" s="37" customFormat="1" ht="13.15" outlineLevel="1" x14ac:dyDescent="0.4">
      <c r="A127" s="100"/>
      <c r="B127" s="147" t="s">
        <v>348</v>
      </c>
      <c r="C127" s="108"/>
      <c r="D127" s="108"/>
      <c r="E127" s="108"/>
      <c r="F127" s="108"/>
      <c r="G127" s="108"/>
      <c r="H127" s="108"/>
      <c r="I127" s="108"/>
      <c r="J127" s="108"/>
      <c r="K127" s="108"/>
      <c r="L127" s="108"/>
      <c r="M127" s="108"/>
      <c r="N127" s="108">
        <f t="shared" si="238"/>
        <v>0.53892215568862278</v>
      </c>
      <c r="O127" s="108">
        <f t="shared" si="239"/>
        <v>0.6376811594202898</v>
      </c>
      <c r="P127" s="108">
        <f t="shared" si="240"/>
        <v>0.67692307692307696</v>
      </c>
      <c r="Q127" s="108">
        <f t="shared" si="241"/>
        <v>0.62666666666666671</v>
      </c>
      <c r="R127" s="108">
        <f t="shared" si="242"/>
        <v>0.6</v>
      </c>
      <c r="S127" s="108">
        <f t="shared" si="243"/>
        <v>0.53333333333333333</v>
      </c>
      <c r="T127" s="108">
        <f t="shared" si="244"/>
        <v>0.53164556962025311</v>
      </c>
      <c r="U127" s="108">
        <f t="shared" si="245"/>
        <v>0.64835164835164838</v>
      </c>
      <c r="V127" s="108">
        <f t="shared" si="246"/>
        <v>0.63419772256728779</v>
      </c>
      <c r="W127" s="108">
        <f t="shared" si="247"/>
        <v>0</v>
      </c>
      <c r="X127" s="108">
        <f t="shared" si="248"/>
        <v>0</v>
      </c>
      <c r="Y127" s="108">
        <f t="shared" si="249"/>
        <v>0</v>
      </c>
      <c r="Z127" s="108">
        <f t="shared" si="250"/>
        <v>0</v>
      </c>
      <c r="AA127" s="108">
        <f t="shared" si="251"/>
        <v>0</v>
      </c>
      <c r="AB127" s="108">
        <f t="shared" si="252"/>
        <v>0</v>
      </c>
      <c r="AC127" s="108">
        <f t="shared" si="253"/>
        <v>0</v>
      </c>
      <c r="AD127" s="108">
        <f t="shared" si="254"/>
        <v>0</v>
      </c>
      <c r="AE127" s="108">
        <f t="shared" si="255"/>
        <v>0</v>
      </c>
      <c r="AF127" s="108">
        <f t="shared" si="256"/>
        <v>0</v>
      </c>
      <c r="AG127" s="108">
        <f t="shared" si="257"/>
        <v>0</v>
      </c>
      <c r="AH127" s="108">
        <f t="shared" si="258"/>
        <v>0</v>
      </c>
      <c r="AI127" s="108">
        <f t="shared" si="259"/>
        <v>0</v>
      </c>
      <c r="AJ127" s="108">
        <f t="shared" si="260"/>
        <v>0</v>
      </c>
      <c r="AK127" s="108">
        <f t="shared" si="261"/>
        <v>0</v>
      </c>
      <c r="AL127" s="108">
        <f t="shared" si="262"/>
        <v>0</v>
      </c>
      <c r="AM127" s="108">
        <f t="shared" si="263"/>
        <v>0</v>
      </c>
      <c r="AN127" s="108">
        <f t="shared" si="264"/>
        <v>0</v>
      </c>
      <c r="AO127" s="108">
        <f t="shared" si="265"/>
        <v>0</v>
      </c>
      <c r="AP127" s="108">
        <f t="shared" si="266"/>
        <v>0</v>
      </c>
      <c r="AQ127" s="108">
        <f t="shared" si="267"/>
        <v>0</v>
      </c>
      <c r="AR127" s="108">
        <f t="shared" si="268"/>
        <v>0</v>
      </c>
      <c r="AS127" s="108">
        <f t="shared" si="269"/>
        <v>0</v>
      </c>
      <c r="AT127" s="108">
        <f t="shared" si="270"/>
        <v>0</v>
      </c>
      <c r="AU127" s="108">
        <f t="shared" si="271"/>
        <v>0</v>
      </c>
      <c r="AV127" s="108">
        <f t="shared" si="272"/>
        <v>0</v>
      </c>
      <c r="AW127" s="108">
        <f t="shared" si="273"/>
        <v>0</v>
      </c>
      <c r="AX127" s="108">
        <f t="shared" si="274"/>
        <v>0</v>
      </c>
      <c r="AY127" s="108">
        <f t="shared" si="275"/>
        <v>0</v>
      </c>
      <c r="AZ127" s="108">
        <f t="shared" si="276"/>
        <v>0</v>
      </c>
      <c r="BA127" s="108">
        <f t="shared" si="277"/>
        <v>0</v>
      </c>
      <c r="BB127" s="108"/>
      <c r="BC127" s="108"/>
      <c r="BD127" s="108"/>
      <c r="BE127" s="108"/>
      <c r="BF127" s="108"/>
      <c r="BG127" s="108"/>
      <c r="BH127" s="108"/>
      <c r="BI127" s="108"/>
      <c r="BJ127" s="108"/>
      <c r="BK127" s="108"/>
      <c r="BL127" s="108"/>
      <c r="BM127" s="108"/>
      <c r="BO127" s="147" t="s">
        <v>348</v>
      </c>
      <c r="BP127" s="109">
        <v>0.50955414012738853</v>
      </c>
      <c r="BQ127" s="109">
        <v>0.57591623036649209</v>
      </c>
      <c r="BR127" s="109">
        <v>0.49382716049382719</v>
      </c>
      <c r="BS127" s="109">
        <v>0.56962025316455689</v>
      </c>
      <c r="BT127" s="109">
        <v>0.53892215568862278</v>
      </c>
      <c r="BV127" s="147" t="s">
        <v>348</v>
      </c>
      <c r="BW127" s="109">
        <v>0.61452513966480449</v>
      </c>
      <c r="BX127" s="109">
        <v>0.58510638297872342</v>
      </c>
      <c r="BY127" s="109">
        <v>0.61349693251533743</v>
      </c>
      <c r="BZ127" s="109">
        <v>0.75</v>
      </c>
      <c r="CA127" s="109">
        <v>0.6376811594202898</v>
      </c>
      <c r="CC127" s="147" t="s">
        <v>348</v>
      </c>
      <c r="CD127" s="109">
        <v>0.8125</v>
      </c>
      <c r="CE127" s="109">
        <v>0.6</v>
      </c>
      <c r="CF127" s="109">
        <v>0.58823529411764708</v>
      </c>
      <c r="CG127" s="109">
        <v>0.70588235294117652</v>
      </c>
      <c r="CH127" s="109">
        <v>0.67692307692307696</v>
      </c>
      <c r="CJ127" s="147" t="s">
        <v>348</v>
      </c>
      <c r="CK127" s="109">
        <v>0.6428571428571429</v>
      </c>
      <c r="CL127" s="109">
        <v>0.63157894736842102</v>
      </c>
      <c r="CM127" s="109">
        <v>0.59090909090909094</v>
      </c>
      <c r="CN127" s="109">
        <v>0.65</v>
      </c>
      <c r="CO127" s="109">
        <v>0.62666666666666671</v>
      </c>
      <c r="CQ127" s="147" t="s">
        <v>348</v>
      </c>
      <c r="CR127" s="109">
        <v>0.57894736842105265</v>
      </c>
      <c r="CS127" s="109">
        <v>0.59</v>
      </c>
      <c r="CT127" s="109">
        <v>0.56538461538461537</v>
      </c>
      <c r="CU127" s="109">
        <v>0.57111111111111112</v>
      </c>
      <c r="CV127" s="109">
        <v>0.6</v>
      </c>
      <c r="CX127" s="147" t="s">
        <v>348</v>
      </c>
      <c r="CY127" s="109">
        <v>0.54</v>
      </c>
      <c r="CZ127" s="109">
        <v>0.51555555555555554</v>
      </c>
      <c r="DA127" s="109">
        <v>0.50631578947368416</v>
      </c>
      <c r="DB127" s="109">
        <v>0.49619047619047618</v>
      </c>
      <c r="DC127" s="109">
        <v>0.53333333333333333</v>
      </c>
      <c r="DE127" s="147" t="s">
        <v>348</v>
      </c>
      <c r="DF127" s="109">
        <v>0.5</v>
      </c>
      <c r="DG127" s="109">
        <v>0.49</v>
      </c>
      <c r="DH127" s="109">
        <v>0.52</v>
      </c>
      <c r="DI127" s="109">
        <v>0.51</v>
      </c>
      <c r="DJ127" s="109">
        <v>0.53164556962025311</v>
      </c>
      <c r="DL127" s="147" t="s">
        <v>348</v>
      </c>
      <c r="DM127" s="109">
        <v>0.56000000000000005</v>
      </c>
      <c r="DN127" s="109">
        <v>0.61499999999999999</v>
      </c>
      <c r="DO127" s="109">
        <v>0.6366666666666666</v>
      </c>
      <c r="DP127" s="109">
        <v>0.7</v>
      </c>
      <c r="DQ127" s="109">
        <v>0.64835164835164838</v>
      </c>
      <c r="DS127" s="147" t="s">
        <v>348</v>
      </c>
      <c r="DT127" s="109">
        <v>0.69</v>
      </c>
      <c r="DU127" s="109">
        <v>0.60869565217391308</v>
      </c>
      <c r="DV127" s="109">
        <v>0.61904761904761907</v>
      </c>
      <c r="DW127" s="109">
        <v>0.61904761904761907</v>
      </c>
      <c r="DX127" s="109">
        <f>AVERAGE(DT127:DW127)</f>
        <v>0.63419772256728779</v>
      </c>
      <c r="DZ127" s="147" t="s">
        <v>348</v>
      </c>
      <c r="EA127" s="109"/>
      <c r="EB127" s="109"/>
      <c r="EC127" s="109"/>
      <c r="ED127" s="109"/>
      <c r="EE127" s="109"/>
      <c r="EG127" s="147" t="s">
        <v>348</v>
      </c>
      <c r="EH127" s="109"/>
      <c r="EI127" s="109"/>
      <c r="EJ127" s="109"/>
      <c r="EK127" s="109"/>
      <c r="EL127" s="109"/>
      <c r="EN127" s="147" t="s">
        <v>348</v>
      </c>
      <c r="EO127" s="109"/>
      <c r="EP127" s="109"/>
      <c r="EQ127" s="109"/>
      <c r="ER127" s="109"/>
      <c r="ES127" s="109"/>
      <c r="EU127" s="147" t="s">
        <v>348</v>
      </c>
      <c r="EV127" s="109"/>
      <c r="EW127" s="109"/>
      <c r="EX127" s="109"/>
      <c r="EY127" s="109"/>
      <c r="EZ127" s="109"/>
      <c r="FB127" s="147" t="s">
        <v>348</v>
      </c>
      <c r="FC127" s="109"/>
      <c r="FD127" s="109"/>
      <c r="FE127" s="109"/>
      <c r="FF127" s="109"/>
      <c r="FG127" s="109"/>
      <c r="FI127" s="147" t="s">
        <v>348</v>
      </c>
      <c r="FJ127" s="109"/>
      <c r="FK127" s="109"/>
      <c r="FL127" s="109"/>
      <c r="FM127" s="109"/>
      <c r="FN127" s="109"/>
      <c r="FP127" s="147" t="s">
        <v>348</v>
      </c>
      <c r="FQ127" s="109"/>
      <c r="FR127" s="109"/>
      <c r="FS127" s="109"/>
      <c r="FT127" s="109"/>
      <c r="FU127" s="109"/>
      <c r="FW127" s="147" t="s">
        <v>348</v>
      </c>
      <c r="FX127" s="109"/>
      <c r="FY127" s="109"/>
      <c r="FZ127" s="109"/>
      <c r="GA127" s="109"/>
      <c r="GB127" s="109"/>
      <c r="GD127" s="147" t="s">
        <v>348</v>
      </c>
      <c r="GE127" s="109"/>
      <c r="GF127" s="109"/>
      <c r="GG127" s="109"/>
      <c r="GH127" s="109"/>
      <c r="GI127" s="109"/>
      <c r="GK127" s="147" t="s">
        <v>348</v>
      </c>
      <c r="GL127" s="109"/>
      <c r="GM127" s="109"/>
      <c r="GN127" s="109"/>
      <c r="GO127" s="109"/>
      <c r="GP127" s="109"/>
      <c r="GR127" s="147" t="s">
        <v>348</v>
      </c>
      <c r="GS127" s="109"/>
      <c r="GT127" s="109"/>
      <c r="GU127" s="109"/>
      <c r="GV127" s="109"/>
      <c r="GW127" s="109"/>
      <c r="GY127" s="147" t="s">
        <v>348</v>
      </c>
      <c r="GZ127" s="109"/>
      <c r="HA127" s="109"/>
      <c r="HB127" s="109"/>
      <c r="HC127" s="109"/>
      <c r="HD127" s="109"/>
      <c r="HF127" s="147" t="s">
        <v>348</v>
      </c>
      <c r="HG127" s="109"/>
      <c r="HH127" s="109"/>
      <c r="HI127" s="109"/>
      <c r="HJ127" s="109"/>
      <c r="HK127" s="109"/>
      <c r="HM127" s="147" t="s">
        <v>348</v>
      </c>
      <c r="HN127" s="109"/>
      <c r="HO127" s="109"/>
      <c r="HP127" s="109"/>
      <c r="HQ127" s="109"/>
      <c r="HR127" s="109"/>
      <c r="HT127" s="147" t="s">
        <v>348</v>
      </c>
      <c r="HU127" s="109"/>
      <c r="HV127" s="109"/>
      <c r="HW127" s="109"/>
      <c r="HX127" s="109"/>
      <c r="HY127" s="109"/>
      <c r="IA127" s="147" t="s">
        <v>348</v>
      </c>
      <c r="IB127" s="109"/>
      <c r="IC127" s="109"/>
      <c r="ID127" s="109"/>
      <c r="IE127" s="109"/>
      <c r="IF127" s="109"/>
      <c r="IH127" s="147" t="s">
        <v>348</v>
      </c>
      <c r="II127" s="109"/>
      <c r="IJ127" s="109"/>
      <c r="IK127" s="109"/>
      <c r="IL127" s="109"/>
      <c r="IM127" s="109"/>
      <c r="IO127" s="147" t="s">
        <v>348</v>
      </c>
      <c r="IP127" s="109"/>
      <c r="IQ127" s="109"/>
      <c r="IR127" s="109"/>
      <c r="IS127" s="109"/>
      <c r="IT127" s="109"/>
      <c r="IV127" s="147" t="s">
        <v>348</v>
      </c>
      <c r="IW127" s="109"/>
      <c r="IX127" s="109"/>
      <c r="IY127" s="109"/>
      <c r="IZ127" s="109"/>
      <c r="JA127" s="109"/>
      <c r="JC127" s="147" t="s">
        <v>348</v>
      </c>
      <c r="JD127" s="109"/>
      <c r="JE127" s="109"/>
      <c r="JF127" s="109"/>
      <c r="JG127" s="109"/>
      <c r="JH127" s="109"/>
      <c r="JJ127" s="147" t="s">
        <v>348</v>
      </c>
      <c r="JK127" s="109"/>
      <c r="JL127" s="109"/>
      <c r="JM127" s="109"/>
      <c r="JN127" s="109"/>
      <c r="JO127" s="109"/>
      <c r="JQ127" s="147" t="s">
        <v>348</v>
      </c>
      <c r="JR127" s="109"/>
      <c r="JS127" s="109"/>
      <c r="JT127" s="109"/>
      <c r="JU127" s="109"/>
      <c r="JV127" s="109"/>
      <c r="JX127" s="147" t="s">
        <v>348</v>
      </c>
      <c r="JY127" s="109"/>
      <c r="JZ127" s="109"/>
      <c r="KA127" s="109"/>
      <c r="KB127" s="109"/>
      <c r="KC127" s="109"/>
      <c r="KE127" s="147" t="s">
        <v>348</v>
      </c>
      <c r="KF127" s="109"/>
      <c r="KG127" s="109"/>
      <c r="KH127" s="109"/>
      <c r="KI127" s="109"/>
      <c r="KJ127" s="109"/>
      <c r="KL127" s="147" t="s">
        <v>348</v>
      </c>
      <c r="KM127" s="109"/>
      <c r="KN127" s="109"/>
      <c r="KO127" s="109"/>
      <c r="KP127" s="109"/>
      <c r="KQ127" s="109"/>
      <c r="KS127" s="147" t="s">
        <v>348</v>
      </c>
      <c r="KT127" s="109"/>
      <c r="KU127" s="109"/>
      <c r="KV127" s="109"/>
      <c r="KW127" s="109"/>
      <c r="KX127" s="109"/>
      <c r="KZ127" s="147" t="s">
        <v>348</v>
      </c>
      <c r="LA127" s="109"/>
      <c r="LB127" s="102"/>
      <c r="LC127" s="102"/>
      <c r="LD127" s="102"/>
      <c r="LE127" s="102"/>
      <c r="LF127" s="555"/>
      <c r="LG127" s="143" t="s">
        <v>348</v>
      </c>
      <c r="LH127" s="102"/>
      <c r="LI127" s="102"/>
      <c r="LJ127" s="102"/>
      <c r="LK127" s="102"/>
      <c r="LL127" s="102"/>
      <c r="LM127" s="555"/>
      <c r="LN127" s="143" t="s">
        <v>348</v>
      </c>
      <c r="LO127" s="102"/>
      <c r="LP127" s="102"/>
      <c r="LQ127" s="102"/>
      <c r="LR127" s="102"/>
      <c r="LS127" s="102"/>
      <c r="LT127" s="555"/>
      <c r="LU127" s="143" t="s">
        <v>348</v>
      </c>
      <c r="LV127" s="102"/>
      <c r="LW127" s="102"/>
      <c r="LX127" s="102"/>
      <c r="LY127" s="102"/>
      <c r="LZ127" s="102"/>
      <c r="MA127" s="555"/>
      <c r="MB127" s="143" t="s">
        <v>348</v>
      </c>
      <c r="MC127" s="102"/>
      <c r="MD127" s="102"/>
      <c r="ME127" s="102"/>
      <c r="MF127" s="102"/>
      <c r="MG127" s="102"/>
      <c r="MH127" s="555"/>
    </row>
    <row r="128" spans="1:346" s="37" customFormat="1" ht="13.15" outlineLevel="1" x14ac:dyDescent="0.4">
      <c r="A128" s="100"/>
      <c r="B128" s="270" t="s">
        <v>511</v>
      </c>
      <c r="C128" s="271"/>
      <c r="D128" s="271"/>
      <c r="E128" s="271"/>
      <c r="F128" s="271"/>
      <c r="G128" s="271"/>
      <c r="H128" s="271"/>
      <c r="I128" s="271"/>
      <c r="J128" s="271"/>
      <c r="K128" s="271"/>
      <c r="L128" s="271"/>
      <c r="M128" s="271"/>
      <c r="N128" s="271">
        <f t="shared" si="238"/>
        <v>36</v>
      </c>
      <c r="O128" s="271">
        <f t="shared" si="239"/>
        <v>44</v>
      </c>
      <c r="P128" s="271">
        <f t="shared" si="240"/>
        <v>44</v>
      </c>
      <c r="Q128" s="271">
        <f t="shared" si="241"/>
        <v>47</v>
      </c>
      <c r="R128" s="271">
        <f t="shared" si="242"/>
        <v>40.43</v>
      </c>
      <c r="S128" s="271">
        <f t="shared" si="243"/>
        <v>38.5</v>
      </c>
      <c r="T128" s="271">
        <f t="shared" si="244"/>
        <v>39.900000000000006</v>
      </c>
      <c r="U128" s="271">
        <f t="shared" si="245"/>
        <v>57.249999999999993</v>
      </c>
      <c r="V128" s="271">
        <f t="shared" si="246"/>
        <v>55.18</v>
      </c>
      <c r="W128" s="271">
        <f t="shared" si="247"/>
        <v>0</v>
      </c>
      <c r="X128" s="271">
        <f t="shared" si="248"/>
        <v>0</v>
      </c>
      <c r="Y128" s="271">
        <f t="shared" si="249"/>
        <v>0</v>
      </c>
      <c r="Z128" s="271">
        <f t="shared" si="250"/>
        <v>0</v>
      </c>
      <c r="AA128" s="271">
        <f t="shared" si="251"/>
        <v>0</v>
      </c>
      <c r="AB128" s="271">
        <f t="shared" si="252"/>
        <v>0</v>
      </c>
      <c r="AC128" s="271">
        <f t="shared" si="253"/>
        <v>0</v>
      </c>
      <c r="AD128" s="271">
        <f t="shared" si="254"/>
        <v>0</v>
      </c>
      <c r="AE128" s="271">
        <f t="shared" si="255"/>
        <v>0</v>
      </c>
      <c r="AF128" s="271">
        <f t="shared" si="256"/>
        <v>0</v>
      </c>
      <c r="AG128" s="271">
        <f t="shared" si="257"/>
        <v>0</v>
      </c>
      <c r="AH128" s="271">
        <f t="shared" si="258"/>
        <v>0</v>
      </c>
      <c r="AI128" s="271">
        <f t="shared" si="259"/>
        <v>0</v>
      </c>
      <c r="AJ128" s="271">
        <f t="shared" si="260"/>
        <v>0</v>
      </c>
      <c r="AK128" s="271">
        <f t="shared" si="261"/>
        <v>0</v>
      </c>
      <c r="AL128" s="271">
        <f t="shared" si="262"/>
        <v>0</v>
      </c>
      <c r="AM128" s="271">
        <f t="shared" si="263"/>
        <v>0</v>
      </c>
      <c r="AN128" s="271">
        <f t="shared" si="264"/>
        <v>0</v>
      </c>
      <c r="AO128" s="271">
        <f t="shared" si="265"/>
        <v>0</v>
      </c>
      <c r="AP128" s="271">
        <f t="shared" si="266"/>
        <v>0</v>
      </c>
      <c r="AQ128" s="271">
        <f t="shared" si="267"/>
        <v>0</v>
      </c>
      <c r="AR128" s="271">
        <f t="shared" si="268"/>
        <v>0</v>
      </c>
      <c r="AS128" s="271">
        <f t="shared" si="269"/>
        <v>0</v>
      </c>
      <c r="AT128" s="271">
        <f t="shared" si="270"/>
        <v>0</v>
      </c>
      <c r="AU128" s="271">
        <f t="shared" si="271"/>
        <v>0</v>
      </c>
      <c r="AV128" s="271">
        <f t="shared" si="272"/>
        <v>0</v>
      </c>
      <c r="AW128" s="271">
        <f t="shared" si="273"/>
        <v>0</v>
      </c>
      <c r="AX128" s="271">
        <f t="shared" si="274"/>
        <v>0</v>
      </c>
      <c r="AY128" s="271">
        <f t="shared" si="275"/>
        <v>0</v>
      </c>
      <c r="AZ128" s="271">
        <f t="shared" si="276"/>
        <v>0</v>
      </c>
      <c r="BA128" s="271">
        <f t="shared" si="277"/>
        <v>0</v>
      </c>
      <c r="BB128" s="271"/>
      <c r="BC128" s="271"/>
      <c r="BD128" s="271"/>
      <c r="BE128" s="271"/>
      <c r="BF128" s="271"/>
      <c r="BG128" s="271"/>
      <c r="BH128" s="271"/>
      <c r="BI128" s="271"/>
      <c r="BJ128" s="271"/>
      <c r="BK128" s="271"/>
      <c r="BL128" s="271"/>
      <c r="BM128" s="271"/>
      <c r="BO128" s="270" t="s">
        <v>511</v>
      </c>
      <c r="BP128" s="271">
        <f>BP126*BP127</f>
        <v>8</v>
      </c>
      <c r="BQ128" s="271">
        <f>BQ126*BQ127</f>
        <v>11</v>
      </c>
      <c r="BR128" s="271">
        <f>BR126*BR127</f>
        <v>8</v>
      </c>
      <c r="BS128" s="271">
        <f>BS126*BS127</f>
        <v>9</v>
      </c>
      <c r="BT128" s="271">
        <f>SUM(BP128:BS128)</f>
        <v>36</v>
      </c>
      <c r="BV128" s="270" t="s">
        <v>511</v>
      </c>
      <c r="BW128" s="271">
        <f>BW126*BW127</f>
        <v>11</v>
      </c>
      <c r="BX128" s="271">
        <f>BX126*BX127</f>
        <v>11</v>
      </c>
      <c r="BY128" s="271">
        <f>BY126*BY127</f>
        <v>10</v>
      </c>
      <c r="BZ128" s="271">
        <f>BZ126*BZ127</f>
        <v>12</v>
      </c>
      <c r="CA128" s="271">
        <f>SUM(BW128:BZ128)</f>
        <v>44</v>
      </c>
      <c r="CC128" s="270" t="s">
        <v>511</v>
      </c>
      <c r="CD128" s="271">
        <f>CD126*CD127</f>
        <v>13</v>
      </c>
      <c r="CE128" s="271">
        <f>CE126*CE127</f>
        <v>9</v>
      </c>
      <c r="CF128" s="271">
        <f>CF126*CF127</f>
        <v>10</v>
      </c>
      <c r="CG128" s="271">
        <f>CG126*CG127</f>
        <v>12</v>
      </c>
      <c r="CH128" s="271">
        <f>SUM(CD128:CG128)</f>
        <v>44</v>
      </c>
      <c r="CJ128" s="270" t="s">
        <v>511</v>
      </c>
      <c r="CK128" s="271">
        <f>CK126*CK127</f>
        <v>9</v>
      </c>
      <c r="CL128" s="271">
        <f>CL126*CL127</f>
        <v>12</v>
      </c>
      <c r="CM128" s="271">
        <f>CM126*CM127</f>
        <v>13</v>
      </c>
      <c r="CN128" s="271">
        <f>CN126*CN127</f>
        <v>13</v>
      </c>
      <c r="CO128" s="271">
        <f>SUM(CK128:CN128)</f>
        <v>47</v>
      </c>
      <c r="CQ128" s="270" t="s">
        <v>511</v>
      </c>
      <c r="CR128" s="271">
        <f>CR126*CR127</f>
        <v>11</v>
      </c>
      <c r="CS128" s="271">
        <f>CS126*CS127</f>
        <v>11.799999999999999</v>
      </c>
      <c r="CT128" s="271">
        <f>CT126*CT127</f>
        <v>7.35</v>
      </c>
      <c r="CU128" s="271">
        <f>CU126*CU127</f>
        <v>10.280000000000001</v>
      </c>
      <c r="CV128" s="271">
        <f>SUM(CR128:CU128)</f>
        <v>40.43</v>
      </c>
      <c r="CX128" s="270" t="s">
        <v>511</v>
      </c>
      <c r="CY128" s="271">
        <f>CY126*CY127</f>
        <v>9.18</v>
      </c>
      <c r="CZ128" s="271">
        <f>CZ126*CZ127</f>
        <v>9.2799999999999994</v>
      </c>
      <c r="DA128" s="271">
        <f>DA126*DA127</f>
        <v>9.6199999999999992</v>
      </c>
      <c r="DB128" s="271">
        <f>DB126*DB127</f>
        <v>10.42</v>
      </c>
      <c r="DC128" s="271">
        <f>SUM(CY128:DB128)</f>
        <v>38.5</v>
      </c>
      <c r="DE128" s="270" t="s">
        <v>511</v>
      </c>
      <c r="DF128" s="271">
        <f>DF126*DF127</f>
        <v>9.5</v>
      </c>
      <c r="DG128" s="271">
        <f>DG126*DG127</f>
        <v>9.8000000000000007</v>
      </c>
      <c r="DH128" s="271">
        <f>DH126*DH127</f>
        <v>10.4</v>
      </c>
      <c r="DI128" s="271">
        <f>DI126*DI127</f>
        <v>10.199999999999999</v>
      </c>
      <c r="DJ128" s="271">
        <f>SUM(DF128:DI128)</f>
        <v>39.900000000000006</v>
      </c>
      <c r="DL128" s="270" t="s">
        <v>511</v>
      </c>
      <c r="DM128" s="271">
        <f>DM126*DM127</f>
        <v>12.32</v>
      </c>
      <c r="DN128" s="271">
        <f>DN126*DN127</f>
        <v>14.76</v>
      </c>
      <c r="DO128" s="271">
        <f>DO126*DO127</f>
        <v>13.37</v>
      </c>
      <c r="DP128" s="271">
        <f>DP126*DP127</f>
        <v>16.799999999999997</v>
      </c>
      <c r="DQ128" s="271">
        <f>SUM(DM128:DP128)</f>
        <v>57.249999999999993</v>
      </c>
      <c r="DS128" s="270" t="s">
        <v>511</v>
      </c>
      <c r="DT128" s="271">
        <f>DT126*DT127</f>
        <v>15.18</v>
      </c>
      <c r="DU128" s="271">
        <f>DU126*DU127</f>
        <v>14</v>
      </c>
      <c r="DV128" s="271">
        <f>DV126*DV127</f>
        <v>13</v>
      </c>
      <c r="DW128" s="271">
        <f>DW126*DW127</f>
        <v>13</v>
      </c>
      <c r="DX128" s="271">
        <f>SUM(DT128:DW128)</f>
        <v>55.18</v>
      </c>
      <c r="DZ128" s="270" t="s">
        <v>511</v>
      </c>
      <c r="EA128" s="271"/>
      <c r="EB128" s="271"/>
      <c r="EC128" s="271"/>
      <c r="ED128" s="271"/>
      <c r="EE128" s="271"/>
      <c r="EG128" s="270" t="s">
        <v>511</v>
      </c>
      <c r="EH128" s="271"/>
      <c r="EI128" s="271"/>
      <c r="EJ128" s="271"/>
      <c r="EK128" s="271"/>
      <c r="EL128" s="271"/>
      <c r="EN128" s="270" t="s">
        <v>511</v>
      </c>
      <c r="EO128" s="271"/>
      <c r="EP128" s="271"/>
      <c r="EQ128" s="271"/>
      <c r="ER128" s="271"/>
      <c r="ES128" s="271"/>
      <c r="EU128" s="270" t="s">
        <v>511</v>
      </c>
      <c r="EV128" s="271"/>
      <c r="EW128" s="271"/>
      <c r="EX128" s="271"/>
      <c r="EY128" s="271"/>
      <c r="EZ128" s="271"/>
      <c r="FB128" s="270" t="s">
        <v>511</v>
      </c>
      <c r="FC128" s="271"/>
      <c r="FD128" s="271"/>
      <c r="FE128" s="271"/>
      <c r="FF128" s="271"/>
      <c r="FG128" s="271"/>
      <c r="FI128" s="270" t="s">
        <v>511</v>
      </c>
      <c r="FJ128" s="271"/>
      <c r="FK128" s="271"/>
      <c r="FL128" s="271"/>
      <c r="FM128" s="271"/>
      <c r="FN128" s="271"/>
      <c r="FP128" s="270" t="s">
        <v>511</v>
      </c>
      <c r="FQ128" s="271"/>
      <c r="FR128" s="271"/>
      <c r="FS128" s="271"/>
      <c r="FT128" s="271"/>
      <c r="FU128" s="271"/>
      <c r="FW128" s="270" t="s">
        <v>511</v>
      </c>
      <c r="FX128" s="271"/>
      <c r="FY128" s="271"/>
      <c r="FZ128" s="271"/>
      <c r="GA128" s="271"/>
      <c r="GB128" s="271"/>
      <c r="GD128" s="270" t="s">
        <v>511</v>
      </c>
      <c r="GE128" s="271"/>
      <c r="GF128" s="271"/>
      <c r="GG128" s="271"/>
      <c r="GH128" s="271"/>
      <c r="GI128" s="271"/>
      <c r="GK128" s="270" t="s">
        <v>511</v>
      </c>
      <c r="GL128" s="271"/>
      <c r="GM128" s="271"/>
      <c r="GN128" s="271"/>
      <c r="GO128" s="271"/>
      <c r="GP128" s="271"/>
      <c r="GR128" s="270" t="s">
        <v>511</v>
      </c>
      <c r="GS128" s="271"/>
      <c r="GT128" s="271"/>
      <c r="GU128" s="271"/>
      <c r="GV128" s="271"/>
      <c r="GW128" s="271"/>
      <c r="GY128" s="270" t="s">
        <v>511</v>
      </c>
      <c r="GZ128" s="271"/>
      <c r="HA128" s="271"/>
      <c r="HB128" s="271"/>
      <c r="HC128" s="271"/>
      <c r="HD128" s="271"/>
      <c r="HF128" s="270" t="s">
        <v>511</v>
      </c>
      <c r="HG128" s="271"/>
      <c r="HH128" s="271"/>
      <c r="HI128" s="271"/>
      <c r="HJ128" s="271"/>
      <c r="HK128" s="271"/>
      <c r="HM128" s="270" t="s">
        <v>511</v>
      </c>
      <c r="HN128" s="271"/>
      <c r="HO128" s="271"/>
      <c r="HP128" s="271"/>
      <c r="HQ128" s="271"/>
      <c r="HR128" s="271"/>
      <c r="HT128" s="270" t="s">
        <v>511</v>
      </c>
      <c r="HU128" s="271"/>
      <c r="HV128" s="271"/>
      <c r="HW128" s="271"/>
      <c r="HX128" s="271"/>
      <c r="HY128" s="271"/>
      <c r="IA128" s="270" t="s">
        <v>511</v>
      </c>
      <c r="IB128" s="271"/>
      <c r="IC128" s="271"/>
      <c r="ID128" s="271"/>
      <c r="IE128" s="271"/>
      <c r="IF128" s="271"/>
      <c r="IH128" s="270" t="s">
        <v>511</v>
      </c>
      <c r="II128" s="271"/>
      <c r="IJ128" s="271"/>
      <c r="IK128" s="271"/>
      <c r="IL128" s="271"/>
      <c r="IM128" s="271"/>
      <c r="IO128" s="270" t="s">
        <v>511</v>
      </c>
      <c r="IP128" s="271"/>
      <c r="IQ128" s="271"/>
      <c r="IR128" s="271"/>
      <c r="IS128" s="271"/>
      <c r="IT128" s="271"/>
      <c r="IV128" s="270" t="s">
        <v>511</v>
      </c>
      <c r="IW128" s="271"/>
      <c r="IX128" s="271"/>
      <c r="IY128" s="271"/>
      <c r="IZ128" s="271"/>
      <c r="JA128" s="271"/>
      <c r="JC128" s="270" t="s">
        <v>511</v>
      </c>
      <c r="JD128" s="271"/>
      <c r="JE128" s="271"/>
      <c r="JF128" s="271"/>
      <c r="JG128" s="271"/>
      <c r="JH128" s="271"/>
      <c r="JJ128" s="270" t="s">
        <v>511</v>
      </c>
      <c r="JK128" s="271"/>
      <c r="JL128" s="271"/>
      <c r="JM128" s="271"/>
      <c r="JN128" s="271"/>
      <c r="JO128" s="271"/>
      <c r="JQ128" s="270" t="s">
        <v>511</v>
      </c>
      <c r="JR128" s="271"/>
      <c r="JS128" s="271"/>
      <c r="JT128" s="271"/>
      <c r="JU128" s="271"/>
      <c r="JV128" s="271"/>
      <c r="JX128" s="270" t="s">
        <v>511</v>
      </c>
      <c r="JY128" s="271"/>
      <c r="JZ128" s="271"/>
      <c r="KA128" s="271"/>
      <c r="KB128" s="271"/>
      <c r="KC128" s="271"/>
      <c r="KE128" s="270" t="s">
        <v>511</v>
      </c>
      <c r="KF128" s="271"/>
      <c r="KG128" s="271"/>
      <c r="KH128" s="271"/>
      <c r="KI128" s="271"/>
      <c r="KJ128" s="271"/>
      <c r="KL128" s="270" t="s">
        <v>511</v>
      </c>
      <c r="KM128" s="271"/>
      <c r="KN128" s="271"/>
      <c r="KO128" s="271"/>
      <c r="KP128" s="271"/>
      <c r="KQ128" s="271"/>
      <c r="KS128" s="270" t="s">
        <v>511</v>
      </c>
      <c r="KT128" s="271"/>
      <c r="KU128" s="271"/>
      <c r="KV128" s="271"/>
      <c r="KW128" s="271"/>
      <c r="KX128" s="271"/>
      <c r="KZ128" s="270" t="s">
        <v>511</v>
      </c>
      <c r="LA128" s="271"/>
      <c r="LB128" s="515"/>
      <c r="LC128" s="515"/>
      <c r="LD128" s="515"/>
      <c r="LE128" s="515"/>
      <c r="LF128" s="594"/>
      <c r="LG128" s="516" t="s">
        <v>511</v>
      </c>
      <c r="LH128" s="515"/>
      <c r="LI128" s="515"/>
      <c r="LJ128" s="515"/>
      <c r="LK128" s="515"/>
      <c r="LL128" s="515"/>
      <c r="LM128" s="594"/>
      <c r="LN128" s="516" t="s">
        <v>511</v>
      </c>
      <c r="LO128" s="515"/>
      <c r="LP128" s="515"/>
      <c r="LQ128" s="515"/>
      <c r="LR128" s="515"/>
      <c r="LS128" s="515"/>
      <c r="LT128" s="594"/>
      <c r="LU128" s="516" t="s">
        <v>511</v>
      </c>
      <c r="LV128" s="515"/>
      <c r="LW128" s="515"/>
      <c r="LX128" s="515"/>
      <c r="LY128" s="515"/>
      <c r="LZ128" s="515"/>
      <c r="MA128" s="594"/>
      <c r="MB128" s="516" t="s">
        <v>511</v>
      </c>
      <c r="MC128" s="515"/>
      <c r="MD128" s="515"/>
      <c r="ME128" s="515"/>
      <c r="MF128" s="515"/>
      <c r="MG128" s="515"/>
      <c r="MH128" s="594"/>
    </row>
    <row r="129" spans="1:346" s="37" customFormat="1" ht="13.15" x14ac:dyDescent="0.4">
      <c r="A129" s="100"/>
      <c r="B129" s="272"/>
      <c r="C129" s="273"/>
      <c r="D129" s="273"/>
      <c r="E129" s="273"/>
      <c r="F129" s="273"/>
      <c r="G129" s="273"/>
      <c r="H129" s="273"/>
      <c r="I129" s="273"/>
      <c r="J129" s="273"/>
      <c r="K129" s="273"/>
      <c r="L129" s="273"/>
      <c r="M129" s="273"/>
      <c r="N129" s="273"/>
      <c r="O129" s="273"/>
      <c r="P129" s="273"/>
      <c r="Q129" s="273"/>
      <c r="R129" s="273"/>
      <c r="S129" s="273"/>
      <c r="T129" s="273"/>
      <c r="U129" s="273"/>
      <c r="V129" s="273"/>
      <c r="W129" s="273"/>
      <c r="X129" s="273"/>
      <c r="Y129" s="273"/>
      <c r="Z129" s="273"/>
      <c r="AA129" s="273"/>
      <c r="AB129" s="273"/>
      <c r="AC129" s="273"/>
      <c r="AD129" s="273"/>
      <c r="AE129" s="273"/>
      <c r="AF129" s="273"/>
      <c r="AG129" s="273"/>
      <c r="AH129" s="273"/>
      <c r="AI129" s="273"/>
      <c r="AJ129" s="273"/>
      <c r="AK129" s="273"/>
      <c r="AL129" s="273"/>
      <c r="AM129" s="273"/>
      <c r="AN129" s="273"/>
      <c r="AO129" s="273"/>
      <c r="AP129" s="273"/>
      <c r="AQ129" s="273"/>
      <c r="AR129" s="273"/>
      <c r="AS129" s="273"/>
      <c r="AT129" s="273"/>
      <c r="AU129" s="273"/>
      <c r="AV129" s="273"/>
      <c r="AW129" s="273"/>
      <c r="AX129" s="273"/>
      <c r="AY129" s="273"/>
      <c r="AZ129" s="273"/>
      <c r="BA129" s="273"/>
      <c r="BB129" s="273"/>
      <c r="BC129" s="273"/>
      <c r="BD129" s="273"/>
      <c r="BE129" s="273"/>
      <c r="BF129" s="273"/>
      <c r="BG129" s="273"/>
      <c r="BH129" s="273"/>
      <c r="BI129" s="273"/>
      <c r="BJ129" s="273"/>
      <c r="BK129" s="273"/>
      <c r="BL129" s="273"/>
      <c r="BM129" s="273"/>
      <c r="BO129" s="272"/>
      <c r="BP129" s="269"/>
      <c r="BQ129" s="269"/>
      <c r="BR129" s="269"/>
      <c r="BS129" s="269"/>
      <c r="BT129" s="269"/>
      <c r="BV129" s="272"/>
      <c r="BW129" s="269"/>
      <c r="BX129" s="269"/>
      <c r="BY129" s="269"/>
      <c r="BZ129" s="269"/>
      <c r="CA129" s="269"/>
      <c r="CC129" s="272"/>
      <c r="CD129" s="269"/>
      <c r="CE129" s="269"/>
      <c r="CF129" s="269"/>
      <c r="CG129" s="269"/>
      <c r="CH129" s="269"/>
      <c r="CJ129" s="272"/>
      <c r="CK129" s="269"/>
      <c r="CL129" s="269"/>
      <c r="CM129" s="269"/>
      <c r="CN129" s="269"/>
      <c r="CO129" s="269"/>
      <c r="CQ129" s="272"/>
      <c r="CR129" s="269"/>
      <c r="CS129" s="269"/>
      <c r="CT129" s="269"/>
      <c r="CU129" s="269"/>
      <c r="CV129" s="269"/>
      <c r="CX129" s="272"/>
      <c r="CY129" s="269"/>
      <c r="CZ129" s="269"/>
      <c r="DA129" s="269"/>
      <c r="DB129" s="269"/>
      <c r="DC129" s="269"/>
      <c r="DE129" s="272"/>
      <c r="DF129" s="269"/>
      <c r="DG129" s="269"/>
      <c r="DH129" s="269"/>
      <c r="DI129" s="269"/>
      <c r="DJ129" s="269"/>
      <c r="DL129" s="272"/>
      <c r="DM129" s="269"/>
      <c r="DN129" s="269"/>
      <c r="DO129" s="269"/>
      <c r="DP129" s="269"/>
      <c r="DQ129" s="269"/>
      <c r="DS129" s="272"/>
      <c r="DT129" s="269"/>
      <c r="DU129" s="269"/>
      <c r="DV129" s="269"/>
      <c r="DW129" s="269"/>
      <c r="DX129" s="269"/>
      <c r="DZ129" s="272"/>
      <c r="EA129" s="269"/>
      <c r="EB129" s="269"/>
      <c r="EC129" s="269"/>
      <c r="ED129" s="269"/>
      <c r="EE129" s="269"/>
      <c r="EG129" s="272"/>
      <c r="EH129" s="269"/>
      <c r="EI129" s="269"/>
      <c r="EJ129" s="269"/>
      <c r="EK129" s="269"/>
      <c r="EL129" s="269"/>
      <c r="EN129" s="272"/>
      <c r="EO129" s="269"/>
      <c r="EP129" s="269"/>
      <c r="EQ129" s="269"/>
      <c r="ER129" s="269"/>
      <c r="ES129" s="269"/>
      <c r="EU129" s="272"/>
      <c r="EV129" s="269"/>
      <c r="EW129" s="269"/>
      <c r="EX129" s="269"/>
      <c r="EY129" s="269"/>
      <c r="EZ129" s="269"/>
      <c r="FB129" s="272"/>
      <c r="FC129" s="269"/>
      <c r="FD129" s="269"/>
      <c r="FE129" s="269"/>
      <c r="FF129" s="269"/>
      <c r="FG129" s="269"/>
      <c r="FI129" s="272"/>
      <c r="FJ129" s="269"/>
      <c r="FK129" s="269"/>
      <c r="FL129" s="269"/>
      <c r="FM129" s="269"/>
      <c r="FN129" s="269"/>
      <c r="FP129" s="272"/>
      <c r="FQ129" s="269"/>
      <c r="FR129" s="269"/>
      <c r="FS129" s="269"/>
      <c r="FT129" s="269"/>
      <c r="FU129" s="269"/>
      <c r="FW129" s="272"/>
      <c r="FX129" s="269"/>
      <c r="FY129" s="269"/>
      <c r="FZ129" s="269"/>
      <c r="GA129" s="269"/>
      <c r="GB129" s="269"/>
      <c r="GD129" s="272"/>
      <c r="GE129" s="269"/>
      <c r="GF129" s="269"/>
      <c r="GG129" s="269"/>
      <c r="GH129" s="269"/>
      <c r="GI129" s="269"/>
      <c r="GK129" s="272"/>
      <c r="GL129" s="269"/>
      <c r="GM129" s="269"/>
      <c r="GN129" s="269"/>
      <c r="GO129" s="269"/>
      <c r="GP129" s="269"/>
      <c r="GR129" s="272"/>
      <c r="GS129" s="269"/>
      <c r="GT129" s="269"/>
      <c r="GU129" s="269"/>
      <c r="GV129" s="269"/>
      <c r="GW129" s="269"/>
      <c r="GY129" s="272"/>
      <c r="GZ129" s="269"/>
      <c r="HA129" s="269"/>
      <c r="HB129" s="269"/>
      <c r="HC129" s="269"/>
      <c r="HD129" s="269"/>
      <c r="HF129" s="272"/>
      <c r="HG129" s="269"/>
      <c r="HH129" s="269"/>
      <c r="HI129" s="269"/>
      <c r="HJ129" s="269"/>
      <c r="HK129" s="269"/>
      <c r="HM129" s="272"/>
      <c r="HN129" s="269"/>
      <c r="HO129" s="269"/>
      <c r="HP129" s="269"/>
      <c r="HQ129" s="269"/>
      <c r="HR129" s="269"/>
      <c r="HT129" s="272"/>
      <c r="HU129" s="269"/>
      <c r="HV129" s="269"/>
      <c r="HW129" s="269"/>
      <c r="HX129" s="269"/>
      <c r="HY129" s="269"/>
      <c r="IA129" s="272"/>
      <c r="IB129" s="269"/>
      <c r="IC129" s="269"/>
      <c r="ID129" s="269"/>
      <c r="IE129" s="269"/>
      <c r="IF129" s="269"/>
      <c r="IH129" s="272"/>
      <c r="II129" s="269"/>
      <c r="IJ129" s="269"/>
      <c r="IK129" s="269"/>
      <c r="IL129" s="269"/>
      <c r="IM129" s="269"/>
      <c r="IO129" s="272"/>
      <c r="IP129" s="269"/>
      <c r="IQ129" s="269"/>
      <c r="IR129" s="269"/>
      <c r="IS129" s="269"/>
      <c r="IT129" s="269"/>
      <c r="IV129" s="272"/>
      <c r="IW129" s="269"/>
      <c r="IX129" s="269"/>
      <c r="IY129" s="269"/>
      <c r="IZ129" s="269"/>
      <c r="JA129" s="269"/>
      <c r="JC129" s="272"/>
      <c r="JD129" s="269"/>
      <c r="JE129" s="269"/>
      <c r="JF129" s="269"/>
      <c r="JG129" s="269"/>
      <c r="JH129" s="269"/>
      <c r="JJ129" s="272"/>
      <c r="JK129" s="269"/>
      <c r="JL129" s="269"/>
      <c r="JM129" s="269"/>
      <c r="JN129" s="269"/>
      <c r="JO129" s="269"/>
      <c r="JQ129" s="272"/>
      <c r="JR129" s="269"/>
      <c r="JS129" s="269"/>
      <c r="JT129" s="269"/>
      <c r="JU129" s="269"/>
      <c r="JV129" s="269"/>
      <c r="JX129" s="272"/>
      <c r="JY129" s="269"/>
      <c r="JZ129" s="269"/>
      <c r="KA129" s="269"/>
      <c r="KB129" s="269"/>
      <c r="KC129" s="269"/>
      <c r="KE129" s="272"/>
      <c r="KF129" s="269"/>
      <c r="KG129" s="269"/>
      <c r="KH129" s="269"/>
      <c r="KI129" s="269"/>
      <c r="KJ129" s="269"/>
      <c r="KL129" s="272"/>
      <c r="KM129" s="269"/>
      <c r="KN129" s="269"/>
      <c r="KO129" s="269"/>
      <c r="KP129" s="269"/>
      <c r="KQ129" s="269"/>
      <c r="KS129" s="272"/>
      <c r="KT129" s="269"/>
      <c r="KU129" s="269"/>
      <c r="KV129" s="273"/>
      <c r="KW129" s="273"/>
      <c r="KX129" s="269"/>
      <c r="KZ129" s="578"/>
      <c r="LA129" s="579"/>
      <c r="LB129" s="580"/>
      <c r="LC129" s="580"/>
      <c r="LD129" s="580"/>
      <c r="LE129" s="580"/>
      <c r="LF129" s="582"/>
      <c r="LG129" s="578"/>
      <c r="LH129" s="580"/>
      <c r="LI129" s="580"/>
      <c r="LJ129" s="580"/>
      <c r="LK129" s="580"/>
      <c r="LL129" s="580"/>
      <c r="LM129" s="582"/>
      <c r="LN129" s="578"/>
      <c r="LO129" s="580"/>
      <c r="LP129" s="580"/>
      <c r="LQ129" s="580"/>
      <c r="LR129" s="580"/>
      <c r="LS129" s="580"/>
      <c r="LT129" s="582"/>
      <c r="LU129" s="578"/>
      <c r="LV129" s="580"/>
      <c r="LW129" s="580"/>
      <c r="LX129" s="580"/>
      <c r="LY129" s="580"/>
      <c r="LZ129" s="580"/>
      <c r="MA129" s="582"/>
      <c r="MB129" s="578"/>
      <c r="MC129" s="580"/>
      <c r="MD129" s="580"/>
      <c r="ME129" s="580"/>
      <c r="MF129" s="580"/>
      <c r="MG129" s="580"/>
      <c r="MH129" s="582"/>
    </row>
    <row r="130" spans="1:346" s="37" customFormat="1" ht="13.5" thickBot="1" x14ac:dyDescent="0.45">
      <c r="A130" s="100"/>
      <c r="B130" s="248" t="s">
        <v>442</v>
      </c>
      <c r="C130" s="135"/>
      <c r="D130" s="135"/>
      <c r="E130" s="135"/>
      <c r="F130" s="135"/>
      <c r="G130" s="135"/>
      <c r="H130" s="135"/>
      <c r="I130" s="135"/>
      <c r="J130" s="135"/>
      <c r="K130" s="135"/>
      <c r="L130" s="135"/>
      <c r="M130" s="135"/>
      <c r="N130" s="135">
        <f>BT130</f>
        <v>368</v>
      </c>
      <c r="O130" s="135">
        <f>CA130</f>
        <v>421</v>
      </c>
      <c r="P130" s="135">
        <f>CH130</f>
        <v>444</v>
      </c>
      <c r="Q130" s="135">
        <f>CO130</f>
        <v>398</v>
      </c>
      <c r="R130" s="135">
        <f>CV130</f>
        <v>377</v>
      </c>
      <c r="S130" s="135">
        <f>DC130</f>
        <v>384</v>
      </c>
      <c r="T130" s="135">
        <f>DJ130</f>
        <v>435</v>
      </c>
      <c r="U130" s="135">
        <f>DQ130</f>
        <v>561</v>
      </c>
      <c r="V130" s="135">
        <f>DX130</f>
        <v>554</v>
      </c>
      <c r="W130" s="135">
        <f>EE130</f>
        <v>393</v>
      </c>
      <c r="X130" s="135">
        <f>EL130</f>
        <v>472</v>
      </c>
      <c r="Y130" s="135">
        <f>ES130</f>
        <v>650</v>
      </c>
      <c r="Z130" s="135">
        <f>EZ130</f>
        <v>585</v>
      </c>
      <c r="AA130" s="135">
        <f>FG130</f>
        <v>515</v>
      </c>
      <c r="AB130" s="135">
        <f>FN130</f>
        <v>566</v>
      </c>
      <c r="AC130" s="135">
        <f>FU130</f>
        <v>656</v>
      </c>
      <c r="AD130" s="135">
        <f>GB130</f>
        <v>783</v>
      </c>
      <c r="AE130" s="135">
        <f>GI130</f>
        <v>1112</v>
      </c>
      <c r="AF130" s="135">
        <f>GP130</f>
        <v>1312</v>
      </c>
      <c r="AG130" s="135">
        <f>GW130</f>
        <v>1817</v>
      </c>
      <c r="AH130" s="135">
        <f>HD130</f>
        <v>849</v>
      </c>
      <c r="AI130" s="135">
        <f>HK130</f>
        <v>1212</v>
      </c>
      <c r="AJ130" s="135">
        <f>HR130</f>
        <v>1668</v>
      </c>
      <c r="AK130" s="135">
        <f>HY130</f>
        <v>1672</v>
      </c>
      <c r="AL130" s="135">
        <f>IF130</f>
        <v>1656</v>
      </c>
      <c r="AM130" s="135">
        <f>IM130</f>
        <v>1616</v>
      </c>
      <c r="AN130" s="135">
        <f>IT130</f>
        <v>957</v>
      </c>
      <c r="AO130" s="135">
        <f>JA130</f>
        <v>713</v>
      </c>
      <c r="AP130" s="135">
        <f>JH130</f>
        <v>864</v>
      </c>
      <c r="AQ130" s="135">
        <f>JO130</f>
        <v>1046</v>
      </c>
      <c r="AR130" s="135">
        <f>JV130</f>
        <v>906</v>
      </c>
      <c r="AS130" s="135">
        <f>KC130</f>
        <v>541</v>
      </c>
      <c r="AT130" s="135">
        <f>KJ130</f>
        <v>913</v>
      </c>
      <c r="AU130" s="135">
        <f>KQ130</f>
        <v>1626</v>
      </c>
      <c r="AV130" s="135">
        <f>KX130</f>
        <v>1377</v>
      </c>
      <c r="AW130" s="135">
        <f>LE130</f>
        <v>1168</v>
      </c>
      <c r="AX130" s="135">
        <f>LL130</f>
        <v>1095</v>
      </c>
      <c r="AY130" s="135">
        <f>LS130</f>
        <v>1058.6545755415689</v>
      </c>
      <c r="AZ130" s="135">
        <f>LZ130</f>
        <v>1078.9382059201002</v>
      </c>
      <c r="BA130" s="135">
        <f>MG130</f>
        <v>1102.4666254103731</v>
      </c>
      <c r="BB130" s="135"/>
      <c r="BC130" s="135"/>
      <c r="BD130" s="135"/>
      <c r="BE130" s="135"/>
      <c r="BF130" s="135"/>
      <c r="BG130" s="135"/>
      <c r="BH130" s="135"/>
      <c r="BI130" s="135"/>
      <c r="BJ130" s="135"/>
      <c r="BK130" s="135"/>
      <c r="BL130" s="135"/>
      <c r="BM130" s="135"/>
      <c r="BO130" s="248" t="s">
        <v>442</v>
      </c>
      <c r="BP130" s="135">
        <f>CSX!BR30</f>
        <v>89</v>
      </c>
      <c r="BQ130" s="135">
        <f>CSX!BS30</f>
        <v>92</v>
      </c>
      <c r="BR130" s="135">
        <f>CSX!BT30</f>
        <v>83</v>
      </c>
      <c r="BS130" s="135">
        <f>CSX!BU30</f>
        <v>104</v>
      </c>
      <c r="BT130" s="135">
        <f>CSX!BV30</f>
        <v>368</v>
      </c>
      <c r="BV130" s="248" t="s">
        <v>442</v>
      </c>
      <c r="BW130" s="135">
        <f>CSX!BY30</f>
        <v>111</v>
      </c>
      <c r="BX130" s="135">
        <f>CSX!BZ30</f>
        <v>94</v>
      </c>
      <c r="BY130" s="135">
        <f>CSX!CA30</f>
        <v>94</v>
      </c>
      <c r="BZ130" s="135">
        <f>CSX!CB30</f>
        <v>122</v>
      </c>
      <c r="CA130" s="135">
        <f>CSX!CC30</f>
        <v>421</v>
      </c>
      <c r="CC130" s="248" t="s">
        <v>442</v>
      </c>
      <c r="CD130" s="135">
        <f>CSX!CF30</f>
        <v>131</v>
      </c>
      <c r="CE130" s="135">
        <f>CSX!CG30</f>
        <v>96</v>
      </c>
      <c r="CF130" s="135">
        <f>CSX!CH30</f>
        <v>98</v>
      </c>
      <c r="CG130" s="135">
        <f>CSX!CI30</f>
        <v>119</v>
      </c>
      <c r="CH130" s="135">
        <f>CSX!CJ30</f>
        <v>444</v>
      </c>
      <c r="CJ130" s="248" t="s">
        <v>442</v>
      </c>
      <c r="CK130" s="135">
        <f>CSX!CM30</f>
        <v>93</v>
      </c>
      <c r="CL130" s="135">
        <f>CSX!CN30</f>
        <v>93</v>
      </c>
      <c r="CM130" s="135">
        <f>CSX!CO30</f>
        <v>99</v>
      </c>
      <c r="CN130" s="135">
        <f>CSX!CP30</f>
        <v>113</v>
      </c>
      <c r="CO130" s="135">
        <f>CSX!CQ30</f>
        <v>398</v>
      </c>
      <c r="CQ130" s="248" t="s">
        <v>442</v>
      </c>
      <c r="CR130" s="135">
        <f>CSX!CT30</f>
        <v>100</v>
      </c>
      <c r="CS130" s="135">
        <f>CSX!CU30</f>
        <v>98</v>
      </c>
      <c r="CT130" s="135">
        <f>CSX!CV30</f>
        <v>82</v>
      </c>
      <c r="CU130" s="135">
        <f>CSX!CW30</f>
        <v>97</v>
      </c>
      <c r="CV130" s="135">
        <f>CSX!CX30</f>
        <v>377</v>
      </c>
      <c r="CX130" s="248" t="s">
        <v>442</v>
      </c>
      <c r="CY130" s="135">
        <f>CSX!DA30</f>
        <v>92</v>
      </c>
      <c r="CZ130" s="135">
        <f>CSX!DB30</f>
        <v>91</v>
      </c>
      <c r="DA130" s="135">
        <f>CSX!DC30</f>
        <v>98</v>
      </c>
      <c r="DB130" s="135">
        <f>CSX!DD30</f>
        <v>103</v>
      </c>
      <c r="DC130" s="135">
        <f>CSX!DE30</f>
        <v>384</v>
      </c>
      <c r="DE130" s="248" t="s">
        <v>442</v>
      </c>
      <c r="DF130" s="135">
        <f>CSX!DH30</f>
        <v>108</v>
      </c>
      <c r="DG130" s="135">
        <f>CSX!DI30</f>
        <v>110</v>
      </c>
      <c r="DH130" s="135">
        <f>CSX!DJ30</f>
        <v>106</v>
      </c>
      <c r="DI130" s="135">
        <f>CSX!DK30</f>
        <v>111</v>
      </c>
      <c r="DJ130" s="135">
        <f>CSX!DL30</f>
        <v>435</v>
      </c>
      <c r="DL130" s="248" t="s">
        <v>442</v>
      </c>
      <c r="DM130" s="135">
        <f>CSX!DO30</f>
        <v>132</v>
      </c>
      <c r="DN130" s="135">
        <f>CSX!DP30</f>
        <v>139</v>
      </c>
      <c r="DO130" s="135">
        <f>CSX!DQ30</f>
        <v>125</v>
      </c>
      <c r="DP130" s="135">
        <f>CSX!DR30</f>
        <v>165</v>
      </c>
      <c r="DQ130" s="135">
        <f>CSX!DS30</f>
        <v>561</v>
      </c>
      <c r="DS130" s="248" t="s">
        <v>442</v>
      </c>
      <c r="DT130" s="135">
        <f>CSX!DV30</f>
        <v>153</v>
      </c>
      <c r="DU130" s="135">
        <f>CSX!DW30</f>
        <v>131</v>
      </c>
      <c r="DV130" s="135">
        <f>CSX!DX30</f>
        <v>126</v>
      </c>
      <c r="DW130" s="135">
        <f>CSX!DY30</f>
        <v>144</v>
      </c>
      <c r="DX130" s="135">
        <f>CSX!DZ30</f>
        <v>554</v>
      </c>
      <c r="DZ130" s="248" t="s">
        <v>442</v>
      </c>
      <c r="EA130" s="135">
        <f>CSX!EC30</f>
        <v>109</v>
      </c>
      <c r="EB130" s="135">
        <f>CSX!ED30</f>
        <v>97</v>
      </c>
      <c r="EC130" s="135">
        <f>CSX!EE30</f>
        <v>89</v>
      </c>
      <c r="ED130" s="135">
        <f>CSX!EF30</f>
        <v>98</v>
      </c>
      <c r="EE130" s="135">
        <f>CSX!EG30</f>
        <v>393</v>
      </c>
      <c r="EG130" s="248" t="s">
        <v>442</v>
      </c>
      <c r="EH130" s="135">
        <f>CSX!EJ30</f>
        <v>83</v>
      </c>
      <c r="EI130" s="135">
        <f>CSX!EK30</f>
        <v>98</v>
      </c>
      <c r="EJ130" s="135">
        <f>CSX!EL30</f>
        <v>127</v>
      </c>
      <c r="EK130" s="135">
        <f>CSX!EM30</f>
        <v>164</v>
      </c>
      <c r="EL130" s="135">
        <f>CSX!EN30</f>
        <v>472</v>
      </c>
      <c r="EN130" s="248" t="s">
        <v>442</v>
      </c>
      <c r="EO130" s="135">
        <f>CSX!EQ30</f>
        <v>156</v>
      </c>
      <c r="EP130" s="135">
        <f>CSX!ER30</f>
        <v>151</v>
      </c>
      <c r="EQ130" s="135">
        <f>CSX!ES30</f>
        <v>156</v>
      </c>
      <c r="ER130" s="135">
        <f>CSX!ET30</f>
        <v>187</v>
      </c>
      <c r="ES130" s="135">
        <f>CSX!EU30</f>
        <v>650</v>
      </c>
      <c r="EU130" s="248" t="s">
        <v>442</v>
      </c>
      <c r="EV130" s="135">
        <f>CSX!EX30</f>
        <v>170</v>
      </c>
      <c r="EW130" s="135">
        <f>CSX!EY30</f>
        <v>146</v>
      </c>
      <c r="EX130" s="135">
        <f>CSX!EZ30</f>
        <v>138</v>
      </c>
      <c r="EY130" s="135">
        <f>CSX!FA30</f>
        <v>131</v>
      </c>
      <c r="EZ130" s="135">
        <f>CSX!FB30</f>
        <v>585</v>
      </c>
      <c r="FB130" s="248" t="s">
        <v>442</v>
      </c>
      <c r="FC130" s="135">
        <f>CSX!FE30</f>
        <v>116</v>
      </c>
      <c r="FD130" s="135">
        <f>CSX!FF30</f>
        <v>128</v>
      </c>
      <c r="FE130" s="135">
        <f>CSX!FG30</f>
        <v>128</v>
      </c>
      <c r="FF130" s="135">
        <f>CSX!FH30</f>
        <v>143</v>
      </c>
      <c r="FG130" s="135">
        <f>CSX!FI30</f>
        <v>515</v>
      </c>
      <c r="FI130" s="248" t="s">
        <v>442</v>
      </c>
      <c r="FJ130" s="135">
        <f>CSX!FL30</f>
        <v>158</v>
      </c>
      <c r="FK130" s="135">
        <f>CSX!FM30</f>
        <v>136</v>
      </c>
      <c r="FL130" s="135">
        <f>CSX!FN30</f>
        <v>132</v>
      </c>
      <c r="FM130" s="135">
        <f>CSX!FO30</f>
        <v>140</v>
      </c>
      <c r="FN130" s="135">
        <f>CSX!FP30</f>
        <v>566</v>
      </c>
      <c r="FP130" s="248" t="s">
        <v>442</v>
      </c>
      <c r="FQ130" s="135">
        <f>CSX!FS30</f>
        <v>154</v>
      </c>
      <c r="FR130" s="135">
        <f>CSX!FT30</f>
        <v>151</v>
      </c>
      <c r="FS130" s="135">
        <f>CSX!FU30</f>
        <v>162</v>
      </c>
      <c r="FT130" s="135">
        <f>CSX!FV30</f>
        <v>189</v>
      </c>
      <c r="FU130" s="135">
        <f>CSX!FW30</f>
        <v>656</v>
      </c>
      <c r="FW130" s="248" t="s">
        <v>442</v>
      </c>
      <c r="FX130" s="135">
        <f>CSX!FZ30</f>
        <v>179</v>
      </c>
      <c r="FY130" s="135">
        <f>CSX!GA30</f>
        <v>176</v>
      </c>
      <c r="FZ130" s="135">
        <f>CSX!GB30</f>
        <v>188</v>
      </c>
      <c r="GA130" s="135">
        <f>CSX!GC30</f>
        <v>240</v>
      </c>
      <c r="GB130" s="135">
        <f>CSX!GD30</f>
        <v>783</v>
      </c>
      <c r="GD130" s="248" t="s">
        <v>442</v>
      </c>
      <c r="GE130" s="135">
        <f>CSX!GG30</f>
        <v>253</v>
      </c>
      <c r="GF130" s="135">
        <f>CSX!GH30</f>
        <v>288</v>
      </c>
      <c r="GG130" s="135">
        <f>CSX!GI30</f>
        <v>300</v>
      </c>
      <c r="GH130" s="135">
        <f>CSX!GJ30</f>
        <v>271</v>
      </c>
      <c r="GI130" s="135">
        <f>CSX!GK30</f>
        <v>1112</v>
      </c>
      <c r="GK130" s="248" t="s">
        <v>442</v>
      </c>
      <c r="GL130" s="135">
        <f>CSX!GN30</f>
        <v>284</v>
      </c>
      <c r="GM130" s="135">
        <f>CSX!GO30</f>
        <v>316</v>
      </c>
      <c r="GN130" s="135">
        <f>CSX!GP30</f>
        <v>330</v>
      </c>
      <c r="GO130" s="135">
        <f>CSX!GQ30</f>
        <v>382</v>
      </c>
      <c r="GP130" s="135">
        <f>CSX!GR30</f>
        <v>1312</v>
      </c>
      <c r="GR130" s="248" t="s">
        <v>442</v>
      </c>
      <c r="GS130" s="135">
        <f>CSX!GU30</f>
        <v>441</v>
      </c>
      <c r="GT130" s="135">
        <f>CSX!GV30</f>
        <v>537</v>
      </c>
      <c r="GU130" s="135">
        <f>CSX!GW30</f>
        <v>508</v>
      </c>
      <c r="GV130" s="135">
        <f>CSX!GX30</f>
        <v>331</v>
      </c>
      <c r="GW130" s="135">
        <f>CSX!GY30</f>
        <v>1817</v>
      </c>
      <c r="GY130" s="248" t="s">
        <v>442</v>
      </c>
      <c r="GZ130" s="135">
        <f>CSX!HB30</f>
        <v>191</v>
      </c>
      <c r="HA130" s="135">
        <f>CSX!HC30</f>
        <v>185</v>
      </c>
      <c r="HB130" s="135">
        <f>CSX!HD30</f>
        <v>223</v>
      </c>
      <c r="HC130" s="135">
        <f>CSX!HE30</f>
        <v>250</v>
      </c>
      <c r="HD130" s="135">
        <f>CSX!HF30</f>
        <v>849</v>
      </c>
      <c r="HF130" s="248" t="s">
        <v>442</v>
      </c>
      <c r="HG130" s="135">
        <f>CSX!HI30</f>
        <v>283</v>
      </c>
      <c r="HH130" s="135">
        <f>CSX!HJ30</f>
        <v>304</v>
      </c>
      <c r="HI130" s="135">
        <f>CSX!HK30</f>
        <v>279</v>
      </c>
      <c r="HJ130" s="135">
        <f>CSX!HL30</f>
        <v>346</v>
      </c>
      <c r="HK130" s="135">
        <f>CSX!HM30</f>
        <v>1212</v>
      </c>
      <c r="HM130" s="248" t="s">
        <v>442</v>
      </c>
      <c r="HN130" s="135">
        <f>CSX!HP30</f>
        <v>402</v>
      </c>
      <c r="HO130" s="135">
        <f>CSX!HQ30</f>
        <v>431</v>
      </c>
      <c r="HP130" s="135">
        <f>CSX!HR30</f>
        <v>412</v>
      </c>
      <c r="HQ130" s="135">
        <f>CSX!HS30</f>
        <v>423</v>
      </c>
      <c r="HR130" s="135">
        <f>CSX!HT30</f>
        <v>1668</v>
      </c>
      <c r="HT130" s="248" t="s">
        <v>442</v>
      </c>
      <c r="HU130" s="135">
        <f>CSX!HW30</f>
        <v>444</v>
      </c>
      <c r="HV130" s="135">
        <f>CSX!HX30</f>
        <v>410</v>
      </c>
      <c r="HW130" s="135">
        <f>CSX!HY30</f>
        <v>397</v>
      </c>
      <c r="HX130" s="135">
        <f>CSX!HZ30</f>
        <v>421</v>
      </c>
      <c r="HY130" s="135">
        <f>CSX!IA30</f>
        <v>1672</v>
      </c>
      <c r="IA130" s="248" t="s">
        <v>442</v>
      </c>
      <c r="IB130" s="135">
        <f>CSX!ID30</f>
        <v>444</v>
      </c>
      <c r="IC130" s="135">
        <f>CSX!IE30</f>
        <v>397</v>
      </c>
      <c r="ID130" s="135">
        <f>CSX!IF30</f>
        <v>407</v>
      </c>
      <c r="IE130" s="135">
        <f>CSX!IG30</f>
        <v>408</v>
      </c>
      <c r="IF130" s="135">
        <f>CSX!IH30</f>
        <v>1656</v>
      </c>
      <c r="IH130" s="248" t="s">
        <v>442</v>
      </c>
      <c r="II130" s="135">
        <f>CSX!IK30</f>
        <v>446</v>
      </c>
      <c r="IJ130" s="135">
        <f>CSX!IL30</f>
        <v>416</v>
      </c>
      <c r="IK130" s="135">
        <f>CSX!IM30</f>
        <v>393</v>
      </c>
      <c r="IL130" s="135">
        <f>CSX!IN30</f>
        <v>361</v>
      </c>
      <c r="IM130" s="135">
        <f>CSX!IO30</f>
        <v>1616</v>
      </c>
      <c r="IO130" s="248" t="s">
        <v>442</v>
      </c>
      <c r="IP130" s="135">
        <f>CSX!IR30</f>
        <v>270</v>
      </c>
      <c r="IQ130" s="135">
        <f>CSX!IS30</f>
        <v>263</v>
      </c>
      <c r="IR130" s="135">
        <f>CSX!IT30</f>
        <v>223</v>
      </c>
      <c r="IS130" s="135">
        <f>CSX!IU30</f>
        <v>201</v>
      </c>
      <c r="IT130" s="135">
        <f>CSX!IV30</f>
        <v>957</v>
      </c>
      <c r="IV130" s="248" t="s">
        <v>442</v>
      </c>
      <c r="IW130" s="135">
        <f>CSX!IY30</f>
        <v>150</v>
      </c>
      <c r="IX130" s="135">
        <f>CSX!IZ30</f>
        <v>172</v>
      </c>
      <c r="IY130" s="135">
        <f>CSX!JA30</f>
        <v>174</v>
      </c>
      <c r="IZ130" s="135">
        <f>CSX!JB30</f>
        <v>217</v>
      </c>
      <c r="JA130" s="135">
        <f>CSX!JC30</f>
        <v>713</v>
      </c>
      <c r="JC130" s="248" t="s">
        <v>442</v>
      </c>
      <c r="JD130" s="135">
        <f>CSX!JF30</f>
        <v>218</v>
      </c>
      <c r="JE130" s="135">
        <f>CSX!JG30</f>
        <v>198</v>
      </c>
      <c r="JF130" s="135">
        <f>CSX!JH30</f>
        <v>205</v>
      </c>
      <c r="JG130" s="135">
        <f>CSX!JI30</f>
        <v>243</v>
      </c>
      <c r="JH130" s="135">
        <f>CSX!JJ30</f>
        <v>864</v>
      </c>
      <c r="JJ130" s="248" t="s">
        <v>442</v>
      </c>
      <c r="JK130" s="135">
        <f>CSX!JM30</f>
        <v>255</v>
      </c>
      <c r="JL130" s="135">
        <f>CSX!JN30</f>
        <v>270</v>
      </c>
      <c r="JM130" s="135">
        <f>CSX!JO30</f>
        <v>268</v>
      </c>
      <c r="JN130" s="135">
        <f>CSX!JP30</f>
        <v>253</v>
      </c>
      <c r="JO130" s="135">
        <f>CSX!JQ30</f>
        <v>1046</v>
      </c>
      <c r="JQ130" s="248" t="s">
        <v>442</v>
      </c>
      <c r="JR130" s="135">
        <f>CSX!JT30</f>
        <v>233</v>
      </c>
      <c r="JS130" s="135">
        <f>CSX!JU30</f>
        <v>234</v>
      </c>
      <c r="JT130" s="135">
        <f>CSX!JV30</f>
        <v>223</v>
      </c>
      <c r="JU130" s="135">
        <f>CSX!JW30</f>
        <v>216</v>
      </c>
      <c r="JV130" s="135">
        <f>CSX!JX30</f>
        <v>906</v>
      </c>
      <c r="JX130" s="248" t="s">
        <v>442</v>
      </c>
      <c r="JY130" s="135">
        <f>CSX!KA30</f>
        <v>192</v>
      </c>
      <c r="JZ130" s="135">
        <f>CSX!KB30</f>
        <v>91</v>
      </c>
      <c r="KA130" s="135">
        <f>CSX!KC30</f>
        <v>119</v>
      </c>
      <c r="KB130" s="135">
        <f>CSX!KD30</f>
        <v>139</v>
      </c>
      <c r="KC130" s="135">
        <f>CSX!KE30</f>
        <v>541</v>
      </c>
      <c r="KE130" s="248" t="s">
        <v>442</v>
      </c>
      <c r="KF130" s="135">
        <f>CSX!KH30</f>
        <v>190</v>
      </c>
      <c r="KG130" s="135">
        <f>CSX!KI30</f>
        <v>194</v>
      </c>
      <c r="KH130" s="135">
        <f>CSX!KJ30</f>
        <v>247</v>
      </c>
      <c r="KI130" s="135">
        <f>CSX!KK30</f>
        <v>282</v>
      </c>
      <c r="KJ130" s="135">
        <f>CSX!KL30</f>
        <v>913</v>
      </c>
      <c r="KL130" s="248" t="s">
        <v>442</v>
      </c>
      <c r="KM130" s="135">
        <f>CSX!KO30</f>
        <v>331</v>
      </c>
      <c r="KN130" s="135">
        <f>CSX!KP30</f>
        <v>446</v>
      </c>
      <c r="KO130" s="135">
        <f>CSX!KQ30</f>
        <v>438</v>
      </c>
      <c r="KP130" s="135">
        <f>CSX!KR30</f>
        <v>411</v>
      </c>
      <c r="KQ130" s="135">
        <f>CSX!KS30</f>
        <v>1626</v>
      </c>
      <c r="KS130" s="248" t="s">
        <v>442</v>
      </c>
      <c r="KT130" s="135">
        <f>CSX!KV30</f>
        <v>364</v>
      </c>
      <c r="KU130" s="135">
        <f>CSX!KW30</f>
        <v>312</v>
      </c>
      <c r="KV130" s="135">
        <f>CSX!KX30</f>
        <v>349</v>
      </c>
      <c r="KW130" s="135">
        <f>CSX!KY30</f>
        <v>352</v>
      </c>
      <c r="KX130" s="135">
        <f>CSX!KZ30</f>
        <v>1377</v>
      </c>
      <c r="KZ130" s="248" t="s">
        <v>442</v>
      </c>
      <c r="LA130" s="135">
        <f>CSX!LC30</f>
        <v>325</v>
      </c>
      <c r="LB130" s="134">
        <f>Expense!LB10</f>
        <v>301</v>
      </c>
      <c r="LC130" s="134">
        <f>Expense!LC10</f>
        <v>276</v>
      </c>
      <c r="LD130" s="134">
        <f>Expense!LD10</f>
        <v>266</v>
      </c>
      <c r="LE130" s="134">
        <f>Expense!LE10</f>
        <v>1168</v>
      </c>
      <c r="LF130" s="558"/>
      <c r="LG130" s="248" t="s">
        <v>442</v>
      </c>
      <c r="LH130" s="135">
        <f>CSX!LJ30</f>
        <v>275</v>
      </c>
      <c r="LI130" s="135">
        <f>CSX!LK30</f>
        <v>269</v>
      </c>
      <c r="LJ130" s="135">
        <f>CSX!LL30</f>
        <v>281</v>
      </c>
      <c r="LK130" s="135">
        <f>CSX!LM30</f>
        <v>270</v>
      </c>
      <c r="LL130" s="134">
        <f>Expense!LL10</f>
        <v>1095</v>
      </c>
      <c r="LM130" s="558"/>
      <c r="LN130" s="248" t="s">
        <v>442</v>
      </c>
      <c r="LO130" s="134">
        <f>Expense!LO10</f>
        <v>261.72023212609128</v>
      </c>
      <c r="LP130" s="134">
        <f>Expense!LP10</f>
        <v>270.54919648493353</v>
      </c>
      <c r="LQ130" s="134">
        <f>Expense!LQ10</f>
        <v>264.06491616576147</v>
      </c>
      <c r="LR130" s="134">
        <f>Expense!LR10</f>
        <v>262.32023076478265</v>
      </c>
      <c r="LS130" s="134">
        <f>Expense!LS10</f>
        <v>1058.6545755415689</v>
      </c>
      <c r="LT130" s="558"/>
      <c r="LU130" s="248" t="s">
        <v>442</v>
      </c>
      <c r="LV130" s="134">
        <f>Expense!LV10</f>
        <v>266.75393255876429</v>
      </c>
      <c r="LW130" s="134">
        <f>Expense!LW10</f>
        <v>275.88521798517939</v>
      </c>
      <c r="LX130" s="134">
        <f>Expense!LX10</f>
        <v>269.03656610949139</v>
      </c>
      <c r="LY130" s="134">
        <f>Expense!LY10</f>
        <v>267.26248926666517</v>
      </c>
      <c r="LZ130" s="134">
        <f>Expense!LZ10</f>
        <v>1078.9382059201002</v>
      </c>
      <c r="MA130" s="558"/>
      <c r="MB130" s="248" t="s">
        <v>442</v>
      </c>
      <c r="MC130" s="134">
        <f>Expense!MC10</f>
        <v>272.41535991205353</v>
      </c>
      <c r="MD130" s="134">
        <f>Expense!MD10</f>
        <v>281.65835394473788</v>
      </c>
      <c r="ME130" s="134">
        <f>Expense!ME10</f>
        <v>275.16252895676013</v>
      </c>
      <c r="MF130" s="134">
        <f>Expense!MF10</f>
        <v>273.23038259682158</v>
      </c>
      <c r="MG130" s="134">
        <f>Expense!MG10</f>
        <v>1102.4666254103731</v>
      </c>
      <c r="MH130" s="558"/>
    </row>
    <row r="131" spans="1:346" s="37" customFormat="1" ht="13.15" x14ac:dyDescent="0.4">
      <c r="A131" s="100"/>
      <c r="B131" s="274" t="s">
        <v>6</v>
      </c>
      <c r="C131" s="275"/>
      <c r="D131" s="275"/>
      <c r="E131" s="275"/>
      <c r="F131" s="275"/>
      <c r="G131" s="275"/>
      <c r="H131" s="275"/>
      <c r="I131" s="275"/>
      <c r="J131" s="275"/>
      <c r="K131" s="275"/>
      <c r="L131" s="275"/>
      <c r="M131" s="275"/>
      <c r="N131" s="275">
        <f>BT131</f>
        <v>4.7514525500322785E-2</v>
      </c>
      <c r="O131" s="275">
        <f>CA131</f>
        <v>5.1308194430513772E-2</v>
      </c>
      <c r="P131" s="275">
        <f>CH131</f>
        <v>5.1410905132985185E-2</v>
      </c>
      <c r="Q131" s="275">
        <f>CO131</f>
        <v>4.5568518794151656E-2</v>
      </c>
      <c r="R131" s="275">
        <f>CV131</f>
        <v>4.2167664000894806E-2</v>
      </c>
      <c r="S131" s="275">
        <f>DC131</f>
        <v>3.996669442131557E-2</v>
      </c>
      <c r="T131" s="275">
        <f>DJ131</f>
        <v>4.2216614906832296E-2</v>
      </c>
      <c r="U131" s="275">
        <f>DQ131</f>
        <v>5.324601366742597E-2</v>
      </c>
      <c r="V131" s="275">
        <f>DX131</f>
        <v>5.0533613062118031E-2</v>
      </c>
      <c r="W131" s="275">
        <f>EE131</f>
        <v>3.9853970185579554E-2</v>
      </c>
      <c r="X131" s="275">
        <f>EL131</f>
        <v>4.3659235963370638E-2</v>
      </c>
      <c r="Y131" s="275">
        <f>ES131</f>
        <v>7.7059869590989927E-2</v>
      </c>
      <c r="Z131" s="275">
        <f>EZ131</f>
        <v>7.2133168927250302E-2</v>
      </c>
      <c r="AA131" s="275">
        <f>FG131</f>
        <v>6.3174681059862611E-2</v>
      </c>
      <c r="AB131" s="275">
        <f>FN131</f>
        <v>7.479846702788423E-2</v>
      </c>
      <c r="AC131" s="275">
        <f>FU131</f>
        <v>8.1744548286604365E-2</v>
      </c>
      <c r="AD131" s="275">
        <f>GB131</f>
        <v>9.1035926055109864E-2</v>
      </c>
      <c r="AE131" s="275">
        <f>GI131</f>
        <v>0.1162450344971775</v>
      </c>
      <c r="AF131" s="275">
        <f>GP131</f>
        <v>0.13080757726819542</v>
      </c>
      <c r="AG131" s="275">
        <f>GW131</f>
        <v>0.16143936028431807</v>
      </c>
      <c r="AH131" s="275">
        <f>HD131</f>
        <v>9.390554142240902E-2</v>
      </c>
      <c r="AI131" s="275">
        <f>HK131</f>
        <v>0.11395261376457315</v>
      </c>
      <c r="AJ131" s="275">
        <f>HR131</f>
        <v>0.14204206761474922</v>
      </c>
      <c r="AK131" s="275">
        <f>HY131</f>
        <v>0.14222524668254508</v>
      </c>
      <c r="AL131" s="275">
        <f>IF131</f>
        <v>0.13733620832642229</v>
      </c>
      <c r="AM131" s="275">
        <f>IM131</f>
        <v>0.12755545031178467</v>
      </c>
      <c r="AN131" s="275">
        <f>IT131</f>
        <v>8.1026162052324102E-2</v>
      </c>
      <c r="AO131" s="275">
        <f>JA131</f>
        <v>6.4414129550998289E-2</v>
      </c>
      <c r="AP131" s="275">
        <f>JH131</f>
        <v>7.5736325385694248E-2</v>
      </c>
      <c r="AQ131" s="275">
        <f>JO131</f>
        <v>8.5387755102040816E-2</v>
      </c>
      <c r="AR131" s="275">
        <f>JV131</f>
        <v>7.5898466951495352E-2</v>
      </c>
      <c r="AS131" s="275">
        <f>KC131</f>
        <v>5.1119720306151376E-2</v>
      </c>
      <c r="AT131" s="275">
        <f>KJ131</f>
        <v>7.2911675451205873E-2</v>
      </c>
      <c r="AU131" s="275">
        <f>KQ131</f>
        <v>0.10947283377095536</v>
      </c>
      <c r="AV131" s="275">
        <f>KX131</f>
        <v>9.3948284096336224E-2</v>
      </c>
      <c r="AW131" s="275">
        <f>LE131</f>
        <v>8.0330123796423653E-2</v>
      </c>
      <c r="AX131" s="275">
        <f>LL131</f>
        <v>7.7703661652001141E-2</v>
      </c>
      <c r="AY131" s="275">
        <f>LS131</f>
        <v>7.3036876717223531E-2</v>
      </c>
      <c r="AZ131" s="275">
        <f>LZ131</f>
        <v>7.1072056954775656E-2</v>
      </c>
      <c r="BA131" s="275">
        <f>MG131</f>
        <v>6.9562234175020429E-2</v>
      </c>
      <c r="BB131" s="275"/>
      <c r="BC131" s="275"/>
      <c r="BD131" s="275"/>
      <c r="BE131" s="275"/>
      <c r="BF131" s="275"/>
      <c r="BG131" s="275"/>
      <c r="BH131" s="275"/>
      <c r="BI131" s="275"/>
      <c r="BJ131" s="275"/>
      <c r="BK131" s="275"/>
      <c r="BL131" s="275"/>
      <c r="BM131" s="275"/>
      <c r="BO131" s="274" t="s">
        <v>6</v>
      </c>
      <c r="BP131" s="250">
        <f>BP130/CSX!BR20</f>
        <v>4.8269877427052826E-2</v>
      </c>
      <c r="BQ131" s="250">
        <f>BQ130/CSX!BS20</f>
        <v>4.6605876393110438E-2</v>
      </c>
      <c r="BR131" s="250">
        <f>BR130/CSX!BT20</f>
        <v>4.3848063817422997E-2</v>
      </c>
      <c r="BS131" s="250">
        <f>BS130/CSX!BU20</f>
        <v>5.1123236494125743E-2</v>
      </c>
      <c r="BT131" s="250">
        <f>BT130/CSX!BV20</f>
        <v>4.7514525500322785E-2</v>
      </c>
      <c r="BV131" s="274" t="s">
        <v>6</v>
      </c>
      <c r="BW131" s="250">
        <f>BW130/CSX!BY20</f>
        <v>5.8185249253027205E-2</v>
      </c>
      <c r="BX131" s="250">
        <f>BX130/CSX!BZ20</f>
        <v>4.5923103229273531E-2</v>
      </c>
      <c r="BY131" s="250">
        <f>BY130/CSX!CA20</f>
        <v>4.5564711585070285E-2</v>
      </c>
      <c r="BZ131" s="250">
        <f>BZ130/CSX!CB20</f>
        <v>5.5765896594486393E-2</v>
      </c>
      <c r="CA131" s="250">
        <f>CA130/CSX!CC20</f>
        <v>5.1308194430513772E-2</v>
      </c>
      <c r="CC131" s="274" t="s">
        <v>6</v>
      </c>
      <c r="CD131" s="250">
        <f>CD130/CSX!CF20</f>
        <v>6.452248436191696E-2</v>
      </c>
      <c r="CE131" s="250">
        <f>CE130/CSX!CG20</f>
        <v>4.5176470588235297E-2</v>
      </c>
      <c r="CF131" s="250">
        <f>CF130/CSX!CH20</f>
        <v>4.4446460156923218E-2</v>
      </c>
      <c r="CG131" s="250">
        <f>CG130/CSX!CI20</f>
        <v>5.2282412899257502E-2</v>
      </c>
      <c r="CH131" s="250">
        <f>CH130/CSX!CJ20</f>
        <v>5.1410905132985185E-2</v>
      </c>
      <c r="CJ131" s="274" t="s">
        <v>6</v>
      </c>
      <c r="CK131" s="250">
        <f>CK130/CSX!CM20</f>
        <v>4.4574386503067484E-2</v>
      </c>
      <c r="CL131" s="250">
        <f>CL130/CSX!CN20</f>
        <v>4.2500685494927339E-2</v>
      </c>
      <c r="CM131" s="250">
        <f>CM130/CSX!CO20</f>
        <v>4.4709388971684048E-2</v>
      </c>
      <c r="CN131" s="250">
        <f>CN130/CSX!CP20</f>
        <v>5.0329592018528421E-2</v>
      </c>
      <c r="CO131" s="250">
        <f>CO130/CSX!CQ20</f>
        <v>4.5568518794151656E-2</v>
      </c>
      <c r="CQ131" s="274" t="s">
        <v>6</v>
      </c>
      <c r="CR131" s="250">
        <f>CR130/CSX!CT20</f>
        <v>4.7096500729995758E-2</v>
      </c>
      <c r="CS131" s="250">
        <f>CS130/CSX!CU20</f>
        <v>4.3295780870333554E-2</v>
      </c>
      <c r="CT131" s="250">
        <f>CT130/CSX!CV20</f>
        <v>3.6628400410952791E-2</v>
      </c>
      <c r="CU131" s="250">
        <f>CU130/CSX!CW20</f>
        <v>4.1900647948164144E-2</v>
      </c>
      <c r="CV131" s="250">
        <f>CV130/CSX!CX20</f>
        <v>4.2167664000894806E-2</v>
      </c>
      <c r="CX131" s="274" t="s">
        <v>6</v>
      </c>
      <c r="CY131" s="250">
        <f>CY130/CSX!DA20</f>
        <v>4.1311180960933995E-2</v>
      </c>
      <c r="CZ131" s="250">
        <f>CZ130/CSX!DB20</f>
        <v>3.8380430198228593E-2</v>
      </c>
      <c r="DA131" s="250">
        <f>DA130/CSX!DC20</f>
        <v>3.9676113360323888E-2</v>
      </c>
      <c r="DB131" s="250">
        <f>DB130/CSX!DD20</f>
        <v>4.0551181102362208E-2</v>
      </c>
      <c r="DC131" s="250">
        <f>DC130/CSX!DE20</f>
        <v>3.996669442131557E-2</v>
      </c>
      <c r="DE131" s="274" t="s">
        <v>6</v>
      </c>
      <c r="DF131" s="250">
        <f>DF130/CSX!DH20</f>
        <v>4.4189852700491E-2</v>
      </c>
      <c r="DG131" s="250">
        <f>DG130/CSX!DI20</f>
        <v>4.3154178109062379E-2</v>
      </c>
      <c r="DH131" s="250">
        <f>DH130/CSX!DJ20</f>
        <v>4.0753556324490584E-2</v>
      </c>
      <c r="DI131" s="250">
        <f>DI130/CSX!DK20</f>
        <v>4.0959409594095941E-2</v>
      </c>
      <c r="DJ131" s="250">
        <f>DJ130/CSX!DL20</f>
        <v>4.2216614906832296E-2</v>
      </c>
      <c r="DL131" s="274" t="s">
        <v>6</v>
      </c>
      <c r="DM131" s="250">
        <f>DM130/CSX!DO20</f>
        <v>5.2505966587112173E-2</v>
      </c>
      <c r="DN131" s="250">
        <f>DN130/CSX!DP20</f>
        <v>5.2020958083832336E-2</v>
      </c>
      <c r="DO131" s="250">
        <f>DO130/CSX!DQ20</f>
        <v>4.7223271628258408E-2</v>
      </c>
      <c r="DP131" s="250">
        <f>DP130/CSX!DR20</f>
        <v>6.1043285238623748E-2</v>
      </c>
      <c r="DQ131" s="250">
        <f>DQ130/CSX!DS20</f>
        <v>5.324601366742597E-2</v>
      </c>
      <c r="DS131" s="274" t="s">
        <v>6</v>
      </c>
      <c r="DT131" s="250">
        <f>DT130/CSX!DV20</f>
        <v>5.9602649006622516E-2</v>
      </c>
      <c r="DU131" s="250">
        <f>DU130/CSX!DW20</f>
        <v>4.8917102315160568E-2</v>
      </c>
      <c r="DV131" s="250">
        <f>DV130/CSX!DX20</f>
        <v>4.4760213143872116E-2</v>
      </c>
      <c r="DW131" s="250">
        <f>DW130/CSX!DY20</f>
        <v>4.9603858077850498E-2</v>
      </c>
      <c r="DX131" s="250">
        <f>DX130/CSX!DZ20</f>
        <v>5.0533613062118031E-2</v>
      </c>
      <c r="DZ131" s="274" t="s">
        <v>6</v>
      </c>
      <c r="EA131" s="250">
        <f>EA130/CSX!EC20</f>
        <v>4.4635544635544637E-2</v>
      </c>
      <c r="EB131" s="250">
        <f>EB130/CSX!ED20</f>
        <v>3.8955823293172688E-2</v>
      </c>
      <c r="EC131" s="250">
        <f>EC130/CSX!EE20</f>
        <v>3.6640592836558253E-2</v>
      </c>
      <c r="ED131" s="250">
        <f>ED130/CSX!EF20</f>
        <v>3.9199999999999999E-2</v>
      </c>
      <c r="EE131" s="250">
        <f>EE130/CSX!EG20</f>
        <v>3.9853970185579554E-2</v>
      </c>
      <c r="EG131" s="274" t="s">
        <v>6</v>
      </c>
      <c r="EH131" s="250">
        <f>EH130/CSX!EJ20</f>
        <v>3.2664305391578122E-2</v>
      </c>
      <c r="EI131" s="250">
        <f>EI130/CSX!EK20</f>
        <v>3.746177370030581E-2</v>
      </c>
      <c r="EJ131" s="250">
        <f>EJ130/CSX!EL20</f>
        <v>4.3702684101858222E-2</v>
      </c>
      <c r="EK131" s="250">
        <f>EK130/CSX!EM20</f>
        <v>5.9679767103347887E-2</v>
      </c>
      <c r="EL131" s="250">
        <f>EL130/CSX!EN20</f>
        <v>4.3659235963370638E-2</v>
      </c>
      <c r="EN131" s="274" t="s">
        <v>6</v>
      </c>
      <c r="EO131" s="250">
        <f>EO130/CSX!EQ20</f>
        <v>7.2659524918490911E-2</v>
      </c>
      <c r="EP131" s="250">
        <f>EP130/CSX!ER20</f>
        <v>6.8574023614895549E-2</v>
      </c>
      <c r="EQ131" s="250">
        <f>EQ130/CSX!ES20</f>
        <v>7.6508092202059827E-2</v>
      </c>
      <c r="ER131" s="250">
        <f>ER130/CSX!ET20</f>
        <v>9.1353199804592083E-2</v>
      </c>
      <c r="ES131" s="250">
        <f>ES130/CSX!EU20</f>
        <v>7.7059869590989927E-2</v>
      </c>
      <c r="EU131" s="274" t="s">
        <v>6</v>
      </c>
      <c r="EV131" s="250">
        <f>EV130/CSX!EX20</f>
        <v>8.3950617283950618E-2</v>
      </c>
      <c r="EW131" s="250">
        <f>EW130/CSX!EY20</f>
        <v>7.0977151191054938E-2</v>
      </c>
      <c r="EX131" s="250">
        <f>EX130/CSX!EZ20</f>
        <v>6.8350668647845461E-2</v>
      </c>
      <c r="EY131" s="250">
        <f>EY130/CSX!FA20</f>
        <v>6.5206570433051267E-2</v>
      </c>
      <c r="EZ131" s="250">
        <f>EZ130/CSX!FB20</f>
        <v>7.2133168927250302E-2</v>
      </c>
      <c r="FB131" s="274" t="s">
        <v>6</v>
      </c>
      <c r="FC131" s="250">
        <f>FC130/CSX!FE20</f>
        <v>5.9063136456211814E-2</v>
      </c>
      <c r="FD131" s="250">
        <f>FD130/CSX!FF20</f>
        <v>6.1746261456825859E-2</v>
      </c>
      <c r="FE131" s="250">
        <f>FE130/CSX!FG20</f>
        <v>6.2287104622871049E-2</v>
      </c>
      <c r="FF131" s="250">
        <f>FF130/CSX!FH20</f>
        <v>6.9417475728155334E-2</v>
      </c>
      <c r="FG131" s="250">
        <f>FG130/CSX!FI20</f>
        <v>6.3174681059862611E-2</v>
      </c>
      <c r="FI131" s="274" t="s">
        <v>6</v>
      </c>
      <c r="FJ131" s="250">
        <f>FJ130/CSX!FL20</f>
        <v>8.0612244897959179E-2</v>
      </c>
      <c r="FK131" s="250">
        <f>FK130/CSX!FM20</f>
        <v>7.2033898305084748E-2</v>
      </c>
      <c r="FL131" s="250">
        <f>FL130/CSX!FN20</f>
        <v>7.2408118486012071E-2</v>
      </c>
      <c r="FM131" s="250">
        <f>FM130/CSX!FO20</f>
        <v>7.3839662447257384E-2</v>
      </c>
      <c r="FN131" s="250">
        <f>FN130/CSX!FP20</f>
        <v>7.479846702788423E-2</v>
      </c>
      <c r="FP131" s="274" t="s">
        <v>6</v>
      </c>
      <c r="FQ131" s="250">
        <f>FQ130/CSX!FS20</f>
        <v>8.020833333333334E-2</v>
      </c>
      <c r="FR131" s="250">
        <f>FR130/CSX!FT20</f>
        <v>7.5689223057644112E-2</v>
      </c>
      <c r="FS131" s="250">
        <f>FS130/CSX!FU20</f>
        <v>8.3591331269349839E-2</v>
      </c>
      <c r="FT131" s="250">
        <f>FT130/CSX!FV20</f>
        <v>8.7016574585635359E-2</v>
      </c>
      <c r="FU131" s="250">
        <f>FU130/CSX!FW20</f>
        <v>8.1744548286604365E-2</v>
      </c>
      <c r="FW131" s="274" t="s">
        <v>6</v>
      </c>
      <c r="FX131" s="250">
        <f>FX130/CSX!FZ20</f>
        <v>8.49146110056926E-2</v>
      </c>
      <c r="FY131" s="250">
        <f>FY130/CSX!GA20</f>
        <v>8.1898557468590039E-2</v>
      </c>
      <c r="FZ131" s="250">
        <f>FZ130/CSX!GB20</f>
        <v>8.847058823529412E-2</v>
      </c>
      <c r="GA131" s="250">
        <f>GA130/CSX!GC20</f>
        <v>0.10815682739972961</v>
      </c>
      <c r="GB131" s="250">
        <f>GB130/CSX!GD20</f>
        <v>9.1035926055109864E-2</v>
      </c>
      <c r="GD131" s="274" t="s">
        <v>6</v>
      </c>
      <c r="GE131" s="250">
        <f>GE130/CSX!GG20</f>
        <v>0.10853710853710853</v>
      </c>
      <c r="GF131" s="250">
        <f>GF130/CSX!GH20</f>
        <v>0.11895910780669144</v>
      </c>
      <c r="GG131" s="250">
        <f>GG130/CSX!GI20</f>
        <v>0.12406947890818859</v>
      </c>
      <c r="GH131" s="250">
        <f>GH130/CSX!GJ20</f>
        <v>0.1131051752921536</v>
      </c>
      <c r="GI131" s="250">
        <f>GI130/CSX!GK20</f>
        <v>0.1162450344971775</v>
      </c>
      <c r="GK131" s="274" t="s">
        <v>6</v>
      </c>
      <c r="GL131" s="250">
        <f>GL130/CSX!GN20</f>
        <v>0.11725846407927333</v>
      </c>
      <c r="GM131" s="250">
        <f>GM130/CSX!GO20</f>
        <v>0.12490118577075099</v>
      </c>
      <c r="GN131" s="250">
        <f>GN130/CSX!GP20</f>
        <v>0.13194722111155538</v>
      </c>
      <c r="GO131" s="250">
        <f>GO130/CSX!GQ20</f>
        <v>0.14823438106325185</v>
      </c>
      <c r="GP131" s="250">
        <f>GP130/CSX!GR20</f>
        <v>0.13080757726819542</v>
      </c>
      <c r="GR131" s="274" t="s">
        <v>6</v>
      </c>
      <c r="GS131" s="250">
        <f>GS130/CSX!GU20</f>
        <v>0.16255068190195357</v>
      </c>
      <c r="GT131" s="250">
        <f>GT130/CSX!GV20</f>
        <v>0.18472652218782248</v>
      </c>
      <c r="GU131" s="250">
        <f>GU130/CSX!GW20</f>
        <v>0.17156366092536304</v>
      </c>
      <c r="GV131" s="250">
        <f>GV130/CSX!GX20</f>
        <v>0.1237845923709798</v>
      </c>
      <c r="GW131" s="250">
        <f>GW130/CSX!GY20</f>
        <v>0.16143936028431807</v>
      </c>
      <c r="GY131" s="274" t="s">
        <v>6</v>
      </c>
      <c r="GZ131" s="250">
        <f>GZ130/CSX!HB20</f>
        <v>8.5002225189141078E-2</v>
      </c>
      <c r="HA131" s="250">
        <f>HA130/CSX!HC20</f>
        <v>8.4668192219679639E-2</v>
      </c>
      <c r="HB131" s="250">
        <f>HB130/CSX!HD20</f>
        <v>9.742245522062036E-2</v>
      </c>
      <c r="HC131" s="250">
        <f>HC130/CSX!HE20</f>
        <v>0.10775862068965517</v>
      </c>
      <c r="HD131" s="250">
        <f>HD130/CSX!HF20</f>
        <v>9.390554142240902E-2</v>
      </c>
      <c r="HF131" s="274" t="s">
        <v>6</v>
      </c>
      <c r="HG131" s="250">
        <f>HG130/CSX!HI20</f>
        <v>0.11360899237254114</v>
      </c>
      <c r="HH131" s="250">
        <f>HH130/CSX!HJ20</f>
        <v>0.11415696582801352</v>
      </c>
      <c r="HI131" s="250">
        <f>HI130/CSX!HK20</f>
        <v>0.10465116279069768</v>
      </c>
      <c r="HJ131" s="250">
        <f>HJ130/CSX!HL20</f>
        <v>0.12286931818181818</v>
      </c>
      <c r="HK131" s="250">
        <f>HK130/CSX!HM20</f>
        <v>0.11395261376457315</v>
      </c>
      <c r="HM131" s="274" t="s">
        <v>6</v>
      </c>
      <c r="HN131" s="250">
        <f>HN130/CSX!HP20</f>
        <v>0.14306049822064057</v>
      </c>
      <c r="HO131" s="250">
        <f>HO130/CSX!HQ20</f>
        <v>0.14276250414044386</v>
      </c>
      <c r="HP131" s="250">
        <f>HP130/CSX!HR20</f>
        <v>0.13904826189672628</v>
      </c>
      <c r="HQ131" s="250">
        <f>HQ130/CSX!HS20</f>
        <v>0.1433412402575398</v>
      </c>
      <c r="HR131" s="250">
        <f>HR130/CSX!HT20</f>
        <v>0.14204206761474922</v>
      </c>
      <c r="HT131" s="274" t="s">
        <v>6</v>
      </c>
      <c r="HU131" s="250">
        <f>HU130/CSX!HW20</f>
        <v>0.14969656102494944</v>
      </c>
      <c r="HV131" s="250">
        <f>HV130/CSX!HX20</f>
        <v>0.13612217795484727</v>
      </c>
      <c r="HW131" s="250">
        <f>HW130/CSX!HY20</f>
        <v>0.13718037318590187</v>
      </c>
      <c r="HX131" s="250">
        <f>HX130/CSX!HZ20</f>
        <v>0.14597780859916781</v>
      </c>
      <c r="HY131" s="250">
        <f>HY130/CSX!IA20</f>
        <v>0.14222524668254508</v>
      </c>
      <c r="IA131" s="274" t="s">
        <v>6</v>
      </c>
      <c r="IB131" s="250">
        <f>IB130/CSX!ID20</f>
        <v>0.15010141987829614</v>
      </c>
      <c r="IC131" s="250">
        <f>IC130/CSX!IE20</f>
        <v>0.12935809710003257</v>
      </c>
      <c r="ID131" s="250">
        <f>ID130/CSX!IF20</f>
        <v>0.13571190396798932</v>
      </c>
      <c r="IE131" s="250">
        <f>IE130/CSX!IG20</f>
        <v>0.13456464379947231</v>
      </c>
      <c r="IF131" s="250">
        <f>IF130/CSX!IH20</f>
        <v>0.13733620832642229</v>
      </c>
      <c r="IH131" s="274" t="s">
        <v>6</v>
      </c>
      <c r="II131" s="250">
        <f>II130/CSX!IK20</f>
        <v>0.14807436918990705</v>
      </c>
      <c r="IJ131" s="250">
        <f>IJ130/CSX!IL20</f>
        <v>0.1282367447595561</v>
      </c>
      <c r="IK131" s="250">
        <f>IK130/CSX!IM20</f>
        <v>0.1220117975783918</v>
      </c>
      <c r="IL131" s="250">
        <f>IL130/CSX!IN20</f>
        <v>0.1130952380952381</v>
      </c>
      <c r="IM131" s="250">
        <f>IM130/CSX!IO20</f>
        <v>0.12755545031178467</v>
      </c>
      <c r="IO131" s="274" t="s">
        <v>6</v>
      </c>
      <c r="IP131" s="250">
        <f>IP130/CSX!IR20</f>
        <v>8.9197224975222991E-2</v>
      </c>
      <c r="IQ131" s="250">
        <f>IQ130/CSX!IS20</f>
        <v>8.58355091383812E-2</v>
      </c>
      <c r="IR131" s="250">
        <f>IR130/CSX!IT20</f>
        <v>7.5876148349778835E-2</v>
      </c>
      <c r="IS131" s="250">
        <f>IS130/CSX!IU20</f>
        <v>7.2276159654800429E-2</v>
      </c>
      <c r="IT131" s="250">
        <f>IT130/CSX!IV20</f>
        <v>8.1026162052324102E-2</v>
      </c>
      <c r="IV131" s="274" t="s">
        <v>6</v>
      </c>
      <c r="IW131" s="250">
        <f>IW130/CSX!IY20</f>
        <v>5.7295645530939646E-2</v>
      </c>
      <c r="IX131" s="250">
        <f>IX130/CSX!IZ20</f>
        <v>6.3609467455621307E-2</v>
      </c>
      <c r="IY131" s="250">
        <f>IY130/CSX!JA20</f>
        <v>6.4206642066420669E-2</v>
      </c>
      <c r="IZ131" s="250">
        <f>IZ130/CSX!JB20</f>
        <v>7.1452090879157062E-2</v>
      </c>
      <c r="JA131" s="250">
        <f>JA130/CSX!JC20</f>
        <v>6.4414129550998289E-2</v>
      </c>
      <c r="JC131" s="274" t="s">
        <v>6</v>
      </c>
      <c r="JD131" s="250">
        <f>JD130/CSX!JF20</f>
        <v>7.5984663645869643E-2</v>
      </c>
      <c r="JE131" s="250">
        <f>JE130/CSX!JG20</f>
        <v>6.7507671326287072E-2</v>
      </c>
      <c r="JF131" s="250">
        <f>JF130/CSX!JH20</f>
        <v>7.4735690849434919E-2</v>
      </c>
      <c r="JG131" s="250">
        <f>JG130/CSX!JI20</f>
        <v>8.4876004191407617E-2</v>
      </c>
      <c r="JH131" s="250">
        <f>JH130/CSX!JJ20</f>
        <v>7.5736325385694248E-2</v>
      </c>
      <c r="JJ131" s="274" t="s">
        <v>6</v>
      </c>
      <c r="JK131" s="250">
        <f>JK130/CSX!JM20</f>
        <v>8.8664812239221139E-2</v>
      </c>
      <c r="JL131" s="250">
        <f>JL130/CSX!JN20</f>
        <v>8.7040618955512572E-2</v>
      </c>
      <c r="JM131" s="250">
        <f>JM130/CSX!JO20</f>
        <v>8.5650367529562163E-2</v>
      </c>
      <c r="JN131" s="250">
        <f>JN130/CSX!JP20</f>
        <v>8.0496341075405667E-2</v>
      </c>
      <c r="JO131" s="250">
        <f>JO130/CSX!JQ20</f>
        <v>8.5387755102040816E-2</v>
      </c>
      <c r="JQ131" s="274" t="s">
        <v>6</v>
      </c>
      <c r="JR131" s="250">
        <f>JR130/CSX!JT20</f>
        <v>7.7331563226020583E-2</v>
      </c>
      <c r="JS131" s="250">
        <f>JS130/CSX!JU20</f>
        <v>7.6445606011107475E-2</v>
      </c>
      <c r="JT131" s="250">
        <f>JT130/CSX!JV20</f>
        <v>7.4882471457353925E-2</v>
      </c>
      <c r="JU131" s="250">
        <f>JU130/CSX!JW20</f>
        <v>7.4870017331022526E-2</v>
      </c>
      <c r="JV131" s="250">
        <f>JV130/CSX!JX20</f>
        <v>7.5898466951495352E-2</v>
      </c>
      <c r="JX131" s="274" t="s">
        <v>6</v>
      </c>
      <c r="JY131" s="250">
        <f>JY130/CSX!KA20</f>
        <v>6.7250437828371284E-2</v>
      </c>
      <c r="JZ131" s="250">
        <f>JZ130/CSX!KB20</f>
        <v>4.0354767184035474E-2</v>
      </c>
      <c r="KA131" s="250">
        <f>KA130/CSX!KC20</f>
        <v>4.4939577039274925E-2</v>
      </c>
      <c r="KB131" s="250">
        <f>KB130/CSX!KD20</f>
        <v>4.9203539823008846E-2</v>
      </c>
      <c r="KC131" s="250">
        <f>KC130/CSX!KE20</f>
        <v>5.1119720306151376E-2</v>
      </c>
      <c r="KE131" s="274" t="s">
        <v>6</v>
      </c>
      <c r="KF131" s="250">
        <f>KF130/CSX!KH20</f>
        <v>6.7543547813722002E-2</v>
      </c>
      <c r="KG131" s="250">
        <f>KG130/CSX!KI20</f>
        <v>6.488294314381271E-2</v>
      </c>
      <c r="KH131" s="250">
        <f>KH130/CSX!KJ20</f>
        <v>7.5030376670716895E-2</v>
      </c>
      <c r="KI131" s="250">
        <f>KI130/CSX!KK20</f>
        <v>8.2287715202801287E-2</v>
      </c>
      <c r="KJ131" s="250">
        <f>KJ130/CSX!KL20</f>
        <v>7.2911675451205873E-2</v>
      </c>
      <c r="KL131" s="274" t="s">
        <v>6</v>
      </c>
      <c r="KM131" s="250">
        <f>KM130/CSX!KO20</f>
        <v>9.6982127160855552E-2</v>
      </c>
      <c r="KN131" s="250">
        <f>KN130/CSX!KP20</f>
        <v>0.11690694626474443</v>
      </c>
      <c r="KO131" s="250">
        <f>KO130/CSX!KQ20</f>
        <v>0.11245186136071887</v>
      </c>
      <c r="KP131" s="250">
        <f>KP130/CSX!KR20</f>
        <v>0.11018766756032172</v>
      </c>
      <c r="KQ131" s="250">
        <f>KQ130/CSX!KS20</f>
        <v>0.10947283377095536</v>
      </c>
      <c r="KS131" s="274" t="s">
        <v>6</v>
      </c>
      <c r="KT131" s="250">
        <f>KT130/CSX!KV20</f>
        <v>9.8219104155423634E-2</v>
      </c>
      <c r="KU131" s="250">
        <f>KU130/CSX!KW20</f>
        <v>8.4347120843471207E-2</v>
      </c>
      <c r="KV131" s="275">
        <f>KV130/CSX!KX20</f>
        <v>9.7704367301231804E-2</v>
      </c>
      <c r="KW131" s="250">
        <f>KW130/CSX!KY20</f>
        <v>9.5652173913043481E-2</v>
      </c>
      <c r="KX131" s="250">
        <f>KX130/CSX!KZ20</f>
        <v>9.3948284096336224E-2</v>
      </c>
      <c r="KZ131" s="274" t="s">
        <v>6</v>
      </c>
      <c r="LA131" s="250">
        <f>LA130/CSX!LC20</f>
        <v>8.8291225210540614E-2</v>
      </c>
      <c r="LB131" s="275">
        <f>LB130/CSX!LD20</f>
        <v>8.1329370440421503E-2</v>
      </c>
      <c r="LC131" s="275">
        <f>LC130/CSX!LE20</f>
        <v>7.6264161370544356E-2</v>
      </c>
      <c r="LD131" s="275">
        <f>LD130/CSX!LF20</f>
        <v>7.5162475275501558E-2</v>
      </c>
      <c r="LE131" s="302">
        <f>LE130/CSX!LG20</f>
        <v>8.0330123796423653E-2</v>
      </c>
      <c r="LF131" s="589"/>
      <c r="LG131" s="274" t="s">
        <v>6</v>
      </c>
      <c r="LH131" s="275">
        <f>LH130/CSX!LJ20</f>
        <v>8.0338884019865608E-2</v>
      </c>
      <c r="LI131" s="275">
        <f>LI130/CSX!LK20</f>
        <v>7.5265808617795193E-2</v>
      </c>
      <c r="LJ131" s="275">
        <f>LJ130/CSX!LL20</f>
        <v>7.8338444382492337E-2</v>
      </c>
      <c r="LK131" s="275">
        <f>LK130/CSX!LM20</f>
        <v>7.6966932725199541E-2</v>
      </c>
      <c r="LL131" s="302">
        <f>LL130/CSX!LN20</f>
        <v>7.7703661652001141E-2</v>
      </c>
      <c r="LM131" s="589"/>
      <c r="LN131" s="274" t="s">
        <v>6</v>
      </c>
      <c r="LO131" s="275">
        <f>LO130/CSX!LQ20</f>
        <v>7.5623819458228519E-2</v>
      </c>
      <c r="LP131" s="275">
        <f>LP130/CSX!LR20</f>
        <v>7.4410722564691931E-2</v>
      </c>
      <c r="LQ131" s="275">
        <f>LQ130/CSX!LS20</f>
        <v>7.1293091472957607E-2</v>
      </c>
      <c r="LR131" s="275">
        <f>LR130/CSX!LT20</f>
        <v>7.1009559087664847E-2</v>
      </c>
      <c r="LS131" s="302">
        <f>LS130/CSX!LU20</f>
        <v>7.3036876717223531E-2</v>
      </c>
      <c r="LT131" s="589"/>
      <c r="LU131" s="274" t="s">
        <v>6</v>
      </c>
      <c r="LV131" s="275">
        <f>LV130/CSX!LX20</f>
        <v>7.3521683391792977E-2</v>
      </c>
      <c r="LW131" s="275">
        <f>LW130/CSX!LY20</f>
        <v>7.2430723409845243E-2</v>
      </c>
      <c r="LX131" s="275">
        <f>LX130/CSX!LZ20</f>
        <v>6.9410674751014187E-2</v>
      </c>
      <c r="LY131" s="275">
        <f>LY130/CSX!MA20</f>
        <v>6.9101023251204818E-2</v>
      </c>
      <c r="LZ131" s="302">
        <f>LZ130/CSX!MB20</f>
        <v>7.1072056954775656E-2</v>
      </c>
      <c r="MA131" s="589"/>
      <c r="MB131" s="274" t="s">
        <v>6</v>
      </c>
      <c r="MC131" s="275">
        <f>MC130/CSX!ME20</f>
        <v>7.185892691758039E-2</v>
      </c>
      <c r="MD131" s="275">
        <f>MD130/CSX!MF20</f>
        <v>7.0817452045532261E-2</v>
      </c>
      <c r="ME131" s="275">
        <f>ME130/CSX!MG20</f>
        <v>6.8006732095254013E-2</v>
      </c>
      <c r="MF131" s="275">
        <f>MF130/CSX!MH20</f>
        <v>6.7726658059369699E-2</v>
      </c>
      <c r="MG131" s="302">
        <f>MG130/CSX!MI20</f>
        <v>6.9562234175020429E-2</v>
      </c>
      <c r="MH131" s="589"/>
    </row>
    <row r="132" spans="1:346" s="37" customFormat="1" ht="13.15" x14ac:dyDescent="0.4">
      <c r="A132" s="100"/>
      <c r="B132" s="276"/>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c r="AA132" s="277"/>
      <c r="AB132" s="277"/>
      <c r="AC132" s="277"/>
      <c r="AD132" s="277"/>
      <c r="AE132" s="277"/>
      <c r="AF132" s="277"/>
      <c r="AG132" s="277"/>
      <c r="AH132" s="277"/>
      <c r="AI132" s="277"/>
      <c r="AJ132" s="277"/>
      <c r="AK132" s="277"/>
      <c r="AL132" s="277"/>
      <c r="AM132" s="277"/>
      <c r="AN132" s="277"/>
      <c r="AO132" s="277"/>
      <c r="AP132" s="277"/>
      <c r="AQ132" s="277"/>
      <c r="AR132" s="277"/>
      <c r="AS132" s="277"/>
      <c r="AT132" s="277"/>
      <c r="AU132" s="277"/>
      <c r="AV132" s="277"/>
      <c r="AW132" s="277"/>
      <c r="AX132" s="277"/>
      <c r="AY132" s="277"/>
      <c r="AZ132" s="277"/>
      <c r="BA132" s="277"/>
      <c r="BB132" s="277"/>
      <c r="BC132" s="277"/>
      <c r="BD132" s="277"/>
      <c r="BE132" s="277"/>
      <c r="BF132" s="277"/>
      <c r="BG132" s="277"/>
      <c r="BH132" s="277"/>
      <c r="BI132" s="277"/>
      <c r="BJ132" s="277"/>
      <c r="BK132" s="277"/>
      <c r="BL132" s="277"/>
      <c r="BM132" s="277"/>
      <c r="BO132" s="276"/>
      <c r="BP132" s="269"/>
      <c r="BQ132" s="269"/>
      <c r="BR132" s="269"/>
      <c r="BS132" s="269"/>
      <c r="BT132" s="269"/>
      <c r="BV132" s="276"/>
      <c r="BW132" s="269"/>
      <c r="BX132" s="269"/>
      <c r="BY132" s="269"/>
      <c r="BZ132" s="269"/>
      <c r="CA132" s="269"/>
      <c r="CC132" s="276"/>
      <c r="CD132" s="269"/>
      <c r="CE132" s="269"/>
      <c r="CF132" s="269"/>
      <c r="CG132" s="269"/>
      <c r="CH132" s="269"/>
      <c r="CJ132" s="276"/>
      <c r="CK132" s="269"/>
      <c r="CL132" s="269"/>
      <c r="CM132" s="269"/>
      <c r="CN132" s="269"/>
      <c r="CO132" s="269"/>
      <c r="CQ132" s="276"/>
      <c r="CR132" s="269"/>
      <c r="CS132" s="269"/>
      <c r="CT132" s="269"/>
      <c r="CU132" s="269"/>
      <c r="CV132" s="269"/>
      <c r="CX132" s="276"/>
      <c r="CY132" s="269"/>
      <c r="CZ132" s="269"/>
      <c r="DA132" s="269"/>
      <c r="DB132" s="269"/>
      <c r="DC132" s="269"/>
      <c r="DE132" s="276"/>
      <c r="DF132" s="269"/>
      <c r="DG132" s="269"/>
      <c r="DH132" s="269"/>
      <c r="DI132" s="269"/>
      <c r="DJ132" s="269"/>
      <c r="DL132" s="276"/>
      <c r="DM132" s="269"/>
      <c r="DN132" s="269"/>
      <c r="DO132" s="269"/>
      <c r="DP132" s="269"/>
      <c r="DQ132" s="269"/>
      <c r="DS132" s="276"/>
      <c r="DT132" s="269"/>
      <c r="DU132" s="269"/>
      <c r="DV132" s="269"/>
      <c r="DW132" s="269"/>
      <c r="DX132" s="269"/>
      <c r="DZ132" s="276"/>
      <c r="EA132" s="269"/>
      <c r="EB132" s="269"/>
      <c r="EC132" s="269"/>
      <c r="ED132" s="269"/>
      <c r="EE132" s="269"/>
      <c r="EG132" s="276"/>
      <c r="EH132" s="269"/>
      <c r="EI132" s="269"/>
      <c r="EJ132" s="269"/>
      <c r="EK132" s="269"/>
      <c r="EL132" s="269"/>
      <c r="EN132" s="276"/>
      <c r="EO132" s="269"/>
      <c r="EP132" s="269"/>
      <c r="EQ132" s="269"/>
      <c r="ER132" s="269"/>
      <c r="ES132" s="269"/>
      <c r="EU132" s="276"/>
      <c r="EV132" s="269"/>
      <c r="EW132" s="269"/>
      <c r="EX132" s="269"/>
      <c r="EY132" s="269"/>
      <c r="EZ132" s="269"/>
      <c r="FB132" s="276"/>
      <c r="FC132" s="269"/>
      <c r="FD132" s="269"/>
      <c r="FE132" s="269"/>
      <c r="FF132" s="269"/>
      <c r="FG132" s="269"/>
      <c r="FI132" s="276"/>
      <c r="FJ132" s="269"/>
      <c r="FK132" s="269"/>
      <c r="FL132" s="269"/>
      <c r="FM132" s="269"/>
      <c r="FN132" s="269"/>
      <c r="FP132" s="276"/>
      <c r="FQ132" s="269"/>
      <c r="FR132" s="269"/>
      <c r="FS132" s="269"/>
      <c r="FT132" s="269"/>
      <c r="FU132" s="269"/>
      <c r="FW132" s="276"/>
      <c r="FX132" s="269"/>
      <c r="FY132" s="269"/>
      <c r="FZ132" s="269"/>
      <c r="GA132" s="269"/>
      <c r="GB132" s="269"/>
      <c r="GD132" s="276"/>
      <c r="GE132" s="269"/>
      <c r="GF132" s="269"/>
      <c r="GG132" s="269"/>
      <c r="GH132" s="269"/>
      <c r="GI132" s="269"/>
      <c r="GK132" s="276"/>
      <c r="GL132" s="269"/>
      <c r="GM132" s="269"/>
      <c r="GN132" s="269"/>
      <c r="GO132" s="269"/>
      <c r="GP132" s="269"/>
      <c r="GR132" s="276"/>
      <c r="GS132" s="269"/>
      <c r="GT132" s="269"/>
      <c r="GU132" s="269"/>
      <c r="GV132" s="269"/>
      <c r="GW132" s="269"/>
      <c r="GY132" s="276"/>
      <c r="GZ132" s="269"/>
      <c r="HA132" s="269"/>
      <c r="HB132" s="269"/>
      <c r="HC132" s="269"/>
      <c r="HD132" s="269"/>
      <c r="HF132" s="276"/>
      <c r="HG132" s="269"/>
      <c r="HH132" s="269"/>
      <c r="HI132" s="269"/>
      <c r="HJ132" s="269"/>
      <c r="HK132" s="269"/>
      <c r="HM132" s="276"/>
      <c r="HN132" s="269"/>
      <c r="HO132" s="269"/>
      <c r="HP132" s="269"/>
      <c r="HQ132" s="269"/>
      <c r="HR132" s="269"/>
      <c r="HT132" s="276"/>
      <c r="HU132" s="269"/>
      <c r="HV132" s="269"/>
      <c r="HW132" s="269"/>
      <c r="HX132" s="269"/>
      <c r="HY132" s="269"/>
      <c r="IA132" s="276"/>
      <c r="IB132" s="269"/>
      <c r="IC132" s="269"/>
      <c r="ID132" s="269"/>
      <c r="IE132" s="269"/>
      <c r="IF132" s="269"/>
      <c r="IH132" s="276"/>
      <c r="II132" s="269"/>
      <c r="IJ132" s="269"/>
      <c r="IK132" s="269"/>
      <c r="IL132" s="269"/>
      <c r="IM132" s="269"/>
      <c r="IO132" s="276"/>
      <c r="IP132" s="269"/>
      <c r="IQ132" s="269"/>
      <c r="IR132" s="269"/>
      <c r="IS132" s="269"/>
      <c r="IT132" s="269"/>
      <c r="IV132" s="276"/>
      <c r="IW132" s="269"/>
      <c r="IX132" s="269"/>
      <c r="IY132" s="269"/>
      <c r="IZ132" s="269"/>
      <c r="JA132" s="269"/>
      <c r="JC132" s="276"/>
      <c r="JD132" s="269"/>
      <c r="JE132" s="269"/>
      <c r="JF132" s="269"/>
      <c r="JG132" s="269"/>
      <c r="JH132" s="269"/>
      <c r="JJ132" s="276"/>
      <c r="JK132" s="269"/>
      <c r="JL132" s="269"/>
      <c r="JM132" s="269"/>
      <c r="JN132" s="269"/>
      <c r="JO132" s="269"/>
      <c r="JQ132" s="276"/>
      <c r="JR132" s="269"/>
      <c r="JS132" s="269"/>
      <c r="JT132" s="269"/>
      <c r="JU132" s="269"/>
      <c r="JV132" s="269"/>
      <c r="JX132" s="276"/>
      <c r="JY132" s="269"/>
      <c r="JZ132" s="269"/>
      <c r="KA132" s="269"/>
      <c r="KB132" s="269"/>
      <c r="KC132" s="269"/>
      <c r="KE132" s="276"/>
      <c r="KF132" s="269"/>
      <c r="KG132" s="269"/>
      <c r="KH132" s="269"/>
      <c r="KI132" s="269"/>
      <c r="KJ132" s="269"/>
      <c r="KL132" s="276"/>
      <c r="KM132" s="269"/>
      <c r="KN132" s="269"/>
      <c r="KO132" s="269"/>
      <c r="KP132" s="269"/>
      <c r="KQ132" s="269"/>
      <c r="KS132" s="276"/>
      <c r="KT132" s="269"/>
      <c r="KU132" s="269"/>
      <c r="KV132" s="277"/>
      <c r="KW132" s="273"/>
      <c r="KX132" s="269"/>
      <c r="KZ132" s="276"/>
      <c r="LA132" s="269"/>
      <c r="LB132" s="277"/>
      <c r="LC132" s="277"/>
      <c r="LD132" s="277"/>
      <c r="LE132" s="305"/>
      <c r="LF132" s="582"/>
      <c r="LG132" s="276"/>
      <c r="LH132" s="277"/>
      <c r="LI132" s="277"/>
      <c r="LJ132" s="277"/>
      <c r="LK132" s="277"/>
      <c r="LL132" s="305"/>
      <c r="LM132" s="582"/>
      <c r="LN132" s="276"/>
      <c r="LO132" s="277"/>
      <c r="LP132" s="277"/>
      <c r="LQ132" s="277"/>
      <c r="LR132" s="277"/>
      <c r="LS132" s="305"/>
      <c r="LT132" s="582"/>
      <c r="LU132" s="276"/>
      <c r="LV132" s="277"/>
      <c r="LW132" s="277"/>
      <c r="LX132" s="277"/>
      <c r="LY132" s="277"/>
      <c r="LZ132" s="305"/>
      <c r="MA132" s="582"/>
      <c r="MB132" s="276"/>
      <c r="MC132" s="277"/>
      <c r="MD132" s="277"/>
      <c r="ME132" s="277"/>
      <c r="MF132" s="277"/>
      <c r="MG132" s="305"/>
      <c r="MH132" s="582"/>
    </row>
    <row r="133" spans="1:346" s="37" customFormat="1" ht="13.15" x14ac:dyDescent="0.4">
      <c r="A133" s="100"/>
      <c r="B133" s="278" t="s">
        <v>456</v>
      </c>
      <c r="C133" s="279"/>
      <c r="D133" s="279"/>
      <c r="E133" s="279"/>
      <c r="F133" s="279"/>
      <c r="G133" s="279"/>
      <c r="H133" s="279"/>
      <c r="I133" s="279"/>
      <c r="J133" s="279"/>
      <c r="K133" s="279"/>
      <c r="L133" s="279"/>
      <c r="M133" s="279"/>
      <c r="N133" s="279">
        <f>BT133</f>
        <v>0</v>
      </c>
      <c r="O133" s="279">
        <f>CA133</f>
        <v>0</v>
      </c>
      <c r="P133" s="279">
        <f>CH133</f>
        <v>0</v>
      </c>
      <c r="Q133" s="279">
        <f>CO133</f>
        <v>0</v>
      </c>
      <c r="R133" s="279">
        <f>CV133</f>
        <v>0</v>
      </c>
      <c r="S133" s="279">
        <f>DC133</f>
        <v>0</v>
      </c>
      <c r="T133" s="279">
        <f>DJ133</f>
        <v>0</v>
      </c>
      <c r="U133" s="279">
        <f>DQ133</f>
        <v>0</v>
      </c>
      <c r="V133" s="279">
        <f>DX133</f>
        <v>0</v>
      </c>
      <c r="W133" s="279">
        <f>EE133</f>
        <v>0</v>
      </c>
      <c r="X133" s="279">
        <f>EL133</f>
        <v>0</v>
      </c>
      <c r="Y133" s="279">
        <f>ES133</f>
        <v>0</v>
      </c>
      <c r="Z133" s="279">
        <f>EZ133</f>
        <v>0</v>
      </c>
      <c r="AA133" s="279">
        <f>FG133</f>
        <v>0</v>
      </c>
      <c r="AB133" s="279">
        <f>FN133</f>
        <v>0</v>
      </c>
      <c r="AC133" s="279">
        <f>FU133</f>
        <v>0</v>
      </c>
      <c r="AD133" s="279">
        <f>GB133</f>
        <v>1.2842354970886349</v>
      </c>
      <c r="AE133" s="279">
        <f>GI133</f>
        <v>1.260539629005059</v>
      </c>
      <c r="AF133" s="279">
        <f>GP133</f>
        <v>1.2409428197293759</v>
      </c>
      <c r="AG133" s="279">
        <f>GW133</f>
        <v>1.2117437722419928</v>
      </c>
      <c r="AH133" s="279">
        <f>HD133</f>
        <v>1.1682830930537351</v>
      </c>
      <c r="AI133" s="279">
        <f>HK133</f>
        <v>1.1715721464465185</v>
      </c>
      <c r="AJ133" s="279">
        <f>HR133</f>
        <v>1.1901592583788922</v>
      </c>
      <c r="AK133" s="279">
        <f>HY133</f>
        <v>1.1846417216923453</v>
      </c>
      <c r="AL133" s="279">
        <f>IF133</f>
        <v>1.1550814956855224</v>
      </c>
      <c r="AM133" s="279">
        <f>IM133</f>
        <v>1.1376990356582195</v>
      </c>
      <c r="AN133" s="279">
        <f>IT133</f>
        <v>1.1440976296643979</v>
      </c>
      <c r="AO133" s="279">
        <f>JA133</f>
        <v>1.096515417397844</v>
      </c>
      <c r="AP133" s="279">
        <f>JH133</f>
        <v>1.0664833791552111</v>
      </c>
      <c r="AQ133" s="279">
        <f>JO133</f>
        <v>1.0528929724360567</v>
      </c>
      <c r="AR133" s="279">
        <f>JV133</f>
        <v>1.0090136492402781</v>
      </c>
      <c r="AS133" s="279">
        <f>KC133</f>
        <v>0.96343845939157124</v>
      </c>
      <c r="AT133" s="279">
        <f>KJ133</f>
        <v>0.96303191489361706</v>
      </c>
      <c r="AU133" s="279">
        <f>KQ133</f>
        <v>0.99307589880159786</v>
      </c>
      <c r="AV133" s="279">
        <f>KX133</f>
        <v>1.0194072908471019</v>
      </c>
      <c r="AW133" s="279">
        <f>LE133</f>
        <v>0.97760416666666661</v>
      </c>
      <c r="AX133" s="279">
        <f>LL133</f>
        <v>0.96769191005427757</v>
      </c>
      <c r="AY133" s="279">
        <f>LS133</f>
        <v>0.95914194525434404</v>
      </c>
      <c r="AZ133" s="279">
        <f>LZ133</f>
        <v>0.95147410168570157</v>
      </c>
      <c r="BA133" s="279">
        <f>MG133</f>
        <v>0.9478992329408793</v>
      </c>
      <c r="BB133" s="279"/>
      <c r="BC133" s="279"/>
      <c r="BD133" s="279"/>
      <c r="BE133" s="279"/>
      <c r="BF133" s="279"/>
      <c r="BG133" s="279"/>
      <c r="BH133" s="279"/>
      <c r="BI133" s="279"/>
      <c r="BJ133" s="279"/>
      <c r="BK133" s="279"/>
      <c r="BL133" s="279"/>
      <c r="BM133" s="279"/>
      <c r="BO133" s="278" t="s">
        <v>456</v>
      </c>
      <c r="BP133" s="280"/>
      <c r="BQ133" s="280"/>
      <c r="BR133" s="280"/>
      <c r="BS133" s="280"/>
      <c r="BT133" s="280"/>
      <c r="BV133" s="278" t="s">
        <v>456</v>
      </c>
      <c r="BW133" s="280"/>
      <c r="BX133" s="280"/>
      <c r="BY133" s="280"/>
      <c r="BZ133" s="280"/>
      <c r="CA133" s="280"/>
      <c r="CC133" s="278" t="s">
        <v>456</v>
      </c>
      <c r="CD133" s="280"/>
      <c r="CE133" s="280"/>
      <c r="CF133" s="280"/>
      <c r="CG133" s="280"/>
      <c r="CH133" s="280"/>
      <c r="CJ133" s="278" t="s">
        <v>456</v>
      </c>
      <c r="CK133" s="280"/>
      <c r="CL133" s="280"/>
      <c r="CM133" s="280"/>
      <c r="CN133" s="280"/>
      <c r="CO133" s="280"/>
      <c r="CQ133" s="278" t="s">
        <v>456</v>
      </c>
      <c r="CR133" s="280"/>
      <c r="CS133" s="280"/>
      <c r="CT133" s="280"/>
      <c r="CU133" s="280"/>
      <c r="CV133" s="280"/>
      <c r="CX133" s="278" t="s">
        <v>456</v>
      </c>
      <c r="CY133" s="280"/>
      <c r="CZ133" s="280"/>
      <c r="DA133" s="280"/>
      <c r="DB133" s="280"/>
      <c r="DC133" s="280"/>
      <c r="DE133" s="278" t="s">
        <v>456</v>
      </c>
      <c r="DF133" s="280"/>
      <c r="DG133" s="280"/>
      <c r="DH133" s="280"/>
      <c r="DI133" s="280"/>
      <c r="DJ133" s="280"/>
      <c r="DL133" s="278" t="s">
        <v>456</v>
      </c>
      <c r="DM133" s="280"/>
      <c r="DN133" s="280"/>
      <c r="DO133" s="280"/>
      <c r="DP133" s="280"/>
      <c r="DQ133" s="280"/>
      <c r="DS133" s="278" t="s">
        <v>456</v>
      </c>
      <c r="DT133" s="280"/>
      <c r="DU133" s="280"/>
      <c r="DV133" s="280"/>
      <c r="DW133" s="280"/>
      <c r="DX133" s="280"/>
      <c r="DZ133" s="278" t="s">
        <v>456</v>
      </c>
      <c r="EA133" s="280"/>
      <c r="EB133" s="280"/>
      <c r="EC133" s="280"/>
      <c r="ED133" s="280"/>
      <c r="EE133" s="280"/>
      <c r="EG133" s="278" t="s">
        <v>456</v>
      </c>
      <c r="EH133" s="280"/>
      <c r="EI133" s="280"/>
      <c r="EJ133" s="280"/>
      <c r="EK133" s="280"/>
      <c r="EL133" s="280"/>
      <c r="EN133" s="278" t="s">
        <v>456</v>
      </c>
      <c r="EO133" s="280"/>
      <c r="EP133" s="280"/>
      <c r="EQ133" s="280"/>
      <c r="ER133" s="280"/>
      <c r="ES133" s="280"/>
      <c r="EU133" s="278" t="s">
        <v>456</v>
      </c>
      <c r="EV133" s="280"/>
      <c r="EW133" s="280"/>
      <c r="EX133" s="280"/>
      <c r="EY133" s="280"/>
      <c r="EZ133" s="280"/>
      <c r="FB133" s="278" t="s">
        <v>456</v>
      </c>
      <c r="FC133" s="280"/>
      <c r="FD133" s="280"/>
      <c r="FE133" s="280"/>
      <c r="FF133" s="280"/>
      <c r="FG133" s="280"/>
      <c r="FI133" s="278" t="s">
        <v>456</v>
      </c>
      <c r="FJ133" s="280"/>
      <c r="FK133" s="280"/>
      <c r="FL133" s="280"/>
      <c r="FM133" s="280"/>
      <c r="FN133" s="280"/>
      <c r="FP133" s="278" t="s">
        <v>456</v>
      </c>
      <c r="FQ133" s="280"/>
      <c r="FR133" s="280"/>
      <c r="FS133" s="280"/>
      <c r="FT133" s="280"/>
      <c r="FU133" s="280"/>
      <c r="FW133" s="278" t="s">
        <v>456</v>
      </c>
      <c r="FX133" s="280">
        <f>FX117/FX136</f>
        <v>1.3479005998286204</v>
      </c>
      <c r="FY133" s="280">
        <f>FY117/FY136</f>
        <v>1.2602389078498293</v>
      </c>
      <c r="FZ133" s="280">
        <f>FZ117/FZ136</f>
        <v>1.2374670184696568</v>
      </c>
      <c r="GA133" s="280">
        <f>GA117/GA136</f>
        <v>1.287188306104901</v>
      </c>
      <c r="GB133" s="280">
        <f>GB117/GB136</f>
        <v>1.2842354970886349</v>
      </c>
      <c r="GD133" s="278" t="s">
        <v>456</v>
      </c>
      <c r="GE133" s="280">
        <f>GE117/GE136</f>
        <v>1.3182199832073889</v>
      </c>
      <c r="GF133" s="280">
        <f>GF117/GF136</f>
        <v>1.2426532325776658</v>
      </c>
      <c r="GG133" s="280">
        <f>GG117/GG136</f>
        <v>1.2349914236706689</v>
      </c>
      <c r="GH133" s="280">
        <f>GH117/GH136</f>
        <v>1.2809564474807857</v>
      </c>
      <c r="GI133" s="280">
        <f>GI117/GI136</f>
        <v>1.260539629005059</v>
      </c>
      <c r="GK133" s="278" t="s">
        <v>456</v>
      </c>
      <c r="GL133" s="280">
        <f>GL117/GL136</f>
        <v>1.3131578947368421</v>
      </c>
      <c r="GM133" s="280">
        <f>GM117/GM136</f>
        <v>0.96374367622259693</v>
      </c>
      <c r="GN133" s="280">
        <f>GN117/GN136</f>
        <v>1.1961130742049471</v>
      </c>
      <c r="GO133" s="280">
        <f>GO117/GO136</f>
        <v>1.2388987566607461</v>
      </c>
      <c r="GP133" s="280">
        <f>GP117/GP136</f>
        <v>1.2409428197293759</v>
      </c>
      <c r="GR133" s="278" t="s">
        <v>456</v>
      </c>
      <c r="GS133" s="280">
        <f>GS117/GS136</f>
        <v>1.2651982378854625</v>
      </c>
      <c r="GT133" s="280">
        <f>GT117/GT136</f>
        <v>1.1841652323580034</v>
      </c>
      <c r="GU133" s="280">
        <f>GU117/GU136</f>
        <v>1.1579876434245366</v>
      </c>
      <c r="GV133" s="280">
        <f>GV117/GV136</f>
        <v>1.2488262910798122</v>
      </c>
      <c r="GW133" s="280">
        <f>GW117/GW136</f>
        <v>1.2117437722419928</v>
      </c>
      <c r="GY133" s="278" t="s">
        <v>456</v>
      </c>
      <c r="GZ133" s="280">
        <f>GZ117/GZ136</f>
        <v>1.1924227318045861</v>
      </c>
      <c r="HA133" s="280">
        <f>HA117/HA136</f>
        <v>1.1260593220338981</v>
      </c>
      <c r="HB133" s="280">
        <f>HB117/HB136</f>
        <v>1.1220020855057351</v>
      </c>
      <c r="HC133" s="280">
        <f>HC117/HC136</f>
        <v>1.1761006289308176</v>
      </c>
      <c r="HD133" s="280">
        <f>HD117/HD136</f>
        <v>1.1682830930537351</v>
      </c>
      <c r="HF133" s="278" t="s">
        <v>456</v>
      </c>
      <c r="HG133" s="280">
        <f>HG117/HG136</f>
        <v>1.2126379137412238</v>
      </c>
      <c r="HH133" s="280">
        <f>HH117/HH136</f>
        <v>1.1390476190476191</v>
      </c>
      <c r="HI133" s="280">
        <f>HI117/HI136</f>
        <v>1.1398058252427186</v>
      </c>
      <c r="HJ133" s="280">
        <f>HJ117/HJ136</f>
        <v>1.1950998185117967</v>
      </c>
      <c r="HK133" s="280">
        <f>HK117/HK136</f>
        <v>1.1715721464465185</v>
      </c>
      <c r="HM133" s="278" t="s">
        <v>456</v>
      </c>
      <c r="HN133" s="280">
        <f>HN117/HN136</f>
        <v>1.2239234449760765</v>
      </c>
      <c r="HO133" s="280">
        <f>HO117/HO136</f>
        <v>1.1548507462686566</v>
      </c>
      <c r="HP133" s="280">
        <f>HP117/HP136</f>
        <v>1.1711798839458414</v>
      </c>
      <c r="HQ133" s="280">
        <f>HQ117/HQ136</f>
        <v>1.2121212121212122</v>
      </c>
      <c r="HR133" s="280">
        <f>HR117/HR136</f>
        <v>1.1901592583788922</v>
      </c>
      <c r="HT133" s="278" t="s">
        <v>456</v>
      </c>
      <c r="HU133" s="280">
        <f>HU117/HU136</f>
        <v>1.2464046021093</v>
      </c>
      <c r="HV133" s="280">
        <f>HV117/HV136</f>
        <v>1.1571841851494695</v>
      </c>
      <c r="HW133" s="280">
        <f>HW117/HW136</f>
        <v>1.1575274177467596</v>
      </c>
      <c r="HX133" s="280">
        <f>HX117/HX136</f>
        <v>1.1759443339960238</v>
      </c>
      <c r="HY133" s="280">
        <f>HY117/HY136</f>
        <v>1.1846417216923453</v>
      </c>
      <c r="IA133" s="278" t="s">
        <v>456</v>
      </c>
      <c r="IB133" s="280">
        <f>IB117/IB136</f>
        <v>1.226027397260274</v>
      </c>
      <c r="IC133" s="280">
        <f>IC117/IC136</f>
        <v>1.1260663507109006</v>
      </c>
      <c r="ID133" s="280">
        <f>ID117/ID136</f>
        <v>1.1217137293086661</v>
      </c>
      <c r="IE133" s="280">
        <f>IE117/IE136</f>
        <v>1.1479400749063671</v>
      </c>
      <c r="IF133" s="280">
        <f>IF117/IF136</f>
        <v>1.1550814956855224</v>
      </c>
      <c r="IH133" s="278" t="s">
        <v>456</v>
      </c>
      <c r="II133" s="280">
        <f>II117/II136</f>
        <v>1.241412213740458</v>
      </c>
      <c r="IJ133" s="280">
        <f>IJ117/IJ136</f>
        <v>1.1094570928196148</v>
      </c>
      <c r="IK133" s="280">
        <f>IK117/IK136</f>
        <v>1.0880782918149465</v>
      </c>
      <c r="IL133" s="280">
        <f>IL117/IL136</f>
        <v>1.1196506550218339</v>
      </c>
      <c r="IM133" s="280">
        <f>IM117/IM136</f>
        <v>1.1376990356582195</v>
      </c>
      <c r="IO133" s="278" t="s">
        <v>456</v>
      </c>
      <c r="IP133" s="280">
        <f>IP117/IP136</f>
        <v>1.2292637465051259</v>
      </c>
      <c r="IQ133" s="280">
        <f>IQ117/IQ136</f>
        <v>1.0999999999999999</v>
      </c>
      <c r="IR133" s="280">
        <f>IR117/IR136</f>
        <v>1.1061611374407583</v>
      </c>
      <c r="IS133" s="280">
        <f>IS117/IS136</f>
        <v>1.140625</v>
      </c>
      <c r="IT133" s="280">
        <f>IT117/IT136</f>
        <v>1.1440976296643979</v>
      </c>
      <c r="IV133" s="278" t="s">
        <v>456</v>
      </c>
      <c r="IW133" s="280">
        <f>IW117/IW136</f>
        <v>1.1793534932221061</v>
      </c>
      <c r="IX133" s="280">
        <f>IX117/IX136</f>
        <v>1.0904419321685508</v>
      </c>
      <c r="IY133" s="280">
        <f>IY117/IY136</f>
        <v>1.0350877192982455</v>
      </c>
      <c r="IZ133" s="280">
        <f>IZ117/IZ136</f>
        <v>1.094707520891365</v>
      </c>
      <c r="JA133" s="280">
        <f>JA117/JA136</f>
        <v>1.096515417397844</v>
      </c>
      <c r="JC133" s="278" t="s">
        <v>456</v>
      </c>
      <c r="JD133" s="280">
        <f>JD117/JD136</f>
        <v>1.1289370078740157</v>
      </c>
      <c r="JE133" s="280">
        <f>JE117/JE136</f>
        <v>1.0406342913776014</v>
      </c>
      <c r="JF133" s="280">
        <f>JF117/JF136</f>
        <v>1.0309278350515463</v>
      </c>
      <c r="JG133" s="280">
        <f>JG117/JG136</f>
        <v>1.0636182902584495</v>
      </c>
      <c r="JH133" s="280">
        <f>JH117/JH136</f>
        <v>1.0664833791552111</v>
      </c>
      <c r="JJ133" s="278" t="s">
        <v>456</v>
      </c>
      <c r="JK133" s="280">
        <f>JK117/JK136</f>
        <v>1.106957424714434</v>
      </c>
      <c r="JL133" s="280">
        <f>JL117/JL136</f>
        <v>1.0318840579710145</v>
      </c>
      <c r="JM133" s="280">
        <f>JM117/JM136</f>
        <v>1.030362389813908</v>
      </c>
      <c r="JN133" s="280">
        <f>JN117/JN136</f>
        <v>1.0445986124876114</v>
      </c>
      <c r="JO133" s="280">
        <f>JO117/JO136</f>
        <v>1.0528929724360567</v>
      </c>
      <c r="JQ133" s="278" t="s">
        <v>456</v>
      </c>
      <c r="JR133" s="280">
        <f>JR117/JR136</f>
        <v>1.0827300930713546</v>
      </c>
      <c r="JS133" s="280">
        <f>JS117/JS136</f>
        <v>0.98798798798798793</v>
      </c>
      <c r="JT133" s="280">
        <f>JT117/JT136</f>
        <v>0.97528321318228639</v>
      </c>
      <c r="JU133" s="280">
        <f>JU117/JU136</f>
        <v>0.98944033790918695</v>
      </c>
      <c r="JV133" s="280">
        <f>JV117/JV136</f>
        <v>1.0090136492402781</v>
      </c>
      <c r="JX133" s="278" t="s">
        <v>456</v>
      </c>
      <c r="JY133" s="280">
        <f>JY117/JY136</f>
        <v>1.0115424973767053</v>
      </c>
      <c r="JZ133" s="280">
        <f>JZ117/JZ136</f>
        <v>0.96493506493506487</v>
      </c>
      <c r="KA133" s="280">
        <f>KA117/KA136</f>
        <v>0.93355481727574752</v>
      </c>
      <c r="KB133" s="280">
        <f>KB117/KB136</f>
        <v>0.94252873563218387</v>
      </c>
      <c r="KC133" s="280">
        <f>KC117/KC136</f>
        <v>0.96343845939157124</v>
      </c>
      <c r="KE133" s="278" t="s">
        <v>456</v>
      </c>
      <c r="KF133" s="280">
        <f>KF117/KF136</f>
        <v>0.98286937901498916</v>
      </c>
      <c r="KG133" s="280">
        <f>KG117/KG136</f>
        <v>0.95937499999999998</v>
      </c>
      <c r="KH133" s="280">
        <f>KH117/KH136</f>
        <v>0.92465016146393975</v>
      </c>
      <c r="KI133" s="280">
        <f>KI117/KI136</f>
        <v>0.98505869797225176</v>
      </c>
      <c r="KJ133" s="280">
        <f>KJ117/KJ136</f>
        <v>0.96303191489361706</v>
      </c>
      <c r="KL133" s="278" t="s">
        <v>456</v>
      </c>
      <c r="KM133" s="280">
        <f>KM117/KM136</f>
        <v>1.0120350109409191</v>
      </c>
      <c r="KN133" s="280">
        <f>KN117/KN136</f>
        <v>0.96842105263157896</v>
      </c>
      <c r="KO133" s="280">
        <f>KO117/KO136</f>
        <v>0.9905561385099686</v>
      </c>
      <c r="KP133" s="280">
        <f>KP117/KP136</f>
        <v>1.0021321961620469</v>
      </c>
      <c r="KQ133" s="280">
        <f>KQ117/KQ136</f>
        <v>0.99307589880159786</v>
      </c>
      <c r="KS133" s="278" t="s">
        <v>456</v>
      </c>
      <c r="KT133" s="280">
        <f>KT117/KT136</f>
        <v>1.0233050847457625</v>
      </c>
      <c r="KU133" s="280">
        <f>KU117/KU136</f>
        <v>1.0010449320794148</v>
      </c>
      <c r="KV133" s="279">
        <f>KV117/KV136</f>
        <v>1.056084656084656</v>
      </c>
      <c r="KW133" s="281">
        <f>KW117/KW136</f>
        <v>1.0010341261633919</v>
      </c>
      <c r="KX133" s="280">
        <f>KX117/KX136</f>
        <v>1.0194072908471019</v>
      </c>
      <c r="KZ133" s="278" t="s">
        <v>456</v>
      </c>
      <c r="LA133" s="280">
        <f>LA117/LA136</f>
        <v>1.010438413361169</v>
      </c>
      <c r="LB133" s="280">
        <f>LB117/LB136</f>
        <v>0.96694214876033058</v>
      </c>
      <c r="LC133" s="280">
        <f>LC117/LC136</f>
        <v>0.94984326018808785</v>
      </c>
      <c r="LD133" s="280">
        <f>LD117/LD136</f>
        <v>0.98328108672936254</v>
      </c>
      <c r="LE133" s="279">
        <f>LE117/LE136</f>
        <v>0.97760416666666661</v>
      </c>
      <c r="LF133" s="595"/>
      <c r="LG133" s="278" t="s">
        <v>456</v>
      </c>
      <c r="LH133" s="280">
        <f>LH117/LH136</f>
        <v>0.98935037273695425</v>
      </c>
      <c r="LI133" s="280">
        <f>LI117/LI136</f>
        <v>0.97590361445783136</v>
      </c>
      <c r="LJ133" s="280">
        <f>LJ117/LJ136</f>
        <v>0.94331983805668018</v>
      </c>
      <c r="LK133" s="280">
        <f>LK117/LK136</f>
        <v>0.96300211416490489</v>
      </c>
      <c r="LL133" s="279">
        <f>LL117/LL136</f>
        <v>0.96769191005427757</v>
      </c>
      <c r="LM133" s="595"/>
      <c r="LN133" s="278" t="s">
        <v>456</v>
      </c>
      <c r="LO133" s="279">
        <f>LH133*(1+LO134)</f>
        <v>0.98440362087326949</v>
      </c>
      <c r="LP133" s="279">
        <f>LI133*(1+LP134)</f>
        <v>0.96614457831325307</v>
      </c>
      <c r="LQ133" s="279">
        <f>LJ133*(1+LQ134)</f>
        <v>0.93388663967611341</v>
      </c>
      <c r="LR133" s="279">
        <f>LK133*(1+LR134)</f>
        <v>0.95337209302325587</v>
      </c>
      <c r="LS133" s="279">
        <f>LS117/LS136</f>
        <v>0.95914194525434404</v>
      </c>
      <c r="LT133" s="595"/>
      <c r="LU133" s="278" t="s">
        <v>456</v>
      </c>
      <c r="LV133" s="279">
        <f>LO133*(1+LV134)</f>
        <v>0.97652839190628338</v>
      </c>
      <c r="LW133" s="279">
        <f>LP133*(1+LW134)</f>
        <v>0.95841542168674698</v>
      </c>
      <c r="LX133" s="279">
        <f>LQ133*(1+LX134)</f>
        <v>0.92641554655870451</v>
      </c>
      <c r="LY133" s="279">
        <f>LR133*(1+LY134)</f>
        <v>0.94574511627906976</v>
      </c>
      <c r="LZ133" s="279">
        <f>LZ117/LZ136</f>
        <v>0.95147410168570157</v>
      </c>
      <c r="MA133" s="595"/>
      <c r="MB133" s="278" t="s">
        <v>456</v>
      </c>
      <c r="MC133" s="279">
        <f>LV133*(1+MC134)</f>
        <v>0.9716457499467519</v>
      </c>
      <c r="MD133" s="279">
        <f>LW133*(1+MD134)</f>
        <v>0.95362334457831321</v>
      </c>
      <c r="ME133" s="279">
        <f>LX133*(1+ME134)</f>
        <v>0.92409950769230775</v>
      </c>
      <c r="MF133" s="279">
        <f>LY133*(1+MF134)</f>
        <v>0.94338075348837214</v>
      </c>
      <c r="MG133" s="279">
        <f>MG117/MG136</f>
        <v>0.9478992329408793</v>
      </c>
      <c r="MH133" s="595"/>
    </row>
    <row r="134" spans="1:346" s="37" customFormat="1" ht="13.15" x14ac:dyDescent="0.4">
      <c r="A134" s="100"/>
      <c r="B134" s="111" t="s">
        <v>3</v>
      </c>
      <c r="C134" s="112"/>
      <c r="D134" s="112"/>
      <c r="E134" s="112"/>
      <c r="F134" s="112"/>
      <c r="G134" s="112"/>
      <c r="H134" s="112"/>
      <c r="I134" s="112"/>
      <c r="J134" s="112"/>
      <c r="K134" s="112"/>
      <c r="L134" s="112"/>
      <c r="M134" s="112"/>
      <c r="N134" s="112">
        <f>BT134</f>
        <v>0</v>
      </c>
      <c r="O134" s="112">
        <f>CA134</f>
        <v>0</v>
      </c>
      <c r="P134" s="112">
        <f>CH134</f>
        <v>0</v>
      </c>
      <c r="Q134" s="112">
        <f>CO134</f>
        <v>0</v>
      </c>
      <c r="R134" s="112">
        <f>CV134</f>
        <v>0</v>
      </c>
      <c r="S134" s="112">
        <f>DC134</f>
        <v>0</v>
      </c>
      <c r="T134" s="112">
        <f>DJ134</f>
        <v>0</v>
      </c>
      <c r="U134" s="112">
        <f>DQ134</f>
        <v>0</v>
      </c>
      <c r="V134" s="112">
        <f>DX134</f>
        <v>0</v>
      </c>
      <c r="W134" s="112">
        <f>EE134</f>
        <v>0</v>
      </c>
      <c r="X134" s="112">
        <f>EL134</f>
        <v>0</v>
      </c>
      <c r="Y134" s="112">
        <f>ES134</f>
        <v>0</v>
      </c>
      <c r="Z134" s="112">
        <f>EZ134</f>
        <v>0</v>
      </c>
      <c r="AA134" s="112">
        <f>FG134</f>
        <v>0</v>
      </c>
      <c r="AB134" s="112">
        <f>FN134</f>
        <v>0</v>
      </c>
      <c r="AC134" s="112">
        <f>FU134</f>
        <v>0</v>
      </c>
      <c r="AD134" s="112" t="str">
        <f>GB134</f>
        <v>-</v>
      </c>
      <c r="AE134" s="112">
        <f>GI134</f>
        <v>-1.8451341780611474E-2</v>
      </c>
      <c r="AF134" s="112">
        <f>GP134</f>
        <v>-1.5546365084254221E-2</v>
      </c>
      <c r="AG134" s="112">
        <f>GW134</f>
        <v>-2.3529728383255288E-2</v>
      </c>
      <c r="AH134" s="112">
        <f>HD134</f>
        <v>-3.5866228639942488E-2</v>
      </c>
      <c r="AI134" s="112">
        <f>HK134</f>
        <v>2.81528801738129E-3</v>
      </c>
      <c r="AJ134" s="112">
        <f>HR134</f>
        <v>1.5865102280512522E-2</v>
      </c>
      <c r="AK134" s="112">
        <f>HY134</f>
        <v>-4.6359650170367805E-3</v>
      </c>
      <c r="AL134" s="112">
        <f>IF134</f>
        <v>-2.4952882770829632E-2</v>
      </c>
      <c r="AM134" s="112">
        <f>IM134</f>
        <v>-1.5048687120545301E-2</v>
      </c>
      <c r="AN134" s="112">
        <f>IT134</f>
        <v>5.6241534937018223E-3</v>
      </c>
      <c r="AO134" s="112">
        <f>JA134</f>
        <v>-4.1589293634417657E-2</v>
      </c>
      <c r="AP134" s="112">
        <f>JH134</f>
        <v>-2.7388614666178035E-2</v>
      </c>
      <c r="AQ134" s="112">
        <f>JO134</f>
        <v>-1.2743195988595413E-2</v>
      </c>
      <c r="AR134" s="112">
        <f>JV134</f>
        <v>-4.1675008139009484E-2</v>
      </c>
      <c r="AS134" s="112">
        <f>KC134</f>
        <v>-4.5168060791865416E-2</v>
      </c>
      <c r="AT134" s="112">
        <f>KJ134</f>
        <v>-4.2197246123110155E-4</v>
      </c>
      <c r="AU134" s="112">
        <f>KQ134</f>
        <v>3.1197287902239079E-2</v>
      </c>
      <c r="AV134" s="112">
        <f>KX134</f>
        <v>2.6514984481326831E-2</v>
      </c>
      <c r="AW134" s="112">
        <f>LE134</f>
        <v>-4.1007283895034718E-2</v>
      </c>
      <c r="AX134" s="112">
        <f>LL134</f>
        <v>-1.0139335479907752E-2</v>
      </c>
      <c r="AY134" s="112">
        <f>LS134</f>
        <v>-8.8354203554869004E-3</v>
      </c>
      <c r="AZ134" s="112">
        <f>LZ134</f>
        <v>-7.9944825753701654E-3</v>
      </c>
      <c r="BA134" s="112">
        <f>MG134</f>
        <v>-3.7571897527097775E-3</v>
      </c>
      <c r="BB134" s="112"/>
      <c r="BC134" s="112"/>
      <c r="BD134" s="112"/>
      <c r="BE134" s="112"/>
      <c r="BF134" s="112"/>
      <c r="BG134" s="112"/>
      <c r="BH134" s="112"/>
      <c r="BI134" s="112"/>
      <c r="BJ134" s="112"/>
      <c r="BK134" s="112"/>
      <c r="BL134" s="112"/>
      <c r="BM134" s="112"/>
      <c r="BO134" s="111" t="s">
        <v>3</v>
      </c>
      <c r="BP134" s="66"/>
      <c r="BQ134" s="66"/>
      <c r="BR134" s="66"/>
      <c r="BS134" s="66"/>
      <c r="BT134" s="66"/>
      <c r="BV134" s="111" t="s">
        <v>3</v>
      </c>
      <c r="BW134" s="66"/>
      <c r="BX134" s="66"/>
      <c r="BY134" s="66"/>
      <c r="BZ134" s="66"/>
      <c r="CA134" s="66"/>
      <c r="CC134" s="111" t="s">
        <v>3</v>
      </c>
      <c r="CD134" s="66"/>
      <c r="CE134" s="66"/>
      <c r="CF134" s="66"/>
      <c r="CG134" s="66"/>
      <c r="CH134" s="66"/>
      <c r="CJ134" s="111" t="s">
        <v>3</v>
      </c>
      <c r="CK134" s="66"/>
      <c r="CL134" s="66"/>
      <c r="CM134" s="66"/>
      <c r="CN134" s="66"/>
      <c r="CO134" s="66"/>
      <c r="CQ134" s="111" t="s">
        <v>3</v>
      </c>
      <c r="CR134" s="66"/>
      <c r="CS134" s="66"/>
      <c r="CT134" s="66"/>
      <c r="CU134" s="66"/>
      <c r="CV134" s="66"/>
      <c r="CX134" s="111" t="s">
        <v>3</v>
      </c>
      <c r="CY134" s="66"/>
      <c r="CZ134" s="66"/>
      <c r="DA134" s="66"/>
      <c r="DB134" s="66"/>
      <c r="DC134" s="66"/>
      <c r="DE134" s="111" t="s">
        <v>3</v>
      </c>
      <c r="DF134" s="66"/>
      <c r="DG134" s="66"/>
      <c r="DH134" s="66"/>
      <c r="DI134" s="66"/>
      <c r="DJ134" s="66"/>
      <c r="DL134" s="111" t="s">
        <v>3</v>
      </c>
      <c r="DM134" s="66"/>
      <c r="DN134" s="66"/>
      <c r="DO134" s="66"/>
      <c r="DP134" s="66"/>
      <c r="DQ134" s="66"/>
      <c r="DS134" s="111" t="s">
        <v>3</v>
      </c>
      <c r="DT134" s="66"/>
      <c r="DU134" s="66"/>
      <c r="DV134" s="66"/>
      <c r="DW134" s="66"/>
      <c r="DX134" s="66"/>
      <c r="DZ134" s="111" t="s">
        <v>3</v>
      </c>
      <c r="EA134" s="66"/>
      <c r="EB134" s="66"/>
      <c r="EC134" s="66"/>
      <c r="ED134" s="66"/>
      <c r="EE134" s="66"/>
      <c r="EG134" s="111" t="s">
        <v>3</v>
      </c>
      <c r="EH134" s="66"/>
      <c r="EI134" s="66"/>
      <c r="EJ134" s="66"/>
      <c r="EK134" s="66"/>
      <c r="EL134" s="66"/>
      <c r="EN134" s="111" t="s">
        <v>3</v>
      </c>
      <c r="EO134" s="66"/>
      <c r="EP134" s="66"/>
      <c r="EQ134" s="66"/>
      <c r="ER134" s="66"/>
      <c r="ES134" s="66"/>
      <c r="EU134" s="111" t="s">
        <v>3</v>
      </c>
      <c r="EV134" s="66"/>
      <c r="EW134" s="66"/>
      <c r="EX134" s="66"/>
      <c r="EY134" s="66"/>
      <c r="EZ134" s="66"/>
      <c r="FB134" s="111" t="s">
        <v>3</v>
      </c>
      <c r="FC134" s="66"/>
      <c r="FD134" s="66"/>
      <c r="FE134" s="66"/>
      <c r="FF134" s="66"/>
      <c r="FG134" s="66"/>
      <c r="FI134" s="111" t="s">
        <v>3</v>
      </c>
      <c r="FJ134" s="66"/>
      <c r="FK134" s="66"/>
      <c r="FL134" s="66"/>
      <c r="FM134" s="66"/>
      <c r="FN134" s="66"/>
      <c r="FP134" s="111" t="s">
        <v>3</v>
      </c>
      <c r="FQ134" s="66"/>
      <c r="FR134" s="66"/>
      <c r="FS134" s="66"/>
      <c r="FT134" s="66"/>
      <c r="FU134" s="66"/>
      <c r="FW134" s="111" t="s">
        <v>3</v>
      </c>
      <c r="FX134" s="66" t="s">
        <v>80</v>
      </c>
      <c r="FY134" s="66" t="s">
        <v>80</v>
      </c>
      <c r="FZ134" s="66" t="s">
        <v>80</v>
      </c>
      <c r="GA134" s="66" t="s">
        <v>80</v>
      </c>
      <c r="GB134" s="66" t="s">
        <v>80</v>
      </c>
      <c r="GD134" s="111" t="s">
        <v>3</v>
      </c>
      <c r="GE134" s="66">
        <f>GE133/FX133-1</f>
        <v>-2.2019885312763665E-2</v>
      </c>
      <c r="GF134" s="66">
        <f>GF133/FY133-1</f>
        <v>-1.3954239281635528E-2</v>
      </c>
      <c r="GG134" s="66">
        <f>GG133/FZ133-1</f>
        <v>-2.0005339633611952E-3</v>
      </c>
      <c r="GH134" s="66">
        <f>GH133/GA133-1</f>
        <v>-4.8414506211396091E-3</v>
      </c>
      <c r="GI134" s="66">
        <f>GI133/GB133-1</f>
        <v>-1.8451341780611474E-2</v>
      </c>
      <c r="GK134" s="111" t="s">
        <v>3</v>
      </c>
      <c r="GL134" s="66">
        <f>GL133/GE133-1</f>
        <v>-3.8400938652364269E-3</v>
      </c>
      <c r="GM134" s="66">
        <f>GM133/GF133-1</f>
        <v>-0.22444681190465343</v>
      </c>
      <c r="GN134" s="66">
        <f>GN133/GG133-1</f>
        <v>-3.1480663525716435E-2</v>
      </c>
      <c r="GO134" s="66">
        <f>GO133/GH133-1</f>
        <v>-3.2833037300177614E-2</v>
      </c>
      <c r="GP134" s="66">
        <f>GP133/GI133-1</f>
        <v>-1.5546365084254221E-2</v>
      </c>
      <c r="GR134" s="111" t="s">
        <v>3</v>
      </c>
      <c r="GS134" s="66">
        <f>GS133/GL133-1</f>
        <v>-3.6522383974998518E-2</v>
      </c>
      <c r="GT134" s="66">
        <f>GT133/GM133-1</f>
        <v>0.22871388064443754</v>
      </c>
      <c r="GU134" s="66">
        <f>GU133/GN133-1</f>
        <v>-3.1874436959693164E-2</v>
      </c>
      <c r="GV134" s="66">
        <f>GV133/GO133-1</f>
        <v>8.0131926565365497E-3</v>
      </c>
      <c r="GW134" s="66">
        <f>GW133/GP133-1</f>
        <v>-2.3529728383255288E-2</v>
      </c>
      <c r="GY134" s="111" t="s">
        <v>3</v>
      </c>
      <c r="GZ134" s="66">
        <f>GZ133/GS133-1</f>
        <v>-5.7521030224090941E-2</v>
      </c>
      <c r="HA134" s="66">
        <f>HA133/GT133-1</f>
        <v>-4.9069089968466817E-2</v>
      </c>
      <c r="HB134" s="66">
        <f>HB133/GU133-1</f>
        <v>-3.1075942928355249E-2</v>
      </c>
      <c r="HC134" s="66">
        <f>HC133/GV133-1</f>
        <v>-5.8235210668179938E-2</v>
      </c>
      <c r="HD134" s="66">
        <f>HD133/GW133-1</f>
        <v>-3.5866228639942488E-2</v>
      </c>
      <c r="HF134" s="111" t="s">
        <v>3</v>
      </c>
      <c r="HG134" s="66">
        <f>HG133/GZ133-1</f>
        <v>1.6953033012079954E-2</v>
      </c>
      <c r="HH134" s="66">
        <f>HH133/HA133-1</f>
        <v>1.1534291985844325E-2</v>
      </c>
      <c r="HI134" s="66">
        <f>HI133/HB133-1</f>
        <v>1.5867831233984386E-2</v>
      </c>
      <c r="HJ134" s="66">
        <f>HJ133/HC133-1</f>
        <v>1.6154391141046442E-2</v>
      </c>
      <c r="HK134" s="66">
        <f>HK133/HD133-1</f>
        <v>2.81528801738129E-3</v>
      </c>
      <c r="HM134" s="111" t="s">
        <v>3</v>
      </c>
      <c r="HN134" s="66">
        <f>HN133/HG133-1</f>
        <v>9.3065960638116785E-3</v>
      </c>
      <c r="HO134" s="66">
        <f>HO133/HH133-1</f>
        <v>1.3873982928168438E-2</v>
      </c>
      <c r="HP134" s="66">
        <f>HP133/HI133-1</f>
        <v>2.7525792558957818E-2</v>
      </c>
      <c r="HQ134" s="66">
        <f>HQ133/HJ133-1</f>
        <v>1.4242654333770588E-2</v>
      </c>
      <c r="HR134" s="66">
        <f>HR133/HK133-1</f>
        <v>1.5865102280512522E-2</v>
      </c>
      <c r="HT134" s="111" t="s">
        <v>3</v>
      </c>
      <c r="HU134" s="66">
        <f>HU133/HN133-1</f>
        <v>1.8368107274604029E-2</v>
      </c>
      <c r="HV134" s="66">
        <f>HV133/HO133-1</f>
        <v>2.020554507456751E-3</v>
      </c>
      <c r="HW134" s="66">
        <f>HW133/HP133-1</f>
        <v>-1.1657019033732952E-2</v>
      </c>
      <c r="HX134" s="66">
        <f>HX133/HQ133-1</f>
        <v>-2.9845924453280381E-2</v>
      </c>
      <c r="HY134" s="66">
        <f>HY133/HR133-1</f>
        <v>-4.6359650170367805E-3</v>
      </c>
      <c r="IA134" s="111" t="s">
        <v>3</v>
      </c>
      <c r="IB134" s="66">
        <f>IB133/HU133-1</f>
        <v>-1.6348788198103259E-2</v>
      </c>
      <c r="IC134" s="66">
        <f>IC133/HV133-1</f>
        <v>-2.6890995260663408E-2</v>
      </c>
      <c r="ID134" s="66">
        <f>ID133/HW133-1</f>
        <v>-3.093981869371909E-2</v>
      </c>
      <c r="IE134" s="66">
        <f>IE133/HX133-1</f>
        <v>-2.3814272733892361E-2</v>
      </c>
      <c r="IF134" s="66">
        <f>IF133/HY133-1</f>
        <v>-2.4952882770829632E-2</v>
      </c>
      <c r="IH134" s="111" t="s">
        <v>3</v>
      </c>
      <c r="II134" s="66">
        <f>II133/IB133-1</f>
        <v>1.2548509531323138E-2</v>
      </c>
      <c r="IJ134" s="66">
        <f>IJ133/IC133-1</f>
        <v>-1.4749803935443118E-2</v>
      </c>
      <c r="IK134" s="66">
        <f>IK133/ID133-1</f>
        <v>-2.9985758946223906E-2</v>
      </c>
      <c r="IL134" s="66">
        <f>IL133/IE133-1</f>
        <v>-2.4643638202839657E-2</v>
      </c>
      <c r="IM134" s="66">
        <f>IM133/IF133-1</f>
        <v>-1.5048687120545301E-2</v>
      </c>
      <c r="IO134" s="111" t="s">
        <v>3</v>
      </c>
      <c r="IP134" s="66">
        <f>IP133/II133-1</f>
        <v>-9.7860058897986102E-3</v>
      </c>
      <c r="IQ134" s="66">
        <f>IQ133/IJ133-1</f>
        <v>-8.5240726124705679E-3</v>
      </c>
      <c r="IR134" s="66">
        <f>IR133/IK133-1</f>
        <v>1.6619066625848333E-2</v>
      </c>
      <c r="IS134" s="66">
        <f>IS133/IL133-1</f>
        <v>1.8732936817472901E-2</v>
      </c>
      <c r="IT134" s="66">
        <f>IT133/IM133-1</f>
        <v>5.6241534937018223E-3</v>
      </c>
      <c r="IV134" s="111" t="s">
        <v>3</v>
      </c>
      <c r="IW134" s="66">
        <f>IW133/IP133-1</f>
        <v>-4.0601745089219321E-2</v>
      </c>
      <c r="IX134" s="66">
        <f>IX133/IQ133-1</f>
        <v>-8.6891525740445674E-3</v>
      </c>
      <c r="IY134" s="66">
        <f>IY133/IR133-1</f>
        <v>-6.4252318886333315E-2</v>
      </c>
      <c r="IZ134" s="66">
        <f>IZ133/IS133-1</f>
        <v>-4.025642004044705E-2</v>
      </c>
      <c r="JA134" s="66">
        <f>JA133/IT133-1</f>
        <v>-4.1589293634417657E-2</v>
      </c>
      <c r="JC134" s="111" t="s">
        <v>3</v>
      </c>
      <c r="JD134" s="66">
        <f>JD133/IW133-1</f>
        <v>-4.2749256807089964E-2</v>
      </c>
      <c r="JE134" s="66">
        <f>JE133/IX133-1</f>
        <v>-4.5676564080672666E-2</v>
      </c>
      <c r="JF134" s="66">
        <f>JF133/IY133-1</f>
        <v>-4.0188712213873323E-3</v>
      </c>
      <c r="JG134" s="66">
        <f>JG133/IZ133-1</f>
        <v>-2.839957709215446E-2</v>
      </c>
      <c r="JH134" s="66">
        <f>JH133/JA133-1</f>
        <v>-2.7388614666178035E-2</v>
      </c>
      <c r="JJ134" s="111" t="s">
        <v>3</v>
      </c>
      <c r="JK134" s="66">
        <f>JK133/JD133-1</f>
        <v>-1.9469273313108104E-2</v>
      </c>
      <c r="JL134" s="66">
        <f>JL133/JE133-1</f>
        <v>-8.4085576259488315E-3</v>
      </c>
      <c r="JM134" s="66">
        <f>JM133/JF133-1</f>
        <v>-5.4848188050904412E-4</v>
      </c>
      <c r="JN134" s="66">
        <f>JN133/JG133-1</f>
        <v>-1.7882052184544861E-2</v>
      </c>
      <c r="JO134" s="66">
        <f>JO133/JH133-1</f>
        <v>-1.2743195988595413E-2</v>
      </c>
      <c r="JQ134" s="111" t="s">
        <v>3</v>
      </c>
      <c r="JR134" s="66">
        <f>JR133/JK133-1</f>
        <v>-2.1886416859554836E-2</v>
      </c>
      <c r="JS134" s="66">
        <f>JS133/JL133-1</f>
        <v>-4.2539730741977921E-2</v>
      </c>
      <c r="JT134" s="66">
        <f>JT133/JM133-1</f>
        <v>-5.3456121046469351E-2</v>
      </c>
      <c r="JU134" s="66">
        <f>JU133/JN133-1</f>
        <v>-5.2803319781432934E-2</v>
      </c>
      <c r="JV134" s="66">
        <f>JV133/JO133-1</f>
        <v>-4.1675008139009484E-2</v>
      </c>
      <c r="JX134" s="111" t="s">
        <v>3</v>
      </c>
      <c r="JY134" s="66">
        <f>JY133/JR133-1</f>
        <v>-6.5748237857426783E-2</v>
      </c>
      <c r="JZ134" s="66">
        <f>JZ133/JS133-1</f>
        <v>-2.3333201752654631E-2</v>
      </c>
      <c r="KA134" s="66">
        <f>KA133/JT133-1</f>
        <v>-4.278592653141422E-2</v>
      </c>
      <c r="KB134" s="66">
        <f>KB133/JU133-1</f>
        <v>-4.7412259718593308E-2</v>
      </c>
      <c r="KC134" s="66">
        <f>KC133/JV133-1</f>
        <v>-4.5168060791865416E-2</v>
      </c>
      <c r="KE134" s="111" t="s">
        <v>3</v>
      </c>
      <c r="KF134" s="66">
        <f>KF133/JY133-1</f>
        <v>-2.8345935475845963E-2</v>
      </c>
      <c r="KG134" s="66">
        <f>KG133/JZ133-1</f>
        <v>-5.7621130551815947E-3</v>
      </c>
      <c r="KH134" s="66">
        <f>KH133/KA133-1</f>
        <v>-9.5384391436090787E-3</v>
      </c>
      <c r="KI134" s="66">
        <f>KI133/KB133-1</f>
        <v>4.5123252726657403E-2</v>
      </c>
      <c r="KJ134" s="66">
        <f>KJ133/KC133-1</f>
        <v>-4.2197246123110155E-4</v>
      </c>
      <c r="KL134" s="111" t="s">
        <v>3</v>
      </c>
      <c r="KM134" s="66">
        <f>KM133/KF133-1</f>
        <v>2.9673965379976686E-2</v>
      </c>
      <c r="KN134" s="66">
        <f>KN133/KG133-1</f>
        <v>9.4291102348706968E-3</v>
      </c>
      <c r="KO134" s="66">
        <f>KO133/KH133-1</f>
        <v>7.1276662020676174E-2</v>
      </c>
      <c r="KP134" s="66">
        <f>KP133/KI133-1</f>
        <v>1.7332467826476794E-2</v>
      </c>
      <c r="KQ134" s="66">
        <f>KQ133/KJ133-1</f>
        <v>3.1197287902239079E-2</v>
      </c>
      <c r="KS134" s="111" t="s">
        <v>3</v>
      </c>
      <c r="KT134" s="66">
        <f>KT133/KM133-1</f>
        <v>1.1136051305542516E-2</v>
      </c>
      <c r="KU134" s="66">
        <f>KU133/KN133-1</f>
        <v>3.3687701603743569E-2</v>
      </c>
      <c r="KV134" s="112">
        <f>KV133/KO133-1</f>
        <v>6.6153259797327335E-2</v>
      </c>
      <c r="KW134" s="66">
        <f>KW133/KP133-1</f>
        <v>-1.0957336795088812E-3</v>
      </c>
      <c r="KX134" s="66">
        <f>KX133/KQ133-1</f>
        <v>2.6514984481326831E-2</v>
      </c>
      <c r="KZ134" s="111" t="s">
        <v>3</v>
      </c>
      <c r="LA134" s="66">
        <f>LA133/KT133-1</f>
        <v>-1.2573641601507535E-2</v>
      </c>
      <c r="LB134" s="66">
        <f>LB133/KU133-1</f>
        <v>-3.4067185424179081E-2</v>
      </c>
      <c r="LC134" s="66">
        <f>LC133/KV133-1</f>
        <v>-0.10059931775777242</v>
      </c>
      <c r="LD134" s="66">
        <f>LD133/KW133-1</f>
        <v>-1.7734699517258701E-2</v>
      </c>
      <c r="LE134" s="49">
        <f>LE133/KX133-1</f>
        <v>-4.1007283895034718E-2</v>
      </c>
      <c r="LF134" s="585"/>
      <c r="LG134" s="520" t="s">
        <v>3</v>
      </c>
      <c r="LH134" s="66">
        <f>LH133/LA133-1</f>
        <v>-2.0870188964873693E-2</v>
      </c>
      <c r="LI134" s="66">
        <f>LI133/LB133-1</f>
        <v>9.2678405931418961E-3</v>
      </c>
      <c r="LJ134" s="66">
        <f>LJ133/LC133-1</f>
        <v>-6.8678932670594994E-3</v>
      </c>
      <c r="LK134" s="66">
        <f>LK133/LD133-1</f>
        <v>-2.0623779749400661E-2</v>
      </c>
      <c r="LL134" s="49">
        <f>LL133/LE133-1</f>
        <v>-1.0139335479907752E-2</v>
      </c>
      <c r="LM134" s="585"/>
      <c r="LN134" s="520" t="s">
        <v>3</v>
      </c>
      <c r="LO134" s="519">
        <v>-5.0000000000000001E-3</v>
      </c>
      <c r="LP134" s="519">
        <v>-0.01</v>
      </c>
      <c r="LQ134" s="519">
        <v>-0.01</v>
      </c>
      <c r="LR134" s="519">
        <v>-0.01</v>
      </c>
      <c r="LS134" s="49">
        <f>LS133/LL133-1</f>
        <v>-8.8354203554869004E-3</v>
      </c>
      <c r="LT134" s="585"/>
      <c r="LU134" s="520" t="s">
        <v>3</v>
      </c>
      <c r="LV134" s="519">
        <v>-8.0000000000000002E-3</v>
      </c>
      <c r="LW134" s="519">
        <v>-8.0000000000000002E-3</v>
      </c>
      <c r="LX134" s="519">
        <v>-8.0000000000000002E-3</v>
      </c>
      <c r="LY134" s="519">
        <v>-8.0000000000000002E-3</v>
      </c>
      <c r="LZ134" s="49">
        <f>LZ133/LS133-1</f>
        <v>-7.9944825753701654E-3</v>
      </c>
      <c r="MA134" s="585"/>
      <c r="MB134" s="520" t="s">
        <v>3</v>
      </c>
      <c r="MC134" s="519">
        <v>-5.0000000000000001E-3</v>
      </c>
      <c r="MD134" s="519">
        <v>-5.0000000000000001E-3</v>
      </c>
      <c r="ME134" s="519">
        <v>-2.5000000000000001E-3</v>
      </c>
      <c r="MF134" s="519">
        <v>-2.5000000000000001E-3</v>
      </c>
      <c r="MG134" s="49">
        <f>MG133/LZ133-1</f>
        <v>-3.7571897527097775E-3</v>
      </c>
      <c r="MH134" s="585"/>
    </row>
    <row r="135" spans="1:346" s="37" customFormat="1" ht="13.15" x14ac:dyDescent="0.4">
      <c r="A135" s="100"/>
      <c r="B135" s="282"/>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O135" s="282"/>
      <c r="BP135" s="66"/>
      <c r="BQ135" s="66"/>
      <c r="BR135" s="66"/>
      <c r="BS135" s="66"/>
      <c r="BT135" s="66"/>
      <c r="BV135" s="282"/>
      <c r="BW135" s="66"/>
      <c r="BX135" s="66"/>
      <c r="BY135" s="66"/>
      <c r="BZ135" s="66"/>
      <c r="CA135" s="66"/>
      <c r="CC135" s="282"/>
      <c r="CD135" s="66"/>
      <c r="CE135" s="66"/>
      <c r="CF135" s="66"/>
      <c r="CG135" s="66"/>
      <c r="CH135" s="66"/>
      <c r="CJ135" s="282"/>
      <c r="CK135" s="66"/>
      <c r="CL135" s="66"/>
      <c r="CM135" s="66"/>
      <c r="CN135" s="66"/>
      <c r="CO135" s="66"/>
      <c r="CQ135" s="282"/>
      <c r="CR135" s="66"/>
      <c r="CS135" s="66"/>
      <c r="CT135" s="66"/>
      <c r="CU135" s="66"/>
      <c r="CV135" s="66"/>
      <c r="CX135" s="282"/>
      <c r="CY135" s="66"/>
      <c r="CZ135" s="66"/>
      <c r="DA135" s="66"/>
      <c r="DB135" s="66"/>
      <c r="DC135" s="66"/>
      <c r="DE135" s="282"/>
      <c r="DF135" s="66"/>
      <c r="DG135" s="66"/>
      <c r="DH135" s="66"/>
      <c r="DI135" s="66"/>
      <c r="DJ135" s="66"/>
      <c r="DL135" s="282"/>
      <c r="DM135" s="66"/>
      <c r="DN135" s="66"/>
      <c r="DO135" s="66"/>
      <c r="DP135" s="66"/>
      <c r="DQ135" s="66"/>
      <c r="DS135" s="282"/>
      <c r="DT135" s="66"/>
      <c r="DU135" s="66"/>
      <c r="DV135" s="66"/>
      <c r="DW135" s="66"/>
      <c r="DX135" s="66"/>
      <c r="DZ135" s="282"/>
      <c r="EA135" s="66"/>
      <c r="EB135" s="66"/>
      <c r="EC135" s="66"/>
      <c r="ED135" s="66"/>
      <c r="EE135" s="66"/>
      <c r="EG135" s="282"/>
      <c r="EH135" s="66"/>
      <c r="EI135" s="66"/>
      <c r="EJ135" s="66"/>
      <c r="EK135" s="66"/>
      <c r="EL135" s="66"/>
      <c r="EN135" s="282"/>
      <c r="EO135" s="66"/>
      <c r="EP135" s="66"/>
      <c r="EQ135" s="66"/>
      <c r="ER135" s="66"/>
      <c r="ES135" s="66"/>
      <c r="EU135" s="282"/>
      <c r="EV135" s="66"/>
      <c r="EW135" s="66"/>
      <c r="EX135" s="66"/>
      <c r="EY135" s="66"/>
      <c r="EZ135" s="66"/>
      <c r="FB135" s="282"/>
      <c r="FC135" s="66"/>
      <c r="FD135" s="66"/>
      <c r="FE135" s="66"/>
      <c r="FF135" s="66"/>
      <c r="FG135" s="66"/>
      <c r="FI135" s="282"/>
      <c r="FJ135" s="66"/>
      <c r="FK135" s="66"/>
      <c r="FL135" s="66"/>
      <c r="FM135" s="66"/>
      <c r="FN135" s="66"/>
      <c r="FP135" s="282"/>
      <c r="FQ135" s="66"/>
      <c r="FR135" s="66"/>
      <c r="FS135" s="66"/>
      <c r="FT135" s="66"/>
      <c r="FU135" s="66"/>
      <c r="FW135" s="282"/>
      <c r="FX135" s="66"/>
      <c r="FY135" s="66"/>
      <c r="FZ135" s="66"/>
      <c r="GA135" s="66"/>
      <c r="GB135" s="66"/>
      <c r="GD135" s="282"/>
      <c r="GE135" s="66"/>
      <c r="GF135" s="66"/>
      <c r="GG135" s="66"/>
      <c r="GH135" s="66"/>
      <c r="GI135" s="66"/>
      <c r="GK135" s="282"/>
      <c r="GL135" s="66"/>
      <c r="GM135" s="66"/>
      <c r="GN135" s="66"/>
      <c r="GO135" s="66"/>
      <c r="GP135" s="66"/>
      <c r="GR135" s="282"/>
      <c r="GS135" s="66"/>
      <c r="GT135" s="66"/>
      <c r="GU135" s="66"/>
      <c r="GV135" s="66"/>
      <c r="GW135" s="66"/>
      <c r="GY135" s="282"/>
      <c r="GZ135" s="66"/>
      <c r="HA135" s="66"/>
      <c r="HB135" s="66"/>
      <c r="HC135" s="66"/>
      <c r="HD135" s="66"/>
      <c r="HF135" s="282"/>
      <c r="HG135" s="66"/>
      <c r="HH135" s="66"/>
      <c r="HI135" s="66"/>
      <c r="HJ135" s="66"/>
      <c r="HK135" s="66"/>
      <c r="HM135" s="282"/>
      <c r="HN135" s="66"/>
      <c r="HO135" s="66"/>
      <c r="HP135" s="66"/>
      <c r="HQ135" s="66"/>
      <c r="HR135" s="66"/>
      <c r="HT135" s="282"/>
      <c r="HU135" s="66"/>
      <c r="HV135" s="66"/>
      <c r="HW135" s="66"/>
      <c r="HX135" s="66"/>
      <c r="HY135" s="66"/>
      <c r="IA135" s="282"/>
      <c r="IB135" s="66"/>
      <c r="IC135" s="66"/>
      <c r="ID135" s="66"/>
      <c r="IE135" s="66"/>
      <c r="IF135" s="66"/>
      <c r="IH135" s="282"/>
      <c r="II135" s="66"/>
      <c r="IJ135" s="66"/>
      <c r="IK135" s="66"/>
      <c r="IL135" s="66"/>
      <c r="IM135" s="66"/>
      <c r="IO135" s="282"/>
      <c r="IP135" s="66"/>
      <c r="IQ135" s="66"/>
      <c r="IR135" s="66"/>
      <c r="IS135" s="66"/>
      <c r="IT135" s="66"/>
      <c r="IV135" s="282"/>
      <c r="IW135" s="66"/>
      <c r="IX135" s="66"/>
      <c r="IY135" s="66"/>
      <c r="IZ135" s="66"/>
      <c r="JA135" s="66"/>
      <c r="JC135" s="282"/>
      <c r="JD135" s="66"/>
      <c r="JE135" s="66"/>
      <c r="JF135" s="66"/>
      <c r="JG135" s="66"/>
      <c r="JH135" s="66"/>
      <c r="JJ135" s="282"/>
      <c r="JK135" s="66"/>
      <c r="JL135" s="66"/>
      <c r="JM135" s="66"/>
      <c r="JN135" s="66"/>
      <c r="JO135" s="66"/>
      <c r="JQ135" s="282"/>
      <c r="JR135" s="66"/>
      <c r="JS135" s="66"/>
      <c r="JT135" s="66"/>
      <c r="JU135" s="66"/>
      <c r="JV135" s="66"/>
      <c r="JX135" s="282"/>
      <c r="JY135" s="66"/>
      <c r="JZ135" s="66"/>
      <c r="KA135" s="66"/>
      <c r="KB135" s="66"/>
      <c r="KC135" s="66"/>
      <c r="KE135" s="282"/>
      <c r="KF135" s="66"/>
      <c r="KG135" s="66"/>
      <c r="KH135" s="66"/>
      <c r="KI135" s="66"/>
      <c r="KJ135" s="66"/>
      <c r="KL135" s="282"/>
      <c r="KM135" s="66"/>
      <c r="KN135" s="66"/>
      <c r="KO135" s="66"/>
      <c r="KP135" s="66"/>
      <c r="KQ135" s="66"/>
      <c r="KS135" s="282"/>
      <c r="KT135" s="66"/>
      <c r="KU135" s="66"/>
      <c r="KV135" s="283"/>
      <c r="KW135" s="284"/>
      <c r="KX135" s="66"/>
      <c r="KZ135" s="282"/>
      <c r="LA135" s="66"/>
      <c r="LB135" s="283"/>
      <c r="LC135" s="283"/>
      <c r="LD135" s="283"/>
      <c r="LE135" s="49"/>
      <c r="LF135" s="581"/>
      <c r="LG135" s="282"/>
      <c r="LH135" s="66"/>
      <c r="LI135" s="283"/>
      <c r="LJ135" s="283"/>
      <c r="LK135" s="283"/>
      <c r="LL135" s="49"/>
      <c r="LM135" s="581"/>
      <c r="LN135" s="282"/>
      <c r="LO135" s="283"/>
      <c r="LP135" s="283"/>
      <c r="LQ135" s="283"/>
      <c r="LR135" s="738"/>
      <c r="LS135" s="49"/>
      <c r="LT135" s="581"/>
      <c r="LU135" s="282"/>
      <c r="LV135" s="283"/>
      <c r="LW135" s="283"/>
      <c r="LX135" s="283"/>
      <c r="LY135" s="283"/>
      <c r="LZ135" s="49"/>
      <c r="MA135" s="581"/>
      <c r="MB135" s="282"/>
      <c r="MC135" s="283"/>
      <c r="MD135" s="283"/>
      <c r="ME135" s="283"/>
      <c r="MF135" s="283"/>
      <c r="MG135" s="49"/>
      <c r="MH135" s="581"/>
    </row>
    <row r="136" spans="1:346" s="53" customFormat="1" ht="13.15" x14ac:dyDescent="0.4">
      <c r="A136" s="100"/>
      <c r="B136" s="285" t="s">
        <v>238</v>
      </c>
      <c r="C136" s="286"/>
      <c r="D136" s="286"/>
      <c r="E136" s="286"/>
      <c r="F136" s="286"/>
      <c r="G136" s="286"/>
      <c r="H136" s="286"/>
      <c r="I136" s="286"/>
      <c r="J136" s="286"/>
      <c r="K136" s="286"/>
      <c r="L136" s="286"/>
      <c r="M136" s="286"/>
      <c r="N136" s="286">
        <f>BT136</f>
        <v>0</v>
      </c>
      <c r="O136" s="286">
        <f>CA136</f>
        <v>0</v>
      </c>
      <c r="P136" s="286">
        <f>CH136</f>
        <v>0</v>
      </c>
      <c r="Q136" s="286">
        <f>CO136</f>
        <v>0</v>
      </c>
      <c r="R136" s="286">
        <f>CV136</f>
        <v>0</v>
      </c>
      <c r="S136" s="286">
        <f>DC136</f>
        <v>0</v>
      </c>
      <c r="T136" s="286">
        <f>DJ136</f>
        <v>0</v>
      </c>
      <c r="U136" s="286">
        <f>DQ136</f>
        <v>0</v>
      </c>
      <c r="V136" s="286">
        <f>DX136</f>
        <v>0</v>
      </c>
      <c r="W136" s="286">
        <f>EE136</f>
        <v>0</v>
      </c>
      <c r="X136" s="286">
        <f>EL136</f>
        <v>0</v>
      </c>
      <c r="Y136" s="286">
        <f>ES136</f>
        <v>0</v>
      </c>
      <c r="Z136" s="286">
        <f>EZ136</f>
        <v>0</v>
      </c>
      <c r="AA136" s="286">
        <f>FG136</f>
        <v>0</v>
      </c>
      <c r="AB136" s="286">
        <f>FN136</f>
        <v>0</v>
      </c>
      <c r="AC136" s="286">
        <f>FU136</f>
        <v>0</v>
      </c>
      <c r="AD136" s="286">
        <f>GB136</f>
        <v>463.7</v>
      </c>
      <c r="AE136" s="286">
        <f>GI136</f>
        <v>474.4</v>
      </c>
      <c r="AF136" s="286">
        <f>GP136</f>
        <v>458.2</v>
      </c>
      <c r="AG136" s="286">
        <f>GW136</f>
        <v>449.6</v>
      </c>
      <c r="AH136" s="286">
        <f>HD136</f>
        <v>381.5</v>
      </c>
      <c r="AI136" s="286">
        <f>HK136</f>
        <v>417.9</v>
      </c>
      <c r="AJ136" s="286">
        <f>HR136</f>
        <v>420.7</v>
      </c>
      <c r="AK136" s="286">
        <f>HY136</f>
        <v>408.9</v>
      </c>
      <c r="AL136" s="286">
        <f>IF136</f>
        <v>417.2</v>
      </c>
      <c r="AM136" s="286">
        <f>IM136</f>
        <v>445.9</v>
      </c>
      <c r="AN136" s="286">
        <f>IT136</f>
        <v>426.1</v>
      </c>
      <c r="AO136" s="286">
        <f>JA136</f>
        <v>398.9</v>
      </c>
      <c r="AP136" s="286">
        <f>JH136</f>
        <v>400.1</v>
      </c>
      <c r="AQ136" s="286">
        <f>JO136</f>
        <v>402.7</v>
      </c>
      <c r="AR136" s="286">
        <f>JV136</f>
        <v>388.3</v>
      </c>
      <c r="AS136" s="286">
        <f>KC136</f>
        <v>358.3</v>
      </c>
      <c r="AT136" s="286">
        <f>KJ136</f>
        <v>376</v>
      </c>
      <c r="AU136" s="286">
        <f>KQ136</f>
        <v>375.5</v>
      </c>
      <c r="AV136" s="286">
        <f>KX136</f>
        <v>381.3</v>
      </c>
      <c r="AW136" s="286">
        <f>LE136</f>
        <v>384</v>
      </c>
      <c r="AX136" s="286">
        <f>LL136</f>
        <v>386.9</v>
      </c>
      <c r="AY136" s="286">
        <f>LS136</f>
        <v>395.9920659345218</v>
      </c>
      <c r="AZ136" s="286">
        <f>LZ136</f>
        <v>406.01322766302616</v>
      </c>
      <c r="BA136" s="286">
        <f>MG136</f>
        <v>415.79228576358139</v>
      </c>
      <c r="BB136" s="286"/>
      <c r="BC136" s="286"/>
      <c r="BD136" s="286"/>
      <c r="BE136" s="286"/>
      <c r="BF136" s="286"/>
      <c r="BG136" s="286"/>
      <c r="BH136" s="286"/>
      <c r="BI136" s="286"/>
      <c r="BJ136" s="286"/>
      <c r="BK136" s="286"/>
      <c r="BL136" s="286"/>
      <c r="BM136" s="286"/>
      <c r="BO136" s="285" t="s">
        <v>238</v>
      </c>
      <c r="BP136" s="287"/>
      <c r="BQ136" s="287"/>
      <c r="BR136" s="287"/>
      <c r="BS136" s="287"/>
      <c r="BT136" s="287"/>
      <c r="BV136" s="285" t="s">
        <v>238</v>
      </c>
      <c r="BW136" s="287"/>
      <c r="BX136" s="287"/>
      <c r="BY136" s="287"/>
      <c r="BZ136" s="287"/>
      <c r="CA136" s="287"/>
      <c r="CC136" s="285" t="s">
        <v>238</v>
      </c>
      <c r="CD136" s="287"/>
      <c r="CE136" s="287"/>
      <c r="CF136" s="287"/>
      <c r="CG136" s="287"/>
      <c r="CH136" s="287"/>
      <c r="CJ136" s="285" t="s">
        <v>238</v>
      </c>
      <c r="CK136" s="287"/>
      <c r="CL136" s="287"/>
      <c r="CM136" s="287"/>
      <c r="CN136" s="287"/>
      <c r="CO136" s="287"/>
      <c r="CQ136" s="285" t="s">
        <v>238</v>
      </c>
      <c r="CR136" s="287"/>
      <c r="CS136" s="287"/>
      <c r="CT136" s="287"/>
      <c r="CU136" s="287"/>
      <c r="CV136" s="287"/>
      <c r="CX136" s="285" t="s">
        <v>238</v>
      </c>
      <c r="CY136" s="287"/>
      <c r="CZ136" s="287"/>
      <c r="DA136" s="287"/>
      <c r="DB136" s="287"/>
      <c r="DC136" s="287"/>
      <c r="DE136" s="285" t="s">
        <v>238</v>
      </c>
      <c r="DF136" s="287"/>
      <c r="DG136" s="287"/>
      <c r="DH136" s="287"/>
      <c r="DI136" s="287"/>
      <c r="DJ136" s="287"/>
      <c r="DL136" s="285" t="s">
        <v>238</v>
      </c>
      <c r="DM136" s="287"/>
      <c r="DN136" s="287"/>
      <c r="DO136" s="287"/>
      <c r="DP136" s="287"/>
      <c r="DQ136" s="287"/>
      <c r="DS136" s="285" t="s">
        <v>238</v>
      </c>
      <c r="DT136" s="287"/>
      <c r="DU136" s="287"/>
      <c r="DV136" s="287"/>
      <c r="DW136" s="287"/>
      <c r="DX136" s="287"/>
      <c r="DZ136" s="285" t="s">
        <v>238</v>
      </c>
      <c r="EA136" s="287"/>
      <c r="EB136" s="287"/>
      <c r="EC136" s="287"/>
      <c r="ED136" s="287"/>
      <c r="EE136" s="287"/>
      <c r="EG136" s="285" t="s">
        <v>238</v>
      </c>
      <c r="EH136" s="287"/>
      <c r="EI136" s="287"/>
      <c r="EJ136" s="287"/>
      <c r="EK136" s="287"/>
      <c r="EL136" s="287"/>
      <c r="EN136" s="285" t="s">
        <v>238</v>
      </c>
      <c r="EO136" s="287"/>
      <c r="EP136" s="287"/>
      <c r="EQ136" s="287"/>
      <c r="ER136" s="287"/>
      <c r="ES136" s="287"/>
      <c r="EU136" s="285" t="s">
        <v>238</v>
      </c>
      <c r="EV136" s="287"/>
      <c r="EW136" s="287"/>
      <c r="EX136" s="287"/>
      <c r="EY136" s="287"/>
      <c r="EZ136" s="287"/>
      <c r="FB136" s="285" t="s">
        <v>238</v>
      </c>
      <c r="FC136" s="287"/>
      <c r="FD136" s="287"/>
      <c r="FE136" s="287"/>
      <c r="FF136" s="287"/>
      <c r="FG136" s="287"/>
      <c r="FI136" s="285" t="s">
        <v>238</v>
      </c>
      <c r="FJ136" s="287"/>
      <c r="FK136" s="287"/>
      <c r="FL136" s="287"/>
      <c r="FM136" s="287"/>
      <c r="FN136" s="287"/>
      <c r="FP136" s="285" t="s">
        <v>238</v>
      </c>
      <c r="FQ136" s="287"/>
      <c r="FR136" s="287"/>
      <c r="FS136" s="287"/>
      <c r="FT136" s="287"/>
      <c r="FU136" s="287"/>
      <c r="FW136" s="285" t="s">
        <v>238</v>
      </c>
      <c r="FX136" s="287">
        <v>116.7</v>
      </c>
      <c r="FY136" s="287">
        <v>117.2</v>
      </c>
      <c r="FZ136" s="287">
        <v>113.7</v>
      </c>
      <c r="GA136" s="287">
        <v>116.3</v>
      </c>
      <c r="GB136" s="287">
        <v>463.7</v>
      </c>
      <c r="GD136" s="285" t="s">
        <v>238</v>
      </c>
      <c r="GE136" s="287">
        <v>119.1</v>
      </c>
      <c r="GF136" s="287">
        <v>119.1</v>
      </c>
      <c r="GG136" s="287">
        <v>116.6</v>
      </c>
      <c r="GH136" s="287">
        <v>117.1</v>
      </c>
      <c r="GI136" s="287">
        <v>474.4</v>
      </c>
      <c r="GK136" s="285" t="s">
        <v>238</v>
      </c>
      <c r="GL136" s="287">
        <v>114</v>
      </c>
      <c r="GM136" s="287">
        <v>118.6</v>
      </c>
      <c r="GN136" s="287">
        <v>113.2</v>
      </c>
      <c r="GO136" s="287">
        <v>112.6</v>
      </c>
      <c r="GP136" s="287">
        <v>458.2</v>
      </c>
      <c r="GR136" s="285" t="s">
        <v>238</v>
      </c>
      <c r="GS136" s="287">
        <v>113.5</v>
      </c>
      <c r="GT136" s="287">
        <v>116.2</v>
      </c>
      <c r="GU136" s="287">
        <v>113.3</v>
      </c>
      <c r="GV136" s="287">
        <v>106.5</v>
      </c>
      <c r="GW136" s="287">
        <v>449.6</v>
      </c>
      <c r="GY136" s="285" t="s">
        <v>238</v>
      </c>
      <c r="GZ136" s="287">
        <v>100.3</v>
      </c>
      <c r="HA136" s="287">
        <v>94.4</v>
      </c>
      <c r="HB136" s="287">
        <v>95.9</v>
      </c>
      <c r="HC136" s="287">
        <v>95.4</v>
      </c>
      <c r="HD136" s="287">
        <v>381.5</v>
      </c>
      <c r="HF136" s="285" t="s">
        <v>238</v>
      </c>
      <c r="HG136" s="287">
        <v>99.7</v>
      </c>
      <c r="HH136" s="287">
        <v>105</v>
      </c>
      <c r="HI136" s="287">
        <v>103</v>
      </c>
      <c r="HJ136" s="287">
        <v>110.2</v>
      </c>
      <c r="HK136" s="287">
        <v>417.9</v>
      </c>
      <c r="HM136" s="285" t="s">
        <v>238</v>
      </c>
      <c r="HN136" s="287">
        <v>104.5</v>
      </c>
      <c r="HO136" s="287">
        <v>107.2</v>
      </c>
      <c r="HP136" s="287">
        <v>103.4</v>
      </c>
      <c r="HQ136" s="287">
        <v>105.6</v>
      </c>
      <c r="HR136" s="287">
        <v>420.7</v>
      </c>
      <c r="HT136" s="285" t="s">
        <v>238</v>
      </c>
      <c r="HU136" s="287">
        <v>104.3</v>
      </c>
      <c r="HV136" s="287">
        <v>103.7</v>
      </c>
      <c r="HW136" s="287">
        <v>100.3</v>
      </c>
      <c r="HX136" s="287">
        <v>100.6</v>
      </c>
      <c r="HY136" s="287">
        <v>408.9</v>
      </c>
      <c r="IA136" s="285" t="s">
        <v>238</v>
      </c>
      <c r="IB136" s="287">
        <v>102.2</v>
      </c>
      <c r="IC136" s="287">
        <v>105.5</v>
      </c>
      <c r="ID136" s="287">
        <v>102.7</v>
      </c>
      <c r="IE136" s="287">
        <v>106.8</v>
      </c>
      <c r="IF136" s="287">
        <v>417.2</v>
      </c>
      <c r="IH136" s="285" t="s">
        <v>238</v>
      </c>
      <c r="II136" s="287">
        <v>104.8</v>
      </c>
      <c r="IJ136" s="287">
        <v>114.2</v>
      </c>
      <c r="IK136" s="287">
        <v>112.4</v>
      </c>
      <c r="IL136" s="287">
        <v>114.5</v>
      </c>
      <c r="IM136" s="287">
        <v>445.9</v>
      </c>
      <c r="IO136" s="285" t="s">
        <v>238</v>
      </c>
      <c r="IP136" s="287">
        <v>107.3</v>
      </c>
      <c r="IQ136" s="287">
        <v>111</v>
      </c>
      <c r="IR136" s="287">
        <v>105.5</v>
      </c>
      <c r="IS136" s="287">
        <v>102.4</v>
      </c>
      <c r="IT136" s="287">
        <v>426.1</v>
      </c>
      <c r="IV136" s="285" t="s">
        <v>238</v>
      </c>
      <c r="IW136" s="287">
        <v>95.9</v>
      </c>
      <c r="IX136" s="287">
        <v>97.3</v>
      </c>
      <c r="IY136" s="287">
        <v>96.9</v>
      </c>
      <c r="IZ136" s="287">
        <v>107.7</v>
      </c>
      <c r="JA136" s="287">
        <v>398.9</v>
      </c>
      <c r="JC136" s="285" t="s">
        <v>238</v>
      </c>
      <c r="JD136" s="287">
        <v>101.6</v>
      </c>
      <c r="JE136" s="287">
        <v>100.9</v>
      </c>
      <c r="JF136" s="287">
        <v>97</v>
      </c>
      <c r="JG136" s="287">
        <v>100.6</v>
      </c>
      <c r="JH136" s="287">
        <v>400.1</v>
      </c>
      <c r="JJ136" s="285" t="s">
        <v>238</v>
      </c>
      <c r="JK136" s="287">
        <v>96.3</v>
      </c>
      <c r="JL136" s="287">
        <v>103.5</v>
      </c>
      <c r="JM136" s="287">
        <v>102.1</v>
      </c>
      <c r="JN136" s="287">
        <v>100.9</v>
      </c>
      <c r="JO136" s="287">
        <v>402.7</v>
      </c>
      <c r="JQ136" s="285" t="s">
        <v>238</v>
      </c>
      <c r="JR136" s="287">
        <v>96.7</v>
      </c>
      <c r="JS136" s="287">
        <v>99.9</v>
      </c>
      <c r="JT136" s="287">
        <v>97.1</v>
      </c>
      <c r="JU136" s="287">
        <v>94.7</v>
      </c>
      <c r="JV136" s="287">
        <v>388.3</v>
      </c>
      <c r="JX136" s="285" t="s">
        <v>238</v>
      </c>
      <c r="JY136" s="287">
        <v>95.3</v>
      </c>
      <c r="JZ136" s="287">
        <v>77</v>
      </c>
      <c r="KA136" s="287">
        <v>90.3</v>
      </c>
      <c r="KB136" s="287">
        <v>95.7</v>
      </c>
      <c r="KC136" s="287">
        <f>SUM(JY136:KB136)</f>
        <v>358.3</v>
      </c>
      <c r="KE136" s="285" t="s">
        <v>238</v>
      </c>
      <c r="KF136" s="287">
        <v>93.4</v>
      </c>
      <c r="KG136" s="287">
        <v>96</v>
      </c>
      <c r="KH136" s="287">
        <v>92.9</v>
      </c>
      <c r="KI136" s="287">
        <v>93.7</v>
      </c>
      <c r="KJ136" s="287">
        <f>SUM(KF136:KI136)</f>
        <v>376</v>
      </c>
      <c r="KL136" s="285" t="s">
        <v>238</v>
      </c>
      <c r="KM136" s="287">
        <v>91.4</v>
      </c>
      <c r="KN136" s="287">
        <v>95</v>
      </c>
      <c r="KO136" s="287">
        <v>95.3</v>
      </c>
      <c r="KP136" s="287">
        <v>93.8</v>
      </c>
      <c r="KQ136" s="287">
        <f>SUM(KM136:KP136)</f>
        <v>375.5</v>
      </c>
      <c r="KS136" s="285" t="s">
        <v>238</v>
      </c>
      <c r="KT136" s="287">
        <v>94.4</v>
      </c>
      <c r="KU136" s="287">
        <v>95.7</v>
      </c>
      <c r="KV136" s="286">
        <v>94.5</v>
      </c>
      <c r="KW136" s="287">
        <v>96.7</v>
      </c>
      <c r="KX136" s="287">
        <f>SUM(KT136:KW136)</f>
        <v>381.3</v>
      </c>
      <c r="KZ136" s="285" t="s">
        <v>238</v>
      </c>
      <c r="LA136" s="287">
        <v>95.8</v>
      </c>
      <c r="LB136" s="286">
        <v>96.8</v>
      </c>
      <c r="LC136" s="286">
        <v>95.7</v>
      </c>
      <c r="LD136" s="286">
        <v>95.7</v>
      </c>
      <c r="LE136" s="286">
        <f>SUM(LA136:LD136)</f>
        <v>384</v>
      </c>
      <c r="LF136" s="573"/>
      <c r="LG136" s="285" t="s">
        <v>238</v>
      </c>
      <c r="LH136" s="287">
        <v>93.9</v>
      </c>
      <c r="LI136" s="286">
        <v>99.6</v>
      </c>
      <c r="LJ136" s="286">
        <v>98.8</v>
      </c>
      <c r="LK136" s="286">
        <v>94.6</v>
      </c>
      <c r="LL136" s="286">
        <f>SUM(LH136:LK136)</f>
        <v>386.9</v>
      </c>
      <c r="LM136" s="573"/>
      <c r="LN136" s="285" t="s">
        <v>238</v>
      </c>
      <c r="LO136" s="286">
        <f>LH136*(1+LO137)</f>
        <v>95.484794466403159</v>
      </c>
      <c r="LP136" s="286">
        <f>LI136*(1+LP137)</f>
        <v>101.2292164556962</v>
      </c>
      <c r="LQ136" s="286">
        <f>LJ136*(1+LQ137)</f>
        <v>101.16120967741935</v>
      </c>
      <c r="LR136" s="286">
        <f>LK136*(1+LR137)</f>
        <v>98.11684533500312</v>
      </c>
      <c r="LS136" s="286">
        <f>SUM(LO136:LR136)</f>
        <v>395.9920659345218</v>
      </c>
      <c r="LT136" s="573"/>
      <c r="LU136" s="285" t="s">
        <v>238</v>
      </c>
      <c r="LV136" s="286">
        <f>LO136*(1+LV137)</f>
        <v>97.911404288537526</v>
      </c>
      <c r="LW136" s="286">
        <f>LP136*(1+LW137)</f>
        <v>103.86927993037976</v>
      </c>
      <c r="LX136" s="286">
        <f>LQ136*(1+LX137)</f>
        <v>103.67770298387096</v>
      </c>
      <c r="LY136" s="286">
        <f>LR136*(1+LY137)</f>
        <v>100.55484046023793</v>
      </c>
      <c r="LZ136" s="286">
        <f>SUM(LV136:LY136)</f>
        <v>406.01322766302616</v>
      </c>
      <c r="MA136" s="573"/>
      <c r="MB136" s="285" t="s">
        <v>238</v>
      </c>
      <c r="MC136" s="286">
        <f>LV136*(1+MC137)</f>
        <v>100.32757587769267</v>
      </c>
      <c r="MD136" s="286">
        <f>LW136*(1+MD137)</f>
        <v>106.40302138215191</v>
      </c>
      <c r="ME136" s="286">
        <f>LX136*(1+ME137)</f>
        <v>106.15767972298387</v>
      </c>
      <c r="MF136" s="286">
        <f>LY136*(1+MF137)</f>
        <v>102.90400878075296</v>
      </c>
      <c r="MG136" s="286">
        <f>SUM(MC136:MF136)</f>
        <v>415.79228576358139</v>
      </c>
      <c r="MH136" s="573"/>
    </row>
    <row r="137" spans="1:346" s="37" customFormat="1" ht="13.15" x14ac:dyDescent="0.4">
      <c r="A137" s="100"/>
      <c r="B137" s="111" t="s">
        <v>3</v>
      </c>
      <c r="C137" s="112"/>
      <c r="D137" s="112"/>
      <c r="E137" s="112"/>
      <c r="F137" s="112"/>
      <c r="G137" s="112"/>
      <c r="H137" s="112"/>
      <c r="I137" s="112"/>
      <c r="J137" s="112"/>
      <c r="K137" s="112"/>
      <c r="L137" s="112"/>
      <c r="M137" s="112"/>
      <c r="N137" s="112">
        <f>BT137</f>
        <v>0</v>
      </c>
      <c r="O137" s="112">
        <f>CA137</f>
        <v>0</v>
      </c>
      <c r="P137" s="112">
        <f>CH137</f>
        <v>0</v>
      </c>
      <c r="Q137" s="112">
        <f>CO137</f>
        <v>0</v>
      </c>
      <c r="R137" s="112">
        <f>CV137</f>
        <v>0</v>
      </c>
      <c r="S137" s="112">
        <f>DC137</f>
        <v>0</v>
      </c>
      <c r="T137" s="112">
        <f>DJ137</f>
        <v>0</v>
      </c>
      <c r="U137" s="112">
        <f>DQ137</f>
        <v>0</v>
      </c>
      <c r="V137" s="112">
        <f>DX137</f>
        <v>0</v>
      </c>
      <c r="W137" s="112">
        <f>EE137</f>
        <v>0</v>
      </c>
      <c r="X137" s="112">
        <f>EL137</f>
        <v>0</v>
      </c>
      <c r="Y137" s="112">
        <f>ES137</f>
        <v>0</v>
      </c>
      <c r="Z137" s="112">
        <f>EZ137</f>
        <v>0</v>
      </c>
      <c r="AA137" s="112">
        <f>FG137</f>
        <v>0</v>
      </c>
      <c r="AB137" s="112">
        <f>FN137</f>
        <v>0</v>
      </c>
      <c r="AC137" s="112">
        <f>FU137</f>
        <v>0</v>
      </c>
      <c r="AD137" s="112" t="str">
        <f>GB137</f>
        <v>-</v>
      </c>
      <c r="AE137" s="112">
        <f>GI137</f>
        <v>2.3075264179426291E-2</v>
      </c>
      <c r="AF137" s="112">
        <f>GP137</f>
        <v>-3.4148397976391243E-2</v>
      </c>
      <c r="AG137" s="112">
        <f>GW137</f>
        <v>-1.8769096464425927E-2</v>
      </c>
      <c r="AH137" s="112">
        <f>HD137</f>
        <v>-0.15146797153024916</v>
      </c>
      <c r="AI137" s="112">
        <f>HK137</f>
        <v>9.5412844036697253E-2</v>
      </c>
      <c r="AJ137" s="112">
        <f>HR137</f>
        <v>6.7001675041875597E-3</v>
      </c>
      <c r="AK137" s="112">
        <f>HY137</f>
        <v>-2.8048490610886656E-2</v>
      </c>
      <c r="AL137" s="112">
        <f>IF137</f>
        <v>2.0298361457569136E-2</v>
      </c>
      <c r="AM137" s="112">
        <f>IM137</f>
        <v>6.8791946308724761E-2</v>
      </c>
      <c r="AN137" s="112">
        <f>IT137</f>
        <v>-4.4404575016819825E-2</v>
      </c>
      <c r="AO137" s="112">
        <f>JA137</f>
        <v>-6.3834780567941896E-2</v>
      </c>
      <c r="AP137" s="112">
        <f>JH137</f>
        <v>3.0082727500628792E-3</v>
      </c>
      <c r="AQ137" s="112">
        <f>JO137</f>
        <v>6.4983754061482824E-3</v>
      </c>
      <c r="AR137" s="112">
        <f>JV137</f>
        <v>-3.5758629252545249E-2</v>
      </c>
      <c r="AS137" s="112">
        <f>KC137</f>
        <v>-7.7259850630955418E-2</v>
      </c>
      <c r="AT137" s="112">
        <f>KJ137</f>
        <v>4.9399944180853916E-2</v>
      </c>
      <c r="AU137" s="112">
        <f>KQ137</f>
        <v>-1.3297872340425343E-3</v>
      </c>
      <c r="AV137" s="112">
        <f>KX137</f>
        <v>1.5446071904127834E-2</v>
      </c>
      <c r="AW137" s="112">
        <f>LE137</f>
        <v>7.0810385523210062E-3</v>
      </c>
      <c r="AX137" s="112">
        <f>LL137</f>
        <v>7.5520833333333481E-3</v>
      </c>
      <c r="AY137" s="112">
        <f>LS137</f>
        <v>2.3499782720397544E-2</v>
      </c>
      <c r="AZ137" s="112">
        <f>LZ137</f>
        <v>2.5306470989147067E-2</v>
      </c>
      <c r="BA137" s="112">
        <f>MG137</f>
        <v>2.4085565282792709E-2</v>
      </c>
      <c r="BB137" s="112"/>
      <c r="BC137" s="112"/>
      <c r="BD137" s="112"/>
      <c r="BE137" s="112"/>
      <c r="BF137" s="112"/>
      <c r="BG137" s="112"/>
      <c r="BH137" s="112"/>
      <c r="BI137" s="112"/>
      <c r="BJ137" s="112"/>
      <c r="BK137" s="112"/>
      <c r="BL137" s="112"/>
      <c r="BM137" s="112"/>
      <c r="BO137" s="111" t="s">
        <v>3</v>
      </c>
      <c r="BP137" s="66"/>
      <c r="BQ137" s="66"/>
      <c r="BR137" s="66"/>
      <c r="BS137" s="66"/>
      <c r="BT137" s="66"/>
      <c r="BV137" s="111" t="s">
        <v>3</v>
      </c>
      <c r="BW137" s="66"/>
      <c r="BX137" s="66"/>
      <c r="BY137" s="66"/>
      <c r="BZ137" s="66"/>
      <c r="CA137" s="66"/>
      <c r="CC137" s="111" t="s">
        <v>3</v>
      </c>
      <c r="CD137" s="66"/>
      <c r="CE137" s="66"/>
      <c r="CF137" s="66"/>
      <c r="CG137" s="66"/>
      <c r="CH137" s="66"/>
      <c r="CJ137" s="111" t="s">
        <v>3</v>
      </c>
      <c r="CK137" s="66"/>
      <c r="CL137" s="66"/>
      <c r="CM137" s="66"/>
      <c r="CN137" s="66"/>
      <c r="CO137" s="66"/>
      <c r="CQ137" s="111" t="s">
        <v>3</v>
      </c>
      <c r="CR137" s="66"/>
      <c r="CS137" s="66"/>
      <c r="CT137" s="66"/>
      <c r="CU137" s="66"/>
      <c r="CV137" s="66"/>
      <c r="CX137" s="111" t="s">
        <v>3</v>
      </c>
      <c r="CY137" s="66"/>
      <c r="CZ137" s="66"/>
      <c r="DA137" s="66"/>
      <c r="DB137" s="66"/>
      <c r="DC137" s="66"/>
      <c r="DE137" s="111" t="s">
        <v>3</v>
      </c>
      <c r="DF137" s="66"/>
      <c r="DG137" s="66"/>
      <c r="DH137" s="66"/>
      <c r="DI137" s="66"/>
      <c r="DJ137" s="66"/>
      <c r="DL137" s="111" t="s">
        <v>3</v>
      </c>
      <c r="DM137" s="66"/>
      <c r="DN137" s="66"/>
      <c r="DO137" s="66"/>
      <c r="DP137" s="66"/>
      <c r="DQ137" s="66"/>
      <c r="DS137" s="111" t="s">
        <v>3</v>
      </c>
      <c r="DT137" s="66"/>
      <c r="DU137" s="66"/>
      <c r="DV137" s="66"/>
      <c r="DW137" s="66"/>
      <c r="DX137" s="66"/>
      <c r="DZ137" s="111" t="s">
        <v>3</v>
      </c>
      <c r="EA137" s="66"/>
      <c r="EB137" s="66"/>
      <c r="EC137" s="66"/>
      <c r="ED137" s="66"/>
      <c r="EE137" s="66"/>
      <c r="EG137" s="111" t="s">
        <v>3</v>
      </c>
      <c r="EH137" s="66"/>
      <c r="EI137" s="66"/>
      <c r="EJ137" s="66"/>
      <c r="EK137" s="66"/>
      <c r="EL137" s="66"/>
      <c r="EN137" s="111" t="s">
        <v>3</v>
      </c>
      <c r="EO137" s="66"/>
      <c r="EP137" s="66"/>
      <c r="EQ137" s="66"/>
      <c r="ER137" s="66"/>
      <c r="ES137" s="66"/>
      <c r="EU137" s="111" t="s">
        <v>3</v>
      </c>
      <c r="EV137" s="66"/>
      <c r="EW137" s="66"/>
      <c r="EX137" s="66"/>
      <c r="EY137" s="66"/>
      <c r="EZ137" s="66"/>
      <c r="FB137" s="111" t="s">
        <v>3</v>
      </c>
      <c r="FC137" s="66"/>
      <c r="FD137" s="66"/>
      <c r="FE137" s="66"/>
      <c r="FF137" s="66"/>
      <c r="FG137" s="66"/>
      <c r="FI137" s="111" t="s">
        <v>3</v>
      </c>
      <c r="FJ137" s="66"/>
      <c r="FK137" s="66"/>
      <c r="FL137" s="66"/>
      <c r="FM137" s="66"/>
      <c r="FN137" s="66"/>
      <c r="FP137" s="111" t="s">
        <v>3</v>
      </c>
      <c r="FQ137" s="66"/>
      <c r="FR137" s="66"/>
      <c r="FS137" s="66"/>
      <c r="FT137" s="66"/>
      <c r="FU137" s="66"/>
      <c r="FW137" s="111" t="s">
        <v>3</v>
      </c>
      <c r="FX137" s="66" t="s">
        <v>80</v>
      </c>
      <c r="FY137" s="66" t="s">
        <v>80</v>
      </c>
      <c r="FZ137" s="66" t="s">
        <v>80</v>
      </c>
      <c r="GA137" s="66" t="s">
        <v>80</v>
      </c>
      <c r="GB137" s="66" t="s">
        <v>80</v>
      </c>
      <c r="GD137" s="111" t="s">
        <v>3</v>
      </c>
      <c r="GE137" s="66">
        <f>IFERROR(GE136/FX136-1,"NM")</f>
        <v>2.0565552699228773E-2</v>
      </c>
      <c r="GF137" s="66">
        <f>IFERROR(GF136/FY136-1,"NM")</f>
        <v>1.6211604095563104E-2</v>
      </c>
      <c r="GG137" s="66">
        <f>IFERROR(GG136/FZ136-1,"NM")</f>
        <v>2.5505716798592815E-2</v>
      </c>
      <c r="GH137" s="66">
        <f>IFERROR(GH136/GA136-1,"NM")</f>
        <v>6.8787618228718372E-3</v>
      </c>
      <c r="GI137" s="66">
        <f>IFERROR(GI136/GB136-1,"NM")</f>
        <v>2.3075264179426291E-2</v>
      </c>
      <c r="GK137" s="111" t="s">
        <v>3</v>
      </c>
      <c r="GL137" s="66">
        <f>IFERROR(GL136/GE136-1,"NM")</f>
        <v>-4.2821158690176331E-2</v>
      </c>
      <c r="GM137" s="66">
        <f>IFERROR(GM136/GF136-1,"NM")</f>
        <v>-4.198152812762368E-3</v>
      </c>
      <c r="GN137" s="66">
        <f>IFERROR(GN136/GG136-1,"NM")</f>
        <v>-2.9159519725557415E-2</v>
      </c>
      <c r="GO137" s="66">
        <f>IFERROR(GO136/GH136-1,"NM")</f>
        <v>-3.8428693424423566E-2</v>
      </c>
      <c r="GP137" s="66">
        <f>IFERROR(GP136/GI136-1,"NM")</f>
        <v>-3.4148397976391243E-2</v>
      </c>
      <c r="GR137" s="111" t="s">
        <v>3</v>
      </c>
      <c r="GS137" s="66">
        <f>IFERROR(GS136/GL136-1,"NM")</f>
        <v>-4.3859649122807154E-3</v>
      </c>
      <c r="GT137" s="66">
        <f>IFERROR(GT136/GM136-1,"NM")</f>
        <v>-2.02360876897133E-2</v>
      </c>
      <c r="GU137" s="66">
        <f>IFERROR(GU136/GN136-1,"NM")</f>
        <v>8.8339222614841617E-4</v>
      </c>
      <c r="GV137" s="66">
        <f>IFERROR(GV136/GO136-1,"NM")</f>
        <v>-5.4174067495559419E-2</v>
      </c>
      <c r="GW137" s="66">
        <f>IFERROR(GW136/GP136-1,"NM")</f>
        <v>-1.8769096464425927E-2</v>
      </c>
      <c r="GY137" s="111" t="s">
        <v>3</v>
      </c>
      <c r="GZ137" s="66">
        <f>IFERROR(GZ136/GS136-1,"NM")</f>
        <v>-0.11629955947136561</v>
      </c>
      <c r="HA137" s="66">
        <f>IFERROR(HA136/GT136-1,"NM")</f>
        <v>-0.18760757314974175</v>
      </c>
      <c r="HB137" s="66">
        <f>IFERROR(HB136/GU136-1,"NM")</f>
        <v>-0.15357458075904673</v>
      </c>
      <c r="HC137" s="66">
        <f>IFERROR(HC136/GV136-1,"NM")</f>
        <v>-0.10422535211267603</v>
      </c>
      <c r="HD137" s="66">
        <f>IFERROR(HD136/GW136-1,"NM")</f>
        <v>-0.15146797153024916</v>
      </c>
      <c r="HF137" s="111" t="s">
        <v>3</v>
      </c>
      <c r="HG137" s="66">
        <f>IFERROR(HG136/GZ136-1,"NM")</f>
        <v>-5.9820538384844912E-3</v>
      </c>
      <c r="HH137" s="66">
        <f>IFERROR(HH136/HA136-1,"NM")</f>
        <v>0.11228813559322037</v>
      </c>
      <c r="HI137" s="66">
        <f>IFERROR(HI136/HB136-1,"NM")</f>
        <v>7.4035453597497414E-2</v>
      </c>
      <c r="HJ137" s="66">
        <f>IFERROR(HJ136/HC136-1,"NM")</f>
        <v>0.15513626834381555</v>
      </c>
      <c r="HK137" s="66">
        <f>IFERROR(HK136/HD136-1,"NM")</f>
        <v>9.5412844036697253E-2</v>
      </c>
      <c r="HM137" s="111" t="s">
        <v>3</v>
      </c>
      <c r="HN137" s="66">
        <f>IFERROR(HN136/HG136-1,"NM")</f>
        <v>4.8144433299899703E-2</v>
      </c>
      <c r="HO137" s="66">
        <f>IFERROR(HO136/HH136-1,"NM")</f>
        <v>2.0952380952381056E-2</v>
      </c>
      <c r="HP137" s="66">
        <f>IFERROR(HP136/HI136-1,"NM")</f>
        <v>3.8834951456310218E-3</v>
      </c>
      <c r="HQ137" s="66">
        <f>IFERROR(HQ136/HJ136-1,"NM")</f>
        <v>-4.1742286751361268E-2</v>
      </c>
      <c r="HR137" s="66">
        <f>IFERROR(HR136/HK136-1,"NM")</f>
        <v>6.7001675041875597E-3</v>
      </c>
      <c r="HT137" s="111" t="s">
        <v>3</v>
      </c>
      <c r="HU137" s="66">
        <f>IFERROR(HU136/HN136-1,"NM")</f>
        <v>-1.913875598086201E-3</v>
      </c>
      <c r="HV137" s="66">
        <f>IFERROR(HV136/HO136-1,"NM")</f>
        <v>-3.2649253731343308E-2</v>
      </c>
      <c r="HW137" s="66">
        <f>IFERROR(HW136/HP136-1,"NM")</f>
        <v>-2.9980657640232167E-2</v>
      </c>
      <c r="HX137" s="66">
        <f>IFERROR(HX136/HQ136-1,"NM")</f>
        <v>-4.7348484848484862E-2</v>
      </c>
      <c r="HY137" s="66">
        <f>IFERROR(HY136/HR136-1,"NM")</f>
        <v>-2.8048490610886656E-2</v>
      </c>
      <c r="IA137" s="111" t="s">
        <v>3</v>
      </c>
      <c r="IB137" s="66">
        <f>IFERROR(IB136/HU136-1,"NM")</f>
        <v>-2.0134228187919434E-2</v>
      </c>
      <c r="IC137" s="66">
        <f>IFERROR(IC136/HV136-1,"NM")</f>
        <v>1.7357762777242103E-2</v>
      </c>
      <c r="ID137" s="66">
        <f>IFERROR(ID136/HW136-1,"NM")</f>
        <v>2.3928215353938187E-2</v>
      </c>
      <c r="IE137" s="66">
        <f>IFERROR(IE136/HX136-1,"NM")</f>
        <v>6.1630218687872773E-2</v>
      </c>
      <c r="IF137" s="66">
        <f>IFERROR(IF136/HY136-1,"NM")</f>
        <v>2.0298361457569136E-2</v>
      </c>
      <c r="IH137" s="111" t="s">
        <v>3</v>
      </c>
      <c r="II137" s="66">
        <f>IFERROR(II136/IB136-1,"NM")</f>
        <v>2.5440313111545931E-2</v>
      </c>
      <c r="IJ137" s="66">
        <f>IFERROR(IJ136/IC136-1,"NM")</f>
        <v>8.2464454976303392E-2</v>
      </c>
      <c r="IK137" s="66">
        <f>IFERROR(IK136/ID136-1,"NM")</f>
        <v>9.4449853943524786E-2</v>
      </c>
      <c r="IL137" s="66">
        <f>IFERROR(IL136/IE136-1,"NM")</f>
        <v>7.2097378277153679E-2</v>
      </c>
      <c r="IM137" s="66">
        <f>IFERROR(IM136/IF136-1,"NM")</f>
        <v>6.8791946308724761E-2</v>
      </c>
      <c r="IO137" s="111" t="s">
        <v>3</v>
      </c>
      <c r="IP137" s="66">
        <f>IFERROR(IP136/II136-1,"NM")</f>
        <v>2.385496183206115E-2</v>
      </c>
      <c r="IQ137" s="66">
        <f>IFERROR(IQ136/IJ136-1,"NM")</f>
        <v>-2.8021015761821366E-2</v>
      </c>
      <c r="IR137" s="66">
        <f>IFERROR(IR136/IK136-1,"NM")</f>
        <v>-6.1387900355871938E-2</v>
      </c>
      <c r="IS137" s="66">
        <f>IFERROR(IS136/IL136-1,"NM")</f>
        <v>-0.10567685589519649</v>
      </c>
      <c r="IT137" s="66">
        <f>IFERROR(IT136/IM136-1,"NM")</f>
        <v>-4.4404575016819825E-2</v>
      </c>
      <c r="IV137" s="111" t="s">
        <v>3</v>
      </c>
      <c r="IW137" s="66">
        <f>IFERROR(IW136/IP136-1,"NM")</f>
        <v>-0.10624417520969243</v>
      </c>
      <c r="IX137" s="66">
        <f>IFERROR(IX136/IQ136-1,"NM")</f>
        <v>-0.1234234234234235</v>
      </c>
      <c r="IY137" s="66">
        <f>IFERROR(IY136/IR136-1,"NM")</f>
        <v>-8.1516587677725072E-2</v>
      </c>
      <c r="IZ137" s="66">
        <f>IFERROR(IZ136/IS136-1,"NM")</f>
        <v>5.17578125E-2</v>
      </c>
      <c r="JA137" s="66">
        <f>IFERROR(JA136/IT136-1,"NM")</f>
        <v>-6.3834780567941896E-2</v>
      </c>
      <c r="JC137" s="111" t="s">
        <v>3</v>
      </c>
      <c r="JD137" s="66">
        <f>IFERROR(JD136/IW136-1,"NM")</f>
        <v>5.9436913451511808E-2</v>
      </c>
      <c r="JE137" s="66">
        <f>IFERROR(JE136/IX136-1,"NM")</f>
        <v>3.6998972250770867E-2</v>
      </c>
      <c r="JF137" s="66">
        <f>IFERROR(JF136/IY136-1,"NM")</f>
        <v>1.0319917440659854E-3</v>
      </c>
      <c r="JG137" s="66">
        <f>IFERROR(JG136/IZ136-1,"NM")</f>
        <v>-6.5923862581244275E-2</v>
      </c>
      <c r="JH137" s="66">
        <f>IFERROR(JH136/JA136-1,"NM")</f>
        <v>3.0082727500628792E-3</v>
      </c>
      <c r="JJ137" s="111" t="s">
        <v>3</v>
      </c>
      <c r="JK137" s="66">
        <f>IFERROR(JK136/JD136-1,"NM")</f>
        <v>-5.216535433070868E-2</v>
      </c>
      <c r="JL137" s="66">
        <f>IFERROR(JL136/JE136-1,"NM")</f>
        <v>2.5768087215064295E-2</v>
      </c>
      <c r="JM137" s="66">
        <f>IFERROR(JM136/JF136-1,"NM")</f>
        <v>5.2577319587628901E-2</v>
      </c>
      <c r="JN137" s="66">
        <f>IFERROR(JN136/JG136-1,"NM")</f>
        <v>2.9821073558649047E-3</v>
      </c>
      <c r="JO137" s="66">
        <f>IFERROR(JO136/JH136-1,"NM")</f>
        <v>6.4983754061482824E-3</v>
      </c>
      <c r="JQ137" s="111" t="s">
        <v>3</v>
      </c>
      <c r="JR137" s="66">
        <f>IFERROR(JR136/JK136-1,"NM")</f>
        <v>4.1536863966771254E-3</v>
      </c>
      <c r="JS137" s="66">
        <f>IFERROR(JS136/JL136-1,"NM")</f>
        <v>-3.4782608695652084E-2</v>
      </c>
      <c r="JT137" s="66">
        <f>IFERROR(JT136/JM136-1,"NM")</f>
        <v>-4.8971596474045032E-2</v>
      </c>
      <c r="JU137" s="66">
        <f>IFERROR(JU136/JN136-1,"NM")</f>
        <v>-6.1446977205153686E-2</v>
      </c>
      <c r="JV137" s="66">
        <f>IFERROR(JV136/JO136-1,"NM")</f>
        <v>-3.5758629252545249E-2</v>
      </c>
      <c r="JX137" s="111" t="s">
        <v>3</v>
      </c>
      <c r="JY137" s="66">
        <f>IFERROR(JY136/JR136-1,"NM")</f>
        <v>-1.4477766287487093E-2</v>
      </c>
      <c r="JZ137" s="66">
        <f>IFERROR(JZ136/JS136-1,"NM")</f>
        <v>-0.22922922922922928</v>
      </c>
      <c r="KA137" s="66">
        <f>IFERROR(KA136/JT136-1,"NM")</f>
        <v>-7.0030895983522079E-2</v>
      </c>
      <c r="KB137" s="66">
        <f>IFERROR(KB136/JU136-1,"NM")</f>
        <v>1.0559662090813049E-2</v>
      </c>
      <c r="KC137" s="66">
        <f>IFERROR(KC136/JV136-1,"NM")</f>
        <v>-7.7259850630955418E-2</v>
      </c>
      <c r="KE137" s="111" t="s">
        <v>3</v>
      </c>
      <c r="KF137" s="66">
        <f>IFERROR(KF136/JY136-1,"NM")</f>
        <v>-1.9937040923399652E-2</v>
      </c>
      <c r="KG137" s="66">
        <f>IFERROR(KG136/JZ136-1,"NM")</f>
        <v>0.24675324675324672</v>
      </c>
      <c r="KH137" s="66">
        <f>IFERROR(KH136/KA136-1,"NM")</f>
        <v>2.8792912513842861E-2</v>
      </c>
      <c r="KI137" s="66">
        <f>IFERROR(KI136/KB136-1,"NM")</f>
        <v>-2.0898641588296796E-2</v>
      </c>
      <c r="KJ137" s="66">
        <f>IFERROR(KJ136/KC136-1,"NM")</f>
        <v>4.9399944180853916E-2</v>
      </c>
      <c r="KL137" s="111" t="s">
        <v>3</v>
      </c>
      <c r="KM137" s="66">
        <f>IFERROR(KM136/KF136-1,"NM")</f>
        <v>-2.1413276231263434E-2</v>
      </c>
      <c r="KN137" s="66">
        <f>IFERROR(KN136/KG136-1,"NM")</f>
        <v>-1.041666666666663E-2</v>
      </c>
      <c r="KO137" s="66">
        <f>IFERROR(KO136/KH136-1,"NM")</f>
        <v>2.5834230355220589E-2</v>
      </c>
      <c r="KP137" s="66">
        <f>IFERROR(KP136/KI136-1,"NM")</f>
        <v>1.0672358591248265E-3</v>
      </c>
      <c r="KQ137" s="66">
        <f>IFERROR(KQ136/KJ136-1,"NM")</f>
        <v>-1.3297872340425343E-3</v>
      </c>
      <c r="KS137" s="111" t="s">
        <v>3</v>
      </c>
      <c r="KT137" s="66">
        <f>IFERROR(KT136/KM136-1,"NM")</f>
        <v>3.2822757111597323E-2</v>
      </c>
      <c r="KU137" s="66">
        <f>IFERROR(KU136/KN136-1,"NM")</f>
        <v>7.3684210526316907E-3</v>
      </c>
      <c r="KV137" s="112">
        <f>IFERROR(KV136/KO136-1,"NM")</f>
        <v>-8.3945435466946661E-3</v>
      </c>
      <c r="KW137" s="66">
        <f>IFERROR(KW136/KP136-1,"NM")</f>
        <v>3.0916844349680339E-2</v>
      </c>
      <c r="KX137" s="66">
        <f>IFERROR(KX136/KQ136-1,"NM")</f>
        <v>1.5446071904127834E-2</v>
      </c>
      <c r="KZ137" s="111" t="s">
        <v>3</v>
      </c>
      <c r="LA137" s="66">
        <f>IFERROR(LA136/KT136-1,"NM")</f>
        <v>1.4830508474576121E-2</v>
      </c>
      <c r="LB137" s="66">
        <f>IFERROR(LB136/KU136-1,"NM")</f>
        <v>1.1494252873563093E-2</v>
      </c>
      <c r="LC137" s="66">
        <f>IFERROR(LC136/KV136-1,"NM")</f>
        <v>1.2698412698412653E-2</v>
      </c>
      <c r="LD137" s="66">
        <f>IFERROR(LD136/KW136-1,"NM")</f>
        <v>-1.0341261633919352E-2</v>
      </c>
      <c r="LE137" s="49">
        <f>IFERROR(LE136/KX136-1,"NM")</f>
        <v>7.0810385523210062E-3</v>
      </c>
      <c r="LF137" s="585"/>
      <c r="LG137" s="520" t="s">
        <v>3</v>
      </c>
      <c r="LH137" s="66">
        <f>IFERROR(LH136/LA136-1,"NM")</f>
        <v>-1.9832985386221247E-2</v>
      </c>
      <c r="LI137" s="66">
        <f>IFERROR(LI136/LB136-1,"NM")</f>
        <v>2.8925619834710758E-2</v>
      </c>
      <c r="LJ137" s="66">
        <f>IFERROR(LJ136/LC136-1,"NM")</f>
        <v>3.2392894461859889E-2</v>
      </c>
      <c r="LK137" s="66">
        <f>IFERROR(LK136/LD136-1,"NM")</f>
        <v>-1.1494252873563315E-2</v>
      </c>
      <c r="LL137" s="49">
        <f>IFERROR(LL136/LE136-1,"NM")</f>
        <v>7.5520833333333481E-3</v>
      </c>
      <c r="LM137" s="585"/>
      <c r="LN137" s="520" t="s">
        <v>3</v>
      </c>
      <c r="LO137" s="519">
        <f>Revenue!LO108</f>
        <v>1.6877470355731061E-2</v>
      </c>
      <c r="LP137" s="519">
        <f>Revenue!LP108</f>
        <v>1.6357594936708963E-2</v>
      </c>
      <c r="LQ137" s="519">
        <f>Revenue!LQ108</f>
        <v>2.3898883374689817E-2</v>
      </c>
      <c r="LR137" s="519">
        <f>Revenue!LR108</f>
        <v>3.7175954915466436E-2</v>
      </c>
      <c r="LS137" s="49">
        <f>IFERROR(LS136/LL136-1,"NM")</f>
        <v>2.3499782720397544E-2</v>
      </c>
      <c r="LT137" s="585"/>
      <c r="LU137" s="520" t="s">
        <v>3</v>
      </c>
      <c r="LV137" s="519">
        <f>Revenue!LV108</f>
        <v>2.5413573288762592E-2</v>
      </c>
      <c r="LW137" s="519">
        <f>Revenue!LW108</f>
        <v>2.6080054426174559E-2</v>
      </c>
      <c r="LX137" s="519">
        <f>Revenue!LX108</f>
        <v>2.4876069735387141E-2</v>
      </c>
      <c r="LY137" s="519">
        <f>Revenue!LY108</f>
        <v>2.4847875172817613E-2</v>
      </c>
      <c r="LZ137" s="49">
        <f>IFERROR(LZ136/LS136-1,"NM")</f>
        <v>2.5306470989147067E-2</v>
      </c>
      <c r="MA137" s="585"/>
      <c r="MB137" s="520" t="s">
        <v>3</v>
      </c>
      <c r="MC137" s="519">
        <f>Revenue!MC108</f>
        <v>2.4677121186362116E-2</v>
      </c>
      <c r="MD137" s="519">
        <f>Revenue!MD108</f>
        <v>2.4393559418823596E-2</v>
      </c>
      <c r="ME137" s="519">
        <f>Revenue!ME108</f>
        <v>2.3920058679335554E-2</v>
      </c>
      <c r="MF137" s="519">
        <f>Revenue!MF108</f>
        <v>2.3362061038165072E-2</v>
      </c>
      <c r="MG137" s="49">
        <f>IFERROR(MG136/LZ136-1,"NM")</f>
        <v>2.4085565282792709E-2</v>
      </c>
      <c r="MH137" s="585"/>
    </row>
    <row r="138" spans="1:346" s="37" customFormat="1" ht="13.5" collapsed="1" thickBot="1" x14ac:dyDescent="0.45">
      <c r="A138" s="96"/>
      <c r="B138" s="36"/>
      <c r="BO138" s="36"/>
      <c r="BV138" s="36"/>
      <c r="CC138" s="36"/>
      <c r="CJ138" s="36"/>
      <c r="CQ138" s="36"/>
      <c r="CX138" s="36"/>
      <c r="DE138" s="36"/>
      <c r="DL138" s="36"/>
      <c r="DS138" s="36"/>
      <c r="DZ138" s="36"/>
      <c r="EG138" s="36"/>
      <c r="EN138" s="36"/>
      <c r="EU138" s="36"/>
      <c r="FB138" s="36"/>
      <c r="FI138" s="36"/>
      <c r="FP138" s="36"/>
      <c r="FW138" s="36"/>
      <c r="GD138" s="36"/>
      <c r="GK138" s="36"/>
      <c r="GR138" s="36"/>
      <c r="GY138" s="36"/>
      <c r="HF138" s="36"/>
      <c r="HM138" s="36"/>
      <c r="HT138" s="36"/>
      <c r="IA138" s="36"/>
      <c r="IH138" s="36"/>
      <c r="IO138" s="36"/>
      <c r="IV138" s="36"/>
      <c r="JC138" s="36"/>
      <c r="JJ138" s="36"/>
      <c r="JQ138" s="36"/>
      <c r="JX138" s="36"/>
      <c r="KE138" s="36"/>
      <c r="KL138" s="36"/>
      <c r="KS138" s="36"/>
      <c r="KZ138" s="642"/>
      <c r="LA138" s="643"/>
      <c r="LB138" s="643"/>
      <c r="LC138" s="643"/>
      <c r="LD138" s="643"/>
      <c r="LE138" s="643"/>
      <c r="LF138" s="584"/>
      <c r="LG138" s="642"/>
      <c r="LH138" s="643"/>
      <c r="LI138" s="643"/>
      <c r="LJ138" s="643"/>
      <c r="LK138" s="643"/>
      <c r="LL138" s="643"/>
      <c r="LM138" s="584"/>
      <c r="LN138" s="642"/>
      <c r="LO138" s="643"/>
      <c r="LP138" s="643"/>
      <c r="LQ138" s="643"/>
      <c r="LR138" s="643"/>
      <c r="LS138" s="643"/>
      <c r="LT138" s="584"/>
      <c r="LU138" s="642"/>
      <c r="LV138" s="643"/>
      <c r="LW138" s="643"/>
      <c r="LX138" s="643"/>
      <c r="LY138" s="643"/>
      <c r="LZ138" s="643"/>
      <c r="MA138" s="584"/>
      <c r="MB138" s="642"/>
      <c r="MC138" s="643"/>
      <c r="MD138" s="643"/>
      <c r="ME138" s="643"/>
      <c r="MF138" s="643"/>
      <c r="MG138" s="643"/>
      <c r="MH138" s="584"/>
    </row>
    <row r="139" spans="1:346" s="37" customFormat="1" ht="13.5" thickBot="1" x14ac:dyDescent="0.45">
      <c r="A139" s="97"/>
      <c r="B139" s="98" t="s">
        <v>433</v>
      </c>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c r="AA139" s="99"/>
      <c r="AB139" s="99"/>
      <c r="AC139" s="99"/>
      <c r="AD139" s="99"/>
      <c r="AE139" s="99"/>
      <c r="AF139" s="99"/>
      <c r="AG139" s="99"/>
      <c r="AH139" s="99"/>
      <c r="AI139" s="99"/>
      <c r="AJ139" s="99"/>
      <c r="AK139" s="99"/>
      <c r="AL139" s="99"/>
      <c r="AM139" s="99"/>
      <c r="AN139" s="99"/>
      <c r="AO139" s="99"/>
      <c r="AP139" s="99"/>
      <c r="AQ139" s="99"/>
      <c r="AR139" s="99"/>
      <c r="AS139" s="99"/>
      <c r="AT139" s="99"/>
      <c r="AU139" s="99"/>
      <c r="AV139" s="99"/>
      <c r="AW139" s="99"/>
      <c r="AX139" s="99"/>
      <c r="AY139" s="99"/>
      <c r="AZ139" s="99"/>
      <c r="BA139" s="99"/>
      <c r="BB139" s="99"/>
      <c r="BC139" s="99"/>
      <c r="BD139" s="99"/>
      <c r="BE139" s="99"/>
      <c r="BF139" s="99"/>
      <c r="BG139" s="99"/>
      <c r="BH139" s="99"/>
      <c r="BI139" s="99"/>
      <c r="BJ139" s="99"/>
      <c r="BK139" s="99"/>
      <c r="BL139" s="99"/>
      <c r="BM139" s="99"/>
      <c r="BO139" s="98" t="s">
        <v>433</v>
      </c>
      <c r="BP139" s="99"/>
      <c r="BQ139" s="99"/>
      <c r="BR139" s="99"/>
      <c r="BS139" s="99"/>
      <c r="BT139" s="99"/>
      <c r="BV139" s="98" t="s">
        <v>433</v>
      </c>
      <c r="BW139" s="99"/>
      <c r="BX139" s="99"/>
      <c r="BY139" s="99"/>
      <c r="BZ139" s="99"/>
      <c r="CA139" s="99"/>
      <c r="CC139" s="98" t="s">
        <v>433</v>
      </c>
      <c r="CD139" s="99"/>
      <c r="CE139" s="99"/>
      <c r="CF139" s="99"/>
      <c r="CG139" s="99"/>
      <c r="CH139" s="99"/>
      <c r="CJ139" s="98" t="s">
        <v>433</v>
      </c>
      <c r="CK139" s="99"/>
      <c r="CL139" s="99"/>
      <c r="CM139" s="99"/>
      <c r="CN139" s="99"/>
      <c r="CO139" s="99"/>
      <c r="CQ139" s="98" t="s">
        <v>433</v>
      </c>
      <c r="CR139" s="99"/>
      <c r="CS139" s="99"/>
      <c r="CT139" s="99"/>
      <c r="CU139" s="99"/>
      <c r="CV139" s="99"/>
      <c r="CX139" s="98" t="s">
        <v>433</v>
      </c>
      <c r="CY139" s="99"/>
      <c r="CZ139" s="99"/>
      <c r="DA139" s="99"/>
      <c r="DB139" s="99"/>
      <c r="DC139" s="99"/>
      <c r="DE139" s="98" t="s">
        <v>433</v>
      </c>
      <c r="DF139" s="99"/>
      <c r="DG139" s="99"/>
      <c r="DH139" s="99"/>
      <c r="DI139" s="99"/>
      <c r="DJ139" s="99"/>
      <c r="DL139" s="98" t="s">
        <v>433</v>
      </c>
      <c r="DM139" s="99"/>
      <c r="DN139" s="99"/>
      <c r="DO139" s="99"/>
      <c r="DP139" s="99"/>
      <c r="DQ139" s="99"/>
      <c r="DS139" s="98" t="s">
        <v>433</v>
      </c>
      <c r="DT139" s="99"/>
      <c r="DU139" s="99"/>
      <c r="DV139" s="99"/>
      <c r="DW139" s="99"/>
      <c r="DX139" s="99"/>
      <c r="DZ139" s="98" t="s">
        <v>433</v>
      </c>
      <c r="EA139" s="99"/>
      <c r="EB139" s="99"/>
      <c r="EC139" s="99"/>
      <c r="ED139" s="99"/>
      <c r="EE139" s="99"/>
      <c r="EG139" s="98" t="s">
        <v>433</v>
      </c>
      <c r="EH139" s="99"/>
      <c r="EI139" s="99"/>
      <c r="EJ139" s="99"/>
      <c r="EK139" s="99"/>
      <c r="EL139" s="99"/>
      <c r="EN139" s="98" t="s">
        <v>433</v>
      </c>
      <c r="EO139" s="99"/>
      <c r="EP139" s="99"/>
      <c r="EQ139" s="99"/>
      <c r="ER139" s="99"/>
      <c r="ES139" s="99"/>
      <c r="EU139" s="98" t="s">
        <v>433</v>
      </c>
      <c r="EV139" s="99"/>
      <c r="EW139" s="99"/>
      <c r="EX139" s="99"/>
      <c r="EY139" s="99"/>
      <c r="EZ139" s="99"/>
      <c r="FB139" s="98" t="s">
        <v>433</v>
      </c>
      <c r="FC139" s="99"/>
      <c r="FD139" s="99"/>
      <c r="FE139" s="99"/>
      <c r="FF139" s="99"/>
      <c r="FG139" s="99"/>
      <c r="FI139" s="98" t="s">
        <v>433</v>
      </c>
      <c r="FJ139" s="99"/>
      <c r="FK139" s="99"/>
      <c r="FL139" s="99"/>
      <c r="FM139" s="99"/>
      <c r="FN139" s="99"/>
      <c r="FP139" s="98" t="s">
        <v>433</v>
      </c>
      <c r="FQ139" s="99"/>
      <c r="FR139" s="99"/>
      <c r="FS139" s="99"/>
      <c r="FT139" s="99"/>
      <c r="FU139" s="99"/>
      <c r="FW139" s="98" t="s">
        <v>433</v>
      </c>
      <c r="FX139" s="99"/>
      <c r="FY139" s="99"/>
      <c r="FZ139" s="99"/>
      <c r="GA139" s="99"/>
      <c r="GB139" s="99"/>
      <c r="GD139" s="98" t="s">
        <v>433</v>
      </c>
      <c r="GE139" s="99"/>
      <c r="GF139" s="99"/>
      <c r="GG139" s="99"/>
      <c r="GH139" s="99"/>
      <c r="GI139" s="99"/>
      <c r="GK139" s="98" t="s">
        <v>433</v>
      </c>
      <c r="GL139" s="99"/>
      <c r="GM139" s="99"/>
      <c r="GN139" s="99"/>
      <c r="GO139" s="99"/>
      <c r="GP139" s="99"/>
      <c r="GR139" s="98" t="s">
        <v>433</v>
      </c>
      <c r="GS139" s="99"/>
      <c r="GT139" s="99"/>
      <c r="GU139" s="99"/>
      <c r="GV139" s="99"/>
      <c r="GW139" s="99"/>
      <c r="GY139" s="98" t="s">
        <v>433</v>
      </c>
      <c r="GZ139" s="99"/>
      <c r="HA139" s="99"/>
      <c r="HB139" s="99"/>
      <c r="HC139" s="99"/>
      <c r="HD139" s="99"/>
      <c r="HF139" s="98" t="s">
        <v>433</v>
      </c>
      <c r="HG139" s="99"/>
      <c r="HH139" s="99"/>
      <c r="HI139" s="99"/>
      <c r="HJ139" s="99"/>
      <c r="HK139" s="99"/>
      <c r="HM139" s="98" t="s">
        <v>433</v>
      </c>
      <c r="HN139" s="99"/>
      <c r="HO139" s="99"/>
      <c r="HP139" s="99"/>
      <c r="HQ139" s="99"/>
      <c r="HR139" s="99"/>
      <c r="HT139" s="98" t="s">
        <v>433</v>
      </c>
      <c r="HU139" s="99"/>
      <c r="HV139" s="99"/>
      <c r="HW139" s="99"/>
      <c r="HX139" s="99"/>
      <c r="HY139" s="99"/>
      <c r="IA139" s="98" t="s">
        <v>433</v>
      </c>
      <c r="IB139" s="99"/>
      <c r="IC139" s="99"/>
      <c r="ID139" s="99"/>
      <c r="IE139" s="99"/>
      <c r="IF139" s="99"/>
      <c r="IH139" s="98" t="s">
        <v>433</v>
      </c>
      <c r="II139" s="99"/>
      <c r="IJ139" s="99"/>
      <c r="IK139" s="99"/>
      <c r="IL139" s="99"/>
      <c r="IM139" s="99"/>
      <c r="IO139" s="98" t="s">
        <v>433</v>
      </c>
      <c r="IP139" s="99"/>
      <c r="IQ139" s="99"/>
      <c r="IR139" s="99"/>
      <c r="IS139" s="99"/>
      <c r="IT139" s="99"/>
      <c r="IV139" s="98" t="s">
        <v>433</v>
      </c>
      <c r="IW139" s="99"/>
      <c r="IX139" s="99"/>
      <c r="IY139" s="99"/>
      <c r="IZ139" s="99"/>
      <c r="JA139" s="99"/>
      <c r="JC139" s="98" t="s">
        <v>433</v>
      </c>
      <c r="JD139" s="99"/>
      <c r="JE139" s="99"/>
      <c r="JF139" s="99"/>
      <c r="JG139" s="99"/>
      <c r="JH139" s="99"/>
      <c r="JJ139" s="98" t="s">
        <v>433</v>
      </c>
      <c r="JK139" s="99"/>
      <c r="JL139" s="99"/>
      <c r="JM139" s="99"/>
      <c r="JN139" s="99"/>
      <c r="JO139" s="99"/>
      <c r="JQ139" s="98" t="s">
        <v>433</v>
      </c>
      <c r="JR139" s="99"/>
      <c r="JS139" s="99"/>
      <c r="JT139" s="99"/>
      <c r="JU139" s="99"/>
      <c r="JV139" s="99"/>
      <c r="JX139" s="98" t="s">
        <v>433</v>
      </c>
      <c r="JY139" s="99"/>
      <c r="JZ139" s="99"/>
      <c r="KA139" s="99"/>
      <c r="KB139" s="99"/>
      <c r="KC139" s="99"/>
      <c r="KE139" s="98" t="s">
        <v>433</v>
      </c>
      <c r="KF139" s="99"/>
      <c r="KG139" s="99"/>
      <c r="KH139" s="99"/>
      <c r="KI139" s="99"/>
      <c r="KJ139" s="99"/>
      <c r="KL139" s="98" t="s">
        <v>433</v>
      </c>
      <c r="KM139" s="99"/>
      <c r="KN139" s="99"/>
      <c r="KO139" s="99"/>
      <c r="KP139" s="99"/>
      <c r="KQ139" s="99"/>
      <c r="KS139" s="98" t="s">
        <v>433</v>
      </c>
      <c r="KT139" s="99"/>
      <c r="KU139" s="99"/>
      <c r="KV139" s="99"/>
      <c r="KW139" s="99"/>
      <c r="KX139" s="99"/>
      <c r="KZ139" s="98" t="s">
        <v>433</v>
      </c>
      <c r="LA139" s="99"/>
      <c r="LB139" s="99"/>
      <c r="LC139" s="99"/>
      <c r="LD139" s="99"/>
      <c r="LE139" s="255"/>
      <c r="LF139" s="565"/>
      <c r="LG139" s="98" t="s">
        <v>433</v>
      </c>
      <c r="LH139" s="99"/>
      <c r="LI139" s="99"/>
      <c r="LJ139" s="99"/>
      <c r="LK139" s="99"/>
      <c r="LL139" s="255"/>
      <c r="LM139" s="565"/>
      <c r="LN139" s="98" t="s">
        <v>433</v>
      </c>
      <c r="LO139" s="99"/>
      <c r="LP139" s="99"/>
      <c r="LQ139" s="99"/>
      <c r="LR139" s="99"/>
      <c r="LS139" s="255"/>
      <c r="LT139" s="565"/>
      <c r="LU139" s="98" t="s">
        <v>433</v>
      </c>
      <c r="LV139" s="99"/>
      <c r="LW139" s="99"/>
      <c r="LX139" s="99"/>
      <c r="LY139" s="99"/>
      <c r="LZ139" s="255"/>
      <c r="MA139" s="565"/>
      <c r="MB139" s="98" t="s">
        <v>433</v>
      </c>
      <c r="MC139" s="99"/>
      <c r="MD139" s="99"/>
      <c r="ME139" s="99"/>
      <c r="MF139" s="99"/>
      <c r="MG139" s="255"/>
      <c r="MH139" s="565"/>
    </row>
    <row r="140" spans="1:346" s="37" customFormat="1" ht="13.15" x14ac:dyDescent="0.4">
      <c r="A140" s="100"/>
      <c r="B140" s="143"/>
      <c r="C140" s="144"/>
      <c r="D140" s="144"/>
      <c r="E140" s="144"/>
      <c r="F140" s="144"/>
      <c r="G140" s="144"/>
      <c r="H140" s="144"/>
      <c r="I140" s="144"/>
      <c r="J140" s="144"/>
      <c r="K140" s="144"/>
      <c r="L140" s="144"/>
      <c r="M140" s="144"/>
      <c r="N140" s="144"/>
      <c r="O140" s="144"/>
      <c r="P140" s="144"/>
      <c r="Q140" s="144"/>
      <c r="R140" s="144"/>
      <c r="S140" s="144"/>
      <c r="T140" s="144"/>
      <c r="U140" s="144"/>
      <c r="V140" s="144"/>
      <c r="W140" s="144"/>
      <c r="X140" s="144"/>
      <c r="Y140" s="144"/>
      <c r="Z140" s="144"/>
      <c r="AA140" s="144"/>
      <c r="AB140" s="144"/>
      <c r="AC140" s="144"/>
      <c r="AD140" s="144"/>
      <c r="AE140" s="144"/>
      <c r="AF140" s="144"/>
      <c r="AG140" s="144"/>
      <c r="AH140" s="144"/>
      <c r="AI140" s="144"/>
      <c r="AJ140" s="144"/>
      <c r="AK140" s="144"/>
      <c r="AL140" s="144"/>
      <c r="AM140" s="144"/>
      <c r="AN140" s="144"/>
      <c r="AO140" s="144"/>
      <c r="AP140" s="144"/>
      <c r="AQ140" s="144"/>
      <c r="AR140" s="144"/>
      <c r="AS140" s="144"/>
      <c r="AT140" s="144"/>
      <c r="AU140" s="144"/>
      <c r="AV140" s="144"/>
      <c r="AW140" s="144"/>
      <c r="AX140" s="144"/>
      <c r="AY140" s="144"/>
      <c r="AZ140" s="144"/>
      <c r="BA140" s="144"/>
      <c r="BB140" s="144"/>
      <c r="BC140" s="144"/>
      <c r="BD140" s="144"/>
      <c r="BE140" s="144"/>
      <c r="BF140" s="144"/>
      <c r="BG140" s="144"/>
      <c r="BH140" s="144"/>
      <c r="BI140" s="144"/>
      <c r="BJ140" s="144"/>
      <c r="BK140" s="144"/>
      <c r="BL140" s="144"/>
      <c r="BM140" s="144"/>
      <c r="BO140" s="143"/>
      <c r="BP140" s="144"/>
      <c r="BQ140" s="144"/>
      <c r="BR140" s="144"/>
      <c r="BS140" s="144"/>
      <c r="BT140" s="144"/>
      <c r="BV140" s="143"/>
      <c r="BW140" s="144"/>
      <c r="BX140" s="144"/>
      <c r="BY140" s="144"/>
      <c r="BZ140" s="144"/>
      <c r="CA140" s="144"/>
      <c r="CC140" s="143"/>
      <c r="CD140" s="144"/>
      <c r="CE140" s="144"/>
      <c r="CF140" s="144"/>
      <c r="CG140" s="144"/>
      <c r="CH140" s="144"/>
      <c r="CJ140" s="143"/>
      <c r="CK140" s="144"/>
      <c r="CL140" s="144"/>
      <c r="CM140" s="144"/>
      <c r="CN140" s="144"/>
      <c r="CO140" s="144"/>
      <c r="CQ140" s="143"/>
      <c r="CR140" s="144"/>
      <c r="CS140" s="144"/>
      <c r="CT140" s="144"/>
      <c r="CU140" s="144"/>
      <c r="CV140" s="144"/>
      <c r="CX140" s="143"/>
      <c r="CY140" s="144"/>
      <c r="CZ140" s="144"/>
      <c r="DA140" s="144"/>
      <c r="DB140" s="144"/>
      <c r="DC140" s="144"/>
      <c r="DE140" s="143"/>
      <c r="DF140" s="144"/>
      <c r="DG140" s="144"/>
      <c r="DH140" s="144"/>
      <c r="DI140" s="144"/>
      <c r="DJ140" s="144"/>
      <c r="DL140" s="143"/>
      <c r="DM140" s="144"/>
      <c r="DN140" s="144"/>
      <c r="DO140" s="144"/>
      <c r="DP140" s="144"/>
      <c r="DQ140" s="144"/>
      <c r="DS140" s="143"/>
      <c r="DT140" s="144"/>
      <c r="DU140" s="144"/>
      <c r="DV140" s="144"/>
      <c r="DW140" s="144"/>
      <c r="DX140" s="144"/>
      <c r="DZ140" s="143"/>
      <c r="EA140" s="144"/>
      <c r="EB140" s="144"/>
      <c r="EC140" s="144"/>
      <c r="ED140" s="144"/>
      <c r="EE140" s="144"/>
      <c r="EG140" s="143"/>
      <c r="EH140" s="144"/>
      <c r="EI140" s="144"/>
      <c r="EJ140" s="144"/>
      <c r="EK140" s="144"/>
      <c r="EL140" s="144"/>
      <c r="EN140" s="143"/>
      <c r="EO140" s="144"/>
      <c r="EP140" s="144"/>
      <c r="EQ140" s="144"/>
      <c r="ER140" s="144"/>
      <c r="ES140" s="144"/>
      <c r="EU140" s="143"/>
      <c r="EV140" s="144"/>
      <c r="EW140" s="144"/>
      <c r="EX140" s="144"/>
      <c r="EY140" s="144"/>
      <c r="EZ140" s="144"/>
      <c r="FB140" s="143"/>
      <c r="FC140" s="144"/>
      <c r="FD140" s="144"/>
      <c r="FE140" s="144"/>
      <c r="FF140" s="144"/>
      <c r="FG140" s="144"/>
      <c r="FI140" s="143"/>
      <c r="FJ140" s="144"/>
      <c r="FK140" s="144"/>
      <c r="FL140" s="144"/>
      <c r="FM140" s="144"/>
      <c r="FN140" s="144"/>
      <c r="FP140" s="143"/>
      <c r="FQ140" s="144"/>
      <c r="FR140" s="144"/>
      <c r="FS140" s="144"/>
      <c r="FT140" s="144"/>
      <c r="FU140" s="144"/>
      <c r="FW140" s="143"/>
      <c r="FX140" s="144"/>
      <c r="FY140" s="144"/>
      <c r="FZ140" s="144"/>
      <c r="GA140" s="144"/>
      <c r="GB140" s="144"/>
      <c r="GD140" s="143"/>
      <c r="GE140" s="144"/>
      <c r="GF140" s="144"/>
      <c r="GG140" s="144"/>
      <c r="GH140" s="144"/>
      <c r="GI140" s="144"/>
      <c r="GK140" s="143"/>
      <c r="GL140" s="144"/>
      <c r="GM140" s="144"/>
      <c r="GN140" s="144"/>
      <c r="GO140" s="144"/>
      <c r="GP140" s="144"/>
      <c r="GR140" s="143"/>
      <c r="GS140" s="144"/>
      <c r="GT140" s="144"/>
      <c r="GU140" s="144"/>
      <c r="GV140" s="144"/>
      <c r="GW140" s="144"/>
      <c r="GY140" s="143"/>
      <c r="GZ140" s="144"/>
      <c r="HA140" s="144"/>
      <c r="HB140" s="144"/>
      <c r="HC140" s="144"/>
      <c r="HD140" s="144"/>
      <c r="HF140" s="143"/>
      <c r="HG140" s="144"/>
      <c r="HH140" s="144"/>
      <c r="HI140" s="144"/>
      <c r="HJ140" s="144"/>
      <c r="HK140" s="144"/>
      <c r="HM140" s="143"/>
      <c r="HN140" s="144"/>
      <c r="HO140" s="144"/>
      <c r="HP140" s="144"/>
      <c r="HQ140" s="144"/>
      <c r="HR140" s="144"/>
      <c r="HT140" s="143"/>
      <c r="HU140" s="144"/>
      <c r="HV140" s="144"/>
      <c r="HW140" s="144"/>
      <c r="HX140" s="144"/>
      <c r="HY140" s="144"/>
      <c r="IA140" s="143"/>
      <c r="IB140" s="144"/>
      <c r="IC140" s="144"/>
      <c r="ID140" s="144"/>
      <c r="IE140" s="144"/>
      <c r="IF140" s="144"/>
      <c r="IH140" s="143"/>
      <c r="II140" s="144"/>
      <c r="IJ140" s="144"/>
      <c r="IK140" s="144"/>
      <c r="IL140" s="144"/>
      <c r="IM140" s="144"/>
      <c r="IO140" s="143"/>
      <c r="IP140" s="144"/>
      <c r="IQ140" s="144"/>
      <c r="IR140" s="144"/>
      <c r="IS140" s="144"/>
      <c r="IT140" s="144"/>
      <c r="IV140" s="143"/>
      <c r="IW140" s="144"/>
      <c r="IX140" s="144"/>
      <c r="IY140" s="144"/>
      <c r="IZ140" s="144"/>
      <c r="JA140" s="144"/>
      <c r="JC140" s="143"/>
      <c r="JD140" s="144"/>
      <c r="JE140" s="144"/>
      <c r="JF140" s="144"/>
      <c r="JG140" s="144"/>
      <c r="JH140" s="144"/>
      <c r="JJ140" s="143"/>
      <c r="JK140" s="144"/>
      <c r="JL140" s="144"/>
      <c r="JM140" s="144"/>
      <c r="JN140" s="144"/>
      <c r="JO140" s="144"/>
      <c r="JQ140" s="143"/>
      <c r="JR140" s="144"/>
      <c r="JS140" s="144"/>
      <c r="JT140" s="144"/>
      <c r="JU140" s="144"/>
      <c r="JV140" s="144"/>
      <c r="JX140" s="143"/>
      <c r="JY140" s="144"/>
      <c r="JZ140" s="144"/>
      <c r="KA140" s="144"/>
      <c r="KB140" s="144"/>
      <c r="KC140" s="144"/>
      <c r="KE140" s="143"/>
      <c r="KF140" s="144"/>
      <c r="KG140" s="144"/>
      <c r="KH140" s="144"/>
      <c r="KI140" s="144"/>
      <c r="KJ140" s="144"/>
      <c r="KL140" s="143"/>
      <c r="KM140" s="144"/>
      <c r="KN140" s="144"/>
      <c r="KO140" s="144"/>
      <c r="KP140" s="144"/>
      <c r="KQ140" s="144"/>
      <c r="KS140" s="143"/>
      <c r="KT140" s="144"/>
      <c r="KU140" s="144"/>
      <c r="KV140" s="144"/>
      <c r="KW140" s="144"/>
      <c r="KX140" s="144"/>
      <c r="KZ140" s="143"/>
      <c r="LA140" s="144"/>
      <c r="LB140" s="144"/>
      <c r="LC140" s="144"/>
      <c r="LD140" s="144"/>
      <c r="LE140" s="145"/>
      <c r="LF140" s="555"/>
      <c r="LG140" s="143"/>
      <c r="LH140" s="144"/>
      <c r="LI140" s="144"/>
      <c r="LJ140" s="144"/>
      <c r="LK140" s="144"/>
      <c r="LL140" s="145"/>
      <c r="LM140" s="555"/>
      <c r="LN140" s="143"/>
      <c r="LO140" s="144"/>
      <c r="LP140" s="144"/>
      <c r="LQ140" s="144"/>
      <c r="LR140" s="144"/>
      <c r="LS140" s="145"/>
      <c r="LT140" s="555"/>
      <c r="LU140" s="143"/>
      <c r="LV140" s="144"/>
      <c r="LW140" s="144"/>
      <c r="LX140" s="144"/>
      <c r="LY140" s="144"/>
      <c r="LZ140" s="145"/>
      <c r="MA140" s="555"/>
      <c r="MB140" s="143"/>
      <c r="MC140" s="144"/>
      <c r="MD140" s="144"/>
      <c r="ME140" s="144"/>
      <c r="MF140" s="144"/>
      <c r="MG140" s="145"/>
      <c r="MH140" s="555"/>
    </row>
    <row r="141" spans="1:346" s="53" customFormat="1" ht="13.15" x14ac:dyDescent="0.4">
      <c r="A141" s="100"/>
      <c r="B141" s="168" t="s">
        <v>234</v>
      </c>
      <c r="C141" s="169"/>
      <c r="D141" s="169"/>
      <c r="E141" s="169"/>
      <c r="F141" s="169"/>
      <c r="G141" s="169"/>
      <c r="H141" s="169"/>
      <c r="I141" s="169"/>
      <c r="J141" s="169"/>
      <c r="K141" s="169"/>
      <c r="L141" s="169"/>
      <c r="M141" s="169"/>
      <c r="N141" s="169">
        <f t="shared" ref="N141:N147" si="278">BT141</f>
        <v>0</v>
      </c>
      <c r="O141" s="169">
        <f t="shared" ref="O141:O147" si="279">CA141</f>
        <v>0</v>
      </c>
      <c r="P141" s="169">
        <f t="shared" ref="P141:P147" si="280">CH141</f>
        <v>0</v>
      </c>
      <c r="Q141" s="169">
        <f t="shared" ref="Q141:Q147" si="281">CO141</f>
        <v>0</v>
      </c>
      <c r="R141" s="169">
        <f t="shared" ref="R141:R147" si="282">CV141</f>
        <v>0</v>
      </c>
      <c r="S141" s="169">
        <f t="shared" ref="S141:S147" si="283">DC141</f>
        <v>0</v>
      </c>
      <c r="T141" s="169">
        <f t="shared" ref="T141:T147" si="284">DJ141</f>
        <v>0</v>
      </c>
      <c r="U141" s="169">
        <f t="shared" ref="U141:U147" si="285">DQ141</f>
        <v>0</v>
      </c>
      <c r="V141" s="169">
        <f t="shared" ref="V141:V147" si="286">DX141</f>
        <v>0</v>
      </c>
      <c r="W141" s="169">
        <f t="shared" ref="W141:W147" si="287">EE141</f>
        <v>0</v>
      </c>
      <c r="X141" s="169">
        <f t="shared" ref="X141:X147" si="288">EL141</f>
        <v>0</v>
      </c>
      <c r="Y141" s="169">
        <f t="shared" ref="Y141:Y147" si="289">ES141</f>
        <v>0</v>
      </c>
      <c r="Z141" s="169">
        <f t="shared" ref="Z141:Z147" si="290">EZ141</f>
        <v>0</v>
      </c>
      <c r="AA141" s="169">
        <f t="shared" ref="AA141:AA147" si="291">FG141</f>
        <v>0</v>
      </c>
      <c r="AB141" s="169">
        <f t="shared" ref="AB141:AB147" si="292">FN141</f>
        <v>0</v>
      </c>
      <c r="AC141" s="169">
        <f t="shared" ref="AC141:AC147" si="293">FU141</f>
        <v>0</v>
      </c>
      <c r="AD141" s="169">
        <f t="shared" ref="AD141:AD147" si="294">GB141</f>
        <v>19.2</v>
      </c>
      <c r="AE141" s="169">
        <f t="shared" ref="AE141:AE147" si="295">GI141</f>
        <v>19.899999999999999</v>
      </c>
      <c r="AF141" s="169">
        <f t="shared" ref="AF141:AF147" si="296">GP141</f>
        <v>20.8</v>
      </c>
      <c r="AG141" s="169">
        <f t="shared" ref="AG141:AG147" si="297">GW141</f>
        <v>20.5</v>
      </c>
      <c r="AH141" s="169">
        <f t="shared" ref="AH141:AH147" si="298">HD141</f>
        <v>21.8</v>
      </c>
      <c r="AI141" s="169">
        <f t="shared" ref="AI141:AI147" si="299">HK141</f>
        <v>21</v>
      </c>
      <c r="AJ141" s="169">
        <f t="shared" ref="AJ141:AJ147" si="300">HR141</f>
        <v>20.6</v>
      </c>
      <c r="AK141" s="169">
        <f t="shared" ref="AK141:AK147" si="301">HY141</f>
        <v>22.7</v>
      </c>
      <c r="AL141" s="169">
        <f t="shared" ref="AL141:AL147" si="302">IF141</f>
        <v>23.2</v>
      </c>
      <c r="AM141" s="169">
        <f t="shared" ref="AM141:AM147" si="303">IM141</f>
        <v>20.100000000000001</v>
      </c>
      <c r="AN141" s="169">
        <f t="shared" ref="AN141:AN147" si="304">IT141</f>
        <v>20.5</v>
      </c>
      <c r="AO141" s="169">
        <f t="shared" ref="AO141:AO147" si="305">JA141</f>
        <v>14.9</v>
      </c>
      <c r="AP141" s="169">
        <f t="shared" ref="AP141:AP147" si="306">JH141</f>
        <v>15.1</v>
      </c>
      <c r="AQ141" s="169">
        <f t="shared" ref="AQ141:AQ147" si="307">JO141</f>
        <v>17.899999999999999</v>
      </c>
      <c r="AR141" s="169">
        <f t="shared" ref="AR141:AR147" si="308">JV141</f>
        <v>20.5</v>
      </c>
      <c r="AS141" s="169">
        <f t="shared" ref="AS141:AS147" si="309">KC141</f>
        <v>20.2</v>
      </c>
      <c r="AT141" s="169">
        <f t="shared" ref="AT141:AT147" si="310">KJ141</f>
        <v>17.899999999999999</v>
      </c>
      <c r="AU141" s="169">
        <f t="shared" ref="AU141:AU147" si="311">KQ141</f>
        <v>16.100000000000001</v>
      </c>
      <c r="AV141" s="169">
        <f t="shared" ref="AV141:AV147" si="312">KX141</f>
        <v>18</v>
      </c>
      <c r="AW141" s="169">
        <f t="shared" ref="AW141:AW147" si="313">LE141</f>
        <v>18.3</v>
      </c>
      <c r="AX141" s="169">
        <f t="shared" ref="AX141:AX147" si="314">LL141</f>
        <v>18.399999999999999</v>
      </c>
      <c r="AY141" s="169" t="str">
        <f t="shared" ref="AY141:AY147" si="315">LS141</f>
        <v>-</v>
      </c>
      <c r="AZ141" s="169" t="str">
        <f t="shared" ref="AZ141:AZ147" si="316">LZ141</f>
        <v>-</v>
      </c>
      <c r="BA141" s="169" t="str">
        <f t="shared" ref="BA141:BA147" si="317">MG141</f>
        <v>-</v>
      </c>
      <c r="BB141" s="169"/>
      <c r="BC141" s="169"/>
      <c r="BD141" s="169"/>
      <c r="BE141" s="169"/>
      <c r="BF141" s="169"/>
      <c r="BG141" s="169"/>
      <c r="BH141" s="169"/>
      <c r="BI141" s="169"/>
      <c r="BJ141" s="169"/>
      <c r="BK141" s="169"/>
      <c r="BL141" s="169"/>
      <c r="BM141" s="169"/>
      <c r="BO141" s="168" t="s">
        <v>234</v>
      </c>
      <c r="BP141" s="169"/>
      <c r="BQ141" s="169"/>
      <c r="BR141" s="169"/>
      <c r="BS141" s="169"/>
      <c r="BT141" s="169"/>
      <c r="BV141" s="168" t="s">
        <v>234</v>
      </c>
      <c r="BW141" s="169"/>
      <c r="BX141" s="169"/>
      <c r="BY141" s="169"/>
      <c r="BZ141" s="169"/>
      <c r="CA141" s="169"/>
      <c r="CC141" s="168" t="s">
        <v>234</v>
      </c>
      <c r="CD141" s="169"/>
      <c r="CE141" s="169"/>
      <c r="CF141" s="169"/>
      <c r="CG141" s="169"/>
      <c r="CH141" s="169"/>
      <c r="CJ141" s="168" t="s">
        <v>234</v>
      </c>
      <c r="CK141" s="169"/>
      <c r="CL141" s="169"/>
      <c r="CM141" s="169"/>
      <c r="CN141" s="169"/>
      <c r="CO141" s="169"/>
      <c r="CQ141" s="168" t="s">
        <v>234</v>
      </c>
      <c r="CR141" s="169"/>
      <c r="CS141" s="169"/>
      <c r="CT141" s="169"/>
      <c r="CU141" s="169"/>
      <c r="CV141" s="169"/>
      <c r="CX141" s="168" t="s">
        <v>234</v>
      </c>
      <c r="CY141" s="169"/>
      <c r="CZ141" s="169"/>
      <c r="DA141" s="169"/>
      <c r="DB141" s="169"/>
      <c r="DC141" s="169"/>
      <c r="DE141" s="168" t="s">
        <v>234</v>
      </c>
      <c r="DF141" s="169"/>
      <c r="DG141" s="169"/>
      <c r="DH141" s="169"/>
      <c r="DI141" s="169"/>
      <c r="DJ141" s="169"/>
      <c r="DL141" s="168" t="s">
        <v>234</v>
      </c>
      <c r="DM141" s="169"/>
      <c r="DN141" s="169"/>
      <c r="DO141" s="169"/>
      <c r="DP141" s="169"/>
      <c r="DQ141" s="169"/>
      <c r="DS141" s="168" t="s">
        <v>234</v>
      </c>
      <c r="DT141" s="169"/>
      <c r="DU141" s="169"/>
      <c r="DV141" s="169"/>
      <c r="DW141" s="169"/>
      <c r="DX141" s="169"/>
      <c r="DZ141" s="168" t="s">
        <v>234</v>
      </c>
      <c r="EA141" s="169"/>
      <c r="EB141" s="169"/>
      <c r="EC141" s="169"/>
      <c r="ED141" s="169"/>
      <c r="EE141" s="169"/>
      <c r="EG141" s="168" t="s">
        <v>234</v>
      </c>
      <c r="EH141" s="169"/>
      <c r="EI141" s="169"/>
      <c r="EJ141" s="169"/>
      <c r="EK141" s="169"/>
      <c r="EL141" s="169"/>
      <c r="EN141" s="168" t="s">
        <v>234</v>
      </c>
      <c r="EO141" s="169"/>
      <c r="EP141" s="169"/>
      <c r="EQ141" s="169"/>
      <c r="ER141" s="169"/>
      <c r="ES141" s="169"/>
      <c r="EU141" s="168" t="s">
        <v>234</v>
      </c>
      <c r="EV141" s="169"/>
      <c r="EW141" s="169"/>
      <c r="EX141" s="169"/>
      <c r="EY141" s="169"/>
      <c r="EZ141" s="169"/>
      <c r="FB141" s="168" t="s">
        <v>234</v>
      </c>
      <c r="FC141" s="169"/>
      <c r="FD141" s="169"/>
      <c r="FE141" s="169"/>
      <c r="FF141" s="169"/>
      <c r="FG141" s="169"/>
      <c r="FI141" s="168" t="s">
        <v>234</v>
      </c>
      <c r="FJ141" s="169"/>
      <c r="FK141" s="169"/>
      <c r="FL141" s="169"/>
      <c r="FM141" s="169"/>
      <c r="FN141" s="169"/>
      <c r="FP141" s="168" t="s">
        <v>234</v>
      </c>
      <c r="FQ141" s="169"/>
      <c r="FR141" s="169"/>
      <c r="FS141" s="169"/>
      <c r="FT141" s="169"/>
      <c r="FU141" s="169"/>
      <c r="FW141" s="168" t="s">
        <v>234</v>
      </c>
      <c r="FX141" s="169">
        <v>19.5</v>
      </c>
      <c r="FY141" s="169">
        <v>19.100000000000001</v>
      </c>
      <c r="FZ141" s="169">
        <v>19.7</v>
      </c>
      <c r="GA141" s="169">
        <v>18.8</v>
      </c>
      <c r="GB141" s="169">
        <v>19.2</v>
      </c>
      <c r="GD141" s="168" t="s">
        <v>234</v>
      </c>
      <c r="GE141" s="169">
        <v>20</v>
      </c>
      <c r="GF141" s="169">
        <v>19.600000000000001</v>
      </c>
      <c r="GG141" s="169">
        <v>19.8</v>
      </c>
      <c r="GH141" s="169">
        <v>20</v>
      </c>
      <c r="GI141" s="169">
        <v>19.899999999999999</v>
      </c>
      <c r="GK141" s="168" t="s">
        <v>234</v>
      </c>
      <c r="GL141" s="169">
        <v>20.100000000000001</v>
      </c>
      <c r="GM141" s="169">
        <v>20.399999999999999</v>
      </c>
      <c r="GN141" s="169">
        <v>21.4</v>
      </c>
      <c r="GO141" s="169">
        <v>21.2</v>
      </c>
      <c r="GP141" s="169">
        <v>20.8</v>
      </c>
      <c r="GR141" s="168" t="s">
        <v>234</v>
      </c>
      <c r="GS141" s="169">
        <v>20.8</v>
      </c>
      <c r="GT141" s="169">
        <v>20</v>
      </c>
      <c r="GU141" s="169">
        <v>20.100000000000001</v>
      </c>
      <c r="GV141" s="169">
        <v>21.2</v>
      </c>
      <c r="GW141" s="169">
        <v>20.5</v>
      </c>
      <c r="GY141" s="168" t="s">
        <v>234</v>
      </c>
      <c r="GZ141" s="169">
        <v>20.9</v>
      </c>
      <c r="HA141" s="169">
        <v>21.7</v>
      </c>
      <c r="HB141" s="169">
        <v>21.8</v>
      </c>
      <c r="HC141" s="169">
        <v>22</v>
      </c>
      <c r="HD141" s="169">
        <v>21.8</v>
      </c>
      <c r="HF141" s="168" t="s">
        <v>234</v>
      </c>
      <c r="HG141" s="169">
        <v>20.9</v>
      </c>
      <c r="HH141" s="169">
        <v>20.9</v>
      </c>
      <c r="HI141" s="169">
        <v>21.1</v>
      </c>
      <c r="HJ141" s="169">
        <v>21.3</v>
      </c>
      <c r="HK141" s="169">
        <v>21</v>
      </c>
      <c r="HM141" s="168" t="s">
        <v>234</v>
      </c>
      <c r="HN141" s="169">
        <v>20.5</v>
      </c>
      <c r="HO141" s="169">
        <v>19.8</v>
      </c>
      <c r="HP141" s="169">
        <v>20.6</v>
      </c>
      <c r="HQ141" s="169">
        <v>21.7</v>
      </c>
      <c r="HR141" s="169">
        <v>20.6</v>
      </c>
      <c r="HT141" s="168" t="s">
        <v>234</v>
      </c>
      <c r="HU141" s="169">
        <v>22.3</v>
      </c>
      <c r="HV141" s="169">
        <v>22.4</v>
      </c>
      <c r="HW141" s="169">
        <v>22.6</v>
      </c>
      <c r="HX141" s="169">
        <v>23.3</v>
      </c>
      <c r="HY141" s="169">
        <v>22.7</v>
      </c>
      <c r="IA141" s="168" t="s">
        <v>234</v>
      </c>
      <c r="IB141" s="169">
        <v>23.4</v>
      </c>
      <c r="IC141" s="169">
        <v>23</v>
      </c>
      <c r="ID141" s="169">
        <v>23.3</v>
      </c>
      <c r="IE141" s="169">
        <v>22.9</v>
      </c>
      <c r="IF141" s="169">
        <v>23.2</v>
      </c>
      <c r="IH141" s="168" t="s">
        <v>234</v>
      </c>
      <c r="II141" s="169">
        <v>20.6</v>
      </c>
      <c r="IJ141" s="169">
        <v>19.3</v>
      </c>
      <c r="IK141" s="169">
        <v>20.2</v>
      </c>
      <c r="IL141" s="169">
        <v>20.399999999999999</v>
      </c>
      <c r="IM141" s="169">
        <v>20.100000000000001</v>
      </c>
      <c r="IO141" s="168" t="s">
        <v>234</v>
      </c>
      <c r="IP141" s="169">
        <v>20.2</v>
      </c>
      <c r="IQ141" s="169">
        <v>20.3</v>
      </c>
      <c r="IR141" s="169">
        <v>20.5</v>
      </c>
      <c r="IS141" s="169">
        <v>21.1</v>
      </c>
      <c r="IT141" s="169">
        <v>20.5</v>
      </c>
      <c r="IV141" s="168" t="s">
        <v>234</v>
      </c>
      <c r="IW141" s="169">
        <v>21.1</v>
      </c>
      <c r="IX141" s="169">
        <v>21.1</v>
      </c>
      <c r="IY141" s="169">
        <v>14.9</v>
      </c>
      <c r="IZ141" s="169">
        <v>14.2</v>
      </c>
      <c r="JA141" s="169">
        <v>14.9</v>
      </c>
      <c r="JC141" s="168" t="s">
        <v>234</v>
      </c>
      <c r="JD141" s="169">
        <v>14.2</v>
      </c>
      <c r="JE141" s="169">
        <v>16.2</v>
      </c>
      <c r="JF141" s="169">
        <v>14</v>
      </c>
      <c r="JG141" s="169">
        <v>16.2</v>
      </c>
      <c r="JH141" s="169">
        <v>15.1</v>
      </c>
      <c r="JJ141" s="168" t="s">
        <v>234</v>
      </c>
      <c r="JK141" s="169">
        <v>17.5</v>
      </c>
      <c r="JL141" s="169">
        <v>17.600000000000001</v>
      </c>
      <c r="JM141" s="169">
        <v>17.899999999999999</v>
      </c>
      <c r="JN141" s="169">
        <v>18.899999999999999</v>
      </c>
      <c r="JO141" s="169">
        <v>17.899999999999999</v>
      </c>
      <c r="JQ141" s="168" t="s">
        <v>234</v>
      </c>
      <c r="JR141" s="169">
        <v>20.399999999999999</v>
      </c>
      <c r="JS141" s="169">
        <v>20</v>
      </c>
      <c r="JT141" s="169">
        <v>20.3</v>
      </c>
      <c r="JU141" s="169">
        <v>21.3</v>
      </c>
      <c r="JV141" s="169">
        <v>20.5</v>
      </c>
      <c r="JX141" s="168" t="s">
        <v>234</v>
      </c>
      <c r="JY141" s="169">
        <v>21.2</v>
      </c>
      <c r="JZ141" s="169">
        <v>21.2</v>
      </c>
      <c r="KA141" s="169">
        <v>19.600000000000001</v>
      </c>
      <c r="KB141" s="169">
        <v>18.899999999999999</v>
      </c>
      <c r="KC141" s="169">
        <v>20.2</v>
      </c>
      <c r="KE141" s="168" t="s">
        <v>234</v>
      </c>
      <c r="KF141" s="169">
        <v>18.899999999999999</v>
      </c>
      <c r="KG141" s="169">
        <v>17.899999999999999</v>
      </c>
      <c r="KH141" s="169">
        <v>17.7</v>
      </c>
      <c r="KI141" s="169">
        <v>17.399999999999999</v>
      </c>
      <c r="KJ141" s="169">
        <v>17.899999999999999</v>
      </c>
      <c r="KL141" s="168" t="s">
        <v>234</v>
      </c>
      <c r="KM141" s="169">
        <v>16</v>
      </c>
      <c r="KN141" s="169">
        <v>15.3</v>
      </c>
      <c r="KO141" s="169">
        <v>15.8</v>
      </c>
      <c r="KP141" s="169">
        <v>17.5</v>
      </c>
      <c r="KQ141" s="169">
        <v>16.100000000000001</v>
      </c>
      <c r="KS141" s="168" t="s">
        <v>234</v>
      </c>
      <c r="KT141" s="169">
        <v>18.5</v>
      </c>
      <c r="KU141" s="169">
        <v>17.7</v>
      </c>
      <c r="KV141" s="169">
        <v>17.600000000000001</v>
      </c>
      <c r="KW141" s="265">
        <v>18.3</v>
      </c>
      <c r="KX141" s="169">
        <v>18</v>
      </c>
      <c r="KZ141" s="168" t="s">
        <v>234</v>
      </c>
      <c r="LA141" s="169">
        <v>18.2</v>
      </c>
      <c r="LB141" s="169">
        <v>18.2</v>
      </c>
      <c r="LC141" s="169">
        <v>18.600000000000001</v>
      </c>
      <c r="LD141" s="169">
        <v>18.3</v>
      </c>
      <c r="LE141" s="169">
        <v>18.3</v>
      </c>
      <c r="LF141" s="555"/>
      <c r="LG141" s="168" t="s">
        <v>234</v>
      </c>
      <c r="LH141" s="169">
        <v>17.600000000000001</v>
      </c>
      <c r="LI141" s="169">
        <v>17.5</v>
      </c>
      <c r="LJ141" s="169">
        <v>18.899999999999999</v>
      </c>
      <c r="LK141" s="169">
        <v>19.600000000000001</v>
      </c>
      <c r="LL141" s="169">
        <v>18.399999999999999</v>
      </c>
      <c r="LM141" s="555"/>
      <c r="LN141" s="168" t="s">
        <v>234</v>
      </c>
      <c r="LO141" s="144" t="s">
        <v>80</v>
      </c>
      <c r="LP141" s="144" t="s">
        <v>80</v>
      </c>
      <c r="LQ141" s="144" t="s">
        <v>80</v>
      </c>
      <c r="LR141" s="144" t="s">
        <v>80</v>
      </c>
      <c r="LS141" s="744" t="s">
        <v>80</v>
      </c>
      <c r="LT141" s="555"/>
      <c r="LU141" s="168" t="s">
        <v>234</v>
      </c>
      <c r="LV141" s="144" t="s">
        <v>80</v>
      </c>
      <c r="LW141" s="144" t="s">
        <v>80</v>
      </c>
      <c r="LX141" s="144" t="s">
        <v>80</v>
      </c>
      <c r="LY141" s="144" t="s">
        <v>80</v>
      </c>
      <c r="LZ141" s="744" t="s">
        <v>80</v>
      </c>
      <c r="MA141" s="555"/>
      <c r="MB141" s="168" t="s">
        <v>234</v>
      </c>
      <c r="MC141" s="144" t="s">
        <v>80</v>
      </c>
      <c r="MD141" s="144" t="s">
        <v>80</v>
      </c>
      <c r="ME141" s="144" t="s">
        <v>80</v>
      </c>
      <c r="MF141" s="144" t="s">
        <v>80</v>
      </c>
      <c r="MG141" s="744" t="s">
        <v>80</v>
      </c>
      <c r="MH141" s="555"/>
    </row>
    <row r="142" spans="1:346" s="53" customFormat="1" ht="13.15" x14ac:dyDescent="0.4">
      <c r="A142" s="100"/>
      <c r="B142" s="168" t="s">
        <v>235</v>
      </c>
      <c r="C142" s="169"/>
      <c r="D142" s="169"/>
      <c r="E142" s="169"/>
      <c r="F142" s="169"/>
      <c r="G142" s="169"/>
      <c r="H142" s="169"/>
      <c r="I142" s="169"/>
      <c r="J142" s="169"/>
      <c r="K142" s="169"/>
      <c r="L142" s="169"/>
      <c r="M142" s="169"/>
      <c r="N142" s="169">
        <f t="shared" si="278"/>
        <v>0</v>
      </c>
      <c r="O142" s="169">
        <f t="shared" si="279"/>
        <v>0</v>
      </c>
      <c r="P142" s="169">
        <f t="shared" si="280"/>
        <v>0</v>
      </c>
      <c r="Q142" s="169">
        <f t="shared" si="281"/>
        <v>0</v>
      </c>
      <c r="R142" s="169">
        <f t="shared" si="282"/>
        <v>0</v>
      </c>
      <c r="S142" s="169">
        <f t="shared" si="283"/>
        <v>0</v>
      </c>
      <c r="T142" s="169">
        <f t="shared" si="284"/>
        <v>0</v>
      </c>
      <c r="U142" s="169">
        <f t="shared" si="285"/>
        <v>0</v>
      </c>
      <c r="V142" s="169">
        <f t="shared" si="286"/>
        <v>0</v>
      </c>
      <c r="W142" s="169">
        <f t="shared" si="287"/>
        <v>0</v>
      </c>
      <c r="X142" s="169">
        <f t="shared" si="288"/>
        <v>0</v>
      </c>
      <c r="Y142" s="169">
        <f t="shared" si="289"/>
        <v>0</v>
      </c>
      <c r="Z142" s="169">
        <f t="shared" si="290"/>
        <v>0</v>
      </c>
      <c r="AA142" s="169">
        <f t="shared" si="291"/>
        <v>0</v>
      </c>
      <c r="AB142" s="169">
        <f t="shared" si="292"/>
        <v>0</v>
      </c>
      <c r="AC142" s="169">
        <f t="shared" si="293"/>
        <v>0</v>
      </c>
      <c r="AD142" s="169">
        <f t="shared" si="294"/>
        <v>29.7</v>
      </c>
      <c r="AE142" s="169">
        <f t="shared" si="295"/>
        <v>25.1</v>
      </c>
      <c r="AF142" s="169">
        <f t="shared" si="296"/>
        <v>23.2</v>
      </c>
      <c r="AG142" s="169">
        <f t="shared" si="297"/>
        <v>23.3</v>
      </c>
      <c r="AH142" s="169">
        <f t="shared" si="298"/>
        <v>24.1</v>
      </c>
      <c r="AI142" s="169">
        <f t="shared" si="299"/>
        <v>25</v>
      </c>
      <c r="AJ142" s="169">
        <f t="shared" si="300"/>
        <v>25.9</v>
      </c>
      <c r="AK142" s="169">
        <f t="shared" si="301"/>
        <v>23.7</v>
      </c>
      <c r="AL142" s="169">
        <f t="shared" si="302"/>
        <v>22.2</v>
      </c>
      <c r="AM142" s="169">
        <f t="shared" si="303"/>
        <v>26.3</v>
      </c>
      <c r="AN142" s="169">
        <f t="shared" si="304"/>
        <v>25.8</v>
      </c>
      <c r="AO142" s="169">
        <f t="shared" si="305"/>
        <v>11.4</v>
      </c>
      <c r="AP142" s="169">
        <f t="shared" si="306"/>
        <v>11.3</v>
      </c>
      <c r="AQ142" s="169">
        <f t="shared" si="307"/>
        <v>9.6</v>
      </c>
      <c r="AR142" s="169">
        <f t="shared" si="308"/>
        <v>8.6</v>
      </c>
      <c r="AS142" s="169">
        <f t="shared" si="309"/>
        <v>9.3000000000000007</v>
      </c>
      <c r="AT142" s="169">
        <f t="shared" si="310"/>
        <v>10.7</v>
      </c>
      <c r="AU142" s="169">
        <f t="shared" si="311"/>
        <v>11.3</v>
      </c>
      <c r="AV142" s="169">
        <f t="shared" si="312"/>
        <v>9.4</v>
      </c>
      <c r="AW142" s="169">
        <f t="shared" si="313"/>
        <v>10.3</v>
      </c>
      <c r="AX142" s="169">
        <f t="shared" si="314"/>
        <v>10.3</v>
      </c>
      <c r="AY142" s="169" t="str">
        <f t="shared" si="315"/>
        <v>-</v>
      </c>
      <c r="AZ142" s="169" t="str">
        <f t="shared" si="316"/>
        <v>-</v>
      </c>
      <c r="BA142" s="169" t="str">
        <f t="shared" si="317"/>
        <v>-</v>
      </c>
      <c r="BB142" s="169"/>
      <c r="BC142" s="169"/>
      <c r="BD142" s="169"/>
      <c r="BE142" s="169"/>
      <c r="BF142" s="169"/>
      <c r="BG142" s="169"/>
      <c r="BH142" s="169"/>
      <c r="BI142" s="169"/>
      <c r="BJ142" s="169"/>
      <c r="BK142" s="169"/>
      <c r="BL142" s="169"/>
      <c r="BM142" s="169"/>
      <c r="BO142" s="168" t="s">
        <v>235</v>
      </c>
      <c r="BP142" s="169"/>
      <c r="BQ142" s="169"/>
      <c r="BR142" s="169"/>
      <c r="BS142" s="169"/>
      <c r="BT142" s="169"/>
      <c r="BV142" s="168" t="s">
        <v>235</v>
      </c>
      <c r="BW142" s="169"/>
      <c r="BX142" s="169"/>
      <c r="BY142" s="169"/>
      <c r="BZ142" s="169"/>
      <c r="CA142" s="169"/>
      <c r="CC142" s="168" t="s">
        <v>235</v>
      </c>
      <c r="CD142" s="169"/>
      <c r="CE142" s="169"/>
      <c r="CF142" s="169"/>
      <c r="CG142" s="169"/>
      <c r="CH142" s="169"/>
      <c r="CJ142" s="168" t="s">
        <v>235</v>
      </c>
      <c r="CK142" s="169"/>
      <c r="CL142" s="169"/>
      <c r="CM142" s="169"/>
      <c r="CN142" s="169"/>
      <c r="CO142" s="169"/>
      <c r="CQ142" s="168" t="s">
        <v>235</v>
      </c>
      <c r="CR142" s="169"/>
      <c r="CS142" s="169"/>
      <c r="CT142" s="169"/>
      <c r="CU142" s="169"/>
      <c r="CV142" s="169"/>
      <c r="CX142" s="168" t="s">
        <v>235</v>
      </c>
      <c r="CY142" s="169"/>
      <c r="CZ142" s="169"/>
      <c r="DA142" s="169"/>
      <c r="DB142" s="169"/>
      <c r="DC142" s="169"/>
      <c r="DE142" s="168" t="s">
        <v>235</v>
      </c>
      <c r="DF142" s="169"/>
      <c r="DG142" s="169"/>
      <c r="DH142" s="169"/>
      <c r="DI142" s="169"/>
      <c r="DJ142" s="169"/>
      <c r="DL142" s="168" t="s">
        <v>235</v>
      </c>
      <c r="DM142" s="169"/>
      <c r="DN142" s="169"/>
      <c r="DO142" s="169"/>
      <c r="DP142" s="169"/>
      <c r="DQ142" s="169"/>
      <c r="DS142" s="168" t="s">
        <v>235</v>
      </c>
      <c r="DT142" s="169"/>
      <c r="DU142" s="169"/>
      <c r="DV142" s="169"/>
      <c r="DW142" s="169"/>
      <c r="DX142" s="169"/>
      <c r="DZ142" s="168" t="s">
        <v>235</v>
      </c>
      <c r="EA142" s="169"/>
      <c r="EB142" s="169"/>
      <c r="EC142" s="169"/>
      <c r="ED142" s="169"/>
      <c r="EE142" s="169"/>
      <c r="EG142" s="168" t="s">
        <v>235</v>
      </c>
      <c r="EH142" s="169"/>
      <c r="EI142" s="169"/>
      <c r="EJ142" s="169"/>
      <c r="EK142" s="169"/>
      <c r="EL142" s="169"/>
      <c r="EN142" s="168" t="s">
        <v>235</v>
      </c>
      <c r="EO142" s="169"/>
      <c r="EP142" s="169"/>
      <c r="EQ142" s="169"/>
      <c r="ER142" s="169"/>
      <c r="ES142" s="169"/>
      <c r="EU142" s="168" t="s">
        <v>235</v>
      </c>
      <c r="EV142" s="169"/>
      <c r="EW142" s="169"/>
      <c r="EX142" s="169"/>
      <c r="EY142" s="169"/>
      <c r="EZ142" s="169"/>
      <c r="FB142" s="168" t="s">
        <v>235</v>
      </c>
      <c r="FC142" s="169"/>
      <c r="FD142" s="169"/>
      <c r="FE142" s="169"/>
      <c r="FF142" s="169"/>
      <c r="FG142" s="169"/>
      <c r="FI142" s="168" t="s">
        <v>235</v>
      </c>
      <c r="FJ142" s="169"/>
      <c r="FK142" s="169"/>
      <c r="FL142" s="169"/>
      <c r="FM142" s="169"/>
      <c r="FN142" s="169"/>
      <c r="FP142" s="168" t="s">
        <v>235</v>
      </c>
      <c r="FQ142" s="169"/>
      <c r="FR142" s="169"/>
      <c r="FS142" s="169"/>
      <c r="FT142" s="169"/>
      <c r="FU142" s="169"/>
      <c r="FW142" s="168" t="s">
        <v>235</v>
      </c>
      <c r="FX142" s="169">
        <v>30</v>
      </c>
      <c r="FY142" s="169">
        <v>30.4</v>
      </c>
      <c r="FZ142" s="169">
        <v>29</v>
      </c>
      <c r="GA142" s="169">
        <v>29.6</v>
      </c>
      <c r="GB142" s="169">
        <v>29.7</v>
      </c>
      <c r="GD142" s="168" t="s">
        <v>235</v>
      </c>
      <c r="GE142" s="169">
        <v>26.6</v>
      </c>
      <c r="GF142" s="169">
        <v>25.5</v>
      </c>
      <c r="GG142" s="169">
        <v>24.4</v>
      </c>
      <c r="GH142" s="169">
        <v>24.2</v>
      </c>
      <c r="GI142" s="169">
        <v>25.1</v>
      </c>
      <c r="GK142" s="168" t="s">
        <v>235</v>
      </c>
      <c r="GL142" s="169">
        <v>24.5</v>
      </c>
      <c r="GM142" s="169">
        <v>23.5</v>
      </c>
      <c r="GN142" s="169">
        <v>22.7</v>
      </c>
      <c r="GO142" s="169">
        <v>22.2</v>
      </c>
      <c r="GP142" s="169">
        <v>23.2</v>
      </c>
      <c r="GR142" s="168" t="s">
        <v>235</v>
      </c>
      <c r="GS142" s="169">
        <v>22.7</v>
      </c>
      <c r="GT142" s="169">
        <v>23.3</v>
      </c>
      <c r="GU142" s="169">
        <v>24.1</v>
      </c>
      <c r="GV142" s="169">
        <v>23.2</v>
      </c>
      <c r="GW142" s="169">
        <v>23.3</v>
      </c>
      <c r="GY142" s="168" t="s">
        <v>235</v>
      </c>
      <c r="GZ142" s="169">
        <v>25.8</v>
      </c>
      <c r="HA142" s="169">
        <v>24.1</v>
      </c>
      <c r="HB142" s="169">
        <v>24</v>
      </c>
      <c r="HC142" s="169">
        <v>24.3</v>
      </c>
      <c r="HD142" s="169">
        <v>24.1</v>
      </c>
      <c r="HF142" s="168" t="s">
        <v>235</v>
      </c>
      <c r="HG142" s="169">
        <v>25.8</v>
      </c>
      <c r="HH142" s="169">
        <v>23.7</v>
      </c>
      <c r="HI142" s="169">
        <v>24.8</v>
      </c>
      <c r="HJ142" s="169">
        <v>25.5</v>
      </c>
      <c r="HK142" s="169">
        <v>25</v>
      </c>
      <c r="HM142" s="168" t="s">
        <v>235</v>
      </c>
      <c r="HN142" s="169">
        <v>26.6</v>
      </c>
      <c r="HO142" s="169">
        <v>26</v>
      </c>
      <c r="HP142" s="169">
        <v>25.5</v>
      </c>
      <c r="HQ142" s="169">
        <v>25.4</v>
      </c>
      <c r="HR142" s="169">
        <v>25.9</v>
      </c>
      <c r="HT142" s="168" t="s">
        <v>235</v>
      </c>
      <c r="HU142" s="169">
        <v>24</v>
      </c>
      <c r="HV142" s="169">
        <v>23.2</v>
      </c>
      <c r="HW142" s="169">
        <v>23.2</v>
      </c>
      <c r="HX142" s="169">
        <v>24.3</v>
      </c>
      <c r="HY142" s="169">
        <v>23.7</v>
      </c>
      <c r="IA142" s="168" t="s">
        <v>235</v>
      </c>
      <c r="IB142" s="169">
        <v>22.2</v>
      </c>
      <c r="IC142" s="169">
        <v>21.9</v>
      </c>
      <c r="ID142" s="169">
        <v>21.8</v>
      </c>
      <c r="IE142" s="169">
        <v>23</v>
      </c>
      <c r="IF142" s="169">
        <v>22.2</v>
      </c>
      <c r="IH142" s="168" t="s">
        <v>235</v>
      </c>
      <c r="II142" s="169">
        <v>26.8</v>
      </c>
      <c r="IJ142" s="169">
        <v>25.9</v>
      </c>
      <c r="IK142" s="169">
        <v>26.3</v>
      </c>
      <c r="IL142" s="169">
        <v>26.3</v>
      </c>
      <c r="IM142" s="169">
        <v>26.3</v>
      </c>
      <c r="IO142" s="168" t="s">
        <v>235</v>
      </c>
      <c r="IP142" s="169">
        <v>27.7</v>
      </c>
      <c r="IQ142" s="169">
        <v>25</v>
      </c>
      <c r="IR142" s="169">
        <v>25.2</v>
      </c>
      <c r="IS142" s="169">
        <v>25.4</v>
      </c>
      <c r="IT142" s="169">
        <v>25.8</v>
      </c>
      <c r="IV142" s="168" t="s">
        <v>235</v>
      </c>
      <c r="IW142" s="169">
        <v>26</v>
      </c>
      <c r="IX142" s="169">
        <v>25</v>
      </c>
      <c r="IY142" s="169">
        <v>11.2</v>
      </c>
      <c r="IZ142" s="169">
        <v>11.4</v>
      </c>
      <c r="JA142" s="169">
        <v>11.4</v>
      </c>
      <c r="JC142" s="168" t="s">
        <v>235</v>
      </c>
      <c r="JD142" s="169">
        <v>11.5</v>
      </c>
      <c r="JE142" s="169">
        <v>10.9</v>
      </c>
      <c r="JF142" s="169">
        <v>12.1</v>
      </c>
      <c r="JG142" s="169">
        <v>10.7</v>
      </c>
      <c r="JH142" s="169">
        <v>11.3</v>
      </c>
      <c r="JJ142" s="168" t="s">
        <v>235</v>
      </c>
      <c r="JK142" s="169">
        <v>10.4</v>
      </c>
      <c r="JL142" s="169">
        <v>9.6999999999999993</v>
      </c>
      <c r="JM142" s="169">
        <v>9</v>
      </c>
      <c r="JN142" s="169">
        <v>9.3000000000000007</v>
      </c>
      <c r="JO142" s="169">
        <v>9.6</v>
      </c>
      <c r="JQ142" s="168" t="s">
        <v>235</v>
      </c>
      <c r="JR142" s="169">
        <v>8.9</v>
      </c>
      <c r="JS142" s="169">
        <v>9.1</v>
      </c>
      <c r="JT142" s="169">
        <v>9.1999999999999993</v>
      </c>
      <c r="JU142" s="169">
        <v>8.4</v>
      </c>
      <c r="JV142" s="169">
        <v>8.6</v>
      </c>
      <c r="JX142" s="168" t="s">
        <v>235</v>
      </c>
      <c r="JY142" s="169">
        <v>8.3000000000000007</v>
      </c>
      <c r="JZ142" s="169">
        <v>8.9</v>
      </c>
      <c r="KA142" s="169">
        <v>9.6999999999999993</v>
      </c>
      <c r="KB142" s="169">
        <v>10.199999999999999</v>
      </c>
      <c r="KC142" s="169">
        <v>9.3000000000000007</v>
      </c>
      <c r="KE142" s="168" t="s">
        <v>235</v>
      </c>
      <c r="KF142" s="169">
        <v>10.8</v>
      </c>
      <c r="KG142" s="169">
        <v>10.5</v>
      </c>
      <c r="KH142" s="169">
        <v>10.5</v>
      </c>
      <c r="KI142" s="169">
        <v>11</v>
      </c>
      <c r="KJ142" s="169">
        <v>10.7</v>
      </c>
      <c r="KL142" s="168" t="s">
        <v>235</v>
      </c>
      <c r="KM142" s="169">
        <v>11.2</v>
      </c>
      <c r="KN142" s="169">
        <v>11.8</v>
      </c>
      <c r="KO142" s="169">
        <v>11.8</v>
      </c>
      <c r="KP142" s="169">
        <v>10.3</v>
      </c>
      <c r="KQ142" s="169">
        <v>11.3</v>
      </c>
      <c r="KS142" s="168" t="s">
        <v>235</v>
      </c>
      <c r="KT142" s="169">
        <v>9</v>
      </c>
      <c r="KU142" s="169">
        <v>9.3000000000000007</v>
      </c>
      <c r="KV142" s="169">
        <v>9.6</v>
      </c>
      <c r="KW142" s="265">
        <v>9.6</v>
      </c>
      <c r="KX142" s="169">
        <v>9.4</v>
      </c>
      <c r="KZ142" s="168" t="s">
        <v>235</v>
      </c>
      <c r="LA142" s="169">
        <v>9.6999999999999993</v>
      </c>
      <c r="LB142" s="169">
        <v>10.199999999999999</v>
      </c>
      <c r="LC142" s="169">
        <v>10.3</v>
      </c>
      <c r="LD142" s="169">
        <v>11.2</v>
      </c>
      <c r="LE142" s="169">
        <v>10.3</v>
      </c>
      <c r="LF142" s="555"/>
      <c r="LG142" s="168" t="s">
        <v>235</v>
      </c>
      <c r="LH142" s="169">
        <v>10.5</v>
      </c>
      <c r="LI142" s="169">
        <v>10.4</v>
      </c>
      <c r="LJ142" s="169">
        <v>9.5</v>
      </c>
      <c r="LK142" s="169">
        <v>9.8000000000000007</v>
      </c>
      <c r="LL142" s="169">
        <v>10.3</v>
      </c>
      <c r="LM142" s="555"/>
      <c r="LN142" s="168" t="s">
        <v>235</v>
      </c>
      <c r="LO142" s="144" t="s">
        <v>80</v>
      </c>
      <c r="LP142" s="144" t="s">
        <v>80</v>
      </c>
      <c r="LQ142" s="144" t="s">
        <v>80</v>
      </c>
      <c r="LR142" s="144" t="s">
        <v>80</v>
      </c>
      <c r="LS142" s="744" t="s">
        <v>80</v>
      </c>
      <c r="LT142" s="555"/>
      <c r="LU142" s="168" t="s">
        <v>235</v>
      </c>
      <c r="LV142" s="144" t="s">
        <v>80</v>
      </c>
      <c r="LW142" s="144" t="s">
        <v>80</v>
      </c>
      <c r="LX142" s="144" t="s">
        <v>80</v>
      </c>
      <c r="LY142" s="144" t="s">
        <v>80</v>
      </c>
      <c r="LZ142" s="744" t="s">
        <v>80</v>
      </c>
      <c r="MA142" s="555"/>
      <c r="MB142" s="168" t="s">
        <v>235</v>
      </c>
      <c r="MC142" s="144" t="s">
        <v>80</v>
      </c>
      <c r="MD142" s="144" t="s">
        <v>80</v>
      </c>
      <c r="ME142" s="144" t="s">
        <v>80</v>
      </c>
      <c r="MF142" s="144" t="s">
        <v>80</v>
      </c>
      <c r="MG142" s="744" t="s">
        <v>80</v>
      </c>
      <c r="MH142" s="555"/>
    </row>
    <row r="143" spans="1:346" s="53" customFormat="1" ht="13.15" x14ac:dyDescent="0.4">
      <c r="A143" s="100"/>
      <c r="B143" s="745" t="s">
        <v>303</v>
      </c>
      <c r="C143" s="240"/>
      <c r="D143" s="240"/>
      <c r="E143" s="240"/>
      <c r="F143" s="240"/>
      <c r="G143" s="240"/>
      <c r="H143" s="240"/>
      <c r="I143" s="240"/>
      <c r="J143" s="240"/>
      <c r="K143" s="240"/>
      <c r="L143" s="240"/>
      <c r="M143" s="240"/>
      <c r="N143" s="240">
        <f t="shared" si="278"/>
        <v>0</v>
      </c>
      <c r="O143" s="240">
        <f t="shared" si="279"/>
        <v>0</v>
      </c>
      <c r="P143" s="240">
        <f t="shared" si="280"/>
        <v>0</v>
      </c>
      <c r="Q143" s="240">
        <f t="shared" si="281"/>
        <v>0</v>
      </c>
      <c r="R143" s="240">
        <f t="shared" si="282"/>
        <v>0</v>
      </c>
      <c r="S143" s="240">
        <f t="shared" si="283"/>
        <v>0</v>
      </c>
      <c r="T143" s="240">
        <f t="shared" si="284"/>
        <v>0</v>
      </c>
      <c r="U143" s="240">
        <f t="shared" si="285"/>
        <v>0</v>
      </c>
      <c r="V143" s="240">
        <f t="shared" si="286"/>
        <v>0</v>
      </c>
      <c r="W143" s="240">
        <f t="shared" si="287"/>
        <v>0</v>
      </c>
      <c r="X143" s="240">
        <f t="shared" si="288"/>
        <v>0</v>
      </c>
      <c r="Y143" s="240">
        <f t="shared" si="289"/>
        <v>0</v>
      </c>
      <c r="Z143" s="240">
        <f t="shared" si="290"/>
        <v>0</v>
      </c>
      <c r="AA143" s="240">
        <f t="shared" si="291"/>
        <v>0</v>
      </c>
      <c r="AB143" s="240">
        <f t="shared" si="292"/>
        <v>0</v>
      </c>
      <c r="AC143" s="240">
        <f t="shared" si="293"/>
        <v>0</v>
      </c>
      <c r="AD143" s="240">
        <f t="shared" si="294"/>
        <v>0</v>
      </c>
      <c r="AE143" s="240">
        <f t="shared" si="295"/>
        <v>0</v>
      </c>
      <c r="AF143" s="240">
        <f t="shared" si="296"/>
        <v>0</v>
      </c>
      <c r="AG143" s="240">
        <f t="shared" si="297"/>
        <v>0</v>
      </c>
      <c r="AH143" s="240">
        <f t="shared" si="298"/>
        <v>0</v>
      </c>
      <c r="AI143" s="240">
        <f t="shared" si="299"/>
        <v>0</v>
      </c>
      <c r="AJ143" s="240">
        <f t="shared" si="300"/>
        <v>0</v>
      </c>
      <c r="AK143" s="240">
        <f t="shared" si="301"/>
        <v>0</v>
      </c>
      <c r="AL143" s="240">
        <f t="shared" si="302"/>
        <v>0</v>
      </c>
      <c r="AM143" s="240">
        <f t="shared" si="303"/>
        <v>0</v>
      </c>
      <c r="AN143" s="240">
        <f t="shared" si="304"/>
        <v>0</v>
      </c>
      <c r="AO143" s="240">
        <f t="shared" si="305"/>
        <v>0</v>
      </c>
      <c r="AP143" s="240">
        <f t="shared" si="306"/>
        <v>0</v>
      </c>
      <c r="AQ143" s="240">
        <f t="shared" si="307"/>
        <v>0</v>
      </c>
      <c r="AR143" s="240">
        <f t="shared" si="308"/>
        <v>117562</v>
      </c>
      <c r="AS143" s="240">
        <f t="shared" si="309"/>
        <v>112718</v>
      </c>
      <c r="AT143" s="240">
        <f t="shared" si="310"/>
        <v>131564</v>
      </c>
      <c r="AU143" s="240">
        <f t="shared" si="311"/>
        <v>138074</v>
      </c>
      <c r="AV143" s="240">
        <f t="shared" si="312"/>
        <v>125580</v>
      </c>
      <c r="AW143" s="240">
        <f t="shared" si="313"/>
        <v>127291</v>
      </c>
      <c r="AX143" s="240">
        <f t="shared" si="314"/>
        <v>125379</v>
      </c>
      <c r="AY143" s="240" t="str">
        <f t="shared" si="315"/>
        <v>-</v>
      </c>
      <c r="AZ143" s="240" t="str">
        <f t="shared" si="316"/>
        <v>-</v>
      </c>
      <c r="BA143" s="240" t="str">
        <f t="shared" si="317"/>
        <v>-</v>
      </c>
      <c r="BB143" s="240"/>
      <c r="BC143" s="240"/>
      <c r="BD143" s="240"/>
      <c r="BE143" s="240"/>
      <c r="BF143" s="240"/>
      <c r="BG143" s="240"/>
      <c r="BH143" s="240"/>
      <c r="BI143" s="240"/>
      <c r="BJ143" s="240"/>
      <c r="BK143" s="240"/>
      <c r="BL143" s="240"/>
      <c r="BM143" s="240"/>
      <c r="BO143" s="745" t="s">
        <v>303</v>
      </c>
      <c r="BP143" s="240"/>
      <c r="BQ143" s="240"/>
      <c r="BR143" s="240"/>
      <c r="BS143" s="240"/>
      <c r="BT143" s="240"/>
      <c r="BV143" s="745" t="s">
        <v>303</v>
      </c>
      <c r="BW143" s="240"/>
      <c r="BX143" s="240"/>
      <c r="BY143" s="240"/>
      <c r="BZ143" s="240"/>
      <c r="CA143" s="240"/>
      <c r="CC143" s="745" t="s">
        <v>303</v>
      </c>
      <c r="CD143" s="240"/>
      <c r="CE143" s="240"/>
      <c r="CF143" s="240"/>
      <c r="CG143" s="240"/>
      <c r="CH143" s="240"/>
      <c r="CJ143" s="745" t="s">
        <v>303</v>
      </c>
      <c r="CK143" s="240"/>
      <c r="CL143" s="240"/>
      <c r="CM143" s="240"/>
      <c r="CN143" s="240"/>
      <c r="CO143" s="240"/>
      <c r="CQ143" s="745" t="s">
        <v>303</v>
      </c>
      <c r="CR143" s="240"/>
      <c r="CS143" s="240"/>
      <c r="CT143" s="240"/>
      <c r="CU143" s="240"/>
      <c r="CV143" s="240"/>
      <c r="CX143" s="745" t="s">
        <v>303</v>
      </c>
      <c r="CY143" s="240"/>
      <c r="CZ143" s="240"/>
      <c r="DA143" s="240"/>
      <c r="DB143" s="240"/>
      <c r="DC143" s="240"/>
      <c r="DE143" s="745" t="s">
        <v>303</v>
      </c>
      <c r="DF143" s="240"/>
      <c r="DG143" s="240"/>
      <c r="DH143" s="240"/>
      <c r="DI143" s="240"/>
      <c r="DJ143" s="240"/>
      <c r="DL143" s="745" t="s">
        <v>303</v>
      </c>
      <c r="DM143" s="240"/>
      <c r="DN143" s="240"/>
      <c r="DO143" s="240"/>
      <c r="DP143" s="240"/>
      <c r="DQ143" s="240"/>
      <c r="DS143" s="745" t="s">
        <v>303</v>
      </c>
      <c r="DT143" s="240"/>
      <c r="DU143" s="240"/>
      <c r="DV143" s="240"/>
      <c r="DW143" s="240"/>
      <c r="DX143" s="240"/>
      <c r="DZ143" s="745" t="s">
        <v>303</v>
      </c>
      <c r="EA143" s="240"/>
      <c r="EB143" s="240"/>
      <c r="EC143" s="240"/>
      <c r="ED143" s="240"/>
      <c r="EE143" s="240"/>
      <c r="EG143" s="745" t="s">
        <v>303</v>
      </c>
      <c r="EH143" s="240"/>
      <c r="EI143" s="240"/>
      <c r="EJ143" s="240"/>
      <c r="EK143" s="240"/>
      <c r="EL143" s="240"/>
      <c r="EN143" s="745" t="s">
        <v>303</v>
      </c>
      <c r="EO143" s="240"/>
      <c r="EP143" s="240"/>
      <c r="EQ143" s="240"/>
      <c r="ER143" s="240"/>
      <c r="ES143" s="240"/>
      <c r="EU143" s="745" t="s">
        <v>303</v>
      </c>
      <c r="EV143" s="240"/>
      <c r="EW143" s="240"/>
      <c r="EX143" s="240"/>
      <c r="EY143" s="240"/>
      <c r="EZ143" s="240"/>
      <c r="FB143" s="745" t="s">
        <v>303</v>
      </c>
      <c r="FC143" s="240"/>
      <c r="FD143" s="240"/>
      <c r="FE143" s="240"/>
      <c r="FF143" s="240"/>
      <c r="FG143" s="240"/>
      <c r="FI143" s="745" t="s">
        <v>303</v>
      </c>
      <c r="FJ143" s="240"/>
      <c r="FK143" s="240"/>
      <c r="FL143" s="240"/>
      <c r="FM143" s="240"/>
      <c r="FN143" s="240"/>
      <c r="FP143" s="745" t="s">
        <v>303</v>
      </c>
      <c r="FQ143" s="240"/>
      <c r="FR143" s="240"/>
      <c r="FS143" s="240"/>
      <c r="FT143" s="240"/>
      <c r="FU143" s="240"/>
      <c r="FW143" s="745" t="s">
        <v>303</v>
      </c>
      <c r="FX143" s="240"/>
      <c r="FY143" s="240"/>
      <c r="FZ143" s="240"/>
      <c r="GA143" s="240"/>
      <c r="GB143" s="240"/>
      <c r="GD143" s="745" t="s">
        <v>303</v>
      </c>
      <c r="GE143" s="240"/>
      <c r="GF143" s="240"/>
      <c r="GG143" s="240"/>
      <c r="GH143" s="240"/>
      <c r="GI143" s="240"/>
      <c r="GK143" s="745" t="s">
        <v>303</v>
      </c>
      <c r="GL143" s="240"/>
      <c r="GM143" s="240"/>
      <c r="GN143" s="240"/>
      <c r="GO143" s="240"/>
      <c r="GP143" s="240"/>
      <c r="GR143" s="745" t="s">
        <v>303</v>
      </c>
      <c r="GS143" s="240"/>
      <c r="GT143" s="240"/>
      <c r="GU143" s="240"/>
      <c r="GV143" s="240"/>
      <c r="GW143" s="240"/>
      <c r="GY143" s="745" t="s">
        <v>303</v>
      </c>
      <c r="GZ143" s="240"/>
      <c r="HA143" s="240"/>
      <c r="HB143" s="240"/>
      <c r="HC143" s="240"/>
      <c r="HD143" s="240"/>
      <c r="HF143" s="745" t="s">
        <v>303</v>
      </c>
      <c r="HG143" s="240"/>
      <c r="HH143" s="240"/>
      <c r="HI143" s="240"/>
      <c r="HJ143" s="240"/>
      <c r="HK143" s="240"/>
      <c r="HM143" s="745" t="s">
        <v>303</v>
      </c>
      <c r="HN143" s="240"/>
      <c r="HO143" s="240"/>
      <c r="HP143" s="240"/>
      <c r="HQ143" s="240"/>
      <c r="HR143" s="240"/>
      <c r="HT143" s="745" t="s">
        <v>303</v>
      </c>
      <c r="HU143" s="240"/>
      <c r="HV143" s="240"/>
      <c r="HW143" s="240"/>
      <c r="HX143" s="240"/>
      <c r="HY143" s="240"/>
      <c r="IA143" s="745" t="s">
        <v>303</v>
      </c>
      <c r="IB143" s="240"/>
      <c r="IC143" s="240"/>
      <c r="ID143" s="240"/>
      <c r="IE143" s="240"/>
      <c r="IF143" s="240"/>
      <c r="IH143" s="745" t="s">
        <v>303</v>
      </c>
      <c r="II143" s="240"/>
      <c r="IJ143" s="240"/>
      <c r="IK143" s="240"/>
      <c r="IL143" s="240"/>
      <c r="IM143" s="240"/>
      <c r="IO143" s="745" t="s">
        <v>303</v>
      </c>
      <c r="IP143" s="240"/>
      <c r="IQ143" s="240"/>
      <c r="IR143" s="240"/>
      <c r="IS143" s="240"/>
      <c r="IT143" s="240"/>
      <c r="IV143" s="745" t="s">
        <v>303</v>
      </c>
      <c r="IW143" s="240"/>
      <c r="IX143" s="240"/>
      <c r="IY143" s="240"/>
      <c r="IZ143" s="240"/>
      <c r="JA143" s="240"/>
      <c r="JC143" s="745" t="s">
        <v>303</v>
      </c>
      <c r="JD143" s="240"/>
      <c r="JE143" s="240"/>
      <c r="JF143" s="240">
        <v>142936</v>
      </c>
      <c r="JG143" s="240">
        <v>137167</v>
      </c>
      <c r="JH143" s="240"/>
      <c r="JJ143" s="745" t="s">
        <v>303</v>
      </c>
      <c r="JK143" s="240">
        <v>131733</v>
      </c>
      <c r="JL143" s="240">
        <v>129685</v>
      </c>
      <c r="JM143" s="240">
        <v>123495</v>
      </c>
      <c r="JN143" s="240">
        <v>122873</v>
      </c>
      <c r="JO143" s="240"/>
      <c r="JQ143" s="745" t="s">
        <v>303</v>
      </c>
      <c r="JR143" s="240">
        <v>118852</v>
      </c>
      <c r="JS143" s="240"/>
      <c r="JT143" s="240"/>
      <c r="JU143" s="240">
        <v>111621</v>
      </c>
      <c r="JV143" s="240">
        <v>117562</v>
      </c>
      <c r="JX143" s="745" t="s">
        <v>303</v>
      </c>
      <c r="JY143" s="240">
        <v>110801</v>
      </c>
      <c r="JZ143" s="240">
        <v>98606</v>
      </c>
      <c r="KA143" s="240">
        <v>115823</v>
      </c>
      <c r="KB143" s="240">
        <v>125468</v>
      </c>
      <c r="KC143" s="240">
        <v>112718</v>
      </c>
      <c r="KE143" s="745" t="s">
        <v>303</v>
      </c>
      <c r="KF143" s="240">
        <v>128856</v>
      </c>
      <c r="KG143" s="240">
        <v>131000</v>
      </c>
      <c r="KH143" s="240">
        <v>130841</v>
      </c>
      <c r="KI143" s="240">
        <v>135396</v>
      </c>
      <c r="KJ143" s="240">
        <v>131564</v>
      </c>
      <c r="KL143" s="745" t="s">
        <v>303</v>
      </c>
      <c r="KM143" s="240">
        <v>138466</v>
      </c>
      <c r="KN143" s="240">
        <v>140967</v>
      </c>
      <c r="KO143" s="240">
        <v>141911</v>
      </c>
      <c r="KP143" s="240">
        <v>130992</v>
      </c>
      <c r="KQ143" s="240">
        <v>138074</v>
      </c>
      <c r="KS143" s="745" t="s">
        <v>303</v>
      </c>
      <c r="KT143" s="240">
        <v>126293</v>
      </c>
      <c r="KU143" s="240">
        <v>126984</v>
      </c>
      <c r="KV143" s="240">
        <v>125318</v>
      </c>
      <c r="KW143" s="239">
        <v>123757</v>
      </c>
      <c r="KX143" s="240">
        <v>125580</v>
      </c>
      <c r="KZ143" s="745" t="s">
        <v>303</v>
      </c>
      <c r="LA143" s="240">
        <v>124720</v>
      </c>
      <c r="LB143" s="240">
        <v>126164</v>
      </c>
      <c r="LC143" s="240">
        <v>126623</v>
      </c>
      <c r="LD143" s="240">
        <v>131618</v>
      </c>
      <c r="LE143" s="240">
        <v>127291</v>
      </c>
      <c r="LF143" s="555"/>
      <c r="LG143" s="745" t="s">
        <v>303</v>
      </c>
      <c r="LH143" s="240">
        <v>132200</v>
      </c>
      <c r="LI143" s="240">
        <v>129738</v>
      </c>
      <c r="LJ143" s="240">
        <v>121278</v>
      </c>
      <c r="LK143" s="240">
        <v>118497</v>
      </c>
      <c r="LL143" s="240">
        <v>125379</v>
      </c>
      <c r="LM143" s="555"/>
      <c r="LN143" s="745" t="s">
        <v>303</v>
      </c>
      <c r="LO143" s="144" t="s">
        <v>80</v>
      </c>
      <c r="LP143" s="144" t="s">
        <v>80</v>
      </c>
      <c r="LQ143" s="144" t="s">
        <v>80</v>
      </c>
      <c r="LR143" s="144" t="s">
        <v>80</v>
      </c>
      <c r="LS143" s="746" t="s">
        <v>80</v>
      </c>
      <c r="LT143" s="555"/>
      <c r="LU143" s="745" t="s">
        <v>303</v>
      </c>
      <c r="LV143" s="144" t="s">
        <v>80</v>
      </c>
      <c r="LW143" s="144" t="s">
        <v>80</v>
      </c>
      <c r="LX143" s="144" t="s">
        <v>80</v>
      </c>
      <c r="LY143" s="144" t="s">
        <v>80</v>
      </c>
      <c r="LZ143" s="746" t="s">
        <v>80</v>
      </c>
      <c r="MA143" s="555"/>
      <c r="MB143" s="745" t="s">
        <v>303</v>
      </c>
      <c r="MC143" s="144" t="s">
        <v>80</v>
      </c>
      <c r="MD143" s="144" t="s">
        <v>80</v>
      </c>
      <c r="ME143" s="144" t="s">
        <v>80</v>
      </c>
      <c r="MF143" s="144" t="s">
        <v>80</v>
      </c>
      <c r="MG143" s="746" t="s">
        <v>80</v>
      </c>
      <c r="MH143" s="555"/>
    </row>
    <row r="144" spans="1:346" s="53" customFormat="1" ht="13.15" x14ac:dyDescent="0.4">
      <c r="A144" s="100"/>
      <c r="B144" s="747" t="s">
        <v>239</v>
      </c>
      <c r="C144" s="748"/>
      <c r="D144" s="748"/>
      <c r="E144" s="748"/>
      <c r="F144" s="748"/>
      <c r="G144" s="748"/>
      <c r="H144" s="748"/>
      <c r="I144" s="748"/>
      <c r="J144" s="748"/>
      <c r="K144" s="748"/>
      <c r="L144" s="748"/>
      <c r="M144" s="748"/>
      <c r="N144" s="748">
        <f t="shared" si="278"/>
        <v>0</v>
      </c>
      <c r="O144" s="748">
        <f t="shared" si="279"/>
        <v>0</v>
      </c>
      <c r="P144" s="748">
        <f t="shared" si="280"/>
        <v>0</v>
      </c>
      <c r="Q144" s="748">
        <f t="shared" si="281"/>
        <v>0</v>
      </c>
      <c r="R144" s="748">
        <f t="shared" si="282"/>
        <v>0</v>
      </c>
      <c r="S144" s="748">
        <f t="shared" si="283"/>
        <v>0</v>
      </c>
      <c r="T144" s="748">
        <f t="shared" si="284"/>
        <v>0</v>
      </c>
      <c r="U144" s="748">
        <f t="shared" si="285"/>
        <v>0</v>
      </c>
      <c r="V144" s="748">
        <f t="shared" si="286"/>
        <v>0</v>
      </c>
      <c r="W144" s="748">
        <f t="shared" si="287"/>
        <v>0</v>
      </c>
      <c r="X144" s="748">
        <f t="shared" si="288"/>
        <v>0</v>
      </c>
      <c r="Y144" s="748">
        <f t="shared" si="289"/>
        <v>0</v>
      </c>
      <c r="Z144" s="748">
        <f t="shared" si="290"/>
        <v>0</v>
      </c>
      <c r="AA144" s="748">
        <f t="shared" si="291"/>
        <v>0</v>
      </c>
      <c r="AB144" s="748">
        <f t="shared" si="292"/>
        <v>0</v>
      </c>
      <c r="AC144" s="748">
        <f t="shared" si="293"/>
        <v>0</v>
      </c>
      <c r="AD144" s="748">
        <f t="shared" si="294"/>
        <v>0.51100000000000001</v>
      </c>
      <c r="AE144" s="748">
        <f t="shared" si="295"/>
        <v>0.76</v>
      </c>
      <c r="AF144" s="748">
        <f t="shared" si="296"/>
        <v>0.79</v>
      </c>
      <c r="AG144" s="748">
        <f t="shared" si="297"/>
        <v>0.79</v>
      </c>
      <c r="AH144" s="748">
        <f t="shared" si="298"/>
        <v>0.81</v>
      </c>
      <c r="AI144" s="748">
        <f t="shared" si="299"/>
        <v>0.75</v>
      </c>
      <c r="AJ144" s="748">
        <f t="shared" si="300"/>
        <v>0.72</v>
      </c>
      <c r="AK144" s="748">
        <f t="shared" si="301"/>
        <v>0.89</v>
      </c>
      <c r="AL144" s="748">
        <f t="shared" si="302"/>
        <v>0.89</v>
      </c>
      <c r="AM144" s="748">
        <f t="shared" si="303"/>
        <v>0.56000000000000005</v>
      </c>
      <c r="AN144" s="748">
        <f t="shared" si="304"/>
        <v>0.67</v>
      </c>
      <c r="AO144" s="748">
        <f t="shared" si="305"/>
        <v>0.84</v>
      </c>
      <c r="AP144" s="748">
        <f t="shared" si="306"/>
        <v>0.8</v>
      </c>
      <c r="AQ144" s="748">
        <f t="shared" si="307"/>
        <v>0.82</v>
      </c>
      <c r="AR144" s="748">
        <f t="shared" si="308"/>
        <v>0.89</v>
      </c>
      <c r="AS144" s="748">
        <f t="shared" si="309"/>
        <v>0.87</v>
      </c>
      <c r="AT144" s="748">
        <f t="shared" si="310"/>
        <v>0.75</v>
      </c>
      <c r="AU144" s="748">
        <f t="shared" si="311"/>
        <v>0.6</v>
      </c>
      <c r="AV144" s="748">
        <f t="shared" si="312"/>
        <v>0.77</v>
      </c>
      <c r="AW144" s="748">
        <f t="shared" si="313"/>
        <v>0.73</v>
      </c>
      <c r="AX144" s="748">
        <f t="shared" si="314"/>
        <v>0.72</v>
      </c>
      <c r="AY144" s="748" t="str">
        <f t="shared" si="315"/>
        <v>-</v>
      </c>
      <c r="AZ144" s="748" t="str">
        <f t="shared" si="316"/>
        <v>-</v>
      </c>
      <c r="BA144" s="748" t="str">
        <f t="shared" si="317"/>
        <v>-</v>
      </c>
      <c r="BB144" s="748"/>
      <c r="BC144" s="748"/>
      <c r="BD144" s="748"/>
      <c r="BE144" s="748"/>
      <c r="BF144" s="748"/>
      <c r="BG144" s="748"/>
      <c r="BH144" s="748"/>
      <c r="BI144" s="748"/>
      <c r="BJ144" s="748"/>
      <c r="BK144" s="748"/>
      <c r="BL144" s="748"/>
      <c r="BM144" s="748"/>
      <c r="BO144" s="747" t="s">
        <v>239</v>
      </c>
      <c r="BP144" s="748"/>
      <c r="BQ144" s="748"/>
      <c r="BR144" s="748"/>
      <c r="BS144" s="748"/>
      <c r="BT144" s="748"/>
      <c r="BV144" s="747" t="s">
        <v>239</v>
      </c>
      <c r="BW144" s="748"/>
      <c r="BX144" s="748"/>
      <c r="BY144" s="748"/>
      <c r="BZ144" s="748"/>
      <c r="CA144" s="748"/>
      <c r="CC144" s="747" t="s">
        <v>239</v>
      </c>
      <c r="CD144" s="748"/>
      <c r="CE144" s="748"/>
      <c r="CF144" s="748"/>
      <c r="CG144" s="748"/>
      <c r="CH144" s="748"/>
      <c r="CJ144" s="747" t="s">
        <v>239</v>
      </c>
      <c r="CK144" s="748"/>
      <c r="CL144" s="748"/>
      <c r="CM144" s="748"/>
      <c r="CN144" s="748"/>
      <c r="CO144" s="748"/>
      <c r="CQ144" s="747" t="s">
        <v>239</v>
      </c>
      <c r="CR144" s="748"/>
      <c r="CS144" s="748"/>
      <c r="CT144" s="748"/>
      <c r="CU144" s="748"/>
      <c r="CV144" s="748"/>
      <c r="CX144" s="747" t="s">
        <v>239</v>
      </c>
      <c r="CY144" s="748"/>
      <c r="CZ144" s="748"/>
      <c r="DA144" s="748"/>
      <c r="DB144" s="748"/>
      <c r="DC144" s="748"/>
      <c r="DE144" s="747" t="s">
        <v>239</v>
      </c>
      <c r="DF144" s="748"/>
      <c r="DG144" s="748"/>
      <c r="DH144" s="748"/>
      <c r="DI144" s="748"/>
      <c r="DJ144" s="748"/>
      <c r="DL144" s="747" t="s">
        <v>239</v>
      </c>
      <c r="DM144" s="748"/>
      <c r="DN144" s="748"/>
      <c r="DO144" s="748"/>
      <c r="DP144" s="748"/>
      <c r="DQ144" s="748"/>
      <c r="DS144" s="747" t="s">
        <v>239</v>
      </c>
      <c r="DT144" s="748"/>
      <c r="DU144" s="748"/>
      <c r="DV144" s="748"/>
      <c r="DW144" s="748"/>
      <c r="DX144" s="748"/>
      <c r="DZ144" s="747" t="s">
        <v>239</v>
      </c>
      <c r="EA144" s="748"/>
      <c r="EB144" s="748"/>
      <c r="EC144" s="748"/>
      <c r="ED144" s="748"/>
      <c r="EE144" s="748"/>
      <c r="EG144" s="747" t="s">
        <v>239</v>
      </c>
      <c r="EH144" s="748"/>
      <c r="EI144" s="748"/>
      <c r="EJ144" s="748"/>
      <c r="EK144" s="748"/>
      <c r="EL144" s="748"/>
      <c r="EN144" s="747" t="s">
        <v>239</v>
      </c>
      <c r="EO144" s="748"/>
      <c r="EP144" s="748"/>
      <c r="EQ144" s="748"/>
      <c r="ER144" s="748"/>
      <c r="ES144" s="748"/>
      <c r="EU144" s="747" t="s">
        <v>239</v>
      </c>
      <c r="EV144" s="748"/>
      <c r="EW144" s="748"/>
      <c r="EX144" s="748"/>
      <c r="EY144" s="748"/>
      <c r="EZ144" s="748"/>
      <c r="FB144" s="747" t="s">
        <v>239</v>
      </c>
      <c r="FC144" s="748"/>
      <c r="FD144" s="748"/>
      <c r="FE144" s="748"/>
      <c r="FF144" s="748"/>
      <c r="FG144" s="748"/>
      <c r="FI144" s="747" t="s">
        <v>239</v>
      </c>
      <c r="FJ144" s="748"/>
      <c r="FK144" s="748"/>
      <c r="FL144" s="748"/>
      <c r="FM144" s="748"/>
      <c r="FN144" s="748"/>
      <c r="FP144" s="747" t="s">
        <v>239</v>
      </c>
      <c r="FQ144" s="748"/>
      <c r="FR144" s="748"/>
      <c r="FS144" s="748"/>
      <c r="FT144" s="748"/>
      <c r="FU144" s="748"/>
      <c r="FW144" s="747" t="s">
        <v>239</v>
      </c>
      <c r="FX144" s="748">
        <v>0.499</v>
      </c>
      <c r="FY144" s="748">
        <v>0.47699999999999998</v>
      </c>
      <c r="FZ144" s="748">
        <v>0.51100000000000001</v>
      </c>
      <c r="GA144" s="748">
        <v>0.55900000000000005</v>
      </c>
      <c r="GB144" s="748">
        <v>0.51100000000000001</v>
      </c>
      <c r="GD144" s="747" t="s">
        <v>239</v>
      </c>
      <c r="GE144" s="748">
        <v>0.74399999999999999</v>
      </c>
      <c r="GF144" s="748">
        <v>0.76500000000000001</v>
      </c>
      <c r="GG144" s="748">
        <v>0.76500000000000001</v>
      </c>
      <c r="GH144" s="748">
        <v>0.76400000000000001</v>
      </c>
      <c r="GI144" s="748">
        <v>0.76</v>
      </c>
      <c r="GK144" s="747" t="s">
        <v>239</v>
      </c>
      <c r="GL144" s="748">
        <v>0.73699999999999999</v>
      </c>
      <c r="GM144" s="748">
        <v>0.79900000000000004</v>
      </c>
      <c r="GN144" s="748">
        <v>0.83</v>
      </c>
      <c r="GO144" s="748">
        <v>0.81</v>
      </c>
      <c r="GP144" s="748">
        <v>0.79</v>
      </c>
      <c r="GR144" s="747" t="s">
        <v>239</v>
      </c>
      <c r="GS144" s="748">
        <v>0.79</v>
      </c>
      <c r="GT144" s="748">
        <v>0.75</v>
      </c>
      <c r="GU144" s="748">
        <v>0.77</v>
      </c>
      <c r="GV144" s="748">
        <v>0.75</v>
      </c>
      <c r="GW144" s="748">
        <v>0.79</v>
      </c>
      <c r="GY144" s="747" t="s">
        <v>239</v>
      </c>
      <c r="GZ144" s="748">
        <v>0.69</v>
      </c>
      <c r="HA144" s="748">
        <v>0.83</v>
      </c>
      <c r="HB144" s="748">
        <v>0.82</v>
      </c>
      <c r="HC144" s="748">
        <v>0.79</v>
      </c>
      <c r="HD144" s="748">
        <v>0.81</v>
      </c>
      <c r="HF144" s="747" t="s">
        <v>239</v>
      </c>
      <c r="HG144" s="748">
        <v>0.69</v>
      </c>
      <c r="HH144" s="748">
        <v>0.78</v>
      </c>
      <c r="HI144" s="748">
        <v>0.77</v>
      </c>
      <c r="HJ144" s="748">
        <v>0.75</v>
      </c>
      <c r="HK144" s="748">
        <v>0.75</v>
      </c>
      <c r="HM144" s="747" t="s">
        <v>239</v>
      </c>
      <c r="HN144" s="748">
        <v>0.66</v>
      </c>
      <c r="HO144" s="748">
        <v>0.68</v>
      </c>
      <c r="HP144" s="748">
        <v>0.72</v>
      </c>
      <c r="HQ144" s="748">
        <v>0.82</v>
      </c>
      <c r="HR144" s="748">
        <v>0.72</v>
      </c>
      <c r="HT144" s="747" t="s">
        <v>239</v>
      </c>
      <c r="HU144" s="748">
        <v>0.89</v>
      </c>
      <c r="HV144" s="748">
        <v>0.89</v>
      </c>
      <c r="HW144" s="748">
        <v>0.9</v>
      </c>
      <c r="HX144" s="748">
        <v>0.9</v>
      </c>
      <c r="HY144" s="748">
        <v>0.89</v>
      </c>
      <c r="IA144" s="747" t="s">
        <v>239</v>
      </c>
      <c r="IB144" s="748">
        <v>0.91</v>
      </c>
      <c r="IC144" s="748">
        <v>0.91</v>
      </c>
      <c r="ID144" s="748">
        <v>0.9</v>
      </c>
      <c r="IE144" s="748">
        <v>0.85</v>
      </c>
      <c r="IF144" s="748">
        <v>0.89</v>
      </c>
      <c r="IH144" s="747" t="s">
        <v>239</v>
      </c>
      <c r="II144" s="748">
        <v>0.63</v>
      </c>
      <c r="IJ144" s="748">
        <v>0.56000000000000005</v>
      </c>
      <c r="IK144" s="748">
        <v>0.54</v>
      </c>
      <c r="IL144" s="748">
        <v>0.52</v>
      </c>
      <c r="IM144" s="748">
        <v>0.56000000000000005</v>
      </c>
      <c r="IO144" s="747" t="s">
        <v>239</v>
      </c>
      <c r="IP144" s="748">
        <v>0.5</v>
      </c>
      <c r="IQ144" s="748">
        <v>0.66</v>
      </c>
      <c r="IR144" s="748">
        <v>0.76</v>
      </c>
      <c r="IS144" s="748">
        <v>0.79</v>
      </c>
      <c r="IT144" s="748">
        <v>0.67</v>
      </c>
      <c r="IV144" s="747" t="s">
        <v>239</v>
      </c>
      <c r="IW144" s="748">
        <v>0.81</v>
      </c>
      <c r="IX144" s="748">
        <v>0.88</v>
      </c>
      <c r="IY144" s="748">
        <v>0.84</v>
      </c>
      <c r="IZ144" s="748">
        <v>0.83</v>
      </c>
      <c r="JA144" s="748">
        <v>0.84</v>
      </c>
      <c r="JC144" s="747" t="s">
        <v>239</v>
      </c>
      <c r="JD144" s="748">
        <v>0.81</v>
      </c>
      <c r="JE144" s="748">
        <v>0.88</v>
      </c>
      <c r="JF144" s="748">
        <v>0.74</v>
      </c>
      <c r="JG144" s="748">
        <v>0.77</v>
      </c>
      <c r="JH144" s="748">
        <v>0.8</v>
      </c>
      <c r="JJ144" s="747" t="s">
        <v>239</v>
      </c>
      <c r="JK144" s="748">
        <v>0.81</v>
      </c>
      <c r="JL144" s="748">
        <v>0.85</v>
      </c>
      <c r="JM144" s="748">
        <v>0.85</v>
      </c>
      <c r="JN144" s="748">
        <v>0.78</v>
      </c>
      <c r="JO144" s="748">
        <v>0.82</v>
      </c>
      <c r="JQ144" s="747" t="s">
        <v>239</v>
      </c>
      <c r="JR144" s="748">
        <v>0.81</v>
      </c>
      <c r="JS144" s="748">
        <v>0.88</v>
      </c>
      <c r="JT144" s="748">
        <v>0.93</v>
      </c>
      <c r="JU144" s="748">
        <v>0.92</v>
      </c>
      <c r="JV144" s="748">
        <v>0.89</v>
      </c>
      <c r="JX144" s="747" t="s">
        <v>239</v>
      </c>
      <c r="JY144" s="748">
        <v>0.91</v>
      </c>
      <c r="JZ144" s="748">
        <v>0.88</v>
      </c>
      <c r="KA144" s="748">
        <v>0.85</v>
      </c>
      <c r="KB144" s="748">
        <v>0.83</v>
      </c>
      <c r="KC144" s="748">
        <v>0.87</v>
      </c>
      <c r="KE144" s="747" t="s">
        <v>239</v>
      </c>
      <c r="KF144" s="748">
        <v>0.79</v>
      </c>
      <c r="KG144" s="748">
        <v>0.78</v>
      </c>
      <c r="KH144" s="748">
        <v>0.71</v>
      </c>
      <c r="KI144" s="748">
        <v>0.72</v>
      </c>
      <c r="KJ144" s="748">
        <v>0.75</v>
      </c>
      <c r="KL144" s="747" t="s">
        <v>239</v>
      </c>
      <c r="KM144" s="748">
        <v>0.65</v>
      </c>
      <c r="KN144" s="748">
        <v>0.62</v>
      </c>
      <c r="KO144" s="748">
        <v>0.57999999999999996</v>
      </c>
      <c r="KP144" s="748">
        <v>0.54</v>
      </c>
      <c r="KQ144" s="748">
        <v>0.6</v>
      </c>
      <c r="KS144" s="747" t="s">
        <v>239</v>
      </c>
      <c r="KT144" s="748">
        <v>0.84</v>
      </c>
      <c r="KU144" s="748">
        <v>0.78</v>
      </c>
      <c r="KV144" s="748">
        <v>0.74</v>
      </c>
      <c r="KW144" s="748">
        <v>0.71</v>
      </c>
      <c r="KX144" s="748">
        <v>0.77</v>
      </c>
      <c r="KZ144" s="747" t="s">
        <v>239</v>
      </c>
      <c r="LA144" s="748">
        <v>0.75</v>
      </c>
      <c r="LB144" s="748">
        <v>0.74</v>
      </c>
      <c r="LC144" s="748">
        <v>0.72</v>
      </c>
      <c r="LD144" s="748">
        <v>0.71</v>
      </c>
      <c r="LE144" s="748">
        <v>0.73</v>
      </c>
      <c r="LF144" s="555"/>
      <c r="LG144" s="747" t="s">
        <v>239</v>
      </c>
      <c r="LH144" s="748">
        <v>0.68</v>
      </c>
      <c r="LI144" s="748">
        <v>0.69</v>
      </c>
      <c r="LJ144" s="748">
        <v>0.75</v>
      </c>
      <c r="LK144" s="748">
        <v>0.78</v>
      </c>
      <c r="LL144" s="748">
        <v>0.72</v>
      </c>
      <c r="LM144" s="555"/>
      <c r="LN144" s="747" t="s">
        <v>239</v>
      </c>
      <c r="LO144" s="144" t="s">
        <v>80</v>
      </c>
      <c r="LP144" s="144" t="s">
        <v>80</v>
      </c>
      <c r="LQ144" s="144" t="s">
        <v>80</v>
      </c>
      <c r="LR144" s="144" t="s">
        <v>80</v>
      </c>
      <c r="LS144" s="749" t="s">
        <v>80</v>
      </c>
      <c r="LT144" s="555"/>
      <c r="LU144" s="747" t="s">
        <v>239</v>
      </c>
      <c r="LV144" s="144" t="s">
        <v>80</v>
      </c>
      <c r="LW144" s="144" t="s">
        <v>80</v>
      </c>
      <c r="LX144" s="144" t="s">
        <v>80</v>
      </c>
      <c r="LY144" s="144" t="s">
        <v>80</v>
      </c>
      <c r="LZ144" s="749" t="s">
        <v>80</v>
      </c>
      <c r="MA144" s="555"/>
      <c r="MB144" s="747" t="s">
        <v>239</v>
      </c>
      <c r="MC144" s="144" t="s">
        <v>80</v>
      </c>
      <c r="MD144" s="144" t="s">
        <v>80</v>
      </c>
      <c r="ME144" s="144" t="s">
        <v>80</v>
      </c>
      <c r="MF144" s="144" t="s">
        <v>80</v>
      </c>
      <c r="MG144" s="749" t="s">
        <v>80</v>
      </c>
      <c r="MH144" s="555"/>
    </row>
    <row r="145" spans="1:346" s="53" customFormat="1" ht="13.15" x14ac:dyDescent="0.4">
      <c r="A145" s="100"/>
      <c r="B145" s="747" t="s">
        <v>240</v>
      </c>
      <c r="C145" s="748"/>
      <c r="D145" s="748"/>
      <c r="E145" s="748"/>
      <c r="F145" s="748"/>
      <c r="G145" s="748"/>
      <c r="H145" s="748"/>
      <c r="I145" s="748"/>
      <c r="J145" s="748"/>
      <c r="K145" s="748"/>
      <c r="L145" s="748"/>
      <c r="M145" s="748"/>
      <c r="N145" s="748">
        <f t="shared" si="278"/>
        <v>0</v>
      </c>
      <c r="O145" s="748">
        <f t="shared" si="279"/>
        <v>0</v>
      </c>
      <c r="P145" s="748">
        <f t="shared" si="280"/>
        <v>0</v>
      </c>
      <c r="Q145" s="748">
        <f t="shared" si="281"/>
        <v>0</v>
      </c>
      <c r="R145" s="748">
        <f t="shared" si="282"/>
        <v>0</v>
      </c>
      <c r="S145" s="748">
        <f t="shared" si="283"/>
        <v>0</v>
      </c>
      <c r="T145" s="748">
        <f t="shared" si="284"/>
        <v>0</v>
      </c>
      <c r="U145" s="748">
        <f t="shared" si="285"/>
        <v>0</v>
      </c>
      <c r="V145" s="748">
        <f t="shared" si="286"/>
        <v>0</v>
      </c>
      <c r="W145" s="748">
        <f t="shared" si="287"/>
        <v>0</v>
      </c>
      <c r="X145" s="748">
        <f t="shared" si="288"/>
        <v>0</v>
      </c>
      <c r="Y145" s="748">
        <f t="shared" si="289"/>
        <v>0</v>
      </c>
      <c r="Z145" s="748">
        <f t="shared" si="290"/>
        <v>0</v>
      </c>
      <c r="AA145" s="748">
        <f t="shared" si="291"/>
        <v>0</v>
      </c>
      <c r="AB145" s="748">
        <f t="shared" si="292"/>
        <v>0</v>
      </c>
      <c r="AC145" s="748">
        <f t="shared" si="293"/>
        <v>0</v>
      </c>
      <c r="AD145" s="748">
        <f t="shared" si="294"/>
        <v>0.40100000000000002</v>
      </c>
      <c r="AE145" s="748">
        <f t="shared" si="295"/>
        <v>0.627</v>
      </c>
      <c r="AF145" s="748">
        <f t="shared" si="296"/>
        <v>0.7</v>
      </c>
      <c r="AG145" s="748">
        <f t="shared" si="297"/>
        <v>0.7</v>
      </c>
      <c r="AH145" s="748">
        <f t="shared" si="298"/>
        <v>0.8</v>
      </c>
      <c r="AI145" s="748">
        <f t="shared" si="299"/>
        <v>0.69</v>
      </c>
      <c r="AJ145" s="748">
        <f t="shared" si="300"/>
        <v>0.62</v>
      </c>
      <c r="AK145" s="748">
        <f t="shared" si="301"/>
        <v>0.8</v>
      </c>
      <c r="AL145" s="748">
        <f t="shared" si="302"/>
        <v>0.81</v>
      </c>
      <c r="AM145" s="748">
        <f t="shared" si="303"/>
        <v>0.45</v>
      </c>
      <c r="AN145" s="748">
        <f t="shared" si="304"/>
        <v>0.51</v>
      </c>
      <c r="AO145" s="748">
        <f t="shared" si="305"/>
        <v>0.55000000000000004</v>
      </c>
      <c r="AP145" s="748">
        <f t="shared" si="306"/>
        <v>0.56000000000000005</v>
      </c>
      <c r="AQ145" s="748">
        <f t="shared" si="307"/>
        <v>0.6</v>
      </c>
      <c r="AR145" s="748">
        <f t="shared" si="308"/>
        <v>0.79</v>
      </c>
      <c r="AS145" s="748">
        <f t="shared" si="309"/>
        <v>0.77</v>
      </c>
      <c r="AT145" s="748">
        <f t="shared" si="310"/>
        <v>0.66</v>
      </c>
      <c r="AU145" s="748">
        <f t="shared" si="311"/>
        <v>0.52</v>
      </c>
      <c r="AV145" s="748">
        <f t="shared" si="312"/>
        <v>0.71</v>
      </c>
      <c r="AW145" s="748">
        <f t="shared" si="313"/>
        <v>0.65</v>
      </c>
      <c r="AX145" s="748">
        <f t="shared" si="314"/>
        <v>0.61</v>
      </c>
      <c r="AY145" s="748" t="str">
        <f t="shared" si="315"/>
        <v>-</v>
      </c>
      <c r="AZ145" s="748" t="str">
        <f t="shared" si="316"/>
        <v>-</v>
      </c>
      <c r="BA145" s="748" t="str">
        <f t="shared" si="317"/>
        <v>-</v>
      </c>
      <c r="BB145" s="748"/>
      <c r="BC145" s="748"/>
      <c r="BD145" s="748"/>
      <c r="BE145" s="748"/>
      <c r="BF145" s="748"/>
      <c r="BG145" s="748"/>
      <c r="BH145" s="748"/>
      <c r="BI145" s="748"/>
      <c r="BJ145" s="748"/>
      <c r="BK145" s="748"/>
      <c r="BL145" s="748"/>
      <c r="BM145" s="748"/>
      <c r="BO145" s="747" t="s">
        <v>240</v>
      </c>
      <c r="BP145" s="748"/>
      <c r="BQ145" s="748"/>
      <c r="BR145" s="748"/>
      <c r="BS145" s="748"/>
      <c r="BT145" s="748"/>
      <c r="BV145" s="747" t="s">
        <v>240</v>
      </c>
      <c r="BW145" s="748"/>
      <c r="BX145" s="748"/>
      <c r="BY145" s="748"/>
      <c r="BZ145" s="748"/>
      <c r="CA145" s="748"/>
      <c r="CC145" s="747" t="s">
        <v>240</v>
      </c>
      <c r="CD145" s="748"/>
      <c r="CE145" s="748"/>
      <c r="CF145" s="748"/>
      <c r="CG145" s="748"/>
      <c r="CH145" s="748"/>
      <c r="CJ145" s="747" t="s">
        <v>240</v>
      </c>
      <c r="CK145" s="748"/>
      <c r="CL145" s="748"/>
      <c r="CM145" s="748"/>
      <c r="CN145" s="748"/>
      <c r="CO145" s="748"/>
      <c r="CQ145" s="747" t="s">
        <v>240</v>
      </c>
      <c r="CR145" s="748"/>
      <c r="CS145" s="748"/>
      <c r="CT145" s="748"/>
      <c r="CU145" s="748"/>
      <c r="CV145" s="748"/>
      <c r="CX145" s="747" t="s">
        <v>240</v>
      </c>
      <c r="CY145" s="748"/>
      <c r="CZ145" s="748"/>
      <c r="DA145" s="748"/>
      <c r="DB145" s="748"/>
      <c r="DC145" s="748"/>
      <c r="DE145" s="747" t="s">
        <v>240</v>
      </c>
      <c r="DF145" s="748"/>
      <c r="DG145" s="748"/>
      <c r="DH145" s="748"/>
      <c r="DI145" s="748"/>
      <c r="DJ145" s="748"/>
      <c r="DL145" s="747" t="s">
        <v>240</v>
      </c>
      <c r="DM145" s="748"/>
      <c r="DN145" s="748"/>
      <c r="DO145" s="748"/>
      <c r="DP145" s="748"/>
      <c r="DQ145" s="748"/>
      <c r="DS145" s="747" t="s">
        <v>240</v>
      </c>
      <c r="DT145" s="748"/>
      <c r="DU145" s="748"/>
      <c r="DV145" s="748"/>
      <c r="DW145" s="748"/>
      <c r="DX145" s="748"/>
      <c r="DZ145" s="747" t="s">
        <v>240</v>
      </c>
      <c r="EA145" s="748"/>
      <c r="EB145" s="748"/>
      <c r="EC145" s="748"/>
      <c r="ED145" s="748"/>
      <c r="EE145" s="748"/>
      <c r="EG145" s="747" t="s">
        <v>240</v>
      </c>
      <c r="EH145" s="748"/>
      <c r="EI145" s="748"/>
      <c r="EJ145" s="748"/>
      <c r="EK145" s="748"/>
      <c r="EL145" s="748"/>
      <c r="EN145" s="747" t="s">
        <v>240</v>
      </c>
      <c r="EO145" s="748"/>
      <c r="EP145" s="748"/>
      <c r="EQ145" s="748"/>
      <c r="ER145" s="748"/>
      <c r="ES145" s="748"/>
      <c r="EU145" s="747" t="s">
        <v>240</v>
      </c>
      <c r="EV145" s="748"/>
      <c r="EW145" s="748"/>
      <c r="EX145" s="748"/>
      <c r="EY145" s="748"/>
      <c r="EZ145" s="748"/>
      <c r="FB145" s="747" t="s">
        <v>240</v>
      </c>
      <c r="FC145" s="748"/>
      <c r="FD145" s="748"/>
      <c r="FE145" s="748"/>
      <c r="FF145" s="748"/>
      <c r="FG145" s="748"/>
      <c r="FI145" s="747" t="s">
        <v>240</v>
      </c>
      <c r="FJ145" s="748"/>
      <c r="FK145" s="748"/>
      <c r="FL145" s="748"/>
      <c r="FM145" s="748"/>
      <c r="FN145" s="748"/>
      <c r="FP145" s="747" t="s">
        <v>240</v>
      </c>
      <c r="FQ145" s="748"/>
      <c r="FR145" s="748"/>
      <c r="FS145" s="748"/>
      <c r="FT145" s="748"/>
      <c r="FU145" s="748"/>
      <c r="FW145" s="747" t="s">
        <v>240</v>
      </c>
      <c r="FX145" s="748">
        <v>0.377</v>
      </c>
      <c r="FY145" s="748">
        <v>0.36199999999999999</v>
      </c>
      <c r="FZ145" s="748">
        <v>0.43099999999999999</v>
      </c>
      <c r="GA145" s="748">
        <v>0.435</v>
      </c>
      <c r="GB145" s="748">
        <v>0.40100000000000002</v>
      </c>
      <c r="GD145" s="747" t="s">
        <v>240</v>
      </c>
      <c r="GE145" s="748">
        <v>0.61299999999999999</v>
      </c>
      <c r="GF145" s="748">
        <v>0.60299999999999998</v>
      </c>
      <c r="GG145" s="748">
        <v>0.63400000000000001</v>
      </c>
      <c r="GH145" s="748">
        <v>0.65900000000000003</v>
      </c>
      <c r="GI145" s="748">
        <v>0.627</v>
      </c>
      <c r="GK145" s="747" t="s">
        <v>240</v>
      </c>
      <c r="GL145" s="748">
        <v>0.63900000000000001</v>
      </c>
      <c r="GM145" s="748">
        <v>0.69</v>
      </c>
      <c r="GN145" s="748">
        <v>0.76</v>
      </c>
      <c r="GO145" s="748">
        <v>0.73</v>
      </c>
      <c r="GP145" s="748">
        <v>0.7</v>
      </c>
      <c r="GR145" s="747" t="s">
        <v>240</v>
      </c>
      <c r="GS145" s="748">
        <v>0.69</v>
      </c>
      <c r="GT145" s="748">
        <v>0.65</v>
      </c>
      <c r="GU145" s="748">
        <v>0.67</v>
      </c>
      <c r="GV145" s="748">
        <v>0.77</v>
      </c>
      <c r="GW145" s="748">
        <v>0.7</v>
      </c>
      <c r="GY145" s="747" t="s">
        <v>240</v>
      </c>
      <c r="GZ145" s="748">
        <v>0.67</v>
      </c>
      <c r="HA145" s="748">
        <v>0.81</v>
      </c>
      <c r="HB145" s="748">
        <v>0.79</v>
      </c>
      <c r="HC145" s="748">
        <v>0.79</v>
      </c>
      <c r="HD145" s="748">
        <v>0.8</v>
      </c>
      <c r="HF145" s="747" t="s">
        <v>240</v>
      </c>
      <c r="HG145" s="748">
        <v>0.67</v>
      </c>
      <c r="HH145" s="748">
        <v>0.71</v>
      </c>
      <c r="HI145" s="748">
        <v>0.69</v>
      </c>
      <c r="HJ145" s="748">
        <v>0.7</v>
      </c>
      <c r="HK145" s="748">
        <v>0.69</v>
      </c>
      <c r="HM145" s="747" t="s">
        <v>240</v>
      </c>
      <c r="HN145" s="748">
        <v>0.59</v>
      </c>
      <c r="HO145" s="748">
        <v>0.56000000000000005</v>
      </c>
      <c r="HP145" s="748">
        <v>0.61</v>
      </c>
      <c r="HQ145" s="748">
        <v>0.72</v>
      </c>
      <c r="HR145" s="748">
        <v>0.62</v>
      </c>
      <c r="HT145" s="747" t="s">
        <v>240</v>
      </c>
      <c r="HU145" s="748">
        <v>0.77</v>
      </c>
      <c r="HV145" s="748">
        <v>0.78</v>
      </c>
      <c r="HW145" s="748">
        <v>0.8</v>
      </c>
      <c r="HX145" s="748">
        <v>0.84</v>
      </c>
      <c r="HY145" s="748">
        <v>0.8</v>
      </c>
      <c r="IA145" s="747" t="s">
        <v>240</v>
      </c>
      <c r="IB145" s="748">
        <v>0.85</v>
      </c>
      <c r="IC145" s="748">
        <v>0.82</v>
      </c>
      <c r="ID145" s="748">
        <v>0.83</v>
      </c>
      <c r="IE145" s="748">
        <v>0.76</v>
      </c>
      <c r="IF145" s="748">
        <v>0.81</v>
      </c>
      <c r="IH145" s="747" t="s">
        <v>240</v>
      </c>
      <c r="II145" s="748">
        <v>0.51</v>
      </c>
      <c r="IJ145" s="748">
        <v>0.42</v>
      </c>
      <c r="IK145" s="748">
        <v>0.43</v>
      </c>
      <c r="IL145" s="748">
        <v>0.43</v>
      </c>
      <c r="IM145" s="748">
        <v>0.45</v>
      </c>
      <c r="IO145" s="747" t="s">
        <v>240</v>
      </c>
      <c r="IP145" s="748">
        <v>0.41</v>
      </c>
      <c r="IQ145" s="748">
        <v>0.48</v>
      </c>
      <c r="IR145" s="748">
        <v>0.54</v>
      </c>
      <c r="IS145" s="748">
        <v>0.61</v>
      </c>
      <c r="IT145" s="748">
        <v>0.51</v>
      </c>
      <c r="IV145" s="747" t="s">
        <v>240</v>
      </c>
      <c r="IW145" s="748">
        <v>0.64</v>
      </c>
      <c r="IX145" s="748">
        <v>0.69</v>
      </c>
      <c r="IY145" s="748">
        <v>0.54</v>
      </c>
      <c r="IZ145" s="748">
        <v>0.53</v>
      </c>
      <c r="JA145" s="748">
        <v>0.55000000000000004</v>
      </c>
      <c r="JC145" s="747" t="s">
        <v>240</v>
      </c>
      <c r="JD145" s="748">
        <v>0.52</v>
      </c>
      <c r="JE145" s="748">
        <v>0.69</v>
      </c>
      <c r="JF145" s="748">
        <v>0.48</v>
      </c>
      <c r="JG145" s="748">
        <v>0.56000000000000005</v>
      </c>
      <c r="JH145" s="748">
        <v>0.56000000000000005</v>
      </c>
      <c r="JJ145" s="747" t="s">
        <v>240</v>
      </c>
      <c r="JK145" s="748">
        <v>0.56999999999999995</v>
      </c>
      <c r="JL145" s="748">
        <v>0.61</v>
      </c>
      <c r="JM145" s="748">
        <v>0.64</v>
      </c>
      <c r="JN145" s="748">
        <v>0.57999999999999996</v>
      </c>
      <c r="JO145" s="748">
        <v>0.6</v>
      </c>
      <c r="JQ145" s="747" t="s">
        <v>240</v>
      </c>
      <c r="JR145" s="748">
        <v>0.64</v>
      </c>
      <c r="JS145" s="748">
        <v>0.53</v>
      </c>
      <c r="JT145" s="748">
        <v>0.79</v>
      </c>
      <c r="JU145" s="748">
        <v>0.85</v>
      </c>
      <c r="JV145" s="748">
        <v>0.79</v>
      </c>
      <c r="JX145" s="747" t="s">
        <v>240</v>
      </c>
      <c r="JY145" s="748">
        <v>0.84</v>
      </c>
      <c r="JZ145" s="748">
        <v>0.84</v>
      </c>
      <c r="KA145" s="748">
        <v>0.71</v>
      </c>
      <c r="KB145" s="748">
        <v>0.69</v>
      </c>
      <c r="KC145" s="748">
        <v>0.77</v>
      </c>
      <c r="KE145" s="747" t="s">
        <v>240</v>
      </c>
      <c r="KF145" s="748">
        <v>0.69</v>
      </c>
      <c r="KG145" s="748">
        <v>0.67</v>
      </c>
      <c r="KH145" s="748">
        <v>0.62</v>
      </c>
      <c r="KI145" s="748">
        <v>0.65</v>
      </c>
      <c r="KJ145" s="748">
        <v>0.66</v>
      </c>
      <c r="KL145" s="747" t="s">
        <v>240</v>
      </c>
      <c r="KM145" s="748">
        <v>0.56999999999999995</v>
      </c>
      <c r="KN145" s="748">
        <v>0.5</v>
      </c>
      <c r="KO145" s="748">
        <v>0.46</v>
      </c>
      <c r="KP145" s="748">
        <v>0.53</v>
      </c>
      <c r="KQ145" s="748">
        <v>0.52</v>
      </c>
      <c r="KS145" s="747" t="s">
        <v>240</v>
      </c>
      <c r="KT145" s="748">
        <v>0.77</v>
      </c>
      <c r="KU145" s="748">
        <v>0.71</v>
      </c>
      <c r="KV145" s="748">
        <v>0.67</v>
      </c>
      <c r="KW145" s="288">
        <v>0.69</v>
      </c>
      <c r="KX145" s="748">
        <v>0.71</v>
      </c>
      <c r="KZ145" s="747" t="s">
        <v>240</v>
      </c>
      <c r="LA145" s="748">
        <v>0.7</v>
      </c>
      <c r="LB145" s="748">
        <v>0.64</v>
      </c>
      <c r="LC145" s="748">
        <v>0.66</v>
      </c>
      <c r="LD145" s="748">
        <v>0.61</v>
      </c>
      <c r="LE145" s="748">
        <v>0.65</v>
      </c>
      <c r="LF145" s="555"/>
      <c r="LG145" s="747" t="s">
        <v>240</v>
      </c>
      <c r="LH145" s="748">
        <v>0.55000000000000004</v>
      </c>
      <c r="LI145" s="748">
        <v>0.55000000000000004</v>
      </c>
      <c r="LJ145" s="748">
        <v>0.64</v>
      </c>
      <c r="LK145" s="748">
        <v>0.67</v>
      </c>
      <c r="LL145" s="748">
        <v>0.61</v>
      </c>
      <c r="LM145" s="555"/>
      <c r="LN145" s="747" t="s">
        <v>240</v>
      </c>
      <c r="LO145" s="144" t="s">
        <v>80</v>
      </c>
      <c r="LP145" s="144" t="s">
        <v>80</v>
      </c>
      <c r="LQ145" s="144" t="s">
        <v>80</v>
      </c>
      <c r="LR145" s="144" t="s">
        <v>80</v>
      </c>
      <c r="LS145" s="749" t="s">
        <v>80</v>
      </c>
      <c r="LT145" s="555"/>
      <c r="LU145" s="747" t="s">
        <v>240</v>
      </c>
      <c r="LV145" s="144" t="s">
        <v>80</v>
      </c>
      <c r="LW145" s="144" t="s">
        <v>80</v>
      </c>
      <c r="LX145" s="144" t="s">
        <v>80</v>
      </c>
      <c r="LY145" s="144" t="s">
        <v>80</v>
      </c>
      <c r="LZ145" s="749" t="s">
        <v>80</v>
      </c>
      <c r="MA145" s="555"/>
      <c r="MB145" s="747" t="s">
        <v>240</v>
      </c>
      <c r="MC145" s="144" t="s">
        <v>80</v>
      </c>
      <c r="MD145" s="144" t="s">
        <v>80</v>
      </c>
      <c r="ME145" s="144" t="s">
        <v>80</v>
      </c>
      <c r="MF145" s="144" t="s">
        <v>80</v>
      </c>
      <c r="MG145" s="749" t="s">
        <v>80</v>
      </c>
      <c r="MH145" s="555"/>
    </row>
    <row r="146" spans="1:346" s="53" customFormat="1" ht="13.15" x14ac:dyDescent="0.4">
      <c r="A146" s="100"/>
      <c r="B146" s="747" t="s">
        <v>304</v>
      </c>
      <c r="C146" s="748"/>
      <c r="D146" s="748"/>
      <c r="E146" s="748"/>
      <c r="F146" s="748"/>
      <c r="G146" s="748"/>
      <c r="H146" s="748"/>
      <c r="I146" s="748"/>
      <c r="J146" s="748"/>
      <c r="K146" s="748"/>
      <c r="L146" s="748"/>
      <c r="M146" s="748"/>
      <c r="N146" s="748">
        <f t="shared" si="278"/>
        <v>0</v>
      </c>
      <c r="O146" s="748">
        <f t="shared" si="279"/>
        <v>0</v>
      </c>
      <c r="P146" s="748">
        <f t="shared" si="280"/>
        <v>0</v>
      </c>
      <c r="Q146" s="748">
        <f t="shared" si="281"/>
        <v>0</v>
      </c>
      <c r="R146" s="748">
        <f t="shared" si="282"/>
        <v>0</v>
      </c>
      <c r="S146" s="748">
        <f t="shared" si="283"/>
        <v>0</v>
      </c>
      <c r="T146" s="748">
        <f t="shared" si="284"/>
        <v>0</v>
      </c>
      <c r="U146" s="748">
        <f t="shared" si="285"/>
        <v>0</v>
      </c>
      <c r="V146" s="748">
        <f t="shared" si="286"/>
        <v>0</v>
      </c>
      <c r="W146" s="748">
        <f t="shared" si="287"/>
        <v>0</v>
      </c>
      <c r="X146" s="748">
        <f t="shared" si="288"/>
        <v>0</v>
      </c>
      <c r="Y146" s="748">
        <f t="shared" si="289"/>
        <v>0</v>
      </c>
      <c r="Z146" s="748">
        <f t="shared" si="290"/>
        <v>0</v>
      </c>
      <c r="AA146" s="748">
        <f t="shared" si="291"/>
        <v>0</v>
      </c>
      <c r="AB146" s="748">
        <f t="shared" si="292"/>
        <v>0</v>
      </c>
      <c r="AC146" s="748">
        <f t="shared" si="293"/>
        <v>0</v>
      </c>
      <c r="AD146" s="748">
        <f t="shared" si="294"/>
        <v>0</v>
      </c>
      <c r="AE146" s="748">
        <f t="shared" si="295"/>
        <v>0</v>
      </c>
      <c r="AF146" s="748">
        <f t="shared" si="296"/>
        <v>0</v>
      </c>
      <c r="AG146" s="748">
        <f t="shared" si="297"/>
        <v>0</v>
      </c>
      <c r="AH146" s="748">
        <f t="shared" si="298"/>
        <v>0</v>
      </c>
      <c r="AI146" s="748">
        <f t="shared" si="299"/>
        <v>0</v>
      </c>
      <c r="AJ146" s="748">
        <f t="shared" si="300"/>
        <v>0</v>
      </c>
      <c r="AK146" s="748">
        <f t="shared" si="301"/>
        <v>0</v>
      </c>
      <c r="AL146" s="748">
        <f t="shared" si="302"/>
        <v>0</v>
      </c>
      <c r="AM146" s="748">
        <f t="shared" si="303"/>
        <v>0</v>
      </c>
      <c r="AN146" s="748">
        <f t="shared" si="304"/>
        <v>0</v>
      </c>
      <c r="AO146" s="748">
        <f t="shared" si="305"/>
        <v>0</v>
      </c>
      <c r="AP146" s="748">
        <f t="shared" si="306"/>
        <v>0</v>
      </c>
      <c r="AQ146" s="748">
        <f t="shared" si="307"/>
        <v>0</v>
      </c>
      <c r="AR146" s="748">
        <f t="shared" si="308"/>
        <v>0</v>
      </c>
      <c r="AS146" s="748">
        <f t="shared" si="309"/>
        <v>0.77</v>
      </c>
      <c r="AT146" s="748">
        <f t="shared" si="310"/>
        <v>0.69</v>
      </c>
      <c r="AU146" s="748">
        <f t="shared" si="311"/>
        <v>0.64</v>
      </c>
      <c r="AV146" s="748">
        <f t="shared" si="312"/>
        <v>0.84</v>
      </c>
      <c r="AW146" s="748">
        <f t="shared" si="313"/>
        <v>0.79</v>
      </c>
      <c r="AX146" s="748">
        <f t="shared" si="314"/>
        <v>0.78</v>
      </c>
      <c r="AY146" s="748" t="str">
        <f t="shared" si="315"/>
        <v>-</v>
      </c>
      <c r="AZ146" s="748" t="str">
        <f t="shared" si="316"/>
        <v>-</v>
      </c>
      <c r="BA146" s="748" t="str">
        <f t="shared" si="317"/>
        <v>-</v>
      </c>
      <c r="BB146" s="748"/>
      <c r="BC146" s="748"/>
      <c r="BD146" s="748"/>
      <c r="BE146" s="748"/>
      <c r="BF146" s="748"/>
      <c r="BG146" s="748"/>
      <c r="BH146" s="748"/>
      <c r="BI146" s="748"/>
      <c r="BJ146" s="748"/>
      <c r="BK146" s="748"/>
      <c r="BL146" s="748"/>
      <c r="BM146" s="748"/>
      <c r="BO146" s="747" t="s">
        <v>304</v>
      </c>
      <c r="BP146" s="748"/>
      <c r="BQ146" s="748"/>
      <c r="BR146" s="748"/>
      <c r="BS146" s="748"/>
      <c r="BT146" s="748"/>
      <c r="BV146" s="747" t="s">
        <v>304</v>
      </c>
      <c r="BW146" s="748"/>
      <c r="BX146" s="748"/>
      <c r="BY146" s="748"/>
      <c r="BZ146" s="748"/>
      <c r="CA146" s="748"/>
      <c r="CC146" s="747" t="s">
        <v>304</v>
      </c>
      <c r="CD146" s="748"/>
      <c r="CE146" s="748"/>
      <c r="CF146" s="748"/>
      <c r="CG146" s="748"/>
      <c r="CH146" s="748"/>
      <c r="CJ146" s="747" t="s">
        <v>304</v>
      </c>
      <c r="CK146" s="748"/>
      <c r="CL146" s="748"/>
      <c r="CM146" s="748"/>
      <c r="CN146" s="748"/>
      <c r="CO146" s="748"/>
      <c r="CQ146" s="747" t="s">
        <v>304</v>
      </c>
      <c r="CR146" s="748"/>
      <c r="CS146" s="748"/>
      <c r="CT146" s="748"/>
      <c r="CU146" s="748"/>
      <c r="CV146" s="748"/>
      <c r="CX146" s="747" t="s">
        <v>304</v>
      </c>
      <c r="CY146" s="748"/>
      <c r="CZ146" s="748"/>
      <c r="DA146" s="748"/>
      <c r="DB146" s="748"/>
      <c r="DC146" s="748"/>
      <c r="DE146" s="747" t="s">
        <v>304</v>
      </c>
      <c r="DF146" s="748"/>
      <c r="DG146" s="748"/>
      <c r="DH146" s="748"/>
      <c r="DI146" s="748"/>
      <c r="DJ146" s="748"/>
      <c r="DL146" s="747" t="s">
        <v>304</v>
      </c>
      <c r="DM146" s="748"/>
      <c r="DN146" s="748"/>
      <c r="DO146" s="748"/>
      <c r="DP146" s="748"/>
      <c r="DQ146" s="748"/>
      <c r="DS146" s="747" t="s">
        <v>304</v>
      </c>
      <c r="DT146" s="748"/>
      <c r="DU146" s="748"/>
      <c r="DV146" s="748"/>
      <c r="DW146" s="748"/>
      <c r="DX146" s="748"/>
      <c r="DZ146" s="747" t="s">
        <v>304</v>
      </c>
      <c r="EA146" s="748"/>
      <c r="EB146" s="748"/>
      <c r="EC146" s="748"/>
      <c r="ED146" s="748"/>
      <c r="EE146" s="748"/>
      <c r="EG146" s="747" t="s">
        <v>304</v>
      </c>
      <c r="EH146" s="748"/>
      <c r="EI146" s="748"/>
      <c r="EJ146" s="748"/>
      <c r="EK146" s="748"/>
      <c r="EL146" s="748"/>
      <c r="EN146" s="747" t="s">
        <v>304</v>
      </c>
      <c r="EO146" s="748"/>
      <c r="EP146" s="748"/>
      <c r="EQ146" s="748"/>
      <c r="ER146" s="748"/>
      <c r="ES146" s="748"/>
      <c r="EU146" s="747" t="s">
        <v>304</v>
      </c>
      <c r="EV146" s="748"/>
      <c r="EW146" s="748"/>
      <c r="EX146" s="748"/>
      <c r="EY146" s="748"/>
      <c r="EZ146" s="748"/>
      <c r="FB146" s="747" t="s">
        <v>304</v>
      </c>
      <c r="FC146" s="748"/>
      <c r="FD146" s="748"/>
      <c r="FE146" s="748"/>
      <c r="FF146" s="748"/>
      <c r="FG146" s="748"/>
      <c r="FI146" s="747" t="s">
        <v>304</v>
      </c>
      <c r="FJ146" s="748"/>
      <c r="FK146" s="748"/>
      <c r="FL146" s="748"/>
      <c r="FM146" s="748"/>
      <c r="FN146" s="748"/>
      <c r="FP146" s="747" t="s">
        <v>304</v>
      </c>
      <c r="FQ146" s="748"/>
      <c r="FR146" s="748"/>
      <c r="FS146" s="748"/>
      <c r="FT146" s="748"/>
      <c r="FU146" s="748"/>
      <c r="FW146" s="747" t="s">
        <v>304</v>
      </c>
      <c r="FX146" s="748"/>
      <c r="FY146" s="748"/>
      <c r="FZ146" s="748"/>
      <c r="GA146" s="748"/>
      <c r="GB146" s="748"/>
      <c r="GD146" s="747" t="s">
        <v>304</v>
      </c>
      <c r="GE146" s="748"/>
      <c r="GF146" s="748"/>
      <c r="GG146" s="748"/>
      <c r="GH146" s="748"/>
      <c r="GI146" s="748"/>
      <c r="GK146" s="747" t="s">
        <v>304</v>
      </c>
      <c r="GL146" s="748"/>
      <c r="GM146" s="748"/>
      <c r="GN146" s="748"/>
      <c r="GO146" s="748"/>
      <c r="GP146" s="748"/>
      <c r="GR146" s="747" t="s">
        <v>304</v>
      </c>
      <c r="GS146" s="748"/>
      <c r="GT146" s="748"/>
      <c r="GU146" s="748"/>
      <c r="GV146" s="748"/>
      <c r="GW146" s="748"/>
      <c r="GY146" s="747" t="s">
        <v>304</v>
      </c>
      <c r="GZ146" s="748"/>
      <c r="HA146" s="748"/>
      <c r="HB146" s="748"/>
      <c r="HC146" s="748"/>
      <c r="HD146" s="748"/>
      <c r="HF146" s="747" t="s">
        <v>304</v>
      </c>
      <c r="HG146" s="748"/>
      <c r="HH146" s="748"/>
      <c r="HI146" s="748"/>
      <c r="HJ146" s="748"/>
      <c r="HK146" s="748"/>
      <c r="HM146" s="747" t="s">
        <v>304</v>
      </c>
      <c r="HN146" s="748"/>
      <c r="HO146" s="748"/>
      <c r="HP146" s="748"/>
      <c r="HQ146" s="748"/>
      <c r="HR146" s="748"/>
      <c r="HT146" s="747" t="s">
        <v>304</v>
      </c>
      <c r="HU146" s="748"/>
      <c r="HV146" s="748"/>
      <c r="HW146" s="748"/>
      <c r="HX146" s="748"/>
      <c r="HY146" s="748"/>
      <c r="IA146" s="747" t="s">
        <v>304</v>
      </c>
      <c r="IB146" s="748"/>
      <c r="IC146" s="748"/>
      <c r="ID146" s="748"/>
      <c r="IE146" s="748"/>
      <c r="IF146" s="748"/>
      <c r="IH146" s="747" t="s">
        <v>304</v>
      </c>
      <c r="II146" s="748"/>
      <c r="IJ146" s="748"/>
      <c r="IK146" s="748"/>
      <c r="IL146" s="748"/>
      <c r="IM146" s="748"/>
      <c r="IO146" s="747" t="s">
        <v>304</v>
      </c>
      <c r="IP146" s="748"/>
      <c r="IQ146" s="748"/>
      <c r="IR146" s="748"/>
      <c r="IS146" s="748"/>
      <c r="IT146" s="748"/>
      <c r="IV146" s="747" t="s">
        <v>304</v>
      </c>
      <c r="IW146" s="748"/>
      <c r="IX146" s="748"/>
      <c r="IY146" s="748"/>
      <c r="IZ146" s="748"/>
      <c r="JA146" s="748"/>
      <c r="JC146" s="747" t="s">
        <v>304</v>
      </c>
      <c r="JD146" s="748"/>
      <c r="JE146" s="748"/>
      <c r="JF146" s="748"/>
      <c r="JG146" s="748"/>
      <c r="JH146" s="748"/>
      <c r="JJ146" s="747" t="s">
        <v>304</v>
      </c>
      <c r="JK146" s="748"/>
      <c r="JL146" s="748">
        <v>0.58299999999999996</v>
      </c>
      <c r="JM146" s="748">
        <v>0.66100000000000003</v>
      </c>
      <c r="JN146" s="748">
        <v>0.67300000000000004</v>
      </c>
      <c r="JO146" s="748"/>
      <c r="JQ146" s="747" t="s">
        <v>304</v>
      </c>
      <c r="JR146" s="748">
        <v>0.73899999999999999</v>
      </c>
      <c r="JS146" s="748">
        <v>0.74399999999999999</v>
      </c>
      <c r="JT146" s="748">
        <v>0.75700000000000001</v>
      </c>
      <c r="JU146" s="748">
        <v>0.82599999999999996</v>
      </c>
      <c r="JV146" s="748"/>
      <c r="JX146" s="747" t="s">
        <v>304</v>
      </c>
      <c r="JY146" s="748">
        <v>0.81</v>
      </c>
      <c r="JZ146" s="748">
        <v>0.81</v>
      </c>
      <c r="KA146" s="748">
        <v>0.73</v>
      </c>
      <c r="KB146" s="748">
        <v>0.75</v>
      </c>
      <c r="KC146" s="748">
        <v>0.77</v>
      </c>
      <c r="KE146" s="747" t="s">
        <v>304</v>
      </c>
      <c r="KF146" s="748">
        <v>0.67</v>
      </c>
      <c r="KG146" s="748">
        <v>0.67</v>
      </c>
      <c r="KH146" s="748">
        <v>0.68</v>
      </c>
      <c r="KI146" s="748">
        <v>0.71</v>
      </c>
      <c r="KJ146" s="748">
        <v>0.69</v>
      </c>
      <c r="KL146" s="747" t="s">
        <v>304</v>
      </c>
      <c r="KM146" s="748">
        <v>0.64</v>
      </c>
      <c r="KN146" s="748">
        <v>0.5</v>
      </c>
      <c r="KO146" s="748">
        <v>0.56999999999999995</v>
      </c>
      <c r="KP146" s="748">
        <v>0.77</v>
      </c>
      <c r="KQ146" s="748">
        <v>0.64</v>
      </c>
      <c r="KS146" s="747" t="s">
        <v>304</v>
      </c>
      <c r="KT146" s="748">
        <v>0.86</v>
      </c>
      <c r="KU146" s="748">
        <v>0.84</v>
      </c>
      <c r="KV146" s="748">
        <v>0.82</v>
      </c>
      <c r="KW146" s="288">
        <v>0.85</v>
      </c>
      <c r="KX146" s="748">
        <v>0.84</v>
      </c>
      <c r="KZ146" s="747" t="s">
        <v>304</v>
      </c>
      <c r="LA146" s="748">
        <v>0.82</v>
      </c>
      <c r="LB146" s="748">
        <v>0.8</v>
      </c>
      <c r="LC146" s="748">
        <v>0.8</v>
      </c>
      <c r="LD146" s="748">
        <v>0.76</v>
      </c>
      <c r="LE146" s="748">
        <v>0.79</v>
      </c>
      <c r="LF146" s="555"/>
      <c r="LG146" s="747" t="s">
        <v>304</v>
      </c>
      <c r="LH146" s="748">
        <v>0.69</v>
      </c>
      <c r="LI146" s="748">
        <v>0.75</v>
      </c>
      <c r="LJ146" s="748">
        <v>0.83</v>
      </c>
      <c r="LK146" s="748">
        <v>0.83</v>
      </c>
      <c r="LL146" s="748">
        <v>0.78</v>
      </c>
      <c r="LM146" s="555"/>
      <c r="LN146" s="747" t="s">
        <v>304</v>
      </c>
      <c r="LO146" s="144" t="s">
        <v>80</v>
      </c>
      <c r="LP146" s="144" t="s">
        <v>80</v>
      </c>
      <c r="LQ146" s="144" t="s">
        <v>80</v>
      </c>
      <c r="LR146" s="144" t="s">
        <v>80</v>
      </c>
      <c r="LS146" s="749" t="s">
        <v>80</v>
      </c>
      <c r="LT146" s="555"/>
      <c r="LU146" s="747" t="s">
        <v>304</v>
      </c>
      <c r="LV146" s="144" t="s">
        <v>80</v>
      </c>
      <c r="LW146" s="144" t="s">
        <v>80</v>
      </c>
      <c r="LX146" s="144" t="s">
        <v>80</v>
      </c>
      <c r="LY146" s="144" t="s">
        <v>80</v>
      </c>
      <c r="LZ146" s="749" t="s">
        <v>80</v>
      </c>
      <c r="MA146" s="555"/>
      <c r="MB146" s="747" t="s">
        <v>304</v>
      </c>
      <c r="MC146" s="144" t="s">
        <v>80</v>
      </c>
      <c r="MD146" s="144" t="s">
        <v>80</v>
      </c>
      <c r="ME146" s="144" t="s">
        <v>80</v>
      </c>
      <c r="MF146" s="144" t="s">
        <v>80</v>
      </c>
      <c r="MG146" s="749" t="s">
        <v>80</v>
      </c>
      <c r="MH146" s="555"/>
    </row>
    <row r="147" spans="1:346" s="53" customFormat="1" ht="13.15" x14ac:dyDescent="0.4">
      <c r="A147" s="100"/>
      <c r="B147" s="747" t="s">
        <v>305</v>
      </c>
      <c r="C147" s="748"/>
      <c r="D147" s="748"/>
      <c r="E147" s="748"/>
      <c r="F147" s="748"/>
      <c r="G147" s="748"/>
      <c r="H147" s="748"/>
      <c r="I147" s="748"/>
      <c r="J147" s="748"/>
      <c r="K147" s="748"/>
      <c r="L147" s="748"/>
      <c r="M147" s="748"/>
      <c r="N147" s="748">
        <f t="shared" si="278"/>
        <v>0</v>
      </c>
      <c r="O147" s="748">
        <f t="shared" si="279"/>
        <v>0</v>
      </c>
      <c r="P147" s="748">
        <f t="shared" si="280"/>
        <v>0</v>
      </c>
      <c r="Q147" s="748">
        <f t="shared" si="281"/>
        <v>0</v>
      </c>
      <c r="R147" s="748">
        <f t="shared" si="282"/>
        <v>0</v>
      </c>
      <c r="S147" s="748">
        <f t="shared" si="283"/>
        <v>0</v>
      </c>
      <c r="T147" s="748">
        <f t="shared" si="284"/>
        <v>0</v>
      </c>
      <c r="U147" s="748">
        <f t="shared" si="285"/>
        <v>0</v>
      </c>
      <c r="V147" s="748">
        <f t="shared" si="286"/>
        <v>0</v>
      </c>
      <c r="W147" s="748">
        <f t="shared" si="287"/>
        <v>0</v>
      </c>
      <c r="X147" s="748">
        <f t="shared" si="288"/>
        <v>0</v>
      </c>
      <c r="Y147" s="748">
        <f t="shared" si="289"/>
        <v>0</v>
      </c>
      <c r="Z147" s="748">
        <f t="shared" si="290"/>
        <v>0</v>
      </c>
      <c r="AA147" s="748">
        <f t="shared" si="291"/>
        <v>0</v>
      </c>
      <c r="AB147" s="748">
        <f t="shared" si="292"/>
        <v>0</v>
      </c>
      <c r="AC147" s="748">
        <f t="shared" si="293"/>
        <v>0</v>
      </c>
      <c r="AD147" s="748">
        <f t="shared" si="294"/>
        <v>0</v>
      </c>
      <c r="AE147" s="748">
        <f t="shared" si="295"/>
        <v>0</v>
      </c>
      <c r="AF147" s="748">
        <f t="shared" si="296"/>
        <v>0</v>
      </c>
      <c r="AG147" s="748">
        <f t="shared" si="297"/>
        <v>0</v>
      </c>
      <c r="AH147" s="748">
        <f t="shared" si="298"/>
        <v>0</v>
      </c>
      <c r="AI147" s="748">
        <f t="shared" si="299"/>
        <v>0</v>
      </c>
      <c r="AJ147" s="748">
        <f t="shared" si="300"/>
        <v>0</v>
      </c>
      <c r="AK147" s="748">
        <f t="shared" si="301"/>
        <v>0</v>
      </c>
      <c r="AL147" s="748">
        <f t="shared" si="302"/>
        <v>0</v>
      </c>
      <c r="AM147" s="748">
        <f t="shared" si="303"/>
        <v>0</v>
      </c>
      <c r="AN147" s="748">
        <f t="shared" si="304"/>
        <v>0</v>
      </c>
      <c r="AO147" s="748">
        <f t="shared" si="305"/>
        <v>0</v>
      </c>
      <c r="AP147" s="748">
        <f t="shared" si="306"/>
        <v>0</v>
      </c>
      <c r="AQ147" s="748">
        <f t="shared" si="307"/>
        <v>0</v>
      </c>
      <c r="AR147" s="748">
        <f t="shared" si="308"/>
        <v>0</v>
      </c>
      <c r="AS147" s="748">
        <f t="shared" si="309"/>
        <v>0.9</v>
      </c>
      <c r="AT147" s="748">
        <f t="shared" si="310"/>
        <v>0.87</v>
      </c>
      <c r="AU147" s="748">
        <f t="shared" si="311"/>
        <v>0.9</v>
      </c>
      <c r="AV147" s="748">
        <f t="shared" si="312"/>
        <v>0.95</v>
      </c>
      <c r="AW147" s="748">
        <f t="shared" si="313"/>
        <v>0.91</v>
      </c>
      <c r="AX147" s="748">
        <f t="shared" si="314"/>
        <v>0.91</v>
      </c>
      <c r="AY147" s="748" t="str">
        <f t="shared" si="315"/>
        <v>-</v>
      </c>
      <c r="AZ147" s="748" t="str">
        <f t="shared" si="316"/>
        <v>-</v>
      </c>
      <c r="BA147" s="748" t="str">
        <f t="shared" si="317"/>
        <v>-</v>
      </c>
      <c r="BB147" s="748"/>
      <c r="BC147" s="748"/>
      <c r="BD147" s="748"/>
      <c r="BE147" s="748"/>
      <c r="BF147" s="748"/>
      <c r="BG147" s="748"/>
      <c r="BH147" s="748"/>
      <c r="BI147" s="748"/>
      <c r="BJ147" s="748"/>
      <c r="BK147" s="748"/>
      <c r="BL147" s="748"/>
      <c r="BM147" s="748"/>
      <c r="BO147" s="747" t="s">
        <v>305</v>
      </c>
      <c r="BP147" s="748"/>
      <c r="BQ147" s="748"/>
      <c r="BR147" s="748"/>
      <c r="BS147" s="748"/>
      <c r="BT147" s="748"/>
      <c r="BV147" s="747" t="s">
        <v>305</v>
      </c>
      <c r="BW147" s="748"/>
      <c r="BX147" s="748"/>
      <c r="BY147" s="748"/>
      <c r="BZ147" s="748"/>
      <c r="CA147" s="748"/>
      <c r="CC147" s="747" t="s">
        <v>305</v>
      </c>
      <c r="CD147" s="748"/>
      <c r="CE147" s="748"/>
      <c r="CF147" s="748"/>
      <c r="CG147" s="748"/>
      <c r="CH147" s="748"/>
      <c r="CJ147" s="747" t="s">
        <v>305</v>
      </c>
      <c r="CK147" s="748"/>
      <c r="CL147" s="748"/>
      <c r="CM147" s="748"/>
      <c r="CN147" s="748"/>
      <c r="CO147" s="748"/>
      <c r="CQ147" s="747" t="s">
        <v>305</v>
      </c>
      <c r="CR147" s="748"/>
      <c r="CS147" s="748"/>
      <c r="CT147" s="748"/>
      <c r="CU147" s="748"/>
      <c r="CV147" s="748"/>
      <c r="CX147" s="747" t="s">
        <v>305</v>
      </c>
      <c r="CY147" s="748"/>
      <c r="CZ147" s="748"/>
      <c r="DA147" s="748"/>
      <c r="DB147" s="748"/>
      <c r="DC147" s="748"/>
      <c r="DE147" s="747" t="s">
        <v>305</v>
      </c>
      <c r="DF147" s="748"/>
      <c r="DG147" s="748"/>
      <c r="DH147" s="748"/>
      <c r="DI147" s="748"/>
      <c r="DJ147" s="748"/>
      <c r="DL147" s="747" t="s">
        <v>305</v>
      </c>
      <c r="DM147" s="748"/>
      <c r="DN147" s="748"/>
      <c r="DO147" s="748"/>
      <c r="DP147" s="748"/>
      <c r="DQ147" s="748"/>
      <c r="DS147" s="747" t="s">
        <v>305</v>
      </c>
      <c r="DT147" s="748"/>
      <c r="DU147" s="748"/>
      <c r="DV147" s="748"/>
      <c r="DW147" s="748"/>
      <c r="DX147" s="748"/>
      <c r="DZ147" s="747" t="s">
        <v>305</v>
      </c>
      <c r="EA147" s="748"/>
      <c r="EB147" s="748"/>
      <c r="EC147" s="748"/>
      <c r="ED147" s="748"/>
      <c r="EE147" s="748"/>
      <c r="EG147" s="747" t="s">
        <v>305</v>
      </c>
      <c r="EH147" s="748"/>
      <c r="EI147" s="748"/>
      <c r="EJ147" s="748"/>
      <c r="EK147" s="748"/>
      <c r="EL147" s="748"/>
      <c r="EN147" s="747" t="s">
        <v>305</v>
      </c>
      <c r="EO147" s="748"/>
      <c r="EP147" s="748"/>
      <c r="EQ147" s="748"/>
      <c r="ER147" s="748"/>
      <c r="ES147" s="748"/>
      <c r="EU147" s="747" t="s">
        <v>305</v>
      </c>
      <c r="EV147" s="748"/>
      <c r="EW147" s="748"/>
      <c r="EX147" s="748"/>
      <c r="EY147" s="748"/>
      <c r="EZ147" s="748"/>
      <c r="FB147" s="747" t="s">
        <v>305</v>
      </c>
      <c r="FC147" s="748"/>
      <c r="FD147" s="748"/>
      <c r="FE147" s="748"/>
      <c r="FF147" s="748"/>
      <c r="FG147" s="748"/>
      <c r="FI147" s="747" t="s">
        <v>305</v>
      </c>
      <c r="FJ147" s="748"/>
      <c r="FK147" s="748"/>
      <c r="FL147" s="748"/>
      <c r="FM147" s="748"/>
      <c r="FN147" s="748"/>
      <c r="FP147" s="747" t="s">
        <v>305</v>
      </c>
      <c r="FQ147" s="748"/>
      <c r="FR147" s="748"/>
      <c r="FS147" s="748"/>
      <c r="FT147" s="748"/>
      <c r="FU147" s="748"/>
      <c r="FW147" s="747" t="s">
        <v>305</v>
      </c>
      <c r="FX147" s="748"/>
      <c r="FY147" s="748"/>
      <c r="FZ147" s="748"/>
      <c r="GA147" s="748"/>
      <c r="GB147" s="748"/>
      <c r="GD147" s="747" t="s">
        <v>305</v>
      </c>
      <c r="GE147" s="748"/>
      <c r="GF147" s="748"/>
      <c r="GG147" s="748"/>
      <c r="GH147" s="748"/>
      <c r="GI147" s="748"/>
      <c r="GK147" s="747" t="s">
        <v>305</v>
      </c>
      <c r="GL147" s="748"/>
      <c r="GM147" s="748"/>
      <c r="GN147" s="748"/>
      <c r="GO147" s="748"/>
      <c r="GP147" s="748"/>
      <c r="GR147" s="747" t="s">
        <v>305</v>
      </c>
      <c r="GS147" s="748"/>
      <c r="GT147" s="748"/>
      <c r="GU147" s="748"/>
      <c r="GV147" s="748"/>
      <c r="GW147" s="748"/>
      <c r="GY147" s="747" t="s">
        <v>305</v>
      </c>
      <c r="GZ147" s="748"/>
      <c r="HA147" s="748"/>
      <c r="HB147" s="748"/>
      <c r="HC147" s="748"/>
      <c r="HD147" s="748"/>
      <c r="HF147" s="747" t="s">
        <v>305</v>
      </c>
      <c r="HG147" s="748"/>
      <c r="HH147" s="748"/>
      <c r="HI147" s="748"/>
      <c r="HJ147" s="748"/>
      <c r="HK147" s="748"/>
      <c r="HM147" s="747" t="s">
        <v>305</v>
      </c>
      <c r="HN147" s="748"/>
      <c r="HO147" s="748"/>
      <c r="HP147" s="748"/>
      <c r="HQ147" s="748"/>
      <c r="HR147" s="748"/>
      <c r="HT147" s="747" t="s">
        <v>305</v>
      </c>
      <c r="HU147" s="748"/>
      <c r="HV147" s="748"/>
      <c r="HW147" s="748"/>
      <c r="HX147" s="748"/>
      <c r="HY147" s="748"/>
      <c r="IA147" s="747" t="s">
        <v>305</v>
      </c>
      <c r="IB147" s="748"/>
      <c r="IC147" s="748"/>
      <c r="ID147" s="748"/>
      <c r="IE147" s="748"/>
      <c r="IF147" s="748"/>
      <c r="IH147" s="747" t="s">
        <v>305</v>
      </c>
      <c r="II147" s="748"/>
      <c r="IJ147" s="748"/>
      <c r="IK147" s="748"/>
      <c r="IL147" s="748"/>
      <c r="IM147" s="748"/>
      <c r="IO147" s="747" t="s">
        <v>305</v>
      </c>
      <c r="IP147" s="748"/>
      <c r="IQ147" s="748"/>
      <c r="IR147" s="748"/>
      <c r="IS147" s="748"/>
      <c r="IT147" s="748"/>
      <c r="IV147" s="747" t="s">
        <v>305</v>
      </c>
      <c r="IW147" s="748"/>
      <c r="IX147" s="748"/>
      <c r="IY147" s="748"/>
      <c r="IZ147" s="748"/>
      <c r="JA147" s="748"/>
      <c r="JC147" s="747" t="s">
        <v>305</v>
      </c>
      <c r="JD147" s="748"/>
      <c r="JE147" s="748"/>
      <c r="JF147" s="748"/>
      <c r="JG147" s="748"/>
      <c r="JH147" s="748"/>
      <c r="JJ147" s="747" t="s">
        <v>305</v>
      </c>
      <c r="JK147" s="748"/>
      <c r="JL147" s="748">
        <v>0.62</v>
      </c>
      <c r="JM147" s="748">
        <v>0.79800000000000004</v>
      </c>
      <c r="JN147" s="748">
        <v>0.73399999999999999</v>
      </c>
      <c r="JO147" s="748"/>
      <c r="JQ147" s="747" t="s">
        <v>305</v>
      </c>
      <c r="JR147" s="748">
        <v>0.78300000000000003</v>
      </c>
      <c r="JS147" s="748">
        <v>0.89800000000000002</v>
      </c>
      <c r="JT147" s="748">
        <v>0.94199999999999995</v>
      </c>
      <c r="JU147" s="748">
        <v>0.95499999999999996</v>
      </c>
      <c r="JV147" s="748"/>
      <c r="JX147" s="747" t="s">
        <v>305</v>
      </c>
      <c r="JY147" s="748">
        <v>0.96</v>
      </c>
      <c r="JZ147" s="748">
        <v>0.94</v>
      </c>
      <c r="KA147" s="748">
        <v>0.87</v>
      </c>
      <c r="KB147" s="748">
        <v>0.84</v>
      </c>
      <c r="KC147" s="748">
        <v>0.9</v>
      </c>
      <c r="KE147" s="747" t="s">
        <v>305</v>
      </c>
      <c r="KF147" s="748">
        <v>0.85</v>
      </c>
      <c r="KG147" s="748">
        <v>0.89</v>
      </c>
      <c r="KH147" s="748">
        <v>0.88</v>
      </c>
      <c r="KI147" s="748">
        <v>0.88</v>
      </c>
      <c r="KJ147" s="748">
        <v>0.87</v>
      </c>
      <c r="KL147" s="747" t="s">
        <v>305</v>
      </c>
      <c r="KM147" s="748">
        <v>0.87</v>
      </c>
      <c r="KN147" s="748">
        <v>0.9</v>
      </c>
      <c r="KO147" s="748">
        <v>0.9</v>
      </c>
      <c r="KP147" s="748">
        <v>0.93</v>
      </c>
      <c r="KQ147" s="748">
        <v>0.9</v>
      </c>
      <c r="KS147" s="747" t="s">
        <v>305</v>
      </c>
      <c r="KT147" s="748">
        <v>0.96</v>
      </c>
      <c r="KU147" s="748">
        <v>0.96</v>
      </c>
      <c r="KV147" s="748">
        <v>0.94</v>
      </c>
      <c r="KW147" s="288">
        <v>0.95</v>
      </c>
      <c r="KX147" s="748">
        <v>0.95</v>
      </c>
      <c r="KZ147" s="747" t="s">
        <v>305</v>
      </c>
      <c r="LA147" s="748">
        <v>0.94</v>
      </c>
      <c r="LB147" s="748">
        <v>0.94</v>
      </c>
      <c r="LC147" s="748">
        <v>0.92</v>
      </c>
      <c r="LD147" s="748">
        <v>0.85</v>
      </c>
      <c r="LE147" s="748">
        <v>0.91</v>
      </c>
      <c r="LF147" s="555"/>
      <c r="LG147" s="747" t="s">
        <v>305</v>
      </c>
      <c r="LH147" s="748">
        <v>0.9</v>
      </c>
      <c r="LI147" s="748">
        <v>0.9</v>
      </c>
      <c r="LJ147" s="748">
        <v>0.93</v>
      </c>
      <c r="LK147" s="748">
        <v>0.92</v>
      </c>
      <c r="LL147" s="748">
        <v>0.91</v>
      </c>
      <c r="LM147" s="555"/>
      <c r="LN147" s="747" t="s">
        <v>305</v>
      </c>
      <c r="LO147" s="144" t="s">
        <v>80</v>
      </c>
      <c r="LP147" s="144" t="s">
        <v>80</v>
      </c>
      <c r="LQ147" s="144" t="s">
        <v>80</v>
      </c>
      <c r="LR147" s="144" t="s">
        <v>80</v>
      </c>
      <c r="LS147" s="749" t="s">
        <v>80</v>
      </c>
      <c r="LT147" s="555"/>
      <c r="LU147" s="747" t="s">
        <v>305</v>
      </c>
      <c r="LV147" s="144" t="s">
        <v>80</v>
      </c>
      <c r="LW147" s="144" t="s">
        <v>80</v>
      </c>
      <c r="LX147" s="144" t="s">
        <v>80</v>
      </c>
      <c r="LY147" s="144" t="s">
        <v>80</v>
      </c>
      <c r="LZ147" s="749" t="s">
        <v>80</v>
      </c>
      <c r="MA147" s="555"/>
      <c r="MB147" s="747" t="s">
        <v>305</v>
      </c>
      <c r="MC147" s="144" t="s">
        <v>80</v>
      </c>
      <c r="MD147" s="144" t="s">
        <v>80</v>
      </c>
      <c r="ME147" s="144" t="s">
        <v>80</v>
      </c>
      <c r="MF147" s="144" t="s">
        <v>80</v>
      </c>
      <c r="MG147" s="749" t="s">
        <v>80</v>
      </c>
      <c r="MH147" s="555"/>
    </row>
    <row r="148" spans="1:346" s="37" customFormat="1" ht="13.15" x14ac:dyDescent="0.4">
      <c r="A148" s="100"/>
      <c r="B148" s="7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c r="BA148" s="51"/>
      <c r="BB148" s="51"/>
      <c r="BC148" s="51"/>
      <c r="BD148" s="51"/>
      <c r="BE148" s="51"/>
      <c r="BF148" s="51"/>
      <c r="BG148" s="51"/>
      <c r="BH148" s="51"/>
      <c r="BI148" s="51"/>
      <c r="BJ148" s="51"/>
      <c r="BK148" s="51"/>
      <c r="BL148" s="51"/>
      <c r="BM148" s="51"/>
      <c r="BO148" s="71"/>
      <c r="BP148" s="51"/>
      <c r="BQ148" s="51"/>
      <c r="BR148" s="51"/>
      <c r="BS148" s="51"/>
      <c r="BT148" s="51"/>
      <c r="BV148" s="71"/>
      <c r="BW148" s="51"/>
      <c r="BX148" s="51"/>
      <c r="BY148" s="51"/>
      <c r="BZ148" s="51"/>
      <c r="CA148" s="51"/>
      <c r="CC148" s="71"/>
      <c r="CD148" s="51"/>
      <c r="CE148" s="51"/>
      <c r="CF148" s="51"/>
      <c r="CG148" s="51"/>
      <c r="CH148" s="51"/>
      <c r="CJ148" s="71"/>
      <c r="CK148" s="51"/>
      <c r="CL148" s="51"/>
      <c r="CM148" s="51"/>
      <c r="CN148" s="51"/>
      <c r="CO148" s="51"/>
      <c r="CQ148" s="71"/>
      <c r="CR148" s="51"/>
      <c r="CS148" s="51"/>
      <c r="CT148" s="51"/>
      <c r="CU148" s="51"/>
      <c r="CV148" s="51"/>
      <c r="CX148" s="71"/>
      <c r="CY148" s="51"/>
      <c r="CZ148" s="51"/>
      <c r="DA148" s="51"/>
      <c r="DB148" s="51"/>
      <c r="DC148" s="51"/>
      <c r="DE148" s="71"/>
      <c r="DF148" s="51"/>
      <c r="DG148" s="51"/>
      <c r="DH148" s="51"/>
      <c r="DI148" s="51"/>
      <c r="DJ148" s="51"/>
      <c r="DL148" s="71"/>
      <c r="DM148" s="51"/>
      <c r="DN148" s="51"/>
      <c r="DO148" s="51"/>
      <c r="DP148" s="51"/>
      <c r="DQ148" s="51"/>
      <c r="DS148" s="71"/>
      <c r="DT148" s="51"/>
      <c r="DU148" s="51"/>
      <c r="DV148" s="51"/>
      <c r="DW148" s="51"/>
      <c r="DX148" s="51"/>
      <c r="DZ148" s="71"/>
      <c r="EA148" s="51"/>
      <c r="EB148" s="51"/>
      <c r="EC148" s="51"/>
      <c r="ED148" s="51"/>
      <c r="EE148" s="51"/>
      <c r="EG148" s="71"/>
      <c r="EH148" s="51"/>
      <c r="EI148" s="51"/>
      <c r="EJ148" s="51"/>
      <c r="EK148" s="51"/>
      <c r="EL148" s="51"/>
      <c r="EN148" s="71"/>
      <c r="EO148" s="51"/>
      <c r="EP148" s="51"/>
      <c r="EQ148" s="51"/>
      <c r="ER148" s="51"/>
      <c r="ES148" s="51"/>
      <c r="EU148" s="71"/>
      <c r="EV148" s="51"/>
      <c r="EW148" s="51"/>
      <c r="EX148" s="51"/>
      <c r="EY148" s="51"/>
      <c r="EZ148" s="51"/>
      <c r="FB148" s="71"/>
      <c r="FC148" s="51"/>
      <c r="FD148" s="51"/>
      <c r="FE148" s="51"/>
      <c r="FF148" s="51"/>
      <c r="FG148" s="51"/>
      <c r="FI148" s="71"/>
      <c r="FJ148" s="51"/>
      <c r="FK148" s="51"/>
      <c r="FL148" s="51"/>
      <c r="FM148" s="51"/>
      <c r="FN148" s="51"/>
      <c r="FP148" s="71"/>
      <c r="FQ148" s="51"/>
      <c r="FR148" s="51"/>
      <c r="FS148" s="51"/>
      <c r="FT148" s="51"/>
      <c r="FU148" s="51"/>
      <c r="FW148" s="71"/>
      <c r="FX148" s="51"/>
      <c r="FY148" s="51"/>
      <c r="FZ148" s="51"/>
      <c r="GA148" s="51"/>
      <c r="GB148" s="51"/>
      <c r="GD148" s="71"/>
      <c r="GE148" s="51"/>
      <c r="GF148" s="51"/>
      <c r="GG148" s="51"/>
      <c r="GH148" s="51"/>
      <c r="GI148" s="51"/>
      <c r="GK148" s="71"/>
      <c r="GL148" s="51"/>
      <c r="GM148" s="51"/>
      <c r="GN148" s="51"/>
      <c r="GO148" s="51"/>
      <c r="GP148" s="51"/>
      <c r="GR148" s="71"/>
      <c r="GS148" s="51"/>
      <c r="GT148" s="51"/>
      <c r="GU148" s="51"/>
      <c r="GV148" s="51"/>
      <c r="GW148" s="51"/>
      <c r="GY148" s="71"/>
      <c r="GZ148" s="51"/>
      <c r="HA148" s="51"/>
      <c r="HB148" s="51"/>
      <c r="HC148" s="51"/>
      <c r="HD148" s="51"/>
      <c r="HF148" s="71"/>
      <c r="HG148" s="51"/>
      <c r="HH148" s="51"/>
      <c r="HI148" s="51"/>
      <c r="HJ148" s="51"/>
      <c r="HK148" s="51"/>
      <c r="HM148" s="71"/>
      <c r="HN148" s="51"/>
      <c r="HO148" s="51"/>
      <c r="HP148" s="51"/>
      <c r="HQ148" s="51"/>
      <c r="HR148" s="51"/>
      <c r="HT148" s="71"/>
      <c r="HU148" s="51"/>
      <c r="HV148" s="51"/>
      <c r="HW148" s="51"/>
      <c r="HX148" s="51"/>
      <c r="HY148" s="51"/>
      <c r="IA148" s="71"/>
      <c r="IB148" s="51"/>
      <c r="IC148" s="51"/>
      <c r="ID148" s="51"/>
      <c r="IE148" s="51"/>
      <c r="IF148" s="51"/>
      <c r="IH148" s="71"/>
      <c r="II148" s="51"/>
      <c r="IJ148" s="51"/>
      <c r="IK148" s="51"/>
      <c r="IL148" s="51"/>
      <c r="IM148" s="51"/>
      <c r="IO148" s="71"/>
      <c r="IP148" s="51"/>
      <c r="IQ148" s="51"/>
      <c r="IR148" s="51"/>
      <c r="IS148" s="51"/>
      <c r="IT148" s="51"/>
      <c r="IV148" s="71"/>
      <c r="IW148" s="51"/>
      <c r="IX148" s="51"/>
      <c r="IY148" s="51"/>
      <c r="IZ148" s="51"/>
      <c r="JA148" s="51"/>
      <c r="JC148" s="71"/>
      <c r="JD148" s="51"/>
      <c r="JE148" s="51"/>
      <c r="JF148" s="51"/>
      <c r="JG148" s="51"/>
      <c r="JH148" s="51"/>
      <c r="JJ148" s="71"/>
      <c r="JK148" s="51"/>
      <c r="JL148" s="51"/>
      <c r="JM148" s="51"/>
      <c r="JN148" s="51"/>
      <c r="JO148" s="51"/>
      <c r="JQ148" s="71"/>
      <c r="JR148" s="51"/>
      <c r="JS148" s="51"/>
      <c r="JT148" s="51"/>
      <c r="JU148" s="51"/>
      <c r="JV148" s="51"/>
      <c r="JX148" s="71"/>
      <c r="JY148" s="51"/>
      <c r="JZ148" s="51"/>
      <c r="KA148" s="51"/>
      <c r="KB148" s="51"/>
      <c r="KC148" s="51"/>
      <c r="KE148" s="71"/>
      <c r="KF148" s="51"/>
      <c r="KG148" s="51"/>
      <c r="KH148" s="51"/>
      <c r="KI148" s="51"/>
      <c r="KJ148" s="51"/>
      <c r="KL148" s="71"/>
      <c r="KM148" s="51"/>
      <c r="KN148" s="51"/>
      <c r="KO148" s="51"/>
      <c r="KP148" s="51"/>
      <c r="KQ148" s="51"/>
      <c r="KS148" s="71"/>
      <c r="KT148" s="51"/>
      <c r="KU148" s="51"/>
      <c r="KV148" s="51"/>
      <c r="KW148" s="146"/>
      <c r="KX148" s="51"/>
      <c r="KZ148" s="71"/>
      <c r="LA148" s="51"/>
      <c r="LB148" s="51"/>
      <c r="LC148" s="51"/>
      <c r="LD148" s="144"/>
      <c r="LE148" s="51"/>
      <c r="LF148" s="555"/>
      <c r="LG148" s="71"/>
      <c r="LH148" s="51"/>
      <c r="LI148" s="51"/>
      <c r="LJ148" s="51"/>
      <c r="LK148" s="51"/>
      <c r="LL148" s="51"/>
      <c r="LM148" s="555"/>
      <c r="LN148" s="71"/>
      <c r="LO148" s="144"/>
      <c r="LP148" s="144"/>
      <c r="LQ148" s="144"/>
      <c r="LR148" s="144"/>
      <c r="LS148" s="52"/>
      <c r="LT148" s="555"/>
      <c r="LU148" s="71"/>
      <c r="LV148" s="144"/>
      <c r="LW148" s="144"/>
      <c r="LX148" s="144"/>
      <c r="LY148" s="144"/>
      <c r="LZ148" s="52"/>
      <c r="MA148" s="555"/>
      <c r="MB148" s="71"/>
      <c r="MC148" s="144"/>
      <c r="MD148" s="144"/>
      <c r="ME148" s="144"/>
      <c r="MF148" s="144"/>
      <c r="MG148" s="52"/>
      <c r="MH148" s="555"/>
    </row>
    <row r="149" spans="1:346" s="37" customFormat="1" ht="13.15" x14ac:dyDescent="0.4">
      <c r="A149" s="100"/>
      <c r="B149" s="750" t="s">
        <v>306</v>
      </c>
      <c r="C149" s="280"/>
      <c r="D149" s="280"/>
      <c r="E149" s="280"/>
      <c r="F149" s="280"/>
      <c r="G149" s="280"/>
      <c r="H149" s="280"/>
      <c r="I149" s="280"/>
      <c r="J149" s="280"/>
      <c r="K149" s="280"/>
      <c r="L149" s="280"/>
      <c r="M149" s="280"/>
      <c r="N149" s="280">
        <f>BT149</f>
        <v>0</v>
      </c>
      <c r="O149" s="280">
        <f>CA149</f>
        <v>0</v>
      </c>
      <c r="P149" s="280">
        <f>CH149</f>
        <v>0</v>
      </c>
      <c r="Q149" s="280">
        <f>CO149</f>
        <v>0</v>
      </c>
      <c r="R149" s="280">
        <f>CV149</f>
        <v>0</v>
      </c>
      <c r="S149" s="280">
        <f>DC149</f>
        <v>0</v>
      </c>
      <c r="T149" s="280">
        <f>DJ149</f>
        <v>0</v>
      </c>
      <c r="U149" s="280">
        <f>DQ149</f>
        <v>0</v>
      </c>
      <c r="V149" s="280">
        <f>DX149</f>
        <v>0</v>
      </c>
      <c r="W149" s="280">
        <f>EE149</f>
        <v>0</v>
      </c>
      <c r="X149" s="280">
        <f>EL149</f>
        <v>0</v>
      </c>
      <c r="Y149" s="280">
        <f>ES149</f>
        <v>0</v>
      </c>
      <c r="Z149" s="280">
        <f>EZ149</f>
        <v>0</v>
      </c>
      <c r="AA149" s="280">
        <f>FG149</f>
        <v>0</v>
      </c>
      <c r="AB149" s="280">
        <f>FN149</f>
        <v>0</v>
      </c>
      <c r="AC149" s="280">
        <f>FU149</f>
        <v>0</v>
      </c>
      <c r="AD149" s="280">
        <f>GB149</f>
        <v>0</v>
      </c>
      <c r="AE149" s="280">
        <f>GI149</f>
        <v>0</v>
      </c>
      <c r="AF149" s="280">
        <f>GP149</f>
        <v>0</v>
      </c>
      <c r="AG149" s="280">
        <f>GW149</f>
        <v>0</v>
      </c>
      <c r="AH149" s="280">
        <f>HD149</f>
        <v>0</v>
      </c>
      <c r="AI149" s="280">
        <f>HK149</f>
        <v>0</v>
      </c>
      <c r="AJ149" s="280">
        <f>HR149</f>
        <v>0</v>
      </c>
      <c r="AK149" s="280">
        <f>HY149</f>
        <v>0</v>
      </c>
      <c r="AL149" s="280">
        <f>IF149</f>
        <v>0</v>
      </c>
      <c r="AM149" s="280">
        <f>IM149</f>
        <v>0</v>
      </c>
      <c r="AN149" s="280">
        <f>IT149</f>
        <v>0</v>
      </c>
      <c r="AO149" s="280">
        <f>JA149</f>
        <v>0</v>
      </c>
      <c r="AP149" s="280">
        <f>JH149</f>
        <v>0</v>
      </c>
      <c r="AQ149" s="280">
        <f>JO149</f>
        <v>1.03</v>
      </c>
      <c r="AR149" s="280">
        <f>JV149</f>
        <v>0.88</v>
      </c>
      <c r="AS149" s="280">
        <f>KC149</f>
        <v>0.82</v>
      </c>
      <c r="AT149" s="280">
        <f>KJ149</f>
        <v>0.96</v>
      </c>
      <c r="AU149" s="280">
        <f>KQ149</f>
        <v>0.96</v>
      </c>
      <c r="AV149" s="280">
        <f>KX149</f>
        <v>0.89</v>
      </c>
      <c r="AW149" s="280">
        <f>LE149</f>
        <v>1.19</v>
      </c>
      <c r="AX149" s="280">
        <f>LL149</f>
        <v>0.94</v>
      </c>
      <c r="AY149" s="280" t="str">
        <f>LS149</f>
        <v>-</v>
      </c>
      <c r="AZ149" s="280" t="str">
        <f>LZ149</f>
        <v>-</v>
      </c>
      <c r="BA149" s="280" t="str">
        <f>MG149</f>
        <v>-</v>
      </c>
      <c r="BB149" s="280"/>
      <c r="BC149" s="280"/>
      <c r="BD149" s="280"/>
      <c r="BE149" s="280"/>
      <c r="BF149" s="280"/>
      <c r="BG149" s="280"/>
      <c r="BH149" s="280"/>
      <c r="BI149" s="280"/>
      <c r="BJ149" s="280"/>
      <c r="BK149" s="280"/>
      <c r="BL149" s="280"/>
      <c r="BM149" s="280"/>
      <c r="BO149" s="750" t="s">
        <v>306</v>
      </c>
      <c r="BP149" s="280"/>
      <c r="BQ149" s="280"/>
      <c r="BR149" s="280"/>
      <c r="BS149" s="280"/>
      <c r="BT149" s="280"/>
      <c r="BV149" s="750" t="s">
        <v>306</v>
      </c>
      <c r="BW149" s="280"/>
      <c r="BX149" s="280"/>
      <c r="BY149" s="280"/>
      <c r="BZ149" s="280"/>
      <c r="CA149" s="280"/>
      <c r="CC149" s="750" t="s">
        <v>306</v>
      </c>
      <c r="CD149" s="280"/>
      <c r="CE149" s="280"/>
      <c r="CF149" s="280"/>
      <c r="CG149" s="280"/>
      <c r="CH149" s="280"/>
      <c r="CJ149" s="750" t="s">
        <v>306</v>
      </c>
      <c r="CK149" s="280"/>
      <c r="CL149" s="280"/>
      <c r="CM149" s="280"/>
      <c r="CN149" s="280"/>
      <c r="CO149" s="280"/>
      <c r="CQ149" s="750" t="s">
        <v>306</v>
      </c>
      <c r="CR149" s="280"/>
      <c r="CS149" s="280"/>
      <c r="CT149" s="280"/>
      <c r="CU149" s="280"/>
      <c r="CV149" s="280"/>
      <c r="CX149" s="750" t="s">
        <v>306</v>
      </c>
      <c r="CY149" s="280"/>
      <c r="CZ149" s="280"/>
      <c r="DA149" s="280"/>
      <c r="DB149" s="280"/>
      <c r="DC149" s="280"/>
      <c r="DE149" s="750" t="s">
        <v>306</v>
      </c>
      <c r="DF149" s="280"/>
      <c r="DG149" s="280"/>
      <c r="DH149" s="280"/>
      <c r="DI149" s="280"/>
      <c r="DJ149" s="280"/>
      <c r="DL149" s="750" t="s">
        <v>306</v>
      </c>
      <c r="DM149" s="280"/>
      <c r="DN149" s="280"/>
      <c r="DO149" s="280"/>
      <c r="DP149" s="280"/>
      <c r="DQ149" s="280"/>
      <c r="DS149" s="750" t="s">
        <v>306</v>
      </c>
      <c r="DT149" s="280"/>
      <c r="DU149" s="280"/>
      <c r="DV149" s="280"/>
      <c r="DW149" s="280"/>
      <c r="DX149" s="280"/>
      <c r="DZ149" s="750" t="s">
        <v>306</v>
      </c>
      <c r="EA149" s="280"/>
      <c r="EB149" s="280"/>
      <c r="EC149" s="280"/>
      <c r="ED149" s="280"/>
      <c r="EE149" s="280"/>
      <c r="EG149" s="750" t="s">
        <v>306</v>
      </c>
      <c r="EH149" s="280"/>
      <c r="EI149" s="280"/>
      <c r="EJ149" s="280"/>
      <c r="EK149" s="280"/>
      <c r="EL149" s="280"/>
      <c r="EN149" s="750" t="s">
        <v>306</v>
      </c>
      <c r="EO149" s="280"/>
      <c r="EP149" s="280"/>
      <c r="EQ149" s="280"/>
      <c r="ER149" s="280"/>
      <c r="ES149" s="280"/>
      <c r="EU149" s="750" t="s">
        <v>306</v>
      </c>
      <c r="EV149" s="280"/>
      <c r="EW149" s="280"/>
      <c r="EX149" s="280"/>
      <c r="EY149" s="280"/>
      <c r="EZ149" s="280"/>
      <c r="FB149" s="750" t="s">
        <v>306</v>
      </c>
      <c r="FC149" s="280"/>
      <c r="FD149" s="280"/>
      <c r="FE149" s="280"/>
      <c r="FF149" s="280"/>
      <c r="FG149" s="280"/>
      <c r="FI149" s="750" t="s">
        <v>306</v>
      </c>
      <c r="FJ149" s="280"/>
      <c r="FK149" s="280"/>
      <c r="FL149" s="280"/>
      <c r="FM149" s="280"/>
      <c r="FN149" s="280"/>
      <c r="FP149" s="750" t="s">
        <v>306</v>
      </c>
      <c r="FQ149" s="280"/>
      <c r="FR149" s="280"/>
      <c r="FS149" s="280"/>
      <c r="FT149" s="280"/>
      <c r="FU149" s="280"/>
      <c r="FW149" s="750" t="s">
        <v>306</v>
      </c>
      <c r="FX149" s="280"/>
      <c r="FY149" s="280"/>
      <c r="FZ149" s="280"/>
      <c r="GA149" s="280"/>
      <c r="GB149" s="280"/>
      <c r="GD149" s="750" t="s">
        <v>306</v>
      </c>
      <c r="GE149" s="280"/>
      <c r="GF149" s="280"/>
      <c r="GG149" s="280"/>
      <c r="GH149" s="280"/>
      <c r="GI149" s="280"/>
      <c r="GK149" s="750" t="s">
        <v>306</v>
      </c>
      <c r="GL149" s="280"/>
      <c r="GM149" s="280"/>
      <c r="GN149" s="280"/>
      <c r="GO149" s="280"/>
      <c r="GP149" s="280"/>
      <c r="GR149" s="750" t="s">
        <v>306</v>
      </c>
      <c r="GS149" s="280"/>
      <c r="GT149" s="280"/>
      <c r="GU149" s="280"/>
      <c r="GV149" s="280"/>
      <c r="GW149" s="280"/>
      <c r="GY149" s="750" t="s">
        <v>306</v>
      </c>
      <c r="GZ149" s="280"/>
      <c r="HA149" s="280"/>
      <c r="HB149" s="280"/>
      <c r="HC149" s="280"/>
      <c r="HD149" s="280"/>
      <c r="HF149" s="750" t="s">
        <v>306</v>
      </c>
      <c r="HG149" s="280"/>
      <c r="HH149" s="280"/>
      <c r="HI149" s="280"/>
      <c r="HJ149" s="280"/>
      <c r="HK149" s="280"/>
      <c r="HM149" s="750" t="s">
        <v>306</v>
      </c>
      <c r="HN149" s="280"/>
      <c r="HO149" s="280"/>
      <c r="HP149" s="280"/>
      <c r="HQ149" s="280"/>
      <c r="HR149" s="280"/>
      <c r="HT149" s="750" t="s">
        <v>306</v>
      </c>
      <c r="HU149" s="280"/>
      <c r="HV149" s="280"/>
      <c r="HW149" s="280"/>
      <c r="HX149" s="280"/>
      <c r="HY149" s="280"/>
      <c r="IA149" s="750" t="s">
        <v>306</v>
      </c>
      <c r="IB149" s="280"/>
      <c r="IC149" s="280"/>
      <c r="ID149" s="280"/>
      <c r="IE149" s="280"/>
      <c r="IF149" s="280"/>
      <c r="IH149" s="750" t="s">
        <v>306</v>
      </c>
      <c r="II149" s="280"/>
      <c r="IJ149" s="280"/>
      <c r="IK149" s="280"/>
      <c r="IL149" s="280"/>
      <c r="IM149" s="280"/>
      <c r="IO149" s="750" t="s">
        <v>306</v>
      </c>
      <c r="IP149" s="280"/>
      <c r="IQ149" s="280"/>
      <c r="IR149" s="280"/>
      <c r="IS149" s="280"/>
      <c r="IT149" s="280"/>
      <c r="IV149" s="750" t="s">
        <v>306</v>
      </c>
      <c r="IW149" s="280"/>
      <c r="IX149" s="280"/>
      <c r="IY149" s="280"/>
      <c r="IZ149" s="280"/>
      <c r="JA149" s="280"/>
      <c r="JC149" s="750" t="s">
        <v>306</v>
      </c>
      <c r="JD149" s="280"/>
      <c r="JE149" s="280"/>
      <c r="JF149" s="280"/>
      <c r="JG149" s="280"/>
      <c r="JH149" s="280"/>
      <c r="JJ149" s="750" t="s">
        <v>306</v>
      </c>
      <c r="JK149" s="280">
        <v>1.1599999999999999</v>
      </c>
      <c r="JL149" s="280">
        <v>1.06</v>
      </c>
      <c r="JM149" s="280">
        <v>0.89</v>
      </c>
      <c r="JN149" s="280">
        <v>0.98</v>
      </c>
      <c r="JO149" s="280">
        <v>1.03</v>
      </c>
      <c r="JQ149" s="750" t="s">
        <v>306</v>
      </c>
      <c r="JR149" s="280">
        <v>0.79</v>
      </c>
      <c r="JS149" s="280">
        <v>0.83</v>
      </c>
      <c r="JT149" s="280">
        <v>0.84</v>
      </c>
      <c r="JU149" s="280">
        <v>1.1000000000000001</v>
      </c>
      <c r="JV149" s="280">
        <v>0.88</v>
      </c>
      <c r="JX149" s="750" t="s">
        <v>306</v>
      </c>
      <c r="JY149" s="280">
        <v>0.61</v>
      </c>
      <c r="JZ149" s="280">
        <v>1.1499999999999999</v>
      </c>
      <c r="KA149" s="280">
        <v>0.76</v>
      </c>
      <c r="KB149" s="280">
        <v>0.76</v>
      </c>
      <c r="KC149" s="280">
        <v>0.82</v>
      </c>
      <c r="KE149" s="750" t="s">
        <v>306</v>
      </c>
      <c r="KF149" s="280">
        <v>0.95</v>
      </c>
      <c r="KG149" s="280">
        <v>1.05</v>
      </c>
      <c r="KH149" s="280">
        <v>0.91</v>
      </c>
      <c r="KI149" s="280">
        <v>0.91</v>
      </c>
      <c r="KJ149" s="280">
        <v>0.96</v>
      </c>
      <c r="KL149" s="750" t="s">
        <v>306</v>
      </c>
      <c r="KM149" s="280">
        <v>0.78</v>
      </c>
      <c r="KN149" s="280">
        <v>1.07</v>
      </c>
      <c r="KO149" s="280">
        <v>0.97</v>
      </c>
      <c r="KP149" s="280">
        <v>0.97</v>
      </c>
      <c r="KQ149" s="280">
        <v>0.96</v>
      </c>
      <c r="KS149" s="750" t="s">
        <v>306</v>
      </c>
      <c r="KT149" s="280">
        <v>1.04</v>
      </c>
      <c r="KU149" s="280">
        <v>0.81</v>
      </c>
      <c r="KV149" s="280">
        <v>0.98</v>
      </c>
      <c r="KW149" s="281">
        <v>0.56999999999999995</v>
      </c>
      <c r="KX149" s="280">
        <v>0.89</v>
      </c>
      <c r="KZ149" s="750" t="s">
        <v>306</v>
      </c>
      <c r="LA149" s="280">
        <v>1.27</v>
      </c>
      <c r="LB149" s="280">
        <v>1.33</v>
      </c>
      <c r="LC149" s="280">
        <v>1.22</v>
      </c>
      <c r="LD149" s="280">
        <v>1.01</v>
      </c>
      <c r="LE149" s="280">
        <v>1.19</v>
      </c>
      <c r="LF149" s="555"/>
      <c r="LG149" s="750" t="s">
        <v>306</v>
      </c>
      <c r="LH149" s="280">
        <v>0.95</v>
      </c>
      <c r="LI149" s="280">
        <v>0.99</v>
      </c>
      <c r="LJ149" s="280">
        <v>1.1599999999999999</v>
      </c>
      <c r="LK149" s="280">
        <v>0.66</v>
      </c>
      <c r="LL149" s="280">
        <v>0.94</v>
      </c>
      <c r="LM149" s="555"/>
      <c r="LN149" s="750" t="s">
        <v>306</v>
      </c>
      <c r="LO149" s="144" t="s">
        <v>80</v>
      </c>
      <c r="LP149" s="144" t="s">
        <v>80</v>
      </c>
      <c r="LQ149" s="144" t="s">
        <v>80</v>
      </c>
      <c r="LR149" s="144" t="s">
        <v>80</v>
      </c>
      <c r="LS149" s="751" t="s">
        <v>80</v>
      </c>
      <c r="LT149" s="555"/>
      <c r="LU149" s="750" t="s">
        <v>306</v>
      </c>
      <c r="LV149" s="144" t="s">
        <v>80</v>
      </c>
      <c r="LW149" s="144" t="s">
        <v>80</v>
      </c>
      <c r="LX149" s="144" t="s">
        <v>80</v>
      </c>
      <c r="LY149" s="144" t="s">
        <v>80</v>
      </c>
      <c r="LZ149" s="751" t="s">
        <v>80</v>
      </c>
      <c r="MA149" s="555"/>
      <c r="MB149" s="750" t="s">
        <v>306</v>
      </c>
      <c r="MC149" s="144" t="s">
        <v>80</v>
      </c>
      <c r="MD149" s="144" t="s">
        <v>80</v>
      </c>
      <c r="ME149" s="144" t="s">
        <v>80</v>
      </c>
      <c r="MF149" s="144" t="s">
        <v>80</v>
      </c>
      <c r="MG149" s="751" t="s">
        <v>80</v>
      </c>
      <c r="MH149" s="555"/>
    </row>
    <row r="150" spans="1:346" s="37" customFormat="1" ht="13.15" x14ac:dyDescent="0.4">
      <c r="A150" s="100"/>
      <c r="B150" s="750" t="s">
        <v>307</v>
      </c>
      <c r="C150" s="280"/>
      <c r="D150" s="280"/>
      <c r="E150" s="280"/>
      <c r="F150" s="280"/>
      <c r="G150" s="280"/>
      <c r="H150" s="280"/>
      <c r="I150" s="280"/>
      <c r="J150" s="280"/>
      <c r="K150" s="280"/>
      <c r="L150" s="280"/>
      <c r="M150" s="280"/>
      <c r="N150" s="280">
        <f>BT150</f>
        <v>0</v>
      </c>
      <c r="O150" s="280">
        <f>CA150</f>
        <v>0</v>
      </c>
      <c r="P150" s="280">
        <f>CH150</f>
        <v>0</v>
      </c>
      <c r="Q150" s="280">
        <f>CO150</f>
        <v>0</v>
      </c>
      <c r="R150" s="280">
        <f>CV150</f>
        <v>0</v>
      </c>
      <c r="S150" s="280">
        <f>DC150</f>
        <v>0</v>
      </c>
      <c r="T150" s="280">
        <f>DJ150</f>
        <v>0</v>
      </c>
      <c r="U150" s="280">
        <f>DQ150</f>
        <v>0</v>
      </c>
      <c r="V150" s="280">
        <f>DX150</f>
        <v>0</v>
      </c>
      <c r="W150" s="280">
        <f>EE150</f>
        <v>0</v>
      </c>
      <c r="X150" s="280">
        <f>EL150</f>
        <v>0</v>
      </c>
      <c r="Y150" s="280">
        <f>ES150</f>
        <v>0</v>
      </c>
      <c r="Z150" s="280">
        <f>EZ150</f>
        <v>0</v>
      </c>
      <c r="AA150" s="280">
        <f>FG150</f>
        <v>0</v>
      </c>
      <c r="AB150" s="280">
        <f>FN150</f>
        <v>0</v>
      </c>
      <c r="AC150" s="280">
        <f>FU150</f>
        <v>0</v>
      </c>
      <c r="AD150" s="280">
        <f>GB150</f>
        <v>0</v>
      </c>
      <c r="AE150" s="280">
        <f>GI150</f>
        <v>0</v>
      </c>
      <c r="AF150" s="280">
        <f>GP150</f>
        <v>0</v>
      </c>
      <c r="AG150" s="280">
        <f>GW150</f>
        <v>0</v>
      </c>
      <c r="AH150" s="280">
        <f>HD150</f>
        <v>0</v>
      </c>
      <c r="AI150" s="280">
        <f>HK150</f>
        <v>0</v>
      </c>
      <c r="AJ150" s="280">
        <f>HR150</f>
        <v>0</v>
      </c>
      <c r="AK150" s="280">
        <f>HY150</f>
        <v>0</v>
      </c>
      <c r="AL150" s="280">
        <f>IF150</f>
        <v>0</v>
      </c>
      <c r="AM150" s="280">
        <f>IM150</f>
        <v>0</v>
      </c>
      <c r="AN150" s="280">
        <f>IT150</f>
        <v>0</v>
      </c>
      <c r="AO150" s="280">
        <f>JA150</f>
        <v>0</v>
      </c>
      <c r="AP150" s="280">
        <f>JH150</f>
        <v>0</v>
      </c>
      <c r="AQ150" s="280">
        <f>JO150</f>
        <v>3.64</v>
      </c>
      <c r="AR150" s="280">
        <f>JV150</f>
        <v>2.13</v>
      </c>
      <c r="AS150" s="280">
        <f>KC150</f>
        <v>3.16</v>
      </c>
      <c r="AT150" s="280">
        <f>KJ150</f>
        <v>3.22</v>
      </c>
      <c r="AU150" s="280">
        <f>KQ150</f>
        <v>3.18</v>
      </c>
      <c r="AV150" s="280">
        <f>KX150</f>
        <v>3.32</v>
      </c>
      <c r="AW150" s="280">
        <f>LE150</f>
        <v>3.4</v>
      </c>
      <c r="AX150" s="280">
        <f>LL150</f>
        <v>3.08</v>
      </c>
      <c r="AY150" s="280" t="str">
        <f>LS150</f>
        <v>-</v>
      </c>
      <c r="AZ150" s="280" t="str">
        <f>LZ150</f>
        <v>-</v>
      </c>
      <c r="BA150" s="280" t="str">
        <f>MG150</f>
        <v>-</v>
      </c>
      <c r="BB150" s="280"/>
      <c r="BC150" s="280"/>
      <c r="BD150" s="280"/>
      <c r="BE150" s="280"/>
      <c r="BF150" s="280"/>
      <c r="BG150" s="280"/>
      <c r="BH150" s="280"/>
      <c r="BI150" s="280"/>
      <c r="BJ150" s="280"/>
      <c r="BK150" s="280"/>
      <c r="BL150" s="280"/>
      <c r="BM150" s="280"/>
      <c r="BO150" s="750" t="s">
        <v>307</v>
      </c>
      <c r="BP150" s="280"/>
      <c r="BQ150" s="280"/>
      <c r="BR150" s="280"/>
      <c r="BS150" s="280"/>
      <c r="BT150" s="280"/>
      <c r="BV150" s="750" t="s">
        <v>307</v>
      </c>
      <c r="BW150" s="280"/>
      <c r="BX150" s="280"/>
      <c r="BY150" s="280"/>
      <c r="BZ150" s="280"/>
      <c r="CA150" s="280"/>
      <c r="CC150" s="750" t="s">
        <v>307</v>
      </c>
      <c r="CD150" s="280"/>
      <c r="CE150" s="280"/>
      <c r="CF150" s="280"/>
      <c r="CG150" s="280"/>
      <c r="CH150" s="280"/>
      <c r="CJ150" s="750" t="s">
        <v>307</v>
      </c>
      <c r="CK150" s="280"/>
      <c r="CL150" s="280"/>
      <c r="CM150" s="280"/>
      <c r="CN150" s="280"/>
      <c r="CO150" s="280"/>
      <c r="CQ150" s="750" t="s">
        <v>307</v>
      </c>
      <c r="CR150" s="280"/>
      <c r="CS150" s="280"/>
      <c r="CT150" s="280"/>
      <c r="CU150" s="280"/>
      <c r="CV150" s="280"/>
      <c r="CX150" s="750" t="s">
        <v>307</v>
      </c>
      <c r="CY150" s="280"/>
      <c r="CZ150" s="280"/>
      <c r="DA150" s="280"/>
      <c r="DB150" s="280"/>
      <c r="DC150" s="280"/>
      <c r="DE150" s="750" t="s">
        <v>307</v>
      </c>
      <c r="DF150" s="280"/>
      <c r="DG150" s="280"/>
      <c r="DH150" s="280"/>
      <c r="DI150" s="280"/>
      <c r="DJ150" s="280"/>
      <c r="DL150" s="750" t="s">
        <v>307</v>
      </c>
      <c r="DM150" s="280"/>
      <c r="DN150" s="280"/>
      <c r="DO150" s="280"/>
      <c r="DP150" s="280"/>
      <c r="DQ150" s="280"/>
      <c r="DS150" s="750" t="s">
        <v>307</v>
      </c>
      <c r="DT150" s="280"/>
      <c r="DU150" s="280"/>
      <c r="DV150" s="280"/>
      <c r="DW150" s="280"/>
      <c r="DX150" s="280"/>
      <c r="DZ150" s="750" t="s">
        <v>307</v>
      </c>
      <c r="EA150" s="280"/>
      <c r="EB150" s="280"/>
      <c r="EC150" s="280"/>
      <c r="ED150" s="280"/>
      <c r="EE150" s="280"/>
      <c r="EG150" s="750" t="s">
        <v>307</v>
      </c>
      <c r="EH150" s="280"/>
      <c r="EI150" s="280"/>
      <c r="EJ150" s="280"/>
      <c r="EK150" s="280"/>
      <c r="EL150" s="280"/>
      <c r="EN150" s="750" t="s">
        <v>307</v>
      </c>
      <c r="EO150" s="280"/>
      <c r="EP150" s="280"/>
      <c r="EQ150" s="280"/>
      <c r="ER150" s="280"/>
      <c r="ES150" s="280"/>
      <c r="EU150" s="750" t="s">
        <v>307</v>
      </c>
      <c r="EV150" s="280"/>
      <c r="EW150" s="280"/>
      <c r="EX150" s="280"/>
      <c r="EY150" s="280"/>
      <c r="EZ150" s="280"/>
      <c r="FB150" s="750" t="s">
        <v>307</v>
      </c>
      <c r="FC150" s="280"/>
      <c r="FD150" s="280"/>
      <c r="FE150" s="280"/>
      <c r="FF150" s="280"/>
      <c r="FG150" s="280"/>
      <c r="FI150" s="750" t="s">
        <v>307</v>
      </c>
      <c r="FJ150" s="280"/>
      <c r="FK150" s="280"/>
      <c r="FL150" s="280"/>
      <c r="FM150" s="280"/>
      <c r="FN150" s="280"/>
      <c r="FP150" s="750" t="s">
        <v>307</v>
      </c>
      <c r="FQ150" s="280"/>
      <c r="FR150" s="280"/>
      <c r="FS150" s="280"/>
      <c r="FT150" s="280"/>
      <c r="FU150" s="280"/>
      <c r="FW150" s="750" t="s">
        <v>307</v>
      </c>
      <c r="FX150" s="280"/>
      <c r="FY150" s="280"/>
      <c r="FZ150" s="280"/>
      <c r="GA150" s="280"/>
      <c r="GB150" s="280"/>
      <c r="GD150" s="750" t="s">
        <v>307</v>
      </c>
      <c r="GE150" s="280"/>
      <c r="GF150" s="280"/>
      <c r="GG150" s="280"/>
      <c r="GH150" s="280"/>
      <c r="GI150" s="280"/>
      <c r="GK150" s="750" t="s">
        <v>307</v>
      </c>
      <c r="GL150" s="280"/>
      <c r="GM150" s="280"/>
      <c r="GN150" s="280"/>
      <c r="GO150" s="280"/>
      <c r="GP150" s="280"/>
      <c r="GR150" s="750" t="s">
        <v>307</v>
      </c>
      <c r="GS150" s="280"/>
      <c r="GT150" s="280"/>
      <c r="GU150" s="280"/>
      <c r="GV150" s="280"/>
      <c r="GW150" s="280"/>
      <c r="GY150" s="750" t="s">
        <v>307</v>
      </c>
      <c r="GZ150" s="280"/>
      <c r="HA150" s="280"/>
      <c r="HB150" s="280"/>
      <c r="HC150" s="280"/>
      <c r="HD150" s="280"/>
      <c r="HF150" s="750" t="s">
        <v>307</v>
      </c>
      <c r="HG150" s="280"/>
      <c r="HH150" s="280"/>
      <c r="HI150" s="280"/>
      <c r="HJ150" s="280"/>
      <c r="HK150" s="280"/>
      <c r="HM150" s="750" t="s">
        <v>307</v>
      </c>
      <c r="HN150" s="280"/>
      <c r="HO150" s="280"/>
      <c r="HP150" s="280"/>
      <c r="HQ150" s="280"/>
      <c r="HR150" s="280"/>
      <c r="HT150" s="750" t="s">
        <v>307</v>
      </c>
      <c r="HU150" s="280"/>
      <c r="HV150" s="280"/>
      <c r="HW150" s="280"/>
      <c r="HX150" s="280"/>
      <c r="HY150" s="280"/>
      <c r="IA150" s="750" t="s">
        <v>307</v>
      </c>
      <c r="IB150" s="280"/>
      <c r="IC150" s="280"/>
      <c r="ID150" s="280"/>
      <c r="IE150" s="280"/>
      <c r="IF150" s="280"/>
      <c r="IH150" s="750" t="s">
        <v>307</v>
      </c>
      <c r="II150" s="280"/>
      <c r="IJ150" s="280"/>
      <c r="IK150" s="280"/>
      <c r="IL150" s="280"/>
      <c r="IM150" s="280"/>
      <c r="IO150" s="750" t="s">
        <v>307</v>
      </c>
      <c r="IP150" s="280"/>
      <c r="IQ150" s="280"/>
      <c r="IR150" s="280"/>
      <c r="IS150" s="280"/>
      <c r="IT150" s="280"/>
      <c r="IV150" s="750" t="s">
        <v>307</v>
      </c>
      <c r="IW150" s="280"/>
      <c r="IX150" s="280"/>
      <c r="IY150" s="280"/>
      <c r="IZ150" s="280"/>
      <c r="JA150" s="280"/>
      <c r="JC150" s="750" t="s">
        <v>307</v>
      </c>
      <c r="JD150" s="280"/>
      <c r="JE150" s="280"/>
      <c r="JF150" s="280"/>
      <c r="JG150" s="280"/>
      <c r="JH150" s="280"/>
      <c r="JJ150" s="750" t="s">
        <v>307</v>
      </c>
      <c r="JK150" s="280">
        <v>3.97</v>
      </c>
      <c r="JL150" s="280">
        <v>4.24</v>
      </c>
      <c r="JM150" s="280">
        <v>3.27</v>
      </c>
      <c r="JN150" s="280">
        <v>3.13</v>
      </c>
      <c r="JO150" s="280">
        <v>3.64</v>
      </c>
      <c r="JQ150" s="750" t="s">
        <v>307</v>
      </c>
      <c r="JR150" s="280">
        <v>2.6</v>
      </c>
      <c r="JS150" s="280">
        <v>1.93</v>
      </c>
      <c r="JT150" s="280">
        <v>1.59</v>
      </c>
      <c r="JU150" s="280">
        <v>1.69</v>
      </c>
      <c r="JV150" s="280">
        <v>2.13</v>
      </c>
      <c r="JX150" s="750" t="s">
        <v>307</v>
      </c>
      <c r="JY150" s="280">
        <v>2.2400000000000002</v>
      </c>
      <c r="JZ150" s="280">
        <v>2.98</v>
      </c>
      <c r="KA150" s="280">
        <v>3.31</v>
      </c>
      <c r="KB150" s="280">
        <v>4.07</v>
      </c>
      <c r="KC150" s="280">
        <v>3.16</v>
      </c>
      <c r="KE150" s="750" t="s">
        <v>307</v>
      </c>
      <c r="KF150" s="280">
        <v>3.24</v>
      </c>
      <c r="KG150" s="280">
        <v>2.2999999999999998</v>
      </c>
      <c r="KH150" s="280">
        <v>3.49</v>
      </c>
      <c r="KI150" s="280">
        <v>3.75</v>
      </c>
      <c r="KJ150" s="280">
        <v>3.22</v>
      </c>
      <c r="KL150" s="750" t="s">
        <v>307</v>
      </c>
      <c r="KM150" s="280">
        <v>2.75</v>
      </c>
      <c r="KN150" s="280">
        <v>2.96</v>
      </c>
      <c r="KO150" s="280">
        <v>3.14</v>
      </c>
      <c r="KP150" s="280">
        <v>3.27</v>
      </c>
      <c r="KQ150" s="280">
        <v>3.18</v>
      </c>
      <c r="KS150" s="750" t="s">
        <v>307</v>
      </c>
      <c r="KT150" s="280">
        <v>3.47</v>
      </c>
      <c r="KU150" s="280">
        <v>3.25</v>
      </c>
      <c r="KV150" s="280">
        <v>3.75</v>
      </c>
      <c r="KW150" s="281">
        <v>2.1</v>
      </c>
      <c r="KX150" s="280">
        <v>3.32</v>
      </c>
      <c r="KZ150" s="750" t="s">
        <v>307</v>
      </c>
      <c r="LA150" s="280">
        <v>3.81</v>
      </c>
      <c r="LB150" s="280">
        <v>2.86</v>
      </c>
      <c r="LC150" s="280">
        <v>2.92</v>
      </c>
      <c r="LD150" s="280">
        <v>3.58</v>
      </c>
      <c r="LE150" s="280">
        <v>3.4</v>
      </c>
      <c r="LF150" s="555"/>
      <c r="LG150" s="750" t="s">
        <v>307</v>
      </c>
      <c r="LH150" s="280">
        <v>3.43</v>
      </c>
      <c r="LI150" s="280">
        <v>3.7</v>
      </c>
      <c r="LJ150" s="280">
        <v>2.5499999999999998</v>
      </c>
      <c r="LK150" s="280">
        <v>2.04</v>
      </c>
      <c r="LL150" s="280">
        <v>3.08</v>
      </c>
      <c r="LM150" s="555"/>
      <c r="LN150" s="750" t="s">
        <v>307</v>
      </c>
      <c r="LO150" s="144" t="s">
        <v>80</v>
      </c>
      <c r="LP150" s="144" t="s">
        <v>80</v>
      </c>
      <c r="LQ150" s="144" t="s">
        <v>80</v>
      </c>
      <c r="LR150" s="144" t="s">
        <v>80</v>
      </c>
      <c r="LS150" s="751" t="s">
        <v>80</v>
      </c>
      <c r="LT150" s="555"/>
      <c r="LU150" s="750" t="s">
        <v>307</v>
      </c>
      <c r="LV150" s="144" t="s">
        <v>80</v>
      </c>
      <c r="LW150" s="144" t="s">
        <v>80</v>
      </c>
      <c r="LX150" s="144" t="s">
        <v>80</v>
      </c>
      <c r="LY150" s="144" t="s">
        <v>80</v>
      </c>
      <c r="LZ150" s="751" t="s">
        <v>80</v>
      </c>
      <c r="MA150" s="555"/>
      <c r="MB150" s="750" t="s">
        <v>307</v>
      </c>
      <c r="MC150" s="144" t="s">
        <v>80</v>
      </c>
      <c r="MD150" s="144" t="s">
        <v>80</v>
      </c>
      <c r="ME150" s="144" t="s">
        <v>80</v>
      </c>
      <c r="MF150" s="144" t="s">
        <v>80</v>
      </c>
      <c r="MG150" s="751" t="s">
        <v>80</v>
      </c>
      <c r="MH150" s="555"/>
    </row>
    <row r="151" spans="1:346" s="37" customFormat="1" ht="13.15" x14ac:dyDescent="0.4">
      <c r="A151" s="35"/>
      <c r="B151" s="72"/>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O151" s="72"/>
      <c r="BP151" s="73"/>
      <c r="BQ151" s="73"/>
      <c r="BR151" s="73"/>
      <c r="BS151" s="73"/>
      <c r="BT151" s="73"/>
      <c r="BV151" s="72"/>
      <c r="BW151" s="73"/>
      <c r="BX151" s="73"/>
      <c r="BY151" s="73"/>
      <c r="BZ151" s="73"/>
      <c r="CA151" s="73"/>
      <c r="CC151" s="72"/>
      <c r="CD151" s="73"/>
      <c r="CE151" s="73"/>
      <c r="CF151" s="73"/>
      <c r="CG151" s="73"/>
      <c r="CH151" s="73"/>
      <c r="CJ151" s="72"/>
      <c r="CK151" s="73"/>
      <c r="CL151" s="73"/>
      <c r="CM151" s="73"/>
      <c r="CN151" s="73"/>
      <c r="CO151" s="73"/>
      <c r="CQ151" s="72"/>
      <c r="CR151" s="73"/>
      <c r="CS151" s="73"/>
      <c r="CT151" s="73"/>
      <c r="CU151" s="73"/>
      <c r="CV151" s="73"/>
      <c r="CX151" s="72"/>
      <c r="CY151" s="73"/>
      <c r="CZ151" s="73"/>
      <c r="DA151" s="73"/>
      <c r="DB151" s="73"/>
      <c r="DC151" s="73"/>
      <c r="DE151" s="72"/>
      <c r="DF151" s="73"/>
      <c r="DG151" s="73"/>
      <c r="DH151" s="73"/>
      <c r="DI151" s="73"/>
      <c r="DJ151" s="73"/>
      <c r="DL151" s="72"/>
      <c r="DM151" s="73"/>
      <c r="DN151" s="73"/>
      <c r="DO151" s="73"/>
      <c r="DP151" s="73"/>
      <c r="DQ151" s="73"/>
      <c r="DS151" s="72"/>
      <c r="DT151" s="73"/>
      <c r="DU151" s="73"/>
      <c r="DV151" s="73"/>
      <c r="DW151" s="73"/>
      <c r="DX151" s="73"/>
      <c r="DZ151" s="72"/>
      <c r="EA151" s="73"/>
      <c r="EB151" s="73"/>
      <c r="EC151" s="73"/>
      <c r="ED151" s="73"/>
      <c r="EE151" s="73"/>
      <c r="EG151" s="72"/>
      <c r="EH151" s="73"/>
      <c r="EI151" s="73"/>
      <c r="EJ151" s="73"/>
      <c r="EK151" s="73"/>
      <c r="EL151" s="73"/>
      <c r="EN151" s="72"/>
      <c r="EO151" s="73"/>
      <c r="EP151" s="73"/>
      <c r="EQ151" s="73"/>
      <c r="ER151" s="73"/>
      <c r="ES151" s="73"/>
      <c r="EU151" s="72"/>
      <c r="EV151" s="73"/>
      <c r="EW151" s="73"/>
      <c r="EX151" s="73"/>
      <c r="EY151" s="73"/>
      <c r="EZ151" s="73"/>
      <c r="FB151" s="72"/>
      <c r="FC151" s="73"/>
      <c r="FD151" s="73"/>
      <c r="FE151" s="73"/>
      <c r="FF151" s="73"/>
      <c r="FG151" s="73"/>
      <c r="FI151" s="72"/>
      <c r="FJ151" s="73"/>
      <c r="FK151" s="73"/>
      <c r="FL151" s="73"/>
      <c r="FM151" s="73"/>
      <c r="FN151" s="73"/>
      <c r="FP151" s="72"/>
      <c r="FQ151" s="73"/>
      <c r="FR151" s="73"/>
      <c r="FS151" s="73"/>
      <c r="FT151" s="73"/>
      <c r="FU151" s="73"/>
      <c r="FW151" s="72"/>
      <c r="FX151" s="73"/>
      <c r="FY151" s="73"/>
      <c r="FZ151" s="73"/>
      <c r="GA151" s="73"/>
      <c r="GB151" s="73"/>
      <c r="GD151" s="72"/>
      <c r="GE151" s="73"/>
      <c r="GF151" s="73"/>
      <c r="GG151" s="73"/>
      <c r="GH151" s="73"/>
      <c r="GI151" s="73"/>
      <c r="GK151" s="72"/>
      <c r="GL151" s="73"/>
      <c r="GM151" s="73"/>
      <c r="GN151" s="73"/>
      <c r="GO151" s="73"/>
      <c r="GP151" s="73"/>
      <c r="GR151" s="72"/>
      <c r="GS151" s="73"/>
      <c r="GT151" s="73"/>
      <c r="GU151" s="73"/>
      <c r="GV151" s="73"/>
      <c r="GW151" s="73"/>
      <c r="GY151" s="72"/>
      <c r="GZ151" s="73"/>
      <c r="HA151" s="73"/>
      <c r="HB151" s="73"/>
      <c r="HC151" s="73"/>
      <c r="HD151" s="73"/>
      <c r="HF151" s="72"/>
      <c r="HG151" s="73"/>
      <c r="HH151" s="73"/>
      <c r="HI151" s="73"/>
      <c r="HJ151" s="73"/>
      <c r="HK151" s="73"/>
      <c r="HM151" s="72"/>
      <c r="HN151" s="73"/>
      <c r="HO151" s="73"/>
      <c r="HP151" s="73"/>
      <c r="HQ151" s="73"/>
      <c r="HR151" s="73"/>
      <c r="HT151" s="72"/>
      <c r="HU151" s="73"/>
      <c r="HV151" s="73"/>
      <c r="HW151" s="73"/>
      <c r="HX151" s="73"/>
      <c r="HY151" s="73"/>
      <c r="IA151" s="72"/>
      <c r="IB151" s="73"/>
      <c r="IC151" s="73"/>
      <c r="ID151" s="73"/>
      <c r="IE151" s="73"/>
      <c r="IF151" s="73"/>
      <c r="IH151" s="72"/>
      <c r="II151" s="73"/>
      <c r="IJ151" s="73"/>
      <c r="IK151" s="73"/>
      <c r="IL151" s="73"/>
      <c r="IM151" s="73"/>
      <c r="IO151" s="72"/>
      <c r="IP151" s="73"/>
      <c r="IQ151" s="73"/>
      <c r="IR151" s="73"/>
      <c r="IS151" s="73"/>
      <c r="IT151" s="73"/>
      <c r="IV151" s="72"/>
      <c r="IW151" s="73"/>
      <c r="IX151" s="73"/>
      <c r="IY151" s="73"/>
      <c r="IZ151" s="73"/>
      <c r="JA151" s="73"/>
      <c r="JC151" s="72"/>
      <c r="JD151" s="73"/>
      <c r="JE151" s="73"/>
      <c r="JF151" s="73"/>
      <c r="JG151" s="73"/>
      <c r="JH151" s="73"/>
      <c r="JJ151" s="72"/>
      <c r="JK151" s="73"/>
      <c r="JL151" s="73"/>
      <c r="JM151" s="73"/>
      <c r="JN151" s="73"/>
      <c r="JO151" s="73"/>
      <c r="JQ151" s="72"/>
      <c r="JR151" s="73"/>
      <c r="JS151" s="73"/>
      <c r="JT151" s="73"/>
      <c r="JU151" s="73"/>
      <c r="JV151" s="73"/>
      <c r="JX151" s="72"/>
      <c r="JY151" s="73"/>
      <c r="JZ151" s="73"/>
      <c r="KA151" s="73"/>
      <c r="KB151" s="73"/>
      <c r="KC151" s="73"/>
      <c r="KE151" s="72"/>
      <c r="KF151" s="73"/>
      <c r="KG151" s="73"/>
      <c r="KH151" s="73"/>
      <c r="KI151" s="73"/>
      <c r="KJ151" s="73"/>
      <c r="KL151" s="72"/>
      <c r="KM151" s="73"/>
      <c r="KN151" s="73"/>
      <c r="KO151" s="73"/>
      <c r="KP151" s="73"/>
      <c r="KQ151" s="73"/>
      <c r="KS151" s="72"/>
      <c r="KT151" s="73"/>
      <c r="KU151" s="73"/>
      <c r="KV151" s="73"/>
      <c r="KW151" s="73"/>
      <c r="KX151" s="73"/>
      <c r="KZ151" s="72"/>
      <c r="LA151" s="73"/>
      <c r="LB151" s="73"/>
      <c r="LC151" s="73"/>
      <c r="LD151" s="73"/>
      <c r="LE151" s="75"/>
      <c r="LF151" s="565"/>
      <c r="LG151" s="72"/>
      <c r="LH151" s="73"/>
      <c r="LI151" s="73"/>
      <c r="LJ151" s="73"/>
      <c r="LK151" s="73"/>
      <c r="LL151" s="75"/>
      <c r="LM151" s="565"/>
      <c r="LN151" s="72"/>
      <c r="LO151" s="73"/>
      <c r="LP151" s="73"/>
      <c r="LQ151" s="73"/>
      <c r="LR151" s="73"/>
      <c r="LS151" s="75"/>
      <c r="LT151" s="565"/>
      <c r="LU151" s="72"/>
      <c r="LV151" s="73"/>
      <c r="LW151" s="73"/>
      <c r="LX151" s="73"/>
      <c r="LY151" s="73"/>
      <c r="LZ151" s="75"/>
      <c r="MA151" s="565"/>
      <c r="MB151" s="72"/>
      <c r="MC151" s="73"/>
      <c r="MD151" s="73"/>
      <c r="ME151" s="73"/>
      <c r="MF151" s="73"/>
      <c r="MG151" s="75"/>
      <c r="MH151" s="565"/>
    </row>
    <row r="152" spans="1:346" s="37" customFormat="1" ht="13.15" x14ac:dyDescent="0.4">
      <c r="A152" s="35"/>
      <c r="B152" s="36" t="s">
        <v>30</v>
      </c>
      <c r="BO152" s="36" t="s">
        <v>30</v>
      </c>
      <c r="BV152" s="36" t="s">
        <v>30</v>
      </c>
      <c r="CC152" s="36" t="s">
        <v>30</v>
      </c>
      <c r="CJ152" s="36" t="s">
        <v>30</v>
      </c>
      <c r="CQ152" s="36" t="s">
        <v>30</v>
      </c>
      <c r="CX152" s="36" t="s">
        <v>30</v>
      </c>
      <c r="DE152" s="36" t="s">
        <v>30</v>
      </c>
      <c r="DL152" s="36" t="s">
        <v>30</v>
      </c>
      <c r="DS152" s="36" t="s">
        <v>30</v>
      </c>
      <c r="DZ152" s="36" t="s">
        <v>30</v>
      </c>
      <c r="EG152" s="36" t="s">
        <v>30</v>
      </c>
      <c r="EN152" s="36" t="s">
        <v>30</v>
      </c>
      <c r="EU152" s="36" t="s">
        <v>30</v>
      </c>
      <c r="FB152" s="36" t="s">
        <v>30</v>
      </c>
      <c r="FI152" s="36" t="s">
        <v>30</v>
      </c>
      <c r="FP152" s="36" t="s">
        <v>30</v>
      </c>
      <c r="FW152" s="36" t="s">
        <v>30</v>
      </c>
      <c r="GD152" s="36" t="s">
        <v>30</v>
      </c>
      <c r="GK152" s="36" t="s">
        <v>30</v>
      </c>
      <c r="GR152" s="36" t="s">
        <v>30</v>
      </c>
      <c r="GY152" s="36" t="s">
        <v>30</v>
      </c>
      <c r="HF152" s="36" t="s">
        <v>30</v>
      </c>
      <c r="HM152" s="36" t="s">
        <v>30</v>
      </c>
      <c r="HT152" s="36" t="s">
        <v>30</v>
      </c>
      <c r="IA152" s="36" t="s">
        <v>30</v>
      </c>
      <c r="IH152" s="36" t="s">
        <v>30</v>
      </c>
      <c r="IO152" s="36" t="s">
        <v>30</v>
      </c>
      <c r="IV152" s="36" t="s">
        <v>30</v>
      </c>
      <c r="JC152" s="36" t="s">
        <v>30</v>
      </c>
      <c r="JJ152" s="36" t="s">
        <v>30</v>
      </c>
      <c r="JQ152" s="36" t="s">
        <v>30</v>
      </c>
      <c r="JX152" s="36" t="s">
        <v>30</v>
      </c>
      <c r="KE152" s="36" t="s">
        <v>30</v>
      </c>
      <c r="KL152" s="36" t="s">
        <v>30</v>
      </c>
      <c r="KS152" s="36" t="s">
        <v>30</v>
      </c>
      <c r="KZ152" s="36" t="s">
        <v>30</v>
      </c>
      <c r="LF152" s="565"/>
      <c r="LG152" s="36" t="s">
        <v>30</v>
      </c>
      <c r="LM152" s="565"/>
      <c r="LN152" s="36" t="s">
        <v>30</v>
      </c>
      <c r="LT152" s="565"/>
      <c r="LU152" s="36" t="s">
        <v>30</v>
      </c>
      <c r="MA152" s="565"/>
      <c r="MB152" s="36" t="s">
        <v>30</v>
      </c>
      <c r="MH152" s="565"/>
    </row>
    <row r="154" spans="1:346" s="37" customFormat="1" ht="13.15" outlineLevel="1" x14ac:dyDescent="0.4">
      <c r="A154" s="46"/>
      <c r="B154" s="39" t="s">
        <v>558</v>
      </c>
      <c r="C154" s="40">
        <f t="shared" ref="C154:BT154" si="318">C2</f>
        <v>1978</v>
      </c>
      <c r="D154" s="40">
        <f t="shared" si="318"/>
        <v>1979</v>
      </c>
      <c r="E154" s="40">
        <f t="shared" si="318"/>
        <v>1980</v>
      </c>
      <c r="F154" s="40">
        <f t="shared" si="318"/>
        <v>1981</v>
      </c>
      <c r="G154" s="40">
        <f t="shared" si="318"/>
        <v>1982</v>
      </c>
      <c r="H154" s="40">
        <f t="shared" si="318"/>
        <v>1983</v>
      </c>
      <c r="I154" s="40">
        <f t="shared" si="318"/>
        <v>1984</v>
      </c>
      <c r="J154" s="40">
        <f t="shared" si="318"/>
        <v>1985</v>
      </c>
      <c r="K154" s="40">
        <f t="shared" si="318"/>
        <v>1986</v>
      </c>
      <c r="L154" s="40">
        <f t="shared" si="318"/>
        <v>1987</v>
      </c>
      <c r="M154" s="40">
        <f t="shared" si="318"/>
        <v>1988</v>
      </c>
      <c r="N154" s="40">
        <f t="shared" si="318"/>
        <v>1989</v>
      </c>
      <c r="O154" s="40">
        <f t="shared" si="318"/>
        <v>1990</v>
      </c>
      <c r="P154" s="40">
        <f t="shared" si="318"/>
        <v>1991</v>
      </c>
      <c r="Q154" s="40">
        <f t="shared" si="318"/>
        <v>1992</v>
      </c>
      <c r="R154" s="40">
        <f t="shared" si="318"/>
        <v>1993</v>
      </c>
      <c r="S154" s="40">
        <f t="shared" si="318"/>
        <v>1994</v>
      </c>
      <c r="T154" s="40">
        <f t="shared" si="318"/>
        <v>1995</v>
      </c>
      <c r="U154" s="40">
        <f t="shared" si="318"/>
        <v>1996</v>
      </c>
      <c r="V154" s="40">
        <f t="shared" si="318"/>
        <v>1997</v>
      </c>
      <c r="W154" s="40">
        <f t="shared" si="318"/>
        <v>1998</v>
      </c>
      <c r="X154" s="40">
        <f t="shared" si="318"/>
        <v>1999</v>
      </c>
      <c r="Y154" s="40">
        <f t="shared" si="318"/>
        <v>2000</v>
      </c>
      <c r="Z154" s="40">
        <f t="shared" si="318"/>
        <v>2001</v>
      </c>
      <c r="AA154" s="40">
        <f t="shared" si="318"/>
        <v>2002</v>
      </c>
      <c r="AB154" s="40">
        <f t="shared" si="318"/>
        <v>2003</v>
      </c>
      <c r="AC154" s="40">
        <f t="shared" si="318"/>
        <v>2004</v>
      </c>
      <c r="AD154" s="40">
        <f t="shared" si="318"/>
        <v>2005</v>
      </c>
      <c r="AE154" s="40">
        <f t="shared" si="318"/>
        <v>2006</v>
      </c>
      <c r="AF154" s="40">
        <f t="shared" si="318"/>
        <v>2007</v>
      </c>
      <c r="AG154" s="40">
        <f t="shared" si="318"/>
        <v>2008</v>
      </c>
      <c r="AH154" s="40">
        <f t="shared" si="318"/>
        <v>2009</v>
      </c>
      <c r="AI154" s="40">
        <f t="shared" si="318"/>
        <v>2010</v>
      </c>
      <c r="AJ154" s="40">
        <f t="shared" si="318"/>
        <v>2011</v>
      </c>
      <c r="AK154" s="40">
        <f t="shared" si="318"/>
        <v>2012</v>
      </c>
      <c r="AL154" s="40">
        <f t="shared" si="318"/>
        <v>2013</v>
      </c>
      <c r="AM154" s="40">
        <f t="shared" si="318"/>
        <v>2014</v>
      </c>
      <c r="AN154" s="40">
        <f t="shared" si="318"/>
        <v>2015</v>
      </c>
      <c r="AO154" s="40">
        <f t="shared" si="318"/>
        <v>2016</v>
      </c>
      <c r="AP154" s="40">
        <f t="shared" si="318"/>
        <v>2017</v>
      </c>
      <c r="AQ154" s="40">
        <f t="shared" si="318"/>
        <v>2018</v>
      </c>
      <c r="AR154" s="40">
        <f t="shared" si="318"/>
        <v>2019</v>
      </c>
      <c r="AS154" s="40">
        <f t="shared" si="318"/>
        <v>2020</v>
      </c>
      <c r="AT154" s="40">
        <f t="shared" si="318"/>
        <v>2021</v>
      </c>
      <c r="AU154" s="40">
        <f t="shared" si="318"/>
        <v>2022</v>
      </c>
      <c r="AV154" s="40">
        <f t="shared" si="318"/>
        <v>2023</v>
      </c>
      <c r="AW154" s="40">
        <f t="shared" si="318"/>
        <v>2024</v>
      </c>
      <c r="AX154" s="40">
        <f t="shared" si="318"/>
        <v>2025</v>
      </c>
      <c r="AY154" s="40" t="str">
        <f t="shared" si="318"/>
        <v>2026E</v>
      </c>
      <c r="AZ154" s="40" t="str">
        <f t="shared" ref="AZ154:BA154" si="319">AZ2</f>
        <v>2027E</v>
      </c>
      <c r="BA154" s="40" t="str">
        <f t="shared" si="319"/>
        <v>2028E</v>
      </c>
      <c r="BB154" s="40"/>
      <c r="BC154" s="40"/>
      <c r="BD154" s="40"/>
      <c r="BE154" s="40"/>
      <c r="BF154" s="40"/>
      <c r="BG154" s="40"/>
      <c r="BH154" s="40"/>
      <c r="BI154" s="40"/>
      <c r="BJ154" s="40"/>
      <c r="BK154" s="40"/>
      <c r="BL154" s="40"/>
      <c r="BM154" s="40"/>
      <c r="BO154" s="39" t="str">
        <f>$B$154</f>
        <v>CSX STB Supplemental</v>
      </c>
      <c r="BP154" s="40" t="str">
        <f>BP2</f>
        <v>1Q89</v>
      </c>
      <c r="BQ154" s="40" t="str">
        <f t="shared" si="318"/>
        <v>2Q89</v>
      </c>
      <c r="BR154" s="40" t="str">
        <f t="shared" si="318"/>
        <v>3Q89</v>
      </c>
      <c r="BS154" s="40" t="str">
        <f t="shared" si="318"/>
        <v>4Q89</v>
      </c>
      <c r="BT154" s="40">
        <f t="shared" si="318"/>
        <v>1989</v>
      </c>
      <c r="BV154" s="39" t="str">
        <f>$B$154</f>
        <v>CSX STB Supplemental</v>
      </c>
      <c r="BW154" s="40" t="str">
        <f>BW2</f>
        <v>1Q90</v>
      </c>
      <c r="BX154" s="40" t="str">
        <f t="shared" ref="BX154:CA154" si="320">BX2</f>
        <v>2Q90</v>
      </c>
      <c r="BY154" s="40" t="str">
        <f t="shared" si="320"/>
        <v>3Q90</v>
      </c>
      <c r="BZ154" s="40" t="str">
        <f t="shared" si="320"/>
        <v>4Q90</v>
      </c>
      <c r="CA154" s="40">
        <f t="shared" si="320"/>
        <v>1990</v>
      </c>
      <c r="CC154" s="39" t="str">
        <f>$B$154</f>
        <v>CSX STB Supplemental</v>
      </c>
      <c r="CD154" s="40" t="str">
        <f>CD2</f>
        <v>1Q91</v>
      </c>
      <c r="CE154" s="40" t="str">
        <f t="shared" ref="CE154:CH154" si="321">CE2</f>
        <v>2Q91</v>
      </c>
      <c r="CF154" s="40" t="str">
        <f t="shared" si="321"/>
        <v>3Q91</v>
      </c>
      <c r="CG154" s="40" t="str">
        <f t="shared" si="321"/>
        <v>4Q91</v>
      </c>
      <c r="CH154" s="40">
        <f t="shared" si="321"/>
        <v>1991</v>
      </c>
      <c r="CJ154" s="39" t="str">
        <f>$B$154</f>
        <v>CSX STB Supplemental</v>
      </c>
      <c r="CK154" s="40" t="str">
        <f>CK2</f>
        <v>1Q92</v>
      </c>
      <c r="CL154" s="40" t="str">
        <f t="shared" ref="CL154:CO154" si="322">CL2</f>
        <v>2Q92</v>
      </c>
      <c r="CM154" s="40" t="str">
        <f t="shared" si="322"/>
        <v>3Q92</v>
      </c>
      <c r="CN154" s="40" t="str">
        <f t="shared" si="322"/>
        <v>4Q92</v>
      </c>
      <c r="CO154" s="40">
        <f t="shared" si="322"/>
        <v>1992</v>
      </c>
      <c r="CQ154" s="39" t="str">
        <f>$B$154</f>
        <v>CSX STB Supplemental</v>
      </c>
      <c r="CR154" s="40" t="str">
        <f>CR2</f>
        <v>1Q93</v>
      </c>
      <c r="CS154" s="40" t="str">
        <f t="shared" ref="CS154:CV154" si="323">CS2</f>
        <v>2Q93</v>
      </c>
      <c r="CT154" s="40" t="str">
        <f t="shared" si="323"/>
        <v>3Q93</v>
      </c>
      <c r="CU154" s="40" t="str">
        <f t="shared" si="323"/>
        <v>4Q93</v>
      </c>
      <c r="CV154" s="40">
        <f t="shared" si="323"/>
        <v>1993</v>
      </c>
      <c r="CX154" s="39" t="str">
        <f>$B$154</f>
        <v>CSX STB Supplemental</v>
      </c>
      <c r="CY154" s="40" t="str">
        <f>CY2</f>
        <v>1Q94</v>
      </c>
      <c r="CZ154" s="40" t="str">
        <f t="shared" ref="CZ154:DC154" si="324">CZ2</f>
        <v>2Q94</v>
      </c>
      <c r="DA154" s="40" t="str">
        <f t="shared" si="324"/>
        <v>3Q94</v>
      </c>
      <c r="DB154" s="40" t="str">
        <f t="shared" si="324"/>
        <v>4Q94</v>
      </c>
      <c r="DC154" s="40">
        <f t="shared" si="324"/>
        <v>1994</v>
      </c>
      <c r="DE154" s="39" t="str">
        <f>$B$154</f>
        <v>CSX STB Supplemental</v>
      </c>
      <c r="DF154" s="40" t="str">
        <f>DF2</f>
        <v>1Q95</v>
      </c>
      <c r="DG154" s="40" t="str">
        <f t="shared" ref="DG154:DJ154" si="325">DG2</f>
        <v>2Q95</v>
      </c>
      <c r="DH154" s="40" t="str">
        <f t="shared" si="325"/>
        <v>3Q95</v>
      </c>
      <c r="DI154" s="40" t="str">
        <f t="shared" si="325"/>
        <v>4Q95</v>
      </c>
      <c r="DJ154" s="40">
        <f t="shared" si="325"/>
        <v>1995</v>
      </c>
      <c r="DL154" s="39" t="str">
        <f>$B$154</f>
        <v>CSX STB Supplemental</v>
      </c>
      <c r="DM154" s="40" t="str">
        <f>DM2</f>
        <v>1Q96</v>
      </c>
      <c r="DN154" s="40" t="str">
        <f t="shared" ref="DN154:DQ154" si="326">DN2</f>
        <v>2Q96</v>
      </c>
      <c r="DO154" s="40" t="str">
        <f t="shared" si="326"/>
        <v>3Q96</v>
      </c>
      <c r="DP154" s="40" t="str">
        <f t="shared" si="326"/>
        <v>4Q96</v>
      </c>
      <c r="DQ154" s="40">
        <f t="shared" si="326"/>
        <v>1996</v>
      </c>
      <c r="DS154" s="39" t="str">
        <f>$B$154</f>
        <v>CSX STB Supplemental</v>
      </c>
      <c r="DT154" s="40" t="str">
        <f>DT2</f>
        <v>1Q97</v>
      </c>
      <c r="DU154" s="40" t="str">
        <f t="shared" ref="DU154:DX154" si="327">DU2</f>
        <v>2Q97</v>
      </c>
      <c r="DV154" s="40" t="str">
        <f t="shared" si="327"/>
        <v>3Q97</v>
      </c>
      <c r="DW154" s="40" t="str">
        <f t="shared" si="327"/>
        <v>4Q97</v>
      </c>
      <c r="DX154" s="40">
        <f t="shared" si="327"/>
        <v>1997</v>
      </c>
      <c r="DZ154" s="39" t="str">
        <f>$B$154</f>
        <v>CSX STB Supplemental</v>
      </c>
      <c r="EA154" s="40" t="str">
        <f>EA2</f>
        <v>1Q98</v>
      </c>
      <c r="EB154" s="40" t="str">
        <f t="shared" ref="EB154:EE154" si="328">EB2</f>
        <v>2Q98</v>
      </c>
      <c r="EC154" s="40" t="str">
        <f t="shared" si="328"/>
        <v>3Q98</v>
      </c>
      <c r="ED154" s="40" t="str">
        <f t="shared" si="328"/>
        <v>4Q98</v>
      </c>
      <c r="EE154" s="40">
        <f t="shared" si="328"/>
        <v>1998</v>
      </c>
      <c r="EG154" s="39" t="str">
        <f>$B$154</f>
        <v>CSX STB Supplemental</v>
      </c>
      <c r="EH154" s="40" t="str">
        <f>EH2</f>
        <v>1Q99</v>
      </c>
      <c r="EI154" s="40" t="str">
        <f t="shared" ref="EI154:EL154" si="329">EI2</f>
        <v>2Q99</v>
      </c>
      <c r="EJ154" s="40" t="str">
        <f t="shared" si="329"/>
        <v>3Q99</v>
      </c>
      <c r="EK154" s="40" t="str">
        <f t="shared" si="329"/>
        <v>4Q99</v>
      </c>
      <c r="EL154" s="40">
        <f t="shared" si="329"/>
        <v>1999</v>
      </c>
      <c r="EN154" s="39" t="str">
        <f>$B$154</f>
        <v>CSX STB Supplemental</v>
      </c>
      <c r="EO154" s="40" t="str">
        <f>EO2</f>
        <v>1Q00</v>
      </c>
      <c r="EP154" s="40" t="str">
        <f t="shared" ref="EP154:ES154" si="330">EP2</f>
        <v>2Q00</v>
      </c>
      <c r="EQ154" s="40" t="str">
        <f t="shared" si="330"/>
        <v>3Q00</v>
      </c>
      <c r="ER154" s="40" t="str">
        <f t="shared" si="330"/>
        <v>4Q00</v>
      </c>
      <c r="ES154" s="40">
        <f t="shared" si="330"/>
        <v>2000</v>
      </c>
      <c r="EU154" s="39" t="str">
        <f>$B$154</f>
        <v>CSX STB Supplemental</v>
      </c>
      <c r="EV154" s="40" t="str">
        <f>EV2</f>
        <v>1Q01</v>
      </c>
      <c r="EW154" s="40" t="str">
        <f t="shared" ref="EW154:EZ154" si="331">EW2</f>
        <v>2Q01</v>
      </c>
      <c r="EX154" s="40" t="str">
        <f t="shared" si="331"/>
        <v>3Q01</v>
      </c>
      <c r="EY154" s="40" t="str">
        <f t="shared" si="331"/>
        <v>4Q01</v>
      </c>
      <c r="EZ154" s="40">
        <f t="shared" si="331"/>
        <v>2001</v>
      </c>
      <c r="FB154" s="39" t="str">
        <f>$B$154</f>
        <v>CSX STB Supplemental</v>
      </c>
      <c r="FC154" s="40" t="str">
        <f>FC2</f>
        <v>1Q02</v>
      </c>
      <c r="FD154" s="40" t="str">
        <f t="shared" ref="FD154:FG154" si="332">FD2</f>
        <v>2Q02</v>
      </c>
      <c r="FE154" s="40" t="str">
        <f t="shared" si="332"/>
        <v>3Q02</v>
      </c>
      <c r="FF154" s="40" t="str">
        <f t="shared" si="332"/>
        <v>4Q02</v>
      </c>
      <c r="FG154" s="40">
        <f t="shared" si="332"/>
        <v>2002</v>
      </c>
      <c r="FI154" s="39" t="str">
        <f>$B$154</f>
        <v>CSX STB Supplemental</v>
      </c>
      <c r="FJ154" s="40" t="str">
        <f>FJ2</f>
        <v>1Q03</v>
      </c>
      <c r="FK154" s="40" t="str">
        <f t="shared" ref="FK154:FN154" si="333">FK2</f>
        <v>2Q03</v>
      </c>
      <c r="FL154" s="40" t="str">
        <f t="shared" si="333"/>
        <v>3Q03</v>
      </c>
      <c r="FM154" s="40" t="str">
        <f t="shared" si="333"/>
        <v>4Q03</v>
      </c>
      <c r="FN154" s="40">
        <f t="shared" si="333"/>
        <v>2003</v>
      </c>
      <c r="FP154" s="39" t="str">
        <f>$B$154</f>
        <v>CSX STB Supplemental</v>
      </c>
      <c r="FQ154" s="40" t="str">
        <f>FQ2</f>
        <v>1Q04</v>
      </c>
      <c r="FR154" s="40" t="str">
        <f t="shared" ref="FR154:FU154" si="334">FR2</f>
        <v>2Q04</v>
      </c>
      <c r="FS154" s="40" t="str">
        <f t="shared" si="334"/>
        <v>3Q04</v>
      </c>
      <c r="FT154" s="40" t="str">
        <f t="shared" si="334"/>
        <v>4Q04</v>
      </c>
      <c r="FU154" s="40">
        <f t="shared" si="334"/>
        <v>2004</v>
      </c>
      <c r="FW154" s="39" t="str">
        <f>$B$154</f>
        <v>CSX STB Supplemental</v>
      </c>
      <c r="FX154" s="40" t="str">
        <f>FX2</f>
        <v>1Q05</v>
      </c>
      <c r="FY154" s="40" t="str">
        <f t="shared" ref="FY154:GB154" si="335">FY2</f>
        <v>2Q05</v>
      </c>
      <c r="FZ154" s="40" t="str">
        <f t="shared" si="335"/>
        <v>3Q05</v>
      </c>
      <c r="GA154" s="40" t="str">
        <f t="shared" si="335"/>
        <v>4Q05</v>
      </c>
      <c r="GB154" s="40">
        <f t="shared" si="335"/>
        <v>2005</v>
      </c>
      <c r="GD154" s="39" t="str">
        <f>$B$154</f>
        <v>CSX STB Supplemental</v>
      </c>
      <c r="GE154" s="40" t="str">
        <f>GE2</f>
        <v>1Q06</v>
      </c>
      <c r="GF154" s="40" t="str">
        <f t="shared" ref="GF154:GI154" si="336">GF2</f>
        <v>2Q06</v>
      </c>
      <c r="GG154" s="40" t="str">
        <f t="shared" si="336"/>
        <v>3Q06</v>
      </c>
      <c r="GH154" s="40" t="str">
        <f t="shared" si="336"/>
        <v>4Q06</v>
      </c>
      <c r="GI154" s="40">
        <f t="shared" si="336"/>
        <v>2006</v>
      </c>
      <c r="GK154" s="39" t="str">
        <f>$B$154</f>
        <v>CSX STB Supplemental</v>
      </c>
      <c r="GL154" s="40" t="str">
        <f>GL2</f>
        <v>1Q07</v>
      </c>
      <c r="GM154" s="40" t="str">
        <f t="shared" ref="GM154:GP154" si="337">GM2</f>
        <v>2Q07</v>
      </c>
      <c r="GN154" s="40" t="str">
        <f t="shared" si="337"/>
        <v>3Q07</v>
      </c>
      <c r="GO154" s="40" t="str">
        <f t="shared" si="337"/>
        <v>4Q07</v>
      </c>
      <c r="GP154" s="40">
        <f t="shared" si="337"/>
        <v>2007</v>
      </c>
      <c r="GR154" s="39" t="str">
        <f>$B$154</f>
        <v>CSX STB Supplemental</v>
      </c>
      <c r="GS154" s="40" t="str">
        <f>GS2</f>
        <v>1Q08</v>
      </c>
      <c r="GT154" s="40" t="str">
        <f t="shared" ref="GT154:GW154" si="338">GT2</f>
        <v>2Q08</v>
      </c>
      <c r="GU154" s="40" t="str">
        <f t="shared" si="338"/>
        <v>3Q08</v>
      </c>
      <c r="GV154" s="40" t="str">
        <f t="shared" si="338"/>
        <v>4Q08</v>
      </c>
      <c r="GW154" s="40">
        <f t="shared" si="338"/>
        <v>2008</v>
      </c>
      <c r="GY154" s="39" t="str">
        <f>$B$154</f>
        <v>CSX STB Supplemental</v>
      </c>
      <c r="GZ154" s="40" t="str">
        <f>GZ2</f>
        <v>1Q09</v>
      </c>
      <c r="HA154" s="40" t="str">
        <f t="shared" ref="HA154:HD154" si="339">HA2</f>
        <v>2Q09</v>
      </c>
      <c r="HB154" s="40" t="str">
        <f t="shared" si="339"/>
        <v>3Q09</v>
      </c>
      <c r="HC154" s="40" t="str">
        <f t="shared" si="339"/>
        <v>4Q09</v>
      </c>
      <c r="HD154" s="40">
        <f t="shared" si="339"/>
        <v>2009</v>
      </c>
      <c r="HF154" s="39" t="str">
        <f>$B$154</f>
        <v>CSX STB Supplemental</v>
      </c>
      <c r="HG154" s="40" t="str">
        <f>HG2</f>
        <v>1Q10</v>
      </c>
      <c r="HH154" s="40" t="str">
        <f t="shared" ref="HH154:HK154" si="340">HH2</f>
        <v>2Q10</v>
      </c>
      <c r="HI154" s="40" t="str">
        <f t="shared" si="340"/>
        <v>3Q10</v>
      </c>
      <c r="HJ154" s="40" t="str">
        <f t="shared" si="340"/>
        <v>4Q10</v>
      </c>
      <c r="HK154" s="40">
        <f t="shared" si="340"/>
        <v>2010</v>
      </c>
      <c r="HM154" s="39" t="str">
        <f>$B$154</f>
        <v>CSX STB Supplemental</v>
      </c>
      <c r="HN154" s="40" t="str">
        <f>HN2</f>
        <v>1Q11</v>
      </c>
      <c r="HO154" s="40" t="str">
        <f t="shared" ref="HO154:HR154" si="341">HO2</f>
        <v>2Q11</v>
      </c>
      <c r="HP154" s="40" t="str">
        <f t="shared" si="341"/>
        <v>3Q11</v>
      </c>
      <c r="HQ154" s="40" t="str">
        <f t="shared" si="341"/>
        <v>4Q11</v>
      </c>
      <c r="HR154" s="40">
        <f t="shared" si="341"/>
        <v>2011</v>
      </c>
      <c r="HT154" s="39" t="str">
        <f>$B$154</f>
        <v>CSX STB Supplemental</v>
      </c>
      <c r="HU154" s="40" t="str">
        <f>HU2</f>
        <v>1Q12</v>
      </c>
      <c r="HV154" s="40" t="str">
        <f t="shared" ref="HV154:HY154" si="342">HV2</f>
        <v>2Q12</v>
      </c>
      <c r="HW154" s="40" t="str">
        <f t="shared" si="342"/>
        <v>3Q12</v>
      </c>
      <c r="HX154" s="40" t="str">
        <f t="shared" si="342"/>
        <v>4Q12</v>
      </c>
      <c r="HY154" s="40">
        <f t="shared" si="342"/>
        <v>2012</v>
      </c>
      <c r="IA154" s="39" t="str">
        <f>$B$154</f>
        <v>CSX STB Supplemental</v>
      </c>
      <c r="IB154" s="40" t="str">
        <f>IB2</f>
        <v>1Q13</v>
      </c>
      <c r="IC154" s="40" t="str">
        <f t="shared" ref="IC154:IF154" si="343">IC2</f>
        <v>2Q13</v>
      </c>
      <c r="ID154" s="40" t="str">
        <f t="shared" si="343"/>
        <v>3Q13</v>
      </c>
      <c r="IE154" s="40" t="str">
        <f t="shared" si="343"/>
        <v>4Q13</v>
      </c>
      <c r="IF154" s="40">
        <f t="shared" si="343"/>
        <v>2013</v>
      </c>
      <c r="IH154" s="39" t="str">
        <f>$B$154</f>
        <v>CSX STB Supplemental</v>
      </c>
      <c r="II154" s="40" t="str">
        <f>II2</f>
        <v>1Q14</v>
      </c>
      <c r="IJ154" s="40" t="str">
        <f t="shared" ref="IJ154:IM154" si="344">IJ2</f>
        <v>2Q14</v>
      </c>
      <c r="IK154" s="40" t="str">
        <f t="shared" si="344"/>
        <v>3Q14</v>
      </c>
      <c r="IL154" s="40" t="str">
        <f t="shared" si="344"/>
        <v>4Q14</v>
      </c>
      <c r="IM154" s="40">
        <f t="shared" si="344"/>
        <v>2014</v>
      </c>
      <c r="IO154" s="39" t="str">
        <f>$B$154</f>
        <v>CSX STB Supplemental</v>
      </c>
      <c r="IP154" s="40" t="str">
        <f>IP2</f>
        <v>1Q15</v>
      </c>
      <c r="IQ154" s="40" t="str">
        <f t="shared" ref="IQ154:IT154" si="345">IQ2</f>
        <v>2Q15</v>
      </c>
      <c r="IR154" s="40" t="str">
        <f t="shared" si="345"/>
        <v>3Q15</v>
      </c>
      <c r="IS154" s="40" t="str">
        <f t="shared" si="345"/>
        <v>4Q15</v>
      </c>
      <c r="IT154" s="40">
        <f t="shared" si="345"/>
        <v>2015</v>
      </c>
      <c r="IV154" s="39" t="str">
        <f>$B$154</f>
        <v>CSX STB Supplemental</v>
      </c>
      <c r="IW154" s="40" t="str">
        <f>IW2</f>
        <v>1Q16</v>
      </c>
      <c r="IX154" s="40" t="str">
        <f t="shared" ref="IX154:JA154" si="346">IX2</f>
        <v>2Q16</v>
      </c>
      <c r="IY154" s="40" t="str">
        <f t="shared" si="346"/>
        <v>3Q16</v>
      </c>
      <c r="IZ154" s="40" t="str">
        <f t="shared" si="346"/>
        <v>4Q16</v>
      </c>
      <c r="JA154" s="40">
        <f t="shared" si="346"/>
        <v>2016</v>
      </c>
      <c r="JC154" s="39" t="str">
        <f>$B$154</f>
        <v>CSX STB Supplemental</v>
      </c>
      <c r="JD154" s="40" t="str">
        <f>JD2</f>
        <v>1Q17</v>
      </c>
      <c r="JE154" s="40" t="str">
        <f t="shared" ref="JE154:JH154" si="347">JE2</f>
        <v>2Q17</v>
      </c>
      <c r="JF154" s="40" t="str">
        <f t="shared" si="347"/>
        <v>3Q17</v>
      </c>
      <c r="JG154" s="40" t="str">
        <f t="shared" si="347"/>
        <v>4Q17</v>
      </c>
      <c r="JH154" s="40">
        <f t="shared" si="347"/>
        <v>2017</v>
      </c>
      <c r="JJ154" s="39" t="str">
        <f>$B$154</f>
        <v>CSX STB Supplemental</v>
      </c>
      <c r="JK154" s="40" t="str">
        <f>JK2</f>
        <v>1Q18</v>
      </c>
      <c r="JL154" s="40" t="str">
        <f t="shared" ref="JL154:JO154" si="348">JL2</f>
        <v>2Q18</v>
      </c>
      <c r="JM154" s="40" t="str">
        <f t="shared" si="348"/>
        <v>3Q18</v>
      </c>
      <c r="JN154" s="40" t="str">
        <f t="shared" si="348"/>
        <v>4Q18</v>
      </c>
      <c r="JO154" s="40">
        <f t="shared" si="348"/>
        <v>2018</v>
      </c>
      <c r="JQ154" s="39" t="str">
        <f>$B$154</f>
        <v>CSX STB Supplemental</v>
      </c>
      <c r="JR154" s="40" t="str">
        <f>JR2</f>
        <v>1Q19</v>
      </c>
      <c r="JS154" s="40" t="str">
        <f t="shared" ref="JS154:JV154" si="349">JS2</f>
        <v>2Q19</v>
      </c>
      <c r="JT154" s="40" t="str">
        <f t="shared" si="349"/>
        <v>3Q19</v>
      </c>
      <c r="JU154" s="40" t="str">
        <f t="shared" si="349"/>
        <v>4Q19</v>
      </c>
      <c r="JV154" s="40">
        <f t="shared" si="349"/>
        <v>2019</v>
      </c>
      <c r="JX154" s="39" t="str">
        <f>$B$154</f>
        <v>CSX STB Supplemental</v>
      </c>
      <c r="JY154" s="40" t="str">
        <f>JY2</f>
        <v>1Q20</v>
      </c>
      <c r="JZ154" s="40" t="str">
        <f t="shared" ref="JZ154:KC154" si="350">JZ2</f>
        <v>2Q20</v>
      </c>
      <c r="KA154" s="40" t="str">
        <f t="shared" si="350"/>
        <v>3Q20</v>
      </c>
      <c r="KB154" s="40" t="str">
        <f t="shared" si="350"/>
        <v>4Q20</v>
      </c>
      <c r="KC154" s="40">
        <f t="shared" si="350"/>
        <v>2020</v>
      </c>
      <c r="KE154" s="39" t="str">
        <f>$B$154</f>
        <v>CSX STB Supplemental</v>
      </c>
      <c r="KF154" s="40" t="str">
        <f>KF2</f>
        <v>1Q21</v>
      </c>
      <c r="KG154" s="40" t="str">
        <f t="shared" ref="KG154:KJ154" si="351">KG2</f>
        <v>2Q21</v>
      </c>
      <c r="KH154" s="40" t="str">
        <f t="shared" si="351"/>
        <v>3Q21</v>
      </c>
      <c r="KI154" s="40" t="str">
        <f t="shared" si="351"/>
        <v>4Q21</v>
      </c>
      <c r="KJ154" s="40">
        <f t="shared" si="351"/>
        <v>2021</v>
      </c>
      <c r="KL154" s="39" t="str">
        <f>$B$154</f>
        <v>CSX STB Supplemental</v>
      </c>
      <c r="KM154" s="40" t="str">
        <f>KM2</f>
        <v>1Q22</v>
      </c>
      <c r="KN154" s="40" t="str">
        <f t="shared" ref="KN154:KQ154" si="352">KN2</f>
        <v>2Q22</v>
      </c>
      <c r="KO154" s="40" t="str">
        <f t="shared" si="352"/>
        <v>3Q22</v>
      </c>
      <c r="KP154" s="40" t="str">
        <f t="shared" si="352"/>
        <v>4Q22</v>
      </c>
      <c r="KQ154" s="40">
        <f t="shared" si="352"/>
        <v>2022</v>
      </c>
      <c r="KR154" s="37">
        <f t="shared" ref="KR154:KX154" si="353">KR2</f>
        <v>0</v>
      </c>
      <c r="KS154" s="39" t="str">
        <f t="shared" si="353"/>
        <v>CSX Expenses</v>
      </c>
      <c r="KT154" s="40" t="str">
        <f t="shared" si="353"/>
        <v>1Q23</v>
      </c>
      <c r="KU154" s="40" t="str">
        <f t="shared" si="353"/>
        <v>2Q23</v>
      </c>
      <c r="KV154" s="40" t="str">
        <f t="shared" si="353"/>
        <v>3Q23</v>
      </c>
      <c r="KW154" s="210" t="str">
        <f t="shared" si="353"/>
        <v>4Q23</v>
      </c>
      <c r="KX154" s="40">
        <f t="shared" si="353"/>
        <v>2023</v>
      </c>
      <c r="KZ154" s="39" t="str">
        <f>$B$154</f>
        <v>CSX STB Supplemental</v>
      </c>
      <c r="LA154" s="40" t="str">
        <f>LA2</f>
        <v>1Q24</v>
      </c>
      <c r="LB154" s="40" t="str">
        <f t="shared" ref="LB154:LE154" si="354">LB2</f>
        <v>2Q24</v>
      </c>
      <c r="LC154" s="40" t="str">
        <f t="shared" si="354"/>
        <v>3Q24</v>
      </c>
      <c r="LD154" s="40" t="str">
        <f t="shared" si="354"/>
        <v>4Q24</v>
      </c>
      <c r="LE154" s="40">
        <f t="shared" si="354"/>
        <v>2024</v>
      </c>
      <c r="LF154" s="546"/>
      <c r="LG154" s="39" t="str">
        <f>$B$154</f>
        <v>CSX STB Supplemental</v>
      </c>
      <c r="LH154" s="40" t="str">
        <f>LH2</f>
        <v>1Q25</v>
      </c>
      <c r="LI154" s="40" t="str">
        <f t="shared" ref="LI154:LL154" si="355">LI2</f>
        <v>2Q25</v>
      </c>
      <c r="LJ154" s="40" t="str">
        <f t="shared" si="355"/>
        <v>3Q25</v>
      </c>
      <c r="LK154" s="40" t="str">
        <f t="shared" si="355"/>
        <v>4Q25</v>
      </c>
      <c r="LL154" s="40">
        <f t="shared" si="355"/>
        <v>2025</v>
      </c>
      <c r="LM154" s="546"/>
      <c r="LN154" s="39" t="str">
        <f>$B$154</f>
        <v>CSX STB Supplemental</v>
      </c>
      <c r="LO154" s="40" t="str">
        <f>LO2</f>
        <v>1Q26E</v>
      </c>
      <c r="LP154" s="40" t="str">
        <f t="shared" ref="LP154:LS154" si="356">LP2</f>
        <v>2Q26E</v>
      </c>
      <c r="LQ154" s="40" t="str">
        <f t="shared" si="356"/>
        <v>3Q26E</v>
      </c>
      <c r="LR154" s="40" t="str">
        <f t="shared" si="356"/>
        <v>4Q26E</v>
      </c>
      <c r="LS154" s="40" t="str">
        <f t="shared" si="356"/>
        <v>2026E</v>
      </c>
      <c r="LT154" s="546"/>
      <c r="LU154" s="39" t="str">
        <f>$B$154</f>
        <v>CSX STB Supplemental</v>
      </c>
      <c r="LV154" s="40" t="str">
        <f>LV2</f>
        <v>1Q27E</v>
      </c>
      <c r="LW154" s="40" t="str">
        <f t="shared" ref="LW154:LZ154" si="357">LW2</f>
        <v>2Q27E</v>
      </c>
      <c r="LX154" s="40" t="str">
        <f t="shared" si="357"/>
        <v>3Q27E</v>
      </c>
      <c r="LY154" s="40" t="str">
        <f t="shared" si="357"/>
        <v>4Q27E</v>
      </c>
      <c r="LZ154" s="40" t="str">
        <f t="shared" si="357"/>
        <v>2027E</v>
      </c>
      <c r="MA154" s="546"/>
      <c r="MB154" s="39" t="str">
        <f>$B$154</f>
        <v>CSX STB Supplemental</v>
      </c>
      <c r="MC154" s="40" t="str">
        <f>MC2</f>
        <v>1Q28E</v>
      </c>
      <c r="MD154" s="40" t="str">
        <f t="shared" ref="MD154:MG154" si="358">MD2</f>
        <v>2Q28E</v>
      </c>
      <c r="ME154" s="40" t="str">
        <f t="shared" si="358"/>
        <v>3Q28E</v>
      </c>
      <c r="MF154" s="40" t="str">
        <f t="shared" si="358"/>
        <v>4Q28E</v>
      </c>
      <c r="MG154" s="40" t="str">
        <f t="shared" si="358"/>
        <v>2028E</v>
      </c>
      <c r="MH154" s="546"/>
    </row>
    <row r="155" spans="1:346" s="37" customFormat="1" ht="13.15" outlineLevel="1" x14ac:dyDescent="0.4">
      <c r="A155" s="46"/>
      <c r="B155" s="42" t="str">
        <f t="shared" ref="B155:BT155" si="359">B3</f>
        <v>($ in millions except per share amounts)</v>
      </c>
      <c r="C155" s="43">
        <f t="shared" si="359"/>
        <v>0</v>
      </c>
      <c r="D155" s="43">
        <f t="shared" si="359"/>
        <v>0</v>
      </c>
      <c r="E155" s="43">
        <f t="shared" si="359"/>
        <v>0</v>
      </c>
      <c r="F155" s="43">
        <f t="shared" si="359"/>
        <v>0</v>
      </c>
      <c r="G155" s="43">
        <f t="shared" si="359"/>
        <v>0</v>
      </c>
      <c r="H155" s="43">
        <f t="shared" si="359"/>
        <v>0</v>
      </c>
      <c r="I155" s="43">
        <f t="shared" si="359"/>
        <v>0</v>
      </c>
      <c r="J155" s="43">
        <f t="shared" si="359"/>
        <v>0</v>
      </c>
      <c r="K155" s="43">
        <f t="shared" si="359"/>
        <v>0</v>
      </c>
      <c r="L155" s="43">
        <f t="shared" si="359"/>
        <v>0</v>
      </c>
      <c r="M155" s="43">
        <f t="shared" si="359"/>
        <v>0</v>
      </c>
      <c r="N155" s="43" t="str">
        <f t="shared" si="359"/>
        <v>FY</v>
      </c>
      <c r="O155" s="43" t="str">
        <f t="shared" si="359"/>
        <v>FY</v>
      </c>
      <c r="P155" s="43" t="str">
        <f t="shared" si="359"/>
        <v>FY</v>
      </c>
      <c r="Q155" s="43" t="str">
        <f t="shared" si="359"/>
        <v>FY</v>
      </c>
      <c r="R155" s="43" t="str">
        <f t="shared" si="359"/>
        <v>FY</v>
      </c>
      <c r="S155" s="43" t="str">
        <f t="shared" si="359"/>
        <v>FY</v>
      </c>
      <c r="T155" s="43" t="str">
        <f t="shared" si="359"/>
        <v>FY</v>
      </c>
      <c r="U155" s="43" t="str">
        <f t="shared" si="359"/>
        <v>FY</v>
      </c>
      <c r="V155" s="43" t="str">
        <f t="shared" si="359"/>
        <v>FY</v>
      </c>
      <c r="W155" s="43" t="str">
        <f t="shared" si="359"/>
        <v>FY</v>
      </c>
      <c r="X155" s="43" t="str">
        <f t="shared" si="359"/>
        <v>FY</v>
      </c>
      <c r="Y155" s="43" t="str">
        <f t="shared" si="359"/>
        <v>FY</v>
      </c>
      <c r="Z155" s="43" t="str">
        <f t="shared" si="359"/>
        <v>FY</v>
      </c>
      <c r="AA155" s="43" t="str">
        <f t="shared" si="359"/>
        <v>FY</v>
      </c>
      <c r="AB155" s="43" t="str">
        <f t="shared" si="359"/>
        <v>FY</v>
      </c>
      <c r="AC155" s="43" t="str">
        <f t="shared" si="359"/>
        <v>FY</v>
      </c>
      <c r="AD155" s="43" t="str">
        <f t="shared" si="359"/>
        <v>FY</v>
      </c>
      <c r="AE155" s="43" t="str">
        <f t="shared" si="359"/>
        <v>FY</v>
      </c>
      <c r="AF155" s="43" t="str">
        <f t="shared" si="359"/>
        <v>FY</v>
      </c>
      <c r="AG155" s="43" t="str">
        <f t="shared" si="359"/>
        <v>FY</v>
      </c>
      <c r="AH155" s="43" t="str">
        <f t="shared" si="359"/>
        <v>FY</v>
      </c>
      <c r="AI155" s="43" t="str">
        <f t="shared" si="359"/>
        <v>FY</v>
      </c>
      <c r="AJ155" s="43" t="str">
        <f t="shared" si="359"/>
        <v>FY</v>
      </c>
      <c r="AK155" s="43" t="str">
        <f t="shared" si="359"/>
        <v>FY</v>
      </c>
      <c r="AL155" s="43" t="str">
        <f t="shared" si="359"/>
        <v>FY</v>
      </c>
      <c r="AM155" s="43" t="str">
        <f t="shared" si="359"/>
        <v>FY</v>
      </c>
      <c r="AN155" s="43" t="str">
        <f t="shared" si="359"/>
        <v>FY</v>
      </c>
      <c r="AO155" s="43" t="str">
        <f t="shared" si="359"/>
        <v>FY</v>
      </c>
      <c r="AP155" s="43" t="str">
        <f t="shared" si="359"/>
        <v>FY</v>
      </c>
      <c r="AQ155" s="43" t="str">
        <f t="shared" si="359"/>
        <v>FY</v>
      </c>
      <c r="AR155" s="43" t="str">
        <f t="shared" si="359"/>
        <v>FY</v>
      </c>
      <c r="AS155" s="43" t="str">
        <f t="shared" si="359"/>
        <v>FY</v>
      </c>
      <c r="AT155" s="43" t="str">
        <f t="shared" si="359"/>
        <v>FY</v>
      </c>
      <c r="AU155" s="43" t="str">
        <f t="shared" si="359"/>
        <v>FY</v>
      </c>
      <c r="AV155" s="43" t="str">
        <f t="shared" si="359"/>
        <v>FY</v>
      </c>
      <c r="AW155" s="43" t="str">
        <f t="shared" si="359"/>
        <v>FY</v>
      </c>
      <c r="AX155" s="43" t="str">
        <f t="shared" si="359"/>
        <v>FY</v>
      </c>
      <c r="AY155" s="43" t="str">
        <f t="shared" si="359"/>
        <v>FY</v>
      </c>
      <c r="AZ155" s="43" t="str">
        <f t="shared" ref="AZ155:BA155" si="360">AZ3</f>
        <v>FY</v>
      </c>
      <c r="BA155" s="43" t="str">
        <f t="shared" si="360"/>
        <v>FY</v>
      </c>
      <c r="BB155" s="43"/>
      <c r="BC155" s="43"/>
      <c r="BD155" s="43"/>
      <c r="BE155" s="43"/>
      <c r="BF155" s="43"/>
      <c r="BG155" s="43"/>
      <c r="BH155" s="43"/>
      <c r="BI155" s="43"/>
      <c r="BJ155" s="43"/>
      <c r="BK155" s="43"/>
      <c r="BL155" s="43"/>
      <c r="BM155" s="43"/>
      <c r="BO155" s="42" t="str">
        <f t="shared" si="359"/>
        <v>($ in millions except per share amounts)</v>
      </c>
      <c r="BP155" s="223">
        <f>BP3</f>
        <v>32598</v>
      </c>
      <c r="BQ155" s="223">
        <f t="shared" si="359"/>
        <v>32689</v>
      </c>
      <c r="BR155" s="223">
        <f t="shared" si="359"/>
        <v>32781</v>
      </c>
      <c r="BS155" s="223">
        <f t="shared" si="359"/>
        <v>32873</v>
      </c>
      <c r="BT155" s="47" t="str">
        <f t="shared" si="359"/>
        <v>FY</v>
      </c>
      <c r="BV155" s="42" t="str">
        <f t="shared" ref="BV155" si="361">BV3</f>
        <v>($ in millions except per share amounts)</v>
      </c>
      <c r="BW155" s="223">
        <f>BW3</f>
        <v>32963</v>
      </c>
      <c r="BX155" s="223">
        <f t="shared" ref="BX155:CA155" si="362">BX3</f>
        <v>33054</v>
      </c>
      <c r="BY155" s="223">
        <f t="shared" si="362"/>
        <v>33146</v>
      </c>
      <c r="BZ155" s="223">
        <f t="shared" si="362"/>
        <v>33238</v>
      </c>
      <c r="CA155" s="47" t="str">
        <f t="shared" si="362"/>
        <v>FY</v>
      </c>
      <c r="CC155" s="42" t="str">
        <f t="shared" ref="CC155" si="363">CC3</f>
        <v>($ in millions except per share amounts)</v>
      </c>
      <c r="CD155" s="223">
        <f>CD3</f>
        <v>33328</v>
      </c>
      <c r="CE155" s="223">
        <f t="shared" ref="CE155:CH155" si="364">CE3</f>
        <v>33419</v>
      </c>
      <c r="CF155" s="223">
        <f t="shared" si="364"/>
        <v>33511</v>
      </c>
      <c r="CG155" s="223">
        <f t="shared" si="364"/>
        <v>33603</v>
      </c>
      <c r="CH155" s="47" t="str">
        <f t="shared" si="364"/>
        <v>FY</v>
      </c>
      <c r="CJ155" s="42" t="str">
        <f t="shared" ref="CJ155" si="365">CJ3</f>
        <v>($ in millions except per share amounts)</v>
      </c>
      <c r="CK155" s="223">
        <f>CK3</f>
        <v>33694</v>
      </c>
      <c r="CL155" s="223">
        <f t="shared" ref="CL155:CO155" si="366">CL3</f>
        <v>33785</v>
      </c>
      <c r="CM155" s="223">
        <f t="shared" si="366"/>
        <v>33877</v>
      </c>
      <c r="CN155" s="223">
        <f t="shared" si="366"/>
        <v>33969</v>
      </c>
      <c r="CO155" s="47" t="str">
        <f t="shared" si="366"/>
        <v>FY</v>
      </c>
      <c r="CQ155" s="42" t="str">
        <f t="shared" ref="CQ155" si="367">CQ3</f>
        <v>($ in millions except per share amounts)</v>
      </c>
      <c r="CR155" s="223">
        <f>CR3</f>
        <v>34059</v>
      </c>
      <c r="CS155" s="223">
        <f t="shared" ref="CS155:CV155" si="368">CS3</f>
        <v>34150</v>
      </c>
      <c r="CT155" s="223">
        <f t="shared" si="368"/>
        <v>34242</v>
      </c>
      <c r="CU155" s="223">
        <f t="shared" si="368"/>
        <v>34334</v>
      </c>
      <c r="CV155" s="47" t="str">
        <f t="shared" si="368"/>
        <v>FY</v>
      </c>
      <c r="CX155" s="42" t="str">
        <f t="shared" ref="CX155" si="369">CX3</f>
        <v>($ in millions except per share amounts)</v>
      </c>
      <c r="CY155" s="223">
        <f>CY3</f>
        <v>34424</v>
      </c>
      <c r="CZ155" s="223">
        <f t="shared" ref="CZ155:DC155" si="370">CZ3</f>
        <v>34515</v>
      </c>
      <c r="DA155" s="223">
        <f t="shared" si="370"/>
        <v>34607</v>
      </c>
      <c r="DB155" s="223">
        <f t="shared" si="370"/>
        <v>34699</v>
      </c>
      <c r="DC155" s="47" t="str">
        <f t="shared" si="370"/>
        <v>FY</v>
      </c>
      <c r="DE155" s="42" t="str">
        <f t="shared" ref="DE155" si="371">DE3</f>
        <v>($ in millions except per share amounts)</v>
      </c>
      <c r="DF155" s="223">
        <f>DF3</f>
        <v>34789</v>
      </c>
      <c r="DG155" s="223">
        <f t="shared" ref="DG155:DJ155" si="372">DG3</f>
        <v>34880</v>
      </c>
      <c r="DH155" s="223">
        <f t="shared" si="372"/>
        <v>34972</v>
      </c>
      <c r="DI155" s="223">
        <f t="shared" si="372"/>
        <v>35064</v>
      </c>
      <c r="DJ155" s="47" t="str">
        <f t="shared" si="372"/>
        <v>FY</v>
      </c>
      <c r="DL155" s="42" t="str">
        <f t="shared" ref="DL155" si="373">DL3</f>
        <v>($ in millions except per share amounts)</v>
      </c>
      <c r="DM155" s="223">
        <f>DM3</f>
        <v>35155</v>
      </c>
      <c r="DN155" s="223">
        <f t="shared" ref="DN155:DQ155" si="374">DN3</f>
        <v>35246</v>
      </c>
      <c r="DO155" s="223">
        <f t="shared" si="374"/>
        <v>35338</v>
      </c>
      <c r="DP155" s="223">
        <f t="shared" si="374"/>
        <v>35430</v>
      </c>
      <c r="DQ155" s="47" t="str">
        <f t="shared" si="374"/>
        <v>FY</v>
      </c>
      <c r="DS155" s="42" t="str">
        <f t="shared" ref="DS155" si="375">DS3</f>
        <v>($ in millions except per share amounts)</v>
      </c>
      <c r="DT155" s="223">
        <f>DT3</f>
        <v>35520</v>
      </c>
      <c r="DU155" s="223">
        <f t="shared" ref="DU155:DX155" si="376">DU3</f>
        <v>35611</v>
      </c>
      <c r="DV155" s="223">
        <f t="shared" si="376"/>
        <v>35703</v>
      </c>
      <c r="DW155" s="223">
        <f t="shared" si="376"/>
        <v>35795</v>
      </c>
      <c r="DX155" s="47" t="str">
        <f t="shared" si="376"/>
        <v>FY</v>
      </c>
      <c r="DZ155" s="42" t="str">
        <f t="shared" ref="DZ155" si="377">DZ3</f>
        <v>($ in millions except per share amounts)</v>
      </c>
      <c r="EA155" s="223">
        <f>EA3</f>
        <v>35885</v>
      </c>
      <c r="EB155" s="223">
        <f t="shared" ref="EB155:EE155" si="378">EB3</f>
        <v>35976</v>
      </c>
      <c r="EC155" s="223">
        <f t="shared" si="378"/>
        <v>36068</v>
      </c>
      <c r="ED155" s="223">
        <f t="shared" si="378"/>
        <v>36160</v>
      </c>
      <c r="EE155" s="47" t="str">
        <f t="shared" si="378"/>
        <v>FY</v>
      </c>
      <c r="EG155" s="42" t="str">
        <f t="shared" ref="EG155" si="379">EG3</f>
        <v>($ in millions except per share amounts)</v>
      </c>
      <c r="EH155" s="223">
        <f>EH3</f>
        <v>36250</v>
      </c>
      <c r="EI155" s="223">
        <f t="shared" ref="EI155:EL155" si="380">EI3</f>
        <v>36341</v>
      </c>
      <c r="EJ155" s="223">
        <f t="shared" si="380"/>
        <v>36433</v>
      </c>
      <c r="EK155" s="223">
        <f t="shared" si="380"/>
        <v>36525</v>
      </c>
      <c r="EL155" s="47" t="str">
        <f t="shared" si="380"/>
        <v>FY</v>
      </c>
      <c r="EN155" s="42" t="str">
        <f t="shared" ref="EN155" si="381">EN3</f>
        <v>($ in millions except per share amounts)</v>
      </c>
      <c r="EO155" s="223">
        <f>EO3</f>
        <v>36616</v>
      </c>
      <c r="EP155" s="223">
        <f t="shared" ref="EP155:ES155" si="382">EP3</f>
        <v>36707</v>
      </c>
      <c r="EQ155" s="223">
        <f t="shared" si="382"/>
        <v>36799</v>
      </c>
      <c r="ER155" s="223">
        <f t="shared" si="382"/>
        <v>36891</v>
      </c>
      <c r="ES155" s="47" t="str">
        <f t="shared" si="382"/>
        <v>FY</v>
      </c>
      <c r="EU155" s="42" t="str">
        <f t="shared" ref="EU155" si="383">EU3</f>
        <v>($ in millions except per share amounts)</v>
      </c>
      <c r="EV155" s="223">
        <f>EV3</f>
        <v>36981</v>
      </c>
      <c r="EW155" s="223">
        <f t="shared" ref="EW155:EZ155" si="384">EW3</f>
        <v>37072</v>
      </c>
      <c r="EX155" s="223">
        <f t="shared" si="384"/>
        <v>37164</v>
      </c>
      <c r="EY155" s="223">
        <f t="shared" si="384"/>
        <v>37256</v>
      </c>
      <c r="EZ155" s="47" t="str">
        <f t="shared" si="384"/>
        <v>FY</v>
      </c>
      <c r="FB155" s="42" t="str">
        <f t="shared" ref="FB155" si="385">FB3</f>
        <v>($ in millions except per share amounts)</v>
      </c>
      <c r="FC155" s="223">
        <f>FC3</f>
        <v>37346</v>
      </c>
      <c r="FD155" s="223">
        <f t="shared" ref="FD155:FG155" si="386">FD3</f>
        <v>37437</v>
      </c>
      <c r="FE155" s="223">
        <f t="shared" si="386"/>
        <v>37529</v>
      </c>
      <c r="FF155" s="223">
        <f t="shared" si="386"/>
        <v>37621</v>
      </c>
      <c r="FG155" s="47" t="str">
        <f t="shared" si="386"/>
        <v>FY</v>
      </c>
      <c r="FI155" s="42" t="str">
        <f t="shared" ref="FI155" si="387">FI3</f>
        <v>($ in millions except per share amounts)</v>
      </c>
      <c r="FJ155" s="223">
        <f>FJ3</f>
        <v>37711</v>
      </c>
      <c r="FK155" s="223">
        <f t="shared" ref="FK155:FN155" si="388">FK3</f>
        <v>37802</v>
      </c>
      <c r="FL155" s="223">
        <f t="shared" si="388"/>
        <v>37894</v>
      </c>
      <c r="FM155" s="223">
        <f t="shared" si="388"/>
        <v>37986</v>
      </c>
      <c r="FN155" s="47" t="str">
        <f t="shared" si="388"/>
        <v>FY</v>
      </c>
      <c r="FP155" s="42" t="str">
        <f t="shared" ref="FP155" si="389">FP3</f>
        <v>($ in millions except per share amounts)</v>
      </c>
      <c r="FQ155" s="223">
        <f>FQ3</f>
        <v>38077</v>
      </c>
      <c r="FR155" s="223">
        <f t="shared" ref="FR155:FU155" si="390">FR3</f>
        <v>38168</v>
      </c>
      <c r="FS155" s="223">
        <f t="shared" si="390"/>
        <v>38260</v>
      </c>
      <c r="FT155" s="223">
        <f t="shared" si="390"/>
        <v>38352</v>
      </c>
      <c r="FU155" s="47" t="str">
        <f t="shared" si="390"/>
        <v>FY</v>
      </c>
      <c r="FW155" s="42" t="str">
        <f t="shared" ref="FW155" si="391">FW3</f>
        <v>($ in millions except per share amounts)</v>
      </c>
      <c r="FX155" s="223">
        <f>FX3</f>
        <v>38442</v>
      </c>
      <c r="FY155" s="223">
        <f t="shared" ref="FY155:GB155" si="392">FY3</f>
        <v>38533</v>
      </c>
      <c r="FZ155" s="223">
        <f t="shared" si="392"/>
        <v>38625</v>
      </c>
      <c r="GA155" s="223">
        <f t="shared" si="392"/>
        <v>38717</v>
      </c>
      <c r="GB155" s="47" t="str">
        <f t="shared" si="392"/>
        <v>FY</v>
      </c>
      <c r="GD155" s="42" t="str">
        <f t="shared" ref="GD155" si="393">GD3</f>
        <v>($ in millions except per share amounts)</v>
      </c>
      <c r="GE155" s="223">
        <f>GE3</f>
        <v>38807</v>
      </c>
      <c r="GF155" s="223">
        <f t="shared" ref="GF155:GI155" si="394">GF3</f>
        <v>38898</v>
      </c>
      <c r="GG155" s="223">
        <f t="shared" si="394"/>
        <v>38990</v>
      </c>
      <c r="GH155" s="223">
        <f t="shared" si="394"/>
        <v>39082</v>
      </c>
      <c r="GI155" s="47" t="str">
        <f t="shared" si="394"/>
        <v>FY</v>
      </c>
      <c r="GK155" s="42" t="str">
        <f t="shared" ref="GK155" si="395">GK3</f>
        <v>($ in millions except per share amounts)</v>
      </c>
      <c r="GL155" s="223">
        <f>GL3</f>
        <v>39172</v>
      </c>
      <c r="GM155" s="223">
        <f t="shared" ref="GM155:GP155" si="396">GM3</f>
        <v>39263</v>
      </c>
      <c r="GN155" s="223">
        <f t="shared" si="396"/>
        <v>39355</v>
      </c>
      <c r="GO155" s="223">
        <f t="shared" si="396"/>
        <v>39447</v>
      </c>
      <c r="GP155" s="47" t="str">
        <f t="shared" si="396"/>
        <v>FY</v>
      </c>
      <c r="GR155" s="42" t="str">
        <f t="shared" ref="GR155" si="397">GR3</f>
        <v>($ in millions except per share amounts)</v>
      </c>
      <c r="GS155" s="223">
        <f>GS3</f>
        <v>39538</v>
      </c>
      <c r="GT155" s="223">
        <f t="shared" ref="GT155:GW155" si="398">GT3</f>
        <v>39629</v>
      </c>
      <c r="GU155" s="223">
        <f t="shared" si="398"/>
        <v>39721</v>
      </c>
      <c r="GV155" s="223">
        <f t="shared" si="398"/>
        <v>39813</v>
      </c>
      <c r="GW155" s="47" t="str">
        <f t="shared" si="398"/>
        <v>FY</v>
      </c>
      <c r="GY155" s="42" t="str">
        <f t="shared" ref="GY155" si="399">GY3</f>
        <v>($ in millions except per share amounts)</v>
      </c>
      <c r="GZ155" s="223">
        <f>GZ3</f>
        <v>39903</v>
      </c>
      <c r="HA155" s="223">
        <f t="shared" ref="HA155:HD155" si="400">HA3</f>
        <v>39994</v>
      </c>
      <c r="HB155" s="223">
        <f t="shared" si="400"/>
        <v>40086</v>
      </c>
      <c r="HC155" s="223">
        <f t="shared" si="400"/>
        <v>40178</v>
      </c>
      <c r="HD155" s="47" t="str">
        <f t="shared" si="400"/>
        <v>FY</v>
      </c>
      <c r="HF155" s="42" t="str">
        <f t="shared" ref="HF155" si="401">HF3</f>
        <v>($ in millions except per share amounts)</v>
      </c>
      <c r="HG155" s="223">
        <f>HG3</f>
        <v>40268</v>
      </c>
      <c r="HH155" s="223">
        <f t="shared" ref="HH155:HK155" si="402">HH3</f>
        <v>40359</v>
      </c>
      <c r="HI155" s="223">
        <f t="shared" si="402"/>
        <v>40451</v>
      </c>
      <c r="HJ155" s="223">
        <f t="shared" si="402"/>
        <v>40543</v>
      </c>
      <c r="HK155" s="47" t="str">
        <f t="shared" si="402"/>
        <v>FY</v>
      </c>
      <c r="HM155" s="42" t="str">
        <f t="shared" ref="HM155" si="403">HM3</f>
        <v>($ in millions except per share amounts)</v>
      </c>
      <c r="HN155" s="223">
        <f>HN3</f>
        <v>40633</v>
      </c>
      <c r="HO155" s="223">
        <f t="shared" ref="HO155:HR155" si="404">HO3</f>
        <v>40724</v>
      </c>
      <c r="HP155" s="223">
        <f t="shared" si="404"/>
        <v>40816</v>
      </c>
      <c r="HQ155" s="223">
        <f t="shared" si="404"/>
        <v>40908</v>
      </c>
      <c r="HR155" s="47" t="str">
        <f t="shared" si="404"/>
        <v>FY</v>
      </c>
      <c r="HT155" s="42" t="str">
        <f t="shared" ref="HT155" si="405">HT3</f>
        <v>($ in millions except per share amounts)</v>
      </c>
      <c r="HU155" s="223">
        <f>HU3</f>
        <v>40999</v>
      </c>
      <c r="HV155" s="223">
        <f t="shared" ref="HV155:HY155" si="406">HV3</f>
        <v>41090</v>
      </c>
      <c r="HW155" s="223">
        <f t="shared" si="406"/>
        <v>41182</v>
      </c>
      <c r="HX155" s="223">
        <f t="shared" si="406"/>
        <v>41274</v>
      </c>
      <c r="HY155" s="47" t="str">
        <f t="shared" si="406"/>
        <v>FY</v>
      </c>
      <c r="IA155" s="42" t="str">
        <f t="shared" ref="IA155" si="407">IA3</f>
        <v>($ in millions except per share amounts)</v>
      </c>
      <c r="IB155" s="223">
        <f>IB3</f>
        <v>41364</v>
      </c>
      <c r="IC155" s="223">
        <f t="shared" ref="IC155:IF155" si="408">IC3</f>
        <v>41455</v>
      </c>
      <c r="ID155" s="223">
        <f t="shared" si="408"/>
        <v>41547</v>
      </c>
      <c r="IE155" s="223">
        <f t="shared" si="408"/>
        <v>41639</v>
      </c>
      <c r="IF155" s="47" t="str">
        <f t="shared" si="408"/>
        <v>FY</v>
      </c>
      <c r="IH155" s="42" t="str">
        <f t="shared" ref="IH155" si="409">IH3</f>
        <v>($ in millions except per share amounts)</v>
      </c>
      <c r="II155" s="223">
        <f>II3</f>
        <v>41729</v>
      </c>
      <c r="IJ155" s="223">
        <f t="shared" ref="IJ155:IM155" si="410">IJ3</f>
        <v>41820</v>
      </c>
      <c r="IK155" s="223">
        <f t="shared" si="410"/>
        <v>41912</v>
      </c>
      <c r="IL155" s="223">
        <f t="shared" si="410"/>
        <v>42004</v>
      </c>
      <c r="IM155" s="47" t="str">
        <f t="shared" si="410"/>
        <v>FY</v>
      </c>
      <c r="IO155" s="42" t="str">
        <f t="shared" ref="IO155" si="411">IO3</f>
        <v>($ in millions except per share amounts)</v>
      </c>
      <c r="IP155" s="223">
        <f>IP3</f>
        <v>42094</v>
      </c>
      <c r="IQ155" s="223">
        <f t="shared" ref="IQ155:IT155" si="412">IQ3</f>
        <v>42185</v>
      </c>
      <c r="IR155" s="223">
        <f t="shared" si="412"/>
        <v>42277</v>
      </c>
      <c r="IS155" s="223">
        <f t="shared" si="412"/>
        <v>42369</v>
      </c>
      <c r="IT155" s="47" t="str">
        <f t="shared" si="412"/>
        <v>FY</v>
      </c>
      <c r="IV155" s="42" t="str">
        <f t="shared" ref="IV155" si="413">IV3</f>
        <v>($ in millions except per share amounts)</v>
      </c>
      <c r="IW155" s="223">
        <f>IW3</f>
        <v>42460</v>
      </c>
      <c r="IX155" s="223">
        <f t="shared" ref="IX155:JA155" si="414">IX3</f>
        <v>42551</v>
      </c>
      <c r="IY155" s="223">
        <f t="shared" si="414"/>
        <v>42643</v>
      </c>
      <c r="IZ155" s="223">
        <f t="shared" si="414"/>
        <v>42735</v>
      </c>
      <c r="JA155" s="47" t="str">
        <f t="shared" si="414"/>
        <v>FY</v>
      </c>
      <c r="JC155" s="42" t="str">
        <f t="shared" ref="JC155" si="415">JC3</f>
        <v>($ in millions except per share amounts)</v>
      </c>
      <c r="JD155" s="223">
        <f>JD3</f>
        <v>42825</v>
      </c>
      <c r="JE155" s="223">
        <f t="shared" ref="JE155:JH155" si="416">JE3</f>
        <v>42916</v>
      </c>
      <c r="JF155" s="223">
        <f t="shared" si="416"/>
        <v>43008</v>
      </c>
      <c r="JG155" s="223">
        <f t="shared" si="416"/>
        <v>43100</v>
      </c>
      <c r="JH155" s="47" t="str">
        <f t="shared" si="416"/>
        <v>FY</v>
      </c>
      <c r="JJ155" s="42" t="str">
        <f t="shared" ref="JJ155" si="417">JJ3</f>
        <v>($ in millions except per share amounts)</v>
      </c>
      <c r="JK155" s="223">
        <f>JK3</f>
        <v>43190</v>
      </c>
      <c r="JL155" s="223">
        <f t="shared" ref="JL155:JO155" si="418">JL3</f>
        <v>43281</v>
      </c>
      <c r="JM155" s="223">
        <f t="shared" si="418"/>
        <v>43373</v>
      </c>
      <c r="JN155" s="223">
        <f t="shared" si="418"/>
        <v>43465</v>
      </c>
      <c r="JO155" s="47" t="str">
        <f t="shared" si="418"/>
        <v>FY</v>
      </c>
      <c r="JQ155" s="42" t="str">
        <f t="shared" ref="JQ155" si="419">JQ3</f>
        <v>($ in millions except per share amounts)</v>
      </c>
      <c r="JR155" s="223">
        <f>JR3</f>
        <v>43555</v>
      </c>
      <c r="JS155" s="223">
        <f t="shared" ref="JS155:JV155" si="420">JS3</f>
        <v>43646</v>
      </c>
      <c r="JT155" s="223">
        <f t="shared" si="420"/>
        <v>43738</v>
      </c>
      <c r="JU155" s="223">
        <f t="shared" si="420"/>
        <v>43830</v>
      </c>
      <c r="JV155" s="47" t="str">
        <f t="shared" si="420"/>
        <v>FY</v>
      </c>
      <c r="JX155" s="42" t="str">
        <f t="shared" ref="JX155" si="421">JX3</f>
        <v>($ in millions except per share amounts)</v>
      </c>
      <c r="JY155" s="223">
        <f>JY3</f>
        <v>43921</v>
      </c>
      <c r="JZ155" s="223">
        <f t="shared" ref="JZ155:KC155" si="422">JZ3</f>
        <v>44012</v>
      </c>
      <c r="KA155" s="223">
        <f t="shared" si="422"/>
        <v>44104</v>
      </c>
      <c r="KB155" s="223">
        <f t="shared" si="422"/>
        <v>44196</v>
      </c>
      <c r="KC155" s="47" t="str">
        <f t="shared" si="422"/>
        <v>FY</v>
      </c>
      <c r="KE155" s="42" t="str">
        <f t="shared" ref="KE155" si="423">KE3</f>
        <v>($ in millions except per share amounts)</v>
      </c>
      <c r="KF155" s="223">
        <f>KF3</f>
        <v>44286</v>
      </c>
      <c r="KG155" s="223">
        <f t="shared" ref="KG155:KJ155" si="424">KG3</f>
        <v>44377</v>
      </c>
      <c r="KH155" s="223">
        <f t="shared" si="424"/>
        <v>44469</v>
      </c>
      <c r="KI155" s="223">
        <f t="shared" si="424"/>
        <v>44561</v>
      </c>
      <c r="KJ155" s="47" t="str">
        <f t="shared" si="424"/>
        <v>FY</v>
      </c>
      <c r="KL155" s="42" t="str">
        <f t="shared" ref="KL155" si="425">KL3</f>
        <v>($ in millions except per share amounts)</v>
      </c>
      <c r="KM155" s="223">
        <f>KM3</f>
        <v>44651</v>
      </c>
      <c r="KN155" s="223">
        <f t="shared" ref="KN155:KQ155" si="426">KN3</f>
        <v>44742</v>
      </c>
      <c r="KO155" s="223">
        <f t="shared" si="426"/>
        <v>44834</v>
      </c>
      <c r="KP155" s="223">
        <f t="shared" si="426"/>
        <v>44926</v>
      </c>
      <c r="KQ155" s="47" t="str">
        <f t="shared" si="426"/>
        <v>FY</v>
      </c>
      <c r="KR155" s="37">
        <f t="shared" ref="KR155:KX155" si="427">KR3</f>
        <v>0</v>
      </c>
      <c r="KS155" s="42" t="str">
        <f t="shared" si="427"/>
        <v>($ in millions except per share amounts)</v>
      </c>
      <c r="KT155" s="223">
        <f t="shared" si="427"/>
        <v>45016</v>
      </c>
      <c r="KU155" s="223">
        <f t="shared" si="427"/>
        <v>45107</v>
      </c>
      <c r="KV155" s="223">
        <f t="shared" si="427"/>
        <v>45199</v>
      </c>
      <c r="KW155" s="223">
        <f t="shared" si="427"/>
        <v>45291</v>
      </c>
      <c r="KX155" s="47" t="str">
        <f t="shared" si="427"/>
        <v>FY</v>
      </c>
      <c r="KZ155" s="42" t="str">
        <f t="shared" ref="KZ155" si="428">KZ3</f>
        <v>($ in millions except per share amounts)</v>
      </c>
      <c r="LA155" s="223">
        <f>LA3</f>
        <v>45382</v>
      </c>
      <c r="LB155" s="223">
        <f t="shared" ref="LB155:LE155" si="429">LB3</f>
        <v>45473</v>
      </c>
      <c r="LC155" s="223">
        <f t="shared" si="429"/>
        <v>45565</v>
      </c>
      <c r="LD155" s="223">
        <f t="shared" si="429"/>
        <v>45657</v>
      </c>
      <c r="LE155" s="47" t="str">
        <f t="shared" si="429"/>
        <v>FY</v>
      </c>
      <c r="LF155" s="583"/>
      <c r="LG155" s="42" t="str">
        <f t="shared" ref="LG155" si="430">LG3</f>
        <v>($ in millions except per share amounts)</v>
      </c>
      <c r="LH155" s="223">
        <f>LH3</f>
        <v>45747</v>
      </c>
      <c r="LI155" s="223">
        <f t="shared" ref="LI155:LL155" si="431">LI3</f>
        <v>45838</v>
      </c>
      <c r="LJ155" s="223">
        <f t="shared" si="431"/>
        <v>45930</v>
      </c>
      <c r="LK155" s="223">
        <f t="shared" si="431"/>
        <v>46022</v>
      </c>
      <c r="LL155" s="47" t="str">
        <f t="shared" si="431"/>
        <v>FY</v>
      </c>
      <c r="LM155" s="583"/>
      <c r="LN155" s="42" t="str">
        <f t="shared" ref="LN155" si="432">LN3</f>
        <v>($ in millions except per share amounts)</v>
      </c>
      <c r="LO155" s="223">
        <f>LO3</f>
        <v>46112</v>
      </c>
      <c r="LP155" s="223">
        <f t="shared" ref="LP155:LS155" si="433">LP3</f>
        <v>46203</v>
      </c>
      <c r="LQ155" s="223">
        <f t="shared" si="433"/>
        <v>46295</v>
      </c>
      <c r="LR155" s="223">
        <f t="shared" si="433"/>
        <v>46387</v>
      </c>
      <c r="LS155" s="47" t="str">
        <f t="shared" si="433"/>
        <v>FY</v>
      </c>
      <c r="LT155" s="583"/>
      <c r="LU155" s="42" t="str">
        <f t="shared" ref="LU155" si="434">LU3</f>
        <v>($ in millions except per share amounts)</v>
      </c>
      <c r="LV155" s="223">
        <f>LV3</f>
        <v>46477</v>
      </c>
      <c r="LW155" s="223">
        <f t="shared" ref="LW155:LZ155" si="435">LW3</f>
        <v>46568</v>
      </c>
      <c r="LX155" s="223">
        <f t="shared" si="435"/>
        <v>46660</v>
      </c>
      <c r="LY155" s="223">
        <f t="shared" si="435"/>
        <v>46752</v>
      </c>
      <c r="LZ155" s="47" t="str">
        <f t="shared" si="435"/>
        <v>FY</v>
      </c>
      <c r="MA155" s="583"/>
      <c r="MB155" s="42" t="str">
        <f t="shared" ref="MB155" si="436">MB3</f>
        <v>($ in millions except per share amounts)</v>
      </c>
      <c r="MC155" s="223">
        <f>MC3</f>
        <v>46843</v>
      </c>
      <c r="MD155" s="223">
        <f t="shared" ref="MD155:MG155" si="437">MD3</f>
        <v>46934</v>
      </c>
      <c r="ME155" s="223">
        <f t="shared" si="437"/>
        <v>47026</v>
      </c>
      <c r="MF155" s="223">
        <f t="shared" si="437"/>
        <v>47118</v>
      </c>
      <c r="MG155" s="47" t="str">
        <f t="shared" si="437"/>
        <v>FY</v>
      </c>
      <c r="MH155" s="583"/>
    </row>
    <row r="156" spans="1:346" ht="14.25" outlineLevel="1" thickBot="1" x14ac:dyDescent="0.45"/>
    <row r="157" spans="1:346" s="37" customFormat="1" ht="13.5" outlineLevel="1" thickBot="1" x14ac:dyDescent="0.45">
      <c r="A157" s="97"/>
      <c r="B157" s="98" t="s">
        <v>478</v>
      </c>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c r="AA157" s="99"/>
      <c r="AB157" s="99"/>
      <c r="AC157" s="99"/>
      <c r="AD157" s="99"/>
      <c r="AE157" s="99"/>
      <c r="AF157" s="99"/>
      <c r="AG157" s="99"/>
      <c r="AH157" s="99"/>
      <c r="AI157" s="99"/>
      <c r="AJ157" s="99"/>
      <c r="AK157" s="99"/>
      <c r="AL157" s="99"/>
      <c r="AM157" s="99"/>
      <c r="AN157" s="99"/>
      <c r="AO157" s="99"/>
      <c r="AP157" s="99"/>
      <c r="AQ157" s="99"/>
      <c r="AR157" s="99"/>
      <c r="AS157" s="99"/>
      <c r="AT157" s="99"/>
      <c r="AU157" s="99"/>
      <c r="AV157" s="99"/>
      <c r="AW157" s="99"/>
      <c r="AX157" s="99"/>
      <c r="AY157" s="99"/>
      <c r="AZ157" s="99"/>
      <c r="BA157" s="99"/>
      <c r="BB157" s="99"/>
      <c r="BC157" s="99"/>
      <c r="BD157" s="99"/>
      <c r="BE157" s="99"/>
      <c r="BF157" s="99"/>
      <c r="BG157" s="99"/>
      <c r="BH157" s="99"/>
      <c r="BI157" s="99"/>
      <c r="BJ157" s="99"/>
      <c r="BK157" s="99"/>
      <c r="BL157" s="99"/>
      <c r="BM157" s="99"/>
      <c r="BO157" s="98" t="s">
        <v>478</v>
      </c>
      <c r="BP157" s="99"/>
      <c r="BQ157" s="99"/>
      <c r="BR157" s="99"/>
      <c r="BS157" s="99"/>
      <c r="BT157" s="99"/>
      <c r="BV157" s="98" t="s">
        <v>478</v>
      </c>
      <c r="BW157" s="99"/>
      <c r="BX157" s="99"/>
      <c r="BY157" s="99"/>
      <c r="BZ157" s="99"/>
      <c r="CA157" s="99"/>
      <c r="CC157" s="98" t="s">
        <v>478</v>
      </c>
      <c r="CD157" s="99"/>
      <c r="CE157" s="99"/>
      <c r="CF157" s="99"/>
      <c r="CG157" s="99"/>
      <c r="CH157" s="99"/>
      <c r="CJ157" s="98" t="s">
        <v>478</v>
      </c>
      <c r="CK157" s="99"/>
      <c r="CL157" s="99"/>
      <c r="CM157" s="99"/>
      <c r="CN157" s="99"/>
      <c r="CO157" s="99"/>
      <c r="CQ157" s="98" t="s">
        <v>478</v>
      </c>
      <c r="CR157" s="99"/>
      <c r="CS157" s="99"/>
      <c r="CT157" s="99"/>
      <c r="CU157" s="99"/>
      <c r="CV157" s="99"/>
      <c r="CX157" s="98" t="s">
        <v>478</v>
      </c>
      <c r="CY157" s="99"/>
      <c r="CZ157" s="99"/>
      <c r="DA157" s="99"/>
      <c r="DB157" s="99"/>
      <c r="DC157" s="99"/>
      <c r="DE157" s="98" t="s">
        <v>478</v>
      </c>
      <c r="DF157" s="99"/>
      <c r="DG157" s="99"/>
      <c r="DH157" s="99"/>
      <c r="DI157" s="99"/>
      <c r="DJ157" s="99"/>
      <c r="DL157" s="98" t="s">
        <v>478</v>
      </c>
      <c r="DM157" s="99"/>
      <c r="DN157" s="99"/>
      <c r="DO157" s="99"/>
      <c r="DP157" s="99"/>
      <c r="DQ157" s="99"/>
      <c r="DS157" s="98" t="s">
        <v>478</v>
      </c>
      <c r="DT157" s="99"/>
      <c r="DU157" s="99"/>
      <c r="DV157" s="99"/>
      <c r="DW157" s="99"/>
      <c r="DX157" s="99"/>
      <c r="DZ157" s="98" t="s">
        <v>478</v>
      </c>
      <c r="EA157" s="99"/>
      <c r="EB157" s="99"/>
      <c r="EC157" s="99"/>
      <c r="ED157" s="99"/>
      <c r="EE157" s="99"/>
      <c r="EG157" s="98" t="s">
        <v>478</v>
      </c>
      <c r="EH157" s="99"/>
      <c r="EI157" s="99"/>
      <c r="EJ157" s="99"/>
      <c r="EK157" s="99"/>
      <c r="EL157" s="99"/>
      <c r="EN157" s="98" t="s">
        <v>478</v>
      </c>
      <c r="EO157" s="99"/>
      <c r="EP157" s="99"/>
      <c r="EQ157" s="99"/>
      <c r="ER157" s="99"/>
      <c r="ES157" s="99"/>
      <c r="EU157" s="98" t="s">
        <v>478</v>
      </c>
      <c r="EV157" s="99"/>
      <c r="EW157" s="99"/>
      <c r="EX157" s="99"/>
      <c r="EY157" s="99"/>
      <c r="EZ157" s="99"/>
      <c r="FB157" s="98" t="s">
        <v>478</v>
      </c>
      <c r="FC157" s="99"/>
      <c r="FD157" s="99"/>
      <c r="FE157" s="99"/>
      <c r="FF157" s="99"/>
      <c r="FG157" s="99"/>
      <c r="FI157" s="98" t="s">
        <v>478</v>
      </c>
      <c r="FJ157" s="99"/>
      <c r="FK157" s="99"/>
      <c r="FL157" s="99"/>
      <c r="FM157" s="99"/>
      <c r="FN157" s="99"/>
      <c r="FP157" s="98" t="s">
        <v>478</v>
      </c>
      <c r="FQ157" s="99"/>
      <c r="FR157" s="99"/>
      <c r="FS157" s="99"/>
      <c r="FT157" s="99"/>
      <c r="FU157" s="99"/>
      <c r="FW157" s="98" t="s">
        <v>478</v>
      </c>
      <c r="FX157" s="99"/>
      <c r="FY157" s="99"/>
      <c r="FZ157" s="99"/>
      <c r="GA157" s="99"/>
      <c r="GB157" s="99"/>
      <c r="GD157" s="98" t="s">
        <v>478</v>
      </c>
      <c r="GE157" s="99"/>
      <c r="GF157" s="99"/>
      <c r="GG157" s="99"/>
      <c r="GH157" s="99"/>
      <c r="GI157" s="99"/>
      <c r="GK157" s="98" t="s">
        <v>478</v>
      </c>
      <c r="GL157" s="99"/>
      <c r="GM157" s="99"/>
      <c r="GN157" s="99"/>
      <c r="GO157" s="99"/>
      <c r="GP157" s="99"/>
      <c r="GR157" s="98" t="s">
        <v>478</v>
      </c>
      <c r="GS157" s="99"/>
      <c r="GT157" s="99"/>
      <c r="GU157" s="99"/>
      <c r="GV157" s="99"/>
      <c r="GW157" s="99"/>
      <c r="GY157" s="98" t="s">
        <v>478</v>
      </c>
      <c r="GZ157" s="99"/>
      <c r="HA157" s="99"/>
      <c r="HB157" s="99"/>
      <c r="HC157" s="99"/>
      <c r="HD157" s="99"/>
      <c r="HF157" s="98" t="s">
        <v>478</v>
      </c>
      <c r="HG157" s="99"/>
      <c r="HH157" s="99"/>
      <c r="HI157" s="99"/>
      <c r="HJ157" s="99"/>
      <c r="HK157" s="99"/>
      <c r="HM157" s="98" t="s">
        <v>478</v>
      </c>
      <c r="HN157" s="99"/>
      <c r="HO157" s="99"/>
      <c r="HP157" s="99"/>
      <c r="HQ157" s="99"/>
      <c r="HR157" s="99"/>
      <c r="HT157" s="98" t="s">
        <v>478</v>
      </c>
      <c r="HU157" s="99"/>
      <c r="HV157" s="99"/>
      <c r="HW157" s="99"/>
      <c r="HX157" s="99"/>
      <c r="HY157" s="99"/>
      <c r="IA157" s="98" t="s">
        <v>478</v>
      </c>
      <c r="IB157" s="99"/>
      <c r="IC157" s="99"/>
      <c r="ID157" s="99"/>
      <c r="IE157" s="99"/>
      <c r="IF157" s="99"/>
      <c r="IH157" s="98" t="s">
        <v>478</v>
      </c>
      <c r="II157" s="99"/>
      <c r="IJ157" s="99"/>
      <c r="IK157" s="99"/>
      <c r="IL157" s="99"/>
      <c r="IM157" s="99"/>
      <c r="IO157" s="98" t="s">
        <v>478</v>
      </c>
      <c r="IP157" s="99"/>
      <c r="IQ157" s="99"/>
      <c r="IR157" s="99"/>
      <c r="IS157" s="99"/>
      <c r="IT157" s="99"/>
      <c r="IV157" s="98" t="s">
        <v>478</v>
      </c>
      <c r="IW157" s="99"/>
      <c r="IX157" s="99"/>
      <c r="IY157" s="99"/>
      <c r="IZ157" s="99"/>
      <c r="JA157" s="99"/>
      <c r="JC157" s="98" t="s">
        <v>478</v>
      </c>
      <c r="JD157" s="99"/>
      <c r="JE157" s="99"/>
      <c r="JF157" s="99"/>
      <c r="JG157" s="99"/>
      <c r="JH157" s="99"/>
      <c r="JJ157" s="98" t="s">
        <v>478</v>
      </c>
      <c r="JK157" s="99"/>
      <c r="JL157" s="99"/>
      <c r="JM157" s="99"/>
      <c r="JN157" s="99"/>
      <c r="JO157" s="99"/>
      <c r="JQ157" s="98" t="s">
        <v>478</v>
      </c>
      <c r="JR157" s="99"/>
      <c r="JS157" s="99"/>
      <c r="JT157" s="99"/>
      <c r="JU157" s="99"/>
      <c r="JV157" s="99"/>
      <c r="JX157" s="98" t="s">
        <v>478</v>
      </c>
      <c r="JY157" s="99"/>
      <c r="JZ157" s="99"/>
      <c r="KA157" s="99"/>
      <c r="KB157" s="99"/>
      <c r="KC157" s="99"/>
      <c r="KE157" s="98" t="s">
        <v>478</v>
      </c>
      <c r="KF157" s="99"/>
      <c r="KG157" s="99"/>
      <c r="KH157" s="99"/>
      <c r="KI157" s="99"/>
      <c r="KJ157" s="99"/>
      <c r="KL157" s="98" t="s">
        <v>478</v>
      </c>
      <c r="KM157" s="99"/>
      <c r="KN157" s="99"/>
      <c r="KO157" s="99"/>
      <c r="KP157" s="99"/>
      <c r="KQ157" s="99"/>
      <c r="KS157" s="98" t="s">
        <v>478</v>
      </c>
      <c r="KT157" s="99"/>
      <c r="KU157" s="99"/>
      <c r="KV157" s="99"/>
      <c r="KW157" s="99"/>
      <c r="KX157" s="99"/>
      <c r="KZ157" s="98" t="s">
        <v>478</v>
      </c>
      <c r="LA157" s="99"/>
      <c r="LB157" s="99"/>
      <c r="LC157" s="99"/>
      <c r="LD157" s="99"/>
      <c r="LE157" s="255"/>
      <c r="LF157" s="565"/>
      <c r="LG157" s="98" t="s">
        <v>478</v>
      </c>
      <c r="LH157" s="99"/>
      <c r="LI157" s="99"/>
      <c r="LJ157" s="99"/>
      <c r="LK157" s="99"/>
      <c r="LL157" s="255"/>
      <c r="LM157" s="565"/>
      <c r="LN157" s="98" t="s">
        <v>478</v>
      </c>
      <c r="LO157" s="99"/>
      <c r="LP157" s="99"/>
      <c r="LQ157" s="99"/>
      <c r="LR157" s="99"/>
      <c r="LS157" s="255"/>
      <c r="LT157" s="565"/>
      <c r="LU157" s="98" t="s">
        <v>478</v>
      </c>
      <c r="LV157" s="99"/>
      <c r="LW157" s="99"/>
      <c r="LX157" s="99"/>
      <c r="LY157" s="99"/>
      <c r="LZ157" s="255"/>
      <c r="MA157" s="565"/>
      <c r="MB157" s="98" t="s">
        <v>478</v>
      </c>
      <c r="MC157" s="99"/>
      <c r="MD157" s="99"/>
      <c r="ME157" s="99"/>
      <c r="MF157" s="99"/>
      <c r="MG157" s="255"/>
      <c r="MH157" s="565"/>
    </row>
    <row r="158" spans="1:346" s="37" customFormat="1" ht="13.15" outlineLevel="1" x14ac:dyDescent="0.4">
      <c r="A158" s="100"/>
      <c r="B158" s="101" t="s">
        <v>471</v>
      </c>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c r="AA158" s="184"/>
      <c r="AB158" s="184"/>
      <c r="AC158" s="184"/>
      <c r="AD158" s="184"/>
      <c r="AE158" s="184"/>
      <c r="AF158" s="184"/>
      <c r="AG158" s="184"/>
      <c r="AH158" s="184"/>
      <c r="AI158" s="184"/>
      <c r="AJ158" s="184"/>
      <c r="AK158" s="184"/>
      <c r="AL158" s="184"/>
      <c r="AM158" s="184"/>
      <c r="AN158" s="184"/>
      <c r="AO158" s="184"/>
      <c r="AP158" s="184"/>
      <c r="AQ158" s="184"/>
      <c r="AR158" s="184"/>
      <c r="AS158" s="184"/>
      <c r="AT158" s="184"/>
      <c r="AU158" s="184"/>
      <c r="AV158" s="184"/>
      <c r="AW158" s="184"/>
      <c r="AX158" s="184"/>
      <c r="AY158" s="184"/>
      <c r="AZ158" s="184"/>
      <c r="BA158" s="184"/>
      <c r="BB158" s="184"/>
      <c r="BC158" s="184"/>
      <c r="BD158" s="184"/>
      <c r="BE158" s="184"/>
      <c r="BF158" s="184"/>
      <c r="BG158" s="184"/>
      <c r="BH158" s="184"/>
      <c r="BI158" s="184"/>
      <c r="BJ158" s="184"/>
      <c r="BK158" s="184"/>
      <c r="BL158" s="184"/>
      <c r="BM158" s="184"/>
      <c r="BO158" s="101" t="s">
        <v>471</v>
      </c>
      <c r="BP158" s="144"/>
      <c r="BQ158" s="144"/>
      <c r="BR158" s="144"/>
      <c r="BS158" s="144"/>
      <c r="BT158" s="144"/>
      <c r="BV158" s="101" t="s">
        <v>471</v>
      </c>
      <c r="BW158" s="144"/>
      <c r="BX158" s="144"/>
      <c r="BY158" s="144"/>
      <c r="BZ158" s="144"/>
      <c r="CA158" s="144"/>
      <c r="CC158" s="101" t="s">
        <v>471</v>
      </c>
      <c r="CD158" s="144"/>
      <c r="CE158" s="144"/>
      <c r="CF158" s="144"/>
      <c r="CG158" s="144"/>
      <c r="CH158" s="144"/>
      <c r="CJ158" s="101" t="s">
        <v>471</v>
      </c>
      <c r="CK158" s="144"/>
      <c r="CL158" s="144"/>
      <c r="CM158" s="144"/>
      <c r="CN158" s="144"/>
      <c r="CO158" s="144"/>
      <c r="CQ158" s="101" t="s">
        <v>471</v>
      </c>
      <c r="CR158" s="144"/>
      <c r="CS158" s="144"/>
      <c r="CT158" s="144"/>
      <c r="CU158" s="144"/>
      <c r="CV158" s="144"/>
      <c r="CX158" s="101" t="s">
        <v>471</v>
      </c>
      <c r="CY158" s="144"/>
      <c r="CZ158" s="144"/>
      <c r="DA158" s="144"/>
      <c r="DB158" s="144"/>
      <c r="DC158" s="144"/>
      <c r="DE158" s="101" t="s">
        <v>471</v>
      </c>
      <c r="DF158" s="144"/>
      <c r="DG158" s="144"/>
      <c r="DH158" s="144"/>
      <c r="DI158" s="144"/>
      <c r="DJ158" s="144"/>
      <c r="DL158" s="101" t="s">
        <v>471</v>
      </c>
      <c r="DM158" s="144"/>
      <c r="DN158" s="144"/>
      <c r="DO158" s="144"/>
      <c r="DP158" s="144"/>
      <c r="DQ158" s="144"/>
      <c r="DS158" s="101" t="s">
        <v>471</v>
      </c>
      <c r="DT158" s="144"/>
      <c r="DU158" s="144"/>
      <c r="DV158" s="144"/>
      <c r="DW158" s="144"/>
      <c r="DX158" s="144"/>
      <c r="DZ158" s="101" t="s">
        <v>471</v>
      </c>
      <c r="EA158" s="144"/>
      <c r="EB158" s="144"/>
      <c r="EC158" s="144"/>
      <c r="ED158" s="144"/>
      <c r="EE158" s="144"/>
      <c r="EG158" s="101" t="s">
        <v>471</v>
      </c>
      <c r="EH158" s="144"/>
      <c r="EI158" s="144"/>
      <c r="EJ158" s="144"/>
      <c r="EK158" s="144"/>
      <c r="EL158" s="144"/>
      <c r="EN158" s="101" t="s">
        <v>471</v>
      </c>
      <c r="EO158" s="144"/>
      <c r="EP158" s="144"/>
      <c r="EQ158" s="144"/>
      <c r="ER158" s="144"/>
      <c r="ES158" s="144"/>
      <c r="EU158" s="101" t="s">
        <v>471</v>
      </c>
      <c r="EV158" s="144"/>
      <c r="EW158" s="144"/>
      <c r="EX158" s="144"/>
      <c r="EY158" s="144"/>
      <c r="EZ158" s="144"/>
      <c r="FB158" s="101" t="s">
        <v>471</v>
      </c>
      <c r="FC158" s="144"/>
      <c r="FD158" s="144"/>
      <c r="FE158" s="144"/>
      <c r="FF158" s="144"/>
      <c r="FG158" s="144"/>
      <c r="FI158" s="101" t="s">
        <v>471</v>
      </c>
      <c r="FJ158" s="144"/>
      <c r="FK158" s="144"/>
      <c r="FL158" s="144"/>
      <c r="FM158" s="144"/>
      <c r="FN158" s="144"/>
      <c r="FP158" s="101" t="s">
        <v>471</v>
      </c>
      <c r="FQ158" s="144"/>
      <c r="FR158" s="144"/>
      <c r="FS158" s="144"/>
      <c r="FT158" s="144"/>
      <c r="FU158" s="144"/>
      <c r="FW158" s="101" t="s">
        <v>471</v>
      </c>
      <c r="FX158" s="144"/>
      <c r="FY158" s="144"/>
      <c r="FZ158" s="144"/>
      <c r="GA158" s="144"/>
      <c r="GB158" s="144"/>
      <c r="GD158" s="101" t="s">
        <v>471</v>
      </c>
      <c r="GE158" s="144"/>
      <c r="GF158" s="144"/>
      <c r="GG158" s="144"/>
      <c r="GH158" s="144"/>
      <c r="GI158" s="144"/>
      <c r="GK158" s="101" t="s">
        <v>471</v>
      </c>
      <c r="GL158" s="144"/>
      <c r="GM158" s="144"/>
      <c r="GN158" s="144"/>
      <c r="GO158" s="144"/>
      <c r="GP158" s="144"/>
      <c r="GR158" s="101" t="s">
        <v>471</v>
      </c>
      <c r="GS158" s="144"/>
      <c r="GT158" s="144"/>
      <c r="GU158" s="144"/>
      <c r="GV158" s="144"/>
      <c r="GW158" s="144"/>
      <c r="GY158" s="101" t="s">
        <v>471</v>
      </c>
      <c r="GZ158" s="144"/>
      <c r="HA158" s="144"/>
      <c r="HB158" s="144"/>
      <c r="HC158" s="144"/>
      <c r="HD158" s="144"/>
      <c r="HF158" s="101" t="s">
        <v>471</v>
      </c>
      <c r="HG158" s="144"/>
      <c r="HH158" s="144"/>
      <c r="HI158" s="144"/>
      <c r="HJ158" s="144"/>
      <c r="HK158" s="144"/>
      <c r="HM158" s="101" t="s">
        <v>471</v>
      </c>
      <c r="HN158" s="144"/>
      <c r="HO158" s="144"/>
      <c r="HP158" s="144"/>
      <c r="HQ158" s="144"/>
      <c r="HR158" s="144"/>
      <c r="HT158" s="101" t="s">
        <v>471</v>
      </c>
      <c r="HU158" s="144"/>
      <c r="HV158" s="144"/>
      <c r="HW158" s="144"/>
      <c r="HX158" s="144"/>
      <c r="HY158" s="144"/>
      <c r="IA158" s="101" t="s">
        <v>471</v>
      </c>
      <c r="IB158" s="144"/>
      <c r="IC158" s="144"/>
      <c r="ID158" s="144"/>
      <c r="IE158" s="144"/>
      <c r="IF158" s="144"/>
      <c r="IH158" s="101" t="s">
        <v>471</v>
      </c>
      <c r="II158" s="144"/>
      <c r="IJ158" s="144"/>
      <c r="IK158" s="144"/>
      <c r="IL158" s="144"/>
      <c r="IM158" s="144"/>
      <c r="IO158" s="101" t="s">
        <v>471</v>
      </c>
      <c r="IP158" s="144"/>
      <c r="IQ158" s="144"/>
      <c r="IR158" s="144"/>
      <c r="IS158" s="144"/>
      <c r="IT158" s="144"/>
      <c r="IV158" s="101" t="s">
        <v>471</v>
      </c>
      <c r="IW158" s="144"/>
      <c r="IX158" s="144"/>
      <c r="IY158" s="144"/>
      <c r="IZ158" s="144"/>
      <c r="JA158" s="144"/>
      <c r="JC158" s="101" t="s">
        <v>471</v>
      </c>
      <c r="JD158" s="144"/>
      <c r="JE158" s="144"/>
      <c r="JF158" s="144"/>
      <c r="JG158" s="144"/>
      <c r="JH158" s="144"/>
      <c r="JJ158" s="101" t="s">
        <v>471</v>
      </c>
      <c r="JK158" s="144"/>
      <c r="JL158" s="144"/>
      <c r="JM158" s="144"/>
      <c r="JN158" s="144"/>
      <c r="JO158" s="144"/>
      <c r="JQ158" s="101" t="s">
        <v>471</v>
      </c>
      <c r="JR158" s="144"/>
      <c r="JS158" s="144"/>
      <c r="JT158" s="144"/>
      <c r="JU158" s="144"/>
      <c r="JV158" s="144"/>
      <c r="JX158" s="101" t="s">
        <v>471</v>
      </c>
      <c r="JY158" s="144"/>
      <c r="JZ158" s="144"/>
      <c r="KA158" s="144"/>
      <c r="KB158" s="144"/>
      <c r="KC158" s="144"/>
      <c r="KE158" s="101" t="s">
        <v>471</v>
      </c>
      <c r="KF158" s="144"/>
      <c r="KG158" s="144"/>
      <c r="KH158" s="144"/>
      <c r="KI158" s="144"/>
      <c r="KJ158" s="144"/>
      <c r="KL158" s="101" t="s">
        <v>471</v>
      </c>
      <c r="KM158" s="144"/>
      <c r="KN158" s="144"/>
      <c r="KO158" s="144"/>
      <c r="KP158" s="144"/>
      <c r="KQ158" s="144"/>
      <c r="KS158" s="101" t="s">
        <v>471</v>
      </c>
      <c r="KT158" s="144"/>
      <c r="KU158" s="144"/>
      <c r="KV158" s="184"/>
      <c r="KW158" s="144"/>
      <c r="KX158" s="144"/>
      <c r="KZ158" s="101" t="s">
        <v>471</v>
      </c>
      <c r="LA158" s="144"/>
      <c r="LB158" s="144"/>
      <c r="LC158" s="144"/>
      <c r="LD158" s="144"/>
      <c r="LE158" s="144"/>
      <c r="LF158" s="555"/>
      <c r="LG158" s="101" t="s">
        <v>471</v>
      </c>
      <c r="LH158" s="144"/>
      <c r="LI158" s="144"/>
      <c r="LJ158" s="144"/>
      <c r="LK158" s="144"/>
      <c r="LL158" s="144"/>
      <c r="LM158" s="555"/>
      <c r="LN158" s="101" t="s">
        <v>471</v>
      </c>
      <c r="LO158" s="144"/>
      <c r="LP158" s="144"/>
      <c r="LQ158" s="144"/>
      <c r="LR158" s="144"/>
      <c r="LS158" s="144"/>
      <c r="LT158" s="555"/>
      <c r="LU158" s="101" t="s">
        <v>471</v>
      </c>
      <c r="LV158" s="144"/>
      <c r="LW158" s="144"/>
      <c r="LX158" s="144"/>
      <c r="LY158" s="144"/>
      <c r="LZ158" s="144"/>
      <c r="MA158" s="555"/>
      <c r="MB158" s="101" t="s">
        <v>471</v>
      </c>
      <c r="MC158" s="144"/>
      <c r="MD158" s="144"/>
      <c r="ME158" s="144"/>
      <c r="MF158" s="144"/>
      <c r="MG158" s="144"/>
      <c r="MH158" s="555"/>
    </row>
    <row r="159" spans="1:346" s="37" customFormat="1" ht="13.15" outlineLevel="1" x14ac:dyDescent="0.4">
      <c r="A159" s="100"/>
      <c r="B159" s="101"/>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c r="AA159" s="184"/>
      <c r="AB159" s="184"/>
      <c r="AC159" s="184"/>
      <c r="AD159" s="184"/>
      <c r="AE159" s="184"/>
      <c r="AF159" s="184"/>
      <c r="AG159" s="184"/>
      <c r="AH159" s="184"/>
      <c r="AI159" s="184"/>
      <c r="AJ159" s="184"/>
      <c r="AK159" s="184"/>
      <c r="AL159" s="184"/>
      <c r="AM159" s="184"/>
      <c r="AN159" s="184"/>
      <c r="AO159" s="184"/>
      <c r="AP159" s="184"/>
      <c r="AQ159" s="184"/>
      <c r="AR159" s="184"/>
      <c r="AS159" s="184"/>
      <c r="AT159" s="184"/>
      <c r="AU159" s="184"/>
      <c r="AV159" s="184"/>
      <c r="AW159" s="184"/>
      <c r="AX159" s="184"/>
      <c r="AY159" s="184"/>
      <c r="AZ159" s="184"/>
      <c r="BA159" s="184"/>
      <c r="BB159" s="184"/>
      <c r="BC159" s="184"/>
      <c r="BD159" s="184"/>
      <c r="BE159" s="184"/>
      <c r="BF159" s="184"/>
      <c r="BG159" s="184"/>
      <c r="BH159" s="184"/>
      <c r="BI159" s="184"/>
      <c r="BJ159" s="184"/>
      <c r="BK159" s="184"/>
      <c r="BL159" s="184"/>
      <c r="BM159" s="184"/>
      <c r="BO159" s="101"/>
      <c r="BP159" s="144"/>
      <c r="BQ159" s="144"/>
      <c r="BR159" s="144"/>
      <c r="BS159" s="144"/>
      <c r="BT159" s="144"/>
      <c r="BV159" s="101"/>
      <c r="BW159" s="144"/>
      <c r="BX159" s="144"/>
      <c r="BY159" s="144"/>
      <c r="BZ159" s="144"/>
      <c r="CA159" s="144"/>
      <c r="CC159" s="101"/>
      <c r="CD159" s="144"/>
      <c r="CE159" s="144"/>
      <c r="CF159" s="144"/>
      <c r="CG159" s="144"/>
      <c r="CH159" s="144"/>
      <c r="CJ159" s="101"/>
      <c r="CK159" s="144"/>
      <c r="CL159" s="144"/>
      <c r="CM159" s="144"/>
      <c r="CN159" s="144"/>
      <c r="CO159" s="144"/>
      <c r="CQ159" s="101"/>
      <c r="CR159" s="144"/>
      <c r="CS159" s="144"/>
      <c r="CT159" s="144"/>
      <c r="CU159" s="144"/>
      <c r="CV159" s="144"/>
      <c r="CX159" s="101"/>
      <c r="CY159" s="144"/>
      <c r="CZ159" s="144"/>
      <c r="DA159" s="144"/>
      <c r="DB159" s="144"/>
      <c r="DC159" s="144"/>
      <c r="DE159" s="101"/>
      <c r="DF159" s="144"/>
      <c r="DG159" s="144"/>
      <c r="DH159" s="144"/>
      <c r="DI159" s="144"/>
      <c r="DJ159" s="144"/>
      <c r="DL159" s="101"/>
      <c r="DM159" s="144"/>
      <c r="DN159" s="144"/>
      <c r="DO159" s="144"/>
      <c r="DP159" s="144"/>
      <c r="DQ159" s="144"/>
      <c r="DS159" s="101"/>
      <c r="DT159" s="144"/>
      <c r="DU159" s="144"/>
      <c r="DV159" s="144"/>
      <c r="DW159" s="144"/>
      <c r="DX159" s="144"/>
      <c r="DZ159" s="101"/>
      <c r="EA159" s="144"/>
      <c r="EB159" s="144"/>
      <c r="EC159" s="144"/>
      <c r="ED159" s="144"/>
      <c r="EE159" s="144"/>
      <c r="EG159" s="101"/>
      <c r="EH159" s="144"/>
      <c r="EI159" s="144"/>
      <c r="EJ159" s="144"/>
      <c r="EK159" s="144"/>
      <c r="EL159" s="144"/>
      <c r="EN159" s="101"/>
      <c r="EO159" s="144"/>
      <c r="EP159" s="144"/>
      <c r="EQ159" s="144"/>
      <c r="ER159" s="144"/>
      <c r="ES159" s="144"/>
      <c r="EU159" s="101"/>
      <c r="EV159" s="144"/>
      <c r="EW159" s="144"/>
      <c r="EX159" s="144"/>
      <c r="EY159" s="144"/>
      <c r="EZ159" s="144"/>
      <c r="FB159" s="101"/>
      <c r="FC159" s="144"/>
      <c r="FD159" s="144"/>
      <c r="FE159" s="144"/>
      <c r="FF159" s="144"/>
      <c r="FG159" s="144"/>
      <c r="FI159" s="101"/>
      <c r="FJ159" s="144"/>
      <c r="FK159" s="144"/>
      <c r="FL159" s="144"/>
      <c r="FM159" s="144"/>
      <c r="FN159" s="144"/>
      <c r="FP159" s="101"/>
      <c r="FQ159" s="144"/>
      <c r="FR159" s="144"/>
      <c r="FS159" s="144"/>
      <c r="FT159" s="144"/>
      <c r="FU159" s="144"/>
      <c r="FW159" s="101"/>
      <c r="FX159" s="144"/>
      <c r="FY159" s="144"/>
      <c r="FZ159" s="144"/>
      <c r="GA159" s="144"/>
      <c r="GB159" s="144"/>
      <c r="GD159" s="101"/>
      <c r="GE159" s="144"/>
      <c r="GF159" s="144"/>
      <c r="GG159" s="144"/>
      <c r="GH159" s="144"/>
      <c r="GI159" s="144"/>
      <c r="GK159" s="101"/>
      <c r="GL159" s="144"/>
      <c r="GM159" s="144"/>
      <c r="GN159" s="144"/>
      <c r="GO159" s="144"/>
      <c r="GP159" s="144"/>
      <c r="GR159" s="101"/>
      <c r="GS159" s="144"/>
      <c r="GT159" s="144"/>
      <c r="GU159" s="144"/>
      <c r="GV159" s="144"/>
      <c r="GW159" s="144"/>
      <c r="GY159" s="101"/>
      <c r="GZ159" s="144"/>
      <c r="HA159" s="144"/>
      <c r="HB159" s="144"/>
      <c r="HC159" s="144"/>
      <c r="HD159" s="144"/>
      <c r="HF159" s="101"/>
      <c r="HG159" s="144"/>
      <c r="HH159" s="144"/>
      <c r="HI159" s="144"/>
      <c r="HJ159" s="144"/>
      <c r="HK159" s="144"/>
      <c r="HM159" s="101"/>
      <c r="HN159" s="144"/>
      <c r="HO159" s="144"/>
      <c r="HP159" s="144"/>
      <c r="HQ159" s="144"/>
      <c r="HR159" s="144"/>
      <c r="HT159" s="101"/>
      <c r="HU159" s="144"/>
      <c r="HV159" s="144"/>
      <c r="HW159" s="144"/>
      <c r="HX159" s="144"/>
      <c r="HY159" s="144"/>
      <c r="IA159" s="101"/>
      <c r="IB159" s="144"/>
      <c r="IC159" s="144"/>
      <c r="ID159" s="144"/>
      <c r="IE159" s="144"/>
      <c r="IF159" s="144"/>
      <c r="IH159" s="101"/>
      <c r="II159" s="144"/>
      <c r="IJ159" s="144"/>
      <c r="IK159" s="144"/>
      <c r="IL159" s="144"/>
      <c r="IM159" s="144"/>
      <c r="IO159" s="101"/>
      <c r="IP159" s="144"/>
      <c r="IQ159" s="144"/>
      <c r="IR159" s="144"/>
      <c r="IS159" s="144"/>
      <c r="IT159" s="144"/>
      <c r="IV159" s="101"/>
      <c r="IW159" s="144"/>
      <c r="IX159" s="144"/>
      <c r="IY159" s="144"/>
      <c r="IZ159" s="144"/>
      <c r="JA159" s="144"/>
      <c r="JC159" s="101"/>
      <c r="JD159" s="144"/>
      <c r="JE159" s="144"/>
      <c r="JF159" s="144"/>
      <c r="JG159" s="144"/>
      <c r="JH159" s="144"/>
      <c r="JJ159" s="101"/>
      <c r="JK159" s="144"/>
      <c r="JL159" s="144"/>
      <c r="JM159" s="144"/>
      <c r="JN159" s="144"/>
      <c r="JO159" s="144"/>
      <c r="JQ159" s="101"/>
      <c r="JR159" s="144"/>
      <c r="JS159" s="144"/>
      <c r="JT159" s="144"/>
      <c r="JU159" s="144"/>
      <c r="JV159" s="144"/>
      <c r="JX159" s="101"/>
      <c r="JY159" s="144"/>
      <c r="JZ159" s="144"/>
      <c r="KA159" s="144"/>
      <c r="KB159" s="144"/>
      <c r="KC159" s="144"/>
      <c r="KE159" s="101"/>
      <c r="KF159" s="144"/>
      <c r="KG159" s="144"/>
      <c r="KH159" s="144"/>
      <c r="KI159" s="144"/>
      <c r="KJ159" s="144"/>
      <c r="KL159" s="101"/>
      <c r="KM159" s="144"/>
      <c r="KN159" s="144"/>
      <c r="KO159" s="144"/>
      <c r="KP159" s="144"/>
      <c r="KQ159" s="144"/>
      <c r="KS159" s="101"/>
      <c r="KT159" s="144"/>
      <c r="KU159" s="144"/>
      <c r="KV159" s="184"/>
      <c r="KW159" s="144"/>
      <c r="KX159" s="144"/>
      <c r="KZ159" s="101"/>
      <c r="LA159" s="144"/>
      <c r="LB159" s="144"/>
      <c r="LC159" s="144"/>
      <c r="LD159" s="144"/>
      <c r="LE159" s="144"/>
      <c r="LF159" s="555"/>
      <c r="LG159" s="101"/>
      <c r="LH159" s="144"/>
      <c r="LI159" s="144"/>
      <c r="LJ159" s="144"/>
      <c r="LK159" s="144"/>
      <c r="LL159" s="144"/>
      <c r="LM159" s="555"/>
      <c r="LN159" s="101"/>
      <c r="LO159" s="144"/>
      <c r="LP159" s="144"/>
      <c r="LQ159" s="144"/>
      <c r="LR159" s="144"/>
      <c r="LS159" s="144"/>
      <c r="LT159" s="555"/>
      <c r="LU159" s="101"/>
      <c r="LV159" s="144"/>
      <c r="LW159" s="144"/>
      <c r="LX159" s="144"/>
      <c r="LY159" s="144"/>
      <c r="LZ159" s="144"/>
      <c r="MA159" s="555"/>
      <c r="MB159" s="101"/>
      <c r="MC159" s="144"/>
      <c r="MD159" s="144"/>
      <c r="ME159" s="144"/>
      <c r="MF159" s="144"/>
      <c r="MG159" s="144"/>
      <c r="MH159" s="555"/>
    </row>
    <row r="160" spans="1:346" s="37" customFormat="1" ht="13.15" outlineLevel="1" x14ac:dyDescent="0.4">
      <c r="A160" s="100"/>
      <c r="B160" s="289" t="s">
        <v>479</v>
      </c>
      <c r="C160" s="290"/>
      <c r="D160" s="290"/>
      <c r="E160" s="290"/>
      <c r="F160" s="290"/>
      <c r="G160" s="290"/>
      <c r="H160" s="290"/>
      <c r="I160" s="290"/>
      <c r="J160" s="290"/>
      <c r="K160" s="290"/>
      <c r="L160" s="290"/>
      <c r="M160" s="290"/>
      <c r="N160" s="290">
        <f>BT160</f>
        <v>0</v>
      </c>
      <c r="O160" s="290">
        <f>CA160</f>
        <v>0</v>
      </c>
      <c r="P160" s="290">
        <f>CH160</f>
        <v>0</v>
      </c>
      <c r="Q160" s="290">
        <f>CO160</f>
        <v>0</v>
      </c>
      <c r="R160" s="290">
        <f>CV160</f>
        <v>0</v>
      </c>
      <c r="S160" s="290">
        <f>DC160</f>
        <v>0</v>
      </c>
      <c r="T160" s="290">
        <f>DJ160</f>
        <v>0</v>
      </c>
      <c r="U160" s="290">
        <f>DQ160</f>
        <v>0</v>
      </c>
      <c r="V160" s="290">
        <f>DX160</f>
        <v>0</v>
      </c>
      <c r="W160" s="290">
        <f>EE160</f>
        <v>0</v>
      </c>
      <c r="X160" s="290">
        <f>EL160</f>
        <v>0</v>
      </c>
      <c r="Y160" s="290">
        <f>ES160</f>
        <v>0</v>
      </c>
      <c r="Z160" s="290">
        <f>EZ160</f>
        <v>0</v>
      </c>
      <c r="AA160" s="290">
        <f>FG160</f>
        <v>0</v>
      </c>
      <c r="AB160" s="290">
        <f>FN160</f>
        <v>0</v>
      </c>
      <c r="AC160" s="290">
        <f>FU160</f>
        <v>0</v>
      </c>
      <c r="AD160" s="290">
        <f>GB160</f>
        <v>924.16666666666663</v>
      </c>
      <c r="AE160" s="290">
        <f>GI160</f>
        <v>1041.75</v>
      </c>
      <c r="AF160" s="290">
        <f>GP160</f>
        <v>1185.5</v>
      </c>
      <c r="AG160" s="290">
        <f>GW160</f>
        <v>1247.5833333333333</v>
      </c>
      <c r="AH160" s="290">
        <f>HD160</f>
        <v>1213.4166666666667</v>
      </c>
      <c r="AI160" s="290">
        <f>HK160</f>
        <v>1175.3333333333333</v>
      </c>
      <c r="AJ160" s="290">
        <f>HR160</f>
        <v>1230.8333333333333</v>
      </c>
      <c r="AK160" s="290">
        <f>HY160</f>
        <v>1322.75</v>
      </c>
      <c r="AL160" s="290">
        <f>IF160</f>
        <v>1332</v>
      </c>
      <c r="AM160" s="290">
        <f>IM160</f>
        <v>1335.1666666666667</v>
      </c>
      <c r="AN160" s="290">
        <f>IT160</f>
        <v>1274.5</v>
      </c>
      <c r="AO160" s="290">
        <f>JA160</f>
        <v>1209.8333333333333</v>
      </c>
      <c r="AP160" s="290">
        <f>JH160</f>
        <v>927.41666666666663</v>
      </c>
      <c r="AQ160" s="290">
        <f>JO160</f>
        <v>790.5</v>
      </c>
      <c r="AR160" s="290">
        <f>JV160</f>
        <v>798.41666666666663</v>
      </c>
      <c r="AS160" s="290">
        <f>KC160</f>
        <v>764.91666666666663</v>
      </c>
      <c r="AT160" s="290">
        <f>KJ160</f>
        <v>749.91666666666663</v>
      </c>
      <c r="AU160" s="290">
        <f>KQ160</f>
        <v>798.58333333333337</v>
      </c>
      <c r="AV160" s="290">
        <f>KX160</f>
        <v>910.91666666666663</v>
      </c>
      <c r="AW160" s="290">
        <f>LE160</f>
        <v>0</v>
      </c>
      <c r="AX160" s="290">
        <f>LL160</f>
        <v>0</v>
      </c>
      <c r="AY160" s="290">
        <f>LS160</f>
        <v>0</v>
      </c>
      <c r="AZ160" s="290">
        <f>LZ160</f>
        <v>0</v>
      </c>
      <c r="BA160" s="290">
        <f>MG160</f>
        <v>0</v>
      </c>
      <c r="BB160" s="290"/>
      <c r="BC160" s="290"/>
      <c r="BD160" s="290"/>
      <c r="BE160" s="290"/>
      <c r="BF160" s="290"/>
      <c r="BG160" s="290"/>
      <c r="BH160" s="290"/>
      <c r="BI160" s="290"/>
      <c r="BJ160" s="290"/>
      <c r="BK160" s="290"/>
      <c r="BL160" s="290"/>
      <c r="BM160" s="290"/>
      <c r="BO160" s="289" t="s">
        <v>479</v>
      </c>
      <c r="BP160" s="290"/>
      <c r="BQ160" s="290"/>
      <c r="BR160" s="290"/>
      <c r="BS160" s="290"/>
      <c r="BT160" s="290"/>
      <c r="BV160" s="289" t="s">
        <v>479</v>
      </c>
      <c r="BW160" s="290"/>
      <c r="BX160" s="290"/>
      <c r="BY160" s="290"/>
      <c r="BZ160" s="290"/>
      <c r="CA160" s="290"/>
      <c r="CC160" s="289" t="s">
        <v>479</v>
      </c>
      <c r="CD160" s="290"/>
      <c r="CE160" s="290"/>
      <c r="CF160" s="290"/>
      <c r="CG160" s="290"/>
      <c r="CH160" s="290"/>
      <c r="CJ160" s="289" t="s">
        <v>479</v>
      </c>
      <c r="CK160" s="290"/>
      <c r="CL160" s="290"/>
      <c r="CM160" s="290"/>
      <c r="CN160" s="290"/>
      <c r="CO160" s="290"/>
      <c r="CQ160" s="289" t="s">
        <v>479</v>
      </c>
      <c r="CR160" s="290"/>
      <c r="CS160" s="290"/>
      <c r="CT160" s="290"/>
      <c r="CU160" s="290"/>
      <c r="CV160" s="290"/>
      <c r="CX160" s="289" t="s">
        <v>479</v>
      </c>
      <c r="CY160" s="290"/>
      <c r="CZ160" s="290"/>
      <c r="DA160" s="290"/>
      <c r="DB160" s="290"/>
      <c r="DC160" s="290"/>
      <c r="DE160" s="289" t="s">
        <v>479</v>
      </c>
      <c r="DF160" s="290"/>
      <c r="DG160" s="290"/>
      <c r="DH160" s="290"/>
      <c r="DI160" s="290"/>
      <c r="DJ160" s="290"/>
      <c r="DL160" s="289" t="s">
        <v>479</v>
      </c>
      <c r="DM160" s="290"/>
      <c r="DN160" s="290"/>
      <c r="DO160" s="290"/>
      <c r="DP160" s="290"/>
      <c r="DQ160" s="290"/>
      <c r="DS160" s="289" t="s">
        <v>479</v>
      </c>
      <c r="DT160" s="290"/>
      <c r="DU160" s="290"/>
      <c r="DV160" s="290"/>
      <c r="DW160" s="290"/>
      <c r="DX160" s="290"/>
      <c r="DZ160" s="289" t="s">
        <v>479</v>
      </c>
      <c r="EA160" s="290"/>
      <c r="EB160" s="290"/>
      <c r="EC160" s="290"/>
      <c r="ED160" s="290"/>
      <c r="EE160" s="290"/>
      <c r="EG160" s="289" t="s">
        <v>479</v>
      </c>
      <c r="EH160" s="290"/>
      <c r="EI160" s="290"/>
      <c r="EJ160" s="290"/>
      <c r="EK160" s="290"/>
      <c r="EL160" s="290"/>
      <c r="EN160" s="289" t="s">
        <v>479</v>
      </c>
      <c r="EO160" s="290"/>
      <c r="EP160" s="290"/>
      <c r="EQ160" s="290"/>
      <c r="ER160" s="290"/>
      <c r="ES160" s="290"/>
      <c r="EU160" s="289" t="s">
        <v>479</v>
      </c>
      <c r="EV160" s="290"/>
      <c r="EW160" s="290"/>
      <c r="EX160" s="290"/>
      <c r="EY160" s="290"/>
      <c r="EZ160" s="290"/>
      <c r="FB160" s="289" t="s">
        <v>479</v>
      </c>
      <c r="FC160" s="290"/>
      <c r="FD160" s="290"/>
      <c r="FE160" s="290"/>
      <c r="FF160" s="290"/>
      <c r="FG160" s="290"/>
      <c r="FI160" s="289" t="s">
        <v>479</v>
      </c>
      <c r="FJ160" s="290"/>
      <c r="FK160" s="290"/>
      <c r="FL160" s="290"/>
      <c r="FM160" s="290"/>
      <c r="FN160" s="290"/>
      <c r="FP160" s="289" t="s">
        <v>479</v>
      </c>
      <c r="FQ160" s="290"/>
      <c r="FR160" s="290"/>
      <c r="FS160" s="290"/>
      <c r="FT160" s="290"/>
      <c r="FU160" s="290"/>
      <c r="FW160" s="289" t="s">
        <v>479</v>
      </c>
      <c r="FX160" s="290">
        <f>AVERAGE(FX161:FX163)</f>
        <v>895</v>
      </c>
      <c r="FY160" s="290">
        <f>AVERAGE(FY161:FY163)</f>
        <v>921.33333333333337</v>
      </c>
      <c r="FZ160" s="290">
        <f>AVERAGE(FZ161:FZ163)</f>
        <v>943.66666666666663</v>
      </c>
      <c r="GA160" s="290">
        <f>AVERAGE(GA161:GA163)</f>
        <v>936.66666666666663</v>
      </c>
      <c r="GB160" s="290">
        <f>AVERAGE(FX161:GA163)</f>
        <v>924.16666666666663</v>
      </c>
      <c r="GD160" s="289" t="s">
        <v>479</v>
      </c>
      <c r="GE160" s="290">
        <f>AVERAGE(GE161:GE163)</f>
        <v>970.66666666666663</v>
      </c>
      <c r="GF160" s="290">
        <f>AVERAGE(GF161:GF163)</f>
        <v>955.33333333333337</v>
      </c>
      <c r="GG160" s="290">
        <f>AVERAGE(GG161:GG163)</f>
        <v>1088</v>
      </c>
      <c r="GH160" s="290">
        <f>AVERAGE(GH161:GH163)</f>
        <v>1153</v>
      </c>
      <c r="GI160" s="290">
        <f>AVERAGE(GE161:GH163)</f>
        <v>1041.75</v>
      </c>
      <c r="GK160" s="289" t="s">
        <v>479</v>
      </c>
      <c r="GL160" s="290">
        <f>AVERAGE(GL161:GL163)</f>
        <v>1153.3333333333333</v>
      </c>
      <c r="GM160" s="290">
        <f>AVERAGE(GM161:GM163)</f>
        <v>1157.3333333333333</v>
      </c>
      <c r="GN160" s="290">
        <f>AVERAGE(GN161:GN163)</f>
        <v>1193.3333333333333</v>
      </c>
      <c r="GO160" s="290">
        <f>AVERAGE(GO161:GO163)</f>
        <v>1238</v>
      </c>
      <c r="GP160" s="290">
        <f>AVERAGE(GL161:GO163)</f>
        <v>1185.5</v>
      </c>
      <c r="GR160" s="289" t="s">
        <v>479</v>
      </c>
      <c r="GS160" s="290">
        <f>AVERAGE(GS161:GS163)</f>
        <v>1237.6666666666667</v>
      </c>
      <c r="GT160" s="290">
        <f>AVERAGE(GT161:GT163)</f>
        <v>1252.6666666666667</v>
      </c>
      <c r="GU160" s="290">
        <f>AVERAGE(GU161:GU163)</f>
        <v>1251</v>
      </c>
      <c r="GV160" s="290">
        <f>AVERAGE(GV161:GV163)</f>
        <v>1249</v>
      </c>
      <c r="GW160" s="290">
        <f>AVERAGE(GS161:GV163)</f>
        <v>1247.5833333333333</v>
      </c>
      <c r="GY160" s="289" t="s">
        <v>479</v>
      </c>
      <c r="GZ160" s="290">
        <f>AVERAGE(GZ161:GZ163)</f>
        <v>1241.6666666666667</v>
      </c>
      <c r="HA160" s="290">
        <f>AVERAGE(HA161:HA163)</f>
        <v>1233.3333333333333</v>
      </c>
      <c r="HB160" s="290">
        <f>AVERAGE(HB161:HB163)</f>
        <v>1221.3333333333333</v>
      </c>
      <c r="HC160" s="290">
        <f>AVERAGE(HC161:HC163)</f>
        <v>1157.3333333333333</v>
      </c>
      <c r="HD160" s="290">
        <f>AVERAGE(GZ161:HC163)</f>
        <v>1213.4166666666667</v>
      </c>
      <c r="HF160" s="289" t="s">
        <v>479</v>
      </c>
      <c r="HG160" s="290">
        <f>AVERAGE(HG161:HG163)</f>
        <v>1162.3333333333333</v>
      </c>
      <c r="HH160" s="290">
        <f>AVERAGE(HH161:HH163)</f>
        <v>1160</v>
      </c>
      <c r="HI160" s="290">
        <f>AVERAGE(HI161:HI163)</f>
        <v>1173.3333333333333</v>
      </c>
      <c r="HJ160" s="290">
        <f>AVERAGE(HJ161:HJ163)</f>
        <v>1205.6666666666667</v>
      </c>
      <c r="HK160" s="290">
        <f>AVERAGE(HG161:HJ163)</f>
        <v>1175.3333333333333</v>
      </c>
      <c r="HM160" s="289" t="s">
        <v>479</v>
      </c>
      <c r="HN160" s="290">
        <f>AVERAGE(HN161:HN163)</f>
        <v>1214</v>
      </c>
      <c r="HO160" s="290">
        <f>AVERAGE(HO161:HO163)</f>
        <v>1212</v>
      </c>
      <c r="HP160" s="290">
        <f>AVERAGE(HP161:HP163)</f>
        <v>1228.3333333333333</v>
      </c>
      <c r="HQ160" s="290">
        <f>AVERAGE(HQ161:HQ163)</f>
        <v>1269</v>
      </c>
      <c r="HR160" s="290">
        <f>AVERAGE(HN161:HQ163)</f>
        <v>1230.8333333333333</v>
      </c>
      <c r="HT160" s="289" t="s">
        <v>479</v>
      </c>
      <c r="HU160" s="290">
        <f>AVERAGE(HU161:HU163)</f>
        <v>1300.3333333333333</v>
      </c>
      <c r="HV160" s="290">
        <f>AVERAGE(HV161:HV163)</f>
        <v>1319.6666666666667</v>
      </c>
      <c r="HW160" s="290">
        <f>AVERAGE(HW161:HW163)</f>
        <v>1324</v>
      </c>
      <c r="HX160" s="290">
        <f>AVERAGE(HX161:HX163)</f>
        <v>1347</v>
      </c>
      <c r="HY160" s="290">
        <f>AVERAGE(HU161:HX163)</f>
        <v>1322.75</v>
      </c>
      <c r="IA160" s="289" t="s">
        <v>479</v>
      </c>
      <c r="IB160" s="290">
        <f>AVERAGE(IB161:IB163)</f>
        <v>1357.3333333333333</v>
      </c>
      <c r="IC160" s="290">
        <f>AVERAGE(IC161:IC163)</f>
        <v>1329</v>
      </c>
      <c r="ID160" s="290">
        <f>AVERAGE(ID161:ID163)</f>
        <v>1321.3333333333333</v>
      </c>
      <c r="IE160" s="290">
        <f>AVERAGE(IE161:IE163)</f>
        <v>1320.3333333333333</v>
      </c>
      <c r="IF160" s="290">
        <f>AVERAGE(IB161:IE163)</f>
        <v>1332</v>
      </c>
      <c r="IH160" s="289" t="s">
        <v>479</v>
      </c>
      <c r="II160" s="290">
        <f>AVERAGE(II161:II163)</f>
        <v>1316.6666666666667</v>
      </c>
      <c r="IJ160" s="290">
        <f>AVERAGE(IJ161:IJ163)</f>
        <v>1323</v>
      </c>
      <c r="IK160" s="290">
        <f>AVERAGE(IK161:IK163)</f>
        <v>1345</v>
      </c>
      <c r="IL160" s="290">
        <f>AVERAGE(IL161:IL163)</f>
        <v>1356</v>
      </c>
      <c r="IM160" s="290">
        <f>AVERAGE(II161:IL163)</f>
        <v>1335.1666666666667</v>
      </c>
      <c r="IO160" s="289" t="s">
        <v>479</v>
      </c>
      <c r="IP160" s="290">
        <f>AVERAGE(IP161:IP163)</f>
        <v>1296.3333333333333</v>
      </c>
      <c r="IQ160" s="290">
        <f>AVERAGE(IQ161:IQ163)</f>
        <v>1286.3333333333333</v>
      </c>
      <c r="IR160" s="290">
        <f>AVERAGE(IR161:IR163)</f>
        <v>1259.3333333333333</v>
      </c>
      <c r="IS160" s="290">
        <f>AVERAGE(IS161:IS163)</f>
        <v>1256</v>
      </c>
      <c r="IT160" s="290">
        <f>AVERAGE(IP161:IS163)</f>
        <v>1274.5</v>
      </c>
      <c r="IV160" s="289" t="s">
        <v>479</v>
      </c>
      <c r="IW160" s="290">
        <f>AVERAGE(IW161:IW163)</f>
        <v>1229</v>
      </c>
      <c r="IX160" s="290">
        <f>AVERAGE(IX161:IX163)</f>
        <v>1217.6666666666667</v>
      </c>
      <c r="IY160" s="290">
        <f>AVERAGE(IY161:IY163)</f>
        <v>1198.6666666666667</v>
      </c>
      <c r="IZ160" s="290">
        <f>AVERAGE(IZ161:IZ163)</f>
        <v>1194</v>
      </c>
      <c r="JA160" s="290">
        <f>AVERAGE(IW161:IZ163)</f>
        <v>1209.8333333333333</v>
      </c>
      <c r="JC160" s="289" t="s">
        <v>479</v>
      </c>
      <c r="JD160" s="290">
        <f>AVERAGE(JD161:JD163)</f>
        <v>1203.6666666666667</v>
      </c>
      <c r="JE160" s="290">
        <f>AVERAGE(JE161:JE163)</f>
        <v>922</v>
      </c>
      <c r="JF160" s="290">
        <f>AVERAGE(JF161:JF163)</f>
        <v>819</v>
      </c>
      <c r="JG160" s="290">
        <f>AVERAGE(JG161:JG163)</f>
        <v>765</v>
      </c>
      <c r="JH160" s="290">
        <f>AVERAGE(JD161:JG163)</f>
        <v>927.41666666666663</v>
      </c>
      <c r="JJ160" s="289" t="s">
        <v>479</v>
      </c>
      <c r="JK160" s="290">
        <f>AVERAGE(JK161:JK163)</f>
        <v>764</v>
      </c>
      <c r="JL160" s="290">
        <f>AVERAGE(JL161:JL163)</f>
        <v>780.66666666666663</v>
      </c>
      <c r="JM160" s="290">
        <f>AVERAGE(JM161:JM163)</f>
        <v>808</v>
      </c>
      <c r="JN160" s="290">
        <f>AVERAGE(JN161:JN163)</f>
        <v>809.33333333333337</v>
      </c>
      <c r="JO160" s="290">
        <f>AVERAGE(JK161:JN163)</f>
        <v>790.5</v>
      </c>
      <c r="JQ160" s="289" t="s">
        <v>479</v>
      </c>
      <c r="JR160" s="290">
        <f>AVERAGE(JR161:JR163)</f>
        <v>810.33333333333337</v>
      </c>
      <c r="JS160" s="290">
        <f>AVERAGE(JS161:JS163)</f>
        <v>796</v>
      </c>
      <c r="JT160" s="290">
        <f>AVERAGE(JT161:JT163)</f>
        <v>795.33333333333337</v>
      </c>
      <c r="JU160" s="290">
        <f>AVERAGE(JU161:JU163)</f>
        <v>792</v>
      </c>
      <c r="JV160" s="290">
        <f>AVERAGE(JR161:JU163)</f>
        <v>798.41666666666663</v>
      </c>
      <c r="JX160" s="289" t="s">
        <v>479</v>
      </c>
      <c r="JY160" s="290">
        <f>AVERAGE(JY161:JY163)</f>
        <v>779</v>
      </c>
      <c r="JZ160" s="290">
        <f>AVERAGE(JZ161:JZ163)</f>
        <v>773</v>
      </c>
      <c r="KA160" s="290">
        <f>AVERAGE(KA161:KA163)</f>
        <v>752</v>
      </c>
      <c r="KB160" s="290">
        <f>AVERAGE(KB161:KB163)</f>
        <v>755.66666666666663</v>
      </c>
      <c r="KC160" s="290">
        <f>AVERAGE(JY161:KB163)</f>
        <v>764.91666666666663</v>
      </c>
      <c r="KE160" s="289" t="s">
        <v>479</v>
      </c>
      <c r="KF160" s="290">
        <f>AVERAGE(KF161:KF163)</f>
        <v>758.66666666666663</v>
      </c>
      <c r="KG160" s="290">
        <f>AVERAGE(KG161:KG163)</f>
        <v>749.66666666666663</v>
      </c>
      <c r="KH160" s="290">
        <f>AVERAGE(KH161:KH163)</f>
        <v>735.66666666666663</v>
      </c>
      <c r="KI160" s="290">
        <f>AVERAGE(KI161:KI163)</f>
        <v>755.66666666666663</v>
      </c>
      <c r="KJ160" s="290">
        <f>AVERAGE(KF161:KI163)</f>
        <v>749.91666666666663</v>
      </c>
      <c r="KL160" s="289" t="s">
        <v>479</v>
      </c>
      <c r="KM160" s="290">
        <f>AVERAGE(KM161:KM163)</f>
        <v>757.33333333333337</v>
      </c>
      <c r="KN160" s="290">
        <f>AVERAGE(KN161:KN163)</f>
        <v>777</v>
      </c>
      <c r="KO160" s="290">
        <f>AVERAGE(KO161:KO163)</f>
        <v>820.33333333333337</v>
      </c>
      <c r="KP160" s="290">
        <f>AVERAGE(KP161:KP163)</f>
        <v>839.66666666666663</v>
      </c>
      <c r="KQ160" s="290">
        <f>AVERAGE(KM161:KP163)</f>
        <v>798.58333333333337</v>
      </c>
      <c r="KS160" s="289" t="s">
        <v>479</v>
      </c>
      <c r="KT160" s="290">
        <f>AVERAGE(KT161:KT163)</f>
        <v>881</v>
      </c>
      <c r="KU160" s="290">
        <f>AVERAGE(KU161:KU163)</f>
        <v>916.33333333333337</v>
      </c>
      <c r="KV160" s="290">
        <f>AVERAGE(KV161:KV163)</f>
        <v>920.66666666666663</v>
      </c>
      <c r="KW160" s="291">
        <f>AVERAGE(KW161:KW163)</f>
        <v>925.66666666666663</v>
      </c>
      <c r="KX160" s="290">
        <f>AVERAGE(KT161:KW163)</f>
        <v>910.91666666666663</v>
      </c>
      <c r="KZ160" s="289" t="s">
        <v>479</v>
      </c>
      <c r="LA160" s="290"/>
      <c r="LB160" s="144"/>
      <c r="LC160" s="144"/>
      <c r="LD160" s="144"/>
      <c r="LE160" s="290"/>
      <c r="LF160" s="555"/>
      <c r="LG160" s="289" t="s">
        <v>479</v>
      </c>
      <c r="LH160" s="144"/>
      <c r="LI160" s="144"/>
      <c r="LJ160" s="144"/>
      <c r="LK160" s="144"/>
      <c r="LL160" s="290"/>
      <c r="LM160" s="555"/>
      <c r="LN160" s="289" t="s">
        <v>479</v>
      </c>
      <c r="LO160" s="144"/>
      <c r="LP160" s="144"/>
      <c r="LQ160" s="144"/>
      <c r="LR160" s="144"/>
      <c r="LS160" s="290"/>
      <c r="LT160" s="555"/>
      <c r="LU160" s="289" t="s">
        <v>479</v>
      </c>
      <c r="LV160" s="144"/>
      <c r="LW160" s="144"/>
      <c r="LX160" s="144"/>
      <c r="LY160" s="144"/>
      <c r="LZ160" s="290"/>
      <c r="MA160" s="555"/>
      <c r="MB160" s="289" t="s">
        <v>479</v>
      </c>
      <c r="MC160" s="144"/>
      <c r="MD160" s="144"/>
      <c r="ME160" s="144"/>
      <c r="MF160" s="144"/>
      <c r="MG160" s="290"/>
      <c r="MH160" s="555"/>
    </row>
    <row r="161" spans="1:346" s="37" customFormat="1" ht="13.15" outlineLevel="1" x14ac:dyDescent="0.4">
      <c r="A161" s="100"/>
      <c r="B161" s="36" t="s">
        <v>480</v>
      </c>
      <c r="BO161" s="36" t="s">
        <v>480</v>
      </c>
      <c r="BV161" s="36" t="s">
        <v>480</v>
      </c>
      <c r="CC161" s="36" t="s">
        <v>480</v>
      </c>
      <c r="CJ161" s="36" t="s">
        <v>480</v>
      </c>
      <c r="CQ161" s="36" t="s">
        <v>480</v>
      </c>
      <c r="CX161" s="36" t="s">
        <v>480</v>
      </c>
      <c r="DE161" s="36" t="s">
        <v>480</v>
      </c>
      <c r="DL161" s="36" t="s">
        <v>480</v>
      </c>
      <c r="DS161" s="36" t="s">
        <v>480</v>
      </c>
      <c r="DZ161" s="36" t="s">
        <v>480</v>
      </c>
      <c r="EG161" s="36" t="s">
        <v>480</v>
      </c>
      <c r="EN161" s="36" t="s">
        <v>480</v>
      </c>
      <c r="EU161" s="36" t="s">
        <v>480</v>
      </c>
      <c r="FB161" s="36" t="s">
        <v>480</v>
      </c>
      <c r="FI161" s="36" t="s">
        <v>480</v>
      </c>
      <c r="FP161" s="36" t="s">
        <v>480</v>
      </c>
      <c r="FW161" s="36" t="s">
        <v>480</v>
      </c>
      <c r="FX161" s="37">
        <v>824</v>
      </c>
      <c r="FY161" s="37">
        <v>921</v>
      </c>
      <c r="FZ161" s="37">
        <v>945</v>
      </c>
      <c r="GA161" s="37">
        <v>934</v>
      </c>
      <c r="GB161" s="37" t="s">
        <v>80</v>
      </c>
      <c r="GD161" s="36" t="s">
        <v>480</v>
      </c>
      <c r="GE161" s="37">
        <v>968</v>
      </c>
      <c r="GF161" s="37">
        <v>951</v>
      </c>
      <c r="GG161" s="37">
        <v>989</v>
      </c>
      <c r="GH161" s="37">
        <v>1160</v>
      </c>
      <c r="GI161" s="37" t="s">
        <v>80</v>
      </c>
      <c r="GK161" s="36" t="s">
        <v>480</v>
      </c>
      <c r="GL161" s="37">
        <v>1154</v>
      </c>
      <c r="GM161" s="37">
        <v>1149</v>
      </c>
      <c r="GN161" s="37">
        <v>1157</v>
      </c>
      <c r="GO161" s="37">
        <v>1227</v>
      </c>
      <c r="GP161" s="37" t="s">
        <v>80</v>
      </c>
      <c r="GR161" s="36" t="s">
        <v>480</v>
      </c>
      <c r="GS161" s="37">
        <v>1239</v>
      </c>
      <c r="GT161" s="37">
        <v>1255</v>
      </c>
      <c r="GU161" s="37">
        <v>1257</v>
      </c>
      <c r="GV161" s="37">
        <v>1245</v>
      </c>
      <c r="GW161" s="37" t="s">
        <v>80</v>
      </c>
      <c r="GY161" s="36" t="s">
        <v>480</v>
      </c>
      <c r="GZ161" s="37">
        <v>1250</v>
      </c>
      <c r="HA161" s="37">
        <v>1239</v>
      </c>
      <c r="HB161" s="37">
        <v>1220</v>
      </c>
      <c r="HC161" s="37">
        <v>1160</v>
      </c>
      <c r="HD161" s="37" t="s">
        <v>80</v>
      </c>
      <c r="HF161" s="36" t="s">
        <v>480</v>
      </c>
      <c r="HG161" s="37">
        <v>1163</v>
      </c>
      <c r="HH161" s="37">
        <v>1169</v>
      </c>
      <c r="HI161" s="37">
        <v>1174</v>
      </c>
      <c r="HJ161" s="37">
        <v>1198</v>
      </c>
      <c r="HK161" s="37" t="s">
        <v>80</v>
      </c>
      <c r="HM161" s="36" t="s">
        <v>480</v>
      </c>
      <c r="HN161" s="37">
        <v>1224</v>
      </c>
      <c r="HO161" s="37">
        <v>1217</v>
      </c>
      <c r="HP161" s="37">
        <v>1207</v>
      </c>
      <c r="HQ161" s="37">
        <v>1248</v>
      </c>
      <c r="HR161" s="37" t="s">
        <v>80</v>
      </c>
      <c r="HT161" s="36" t="s">
        <v>480</v>
      </c>
      <c r="HU161" s="37">
        <v>1293</v>
      </c>
      <c r="HV161" s="37">
        <v>1319</v>
      </c>
      <c r="HW161" s="37">
        <v>1323</v>
      </c>
      <c r="HX161" s="37">
        <v>1335</v>
      </c>
      <c r="HY161" s="37" t="s">
        <v>80</v>
      </c>
      <c r="IA161" s="36" t="s">
        <v>480</v>
      </c>
      <c r="IB161" s="37">
        <v>1367</v>
      </c>
      <c r="IC161" s="37">
        <v>1334</v>
      </c>
      <c r="ID161" s="37">
        <v>1317</v>
      </c>
      <c r="IE161" s="37">
        <v>1324</v>
      </c>
      <c r="IF161" s="37" t="s">
        <v>80</v>
      </c>
      <c r="IH161" s="36" t="s">
        <v>480</v>
      </c>
      <c r="II161" s="37">
        <v>1320</v>
      </c>
      <c r="IJ161" s="37">
        <v>1324</v>
      </c>
      <c r="IK161" s="37">
        <v>1323</v>
      </c>
      <c r="IL161" s="37">
        <v>1361</v>
      </c>
      <c r="IM161" s="37" t="s">
        <v>80</v>
      </c>
      <c r="IO161" s="36" t="s">
        <v>480</v>
      </c>
      <c r="IP161" s="37">
        <v>1300</v>
      </c>
      <c r="IQ161" s="37">
        <v>1287</v>
      </c>
      <c r="IR161" s="37">
        <v>1267</v>
      </c>
      <c r="IS161" s="37">
        <v>1266</v>
      </c>
      <c r="IT161" s="37" t="s">
        <v>80</v>
      </c>
      <c r="IV161" s="36" t="s">
        <v>480</v>
      </c>
      <c r="IW161" s="37">
        <v>1231</v>
      </c>
      <c r="IX161" s="37">
        <v>1220</v>
      </c>
      <c r="IY161" s="37">
        <v>1207</v>
      </c>
      <c r="IZ161" s="37">
        <v>1188</v>
      </c>
      <c r="JA161" s="37" t="s">
        <v>80</v>
      </c>
      <c r="JC161" s="36" t="s">
        <v>480</v>
      </c>
      <c r="JD161" s="37">
        <v>1197</v>
      </c>
      <c r="JE161" s="37">
        <v>1027</v>
      </c>
      <c r="JF161" s="37">
        <v>857</v>
      </c>
      <c r="JG161" s="37">
        <v>773</v>
      </c>
      <c r="JH161" s="37" t="s">
        <v>80</v>
      </c>
      <c r="JJ161" s="36" t="s">
        <v>480</v>
      </c>
      <c r="JK161" s="37">
        <v>754</v>
      </c>
      <c r="JL161" s="37">
        <v>763</v>
      </c>
      <c r="JM161" s="37">
        <v>784</v>
      </c>
      <c r="JN161" s="37">
        <v>816</v>
      </c>
      <c r="JO161" s="37" t="s">
        <v>80</v>
      </c>
      <c r="JQ161" s="36" t="s">
        <v>480</v>
      </c>
      <c r="JR161" s="37">
        <v>798</v>
      </c>
      <c r="JS161" s="37">
        <v>806</v>
      </c>
      <c r="JT161" s="37">
        <v>792</v>
      </c>
      <c r="JU161" s="37">
        <v>799</v>
      </c>
      <c r="JV161" s="37" t="s">
        <v>80</v>
      </c>
      <c r="JX161" s="36" t="s">
        <v>480</v>
      </c>
      <c r="JY161" s="37">
        <v>793</v>
      </c>
      <c r="JZ161" s="37">
        <v>767</v>
      </c>
      <c r="KA161" s="37">
        <v>736</v>
      </c>
      <c r="KB161" s="37">
        <v>759</v>
      </c>
      <c r="KC161" s="37" t="s">
        <v>80</v>
      </c>
      <c r="KE161" s="36" t="s">
        <v>480</v>
      </c>
      <c r="KF161" s="37">
        <v>763</v>
      </c>
      <c r="KG161" s="37">
        <v>755</v>
      </c>
      <c r="KH161" s="37">
        <v>733</v>
      </c>
      <c r="KI161" s="37">
        <v>753</v>
      </c>
      <c r="KJ161" s="37" t="s">
        <v>80</v>
      </c>
      <c r="KL161" s="36" t="s">
        <v>480</v>
      </c>
      <c r="KM161" s="37">
        <v>743</v>
      </c>
      <c r="KN161" s="37">
        <v>764</v>
      </c>
      <c r="KO161" s="37">
        <v>803</v>
      </c>
      <c r="KP161" s="37">
        <v>840</v>
      </c>
      <c r="KQ161" s="37" t="s">
        <v>80</v>
      </c>
      <c r="KS161" s="36" t="s">
        <v>480</v>
      </c>
      <c r="KT161" s="37">
        <v>845</v>
      </c>
      <c r="KU161" s="37">
        <v>919</v>
      </c>
      <c r="KV161" s="37">
        <v>908</v>
      </c>
      <c r="KW161" s="37">
        <v>926</v>
      </c>
      <c r="KX161" s="37" t="s">
        <v>80</v>
      </c>
      <c r="KZ161" s="36" t="s">
        <v>480</v>
      </c>
      <c r="LB161" s="144"/>
      <c r="LC161" s="144"/>
      <c r="LD161" s="144"/>
      <c r="LF161" s="555"/>
      <c r="LG161" s="36" t="s">
        <v>480</v>
      </c>
      <c r="LH161" s="144"/>
      <c r="LI161" s="144"/>
      <c r="LJ161" s="144"/>
      <c r="LK161" s="144"/>
      <c r="LM161" s="555"/>
      <c r="LN161" s="36" t="s">
        <v>480</v>
      </c>
      <c r="LO161" s="144"/>
      <c r="LP161" s="144"/>
      <c r="LQ161" s="144"/>
      <c r="LR161" s="144"/>
      <c r="LT161" s="555"/>
      <c r="LU161" s="36" t="s">
        <v>480</v>
      </c>
      <c r="LV161" s="144"/>
      <c r="LW161" s="144"/>
      <c r="LX161" s="144"/>
      <c r="LY161" s="144"/>
      <c r="MA161" s="555"/>
      <c r="MB161" s="36" t="s">
        <v>480</v>
      </c>
      <c r="MC161" s="144"/>
      <c r="MD161" s="144"/>
      <c r="ME161" s="144"/>
      <c r="MF161" s="144"/>
      <c r="MH161" s="555"/>
    </row>
    <row r="162" spans="1:346" s="37" customFormat="1" ht="13.15" outlineLevel="1" x14ac:dyDescent="0.4">
      <c r="A162" s="100"/>
      <c r="B162" s="36" t="s">
        <v>481</v>
      </c>
      <c r="BO162" s="36" t="s">
        <v>481</v>
      </c>
      <c r="BV162" s="36" t="s">
        <v>481</v>
      </c>
      <c r="CC162" s="36" t="s">
        <v>481</v>
      </c>
      <c r="CJ162" s="36" t="s">
        <v>481</v>
      </c>
      <c r="CQ162" s="36" t="s">
        <v>481</v>
      </c>
      <c r="CX162" s="36" t="s">
        <v>481</v>
      </c>
      <c r="DE162" s="36" t="s">
        <v>481</v>
      </c>
      <c r="DL162" s="36" t="s">
        <v>481</v>
      </c>
      <c r="DS162" s="36" t="s">
        <v>481</v>
      </c>
      <c r="DZ162" s="36" t="s">
        <v>481</v>
      </c>
      <c r="EG162" s="36" t="s">
        <v>481</v>
      </c>
      <c r="EN162" s="36" t="s">
        <v>481</v>
      </c>
      <c r="EU162" s="36" t="s">
        <v>481</v>
      </c>
      <c r="FB162" s="36" t="s">
        <v>481</v>
      </c>
      <c r="FI162" s="36" t="s">
        <v>481</v>
      </c>
      <c r="FP162" s="36" t="s">
        <v>481</v>
      </c>
      <c r="FW162" s="36" t="s">
        <v>481</v>
      </c>
      <c r="FX162" s="37">
        <v>929</v>
      </c>
      <c r="FY162" s="37">
        <v>921</v>
      </c>
      <c r="FZ162" s="37">
        <v>947</v>
      </c>
      <c r="GA162" s="37">
        <v>937</v>
      </c>
      <c r="GB162" s="37" t="s">
        <v>80</v>
      </c>
      <c r="GD162" s="36" t="s">
        <v>481</v>
      </c>
      <c r="GE162" s="37">
        <v>972</v>
      </c>
      <c r="GF162" s="37">
        <v>963</v>
      </c>
      <c r="GG162" s="37">
        <v>1128</v>
      </c>
      <c r="GH162" s="37">
        <v>1145</v>
      </c>
      <c r="GI162" s="37" t="s">
        <v>80</v>
      </c>
      <c r="GK162" s="36" t="s">
        <v>481</v>
      </c>
      <c r="GL162" s="37">
        <v>1153</v>
      </c>
      <c r="GM162" s="37">
        <v>1160</v>
      </c>
      <c r="GN162" s="37">
        <v>1210</v>
      </c>
      <c r="GO162" s="37">
        <v>1243</v>
      </c>
      <c r="GP162" s="37" t="s">
        <v>80</v>
      </c>
      <c r="GR162" s="36" t="s">
        <v>481</v>
      </c>
      <c r="GS162" s="37">
        <v>1228</v>
      </c>
      <c r="GT162" s="37">
        <v>1256</v>
      </c>
      <c r="GU162" s="37">
        <v>1250</v>
      </c>
      <c r="GV162" s="37">
        <v>1250</v>
      </c>
      <c r="GW162" s="37" t="s">
        <v>80</v>
      </c>
      <c r="GY162" s="36" t="s">
        <v>481</v>
      </c>
      <c r="GZ162" s="37">
        <v>1244</v>
      </c>
      <c r="HA162" s="37">
        <v>1238</v>
      </c>
      <c r="HB162" s="37">
        <v>1211</v>
      </c>
      <c r="HC162" s="37">
        <v>1154</v>
      </c>
      <c r="HD162" s="37" t="s">
        <v>80</v>
      </c>
      <c r="HF162" s="36" t="s">
        <v>481</v>
      </c>
      <c r="HG162" s="37">
        <v>1159</v>
      </c>
      <c r="HH162" s="37">
        <v>1164</v>
      </c>
      <c r="HI162" s="37">
        <v>1170</v>
      </c>
      <c r="HJ162" s="37">
        <v>1208</v>
      </c>
      <c r="HK162" s="37" t="s">
        <v>80</v>
      </c>
      <c r="HM162" s="36" t="s">
        <v>481</v>
      </c>
      <c r="HN162" s="37">
        <v>1205</v>
      </c>
      <c r="HO162" s="37">
        <v>1209</v>
      </c>
      <c r="HP162" s="37">
        <v>1237</v>
      </c>
      <c r="HQ162" s="37">
        <v>1247</v>
      </c>
      <c r="HR162" s="37" t="s">
        <v>80</v>
      </c>
      <c r="HT162" s="36" t="s">
        <v>481</v>
      </c>
      <c r="HU162" s="37">
        <v>1291</v>
      </c>
      <c r="HV162" s="37">
        <v>1325</v>
      </c>
      <c r="HW162" s="37">
        <v>1325</v>
      </c>
      <c r="HX162" s="37">
        <v>1339</v>
      </c>
      <c r="HY162" s="37" t="s">
        <v>80</v>
      </c>
      <c r="IA162" s="36" t="s">
        <v>481</v>
      </c>
      <c r="IB162" s="37">
        <v>1358</v>
      </c>
      <c r="IC162" s="37">
        <v>1330</v>
      </c>
      <c r="ID162" s="37">
        <v>1318</v>
      </c>
      <c r="IE162" s="37">
        <v>1319</v>
      </c>
      <c r="IF162" s="37" t="s">
        <v>80</v>
      </c>
      <c r="IH162" s="36" t="s">
        <v>481</v>
      </c>
      <c r="II162" s="37">
        <v>1309</v>
      </c>
      <c r="IJ162" s="37">
        <v>1327</v>
      </c>
      <c r="IK162" s="37">
        <v>1351</v>
      </c>
      <c r="IL162" s="37">
        <v>1354</v>
      </c>
      <c r="IM162" s="37" t="s">
        <v>80</v>
      </c>
      <c r="IO162" s="36" t="s">
        <v>481</v>
      </c>
      <c r="IP162" s="37">
        <v>1296</v>
      </c>
      <c r="IQ162" s="37">
        <v>1291</v>
      </c>
      <c r="IR162" s="37">
        <v>1248</v>
      </c>
      <c r="IS162" s="37">
        <v>1253</v>
      </c>
      <c r="IT162" s="37" t="s">
        <v>80</v>
      </c>
      <c r="IV162" s="36" t="s">
        <v>481</v>
      </c>
      <c r="IW162" s="37">
        <v>1226</v>
      </c>
      <c r="IX162" s="37">
        <v>1219</v>
      </c>
      <c r="IY162" s="37">
        <v>1196</v>
      </c>
      <c r="IZ162" s="37">
        <v>1200</v>
      </c>
      <c r="JA162" s="37" t="s">
        <v>80</v>
      </c>
      <c r="JC162" s="36" t="s">
        <v>481</v>
      </c>
      <c r="JD162" s="37">
        <v>1195</v>
      </c>
      <c r="JE162" s="37">
        <v>883</v>
      </c>
      <c r="JF162" s="37">
        <v>817</v>
      </c>
      <c r="JG162" s="37">
        <v>765</v>
      </c>
      <c r="JH162" s="37" t="s">
        <v>80</v>
      </c>
      <c r="JJ162" s="36" t="s">
        <v>481</v>
      </c>
      <c r="JK162" s="37">
        <v>781</v>
      </c>
      <c r="JL162" s="37">
        <v>792</v>
      </c>
      <c r="JM162" s="37">
        <v>814</v>
      </c>
      <c r="JN162" s="37">
        <v>804</v>
      </c>
      <c r="JO162" s="37" t="s">
        <v>80</v>
      </c>
      <c r="JQ162" s="36" t="s">
        <v>481</v>
      </c>
      <c r="JR162" s="37">
        <v>816</v>
      </c>
      <c r="JS162" s="37">
        <v>793</v>
      </c>
      <c r="JT162" s="37">
        <v>796</v>
      </c>
      <c r="JU162" s="37">
        <v>788</v>
      </c>
      <c r="JV162" s="37" t="s">
        <v>80</v>
      </c>
      <c r="JX162" s="36" t="s">
        <v>481</v>
      </c>
      <c r="JY162" s="37">
        <v>777</v>
      </c>
      <c r="JZ162" s="37">
        <v>777</v>
      </c>
      <c r="KA162" s="37">
        <v>756</v>
      </c>
      <c r="KB162" s="37">
        <v>755</v>
      </c>
      <c r="KC162" s="37" t="s">
        <v>80</v>
      </c>
      <c r="KE162" s="36" t="s">
        <v>481</v>
      </c>
      <c r="KF162" s="37">
        <v>760</v>
      </c>
      <c r="KG162" s="37">
        <v>751</v>
      </c>
      <c r="KH162" s="37">
        <v>737</v>
      </c>
      <c r="KI162" s="37">
        <v>760</v>
      </c>
      <c r="KJ162" s="37" t="s">
        <v>80</v>
      </c>
      <c r="KL162" s="36" t="s">
        <v>481</v>
      </c>
      <c r="KM162" s="37">
        <v>763</v>
      </c>
      <c r="KN162" s="37">
        <v>755</v>
      </c>
      <c r="KO162" s="37">
        <v>821</v>
      </c>
      <c r="KP162" s="37">
        <v>838</v>
      </c>
      <c r="KQ162" s="37" t="s">
        <v>80</v>
      </c>
      <c r="KS162" s="36" t="s">
        <v>481</v>
      </c>
      <c r="KT162" s="37">
        <v>900</v>
      </c>
      <c r="KU162" s="37">
        <v>919</v>
      </c>
      <c r="KV162" s="37">
        <v>932</v>
      </c>
      <c r="KW162" s="37">
        <v>922</v>
      </c>
      <c r="KX162" s="37" t="s">
        <v>80</v>
      </c>
      <c r="KZ162" s="36" t="s">
        <v>481</v>
      </c>
      <c r="LB162" s="144"/>
      <c r="LC162" s="144"/>
      <c r="LD162" s="144"/>
      <c r="LF162" s="555"/>
      <c r="LG162" s="36" t="s">
        <v>481</v>
      </c>
      <c r="LH162" s="144"/>
      <c r="LI162" s="144"/>
      <c r="LJ162" s="144"/>
      <c r="LK162" s="144"/>
      <c r="LM162" s="555"/>
      <c r="LN162" s="36" t="s">
        <v>481</v>
      </c>
      <c r="LO162" s="144"/>
      <c r="LP162" s="144"/>
      <c r="LQ162" s="144"/>
      <c r="LR162" s="144"/>
      <c r="LT162" s="555"/>
      <c r="LU162" s="36" t="s">
        <v>481</v>
      </c>
      <c r="LV162" s="144"/>
      <c r="LW162" s="144"/>
      <c r="LX162" s="144"/>
      <c r="LY162" s="144"/>
      <c r="MA162" s="555"/>
      <c r="MB162" s="36" t="s">
        <v>481</v>
      </c>
      <c r="MC162" s="144"/>
      <c r="MD162" s="144"/>
      <c r="ME162" s="144"/>
      <c r="MF162" s="144"/>
      <c r="MH162" s="555"/>
    </row>
    <row r="163" spans="1:346" s="37" customFormat="1" ht="13.15" outlineLevel="1" x14ac:dyDescent="0.4">
      <c r="A163" s="100"/>
      <c r="B163" s="36" t="s">
        <v>482</v>
      </c>
      <c r="BO163" s="36" t="s">
        <v>482</v>
      </c>
      <c r="BV163" s="36" t="s">
        <v>482</v>
      </c>
      <c r="CC163" s="36" t="s">
        <v>482</v>
      </c>
      <c r="CJ163" s="36" t="s">
        <v>482</v>
      </c>
      <c r="CQ163" s="36" t="s">
        <v>482</v>
      </c>
      <c r="CX163" s="36" t="s">
        <v>482</v>
      </c>
      <c r="DE163" s="36" t="s">
        <v>482</v>
      </c>
      <c r="DL163" s="36" t="s">
        <v>482</v>
      </c>
      <c r="DS163" s="36" t="s">
        <v>482</v>
      </c>
      <c r="DZ163" s="36" t="s">
        <v>482</v>
      </c>
      <c r="EG163" s="36" t="s">
        <v>482</v>
      </c>
      <c r="EN163" s="36" t="s">
        <v>482</v>
      </c>
      <c r="EU163" s="36" t="s">
        <v>482</v>
      </c>
      <c r="FB163" s="36" t="s">
        <v>482</v>
      </c>
      <c r="FI163" s="36" t="s">
        <v>482</v>
      </c>
      <c r="FP163" s="36" t="s">
        <v>482</v>
      </c>
      <c r="FW163" s="36" t="s">
        <v>482</v>
      </c>
      <c r="FX163" s="37">
        <v>932</v>
      </c>
      <c r="FY163" s="37">
        <v>922</v>
      </c>
      <c r="FZ163" s="37">
        <v>939</v>
      </c>
      <c r="GA163" s="37">
        <v>939</v>
      </c>
      <c r="GB163" s="37" t="s">
        <v>80</v>
      </c>
      <c r="GD163" s="36" t="s">
        <v>482</v>
      </c>
      <c r="GE163" s="37">
        <v>972</v>
      </c>
      <c r="GF163" s="37">
        <v>952</v>
      </c>
      <c r="GG163" s="37">
        <v>1147</v>
      </c>
      <c r="GH163" s="37">
        <v>1154</v>
      </c>
      <c r="GI163" s="37" t="s">
        <v>80</v>
      </c>
      <c r="GK163" s="36" t="s">
        <v>482</v>
      </c>
      <c r="GL163" s="37">
        <v>1153</v>
      </c>
      <c r="GM163" s="37">
        <v>1163</v>
      </c>
      <c r="GN163" s="37">
        <v>1213</v>
      </c>
      <c r="GO163" s="37">
        <v>1244</v>
      </c>
      <c r="GP163" s="37" t="s">
        <v>80</v>
      </c>
      <c r="GR163" s="36" t="s">
        <v>482</v>
      </c>
      <c r="GS163" s="37">
        <v>1246</v>
      </c>
      <c r="GT163" s="37">
        <v>1247</v>
      </c>
      <c r="GU163" s="37">
        <v>1246</v>
      </c>
      <c r="GV163" s="37">
        <v>1252</v>
      </c>
      <c r="GW163" s="37" t="s">
        <v>80</v>
      </c>
      <c r="GY163" s="36" t="s">
        <v>482</v>
      </c>
      <c r="GZ163" s="37">
        <v>1231</v>
      </c>
      <c r="HA163" s="37">
        <v>1223</v>
      </c>
      <c r="HB163" s="37">
        <v>1233</v>
      </c>
      <c r="HC163" s="37">
        <v>1158</v>
      </c>
      <c r="HD163" s="37" t="s">
        <v>80</v>
      </c>
      <c r="HF163" s="36" t="s">
        <v>482</v>
      </c>
      <c r="HG163" s="37">
        <v>1165</v>
      </c>
      <c r="HH163" s="37">
        <v>1147</v>
      </c>
      <c r="HI163" s="37">
        <v>1176</v>
      </c>
      <c r="HJ163" s="37">
        <v>1211</v>
      </c>
      <c r="HK163" s="37" t="s">
        <v>80</v>
      </c>
      <c r="HM163" s="36" t="s">
        <v>482</v>
      </c>
      <c r="HN163" s="37">
        <v>1213</v>
      </c>
      <c r="HO163" s="37">
        <v>1210</v>
      </c>
      <c r="HP163" s="37">
        <v>1241</v>
      </c>
      <c r="HQ163" s="37">
        <v>1312</v>
      </c>
      <c r="HR163" s="37" t="s">
        <v>80</v>
      </c>
      <c r="HT163" s="36" t="s">
        <v>482</v>
      </c>
      <c r="HU163" s="37">
        <v>1317</v>
      </c>
      <c r="HV163" s="37">
        <v>1315</v>
      </c>
      <c r="HW163" s="37">
        <v>1324</v>
      </c>
      <c r="HX163" s="37">
        <v>1367</v>
      </c>
      <c r="HY163" s="37" t="s">
        <v>80</v>
      </c>
      <c r="IA163" s="36" t="s">
        <v>482</v>
      </c>
      <c r="IB163" s="37">
        <v>1347</v>
      </c>
      <c r="IC163" s="37">
        <v>1323</v>
      </c>
      <c r="ID163" s="37">
        <v>1329</v>
      </c>
      <c r="IE163" s="37">
        <v>1318</v>
      </c>
      <c r="IF163" s="37" t="s">
        <v>80</v>
      </c>
      <c r="IH163" s="36" t="s">
        <v>482</v>
      </c>
      <c r="II163" s="37">
        <v>1321</v>
      </c>
      <c r="IJ163" s="37">
        <v>1318</v>
      </c>
      <c r="IK163" s="37">
        <v>1361</v>
      </c>
      <c r="IL163" s="37">
        <v>1353</v>
      </c>
      <c r="IM163" s="37" t="s">
        <v>80</v>
      </c>
      <c r="IO163" s="36" t="s">
        <v>482</v>
      </c>
      <c r="IP163" s="37">
        <v>1293</v>
      </c>
      <c r="IQ163" s="37">
        <v>1281</v>
      </c>
      <c r="IR163" s="37">
        <v>1263</v>
      </c>
      <c r="IS163" s="37">
        <v>1249</v>
      </c>
      <c r="IT163" s="37" t="s">
        <v>80</v>
      </c>
      <c r="IV163" s="36" t="s">
        <v>482</v>
      </c>
      <c r="IW163" s="37">
        <v>1230</v>
      </c>
      <c r="IX163" s="37">
        <v>1214</v>
      </c>
      <c r="IY163" s="37">
        <v>1193</v>
      </c>
      <c r="IZ163" s="37">
        <v>1194</v>
      </c>
      <c r="JA163" s="37" t="s">
        <v>80</v>
      </c>
      <c r="JC163" s="36" t="s">
        <v>482</v>
      </c>
      <c r="JD163" s="37">
        <v>1219</v>
      </c>
      <c r="JE163" s="37">
        <v>856</v>
      </c>
      <c r="JF163" s="37">
        <v>783</v>
      </c>
      <c r="JG163" s="37">
        <v>757</v>
      </c>
      <c r="JH163" s="37" t="s">
        <v>80</v>
      </c>
      <c r="JJ163" s="36" t="s">
        <v>482</v>
      </c>
      <c r="JK163" s="37">
        <v>757</v>
      </c>
      <c r="JL163" s="37">
        <v>787</v>
      </c>
      <c r="JM163" s="37">
        <v>826</v>
      </c>
      <c r="JN163" s="37">
        <v>808</v>
      </c>
      <c r="JO163" s="37" t="s">
        <v>80</v>
      </c>
      <c r="JQ163" s="36" t="s">
        <v>482</v>
      </c>
      <c r="JR163" s="37">
        <v>817</v>
      </c>
      <c r="JS163" s="37">
        <v>789</v>
      </c>
      <c r="JT163" s="37">
        <v>798</v>
      </c>
      <c r="JU163" s="37">
        <v>789</v>
      </c>
      <c r="JV163" s="37" t="s">
        <v>80</v>
      </c>
      <c r="JX163" s="36" t="s">
        <v>482</v>
      </c>
      <c r="JY163" s="37">
        <v>767</v>
      </c>
      <c r="JZ163" s="37">
        <v>775</v>
      </c>
      <c r="KA163" s="37">
        <v>764</v>
      </c>
      <c r="KB163" s="37">
        <v>753</v>
      </c>
      <c r="KC163" s="37" t="s">
        <v>80</v>
      </c>
      <c r="KE163" s="36" t="s">
        <v>482</v>
      </c>
      <c r="KF163" s="37">
        <v>753</v>
      </c>
      <c r="KG163" s="37">
        <v>743</v>
      </c>
      <c r="KH163" s="37">
        <v>737</v>
      </c>
      <c r="KI163" s="37">
        <v>754</v>
      </c>
      <c r="KJ163" s="37" t="s">
        <v>80</v>
      </c>
      <c r="KL163" s="36" t="s">
        <v>482</v>
      </c>
      <c r="KM163" s="37">
        <v>766</v>
      </c>
      <c r="KN163" s="37">
        <v>812</v>
      </c>
      <c r="KO163" s="37">
        <v>837</v>
      </c>
      <c r="KP163" s="37">
        <v>841</v>
      </c>
      <c r="KQ163" s="37" t="s">
        <v>80</v>
      </c>
      <c r="KS163" s="36" t="s">
        <v>482</v>
      </c>
      <c r="KT163" s="37">
        <v>898</v>
      </c>
      <c r="KU163" s="37">
        <v>911</v>
      </c>
      <c r="KV163" s="37">
        <v>922</v>
      </c>
      <c r="KW163" s="37">
        <v>929</v>
      </c>
      <c r="KX163" s="37" t="s">
        <v>80</v>
      </c>
      <c r="KZ163" s="36" t="s">
        <v>482</v>
      </c>
      <c r="LB163" s="144"/>
      <c r="LC163" s="144"/>
      <c r="LD163" s="144"/>
      <c r="LF163" s="555"/>
      <c r="LG163" s="36" t="s">
        <v>482</v>
      </c>
      <c r="LH163" s="144"/>
      <c r="LI163" s="144"/>
      <c r="LJ163" s="144"/>
      <c r="LK163" s="144"/>
      <c r="LM163" s="555"/>
      <c r="LN163" s="36" t="s">
        <v>482</v>
      </c>
      <c r="LO163" s="144"/>
      <c r="LP163" s="144"/>
      <c r="LQ163" s="144"/>
      <c r="LR163" s="144"/>
      <c r="LT163" s="555"/>
      <c r="LU163" s="36" t="s">
        <v>482</v>
      </c>
      <c r="LV163" s="144"/>
      <c r="LW163" s="144"/>
      <c r="LX163" s="144"/>
      <c r="LY163" s="144"/>
      <c r="MA163" s="555"/>
      <c r="MB163" s="36" t="s">
        <v>482</v>
      </c>
      <c r="MC163" s="144"/>
      <c r="MD163" s="144"/>
      <c r="ME163" s="144"/>
      <c r="MF163" s="144"/>
      <c r="MH163" s="555"/>
    </row>
    <row r="164" spans="1:346" s="37" customFormat="1" ht="13.15" outlineLevel="1" x14ac:dyDescent="0.4">
      <c r="A164" s="100"/>
      <c r="B164" s="289" t="s">
        <v>446</v>
      </c>
      <c r="C164" s="290"/>
      <c r="D164" s="290"/>
      <c r="E164" s="290"/>
      <c r="F164" s="290"/>
      <c r="G164" s="290"/>
      <c r="H164" s="290"/>
      <c r="I164" s="290"/>
      <c r="J164" s="290"/>
      <c r="K164" s="290"/>
      <c r="L164" s="290"/>
      <c r="M164" s="290"/>
      <c r="N164" s="290">
        <f>BT164</f>
        <v>0</v>
      </c>
      <c r="O164" s="290">
        <f>CA164</f>
        <v>0</v>
      </c>
      <c r="P164" s="290">
        <f>CH164</f>
        <v>0</v>
      </c>
      <c r="Q164" s="290">
        <f>CO164</f>
        <v>0</v>
      </c>
      <c r="R164" s="290">
        <f>CV164</f>
        <v>0</v>
      </c>
      <c r="S164" s="290">
        <f>DC164</f>
        <v>0</v>
      </c>
      <c r="T164" s="290">
        <f>DJ164</f>
        <v>0</v>
      </c>
      <c r="U164" s="290">
        <f>DQ164</f>
        <v>0</v>
      </c>
      <c r="V164" s="290">
        <f>DX164</f>
        <v>0</v>
      </c>
      <c r="W164" s="290">
        <f>EE164</f>
        <v>0</v>
      </c>
      <c r="X164" s="290">
        <f>EL164</f>
        <v>0</v>
      </c>
      <c r="Y164" s="290">
        <f>ES164</f>
        <v>0</v>
      </c>
      <c r="Z164" s="290">
        <f>EZ164</f>
        <v>0</v>
      </c>
      <c r="AA164" s="290">
        <f>FG164</f>
        <v>0</v>
      </c>
      <c r="AB164" s="290">
        <f>FN164</f>
        <v>0</v>
      </c>
      <c r="AC164" s="290">
        <f>FU164</f>
        <v>0</v>
      </c>
      <c r="AD164" s="290">
        <f>GB164</f>
        <v>3109.4166666666665</v>
      </c>
      <c r="AE164" s="290">
        <f>GI164</f>
        <v>2963.8333333333335</v>
      </c>
      <c r="AF164" s="290">
        <f>GP164</f>
        <v>2815.75</v>
      </c>
      <c r="AG164" s="290">
        <f>GW164</f>
        <v>2788.5833333333335</v>
      </c>
      <c r="AH164" s="290">
        <f>HD164</f>
        <v>2678.5</v>
      </c>
      <c r="AI164" s="290">
        <f>HK164</f>
        <v>2910.1666666666665</v>
      </c>
      <c r="AJ164" s="290">
        <f>HR164</f>
        <v>2930.5833333333335</v>
      </c>
      <c r="AK164" s="290">
        <f>HY164</f>
        <v>3071</v>
      </c>
      <c r="AL164" s="290">
        <f>IF164</f>
        <v>3201.5</v>
      </c>
      <c r="AM164" s="290">
        <f>IM164</f>
        <v>3074.3333333333335</v>
      </c>
      <c r="AN164" s="290">
        <f>IT164</f>
        <v>2933.3333333333335</v>
      </c>
      <c r="AO164" s="290">
        <f>JA164</f>
        <v>2647.5</v>
      </c>
      <c r="AP164" s="290">
        <f>JH164</f>
        <v>2134.9166666666665</v>
      </c>
      <c r="AQ164" s="290">
        <f>JO164</f>
        <v>1891.4166666666667</v>
      </c>
      <c r="AR164" s="290">
        <f>JV164</f>
        <v>1774.4166666666667</v>
      </c>
      <c r="AS164" s="290">
        <f>KC164</f>
        <v>1695.9166666666667</v>
      </c>
      <c r="AT164" s="290">
        <f>KJ164</f>
        <v>1660.6666666666667</v>
      </c>
      <c r="AU164" s="290">
        <f>KQ164</f>
        <v>1611</v>
      </c>
      <c r="AV164" s="290">
        <f>KX164</f>
        <v>1704.0833333333333</v>
      </c>
      <c r="AW164" s="290">
        <f>LE164</f>
        <v>0</v>
      </c>
      <c r="AX164" s="290">
        <f>LL164</f>
        <v>0</v>
      </c>
      <c r="AY164" s="290">
        <f>LS164</f>
        <v>0</v>
      </c>
      <c r="AZ164" s="290">
        <f>LZ164</f>
        <v>0</v>
      </c>
      <c r="BA164" s="290">
        <f>MG164</f>
        <v>0</v>
      </c>
      <c r="BB164" s="290"/>
      <c r="BC164" s="290"/>
      <c r="BD164" s="290"/>
      <c r="BE164" s="290"/>
      <c r="BF164" s="290"/>
      <c r="BG164" s="290"/>
      <c r="BH164" s="290"/>
      <c r="BI164" s="290"/>
      <c r="BJ164" s="290"/>
      <c r="BK164" s="290"/>
      <c r="BL164" s="290"/>
      <c r="BM164" s="290"/>
      <c r="BO164" s="289" t="s">
        <v>446</v>
      </c>
      <c r="BP164" s="290"/>
      <c r="BQ164" s="290"/>
      <c r="BR164" s="290"/>
      <c r="BS164" s="290"/>
      <c r="BT164" s="290"/>
      <c r="BV164" s="289" t="s">
        <v>446</v>
      </c>
      <c r="BW164" s="290"/>
      <c r="BX164" s="290"/>
      <c r="BY164" s="290"/>
      <c r="BZ164" s="290"/>
      <c r="CA164" s="290"/>
      <c r="CC164" s="289" t="s">
        <v>446</v>
      </c>
      <c r="CD164" s="290"/>
      <c r="CE164" s="290"/>
      <c r="CF164" s="290"/>
      <c r="CG164" s="290"/>
      <c r="CH164" s="290"/>
      <c r="CJ164" s="289" t="s">
        <v>446</v>
      </c>
      <c r="CK164" s="290"/>
      <c r="CL164" s="290"/>
      <c r="CM164" s="290"/>
      <c r="CN164" s="290"/>
      <c r="CO164" s="290"/>
      <c r="CQ164" s="289" t="s">
        <v>446</v>
      </c>
      <c r="CR164" s="290"/>
      <c r="CS164" s="290"/>
      <c r="CT164" s="290"/>
      <c r="CU164" s="290"/>
      <c r="CV164" s="290"/>
      <c r="CX164" s="289" t="s">
        <v>446</v>
      </c>
      <c r="CY164" s="290"/>
      <c r="CZ164" s="290"/>
      <c r="DA164" s="290"/>
      <c r="DB164" s="290"/>
      <c r="DC164" s="290"/>
      <c r="DE164" s="289" t="s">
        <v>446</v>
      </c>
      <c r="DF164" s="290"/>
      <c r="DG164" s="290"/>
      <c r="DH164" s="290"/>
      <c r="DI164" s="290"/>
      <c r="DJ164" s="290"/>
      <c r="DL164" s="289" t="s">
        <v>446</v>
      </c>
      <c r="DM164" s="290"/>
      <c r="DN164" s="290"/>
      <c r="DO164" s="290"/>
      <c r="DP164" s="290"/>
      <c r="DQ164" s="290"/>
      <c r="DS164" s="289" t="s">
        <v>446</v>
      </c>
      <c r="DT164" s="290"/>
      <c r="DU164" s="290"/>
      <c r="DV164" s="290"/>
      <c r="DW164" s="290"/>
      <c r="DX164" s="290"/>
      <c r="DZ164" s="289" t="s">
        <v>446</v>
      </c>
      <c r="EA164" s="290"/>
      <c r="EB164" s="290"/>
      <c r="EC164" s="290"/>
      <c r="ED164" s="290"/>
      <c r="EE164" s="290"/>
      <c r="EG164" s="289" t="s">
        <v>446</v>
      </c>
      <c r="EH164" s="290"/>
      <c r="EI164" s="290"/>
      <c r="EJ164" s="290"/>
      <c r="EK164" s="290"/>
      <c r="EL164" s="290"/>
      <c r="EN164" s="289" t="s">
        <v>446</v>
      </c>
      <c r="EO164" s="290"/>
      <c r="EP164" s="290"/>
      <c r="EQ164" s="290"/>
      <c r="ER164" s="290"/>
      <c r="ES164" s="290"/>
      <c r="EU164" s="289" t="s">
        <v>446</v>
      </c>
      <c r="EV164" s="290"/>
      <c r="EW164" s="290"/>
      <c r="EX164" s="290"/>
      <c r="EY164" s="290"/>
      <c r="EZ164" s="290"/>
      <c r="FB164" s="289" t="s">
        <v>446</v>
      </c>
      <c r="FC164" s="290"/>
      <c r="FD164" s="290"/>
      <c r="FE164" s="290"/>
      <c r="FF164" s="290"/>
      <c r="FG164" s="290"/>
      <c r="FI164" s="289" t="s">
        <v>446</v>
      </c>
      <c r="FJ164" s="290"/>
      <c r="FK164" s="290"/>
      <c r="FL164" s="290"/>
      <c r="FM164" s="290"/>
      <c r="FN164" s="290"/>
      <c r="FP164" s="289" t="s">
        <v>446</v>
      </c>
      <c r="FQ164" s="290"/>
      <c r="FR164" s="290"/>
      <c r="FS164" s="290"/>
      <c r="FT164" s="290"/>
      <c r="FU164" s="290"/>
      <c r="FW164" s="289" t="s">
        <v>446</v>
      </c>
      <c r="FX164" s="290">
        <f>AVERAGE(FX165:FX167)</f>
        <v>3156.3333333333335</v>
      </c>
      <c r="FY164" s="290">
        <f>AVERAGE(FY165:FY167)</f>
        <v>3118.6666666666665</v>
      </c>
      <c r="FZ164" s="290">
        <f>AVERAGE(FZ165:FZ167)</f>
        <v>3077</v>
      </c>
      <c r="GA164" s="290">
        <f>AVERAGE(GA165:GA167)</f>
        <v>3085.6666666666665</v>
      </c>
      <c r="GB164" s="290">
        <f>AVERAGE(FX165:GA167)</f>
        <v>3109.4166666666665</v>
      </c>
      <c r="GD164" s="289" t="s">
        <v>446</v>
      </c>
      <c r="GE164" s="290">
        <f>AVERAGE(GE165:GE167)</f>
        <v>3080.3333333333335</v>
      </c>
      <c r="GF164" s="290">
        <f>AVERAGE(GF165:GF167)</f>
        <v>3051.3333333333335</v>
      </c>
      <c r="GG164" s="290">
        <f>AVERAGE(GG165:GG167)</f>
        <v>2905</v>
      </c>
      <c r="GH164" s="290">
        <f>AVERAGE(GH165:GH167)</f>
        <v>2818.6666666666665</v>
      </c>
      <c r="GI164" s="290">
        <f>AVERAGE(GE165:GH167)</f>
        <v>2963.8333333333335</v>
      </c>
      <c r="GK164" s="289" t="s">
        <v>446</v>
      </c>
      <c r="GL164" s="290">
        <f>AVERAGE(GL165:GL167)</f>
        <v>2834</v>
      </c>
      <c r="GM164" s="290">
        <f>AVERAGE(GM165:GM167)</f>
        <v>2800.6666666666665</v>
      </c>
      <c r="GN164" s="290">
        <f>AVERAGE(GN165:GN167)</f>
        <v>2801.3333333333335</v>
      </c>
      <c r="GO164" s="290">
        <f>AVERAGE(GO165:GO167)</f>
        <v>2827</v>
      </c>
      <c r="GP164" s="290">
        <f>AVERAGE(GL165:GO167)</f>
        <v>2815.75</v>
      </c>
      <c r="GR164" s="289" t="s">
        <v>446</v>
      </c>
      <c r="GS164" s="290">
        <f>AVERAGE(GS165:GS167)</f>
        <v>2816.6666666666665</v>
      </c>
      <c r="GT164" s="290">
        <f>AVERAGE(GT165:GT167)</f>
        <v>2788.6666666666665</v>
      </c>
      <c r="GU164" s="290">
        <f>AVERAGE(GU165:GU167)</f>
        <v>2766.6666666666665</v>
      </c>
      <c r="GV164" s="290">
        <f>AVERAGE(GV165:GV167)</f>
        <v>2782.3333333333335</v>
      </c>
      <c r="GW164" s="290">
        <f>AVERAGE(GS165:GV167)</f>
        <v>2788.5833333333335</v>
      </c>
      <c r="GY164" s="289" t="s">
        <v>446</v>
      </c>
      <c r="GZ164" s="290">
        <f>AVERAGE(GZ165:GZ167)</f>
        <v>2759</v>
      </c>
      <c r="HA164" s="290">
        <f>AVERAGE(HA165:HA167)</f>
        <v>2690.3333333333335</v>
      </c>
      <c r="HB164" s="290">
        <f>AVERAGE(HB165:HB167)</f>
        <v>2641</v>
      </c>
      <c r="HC164" s="290">
        <f>AVERAGE(HC165:HC167)</f>
        <v>2623.6666666666665</v>
      </c>
      <c r="HD164" s="290">
        <f>AVERAGE(GZ165:HC167)</f>
        <v>2678.5</v>
      </c>
      <c r="HF164" s="289" t="s">
        <v>446</v>
      </c>
      <c r="HG164" s="290">
        <f>AVERAGE(HG165:HG167)</f>
        <v>2636.6666666666665</v>
      </c>
      <c r="HH164" s="290">
        <f>AVERAGE(HH165:HH167)</f>
        <v>2626</v>
      </c>
      <c r="HI164" s="290">
        <f>AVERAGE(HI165:HI167)</f>
        <v>3271</v>
      </c>
      <c r="HJ164" s="290">
        <f>AVERAGE(HJ165:HJ167)</f>
        <v>3107</v>
      </c>
      <c r="HK164" s="290">
        <f>AVERAGE(HG165:HJ167)</f>
        <v>2910.1666666666665</v>
      </c>
      <c r="HM164" s="289" t="s">
        <v>446</v>
      </c>
      <c r="HN164" s="290">
        <f>AVERAGE(HN165:HN167)</f>
        <v>2851.6666666666665</v>
      </c>
      <c r="HO164" s="290">
        <f>AVERAGE(HO165:HO167)</f>
        <v>2912.6666666666665</v>
      </c>
      <c r="HP164" s="290">
        <f>AVERAGE(HP165:HP167)</f>
        <v>2969</v>
      </c>
      <c r="HQ164" s="290">
        <f>AVERAGE(HQ165:HQ167)</f>
        <v>2989</v>
      </c>
      <c r="HR164" s="290">
        <f>AVERAGE(HN165:HQ167)</f>
        <v>2930.5833333333335</v>
      </c>
      <c r="HT164" s="289" t="s">
        <v>446</v>
      </c>
      <c r="HU164" s="290">
        <f>AVERAGE(HU165:HU167)</f>
        <v>3027.6666666666665</v>
      </c>
      <c r="HV164" s="290">
        <f>AVERAGE(HV165:HV167)</f>
        <v>3027.3333333333335</v>
      </c>
      <c r="HW164" s="290">
        <f>AVERAGE(HW165:HW167)</f>
        <v>3010.6666666666665</v>
      </c>
      <c r="HX164" s="290">
        <f>AVERAGE(HX165:HX167)</f>
        <v>3218.3333333333335</v>
      </c>
      <c r="HY164" s="290">
        <f>AVERAGE(HU165:HX167)</f>
        <v>3071</v>
      </c>
      <c r="IA164" s="289" t="s">
        <v>446</v>
      </c>
      <c r="IB164" s="290">
        <f>AVERAGE(IB165:IB167)</f>
        <v>3404</v>
      </c>
      <c r="IC164" s="290">
        <f>AVERAGE(IC165:IC167)</f>
        <v>3364.6666666666665</v>
      </c>
      <c r="ID164" s="290">
        <f>AVERAGE(ID165:ID167)</f>
        <v>3035.3333333333335</v>
      </c>
      <c r="IE164" s="290">
        <f>AVERAGE(IE165:IE167)</f>
        <v>3002</v>
      </c>
      <c r="IF164" s="290">
        <f>AVERAGE(IB165:IE167)</f>
        <v>3201.5</v>
      </c>
      <c r="IH164" s="289" t="s">
        <v>446</v>
      </c>
      <c r="II164" s="290">
        <f>AVERAGE(II165:II167)</f>
        <v>3047</v>
      </c>
      <c r="IJ164" s="290">
        <f>AVERAGE(IJ165:IJ167)</f>
        <v>3089.3333333333335</v>
      </c>
      <c r="IK164" s="290">
        <f>AVERAGE(IK165:IK167)</f>
        <v>3085</v>
      </c>
      <c r="IL164" s="290">
        <f>AVERAGE(IL165:IL167)</f>
        <v>3076</v>
      </c>
      <c r="IM164" s="290">
        <f>AVERAGE(II165:IL167)</f>
        <v>3074.3333333333335</v>
      </c>
      <c r="IO164" s="289" t="s">
        <v>446</v>
      </c>
      <c r="IP164" s="290">
        <f>AVERAGE(IP165:IP167)</f>
        <v>2981.3333333333335</v>
      </c>
      <c r="IQ164" s="290">
        <f>AVERAGE(IQ165:IQ167)</f>
        <v>2959.3333333333335</v>
      </c>
      <c r="IR164" s="290">
        <f>AVERAGE(IR165:IR167)</f>
        <v>2920.6666666666665</v>
      </c>
      <c r="IS164" s="290">
        <f>AVERAGE(IS165:IS167)</f>
        <v>2872</v>
      </c>
      <c r="IT164" s="290">
        <f>AVERAGE(IP165:IS167)</f>
        <v>2933.3333333333335</v>
      </c>
      <c r="IV164" s="289" t="s">
        <v>446</v>
      </c>
      <c r="IW164" s="290">
        <f>AVERAGE(IW165:IW167)</f>
        <v>2755</v>
      </c>
      <c r="IX164" s="290">
        <f>AVERAGE(IX165:IX167)</f>
        <v>2674</v>
      </c>
      <c r="IY164" s="290">
        <f>AVERAGE(IY165:IY167)</f>
        <v>2590.6666666666665</v>
      </c>
      <c r="IZ164" s="290">
        <f>AVERAGE(IZ165:IZ167)</f>
        <v>2570.3333333333335</v>
      </c>
      <c r="JA164" s="290">
        <f>AVERAGE(IW165:IZ167)</f>
        <v>2647.5</v>
      </c>
      <c r="JC164" s="289" t="s">
        <v>446</v>
      </c>
      <c r="JD164" s="290">
        <f>AVERAGE(JD165:JD167)</f>
        <v>2522</v>
      </c>
      <c r="JE164" s="290">
        <f>AVERAGE(JE165:JE167)</f>
        <v>2032.6666666666667</v>
      </c>
      <c r="JF164" s="290">
        <f>AVERAGE(JF165:JF167)</f>
        <v>2007</v>
      </c>
      <c r="JG164" s="290">
        <f>AVERAGE(JG165:JG167)</f>
        <v>1978</v>
      </c>
      <c r="JH164" s="290">
        <f>AVERAGE(JD165:JG167)</f>
        <v>2134.9166666666665</v>
      </c>
      <c r="JJ164" s="289" t="s">
        <v>446</v>
      </c>
      <c r="JK164" s="290">
        <f>AVERAGE(JK165:JK167)</f>
        <v>1953</v>
      </c>
      <c r="JL164" s="290">
        <f>AVERAGE(JL165:JL167)</f>
        <v>1892.3333333333333</v>
      </c>
      <c r="JM164" s="290">
        <f>AVERAGE(JM165:JM167)</f>
        <v>1869.6666666666667</v>
      </c>
      <c r="JN164" s="290">
        <f>AVERAGE(JN165:JN167)</f>
        <v>1850.6666666666667</v>
      </c>
      <c r="JO164" s="290">
        <f>AVERAGE(JK165:JN167)</f>
        <v>1891.4166666666667</v>
      </c>
      <c r="JQ164" s="289" t="s">
        <v>446</v>
      </c>
      <c r="JR164" s="290">
        <f>AVERAGE(JR165:JR167)</f>
        <v>1828</v>
      </c>
      <c r="JS164" s="290">
        <f>AVERAGE(JS165:JS167)</f>
        <v>1806</v>
      </c>
      <c r="JT164" s="290">
        <f>AVERAGE(JT165:JT167)</f>
        <v>1766.6666666666667</v>
      </c>
      <c r="JU164" s="290">
        <f>AVERAGE(JU165:JU167)</f>
        <v>1697</v>
      </c>
      <c r="JV164" s="290">
        <f>AVERAGE(JR165:JU167)</f>
        <v>1774.4166666666667</v>
      </c>
      <c r="JX164" s="289" t="s">
        <v>446</v>
      </c>
      <c r="JY164" s="290">
        <f>AVERAGE(JY165:JY167)</f>
        <v>1708</v>
      </c>
      <c r="JZ164" s="290">
        <f>AVERAGE(JZ165:JZ167)</f>
        <v>1698.3333333333333</v>
      </c>
      <c r="KA164" s="290">
        <f>AVERAGE(KA165:KA167)</f>
        <v>1683.6666666666667</v>
      </c>
      <c r="KB164" s="290">
        <f>AVERAGE(KB165:KB167)</f>
        <v>1693.6666666666667</v>
      </c>
      <c r="KC164" s="290">
        <f>AVERAGE(JY165:KB167)</f>
        <v>1695.9166666666667</v>
      </c>
      <c r="KE164" s="289" t="s">
        <v>446</v>
      </c>
      <c r="KF164" s="290">
        <f>AVERAGE(KF165:KF167)</f>
        <v>1681.3333333333333</v>
      </c>
      <c r="KG164" s="290">
        <f>AVERAGE(KG165:KG167)</f>
        <v>1651</v>
      </c>
      <c r="KH164" s="290">
        <f>AVERAGE(KH165:KH167)</f>
        <v>1641</v>
      </c>
      <c r="KI164" s="290">
        <f>AVERAGE(KI165:KI167)</f>
        <v>1669.3333333333333</v>
      </c>
      <c r="KJ164" s="290">
        <f>AVERAGE(KF165:KI167)</f>
        <v>1660.6666666666667</v>
      </c>
      <c r="KL164" s="289" t="s">
        <v>446</v>
      </c>
      <c r="KM164" s="290">
        <f>AVERAGE(KM165:KM167)</f>
        <v>1638</v>
      </c>
      <c r="KN164" s="290">
        <f>AVERAGE(KN165:KN167)</f>
        <v>1602.6666666666667</v>
      </c>
      <c r="KO164" s="290">
        <f>AVERAGE(KO165:KO167)</f>
        <v>1589.6666666666667</v>
      </c>
      <c r="KP164" s="290">
        <f>AVERAGE(KP165:KP167)</f>
        <v>1613.6666666666667</v>
      </c>
      <c r="KQ164" s="290">
        <f>AVERAGE(KM165:KP167)</f>
        <v>1611</v>
      </c>
      <c r="KS164" s="289" t="s">
        <v>446</v>
      </c>
      <c r="KT164" s="290">
        <f>AVERAGE(KT165:KT167)</f>
        <v>1677.3333333333333</v>
      </c>
      <c r="KU164" s="290">
        <f>AVERAGE(KU165:KU167)</f>
        <v>1678.6666666666667</v>
      </c>
      <c r="KV164" s="290">
        <f>AVERAGE(KV165:KV167)</f>
        <v>1708.3333333333333</v>
      </c>
      <c r="KW164" s="291">
        <f>AVERAGE(KW165:KW167)</f>
        <v>1752</v>
      </c>
      <c r="KX164" s="290">
        <f>AVERAGE(KT165:KW167)</f>
        <v>1704.0833333333333</v>
      </c>
      <c r="KZ164" s="289" t="s">
        <v>446</v>
      </c>
      <c r="LA164" s="290"/>
      <c r="LB164" s="144"/>
      <c r="LC164" s="144"/>
      <c r="LD164" s="144"/>
      <c r="LE164" s="290"/>
      <c r="LF164" s="555"/>
      <c r="LG164" s="289" t="s">
        <v>446</v>
      </c>
      <c r="LH164" s="144"/>
      <c r="LI164" s="144"/>
      <c r="LJ164" s="144"/>
      <c r="LK164" s="144"/>
      <c r="LL164" s="290"/>
      <c r="LM164" s="555"/>
      <c r="LN164" s="289" t="s">
        <v>446</v>
      </c>
      <c r="LO164" s="144"/>
      <c r="LP164" s="144"/>
      <c r="LQ164" s="144"/>
      <c r="LR164" s="144"/>
      <c r="LS164" s="290"/>
      <c r="LT164" s="555"/>
      <c r="LU164" s="289" t="s">
        <v>446</v>
      </c>
      <c r="LV164" s="144"/>
      <c r="LW164" s="144"/>
      <c r="LX164" s="144"/>
      <c r="LY164" s="144"/>
      <c r="LZ164" s="290"/>
      <c r="MA164" s="555"/>
      <c r="MB164" s="289" t="s">
        <v>446</v>
      </c>
      <c r="MC164" s="144"/>
      <c r="MD164" s="144"/>
      <c r="ME164" s="144"/>
      <c r="MF164" s="144"/>
      <c r="MG164" s="290"/>
      <c r="MH164" s="555"/>
    </row>
    <row r="165" spans="1:346" s="37" customFormat="1" ht="13.15" outlineLevel="1" x14ac:dyDescent="0.4">
      <c r="A165" s="100"/>
      <c r="B165" s="36" t="s">
        <v>480</v>
      </c>
      <c r="BO165" s="36" t="s">
        <v>480</v>
      </c>
      <c r="BV165" s="36" t="s">
        <v>480</v>
      </c>
      <c r="CC165" s="36" t="s">
        <v>480</v>
      </c>
      <c r="CJ165" s="36" t="s">
        <v>480</v>
      </c>
      <c r="CQ165" s="36" t="s">
        <v>480</v>
      </c>
      <c r="CX165" s="36" t="s">
        <v>480</v>
      </c>
      <c r="DE165" s="36" t="s">
        <v>480</v>
      </c>
      <c r="DL165" s="36" t="s">
        <v>480</v>
      </c>
      <c r="DS165" s="36" t="s">
        <v>480</v>
      </c>
      <c r="DZ165" s="36" t="s">
        <v>480</v>
      </c>
      <c r="EG165" s="36" t="s">
        <v>480</v>
      </c>
      <c r="EN165" s="36" t="s">
        <v>480</v>
      </c>
      <c r="EU165" s="36" t="s">
        <v>480</v>
      </c>
      <c r="FB165" s="36" t="s">
        <v>480</v>
      </c>
      <c r="FI165" s="36" t="s">
        <v>480</v>
      </c>
      <c r="FP165" s="36" t="s">
        <v>480</v>
      </c>
      <c r="FW165" s="36" t="s">
        <v>480</v>
      </c>
      <c r="FX165" s="37">
        <v>3224</v>
      </c>
      <c r="FY165" s="37">
        <v>3115</v>
      </c>
      <c r="FZ165" s="37">
        <v>3070</v>
      </c>
      <c r="GA165" s="37">
        <v>3078</v>
      </c>
      <c r="GB165" s="37" t="s">
        <v>80</v>
      </c>
      <c r="GD165" s="36" t="s">
        <v>480</v>
      </c>
      <c r="GE165" s="37">
        <v>3096</v>
      </c>
      <c r="GF165" s="37">
        <v>3056</v>
      </c>
      <c r="GG165" s="37">
        <v>3016</v>
      </c>
      <c r="GH165" s="37">
        <v>2821</v>
      </c>
      <c r="GI165" s="37" t="s">
        <v>80</v>
      </c>
      <c r="GK165" s="36" t="s">
        <v>480</v>
      </c>
      <c r="GL165" s="37">
        <v>2827</v>
      </c>
      <c r="GM165" s="37">
        <v>2812</v>
      </c>
      <c r="GN165" s="37">
        <v>2827</v>
      </c>
      <c r="GO165" s="37">
        <v>2834</v>
      </c>
      <c r="GP165" s="37" t="s">
        <v>80</v>
      </c>
      <c r="GR165" s="36" t="s">
        <v>480</v>
      </c>
      <c r="GS165" s="37">
        <v>2829</v>
      </c>
      <c r="GT165" s="37">
        <v>2798</v>
      </c>
      <c r="GU165" s="37">
        <v>2769</v>
      </c>
      <c r="GV165" s="37">
        <v>2766</v>
      </c>
      <c r="GW165" s="37" t="s">
        <v>80</v>
      </c>
      <c r="GY165" s="36" t="s">
        <v>480</v>
      </c>
      <c r="GZ165" s="37">
        <v>2776</v>
      </c>
      <c r="HA165" s="37">
        <v>2720</v>
      </c>
      <c r="HB165" s="37">
        <v>2601</v>
      </c>
      <c r="HC165" s="37">
        <v>2604</v>
      </c>
      <c r="HD165" s="37" t="s">
        <v>80</v>
      </c>
      <c r="HF165" s="36" t="s">
        <v>480</v>
      </c>
      <c r="HG165" s="37">
        <v>2624</v>
      </c>
      <c r="HH165" s="37">
        <v>2619</v>
      </c>
      <c r="HI165" s="37">
        <v>3276</v>
      </c>
      <c r="HJ165" s="37">
        <v>3265</v>
      </c>
      <c r="HK165" s="37" t="s">
        <v>80</v>
      </c>
      <c r="HM165" s="36" t="s">
        <v>480</v>
      </c>
      <c r="HN165" s="37">
        <v>2813</v>
      </c>
      <c r="HO165" s="37">
        <v>2889</v>
      </c>
      <c r="HP165" s="37">
        <v>2929</v>
      </c>
      <c r="HQ165" s="37">
        <v>3010</v>
      </c>
      <c r="HR165" s="37" t="s">
        <v>80</v>
      </c>
      <c r="HT165" s="36" t="s">
        <v>480</v>
      </c>
      <c r="HU165" s="37">
        <v>3027</v>
      </c>
      <c r="HV165" s="37">
        <v>3007</v>
      </c>
      <c r="HW165" s="37">
        <v>3034</v>
      </c>
      <c r="HX165" s="37">
        <v>3032</v>
      </c>
      <c r="HY165" s="37" t="s">
        <v>80</v>
      </c>
      <c r="IA165" s="36" t="s">
        <v>480</v>
      </c>
      <c r="IB165" s="37">
        <v>3407</v>
      </c>
      <c r="IC165" s="37">
        <v>3363</v>
      </c>
      <c r="ID165" s="37">
        <v>3084</v>
      </c>
      <c r="IE165" s="37">
        <v>3000</v>
      </c>
      <c r="IF165" s="37" t="s">
        <v>80</v>
      </c>
      <c r="IH165" s="36" t="s">
        <v>480</v>
      </c>
      <c r="II165" s="37">
        <v>3058</v>
      </c>
      <c r="IJ165" s="37">
        <v>3056</v>
      </c>
      <c r="IK165" s="37">
        <v>3090</v>
      </c>
      <c r="IL165" s="37">
        <v>3083</v>
      </c>
      <c r="IM165" s="37" t="s">
        <v>80</v>
      </c>
      <c r="IO165" s="36" t="s">
        <v>480</v>
      </c>
      <c r="IP165" s="37">
        <v>3013</v>
      </c>
      <c r="IQ165" s="37">
        <v>2960</v>
      </c>
      <c r="IR165" s="37">
        <v>2941</v>
      </c>
      <c r="IS165" s="37">
        <v>2912</v>
      </c>
      <c r="IT165" s="37" t="s">
        <v>80</v>
      </c>
      <c r="IV165" s="36" t="s">
        <v>480</v>
      </c>
      <c r="IW165" s="37">
        <v>2784</v>
      </c>
      <c r="IX165" s="37">
        <v>2693</v>
      </c>
      <c r="IY165" s="37">
        <v>2599</v>
      </c>
      <c r="IZ165" s="37">
        <v>2577</v>
      </c>
      <c r="JA165" s="37" t="s">
        <v>80</v>
      </c>
      <c r="JC165" s="36" t="s">
        <v>480</v>
      </c>
      <c r="JD165" s="37">
        <v>2526</v>
      </c>
      <c r="JE165" s="37">
        <v>2107</v>
      </c>
      <c r="JF165" s="37">
        <v>2001</v>
      </c>
      <c r="JG165" s="37">
        <v>1976</v>
      </c>
      <c r="JH165" s="37" t="s">
        <v>80</v>
      </c>
      <c r="JJ165" s="36" t="s">
        <v>480</v>
      </c>
      <c r="JK165" s="37">
        <v>1964</v>
      </c>
      <c r="JL165" s="37">
        <v>1917</v>
      </c>
      <c r="JM165" s="37">
        <v>1873</v>
      </c>
      <c r="JN165" s="37">
        <v>1871</v>
      </c>
      <c r="JO165" s="37" t="s">
        <v>80</v>
      </c>
      <c r="JQ165" s="36" t="s">
        <v>480</v>
      </c>
      <c r="JR165" s="37">
        <v>1831</v>
      </c>
      <c r="JS165" s="37">
        <v>1816</v>
      </c>
      <c r="JT165" s="37">
        <v>1792</v>
      </c>
      <c r="JU165" s="37">
        <v>1728</v>
      </c>
      <c r="JV165" s="37" t="s">
        <v>80</v>
      </c>
      <c r="JX165" s="36" t="s">
        <v>480</v>
      </c>
      <c r="JY165" s="37">
        <v>1697</v>
      </c>
      <c r="JZ165" s="37">
        <v>1708</v>
      </c>
      <c r="KA165" s="37">
        <v>1685</v>
      </c>
      <c r="KB165" s="37">
        <v>1712</v>
      </c>
      <c r="KC165" s="37" t="s">
        <v>80</v>
      </c>
      <c r="KE165" s="36" t="s">
        <v>480</v>
      </c>
      <c r="KF165" s="37">
        <v>1683</v>
      </c>
      <c r="KG165" s="37">
        <v>1660</v>
      </c>
      <c r="KH165" s="37">
        <v>1644</v>
      </c>
      <c r="KI165" s="37">
        <v>1661</v>
      </c>
      <c r="KJ165" s="37" t="s">
        <v>80</v>
      </c>
      <c r="KL165" s="36" t="s">
        <v>480</v>
      </c>
      <c r="KM165" s="37">
        <v>1644</v>
      </c>
      <c r="KN165" s="37">
        <v>1623</v>
      </c>
      <c r="KO165" s="37">
        <v>1594</v>
      </c>
      <c r="KP165" s="37">
        <v>1584</v>
      </c>
      <c r="KQ165" s="37" t="s">
        <v>80</v>
      </c>
      <c r="KS165" s="36" t="s">
        <v>480</v>
      </c>
      <c r="KT165" s="37">
        <v>1686</v>
      </c>
      <c r="KU165" s="37">
        <v>1669</v>
      </c>
      <c r="KV165" s="37">
        <v>1697</v>
      </c>
      <c r="KW165" s="37">
        <v>1742</v>
      </c>
      <c r="KX165" s="37" t="s">
        <v>80</v>
      </c>
      <c r="KZ165" s="36" t="s">
        <v>480</v>
      </c>
      <c r="LB165" s="144"/>
      <c r="LC165" s="144"/>
      <c r="LD165" s="144"/>
      <c r="LF165" s="555"/>
      <c r="LG165" s="36" t="s">
        <v>480</v>
      </c>
      <c r="LH165" s="144"/>
      <c r="LI165" s="144"/>
      <c r="LJ165" s="144"/>
      <c r="LK165" s="144"/>
      <c r="LM165" s="555"/>
      <c r="LN165" s="36" t="s">
        <v>480</v>
      </c>
      <c r="LO165" s="144"/>
      <c r="LP165" s="144"/>
      <c r="LQ165" s="144"/>
      <c r="LR165" s="144"/>
      <c r="LT165" s="555"/>
      <c r="LU165" s="36" t="s">
        <v>480</v>
      </c>
      <c r="LV165" s="144"/>
      <c r="LW165" s="144"/>
      <c r="LX165" s="144"/>
      <c r="LY165" s="144"/>
      <c r="MA165" s="555"/>
      <c r="MB165" s="36" t="s">
        <v>480</v>
      </c>
      <c r="MC165" s="144"/>
      <c r="MD165" s="144"/>
      <c r="ME165" s="144"/>
      <c r="MF165" s="144"/>
      <c r="MH165" s="555"/>
    </row>
    <row r="166" spans="1:346" s="37" customFormat="1" ht="13.15" outlineLevel="1" x14ac:dyDescent="0.4">
      <c r="A166" s="100"/>
      <c r="B166" s="36" t="s">
        <v>481</v>
      </c>
      <c r="BO166" s="36" t="s">
        <v>481</v>
      </c>
      <c r="BV166" s="36" t="s">
        <v>481</v>
      </c>
      <c r="CC166" s="36" t="s">
        <v>481</v>
      </c>
      <c r="CJ166" s="36" t="s">
        <v>481</v>
      </c>
      <c r="CQ166" s="36" t="s">
        <v>481</v>
      </c>
      <c r="CX166" s="36" t="s">
        <v>481</v>
      </c>
      <c r="DE166" s="36" t="s">
        <v>481</v>
      </c>
      <c r="DL166" s="36" t="s">
        <v>481</v>
      </c>
      <c r="DS166" s="36" t="s">
        <v>481</v>
      </c>
      <c r="DZ166" s="36" t="s">
        <v>481</v>
      </c>
      <c r="EG166" s="36" t="s">
        <v>481</v>
      </c>
      <c r="EN166" s="36" t="s">
        <v>481</v>
      </c>
      <c r="EU166" s="36" t="s">
        <v>481</v>
      </c>
      <c r="FB166" s="36" t="s">
        <v>481</v>
      </c>
      <c r="FI166" s="36" t="s">
        <v>481</v>
      </c>
      <c r="FP166" s="36" t="s">
        <v>481</v>
      </c>
      <c r="FW166" s="36" t="s">
        <v>481</v>
      </c>
      <c r="FX166" s="37">
        <v>3124</v>
      </c>
      <c r="FY166" s="37">
        <v>3132</v>
      </c>
      <c r="FZ166" s="37">
        <v>3073</v>
      </c>
      <c r="GA166" s="37">
        <v>3101</v>
      </c>
      <c r="GB166" s="37" t="s">
        <v>80</v>
      </c>
      <c r="GD166" s="36" t="s">
        <v>481</v>
      </c>
      <c r="GE166" s="37">
        <v>3077</v>
      </c>
      <c r="GF166" s="37">
        <v>3066</v>
      </c>
      <c r="GG166" s="37">
        <v>2874</v>
      </c>
      <c r="GH166" s="37">
        <v>2820</v>
      </c>
      <c r="GI166" s="37" t="s">
        <v>80</v>
      </c>
      <c r="GK166" s="36" t="s">
        <v>481</v>
      </c>
      <c r="GL166" s="37">
        <v>2839</v>
      </c>
      <c r="GM166" s="37">
        <v>2806</v>
      </c>
      <c r="GN166" s="37">
        <v>2796</v>
      </c>
      <c r="GO166" s="37">
        <v>2818</v>
      </c>
      <c r="GP166" s="37" t="s">
        <v>80</v>
      </c>
      <c r="GR166" s="36" t="s">
        <v>481</v>
      </c>
      <c r="GS166" s="37">
        <v>2826</v>
      </c>
      <c r="GT166" s="37">
        <v>2815</v>
      </c>
      <c r="GU166" s="37">
        <v>2764</v>
      </c>
      <c r="GV166" s="37">
        <v>2758</v>
      </c>
      <c r="GW166" s="37" t="s">
        <v>80</v>
      </c>
      <c r="GY166" s="36" t="s">
        <v>481</v>
      </c>
      <c r="GZ166" s="37">
        <v>2755</v>
      </c>
      <c r="HA166" s="37">
        <v>2711</v>
      </c>
      <c r="HB166" s="37">
        <v>2632</v>
      </c>
      <c r="HC166" s="37">
        <v>2631</v>
      </c>
      <c r="HD166" s="37" t="s">
        <v>80</v>
      </c>
      <c r="HF166" s="36" t="s">
        <v>481</v>
      </c>
      <c r="HG166" s="37">
        <v>2653</v>
      </c>
      <c r="HH166" s="37">
        <v>2644</v>
      </c>
      <c r="HI166" s="37">
        <v>3270</v>
      </c>
      <c r="HJ166" s="37">
        <v>3236</v>
      </c>
      <c r="HK166" s="37" t="s">
        <v>80</v>
      </c>
      <c r="HM166" s="36" t="s">
        <v>481</v>
      </c>
      <c r="HN166" s="37">
        <v>2867</v>
      </c>
      <c r="HO166" s="37">
        <v>2906</v>
      </c>
      <c r="HP166" s="37">
        <v>2967</v>
      </c>
      <c r="HQ166" s="37">
        <v>3015</v>
      </c>
      <c r="HR166" s="37" t="s">
        <v>80</v>
      </c>
      <c r="HT166" s="36" t="s">
        <v>481</v>
      </c>
      <c r="HU166" s="37">
        <v>3029</v>
      </c>
      <c r="HV166" s="37">
        <v>3010</v>
      </c>
      <c r="HW166" s="37">
        <v>3000</v>
      </c>
      <c r="HX166" s="37">
        <v>3292</v>
      </c>
      <c r="HY166" s="37" t="s">
        <v>80</v>
      </c>
      <c r="IA166" s="36" t="s">
        <v>481</v>
      </c>
      <c r="IB166" s="37">
        <v>3393</v>
      </c>
      <c r="IC166" s="37">
        <v>3355</v>
      </c>
      <c r="ID166" s="37">
        <v>3036</v>
      </c>
      <c r="IE166" s="37">
        <v>3021</v>
      </c>
      <c r="IF166" s="37" t="s">
        <v>80</v>
      </c>
      <c r="IH166" s="36" t="s">
        <v>481</v>
      </c>
      <c r="II166" s="37">
        <v>3029</v>
      </c>
      <c r="IJ166" s="37">
        <v>3086</v>
      </c>
      <c r="IK166" s="37">
        <v>3082</v>
      </c>
      <c r="IL166" s="37">
        <v>3082</v>
      </c>
      <c r="IM166" s="37" t="s">
        <v>80</v>
      </c>
      <c r="IO166" s="36" t="s">
        <v>481</v>
      </c>
      <c r="IP166" s="37">
        <v>2945</v>
      </c>
      <c r="IQ166" s="37">
        <v>2946</v>
      </c>
      <c r="IR166" s="37">
        <v>2913</v>
      </c>
      <c r="IS166" s="37">
        <v>2887</v>
      </c>
      <c r="IT166" s="37" t="s">
        <v>80</v>
      </c>
      <c r="IV166" s="36" t="s">
        <v>481</v>
      </c>
      <c r="IW166" s="37">
        <v>2737</v>
      </c>
      <c r="IX166" s="37">
        <v>2686</v>
      </c>
      <c r="IY166" s="37">
        <v>2593</v>
      </c>
      <c r="IZ166" s="37">
        <v>2586</v>
      </c>
      <c r="JA166" s="37" t="s">
        <v>80</v>
      </c>
      <c r="JC166" s="36" t="s">
        <v>481</v>
      </c>
      <c r="JD166" s="37">
        <v>2538</v>
      </c>
      <c r="JE166" s="37">
        <v>2009</v>
      </c>
      <c r="JF166" s="37">
        <v>2013</v>
      </c>
      <c r="JG166" s="37">
        <v>1981</v>
      </c>
      <c r="JH166" s="37" t="s">
        <v>80</v>
      </c>
      <c r="JJ166" s="36" t="s">
        <v>481</v>
      </c>
      <c r="JK166" s="37">
        <v>1958</v>
      </c>
      <c r="JL166" s="37">
        <v>1894</v>
      </c>
      <c r="JM166" s="37">
        <v>1868</v>
      </c>
      <c r="JN166" s="37">
        <v>1862</v>
      </c>
      <c r="JO166" s="37" t="s">
        <v>80</v>
      </c>
      <c r="JQ166" s="36" t="s">
        <v>481</v>
      </c>
      <c r="JR166" s="37">
        <v>1821</v>
      </c>
      <c r="JS166" s="37">
        <v>1807</v>
      </c>
      <c r="JT166" s="37">
        <v>1762</v>
      </c>
      <c r="JU166" s="37">
        <v>1703</v>
      </c>
      <c r="JV166" s="37" t="s">
        <v>80</v>
      </c>
      <c r="JX166" s="36" t="s">
        <v>481</v>
      </c>
      <c r="JY166" s="37">
        <v>1709</v>
      </c>
      <c r="JZ166" s="37">
        <v>1699</v>
      </c>
      <c r="KA166" s="37">
        <v>1672</v>
      </c>
      <c r="KB166" s="37">
        <v>1701</v>
      </c>
      <c r="KC166" s="37" t="s">
        <v>80</v>
      </c>
      <c r="KE166" s="36" t="s">
        <v>481</v>
      </c>
      <c r="KF166" s="37">
        <v>1684</v>
      </c>
      <c r="KG166" s="37">
        <v>1651</v>
      </c>
      <c r="KH166" s="37">
        <v>1631</v>
      </c>
      <c r="KI166" s="37">
        <v>1672</v>
      </c>
      <c r="KJ166" s="37" t="s">
        <v>80</v>
      </c>
      <c r="KL166" s="36" t="s">
        <v>481</v>
      </c>
      <c r="KM166" s="37">
        <v>1649</v>
      </c>
      <c r="KN166" s="37">
        <v>1588</v>
      </c>
      <c r="KO166" s="37">
        <v>1582</v>
      </c>
      <c r="KP166" s="37">
        <v>1620</v>
      </c>
      <c r="KQ166" s="37" t="s">
        <v>80</v>
      </c>
      <c r="KS166" s="36" t="s">
        <v>481</v>
      </c>
      <c r="KT166" s="37">
        <v>1670</v>
      </c>
      <c r="KU166" s="37">
        <v>1683</v>
      </c>
      <c r="KV166" s="37">
        <v>1693</v>
      </c>
      <c r="KW166" s="37">
        <v>1743</v>
      </c>
      <c r="KX166" s="37" t="s">
        <v>80</v>
      </c>
      <c r="KZ166" s="36" t="s">
        <v>481</v>
      </c>
      <c r="LB166" s="144"/>
      <c r="LC166" s="144"/>
      <c r="LD166" s="144"/>
      <c r="LF166" s="555"/>
      <c r="LG166" s="36" t="s">
        <v>481</v>
      </c>
      <c r="LH166" s="144"/>
      <c r="LI166" s="144"/>
      <c r="LJ166" s="144"/>
      <c r="LK166" s="144"/>
      <c r="LM166" s="555"/>
      <c r="LN166" s="36" t="s">
        <v>481</v>
      </c>
      <c r="LO166" s="144"/>
      <c r="LP166" s="144"/>
      <c r="LQ166" s="144"/>
      <c r="LR166" s="144"/>
      <c r="LT166" s="555"/>
      <c r="LU166" s="36" t="s">
        <v>481</v>
      </c>
      <c r="LV166" s="144"/>
      <c r="LW166" s="144"/>
      <c r="LX166" s="144"/>
      <c r="LY166" s="144"/>
      <c r="MA166" s="555"/>
      <c r="MB166" s="36" t="s">
        <v>481</v>
      </c>
      <c r="MC166" s="144"/>
      <c r="MD166" s="144"/>
      <c r="ME166" s="144"/>
      <c r="MF166" s="144"/>
      <c r="MH166" s="555"/>
    </row>
    <row r="167" spans="1:346" s="37" customFormat="1" ht="13.15" outlineLevel="1" x14ac:dyDescent="0.4">
      <c r="A167" s="100"/>
      <c r="B167" s="36" t="s">
        <v>482</v>
      </c>
      <c r="BO167" s="36" t="s">
        <v>482</v>
      </c>
      <c r="BV167" s="36" t="s">
        <v>482</v>
      </c>
      <c r="CC167" s="36" t="s">
        <v>482</v>
      </c>
      <c r="CJ167" s="36" t="s">
        <v>482</v>
      </c>
      <c r="CQ167" s="36" t="s">
        <v>482</v>
      </c>
      <c r="CX167" s="36" t="s">
        <v>482</v>
      </c>
      <c r="DE167" s="36" t="s">
        <v>482</v>
      </c>
      <c r="DL167" s="36" t="s">
        <v>482</v>
      </c>
      <c r="DS167" s="36" t="s">
        <v>482</v>
      </c>
      <c r="DZ167" s="36" t="s">
        <v>482</v>
      </c>
      <c r="EG167" s="36" t="s">
        <v>482</v>
      </c>
      <c r="EN167" s="36" t="s">
        <v>482</v>
      </c>
      <c r="EU167" s="36" t="s">
        <v>482</v>
      </c>
      <c r="FB167" s="36" t="s">
        <v>482</v>
      </c>
      <c r="FI167" s="36" t="s">
        <v>482</v>
      </c>
      <c r="FP167" s="36" t="s">
        <v>482</v>
      </c>
      <c r="FW167" s="36" t="s">
        <v>482</v>
      </c>
      <c r="FX167" s="37">
        <v>3121</v>
      </c>
      <c r="FY167" s="37">
        <v>3109</v>
      </c>
      <c r="FZ167" s="37">
        <v>3088</v>
      </c>
      <c r="GA167" s="37">
        <v>3078</v>
      </c>
      <c r="GB167" s="37" t="s">
        <v>80</v>
      </c>
      <c r="GD167" s="36" t="s">
        <v>482</v>
      </c>
      <c r="GE167" s="37">
        <v>3068</v>
      </c>
      <c r="GF167" s="37">
        <v>3032</v>
      </c>
      <c r="GG167" s="37">
        <v>2825</v>
      </c>
      <c r="GH167" s="37">
        <v>2815</v>
      </c>
      <c r="GI167" s="37" t="s">
        <v>80</v>
      </c>
      <c r="GK167" s="36" t="s">
        <v>482</v>
      </c>
      <c r="GL167" s="37">
        <v>2836</v>
      </c>
      <c r="GM167" s="37">
        <v>2784</v>
      </c>
      <c r="GN167" s="37">
        <v>2781</v>
      </c>
      <c r="GO167" s="37">
        <v>2829</v>
      </c>
      <c r="GP167" s="37" t="s">
        <v>80</v>
      </c>
      <c r="GR167" s="36" t="s">
        <v>482</v>
      </c>
      <c r="GS167" s="37">
        <v>2795</v>
      </c>
      <c r="GT167" s="37">
        <v>2753</v>
      </c>
      <c r="GU167" s="37">
        <v>2767</v>
      </c>
      <c r="GV167" s="37">
        <v>2823</v>
      </c>
      <c r="GW167" s="37" t="s">
        <v>80</v>
      </c>
      <c r="GY167" s="36" t="s">
        <v>482</v>
      </c>
      <c r="GZ167" s="37">
        <v>2746</v>
      </c>
      <c r="HA167" s="37">
        <v>2640</v>
      </c>
      <c r="HB167" s="37">
        <v>2690</v>
      </c>
      <c r="HC167" s="37">
        <v>2636</v>
      </c>
      <c r="HD167" s="37" t="s">
        <v>80</v>
      </c>
      <c r="HF167" s="36" t="s">
        <v>482</v>
      </c>
      <c r="HG167" s="37">
        <v>2633</v>
      </c>
      <c r="HH167" s="37">
        <v>2615</v>
      </c>
      <c r="HI167" s="37">
        <v>3267</v>
      </c>
      <c r="HJ167" s="37">
        <v>2820</v>
      </c>
      <c r="HK167" s="37" t="s">
        <v>80</v>
      </c>
      <c r="HM167" s="36" t="s">
        <v>482</v>
      </c>
      <c r="HN167" s="37">
        <v>2875</v>
      </c>
      <c r="HO167" s="37">
        <v>2943</v>
      </c>
      <c r="HP167" s="37">
        <v>3011</v>
      </c>
      <c r="HQ167" s="37">
        <v>2942</v>
      </c>
      <c r="HR167" s="37" t="s">
        <v>80</v>
      </c>
      <c r="HT167" s="36" t="s">
        <v>482</v>
      </c>
      <c r="HU167" s="37">
        <v>3027</v>
      </c>
      <c r="HV167" s="37">
        <v>3065</v>
      </c>
      <c r="HW167" s="37">
        <v>2998</v>
      </c>
      <c r="HX167" s="37">
        <v>3331</v>
      </c>
      <c r="HY167" s="37" t="s">
        <v>80</v>
      </c>
      <c r="IA167" s="36" t="s">
        <v>482</v>
      </c>
      <c r="IB167" s="37">
        <v>3412</v>
      </c>
      <c r="IC167" s="37">
        <v>3376</v>
      </c>
      <c r="ID167" s="37">
        <v>2986</v>
      </c>
      <c r="IE167" s="37">
        <v>2985</v>
      </c>
      <c r="IF167" s="37" t="s">
        <v>80</v>
      </c>
      <c r="IH167" s="36" t="s">
        <v>482</v>
      </c>
      <c r="II167" s="37">
        <v>3054</v>
      </c>
      <c r="IJ167" s="37">
        <v>3126</v>
      </c>
      <c r="IK167" s="37">
        <v>3083</v>
      </c>
      <c r="IL167" s="37">
        <v>3063</v>
      </c>
      <c r="IM167" s="37" t="s">
        <v>80</v>
      </c>
      <c r="IO167" s="36" t="s">
        <v>482</v>
      </c>
      <c r="IP167" s="37">
        <v>2986</v>
      </c>
      <c r="IQ167" s="37">
        <v>2972</v>
      </c>
      <c r="IR167" s="37">
        <v>2908</v>
      </c>
      <c r="IS167" s="37">
        <v>2817</v>
      </c>
      <c r="IT167" s="37" t="s">
        <v>80</v>
      </c>
      <c r="IV167" s="36" t="s">
        <v>482</v>
      </c>
      <c r="IW167" s="37">
        <v>2744</v>
      </c>
      <c r="IX167" s="37">
        <v>2643</v>
      </c>
      <c r="IY167" s="37">
        <v>2580</v>
      </c>
      <c r="IZ167" s="37">
        <v>2548</v>
      </c>
      <c r="JA167" s="37" t="s">
        <v>80</v>
      </c>
      <c r="JC167" s="36" t="s">
        <v>482</v>
      </c>
      <c r="JD167" s="37">
        <v>2502</v>
      </c>
      <c r="JE167" s="37">
        <v>1982</v>
      </c>
      <c r="JF167" s="37">
        <v>2007</v>
      </c>
      <c r="JG167" s="37">
        <v>1977</v>
      </c>
      <c r="JH167" s="37" t="s">
        <v>80</v>
      </c>
      <c r="JJ167" s="36" t="s">
        <v>482</v>
      </c>
      <c r="JK167" s="37">
        <v>1937</v>
      </c>
      <c r="JL167" s="37">
        <v>1866</v>
      </c>
      <c r="JM167" s="37">
        <v>1868</v>
      </c>
      <c r="JN167" s="37">
        <v>1819</v>
      </c>
      <c r="JO167" s="37" t="s">
        <v>80</v>
      </c>
      <c r="JQ167" s="36" t="s">
        <v>482</v>
      </c>
      <c r="JR167" s="37">
        <v>1832</v>
      </c>
      <c r="JS167" s="37">
        <v>1795</v>
      </c>
      <c r="JT167" s="37">
        <v>1746</v>
      </c>
      <c r="JU167" s="37">
        <v>1660</v>
      </c>
      <c r="JV167" s="37" t="s">
        <v>80</v>
      </c>
      <c r="JX167" s="36" t="s">
        <v>482</v>
      </c>
      <c r="JY167" s="37">
        <v>1718</v>
      </c>
      <c r="JZ167" s="37">
        <v>1688</v>
      </c>
      <c r="KA167" s="37">
        <v>1694</v>
      </c>
      <c r="KB167" s="37">
        <v>1668</v>
      </c>
      <c r="KC167" s="37" t="s">
        <v>80</v>
      </c>
      <c r="KE167" s="36" t="s">
        <v>482</v>
      </c>
      <c r="KF167" s="37">
        <v>1677</v>
      </c>
      <c r="KG167" s="37">
        <v>1642</v>
      </c>
      <c r="KH167" s="37">
        <v>1648</v>
      </c>
      <c r="KI167" s="37">
        <v>1675</v>
      </c>
      <c r="KJ167" s="37" t="s">
        <v>80</v>
      </c>
      <c r="KL167" s="36" t="s">
        <v>482</v>
      </c>
      <c r="KM167" s="37">
        <v>1621</v>
      </c>
      <c r="KN167" s="37">
        <v>1597</v>
      </c>
      <c r="KO167" s="37">
        <v>1593</v>
      </c>
      <c r="KP167" s="37">
        <v>1637</v>
      </c>
      <c r="KQ167" s="37" t="s">
        <v>80</v>
      </c>
      <c r="KS167" s="36" t="s">
        <v>482</v>
      </c>
      <c r="KT167" s="37">
        <v>1676</v>
      </c>
      <c r="KU167" s="37">
        <v>1684</v>
      </c>
      <c r="KV167" s="37">
        <v>1735</v>
      </c>
      <c r="KW167" s="37">
        <v>1771</v>
      </c>
      <c r="KX167" s="37" t="s">
        <v>80</v>
      </c>
      <c r="KZ167" s="36" t="s">
        <v>482</v>
      </c>
      <c r="LB167" s="144"/>
      <c r="LC167" s="144"/>
      <c r="LD167" s="144"/>
      <c r="LF167" s="555"/>
      <c r="LG167" s="36" t="s">
        <v>482</v>
      </c>
      <c r="LH167" s="144"/>
      <c r="LI167" s="144"/>
      <c r="LJ167" s="144"/>
      <c r="LK167" s="144"/>
      <c r="LM167" s="555"/>
      <c r="LN167" s="36" t="s">
        <v>482</v>
      </c>
      <c r="LO167" s="144"/>
      <c r="LP167" s="144"/>
      <c r="LQ167" s="144"/>
      <c r="LR167" s="144"/>
      <c r="LT167" s="555"/>
      <c r="LU167" s="36" t="s">
        <v>482</v>
      </c>
      <c r="LV167" s="144"/>
      <c r="LW167" s="144"/>
      <c r="LX167" s="144"/>
      <c r="LY167" s="144"/>
      <c r="MA167" s="555"/>
      <c r="MB167" s="36" t="s">
        <v>482</v>
      </c>
      <c r="MC167" s="144"/>
      <c r="MD167" s="144"/>
      <c r="ME167" s="144"/>
      <c r="MF167" s="144"/>
      <c r="MH167" s="555"/>
    </row>
    <row r="168" spans="1:346" s="37" customFormat="1" ht="13.15" outlineLevel="1" x14ac:dyDescent="0.4">
      <c r="A168" s="100"/>
      <c r="B168" s="289" t="s">
        <v>447</v>
      </c>
      <c r="C168" s="290"/>
      <c r="D168" s="290"/>
      <c r="E168" s="290"/>
      <c r="F168" s="290"/>
      <c r="G168" s="290"/>
      <c r="H168" s="290"/>
      <c r="I168" s="290"/>
      <c r="J168" s="290"/>
      <c r="K168" s="290"/>
      <c r="L168" s="290"/>
      <c r="M168" s="290"/>
      <c r="N168" s="290">
        <f>BT168</f>
        <v>0</v>
      </c>
      <c r="O168" s="290">
        <f>CA168</f>
        <v>0</v>
      </c>
      <c r="P168" s="290">
        <f>CH168</f>
        <v>0</v>
      </c>
      <c r="Q168" s="290">
        <f>CO168</f>
        <v>0</v>
      </c>
      <c r="R168" s="290">
        <f>CV168</f>
        <v>0</v>
      </c>
      <c r="S168" s="290">
        <f>DC168</f>
        <v>0</v>
      </c>
      <c r="T168" s="290">
        <f>DJ168</f>
        <v>0</v>
      </c>
      <c r="U168" s="290">
        <f>DQ168</f>
        <v>0</v>
      </c>
      <c r="V168" s="290">
        <f>DX168</f>
        <v>0</v>
      </c>
      <c r="W168" s="290">
        <f>EE168</f>
        <v>0</v>
      </c>
      <c r="X168" s="290">
        <f>EL168</f>
        <v>0</v>
      </c>
      <c r="Y168" s="290">
        <f>ES168</f>
        <v>0</v>
      </c>
      <c r="Z168" s="290">
        <f>EZ168</f>
        <v>0</v>
      </c>
      <c r="AA168" s="290">
        <f>FG168</f>
        <v>0</v>
      </c>
      <c r="AB168" s="290">
        <f>FN168</f>
        <v>0</v>
      </c>
      <c r="AC168" s="290">
        <f>FU168</f>
        <v>0</v>
      </c>
      <c r="AD168" s="290">
        <f>GB168</f>
        <v>5704.083333333333</v>
      </c>
      <c r="AE168" s="290">
        <f>GI168</f>
        <v>5989.666666666667</v>
      </c>
      <c r="AF168" s="290">
        <f>GP168</f>
        <v>6182.666666666667</v>
      </c>
      <c r="AG168" s="290">
        <f>GW168</f>
        <v>6246.583333333333</v>
      </c>
      <c r="AH168" s="290">
        <f>HD168</f>
        <v>6217.166666666667</v>
      </c>
      <c r="AI168" s="290">
        <f>HK168</f>
        <v>6125.75</v>
      </c>
      <c r="AJ168" s="290">
        <f>HR168</f>
        <v>6523.916666666667</v>
      </c>
      <c r="AK168" s="290">
        <f>HY168</f>
        <v>6710.75</v>
      </c>
      <c r="AL168" s="290">
        <f>IF168</f>
        <v>6546.5</v>
      </c>
      <c r="AM168" s="290">
        <f>IM168</f>
        <v>6405.833333333333</v>
      </c>
      <c r="AN168" s="290">
        <f>IT168</f>
        <v>6330.333333333333</v>
      </c>
      <c r="AO168" s="290">
        <f>JA168</f>
        <v>6052.666666666667</v>
      </c>
      <c r="AP168" s="290">
        <f>JH168</f>
        <v>5695.5</v>
      </c>
      <c r="AQ168" s="290">
        <f>JO168</f>
        <v>5314.75</v>
      </c>
      <c r="AR168" s="290">
        <f>JV168</f>
        <v>5123.916666666667</v>
      </c>
      <c r="AS168" s="290">
        <f>KC168</f>
        <v>4908.416666666667</v>
      </c>
      <c r="AT168" s="290">
        <f>KJ168</f>
        <v>4837.75</v>
      </c>
      <c r="AU168" s="290">
        <f>KQ168</f>
        <v>4893.416666666667</v>
      </c>
      <c r="AV168" s="290">
        <f>KX168</f>
        <v>5091.833333333333</v>
      </c>
      <c r="AW168" s="290">
        <f>LE168</f>
        <v>0</v>
      </c>
      <c r="AX168" s="290">
        <f>LL168</f>
        <v>0</v>
      </c>
      <c r="AY168" s="290">
        <f>LS168</f>
        <v>0</v>
      </c>
      <c r="AZ168" s="290">
        <f>LZ168</f>
        <v>0</v>
      </c>
      <c r="BA168" s="290">
        <f>MG168</f>
        <v>0</v>
      </c>
      <c r="BB168" s="290"/>
      <c r="BC168" s="290"/>
      <c r="BD168" s="290"/>
      <c r="BE168" s="290"/>
      <c r="BF168" s="290"/>
      <c r="BG168" s="290"/>
      <c r="BH168" s="290"/>
      <c r="BI168" s="290"/>
      <c r="BJ168" s="290"/>
      <c r="BK168" s="290"/>
      <c r="BL168" s="290"/>
      <c r="BM168" s="290"/>
      <c r="BO168" s="289" t="s">
        <v>447</v>
      </c>
      <c r="BP168" s="290"/>
      <c r="BQ168" s="290"/>
      <c r="BR168" s="290"/>
      <c r="BS168" s="290"/>
      <c r="BT168" s="290"/>
      <c r="BV168" s="289" t="s">
        <v>447</v>
      </c>
      <c r="BW168" s="290"/>
      <c r="BX168" s="290"/>
      <c r="BY168" s="290"/>
      <c r="BZ168" s="290"/>
      <c r="CA168" s="290"/>
      <c r="CC168" s="289" t="s">
        <v>447</v>
      </c>
      <c r="CD168" s="290"/>
      <c r="CE168" s="290"/>
      <c r="CF168" s="290"/>
      <c r="CG168" s="290"/>
      <c r="CH168" s="290"/>
      <c r="CJ168" s="289" t="s">
        <v>447</v>
      </c>
      <c r="CK168" s="290"/>
      <c r="CL168" s="290"/>
      <c r="CM168" s="290"/>
      <c r="CN168" s="290"/>
      <c r="CO168" s="290"/>
      <c r="CQ168" s="289" t="s">
        <v>447</v>
      </c>
      <c r="CR168" s="290"/>
      <c r="CS168" s="290"/>
      <c r="CT168" s="290"/>
      <c r="CU168" s="290"/>
      <c r="CV168" s="290"/>
      <c r="CX168" s="289" t="s">
        <v>447</v>
      </c>
      <c r="CY168" s="290"/>
      <c r="CZ168" s="290"/>
      <c r="DA168" s="290"/>
      <c r="DB168" s="290"/>
      <c r="DC168" s="290"/>
      <c r="DE168" s="289" t="s">
        <v>447</v>
      </c>
      <c r="DF168" s="290"/>
      <c r="DG168" s="290"/>
      <c r="DH168" s="290"/>
      <c r="DI168" s="290"/>
      <c r="DJ168" s="290"/>
      <c r="DL168" s="289" t="s">
        <v>447</v>
      </c>
      <c r="DM168" s="290"/>
      <c r="DN168" s="290"/>
      <c r="DO168" s="290"/>
      <c r="DP168" s="290"/>
      <c r="DQ168" s="290"/>
      <c r="DS168" s="289" t="s">
        <v>447</v>
      </c>
      <c r="DT168" s="290"/>
      <c r="DU168" s="290"/>
      <c r="DV168" s="290"/>
      <c r="DW168" s="290"/>
      <c r="DX168" s="290"/>
      <c r="DZ168" s="289" t="s">
        <v>447</v>
      </c>
      <c r="EA168" s="290"/>
      <c r="EB168" s="290"/>
      <c r="EC168" s="290"/>
      <c r="ED168" s="290"/>
      <c r="EE168" s="290"/>
      <c r="EG168" s="289" t="s">
        <v>447</v>
      </c>
      <c r="EH168" s="290"/>
      <c r="EI168" s="290"/>
      <c r="EJ168" s="290"/>
      <c r="EK168" s="290"/>
      <c r="EL168" s="290"/>
      <c r="EN168" s="289" t="s">
        <v>447</v>
      </c>
      <c r="EO168" s="290"/>
      <c r="EP168" s="290"/>
      <c r="EQ168" s="290"/>
      <c r="ER168" s="290"/>
      <c r="ES168" s="290"/>
      <c r="EU168" s="289" t="s">
        <v>447</v>
      </c>
      <c r="EV168" s="290"/>
      <c r="EW168" s="290"/>
      <c r="EX168" s="290"/>
      <c r="EY168" s="290"/>
      <c r="EZ168" s="290"/>
      <c r="FB168" s="289" t="s">
        <v>447</v>
      </c>
      <c r="FC168" s="290"/>
      <c r="FD168" s="290"/>
      <c r="FE168" s="290"/>
      <c r="FF168" s="290"/>
      <c r="FG168" s="290"/>
      <c r="FI168" s="289" t="s">
        <v>447</v>
      </c>
      <c r="FJ168" s="290"/>
      <c r="FK168" s="290"/>
      <c r="FL168" s="290"/>
      <c r="FM168" s="290"/>
      <c r="FN168" s="290"/>
      <c r="FP168" s="289" t="s">
        <v>447</v>
      </c>
      <c r="FQ168" s="290"/>
      <c r="FR168" s="290"/>
      <c r="FS168" s="290"/>
      <c r="FT168" s="290"/>
      <c r="FU168" s="290"/>
      <c r="FW168" s="289" t="s">
        <v>447</v>
      </c>
      <c r="FX168" s="290">
        <f>AVERAGE(FX169:FX171)</f>
        <v>5457</v>
      </c>
      <c r="FY168" s="290">
        <f>AVERAGE(FY169:FY171)</f>
        <v>5741</v>
      </c>
      <c r="FZ168" s="290">
        <f>AVERAGE(FZ169:FZ171)</f>
        <v>5767.333333333333</v>
      </c>
      <c r="GA168" s="290">
        <f>AVERAGE(GA169:GA171)</f>
        <v>5851</v>
      </c>
      <c r="GB168" s="290">
        <f>AVERAGE(FX169:GA171)</f>
        <v>5704.083333333333</v>
      </c>
      <c r="GD168" s="289" t="s">
        <v>447</v>
      </c>
      <c r="GE168" s="290">
        <f>AVERAGE(GE169:GE171)</f>
        <v>5813.666666666667</v>
      </c>
      <c r="GF168" s="290">
        <f>AVERAGE(GF169:GF171)</f>
        <v>5985.666666666667</v>
      </c>
      <c r="GG168" s="290">
        <f>AVERAGE(GG169:GG171)</f>
        <v>6048.666666666667</v>
      </c>
      <c r="GH168" s="290">
        <f>AVERAGE(GH169:GH171)</f>
        <v>6110.666666666667</v>
      </c>
      <c r="GI168" s="290">
        <f>AVERAGE(GE169:GH171)</f>
        <v>5989.666666666667</v>
      </c>
      <c r="GK168" s="289" t="s">
        <v>447</v>
      </c>
      <c r="GL168" s="290">
        <f>AVERAGE(GL169:GL171)</f>
        <v>6085</v>
      </c>
      <c r="GM168" s="290">
        <f>AVERAGE(GM169:GM171)</f>
        <v>6169.666666666667</v>
      </c>
      <c r="GN168" s="290">
        <f>AVERAGE(GN169:GN171)</f>
        <v>6221.333333333333</v>
      </c>
      <c r="GO168" s="290">
        <f>AVERAGE(GO169:GO171)</f>
        <v>6254.666666666667</v>
      </c>
      <c r="GP168" s="290">
        <f>AVERAGE(GL169:GO171)</f>
        <v>6182.666666666667</v>
      </c>
      <c r="GR168" s="289" t="s">
        <v>447</v>
      </c>
      <c r="GS168" s="290">
        <f>AVERAGE(GS169:GS171)</f>
        <v>6142</v>
      </c>
      <c r="GT168" s="290">
        <f>AVERAGE(GT169:GT171)</f>
        <v>6212.666666666667</v>
      </c>
      <c r="GU168" s="290">
        <f>AVERAGE(GU169:GU171)</f>
        <v>6280.666666666667</v>
      </c>
      <c r="GV168" s="290">
        <f>AVERAGE(GV169:GV171)</f>
        <v>6351</v>
      </c>
      <c r="GW168" s="290">
        <f>AVERAGE(GS169:GV171)</f>
        <v>6246.583333333333</v>
      </c>
      <c r="GY168" s="289" t="s">
        <v>447</v>
      </c>
      <c r="GZ168" s="290">
        <f>AVERAGE(GZ169:GZ171)</f>
        <v>6302</v>
      </c>
      <c r="HA168" s="290">
        <f>AVERAGE(HA169:HA171)</f>
        <v>6274.666666666667</v>
      </c>
      <c r="HB168" s="290">
        <f>AVERAGE(HB169:HB171)</f>
        <v>6235.333333333333</v>
      </c>
      <c r="HC168" s="290">
        <f>AVERAGE(HC169:HC171)</f>
        <v>6056.666666666667</v>
      </c>
      <c r="HD168" s="290">
        <f>AVERAGE(GZ169:HC171)</f>
        <v>6217.166666666667</v>
      </c>
      <c r="HF168" s="289" t="s">
        <v>447</v>
      </c>
      <c r="HG168" s="290">
        <f>AVERAGE(HG169:HG171)</f>
        <v>6039.666666666667</v>
      </c>
      <c r="HH168" s="290">
        <f>AVERAGE(HH169:HH171)</f>
        <v>6111</v>
      </c>
      <c r="HI168" s="290">
        <f>AVERAGE(HI169:HI171)</f>
        <v>6140.333333333333</v>
      </c>
      <c r="HJ168" s="290">
        <f>AVERAGE(HJ169:HJ171)</f>
        <v>6212</v>
      </c>
      <c r="HK168" s="290">
        <f>AVERAGE(HG169:HJ171)</f>
        <v>6125.75</v>
      </c>
      <c r="HM168" s="289" t="s">
        <v>447</v>
      </c>
      <c r="HN168" s="290">
        <f>AVERAGE(HN169:HN171)</f>
        <v>6260</v>
      </c>
      <c r="HO168" s="290">
        <f>AVERAGE(HO169:HO171)</f>
        <v>6500.333333333333</v>
      </c>
      <c r="HP168" s="290">
        <f>AVERAGE(HP169:HP171)</f>
        <v>6633.333333333333</v>
      </c>
      <c r="HQ168" s="290">
        <f>AVERAGE(HQ169:HQ171)</f>
        <v>6702</v>
      </c>
      <c r="HR168" s="290">
        <f>AVERAGE(HN169:HQ171)</f>
        <v>6523.916666666667</v>
      </c>
      <c r="HT168" s="289" t="s">
        <v>447</v>
      </c>
      <c r="HU168" s="290">
        <f>AVERAGE(HU169:HU171)</f>
        <v>6798.333333333333</v>
      </c>
      <c r="HV168" s="290">
        <f>AVERAGE(HV169:HV171)</f>
        <v>6802.666666666667</v>
      </c>
      <c r="HW168" s="290">
        <f>AVERAGE(HW169:HW171)</f>
        <v>6750</v>
      </c>
      <c r="HX168" s="290">
        <f>AVERAGE(HX169:HX171)</f>
        <v>6492</v>
      </c>
      <c r="HY168" s="290">
        <f>AVERAGE(HU169:HX171)</f>
        <v>6710.75</v>
      </c>
      <c r="IA168" s="289" t="s">
        <v>447</v>
      </c>
      <c r="IB168" s="290">
        <f>AVERAGE(IB169:IB171)</f>
        <v>6522.666666666667</v>
      </c>
      <c r="IC168" s="290">
        <f>AVERAGE(IC169:IC171)</f>
        <v>6607</v>
      </c>
      <c r="ID168" s="290">
        <f>AVERAGE(ID169:ID171)</f>
        <v>6556</v>
      </c>
      <c r="IE168" s="290">
        <f>AVERAGE(IE169:IE171)</f>
        <v>6500.333333333333</v>
      </c>
      <c r="IF168" s="290">
        <f>AVERAGE(IB169:IE171)</f>
        <v>6546.5</v>
      </c>
      <c r="IH168" s="289" t="s">
        <v>447</v>
      </c>
      <c r="II168" s="290">
        <f>AVERAGE(II169:II171)</f>
        <v>6470.333333333333</v>
      </c>
      <c r="IJ168" s="290">
        <f>AVERAGE(IJ169:IJ171)</f>
        <v>6452.333333333333</v>
      </c>
      <c r="IK168" s="290">
        <f>AVERAGE(IK169:IK171)</f>
        <v>6373.666666666667</v>
      </c>
      <c r="IL168" s="290">
        <f>AVERAGE(IL169:IL171)</f>
        <v>6327</v>
      </c>
      <c r="IM168" s="290">
        <f>AVERAGE(II169:IL171)</f>
        <v>6405.833333333333</v>
      </c>
      <c r="IO168" s="289" t="s">
        <v>447</v>
      </c>
      <c r="IP168" s="290">
        <f>AVERAGE(IP169:IP171)</f>
        <v>6387</v>
      </c>
      <c r="IQ168" s="290">
        <f>AVERAGE(IQ169:IQ171)</f>
        <v>6416</v>
      </c>
      <c r="IR168" s="290">
        <f>AVERAGE(IR169:IR171)</f>
        <v>6351.333333333333</v>
      </c>
      <c r="IS168" s="290">
        <f>AVERAGE(IS169:IS171)</f>
        <v>6167</v>
      </c>
      <c r="IT168" s="290">
        <f>AVERAGE(IP169:IS171)</f>
        <v>6330.333333333333</v>
      </c>
      <c r="IV168" s="289" t="s">
        <v>447</v>
      </c>
      <c r="IW168" s="290">
        <f>AVERAGE(IW169:IW171)</f>
        <v>6062.666666666667</v>
      </c>
      <c r="IX168" s="290">
        <f>AVERAGE(IX169:IX171)</f>
        <v>6130.666666666667</v>
      </c>
      <c r="IY168" s="290">
        <f>AVERAGE(IY169:IY171)</f>
        <v>6063.666666666667</v>
      </c>
      <c r="IZ168" s="290">
        <f>AVERAGE(IZ169:IZ171)</f>
        <v>5953.666666666667</v>
      </c>
      <c r="JA168" s="290">
        <f>AVERAGE(IW169:IZ171)</f>
        <v>6052.666666666667</v>
      </c>
      <c r="JC168" s="289" t="s">
        <v>447</v>
      </c>
      <c r="JD168" s="290">
        <f>AVERAGE(JD169:JD171)</f>
        <v>5857.333333333333</v>
      </c>
      <c r="JE168" s="290">
        <f>AVERAGE(JE169:JE171)</f>
        <v>5792.333333333333</v>
      </c>
      <c r="JF168" s="290">
        <f>AVERAGE(JF169:JF171)</f>
        <v>5604.666666666667</v>
      </c>
      <c r="JG168" s="290">
        <f>AVERAGE(JG169:JG171)</f>
        <v>5527.666666666667</v>
      </c>
      <c r="JH168" s="290">
        <f>AVERAGE(JD169:JG171)</f>
        <v>5695.5</v>
      </c>
      <c r="JJ168" s="289" t="s">
        <v>447</v>
      </c>
      <c r="JK168" s="290">
        <f>AVERAGE(JK169:JK171)</f>
        <v>5362.333333333333</v>
      </c>
      <c r="JL168" s="290">
        <f>AVERAGE(JL169:JL171)</f>
        <v>5360.666666666667</v>
      </c>
      <c r="JM168" s="290">
        <f>AVERAGE(JM169:JM171)</f>
        <v>5301</v>
      </c>
      <c r="JN168" s="290">
        <f>AVERAGE(JN169:JN171)</f>
        <v>5235</v>
      </c>
      <c r="JO168" s="290">
        <f>AVERAGE(JK169:JN171)</f>
        <v>5314.75</v>
      </c>
      <c r="JQ168" s="289" t="s">
        <v>447</v>
      </c>
      <c r="JR168" s="290">
        <f>AVERAGE(JR169:JR171)</f>
        <v>5214.333333333333</v>
      </c>
      <c r="JS168" s="290">
        <f>AVERAGE(JS169:JS171)</f>
        <v>5184.666666666667</v>
      </c>
      <c r="JT168" s="290">
        <f>AVERAGE(JT169:JT171)</f>
        <v>5079.666666666667</v>
      </c>
      <c r="JU168" s="290">
        <f>AVERAGE(JU169:JU171)</f>
        <v>5017</v>
      </c>
      <c r="JV168" s="290">
        <f>AVERAGE(JR169:JU171)</f>
        <v>5123.916666666667</v>
      </c>
      <c r="JX168" s="289" t="s">
        <v>447</v>
      </c>
      <c r="JY168" s="290">
        <f>AVERAGE(JY169:JY171)</f>
        <v>5016</v>
      </c>
      <c r="JZ168" s="290">
        <f>AVERAGE(JZ169:JZ171)</f>
        <v>4969</v>
      </c>
      <c r="KA168" s="290">
        <f>AVERAGE(KA169:KA171)</f>
        <v>4859</v>
      </c>
      <c r="KB168" s="290">
        <f>AVERAGE(KB169:KB171)</f>
        <v>4789.666666666667</v>
      </c>
      <c r="KC168" s="290">
        <f>AVERAGE(JY169:KB171)</f>
        <v>4908.416666666667</v>
      </c>
      <c r="KE168" s="289" t="s">
        <v>447</v>
      </c>
      <c r="KF168" s="290">
        <f>AVERAGE(KF169:KF171)</f>
        <v>4815.666666666667</v>
      </c>
      <c r="KG168" s="290">
        <f>AVERAGE(KG169:KG171)</f>
        <v>4892</v>
      </c>
      <c r="KH168" s="290">
        <f>AVERAGE(KH169:KH171)</f>
        <v>4827.666666666667</v>
      </c>
      <c r="KI168" s="290">
        <f>AVERAGE(KI169:KI171)</f>
        <v>4815.666666666667</v>
      </c>
      <c r="KJ168" s="290">
        <f>AVERAGE(KF169:KI171)</f>
        <v>4837.75</v>
      </c>
      <c r="KL168" s="289" t="s">
        <v>447</v>
      </c>
      <c r="KM168" s="290">
        <f>AVERAGE(KM169:KM171)</f>
        <v>4869.666666666667</v>
      </c>
      <c r="KN168" s="290">
        <f>AVERAGE(KN169:KN171)</f>
        <v>4889</v>
      </c>
      <c r="KO168" s="290">
        <f>AVERAGE(KO169:KO171)</f>
        <v>4876.666666666667</v>
      </c>
      <c r="KP168" s="290">
        <f>AVERAGE(KP169:KP171)</f>
        <v>4938.333333333333</v>
      </c>
      <c r="KQ168" s="290">
        <f>AVERAGE(KM169:KP171)</f>
        <v>4893.416666666667</v>
      </c>
      <c r="KS168" s="289" t="s">
        <v>447</v>
      </c>
      <c r="KT168" s="290">
        <f>AVERAGE(KT169:KT171)</f>
        <v>5043</v>
      </c>
      <c r="KU168" s="290">
        <f>AVERAGE(KU169:KU171)</f>
        <v>5098.666666666667</v>
      </c>
      <c r="KV168" s="290">
        <f>AVERAGE(KV169:KV171)</f>
        <v>5111.333333333333</v>
      </c>
      <c r="KW168" s="291">
        <f>AVERAGE(KW169:KW171)</f>
        <v>5114.333333333333</v>
      </c>
      <c r="KX168" s="290">
        <f>AVERAGE(KT169:KW171)</f>
        <v>5091.833333333333</v>
      </c>
      <c r="KZ168" s="289" t="s">
        <v>447</v>
      </c>
      <c r="LA168" s="290"/>
      <c r="LB168" s="144"/>
      <c r="LC168" s="144"/>
      <c r="LD168" s="144"/>
      <c r="LE168" s="290"/>
      <c r="LF168" s="555"/>
      <c r="LG168" s="289" t="s">
        <v>447</v>
      </c>
      <c r="LH168" s="144"/>
      <c r="LI168" s="144"/>
      <c r="LJ168" s="144"/>
      <c r="LK168" s="144"/>
      <c r="LL168" s="290"/>
      <c r="LM168" s="555"/>
      <c r="LN168" s="289" t="s">
        <v>447</v>
      </c>
      <c r="LO168" s="144"/>
      <c r="LP168" s="144"/>
      <c r="LQ168" s="144"/>
      <c r="LR168" s="144"/>
      <c r="LS168" s="290"/>
      <c r="LT168" s="555"/>
      <c r="LU168" s="289" t="s">
        <v>447</v>
      </c>
      <c r="LV168" s="144"/>
      <c r="LW168" s="144"/>
      <c r="LX168" s="144"/>
      <c r="LY168" s="144"/>
      <c r="LZ168" s="290"/>
      <c r="MA168" s="555"/>
      <c r="MB168" s="289" t="s">
        <v>447</v>
      </c>
      <c r="MC168" s="144"/>
      <c r="MD168" s="144"/>
      <c r="ME168" s="144"/>
      <c r="MF168" s="144"/>
      <c r="MG168" s="290"/>
      <c r="MH168" s="555"/>
    </row>
    <row r="169" spans="1:346" s="37" customFormat="1" ht="13.15" outlineLevel="1" x14ac:dyDescent="0.4">
      <c r="A169" s="100"/>
      <c r="B169" s="36" t="s">
        <v>480</v>
      </c>
      <c r="BO169" s="36" t="s">
        <v>480</v>
      </c>
      <c r="BV169" s="36" t="s">
        <v>480</v>
      </c>
      <c r="CC169" s="36" t="s">
        <v>480</v>
      </c>
      <c r="CJ169" s="36" t="s">
        <v>480</v>
      </c>
      <c r="CQ169" s="36" t="s">
        <v>480</v>
      </c>
      <c r="CX169" s="36" t="s">
        <v>480</v>
      </c>
      <c r="DE169" s="36" t="s">
        <v>480</v>
      </c>
      <c r="DL169" s="36" t="s">
        <v>480</v>
      </c>
      <c r="DS169" s="36" t="s">
        <v>480</v>
      </c>
      <c r="DZ169" s="36" t="s">
        <v>480</v>
      </c>
      <c r="EG169" s="36" t="s">
        <v>480</v>
      </c>
      <c r="EN169" s="36" t="s">
        <v>480</v>
      </c>
      <c r="EU169" s="36" t="s">
        <v>480</v>
      </c>
      <c r="FB169" s="36" t="s">
        <v>480</v>
      </c>
      <c r="FI169" s="36" t="s">
        <v>480</v>
      </c>
      <c r="FP169" s="36" t="s">
        <v>480</v>
      </c>
      <c r="FW169" s="36" t="s">
        <v>480</v>
      </c>
      <c r="FX169" s="37">
        <v>5230</v>
      </c>
      <c r="FY169" s="37">
        <v>5728</v>
      </c>
      <c r="FZ169" s="37">
        <v>5771</v>
      </c>
      <c r="GA169" s="37">
        <v>5819</v>
      </c>
      <c r="GB169" s="37" t="s">
        <v>80</v>
      </c>
      <c r="GD169" s="36" t="s">
        <v>480</v>
      </c>
      <c r="GE169" s="37">
        <v>5778</v>
      </c>
      <c r="GF169" s="37">
        <v>5931</v>
      </c>
      <c r="GG169" s="37">
        <v>6006</v>
      </c>
      <c r="GH169" s="37">
        <v>6069</v>
      </c>
      <c r="GI169" s="37" t="s">
        <v>80</v>
      </c>
      <c r="GK169" s="36" t="s">
        <v>480</v>
      </c>
      <c r="GL169" s="37">
        <v>6067</v>
      </c>
      <c r="GM169" s="37">
        <v>6136</v>
      </c>
      <c r="GN169" s="37">
        <v>6252</v>
      </c>
      <c r="GO169" s="37">
        <v>6187</v>
      </c>
      <c r="GP169" s="37" t="s">
        <v>80</v>
      </c>
      <c r="GR169" s="36" t="s">
        <v>480</v>
      </c>
      <c r="GS169" s="37">
        <v>6131</v>
      </c>
      <c r="GT169" s="37">
        <v>6189</v>
      </c>
      <c r="GU169" s="37">
        <v>6262</v>
      </c>
      <c r="GV169" s="37">
        <v>6315</v>
      </c>
      <c r="GW169" s="37" t="s">
        <v>80</v>
      </c>
      <c r="GY169" s="36" t="s">
        <v>480</v>
      </c>
      <c r="GZ169" s="37">
        <v>6317</v>
      </c>
      <c r="HA169" s="37">
        <v>6305</v>
      </c>
      <c r="HB169" s="37">
        <v>6221</v>
      </c>
      <c r="HC169" s="37">
        <v>6186</v>
      </c>
      <c r="HD169" s="37" t="s">
        <v>80</v>
      </c>
      <c r="HF169" s="36" t="s">
        <v>480</v>
      </c>
      <c r="HG169" s="37">
        <v>6047</v>
      </c>
      <c r="HH169" s="37">
        <v>6070</v>
      </c>
      <c r="HI169" s="37">
        <v>6134</v>
      </c>
      <c r="HJ169" s="37">
        <v>6194</v>
      </c>
      <c r="HK169" s="37" t="s">
        <v>80</v>
      </c>
      <c r="HM169" s="36" t="s">
        <v>480</v>
      </c>
      <c r="HN169" s="37">
        <v>6206</v>
      </c>
      <c r="HO169" s="37">
        <v>6426</v>
      </c>
      <c r="HP169" s="37">
        <v>6597</v>
      </c>
      <c r="HQ169" s="37">
        <v>6727</v>
      </c>
      <c r="HR169" s="37" t="s">
        <v>80</v>
      </c>
      <c r="HT169" s="36" t="s">
        <v>480</v>
      </c>
      <c r="HU169" s="37">
        <v>6801</v>
      </c>
      <c r="HV169" s="37">
        <v>6822</v>
      </c>
      <c r="HW169" s="37">
        <v>6752</v>
      </c>
      <c r="HX169" s="37">
        <v>6649</v>
      </c>
      <c r="HY169" s="37" t="s">
        <v>80</v>
      </c>
      <c r="IA169" s="36" t="s">
        <v>480</v>
      </c>
      <c r="IB169" s="37">
        <v>6515</v>
      </c>
      <c r="IC169" s="37">
        <v>6605</v>
      </c>
      <c r="ID169" s="37">
        <v>6564</v>
      </c>
      <c r="IE169" s="37">
        <v>6556</v>
      </c>
      <c r="IF169" s="37" t="s">
        <v>80</v>
      </c>
      <c r="IH169" s="36" t="s">
        <v>480</v>
      </c>
      <c r="II169" s="37">
        <v>6468</v>
      </c>
      <c r="IJ169" s="37">
        <v>6484</v>
      </c>
      <c r="IK169" s="37">
        <v>6398</v>
      </c>
      <c r="IL169" s="37">
        <v>6333</v>
      </c>
      <c r="IM169" s="37" t="s">
        <v>80</v>
      </c>
      <c r="IO169" s="36" t="s">
        <v>480</v>
      </c>
      <c r="IP169" s="37">
        <v>6373</v>
      </c>
      <c r="IQ169" s="37">
        <v>6433</v>
      </c>
      <c r="IR169" s="37">
        <v>6360</v>
      </c>
      <c r="IS169" s="37">
        <v>6314</v>
      </c>
      <c r="IT169" s="37" t="s">
        <v>80</v>
      </c>
      <c r="IV169" s="36" t="s">
        <v>480</v>
      </c>
      <c r="IW169" s="37">
        <v>6072</v>
      </c>
      <c r="IX169" s="37">
        <v>6118</v>
      </c>
      <c r="IY169" s="37">
        <v>6110</v>
      </c>
      <c r="IZ169" s="37">
        <v>6004</v>
      </c>
      <c r="JA169" s="37" t="s">
        <v>80</v>
      </c>
      <c r="JC169" s="36" t="s">
        <v>480</v>
      </c>
      <c r="JD169" s="37">
        <v>5901</v>
      </c>
      <c r="JE169" s="37">
        <v>5841</v>
      </c>
      <c r="JF169" s="37">
        <v>5664</v>
      </c>
      <c r="JG169" s="37">
        <v>5541</v>
      </c>
      <c r="JH169" s="37" t="s">
        <v>80</v>
      </c>
      <c r="JJ169" s="36" t="s">
        <v>480</v>
      </c>
      <c r="JK169" s="37">
        <v>5388</v>
      </c>
      <c r="JL169" s="37">
        <v>5330</v>
      </c>
      <c r="JM169" s="37">
        <v>5315</v>
      </c>
      <c r="JN169" s="37">
        <v>5260</v>
      </c>
      <c r="JO169" s="37" t="s">
        <v>80</v>
      </c>
      <c r="JQ169" s="36" t="s">
        <v>480</v>
      </c>
      <c r="JR169" s="37">
        <v>5246</v>
      </c>
      <c r="JS169" s="37">
        <v>5205</v>
      </c>
      <c r="JT169" s="37">
        <v>5095</v>
      </c>
      <c r="JU169" s="37">
        <v>5039</v>
      </c>
      <c r="JV169" s="37" t="s">
        <v>80</v>
      </c>
      <c r="JX169" s="36" t="s">
        <v>480</v>
      </c>
      <c r="JY169" s="37">
        <v>5029</v>
      </c>
      <c r="JZ169" s="37">
        <v>4993</v>
      </c>
      <c r="KA169" s="37">
        <v>4854</v>
      </c>
      <c r="KB169" s="37">
        <v>4861</v>
      </c>
      <c r="KC169" s="37" t="s">
        <v>80</v>
      </c>
      <c r="KE169" s="36" t="s">
        <v>480</v>
      </c>
      <c r="KF169" s="37">
        <v>4760</v>
      </c>
      <c r="KG169" s="37">
        <v>4886</v>
      </c>
      <c r="KH169" s="37">
        <v>4832</v>
      </c>
      <c r="KI169" s="37">
        <v>4839</v>
      </c>
      <c r="KJ169" s="37" t="s">
        <v>80</v>
      </c>
      <c r="KL169" s="36" t="s">
        <v>480</v>
      </c>
      <c r="KM169" s="37">
        <v>4846</v>
      </c>
      <c r="KN169" s="37">
        <v>4904</v>
      </c>
      <c r="KO169" s="37">
        <v>4877</v>
      </c>
      <c r="KP169" s="37">
        <v>4922</v>
      </c>
      <c r="KQ169" s="37" t="s">
        <v>80</v>
      </c>
      <c r="KS169" s="36" t="s">
        <v>480</v>
      </c>
      <c r="KT169" s="37">
        <v>5082</v>
      </c>
      <c r="KU169" s="37">
        <v>5085</v>
      </c>
      <c r="KV169" s="37">
        <v>5120</v>
      </c>
      <c r="KW169" s="37">
        <v>5126</v>
      </c>
      <c r="KX169" s="37" t="s">
        <v>80</v>
      </c>
      <c r="KZ169" s="36" t="s">
        <v>480</v>
      </c>
      <c r="LB169" s="144"/>
      <c r="LC169" s="144"/>
      <c r="LD169" s="144"/>
      <c r="LF169" s="555"/>
      <c r="LG169" s="36" t="s">
        <v>480</v>
      </c>
      <c r="LH169" s="144"/>
      <c r="LI169" s="144"/>
      <c r="LJ169" s="144"/>
      <c r="LK169" s="144"/>
      <c r="LM169" s="555"/>
      <c r="LN169" s="36" t="s">
        <v>480</v>
      </c>
      <c r="LO169" s="144"/>
      <c r="LP169" s="144"/>
      <c r="LQ169" s="144"/>
      <c r="LR169" s="144"/>
      <c r="LT169" s="555"/>
      <c r="LU169" s="36" t="s">
        <v>480</v>
      </c>
      <c r="LV169" s="144"/>
      <c r="LW169" s="144"/>
      <c r="LX169" s="144"/>
      <c r="LY169" s="144"/>
      <c r="MA169" s="555"/>
      <c r="MB169" s="36" t="s">
        <v>480</v>
      </c>
      <c r="MC169" s="144"/>
      <c r="MD169" s="144"/>
      <c r="ME169" s="144"/>
      <c r="MF169" s="144"/>
      <c r="MH169" s="555"/>
    </row>
    <row r="170" spans="1:346" s="37" customFormat="1" ht="13.15" outlineLevel="1" x14ac:dyDescent="0.4">
      <c r="A170" s="100"/>
      <c r="B170" s="36" t="s">
        <v>481</v>
      </c>
      <c r="BO170" s="36" t="s">
        <v>481</v>
      </c>
      <c r="BV170" s="36" t="s">
        <v>481</v>
      </c>
      <c r="CC170" s="36" t="s">
        <v>481</v>
      </c>
      <c r="CJ170" s="36" t="s">
        <v>481</v>
      </c>
      <c r="CQ170" s="36" t="s">
        <v>481</v>
      </c>
      <c r="CX170" s="36" t="s">
        <v>481</v>
      </c>
      <c r="DE170" s="36" t="s">
        <v>481</v>
      </c>
      <c r="DL170" s="36" t="s">
        <v>481</v>
      </c>
      <c r="DS170" s="36" t="s">
        <v>481</v>
      </c>
      <c r="DZ170" s="36" t="s">
        <v>481</v>
      </c>
      <c r="EG170" s="36" t="s">
        <v>481</v>
      </c>
      <c r="EN170" s="36" t="s">
        <v>481</v>
      </c>
      <c r="EU170" s="36" t="s">
        <v>481</v>
      </c>
      <c r="FB170" s="36" t="s">
        <v>481</v>
      </c>
      <c r="FI170" s="36" t="s">
        <v>481</v>
      </c>
      <c r="FP170" s="36" t="s">
        <v>481</v>
      </c>
      <c r="FW170" s="36" t="s">
        <v>481</v>
      </c>
      <c r="FX170" s="37">
        <v>5474</v>
      </c>
      <c r="FY170" s="37">
        <v>5736</v>
      </c>
      <c r="FZ170" s="37">
        <v>5774</v>
      </c>
      <c r="GA170" s="37">
        <v>5947</v>
      </c>
      <c r="GB170" s="37" t="s">
        <v>80</v>
      </c>
      <c r="GD170" s="36" t="s">
        <v>481</v>
      </c>
      <c r="GE170" s="37">
        <v>5786</v>
      </c>
      <c r="GF170" s="37">
        <v>6001</v>
      </c>
      <c r="GG170" s="37">
        <v>6053</v>
      </c>
      <c r="GH170" s="37">
        <v>6150</v>
      </c>
      <c r="GI170" s="37" t="s">
        <v>80</v>
      </c>
      <c r="GK170" s="36" t="s">
        <v>481</v>
      </c>
      <c r="GL170" s="37">
        <v>6086</v>
      </c>
      <c r="GM170" s="37">
        <v>6180</v>
      </c>
      <c r="GN170" s="37">
        <v>6201</v>
      </c>
      <c r="GO170" s="37">
        <v>6307</v>
      </c>
      <c r="GP170" s="37" t="s">
        <v>80</v>
      </c>
      <c r="GR170" s="36" t="s">
        <v>481</v>
      </c>
      <c r="GS170" s="37">
        <v>6143</v>
      </c>
      <c r="GT170" s="37">
        <v>6220</v>
      </c>
      <c r="GU170" s="37">
        <v>6295</v>
      </c>
      <c r="GV170" s="37">
        <v>6427</v>
      </c>
      <c r="GW170" s="37" t="s">
        <v>80</v>
      </c>
      <c r="GY170" s="36" t="s">
        <v>481</v>
      </c>
      <c r="GZ170" s="37">
        <v>6293</v>
      </c>
      <c r="HA170" s="37">
        <v>6277</v>
      </c>
      <c r="HB170" s="37">
        <v>6210</v>
      </c>
      <c r="HC170" s="37">
        <v>6136</v>
      </c>
      <c r="HD170" s="37" t="s">
        <v>80</v>
      </c>
      <c r="HF170" s="36" t="s">
        <v>481</v>
      </c>
      <c r="HG170" s="37">
        <v>6038</v>
      </c>
      <c r="HH170" s="37">
        <v>6072</v>
      </c>
      <c r="HI170" s="37">
        <v>6146</v>
      </c>
      <c r="HJ170" s="37">
        <v>6277</v>
      </c>
      <c r="HK170" s="37" t="s">
        <v>80</v>
      </c>
      <c r="HM170" s="36" t="s">
        <v>481</v>
      </c>
      <c r="HN170" s="37">
        <v>6246</v>
      </c>
      <c r="HO170" s="37">
        <v>6506</v>
      </c>
      <c r="HP170" s="37">
        <v>6653</v>
      </c>
      <c r="HQ170" s="37">
        <v>6806</v>
      </c>
      <c r="HR170" s="37" t="s">
        <v>80</v>
      </c>
      <c r="HT170" s="36" t="s">
        <v>481</v>
      </c>
      <c r="HU170" s="37">
        <v>6785</v>
      </c>
      <c r="HV170" s="37">
        <v>6822</v>
      </c>
      <c r="HW170" s="37">
        <v>6760</v>
      </c>
      <c r="HX170" s="37">
        <v>6531</v>
      </c>
      <c r="HY170" s="37" t="s">
        <v>80</v>
      </c>
      <c r="IA170" s="36" t="s">
        <v>481</v>
      </c>
      <c r="IB170" s="37">
        <v>6515</v>
      </c>
      <c r="IC170" s="37">
        <v>6621</v>
      </c>
      <c r="ID170" s="37">
        <v>6569</v>
      </c>
      <c r="IE170" s="37">
        <v>6584</v>
      </c>
      <c r="IF170" s="37" t="s">
        <v>80</v>
      </c>
      <c r="IH170" s="36" t="s">
        <v>481</v>
      </c>
      <c r="II170" s="37">
        <v>6486</v>
      </c>
      <c r="IJ170" s="37">
        <v>6470</v>
      </c>
      <c r="IK170" s="37">
        <v>6377</v>
      </c>
      <c r="IL170" s="37">
        <v>6361</v>
      </c>
      <c r="IM170" s="37" t="s">
        <v>80</v>
      </c>
      <c r="IO170" s="36" t="s">
        <v>481</v>
      </c>
      <c r="IP170" s="37">
        <v>6387</v>
      </c>
      <c r="IQ170" s="37">
        <v>6430</v>
      </c>
      <c r="IR170" s="37">
        <v>6347</v>
      </c>
      <c r="IS170" s="37">
        <v>6364</v>
      </c>
      <c r="IT170" s="37" t="s">
        <v>80</v>
      </c>
      <c r="IV170" s="36" t="s">
        <v>481</v>
      </c>
      <c r="IW170" s="37">
        <v>6057</v>
      </c>
      <c r="IX170" s="37">
        <v>6146</v>
      </c>
      <c r="IY170" s="37">
        <v>6054</v>
      </c>
      <c r="IZ170" s="37">
        <v>6013</v>
      </c>
      <c r="JA170" s="37" t="s">
        <v>80</v>
      </c>
      <c r="JC170" s="36" t="s">
        <v>481</v>
      </c>
      <c r="JD170" s="37">
        <v>5848</v>
      </c>
      <c r="JE170" s="37">
        <v>5796</v>
      </c>
      <c r="JF170" s="37">
        <v>5588</v>
      </c>
      <c r="JG170" s="37">
        <v>5472</v>
      </c>
      <c r="JH170" s="37" t="s">
        <v>80</v>
      </c>
      <c r="JJ170" s="36" t="s">
        <v>481</v>
      </c>
      <c r="JK170" s="37">
        <v>5358</v>
      </c>
      <c r="JL170" s="37">
        <v>5368</v>
      </c>
      <c r="JM170" s="37">
        <v>5301</v>
      </c>
      <c r="JN170" s="37">
        <v>5269</v>
      </c>
      <c r="JO170" s="37" t="s">
        <v>80</v>
      </c>
      <c r="JQ170" s="36" t="s">
        <v>481</v>
      </c>
      <c r="JR170" s="37">
        <v>5229</v>
      </c>
      <c r="JS170" s="37">
        <v>5183</v>
      </c>
      <c r="JT170" s="37">
        <v>5081</v>
      </c>
      <c r="JU170" s="37">
        <v>5020</v>
      </c>
      <c r="JV170" s="37" t="s">
        <v>80</v>
      </c>
      <c r="JX170" s="36" t="s">
        <v>481</v>
      </c>
      <c r="JY170" s="37">
        <v>5018</v>
      </c>
      <c r="JZ170" s="37">
        <v>4979</v>
      </c>
      <c r="KA170" s="37">
        <v>4857</v>
      </c>
      <c r="KB170" s="37">
        <v>4798</v>
      </c>
      <c r="KC170" s="37" t="s">
        <v>80</v>
      </c>
      <c r="KE170" s="36" t="s">
        <v>481</v>
      </c>
      <c r="KF170" s="37">
        <v>4803</v>
      </c>
      <c r="KG170" s="37">
        <v>4911</v>
      </c>
      <c r="KH170" s="37">
        <v>4827</v>
      </c>
      <c r="KI170" s="37">
        <v>4810</v>
      </c>
      <c r="KJ170" s="37" t="s">
        <v>80</v>
      </c>
      <c r="KL170" s="36" t="s">
        <v>481</v>
      </c>
      <c r="KM170" s="37">
        <v>4871</v>
      </c>
      <c r="KN170" s="37">
        <v>4905</v>
      </c>
      <c r="KO170" s="37">
        <v>4866</v>
      </c>
      <c r="KP170" s="37">
        <v>4945</v>
      </c>
      <c r="KQ170" s="37" t="s">
        <v>80</v>
      </c>
      <c r="KS170" s="36" t="s">
        <v>481</v>
      </c>
      <c r="KT170" s="37">
        <v>5013</v>
      </c>
      <c r="KU170" s="37">
        <v>5096</v>
      </c>
      <c r="KV170" s="37">
        <v>5126</v>
      </c>
      <c r="KW170" s="37">
        <v>5109</v>
      </c>
      <c r="KX170" s="37" t="s">
        <v>80</v>
      </c>
      <c r="KZ170" s="36" t="s">
        <v>481</v>
      </c>
      <c r="LB170" s="144"/>
      <c r="LC170" s="144"/>
      <c r="LD170" s="144"/>
      <c r="LF170" s="555"/>
      <c r="LG170" s="36" t="s">
        <v>481</v>
      </c>
      <c r="LH170" s="144"/>
      <c r="LI170" s="144"/>
      <c r="LJ170" s="144"/>
      <c r="LK170" s="144"/>
      <c r="LM170" s="555"/>
      <c r="LN170" s="36" t="s">
        <v>481</v>
      </c>
      <c r="LO170" s="144"/>
      <c r="LP170" s="144"/>
      <c r="LQ170" s="144"/>
      <c r="LR170" s="144"/>
      <c r="LT170" s="555"/>
      <c r="LU170" s="36" t="s">
        <v>481</v>
      </c>
      <c r="LV170" s="144"/>
      <c r="LW170" s="144"/>
      <c r="LX170" s="144"/>
      <c r="LY170" s="144"/>
      <c r="MA170" s="555"/>
      <c r="MB170" s="36" t="s">
        <v>481</v>
      </c>
      <c r="MC170" s="144"/>
      <c r="MD170" s="144"/>
      <c r="ME170" s="144"/>
      <c r="MF170" s="144"/>
      <c r="MH170" s="555"/>
    </row>
    <row r="171" spans="1:346" s="37" customFormat="1" ht="13.15" outlineLevel="1" x14ac:dyDescent="0.4">
      <c r="A171" s="100"/>
      <c r="B171" s="36" t="s">
        <v>482</v>
      </c>
      <c r="BO171" s="36" t="s">
        <v>482</v>
      </c>
      <c r="BV171" s="36" t="s">
        <v>482</v>
      </c>
      <c r="CC171" s="36" t="s">
        <v>482</v>
      </c>
      <c r="CJ171" s="36" t="s">
        <v>482</v>
      </c>
      <c r="CQ171" s="36" t="s">
        <v>482</v>
      </c>
      <c r="CX171" s="36" t="s">
        <v>482</v>
      </c>
      <c r="DE171" s="36" t="s">
        <v>482</v>
      </c>
      <c r="DL171" s="36" t="s">
        <v>482</v>
      </c>
      <c r="DS171" s="36" t="s">
        <v>482</v>
      </c>
      <c r="DZ171" s="36" t="s">
        <v>482</v>
      </c>
      <c r="EG171" s="36" t="s">
        <v>482</v>
      </c>
      <c r="EN171" s="36" t="s">
        <v>482</v>
      </c>
      <c r="EU171" s="36" t="s">
        <v>482</v>
      </c>
      <c r="FB171" s="36" t="s">
        <v>482</v>
      </c>
      <c r="FI171" s="36" t="s">
        <v>482</v>
      </c>
      <c r="FP171" s="36" t="s">
        <v>482</v>
      </c>
      <c r="FW171" s="36" t="s">
        <v>482</v>
      </c>
      <c r="FX171" s="37">
        <v>5667</v>
      </c>
      <c r="FY171" s="37">
        <v>5759</v>
      </c>
      <c r="FZ171" s="37">
        <v>5757</v>
      </c>
      <c r="GA171" s="37">
        <v>5787</v>
      </c>
      <c r="GB171" s="37" t="s">
        <v>80</v>
      </c>
      <c r="GD171" s="36" t="s">
        <v>482</v>
      </c>
      <c r="GE171" s="37">
        <v>5877</v>
      </c>
      <c r="GF171" s="37">
        <v>6025</v>
      </c>
      <c r="GG171" s="37">
        <v>6087</v>
      </c>
      <c r="GH171" s="37">
        <v>6113</v>
      </c>
      <c r="GI171" s="37" t="s">
        <v>80</v>
      </c>
      <c r="GK171" s="36" t="s">
        <v>482</v>
      </c>
      <c r="GL171" s="37">
        <v>6102</v>
      </c>
      <c r="GM171" s="37">
        <v>6193</v>
      </c>
      <c r="GN171" s="37">
        <v>6211</v>
      </c>
      <c r="GO171" s="37">
        <v>6270</v>
      </c>
      <c r="GP171" s="37" t="s">
        <v>80</v>
      </c>
      <c r="GR171" s="36" t="s">
        <v>482</v>
      </c>
      <c r="GS171" s="37">
        <v>6152</v>
      </c>
      <c r="GT171" s="37">
        <v>6229</v>
      </c>
      <c r="GU171" s="37">
        <v>6285</v>
      </c>
      <c r="GV171" s="37">
        <v>6311</v>
      </c>
      <c r="GW171" s="37" t="s">
        <v>80</v>
      </c>
      <c r="GY171" s="36" t="s">
        <v>482</v>
      </c>
      <c r="GZ171" s="37">
        <v>6296</v>
      </c>
      <c r="HA171" s="37">
        <v>6242</v>
      </c>
      <c r="HB171" s="37">
        <v>6275</v>
      </c>
      <c r="HC171" s="37">
        <v>5848</v>
      </c>
      <c r="HD171" s="37" t="s">
        <v>80</v>
      </c>
      <c r="HF171" s="36" t="s">
        <v>482</v>
      </c>
      <c r="HG171" s="37">
        <v>6034</v>
      </c>
      <c r="HH171" s="37">
        <v>6191</v>
      </c>
      <c r="HI171" s="37">
        <v>6141</v>
      </c>
      <c r="HJ171" s="37">
        <v>6165</v>
      </c>
      <c r="HK171" s="37" t="s">
        <v>80</v>
      </c>
      <c r="HM171" s="36" t="s">
        <v>482</v>
      </c>
      <c r="HN171" s="37">
        <v>6328</v>
      </c>
      <c r="HO171" s="37">
        <v>6569</v>
      </c>
      <c r="HP171" s="37">
        <v>6650</v>
      </c>
      <c r="HQ171" s="37">
        <v>6573</v>
      </c>
      <c r="HR171" s="37" t="s">
        <v>80</v>
      </c>
      <c r="HT171" s="36" t="s">
        <v>482</v>
      </c>
      <c r="HU171" s="37">
        <v>6809</v>
      </c>
      <c r="HV171" s="37">
        <v>6764</v>
      </c>
      <c r="HW171" s="37">
        <v>6738</v>
      </c>
      <c r="HX171" s="37">
        <v>6296</v>
      </c>
      <c r="HY171" s="37" t="s">
        <v>80</v>
      </c>
      <c r="IA171" s="36" t="s">
        <v>482</v>
      </c>
      <c r="IB171" s="37">
        <v>6538</v>
      </c>
      <c r="IC171" s="37">
        <v>6595</v>
      </c>
      <c r="ID171" s="37">
        <v>6535</v>
      </c>
      <c r="IE171" s="37">
        <v>6361</v>
      </c>
      <c r="IF171" s="37" t="s">
        <v>80</v>
      </c>
      <c r="IH171" s="36" t="s">
        <v>482</v>
      </c>
      <c r="II171" s="37">
        <v>6457</v>
      </c>
      <c r="IJ171" s="37">
        <v>6403</v>
      </c>
      <c r="IK171" s="37">
        <v>6346</v>
      </c>
      <c r="IL171" s="37">
        <v>6287</v>
      </c>
      <c r="IM171" s="37" t="s">
        <v>80</v>
      </c>
      <c r="IO171" s="36" t="s">
        <v>482</v>
      </c>
      <c r="IP171" s="37">
        <v>6401</v>
      </c>
      <c r="IQ171" s="37">
        <v>6385</v>
      </c>
      <c r="IR171" s="37">
        <v>6347</v>
      </c>
      <c r="IS171" s="37">
        <v>5823</v>
      </c>
      <c r="IT171" s="37" t="s">
        <v>80</v>
      </c>
      <c r="IV171" s="36" t="s">
        <v>482</v>
      </c>
      <c r="IW171" s="37">
        <v>6059</v>
      </c>
      <c r="IX171" s="37">
        <v>6128</v>
      </c>
      <c r="IY171" s="37">
        <v>6027</v>
      </c>
      <c r="IZ171" s="37">
        <v>5844</v>
      </c>
      <c r="JA171" s="37" t="s">
        <v>80</v>
      </c>
      <c r="JC171" s="36" t="s">
        <v>482</v>
      </c>
      <c r="JD171" s="37">
        <v>5823</v>
      </c>
      <c r="JE171" s="37">
        <v>5740</v>
      </c>
      <c r="JF171" s="37">
        <v>5562</v>
      </c>
      <c r="JG171" s="37">
        <v>5570</v>
      </c>
      <c r="JH171" s="37" t="s">
        <v>80</v>
      </c>
      <c r="JJ171" s="36" t="s">
        <v>482</v>
      </c>
      <c r="JK171" s="37">
        <v>5341</v>
      </c>
      <c r="JL171" s="37">
        <v>5384</v>
      </c>
      <c r="JM171" s="37">
        <v>5287</v>
      </c>
      <c r="JN171" s="37">
        <v>5176</v>
      </c>
      <c r="JO171" s="37" t="s">
        <v>80</v>
      </c>
      <c r="JQ171" s="36" t="s">
        <v>482</v>
      </c>
      <c r="JR171" s="37">
        <v>5168</v>
      </c>
      <c r="JS171" s="37">
        <v>5166</v>
      </c>
      <c r="JT171" s="37">
        <v>5063</v>
      </c>
      <c r="JU171" s="37">
        <v>4992</v>
      </c>
      <c r="JV171" s="37" t="s">
        <v>80</v>
      </c>
      <c r="JX171" s="36" t="s">
        <v>482</v>
      </c>
      <c r="JY171" s="37">
        <v>5001</v>
      </c>
      <c r="JZ171" s="37">
        <v>4935</v>
      </c>
      <c r="KA171" s="37">
        <v>4866</v>
      </c>
      <c r="KB171" s="37">
        <v>4710</v>
      </c>
      <c r="KC171" s="37" t="s">
        <v>80</v>
      </c>
      <c r="KE171" s="36" t="s">
        <v>482</v>
      </c>
      <c r="KF171" s="37">
        <v>4884</v>
      </c>
      <c r="KG171" s="37">
        <v>4879</v>
      </c>
      <c r="KH171" s="37">
        <v>4824</v>
      </c>
      <c r="KI171" s="37">
        <v>4798</v>
      </c>
      <c r="KJ171" s="37" t="s">
        <v>80</v>
      </c>
      <c r="KL171" s="36" t="s">
        <v>482</v>
      </c>
      <c r="KM171" s="37">
        <v>4892</v>
      </c>
      <c r="KN171" s="37">
        <v>4858</v>
      </c>
      <c r="KO171" s="37">
        <v>4887</v>
      </c>
      <c r="KP171" s="37">
        <v>4948</v>
      </c>
      <c r="KQ171" s="37" t="s">
        <v>80</v>
      </c>
      <c r="KS171" s="36" t="s">
        <v>482</v>
      </c>
      <c r="KT171" s="37">
        <v>5034</v>
      </c>
      <c r="KU171" s="37">
        <v>5115</v>
      </c>
      <c r="KV171" s="37">
        <v>5088</v>
      </c>
      <c r="KW171" s="37">
        <v>5108</v>
      </c>
      <c r="KX171" s="37" t="s">
        <v>80</v>
      </c>
      <c r="KZ171" s="36" t="s">
        <v>482</v>
      </c>
      <c r="LB171" s="144"/>
      <c r="LC171" s="144"/>
      <c r="LD171" s="144"/>
      <c r="LF171" s="555"/>
      <c r="LG171" s="36" t="s">
        <v>482</v>
      </c>
      <c r="LH171" s="144"/>
      <c r="LI171" s="144"/>
      <c r="LJ171" s="144"/>
      <c r="LK171" s="144"/>
      <c r="LM171" s="555"/>
      <c r="LN171" s="36" t="s">
        <v>482</v>
      </c>
      <c r="LO171" s="144"/>
      <c r="LP171" s="144"/>
      <c r="LQ171" s="144"/>
      <c r="LR171" s="144"/>
      <c r="LT171" s="555"/>
      <c r="LU171" s="36" t="s">
        <v>482</v>
      </c>
      <c r="LV171" s="144"/>
      <c r="LW171" s="144"/>
      <c r="LX171" s="144"/>
      <c r="LY171" s="144"/>
      <c r="MA171" s="555"/>
      <c r="MB171" s="36" t="s">
        <v>482</v>
      </c>
      <c r="MC171" s="144"/>
      <c r="MD171" s="144"/>
      <c r="ME171" s="144"/>
      <c r="MF171" s="144"/>
      <c r="MH171" s="555"/>
    </row>
    <row r="172" spans="1:346" s="37" customFormat="1" ht="13.15" outlineLevel="1" x14ac:dyDescent="0.4">
      <c r="A172" s="100"/>
      <c r="B172" s="289" t="s">
        <v>448</v>
      </c>
      <c r="C172" s="290"/>
      <c r="D172" s="290"/>
      <c r="E172" s="290"/>
      <c r="F172" s="290"/>
      <c r="G172" s="290"/>
      <c r="H172" s="290"/>
      <c r="I172" s="290"/>
      <c r="J172" s="290"/>
      <c r="K172" s="290"/>
      <c r="L172" s="290"/>
      <c r="M172" s="290"/>
      <c r="N172" s="290">
        <f>BT172</f>
        <v>0</v>
      </c>
      <c r="O172" s="290">
        <f>CA172</f>
        <v>0</v>
      </c>
      <c r="P172" s="290">
        <f>CH172</f>
        <v>0</v>
      </c>
      <c r="Q172" s="290">
        <f>CO172</f>
        <v>0</v>
      </c>
      <c r="R172" s="290">
        <f>CV172</f>
        <v>0</v>
      </c>
      <c r="S172" s="290">
        <f>DC172</f>
        <v>0</v>
      </c>
      <c r="T172" s="290">
        <f>DJ172</f>
        <v>0</v>
      </c>
      <c r="U172" s="290">
        <f>DQ172</f>
        <v>0</v>
      </c>
      <c r="V172" s="290">
        <f>DX172</f>
        <v>0</v>
      </c>
      <c r="W172" s="290">
        <f>EE172</f>
        <v>0</v>
      </c>
      <c r="X172" s="290">
        <f>EL172</f>
        <v>0</v>
      </c>
      <c r="Y172" s="290">
        <f>ES172</f>
        <v>0</v>
      </c>
      <c r="Z172" s="290">
        <f>EZ172</f>
        <v>0</v>
      </c>
      <c r="AA172" s="290">
        <f>FG172</f>
        <v>0</v>
      </c>
      <c r="AB172" s="290">
        <f>FN172</f>
        <v>0</v>
      </c>
      <c r="AC172" s="290">
        <f>FU172</f>
        <v>0</v>
      </c>
      <c r="AD172" s="290">
        <f>GB172</f>
        <v>5678.25</v>
      </c>
      <c r="AE172" s="290">
        <f>GI172</f>
        <v>5700.416666666667</v>
      </c>
      <c r="AF172" s="290">
        <f>GP172</f>
        <v>5771.916666666667</v>
      </c>
      <c r="AG172" s="290">
        <f>GW172</f>
        <v>5696.166666666667</v>
      </c>
      <c r="AH172" s="290">
        <f>HD172</f>
        <v>5221.25</v>
      </c>
      <c r="AI172" s="290">
        <f>HK172</f>
        <v>4970.75</v>
      </c>
      <c r="AJ172" s="290">
        <f>HR172</f>
        <v>4966.25</v>
      </c>
      <c r="AK172" s="290">
        <f>HY172</f>
        <v>5109.25</v>
      </c>
      <c r="AL172" s="290">
        <f>IF172</f>
        <v>5041.083333333333</v>
      </c>
      <c r="AM172" s="290">
        <f>IM172</f>
        <v>4868.916666666667</v>
      </c>
      <c r="AN172" s="290">
        <f>IT172</f>
        <v>4957.916666666667</v>
      </c>
      <c r="AO172" s="290">
        <f>JA172</f>
        <v>4299.25</v>
      </c>
      <c r="AP172" s="290">
        <f>JH172</f>
        <v>3748.6666666666665</v>
      </c>
      <c r="AQ172" s="290">
        <f>JO172</f>
        <v>3285.0833333333335</v>
      </c>
      <c r="AR172" s="290">
        <f>JV172</f>
        <v>3083.0833333333335</v>
      </c>
      <c r="AS172" s="290">
        <f>KC172</f>
        <v>2650.0833333333335</v>
      </c>
      <c r="AT172" s="290">
        <f>KJ172</f>
        <v>2432</v>
      </c>
      <c r="AU172" s="290">
        <f>KQ172</f>
        <v>2421.6666666666665</v>
      </c>
      <c r="AV172" s="290">
        <f>KX172</f>
        <v>2605.5833333333335</v>
      </c>
      <c r="AW172" s="290">
        <f>LE172</f>
        <v>0</v>
      </c>
      <c r="AX172" s="290">
        <f>LL172</f>
        <v>0</v>
      </c>
      <c r="AY172" s="290">
        <f>LS172</f>
        <v>0</v>
      </c>
      <c r="AZ172" s="290">
        <f>LZ172</f>
        <v>0</v>
      </c>
      <c r="BA172" s="290">
        <f>MG172</f>
        <v>0</v>
      </c>
      <c r="BB172" s="290"/>
      <c r="BC172" s="290"/>
      <c r="BD172" s="290"/>
      <c r="BE172" s="290"/>
      <c r="BF172" s="290"/>
      <c r="BG172" s="290"/>
      <c r="BH172" s="290"/>
      <c r="BI172" s="290"/>
      <c r="BJ172" s="290"/>
      <c r="BK172" s="290"/>
      <c r="BL172" s="290"/>
      <c r="BM172" s="290"/>
      <c r="BO172" s="289" t="s">
        <v>448</v>
      </c>
      <c r="BP172" s="290"/>
      <c r="BQ172" s="290"/>
      <c r="BR172" s="290"/>
      <c r="BS172" s="290"/>
      <c r="BT172" s="290"/>
      <c r="BV172" s="289" t="s">
        <v>448</v>
      </c>
      <c r="BW172" s="290"/>
      <c r="BX172" s="290"/>
      <c r="BY172" s="290"/>
      <c r="BZ172" s="290"/>
      <c r="CA172" s="290"/>
      <c r="CC172" s="289" t="s">
        <v>448</v>
      </c>
      <c r="CD172" s="290"/>
      <c r="CE172" s="290"/>
      <c r="CF172" s="290"/>
      <c r="CG172" s="290"/>
      <c r="CH172" s="290"/>
      <c r="CJ172" s="289" t="s">
        <v>448</v>
      </c>
      <c r="CK172" s="290"/>
      <c r="CL172" s="290"/>
      <c r="CM172" s="290"/>
      <c r="CN172" s="290"/>
      <c r="CO172" s="290"/>
      <c r="CQ172" s="289" t="s">
        <v>448</v>
      </c>
      <c r="CR172" s="290"/>
      <c r="CS172" s="290"/>
      <c r="CT172" s="290"/>
      <c r="CU172" s="290"/>
      <c r="CV172" s="290"/>
      <c r="CX172" s="289" t="s">
        <v>448</v>
      </c>
      <c r="CY172" s="290"/>
      <c r="CZ172" s="290"/>
      <c r="DA172" s="290"/>
      <c r="DB172" s="290"/>
      <c r="DC172" s="290"/>
      <c r="DE172" s="289" t="s">
        <v>448</v>
      </c>
      <c r="DF172" s="290"/>
      <c r="DG172" s="290"/>
      <c r="DH172" s="290"/>
      <c r="DI172" s="290"/>
      <c r="DJ172" s="290"/>
      <c r="DL172" s="289" t="s">
        <v>448</v>
      </c>
      <c r="DM172" s="290"/>
      <c r="DN172" s="290"/>
      <c r="DO172" s="290"/>
      <c r="DP172" s="290"/>
      <c r="DQ172" s="290"/>
      <c r="DS172" s="289" t="s">
        <v>448</v>
      </c>
      <c r="DT172" s="290"/>
      <c r="DU172" s="290"/>
      <c r="DV172" s="290"/>
      <c r="DW172" s="290"/>
      <c r="DX172" s="290"/>
      <c r="DZ172" s="289" t="s">
        <v>448</v>
      </c>
      <c r="EA172" s="290"/>
      <c r="EB172" s="290"/>
      <c r="EC172" s="290"/>
      <c r="ED172" s="290"/>
      <c r="EE172" s="290"/>
      <c r="EG172" s="289" t="s">
        <v>448</v>
      </c>
      <c r="EH172" s="290"/>
      <c r="EI172" s="290"/>
      <c r="EJ172" s="290"/>
      <c r="EK172" s="290"/>
      <c r="EL172" s="290"/>
      <c r="EN172" s="289" t="s">
        <v>448</v>
      </c>
      <c r="EO172" s="290"/>
      <c r="EP172" s="290"/>
      <c r="EQ172" s="290"/>
      <c r="ER172" s="290"/>
      <c r="ES172" s="290"/>
      <c r="EU172" s="289" t="s">
        <v>448</v>
      </c>
      <c r="EV172" s="290"/>
      <c r="EW172" s="290"/>
      <c r="EX172" s="290"/>
      <c r="EY172" s="290"/>
      <c r="EZ172" s="290"/>
      <c r="FB172" s="289" t="s">
        <v>448</v>
      </c>
      <c r="FC172" s="290"/>
      <c r="FD172" s="290"/>
      <c r="FE172" s="290"/>
      <c r="FF172" s="290"/>
      <c r="FG172" s="290"/>
      <c r="FI172" s="289" t="s">
        <v>448</v>
      </c>
      <c r="FJ172" s="290"/>
      <c r="FK172" s="290"/>
      <c r="FL172" s="290"/>
      <c r="FM172" s="290"/>
      <c r="FN172" s="290"/>
      <c r="FP172" s="289" t="s">
        <v>448</v>
      </c>
      <c r="FQ172" s="290"/>
      <c r="FR172" s="290"/>
      <c r="FS172" s="290"/>
      <c r="FT172" s="290"/>
      <c r="FU172" s="290"/>
      <c r="FW172" s="289" t="s">
        <v>448</v>
      </c>
      <c r="FX172" s="290">
        <f>AVERAGE(FX173:FX175)</f>
        <v>5642</v>
      </c>
      <c r="FY172" s="290">
        <f>AVERAGE(FY173:FY175)</f>
        <v>5671</v>
      </c>
      <c r="FZ172" s="290">
        <f>AVERAGE(FZ173:FZ175)</f>
        <v>5667.333333333333</v>
      </c>
      <c r="GA172" s="290">
        <f>AVERAGE(GA173:GA175)</f>
        <v>5732.666666666667</v>
      </c>
      <c r="GB172" s="290">
        <f>AVERAGE(FX173:GA175)</f>
        <v>5678.25</v>
      </c>
      <c r="GD172" s="289" t="s">
        <v>448</v>
      </c>
      <c r="GE172" s="290">
        <f>AVERAGE(GE173:GE175)</f>
        <v>5654.666666666667</v>
      </c>
      <c r="GF172" s="290">
        <f>AVERAGE(GF173:GF175)</f>
        <v>5675</v>
      </c>
      <c r="GG172" s="290">
        <f>AVERAGE(GG173:GG175)</f>
        <v>5675.333333333333</v>
      </c>
      <c r="GH172" s="290">
        <f>AVERAGE(GH173:GH175)</f>
        <v>5796.666666666667</v>
      </c>
      <c r="GI172" s="290">
        <f>AVERAGE(GE173:GH175)</f>
        <v>5700.416666666667</v>
      </c>
      <c r="GK172" s="289" t="s">
        <v>448</v>
      </c>
      <c r="GL172" s="290">
        <f>AVERAGE(GL173:GL175)</f>
        <v>5759</v>
      </c>
      <c r="GM172" s="290">
        <f>AVERAGE(GM173:GM175)</f>
        <v>5795</v>
      </c>
      <c r="GN172" s="290">
        <f>AVERAGE(GN173:GN175)</f>
        <v>5732</v>
      </c>
      <c r="GO172" s="290">
        <f>AVERAGE(GO173:GO175)</f>
        <v>5801.666666666667</v>
      </c>
      <c r="GP172" s="290">
        <f>AVERAGE(GL173:GO175)</f>
        <v>5771.916666666667</v>
      </c>
      <c r="GR172" s="289" t="s">
        <v>448</v>
      </c>
      <c r="GS172" s="290">
        <f>AVERAGE(GS173:GS175)</f>
        <v>5723.666666666667</v>
      </c>
      <c r="GT172" s="290">
        <f>AVERAGE(GT173:GT175)</f>
        <v>5719.666666666667</v>
      </c>
      <c r="GU172" s="290">
        <f>AVERAGE(GU173:GU175)</f>
        <v>5650</v>
      </c>
      <c r="GV172" s="290">
        <f>AVERAGE(GV173:GV175)</f>
        <v>5691.333333333333</v>
      </c>
      <c r="GW172" s="290">
        <f>AVERAGE(GS173:GV175)</f>
        <v>5696.166666666667</v>
      </c>
      <c r="GY172" s="289" t="s">
        <v>448</v>
      </c>
      <c r="GZ172" s="290">
        <f>AVERAGE(GZ173:GZ175)</f>
        <v>5487.666666666667</v>
      </c>
      <c r="HA172" s="290">
        <f>AVERAGE(HA173:HA175)</f>
        <v>5238</v>
      </c>
      <c r="HB172" s="290">
        <f>AVERAGE(HB173:HB175)</f>
        <v>5102</v>
      </c>
      <c r="HC172" s="290">
        <f>AVERAGE(HC173:HC175)</f>
        <v>5057.333333333333</v>
      </c>
      <c r="HD172" s="290">
        <f>AVERAGE(GZ173:HC175)</f>
        <v>5221.25</v>
      </c>
      <c r="HF172" s="289" t="s">
        <v>448</v>
      </c>
      <c r="HG172" s="290">
        <f>AVERAGE(HG173:HG175)</f>
        <v>5028.333333333333</v>
      </c>
      <c r="HH172" s="290">
        <f>AVERAGE(HH173:HH175)</f>
        <v>5024.333333333333</v>
      </c>
      <c r="HI172" s="290">
        <f>AVERAGE(HI173:HI175)</f>
        <v>4915.666666666667</v>
      </c>
      <c r="HJ172" s="290">
        <f>AVERAGE(HJ173:HJ175)</f>
        <v>4914.666666666667</v>
      </c>
      <c r="HK172" s="290">
        <f>AVERAGE(HG173:HJ175)</f>
        <v>4970.75</v>
      </c>
      <c r="HM172" s="289" t="s">
        <v>448</v>
      </c>
      <c r="HN172" s="290">
        <f>AVERAGE(HN173:HN175)</f>
        <v>4882.333333333333</v>
      </c>
      <c r="HO172" s="290">
        <f>AVERAGE(HO173:HO175)</f>
        <v>4930.666666666667</v>
      </c>
      <c r="HP172" s="290">
        <f>AVERAGE(HP173:HP175)</f>
        <v>4937.333333333333</v>
      </c>
      <c r="HQ172" s="290">
        <f>AVERAGE(HQ173:HQ175)</f>
        <v>5114.666666666667</v>
      </c>
      <c r="HR172" s="290">
        <f>AVERAGE(HN173:HQ175)</f>
        <v>4966.25</v>
      </c>
      <c r="HT172" s="289" t="s">
        <v>448</v>
      </c>
      <c r="HU172" s="290">
        <f>AVERAGE(HU173:HU175)</f>
        <v>5119</v>
      </c>
      <c r="HV172" s="290">
        <f>AVERAGE(HV173:HV175)</f>
        <v>5079</v>
      </c>
      <c r="HW172" s="290">
        <f>AVERAGE(HW173:HW175)</f>
        <v>5022.333333333333</v>
      </c>
      <c r="HX172" s="290">
        <f>AVERAGE(HX173:HX175)</f>
        <v>5216.666666666667</v>
      </c>
      <c r="HY172" s="290">
        <f>AVERAGE(HU173:HX175)</f>
        <v>5109.25</v>
      </c>
      <c r="IA172" s="289" t="s">
        <v>448</v>
      </c>
      <c r="IB172" s="290">
        <f>AVERAGE(IB173:IB175)</f>
        <v>5253.333333333333</v>
      </c>
      <c r="IC172" s="290">
        <f>AVERAGE(IC173:IC175)</f>
        <v>5267.666666666667</v>
      </c>
      <c r="ID172" s="290">
        <f>AVERAGE(ID173:ID175)</f>
        <v>4813.666666666667</v>
      </c>
      <c r="IE172" s="290">
        <f>AVERAGE(IE173:IE175)</f>
        <v>4829.666666666667</v>
      </c>
      <c r="IF172" s="290">
        <f>AVERAGE(IB173:IE175)</f>
        <v>5041.083333333333</v>
      </c>
      <c r="IH172" s="289" t="s">
        <v>448</v>
      </c>
      <c r="II172" s="290">
        <f>AVERAGE(II173:II175)</f>
        <v>4830.333333333333</v>
      </c>
      <c r="IJ172" s="290">
        <f>AVERAGE(IJ173:IJ175)</f>
        <v>4846</v>
      </c>
      <c r="IK172" s="290">
        <f>AVERAGE(IK173:IK175)</f>
        <v>4874.666666666667</v>
      </c>
      <c r="IL172" s="290">
        <f>AVERAGE(IL173:IL175)</f>
        <v>4924.666666666667</v>
      </c>
      <c r="IM172" s="290">
        <f>AVERAGE(II173:IL175)</f>
        <v>4868.916666666667</v>
      </c>
      <c r="IO172" s="289" t="s">
        <v>448</v>
      </c>
      <c r="IP172" s="290">
        <f>AVERAGE(IP173:IP175)</f>
        <v>4992.333333333333</v>
      </c>
      <c r="IQ172" s="290">
        <f>AVERAGE(IQ173:IQ175)</f>
        <v>5060.333333333333</v>
      </c>
      <c r="IR172" s="290">
        <f>AVERAGE(IR173:IR175)</f>
        <v>4962.333333333333</v>
      </c>
      <c r="IS172" s="290">
        <f>AVERAGE(IS173:IS175)</f>
        <v>4816.666666666667</v>
      </c>
      <c r="IT172" s="290">
        <f>AVERAGE(IP173:IS175)</f>
        <v>4957.916666666667</v>
      </c>
      <c r="IV172" s="289" t="s">
        <v>448</v>
      </c>
      <c r="IW172" s="290">
        <f>AVERAGE(IW173:IW175)</f>
        <v>4473.333333333333</v>
      </c>
      <c r="IX172" s="290">
        <f>AVERAGE(IX173:IX175)</f>
        <v>4298.333333333333</v>
      </c>
      <c r="IY172" s="290">
        <f>AVERAGE(IY173:IY175)</f>
        <v>4182.333333333333</v>
      </c>
      <c r="IZ172" s="290">
        <f>AVERAGE(IZ173:IZ175)</f>
        <v>4243</v>
      </c>
      <c r="JA172" s="290">
        <f>AVERAGE(IW173:IZ175)</f>
        <v>4299.25</v>
      </c>
      <c r="JC172" s="289" t="s">
        <v>448</v>
      </c>
      <c r="JD172" s="290">
        <f>AVERAGE(JD173:JD175)</f>
        <v>4102.666666666667</v>
      </c>
      <c r="JE172" s="290">
        <f>AVERAGE(JE173:JE175)</f>
        <v>3932.3333333333335</v>
      </c>
      <c r="JF172" s="290">
        <f>AVERAGE(JF173:JF175)</f>
        <v>3552.6666666666665</v>
      </c>
      <c r="JG172" s="290">
        <f>AVERAGE(JG173:JG175)</f>
        <v>3407</v>
      </c>
      <c r="JH172" s="290">
        <f>AVERAGE(JD173:JG175)</f>
        <v>3748.6666666666665</v>
      </c>
      <c r="JJ172" s="289" t="s">
        <v>448</v>
      </c>
      <c r="JK172" s="290">
        <f>AVERAGE(JK173:JK175)</f>
        <v>3408.6666666666665</v>
      </c>
      <c r="JL172" s="290">
        <f>AVERAGE(JL173:JL175)</f>
        <v>3306</v>
      </c>
      <c r="JM172" s="290">
        <f>AVERAGE(JM173:JM175)</f>
        <v>3207.6666666666665</v>
      </c>
      <c r="JN172" s="290">
        <f>AVERAGE(JN173:JN175)</f>
        <v>3218</v>
      </c>
      <c r="JO172" s="290">
        <f>AVERAGE(JK173:JN175)</f>
        <v>3285.0833333333335</v>
      </c>
      <c r="JQ172" s="289" t="s">
        <v>448</v>
      </c>
      <c r="JR172" s="290">
        <f>AVERAGE(JR173:JR175)</f>
        <v>3189.3333333333335</v>
      </c>
      <c r="JS172" s="290">
        <f>AVERAGE(JS173:JS175)</f>
        <v>3147.6666666666665</v>
      </c>
      <c r="JT172" s="290">
        <f>AVERAGE(JT173:JT175)</f>
        <v>3047.6666666666665</v>
      </c>
      <c r="JU172" s="290">
        <f>AVERAGE(JU173:JU175)</f>
        <v>2947.6666666666665</v>
      </c>
      <c r="JV172" s="290">
        <f>AVERAGE(JR173:JU175)</f>
        <v>3083.0833333333335</v>
      </c>
      <c r="JX172" s="289" t="s">
        <v>448</v>
      </c>
      <c r="JY172" s="290">
        <f>AVERAGE(JY173:JY175)</f>
        <v>2909.6666666666665</v>
      </c>
      <c r="JZ172" s="290">
        <f>AVERAGE(JZ173:JZ175)</f>
        <v>2701.3333333333335</v>
      </c>
      <c r="KA172" s="290">
        <f>AVERAGE(KA173:KA175)</f>
        <v>2512.6666666666665</v>
      </c>
      <c r="KB172" s="290">
        <f>AVERAGE(KB173:KB175)</f>
        <v>2476.6666666666665</v>
      </c>
      <c r="KC172" s="290">
        <f>AVERAGE(JY173:KB175)</f>
        <v>2650.0833333333335</v>
      </c>
      <c r="KE172" s="289" t="s">
        <v>448</v>
      </c>
      <c r="KF172" s="290">
        <f>AVERAGE(KF173:KF175)</f>
        <v>2456.3333333333335</v>
      </c>
      <c r="KG172" s="290">
        <f>AVERAGE(KG173:KG175)</f>
        <v>2454.6666666666665</v>
      </c>
      <c r="KH172" s="290">
        <f>AVERAGE(KH173:KH175)</f>
        <v>2411.3333333333335</v>
      </c>
      <c r="KI172" s="290">
        <f>AVERAGE(KI173:KI175)</f>
        <v>2405.6666666666665</v>
      </c>
      <c r="KJ172" s="290">
        <f>AVERAGE(KF173:KI175)</f>
        <v>2432</v>
      </c>
      <c r="KL172" s="289" t="s">
        <v>448</v>
      </c>
      <c r="KM172" s="290">
        <f>AVERAGE(KM173:KM175)</f>
        <v>2412.3333333333335</v>
      </c>
      <c r="KN172" s="290">
        <f>AVERAGE(KN173:KN175)</f>
        <v>2422.6666666666665</v>
      </c>
      <c r="KO172" s="290">
        <f>AVERAGE(KO173:KO175)</f>
        <v>2397.6666666666665</v>
      </c>
      <c r="KP172" s="290">
        <f>AVERAGE(KP173:KP175)</f>
        <v>2454</v>
      </c>
      <c r="KQ172" s="290">
        <f>AVERAGE(KM173:KP175)</f>
        <v>2421.6666666666665</v>
      </c>
      <c r="KS172" s="289" t="s">
        <v>448</v>
      </c>
      <c r="KT172" s="290">
        <f>AVERAGE(KT173:KT175)</f>
        <v>2520</v>
      </c>
      <c r="KU172" s="290">
        <f>AVERAGE(KU173:KU175)</f>
        <v>2582.3333333333335</v>
      </c>
      <c r="KV172" s="290">
        <f>AVERAGE(KV173:KV175)</f>
        <v>2625.6666666666665</v>
      </c>
      <c r="KW172" s="291">
        <f>AVERAGE(KW173:KW175)</f>
        <v>2694.3333333333335</v>
      </c>
      <c r="KX172" s="290">
        <f>AVERAGE(KT173:KW175)</f>
        <v>2605.5833333333335</v>
      </c>
      <c r="KZ172" s="289" t="s">
        <v>448</v>
      </c>
      <c r="LA172" s="290"/>
      <c r="LB172" s="144"/>
      <c r="LC172" s="144"/>
      <c r="LD172" s="144"/>
      <c r="LE172" s="290"/>
      <c r="LF172" s="555"/>
      <c r="LG172" s="289" t="s">
        <v>448</v>
      </c>
      <c r="LH172" s="144"/>
      <c r="LI172" s="144"/>
      <c r="LJ172" s="144"/>
      <c r="LK172" s="144"/>
      <c r="LL172" s="290"/>
      <c r="LM172" s="555"/>
      <c r="LN172" s="289" t="s">
        <v>448</v>
      </c>
      <c r="LO172" s="144"/>
      <c r="LP172" s="144"/>
      <c r="LQ172" s="144"/>
      <c r="LR172" s="144"/>
      <c r="LS172" s="290"/>
      <c r="LT172" s="555"/>
      <c r="LU172" s="289" t="s">
        <v>448</v>
      </c>
      <c r="LV172" s="144"/>
      <c r="LW172" s="144"/>
      <c r="LX172" s="144"/>
      <c r="LY172" s="144"/>
      <c r="LZ172" s="290"/>
      <c r="MA172" s="555"/>
      <c r="MB172" s="289" t="s">
        <v>448</v>
      </c>
      <c r="MC172" s="144"/>
      <c r="MD172" s="144"/>
      <c r="ME172" s="144"/>
      <c r="MF172" s="144"/>
      <c r="MG172" s="290"/>
      <c r="MH172" s="555"/>
    </row>
    <row r="173" spans="1:346" s="37" customFormat="1" ht="13.15" outlineLevel="1" x14ac:dyDescent="0.4">
      <c r="A173" s="100"/>
      <c r="B173" s="36" t="s">
        <v>480</v>
      </c>
      <c r="BO173" s="36" t="s">
        <v>480</v>
      </c>
      <c r="BV173" s="36" t="s">
        <v>480</v>
      </c>
      <c r="CC173" s="36" t="s">
        <v>480</v>
      </c>
      <c r="CJ173" s="36" t="s">
        <v>480</v>
      </c>
      <c r="CQ173" s="36" t="s">
        <v>480</v>
      </c>
      <c r="CX173" s="36" t="s">
        <v>480</v>
      </c>
      <c r="DE173" s="36" t="s">
        <v>480</v>
      </c>
      <c r="DL173" s="36" t="s">
        <v>480</v>
      </c>
      <c r="DS173" s="36" t="s">
        <v>480</v>
      </c>
      <c r="DZ173" s="36" t="s">
        <v>480</v>
      </c>
      <c r="EG173" s="36" t="s">
        <v>480</v>
      </c>
      <c r="EN173" s="36" t="s">
        <v>480</v>
      </c>
      <c r="EU173" s="36" t="s">
        <v>480</v>
      </c>
      <c r="FB173" s="36" t="s">
        <v>480</v>
      </c>
      <c r="FI173" s="36" t="s">
        <v>480</v>
      </c>
      <c r="FP173" s="36" t="s">
        <v>480</v>
      </c>
      <c r="FW173" s="36" t="s">
        <v>480</v>
      </c>
      <c r="FX173" s="37">
        <v>5680</v>
      </c>
      <c r="FY173" s="37">
        <v>5641</v>
      </c>
      <c r="FZ173" s="37">
        <v>5629</v>
      </c>
      <c r="GA173" s="37">
        <v>5712</v>
      </c>
      <c r="GB173" s="37" t="s">
        <v>80</v>
      </c>
      <c r="GD173" s="36" t="s">
        <v>480</v>
      </c>
      <c r="GE173" s="37">
        <v>5681</v>
      </c>
      <c r="GF173" s="37">
        <v>5668</v>
      </c>
      <c r="GG173" s="37">
        <v>5608</v>
      </c>
      <c r="GH173" s="37">
        <v>5761</v>
      </c>
      <c r="GI173" s="37" t="s">
        <v>80</v>
      </c>
      <c r="GK173" s="36" t="s">
        <v>480</v>
      </c>
      <c r="GL173" s="37">
        <v>5772</v>
      </c>
      <c r="GM173" s="37">
        <v>5797</v>
      </c>
      <c r="GN173" s="37">
        <v>5738</v>
      </c>
      <c r="GO173" s="37">
        <v>5767</v>
      </c>
      <c r="GP173" s="37" t="s">
        <v>80</v>
      </c>
      <c r="GR173" s="36" t="s">
        <v>480</v>
      </c>
      <c r="GS173" s="37">
        <v>5753</v>
      </c>
      <c r="GT173" s="37">
        <v>5710</v>
      </c>
      <c r="GU173" s="37">
        <v>5680</v>
      </c>
      <c r="GV173" s="37">
        <v>5645</v>
      </c>
      <c r="GW173" s="37" t="s">
        <v>80</v>
      </c>
      <c r="GY173" s="36" t="s">
        <v>480</v>
      </c>
      <c r="GZ173" s="37">
        <v>5657</v>
      </c>
      <c r="HA173" s="37">
        <v>5356</v>
      </c>
      <c r="HB173" s="37">
        <v>5039</v>
      </c>
      <c r="HC173" s="37">
        <v>5035</v>
      </c>
      <c r="HD173" s="37" t="s">
        <v>80</v>
      </c>
      <c r="HF173" s="36" t="s">
        <v>480</v>
      </c>
      <c r="HG173" s="37">
        <v>5023</v>
      </c>
      <c r="HH173" s="37">
        <v>5089</v>
      </c>
      <c r="HI173" s="37">
        <v>4912</v>
      </c>
      <c r="HJ173" s="37">
        <v>4929</v>
      </c>
      <c r="HK173" s="37" t="s">
        <v>80</v>
      </c>
      <c r="HM173" s="36" t="s">
        <v>480</v>
      </c>
      <c r="HN173" s="37">
        <v>4849</v>
      </c>
      <c r="HO173" s="37">
        <v>4937</v>
      </c>
      <c r="HP173" s="37">
        <v>4883</v>
      </c>
      <c r="HQ173" s="37">
        <v>5085</v>
      </c>
      <c r="HR173" s="37" t="s">
        <v>80</v>
      </c>
      <c r="HT173" s="36" t="s">
        <v>480</v>
      </c>
      <c r="HU173" s="37">
        <v>5130</v>
      </c>
      <c r="HV173" s="37">
        <v>5103</v>
      </c>
      <c r="HW173" s="37">
        <v>5021</v>
      </c>
      <c r="HX173" s="37">
        <v>5018</v>
      </c>
      <c r="HY173" s="37" t="s">
        <v>80</v>
      </c>
      <c r="IA173" s="36" t="s">
        <v>480</v>
      </c>
      <c r="IB173" s="37">
        <v>5288</v>
      </c>
      <c r="IC173" s="37">
        <v>5255</v>
      </c>
      <c r="ID173" s="37">
        <v>4814</v>
      </c>
      <c r="IE173" s="37">
        <v>4798</v>
      </c>
      <c r="IF173" s="37" t="s">
        <v>80</v>
      </c>
      <c r="IH173" s="36" t="s">
        <v>480</v>
      </c>
      <c r="II173" s="37">
        <v>4861</v>
      </c>
      <c r="IJ173" s="37">
        <v>4867</v>
      </c>
      <c r="IK173" s="37">
        <v>4860</v>
      </c>
      <c r="IL173" s="37">
        <v>4865</v>
      </c>
      <c r="IM173" s="37" t="s">
        <v>80</v>
      </c>
      <c r="IO173" s="36" t="s">
        <v>480</v>
      </c>
      <c r="IP173" s="37">
        <v>5020</v>
      </c>
      <c r="IQ173" s="37">
        <v>5050</v>
      </c>
      <c r="IR173" s="37">
        <v>5012</v>
      </c>
      <c r="IS173" s="37">
        <v>4880</v>
      </c>
      <c r="IT173" s="37" t="s">
        <v>80</v>
      </c>
      <c r="IV173" s="36" t="s">
        <v>480</v>
      </c>
      <c r="IW173" s="37">
        <v>4555</v>
      </c>
      <c r="IX173" s="37">
        <v>4342</v>
      </c>
      <c r="IY173" s="37">
        <v>4203</v>
      </c>
      <c r="IZ173" s="37">
        <v>4182</v>
      </c>
      <c r="JA173" s="37" t="s">
        <v>80</v>
      </c>
      <c r="JC173" s="36" t="s">
        <v>480</v>
      </c>
      <c r="JD173" s="37">
        <v>4138</v>
      </c>
      <c r="JE173" s="37">
        <v>4034</v>
      </c>
      <c r="JF173" s="37">
        <v>3634</v>
      </c>
      <c r="JG173" s="37">
        <v>3407</v>
      </c>
      <c r="JH173" s="37" t="s">
        <v>80</v>
      </c>
      <c r="JJ173" s="36" t="s">
        <v>480</v>
      </c>
      <c r="JK173" s="37">
        <v>3357</v>
      </c>
      <c r="JL173" s="37">
        <v>3353</v>
      </c>
      <c r="JM173" s="37">
        <v>3218</v>
      </c>
      <c r="JN173" s="37">
        <v>3203</v>
      </c>
      <c r="JO173" s="37" t="s">
        <v>80</v>
      </c>
      <c r="JQ173" s="36" t="s">
        <v>480</v>
      </c>
      <c r="JR173" s="37">
        <v>3178</v>
      </c>
      <c r="JS173" s="37">
        <v>3169</v>
      </c>
      <c r="JT173" s="37">
        <v>3077</v>
      </c>
      <c r="JU173" s="37">
        <v>2981</v>
      </c>
      <c r="JV173" s="37" t="s">
        <v>80</v>
      </c>
      <c r="JX173" s="36" t="s">
        <v>480</v>
      </c>
      <c r="JY173" s="37">
        <v>2920</v>
      </c>
      <c r="JZ173" s="37">
        <v>2858</v>
      </c>
      <c r="KA173" s="37">
        <v>2508</v>
      </c>
      <c r="KB173" s="37">
        <v>2492</v>
      </c>
      <c r="KC173" s="37" t="s">
        <v>80</v>
      </c>
      <c r="KE173" s="36" t="s">
        <v>480</v>
      </c>
      <c r="KF173" s="37">
        <v>2444</v>
      </c>
      <c r="KG173" s="37">
        <v>2461</v>
      </c>
      <c r="KH173" s="37">
        <v>2442</v>
      </c>
      <c r="KI173" s="37">
        <v>2393</v>
      </c>
      <c r="KJ173" s="37" t="s">
        <v>80</v>
      </c>
      <c r="KL173" s="36" t="s">
        <v>480</v>
      </c>
      <c r="KM173" s="37">
        <v>2369</v>
      </c>
      <c r="KN173" s="37">
        <v>2435</v>
      </c>
      <c r="KO173" s="37">
        <v>2375</v>
      </c>
      <c r="KP173" s="37">
        <v>2411</v>
      </c>
      <c r="KQ173" s="37" t="s">
        <v>80</v>
      </c>
      <c r="KS173" s="36" t="s">
        <v>480</v>
      </c>
      <c r="KT173" s="37">
        <v>2500</v>
      </c>
      <c r="KU173" s="37">
        <v>2571</v>
      </c>
      <c r="KV173" s="37">
        <v>2609</v>
      </c>
      <c r="KW173" s="37">
        <v>2651</v>
      </c>
      <c r="KX173" s="37" t="s">
        <v>80</v>
      </c>
      <c r="KZ173" s="36" t="s">
        <v>480</v>
      </c>
      <c r="LB173" s="144"/>
      <c r="LC173" s="144"/>
      <c r="LD173" s="144"/>
      <c r="LF173" s="555"/>
      <c r="LG173" s="36" t="s">
        <v>480</v>
      </c>
      <c r="LH173" s="144"/>
      <c r="LI173" s="144"/>
      <c r="LJ173" s="144"/>
      <c r="LK173" s="144"/>
      <c r="LM173" s="555"/>
      <c r="LN173" s="36" t="s">
        <v>480</v>
      </c>
      <c r="LO173" s="144"/>
      <c r="LP173" s="144"/>
      <c r="LQ173" s="144"/>
      <c r="LR173" s="144"/>
      <c r="LT173" s="555"/>
      <c r="LU173" s="36" t="s">
        <v>480</v>
      </c>
      <c r="LV173" s="144"/>
      <c r="LW173" s="144"/>
      <c r="LX173" s="144"/>
      <c r="LY173" s="144"/>
      <c r="MA173" s="555"/>
      <c r="MB173" s="36" t="s">
        <v>480</v>
      </c>
      <c r="MC173" s="144"/>
      <c r="MD173" s="144"/>
      <c r="ME173" s="144"/>
      <c r="MF173" s="144"/>
      <c r="MH173" s="555"/>
    </row>
    <row r="174" spans="1:346" s="37" customFormat="1" ht="13.15" outlineLevel="1" x14ac:dyDescent="0.4">
      <c r="A174" s="100"/>
      <c r="B174" s="36" t="s">
        <v>481</v>
      </c>
      <c r="BO174" s="36" t="s">
        <v>481</v>
      </c>
      <c r="BV174" s="36" t="s">
        <v>481</v>
      </c>
      <c r="CC174" s="36" t="s">
        <v>481</v>
      </c>
      <c r="CJ174" s="36" t="s">
        <v>481</v>
      </c>
      <c r="CQ174" s="36" t="s">
        <v>481</v>
      </c>
      <c r="CX174" s="36" t="s">
        <v>481</v>
      </c>
      <c r="DE174" s="36" t="s">
        <v>481</v>
      </c>
      <c r="DL174" s="36" t="s">
        <v>481</v>
      </c>
      <c r="DS174" s="36" t="s">
        <v>481</v>
      </c>
      <c r="DZ174" s="36" t="s">
        <v>481</v>
      </c>
      <c r="EG174" s="36" t="s">
        <v>481</v>
      </c>
      <c r="EN174" s="36" t="s">
        <v>481</v>
      </c>
      <c r="EU174" s="36" t="s">
        <v>481</v>
      </c>
      <c r="FB174" s="36" t="s">
        <v>481</v>
      </c>
      <c r="FI174" s="36" t="s">
        <v>481</v>
      </c>
      <c r="FP174" s="36" t="s">
        <v>481</v>
      </c>
      <c r="FW174" s="36" t="s">
        <v>481</v>
      </c>
      <c r="FX174" s="37">
        <v>5628</v>
      </c>
      <c r="FY174" s="37">
        <v>5681</v>
      </c>
      <c r="FZ174" s="37">
        <v>5689</v>
      </c>
      <c r="GA174" s="37">
        <v>5732</v>
      </c>
      <c r="GB174" s="37" t="s">
        <v>80</v>
      </c>
      <c r="GD174" s="36" t="s">
        <v>481</v>
      </c>
      <c r="GE174" s="37">
        <v>5644</v>
      </c>
      <c r="GF174" s="37">
        <v>5673</v>
      </c>
      <c r="GG174" s="37">
        <v>5678</v>
      </c>
      <c r="GH174" s="37">
        <v>5802</v>
      </c>
      <c r="GI174" s="37" t="s">
        <v>80</v>
      </c>
      <c r="GK174" s="36" t="s">
        <v>481</v>
      </c>
      <c r="GL174" s="37">
        <v>5726</v>
      </c>
      <c r="GM174" s="37">
        <v>5811</v>
      </c>
      <c r="GN174" s="37">
        <v>5710</v>
      </c>
      <c r="GO174" s="37">
        <v>5801</v>
      </c>
      <c r="GP174" s="37" t="s">
        <v>80</v>
      </c>
      <c r="GR174" s="36" t="s">
        <v>481</v>
      </c>
      <c r="GS174" s="37">
        <v>5702</v>
      </c>
      <c r="GT174" s="37">
        <v>5750</v>
      </c>
      <c r="GU174" s="37">
        <v>5631</v>
      </c>
      <c r="GV174" s="37">
        <v>5690</v>
      </c>
      <c r="GW174" s="37" t="s">
        <v>80</v>
      </c>
      <c r="GY174" s="36" t="s">
        <v>481</v>
      </c>
      <c r="GZ174" s="37">
        <v>5463</v>
      </c>
      <c r="HA174" s="37">
        <v>5274</v>
      </c>
      <c r="HB174" s="37">
        <v>5029</v>
      </c>
      <c r="HC174" s="37">
        <v>5050</v>
      </c>
      <c r="HD174" s="37" t="s">
        <v>80</v>
      </c>
      <c r="HF174" s="36" t="s">
        <v>481</v>
      </c>
      <c r="HG174" s="37">
        <v>5037</v>
      </c>
      <c r="HH174" s="37">
        <v>5059</v>
      </c>
      <c r="HI174" s="37">
        <v>4901</v>
      </c>
      <c r="HJ174" s="37">
        <v>4915</v>
      </c>
      <c r="HK174" s="37" t="s">
        <v>80</v>
      </c>
      <c r="HM174" s="36" t="s">
        <v>481</v>
      </c>
      <c r="HN174" s="37">
        <v>4890</v>
      </c>
      <c r="HO174" s="37">
        <v>4919</v>
      </c>
      <c r="HP174" s="37">
        <v>4935</v>
      </c>
      <c r="HQ174" s="37">
        <v>5145</v>
      </c>
      <c r="HR174" s="37" t="s">
        <v>80</v>
      </c>
      <c r="HT174" s="36" t="s">
        <v>481</v>
      </c>
      <c r="HU174" s="37">
        <v>5118</v>
      </c>
      <c r="HV174" s="37">
        <v>5080</v>
      </c>
      <c r="HW174" s="37">
        <v>5038</v>
      </c>
      <c r="HX174" s="37">
        <v>5335</v>
      </c>
      <c r="HY174" s="37" t="s">
        <v>80</v>
      </c>
      <c r="IA174" s="36" t="s">
        <v>481</v>
      </c>
      <c r="IB174" s="37">
        <v>5244</v>
      </c>
      <c r="IC174" s="37">
        <v>5271</v>
      </c>
      <c r="ID174" s="37">
        <v>4810</v>
      </c>
      <c r="IE174" s="37">
        <v>4831</v>
      </c>
      <c r="IF174" s="37" t="s">
        <v>80</v>
      </c>
      <c r="IH174" s="36" t="s">
        <v>481</v>
      </c>
      <c r="II174" s="37">
        <v>4816</v>
      </c>
      <c r="IJ174" s="37">
        <v>4831</v>
      </c>
      <c r="IK174" s="37">
        <v>4877</v>
      </c>
      <c r="IL174" s="37">
        <v>4937</v>
      </c>
      <c r="IM174" s="37" t="s">
        <v>80</v>
      </c>
      <c r="IO174" s="36" t="s">
        <v>481</v>
      </c>
      <c r="IP174" s="37">
        <v>4943</v>
      </c>
      <c r="IQ174" s="37">
        <v>5092</v>
      </c>
      <c r="IR174" s="37">
        <v>4964</v>
      </c>
      <c r="IS174" s="37">
        <v>4834</v>
      </c>
      <c r="IT174" s="37" t="s">
        <v>80</v>
      </c>
      <c r="IV174" s="36" t="s">
        <v>481</v>
      </c>
      <c r="IW174" s="37">
        <v>4489</v>
      </c>
      <c r="IX174" s="37">
        <v>4304</v>
      </c>
      <c r="IY174" s="37">
        <v>4165</v>
      </c>
      <c r="IZ174" s="37">
        <v>4210</v>
      </c>
      <c r="JA174" s="37" t="s">
        <v>80</v>
      </c>
      <c r="JC174" s="36" t="s">
        <v>481</v>
      </c>
      <c r="JD174" s="37">
        <v>4093</v>
      </c>
      <c r="JE174" s="37">
        <v>3992</v>
      </c>
      <c r="JF174" s="37">
        <v>3528</v>
      </c>
      <c r="JG174" s="37">
        <v>3415</v>
      </c>
      <c r="JH174" s="37" t="s">
        <v>80</v>
      </c>
      <c r="JJ174" s="36" t="s">
        <v>481</v>
      </c>
      <c r="JK174" s="37">
        <v>3520</v>
      </c>
      <c r="JL174" s="37">
        <v>3340</v>
      </c>
      <c r="JM174" s="37">
        <v>3201</v>
      </c>
      <c r="JN174" s="37">
        <v>3189</v>
      </c>
      <c r="JO174" s="37" t="s">
        <v>80</v>
      </c>
      <c r="JQ174" s="36" t="s">
        <v>481</v>
      </c>
      <c r="JR174" s="37">
        <v>3197</v>
      </c>
      <c r="JS174" s="37">
        <v>3174</v>
      </c>
      <c r="JT174" s="37">
        <v>3046</v>
      </c>
      <c r="JU174" s="37">
        <v>2957</v>
      </c>
      <c r="JV174" s="37" t="s">
        <v>80</v>
      </c>
      <c r="JX174" s="36" t="s">
        <v>481</v>
      </c>
      <c r="JY174" s="37">
        <v>2900</v>
      </c>
      <c r="JZ174" s="37">
        <v>2687</v>
      </c>
      <c r="KA174" s="37">
        <v>2509</v>
      </c>
      <c r="KB174" s="37">
        <v>2471</v>
      </c>
      <c r="KC174" s="37" t="s">
        <v>80</v>
      </c>
      <c r="KE174" s="36" t="s">
        <v>481</v>
      </c>
      <c r="KF174" s="37">
        <v>2462</v>
      </c>
      <c r="KG174" s="37">
        <v>2457</v>
      </c>
      <c r="KH174" s="37">
        <v>2406</v>
      </c>
      <c r="KI174" s="37">
        <v>2386</v>
      </c>
      <c r="KJ174" s="37" t="s">
        <v>80</v>
      </c>
      <c r="KL174" s="36" t="s">
        <v>481</v>
      </c>
      <c r="KM174" s="37">
        <v>2429</v>
      </c>
      <c r="KN174" s="37">
        <v>2451</v>
      </c>
      <c r="KO174" s="37">
        <v>2398</v>
      </c>
      <c r="KP174" s="37">
        <v>2475</v>
      </c>
      <c r="KQ174" s="37" t="s">
        <v>80</v>
      </c>
      <c r="KS174" s="36" t="s">
        <v>481</v>
      </c>
      <c r="KT174" s="37">
        <v>2522</v>
      </c>
      <c r="KU174" s="37">
        <v>2593</v>
      </c>
      <c r="KV174" s="37">
        <v>2615</v>
      </c>
      <c r="KW174" s="37">
        <v>2685</v>
      </c>
      <c r="KX174" s="37" t="s">
        <v>80</v>
      </c>
      <c r="KZ174" s="36" t="s">
        <v>481</v>
      </c>
      <c r="LB174" s="144"/>
      <c r="LC174" s="144"/>
      <c r="LD174" s="144"/>
      <c r="LF174" s="555"/>
      <c r="LG174" s="36" t="s">
        <v>481</v>
      </c>
      <c r="LH174" s="144"/>
      <c r="LI174" s="144"/>
      <c r="LJ174" s="144"/>
      <c r="LK174" s="144"/>
      <c r="LM174" s="555"/>
      <c r="LN174" s="36" t="s">
        <v>481</v>
      </c>
      <c r="LO174" s="144"/>
      <c r="LP174" s="144"/>
      <c r="LQ174" s="144"/>
      <c r="LR174" s="144"/>
      <c r="LT174" s="555"/>
      <c r="LU174" s="36" t="s">
        <v>481</v>
      </c>
      <c r="LV174" s="144"/>
      <c r="LW174" s="144"/>
      <c r="LX174" s="144"/>
      <c r="LY174" s="144"/>
      <c r="MA174" s="555"/>
      <c r="MB174" s="36" t="s">
        <v>481</v>
      </c>
      <c r="MC174" s="144"/>
      <c r="MD174" s="144"/>
      <c r="ME174" s="144"/>
      <c r="MF174" s="144"/>
      <c r="MH174" s="555"/>
    </row>
    <row r="175" spans="1:346" s="37" customFormat="1" ht="13.15" outlineLevel="1" x14ac:dyDescent="0.4">
      <c r="A175" s="100"/>
      <c r="B175" s="36" t="s">
        <v>482</v>
      </c>
      <c r="BO175" s="36" t="s">
        <v>482</v>
      </c>
      <c r="BV175" s="36" t="s">
        <v>482</v>
      </c>
      <c r="CC175" s="36" t="s">
        <v>482</v>
      </c>
      <c r="CJ175" s="36" t="s">
        <v>482</v>
      </c>
      <c r="CQ175" s="36" t="s">
        <v>482</v>
      </c>
      <c r="CX175" s="36" t="s">
        <v>482</v>
      </c>
      <c r="DE175" s="36" t="s">
        <v>482</v>
      </c>
      <c r="DL175" s="36" t="s">
        <v>482</v>
      </c>
      <c r="DS175" s="36" t="s">
        <v>482</v>
      </c>
      <c r="DZ175" s="36" t="s">
        <v>482</v>
      </c>
      <c r="EG175" s="36" t="s">
        <v>482</v>
      </c>
      <c r="EN175" s="36" t="s">
        <v>482</v>
      </c>
      <c r="EU175" s="36" t="s">
        <v>482</v>
      </c>
      <c r="FB175" s="36" t="s">
        <v>482</v>
      </c>
      <c r="FI175" s="36" t="s">
        <v>482</v>
      </c>
      <c r="FP175" s="36" t="s">
        <v>482</v>
      </c>
      <c r="FW175" s="36" t="s">
        <v>482</v>
      </c>
      <c r="FX175" s="37">
        <v>5618</v>
      </c>
      <c r="FY175" s="37">
        <v>5691</v>
      </c>
      <c r="FZ175" s="37">
        <v>5684</v>
      </c>
      <c r="GA175" s="37">
        <v>5754</v>
      </c>
      <c r="GB175" s="37" t="s">
        <v>80</v>
      </c>
      <c r="GD175" s="36" t="s">
        <v>482</v>
      </c>
      <c r="GE175" s="37">
        <v>5639</v>
      </c>
      <c r="GF175" s="37">
        <v>5684</v>
      </c>
      <c r="GG175" s="37">
        <v>5740</v>
      </c>
      <c r="GH175" s="37">
        <v>5827</v>
      </c>
      <c r="GI175" s="37" t="s">
        <v>80</v>
      </c>
      <c r="GK175" s="36" t="s">
        <v>482</v>
      </c>
      <c r="GL175" s="37">
        <v>5779</v>
      </c>
      <c r="GM175" s="37">
        <v>5777</v>
      </c>
      <c r="GN175" s="37">
        <v>5748</v>
      </c>
      <c r="GO175" s="37">
        <v>5837</v>
      </c>
      <c r="GP175" s="37" t="s">
        <v>80</v>
      </c>
      <c r="GR175" s="36" t="s">
        <v>482</v>
      </c>
      <c r="GS175" s="37">
        <v>5716</v>
      </c>
      <c r="GT175" s="37">
        <v>5699</v>
      </c>
      <c r="GU175" s="37">
        <v>5639</v>
      </c>
      <c r="GV175" s="37">
        <v>5739</v>
      </c>
      <c r="GW175" s="37" t="s">
        <v>80</v>
      </c>
      <c r="GY175" s="36" t="s">
        <v>482</v>
      </c>
      <c r="GZ175" s="37">
        <v>5343</v>
      </c>
      <c r="HA175" s="37">
        <v>5084</v>
      </c>
      <c r="HB175" s="37">
        <v>5238</v>
      </c>
      <c r="HC175" s="37">
        <v>5087</v>
      </c>
      <c r="HD175" s="37" t="s">
        <v>80</v>
      </c>
      <c r="HF175" s="36" t="s">
        <v>482</v>
      </c>
      <c r="HG175" s="37">
        <v>5025</v>
      </c>
      <c r="HH175" s="37">
        <v>4925</v>
      </c>
      <c r="HI175" s="37">
        <v>4934</v>
      </c>
      <c r="HJ175" s="37">
        <v>4900</v>
      </c>
      <c r="HK175" s="37" t="s">
        <v>80</v>
      </c>
      <c r="HM175" s="36" t="s">
        <v>482</v>
      </c>
      <c r="HN175" s="37">
        <v>4908</v>
      </c>
      <c r="HO175" s="37">
        <v>4936</v>
      </c>
      <c r="HP175" s="37">
        <v>4994</v>
      </c>
      <c r="HQ175" s="37">
        <v>5114</v>
      </c>
      <c r="HR175" s="37" t="s">
        <v>80</v>
      </c>
      <c r="HT175" s="36" t="s">
        <v>482</v>
      </c>
      <c r="HU175" s="37">
        <v>5109</v>
      </c>
      <c r="HV175" s="37">
        <v>5054</v>
      </c>
      <c r="HW175" s="37">
        <v>5008</v>
      </c>
      <c r="HX175" s="37">
        <v>5297</v>
      </c>
      <c r="HY175" s="37" t="s">
        <v>80</v>
      </c>
      <c r="IA175" s="36" t="s">
        <v>482</v>
      </c>
      <c r="IB175" s="37">
        <v>5228</v>
      </c>
      <c r="IC175" s="37">
        <v>5277</v>
      </c>
      <c r="ID175" s="37">
        <v>4817</v>
      </c>
      <c r="IE175" s="37">
        <v>4860</v>
      </c>
      <c r="IF175" s="37" t="s">
        <v>80</v>
      </c>
      <c r="IH175" s="36" t="s">
        <v>482</v>
      </c>
      <c r="II175" s="37">
        <v>4814</v>
      </c>
      <c r="IJ175" s="37">
        <v>4840</v>
      </c>
      <c r="IK175" s="37">
        <v>4887</v>
      </c>
      <c r="IL175" s="37">
        <v>4972</v>
      </c>
      <c r="IM175" s="37" t="s">
        <v>80</v>
      </c>
      <c r="IO175" s="36" t="s">
        <v>482</v>
      </c>
      <c r="IP175" s="37">
        <v>5014</v>
      </c>
      <c r="IQ175" s="37">
        <v>5039</v>
      </c>
      <c r="IR175" s="37">
        <v>4911</v>
      </c>
      <c r="IS175" s="37">
        <v>4736</v>
      </c>
      <c r="IT175" s="37" t="s">
        <v>80</v>
      </c>
      <c r="IV175" s="36" t="s">
        <v>482</v>
      </c>
      <c r="IW175" s="37">
        <v>4376</v>
      </c>
      <c r="IX175" s="37">
        <v>4249</v>
      </c>
      <c r="IY175" s="37">
        <v>4179</v>
      </c>
      <c r="IZ175" s="37">
        <v>4337</v>
      </c>
      <c r="JA175" s="37" t="s">
        <v>80</v>
      </c>
      <c r="JC175" s="36" t="s">
        <v>482</v>
      </c>
      <c r="JD175" s="37">
        <v>4077</v>
      </c>
      <c r="JE175" s="37">
        <v>3771</v>
      </c>
      <c r="JF175" s="37">
        <v>3496</v>
      </c>
      <c r="JG175" s="37">
        <v>3399</v>
      </c>
      <c r="JH175" s="37" t="s">
        <v>80</v>
      </c>
      <c r="JJ175" s="36" t="s">
        <v>482</v>
      </c>
      <c r="JK175" s="37">
        <v>3349</v>
      </c>
      <c r="JL175" s="37">
        <v>3225</v>
      </c>
      <c r="JM175" s="37">
        <v>3204</v>
      </c>
      <c r="JN175" s="37">
        <v>3262</v>
      </c>
      <c r="JO175" s="37" t="s">
        <v>80</v>
      </c>
      <c r="JQ175" s="36" t="s">
        <v>482</v>
      </c>
      <c r="JR175" s="37">
        <v>3193</v>
      </c>
      <c r="JS175" s="37">
        <v>3100</v>
      </c>
      <c r="JT175" s="37">
        <v>3020</v>
      </c>
      <c r="JU175" s="37">
        <v>2905</v>
      </c>
      <c r="JV175" s="37" t="s">
        <v>80</v>
      </c>
      <c r="JX175" s="36" t="s">
        <v>482</v>
      </c>
      <c r="JY175" s="37">
        <v>2909</v>
      </c>
      <c r="JZ175" s="37">
        <v>2559</v>
      </c>
      <c r="KA175" s="37">
        <v>2521</v>
      </c>
      <c r="KB175" s="37">
        <v>2467</v>
      </c>
      <c r="KC175" s="37" t="s">
        <v>80</v>
      </c>
      <c r="KE175" s="36" t="s">
        <v>482</v>
      </c>
      <c r="KF175" s="37">
        <v>2463</v>
      </c>
      <c r="KG175" s="37">
        <v>2446</v>
      </c>
      <c r="KH175" s="37">
        <v>2386</v>
      </c>
      <c r="KI175" s="37">
        <v>2438</v>
      </c>
      <c r="KJ175" s="37" t="s">
        <v>80</v>
      </c>
      <c r="KL175" s="36" t="s">
        <v>482</v>
      </c>
      <c r="KM175" s="37">
        <v>2439</v>
      </c>
      <c r="KN175" s="37">
        <v>2382</v>
      </c>
      <c r="KO175" s="37">
        <v>2420</v>
      </c>
      <c r="KP175" s="37">
        <v>2476</v>
      </c>
      <c r="KQ175" s="37" t="s">
        <v>80</v>
      </c>
      <c r="KS175" s="36" t="s">
        <v>482</v>
      </c>
      <c r="KT175" s="37">
        <v>2538</v>
      </c>
      <c r="KU175" s="37">
        <v>2583</v>
      </c>
      <c r="KV175" s="37">
        <v>2653</v>
      </c>
      <c r="KW175" s="37">
        <v>2747</v>
      </c>
      <c r="KX175" s="37" t="s">
        <v>80</v>
      </c>
      <c r="KZ175" s="36" t="s">
        <v>482</v>
      </c>
      <c r="LB175" s="144"/>
      <c r="LC175" s="144"/>
      <c r="LD175" s="144"/>
      <c r="LF175" s="555"/>
      <c r="LG175" s="36" t="s">
        <v>482</v>
      </c>
      <c r="LH175" s="144"/>
      <c r="LI175" s="144"/>
      <c r="LJ175" s="144"/>
      <c r="LK175" s="144"/>
      <c r="LM175" s="555"/>
      <c r="LN175" s="36" t="s">
        <v>482</v>
      </c>
      <c r="LO175" s="144"/>
      <c r="LP175" s="144"/>
      <c r="LQ175" s="144"/>
      <c r="LR175" s="144"/>
      <c r="LT175" s="555"/>
      <c r="LU175" s="36" t="s">
        <v>482</v>
      </c>
      <c r="LV175" s="144"/>
      <c r="LW175" s="144"/>
      <c r="LX175" s="144"/>
      <c r="LY175" s="144"/>
      <c r="MA175" s="555"/>
      <c r="MB175" s="36" t="s">
        <v>482</v>
      </c>
      <c r="MC175" s="144"/>
      <c r="MD175" s="144"/>
      <c r="ME175" s="144"/>
      <c r="MF175" s="144"/>
      <c r="MH175" s="555"/>
    </row>
    <row r="176" spans="1:346" s="37" customFormat="1" ht="13.15" outlineLevel="1" x14ac:dyDescent="0.4">
      <c r="A176" s="100"/>
      <c r="B176" s="289" t="s">
        <v>449</v>
      </c>
      <c r="C176" s="290"/>
      <c r="D176" s="290"/>
      <c r="E176" s="290"/>
      <c r="F176" s="290"/>
      <c r="G176" s="290"/>
      <c r="H176" s="290"/>
      <c r="I176" s="290"/>
      <c r="J176" s="290"/>
      <c r="K176" s="290"/>
      <c r="L176" s="290"/>
      <c r="M176" s="290"/>
      <c r="N176" s="290">
        <f>BT176</f>
        <v>0</v>
      </c>
      <c r="O176" s="290">
        <f>CA176</f>
        <v>0</v>
      </c>
      <c r="P176" s="290">
        <f>CH176</f>
        <v>0</v>
      </c>
      <c r="Q176" s="290">
        <f>CO176</f>
        <v>0</v>
      </c>
      <c r="R176" s="290">
        <f>CV176</f>
        <v>0</v>
      </c>
      <c r="S176" s="290">
        <f>DC176</f>
        <v>0</v>
      </c>
      <c r="T176" s="290">
        <f>DJ176</f>
        <v>0</v>
      </c>
      <c r="U176" s="290">
        <f>DQ176</f>
        <v>0</v>
      </c>
      <c r="V176" s="290">
        <f>DX176</f>
        <v>0</v>
      </c>
      <c r="W176" s="290">
        <f>EE176</f>
        <v>0</v>
      </c>
      <c r="X176" s="290">
        <f>EL176</f>
        <v>0</v>
      </c>
      <c r="Y176" s="290">
        <f>ES176</f>
        <v>0</v>
      </c>
      <c r="Z176" s="290">
        <f>EZ176</f>
        <v>0</v>
      </c>
      <c r="AA176" s="290">
        <f>FG176</f>
        <v>0</v>
      </c>
      <c r="AB176" s="290">
        <f>FN176</f>
        <v>0</v>
      </c>
      <c r="AC176" s="290">
        <f>FU176</f>
        <v>0</v>
      </c>
      <c r="AD176" s="290">
        <f>GB176</f>
        <v>2014.1666666666667</v>
      </c>
      <c r="AE176" s="290">
        <f>GI176</f>
        <v>2018.3333333333333</v>
      </c>
      <c r="AF176" s="290">
        <f>GP176</f>
        <v>2008.6666666666667</v>
      </c>
      <c r="AG176" s="290">
        <f>GW176</f>
        <v>1942.6666666666667</v>
      </c>
      <c r="AH176" s="290">
        <f>HD176</f>
        <v>1813.9166666666667</v>
      </c>
      <c r="AI176" s="290">
        <f>HK176</f>
        <v>1731.1666666666667</v>
      </c>
      <c r="AJ176" s="290">
        <f>HR176</f>
        <v>1670.3333333333333</v>
      </c>
      <c r="AK176" s="290">
        <f>HY176</f>
        <v>1658.3333333333333</v>
      </c>
      <c r="AL176" s="290">
        <f>IF176</f>
        <v>1588.9166666666667</v>
      </c>
      <c r="AM176" s="290">
        <f>IM176</f>
        <v>1539.3333333333333</v>
      </c>
      <c r="AN176" s="290">
        <f>IT176</f>
        <v>1463.5</v>
      </c>
      <c r="AO176" s="290">
        <f>JA176</f>
        <v>1166.5</v>
      </c>
      <c r="AP176" s="290">
        <f>JH176</f>
        <v>1008.6666666666666</v>
      </c>
      <c r="AQ176" s="290">
        <f>JO176</f>
        <v>924.41666666666663</v>
      </c>
      <c r="AR176" s="290">
        <f>JV176</f>
        <v>885</v>
      </c>
      <c r="AS176" s="290">
        <f>KC176</f>
        <v>806.91666666666663</v>
      </c>
      <c r="AT176" s="290">
        <f>KJ176</f>
        <v>778.66666666666663</v>
      </c>
      <c r="AU176" s="290">
        <f>KQ176</f>
        <v>821.5</v>
      </c>
      <c r="AV176" s="290">
        <f>KX176</f>
        <v>849.5</v>
      </c>
      <c r="AW176" s="290">
        <f>LE176</f>
        <v>0</v>
      </c>
      <c r="AX176" s="290">
        <f>LL176</f>
        <v>0</v>
      </c>
      <c r="AY176" s="290">
        <f>LS176</f>
        <v>0</v>
      </c>
      <c r="AZ176" s="290">
        <f>LZ176</f>
        <v>0</v>
      </c>
      <c r="BA176" s="290">
        <f>MG176</f>
        <v>0</v>
      </c>
      <c r="BB176" s="290"/>
      <c r="BC176" s="290"/>
      <c r="BD176" s="290"/>
      <c r="BE176" s="290"/>
      <c r="BF176" s="290"/>
      <c r="BG176" s="290"/>
      <c r="BH176" s="290"/>
      <c r="BI176" s="290"/>
      <c r="BJ176" s="290"/>
      <c r="BK176" s="290"/>
      <c r="BL176" s="290"/>
      <c r="BM176" s="290"/>
      <c r="BO176" s="289" t="s">
        <v>449</v>
      </c>
      <c r="BP176" s="290"/>
      <c r="BQ176" s="290"/>
      <c r="BR176" s="290"/>
      <c r="BS176" s="290"/>
      <c r="BT176" s="290"/>
      <c r="BV176" s="289" t="s">
        <v>449</v>
      </c>
      <c r="BW176" s="290"/>
      <c r="BX176" s="290"/>
      <c r="BY176" s="290"/>
      <c r="BZ176" s="290"/>
      <c r="CA176" s="290"/>
      <c r="CC176" s="289" t="s">
        <v>449</v>
      </c>
      <c r="CD176" s="290"/>
      <c r="CE176" s="290"/>
      <c r="CF176" s="290"/>
      <c r="CG176" s="290"/>
      <c r="CH176" s="290"/>
      <c r="CJ176" s="289" t="s">
        <v>449</v>
      </c>
      <c r="CK176" s="290"/>
      <c r="CL176" s="290"/>
      <c r="CM176" s="290"/>
      <c r="CN176" s="290"/>
      <c r="CO176" s="290"/>
      <c r="CQ176" s="289" t="s">
        <v>449</v>
      </c>
      <c r="CR176" s="290"/>
      <c r="CS176" s="290"/>
      <c r="CT176" s="290"/>
      <c r="CU176" s="290"/>
      <c r="CV176" s="290"/>
      <c r="CX176" s="289" t="s">
        <v>449</v>
      </c>
      <c r="CY176" s="290"/>
      <c r="CZ176" s="290"/>
      <c r="DA176" s="290"/>
      <c r="DB176" s="290"/>
      <c r="DC176" s="290"/>
      <c r="DE176" s="289" t="s">
        <v>449</v>
      </c>
      <c r="DF176" s="290"/>
      <c r="DG176" s="290"/>
      <c r="DH176" s="290"/>
      <c r="DI176" s="290"/>
      <c r="DJ176" s="290"/>
      <c r="DL176" s="289" t="s">
        <v>449</v>
      </c>
      <c r="DM176" s="290"/>
      <c r="DN176" s="290"/>
      <c r="DO176" s="290"/>
      <c r="DP176" s="290"/>
      <c r="DQ176" s="290"/>
      <c r="DS176" s="289" t="s">
        <v>449</v>
      </c>
      <c r="DT176" s="290"/>
      <c r="DU176" s="290"/>
      <c r="DV176" s="290"/>
      <c r="DW176" s="290"/>
      <c r="DX176" s="290"/>
      <c r="DZ176" s="289" t="s">
        <v>449</v>
      </c>
      <c r="EA176" s="290"/>
      <c r="EB176" s="290"/>
      <c r="EC176" s="290"/>
      <c r="ED176" s="290"/>
      <c r="EE176" s="290"/>
      <c r="EG176" s="289" t="s">
        <v>449</v>
      </c>
      <c r="EH176" s="290"/>
      <c r="EI176" s="290"/>
      <c r="EJ176" s="290"/>
      <c r="EK176" s="290"/>
      <c r="EL176" s="290"/>
      <c r="EN176" s="289" t="s">
        <v>449</v>
      </c>
      <c r="EO176" s="290"/>
      <c r="EP176" s="290"/>
      <c r="EQ176" s="290"/>
      <c r="ER176" s="290"/>
      <c r="ES176" s="290"/>
      <c r="EU176" s="289" t="s">
        <v>449</v>
      </c>
      <c r="EV176" s="290"/>
      <c r="EW176" s="290"/>
      <c r="EX176" s="290"/>
      <c r="EY176" s="290"/>
      <c r="EZ176" s="290"/>
      <c r="FB176" s="289" t="s">
        <v>449</v>
      </c>
      <c r="FC176" s="290"/>
      <c r="FD176" s="290"/>
      <c r="FE176" s="290"/>
      <c r="FF176" s="290"/>
      <c r="FG176" s="290"/>
      <c r="FI176" s="289" t="s">
        <v>449</v>
      </c>
      <c r="FJ176" s="290"/>
      <c r="FK176" s="290"/>
      <c r="FL176" s="290"/>
      <c r="FM176" s="290"/>
      <c r="FN176" s="290"/>
      <c r="FP176" s="289" t="s">
        <v>449</v>
      </c>
      <c r="FQ176" s="290"/>
      <c r="FR176" s="290"/>
      <c r="FS176" s="290"/>
      <c r="FT176" s="290"/>
      <c r="FU176" s="290"/>
      <c r="FW176" s="289" t="s">
        <v>449</v>
      </c>
      <c r="FX176" s="290">
        <f>AVERAGE(FX177:FX179)</f>
        <v>2048.3333333333335</v>
      </c>
      <c r="FY176" s="290">
        <f>AVERAGE(FY177:FY179)</f>
        <v>2014.3333333333333</v>
      </c>
      <c r="FZ176" s="290">
        <f>AVERAGE(FZ177:FZ179)</f>
        <v>1999.6666666666667</v>
      </c>
      <c r="GA176" s="290">
        <f>AVERAGE(GA177:GA179)</f>
        <v>1994.3333333333333</v>
      </c>
      <c r="GB176" s="290">
        <f>AVERAGE(FX177:GA179)</f>
        <v>2014.1666666666667</v>
      </c>
      <c r="GD176" s="289" t="s">
        <v>449</v>
      </c>
      <c r="GE176" s="290">
        <f>AVERAGE(GE177:GE179)</f>
        <v>2010.3333333333333</v>
      </c>
      <c r="GF176" s="290">
        <f>AVERAGE(GF177:GF179)</f>
        <v>2033.3333333333333</v>
      </c>
      <c r="GG176" s="290">
        <f>AVERAGE(GG177:GG179)</f>
        <v>2002</v>
      </c>
      <c r="GH176" s="290">
        <f>AVERAGE(GH177:GH179)</f>
        <v>2027.6666666666667</v>
      </c>
      <c r="GI176" s="290">
        <f>AVERAGE(GE177:GH179)</f>
        <v>2018.3333333333333</v>
      </c>
      <c r="GK176" s="289" t="s">
        <v>449</v>
      </c>
      <c r="GL176" s="290">
        <f>AVERAGE(GL177:GL179)</f>
        <v>2025</v>
      </c>
      <c r="GM176" s="290">
        <f>AVERAGE(GM177:GM179)</f>
        <v>2022</v>
      </c>
      <c r="GN176" s="290">
        <f>AVERAGE(GN177:GN179)</f>
        <v>2000.6666666666667</v>
      </c>
      <c r="GO176" s="290">
        <f>AVERAGE(GO177:GO179)</f>
        <v>1987</v>
      </c>
      <c r="GP176" s="290">
        <f>AVERAGE(GL177:GO179)</f>
        <v>2008.6666666666667</v>
      </c>
      <c r="GR176" s="289" t="s">
        <v>449</v>
      </c>
      <c r="GS176" s="290">
        <f>AVERAGE(GS177:GS179)</f>
        <v>1981.6666666666667</v>
      </c>
      <c r="GT176" s="290">
        <f>AVERAGE(GT177:GT179)</f>
        <v>1942.6666666666667</v>
      </c>
      <c r="GU176" s="290">
        <f>AVERAGE(GU177:GU179)</f>
        <v>1924</v>
      </c>
      <c r="GV176" s="290">
        <f>AVERAGE(GV177:GV179)</f>
        <v>1922.3333333333333</v>
      </c>
      <c r="GW176" s="290">
        <f>AVERAGE(GS177:GV179)</f>
        <v>1942.6666666666667</v>
      </c>
      <c r="GY176" s="289" t="s">
        <v>449</v>
      </c>
      <c r="GZ176" s="290">
        <f>AVERAGE(GZ177:GZ179)</f>
        <v>1903.3333333333333</v>
      </c>
      <c r="HA176" s="290">
        <f>AVERAGE(HA177:HA179)</f>
        <v>1823.3333333333333</v>
      </c>
      <c r="HB176" s="290">
        <f>AVERAGE(HB177:HB179)</f>
        <v>1796.6666666666667</v>
      </c>
      <c r="HC176" s="290">
        <f>AVERAGE(HC177:HC179)</f>
        <v>1732.3333333333333</v>
      </c>
      <c r="HD176" s="290">
        <f>AVERAGE(GZ177:HC179)</f>
        <v>1813.9166666666667</v>
      </c>
      <c r="HF176" s="289" t="s">
        <v>449</v>
      </c>
      <c r="HG176" s="290">
        <f>AVERAGE(HG177:HG179)</f>
        <v>1729</v>
      </c>
      <c r="HH176" s="290">
        <f>AVERAGE(HH177:HH179)</f>
        <v>1705.6666666666667</v>
      </c>
      <c r="HI176" s="290">
        <f>AVERAGE(HI177:HI179)</f>
        <v>1764.3333333333333</v>
      </c>
      <c r="HJ176" s="290">
        <f>AVERAGE(HJ177:HJ179)</f>
        <v>1725.6666666666667</v>
      </c>
      <c r="HK176" s="290">
        <f>AVERAGE(HG177:HJ179)</f>
        <v>1731.1666666666667</v>
      </c>
      <c r="HM176" s="289" t="s">
        <v>449</v>
      </c>
      <c r="HN176" s="290">
        <f>AVERAGE(HN177:HN179)</f>
        <v>1673.6666666666667</v>
      </c>
      <c r="HO176" s="290">
        <f>AVERAGE(HO177:HO179)</f>
        <v>1667.3333333333333</v>
      </c>
      <c r="HP176" s="290">
        <f>AVERAGE(HP177:HP179)</f>
        <v>1661.3333333333333</v>
      </c>
      <c r="HQ176" s="290">
        <f>AVERAGE(HQ177:HQ179)</f>
        <v>1679</v>
      </c>
      <c r="HR176" s="290">
        <f>AVERAGE(HN177:HQ179)</f>
        <v>1670.3333333333333</v>
      </c>
      <c r="HT176" s="289" t="s">
        <v>449</v>
      </c>
      <c r="HU176" s="290">
        <f>AVERAGE(HU177:HU179)</f>
        <v>1684</v>
      </c>
      <c r="HV176" s="290">
        <f>AVERAGE(HV177:HV179)</f>
        <v>1669</v>
      </c>
      <c r="HW176" s="290">
        <f>AVERAGE(HW177:HW179)</f>
        <v>1662.3333333333333</v>
      </c>
      <c r="HX176" s="290">
        <f>AVERAGE(HX177:HX179)</f>
        <v>1618</v>
      </c>
      <c r="HY176" s="290">
        <f>AVERAGE(HU177:HX179)</f>
        <v>1658.3333333333333</v>
      </c>
      <c r="IA176" s="289" t="s">
        <v>449</v>
      </c>
      <c r="IB176" s="290">
        <f>AVERAGE(IB177:IB179)</f>
        <v>1626</v>
      </c>
      <c r="IC176" s="290">
        <f>AVERAGE(IC177:IC179)</f>
        <v>1586</v>
      </c>
      <c r="ID176" s="290">
        <f>AVERAGE(ID177:ID179)</f>
        <v>1572.6666666666667</v>
      </c>
      <c r="IE176" s="290">
        <f>AVERAGE(IE177:IE179)</f>
        <v>1571</v>
      </c>
      <c r="IF176" s="290">
        <f>AVERAGE(IB177:IE179)</f>
        <v>1588.9166666666667</v>
      </c>
      <c r="IH176" s="289" t="s">
        <v>449</v>
      </c>
      <c r="II176" s="290">
        <f>AVERAGE(II177:II179)</f>
        <v>1563</v>
      </c>
      <c r="IJ176" s="290">
        <f>AVERAGE(IJ177:IJ179)</f>
        <v>1556</v>
      </c>
      <c r="IK176" s="290">
        <f>AVERAGE(IK177:IK179)</f>
        <v>1530.6666666666667</v>
      </c>
      <c r="IL176" s="290">
        <f>AVERAGE(IL177:IL179)</f>
        <v>1507.6666666666667</v>
      </c>
      <c r="IM176" s="290">
        <f>AVERAGE(II177:IL179)</f>
        <v>1539.3333333333333</v>
      </c>
      <c r="IO176" s="289" t="s">
        <v>449</v>
      </c>
      <c r="IP176" s="290">
        <f>AVERAGE(IP177:IP179)</f>
        <v>1486.6666666666667</v>
      </c>
      <c r="IQ176" s="290">
        <f>AVERAGE(IQ177:IQ179)</f>
        <v>1480.6666666666667</v>
      </c>
      <c r="IR176" s="290">
        <f>AVERAGE(IR177:IR179)</f>
        <v>1456</v>
      </c>
      <c r="IS176" s="290">
        <f>AVERAGE(IS177:IS179)</f>
        <v>1430.6666666666667</v>
      </c>
      <c r="IT176" s="290">
        <f>AVERAGE(IP177:IS179)</f>
        <v>1463.5</v>
      </c>
      <c r="IV176" s="289" t="s">
        <v>449</v>
      </c>
      <c r="IW176" s="290">
        <f>AVERAGE(IW177:IW179)</f>
        <v>1275.3333333333333</v>
      </c>
      <c r="IX176" s="290">
        <f>AVERAGE(IX177:IX179)</f>
        <v>1187</v>
      </c>
      <c r="IY176" s="290">
        <f>AVERAGE(IY177:IY179)</f>
        <v>1124.6666666666667</v>
      </c>
      <c r="IZ176" s="290">
        <f>AVERAGE(IZ177:IZ179)</f>
        <v>1079</v>
      </c>
      <c r="JA176" s="290">
        <f>AVERAGE(IW177:IZ179)</f>
        <v>1166.5</v>
      </c>
      <c r="JC176" s="289" t="s">
        <v>449</v>
      </c>
      <c r="JD176" s="290">
        <f>AVERAGE(JD177:JD179)</f>
        <v>1048</v>
      </c>
      <c r="JE176" s="290">
        <f>AVERAGE(JE177:JE179)</f>
        <v>1023.3333333333334</v>
      </c>
      <c r="JF176" s="290">
        <f>AVERAGE(JF177:JF179)</f>
        <v>991</v>
      </c>
      <c r="JG176" s="290">
        <f>AVERAGE(JG177:JG179)</f>
        <v>972.33333333333337</v>
      </c>
      <c r="JH176" s="290">
        <f>AVERAGE(JD177:JG179)</f>
        <v>1008.6666666666666</v>
      </c>
      <c r="JJ176" s="289" t="s">
        <v>449</v>
      </c>
      <c r="JK176" s="290">
        <f>AVERAGE(JK177:JK179)</f>
        <v>966.66666666666663</v>
      </c>
      <c r="JL176" s="290">
        <f>AVERAGE(JL177:JL179)</f>
        <v>917</v>
      </c>
      <c r="JM176" s="290">
        <f>AVERAGE(JM177:JM179)</f>
        <v>906.66666666666663</v>
      </c>
      <c r="JN176" s="290">
        <f>AVERAGE(JN177:JN179)</f>
        <v>907.33333333333337</v>
      </c>
      <c r="JO176" s="290">
        <f>AVERAGE(JK177:JN179)</f>
        <v>924.41666666666663</v>
      </c>
      <c r="JQ176" s="289" t="s">
        <v>449</v>
      </c>
      <c r="JR176" s="290">
        <f>AVERAGE(JR177:JR179)</f>
        <v>899.66666666666663</v>
      </c>
      <c r="JS176" s="290">
        <f>AVERAGE(JS177:JS179)</f>
        <v>893.66666666666663</v>
      </c>
      <c r="JT176" s="290">
        <f>AVERAGE(JT177:JT179)</f>
        <v>884.66666666666663</v>
      </c>
      <c r="JU176" s="290">
        <f>AVERAGE(JU177:JU179)</f>
        <v>862</v>
      </c>
      <c r="JV176" s="290">
        <f>AVERAGE(JR177:JU179)</f>
        <v>885</v>
      </c>
      <c r="JX176" s="289" t="s">
        <v>449</v>
      </c>
      <c r="JY176" s="290">
        <f>AVERAGE(JY177:JY179)</f>
        <v>851.66666666666663</v>
      </c>
      <c r="JZ176" s="290">
        <f>AVERAGE(JZ177:JZ179)</f>
        <v>808.33333333333337</v>
      </c>
      <c r="KA176" s="290">
        <f>AVERAGE(KA177:KA179)</f>
        <v>787.33333333333337</v>
      </c>
      <c r="KB176" s="290">
        <f>AVERAGE(KB177:KB179)</f>
        <v>780.33333333333337</v>
      </c>
      <c r="KC176" s="290">
        <f>AVERAGE(JY177:KB179)</f>
        <v>806.91666666666663</v>
      </c>
      <c r="KE176" s="289" t="s">
        <v>449</v>
      </c>
      <c r="KF176" s="290">
        <f>AVERAGE(KF177:KF179)</f>
        <v>779</v>
      </c>
      <c r="KG176" s="290">
        <f>AVERAGE(KG177:KG179)</f>
        <v>777.66666666666663</v>
      </c>
      <c r="KH176" s="290">
        <f>AVERAGE(KH177:KH179)</f>
        <v>777</v>
      </c>
      <c r="KI176" s="290">
        <f>AVERAGE(KI177:KI179)</f>
        <v>781</v>
      </c>
      <c r="KJ176" s="290">
        <f>AVERAGE(KF177:KI179)</f>
        <v>778.66666666666663</v>
      </c>
      <c r="KL176" s="289" t="s">
        <v>449</v>
      </c>
      <c r="KM176" s="290">
        <f>AVERAGE(KM177:KM179)</f>
        <v>823.66666666666663</v>
      </c>
      <c r="KN176" s="290">
        <f>AVERAGE(KN177:KN179)</f>
        <v>826.66666666666663</v>
      </c>
      <c r="KO176" s="290">
        <f>AVERAGE(KO177:KO179)</f>
        <v>815.66666666666663</v>
      </c>
      <c r="KP176" s="290">
        <f>AVERAGE(KP177:KP179)</f>
        <v>820</v>
      </c>
      <c r="KQ176" s="290">
        <f>AVERAGE(KM177:KP179)</f>
        <v>821.5</v>
      </c>
      <c r="KS176" s="289" t="s">
        <v>449</v>
      </c>
      <c r="KT176" s="290">
        <f>AVERAGE(KT177:KT179)</f>
        <v>840</v>
      </c>
      <c r="KU176" s="290">
        <f>AVERAGE(KU177:KU179)</f>
        <v>838.33333333333337</v>
      </c>
      <c r="KV176" s="290">
        <f>AVERAGE(KV177:KV179)</f>
        <v>855</v>
      </c>
      <c r="KW176" s="291">
        <f>AVERAGE(KW177:KW179)</f>
        <v>864.66666666666663</v>
      </c>
      <c r="KX176" s="290">
        <f>AVERAGE(KT177:KW179)</f>
        <v>849.5</v>
      </c>
      <c r="KZ176" s="289" t="s">
        <v>449</v>
      </c>
      <c r="LA176" s="290"/>
      <c r="LB176" s="144"/>
      <c r="LC176" s="144"/>
      <c r="LD176" s="144"/>
      <c r="LE176" s="290"/>
      <c r="LF176" s="555"/>
      <c r="LG176" s="289" t="s">
        <v>449</v>
      </c>
      <c r="LH176" s="144"/>
      <c r="LI176" s="144"/>
      <c r="LJ176" s="144"/>
      <c r="LK176" s="144"/>
      <c r="LL176" s="290"/>
      <c r="LM176" s="555"/>
      <c r="LN176" s="289" t="s">
        <v>449</v>
      </c>
      <c r="LO176" s="144"/>
      <c r="LP176" s="144"/>
      <c r="LQ176" s="144"/>
      <c r="LR176" s="144"/>
      <c r="LS176" s="290"/>
      <c r="LT176" s="555"/>
      <c r="LU176" s="289" t="s">
        <v>449</v>
      </c>
      <c r="LV176" s="144"/>
      <c r="LW176" s="144"/>
      <c r="LX176" s="144"/>
      <c r="LY176" s="144"/>
      <c r="LZ176" s="290"/>
      <c r="MA176" s="555"/>
      <c r="MB176" s="289" t="s">
        <v>449</v>
      </c>
      <c r="MC176" s="144"/>
      <c r="MD176" s="144"/>
      <c r="ME176" s="144"/>
      <c r="MF176" s="144"/>
      <c r="MG176" s="290"/>
      <c r="MH176" s="555"/>
    </row>
    <row r="177" spans="1:346" s="37" customFormat="1" ht="13.15" outlineLevel="1" x14ac:dyDescent="0.4">
      <c r="A177" s="100"/>
      <c r="B177" s="36" t="s">
        <v>480</v>
      </c>
      <c r="BO177" s="36" t="s">
        <v>480</v>
      </c>
      <c r="BV177" s="36" t="s">
        <v>480</v>
      </c>
      <c r="CC177" s="36" t="s">
        <v>480</v>
      </c>
      <c r="CJ177" s="36" t="s">
        <v>480</v>
      </c>
      <c r="CQ177" s="36" t="s">
        <v>480</v>
      </c>
      <c r="CX177" s="36" t="s">
        <v>480</v>
      </c>
      <c r="DE177" s="36" t="s">
        <v>480</v>
      </c>
      <c r="DL177" s="36" t="s">
        <v>480</v>
      </c>
      <c r="DS177" s="36" t="s">
        <v>480</v>
      </c>
      <c r="DZ177" s="36" t="s">
        <v>480</v>
      </c>
      <c r="EG177" s="36" t="s">
        <v>480</v>
      </c>
      <c r="EN177" s="36" t="s">
        <v>480</v>
      </c>
      <c r="EU177" s="36" t="s">
        <v>480</v>
      </c>
      <c r="FB177" s="36" t="s">
        <v>480</v>
      </c>
      <c r="FI177" s="36" t="s">
        <v>480</v>
      </c>
      <c r="FP177" s="36" t="s">
        <v>480</v>
      </c>
      <c r="FW177" s="36" t="s">
        <v>480</v>
      </c>
      <c r="FX177" s="37">
        <v>2077</v>
      </c>
      <c r="FY177" s="37">
        <v>2020</v>
      </c>
      <c r="FZ177" s="37">
        <v>2009</v>
      </c>
      <c r="GA177" s="37">
        <v>1986</v>
      </c>
      <c r="GB177" s="37" t="s">
        <v>80</v>
      </c>
      <c r="GD177" s="36" t="s">
        <v>480</v>
      </c>
      <c r="GE177" s="37">
        <v>1996</v>
      </c>
      <c r="GF177" s="37">
        <v>2037</v>
      </c>
      <c r="GG177" s="37">
        <v>2011</v>
      </c>
      <c r="GH177" s="37">
        <v>2013</v>
      </c>
      <c r="GI177" s="37" t="s">
        <v>80</v>
      </c>
      <c r="GK177" s="36" t="s">
        <v>480</v>
      </c>
      <c r="GL177" s="37">
        <v>2026</v>
      </c>
      <c r="GM177" s="37">
        <v>2028</v>
      </c>
      <c r="GN177" s="37">
        <v>2006</v>
      </c>
      <c r="GO177" s="37">
        <v>1988</v>
      </c>
      <c r="GP177" s="37" t="s">
        <v>80</v>
      </c>
      <c r="GR177" s="36" t="s">
        <v>480</v>
      </c>
      <c r="GS177" s="37">
        <v>1991</v>
      </c>
      <c r="GT177" s="37">
        <v>1950</v>
      </c>
      <c r="GU177" s="37">
        <v>1941</v>
      </c>
      <c r="GV177" s="37">
        <v>1929</v>
      </c>
      <c r="GW177" s="37" t="s">
        <v>80</v>
      </c>
      <c r="GY177" s="36" t="s">
        <v>480</v>
      </c>
      <c r="GZ177" s="37">
        <v>1941</v>
      </c>
      <c r="HA177" s="37">
        <v>1826</v>
      </c>
      <c r="HB177" s="37">
        <v>1805</v>
      </c>
      <c r="HC177" s="37">
        <v>1732</v>
      </c>
      <c r="HD177" s="37" t="s">
        <v>80</v>
      </c>
      <c r="HF177" s="36" t="s">
        <v>480</v>
      </c>
      <c r="HG177" s="37">
        <v>1742</v>
      </c>
      <c r="HH177" s="37">
        <v>1705</v>
      </c>
      <c r="HI177" s="37">
        <v>1754</v>
      </c>
      <c r="HJ177" s="37">
        <v>1766</v>
      </c>
      <c r="HK177" s="37" t="s">
        <v>80</v>
      </c>
      <c r="HM177" s="36" t="s">
        <v>480</v>
      </c>
      <c r="HN177" s="37">
        <v>1673</v>
      </c>
      <c r="HO177" s="37">
        <v>1685</v>
      </c>
      <c r="HP177" s="37">
        <v>1648</v>
      </c>
      <c r="HQ177" s="37">
        <v>1676</v>
      </c>
      <c r="HR177" s="37" t="s">
        <v>80</v>
      </c>
      <c r="HT177" s="36" t="s">
        <v>480</v>
      </c>
      <c r="HU177" s="37">
        <v>1694</v>
      </c>
      <c r="HV177" s="37">
        <v>1663</v>
      </c>
      <c r="HW177" s="37">
        <v>1646</v>
      </c>
      <c r="HX177" s="37">
        <v>1630</v>
      </c>
      <c r="HY177" s="37" t="s">
        <v>80</v>
      </c>
      <c r="IA177" s="36" t="s">
        <v>480</v>
      </c>
      <c r="IB177" s="37">
        <v>1625</v>
      </c>
      <c r="IC177" s="37">
        <v>1601</v>
      </c>
      <c r="ID177" s="37">
        <v>1571</v>
      </c>
      <c r="IE177" s="37">
        <v>1588</v>
      </c>
      <c r="IF177" s="37" t="s">
        <v>80</v>
      </c>
      <c r="IH177" s="36" t="s">
        <v>480</v>
      </c>
      <c r="II177" s="37">
        <v>1572</v>
      </c>
      <c r="IJ177" s="37">
        <v>1552</v>
      </c>
      <c r="IK177" s="37">
        <v>1554</v>
      </c>
      <c r="IL177" s="37">
        <v>1523</v>
      </c>
      <c r="IM177" s="37" t="s">
        <v>80</v>
      </c>
      <c r="IO177" s="36" t="s">
        <v>480</v>
      </c>
      <c r="IP177" s="37">
        <v>1512</v>
      </c>
      <c r="IQ177" s="37">
        <v>1498</v>
      </c>
      <c r="IR177" s="37">
        <v>1450</v>
      </c>
      <c r="IS177" s="37">
        <v>1434</v>
      </c>
      <c r="IT177" s="37" t="s">
        <v>80</v>
      </c>
      <c r="IV177" s="36" t="s">
        <v>480</v>
      </c>
      <c r="IW177" s="37">
        <v>1336</v>
      </c>
      <c r="IX177" s="37">
        <v>1202</v>
      </c>
      <c r="IY177" s="37">
        <v>1148</v>
      </c>
      <c r="IZ177" s="37">
        <v>1086</v>
      </c>
      <c r="JA177" s="37" t="s">
        <v>80</v>
      </c>
      <c r="JC177" s="36" t="s">
        <v>480</v>
      </c>
      <c r="JD177" s="37">
        <v>1058</v>
      </c>
      <c r="JE177" s="37">
        <v>1018</v>
      </c>
      <c r="JF177" s="37">
        <v>1015</v>
      </c>
      <c r="JG177" s="37">
        <v>974</v>
      </c>
      <c r="JH177" s="37" t="s">
        <v>80</v>
      </c>
      <c r="JJ177" s="36" t="s">
        <v>480</v>
      </c>
      <c r="JK177" s="37">
        <v>953</v>
      </c>
      <c r="JL177" s="37">
        <v>928</v>
      </c>
      <c r="JM177" s="37">
        <v>909</v>
      </c>
      <c r="JN177" s="37">
        <v>905</v>
      </c>
      <c r="JO177" s="37" t="s">
        <v>80</v>
      </c>
      <c r="JQ177" s="36" t="s">
        <v>480</v>
      </c>
      <c r="JR177" s="37">
        <v>896</v>
      </c>
      <c r="JS177" s="37">
        <v>896</v>
      </c>
      <c r="JT177" s="37">
        <v>889</v>
      </c>
      <c r="JU177" s="37">
        <v>867</v>
      </c>
      <c r="JV177" s="37" t="s">
        <v>80</v>
      </c>
      <c r="JX177" s="36" t="s">
        <v>480</v>
      </c>
      <c r="JY177" s="37">
        <v>856</v>
      </c>
      <c r="JZ177" s="37">
        <v>824</v>
      </c>
      <c r="KA177" s="37">
        <v>789</v>
      </c>
      <c r="KB177" s="37">
        <v>784</v>
      </c>
      <c r="KC177" s="37" t="s">
        <v>80</v>
      </c>
      <c r="KE177" s="36" t="s">
        <v>480</v>
      </c>
      <c r="KF177" s="37">
        <v>772</v>
      </c>
      <c r="KG177" s="37">
        <v>773</v>
      </c>
      <c r="KH177" s="37">
        <v>778</v>
      </c>
      <c r="KI177" s="37">
        <v>774</v>
      </c>
      <c r="KJ177" s="37" t="s">
        <v>80</v>
      </c>
      <c r="KL177" s="36" t="s">
        <v>480</v>
      </c>
      <c r="KM177" s="37">
        <v>817</v>
      </c>
      <c r="KN177" s="37">
        <v>826</v>
      </c>
      <c r="KO177" s="37">
        <v>814</v>
      </c>
      <c r="KP177" s="37">
        <v>811</v>
      </c>
      <c r="KQ177" s="37" t="s">
        <v>80</v>
      </c>
      <c r="KS177" s="36" t="s">
        <v>480</v>
      </c>
      <c r="KT177" s="37">
        <v>832</v>
      </c>
      <c r="KU177" s="37">
        <v>847</v>
      </c>
      <c r="KV177" s="37">
        <v>855</v>
      </c>
      <c r="KW177" s="37">
        <v>871</v>
      </c>
      <c r="KX177" s="37" t="s">
        <v>80</v>
      </c>
      <c r="KZ177" s="36" t="s">
        <v>480</v>
      </c>
      <c r="LB177" s="144"/>
      <c r="LC177" s="144"/>
      <c r="LD177" s="144"/>
      <c r="LF177" s="555"/>
      <c r="LG177" s="36" t="s">
        <v>480</v>
      </c>
      <c r="LH177" s="144"/>
      <c r="LI177" s="144"/>
      <c r="LJ177" s="144"/>
      <c r="LK177" s="144"/>
      <c r="LM177" s="555"/>
      <c r="LN177" s="36" t="s">
        <v>480</v>
      </c>
      <c r="LO177" s="144"/>
      <c r="LP177" s="144"/>
      <c r="LQ177" s="144"/>
      <c r="LR177" s="144"/>
      <c r="LT177" s="555"/>
      <c r="LU177" s="36" t="s">
        <v>480</v>
      </c>
      <c r="LV177" s="144"/>
      <c r="LW177" s="144"/>
      <c r="LX177" s="144"/>
      <c r="LY177" s="144"/>
      <c r="MA177" s="555"/>
      <c r="MB177" s="36" t="s">
        <v>480</v>
      </c>
      <c r="MC177" s="144"/>
      <c r="MD177" s="144"/>
      <c r="ME177" s="144"/>
      <c r="MF177" s="144"/>
      <c r="MH177" s="555"/>
    </row>
    <row r="178" spans="1:346" s="37" customFormat="1" ht="13.15" outlineLevel="1" x14ac:dyDescent="0.4">
      <c r="A178" s="100"/>
      <c r="B178" s="36" t="s">
        <v>481</v>
      </c>
      <c r="BO178" s="36" t="s">
        <v>481</v>
      </c>
      <c r="BV178" s="36" t="s">
        <v>481</v>
      </c>
      <c r="CC178" s="36" t="s">
        <v>481</v>
      </c>
      <c r="CJ178" s="36" t="s">
        <v>481</v>
      </c>
      <c r="CQ178" s="36" t="s">
        <v>481</v>
      </c>
      <c r="CX178" s="36" t="s">
        <v>481</v>
      </c>
      <c r="DE178" s="36" t="s">
        <v>481</v>
      </c>
      <c r="DL178" s="36" t="s">
        <v>481</v>
      </c>
      <c r="DS178" s="36" t="s">
        <v>481</v>
      </c>
      <c r="DZ178" s="36" t="s">
        <v>481</v>
      </c>
      <c r="EG178" s="36" t="s">
        <v>481</v>
      </c>
      <c r="EN178" s="36" t="s">
        <v>481</v>
      </c>
      <c r="EU178" s="36" t="s">
        <v>481</v>
      </c>
      <c r="FB178" s="36" t="s">
        <v>481</v>
      </c>
      <c r="FI178" s="36" t="s">
        <v>481</v>
      </c>
      <c r="FP178" s="36" t="s">
        <v>481</v>
      </c>
      <c r="FW178" s="36" t="s">
        <v>481</v>
      </c>
      <c r="FX178" s="37">
        <v>2045</v>
      </c>
      <c r="FY178" s="37">
        <v>2016</v>
      </c>
      <c r="FZ178" s="37">
        <v>2006</v>
      </c>
      <c r="GA178" s="37">
        <v>2003</v>
      </c>
      <c r="GB178" s="37" t="s">
        <v>80</v>
      </c>
      <c r="GD178" s="36" t="s">
        <v>481</v>
      </c>
      <c r="GE178" s="37">
        <v>2003</v>
      </c>
      <c r="GF178" s="37">
        <v>2032</v>
      </c>
      <c r="GG178" s="37">
        <v>1995</v>
      </c>
      <c r="GH178" s="37">
        <v>2041</v>
      </c>
      <c r="GI178" s="37" t="s">
        <v>80</v>
      </c>
      <c r="GK178" s="36" t="s">
        <v>481</v>
      </c>
      <c r="GL178" s="37">
        <v>2018</v>
      </c>
      <c r="GM178" s="37">
        <v>2031</v>
      </c>
      <c r="GN178" s="37">
        <v>1994</v>
      </c>
      <c r="GO178" s="37">
        <v>1987</v>
      </c>
      <c r="GP178" s="37" t="s">
        <v>80</v>
      </c>
      <c r="GR178" s="36" t="s">
        <v>481</v>
      </c>
      <c r="GS178" s="37">
        <v>1988</v>
      </c>
      <c r="GT178" s="37">
        <v>1943</v>
      </c>
      <c r="GU178" s="37">
        <v>1913</v>
      </c>
      <c r="GV178" s="37">
        <v>1935</v>
      </c>
      <c r="GW178" s="37" t="s">
        <v>80</v>
      </c>
      <c r="GY178" s="36" t="s">
        <v>481</v>
      </c>
      <c r="GZ178" s="37">
        <v>1898</v>
      </c>
      <c r="HA178" s="37">
        <v>1838</v>
      </c>
      <c r="HB178" s="37">
        <v>1762</v>
      </c>
      <c r="HC178" s="37">
        <v>1730</v>
      </c>
      <c r="HD178" s="37" t="s">
        <v>80</v>
      </c>
      <c r="HF178" s="36" t="s">
        <v>481</v>
      </c>
      <c r="HG178" s="37">
        <v>1730</v>
      </c>
      <c r="HH178" s="37">
        <v>1702</v>
      </c>
      <c r="HI178" s="37">
        <v>1767</v>
      </c>
      <c r="HJ178" s="37">
        <v>1757</v>
      </c>
      <c r="HK178" s="37" t="s">
        <v>80</v>
      </c>
      <c r="HM178" s="36" t="s">
        <v>481</v>
      </c>
      <c r="HN178" s="37">
        <v>1667</v>
      </c>
      <c r="HO178" s="37">
        <v>1666</v>
      </c>
      <c r="HP178" s="37">
        <v>1667</v>
      </c>
      <c r="HQ178" s="37">
        <v>1678</v>
      </c>
      <c r="HR178" s="37" t="s">
        <v>80</v>
      </c>
      <c r="HT178" s="36" t="s">
        <v>481</v>
      </c>
      <c r="HU178" s="37">
        <v>1681</v>
      </c>
      <c r="HV178" s="37">
        <v>1668</v>
      </c>
      <c r="HW178" s="37">
        <v>1679</v>
      </c>
      <c r="HX178" s="37">
        <v>1618</v>
      </c>
      <c r="HY178" s="37" t="s">
        <v>80</v>
      </c>
      <c r="IA178" s="36" t="s">
        <v>481</v>
      </c>
      <c r="IB178" s="37">
        <v>1634</v>
      </c>
      <c r="IC178" s="37">
        <v>1589</v>
      </c>
      <c r="ID178" s="37">
        <v>1588</v>
      </c>
      <c r="IE178" s="37">
        <v>1579</v>
      </c>
      <c r="IF178" s="37" t="s">
        <v>80</v>
      </c>
      <c r="IH178" s="36" t="s">
        <v>481</v>
      </c>
      <c r="II178" s="37">
        <v>1544</v>
      </c>
      <c r="IJ178" s="37">
        <v>1558</v>
      </c>
      <c r="IK178" s="37">
        <v>1528</v>
      </c>
      <c r="IL178" s="37">
        <v>1497</v>
      </c>
      <c r="IM178" s="37" t="s">
        <v>80</v>
      </c>
      <c r="IO178" s="36" t="s">
        <v>481</v>
      </c>
      <c r="IP178" s="37">
        <v>1438</v>
      </c>
      <c r="IQ178" s="37">
        <v>1483</v>
      </c>
      <c r="IR178" s="37">
        <v>1466</v>
      </c>
      <c r="IS178" s="37">
        <v>1418</v>
      </c>
      <c r="IT178" s="37" t="s">
        <v>80</v>
      </c>
      <c r="IV178" s="36" t="s">
        <v>481</v>
      </c>
      <c r="IW178" s="37">
        <v>1304</v>
      </c>
      <c r="IX178" s="37">
        <v>1192</v>
      </c>
      <c r="IY178" s="37">
        <v>1112</v>
      </c>
      <c r="IZ178" s="37">
        <v>1075</v>
      </c>
      <c r="JA178" s="37" t="s">
        <v>80</v>
      </c>
      <c r="JC178" s="36" t="s">
        <v>481</v>
      </c>
      <c r="JD178" s="37">
        <v>1052</v>
      </c>
      <c r="JE178" s="37">
        <v>1033</v>
      </c>
      <c r="JF178" s="37">
        <v>984</v>
      </c>
      <c r="JG178" s="37">
        <v>978</v>
      </c>
      <c r="JH178" s="37" t="s">
        <v>80</v>
      </c>
      <c r="JJ178" s="36" t="s">
        <v>481</v>
      </c>
      <c r="JK178" s="37">
        <v>985</v>
      </c>
      <c r="JL178" s="37">
        <v>918</v>
      </c>
      <c r="JM178" s="37">
        <v>907</v>
      </c>
      <c r="JN178" s="37">
        <v>904</v>
      </c>
      <c r="JO178" s="37" t="s">
        <v>80</v>
      </c>
      <c r="JQ178" s="36" t="s">
        <v>481</v>
      </c>
      <c r="JR178" s="37">
        <v>896</v>
      </c>
      <c r="JS178" s="37">
        <v>894</v>
      </c>
      <c r="JT178" s="37">
        <v>887</v>
      </c>
      <c r="JU178" s="37">
        <v>854</v>
      </c>
      <c r="JV178" s="37" t="s">
        <v>80</v>
      </c>
      <c r="JX178" s="36" t="s">
        <v>481</v>
      </c>
      <c r="JY178" s="37">
        <v>850</v>
      </c>
      <c r="JZ178" s="37">
        <v>798</v>
      </c>
      <c r="KA178" s="37">
        <v>793</v>
      </c>
      <c r="KB178" s="37">
        <v>775</v>
      </c>
      <c r="KC178" s="37" t="s">
        <v>80</v>
      </c>
      <c r="KE178" s="36" t="s">
        <v>481</v>
      </c>
      <c r="KF178" s="37">
        <v>785</v>
      </c>
      <c r="KG178" s="37">
        <v>778</v>
      </c>
      <c r="KH178" s="37">
        <v>760</v>
      </c>
      <c r="KI178" s="37">
        <v>779</v>
      </c>
      <c r="KJ178" s="37" t="s">
        <v>80</v>
      </c>
      <c r="KL178" s="36" t="s">
        <v>481</v>
      </c>
      <c r="KM178" s="37">
        <v>829</v>
      </c>
      <c r="KN178" s="37">
        <v>826</v>
      </c>
      <c r="KO178" s="37">
        <v>820</v>
      </c>
      <c r="KP178" s="37">
        <v>813</v>
      </c>
      <c r="KQ178" s="37" t="s">
        <v>80</v>
      </c>
      <c r="KS178" s="36" t="s">
        <v>481</v>
      </c>
      <c r="KT178" s="37">
        <v>841</v>
      </c>
      <c r="KU178" s="37">
        <v>838</v>
      </c>
      <c r="KV178" s="37">
        <v>855</v>
      </c>
      <c r="KW178" s="37">
        <v>849</v>
      </c>
      <c r="KX178" s="37" t="s">
        <v>80</v>
      </c>
      <c r="KZ178" s="36" t="s">
        <v>481</v>
      </c>
      <c r="LB178" s="144"/>
      <c r="LC178" s="144"/>
      <c r="LD178" s="144"/>
      <c r="LF178" s="555"/>
      <c r="LG178" s="36" t="s">
        <v>481</v>
      </c>
      <c r="LH178" s="144"/>
      <c r="LI178" s="144"/>
      <c r="LJ178" s="144"/>
      <c r="LK178" s="144"/>
      <c r="LM178" s="555"/>
      <c r="LN178" s="36" t="s">
        <v>481</v>
      </c>
      <c r="LO178" s="144"/>
      <c r="LP178" s="144"/>
      <c r="LQ178" s="144"/>
      <c r="LR178" s="144"/>
      <c r="LT178" s="555"/>
      <c r="LU178" s="36" t="s">
        <v>481</v>
      </c>
      <c r="LV178" s="144"/>
      <c r="LW178" s="144"/>
      <c r="LX178" s="144"/>
      <c r="LY178" s="144"/>
      <c r="MA178" s="555"/>
      <c r="MB178" s="36" t="s">
        <v>481</v>
      </c>
      <c r="MC178" s="144"/>
      <c r="MD178" s="144"/>
      <c r="ME178" s="144"/>
      <c r="MF178" s="144"/>
      <c r="MH178" s="555"/>
    </row>
    <row r="179" spans="1:346" s="37" customFormat="1" ht="13.15" outlineLevel="1" x14ac:dyDescent="0.4">
      <c r="A179" s="100"/>
      <c r="B179" s="36" t="s">
        <v>482</v>
      </c>
      <c r="BO179" s="36" t="s">
        <v>482</v>
      </c>
      <c r="BV179" s="36" t="s">
        <v>482</v>
      </c>
      <c r="CC179" s="36" t="s">
        <v>482</v>
      </c>
      <c r="CJ179" s="36" t="s">
        <v>482</v>
      </c>
      <c r="CQ179" s="36" t="s">
        <v>482</v>
      </c>
      <c r="CX179" s="36" t="s">
        <v>482</v>
      </c>
      <c r="DE179" s="36" t="s">
        <v>482</v>
      </c>
      <c r="DL179" s="36" t="s">
        <v>482</v>
      </c>
      <c r="DS179" s="36" t="s">
        <v>482</v>
      </c>
      <c r="DZ179" s="36" t="s">
        <v>482</v>
      </c>
      <c r="EG179" s="36" t="s">
        <v>482</v>
      </c>
      <c r="EN179" s="36" t="s">
        <v>482</v>
      </c>
      <c r="EU179" s="36" t="s">
        <v>482</v>
      </c>
      <c r="FB179" s="36" t="s">
        <v>482</v>
      </c>
      <c r="FI179" s="36" t="s">
        <v>482</v>
      </c>
      <c r="FP179" s="36" t="s">
        <v>482</v>
      </c>
      <c r="FW179" s="36" t="s">
        <v>482</v>
      </c>
      <c r="FX179" s="37">
        <v>2023</v>
      </c>
      <c r="FY179" s="37">
        <v>2007</v>
      </c>
      <c r="FZ179" s="37">
        <v>1984</v>
      </c>
      <c r="GA179" s="37">
        <v>1994</v>
      </c>
      <c r="GB179" s="37" t="s">
        <v>80</v>
      </c>
      <c r="GD179" s="36" t="s">
        <v>482</v>
      </c>
      <c r="GE179" s="37">
        <v>2032</v>
      </c>
      <c r="GF179" s="37">
        <v>2031</v>
      </c>
      <c r="GG179" s="37">
        <v>2000</v>
      </c>
      <c r="GH179" s="37">
        <v>2029</v>
      </c>
      <c r="GI179" s="37" t="s">
        <v>80</v>
      </c>
      <c r="GK179" s="36" t="s">
        <v>482</v>
      </c>
      <c r="GL179" s="37">
        <v>2031</v>
      </c>
      <c r="GM179" s="37">
        <v>2007</v>
      </c>
      <c r="GN179" s="37">
        <v>2002</v>
      </c>
      <c r="GO179" s="37">
        <v>1986</v>
      </c>
      <c r="GP179" s="37" t="s">
        <v>80</v>
      </c>
      <c r="GR179" s="36" t="s">
        <v>482</v>
      </c>
      <c r="GS179" s="37">
        <v>1966</v>
      </c>
      <c r="GT179" s="37">
        <v>1935</v>
      </c>
      <c r="GU179" s="37">
        <v>1918</v>
      </c>
      <c r="GV179" s="37">
        <v>1903</v>
      </c>
      <c r="GW179" s="37" t="s">
        <v>80</v>
      </c>
      <c r="GY179" s="36" t="s">
        <v>482</v>
      </c>
      <c r="GZ179" s="37">
        <v>1871</v>
      </c>
      <c r="HA179" s="37">
        <v>1806</v>
      </c>
      <c r="HB179" s="37">
        <v>1823</v>
      </c>
      <c r="HC179" s="37">
        <v>1735</v>
      </c>
      <c r="HD179" s="37" t="s">
        <v>80</v>
      </c>
      <c r="HF179" s="36" t="s">
        <v>482</v>
      </c>
      <c r="HG179" s="37">
        <v>1715</v>
      </c>
      <c r="HH179" s="37">
        <v>1710</v>
      </c>
      <c r="HI179" s="37">
        <v>1772</v>
      </c>
      <c r="HJ179" s="37">
        <v>1654</v>
      </c>
      <c r="HK179" s="37" t="s">
        <v>80</v>
      </c>
      <c r="HM179" s="36" t="s">
        <v>482</v>
      </c>
      <c r="HN179" s="37">
        <v>1681</v>
      </c>
      <c r="HO179" s="37">
        <v>1651</v>
      </c>
      <c r="HP179" s="37">
        <v>1669</v>
      </c>
      <c r="HQ179" s="37">
        <v>1683</v>
      </c>
      <c r="HR179" s="37" t="s">
        <v>80</v>
      </c>
      <c r="HT179" s="36" t="s">
        <v>482</v>
      </c>
      <c r="HU179" s="37">
        <v>1677</v>
      </c>
      <c r="HV179" s="37">
        <v>1676</v>
      </c>
      <c r="HW179" s="37">
        <v>1662</v>
      </c>
      <c r="HX179" s="37">
        <v>1606</v>
      </c>
      <c r="HY179" s="37" t="s">
        <v>80</v>
      </c>
      <c r="IA179" s="36" t="s">
        <v>482</v>
      </c>
      <c r="IB179" s="37">
        <v>1619</v>
      </c>
      <c r="IC179" s="37">
        <v>1568</v>
      </c>
      <c r="ID179" s="37">
        <v>1559</v>
      </c>
      <c r="IE179" s="37">
        <v>1546</v>
      </c>
      <c r="IF179" s="37" t="s">
        <v>80</v>
      </c>
      <c r="IH179" s="36" t="s">
        <v>482</v>
      </c>
      <c r="II179" s="37">
        <v>1573</v>
      </c>
      <c r="IJ179" s="37">
        <v>1558</v>
      </c>
      <c r="IK179" s="37">
        <v>1510</v>
      </c>
      <c r="IL179" s="37">
        <v>1503</v>
      </c>
      <c r="IM179" s="37" t="s">
        <v>80</v>
      </c>
      <c r="IO179" s="36" t="s">
        <v>482</v>
      </c>
      <c r="IP179" s="37">
        <v>1510</v>
      </c>
      <c r="IQ179" s="37">
        <v>1461</v>
      </c>
      <c r="IR179" s="37">
        <v>1452</v>
      </c>
      <c r="IS179" s="37">
        <v>1440</v>
      </c>
      <c r="IT179" s="37" t="s">
        <v>80</v>
      </c>
      <c r="IV179" s="36" t="s">
        <v>482</v>
      </c>
      <c r="IW179" s="37">
        <v>1186</v>
      </c>
      <c r="IX179" s="37">
        <v>1167</v>
      </c>
      <c r="IY179" s="37">
        <v>1114</v>
      </c>
      <c r="IZ179" s="37">
        <v>1076</v>
      </c>
      <c r="JA179" s="37" t="s">
        <v>80</v>
      </c>
      <c r="JC179" s="36" t="s">
        <v>482</v>
      </c>
      <c r="JD179" s="37">
        <v>1034</v>
      </c>
      <c r="JE179" s="37">
        <v>1019</v>
      </c>
      <c r="JF179" s="37">
        <v>974</v>
      </c>
      <c r="JG179" s="37">
        <v>965</v>
      </c>
      <c r="JH179" s="37" t="s">
        <v>80</v>
      </c>
      <c r="JJ179" s="36" t="s">
        <v>482</v>
      </c>
      <c r="JK179" s="37">
        <v>962</v>
      </c>
      <c r="JL179" s="37">
        <v>905</v>
      </c>
      <c r="JM179" s="37">
        <v>904</v>
      </c>
      <c r="JN179" s="37">
        <v>913</v>
      </c>
      <c r="JO179" s="37" t="s">
        <v>80</v>
      </c>
      <c r="JQ179" s="36" t="s">
        <v>482</v>
      </c>
      <c r="JR179" s="37">
        <v>907</v>
      </c>
      <c r="JS179" s="37">
        <v>891</v>
      </c>
      <c r="JT179" s="37">
        <v>878</v>
      </c>
      <c r="JU179" s="37">
        <v>865</v>
      </c>
      <c r="JV179" s="37" t="s">
        <v>80</v>
      </c>
      <c r="JX179" s="36" t="s">
        <v>482</v>
      </c>
      <c r="JY179" s="37">
        <v>849</v>
      </c>
      <c r="JZ179" s="37">
        <v>803</v>
      </c>
      <c r="KA179" s="37">
        <v>780</v>
      </c>
      <c r="KB179" s="37">
        <v>782</v>
      </c>
      <c r="KC179" s="37" t="s">
        <v>80</v>
      </c>
      <c r="KE179" s="36" t="s">
        <v>482</v>
      </c>
      <c r="KF179" s="37">
        <v>780</v>
      </c>
      <c r="KG179" s="37">
        <v>782</v>
      </c>
      <c r="KH179" s="37">
        <v>793</v>
      </c>
      <c r="KI179" s="37">
        <v>790</v>
      </c>
      <c r="KJ179" s="37" t="s">
        <v>80</v>
      </c>
      <c r="KL179" s="36" t="s">
        <v>482</v>
      </c>
      <c r="KM179" s="37">
        <v>825</v>
      </c>
      <c r="KN179" s="37">
        <v>828</v>
      </c>
      <c r="KO179" s="37">
        <v>813</v>
      </c>
      <c r="KP179" s="37">
        <v>836</v>
      </c>
      <c r="KQ179" s="37" t="s">
        <v>80</v>
      </c>
      <c r="KS179" s="36" t="s">
        <v>482</v>
      </c>
      <c r="KT179" s="37">
        <v>847</v>
      </c>
      <c r="KU179" s="37">
        <v>830</v>
      </c>
      <c r="KV179" s="37">
        <v>855</v>
      </c>
      <c r="KW179" s="37">
        <v>874</v>
      </c>
      <c r="KX179" s="37" t="s">
        <v>80</v>
      </c>
      <c r="KZ179" s="36" t="s">
        <v>482</v>
      </c>
      <c r="LB179" s="144"/>
      <c r="LC179" s="144"/>
      <c r="LD179" s="144"/>
      <c r="LF179" s="555"/>
      <c r="LG179" s="36" t="s">
        <v>482</v>
      </c>
      <c r="LH179" s="144"/>
      <c r="LI179" s="144"/>
      <c r="LJ179" s="144"/>
      <c r="LK179" s="144"/>
      <c r="LM179" s="555"/>
      <c r="LN179" s="36" t="s">
        <v>482</v>
      </c>
      <c r="LO179" s="144"/>
      <c r="LP179" s="144"/>
      <c r="LQ179" s="144"/>
      <c r="LR179" s="144"/>
      <c r="LT179" s="555"/>
      <c r="LU179" s="36" t="s">
        <v>482</v>
      </c>
      <c r="LV179" s="144"/>
      <c r="LW179" s="144"/>
      <c r="LX179" s="144"/>
      <c r="LY179" s="144"/>
      <c r="MA179" s="555"/>
      <c r="MB179" s="36" t="s">
        <v>482</v>
      </c>
      <c r="MC179" s="144"/>
      <c r="MD179" s="144"/>
      <c r="ME179" s="144"/>
      <c r="MF179" s="144"/>
      <c r="MH179" s="555"/>
    </row>
    <row r="180" spans="1:346" s="37" customFormat="1" ht="13.15" outlineLevel="1" x14ac:dyDescent="0.4">
      <c r="A180" s="100"/>
      <c r="B180" s="289" t="s">
        <v>450</v>
      </c>
      <c r="C180" s="290"/>
      <c r="D180" s="290"/>
      <c r="E180" s="290"/>
      <c r="F180" s="290"/>
      <c r="G180" s="290"/>
      <c r="H180" s="290"/>
      <c r="I180" s="290"/>
      <c r="J180" s="290"/>
      <c r="K180" s="290"/>
      <c r="L180" s="290"/>
      <c r="M180" s="290"/>
      <c r="N180" s="290">
        <f>BT180</f>
        <v>0</v>
      </c>
      <c r="O180" s="290">
        <f>CA180</f>
        <v>0</v>
      </c>
      <c r="P180" s="290">
        <f>CH180</f>
        <v>0</v>
      </c>
      <c r="Q180" s="290">
        <f>CO180</f>
        <v>0</v>
      </c>
      <c r="R180" s="290">
        <f>CV180</f>
        <v>0</v>
      </c>
      <c r="S180" s="290">
        <f>DC180</f>
        <v>0</v>
      </c>
      <c r="T180" s="290">
        <f>DJ180</f>
        <v>0</v>
      </c>
      <c r="U180" s="290">
        <f>DQ180</f>
        <v>0</v>
      </c>
      <c r="V180" s="290">
        <f>DX180</f>
        <v>0</v>
      </c>
      <c r="W180" s="290">
        <f>EE180</f>
        <v>0</v>
      </c>
      <c r="X180" s="290">
        <f>EL180</f>
        <v>0</v>
      </c>
      <c r="Y180" s="290">
        <f>ES180</f>
        <v>0</v>
      </c>
      <c r="Z180" s="290">
        <f>EZ180</f>
        <v>0</v>
      </c>
      <c r="AA180" s="290">
        <f>FG180</f>
        <v>0</v>
      </c>
      <c r="AB180" s="290">
        <f>FN180</f>
        <v>0</v>
      </c>
      <c r="AC180" s="290">
        <f>FU180</f>
        <v>0</v>
      </c>
      <c r="AD180" s="290">
        <f>GB180</f>
        <v>13105.25</v>
      </c>
      <c r="AE180" s="290">
        <f>GI180</f>
        <v>13606.333333333334</v>
      </c>
      <c r="AF180" s="290">
        <f>GP180</f>
        <v>13195.833333333334</v>
      </c>
      <c r="AG180" s="290">
        <f>GW180</f>
        <v>12460.333333333334</v>
      </c>
      <c r="AH180" s="290">
        <f>HD180</f>
        <v>10608.416666666666</v>
      </c>
      <c r="AI180" s="290">
        <f>HK180</f>
        <v>10706.833333333334</v>
      </c>
      <c r="AJ180" s="290">
        <f>HR180</f>
        <v>10832.25</v>
      </c>
      <c r="AK180" s="290">
        <f>HY180</f>
        <v>11111.333333333334</v>
      </c>
      <c r="AL180" s="290">
        <f>IF180</f>
        <v>10775.333333333334</v>
      </c>
      <c r="AM180" s="290">
        <f>IM180</f>
        <v>10899.75</v>
      </c>
      <c r="AN180" s="290">
        <f>IT180</f>
        <v>11828.75</v>
      </c>
      <c r="AO180" s="290">
        <f>JA180</f>
        <v>9746.1666666666661</v>
      </c>
      <c r="AP180" s="290">
        <f>JH180</f>
        <v>9292.1666666666661</v>
      </c>
      <c r="AQ180" s="290">
        <f>JO180</f>
        <v>8317.8333333333339</v>
      </c>
      <c r="AR180" s="290">
        <f>JV180</f>
        <v>7675.5</v>
      </c>
      <c r="AS180" s="290">
        <f>KC180</f>
        <v>6702.5</v>
      </c>
      <c r="AT180" s="290">
        <f>KJ180</f>
        <v>6630.5</v>
      </c>
      <c r="AU180" s="290">
        <f>KQ180</f>
        <v>7161.75</v>
      </c>
      <c r="AV180" s="290">
        <f>KX180</f>
        <v>7660</v>
      </c>
      <c r="AW180" s="290">
        <f>LE180</f>
        <v>0</v>
      </c>
      <c r="AX180" s="290">
        <f>LL180</f>
        <v>0</v>
      </c>
      <c r="AY180" s="290">
        <f>LS180</f>
        <v>0</v>
      </c>
      <c r="AZ180" s="290">
        <f>LZ180</f>
        <v>0</v>
      </c>
      <c r="BA180" s="290">
        <f>MG180</f>
        <v>0</v>
      </c>
      <c r="BB180" s="290"/>
      <c r="BC180" s="290"/>
      <c r="BD180" s="290"/>
      <c r="BE180" s="290"/>
      <c r="BF180" s="290"/>
      <c r="BG180" s="290"/>
      <c r="BH180" s="290"/>
      <c r="BI180" s="290"/>
      <c r="BJ180" s="290"/>
      <c r="BK180" s="290"/>
      <c r="BL180" s="290"/>
      <c r="BM180" s="290"/>
      <c r="BO180" s="289" t="s">
        <v>450</v>
      </c>
      <c r="BP180" s="290"/>
      <c r="BQ180" s="290"/>
      <c r="BR180" s="290"/>
      <c r="BS180" s="290"/>
      <c r="BT180" s="290"/>
      <c r="BV180" s="289" t="s">
        <v>450</v>
      </c>
      <c r="BW180" s="290"/>
      <c r="BX180" s="290"/>
      <c r="BY180" s="290"/>
      <c r="BZ180" s="290"/>
      <c r="CA180" s="290"/>
      <c r="CC180" s="289" t="s">
        <v>450</v>
      </c>
      <c r="CD180" s="290"/>
      <c r="CE180" s="290"/>
      <c r="CF180" s="290"/>
      <c r="CG180" s="290"/>
      <c r="CH180" s="290"/>
      <c r="CJ180" s="289" t="s">
        <v>450</v>
      </c>
      <c r="CK180" s="290"/>
      <c r="CL180" s="290"/>
      <c r="CM180" s="290"/>
      <c r="CN180" s="290"/>
      <c r="CO180" s="290"/>
      <c r="CQ180" s="289" t="s">
        <v>450</v>
      </c>
      <c r="CR180" s="290"/>
      <c r="CS180" s="290"/>
      <c r="CT180" s="290"/>
      <c r="CU180" s="290"/>
      <c r="CV180" s="290"/>
      <c r="CX180" s="289" t="s">
        <v>450</v>
      </c>
      <c r="CY180" s="290"/>
      <c r="CZ180" s="290"/>
      <c r="DA180" s="290"/>
      <c r="DB180" s="290"/>
      <c r="DC180" s="290"/>
      <c r="DE180" s="289" t="s">
        <v>450</v>
      </c>
      <c r="DF180" s="290"/>
      <c r="DG180" s="290"/>
      <c r="DH180" s="290"/>
      <c r="DI180" s="290"/>
      <c r="DJ180" s="290"/>
      <c r="DL180" s="289" t="s">
        <v>450</v>
      </c>
      <c r="DM180" s="290"/>
      <c r="DN180" s="290"/>
      <c r="DO180" s="290"/>
      <c r="DP180" s="290"/>
      <c r="DQ180" s="290"/>
      <c r="DS180" s="289" t="s">
        <v>450</v>
      </c>
      <c r="DT180" s="290"/>
      <c r="DU180" s="290"/>
      <c r="DV180" s="290"/>
      <c r="DW180" s="290"/>
      <c r="DX180" s="290"/>
      <c r="DZ180" s="289" t="s">
        <v>450</v>
      </c>
      <c r="EA180" s="290"/>
      <c r="EB180" s="290"/>
      <c r="EC180" s="290"/>
      <c r="ED180" s="290"/>
      <c r="EE180" s="290"/>
      <c r="EG180" s="289" t="s">
        <v>450</v>
      </c>
      <c r="EH180" s="290"/>
      <c r="EI180" s="290"/>
      <c r="EJ180" s="290"/>
      <c r="EK180" s="290"/>
      <c r="EL180" s="290"/>
      <c r="EN180" s="289" t="s">
        <v>450</v>
      </c>
      <c r="EO180" s="290"/>
      <c r="EP180" s="290"/>
      <c r="EQ180" s="290"/>
      <c r="ER180" s="290"/>
      <c r="ES180" s="290"/>
      <c r="EU180" s="289" t="s">
        <v>450</v>
      </c>
      <c r="EV180" s="290"/>
      <c r="EW180" s="290"/>
      <c r="EX180" s="290"/>
      <c r="EY180" s="290"/>
      <c r="EZ180" s="290"/>
      <c r="FB180" s="289" t="s">
        <v>450</v>
      </c>
      <c r="FC180" s="290"/>
      <c r="FD180" s="290"/>
      <c r="FE180" s="290"/>
      <c r="FF180" s="290"/>
      <c r="FG180" s="290"/>
      <c r="FI180" s="289" t="s">
        <v>450</v>
      </c>
      <c r="FJ180" s="290"/>
      <c r="FK180" s="290"/>
      <c r="FL180" s="290"/>
      <c r="FM180" s="290"/>
      <c r="FN180" s="290"/>
      <c r="FP180" s="289" t="s">
        <v>450</v>
      </c>
      <c r="FQ180" s="290"/>
      <c r="FR180" s="290"/>
      <c r="FS180" s="290"/>
      <c r="FT180" s="290"/>
      <c r="FU180" s="290"/>
      <c r="FW180" s="289" t="s">
        <v>450</v>
      </c>
      <c r="FX180" s="290">
        <f>AVERAGE(FX181:FX183)</f>
        <v>13083.666666666666</v>
      </c>
      <c r="FY180" s="290">
        <f>AVERAGE(FY181:FY183)</f>
        <v>12934.666666666666</v>
      </c>
      <c r="FZ180" s="290">
        <f>AVERAGE(FZ181:FZ183)</f>
        <v>13043.333333333334</v>
      </c>
      <c r="GA180" s="290">
        <f>AVERAGE(GA181:GA183)</f>
        <v>13359.333333333334</v>
      </c>
      <c r="GB180" s="290">
        <f>AVERAGE(FX181:GA183)</f>
        <v>13105.25</v>
      </c>
      <c r="GD180" s="289" t="s">
        <v>450</v>
      </c>
      <c r="GE180" s="290">
        <f>AVERAGE(GE181:GE183)</f>
        <v>13588.666666666666</v>
      </c>
      <c r="GF180" s="290">
        <f>AVERAGE(GF181:GF183)</f>
        <v>13599.333333333334</v>
      </c>
      <c r="GG180" s="290">
        <f>AVERAGE(GG181:GG183)</f>
        <v>13457.666666666666</v>
      </c>
      <c r="GH180" s="290">
        <f>AVERAGE(GH181:GH183)</f>
        <v>13779.666666666666</v>
      </c>
      <c r="GI180" s="290">
        <f>AVERAGE(GE181:GH183)</f>
        <v>13606.333333333334</v>
      </c>
      <c r="GK180" s="289" t="s">
        <v>450</v>
      </c>
      <c r="GL180" s="290">
        <f>AVERAGE(GL181:GL183)</f>
        <v>13409.666666666666</v>
      </c>
      <c r="GM180" s="290">
        <f>AVERAGE(GM181:GM183)</f>
        <v>13411.666666666666</v>
      </c>
      <c r="GN180" s="290">
        <f>AVERAGE(GN181:GN183)</f>
        <v>13230.666666666666</v>
      </c>
      <c r="GO180" s="290">
        <f>AVERAGE(GO181:GO183)</f>
        <v>12731.333333333334</v>
      </c>
      <c r="GP180" s="290">
        <f>AVERAGE(GL181:GO183)</f>
        <v>13195.833333333334</v>
      </c>
      <c r="GR180" s="289" t="s">
        <v>450</v>
      </c>
      <c r="GS180" s="290">
        <f>AVERAGE(GS181:GS183)</f>
        <v>12433</v>
      </c>
      <c r="GT180" s="290">
        <f>AVERAGE(GT181:GT183)</f>
        <v>12537.333333333334</v>
      </c>
      <c r="GU180" s="290">
        <f>AVERAGE(GU181:GU183)</f>
        <v>12484.666666666666</v>
      </c>
      <c r="GV180" s="290">
        <f>AVERAGE(GV181:GV183)</f>
        <v>12386.333333333334</v>
      </c>
      <c r="GW180" s="290">
        <f>AVERAGE(GS181:GV183)</f>
        <v>12460.333333333334</v>
      </c>
      <c r="GY180" s="289" t="s">
        <v>450</v>
      </c>
      <c r="GZ180" s="290">
        <f>AVERAGE(GZ181:GZ183)</f>
        <v>11009.666666666666</v>
      </c>
      <c r="HA180" s="290">
        <f>AVERAGE(HA181:HA183)</f>
        <v>10336.666666666666</v>
      </c>
      <c r="HB180" s="290">
        <f>AVERAGE(HB181:HB183)</f>
        <v>10591</v>
      </c>
      <c r="HC180" s="290">
        <f>AVERAGE(HC181:HC183)</f>
        <v>10496.333333333334</v>
      </c>
      <c r="HD180" s="290">
        <f>AVERAGE(GZ181:HC183)</f>
        <v>10608.416666666666</v>
      </c>
      <c r="HF180" s="289" t="s">
        <v>450</v>
      </c>
      <c r="HG180" s="290">
        <f>AVERAGE(HG181:HG183)</f>
        <v>10311</v>
      </c>
      <c r="HH180" s="290">
        <f>AVERAGE(HH181:HH183)</f>
        <v>10809</v>
      </c>
      <c r="HI180" s="290">
        <f>AVERAGE(HI181:HI183)</f>
        <v>10983.333333333334</v>
      </c>
      <c r="HJ180" s="290">
        <f>AVERAGE(HJ181:HJ183)</f>
        <v>10724</v>
      </c>
      <c r="HK180" s="290">
        <f>AVERAGE(HG181:HJ183)</f>
        <v>10706.833333333334</v>
      </c>
      <c r="HM180" s="289" t="s">
        <v>450</v>
      </c>
      <c r="HN180" s="290">
        <f>AVERAGE(HN181:HN183)</f>
        <v>10690</v>
      </c>
      <c r="HO180" s="290">
        <f>AVERAGE(HO181:HO183)</f>
        <v>10783.333333333334</v>
      </c>
      <c r="HP180" s="290">
        <f>AVERAGE(HP181:HP183)</f>
        <v>10898</v>
      </c>
      <c r="HQ180" s="290">
        <f>AVERAGE(HQ181:HQ183)</f>
        <v>10957.666666666666</v>
      </c>
      <c r="HR180" s="290">
        <f>AVERAGE(HN181:HQ183)</f>
        <v>10832.25</v>
      </c>
      <c r="HT180" s="289" t="s">
        <v>450</v>
      </c>
      <c r="HU180" s="290">
        <f>AVERAGE(HU181:HU183)</f>
        <v>11257.666666666666</v>
      </c>
      <c r="HV180" s="290">
        <f>AVERAGE(HV181:HV183)</f>
        <v>11157</v>
      </c>
      <c r="HW180" s="290">
        <f>AVERAGE(HW181:HW183)</f>
        <v>11091.333333333334</v>
      </c>
      <c r="HX180" s="290">
        <f>AVERAGE(HX181:HX183)</f>
        <v>10939.333333333334</v>
      </c>
      <c r="HY180" s="290">
        <f>AVERAGE(HU181:HX183)</f>
        <v>11111.333333333334</v>
      </c>
      <c r="IA180" s="289" t="s">
        <v>450</v>
      </c>
      <c r="IB180" s="290">
        <f>AVERAGE(IB181:IB183)</f>
        <v>10744.333333333334</v>
      </c>
      <c r="IC180" s="290">
        <f>AVERAGE(IC181:IC183)</f>
        <v>10815.333333333334</v>
      </c>
      <c r="ID180" s="290">
        <f>AVERAGE(ID181:ID183)</f>
        <v>10793.333333333334</v>
      </c>
      <c r="IE180" s="290">
        <f>AVERAGE(IE181:IE183)</f>
        <v>10748.333333333334</v>
      </c>
      <c r="IF180" s="290">
        <f>AVERAGE(IB181:IE183)</f>
        <v>10775.333333333334</v>
      </c>
      <c r="IH180" s="289" t="s">
        <v>450</v>
      </c>
      <c r="II180" s="290">
        <f>AVERAGE(II181:II183)</f>
        <v>10646</v>
      </c>
      <c r="IJ180" s="290">
        <f>AVERAGE(IJ181:IJ183)</f>
        <v>10906</v>
      </c>
      <c r="IK180" s="290">
        <f>AVERAGE(IK181:IK183)</f>
        <v>10980.666666666666</v>
      </c>
      <c r="IL180" s="290">
        <f>AVERAGE(IL181:IL183)</f>
        <v>11066.333333333334</v>
      </c>
      <c r="IM180" s="290">
        <f>AVERAGE(II181:IL183)</f>
        <v>10899.75</v>
      </c>
      <c r="IO180" s="289" t="s">
        <v>450</v>
      </c>
      <c r="IP180" s="290">
        <f>AVERAGE(IP181:IP183)</f>
        <v>12418.666666666666</v>
      </c>
      <c r="IQ180" s="290">
        <f>AVERAGE(IQ181:IQ183)</f>
        <v>12364.666666666666</v>
      </c>
      <c r="IR180" s="290">
        <f>AVERAGE(IR181:IR183)</f>
        <v>11538</v>
      </c>
      <c r="IS180" s="290">
        <f>AVERAGE(IS181:IS183)</f>
        <v>10993.666666666666</v>
      </c>
      <c r="IT180" s="290">
        <f>AVERAGE(IP181:IS183)</f>
        <v>11828.75</v>
      </c>
      <c r="IV180" s="289" t="s">
        <v>450</v>
      </c>
      <c r="IW180" s="290">
        <f>AVERAGE(IW181:IW183)</f>
        <v>9929.3333333333339</v>
      </c>
      <c r="IX180" s="290">
        <f>AVERAGE(IX181:IX183)</f>
        <v>9924.3333333333339</v>
      </c>
      <c r="IY180" s="290">
        <f>AVERAGE(IY181:IY183)</f>
        <v>9598</v>
      </c>
      <c r="IZ180" s="290">
        <f>AVERAGE(IZ181:IZ183)</f>
        <v>9533</v>
      </c>
      <c r="JA180" s="290">
        <f>AVERAGE(IW181:IZ183)</f>
        <v>9746.1666666666661</v>
      </c>
      <c r="JC180" s="289" t="s">
        <v>450</v>
      </c>
      <c r="JD180" s="290">
        <f>AVERAGE(JD181:JD183)</f>
        <v>9242.3333333333339</v>
      </c>
      <c r="JE180" s="290">
        <f>AVERAGE(JE181:JE183)</f>
        <v>9724</v>
      </c>
      <c r="JF180" s="290">
        <f>AVERAGE(JF181:JF183)</f>
        <v>9196.6666666666661</v>
      </c>
      <c r="JG180" s="290">
        <f>AVERAGE(JG181:JG183)</f>
        <v>9005.6666666666661</v>
      </c>
      <c r="JH180" s="290">
        <f>AVERAGE(JD181:JG183)</f>
        <v>9292.1666666666661</v>
      </c>
      <c r="JJ180" s="289" t="s">
        <v>450</v>
      </c>
      <c r="JK180" s="290">
        <f>AVERAGE(JK181:JK183)</f>
        <v>8427.6666666666661</v>
      </c>
      <c r="JL180" s="290">
        <f>AVERAGE(JL181:JL183)</f>
        <v>8395</v>
      </c>
      <c r="JM180" s="290">
        <f>AVERAGE(JM181:JM183)</f>
        <v>8265.3333333333339</v>
      </c>
      <c r="JN180" s="290">
        <f>AVERAGE(JN181:JN183)</f>
        <v>8183.333333333333</v>
      </c>
      <c r="JO180" s="290">
        <f>AVERAGE(JK181:JN183)</f>
        <v>8317.8333333333339</v>
      </c>
      <c r="JQ180" s="289" t="s">
        <v>450</v>
      </c>
      <c r="JR180" s="290">
        <f>AVERAGE(JR181:JR183)</f>
        <v>7934</v>
      </c>
      <c r="JS180" s="290">
        <f>AVERAGE(JS181:JS183)</f>
        <v>7774.333333333333</v>
      </c>
      <c r="JT180" s="290">
        <f>AVERAGE(JT181:JT183)</f>
        <v>7565.666666666667</v>
      </c>
      <c r="JU180" s="290">
        <f>AVERAGE(JU181:JU183)</f>
        <v>7428</v>
      </c>
      <c r="JV180" s="290">
        <f>AVERAGE(JR181:JU183)</f>
        <v>7675.5</v>
      </c>
      <c r="JX180" s="289" t="s">
        <v>450</v>
      </c>
      <c r="JY180" s="290">
        <f>AVERAGE(JY181:JY183)</f>
        <v>7166</v>
      </c>
      <c r="JZ180" s="290">
        <f>AVERAGE(JZ181:JZ183)</f>
        <v>6509.333333333333</v>
      </c>
      <c r="KA180" s="290">
        <f>AVERAGE(KA181:KA183)</f>
        <v>6568.333333333333</v>
      </c>
      <c r="KB180" s="290">
        <f>AVERAGE(KB181:KB183)</f>
        <v>6566.333333333333</v>
      </c>
      <c r="KC180" s="290">
        <f>AVERAGE(JY181:KB183)</f>
        <v>6702.5</v>
      </c>
      <c r="KE180" s="289" t="s">
        <v>450</v>
      </c>
      <c r="KF180" s="290">
        <f>AVERAGE(KF181:KF183)</f>
        <v>6502</v>
      </c>
      <c r="KG180" s="290">
        <f>AVERAGE(KG181:KG183)</f>
        <v>6645</v>
      </c>
      <c r="KH180" s="290">
        <f>AVERAGE(KH181:KH183)</f>
        <v>6610.333333333333</v>
      </c>
      <c r="KI180" s="290">
        <f>AVERAGE(KI181:KI183)</f>
        <v>6764.666666666667</v>
      </c>
      <c r="KJ180" s="290">
        <f>AVERAGE(KF181:KI183)</f>
        <v>6630.5</v>
      </c>
      <c r="KL180" s="289" t="s">
        <v>450</v>
      </c>
      <c r="KM180" s="290">
        <f>AVERAGE(KM181:KM183)</f>
        <v>6912.333333333333</v>
      </c>
      <c r="KN180" s="290">
        <f>AVERAGE(KN181:KN183)</f>
        <v>7059.666666666667</v>
      </c>
      <c r="KO180" s="290">
        <f>AVERAGE(KO181:KO183)</f>
        <v>7204.333333333333</v>
      </c>
      <c r="KP180" s="290">
        <f>AVERAGE(KP181:KP183)</f>
        <v>7470.666666666667</v>
      </c>
      <c r="KQ180" s="290">
        <f>AVERAGE(KM181:KP183)</f>
        <v>7161.75</v>
      </c>
      <c r="KS180" s="289" t="s">
        <v>450</v>
      </c>
      <c r="KT180" s="290">
        <f>AVERAGE(KT181:KT183)</f>
        <v>7555.666666666667</v>
      </c>
      <c r="KU180" s="290">
        <f>AVERAGE(KU181:KU183)</f>
        <v>7521</v>
      </c>
      <c r="KV180" s="290">
        <f>AVERAGE(KV181:KV183)</f>
        <v>7698</v>
      </c>
      <c r="KW180" s="291">
        <f>AVERAGE(KW181:KW183)</f>
        <v>7865.333333333333</v>
      </c>
      <c r="KX180" s="290">
        <f>AVERAGE(KT181:KW183)</f>
        <v>7660</v>
      </c>
      <c r="KZ180" s="289" t="s">
        <v>450</v>
      </c>
      <c r="LA180" s="290"/>
      <c r="LB180" s="144"/>
      <c r="LC180" s="144"/>
      <c r="LD180" s="144"/>
      <c r="LE180" s="290"/>
      <c r="LF180" s="555"/>
      <c r="LG180" s="289" t="s">
        <v>450</v>
      </c>
      <c r="LH180" s="144"/>
      <c r="LI180" s="144"/>
      <c r="LJ180" s="144"/>
      <c r="LK180" s="144"/>
      <c r="LL180" s="290"/>
      <c r="LM180" s="555"/>
      <c r="LN180" s="289" t="s">
        <v>450</v>
      </c>
      <c r="LO180" s="144"/>
      <c r="LP180" s="144"/>
      <c r="LQ180" s="144"/>
      <c r="LR180" s="144"/>
      <c r="LS180" s="290"/>
      <c r="LT180" s="555"/>
      <c r="LU180" s="289" t="s">
        <v>450</v>
      </c>
      <c r="LV180" s="144"/>
      <c r="LW180" s="144"/>
      <c r="LX180" s="144"/>
      <c r="LY180" s="144"/>
      <c r="LZ180" s="290"/>
      <c r="MA180" s="555"/>
      <c r="MB180" s="289" t="s">
        <v>450</v>
      </c>
      <c r="MC180" s="144"/>
      <c r="MD180" s="144"/>
      <c r="ME180" s="144"/>
      <c r="MF180" s="144"/>
      <c r="MG180" s="290"/>
      <c r="MH180" s="555"/>
    </row>
    <row r="181" spans="1:346" s="37" customFormat="1" ht="13.15" outlineLevel="1" x14ac:dyDescent="0.4">
      <c r="A181" s="100"/>
      <c r="B181" s="36" t="s">
        <v>480</v>
      </c>
      <c r="BO181" s="36" t="s">
        <v>480</v>
      </c>
      <c r="BV181" s="36" t="s">
        <v>480</v>
      </c>
      <c r="CC181" s="36" t="s">
        <v>480</v>
      </c>
      <c r="CJ181" s="36" t="s">
        <v>480</v>
      </c>
      <c r="CQ181" s="36" t="s">
        <v>480</v>
      </c>
      <c r="CX181" s="36" t="s">
        <v>480</v>
      </c>
      <c r="DE181" s="36" t="s">
        <v>480</v>
      </c>
      <c r="DL181" s="36" t="s">
        <v>480</v>
      </c>
      <c r="DS181" s="36" t="s">
        <v>480</v>
      </c>
      <c r="DZ181" s="36" t="s">
        <v>480</v>
      </c>
      <c r="EG181" s="36" t="s">
        <v>480</v>
      </c>
      <c r="EN181" s="36" t="s">
        <v>480</v>
      </c>
      <c r="EU181" s="36" t="s">
        <v>480</v>
      </c>
      <c r="FB181" s="36" t="s">
        <v>480</v>
      </c>
      <c r="FI181" s="36" t="s">
        <v>480</v>
      </c>
      <c r="FP181" s="36" t="s">
        <v>480</v>
      </c>
      <c r="FW181" s="36" t="s">
        <v>480</v>
      </c>
      <c r="FX181" s="37">
        <v>13210</v>
      </c>
      <c r="FY181" s="37">
        <v>12898</v>
      </c>
      <c r="FZ181" s="37">
        <v>12912</v>
      </c>
      <c r="GA181" s="37">
        <v>13196</v>
      </c>
      <c r="GB181" s="37" t="s">
        <v>80</v>
      </c>
      <c r="GD181" s="36" t="s">
        <v>480</v>
      </c>
      <c r="GE181" s="37">
        <v>13614</v>
      </c>
      <c r="GF181" s="37">
        <v>13590</v>
      </c>
      <c r="GG181" s="37">
        <v>12968</v>
      </c>
      <c r="GH181" s="37">
        <v>13705</v>
      </c>
      <c r="GI181" s="37" t="s">
        <v>80</v>
      </c>
      <c r="GK181" s="36" t="s">
        <v>480</v>
      </c>
      <c r="GL181" s="37">
        <v>13597</v>
      </c>
      <c r="GM181" s="37">
        <v>13487</v>
      </c>
      <c r="GN181" s="37">
        <v>13266</v>
      </c>
      <c r="GO181" s="37">
        <v>12842</v>
      </c>
      <c r="GP181" s="37" t="s">
        <v>80</v>
      </c>
      <c r="GR181" s="36" t="s">
        <v>480</v>
      </c>
      <c r="GS181" s="37">
        <v>12478</v>
      </c>
      <c r="GT181" s="37">
        <v>12514</v>
      </c>
      <c r="GU181" s="37">
        <v>12497</v>
      </c>
      <c r="GV181" s="37">
        <v>12491</v>
      </c>
      <c r="GW181" s="37" t="s">
        <v>80</v>
      </c>
      <c r="GY181" s="36" t="s">
        <v>480</v>
      </c>
      <c r="GZ181" s="37">
        <v>11650</v>
      </c>
      <c r="HA181" s="37">
        <v>10652</v>
      </c>
      <c r="HB181" s="37">
        <v>10655</v>
      </c>
      <c r="HC181" s="37">
        <v>10623</v>
      </c>
      <c r="HD181" s="37" t="s">
        <v>80</v>
      </c>
      <c r="HF181" s="36" t="s">
        <v>480</v>
      </c>
      <c r="HG181" s="37">
        <v>10118</v>
      </c>
      <c r="HH181" s="37">
        <v>10839</v>
      </c>
      <c r="HI181" s="37">
        <v>11035</v>
      </c>
      <c r="HJ181" s="37">
        <v>10829</v>
      </c>
      <c r="HK181" s="37" t="s">
        <v>80</v>
      </c>
      <c r="HM181" s="36" t="s">
        <v>480</v>
      </c>
      <c r="HN181" s="37">
        <v>10474</v>
      </c>
      <c r="HO181" s="37">
        <v>10790</v>
      </c>
      <c r="HP181" s="37">
        <v>10815</v>
      </c>
      <c r="HQ181" s="37">
        <v>10696</v>
      </c>
      <c r="HR181" s="37" t="s">
        <v>80</v>
      </c>
      <c r="HT181" s="36" t="s">
        <v>480</v>
      </c>
      <c r="HU181" s="37">
        <v>11311</v>
      </c>
      <c r="HV181" s="37">
        <v>11198</v>
      </c>
      <c r="HW181" s="37">
        <v>11244</v>
      </c>
      <c r="HX181" s="37">
        <v>11104</v>
      </c>
      <c r="HY181" s="37" t="s">
        <v>80</v>
      </c>
      <c r="IA181" s="36" t="s">
        <v>480</v>
      </c>
      <c r="IB181" s="37">
        <v>10782</v>
      </c>
      <c r="IC181" s="37">
        <v>10760</v>
      </c>
      <c r="ID181" s="37">
        <v>10831</v>
      </c>
      <c r="IE181" s="37">
        <v>10763</v>
      </c>
      <c r="IF181" s="37" t="s">
        <v>80</v>
      </c>
      <c r="IH181" s="36" t="s">
        <v>480</v>
      </c>
      <c r="II181" s="37">
        <v>10805</v>
      </c>
      <c r="IJ181" s="37">
        <v>10909</v>
      </c>
      <c r="IK181" s="37">
        <v>10926</v>
      </c>
      <c r="IL181" s="37">
        <v>10984</v>
      </c>
      <c r="IM181" s="37" t="s">
        <v>80</v>
      </c>
      <c r="IO181" s="36" t="s">
        <v>480</v>
      </c>
      <c r="IP181" s="37">
        <v>12495</v>
      </c>
      <c r="IQ181" s="37">
        <v>12603</v>
      </c>
      <c r="IR181" s="37">
        <v>11874</v>
      </c>
      <c r="IS181" s="37">
        <v>11115</v>
      </c>
      <c r="IT181" s="37" t="s">
        <v>80</v>
      </c>
      <c r="IV181" s="36" t="s">
        <v>480</v>
      </c>
      <c r="IW181" s="37">
        <v>10146</v>
      </c>
      <c r="IX181" s="37">
        <v>9985</v>
      </c>
      <c r="IY181" s="37">
        <v>9730</v>
      </c>
      <c r="IZ181" s="37">
        <v>9455</v>
      </c>
      <c r="JA181" s="37" t="s">
        <v>80</v>
      </c>
      <c r="JC181" s="36" t="s">
        <v>480</v>
      </c>
      <c r="JD181" s="37">
        <v>9059</v>
      </c>
      <c r="JE181" s="37">
        <v>9673</v>
      </c>
      <c r="JF181" s="37">
        <v>9142</v>
      </c>
      <c r="JG181" s="37">
        <v>9142</v>
      </c>
      <c r="JH181" s="37" t="s">
        <v>80</v>
      </c>
      <c r="JJ181" s="36" t="s">
        <v>480</v>
      </c>
      <c r="JK181" s="37">
        <v>8567</v>
      </c>
      <c r="JL181" s="37">
        <v>8415</v>
      </c>
      <c r="JM181" s="37">
        <v>8319</v>
      </c>
      <c r="JN181" s="37">
        <v>8201</v>
      </c>
      <c r="JO181" s="37" t="s">
        <v>80</v>
      </c>
      <c r="JQ181" s="36" t="s">
        <v>480</v>
      </c>
      <c r="JR181" s="37">
        <v>8062</v>
      </c>
      <c r="JS181" s="37">
        <v>7826</v>
      </c>
      <c r="JT181" s="37">
        <v>7656</v>
      </c>
      <c r="JU181" s="37">
        <v>7467</v>
      </c>
      <c r="JV181" s="37" t="s">
        <v>80</v>
      </c>
      <c r="JX181" s="36" t="s">
        <v>480</v>
      </c>
      <c r="JY181" s="37">
        <v>7206</v>
      </c>
      <c r="JZ181" s="37">
        <v>6828</v>
      </c>
      <c r="KA181" s="37">
        <v>6480</v>
      </c>
      <c r="KB181" s="37">
        <v>6601</v>
      </c>
      <c r="KC181" s="37" t="s">
        <v>80</v>
      </c>
      <c r="KE181" s="36" t="s">
        <v>480</v>
      </c>
      <c r="KF181" s="37">
        <v>6429</v>
      </c>
      <c r="KG181" s="37">
        <v>6671</v>
      </c>
      <c r="KH181" s="37">
        <v>6636</v>
      </c>
      <c r="KI181" s="37">
        <v>6718</v>
      </c>
      <c r="KJ181" s="37" t="s">
        <v>80</v>
      </c>
      <c r="KL181" s="36" t="s">
        <v>480</v>
      </c>
      <c r="KM181" s="37">
        <v>6739</v>
      </c>
      <c r="KN181" s="37">
        <v>7112</v>
      </c>
      <c r="KO181" s="37">
        <v>7089</v>
      </c>
      <c r="KP181" s="37">
        <v>7379</v>
      </c>
      <c r="KQ181" s="37" t="s">
        <v>80</v>
      </c>
      <c r="KS181" s="36" t="s">
        <v>480</v>
      </c>
      <c r="KT181" s="37">
        <v>7631</v>
      </c>
      <c r="KU181" s="37">
        <v>7483</v>
      </c>
      <c r="KV181" s="37">
        <v>7640</v>
      </c>
      <c r="KW181" s="37">
        <v>7840</v>
      </c>
      <c r="KX181" s="37" t="s">
        <v>80</v>
      </c>
      <c r="KZ181" s="36" t="s">
        <v>480</v>
      </c>
      <c r="LB181" s="144"/>
      <c r="LC181" s="144"/>
      <c r="LD181" s="144"/>
      <c r="LF181" s="555"/>
      <c r="LG181" s="36" t="s">
        <v>480</v>
      </c>
      <c r="LH181" s="144"/>
      <c r="LI181" s="144"/>
      <c r="LJ181" s="144"/>
      <c r="LK181" s="144"/>
      <c r="LM181" s="555"/>
      <c r="LN181" s="36" t="s">
        <v>480</v>
      </c>
      <c r="LO181" s="144"/>
      <c r="LP181" s="144"/>
      <c r="LQ181" s="144"/>
      <c r="LR181" s="144"/>
      <c r="LT181" s="555"/>
      <c r="LU181" s="36" t="s">
        <v>480</v>
      </c>
      <c r="LV181" s="144"/>
      <c r="LW181" s="144"/>
      <c r="LX181" s="144"/>
      <c r="LY181" s="144"/>
      <c r="MA181" s="555"/>
      <c r="MB181" s="36" t="s">
        <v>480</v>
      </c>
      <c r="MC181" s="144"/>
      <c r="MD181" s="144"/>
      <c r="ME181" s="144"/>
      <c r="MF181" s="144"/>
      <c r="MH181" s="555"/>
    </row>
    <row r="182" spans="1:346" s="37" customFormat="1" ht="13.15" outlineLevel="1" x14ac:dyDescent="0.4">
      <c r="A182" s="100"/>
      <c r="B182" s="36" t="s">
        <v>481</v>
      </c>
      <c r="BO182" s="36" t="s">
        <v>481</v>
      </c>
      <c r="BV182" s="36" t="s">
        <v>481</v>
      </c>
      <c r="CC182" s="36" t="s">
        <v>481</v>
      </c>
      <c r="CJ182" s="36" t="s">
        <v>481</v>
      </c>
      <c r="CQ182" s="36" t="s">
        <v>481</v>
      </c>
      <c r="CX182" s="36" t="s">
        <v>481</v>
      </c>
      <c r="DE182" s="36" t="s">
        <v>481</v>
      </c>
      <c r="DL182" s="36" t="s">
        <v>481</v>
      </c>
      <c r="DS182" s="36" t="s">
        <v>481</v>
      </c>
      <c r="DZ182" s="36" t="s">
        <v>481</v>
      </c>
      <c r="EG182" s="36" t="s">
        <v>481</v>
      </c>
      <c r="EN182" s="36" t="s">
        <v>481</v>
      </c>
      <c r="EU182" s="36" t="s">
        <v>481</v>
      </c>
      <c r="FB182" s="36" t="s">
        <v>481</v>
      </c>
      <c r="FI182" s="36" t="s">
        <v>481</v>
      </c>
      <c r="FP182" s="36" t="s">
        <v>481</v>
      </c>
      <c r="FW182" s="36" t="s">
        <v>481</v>
      </c>
      <c r="FX182" s="37">
        <v>13030</v>
      </c>
      <c r="FY182" s="37">
        <v>12950</v>
      </c>
      <c r="FZ182" s="37">
        <v>13111</v>
      </c>
      <c r="GA182" s="37">
        <v>13420</v>
      </c>
      <c r="GB182" s="37" t="s">
        <v>80</v>
      </c>
      <c r="GD182" s="36" t="s">
        <v>481</v>
      </c>
      <c r="GE182" s="37">
        <v>13590</v>
      </c>
      <c r="GF182" s="37">
        <v>13569</v>
      </c>
      <c r="GG182" s="37">
        <v>13700</v>
      </c>
      <c r="GH182" s="37">
        <v>13770</v>
      </c>
      <c r="GI182" s="37" t="s">
        <v>80</v>
      </c>
      <c r="GK182" s="36" t="s">
        <v>481</v>
      </c>
      <c r="GL182" s="37">
        <v>13255</v>
      </c>
      <c r="GM182" s="37">
        <v>13371</v>
      </c>
      <c r="GN182" s="37">
        <v>13274</v>
      </c>
      <c r="GO182" s="37">
        <v>12921</v>
      </c>
      <c r="GP182" s="37" t="s">
        <v>80</v>
      </c>
      <c r="GR182" s="36" t="s">
        <v>481</v>
      </c>
      <c r="GS182" s="37">
        <v>12395</v>
      </c>
      <c r="GT182" s="37">
        <v>12604</v>
      </c>
      <c r="GU182" s="37">
        <v>12476</v>
      </c>
      <c r="GV182" s="37">
        <v>12284</v>
      </c>
      <c r="GW182" s="37" t="s">
        <v>80</v>
      </c>
      <c r="GY182" s="36" t="s">
        <v>481</v>
      </c>
      <c r="GZ182" s="37">
        <v>10751</v>
      </c>
      <c r="HA182" s="37">
        <v>10169</v>
      </c>
      <c r="HB182" s="37">
        <v>10781</v>
      </c>
      <c r="HC182" s="37">
        <v>10425</v>
      </c>
      <c r="HD182" s="37" t="s">
        <v>80</v>
      </c>
      <c r="HF182" s="36" t="s">
        <v>481</v>
      </c>
      <c r="HG182" s="37">
        <v>10250</v>
      </c>
      <c r="HH182" s="37">
        <v>10660</v>
      </c>
      <c r="HI182" s="37">
        <v>11005</v>
      </c>
      <c r="HJ182" s="37">
        <v>10759</v>
      </c>
      <c r="HK182" s="37" t="s">
        <v>80</v>
      </c>
      <c r="HM182" s="36" t="s">
        <v>481</v>
      </c>
      <c r="HN182" s="37">
        <v>10749</v>
      </c>
      <c r="HO182" s="37">
        <v>10719</v>
      </c>
      <c r="HP182" s="37">
        <v>10917</v>
      </c>
      <c r="HQ182" s="37">
        <v>11069</v>
      </c>
      <c r="HR182" s="37" t="s">
        <v>80</v>
      </c>
      <c r="HT182" s="36" t="s">
        <v>481</v>
      </c>
      <c r="HU182" s="37">
        <v>11232</v>
      </c>
      <c r="HV182" s="37">
        <v>11152</v>
      </c>
      <c r="HW182" s="37">
        <v>11154</v>
      </c>
      <c r="HX182" s="37">
        <v>10978</v>
      </c>
      <c r="HY182" s="37" t="s">
        <v>80</v>
      </c>
      <c r="IA182" s="36" t="s">
        <v>481</v>
      </c>
      <c r="IB182" s="37">
        <v>10657</v>
      </c>
      <c r="IC182" s="37">
        <v>10818</v>
      </c>
      <c r="ID182" s="37">
        <v>10810</v>
      </c>
      <c r="IE182" s="37">
        <v>10753</v>
      </c>
      <c r="IF182" s="37" t="s">
        <v>80</v>
      </c>
      <c r="IH182" s="36" t="s">
        <v>481</v>
      </c>
      <c r="II182" s="37">
        <v>10549</v>
      </c>
      <c r="IJ182" s="37">
        <v>10887</v>
      </c>
      <c r="IK182" s="37">
        <v>10984</v>
      </c>
      <c r="IL182" s="37">
        <v>11063</v>
      </c>
      <c r="IM182" s="37" t="s">
        <v>80</v>
      </c>
      <c r="IO182" s="36" t="s">
        <v>481</v>
      </c>
      <c r="IP182" s="37">
        <v>12318</v>
      </c>
      <c r="IQ182" s="37">
        <v>12333</v>
      </c>
      <c r="IR182" s="37">
        <v>11471</v>
      </c>
      <c r="IS182" s="37">
        <v>11148</v>
      </c>
      <c r="IT182" s="37" t="s">
        <v>80</v>
      </c>
      <c r="IV182" s="36" t="s">
        <v>481</v>
      </c>
      <c r="IW182" s="37">
        <v>9723</v>
      </c>
      <c r="IX182" s="37">
        <v>9952</v>
      </c>
      <c r="IY182" s="37">
        <v>9564</v>
      </c>
      <c r="IZ182" s="37">
        <v>9680</v>
      </c>
      <c r="JA182" s="37" t="s">
        <v>80</v>
      </c>
      <c r="JC182" s="36" t="s">
        <v>481</v>
      </c>
      <c r="JD182" s="37">
        <v>9262</v>
      </c>
      <c r="JE182" s="37">
        <v>9769</v>
      </c>
      <c r="JF182" s="37">
        <v>9260</v>
      </c>
      <c r="JG182" s="37">
        <v>9064</v>
      </c>
      <c r="JH182" s="37" t="s">
        <v>80</v>
      </c>
      <c r="JJ182" s="36" t="s">
        <v>481</v>
      </c>
      <c r="JK182" s="37">
        <v>8376</v>
      </c>
      <c r="JL182" s="37">
        <v>8410</v>
      </c>
      <c r="JM182" s="37">
        <v>8242</v>
      </c>
      <c r="JN182" s="37">
        <v>8233</v>
      </c>
      <c r="JO182" s="37" t="s">
        <v>80</v>
      </c>
      <c r="JQ182" s="36" t="s">
        <v>481</v>
      </c>
      <c r="JR182" s="37">
        <v>7926</v>
      </c>
      <c r="JS182" s="37">
        <v>7799</v>
      </c>
      <c r="JT182" s="37">
        <v>7543</v>
      </c>
      <c r="JU182" s="37">
        <v>7461</v>
      </c>
      <c r="JV182" s="37" t="s">
        <v>80</v>
      </c>
      <c r="JX182" s="36" t="s">
        <v>481</v>
      </c>
      <c r="JY182" s="37">
        <v>7158</v>
      </c>
      <c r="JZ182" s="37">
        <v>6456</v>
      </c>
      <c r="KA182" s="37">
        <v>6609</v>
      </c>
      <c r="KB182" s="37">
        <v>6593</v>
      </c>
      <c r="KC182" s="37" t="s">
        <v>80</v>
      </c>
      <c r="KE182" s="36" t="s">
        <v>481</v>
      </c>
      <c r="KF182" s="37">
        <v>6506</v>
      </c>
      <c r="KG182" s="37">
        <v>6589</v>
      </c>
      <c r="KH182" s="37">
        <v>6577</v>
      </c>
      <c r="KI182" s="37">
        <v>6781</v>
      </c>
      <c r="KJ182" s="37" t="s">
        <v>80</v>
      </c>
      <c r="KL182" s="36" t="s">
        <v>481</v>
      </c>
      <c r="KM182" s="37">
        <v>6944</v>
      </c>
      <c r="KN182" s="37">
        <v>7046</v>
      </c>
      <c r="KO182" s="37">
        <v>7188</v>
      </c>
      <c r="KP182" s="37">
        <v>7503</v>
      </c>
      <c r="KQ182" s="37" t="s">
        <v>80</v>
      </c>
      <c r="KS182" s="36" t="s">
        <v>481</v>
      </c>
      <c r="KT182" s="37">
        <v>7545</v>
      </c>
      <c r="KU182" s="37">
        <v>7523</v>
      </c>
      <c r="KV182" s="37">
        <v>7691</v>
      </c>
      <c r="KW182" s="37">
        <v>7887</v>
      </c>
      <c r="KX182" s="37" t="s">
        <v>80</v>
      </c>
      <c r="KZ182" s="36" t="s">
        <v>481</v>
      </c>
      <c r="LB182" s="144"/>
      <c r="LC182" s="144"/>
      <c r="LD182" s="144"/>
      <c r="LF182" s="555"/>
      <c r="LG182" s="36" t="s">
        <v>481</v>
      </c>
      <c r="LH182" s="144"/>
      <c r="LI182" s="144"/>
      <c r="LJ182" s="144"/>
      <c r="LK182" s="144"/>
      <c r="LM182" s="555"/>
      <c r="LN182" s="36" t="s">
        <v>481</v>
      </c>
      <c r="LO182" s="144"/>
      <c r="LP182" s="144"/>
      <c r="LQ182" s="144"/>
      <c r="LR182" s="144"/>
      <c r="LT182" s="555"/>
      <c r="LU182" s="36" t="s">
        <v>481</v>
      </c>
      <c r="LV182" s="144"/>
      <c r="LW182" s="144"/>
      <c r="LX182" s="144"/>
      <c r="LY182" s="144"/>
      <c r="MA182" s="555"/>
      <c r="MB182" s="36" t="s">
        <v>481</v>
      </c>
      <c r="MC182" s="144"/>
      <c r="MD182" s="144"/>
      <c r="ME182" s="144"/>
      <c r="MF182" s="144"/>
      <c r="MH182" s="555"/>
    </row>
    <row r="183" spans="1:346" s="37" customFormat="1" ht="13.15" outlineLevel="1" x14ac:dyDescent="0.4">
      <c r="A183" s="100"/>
      <c r="B183" s="36" t="s">
        <v>482</v>
      </c>
      <c r="BO183" s="36" t="s">
        <v>482</v>
      </c>
      <c r="BV183" s="36" t="s">
        <v>482</v>
      </c>
      <c r="CC183" s="36" t="s">
        <v>482</v>
      </c>
      <c r="CJ183" s="36" t="s">
        <v>482</v>
      </c>
      <c r="CQ183" s="36" t="s">
        <v>482</v>
      </c>
      <c r="CX183" s="36" t="s">
        <v>482</v>
      </c>
      <c r="DE183" s="36" t="s">
        <v>482</v>
      </c>
      <c r="DL183" s="36" t="s">
        <v>482</v>
      </c>
      <c r="DS183" s="36" t="s">
        <v>482</v>
      </c>
      <c r="DZ183" s="36" t="s">
        <v>482</v>
      </c>
      <c r="EG183" s="36" t="s">
        <v>482</v>
      </c>
      <c r="EN183" s="36" t="s">
        <v>482</v>
      </c>
      <c r="EU183" s="36" t="s">
        <v>482</v>
      </c>
      <c r="FB183" s="36" t="s">
        <v>482</v>
      </c>
      <c r="FI183" s="36" t="s">
        <v>482</v>
      </c>
      <c r="FP183" s="36" t="s">
        <v>482</v>
      </c>
      <c r="FW183" s="36" t="s">
        <v>482</v>
      </c>
      <c r="FX183" s="37">
        <v>13011</v>
      </c>
      <c r="FY183" s="37">
        <v>12956</v>
      </c>
      <c r="FZ183" s="37">
        <v>13107</v>
      </c>
      <c r="GA183" s="37">
        <v>13462</v>
      </c>
      <c r="GB183" s="37" t="s">
        <v>80</v>
      </c>
      <c r="GD183" s="36" t="s">
        <v>482</v>
      </c>
      <c r="GE183" s="37">
        <v>13562</v>
      </c>
      <c r="GF183" s="37">
        <v>13639</v>
      </c>
      <c r="GG183" s="37">
        <v>13705</v>
      </c>
      <c r="GH183" s="37">
        <v>13864</v>
      </c>
      <c r="GI183" s="37" t="s">
        <v>80</v>
      </c>
      <c r="GK183" s="36" t="s">
        <v>482</v>
      </c>
      <c r="GL183" s="37">
        <v>13377</v>
      </c>
      <c r="GM183" s="37">
        <v>13377</v>
      </c>
      <c r="GN183" s="37">
        <v>13152</v>
      </c>
      <c r="GO183" s="37">
        <v>12431</v>
      </c>
      <c r="GP183" s="37" t="s">
        <v>80</v>
      </c>
      <c r="GR183" s="36" t="s">
        <v>482</v>
      </c>
      <c r="GS183" s="37">
        <v>12426</v>
      </c>
      <c r="GT183" s="37">
        <v>12494</v>
      </c>
      <c r="GU183" s="37">
        <v>12481</v>
      </c>
      <c r="GV183" s="37">
        <v>12384</v>
      </c>
      <c r="GW183" s="37" t="s">
        <v>80</v>
      </c>
      <c r="GY183" s="36" t="s">
        <v>482</v>
      </c>
      <c r="GZ183" s="37">
        <v>10628</v>
      </c>
      <c r="HA183" s="37">
        <v>10189</v>
      </c>
      <c r="HB183" s="37">
        <v>10337</v>
      </c>
      <c r="HC183" s="37">
        <v>10441</v>
      </c>
      <c r="HD183" s="37" t="s">
        <v>80</v>
      </c>
      <c r="HF183" s="36" t="s">
        <v>482</v>
      </c>
      <c r="HG183" s="37">
        <v>10565</v>
      </c>
      <c r="HH183" s="37">
        <v>10928</v>
      </c>
      <c r="HI183" s="37">
        <v>10910</v>
      </c>
      <c r="HJ183" s="37">
        <v>10584</v>
      </c>
      <c r="HK183" s="37" t="s">
        <v>80</v>
      </c>
      <c r="HM183" s="36" t="s">
        <v>482</v>
      </c>
      <c r="HN183" s="37">
        <v>10847</v>
      </c>
      <c r="HO183" s="37">
        <v>10841</v>
      </c>
      <c r="HP183" s="37">
        <v>10962</v>
      </c>
      <c r="HQ183" s="37">
        <v>11108</v>
      </c>
      <c r="HR183" s="37" t="s">
        <v>80</v>
      </c>
      <c r="HT183" s="36" t="s">
        <v>482</v>
      </c>
      <c r="HU183" s="37">
        <v>11230</v>
      </c>
      <c r="HV183" s="37">
        <v>11121</v>
      </c>
      <c r="HW183" s="37">
        <v>10876</v>
      </c>
      <c r="HX183" s="37">
        <v>10736</v>
      </c>
      <c r="HY183" s="37" t="s">
        <v>80</v>
      </c>
      <c r="IA183" s="36" t="s">
        <v>482</v>
      </c>
      <c r="IB183" s="37">
        <v>10794</v>
      </c>
      <c r="IC183" s="37">
        <v>10868</v>
      </c>
      <c r="ID183" s="37">
        <v>10739</v>
      </c>
      <c r="IE183" s="37">
        <v>10729</v>
      </c>
      <c r="IF183" s="37" t="s">
        <v>80</v>
      </c>
      <c r="IH183" s="36" t="s">
        <v>482</v>
      </c>
      <c r="II183" s="37">
        <v>10584</v>
      </c>
      <c r="IJ183" s="37">
        <v>10922</v>
      </c>
      <c r="IK183" s="37">
        <v>11032</v>
      </c>
      <c r="IL183" s="37">
        <v>11152</v>
      </c>
      <c r="IM183" s="37" t="s">
        <v>80</v>
      </c>
      <c r="IO183" s="36" t="s">
        <v>482</v>
      </c>
      <c r="IP183" s="37">
        <v>12443</v>
      </c>
      <c r="IQ183" s="37">
        <v>12158</v>
      </c>
      <c r="IR183" s="37">
        <v>11269</v>
      </c>
      <c r="IS183" s="37">
        <v>10718</v>
      </c>
      <c r="IT183" s="37" t="s">
        <v>80</v>
      </c>
      <c r="IV183" s="36" t="s">
        <v>482</v>
      </c>
      <c r="IW183" s="37">
        <v>9919</v>
      </c>
      <c r="IX183" s="37">
        <v>9836</v>
      </c>
      <c r="IY183" s="37">
        <v>9500</v>
      </c>
      <c r="IZ183" s="37">
        <v>9464</v>
      </c>
      <c r="JA183" s="37" t="s">
        <v>80</v>
      </c>
      <c r="JC183" s="36" t="s">
        <v>482</v>
      </c>
      <c r="JD183" s="37">
        <v>9406</v>
      </c>
      <c r="JE183" s="37">
        <v>9730</v>
      </c>
      <c r="JF183" s="37">
        <v>9188</v>
      </c>
      <c r="JG183" s="37">
        <v>8811</v>
      </c>
      <c r="JH183" s="37" t="s">
        <v>80</v>
      </c>
      <c r="JJ183" s="36" t="s">
        <v>482</v>
      </c>
      <c r="JK183" s="37">
        <v>8340</v>
      </c>
      <c r="JL183" s="37">
        <v>8360</v>
      </c>
      <c r="JM183" s="37">
        <v>8235</v>
      </c>
      <c r="JN183" s="37">
        <v>8116</v>
      </c>
      <c r="JO183" s="37" t="s">
        <v>80</v>
      </c>
      <c r="JQ183" s="36" t="s">
        <v>482</v>
      </c>
      <c r="JR183" s="37">
        <v>7814</v>
      </c>
      <c r="JS183" s="37">
        <v>7698</v>
      </c>
      <c r="JT183" s="37">
        <v>7498</v>
      </c>
      <c r="JU183" s="37">
        <v>7356</v>
      </c>
      <c r="JV183" s="37" t="s">
        <v>80</v>
      </c>
      <c r="JX183" s="36" t="s">
        <v>482</v>
      </c>
      <c r="JY183" s="37">
        <v>7134</v>
      </c>
      <c r="JZ183" s="37">
        <v>6244</v>
      </c>
      <c r="KA183" s="37">
        <v>6616</v>
      </c>
      <c r="KB183" s="37">
        <v>6505</v>
      </c>
      <c r="KC183" s="37" t="s">
        <v>80</v>
      </c>
      <c r="KE183" s="36" t="s">
        <v>482</v>
      </c>
      <c r="KF183" s="37">
        <v>6571</v>
      </c>
      <c r="KG183" s="37">
        <v>6675</v>
      </c>
      <c r="KH183" s="37">
        <v>6618</v>
      </c>
      <c r="KI183" s="37">
        <v>6795</v>
      </c>
      <c r="KJ183" s="37" t="s">
        <v>80</v>
      </c>
      <c r="KL183" s="36" t="s">
        <v>482</v>
      </c>
      <c r="KM183" s="37">
        <v>7054</v>
      </c>
      <c r="KN183" s="37">
        <v>7021</v>
      </c>
      <c r="KO183" s="37">
        <v>7336</v>
      </c>
      <c r="KP183" s="37">
        <v>7530</v>
      </c>
      <c r="KQ183" s="37" t="s">
        <v>80</v>
      </c>
      <c r="KS183" s="36" t="s">
        <v>482</v>
      </c>
      <c r="KT183" s="37">
        <v>7491</v>
      </c>
      <c r="KU183" s="37">
        <v>7557</v>
      </c>
      <c r="KV183" s="37">
        <v>7763</v>
      </c>
      <c r="KW183" s="37">
        <v>7869</v>
      </c>
      <c r="KX183" s="37" t="s">
        <v>80</v>
      </c>
      <c r="KZ183" s="36" t="s">
        <v>482</v>
      </c>
      <c r="LB183" s="144"/>
      <c r="LC183" s="144"/>
      <c r="LD183" s="144"/>
      <c r="LF183" s="555"/>
      <c r="LG183" s="36" t="s">
        <v>482</v>
      </c>
      <c r="LH183" s="144"/>
      <c r="LI183" s="144"/>
      <c r="LJ183" s="144"/>
      <c r="LK183" s="144"/>
      <c r="LM183" s="555"/>
      <c r="LN183" s="36" t="s">
        <v>482</v>
      </c>
      <c r="LO183" s="144"/>
      <c r="LP183" s="144"/>
      <c r="LQ183" s="144"/>
      <c r="LR183" s="144"/>
      <c r="LT183" s="555"/>
      <c r="LU183" s="36" t="s">
        <v>482</v>
      </c>
      <c r="LV183" s="144"/>
      <c r="LW183" s="144"/>
      <c r="LX183" s="144"/>
      <c r="LY183" s="144"/>
      <c r="MA183" s="555"/>
      <c r="MB183" s="36" t="s">
        <v>482</v>
      </c>
      <c r="MC183" s="144"/>
      <c r="MD183" s="144"/>
      <c r="ME183" s="144"/>
      <c r="MF183" s="144"/>
      <c r="MH183" s="555"/>
    </row>
    <row r="184" spans="1:346" s="37" customFormat="1" ht="13.15" outlineLevel="1" x14ac:dyDescent="0.4">
      <c r="A184" s="100"/>
      <c r="B184" s="292"/>
      <c r="C184" s="293"/>
      <c r="D184" s="293"/>
      <c r="E184" s="293"/>
      <c r="F184" s="293"/>
      <c r="G184" s="293"/>
      <c r="H184" s="293"/>
      <c r="I184" s="293"/>
      <c r="J184" s="293"/>
      <c r="K184" s="293"/>
      <c r="L184" s="293"/>
      <c r="M184" s="293"/>
      <c r="N184" s="293"/>
      <c r="O184" s="293"/>
      <c r="P184" s="293"/>
      <c r="Q184" s="293"/>
      <c r="R184" s="293"/>
      <c r="S184" s="293"/>
      <c r="T184" s="293"/>
      <c r="U184" s="293"/>
      <c r="V184" s="293"/>
      <c r="W184" s="293"/>
      <c r="X184" s="293"/>
      <c r="Y184" s="293"/>
      <c r="Z184" s="293"/>
      <c r="AA184" s="293"/>
      <c r="AB184" s="293"/>
      <c r="AC184" s="293"/>
      <c r="AD184" s="293"/>
      <c r="AE184" s="293"/>
      <c r="AF184" s="293"/>
      <c r="AG184" s="293"/>
      <c r="AH184" s="293"/>
      <c r="AI184" s="293"/>
      <c r="AJ184" s="293"/>
      <c r="AK184" s="293"/>
      <c r="AL184" s="293"/>
      <c r="AM184" s="293"/>
      <c r="AN184" s="293"/>
      <c r="AO184" s="293"/>
      <c r="AP184" s="293"/>
      <c r="AQ184" s="293"/>
      <c r="AR184" s="293"/>
      <c r="AS184" s="293"/>
      <c r="AT184" s="293"/>
      <c r="AU184" s="293"/>
      <c r="AV184" s="293"/>
      <c r="AW184" s="293"/>
      <c r="AX184" s="293"/>
      <c r="AY184" s="293"/>
      <c r="AZ184" s="293"/>
      <c r="BA184" s="293"/>
      <c r="BB184" s="293"/>
      <c r="BC184" s="293"/>
      <c r="BD184" s="293"/>
      <c r="BE184" s="293"/>
      <c r="BF184" s="293"/>
      <c r="BG184" s="293"/>
      <c r="BH184" s="293"/>
      <c r="BI184" s="293"/>
      <c r="BJ184" s="293"/>
      <c r="BK184" s="293"/>
      <c r="BL184" s="293"/>
      <c r="BM184" s="293"/>
      <c r="BO184" s="292"/>
      <c r="BP184" s="293"/>
      <c r="BQ184" s="293"/>
      <c r="BR184" s="293"/>
      <c r="BS184" s="293"/>
      <c r="BT184" s="293"/>
      <c r="BV184" s="292"/>
      <c r="BW184" s="293"/>
      <c r="BX184" s="293"/>
      <c r="BY184" s="293"/>
      <c r="BZ184" s="293"/>
      <c r="CA184" s="293"/>
      <c r="CC184" s="292"/>
      <c r="CD184" s="293"/>
      <c r="CE184" s="293"/>
      <c r="CF184" s="293"/>
      <c r="CG184" s="293"/>
      <c r="CH184" s="293"/>
      <c r="CJ184" s="292"/>
      <c r="CK184" s="293"/>
      <c r="CL184" s="293"/>
      <c r="CM184" s="293"/>
      <c r="CN184" s="293"/>
      <c r="CO184" s="293"/>
      <c r="CQ184" s="292"/>
      <c r="CR184" s="293"/>
      <c r="CS184" s="293"/>
      <c r="CT184" s="293"/>
      <c r="CU184" s="293"/>
      <c r="CV184" s="293"/>
      <c r="CX184" s="292"/>
      <c r="CY184" s="293"/>
      <c r="CZ184" s="293"/>
      <c r="DA184" s="293"/>
      <c r="DB184" s="293"/>
      <c r="DC184" s="293"/>
      <c r="DE184" s="292"/>
      <c r="DF184" s="293"/>
      <c r="DG184" s="293"/>
      <c r="DH184" s="293"/>
      <c r="DI184" s="293"/>
      <c r="DJ184" s="293"/>
      <c r="DL184" s="292"/>
      <c r="DM184" s="293"/>
      <c r="DN184" s="293"/>
      <c r="DO184" s="293"/>
      <c r="DP184" s="293"/>
      <c r="DQ184" s="293"/>
      <c r="DS184" s="292"/>
      <c r="DT184" s="293"/>
      <c r="DU184" s="293"/>
      <c r="DV184" s="293"/>
      <c r="DW184" s="293"/>
      <c r="DX184" s="293"/>
      <c r="DZ184" s="292"/>
      <c r="EA184" s="293"/>
      <c r="EB184" s="293"/>
      <c r="EC184" s="293"/>
      <c r="ED184" s="293"/>
      <c r="EE184" s="293"/>
      <c r="EG184" s="292"/>
      <c r="EH184" s="293"/>
      <c r="EI184" s="293"/>
      <c r="EJ184" s="293"/>
      <c r="EK184" s="293"/>
      <c r="EL184" s="293"/>
      <c r="EN184" s="292"/>
      <c r="EO184" s="293"/>
      <c r="EP184" s="293"/>
      <c r="EQ184" s="293"/>
      <c r="ER184" s="293"/>
      <c r="ES184" s="293"/>
      <c r="EU184" s="292"/>
      <c r="EV184" s="293"/>
      <c r="EW184" s="293"/>
      <c r="EX184" s="293"/>
      <c r="EY184" s="293"/>
      <c r="EZ184" s="293"/>
      <c r="FB184" s="292"/>
      <c r="FC184" s="293"/>
      <c r="FD184" s="293"/>
      <c r="FE184" s="293"/>
      <c r="FF184" s="293"/>
      <c r="FG184" s="293"/>
      <c r="FI184" s="292"/>
      <c r="FJ184" s="293"/>
      <c r="FK184" s="293"/>
      <c r="FL184" s="293"/>
      <c r="FM184" s="293"/>
      <c r="FN184" s="293"/>
      <c r="FP184" s="292"/>
      <c r="FQ184" s="293"/>
      <c r="FR184" s="293"/>
      <c r="FS184" s="293"/>
      <c r="FT184" s="293"/>
      <c r="FU184" s="293"/>
      <c r="FW184" s="292"/>
      <c r="FX184" s="293"/>
      <c r="FY184" s="293"/>
      <c r="FZ184" s="293"/>
      <c r="GA184" s="293"/>
      <c r="GB184" s="293"/>
      <c r="GD184" s="292"/>
      <c r="GE184" s="293"/>
      <c r="GF184" s="293"/>
      <c r="GG184" s="293"/>
      <c r="GH184" s="293"/>
      <c r="GI184" s="293"/>
      <c r="GK184" s="292"/>
      <c r="GL184" s="293"/>
      <c r="GM184" s="293"/>
      <c r="GN184" s="293"/>
      <c r="GO184" s="293"/>
      <c r="GP184" s="293"/>
      <c r="GR184" s="292"/>
      <c r="GS184" s="293"/>
      <c r="GT184" s="293"/>
      <c r="GU184" s="293"/>
      <c r="GV184" s="293"/>
      <c r="GW184" s="293"/>
      <c r="GY184" s="292"/>
      <c r="GZ184" s="293"/>
      <c r="HA184" s="293"/>
      <c r="HB184" s="293"/>
      <c r="HC184" s="293"/>
      <c r="HD184" s="293"/>
      <c r="HF184" s="292"/>
      <c r="HG184" s="293"/>
      <c r="HH184" s="293"/>
      <c r="HI184" s="293"/>
      <c r="HJ184" s="293"/>
      <c r="HK184" s="293"/>
      <c r="HM184" s="292"/>
      <c r="HN184" s="293"/>
      <c r="HO184" s="293"/>
      <c r="HP184" s="293"/>
      <c r="HQ184" s="293"/>
      <c r="HR184" s="293"/>
      <c r="HT184" s="292"/>
      <c r="HU184" s="293"/>
      <c r="HV184" s="293"/>
      <c r="HW184" s="293"/>
      <c r="HX184" s="293"/>
      <c r="HY184" s="293"/>
      <c r="IA184" s="292"/>
      <c r="IB184" s="293"/>
      <c r="IC184" s="293"/>
      <c r="ID184" s="293"/>
      <c r="IE184" s="293"/>
      <c r="IF184" s="293"/>
      <c r="IH184" s="292"/>
      <c r="II184" s="293"/>
      <c r="IJ184" s="293"/>
      <c r="IK184" s="293"/>
      <c r="IL184" s="293"/>
      <c r="IM184" s="293"/>
      <c r="IO184" s="292"/>
      <c r="IP184" s="293"/>
      <c r="IQ184" s="293"/>
      <c r="IR184" s="293"/>
      <c r="IS184" s="293"/>
      <c r="IT184" s="293"/>
      <c r="IV184" s="292"/>
      <c r="IW184" s="293"/>
      <c r="IX184" s="293"/>
      <c r="IY184" s="293"/>
      <c r="IZ184" s="293"/>
      <c r="JA184" s="293"/>
      <c r="JC184" s="292"/>
      <c r="JD184" s="293"/>
      <c r="JE184" s="293"/>
      <c r="JF184" s="293"/>
      <c r="JG184" s="293"/>
      <c r="JH184" s="293"/>
      <c r="JJ184" s="292"/>
      <c r="JK184" s="293"/>
      <c r="JL184" s="293"/>
      <c r="JM184" s="293"/>
      <c r="JN184" s="293"/>
      <c r="JO184" s="293"/>
      <c r="JQ184" s="292"/>
      <c r="JR184" s="293"/>
      <c r="JS184" s="293"/>
      <c r="JT184" s="293"/>
      <c r="JU184" s="293"/>
      <c r="JV184" s="293"/>
      <c r="JX184" s="292"/>
      <c r="JY184" s="293"/>
      <c r="JZ184" s="293"/>
      <c r="KA184" s="293"/>
      <c r="KB184" s="293"/>
      <c r="KC184" s="293"/>
      <c r="KE184" s="292"/>
      <c r="KF184" s="293"/>
      <c r="KG184" s="293"/>
      <c r="KH184" s="293"/>
      <c r="KI184" s="293"/>
      <c r="KJ184" s="293"/>
      <c r="KL184" s="292"/>
      <c r="KM184" s="293"/>
      <c r="KN184" s="293"/>
      <c r="KO184" s="293"/>
      <c r="KP184" s="293"/>
      <c r="KQ184" s="293"/>
      <c r="KS184" s="292"/>
      <c r="KT184" s="293"/>
      <c r="KU184" s="293"/>
      <c r="KV184" s="293"/>
      <c r="KW184" s="293"/>
      <c r="KX184" s="293"/>
      <c r="KZ184" s="292"/>
      <c r="LA184" s="293"/>
      <c r="LB184" s="144"/>
      <c r="LC184" s="144"/>
      <c r="LD184" s="144"/>
      <c r="LE184" s="293"/>
      <c r="LF184" s="555"/>
      <c r="LG184" s="292"/>
      <c r="LH184" s="144"/>
      <c r="LI184" s="144"/>
      <c r="LJ184" s="144"/>
      <c r="LK184" s="144"/>
      <c r="LL184" s="293"/>
      <c r="LM184" s="555"/>
      <c r="LN184" s="292"/>
      <c r="LO184" s="144"/>
      <c r="LP184" s="144"/>
      <c r="LQ184" s="144"/>
      <c r="LR184" s="144"/>
      <c r="LS184" s="293"/>
      <c r="LT184" s="555"/>
      <c r="LU184" s="292"/>
      <c r="LV184" s="144"/>
      <c r="LW184" s="144"/>
      <c r="LX184" s="144"/>
      <c r="LY184" s="144"/>
      <c r="LZ184" s="293"/>
      <c r="MA184" s="555"/>
      <c r="MB184" s="292"/>
      <c r="MC184" s="144"/>
      <c r="MD184" s="144"/>
      <c r="ME184" s="144"/>
      <c r="MF184" s="144"/>
      <c r="MG184" s="293"/>
      <c r="MH184" s="555"/>
    </row>
    <row r="185" spans="1:346" s="37" customFormat="1" ht="13.15" outlineLevel="1" x14ac:dyDescent="0.4">
      <c r="A185" s="100"/>
      <c r="B185" s="294" t="s">
        <v>483</v>
      </c>
      <c r="C185" s="295"/>
      <c r="D185" s="295"/>
      <c r="E185" s="295"/>
      <c r="F185" s="295"/>
      <c r="G185" s="295"/>
      <c r="H185" s="295"/>
      <c r="I185" s="295"/>
      <c r="J185" s="295"/>
      <c r="K185" s="295"/>
      <c r="L185" s="295"/>
      <c r="M185" s="295"/>
      <c r="N185" s="295">
        <f>BT185</f>
        <v>0</v>
      </c>
      <c r="O185" s="295">
        <f>CA185</f>
        <v>0</v>
      </c>
      <c r="P185" s="295">
        <f>CH185</f>
        <v>0</v>
      </c>
      <c r="Q185" s="295">
        <f>CO185</f>
        <v>0</v>
      </c>
      <c r="R185" s="295">
        <f>CV185</f>
        <v>0</v>
      </c>
      <c r="S185" s="295">
        <f>DC185</f>
        <v>0</v>
      </c>
      <c r="T185" s="295">
        <f>DJ185</f>
        <v>0</v>
      </c>
      <c r="U185" s="295">
        <f>DQ185</f>
        <v>0</v>
      </c>
      <c r="V185" s="295">
        <f>DX185</f>
        <v>0</v>
      </c>
      <c r="W185" s="295">
        <f>EE185</f>
        <v>0</v>
      </c>
      <c r="X185" s="295">
        <f>EL185</f>
        <v>0</v>
      </c>
      <c r="Y185" s="295">
        <f>ES185</f>
        <v>0</v>
      </c>
      <c r="Z185" s="295">
        <f>EZ185</f>
        <v>0</v>
      </c>
      <c r="AA185" s="295">
        <f>FG185</f>
        <v>0</v>
      </c>
      <c r="AB185" s="295">
        <f>FN185</f>
        <v>0</v>
      </c>
      <c r="AC185" s="295">
        <f>FU185</f>
        <v>0</v>
      </c>
      <c r="AD185" s="295">
        <f>GB185</f>
        <v>30535.333333333332</v>
      </c>
      <c r="AE185" s="295">
        <f>GI185</f>
        <v>31320.333333333336</v>
      </c>
      <c r="AF185" s="295">
        <f>GP185</f>
        <v>31160.333333333336</v>
      </c>
      <c r="AG185" s="295">
        <f>GW185</f>
        <v>30381.916666666672</v>
      </c>
      <c r="AH185" s="295">
        <f>HD185</f>
        <v>27752.666666666664</v>
      </c>
      <c r="AI185" s="295">
        <f>HK185</f>
        <v>27620</v>
      </c>
      <c r="AJ185" s="295">
        <f>HR185</f>
        <v>28154.166666666668</v>
      </c>
      <c r="AK185" s="295">
        <f>HY185</f>
        <v>28983.416666666664</v>
      </c>
      <c r="AL185" s="295">
        <f>IF185</f>
        <v>28485.333333333336</v>
      </c>
      <c r="AM185" s="295">
        <f>IM185</f>
        <v>28123.333333333332</v>
      </c>
      <c r="AN185" s="295">
        <f>IT185</f>
        <v>28788.333333333336</v>
      </c>
      <c r="AO185" s="295">
        <f>JA185</f>
        <v>25121.916666666664</v>
      </c>
      <c r="AP185" s="295">
        <f>JH185</f>
        <v>22807.333333333328</v>
      </c>
      <c r="AQ185" s="295">
        <f>JO185</f>
        <v>20524</v>
      </c>
      <c r="AR185" s="295">
        <f>JV185</f>
        <v>19340.333333333336</v>
      </c>
      <c r="AS185" s="295">
        <f>KC185</f>
        <v>17528.75</v>
      </c>
      <c r="AT185" s="295">
        <f>KJ185</f>
        <v>17089.5</v>
      </c>
      <c r="AU185" s="295">
        <f>KQ185</f>
        <v>17707.916666666664</v>
      </c>
      <c r="AV185" s="295">
        <f>KX185</f>
        <v>18821.916666666664</v>
      </c>
      <c r="AW185" s="295">
        <f>LE185</f>
        <v>0</v>
      </c>
      <c r="AX185" s="295">
        <f>LL185</f>
        <v>0</v>
      </c>
      <c r="AY185" s="295">
        <f>LS185</f>
        <v>0</v>
      </c>
      <c r="AZ185" s="295">
        <f>LZ185</f>
        <v>0</v>
      </c>
      <c r="BA185" s="295">
        <f>MG185</f>
        <v>0</v>
      </c>
      <c r="BB185" s="295"/>
      <c r="BC185" s="295"/>
      <c r="BD185" s="295"/>
      <c r="BE185" s="295"/>
      <c r="BF185" s="295"/>
      <c r="BG185" s="295"/>
      <c r="BH185" s="295"/>
      <c r="BI185" s="295"/>
      <c r="BJ185" s="295"/>
      <c r="BK185" s="295"/>
      <c r="BL185" s="295"/>
      <c r="BM185" s="295"/>
      <c r="BO185" s="294" t="s">
        <v>483</v>
      </c>
      <c r="BP185" s="295"/>
      <c r="BQ185" s="295"/>
      <c r="BR185" s="295"/>
      <c r="BS185" s="295"/>
      <c r="BT185" s="295"/>
      <c r="BV185" s="294" t="s">
        <v>483</v>
      </c>
      <c r="BW185" s="295"/>
      <c r="BX185" s="295"/>
      <c r="BY185" s="295"/>
      <c r="BZ185" s="295"/>
      <c r="CA185" s="295"/>
      <c r="CC185" s="294" t="s">
        <v>483</v>
      </c>
      <c r="CD185" s="295"/>
      <c r="CE185" s="295"/>
      <c r="CF185" s="295"/>
      <c r="CG185" s="295"/>
      <c r="CH185" s="295"/>
      <c r="CJ185" s="294" t="s">
        <v>483</v>
      </c>
      <c r="CK185" s="295"/>
      <c r="CL185" s="295"/>
      <c r="CM185" s="295"/>
      <c r="CN185" s="295"/>
      <c r="CO185" s="295"/>
      <c r="CQ185" s="294" t="s">
        <v>483</v>
      </c>
      <c r="CR185" s="295"/>
      <c r="CS185" s="295"/>
      <c r="CT185" s="295"/>
      <c r="CU185" s="295"/>
      <c r="CV185" s="295"/>
      <c r="CX185" s="294" t="s">
        <v>483</v>
      </c>
      <c r="CY185" s="295"/>
      <c r="CZ185" s="295"/>
      <c r="DA185" s="295"/>
      <c r="DB185" s="295"/>
      <c r="DC185" s="295"/>
      <c r="DE185" s="294" t="s">
        <v>483</v>
      </c>
      <c r="DF185" s="295"/>
      <c r="DG185" s="295"/>
      <c r="DH185" s="295"/>
      <c r="DI185" s="295"/>
      <c r="DJ185" s="295"/>
      <c r="DL185" s="294" t="s">
        <v>483</v>
      </c>
      <c r="DM185" s="295"/>
      <c r="DN185" s="295"/>
      <c r="DO185" s="295"/>
      <c r="DP185" s="295"/>
      <c r="DQ185" s="295"/>
      <c r="DS185" s="294" t="s">
        <v>483</v>
      </c>
      <c r="DT185" s="295"/>
      <c r="DU185" s="295"/>
      <c r="DV185" s="295"/>
      <c r="DW185" s="295"/>
      <c r="DX185" s="295"/>
      <c r="DZ185" s="294" t="s">
        <v>483</v>
      </c>
      <c r="EA185" s="295"/>
      <c r="EB185" s="295"/>
      <c r="EC185" s="295"/>
      <c r="ED185" s="295"/>
      <c r="EE185" s="295"/>
      <c r="EG185" s="294" t="s">
        <v>483</v>
      </c>
      <c r="EH185" s="295"/>
      <c r="EI185" s="295"/>
      <c r="EJ185" s="295"/>
      <c r="EK185" s="295"/>
      <c r="EL185" s="295"/>
      <c r="EN185" s="294" t="s">
        <v>483</v>
      </c>
      <c r="EO185" s="295"/>
      <c r="EP185" s="295"/>
      <c r="EQ185" s="295"/>
      <c r="ER185" s="295"/>
      <c r="ES185" s="295"/>
      <c r="EU185" s="294" t="s">
        <v>483</v>
      </c>
      <c r="EV185" s="295"/>
      <c r="EW185" s="295"/>
      <c r="EX185" s="295"/>
      <c r="EY185" s="295"/>
      <c r="EZ185" s="295"/>
      <c r="FB185" s="294" t="s">
        <v>483</v>
      </c>
      <c r="FC185" s="295"/>
      <c r="FD185" s="295"/>
      <c r="FE185" s="295"/>
      <c r="FF185" s="295"/>
      <c r="FG185" s="295"/>
      <c r="FI185" s="294" t="s">
        <v>483</v>
      </c>
      <c r="FJ185" s="295"/>
      <c r="FK185" s="295"/>
      <c r="FL185" s="295"/>
      <c r="FM185" s="295"/>
      <c r="FN185" s="295"/>
      <c r="FP185" s="294" t="s">
        <v>483</v>
      </c>
      <c r="FQ185" s="295"/>
      <c r="FR185" s="295"/>
      <c r="FS185" s="295"/>
      <c r="FT185" s="295"/>
      <c r="FU185" s="295"/>
      <c r="FW185" s="294" t="s">
        <v>483</v>
      </c>
      <c r="FX185" s="295">
        <f>SUM(FX160,FX164,FX168,FX172,FX176,FX180)</f>
        <v>30282.333333333336</v>
      </c>
      <c r="FY185" s="295">
        <f>SUM(FY160,FY164,FY168,FY172,FY176,FY180)</f>
        <v>30401</v>
      </c>
      <c r="FZ185" s="295">
        <f>SUM(FZ160,FZ164,FZ168,FZ172,FZ176,FZ180)</f>
        <v>30498.333333333336</v>
      </c>
      <c r="GA185" s="295">
        <f>SUM(GA160,GA164,GA168,GA172,GA176,GA180)</f>
        <v>30959.666666666664</v>
      </c>
      <c r="GB185" s="295">
        <f>SUM(GB160,GB164,GB168,GB172,GB176,GB180)</f>
        <v>30535.333333333332</v>
      </c>
      <c r="GD185" s="294" t="s">
        <v>483</v>
      </c>
      <c r="GE185" s="295">
        <f>SUM(GE160,GE164,GE168,GE172,GE176,GE180)</f>
        <v>31118.333333333336</v>
      </c>
      <c r="GF185" s="295">
        <f>SUM(GF160,GF164,GF168,GF172,GF176,GF180)</f>
        <v>31300</v>
      </c>
      <c r="GG185" s="295">
        <f>SUM(GG160,GG164,GG168,GG172,GG176,GG180)</f>
        <v>31176.666666666664</v>
      </c>
      <c r="GH185" s="295">
        <f>SUM(GH160,GH164,GH168,GH172,GH176,GH180)</f>
        <v>31686.333333333336</v>
      </c>
      <c r="GI185" s="295">
        <f>SUM(GI160,GI164,GI168,GI172,GI176,GI180)</f>
        <v>31320.333333333336</v>
      </c>
      <c r="GK185" s="294" t="s">
        <v>483</v>
      </c>
      <c r="GL185" s="295">
        <f>SUM(GL160,GL164,GL168,GL172,GL176,GL180)</f>
        <v>31266</v>
      </c>
      <c r="GM185" s="295">
        <f>SUM(GM160,GM164,GM168,GM172,GM176,GM180)</f>
        <v>31356.333333333336</v>
      </c>
      <c r="GN185" s="295">
        <f>SUM(GN160,GN164,GN168,GN172,GN176,GN180)</f>
        <v>31179.333333333336</v>
      </c>
      <c r="GO185" s="295">
        <f>SUM(GO160,GO164,GO168,GO172,GO176,GO180)</f>
        <v>30839.666666666672</v>
      </c>
      <c r="GP185" s="295">
        <f>SUM(GP160,GP164,GP168,GP172,GP176,GP180)</f>
        <v>31160.333333333336</v>
      </c>
      <c r="GR185" s="294" t="s">
        <v>483</v>
      </c>
      <c r="GS185" s="295">
        <f>SUM(GS160,GS164,GS168,GS172,GS176,GS180)</f>
        <v>30334.666666666668</v>
      </c>
      <c r="GT185" s="295">
        <f>SUM(GT160,GT164,GT168,GT172,GT176,GT180)</f>
        <v>30453.666666666672</v>
      </c>
      <c r="GU185" s="295">
        <f>SUM(GU160,GU164,GU168,GU172,GU176,GU180)</f>
        <v>30357</v>
      </c>
      <c r="GV185" s="295">
        <f>SUM(GV160,GV164,GV168,GV172,GV176,GV180)</f>
        <v>30382.333333333336</v>
      </c>
      <c r="GW185" s="295">
        <f>SUM(GW160,GW164,GW168,GW172,GW176,GW180)</f>
        <v>30381.916666666672</v>
      </c>
      <c r="GY185" s="294" t="s">
        <v>483</v>
      </c>
      <c r="GZ185" s="295">
        <f>SUM(GZ160,GZ164,GZ168,GZ172,GZ176,GZ180)</f>
        <v>28703.333333333336</v>
      </c>
      <c r="HA185" s="295">
        <f>SUM(HA160,HA164,HA168,HA172,HA176,HA180)</f>
        <v>27596.333333333336</v>
      </c>
      <c r="HB185" s="295">
        <f>SUM(HB160,HB164,HB168,HB172,HB176,HB180)</f>
        <v>27587.333333333332</v>
      </c>
      <c r="HC185" s="295">
        <f>SUM(HC160,HC164,HC168,HC172,HC176,HC180)</f>
        <v>27123.666666666664</v>
      </c>
      <c r="HD185" s="295">
        <f>SUM(HD160,HD164,HD168,HD172,HD176,HD180)</f>
        <v>27752.666666666664</v>
      </c>
      <c r="HF185" s="294" t="s">
        <v>483</v>
      </c>
      <c r="HG185" s="295">
        <f>SUM(HG160,HG164,HG168,HG172,HG176,HG180)</f>
        <v>26907</v>
      </c>
      <c r="HH185" s="295">
        <f>SUM(HH160,HH164,HH168,HH172,HH176,HH180)</f>
        <v>27436</v>
      </c>
      <c r="HI185" s="295">
        <f>SUM(HI160,HI164,HI168,HI172,HI176,HI180)</f>
        <v>28248</v>
      </c>
      <c r="HJ185" s="295">
        <f>SUM(HJ160,HJ164,HJ168,HJ172,HJ176,HJ180)</f>
        <v>27889.000000000004</v>
      </c>
      <c r="HK185" s="295">
        <f>SUM(HK160,HK164,HK168,HK172,HK176,HK180)</f>
        <v>27620</v>
      </c>
      <c r="HM185" s="294" t="s">
        <v>483</v>
      </c>
      <c r="HN185" s="295">
        <f>SUM(HN160,HN164,HN168,HN172,HN176,HN180)</f>
        <v>27571.666666666668</v>
      </c>
      <c r="HO185" s="295">
        <f>SUM(HO160,HO164,HO168,HO172,HO176,HO180)</f>
        <v>28006.333333333336</v>
      </c>
      <c r="HP185" s="295">
        <f>SUM(HP160,HP164,HP168,HP172,HP176,HP180)</f>
        <v>28327.333333333332</v>
      </c>
      <c r="HQ185" s="295">
        <f>SUM(HQ160,HQ164,HQ168,HQ172,HQ176,HQ180)</f>
        <v>28711.333333333336</v>
      </c>
      <c r="HR185" s="295">
        <f>SUM(HR160,HR164,HR168,HR172,HR176,HR180)</f>
        <v>28154.166666666668</v>
      </c>
      <c r="HT185" s="294" t="s">
        <v>483</v>
      </c>
      <c r="HU185" s="295">
        <f>SUM(HU160,HU164,HU168,HU172,HU176,HU180)</f>
        <v>29187</v>
      </c>
      <c r="HV185" s="295">
        <f>SUM(HV160,HV164,HV168,HV172,HV176,HV180)</f>
        <v>29054.666666666668</v>
      </c>
      <c r="HW185" s="295">
        <f>SUM(HW160,HW164,HW168,HW172,HW176,HW180)</f>
        <v>28860.666666666664</v>
      </c>
      <c r="HX185" s="295">
        <f>SUM(HX160,HX164,HX168,HX172,HX176,HX180)</f>
        <v>28831.333333333336</v>
      </c>
      <c r="HY185" s="295">
        <f>SUM(HY160,HY164,HY168,HY172,HY176,HY180)</f>
        <v>28983.416666666664</v>
      </c>
      <c r="IA185" s="294" t="s">
        <v>483</v>
      </c>
      <c r="IB185" s="295">
        <f>SUM(IB160,IB164,IB168,IB172,IB176,IB180)</f>
        <v>28907.666666666664</v>
      </c>
      <c r="IC185" s="295">
        <f>SUM(IC160,IC164,IC168,IC172,IC176,IC180)</f>
        <v>28969.666666666664</v>
      </c>
      <c r="ID185" s="295">
        <f>SUM(ID160,ID164,ID168,ID172,ID176,ID180)</f>
        <v>28092.333333333336</v>
      </c>
      <c r="IE185" s="295">
        <f>SUM(IE160,IE164,IE168,IE172,IE176,IE180)</f>
        <v>27971.666666666664</v>
      </c>
      <c r="IF185" s="295">
        <f>SUM(IF160,IF164,IF168,IF172,IF176,IF180)</f>
        <v>28485.333333333336</v>
      </c>
      <c r="IH185" s="294" t="s">
        <v>483</v>
      </c>
      <c r="II185" s="295">
        <f>SUM(II160,II164,II168,II172,II176,II180)</f>
        <v>27873.333333333332</v>
      </c>
      <c r="IJ185" s="295">
        <f>SUM(IJ160,IJ164,IJ168,IJ172,IJ176,IJ180)</f>
        <v>28172.666666666668</v>
      </c>
      <c r="IK185" s="295">
        <f>SUM(IK160,IK164,IK168,IK172,IK176,IK180)</f>
        <v>28189.666666666672</v>
      </c>
      <c r="IL185" s="295">
        <f>SUM(IL160,IL164,IL168,IL172,IL176,IL180)</f>
        <v>28257.666666666672</v>
      </c>
      <c r="IM185" s="295">
        <f>SUM(IM160,IM164,IM168,IM172,IM176,IM180)</f>
        <v>28123.333333333332</v>
      </c>
      <c r="IO185" s="294" t="s">
        <v>483</v>
      </c>
      <c r="IP185" s="295">
        <f>SUM(IP160,IP164,IP168,IP172,IP176,IP180)</f>
        <v>29562.333333333336</v>
      </c>
      <c r="IQ185" s="295">
        <f>SUM(IQ160,IQ164,IQ168,IQ172,IQ176,IQ180)</f>
        <v>29567.333333333336</v>
      </c>
      <c r="IR185" s="295">
        <f>SUM(IR160,IR164,IR168,IR172,IR176,IR180)</f>
        <v>28487.666666666664</v>
      </c>
      <c r="IS185" s="295">
        <f>SUM(IS160,IS164,IS168,IS172,IS176,IS180)</f>
        <v>27536</v>
      </c>
      <c r="IT185" s="295">
        <f>SUM(IT160,IT164,IT168,IT172,IT176,IT180)</f>
        <v>28788.333333333336</v>
      </c>
      <c r="IV185" s="294" t="s">
        <v>483</v>
      </c>
      <c r="IW185" s="295">
        <f>SUM(IW160,IW164,IW168,IW172,IW176,IW180)</f>
        <v>25724.666666666668</v>
      </c>
      <c r="IX185" s="295">
        <f>SUM(IX160,IX164,IX168,IX172,IX176,IX180)</f>
        <v>25432</v>
      </c>
      <c r="IY185" s="295">
        <f>SUM(IY160,IY164,IY168,IY172,IY176,IY180)</f>
        <v>24758</v>
      </c>
      <c r="IZ185" s="295">
        <f>SUM(IZ160,IZ164,IZ168,IZ172,IZ176,IZ180)</f>
        <v>24573</v>
      </c>
      <c r="JA185" s="295">
        <f>SUM(JA160,JA164,JA168,JA172,JA176,JA180)</f>
        <v>25121.916666666664</v>
      </c>
      <c r="JC185" s="294" t="s">
        <v>483</v>
      </c>
      <c r="JD185" s="295">
        <f>SUM(JD160,JD164,JD168,JD172,JD176,JD180)</f>
        <v>23976</v>
      </c>
      <c r="JE185" s="295">
        <f>SUM(JE160,JE164,JE168,JE172,JE176,JE180)</f>
        <v>23426.666666666668</v>
      </c>
      <c r="JF185" s="295">
        <f>SUM(JF160,JF164,JF168,JF172,JF176,JF180)</f>
        <v>22171</v>
      </c>
      <c r="JG185" s="295">
        <f>SUM(JG160,JG164,JG168,JG172,JG176,JG180)</f>
        <v>21655.666666666668</v>
      </c>
      <c r="JH185" s="295">
        <f>SUM(JH160,JH164,JH168,JH172,JH176,JH180)</f>
        <v>22807.333333333328</v>
      </c>
      <c r="JJ185" s="294" t="s">
        <v>483</v>
      </c>
      <c r="JK185" s="295">
        <f>SUM(JK160,JK164,JK168,JK172,JK176,JK180)</f>
        <v>20882.333333333332</v>
      </c>
      <c r="JL185" s="295">
        <f>SUM(JL160,JL164,JL168,JL172,JL176,JL180)</f>
        <v>20651.666666666668</v>
      </c>
      <c r="JM185" s="295">
        <f>SUM(JM160,JM164,JM168,JM172,JM176,JM180)</f>
        <v>20358.333333333336</v>
      </c>
      <c r="JN185" s="295">
        <f>SUM(JN160,JN164,JN168,JN172,JN176,JN180)</f>
        <v>20203.666666666668</v>
      </c>
      <c r="JO185" s="295">
        <f>SUM(JO160,JO164,JO168,JO172,JO176,JO180)</f>
        <v>20524</v>
      </c>
      <c r="JQ185" s="294" t="s">
        <v>483</v>
      </c>
      <c r="JR185" s="295">
        <f>SUM(JR160,JR164,JR168,JR172,JR176,JR180)</f>
        <v>19875.666666666664</v>
      </c>
      <c r="JS185" s="295">
        <f>SUM(JS160,JS164,JS168,JS172,JS176,JS180)</f>
        <v>19602.333333333332</v>
      </c>
      <c r="JT185" s="295">
        <f>SUM(JT160,JT164,JT168,JT172,JT176,JT180)</f>
        <v>19139.666666666668</v>
      </c>
      <c r="JU185" s="295">
        <f>SUM(JU160,JU164,JU168,JU172,JU176,JU180)</f>
        <v>18743.666666666664</v>
      </c>
      <c r="JV185" s="295">
        <f>SUM(JV160,JV164,JV168,JV172,JV176,JV180)</f>
        <v>19340.333333333336</v>
      </c>
      <c r="JX185" s="294" t="s">
        <v>483</v>
      </c>
      <c r="JY185" s="295">
        <f>SUM(JY160,JY164,JY168,JY172,JY176,JY180)</f>
        <v>18430.333333333332</v>
      </c>
      <c r="JZ185" s="295">
        <f>SUM(JZ160,JZ164,JZ168,JZ172,JZ176,JZ180)</f>
        <v>17459.333333333332</v>
      </c>
      <c r="KA185" s="295">
        <f>SUM(KA160,KA164,KA168,KA172,KA176,KA180)</f>
        <v>17163</v>
      </c>
      <c r="KB185" s="295">
        <f>SUM(KB160,KB164,KB168,KB172,KB176,KB180)</f>
        <v>17062.333333333332</v>
      </c>
      <c r="KC185" s="295">
        <f>SUM(KC160,KC164,KC168,KC172,KC176,KC180)</f>
        <v>17528.75</v>
      </c>
      <c r="KE185" s="294" t="s">
        <v>483</v>
      </c>
      <c r="KF185" s="295">
        <f>SUM(KF160,KF164,KF168,KF172,KF176,KF180)</f>
        <v>16993</v>
      </c>
      <c r="KG185" s="295">
        <f>SUM(KG160,KG164,KG168,KG172,KG176,KG180)</f>
        <v>17170</v>
      </c>
      <c r="KH185" s="295">
        <f>SUM(KH160,KH164,KH168,KH172,KH176,KH180)</f>
        <v>17003</v>
      </c>
      <c r="KI185" s="295">
        <f>SUM(KI160,KI164,KI168,KI172,KI176,KI180)</f>
        <v>17192</v>
      </c>
      <c r="KJ185" s="295">
        <f>SUM(KJ160,KJ164,KJ168,KJ172,KJ176,KJ180)</f>
        <v>17089.5</v>
      </c>
      <c r="KL185" s="294" t="s">
        <v>483</v>
      </c>
      <c r="KM185" s="295">
        <f>SUM(KM160,KM164,KM168,KM172,KM176,KM180)</f>
        <v>17413.333333333332</v>
      </c>
      <c r="KN185" s="295">
        <f>SUM(KN160,KN164,KN168,KN172,KN176,KN180)</f>
        <v>17577.666666666668</v>
      </c>
      <c r="KO185" s="295">
        <f>SUM(KO160,KO164,KO168,KO172,KO176,KO180)</f>
        <v>17704.333333333332</v>
      </c>
      <c r="KP185" s="295">
        <f>SUM(KP160,KP164,KP168,KP172,KP176,KP180)</f>
        <v>18136.333333333332</v>
      </c>
      <c r="KQ185" s="295">
        <f>SUM(KQ160,KQ164,KQ168,KQ172,KQ176,KQ180)</f>
        <v>17707.916666666664</v>
      </c>
      <c r="KS185" s="294" t="s">
        <v>483</v>
      </c>
      <c r="KT185" s="295">
        <f>SUM(KT160,KT164,KT168,KT172,KT176,KT180)</f>
        <v>18517</v>
      </c>
      <c r="KU185" s="295">
        <f>SUM(KU160,KU164,KU168,KU172,KU176,KU180)</f>
        <v>18635.333333333336</v>
      </c>
      <c r="KV185" s="295">
        <f>SUM(KV160,KV164,KV168,KV172,KV176,KV180)</f>
        <v>18919</v>
      </c>
      <c r="KW185" s="295">
        <f>SUM(KW160,KW164,KW168,KW172,KW176,KW180)</f>
        <v>19216.333333333332</v>
      </c>
      <c r="KX185" s="295">
        <f>SUM(KX160,KX164,KX168,KX172,KX176,KX180)</f>
        <v>18821.916666666664</v>
      </c>
      <c r="KZ185" s="294" t="s">
        <v>483</v>
      </c>
      <c r="LA185" s="295"/>
      <c r="LB185" s="144"/>
      <c r="LC185" s="144"/>
      <c r="LD185" s="144"/>
      <c r="LE185" s="295"/>
      <c r="LF185" s="555"/>
      <c r="LG185" s="294" t="s">
        <v>483</v>
      </c>
      <c r="LH185" s="144"/>
      <c r="LI185" s="144"/>
      <c r="LJ185" s="144"/>
      <c r="LK185" s="144"/>
      <c r="LL185" s="295"/>
      <c r="LM185" s="555"/>
      <c r="LN185" s="294" t="s">
        <v>483</v>
      </c>
      <c r="LO185" s="144"/>
      <c r="LP185" s="144"/>
      <c r="LQ185" s="144"/>
      <c r="LR185" s="144"/>
      <c r="LS185" s="295"/>
      <c r="LT185" s="555"/>
      <c r="LU185" s="294" t="s">
        <v>483</v>
      </c>
      <c r="LV185" s="144"/>
      <c r="LW185" s="144"/>
      <c r="LX185" s="144"/>
      <c r="LY185" s="144"/>
      <c r="LZ185" s="295"/>
      <c r="MA185" s="555"/>
      <c r="MB185" s="294" t="s">
        <v>483</v>
      </c>
      <c r="MC185" s="144"/>
      <c r="MD185" s="144"/>
      <c r="ME185" s="144"/>
      <c r="MF185" s="144"/>
      <c r="MG185" s="295"/>
      <c r="MH185" s="555"/>
    </row>
    <row r="186" spans="1:346" s="37" customFormat="1" ht="13.15" outlineLevel="1" x14ac:dyDescent="0.4">
      <c r="A186" s="100"/>
      <c r="B186" s="292" t="s">
        <v>480</v>
      </c>
      <c r="C186" s="293"/>
      <c r="D186" s="293"/>
      <c r="E186" s="293"/>
      <c r="F186" s="293"/>
      <c r="G186" s="293"/>
      <c r="H186" s="293"/>
      <c r="I186" s="293"/>
      <c r="J186" s="293"/>
      <c r="K186" s="293"/>
      <c r="L186" s="293"/>
      <c r="M186" s="293"/>
      <c r="N186" s="293"/>
      <c r="O186" s="293"/>
      <c r="P186" s="293"/>
      <c r="Q186" s="293"/>
      <c r="R186" s="293"/>
      <c r="S186" s="293"/>
      <c r="T186" s="293"/>
      <c r="U186" s="293"/>
      <c r="V186" s="293"/>
      <c r="W186" s="293"/>
      <c r="X186" s="293"/>
      <c r="Y186" s="293"/>
      <c r="Z186" s="293"/>
      <c r="AA186" s="293"/>
      <c r="AB186" s="293"/>
      <c r="AC186" s="293"/>
      <c r="AD186" s="293"/>
      <c r="AE186" s="293"/>
      <c r="AF186" s="293"/>
      <c r="AG186" s="293"/>
      <c r="AH186" s="293"/>
      <c r="AI186" s="293"/>
      <c r="AJ186" s="293"/>
      <c r="AK186" s="293"/>
      <c r="AL186" s="293"/>
      <c r="AM186" s="293"/>
      <c r="AN186" s="293"/>
      <c r="AO186" s="293"/>
      <c r="AP186" s="293"/>
      <c r="AQ186" s="293"/>
      <c r="AR186" s="293"/>
      <c r="AS186" s="293"/>
      <c r="AT186" s="293"/>
      <c r="AU186" s="293"/>
      <c r="AV186" s="293"/>
      <c r="AW186" s="293"/>
      <c r="AX186" s="293"/>
      <c r="AY186" s="293"/>
      <c r="AZ186" s="293"/>
      <c r="BA186" s="293"/>
      <c r="BB186" s="293"/>
      <c r="BC186" s="293"/>
      <c r="BD186" s="293"/>
      <c r="BE186" s="293"/>
      <c r="BF186" s="293"/>
      <c r="BG186" s="293"/>
      <c r="BH186" s="293"/>
      <c r="BI186" s="293"/>
      <c r="BJ186" s="293"/>
      <c r="BK186" s="293"/>
      <c r="BL186" s="293"/>
      <c r="BM186" s="293"/>
      <c r="BO186" s="292" t="s">
        <v>480</v>
      </c>
      <c r="BP186" s="293"/>
      <c r="BQ186" s="293"/>
      <c r="BR186" s="293"/>
      <c r="BS186" s="293"/>
      <c r="BT186" s="293"/>
      <c r="BV186" s="292" t="s">
        <v>480</v>
      </c>
      <c r="BW186" s="293"/>
      <c r="BX186" s="293"/>
      <c r="BY186" s="293"/>
      <c r="BZ186" s="293"/>
      <c r="CA186" s="293"/>
      <c r="CC186" s="292" t="s">
        <v>480</v>
      </c>
      <c r="CD186" s="293"/>
      <c r="CE186" s="293"/>
      <c r="CF186" s="293"/>
      <c r="CG186" s="293"/>
      <c r="CH186" s="293"/>
      <c r="CJ186" s="292" t="s">
        <v>480</v>
      </c>
      <c r="CK186" s="293"/>
      <c r="CL186" s="293"/>
      <c r="CM186" s="293"/>
      <c r="CN186" s="293"/>
      <c r="CO186" s="293"/>
      <c r="CQ186" s="292" t="s">
        <v>480</v>
      </c>
      <c r="CR186" s="293"/>
      <c r="CS186" s="293"/>
      <c r="CT186" s="293"/>
      <c r="CU186" s="293"/>
      <c r="CV186" s="293"/>
      <c r="CX186" s="292" t="s">
        <v>480</v>
      </c>
      <c r="CY186" s="293"/>
      <c r="CZ186" s="293"/>
      <c r="DA186" s="293"/>
      <c r="DB186" s="293"/>
      <c r="DC186" s="293"/>
      <c r="DE186" s="292" t="s">
        <v>480</v>
      </c>
      <c r="DF186" s="293"/>
      <c r="DG186" s="293"/>
      <c r="DH186" s="293"/>
      <c r="DI186" s="293"/>
      <c r="DJ186" s="293"/>
      <c r="DL186" s="292" t="s">
        <v>480</v>
      </c>
      <c r="DM186" s="293"/>
      <c r="DN186" s="293"/>
      <c r="DO186" s="293"/>
      <c r="DP186" s="293"/>
      <c r="DQ186" s="293"/>
      <c r="DS186" s="292" t="s">
        <v>480</v>
      </c>
      <c r="DT186" s="293"/>
      <c r="DU186" s="293"/>
      <c r="DV186" s="293"/>
      <c r="DW186" s="293"/>
      <c r="DX186" s="293"/>
      <c r="DZ186" s="292" t="s">
        <v>480</v>
      </c>
      <c r="EA186" s="293"/>
      <c r="EB186" s="293"/>
      <c r="EC186" s="293"/>
      <c r="ED186" s="293"/>
      <c r="EE186" s="293"/>
      <c r="EG186" s="292" t="s">
        <v>480</v>
      </c>
      <c r="EH186" s="293"/>
      <c r="EI186" s="293"/>
      <c r="EJ186" s="293"/>
      <c r="EK186" s="293"/>
      <c r="EL186" s="293"/>
      <c r="EN186" s="292" t="s">
        <v>480</v>
      </c>
      <c r="EO186" s="293"/>
      <c r="EP186" s="293"/>
      <c r="EQ186" s="293"/>
      <c r="ER186" s="293"/>
      <c r="ES186" s="293"/>
      <c r="EU186" s="292" t="s">
        <v>480</v>
      </c>
      <c r="EV186" s="293"/>
      <c r="EW186" s="293"/>
      <c r="EX186" s="293"/>
      <c r="EY186" s="293"/>
      <c r="EZ186" s="293"/>
      <c r="FB186" s="292" t="s">
        <v>480</v>
      </c>
      <c r="FC186" s="293"/>
      <c r="FD186" s="293"/>
      <c r="FE186" s="293"/>
      <c r="FF186" s="293"/>
      <c r="FG186" s="293"/>
      <c r="FI186" s="292" t="s">
        <v>480</v>
      </c>
      <c r="FJ186" s="293"/>
      <c r="FK186" s="293"/>
      <c r="FL186" s="293"/>
      <c r="FM186" s="293"/>
      <c r="FN186" s="293"/>
      <c r="FP186" s="292" t="s">
        <v>480</v>
      </c>
      <c r="FQ186" s="293"/>
      <c r="FR186" s="293"/>
      <c r="FS186" s="293"/>
      <c r="FT186" s="293"/>
      <c r="FU186" s="293"/>
      <c r="FW186" s="292" t="s">
        <v>480</v>
      </c>
      <c r="FX186" s="293">
        <f t="shared" ref="FX186:GA188" si="438">SUM(FX161,FX165,FX169,FX173,FX177,FX181)</f>
        <v>30245</v>
      </c>
      <c r="FY186" s="293">
        <f t="shared" si="438"/>
        <v>30323</v>
      </c>
      <c r="FZ186" s="293">
        <f t="shared" si="438"/>
        <v>30336</v>
      </c>
      <c r="GA186" s="293">
        <f t="shared" si="438"/>
        <v>30725</v>
      </c>
      <c r="GB186" s="293" t="s">
        <v>80</v>
      </c>
      <c r="GD186" s="292" t="s">
        <v>480</v>
      </c>
      <c r="GE186" s="293">
        <f t="shared" ref="GE186:GH188" si="439">SUM(GE161,GE165,GE169,GE173,GE177,GE181)</f>
        <v>31133</v>
      </c>
      <c r="GF186" s="293">
        <f t="shared" si="439"/>
        <v>31233</v>
      </c>
      <c r="GG186" s="293">
        <f t="shared" si="439"/>
        <v>30598</v>
      </c>
      <c r="GH186" s="293">
        <f t="shared" si="439"/>
        <v>31529</v>
      </c>
      <c r="GI186" s="293" t="s">
        <v>80</v>
      </c>
      <c r="GK186" s="292" t="s">
        <v>480</v>
      </c>
      <c r="GL186" s="293">
        <f t="shared" ref="GL186:GO188" si="440">SUM(GL161,GL165,GL169,GL173,GL177,GL181)</f>
        <v>31443</v>
      </c>
      <c r="GM186" s="293">
        <f t="shared" si="440"/>
        <v>31409</v>
      </c>
      <c r="GN186" s="293">
        <f t="shared" si="440"/>
        <v>31246</v>
      </c>
      <c r="GO186" s="293">
        <f t="shared" si="440"/>
        <v>30845</v>
      </c>
      <c r="GP186" s="293" t="s">
        <v>80</v>
      </c>
      <c r="GR186" s="292" t="s">
        <v>480</v>
      </c>
      <c r="GS186" s="293">
        <f t="shared" ref="GS186:GV188" si="441">SUM(GS161,GS165,GS169,GS173,GS177,GS181)</f>
        <v>30421</v>
      </c>
      <c r="GT186" s="293">
        <f t="shared" si="441"/>
        <v>30416</v>
      </c>
      <c r="GU186" s="293">
        <f t="shared" si="441"/>
        <v>30406</v>
      </c>
      <c r="GV186" s="293">
        <f t="shared" si="441"/>
        <v>30391</v>
      </c>
      <c r="GW186" s="293" t="s">
        <v>80</v>
      </c>
      <c r="GY186" s="292" t="s">
        <v>480</v>
      </c>
      <c r="GZ186" s="293">
        <f t="shared" ref="GZ186:HC188" si="442">SUM(GZ161,GZ165,GZ169,GZ173,GZ177,GZ181)</f>
        <v>29591</v>
      </c>
      <c r="HA186" s="293">
        <f t="shared" si="442"/>
        <v>28098</v>
      </c>
      <c r="HB186" s="293">
        <f t="shared" si="442"/>
        <v>27541</v>
      </c>
      <c r="HC186" s="293">
        <f t="shared" si="442"/>
        <v>27340</v>
      </c>
      <c r="HD186" s="293" t="s">
        <v>80</v>
      </c>
      <c r="HF186" s="292" t="s">
        <v>480</v>
      </c>
      <c r="HG186" s="293">
        <f t="shared" ref="HG186:HJ188" si="443">SUM(HG161,HG165,HG169,HG173,HG177,HG181)</f>
        <v>26717</v>
      </c>
      <c r="HH186" s="293">
        <f t="shared" si="443"/>
        <v>27491</v>
      </c>
      <c r="HI186" s="293">
        <f t="shared" si="443"/>
        <v>28285</v>
      </c>
      <c r="HJ186" s="293">
        <f t="shared" si="443"/>
        <v>28181</v>
      </c>
      <c r="HK186" s="293" t="s">
        <v>80</v>
      </c>
      <c r="HM186" s="292" t="s">
        <v>480</v>
      </c>
      <c r="HN186" s="293">
        <f t="shared" ref="HN186:HQ188" si="444">SUM(HN161,HN165,HN169,HN173,HN177,HN181)</f>
        <v>27239</v>
      </c>
      <c r="HO186" s="293">
        <f t="shared" si="444"/>
        <v>27944</v>
      </c>
      <c r="HP186" s="293">
        <f t="shared" si="444"/>
        <v>28079</v>
      </c>
      <c r="HQ186" s="293">
        <f t="shared" si="444"/>
        <v>28442</v>
      </c>
      <c r="HR186" s="293" t="s">
        <v>80</v>
      </c>
      <c r="HT186" s="292" t="s">
        <v>480</v>
      </c>
      <c r="HU186" s="293">
        <f t="shared" ref="HU186:HX188" si="445">SUM(HU161,HU165,HU169,HU173,HU177,HU181)</f>
        <v>29256</v>
      </c>
      <c r="HV186" s="293">
        <f t="shared" si="445"/>
        <v>29112</v>
      </c>
      <c r="HW186" s="293">
        <f t="shared" si="445"/>
        <v>29020</v>
      </c>
      <c r="HX186" s="293">
        <f t="shared" si="445"/>
        <v>28768</v>
      </c>
      <c r="HY186" s="293" t="s">
        <v>80</v>
      </c>
      <c r="IA186" s="292" t="s">
        <v>480</v>
      </c>
      <c r="IB186" s="293">
        <f t="shared" ref="IB186:IE188" si="446">SUM(IB161,IB165,IB169,IB173,IB177,IB181)</f>
        <v>28984</v>
      </c>
      <c r="IC186" s="293">
        <f t="shared" si="446"/>
        <v>28918</v>
      </c>
      <c r="ID186" s="293">
        <f t="shared" si="446"/>
        <v>28181</v>
      </c>
      <c r="IE186" s="293">
        <f t="shared" si="446"/>
        <v>28029</v>
      </c>
      <c r="IF186" s="293" t="s">
        <v>80</v>
      </c>
      <c r="IH186" s="292" t="s">
        <v>480</v>
      </c>
      <c r="II186" s="293">
        <f t="shared" ref="II186:IL188" si="447">SUM(II161,II165,II169,II173,II177,II181)</f>
        <v>28084</v>
      </c>
      <c r="IJ186" s="293">
        <f t="shared" si="447"/>
        <v>28192</v>
      </c>
      <c r="IK186" s="293">
        <f t="shared" si="447"/>
        <v>28151</v>
      </c>
      <c r="IL186" s="293">
        <f t="shared" si="447"/>
        <v>28149</v>
      </c>
      <c r="IM186" s="293" t="s">
        <v>80</v>
      </c>
      <c r="IO186" s="292" t="s">
        <v>480</v>
      </c>
      <c r="IP186" s="293">
        <f t="shared" ref="IP186:IS188" si="448">SUM(IP161,IP165,IP169,IP173,IP177,IP181)</f>
        <v>29713</v>
      </c>
      <c r="IQ186" s="293">
        <f t="shared" si="448"/>
        <v>29831</v>
      </c>
      <c r="IR186" s="293">
        <f t="shared" si="448"/>
        <v>28904</v>
      </c>
      <c r="IS186" s="293">
        <f t="shared" si="448"/>
        <v>27921</v>
      </c>
      <c r="IT186" s="293" t="s">
        <v>80</v>
      </c>
      <c r="IV186" s="292" t="s">
        <v>480</v>
      </c>
      <c r="IW186" s="293">
        <f t="shared" ref="IW186:IZ188" si="449">SUM(IW161,IW165,IW169,IW173,IW177,IW181)</f>
        <v>26124</v>
      </c>
      <c r="IX186" s="293">
        <f t="shared" si="449"/>
        <v>25560</v>
      </c>
      <c r="IY186" s="293">
        <f t="shared" si="449"/>
        <v>24997</v>
      </c>
      <c r="IZ186" s="293">
        <f t="shared" si="449"/>
        <v>24492</v>
      </c>
      <c r="JA186" s="293" t="s">
        <v>80</v>
      </c>
      <c r="JC186" s="292" t="s">
        <v>480</v>
      </c>
      <c r="JD186" s="293">
        <f t="shared" ref="JD186:JG188" si="450">SUM(JD161,JD165,JD169,JD173,JD177,JD181)</f>
        <v>23879</v>
      </c>
      <c r="JE186" s="293">
        <f t="shared" si="450"/>
        <v>23700</v>
      </c>
      <c r="JF186" s="293">
        <f t="shared" si="450"/>
        <v>22313</v>
      </c>
      <c r="JG186" s="293">
        <f t="shared" si="450"/>
        <v>21813</v>
      </c>
      <c r="JH186" s="293" t="s">
        <v>80</v>
      </c>
      <c r="JJ186" s="292" t="s">
        <v>480</v>
      </c>
      <c r="JK186" s="293">
        <f t="shared" ref="JK186:JN188" si="451">SUM(JK161,JK165,JK169,JK173,JK177,JK181)</f>
        <v>20983</v>
      </c>
      <c r="JL186" s="293">
        <f t="shared" si="451"/>
        <v>20706</v>
      </c>
      <c r="JM186" s="293">
        <f t="shared" si="451"/>
        <v>20418</v>
      </c>
      <c r="JN186" s="293">
        <f t="shared" si="451"/>
        <v>20256</v>
      </c>
      <c r="JO186" s="293" t="s">
        <v>80</v>
      </c>
      <c r="JQ186" s="292" t="s">
        <v>480</v>
      </c>
      <c r="JR186" s="293">
        <f t="shared" ref="JR186:JU188" si="452">SUM(JR161,JR165,JR169,JR173,JR177,JR181)</f>
        <v>20011</v>
      </c>
      <c r="JS186" s="293">
        <f t="shared" si="452"/>
        <v>19718</v>
      </c>
      <c r="JT186" s="293">
        <f t="shared" si="452"/>
        <v>19301</v>
      </c>
      <c r="JU186" s="293">
        <f t="shared" si="452"/>
        <v>18881</v>
      </c>
      <c r="JV186" s="293" t="s">
        <v>80</v>
      </c>
      <c r="JX186" s="292" t="s">
        <v>480</v>
      </c>
      <c r="JY186" s="293">
        <f t="shared" ref="JY186:KB188" si="453">SUM(JY161,JY165,JY169,JY173,JY177,JY181)</f>
        <v>18501</v>
      </c>
      <c r="JZ186" s="293">
        <f t="shared" si="453"/>
        <v>17978</v>
      </c>
      <c r="KA186" s="293">
        <f t="shared" si="453"/>
        <v>17052</v>
      </c>
      <c r="KB186" s="293">
        <f t="shared" si="453"/>
        <v>17209</v>
      </c>
      <c r="KC186" s="293" t="s">
        <v>80</v>
      </c>
      <c r="KE186" s="292" t="s">
        <v>480</v>
      </c>
      <c r="KF186" s="293">
        <f t="shared" ref="KF186:KI188" si="454">SUM(KF161,KF165,KF169,KF173,KF177,KF181)</f>
        <v>16851</v>
      </c>
      <c r="KG186" s="293">
        <f t="shared" si="454"/>
        <v>17206</v>
      </c>
      <c r="KH186" s="293">
        <f t="shared" si="454"/>
        <v>17065</v>
      </c>
      <c r="KI186" s="293">
        <f t="shared" si="454"/>
        <v>17138</v>
      </c>
      <c r="KJ186" s="293" t="s">
        <v>80</v>
      </c>
      <c r="KL186" s="292" t="s">
        <v>480</v>
      </c>
      <c r="KM186" s="293">
        <f t="shared" ref="KM186:KP188" si="455">SUM(KM161,KM165,KM169,KM173,KM177,KM181)</f>
        <v>17158</v>
      </c>
      <c r="KN186" s="293">
        <f t="shared" si="455"/>
        <v>17664</v>
      </c>
      <c r="KO186" s="293">
        <f t="shared" si="455"/>
        <v>17552</v>
      </c>
      <c r="KP186" s="293">
        <f t="shared" si="455"/>
        <v>17947</v>
      </c>
      <c r="KQ186" s="293" t="s">
        <v>80</v>
      </c>
      <c r="KS186" s="292" t="s">
        <v>480</v>
      </c>
      <c r="KT186" s="293">
        <f t="shared" ref="KT186:KW188" si="456">SUM(KT161,KT165,KT169,KT173,KT177,KT181)</f>
        <v>18576</v>
      </c>
      <c r="KU186" s="293">
        <f t="shared" si="456"/>
        <v>18574</v>
      </c>
      <c r="KV186" s="293">
        <f t="shared" si="456"/>
        <v>18829</v>
      </c>
      <c r="KW186" s="293">
        <f t="shared" si="456"/>
        <v>19156</v>
      </c>
      <c r="KX186" s="293" t="s">
        <v>80</v>
      </c>
      <c r="KZ186" s="292" t="s">
        <v>480</v>
      </c>
      <c r="LA186" s="293"/>
      <c r="LB186" s="144"/>
      <c r="LC186" s="144"/>
      <c r="LD186" s="144"/>
      <c r="LE186" s="293"/>
      <c r="LF186" s="555"/>
      <c r="LG186" s="292" t="s">
        <v>480</v>
      </c>
      <c r="LH186" s="144"/>
      <c r="LI186" s="144"/>
      <c r="LJ186" s="144"/>
      <c r="LK186" s="144"/>
      <c r="LL186" s="293"/>
      <c r="LM186" s="555"/>
      <c r="LN186" s="292" t="s">
        <v>480</v>
      </c>
      <c r="LO186" s="144"/>
      <c r="LP186" s="144"/>
      <c r="LQ186" s="144"/>
      <c r="LR186" s="144"/>
      <c r="LS186" s="293"/>
      <c r="LT186" s="555"/>
      <c r="LU186" s="292" t="s">
        <v>480</v>
      </c>
      <c r="LV186" s="144"/>
      <c r="LW186" s="144"/>
      <c r="LX186" s="144"/>
      <c r="LY186" s="144"/>
      <c r="LZ186" s="293"/>
      <c r="MA186" s="555"/>
      <c r="MB186" s="292" t="s">
        <v>480</v>
      </c>
      <c r="MC186" s="144"/>
      <c r="MD186" s="144"/>
      <c r="ME186" s="144"/>
      <c r="MF186" s="144"/>
      <c r="MG186" s="293"/>
      <c r="MH186" s="555"/>
    </row>
    <row r="187" spans="1:346" s="37" customFormat="1" ht="13.15" outlineLevel="1" x14ac:dyDescent="0.4">
      <c r="A187" s="100"/>
      <c r="B187" s="292" t="s">
        <v>481</v>
      </c>
      <c r="C187" s="293"/>
      <c r="D187" s="293"/>
      <c r="E187" s="293"/>
      <c r="F187" s="293"/>
      <c r="G187" s="293"/>
      <c r="H187" s="293"/>
      <c r="I187" s="293"/>
      <c r="J187" s="293"/>
      <c r="K187" s="293"/>
      <c r="L187" s="293"/>
      <c r="M187" s="293"/>
      <c r="N187" s="293"/>
      <c r="O187" s="293"/>
      <c r="P187" s="293"/>
      <c r="Q187" s="293"/>
      <c r="R187" s="293"/>
      <c r="S187" s="293"/>
      <c r="T187" s="293"/>
      <c r="U187" s="293"/>
      <c r="V187" s="293"/>
      <c r="W187" s="293"/>
      <c r="X187" s="293"/>
      <c r="Y187" s="293"/>
      <c r="Z187" s="293"/>
      <c r="AA187" s="293"/>
      <c r="AB187" s="293"/>
      <c r="AC187" s="293"/>
      <c r="AD187" s="293"/>
      <c r="AE187" s="293"/>
      <c r="AF187" s="293"/>
      <c r="AG187" s="293"/>
      <c r="AH187" s="293"/>
      <c r="AI187" s="293"/>
      <c r="AJ187" s="293"/>
      <c r="AK187" s="293"/>
      <c r="AL187" s="293"/>
      <c r="AM187" s="293"/>
      <c r="AN187" s="293"/>
      <c r="AO187" s="293"/>
      <c r="AP187" s="293"/>
      <c r="AQ187" s="293"/>
      <c r="AR187" s="293"/>
      <c r="AS187" s="293"/>
      <c r="AT187" s="293"/>
      <c r="AU187" s="293"/>
      <c r="AV187" s="293"/>
      <c r="AW187" s="293"/>
      <c r="AX187" s="293"/>
      <c r="AY187" s="293"/>
      <c r="AZ187" s="293"/>
      <c r="BA187" s="293"/>
      <c r="BB187" s="293"/>
      <c r="BC187" s="293"/>
      <c r="BD187" s="293"/>
      <c r="BE187" s="293"/>
      <c r="BF187" s="293"/>
      <c r="BG187" s="293"/>
      <c r="BH187" s="293"/>
      <c r="BI187" s="293"/>
      <c r="BJ187" s="293"/>
      <c r="BK187" s="293"/>
      <c r="BL187" s="293"/>
      <c r="BM187" s="293"/>
      <c r="BO187" s="292" t="s">
        <v>481</v>
      </c>
      <c r="BP187" s="293"/>
      <c r="BQ187" s="293"/>
      <c r="BR187" s="293"/>
      <c r="BS187" s="293"/>
      <c r="BT187" s="293"/>
      <c r="BV187" s="292" t="s">
        <v>481</v>
      </c>
      <c r="BW187" s="293"/>
      <c r="BX187" s="293"/>
      <c r="BY187" s="293"/>
      <c r="BZ187" s="293"/>
      <c r="CA187" s="293"/>
      <c r="CC187" s="292" t="s">
        <v>481</v>
      </c>
      <c r="CD187" s="293"/>
      <c r="CE187" s="293"/>
      <c r="CF187" s="293"/>
      <c r="CG187" s="293"/>
      <c r="CH187" s="293"/>
      <c r="CJ187" s="292" t="s">
        <v>481</v>
      </c>
      <c r="CK187" s="293"/>
      <c r="CL187" s="293"/>
      <c r="CM187" s="293"/>
      <c r="CN187" s="293"/>
      <c r="CO187" s="293"/>
      <c r="CQ187" s="292" t="s">
        <v>481</v>
      </c>
      <c r="CR187" s="293"/>
      <c r="CS187" s="293"/>
      <c r="CT187" s="293"/>
      <c r="CU187" s="293"/>
      <c r="CV187" s="293"/>
      <c r="CX187" s="292" t="s">
        <v>481</v>
      </c>
      <c r="CY187" s="293"/>
      <c r="CZ187" s="293"/>
      <c r="DA187" s="293"/>
      <c r="DB187" s="293"/>
      <c r="DC187" s="293"/>
      <c r="DE187" s="292" t="s">
        <v>481</v>
      </c>
      <c r="DF187" s="293"/>
      <c r="DG187" s="293"/>
      <c r="DH187" s="293"/>
      <c r="DI187" s="293"/>
      <c r="DJ187" s="293"/>
      <c r="DL187" s="292" t="s">
        <v>481</v>
      </c>
      <c r="DM187" s="293"/>
      <c r="DN187" s="293"/>
      <c r="DO187" s="293"/>
      <c r="DP187" s="293"/>
      <c r="DQ187" s="293"/>
      <c r="DS187" s="292" t="s">
        <v>481</v>
      </c>
      <c r="DT187" s="293"/>
      <c r="DU187" s="293"/>
      <c r="DV187" s="293"/>
      <c r="DW187" s="293"/>
      <c r="DX187" s="293"/>
      <c r="DZ187" s="292" t="s">
        <v>481</v>
      </c>
      <c r="EA187" s="293"/>
      <c r="EB187" s="293"/>
      <c r="EC187" s="293"/>
      <c r="ED187" s="293"/>
      <c r="EE187" s="293"/>
      <c r="EG187" s="292" t="s">
        <v>481</v>
      </c>
      <c r="EH187" s="293"/>
      <c r="EI187" s="293"/>
      <c r="EJ187" s="293"/>
      <c r="EK187" s="293"/>
      <c r="EL187" s="293"/>
      <c r="EN187" s="292" t="s">
        <v>481</v>
      </c>
      <c r="EO187" s="293"/>
      <c r="EP187" s="293"/>
      <c r="EQ187" s="293"/>
      <c r="ER187" s="293"/>
      <c r="ES187" s="293"/>
      <c r="EU187" s="292" t="s">
        <v>481</v>
      </c>
      <c r="EV187" s="293"/>
      <c r="EW187" s="293"/>
      <c r="EX187" s="293"/>
      <c r="EY187" s="293"/>
      <c r="EZ187" s="293"/>
      <c r="FB187" s="292" t="s">
        <v>481</v>
      </c>
      <c r="FC187" s="293"/>
      <c r="FD187" s="293"/>
      <c r="FE187" s="293"/>
      <c r="FF187" s="293"/>
      <c r="FG187" s="293"/>
      <c r="FI187" s="292" t="s">
        <v>481</v>
      </c>
      <c r="FJ187" s="293"/>
      <c r="FK187" s="293"/>
      <c r="FL187" s="293"/>
      <c r="FM187" s="293"/>
      <c r="FN187" s="293"/>
      <c r="FP187" s="292" t="s">
        <v>481</v>
      </c>
      <c r="FQ187" s="293"/>
      <c r="FR187" s="293"/>
      <c r="FS187" s="293"/>
      <c r="FT187" s="293"/>
      <c r="FU187" s="293"/>
      <c r="FW187" s="292" t="s">
        <v>481</v>
      </c>
      <c r="FX187" s="293">
        <f t="shared" si="438"/>
        <v>30230</v>
      </c>
      <c r="FY187" s="293">
        <f t="shared" si="438"/>
        <v>30436</v>
      </c>
      <c r="FZ187" s="293">
        <f t="shared" si="438"/>
        <v>30600</v>
      </c>
      <c r="GA187" s="293">
        <f t="shared" si="438"/>
        <v>31140</v>
      </c>
      <c r="GB187" s="293" t="s">
        <v>80</v>
      </c>
      <c r="GD187" s="292" t="s">
        <v>481</v>
      </c>
      <c r="GE187" s="293">
        <f t="shared" si="439"/>
        <v>31072</v>
      </c>
      <c r="GF187" s="293">
        <f t="shared" si="439"/>
        <v>31304</v>
      </c>
      <c r="GG187" s="293">
        <f t="shared" si="439"/>
        <v>31428</v>
      </c>
      <c r="GH187" s="293">
        <f t="shared" si="439"/>
        <v>31728</v>
      </c>
      <c r="GI187" s="293" t="s">
        <v>80</v>
      </c>
      <c r="GK187" s="292" t="s">
        <v>481</v>
      </c>
      <c r="GL187" s="293">
        <f t="shared" si="440"/>
        <v>31077</v>
      </c>
      <c r="GM187" s="293">
        <f t="shared" si="440"/>
        <v>31359</v>
      </c>
      <c r="GN187" s="293">
        <f t="shared" si="440"/>
        <v>31185</v>
      </c>
      <c r="GO187" s="293">
        <f t="shared" si="440"/>
        <v>31077</v>
      </c>
      <c r="GP187" s="293" t="s">
        <v>80</v>
      </c>
      <c r="GR187" s="292" t="s">
        <v>481</v>
      </c>
      <c r="GS187" s="293">
        <f t="shared" si="441"/>
        <v>30282</v>
      </c>
      <c r="GT187" s="293">
        <f t="shared" si="441"/>
        <v>30588</v>
      </c>
      <c r="GU187" s="293">
        <f t="shared" si="441"/>
        <v>30329</v>
      </c>
      <c r="GV187" s="293">
        <f t="shared" si="441"/>
        <v>30344</v>
      </c>
      <c r="GW187" s="293" t="s">
        <v>80</v>
      </c>
      <c r="GY187" s="292" t="s">
        <v>481</v>
      </c>
      <c r="GZ187" s="293">
        <f t="shared" si="442"/>
        <v>28404</v>
      </c>
      <c r="HA187" s="293">
        <f t="shared" si="442"/>
        <v>27507</v>
      </c>
      <c r="HB187" s="293">
        <f t="shared" si="442"/>
        <v>27625</v>
      </c>
      <c r="HC187" s="293">
        <f t="shared" si="442"/>
        <v>27126</v>
      </c>
      <c r="HD187" s="293" t="s">
        <v>80</v>
      </c>
      <c r="HF187" s="292" t="s">
        <v>481</v>
      </c>
      <c r="HG187" s="293">
        <f t="shared" si="443"/>
        <v>26867</v>
      </c>
      <c r="HH187" s="293">
        <f t="shared" si="443"/>
        <v>27301</v>
      </c>
      <c r="HI187" s="293">
        <f t="shared" si="443"/>
        <v>28259</v>
      </c>
      <c r="HJ187" s="293">
        <f t="shared" si="443"/>
        <v>28152</v>
      </c>
      <c r="HK187" s="293" t="s">
        <v>80</v>
      </c>
      <c r="HM187" s="292" t="s">
        <v>481</v>
      </c>
      <c r="HN187" s="293">
        <f t="shared" si="444"/>
        <v>27624</v>
      </c>
      <c r="HO187" s="293">
        <f t="shared" si="444"/>
        <v>27925</v>
      </c>
      <c r="HP187" s="293">
        <f t="shared" si="444"/>
        <v>28376</v>
      </c>
      <c r="HQ187" s="293">
        <f t="shared" si="444"/>
        <v>28960</v>
      </c>
      <c r="HR187" s="293" t="s">
        <v>80</v>
      </c>
      <c r="HT187" s="292" t="s">
        <v>481</v>
      </c>
      <c r="HU187" s="293">
        <f t="shared" si="445"/>
        <v>29136</v>
      </c>
      <c r="HV187" s="293">
        <f t="shared" si="445"/>
        <v>29057</v>
      </c>
      <c r="HW187" s="293">
        <f t="shared" si="445"/>
        <v>28956</v>
      </c>
      <c r="HX187" s="293">
        <f t="shared" si="445"/>
        <v>29093</v>
      </c>
      <c r="HY187" s="293" t="s">
        <v>80</v>
      </c>
      <c r="IA187" s="292" t="s">
        <v>481</v>
      </c>
      <c r="IB187" s="293">
        <f t="shared" si="446"/>
        <v>28801</v>
      </c>
      <c r="IC187" s="293">
        <f t="shared" si="446"/>
        <v>28984</v>
      </c>
      <c r="ID187" s="293">
        <f t="shared" si="446"/>
        <v>28131</v>
      </c>
      <c r="IE187" s="293">
        <f t="shared" si="446"/>
        <v>28087</v>
      </c>
      <c r="IF187" s="293" t="s">
        <v>80</v>
      </c>
      <c r="IH187" s="292" t="s">
        <v>481</v>
      </c>
      <c r="II187" s="293">
        <f t="shared" si="447"/>
        <v>27733</v>
      </c>
      <c r="IJ187" s="293">
        <f t="shared" si="447"/>
        <v>28159</v>
      </c>
      <c r="IK187" s="293">
        <f t="shared" si="447"/>
        <v>28199</v>
      </c>
      <c r="IL187" s="293">
        <f t="shared" si="447"/>
        <v>28294</v>
      </c>
      <c r="IM187" s="293" t="s">
        <v>80</v>
      </c>
      <c r="IO187" s="292" t="s">
        <v>481</v>
      </c>
      <c r="IP187" s="293">
        <f t="shared" si="448"/>
        <v>29327</v>
      </c>
      <c r="IQ187" s="293">
        <f t="shared" si="448"/>
        <v>29575</v>
      </c>
      <c r="IR187" s="293">
        <f t="shared" si="448"/>
        <v>28409</v>
      </c>
      <c r="IS187" s="293">
        <f t="shared" si="448"/>
        <v>27904</v>
      </c>
      <c r="IT187" s="293" t="s">
        <v>80</v>
      </c>
      <c r="IV187" s="292" t="s">
        <v>481</v>
      </c>
      <c r="IW187" s="293">
        <f t="shared" si="449"/>
        <v>25536</v>
      </c>
      <c r="IX187" s="293">
        <f t="shared" si="449"/>
        <v>25499</v>
      </c>
      <c r="IY187" s="293">
        <f t="shared" si="449"/>
        <v>24684</v>
      </c>
      <c r="IZ187" s="293">
        <f t="shared" si="449"/>
        <v>24764</v>
      </c>
      <c r="JA187" s="293" t="s">
        <v>80</v>
      </c>
      <c r="JC187" s="292" t="s">
        <v>481</v>
      </c>
      <c r="JD187" s="293">
        <f t="shared" si="450"/>
        <v>23988</v>
      </c>
      <c r="JE187" s="293">
        <f t="shared" si="450"/>
        <v>23482</v>
      </c>
      <c r="JF187" s="293">
        <f t="shared" si="450"/>
        <v>22190</v>
      </c>
      <c r="JG187" s="293">
        <f t="shared" si="450"/>
        <v>21675</v>
      </c>
      <c r="JH187" s="293" t="s">
        <v>80</v>
      </c>
      <c r="JJ187" s="292" t="s">
        <v>481</v>
      </c>
      <c r="JK187" s="293">
        <f t="shared" si="451"/>
        <v>20978</v>
      </c>
      <c r="JL187" s="293">
        <f t="shared" si="451"/>
        <v>20722</v>
      </c>
      <c r="JM187" s="293">
        <f t="shared" si="451"/>
        <v>20333</v>
      </c>
      <c r="JN187" s="293">
        <f t="shared" si="451"/>
        <v>20261</v>
      </c>
      <c r="JO187" s="293" t="s">
        <v>80</v>
      </c>
      <c r="JQ187" s="292" t="s">
        <v>481</v>
      </c>
      <c r="JR187" s="293">
        <f t="shared" si="452"/>
        <v>19885</v>
      </c>
      <c r="JS187" s="293">
        <f t="shared" si="452"/>
        <v>19650</v>
      </c>
      <c r="JT187" s="293">
        <f t="shared" si="452"/>
        <v>19115</v>
      </c>
      <c r="JU187" s="293">
        <f t="shared" si="452"/>
        <v>18783</v>
      </c>
      <c r="JV187" s="293" t="s">
        <v>80</v>
      </c>
      <c r="JX187" s="292" t="s">
        <v>481</v>
      </c>
      <c r="JY187" s="293">
        <f t="shared" si="453"/>
        <v>18412</v>
      </c>
      <c r="JZ187" s="293">
        <f t="shared" si="453"/>
        <v>17396</v>
      </c>
      <c r="KA187" s="293">
        <f t="shared" si="453"/>
        <v>17196</v>
      </c>
      <c r="KB187" s="293">
        <f t="shared" si="453"/>
        <v>17093</v>
      </c>
      <c r="KC187" s="293" t="s">
        <v>80</v>
      </c>
      <c r="KE187" s="292" t="s">
        <v>481</v>
      </c>
      <c r="KF187" s="293">
        <f t="shared" si="454"/>
        <v>17000</v>
      </c>
      <c r="KG187" s="293">
        <f t="shared" si="454"/>
        <v>17137</v>
      </c>
      <c r="KH187" s="293">
        <f t="shared" si="454"/>
        <v>16938</v>
      </c>
      <c r="KI187" s="293">
        <f t="shared" si="454"/>
        <v>17188</v>
      </c>
      <c r="KJ187" s="293" t="s">
        <v>80</v>
      </c>
      <c r="KL187" s="292" t="s">
        <v>481</v>
      </c>
      <c r="KM187" s="293">
        <f t="shared" si="455"/>
        <v>17485</v>
      </c>
      <c r="KN187" s="293">
        <f t="shared" si="455"/>
        <v>17571</v>
      </c>
      <c r="KO187" s="293">
        <f t="shared" si="455"/>
        <v>17675</v>
      </c>
      <c r="KP187" s="293">
        <f t="shared" si="455"/>
        <v>18194</v>
      </c>
      <c r="KQ187" s="293" t="s">
        <v>80</v>
      </c>
      <c r="KS187" s="292" t="s">
        <v>481</v>
      </c>
      <c r="KT187" s="293">
        <f t="shared" si="456"/>
        <v>18491</v>
      </c>
      <c r="KU187" s="293">
        <f t="shared" si="456"/>
        <v>18652</v>
      </c>
      <c r="KV187" s="293">
        <f t="shared" si="456"/>
        <v>18912</v>
      </c>
      <c r="KW187" s="293">
        <f t="shared" si="456"/>
        <v>19195</v>
      </c>
      <c r="KX187" s="293" t="s">
        <v>80</v>
      </c>
      <c r="KZ187" s="292" t="s">
        <v>481</v>
      </c>
      <c r="LA187" s="293"/>
      <c r="LB187" s="144"/>
      <c r="LC187" s="144"/>
      <c r="LD187" s="144"/>
      <c r="LE187" s="293"/>
      <c r="LF187" s="555"/>
      <c r="LG187" s="292" t="s">
        <v>481</v>
      </c>
      <c r="LH187" s="144"/>
      <c r="LI187" s="144"/>
      <c r="LJ187" s="144"/>
      <c r="LK187" s="144"/>
      <c r="LL187" s="293"/>
      <c r="LM187" s="555"/>
      <c r="LN187" s="292" t="s">
        <v>481</v>
      </c>
      <c r="LO187" s="144"/>
      <c r="LP187" s="144"/>
      <c r="LQ187" s="144"/>
      <c r="LR187" s="144"/>
      <c r="LS187" s="293"/>
      <c r="LT187" s="555"/>
      <c r="LU187" s="292" t="s">
        <v>481</v>
      </c>
      <c r="LV187" s="144"/>
      <c r="LW187" s="144"/>
      <c r="LX187" s="144"/>
      <c r="LY187" s="144"/>
      <c r="LZ187" s="293"/>
      <c r="MA187" s="555"/>
      <c r="MB187" s="292" t="s">
        <v>481</v>
      </c>
      <c r="MC187" s="144"/>
      <c r="MD187" s="144"/>
      <c r="ME187" s="144"/>
      <c r="MF187" s="144"/>
      <c r="MG187" s="293"/>
      <c r="MH187" s="555"/>
    </row>
    <row r="188" spans="1:346" s="37" customFormat="1" ht="13.15" outlineLevel="1" x14ac:dyDescent="0.4">
      <c r="A188" s="100"/>
      <c r="B188" s="292" t="s">
        <v>482</v>
      </c>
      <c r="C188" s="293"/>
      <c r="D188" s="293"/>
      <c r="E188" s="293"/>
      <c r="F188" s="293"/>
      <c r="G188" s="293"/>
      <c r="H188" s="293"/>
      <c r="I188" s="293"/>
      <c r="J188" s="293"/>
      <c r="K188" s="293"/>
      <c r="L188" s="293"/>
      <c r="M188" s="293"/>
      <c r="N188" s="293"/>
      <c r="O188" s="293"/>
      <c r="P188" s="293"/>
      <c r="Q188" s="293"/>
      <c r="R188" s="293"/>
      <c r="S188" s="293"/>
      <c r="T188" s="293"/>
      <c r="U188" s="293"/>
      <c r="V188" s="293"/>
      <c r="W188" s="293"/>
      <c r="X188" s="293"/>
      <c r="Y188" s="293"/>
      <c r="Z188" s="293"/>
      <c r="AA188" s="293"/>
      <c r="AB188" s="293"/>
      <c r="AC188" s="293"/>
      <c r="AD188" s="293"/>
      <c r="AE188" s="293"/>
      <c r="AF188" s="293"/>
      <c r="AG188" s="293"/>
      <c r="AH188" s="293"/>
      <c r="AI188" s="293"/>
      <c r="AJ188" s="293"/>
      <c r="AK188" s="293"/>
      <c r="AL188" s="293"/>
      <c r="AM188" s="293"/>
      <c r="AN188" s="293"/>
      <c r="AO188" s="293"/>
      <c r="AP188" s="293"/>
      <c r="AQ188" s="293"/>
      <c r="AR188" s="293"/>
      <c r="AS188" s="293"/>
      <c r="AT188" s="293"/>
      <c r="AU188" s="293"/>
      <c r="AV188" s="293"/>
      <c r="AW188" s="293"/>
      <c r="AX188" s="293"/>
      <c r="AY188" s="293"/>
      <c r="AZ188" s="293"/>
      <c r="BA188" s="293"/>
      <c r="BB188" s="293"/>
      <c r="BC188" s="293"/>
      <c r="BD188" s="293"/>
      <c r="BE188" s="293"/>
      <c r="BF188" s="293"/>
      <c r="BG188" s="293"/>
      <c r="BH188" s="293"/>
      <c r="BI188" s="293"/>
      <c r="BJ188" s="293"/>
      <c r="BK188" s="293"/>
      <c r="BL188" s="293"/>
      <c r="BM188" s="293"/>
      <c r="BO188" s="292" t="s">
        <v>482</v>
      </c>
      <c r="BP188" s="293"/>
      <c r="BQ188" s="293"/>
      <c r="BR188" s="293"/>
      <c r="BS188" s="293"/>
      <c r="BT188" s="293"/>
      <c r="BV188" s="292" t="s">
        <v>482</v>
      </c>
      <c r="BW188" s="293"/>
      <c r="BX188" s="293"/>
      <c r="BY188" s="293"/>
      <c r="BZ188" s="293"/>
      <c r="CA188" s="293"/>
      <c r="CC188" s="292" t="s">
        <v>482</v>
      </c>
      <c r="CD188" s="293"/>
      <c r="CE188" s="293"/>
      <c r="CF188" s="293"/>
      <c r="CG188" s="293"/>
      <c r="CH188" s="293"/>
      <c r="CJ188" s="292" t="s">
        <v>482</v>
      </c>
      <c r="CK188" s="293"/>
      <c r="CL188" s="293"/>
      <c r="CM188" s="293"/>
      <c r="CN188" s="293"/>
      <c r="CO188" s="293"/>
      <c r="CQ188" s="292" t="s">
        <v>482</v>
      </c>
      <c r="CR188" s="293"/>
      <c r="CS188" s="293"/>
      <c r="CT188" s="293"/>
      <c r="CU188" s="293"/>
      <c r="CV188" s="293"/>
      <c r="CX188" s="292" t="s">
        <v>482</v>
      </c>
      <c r="CY188" s="293"/>
      <c r="CZ188" s="293"/>
      <c r="DA188" s="293"/>
      <c r="DB188" s="293"/>
      <c r="DC188" s="293"/>
      <c r="DE188" s="292" t="s">
        <v>482</v>
      </c>
      <c r="DF188" s="293"/>
      <c r="DG188" s="293"/>
      <c r="DH188" s="293"/>
      <c r="DI188" s="293"/>
      <c r="DJ188" s="293"/>
      <c r="DL188" s="292" t="s">
        <v>482</v>
      </c>
      <c r="DM188" s="293"/>
      <c r="DN188" s="293"/>
      <c r="DO188" s="293"/>
      <c r="DP188" s="293"/>
      <c r="DQ188" s="293"/>
      <c r="DS188" s="292" t="s">
        <v>482</v>
      </c>
      <c r="DT188" s="293"/>
      <c r="DU188" s="293"/>
      <c r="DV188" s="293"/>
      <c r="DW188" s="293"/>
      <c r="DX188" s="293"/>
      <c r="DZ188" s="292" t="s">
        <v>482</v>
      </c>
      <c r="EA188" s="293"/>
      <c r="EB188" s="293"/>
      <c r="EC188" s="293"/>
      <c r="ED188" s="293"/>
      <c r="EE188" s="293"/>
      <c r="EG188" s="292" t="s">
        <v>482</v>
      </c>
      <c r="EH188" s="293"/>
      <c r="EI188" s="293"/>
      <c r="EJ188" s="293"/>
      <c r="EK188" s="293"/>
      <c r="EL188" s="293"/>
      <c r="EN188" s="292" t="s">
        <v>482</v>
      </c>
      <c r="EO188" s="293"/>
      <c r="EP188" s="293"/>
      <c r="EQ188" s="293"/>
      <c r="ER188" s="293"/>
      <c r="ES188" s="293"/>
      <c r="EU188" s="292" t="s">
        <v>482</v>
      </c>
      <c r="EV188" s="293"/>
      <c r="EW188" s="293"/>
      <c r="EX188" s="293"/>
      <c r="EY188" s="293"/>
      <c r="EZ188" s="293"/>
      <c r="FB188" s="292" t="s">
        <v>482</v>
      </c>
      <c r="FC188" s="293"/>
      <c r="FD188" s="293"/>
      <c r="FE188" s="293"/>
      <c r="FF188" s="293"/>
      <c r="FG188" s="293"/>
      <c r="FI188" s="292" t="s">
        <v>482</v>
      </c>
      <c r="FJ188" s="293"/>
      <c r="FK188" s="293"/>
      <c r="FL188" s="293"/>
      <c r="FM188" s="293"/>
      <c r="FN188" s="293"/>
      <c r="FP188" s="292" t="s">
        <v>482</v>
      </c>
      <c r="FQ188" s="293"/>
      <c r="FR188" s="293"/>
      <c r="FS188" s="293"/>
      <c r="FT188" s="293"/>
      <c r="FU188" s="293"/>
      <c r="FW188" s="292" t="s">
        <v>482</v>
      </c>
      <c r="FX188" s="293">
        <f t="shared" si="438"/>
        <v>30372</v>
      </c>
      <c r="FY188" s="293">
        <f t="shared" si="438"/>
        <v>30444</v>
      </c>
      <c r="FZ188" s="293">
        <f t="shared" si="438"/>
        <v>30559</v>
      </c>
      <c r="GA188" s="293">
        <f t="shared" si="438"/>
        <v>31014</v>
      </c>
      <c r="GB188" s="293" t="s">
        <v>80</v>
      </c>
      <c r="GD188" s="292" t="s">
        <v>482</v>
      </c>
      <c r="GE188" s="293">
        <f t="shared" si="439"/>
        <v>31150</v>
      </c>
      <c r="GF188" s="293">
        <f t="shared" si="439"/>
        <v>31363</v>
      </c>
      <c r="GG188" s="293">
        <f t="shared" si="439"/>
        <v>31504</v>
      </c>
      <c r="GH188" s="293">
        <f t="shared" si="439"/>
        <v>31802</v>
      </c>
      <c r="GI188" s="293" t="s">
        <v>80</v>
      </c>
      <c r="GK188" s="292" t="s">
        <v>482</v>
      </c>
      <c r="GL188" s="293">
        <f t="shared" si="440"/>
        <v>31278</v>
      </c>
      <c r="GM188" s="293">
        <f t="shared" si="440"/>
        <v>31301</v>
      </c>
      <c r="GN188" s="293">
        <f t="shared" si="440"/>
        <v>31107</v>
      </c>
      <c r="GO188" s="293">
        <f t="shared" si="440"/>
        <v>30597</v>
      </c>
      <c r="GP188" s="293" t="s">
        <v>80</v>
      </c>
      <c r="GR188" s="292" t="s">
        <v>482</v>
      </c>
      <c r="GS188" s="293">
        <f t="shared" si="441"/>
        <v>30301</v>
      </c>
      <c r="GT188" s="293">
        <f t="shared" si="441"/>
        <v>30357</v>
      </c>
      <c r="GU188" s="293">
        <f t="shared" si="441"/>
        <v>30336</v>
      </c>
      <c r="GV188" s="293">
        <f t="shared" si="441"/>
        <v>30412</v>
      </c>
      <c r="GW188" s="293" t="s">
        <v>80</v>
      </c>
      <c r="GY188" s="292" t="s">
        <v>482</v>
      </c>
      <c r="GZ188" s="293">
        <f t="shared" si="442"/>
        <v>28115</v>
      </c>
      <c r="HA188" s="293">
        <f t="shared" si="442"/>
        <v>27184</v>
      </c>
      <c r="HB188" s="293">
        <f t="shared" si="442"/>
        <v>27596</v>
      </c>
      <c r="HC188" s="293">
        <f t="shared" si="442"/>
        <v>26905</v>
      </c>
      <c r="HD188" s="293" t="s">
        <v>80</v>
      </c>
      <c r="HF188" s="292" t="s">
        <v>482</v>
      </c>
      <c r="HG188" s="293">
        <f t="shared" si="443"/>
        <v>27137</v>
      </c>
      <c r="HH188" s="293">
        <f t="shared" si="443"/>
        <v>27516</v>
      </c>
      <c r="HI188" s="293">
        <f t="shared" si="443"/>
        <v>28200</v>
      </c>
      <c r="HJ188" s="293">
        <f t="shared" si="443"/>
        <v>27334</v>
      </c>
      <c r="HK188" s="293" t="s">
        <v>80</v>
      </c>
      <c r="HM188" s="292" t="s">
        <v>482</v>
      </c>
      <c r="HN188" s="293">
        <f t="shared" si="444"/>
        <v>27852</v>
      </c>
      <c r="HO188" s="293">
        <f t="shared" si="444"/>
        <v>28150</v>
      </c>
      <c r="HP188" s="293">
        <f t="shared" si="444"/>
        <v>28527</v>
      </c>
      <c r="HQ188" s="293">
        <f t="shared" si="444"/>
        <v>28732</v>
      </c>
      <c r="HR188" s="293" t="s">
        <v>80</v>
      </c>
      <c r="HT188" s="292" t="s">
        <v>482</v>
      </c>
      <c r="HU188" s="293">
        <f t="shared" si="445"/>
        <v>29169</v>
      </c>
      <c r="HV188" s="293">
        <f t="shared" si="445"/>
        <v>28995</v>
      </c>
      <c r="HW188" s="293">
        <f t="shared" si="445"/>
        <v>28606</v>
      </c>
      <c r="HX188" s="293">
        <f t="shared" si="445"/>
        <v>28633</v>
      </c>
      <c r="HY188" s="293" t="s">
        <v>80</v>
      </c>
      <c r="IA188" s="292" t="s">
        <v>482</v>
      </c>
      <c r="IB188" s="293">
        <f t="shared" si="446"/>
        <v>28938</v>
      </c>
      <c r="IC188" s="293">
        <f t="shared" si="446"/>
        <v>29007</v>
      </c>
      <c r="ID188" s="293">
        <f t="shared" si="446"/>
        <v>27965</v>
      </c>
      <c r="IE188" s="293">
        <f t="shared" si="446"/>
        <v>27799</v>
      </c>
      <c r="IF188" s="293" t="s">
        <v>80</v>
      </c>
      <c r="IH188" s="292" t="s">
        <v>482</v>
      </c>
      <c r="II188" s="293">
        <f t="shared" si="447"/>
        <v>27803</v>
      </c>
      <c r="IJ188" s="293">
        <f t="shared" si="447"/>
        <v>28167</v>
      </c>
      <c r="IK188" s="293">
        <f t="shared" si="447"/>
        <v>28219</v>
      </c>
      <c r="IL188" s="293">
        <f t="shared" si="447"/>
        <v>28330</v>
      </c>
      <c r="IM188" s="293" t="s">
        <v>80</v>
      </c>
      <c r="IO188" s="292" t="s">
        <v>482</v>
      </c>
      <c r="IP188" s="293">
        <f t="shared" si="448"/>
        <v>29647</v>
      </c>
      <c r="IQ188" s="293">
        <f t="shared" si="448"/>
        <v>29296</v>
      </c>
      <c r="IR188" s="293">
        <f t="shared" si="448"/>
        <v>28150</v>
      </c>
      <c r="IS188" s="293">
        <f t="shared" si="448"/>
        <v>26783</v>
      </c>
      <c r="IT188" s="293" t="s">
        <v>80</v>
      </c>
      <c r="IV188" s="292" t="s">
        <v>482</v>
      </c>
      <c r="IW188" s="293">
        <f t="shared" si="449"/>
        <v>25514</v>
      </c>
      <c r="IX188" s="293">
        <f t="shared" si="449"/>
        <v>25237</v>
      </c>
      <c r="IY188" s="293">
        <f t="shared" si="449"/>
        <v>24593</v>
      </c>
      <c r="IZ188" s="293">
        <f t="shared" si="449"/>
        <v>24463</v>
      </c>
      <c r="JA188" s="293" t="s">
        <v>80</v>
      </c>
      <c r="JC188" s="292" t="s">
        <v>482</v>
      </c>
      <c r="JD188" s="293">
        <f t="shared" si="450"/>
        <v>24061</v>
      </c>
      <c r="JE188" s="293">
        <f t="shared" si="450"/>
        <v>23098</v>
      </c>
      <c r="JF188" s="293">
        <f t="shared" si="450"/>
        <v>22010</v>
      </c>
      <c r="JG188" s="293">
        <f t="shared" si="450"/>
        <v>21479</v>
      </c>
      <c r="JH188" s="293" t="s">
        <v>80</v>
      </c>
      <c r="JJ188" s="292" t="s">
        <v>482</v>
      </c>
      <c r="JK188" s="293">
        <f t="shared" si="451"/>
        <v>20686</v>
      </c>
      <c r="JL188" s="293">
        <f t="shared" si="451"/>
        <v>20527</v>
      </c>
      <c r="JM188" s="293">
        <f t="shared" si="451"/>
        <v>20324</v>
      </c>
      <c r="JN188" s="293">
        <f t="shared" si="451"/>
        <v>20094</v>
      </c>
      <c r="JO188" s="293" t="s">
        <v>80</v>
      </c>
      <c r="JQ188" s="292" t="s">
        <v>482</v>
      </c>
      <c r="JR188" s="293">
        <f t="shared" si="452"/>
        <v>19731</v>
      </c>
      <c r="JS188" s="293">
        <f t="shared" si="452"/>
        <v>19439</v>
      </c>
      <c r="JT188" s="293">
        <f t="shared" si="452"/>
        <v>19003</v>
      </c>
      <c r="JU188" s="293">
        <f t="shared" si="452"/>
        <v>18567</v>
      </c>
      <c r="JV188" s="293" t="s">
        <v>80</v>
      </c>
      <c r="JX188" s="292" t="s">
        <v>482</v>
      </c>
      <c r="JY188" s="293">
        <f t="shared" si="453"/>
        <v>18378</v>
      </c>
      <c r="JZ188" s="293">
        <f t="shared" si="453"/>
        <v>17004</v>
      </c>
      <c r="KA188" s="293">
        <f t="shared" si="453"/>
        <v>17241</v>
      </c>
      <c r="KB188" s="293">
        <f t="shared" si="453"/>
        <v>16885</v>
      </c>
      <c r="KC188" s="293" t="s">
        <v>80</v>
      </c>
      <c r="KE188" s="292" t="s">
        <v>482</v>
      </c>
      <c r="KF188" s="293">
        <f t="shared" si="454"/>
        <v>17128</v>
      </c>
      <c r="KG188" s="293">
        <f t="shared" si="454"/>
        <v>17167</v>
      </c>
      <c r="KH188" s="293">
        <f t="shared" si="454"/>
        <v>17006</v>
      </c>
      <c r="KI188" s="293">
        <f t="shared" si="454"/>
        <v>17250</v>
      </c>
      <c r="KJ188" s="293" t="s">
        <v>80</v>
      </c>
      <c r="KL188" s="292" t="s">
        <v>482</v>
      </c>
      <c r="KM188" s="293">
        <f t="shared" si="455"/>
        <v>17597</v>
      </c>
      <c r="KN188" s="293">
        <f t="shared" si="455"/>
        <v>17498</v>
      </c>
      <c r="KO188" s="293">
        <f t="shared" si="455"/>
        <v>17886</v>
      </c>
      <c r="KP188" s="293">
        <f t="shared" si="455"/>
        <v>18268</v>
      </c>
      <c r="KQ188" s="293" t="s">
        <v>80</v>
      </c>
      <c r="KS188" s="292" t="s">
        <v>482</v>
      </c>
      <c r="KT188" s="293">
        <f t="shared" si="456"/>
        <v>18484</v>
      </c>
      <c r="KU188" s="293">
        <f t="shared" si="456"/>
        <v>18680</v>
      </c>
      <c r="KV188" s="293">
        <f t="shared" si="456"/>
        <v>19016</v>
      </c>
      <c r="KW188" s="293">
        <f t="shared" si="456"/>
        <v>19298</v>
      </c>
      <c r="KX188" s="293" t="s">
        <v>80</v>
      </c>
      <c r="KZ188" s="292" t="s">
        <v>482</v>
      </c>
      <c r="LA188" s="293"/>
      <c r="LB188" s="144"/>
      <c r="LC188" s="144"/>
      <c r="LD188" s="144"/>
      <c r="LE188" s="293"/>
      <c r="LF188" s="555"/>
      <c r="LG188" s="292" t="s">
        <v>482</v>
      </c>
      <c r="LH188" s="144"/>
      <c r="LI188" s="144"/>
      <c r="LJ188" s="144"/>
      <c r="LK188" s="144"/>
      <c r="LL188" s="293"/>
      <c r="LM188" s="555"/>
      <c r="LN188" s="292" t="s">
        <v>482</v>
      </c>
      <c r="LO188" s="144"/>
      <c r="LP188" s="144"/>
      <c r="LQ188" s="144"/>
      <c r="LR188" s="144"/>
      <c r="LS188" s="293"/>
      <c r="LT188" s="555"/>
      <c r="LU188" s="292" t="s">
        <v>482</v>
      </c>
      <c r="LV188" s="144"/>
      <c r="LW188" s="144"/>
      <c r="LX188" s="144"/>
      <c r="LY188" s="144"/>
      <c r="LZ188" s="293"/>
      <c r="MA188" s="555"/>
      <c r="MB188" s="292" t="s">
        <v>482</v>
      </c>
      <c r="MC188" s="144"/>
      <c r="MD188" s="144"/>
      <c r="ME188" s="144"/>
      <c r="MF188" s="144"/>
      <c r="MG188" s="293"/>
      <c r="MH188" s="555"/>
    </row>
    <row r="189" spans="1:346" s="37" customFormat="1" ht="13.15" outlineLevel="1" x14ac:dyDescent="0.4">
      <c r="A189" s="100"/>
      <c r="B189" s="292"/>
      <c r="C189" s="293"/>
      <c r="D189" s="293"/>
      <c r="E189" s="293"/>
      <c r="F189" s="293"/>
      <c r="G189" s="293"/>
      <c r="H189" s="293"/>
      <c r="I189" s="293"/>
      <c r="J189" s="293"/>
      <c r="K189" s="293"/>
      <c r="L189" s="293"/>
      <c r="M189" s="293"/>
      <c r="N189" s="293"/>
      <c r="O189" s="293"/>
      <c r="P189" s="293"/>
      <c r="Q189" s="293"/>
      <c r="R189" s="293"/>
      <c r="S189" s="293"/>
      <c r="T189" s="293"/>
      <c r="U189" s="293"/>
      <c r="V189" s="293"/>
      <c r="W189" s="293"/>
      <c r="X189" s="293"/>
      <c r="Y189" s="293"/>
      <c r="Z189" s="293"/>
      <c r="AA189" s="293"/>
      <c r="AB189" s="293"/>
      <c r="AC189" s="293"/>
      <c r="AD189" s="293"/>
      <c r="AE189" s="293"/>
      <c r="AF189" s="293"/>
      <c r="AG189" s="293"/>
      <c r="AH189" s="293"/>
      <c r="AI189" s="293"/>
      <c r="AJ189" s="293"/>
      <c r="AK189" s="293"/>
      <c r="AL189" s="293"/>
      <c r="AM189" s="293"/>
      <c r="AN189" s="293"/>
      <c r="AO189" s="293"/>
      <c r="AP189" s="293"/>
      <c r="AQ189" s="293"/>
      <c r="AR189" s="293"/>
      <c r="AS189" s="293"/>
      <c r="AT189" s="293"/>
      <c r="AU189" s="293"/>
      <c r="AV189" s="293"/>
      <c r="AW189" s="293"/>
      <c r="AX189" s="293"/>
      <c r="AY189" s="293"/>
      <c r="AZ189" s="293"/>
      <c r="BA189" s="293"/>
      <c r="BB189" s="293"/>
      <c r="BC189" s="293"/>
      <c r="BD189" s="293"/>
      <c r="BE189" s="293"/>
      <c r="BF189" s="293"/>
      <c r="BG189" s="293"/>
      <c r="BH189" s="293"/>
      <c r="BI189" s="293"/>
      <c r="BJ189" s="293"/>
      <c r="BK189" s="293"/>
      <c r="BL189" s="293"/>
      <c r="BM189" s="293"/>
      <c r="BO189" s="292"/>
      <c r="BP189" s="293"/>
      <c r="BQ189" s="293"/>
      <c r="BR189" s="293"/>
      <c r="BS189" s="293"/>
      <c r="BT189" s="293"/>
      <c r="BV189" s="292"/>
      <c r="BW189" s="293"/>
      <c r="BX189" s="293"/>
      <c r="BY189" s="293"/>
      <c r="BZ189" s="293"/>
      <c r="CA189" s="293"/>
      <c r="CC189" s="292"/>
      <c r="CD189" s="293"/>
      <c r="CE189" s="293"/>
      <c r="CF189" s="293"/>
      <c r="CG189" s="293"/>
      <c r="CH189" s="293"/>
      <c r="CJ189" s="292"/>
      <c r="CK189" s="293"/>
      <c r="CL189" s="293"/>
      <c r="CM189" s="293"/>
      <c r="CN189" s="293"/>
      <c r="CO189" s="293"/>
      <c r="CQ189" s="292"/>
      <c r="CR189" s="293"/>
      <c r="CS189" s="293"/>
      <c r="CT189" s="293"/>
      <c r="CU189" s="293"/>
      <c r="CV189" s="293"/>
      <c r="CX189" s="292"/>
      <c r="CY189" s="293"/>
      <c r="CZ189" s="293"/>
      <c r="DA189" s="293"/>
      <c r="DB189" s="293"/>
      <c r="DC189" s="293"/>
      <c r="DE189" s="292"/>
      <c r="DF189" s="293"/>
      <c r="DG189" s="293"/>
      <c r="DH189" s="293"/>
      <c r="DI189" s="293"/>
      <c r="DJ189" s="293"/>
      <c r="DL189" s="292"/>
      <c r="DM189" s="293"/>
      <c r="DN189" s="293"/>
      <c r="DO189" s="293"/>
      <c r="DP189" s="293"/>
      <c r="DQ189" s="293"/>
      <c r="DS189" s="292"/>
      <c r="DT189" s="293"/>
      <c r="DU189" s="293"/>
      <c r="DV189" s="293"/>
      <c r="DW189" s="293"/>
      <c r="DX189" s="293"/>
      <c r="DZ189" s="292"/>
      <c r="EA189" s="293"/>
      <c r="EB189" s="293"/>
      <c r="EC189" s="293"/>
      <c r="ED189" s="293"/>
      <c r="EE189" s="293"/>
      <c r="EG189" s="292"/>
      <c r="EH189" s="293"/>
      <c r="EI189" s="293"/>
      <c r="EJ189" s="293"/>
      <c r="EK189" s="293"/>
      <c r="EL189" s="293"/>
      <c r="EN189" s="292"/>
      <c r="EO189" s="293"/>
      <c r="EP189" s="293"/>
      <c r="EQ189" s="293"/>
      <c r="ER189" s="293"/>
      <c r="ES189" s="293"/>
      <c r="EU189" s="292"/>
      <c r="EV189" s="293"/>
      <c r="EW189" s="293"/>
      <c r="EX189" s="293"/>
      <c r="EY189" s="293"/>
      <c r="EZ189" s="293"/>
      <c r="FB189" s="292"/>
      <c r="FC189" s="293"/>
      <c r="FD189" s="293"/>
      <c r="FE189" s="293"/>
      <c r="FF189" s="293"/>
      <c r="FG189" s="293"/>
      <c r="FI189" s="292"/>
      <c r="FJ189" s="293"/>
      <c r="FK189" s="293"/>
      <c r="FL189" s="293"/>
      <c r="FM189" s="293"/>
      <c r="FN189" s="293"/>
      <c r="FP189" s="292"/>
      <c r="FQ189" s="293"/>
      <c r="FR189" s="293"/>
      <c r="FS189" s="293"/>
      <c r="FT189" s="293"/>
      <c r="FU189" s="293"/>
      <c r="FW189" s="292"/>
      <c r="FX189" s="293"/>
      <c r="FY189" s="293"/>
      <c r="FZ189" s="293"/>
      <c r="GA189" s="293"/>
      <c r="GB189" s="293"/>
      <c r="GD189" s="292"/>
      <c r="GE189" s="293"/>
      <c r="GF189" s="293"/>
      <c r="GG189" s="293"/>
      <c r="GH189" s="293"/>
      <c r="GI189" s="293"/>
      <c r="GK189" s="292"/>
      <c r="GL189" s="293"/>
      <c r="GM189" s="293"/>
      <c r="GN189" s="293"/>
      <c r="GO189" s="293"/>
      <c r="GP189" s="293"/>
      <c r="GR189" s="292"/>
      <c r="GS189" s="293"/>
      <c r="GT189" s="293"/>
      <c r="GU189" s="293"/>
      <c r="GV189" s="293"/>
      <c r="GW189" s="293"/>
      <c r="GY189" s="292"/>
      <c r="GZ189" s="293"/>
      <c r="HA189" s="293"/>
      <c r="HB189" s="293"/>
      <c r="HC189" s="293"/>
      <c r="HD189" s="293"/>
      <c r="HF189" s="292"/>
      <c r="HG189" s="293"/>
      <c r="HH189" s="293"/>
      <c r="HI189" s="293"/>
      <c r="HJ189" s="293"/>
      <c r="HK189" s="293"/>
      <c r="HM189" s="292"/>
      <c r="HN189" s="293"/>
      <c r="HO189" s="293"/>
      <c r="HP189" s="293"/>
      <c r="HQ189" s="293"/>
      <c r="HR189" s="293"/>
      <c r="HT189" s="292"/>
      <c r="HU189" s="293"/>
      <c r="HV189" s="293"/>
      <c r="HW189" s="293"/>
      <c r="HX189" s="293"/>
      <c r="HY189" s="293"/>
      <c r="IA189" s="292"/>
      <c r="IB189" s="293"/>
      <c r="IC189" s="293"/>
      <c r="ID189" s="293"/>
      <c r="IE189" s="293"/>
      <c r="IF189" s="293"/>
      <c r="IH189" s="292"/>
      <c r="II189" s="293"/>
      <c r="IJ189" s="293"/>
      <c r="IK189" s="293"/>
      <c r="IL189" s="293"/>
      <c r="IM189" s="293"/>
      <c r="IO189" s="292"/>
      <c r="IP189" s="293"/>
      <c r="IQ189" s="293"/>
      <c r="IR189" s="293"/>
      <c r="IS189" s="293"/>
      <c r="IT189" s="293"/>
      <c r="IV189" s="292"/>
      <c r="IW189" s="293"/>
      <c r="IX189" s="293"/>
      <c r="IY189" s="293"/>
      <c r="IZ189" s="293"/>
      <c r="JA189" s="293"/>
      <c r="JC189" s="292"/>
      <c r="JD189" s="293"/>
      <c r="JE189" s="293"/>
      <c r="JF189" s="293"/>
      <c r="JG189" s="293"/>
      <c r="JH189" s="293"/>
      <c r="JJ189" s="292"/>
      <c r="JK189" s="293"/>
      <c r="JL189" s="293"/>
      <c r="JM189" s="293"/>
      <c r="JN189" s="293"/>
      <c r="JO189" s="293"/>
      <c r="JQ189" s="292"/>
      <c r="JR189" s="293"/>
      <c r="JS189" s="293"/>
      <c r="JT189" s="293"/>
      <c r="JU189" s="293"/>
      <c r="JV189" s="293"/>
      <c r="JX189" s="292"/>
      <c r="JY189" s="293"/>
      <c r="JZ189" s="293"/>
      <c r="KA189" s="293"/>
      <c r="KB189" s="293"/>
      <c r="KC189" s="293"/>
      <c r="KE189" s="292"/>
      <c r="KF189" s="293"/>
      <c r="KG189" s="293"/>
      <c r="KH189" s="293"/>
      <c r="KI189" s="293"/>
      <c r="KJ189" s="293"/>
      <c r="KL189" s="292"/>
      <c r="KM189" s="293"/>
      <c r="KN189" s="293"/>
      <c r="KO189" s="293"/>
      <c r="KP189" s="293"/>
      <c r="KQ189" s="293"/>
      <c r="KS189" s="292"/>
      <c r="KT189" s="293"/>
      <c r="KU189" s="293"/>
      <c r="KV189" s="293"/>
      <c r="KW189" s="293"/>
      <c r="KX189" s="293"/>
      <c r="KZ189" s="292"/>
      <c r="LA189" s="293"/>
      <c r="LB189" s="144"/>
      <c r="LC189" s="144"/>
      <c r="LD189" s="144"/>
      <c r="LE189" s="293"/>
      <c r="LF189" s="555"/>
      <c r="LG189" s="292"/>
      <c r="LH189" s="144"/>
      <c r="LI189" s="144"/>
      <c r="LJ189" s="144"/>
      <c r="LK189" s="144"/>
      <c r="LL189" s="293"/>
      <c r="LM189" s="555"/>
      <c r="LN189" s="292"/>
      <c r="LO189" s="144"/>
      <c r="LP189" s="144"/>
      <c r="LQ189" s="144"/>
      <c r="LR189" s="144"/>
      <c r="LS189" s="293"/>
      <c r="LT189" s="555"/>
      <c r="LU189" s="292"/>
      <c r="LV189" s="144"/>
      <c r="LW189" s="144"/>
      <c r="LX189" s="144"/>
      <c r="LY189" s="144"/>
      <c r="LZ189" s="293"/>
      <c r="MA189" s="555"/>
      <c r="MB189" s="292"/>
      <c r="MC189" s="144"/>
      <c r="MD189" s="144"/>
      <c r="ME189" s="144"/>
      <c r="MF189" s="144"/>
      <c r="MG189" s="293"/>
      <c r="MH189" s="555"/>
    </row>
    <row r="190" spans="1:346" s="37" customFormat="1" ht="13.15" outlineLevel="1" x14ac:dyDescent="0.4">
      <c r="A190" s="100"/>
      <c r="B190" s="296" t="s">
        <v>484</v>
      </c>
      <c r="C190" s="297"/>
      <c r="D190" s="297"/>
      <c r="E190" s="297"/>
      <c r="F190" s="297"/>
      <c r="G190" s="297"/>
      <c r="H190" s="297"/>
      <c r="I190" s="297"/>
      <c r="J190" s="297"/>
      <c r="K190" s="297"/>
      <c r="L190" s="297"/>
      <c r="M190" s="297"/>
      <c r="N190" s="297">
        <f>BT190</f>
        <v>0</v>
      </c>
      <c r="O190" s="297">
        <f>CA190</f>
        <v>0</v>
      </c>
      <c r="P190" s="297">
        <f>CH190</f>
        <v>0</v>
      </c>
      <c r="Q190" s="297">
        <f>CO190</f>
        <v>0</v>
      </c>
      <c r="R190" s="297">
        <f>CV190</f>
        <v>0</v>
      </c>
      <c r="S190" s="297">
        <f>DC190</f>
        <v>0</v>
      </c>
      <c r="T190" s="297">
        <f>DJ190</f>
        <v>0</v>
      </c>
      <c r="U190" s="297">
        <f>DQ190</f>
        <v>0</v>
      </c>
      <c r="V190" s="297">
        <f>DX190</f>
        <v>0</v>
      </c>
      <c r="W190" s="297">
        <f>EE190</f>
        <v>0</v>
      </c>
      <c r="X190" s="297">
        <f>EL190</f>
        <v>0</v>
      </c>
      <c r="Y190" s="297">
        <f>ES190</f>
        <v>0</v>
      </c>
      <c r="Z190" s="297">
        <f>EZ190</f>
        <v>0</v>
      </c>
      <c r="AA190" s="297">
        <f>FG190</f>
        <v>0</v>
      </c>
      <c r="AB190" s="297">
        <f>FN190</f>
        <v>0</v>
      </c>
      <c r="AC190" s="297">
        <f>FU190</f>
        <v>0</v>
      </c>
      <c r="AD190" s="297">
        <f>GB190</f>
        <v>33101.25</v>
      </c>
      <c r="AE190" s="297">
        <f>GI190</f>
        <v>34013.25</v>
      </c>
      <c r="AF190" s="297">
        <f>GP190</f>
        <v>33455.25</v>
      </c>
      <c r="AG190" s="297">
        <f>GW190</f>
        <v>33420.75</v>
      </c>
      <c r="AH190" s="297">
        <f>HD190</f>
        <v>30088.25</v>
      </c>
      <c r="AI190" s="297">
        <f>HK190</f>
        <v>30040.25</v>
      </c>
      <c r="AJ190" s="297">
        <f>HR190</f>
        <v>31344.25</v>
      </c>
      <c r="AK190" s="297">
        <f>HY190</f>
        <v>32120.5</v>
      </c>
      <c r="AL190" s="297">
        <f>IF190</f>
        <v>31254.75</v>
      </c>
      <c r="AM190" s="297">
        <f>IM190</f>
        <v>31566.5</v>
      </c>
      <c r="AN190" s="297">
        <f>IT190</f>
        <v>31297.5</v>
      </c>
      <c r="AO190" s="297">
        <f>JA190</f>
        <v>27674</v>
      </c>
      <c r="AP190" s="297">
        <f>JH190</f>
        <v>25230</v>
      </c>
      <c r="AQ190" s="297">
        <f>JO190</f>
        <v>22901</v>
      </c>
      <c r="AR190" s="297">
        <f>JV190</f>
        <v>21561</v>
      </c>
      <c r="AS190" s="297">
        <f>KC190</f>
        <v>19630</v>
      </c>
      <c r="AT190" s="297">
        <f>KJ190</f>
        <v>19889</v>
      </c>
      <c r="AU190" s="297">
        <f>KQ190</f>
        <v>21637</v>
      </c>
      <c r="AV190" s="297">
        <f>KX190</f>
        <v>22845</v>
      </c>
      <c r="AW190" s="297">
        <f>LE190</f>
        <v>0</v>
      </c>
      <c r="AX190" s="297">
        <f>LL190</f>
        <v>0</v>
      </c>
      <c r="AY190" s="297">
        <f>LS190</f>
        <v>0</v>
      </c>
      <c r="AZ190" s="297">
        <f>LZ190</f>
        <v>0</v>
      </c>
      <c r="BA190" s="297">
        <f>MG190</f>
        <v>0</v>
      </c>
      <c r="BB190" s="297"/>
      <c r="BC190" s="297"/>
      <c r="BD190" s="297"/>
      <c r="BE190" s="297"/>
      <c r="BF190" s="297"/>
      <c r="BG190" s="297"/>
      <c r="BH190" s="297"/>
      <c r="BI190" s="297"/>
      <c r="BJ190" s="297"/>
      <c r="BK190" s="297"/>
      <c r="BL190" s="297"/>
      <c r="BM190" s="297"/>
      <c r="BO190" s="296" t="s">
        <v>484</v>
      </c>
      <c r="BP190" s="297"/>
      <c r="BQ190" s="297"/>
      <c r="BR190" s="297"/>
      <c r="BS190" s="297"/>
      <c r="BT190" s="297"/>
      <c r="BV190" s="296" t="s">
        <v>484</v>
      </c>
      <c r="BW190" s="297"/>
      <c r="BX190" s="297"/>
      <c r="BY190" s="297"/>
      <c r="BZ190" s="297"/>
      <c r="CA190" s="297"/>
      <c r="CC190" s="296" t="s">
        <v>484</v>
      </c>
      <c r="CD190" s="297"/>
      <c r="CE190" s="297"/>
      <c r="CF190" s="297"/>
      <c r="CG190" s="297"/>
      <c r="CH190" s="297"/>
      <c r="CJ190" s="296" t="s">
        <v>484</v>
      </c>
      <c r="CK190" s="297"/>
      <c r="CL190" s="297"/>
      <c r="CM190" s="297"/>
      <c r="CN190" s="297"/>
      <c r="CO190" s="297"/>
      <c r="CQ190" s="296" t="s">
        <v>484</v>
      </c>
      <c r="CR190" s="297"/>
      <c r="CS190" s="297"/>
      <c r="CT190" s="297"/>
      <c r="CU190" s="297"/>
      <c r="CV190" s="297"/>
      <c r="CX190" s="296" t="s">
        <v>484</v>
      </c>
      <c r="CY190" s="297"/>
      <c r="CZ190" s="297"/>
      <c r="DA190" s="297"/>
      <c r="DB190" s="297"/>
      <c r="DC190" s="297"/>
      <c r="DE190" s="296" t="s">
        <v>484</v>
      </c>
      <c r="DF190" s="297"/>
      <c r="DG190" s="297"/>
      <c r="DH190" s="297"/>
      <c r="DI190" s="297"/>
      <c r="DJ190" s="297"/>
      <c r="DL190" s="296" t="s">
        <v>484</v>
      </c>
      <c r="DM190" s="297"/>
      <c r="DN190" s="297"/>
      <c r="DO190" s="297"/>
      <c r="DP190" s="297"/>
      <c r="DQ190" s="297"/>
      <c r="DS190" s="296" t="s">
        <v>484</v>
      </c>
      <c r="DT190" s="297"/>
      <c r="DU190" s="297"/>
      <c r="DV190" s="297"/>
      <c r="DW190" s="297"/>
      <c r="DX190" s="297"/>
      <c r="DZ190" s="296" t="s">
        <v>484</v>
      </c>
      <c r="EA190" s="297"/>
      <c r="EB190" s="297"/>
      <c r="EC190" s="297"/>
      <c r="ED190" s="297"/>
      <c r="EE190" s="297"/>
      <c r="EG190" s="296" t="s">
        <v>484</v>
      </c>
      <c r="EH190" s="297"/>
      <c r="EI190" s="297"/>
      <c r="EJ190" s="297"/>
      <c r="EK190" s="297"/>
      <c r="EL190" s="297"/>
      <c r="EN190" s="296" t="s">
        <v>484</v>
      </c>
      <c r="EO190" s="297"/>
      <c r="EP190" s="297"/>
      <c r="EQ190" s="297"/>
      <c r="ER190" s="297"/>
      <c r="ES190" s="297"/>
      <c r="EU190" s="296" t="s">
        <v>484</v>
      </c>
      <c r="EV190" s="297"/>
      <c r="EW190" s="297"/>
      <c r="EX190" s="297"/>
      <c r="EY190" s="297"/>
      <c r="EZ190" s="297"/>
      <c r="FB190" s="296" t="s">
        <v>484</v>
      </c>
      <c r="FC190" s="297"/>
      <c r="FD190" s="297"/>
      <c r="FE190" s="297"/>
      <c r="FF190" s="297"/>
      <c r="FG190" s="297"/>
      <c r="FI190" s="296" t="s">
        <v>484</v>
      </c>
      <c r="FJ190" s="297"/>
      <c r="FK190" s="297"/>
      <c r="FL190" s="297"/>
      <c r="FM190" s="297"/>
      <c r="FN190" s="297"/>
      <c r="FP190" s="296" t="s">
        <v>484</v>
      </c>
      <c r="FQ190" s="297"/>
      <c r="FR190" s="297"/>
      <c r="FS190" s="297"/>
      <c r="FT190" s="297"/>
      <c r="FU190" s="297"/>
      <c r="FW190" s="296" t="s">
        <v>484</v>
      </c>
      <c r="FX190" s="297">
        <f>Expense!FX80</f>
        <v>32304</v>
      </c>
      <c r="FY190" s="297">
        <f>Expense!FY80</f>
        <v>33081</v>
      </c>
      <c r="FZ190" s="297">
        <f>Expense!FZ80</f>
        <v>33429</v>
      </c>
      <c r="GA190" s="297">
        <f>Expense!GA80</f>
        <v>33591</v>
      </c>
      <c r="GB190" s="297">
        <f>Expense!GB80</f>
        <v>33101.25</v>
      </c>
      <c r="GD190" s="296" t="s">
        <v>484</v>
      </c>
      <c r="GE190" s="297">
        <f>Expense!GE80</f>
        <v>33651</v>
      </c>
      <c r="GF190" s="297">
        <f>Expense!GF80</f>
        <v>34159</v>
      </c>
      <c r="GG190" s="297">
        <f>Expense!GG80</f>
        <v>34154</v>
      </c>
      <c r="GH190" s="297">
        <f>Expense!GH80</f>
        <v>34089</v>
      </c>
      <c r="GI190" s="297">
        <f>Expense!GI80</f>
        <v>34013.25</v>
      </c>
      <c r="GK190" s="296" t="s">
        <v>484</v>
      </c>
      <c r="GL190" s="297">
        <f>Expense!GL80</f>
        <v>33638</v>
      </c>
      <c r="GM190" s="297">
        <f>Expense!GM80</f>
        <v>33638</v>
      </c>
      <c r="GN190" s="297">
        <f>Expense!GN80</f>
        <v>33639</v>
      </c>
      <c r="GO190" s="297">
        <f>Expense!GO80</f>
        <v>32906</v>
      </c>
      <c r="GP190" s="297">
        <f>Expense!GP80</f>
        <v>33455.25</v>
      </c>
      <c r="GR190" s="296" t="s">
        <v>484</v>
      </c>
      <c r="GS190" s="297">
        <f>Expense!GS80</f>
        <v>33810</v>
      </c>
      <c r="GT190" s="297">
        <f>Expense!GT80</f>
        <v>33082</v>
      </c>
      <c r="GU190" s="297">
        <f>Expense!GU80</f>
        <v>33428</v>
      </c>
      <c r="GV190" s="297">
        <f>Expense!GV80</f>
        <v>33363</v>
      </c>
      <c r="GW190" s="297">
        <f>Expense!GW80</f>
        <v>33420.75</v>
      </c>
      <c r="GY190" s="296" t="s">
        <v>484</v>
      </c>
      <c r="GZ190" s="297">
        <f>Expense!GZ80</f>
        <v>31175</v>
      </c>
      <c r="HA190" s="297">
        <f>Expense!HA80</f>
        <v>29878</v>
      </c>
      <c r="HB190" s="297">
        <f>Expense!HB80</f>
        <v>29883</v>
      </c>
      <c r="HC190" s="297">
        <f>Expense!HC80</f>
        <v>29417</v>
      </c>
      <c r="HD190" s="297">
        <f>Expense!HD80</f>
        <v>30088.25</v>
      </c>
      <c r="HF190" s="296" t="s">
        <v>484</v>
      </c>
      <c r="HG190" s="297">
        <f>Expense!HG80</f>
        <v>29310</v>
      </c>
      <c r="HH190" s="297">
        <f>Expense!HH80</f>
        <v>30250</v>
      </c>
      <c r="HI190" s="297">
        <f>Expense!HI80</f>
        <v>30370</v>
      </c>
      <c r="HJ190" s="297">
        <f>Expense!HJ80</f>
        <v>30231</v>
      </c>
      <c r="HK190" s="297">
        <f>Expense!HK80</f>
        <v>30040.25</v>
      </c>
      <c r="HM190" s="296" t="s">
        <v>484</v>
      </c>
      <c r="HN190" s="297">
        <f>Expense!HN80</f>
        <v>30444</v>
      </c>
      <c r="HO190" s="297">
        <f>Expense!HO80</f>
        <v>31130</v>
      </c>
      <c r="HP190" s="297">
        <f>Expense!HP80</f>
        <v>31664</v>
      </c>
      <c r="HQ190" s="297">
        <f>Expense!HQ80</f>
        <v>32139</v>
      </c>
      <c r="HR190" s="297">
        <f>Expense!HR80</f>
        <v>31344.25</v>
      </c>
      <c r="HT190" s="296" t="s">
        <v>484</v>
      </c>
      <c r="HU190" s="297">
        <f>Expense!HU80</f>
        <v>32393</v>
      </c>
      <c r="HV190" s="297">
        <f>Expense!HV80</f>
        <v>32422</v>
      </c>
      <c r="HW190" s="297">
        <f>Expense!HW80</f>
        <v>32204</v>
      </c>
      <c r="HX190" s="297">
        <f>Expense!HX80</f>
        <v>31463</v>
      </c>
      <c r="HY190" s="297">
        <f>Expense!HY80</f>
        <v>32120.5</v>
      </c>
      <c r="IA190" s="296" t="s">
        <v>484</v>
      </c>
      <c r="IB190" s="297">
        <f>Expense!IB80</f>
        <v>31010</v>
      </c>
      <c r="IC190" s="297">
        <f>Expense!IC80</f>
        <v>31291</v>
      </c>
      <c r="ID190" s="297">
        <f>Expense!ID80</f>
        <v>31265</v>
      </c>
      <c r="IE190" s="297">
        <f>Expense!IE80</f>
        <v>31453</v>
      </c>
      <c r="IF190" s="297">
        <f>Expense!IF80</f>
        <v>31254.75</v>
      </c>
      <c r="IH190" s="296" t="s">
        <v>484</v>
      </c>
      <c r="II190" s="297">
        <f>Expense!II80</f>
        <v>31175</v>
      </c>
      <c r="IJ190" s="297">
        <f>Expense!IJ80</f>
        <v>31380</v>
      </c>
      <c r="IK190" s="297">
        <f>Expense!IK80</f>
        <v>31590</v>
      </c>
      <c r="IL190" s="297">
        <f>Expense!IL80</f>
        <v>32121</v>
      </c>
      <c r="IM190" s="297">
        <f>Expense!IM80</f>
        <v>31566.5</v>
      </c>
      <c r="IO190" s="296" t="s">
        <v>484</v>
      </c>
      <c r="IP190" s="297">
        <f>Expense!IP80</f>
        <v>32335</v>
      </c>
      <c r="IQ190" s="297">
        <f>Expense!IQ80</f>
        <v>32191</v>
      </c>
      <c r="IR190" s="297">
        <f>Expense!IR80</f>
        <v>30889</v>
      </c>
      <c r="IS190" s="297">
        <f>Expense!IS80</f>
        <v>29775</v>
      </c>
      <c r="IT190" s="297">
        <f>Expense!IT80</f>
        <v>31297.5</v>
      </c>
      <c r="IV190" s="296" t="s">
        <v>484</v>
      </c>
      <c r="IW190" s="297">
        <f>Expense!IW80</f>
        <v>28305</v>
      </c>
      <c r="IX190" s="297">
        <f>Expense!IX80</f>
        <v>27936</v>
      </c>
      <c r="IY190" s="297">
        <f>Expense!IY80</f>
        <v>27275</v>
      </c>
      <c r="IZ190" s="297">
        <f>Expense!IZ80</f>
        <v>27178</v>
      </c>
      <c r="JA190" s="297">
        <f>Expense!JA80</f>
        <v>27674</v>
      </c>
      <c r="JC190" s="296" t="s">
        <v>484</v>
      </c>
      <c r="JD190" s="297">
        <f>Expense!JD80</f>
        <v>26504</v>
      </c>
      <c r="JE190" s="297">
        <f>Expense!JE80</f>
        <v>25785</v>
      </c>
      <c r="JF190" s="297">
        <f>Expense!JF80</f>
        <v>24608</v>
      </c>
      <c r="JG190" s="297">
        <f>Expense!JG80</f>
        <v>24025</v>
      </c>
      <c r="JH190" s="297">
        <f>Expense!JH80</f>
        <v>25230</v>
      </c>
      <c r="JJ190" s="296" t="s">
        <v>484</v>
      </c>
      <c r="JK190" s="297">
        <f>Expense!JK80</f>
        <v>23482</v>
      </c>
      <c r="JL190" s="297">
        <f>Expense!JL80</f>
        <v>22942</v>
      </c>
      <c r="JM190" s="297">
        <f>Expense!JM80</f>
        <v>22696</v>
      </c>
      <c r="JN190" s="297">
        <f>Expense!JN80</f>
        <v>22484</v>
      </c>
      <c r="JO190" s="297">
        <f>Expense!JO80</f>
        <v>22901</v>
      </c>
      <c r="JQ190" s="296" t="s">
        <v>484</v>
      </c>
      <c r="JR190" s="297">
        <f>Expense!JR80</f>
        <v>22194</v>
      </c>
      <c r="JS190" s="297">
        <f>Expense!JS80</f>
        <v>21806</v>
      </c>
      <c r="JT190" s="297">
        <f>Expense!JT80</f>
        <v>21331</v>
      </c>
      <c r="JU190" s="297">
        <f>Expense!JU80</f>
        <v>20912</v>
      </c>
      <c r="JV190" s="297">
        <f>Expense!JV80</f>
        <v>21561</v>
      </c>
      <c r="JX190" s="296" t="s">
        <v>484</v>
      </c>
      <c r="JY190" s="297">
        <f>Expense!JY80</f>
        <v>20627</v>
      </c>
      <c r="JZ190" s="297">
        <f>Expense!JZ80</f>
        <v>19339</v>
      </c>
      <c r="KA190" s="297">
        <f>Expense!KA80</f>
        <v>19313</v>
      </c>
      <c r="KB190" s="297">
        <f>Expense!KB80</f>
        <v>19240</v>
      </c>
      <c r="KC190" s="297">
        <f>Expense!KC80</f>
        <v>19630</v>
      </c>
      <c r="KE190" s="296" t="s">
        <v>484</v>
      </c>
      <c r="KF190" s="297">
        <f>Expense!KF80</f>
        <v>19200</v>
      </c>
      <c r="KG190" s="297">
        <f>Expense!KG80</f>
        <v>19146</v>
      </c>
      <c r="KH190" s="297">
        <f>Expense!KH80</f>
        <v>20489</v>
      </c>
      <c r="KI190" s="297">
        <f>Expense!KI80</f>
        <v>20719</v>
      </c>
      <c r="KJ190" s="297">
        <f>Expense!KJ80</f>
        <v>19889</v>
      </c>
      <c r="KL190" s="296" t="s">
        <v>484</v>
      </c>
      <c r="KM190" s="297">
        <f>Expense!KM80</f>
        <v>20841</v>
      </c>
      <c r="KN190" s="297">
        <f>Expense!KN80</f>
        <v>21270</v>
      </c>
      <c r="KO190" s="297">
        <f>Expense!KO80</f>
        <v>21786</v>
      </c>
      <c r="KP190" s="297">
        <f>Expense!KP80</f>
        <v>22395</v>
      </c>
      <c r="KQ190" s="297">
        <f>Expense!KQ80</f>
        <v>21637</v>
      </c>
      <c r="KS190" s="296" t="s">
        <v>484</v>
      </c>
      <c r="KT190" s="297">
        <f>Expense!KT80</f>
        <v>22612</v>
      </c>
      <c r="KU190" s="297">
        <f>Expense!KU80</f>
        <v>22700</v>
      </c>
      <c r="KV190" s="297">
        <f>Expense!KV80</f>
        <v>22884</v>
      </c>
      <c r="KW190" s="297">
        <f>Expense!KW80</f>
        <v>23183</v>
      </c>
      <c r="KX190" s="297">
        <f>Expense!KX80</f>
        <v>22845</v>
      </c>
      <c r="KZ190" s="296" t="s">
        <v>484</v>
      </c>
      <c r="LA190" s="297"/>
      <c r="LB190" s="144"/>
      <c r="LC190" s="144"/>
      <c r="LD190" s="144"/>
      <c r="LE190" s="293"/>
      <c r="LF190" s="555"/>
      <c r="LG190" s="296" t="s">
        <v>484</v>
      </c>
      <c r="LH190" s="144"/>
      <c r="LI190" s="144"/>
      <c r="LJ190" s="144"/>
      <c r="LK190" s="144"/>
      <c r="LL190" s="293"/>
      <c r="LM190" s="555"/>
      <c r="LN190" s="296" t="s">
        <v>484</v>
      </c>
      <c r="LO190" s="144"/>
      <c r="LP190" s="144"/>
      <c r="LQ190" s="144"/>
      <c r="LR190" s="144"/>
      <c r="LS190" s="293"/>
      <c r="LT190" s="555"/>
      <c r="LU190" s="296" t="s">
        <v>484</v>
      </c>
      <c r="LV190" s="144"/>
      <c r="LW190" s="144"/>
      <c r="LX190" s="144"/>
      <c r="LY190" s="144"/>
      <c r="LZ190" s="293"/>
      <c r="MA190" s="555"/>
      <c r="MB190" s="296" t="s">
        <v>484</v>
      </c>
      <c r="MC190" s="144"/>
      <c r="MD190" s="144"/>
      <c r="ME190" s="144"/>
      <c r="MF190" s="144"/>
      <c r="MG190" s="293"/>
      <c r="MH190" s="555"/>
    </row>
    <row r="191" spans="1:346" s="37" customFormat="1" ht="13.15" outlineLevel="1" x14ac:dyDescent="0.4">
      <c r="A191" s="35"/>
      <c r="B191" s="72"/>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O191" s="72"/>
      <c r="BP191" s="73"/>
      <c r="BQ191" s="73"/>
      <c r="BR191" s="73"/>
      <c r="BS191" s="73"/>
      <c r="BT191" s="73"/>
      <c r="BV191" s="72"/>
      <c r="BW191" s="73"/>
      <c r="BX191" s="73"/>
      <c r="BY191" s="73"/>
      <c r="BZ191" s="73"/>
      <c r="CA191" s="73"/>
      <c r="CC191" s="72"/>
      <c r="CD191" s="73"/>
      <c r="CE191" s="73"/>
      <c r="CF191" s="73"/>
      <c r="CG191" s="73"/>
      <c r="CH191" s="73"/>
      <c r="CJ191" s="72"/>
      <c r="CK191" s="73"/>
      <c r="CL191" s="73"/>
      <c r="CM191" s="73"/>
      <c r="CN191" s="73"/>
      <c r="CO191" s="73"/>
      <c r="CQ191" s="72"/>
      <c r="CR191" s="73"/>
      <c r="CS191" s="73"/>
      <c r="CT191" s="73"/>
      <c r="CU191" s="73"/>
      <c r="CV191" s="73"/>
      <c r="CX191" s="72"/>
      <c r="CY191" s="73"/>
      <c r="CZ191" s="73"/>
      <c r="DA191" s="73"/>
      <c r="DB191" s="73"/>
      <c r="DC191" s="73"/>
      <c r="DE191" s="72"/>
      <c r="DF191" s="73"/>
      <c r="DG191" s="73"/>
      <c r="DH191" s="73"/>
      <c r="DI191" s="73"/>
      <c r="DJ191" s="73"/>
      <c r="DL191" s="72"/>
      <c r="DM191" s="73"/>
      <c r="DN191" s="73"/>
      <c r="DO191" s="73"/>
      <c r="DP191" s="73"/>
      <c r="DQ191" s="73"/>
      <c r="DS191" s="72"/>
      <c r="DT191" s="73"/>
      <c r="DU191" s="73"/>
      <c r="DV191" s="73"/>
      <c r="DW191" s="73"/>
      <c r="DX191" s="73"/>
      <c r="DZ191" s="72"/>
      <c r="EA191" s="73"/>
      <c r="EB191" s="73"/>
      <c r="EC191" s="73"/>
      <c r="ED191" s="73"/>
      <c r="EE191" s="73"/>
      <c r="EG191" s="72"/>
      <c r="EH191" s="73"/>
      <c r="EI191" s="73"/>
      <c r="EJ191" s="73"/>
      <c r="EK191" s="73"/>
      <c r="EL191" s="73"/>
      <c r="EN191" s="72"/>
      <c r="EO191" s="73"/>
      <c r="EP191" s="73"/>
      <c r="EQ191" s="73"/>
      <c r="ER191" s="73"/>
      <c r="ES191" s="73"/>
      <c r="EU191" s="72"/>
      <c r="EV191" s="73"/>
      <c r="EW191" s="73"/>
      <c r="EX191" s="73"/>
      <c r="EY191" s="73"/>
      <c r="EZ191" s="73"/>
      <c r="FB191" s="72"/>
      <c r="FC191" s="73"/>
      <c r="FD191" s="73"/>
      <c r="FE191" s="73"/>
      <c r="FF191" s="73"/>
      <c r="FG191" s="73"/>
      <c r="FI191" s="72"/>
      <c r="FJ191" s="73"/>
      <c r="FK191" s="73"/>
      <c r="FL191" s="73"/>
      <c r="FM191" s="73"/>
      <c r="FN191" s="73"/>
      <c r="FP191" s="72"/>
      <c r="FQ191" s="73"/>
      <c r="FR191" s="73"/>
      <c r="FS191" s="73"/>
      <c r="FT191" s="73"/>
      <c r="FU191" s="73"/>
      <c r="FW191" s="72"/>
      <c r="FX191" s="73"/>
      <c r="FY191" s="73"/>
      <c r="FZ191" s="73"/>
      <c r="GA191" s="73"/>
      <c r="GB191" s="73"/>
      <c r="GD191" s="72"/>
      <c r="GE191" s="73"/>
      <c r="GF191" s="73"/>
      <c r="GG191" s="73"/>
      <c r="GH191" s="73"/>
      <c r="GI191" s="73"/>
      <c r="GK191" s="72"/>
      <c r="GL191" s="73"/>
      <c r="GM191" s="73"/>
      <c r="GN191" s="73"/>
      <c r="GO191" s="73"/>
      <c r="GP191" s="73"/>
      <c r="GR191" s="72"/>
      <c r="GS191" s="73"/>
      <c r="GT191" s="73"/>
      <c r="GU191" s="73"/>
      <c r="GV191" s="73"/>
      <c r="GW191" s="73"/>
      <c r="GY191" s="72"/>
      <c r="GZ191" s="73"/>
      <c r="HA191" s="73"/>
      <c r="HB191" s="73"/>
      <c r="HC191" s="73"/>
      <c r="HD191" s="73"/>
      <c r="HF191" s="72"/>
      <c r="HG191" s="73"/>
      <c r="HH191" s="73"/>
      <c r="HI191" s="73"/>
      <c r="HJ191" s="73"/>
      <c r="HK191" s="73"/>
      <c r="HM191" s="72"/>
      <c r="HN191" s="73"/>
      <c r="HO191" s="73"/>
      <c r="HP191" s="73"/>
      <c r="HQ191" s="73"/>
      <c r="HR191" s="73"/>
      <c r="HT191" s="72"/>
      <c r="HU191" s="73"/>
      <c r="HV191" s="73"/>
      <c r="HW191" s="73"/>
      <c r="HX191" s="73"/>
      <c r="HY191" s="73"/>
      <c r="IA191" s="72"/>
      <c r="IB191" s="73"/>
      <c r="IC191" s="73"/>
      <c r="ID191" s="73"/>
      <c r="IE191" s="73"/>
      <c r="IF191" s="73"/>
      <c r="IH191" s="72"/>
      <c r="II191" s="73"/>
      <c r="IJ191" s="73"/>
      <c r="IK191" s="73"/>
      <c r="IL191" s="73"/>
      <c r="IM191" s="73"/>
      <c r="IO191" s="72"/>
      <c r="IP191" s="73"/>
      <c r="IQ191" s="73"/>
      <c r="IR191" s="73"/>
      <c r="IS191" s="73"/>
      <c r="IT191" s="73"/>
      <c r="IV191" s="72"/>
      <c r="IW191" s="73"/>
      <c r="IX191" s="73"/>
      <c r="IY191" s="73"/>
      <c r="IZ191" s="73"/>
      <c r="JA191" s="73"/>
      <c r="JC191" s="72"/>
      <c r="JD191" s="73"/>
      <c r="JE191" s="73"/>
      <c r="JF191" s="73"/>
      <c r="JG191" s="73"/>
      <c r="JH191" s="73"/>
      <c r="JJ191" s="72"/>
      <c r="JK191" s="73"/>
      <c r="JL191" s="73"/>
      <c r="JM191" s="73"/>
      <c r="JN191" s="73"/>
      <c r="JO191" s="73"/>
      <c r="JQ191" s="72"/>
      <c r="JR191" s="73"/>
      <c r="JS191" s="73"/>
      <c r="JT191" s="73"/>
      <c r="JU191" s="73"/>
      <c r="JV191" s="73"/>
      <c r="JX191" s="72"/>
      <c r="JY191" s="73"/>
      <c r="JZ191" s="73"/>
      <c r="KA191" s="73"/>
      <c r="KB191" s="73"/>
      <c r="KC191" s="73"/>
      <c r="KE191" s="72"/>
      <c r="KF191" s="73"/>
      <c r="KG191" s="73"/>
      <c r="KH191" s="73"/>
      <c r="KI191" s="73"/>
      <c r="KJ191" s="73"/>
      <c r="KL191" s="72"/>
      <c r="KM191" s="73"/>
      <c r="KN191" s="73"/>
      <c r="KO191" s="73"/>
      <c r="KP191" s="73"/>
      <c r="KQ191" s="73"/>
      <c r="KS191" s="72"/>
      <c r="KT191" s="73"/>
      <c r="KU191" s="73"/>
      <c r="KV191" s="73"/>
      <c r="KW191" s="73"/>
      <c r="KX191" s="73"/>
      <c r="KZ191" s="72"/>
      <c r="LA191" s="73"/>
      <c r="LB191" s="73"/>
      <c r="LC191" s="73"/>
      <c r="LD191" s="73"/>
      <c r="LE191" s="293"/>
      <c r="LF191" s="565"/>
      <c r="LG191" s="72"/>
      <c r="LH191" s="73"/>
      <c r="LI191" s="73"/>
      <c r="LJ191" s="73"/>
      <c r="LK191" s="73"/>
      <c r="LL191" s="293"/>
      <c r="LM191" s="565"/>
      <c r="LN191" s="72"/>
      <c r="LO191" s="73"/>
      <c r="LP191" s="73"/>
      <c r="LQ191" s="73"/>
      <c r="LR191" s="73"/>
      <c r="LS191" s="293"/>
      <c r="LT191" s="565"/>
      <c r="LU191" s="72"/>
      <c r="LV191" s="73"/>
      <c r="LW191" s="73"/>
      <c r="LX191" s="73"/>
      <c r="LY191" s="73"/>
      <c r="LZ191" s="293"/>
      <c r="MA191" s="565"/>
      <c r="MB191" s="72"/>
      <c r="MC191" s="73"/>
      <c r="MD191" s="73"/>
      <c r="ME191" s="73"/>
      <c r="MF191" s="73"/>
      <c r="MG191" s="293"/>
      <c r="MH191" s="565"/>
    </row>
    <row r="192" spans="1:346" s="37" customFormat="1" ht="13.15" outlineLevel="1" x14ac:dyDescent="0.4">
      <c r="A192" s="35"/>
      <c r="B192" s="36" t="s">
        <v>469</v>
      </c>
      <c r="BO192" s="36" t="s">
        <v>469</v>
      </c>
      <c r="BV192" s="36" t="s">
        <v>469</v>
      </c>
      <c r="CC192" s="36" t="s">
        <v>469</v>
      </c>
      <c r="CJ192" s="36" t="s">
        <v>469</v>
      </c>
      <c r="CQ192" s="36" t="s">
        <v>469</v>
      </c>
      <c r="CX192" s="36" t="s">
        <v>469</v>
      </c>
      <c r="DE192" s="36" t="s">
        <v>469</v>
      </c>
      <c r="DL192" s="36" t="s">
        <v>469</v>
      </c>
      <c r="DS192" s="36" t="s">
        <v>469</v>
      </c>
      <c r="DZ192" s="36" t="s">
        <v>469</v>
      </c>
      <c r="EG192" s="36" t="s">
        <v>469</v>
      </c>
      <c r="EN192" s="36" t="s">
        <v>469</v>
      </c>
      <c r="EU192" s="36" t="s">
        <v>469</v>
      </c>
      <c r="FB192" s="36" t="s">
        <v>469</v>
      </c>
      <c r="FI192" s="36" t="s">
        <v>469</v>
      </c>
      <c r="FP192" s="36" t="s">
        <v>469</v>
      </c>
      <c r="FW192" s="36" t="s">
        <v>469</v>
      </c>
      <c r="GD192" s="36" t="s">
        <v>469</v>
      </c>
      <c r="GK192" s="36" t="s">
        <v>469</v>
      </c>
      <c r="GR192" s="36" t="s">
        <v>469</v>
      </c>
      <c r="GY192" s="36" t="s">
        <v>469</v>
      </c>
      <c r="HF192" s="36" t="s">
        <v>469</v>
      </c>
      <c r="HM192" s="36" t="s">
        <v>469</v>
      </c>
      <c r="HT192" s="36" t="s">
        <v>469</v>
      </c>
      <c r="IA192" s="36" t="s">
        <v>469</v>
      </c>
      <c r="IH192" s="36" t="s">
        <v>469</v>
      </c>
      <c r="IO192" s="36" t="s">
        <v>469</v>
      </c>
      <c r="IV192" s="36" t="s">
        <v>469</v>
      </c>
      <c r="JC192" s="36" t="s">
        <v>469</v>
      </c>
      <c r="JJ192" s="36" t="s">
        <v>469</v>
      </c>
      <c r="JQ192" s="36" t="s">
        <v>469</v>
      </c>
      <c r="JX192" s="36" t="s">
        <v>469</v>
      </c>
      <c r="KE192" s="36" t="s">
        <v>469</v>
      </c>
      <c r="KL192" s="36" t="s">
        <v>469</v>
      </c>
      <c r="KS192" s="36" t="s">
        <v>469</v>
      </c>
      <c r="KZ192" s="36" t="s">
        <v>469</v>
      </c>
      <c r="LF192" s="565"/>
      <c r="LG192" s="36" t="s">
        <v>469</v>
      </c>
      <c r="LM192" s="565"/>
      <c r="LN192" s="36" t="s">
        <v>469</v>
      </c>
      <c r="LT192" s="565"/>
      <c r="LU192" s="36" t="s">
        <v>469</v>
      </c>
      <c r="MA192" s="565"/>
      <c r="MB192" s="36" t="s">
        <v>469</v>
      </c>
      <c r="MH192" s="565"/>
    </row>
    <row r="193" outlineLevel="1" x14ac:dyDescent="0.4"/>
  </sheetData>
  <hyperlinks>
    <hyperlink ref="B158" r:id="rId1" display="https://www.stb.gov/reports-data/economic-data/employment-data/" xr:uid="{C5127C3B-11F8-4555-837A-F5E42CE61A9D}"/>
    <hyperlink ref="BO158" r:id="rId2" display="https://www.stb.gov/reports-data/economic-data/employment-data/" xr:uid="{AD93BAFA-8CBB-48C3-ADC0-540F926610F3}"/>
    <hyperlink ref="BV158" r:id="rId3" display="https://www.stb.gov/reports-data/economic-data/employment-data/" xr:uid="{AE7CDBE2-501A-4E74-8E8A-85883C5FC4E6}"/>
    <hyperlink ref="CC158" r:id="rId4" display="https://www.stb.gov/reports-data/economic-data/employment-data/" xr:uid="{832164CE-0AE7-4C37-83CF-F43AED24EB3F}"/>
    <hyperlink ref="CJ158" r:id="rId5" display="https://www.stb.gov/reports-data/economic-data/employment-data/" xr:uid="{F36ADC54-DEE8-4BFE-AF2E-896F36602243}"/>
    <hyperlink ref="CQ158" r:id="rId6" display="https://www.stb.gov/reports-data/economic-data/employment-data/" xr:uid="{2FCEDAA2-4F9F-4D1D-998D-91654F9811A9}"/>
    <hyperlink ref="CX158" r:id="rId7" display="https://www.stb.gov/reports-data/economic-data/employment-data/" xr:uid="{A207A587-C0CF-40F4-9F78-8A8D3DD37B6B}"/>
    <hyperlink ref="DE158" r:id="rId8" display="https://www.stb.gov/reports-data/economic-data/employment-data/" xr:uid="{C18AB23B-BED4-4AF3-9C51-34A1D9E9C1E5}"/>
    <hyperlink ref="DL158" r:id="rId9" display="https://www.stb.gov/reports-data/economic-data/employment-data/" xr:uid="{D67F313F-99BD-4B47-86BF-43D47A0D49BC}"/>
    <hyperlink ref="DS158" r:id="rId10" display="https://www.stb.gov/reports-data/economic-data/employment-data/" xr:uid="{B867BB50-C315-4FAD-9F73-70057268B52A}"/>
    <hyperlink ref="DZ158" r:id="rId11" display="https://www.stb.gov/reports-data/economic-data/employment-data/" xr:uid="{B189A869-445C-41CD-8835-9BA617D74DBB}"/>
    <hyperlink ref="EG158" r:id="rId12" display="https://www.stb.gov/reports-data/economic-data/employment-data/" xr:uid="{C5C5CFB3-73D9-4892-82DC-F1ED576CBD0E}"/>
    <hyperlink ref="EN158" r:id="rId13" display="https://www.stb.gov/reports-data/economic-data/employment-data/" xr:uid="{0EA2A924-7197-4540-BDAF-F67BBAB1C02E}"/>
    <hyperlink ref="EU158" r:id="rId14" display="https://www.stb.gov/reports-data/economic-data/employment-data/" xr:uid="{BE0DEC3D-EE67-423F-8BB1-F139830C4FA7}"/>
    <hyperlink ref="FB158" r:id="rId15" display="https://www.stb.gov/reports-data/economic-data/employment-data/" xr:uid="{71439305-7360-4EA7-81E6-48B3CE5935EB}"/>
    <hyperlink ref="FI158" r:id="rId16" display="https://www.stb.gov/reports-data/economic-data/employment-data/" xr:uid="{F4B47D29-61FE-4A4B-8A79-B39F4B20AD9B}"/>
    <hyperlink ref="FP158" r:id="rId17" display="https://www.stb.gov/reports-data/economic-data/employment-data/" xr:uid="{7FF0EC22-4E23-4E4B-8CB4-3957CE3E31F1}"/>
    <hyperlink ref="FW158" r:id="rId18" display="https://www.stb.gov/reports-data/economic-data/employment-data/" xr:uid="{ADB4EAE7-30D0-4590-97D2-28D34717591F}"/>
    <hyperlink ref="GD158" r:id="rId19" display="https://www.stb.gov/reports-data/economic-data/employment-data/" xr:uid="{818DA4D0-0FBB-43B8-B31D-C4EEF1B90FAB}"/>
    <hyperlink ref="GK158" r:id="rId20" display="https://www.stb.gov/reports-data/economic-data/employment-data/" xr:uid="{8D1BE6ED-276E-4913-A229-71D74FB9EA3B}"/>
    <hyperlink ref="GR158" r:id="rId21" display="https://www.stb.gov/reports-data/economic-data/employment-data/" xr:uid="{55F2F7E0-C4EB-469A-81F0-424DBE44AEA3}"/>
    <hyperlink ref="GY158" r:id="rId22" display="https://www.stb.gov/reports-data/economic-data/employment-data/" xr:uid="{AEE3A32B-8B43-49E8-A82B-6D32914B0732}"/>
    <hyperlink ref="HF158" r:id="rId23" display="https://www.stb.gov/reports-data/economic-data/employment-data/" xr:uid="{B247DEB4-9E37-4FC0-B334-0D86C1C78F8E}"/>
    <hyperlink ref="HM158" r:id="rId24" display="https://www.stb.gov/reports-data/economic-data/employment-data/" xr:uid="{178A7708-EA3A-49AF-AED4-215DF4BECD75}"/>
    <hyperlink ref="HT158" r:id="rId25" display="https://www.stb.gov/reports-data/economic-data/employment-data/" xr:uid="{41E328A7-BDF4-431A-AB9E-705EE31A8D25}"/>
    <hyperlink ref="IA158" r:id="rId26" display="https://www.stb.gov/reports-data/economic-data/employment-data/" xr:uid="{16F76DE6-1F32-479F-91D2-2DD63A326746}"/>
    <hyperlink ref="IH158" r:id="rId27" display="https://www.stb.gov/reports-data/economic-data/employment-data/" xr:uid="{5E05183A-D533-45D5-83CA-C490E92AC785}"/>
    <hyperlink ref="IO158" r:id="rId28" display="https://www.stb.gov/reports-data/economic-data/employment-data/" xr:uid="{8DC9CB2B-FD76-4D77-9C88-19AEDD2E15C4}"/>
    <hyperlink ref="IV158" r:id="rId29" display="https://www.stb.gov/reports-data/economic-data/employment-data/" xr:uid="{0B64049E-05AA-4418-BC59-FC8367E74C05}"/>
    <hyperlink ref="JC158" r:id="rId30" display="https://www.stb.gov/reports-data/economic-data/employment-data/" xr:uid="{1F8202CB-B679-4129-A2B4-AF6824EE0202}"/>
    <hyperlink ref="JJ158" r:id="rId31" display="https://www.stb.gov/reports-data/economic-data/employment-data/" xr:uid="{F9E924EB-A354-4190-A75D-CE7CC0FC83CF}"/>
    <hyperlink ref="JQ158" r:id="rId32" display="https://www.stb.gov/reports-data/economic-data/employment-data/" xr:uid="{B2FE5E02-A892-40E2-9CDA-CEECB14CF3DF}"/>
    <hyperlink ref="JX158" r:id="rId33" display="https://www.stb.gov/reports-data/economic-data/employment-data/" xr:uid="{3424B417-E486-4C81-8FDB-B26EB84A7DF5}"/>
    <hyperlink ref="KE158" r:id="rId34" display="https://www.stb.gov/reports-data/economic-data/employment-data/" xr:uid="{A940090F-B57C-459E-B87C-2D1C84ADDDE7}"/>
    <hyperlink ref="KL158" r:id="rId35" display="https://www.stb.gov/reports-data/economic-data/employment-data/" xr:uid="{A7C93AD1-78F4-430C-AE42-CFAE931195BC}"/>
    <hyperlink ref="KS158" r:id="rId36" display="https://www.stb.gov/reports-data/economic-data/employment-data/" xr:uid="{B1480294-E55D-4DC9-B946-1C40236C95CC}"/>
    <hyperlink ref="KZ158" r:id="rId37" display="https://www.stb.gov/reports-data/economic-data/employment-data/" xr:uid="{43F23339-298C-4CEA-9DC1-B024F18ECC26}"/>
    <hyperlink ref="LG158" r:id="rId38" display="https://www.stb.gov/reports-data/economic-data/employment-data/" xr:uid="{FE5DFFB7-3C47-41FA-8C60-60160B1BFDA1}"/>
    <hyperlink ref="LN158" r:id="rId39" display="https://www.stb.gov/reports-data/economic-data/employment-data/" xr:uid="{39407CAD-A30E-4D58-B72D-85FE40F78D1C}"/>
    <hyperlink ref="LU158" r:id="rId40" display="https://www.stb.gov/reports-data/economic-data/employment-data/" xr:uid="{ECBF9861-9330-4C7E-96B1-F6A2A6C5BD88}"/>
    <hyperlink ref="MB158" r:id="rId41" display="https://www.stb.gov/reports-data/economic-data/employment-data/" xr:uid="{18E89A04-7A8A-473B-BBFE-BB300472CAFA}"/>
  </hyperlinks>
  <pageMargins left="0.7" right="0.7" top="0.75" bottom="0.75" header="0.3" footer="0.3"/>
  <legacyDrawing r:id="rId4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C00000"/>
    <pageSetUpPr fitToPage="1"/>
  </sheetPr>
  <dimension ref="A1:PV128"/>
  <sheetViews>
    <sheetView showGridLines="0" zoomScale="85" zoomScaleNormal="85" workbookViewId="0"/>
  </sheetViews>
  <sheetFormatPr defaultColWidth="9.1328125" defaultRowHeight="13.9" outlineLevelRow="2" outlineLevelCol="1" x14ac:dyDescent="0.4"/>
  <cols>
    <col min="1" max="1" width="2.73046875" style="53" customWidth="1"/>
    <col min="2" max="2" width="65.86328125" style="53" bestFit="1" customWidth="1"/>
    <col min="3" max="9" width="12.265625" style="77" customWidth="1" outlineLevel="1"/>
    <col min="10" max="32" width="12.265625" style="77" customWidth="1"/>
    <col min="33" max="44" width="12.265625" style="77" hidden="1" customWidth="1" outlineLevel="1"/>
    <col min="45" max="45" width="5.73046875" style="77" customWidth="1" collapsed="1"/>
    <col min="46" max="46" width="65.86328125" style="53" bestFit="1" customWidth="1"/>
    <col min="47" max="51" width="12.265625" style="77" customWidth="1" outlineLevel="1"/>
    <col min="52" max="52" width="5.73046875" style="77" customWidth="1"/>
    <col min="53" max="53" width="65.86328125" style="53" bestFit="1" customWidth="1"/>
    <col min="54" max="58" width="12.265625" style="77" customWidth="1" outlineLevel="1"/>
    <col min="59" max="59" width="5.73046875" style="77" customWidth="1"/>
    <col min="60" max="60" width="65.86328125" style="53" bestFit="1" customWidth="1"/>
    <col min="61" max="65" width="12.265625" style="77" customWidth="1" outlineLevel="1"/>
    <col min="66" max="66" width="5.73046875" style="77" customWidth="1"/>
    <col min="67" max="67" width="65.86328125" style="53" bestFit="1" customWidth="1"/>
    <col min="68" max="72" width="12.265625" style="77" customWidth="1" outlineLevel="1"/>
    <col min="73" max="73" width="5.73046875" style="77" customWidth="1"/>
    <col min="74" max="74" width="65.86328125" style="53" bestFit="1" customWidth="1"/>
    <col min="75" max="79" width="12.265625" style="77" customWidth="1" outlineLevel="1"/>
    <col min="80" max="80" width="5.73046875" style="77" customWidth="1"/>
    <col min="81" max="81" width="65.86328125" style="53" bestFit="1" customWidth="1"/>
    <col min="82" max="86" width="12.265625" style="77" customWidth="1" outlineLevel="1"/>
    <col min="87" max="87" width="5.73046875" style="77" customWidth="1"/>
    <col min="88" max="88" width="65.86328125" style="53" bestFit="1" customWidth="1"/>
    <col min="89" max="93" width="12.265625" style="77" customWidth="1" outlineLevel="1"/>
    <col min="94" max="94" width="5.73046875" style="77" customWidth="1"/>
    <col min="95" max="95" width="65.86328125" style="53" bestFit="1" customWidth="1"/>
    <col min="96" max="100" width="12.265625" style="77" customWidth="1" outlineLevel="1"/>
    <col min="101" max="101" width="5.73046875" style="77" customWidth="1"/>
    <col min="102" max="102" width="65.86328125" style="53" bestFit="1" customWidth="1"/>
    <col min="103" max="107" width="12.265625" style="77" customWidth="1" outlineLevel="1"/>
    <col min="108" max="108" width="5.73046875" style="77" customWidth="1"/>
    <col min="109" max="109" width="65.86328125" style="53" bestFit="1" customWidth="1"/>
    <col min="110" max="114" width="12.265625" style="77" customWidth="1" outlineLevel="1"/>
    <col min="115" max="115" width="5.73046875" style="77" customWidth="1"/>
    <col min="116" max="116" width="65.86328125" style="53" bestFit="1" customWidth="1"/>
    <col min="117" max="121" width="12.265625" style="77" customWidth="1" outlineLevel="1"/>
    <col min="122" max="122" width="5.73046875" style="77" customWidth="1"/>
    <col min="123" max="123" width="65.86328125" style="53" bestFit="1" customWidth="1"/>
    <col min="124" max="128" width="12.265625" style="77" customWidth="1" outlineLevel="1"/>
    <col min="129" max="129" width="5.73046875" style="77" customWidth="1"/>
    <col min="130" max="130" width="65.86328125" style="53" bestFit="1" customWidth="1"/>
    <col min="131" max="135" width="12.265625" style="77" customWidth="1" outlineLevel="1"/>
    <col min="136" max="136" width="5.73046875" style="77" customWidth="1"/>
    <col min="137" max="137" width="65.86328125" style="53" bestFit="1" customWidth="1"/>
    <col min="138" max="142" width="12.265625" style="77" customWidth="1" outlineLevel="1"/>
    <col min="143" max="143" width="5.73046875" style="77" customWidth="1"/>
    <col min="144" max="144" width="65.86328125" style="53" bestFit="1" customWidth="1"/>
    <col min="145" max="149" width="12.265625" style="77" customWidth="1" outlineLevel="1"/>
    <col min="150" max="150" width="5.73046875" style="77" customWidth="1"/>
    <col min="151" max="151" width="65.86328125" style="53" bestFit="1" customWidth="1"/>
    <col min="152" max="156" width="12.265625" style="77" customWidth="1" outlineLevel="1"/>
    <col min="157" max="157" width="5.73046875" style="77" customWidth="1"/>
    <col min="158" max="158" width="65.86328125" style="53" bestFit="1" customWidth="1"/>
    <col min="159" max="163" width="12.265625" style="77" customWidth="1" outlineLevel="1"/>
    <col min="164" max="164" width="5.73046875" style="77" customWidth="1"/>
    <col min="165" max="165" width="65.86328125" style="53" bestFit="1" customWidth="1"/>
    <col min="166" max="170" width="12.265625" style="77" customWidth="1" outlineLevel="1"/>
    <col min="171" max="171" width="5.73046875" style="77" customWidth="1"/>
    <col min="172" max="172" width="65.86328125" style="53" bestFit="1" customWidth="1"/>
    <col min="173" max="177" width="12.265625" style="77" customWidth="1" outlineLevel="1"/>
    <col min="178" max="178" width="5.73046875" style="77" customWidth="1"/>
    <col min="179" max="179" width="65.86328125" style="53" bestFit="1" customWidth="1"/>
    <col min="180" max="184" width="12.265625" style="77" customWidth="1" outlineLevel="1"/>
    <col min="185" max="185" width="5.73046875" style="77" customWidth="1"/>
    <col min="186" max="186" width="65.86328125" style="53" bestFit="1" customWidth="1"/>
    <col min="187" max="191" width="12.265625" style="77" customWidth="1" outlineLevel="1"/>
    <col min="192" max="192" width="5.73046875" style="77" customWidth="1"/>
    <col min="193" max="193" width="65.86328125" style="53" bestFit="1" customWidth="1"/>
    <col min="194" max="198" width="12.265625" style="77" customWidth="1" outlineLevel="1"/>
    <col min="199" max="199" width="5.73046875" style="77" customWidth="1"/>
    <col min="200" max="200" width="65.86328125" style="53" bestFit="1" customWidth="1"/>
    <col min="201" max="205" width="12.265625" style="77" customWidth="1" outlineLevel="1"/>
    <col min="206" max="206" width="5.73046875" style="77" customWidth="1"/>
    <col min="207" max="207" width="65.86328125" style="53" bestFit="1" customWidth="1"/>
    <col min="208" max="212" width="12.265625" style="77" customWidth="1" outlineLevel="1"/>
    <col min="213" max="213" width="5.73046875" style="77" customWidth="1"/>
    <col min="214" max="214" width="65.86328125" style="53" bestFit="1" customWidth="1"/>
    <col min="215" max="219" width="12.265625" style="77" customWidth="1" outlineLevel="1"/>
    <col min="220" max="220" width="5.73046875" style="77" customWidth="1"/>
    <col min="221" max="221" width="65.86328125" style="53" bestFit="1" customWidth="1"/>
    <col min="222" max="225" width="12.265625" style="77" customWidth="1" outlineLevel="1"/>
    <col min="226" max="226" width="12.265625" style="77" customWidth="1"/>
    <col min="227" max="227" width="5.73046875" style="77" customWidth="1"/>
    <col min="228" max="228" width="65.86328125" style="53" bestFit="1" customWidth="1"/>
    <col min="229" max="232" width="12.265625" style="77" customWidth="1" outlineLevel="1"/>
    <col min="233" max="233" width="12.265625" style="77" customWidth="1"/>
    <col min="234" max="234" width="5.73046875" style="77" customWidth="1"/>
    <col min="235" max="235" width="65.86328125" style="53" bestFit="1" customWidth="1"/>
    <col min="236" max="239" width="12.265625" style="77" customWidth="1" outlineLevel="1"/>
    <col min="240" max="240" width="12.265625" style="77" customWidth="1"/>
    <col min="241" max="241" width="5.73046875" style="77" customWidth="1"/>
    <col min="242" max="242" width="65.86328125" style="53" customWidth="1" outlineLevel="1"/>
    <col min="243" max="246" width="12.265625" style="77" customWidth="1" outlineLevel="1"/>
    <col min="247" max="247" width="12.265625" style="77" customWidth="1"/>
    <col min="248" max="248" width="9.1328125" style="77"/>
    <col min="249" max="249" width="65.86328125" style="53" customWidth="1" outlineLevel="1"/>
    <col min="250" max="253" width="12.265625" style="77" customWidth="1" outlineLevel="1"/>
    <col min="254" max="254" width="12.265625" style="77" customWidth="1"/>
    <col min="255" max="16384" width="9.1328125" style="77"/>
  </cols>
  <sheetData>
    <row r="1" spans="1:291" x14ac:dyDescent="0.4">
      <c r="B1" s="306" t="str">
        <f>CSX!B1</f>
        <v>Wells Fargo Securities, LLC</v>
      </c>
      <c r="AT1" s="306"/>
      <c r="BA1" s="306"/>
      <c r="BH1" s="306"/>
      <c r="BO1" s="306"/>
      <c r="BV1" s="306"/>
      <c r="CC1" s="306"/>
      <c r="CJ1" s="306"/>
      <c r="CQ1" s="306"/>
      <c r="CX1" s="306"/>
      <c r="DE1" s="306"/>
      <c r="DL1" s="306"/>
      <c r="DS1" s="306"/>
      <c r="DZ1" s="306"/>
      <c r="EG1" s="306"/>
      <c r="EN1" s="306"/>
      <c r="EU1" s="306"/>
      <c r="FB1" s="306"/>
      <c r="FI1" s="306"/>
      <c r="FP1" s="306"/>
      <c r="FW1" s="306"/>
      <c r="GD1" s="306"/>
      <c r="GK1" s="306"/>
      <c r="GR1" s="306"/>
      <c r="GY1" s="306"/>
      <c r="HF1" s="306"/>
      <c r="HM1" s="306"/>
      <c r="HT1" s="306"/>
      <c r="IA1" s="306"/>
      <c r="IH1" s="306"/>
      <c r="IO1" s="306"/>
    </row>
    <row r="2" spans="1:291" x14ac:dyDescent="0.4">
      <c r="A2" s="307"/>
      <c r="B2" s="308">
        <f>CSX!B2</f>
        <v>46044</v>
      </c>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10"/>
      <c r="AC2" s="310"/>
      <c r="AD2" s="310"/>
      <c r="AE2" s="310"/>
      <c r="AF2" s="310"/>
      <c r="AG2" s="310"/>
      <c r="AH2" s="310"/>
      <c r="AI2" s="310"/>
      <c r="AJ2" s="310"/>
      <c r="AK2" s="310"/>
      <c r="AL2" s="310"/>
      <c r="AM2" s="310"/>
      <c r="AN2" s="310"/>
      <c r="AO2" s="310"/>
      <c r="AP2" s="310"/>
      <c r="AQ2" s="310"/>
      <c r="AR2" s="310"/>
      <c r="AT2" s="308"/>
      <c r="AU2" s="309"/>
      <c r="AV2" s="309"/>
      <c r="AW2" s="309"/>
      <c r="AX2" s="309"/>
      <c r="AY2" s="309"/>
      <c r="BA2" s="308"/>
      <c r="BB2" s="309"/>
      <c r="BC2" s="309"/>
      <c r="BD2" s="309"/>
      <c r="BE2" s="309"/>
      <c r="BF2" s="309"/>
      <c r="BH2" s="308"/>
      <c r="BI2" s="309"/>
      <c r="BJ2" s="309"/>
      <c r="BK2" s="309"/>
      <c r="BL2" s="309"/>
      <c r="BM2" s="309"/>
      <c r="BO2" s="308"/>
      <c r="BP2" s="309"/>
      <c r="BQ2" s="309"/>
      <c r="BR2" s="309"/>
      <c r="BS2" s="309"/>
      <c r="BT2" s="309"/>
      <c r="BV2" s="308"/>
      <c r="BW2" s="309"/>
      <c r="BX2" s="309"/>
      <c r="BY2" s="309"/>
      <c r="BZ2" s="309"/>
      <c r="CA2" s="309"/>
      <c r="CC2" s="308"/>
      <c r="CD2" s="309"/>
      <c r="CE2" s="309"/>
      <c r="CF2" s="309"/>
      <c r="CG2" s="309"/>
      <c r="CH2" s="309"/>
      <c r="CJ2" s="308"/>
      <c r="CK2" s="309" t="str">
        <f>CO4&amp;"/1f"</f>
        <v>2005/1f</v>
      </c>
      <c r="CL2" s="309" t="str">
        <f>CO4&amp;"/2f"</f>
        <v>2005/2f</v>
      </c>
      <c r="CM2" s="309" t="str">
        <f>CO4&amp;"/3f"</f>
        <v>2005/3f</v>
      </c>
      <c r="CN2" s="309" t="str">
        <f>CO4&amp;"/4f"</f>
        <v>2005/4f</v>
      </c>
      <c r="CO2" s="309" t="str">
        <f>CO4&amp;"/4f"</f>
        <v>2005/4f</v>
      </c>
      <c r="CQ2" s="308"/>
      <c r="CR2" s="309" t="str">
        <f>CV4&amp;"/1f"</f>
        <v>2006/1f</v>
      </c>
      <c r="CS2" s="309" t="str">
        <f>CV4&amp;"/2f"</f>
        <v>2006/2f</v>
      </c>
      <c r="CT2" s="309" t="str">
        <f>CV4&amp;"/3f"</f>
        <v>2006/3f</v>
      </c>
      <c r="CU2" s="309" t="str">
        <f>CV4&amp;"/4f"</f>
        <v>2006/4f</v>
      </c>
      <c r="CV2" s="309" t="str">
        <f>CV4&amp;"/4f"</f>
        <v>2006/4f</v>
      </c>
      <c r="CX2" s="308"/>
      <c r="CY2" s="309" t="str">
        <f>DC4&amp;"/1f"</f>
        <v>2007/1f</v>
      </c>
      <c r="CZ2" s="309" t="str">
        <f>DC4&amp;"/2f"</f>
        <v>2007/2f</v>
      </c>
      <c r="DA2" s="309" t="str">
        <f>DC4&amp;"/3f"</f>
        <v>2007/3f</v>
      </c>
      <c r="DB2" s="309" t="str">
        <f>DC4&amp;"/4f"</f>
        <v>2007/4f</v>
      </c>
      <c r="DC2" s="309" t="str">
        <f>DC4&amp;"/4f"</f>
        <v>2007/4f</v>
      </c>
      <c r="DE2" s="308"/>
      <c r="DF2" s="309" t="str">
        <f>DJ4&amp;"/1f"</f>
        <v>2008/1f</v>
      </c>
      <c r="DG2" s="309" t="str">
        <f>DJ4&amp;"/2f"</f>
        <v>2008/2f</v>
      </c>
      <c r="DH2" s="309" t="str">
        <f>DJ4&amp;"/3f"</f>
        <v>2008/3f</v>
      </c>
      <c r="DI2" s="309" t="str">
        <f>DJ4&amp;"/4f"</f>
        <v>2008/4f</v>
      </c>
      <c r="DJ2" s="309" t="str">
        <f>DJ4&amp;"/4f"</f>
        <v>2008/4f</v>
      </c>
      <c r="DL2" s="308"/>
      <c r="DM2" s="309" t="str">
        <f>DQ4&amp;"/1f"</f>
        <v>2009/1f</v>
      </c>
      <c r="DN2" s="309" t="str">
        <f>DQ4&amp;"/2f"</f>
        <v>2009/2f</v>
      </c>
      <c r="DO2" s="309" t="str">
        <f>DQ4&amp;"/3f"</f>
        <v>2009/3f</v>
      </c>
      <c r="DP2" s="309" t="str">
        <f>DQ4&amp;"/4f"</f>
        <v>2009/4f</v>
      </c>
      <c r="DQ2" s="309" t="str">
        <f>DQ4&amp;"/4f"</f>
        <v>2009/4f</v>
      </c>
      <c r="DS2" s="308"/>
      <c r="DT2" s="309" t="str">
        <f>DX4&amp;"/1f"</f>
        <v>2010/1f</v>
      </c>
      <c r="DU2" s="309" t="str">
        <f>DX4&amp;"/2f"</f>
        <v>2010/2f</v>
      </c>
      <c r="DV2" s="309" t="str">
        <f>DX4&amp;"/3f"</f>
        <v>2010/3f</v>
      </c>
      <c r="DW2" s="309" t="str">
        <f>DX4&amp;"/4f"</f>
        <v>2010/4f</v>
      </c>
      <c r="DX2" s="309" t="str">
        <f>DX4&amp;"/4f"</f>
        <v>2010/4f</v>
      </c>
      <c r="DZ2" s="308"/>
      <c r="EA2" s="309" t="str">
        <f>EE4&amp;"/1f"</f>
        <v>2011/1f</v>
      </c>
      <c r="EB2" s="309" t="str">
        <f>EE4&amp;"/2f"</f>
        <v>2011/2f</v>
      </c>
      <c r="EC2" s="309" t="str">
        <f>EE4&amp;"/3f"</f>
        <v>2011/3f</v>
      </c>
      <c r="ED2" s="309" t="str">
        <f>EE4&amp;"/4f"</f>
        <v>2011/4f</v>
      </c>
      <c r="EE2" s="309" t="str">
        <f>EE4&amp;"/4f"</f>
        <v>2011/4f</v>
      </c>
      <c r="EG2" s="308"/>
      <c r="EH2" s="309" t="str">
        <f>EL4&amp;"/1f"</f>
        <v>2012/1f</v>
      </c>
      <c r="EI2" s="309" t="str">
        <f>EL4&amp;"/2f"</f>
        <v>2012/2f</v>
      </c>
      <c r="EJ2" s="309" t="str">
        <f>EL4&amp;"/3f"</f>
        <v>2012/3f</v>
      </c>
      <c r="EK2" s="309" t="str">
        <f>EL4&amp;"/4f"</f>
        <v>2012/4f</v>
      </c>
      <c r="EL2" s="309" t="str">
        <f>EL4&amp;"/4f"</f>
        <v>2012/4f</v>
      </c>
      <c r="EN2" s="308"/>
      <c r="EO2" s="309" t="str">
        <f>ES4&amp;"/1f"</f>
        <v>2013/1f</v>
      </c>
      <c r="EP2" s="309" t="str">
        <f>ES4&amp;"/2f"</f>
        <v>2013/2f</v>
      </c>
      <c r="EQ2" s="309" t="str">
        <f>ES4&amp;"/3f"</f>
        <v>2013/3f</v>
      </c>
      <c r="ER2" s="309" t="str">
        <f>ES4&amp;"/4f"</f>
        <v>2013/4f</v>
      </c>
      <c r="ES2" s="309" t="str">
        <f>ES4&amp;"/4f"</f>
        <v>2013/4f</v>
      </c>
      <c r="EU2" s="308"/>
      <c r="EV2" s="309" t="str">
        <f>EZ4&amp;"/1f"</f>
        <v>2014/1f</v>
      </c>
      <c r="EW2" s="309" t="str">
        <f>EZ4&amp;"/2f"</f>
        <v>2014/2f</v>
      </c>
      <c r="EX2" s="309" t="str">
        <f>EZ4&amp;"/3f"</f>
        <v>2014/3f</v>
      </c>
      <c r="EY2" s="309" t="str">
        <f>EZ4&amp;"/4f"</f>
        <v>2014/4f</v>
      </c>
      <c r="EZ2" s="309" t="str">
        <f>EZ4&amp;"/4f"</f>
        <v>2014/4f</v>
      </c>
      <c r="FB2" s="308"/>
      <c r="FC2" s="309" t="str">
        <f>FG4&amp;"/1f"</f>
        <v>2015/1f</v>
      </c>
      <c r="FD2" s="309" t="str">
        <f>FG4&amp;"/2f"</f>
        <v>2015/2f</v>
      </c>
      <c r="FE2" s="309" t="str">
        <f>FG4&amp;"/3f"</f>
        <v>2015/3f</v>
      </c>
      <c r="FF2" s="309" t="str">
        <f>FG4&amp;"/4f"</f>
        <v>2015/4f</v>
      </c>
      <c r="FG2" s="309" t="str">
        <f>FG4&amp;"/4f"</f>
        <v>2015/4f</v>
      </c>
      <c r="FI2" s="308"/>
      <c r="FJ2" s="309" t="str">
        <f>FN4&amp;"/1f"</f>
        <v>2016/1f</v>
      </c>
      <c r="FK2" s="309" t="str">
        <f>FN4&amp;"/2f"</f>
        <v>2016/2f</v>
      </c>
      <c r="FL2" s="309" t="str">
        <f>FN4&amp;"/3f"</f>
        <v>2016/3f</v>
      </c>
      <c r="FM2" s="309" t="str">
        <f>FN4&amp;"/4f"</f>
        <v>2016/4f</v>
      </c>
      <c r="FN2" s="309" t="str">
        <f>FN4&amp;"/4f"</f>
        <v>2016/4f</v>
      </c>
      <c r="FP2" s="308"/>
      <c r="FQ2" s="309" t="str">
        <f>FU4&amp;"/1f"</f>
        <v>2017/1f</v>
      </c>
      <c r="FR2" s="309" t="str">
        <f>FU4&amp;"/2f"</f>
        <v>2017/2f</v>
      </c>
      <c r="FS2" s="309" t="str">
        <f>FU4&amp;"/3f"</f>
        <v>2017/3f</v>
      </c>
      <c r="FT2" s="309" t="str">
        <f>FU4&amp;"/4f"</f>
        <v>2017/4f</v>
      </c>
      <c r="FU2" s="309" t="str">
        <f>FU4&amp;"/4f"</f>
        <v>2017/4f</v>
      </c>
      <c r="FW2" s="308"/>
      <c r="FX2" s="309" t="str">
        <f>GB4&amp;"/1f"</f>
        <v>2018/1f</v>
      </c>
      <c r="FY2" s="309" t="str">
        <f>GB4&amp;"/2f"</f>
        <v>2018/2f</v>
      </c>
      <c r="FZ2" s="309" t="str">
        <f>GB4&amp;"/3f"</f>
        <v>2018/3f</v>
      </c>
      <c r="GA2" s="309" t="str">
        <f>GB4&amp;"/4f"</f>
        <v>2018/4f</v>
      </c>
      <c r="GB2" s="309" t="str">
        <f>GB4&amp;"/4f"</f>
        <v>2018/4f</v>
      </c>
      <c r="GD2" s="308"/>
      <c r="GE2" s="309" t="str">
        <f>GI4&amp;"/1f"</f>
        <v>2019/1f</v>
      </c>
      <c r="GF2" s="309" t="str">
        <f>GI4&amp;"/2f"</f>
        <v>2019/2f</v>
      </c>
      <c r="GG2" s="309" t="str">
        <f>GI4&amp;"/3f"</f>
        <v>2019/3f</v>
      </c>
      <c r="GH2" s="309" t="str">
        <f>GI4&amp;"/4f"</f>
        <v>2019/4f</v>
      </c>
      <c r="GI2" s="309" t="str">
        <f>GI4&amp;"/4f"</f>
        <v>2019/4f</v>
      </c>
      <c r="GK2" s="308"/>
      <c r="GL2" s="309" t="str">
        <f>GP4&amp;"/1f"</f>
        <v>2020/1f</v>
      </c>
      <c r="GM2" s="309" t="str">
        <f>GP4&amp;"/2f"</f>
        <v>2020/2f</v>
      </c>
      <c r="GN2" s="309" t="str">
        <f>GP4&amp;"/3f"</f>
        <v>2020/3f</v>
      </c>
      <c r="GO2" s="309" t="str">
        <f>GP4&amp;"/4f"</f>
        <v>2020/4f</v>
      </c>
      <c r="GP2" s="309" t="str">
        <f>GP4&amp;"/4f"</f>
        <v>2020/4f</v>
      </c>
      <c r="GR2" s="308"/>
      <c r="GS2" s="309" t="str">
        <f>GW4&amp;"/1f"</f>
        <v>2021/1f</v>
      </c>
      <c r="GT2" s="309" t="str">
        <f>GW4&amp;"/2f"</f>
        <v>2021/2f</v>
      </c>
      <c r="GU2" s="309" t="str">
        <f>GW4&amp;"/3f"</f>
        <v>2021/3f</v>
      </c>
      <c r="GV2" s="309" t="str">
        <f>GW4&amp;"/4f"</f>
        <v>2021/4f</v>
      </c>
      <c r="GW2" s="309" t="str">
        <f>GW4&amp;"/4f"</f>
        <v>2021/4f</v>
      </c>
      <c r="GY2" s="308"/>
      <c r="GZ2" s="309" t="str">
        <f>HD4&amp;"/1f"</f>
        <v>2022/1f</v>
      </c>
      <c r="HA2" s="309" t="str">
        <f>HD4&amp;"/2f"</f>
        <v>2022/2f</v>
      </c>
      <c r="HB2" s="309" t="str">
        <f>HD4&amp;"/3f"</f>
        <v>2022/3f</v>
      </c>
      <c r="HC2" s="309" t="str">
        <f>HD4&amp;"/4f"</f>
        <v>2022/4f</v>
      </c>
      <c r="HD2" s="309" t="str">
        <f>HD4&amp;"/4f"</f>
        <v>2022/4f</v>
      </c>
      <c r="HF2" s="308"/>
      <c r="HG2" s="309" t="str">
        <f>HK4&amp;"/1f"</f>
        <v>2023/1f</v>
      </c>
      <c r="HH2" s="309" t="str">
        <f>HK4&amp;"/2f"</f>
        <v>2023/2f</v>
      </c>
      <c r="HI2" s="309" t="str">
        <f>HK4&amp;"/3f"</f>
        <v>2023/3f</v>
      </c>
      <c r="HJ2" s="309" t="str">
        <f>HK4&amp;"/4f"</f>
        <v>2023/4f</v>
      </c>
      <c r="HK2" s="309" t="str">
        <f>HK4&amp;"/4f"</f>
        <v>2023/4f</v>
      </c>
      <c r="HM2" s="308"/>
      <c r="HN2" s="309"/>
      <c r="HO2" s="309"/>
      <c r="HP2" s="309"/>
      <c r="HQ2" s="309"/>
      <c r="HR2" s="310"/>
      <c r="HT2" s="308"/>
      <c r="HU2" s="309"/>
      <c r="HV2" s="309"/>
      <c r="HW2" s="309"/>
      <c r="HX2" s="309"/>
      <c r="HY2" s="310"/>
      <c r="IA2" s="308"/>
      <c r="IB2" s="309"/>
      <c r="IC2" s="309"/>
      <c r="ID2" s="309"/>
      <c r="IE2" s="309"/>
      <c r="IF2" s="310"/>
      <c r="IH2" s="308"/>
      <c r="II2" s="309"/>
      <c r="IJ2" s="309"/>
      <c r="IK2" s="309"/>
      <c r="IL2" s="309"/>
      <c r="IM2" s="310"/>
      <c r="IO2" s="308"/>
      <c r="IP2" s="309"/>
      <c r="IQ2" s="309"/>
      <c r="IR2" s="309"/>
      <c r="IS2" s="309"/>
      <c r="IT2" s="310"/>
    </row>
    <row r="3" spans="1:291" x14ac:dyDescent="0.4">
      <c r="A3" s="307"/>
      <c r="B3" s="307"/>
      <c r="AT3" s="307"/>
      <c r="BA3" s="307"/>
      <c r="BH3" s="307"/>
      <c r="BO3" s="307"/>
      <c r="BV3" s="307"/>
      <c r="CC3" s="307"/>
      <c r="CJ3" s="307"/>
      <c r="CQ3" s="307"/>
      <c r="CX3" s="307"/>
      <c r="DE3" s="307"/>
      <c r="DL3" s="307"/>
      <c r="DS3" s="307"/>
      <c r="DZ3" s="307"/>
      <c r="EG3" s="307"/>
      <c r="EN3" s="307"/>
      <c r="EU3" s="307"/>
      <c r="FB3" s="307"/>
      <c r="FI3" s="307"/>
      <c r="FP3" s="307"/>
      <c r="FW3" s="307"/>
      <c r="GD3" s="307"/>
      <c r="GK3" s="307"/>
      <c r="GR3" s="307"/>
      <c r="GY3" s="307"/>
      <c r="HF3" s="307"/>
      <c r="HM3" s="307"/>
      <c r="HT3" s="307"/>
      <c r="IA3" s="307"/>
      <c r="IH3" s="307"/>
      <c r="IO3" s="307"/>
    </row>
    <row r="4" spans="1:291" ht="24.75" x14ac:dyDescent="0.65">
      <c r="B4" s="405" t="s">
        <v>541</v>
      </c>
      <c r="C4" s="404">
        <f>AY4</f>
        <v>1999</v>
      </c>
      <c r="D4" s="404">
        <f>BF4</f>
        <v>2000</v>
      </c>
      <c r="E4" s="404">
        <f>BM4</f>
        <v>2001</v>
      </c>
      <c r="F4" s="404">
        <f>BT4</f>
        <v>2002</v>
      </c>
      <c r="G4" s="404">
        <f>CA4</f>
        <v>2003</v>
      </c>
      <c r="H4" s="404">
        <f>CH4</f>
        <v>2004</v>
      </c>
      <c r="I4" s="404">
        <f>CO4</f>
        <v>2005</v>
      </c>
      <c r="J4" s="404">
        <f>CV4</f>
        <v>2006</v>
      </c>
      <c r="K4" s="404">
        <f>DC4</f>
        <v>2007</v>
      </c>
      <c r="L4" s="404">
        <f>DJ4</f>
        <v>2008</v>
      </c>
      <c r="M4" s="404">
        <f>DQ4</f>
        <v>2009</v>
      </c>
      <c r="N4" s="404">
        <f>DX4</f>
        <v>2010</v>
      </c>
      <c r="O4" s="91">
        <f>EE4</f>
        <v>2011</v>
      </c>
      <c r="P4" s="404">
        <f>EL4</f>
        <v>2012</v>
      </c>
      <c r="Q4" s="404">
        <f>ES4</f>
        <v>2013</v>
      </c>
      <c r="R4" s="404">
        <f>EZ4</f>
        <v>2014</v>
      </c>
      <c r="S4" s="404">
        <f>FG4</f>
        <v>2015</v>
      </c>
      <c r="T4" s="404">
        <f>FN4</f>
        <v>2016</v>
      </c>
      <c r="U4" s="404">
        <f>FU4</f>
        <v>2017</v>
      </c>
      <c r="V4" s="91">
        <f>GB4</f>
        <v>2018</v>
      </c>
      <c r="W4" s="91">
        <f>GI4</f>
        <v>2019</v>
      </c>
      <c r="X4" s="91">
        <f>GP4</f>
        <v>2020</v>
      </c>
      <c r="Y4" s="91">
        <f>GW4</f>
        <v>2021</v>
      </c>
      <c r="Z4" s="91">
        <f>HD4</f>
        <v>2022</v>
      </c>
      <c r="AA4" s="91">
        <f>HK4</f>
        <v>2023</v>
      </c>
      <c r="AB4" s="403">
        <f>HR4</f>
        <v>2024</v>
      </c>
      <c r="AC4" s="403">
        <f>HY4</f>
        <v>2025</v>
      </c>
      <c r="AD4" s="403" t="str">
        <f>IF4</f>
        <v>2026E</v>
      </c>
      <c r="AE4" s="403" t="str">
        <f>IM4</f>
        <v>2027E</v>
      </c>
      <c r="AF4" s="403" t="str">
        <f>IT4</f>
        <v>2028E</v>
      </c>
      <c r="AG4" s="311"/>
      <c r="AH4" s="311"/>
      <c r="AI4" s="311"/>
      <c r="AJ4" s="311"/>
      <c r="AK4" s="311"/>
      <c r="AL4" s="311"/>
      <c r="AM4" s="311"/>
      <c r="AN4" s="311"/>
      <c r="AO4" s="311"/>
      <c r="AP4" s="311"/>
      <c r="AQ4" s="311"/>
      <c r="AR4" s="311"/>
      <c r="AT4" s="405" t="s">
        <v>541</v>
      </c>
      <c r="AU4" s="91" t="str">
        <f>CSX!EJ4</f>
        <v>1Q99</v>
      </c>
      <c r="AV4" s="91" t="str">
        <f>CSX!EK4</f>
        <v>2Q99</v>
      </c>
      <c r="AW4" s="91" t="str">
        <f>CSX!EL4</f>
        <v>3Q99</v>
      </c>
      <c r="AX4" s="91" t="str">
        <f>CSX!EM4</f>
        <v>4Q99</v>
      </c>
      <c r="AY4" s="91">
        <f>CSX!EN4</f>
        <v>1999</v>
      </c>
      <c r="AZ4" s="81"/>
      <c r="BA4" s="405" t="s">
        <v>541</v>
      </c>
      <c r="BB4" s="91" t="str">
        <f>CSX!EQ4</f>
        <v>1Q00</v>
      </c>
      <c r="BC4" s="91" t="str">
        <f>CSX!ER4</f>
        <v>2Q00</v>
      </c>
      <c r="BD4" s="91" t="str">
        <f>CSX!ES4</f>
        <v>3Q00</v>
      </c>
      <c r="BE4" s="91" t="str">
        <f>CSX!ET4</f>
        <v>4Q00</v>
      </c>
      <c r="BF4" s="91">
        <f>CSX!EU4</f>
        <v>2000</v>
      </c>
      <c r="BH4" s="405" t="s">
        <v>541</v>
      </c>
      <c r="BI4" s="91" t="str">
        <f>CSX!EX4</f>
        <v>1Q01</v>
      </c>
      <c r="BJ4" s="91" t="str">
        <f>CSX!EY4</f>
        <v>2Q01</v>
      </c>
      <c r="BK4" s="91" t="str">
        <f>CSX!EZ4</f>
        <v>3Q01</v>
      </c>
      <c r="BL4" s="91" t="str">
        <f>CSX!FA4</f>
        <v>4Q01</v>
      </c>
      <c r="BM4" s="91">
        <f>CSX!FB4</f>
        <v>2001</v>
      </c>
      <c r="BO4" s="405" t="s">
        <v>541</v>
      </c>
      <c r="BP4" s="91" t="str">
        <f>CSX!FE4</f>
        <v>1Q02</v>
      </c>
      <c r="BQ4" s="91" t="str">
        <f>CSX!FF4</f>
        <v>2Q02</v>
      </c>
      <c r="BR4" s="91" t="str">
        <f>CSX!FG4</f>
        <v>3Q02</v>
      </c>
      <c r="BS4" s="91" t="str">
        <f>CSX!FH4</f>
        <v>4Q02</v>
      </c>
      <c r="BT4" s="91">
        <f>CSX!FI4</f>
        <v>2002</v>
      </c>
      <c r="BV4" s="405" t="s">
        <v>541</v>
      </c>
      <c r="BW4" s="91" t="str">
        <f>CSX!FL4</f>
        <v>1Q03</v>
      </c>
      <c r="BX4" s="91" t="str">
        <f>CSX!FM4</f>
        <v>2Q03</v>
      </c>
      <c r="BY4" s="91" t="str">
        <f>CSX!FN4</f>
        <v>3Q03</v>
      </c>
      <c r="BZ4" s="91" t="str">
        <f>CSX!FO4</f>
        <v>4Q03</v>
      </c>
      <c r="CA4" s="91">
        <f>CSX!FP4</f>
        <v>2003</v>
      </c>
      <c r="CC4" s="405" t="s">
        <v>541</v>
      </c>
      <c r="CD4" s="91" t="str">
        <f>CSX!FS4</f>
        <v>1Q04</v>
      </c>
      <c r="CE4" s="91" t="str">
        <f>CSX!FT4</f>
        <v>2Q04</v>
      </c>
      <c r="CF4" s="91" t="str">
        <f>CSX!FU4</f>
        <v>3Q04</v>
      </c>
      <c r="CG4" s="91" t="str">
        <f>CSX!FV4</f>
        <v>4Q04</v>
      </c>
      <c r="CH4" s="91">
        <f>CSX!FW4</f>
        <v>2004</v>
      </c>
      <c r="CJ4" s="405" t="s">
        <v>541</v>
      </c>
      <c r="CK4" s="91" t="str">
        <f>CSX!FZ4</f>
        <v>1Q05</v>
      </c>
      <c r="CL4" s="91" t="str">
        <f>CSX!GA4</f>
        <v>2Q05</v>
      </c>
      <c r="CM4" s="91" t="str">
        <f>CSX!GB4</f>
        <v>3Q05</v>
      </c>
      <c r="CN4" s="91" t="str">
        <f>CSX!GC4</f>
        <v>4Q05</v>
      </c>
      <c r="CO4" s="91">
        <f>CSX!GD4</f>
        <v>2005</v>
      </c>
      <c r="CP4" s="81"/>
      <c r="CQ4" s="405" t="s">
        <v>541</v>
      </c>
      <c r="CR4" s="91" t="str">
        <f>CSX!GG4</f>
        <v>1Q06</v>
      </c>
      <c r="CS4" s="91" t="str">
        <f>CSX!GH4</f>
        <v>2Q06</v>
      </c>
      <c r="CT4" s="91" t="str">
        <f>CSX!GI4</f>
        <v>3Q06</v>
      </c>
      <c r="CU4" s="91" t="str">
        <f>CSX!GJ4</f>
        <v>4Q06</v>
      </c>
      <c r="CV4" s="91">
        <f>CSX!GK4</f>
        <v>2006</v>
      </c>
      <c r="CW4" s="81"/>
      <c r="CX4" s="405" t="s">
        <v>541</v>
      </c>
      <c r="CY4" s="91" t="str">
        <f>CSX!GN4</f>
        <v>1Q07</v>
      </c>
      <c r="CZ4" s="91" t="str">
        <f>CSX!GO4</f>
        <v>2Q07</v>
      </c>
      <c r="DA4" s="91" t="str">
        <f>CSX!GP4</f>
        <v>3Q07</v>
      </c>
      <c r="DB4" s="91" t="str">
        <f>CSX!GQ4</f>
        <v>4Q07</v>
      </c>
      <c r="DC4" s="91">
        <f>CSX!GR4</f>
        <v>2007</v>
      </c>
      <c r="DD4" s="81"/>
      <c r="DE4" s="405" t="s">
        <v>541</v>
      </c>
      <c r="DF4" s="91" t="str">
        <f>CSX!GU4</f>
        <v>1Q08</v>
      </c>
      <c r="DG4" s="91" t="str">
        <f>CSX!GV4</f>
        <v>2Q08</v>
      </c>
      <c r="DH4" s="91" t="str">
        <f>CSX!GW4</f>
        <v>3Q08</v>
      </c>
      <c r="DI4" s="91" t="str">
        <f>CSX!GX4</f>
        <v>4Q08</v>
      </c>
      <c r="DJ4" s="91">
        <f>CSX!GY4</f>
        <v>2008</v>
      </c>
      <c r="DK4" s="81"/>
      <c r="DL4" s="405" t="s">
        <v>541</v>
      </c>
      <c r="DM4" s="91" t="str">
        <f>CSX!HB4</f>
        <v>1Q09</v>
      </c>
      <c r="DN4" s="91" t="str">
        <f>CSX!HC4</f>
        <v>2Q09</v>
      </c>
      <c r="DO4" s="91" t="str">
        <f>CSX!HD4</f>
        <v>3Q09</v>
      </c>
      <c r="DP4" s="91" t="str">
        <f>CSX!HE4</f>
        <v>4Q09</v>
      </c>
      <c r="DQ4" s="91">
        <f>CSX!HF4</f>
        <v>2009</v>
      </c>
      <c r="DR4" s="81"/>
      <c r="DS4" s="405" t="s">
        <v>541</v>
      </c>
      <c r="DT4" s="91" t="str">
        <f>CSX!HI4</f>
        <v>1Q10</v>
      </c>
      <c r="DU4" s="91" t="str">
        <f>CSX!HJ4</f>
        <v>2Q10</v>
      </c>
      <c r="DV4" s="91" t="str">
        <f>CSX!HK4</f>
        <v>3Q10</v>
      </c>
      <c r="DW4" s="91" t="str">
        <f>CSX!HL4</f>
        <v>4Q10</v>
      </c>
      <c r="DX4" s="91">
        <f>CSX!HM4</f>
        <v>2010</v>
      </c>
      <c r="DY4" s="81"/>
      <c r="DZ4" s="405" t="s">
        <v>541</v>
      </c>
      <c r="EA4" s="91" t="str">
        <f>CSX!HP4</f>
        <v>1Q11</v>
      </c>
      <c r="EB4" s="91" t="str">
        <f>CSX!HQ4</f>
        <v>2Q11</v>
      </c>
      <c r="EC4" s="91" t="str">
        <f>CSX!HR4</f>
        <v>3Q11</v>
      </c>
      <c r="ED4" s="91" t="str">
        <f>CSX!HS4</f>
        <v>4Q11</v>
      </c>
      <c r="EE4" s="91">
        <f>CSX!HT4</f>
        <v>2011</v>
      </c>
      <c r="EF4" s="81"/>
      <c r="EG4" s="405" t="s">
        <v>541</v>
      </c>
      <c r="EH4" s="91" t="str">
        <f>CSX!HW4</f>
        <v>1Q12</v>
      </c>
      <c r="EI4" s="91" t="str">
        <f>CSX!HX4</f>
        <v>2Q12</v>
      </c>
      <c r="EJ4" s="91" t="str">
        <f>CSX!HY4</f>
        <v>3Q12</v>
      </c>
      <c r="EK4" s="91" t="str">
        <f>CSX!HZ4</f>
        <v>4Q12</v>
      </c>
      <c r="EL4" s="91">
        <f>CSX!IA4</f>
        <v>2012</v>
      </c>
      <c r="EM4" s="81"/>
      <c r="EN4" s="405" t="s">
        <v>541</v>
      </c>
      <c r="EO4" s="91" t="str">
        <f>CSX!ID4</f>
        <v>1Q13</v>
      </c>
      <c r="EP4" s="91" t="str">
        <f>CSX!IE4</f>
        <v>2Q13</v>
      </c>
      <c r="EQ4" s="91" t="str">
        <f>CSX!IF4</f>
        <v>3Q13</v>
      </c>
      <c r="ER4" s="91" t="str">
        <f>CSX!IG4</f>
        <v>4Q13</v>
      </c>
      <c r="ES4" s="91">
        <f>CSX!IH4</f>
        <v>2013</v>
      </c>
      <c r="ET4" s="81"/>
      <c r="EU4" s="405" t="s">
        <v>541</v>
      </c>
      <c r="EV4" s="91" t="str">
        <f>CSX!IK4</f>
        <v>1Q14</v>
      </c>
      <c r="EW4" s="91" t="str">
        <f>CSX!IL4</f>
        <v>2Q14</v>
      </c>
      <c r="EX4" s="91" t="str">
        <f>CSX!IM4</f>
        <v>3Q14</v>
      </c>
      <c r="EY4" s="91" t="str">
        <f>CSX!IN4</f>
        <v>4Q14</v>
      </c>
      <c r="EZ4" s="91">
        <f>CSX!IO4</f>
        <v>2014</v>
      </c>
      <c r="FA4" s="81"/>
      <c r="FB4" s="405" t="s">
        <v>541</v>
      </c>
      <c r="FC4" s="91" t="str">
        <f>CSX!IR4</f>
        <v>1Q15</v>
      </c>
      <c r="FD4" s="91" t="str">
        <f>CSX!IS4</f>
        <v>2Q15</v>
      </c>
      <c r="FE4" s="91" t="str">
        <f>CSX!IT4</f>
        <v>3Q15</v>
      </c>
      <c r="FF4" s="91" t="str">
        <f>CSX!IU4</f>
        <v>4Q15</v>
      </c>
      <c r="FG4" s="91">
        <f>CSX!IV4</f>
        <v>2015</v>
      </c>
      <c r="FH4" s="81"/>
      <c r="FI4" s="405" t="s">
        <v>541</v>
      </c>
      <c r="FJ4" s="91" t="str">
        <f>CSX!IY4</f>
        <v>1Q16</v>
      </c>
      <c r="FK4" s="91" t="str">
        <f>CSX!IZ4</f>
        <v>2Q16</v>
      </c>
      <c r="FL4" s="91" t="str">
        <f>CSX!JA4</f>
        <v>3Q16</v>
      </c>
      <c r="FM4" s="91" t="str">
        <f>CSX!JB4</f>
        <v>4Q16</v>
      </c>
      <c r="FN4" s="91">
        <f>CSX!JC4</f>
        <v>2016</v>
      </c>
      <c r="FO4" s="81"/>
      <c r="FP4" s="405" t="s">
        <v>541</v>
      </c>
      <c r="FQ4" s="91" t="str">
        <f>CSX!JF4</f>
        <v>1Q17</v>
      </c>
      <c r="FR4" s="91" t="str">
        <f>CSX!JG4</f>
        <v>2Q17</v>
      </c>
      <c r="FS4" s="91" t="str">
        <f>CSX!JH4</f>
        <v>3Q17</v>
      </c>
      <c r="FT4" s="91" t="str">
        <f>CSX!JI4</f>
        <v>4Q17</v>
      </c>
      <c r="FU4" s="91">
        <f>CSX!JJ4</f>
        <v>2017</v>
      </c>
      <c r="FV4" s="81"/>
      <c r="FW4" s="405" t="s">
        <v>541</v>
      </c>
      <c r="FX4" s="91" t="str">
        <f>CSX!JM4</f>
        <v>1Q18</v>
      </c>
      <c r="FY4" s="91" t="str">
        <f>CSX!JN4</f>
        <v>2Q18</v>
      </c>
      <c r="FZ4" s="91" t="str">
        <f>CSX!JO4</f>
        <v>3Q18</v>
      </c>
      <c r="GA4" s="91" t="str">
        <f>CSX!JP4</f>
        <v>4Q18</v>
      </c>
      <c r="GB4" s="91">
        <f>CSX!JQ4</f>
        <v>2018</v>
      </c>
      <c r="GC4" s="81"/>
      <c r="GD4" s="405" t="s">
        <v>541</v>
      </c>
      <c r="GE4" s="91" t="str">
        <f>CSX!JT4</f>
        <v>1Q19</v>
      </c>
      <c r="GF4" s="91" t="str">
        <f>CSX!JU4</f>
        <v>2Q19</v>
      </c>
      <c r="GG4" s="91" t="str">
        <f>CSX!JV4</f>
        <v>3Q19</v>
      </c>
      <c r="GH4" s="91" t="str">
        <f>CSX!JW4</f>
        <v>4Q19</v>
      </c>
      <c r="GI4" s="91">
        <f>CSX!JX4</f>
        <v>2019</v>
      </c>
      <c r="GJ4" s="81"/>
      <c r="GK4" s="405" t="s">
        <v>541</v>
      </c>
      <c r="GL4" s="91" t="str">
        <f>CSX!KA4</f>
        <v>1Q20</v>
      </c>
      <c r="GM4" s="91" t="str">
        <f>CSX!KB4</f>
        <v>2Q20</v>
      </c>
      <c r="GN4" s="91" t="str">
        <f>CSX!KC4</f>
        <v>3Q20</v>
      </c>
      <c r="GO4" s="91" t="str">
        <f>CSX!KD4</f>
        <v>4Q20</v>
      </c>
      <c r="GP4" s="91">
        <f>CSX!KE4</f>
        <v>2020</v>
      </c>
      <c r="GQ4" s="81"/>
      <c r="GR4" s="405" t="s">
        <v>541</v>
      </c>
      <c r="GS4" s="91" t="str">
        <f>CSX!KH4</f>
        <v>1Q21</v>
      </c>
      <c r="GT4" s="91" t="str">
        <f>CSX!KI4</f>
        <v>2Q21</v>
      </c>
      <c r="GU4" s="91" t="str">
        <f>CSX!KJ4</f>
        <v>3Q21</v>
      </c>
      <c r="GV4" s="91" t="str">
        <f>CSX!KK4</f>
        <v>4Q21</v>
      </c>
      <c r="GW4" s="91">
        <f>CSX!KL4</f>
        <v>2021</v>
      </c>
      <c r="GX4" s="81"/>
      <c r="GY4" s="405" t="s">
        <v>541</v>
      </c>
      <c r="GZ4" s="91" t="str">
        <f>CSX!KO4</f>
        <v>1Q22</v>
      </c>
      <c r="HA4" s="91" t="str">
        <f>CSX!KP4</f>
        <v>2Q22</v>
      </c>
      <c r="HB4" s="91" t="str">
        <f>CSX!KQ4</f>
        <v>3Q22</v>
      </c>
      <c r="HC4" s="91" t="str">
        <f>CSX!KR4</f>
        <v>4Q22</v>
      </c>
      <c r="HD4" s="91">
        <f>CSX!KS4</f>
        <v>2022</v>
      </c>
      <c r="HE4" s="81"/>
      <c r="HF4" s="405" t="s">
        <v>541</v>
      </c>
      <c r="HG4" s="91" t="str">
        <f>CSX!KV4</f>
        <v>1Q23</v>
      </c>
      <c r="HH4" s="91" t="str">
        <f>CSX!KW4</f>
        <v>2Q23</v>
      </c>
      <c r="HI4" s="91" t="str">
        <f>CSX!KX4</f>
        <v>3Q23</v>
      </c>
      <c r="HJ4" s="91" t="str">
        <f>CSX!KY4</f>
        <v>4Q23</v>
      </c>
      <c r="HK4" s="91">
        <f>CSX!KZ4</f>
        <v>2023</v>
      </c>
      <c r="HL4" s="81"/>
      <c r="HM4" s="405" t="s">
        <v>541</v>
      </c>
      <c r="HN4" s="91" t="str">
        <f>CSX!LC4</f>
        <v>1Q24</v>
      </c>
      <c r="HO4" s="91" t="str">
        <f>CSX!LD4</f>
        <v>2Q24</v>
      </c>
      <c r="HP4" s="91" t="str">
        <f>CSX!LE4</f>
        <v>3Q24</v>
      </c>
      <c r="HQ4" s="91" t="str">
        <f>CSX!LF4</f>
        <v>4Q24</v>
      </c>
      <c r="HR4" s="93">
        <f>CSX!LG4</f>
        <v>2024</v>
      </c>
      <c r="HS4" s="81"/>
      <c r="HT4" s="405" t="s">
        <v>541</v>
      </c>
      <c r="HU4" s="91" t="str">
        <f>CSX!LJ4</f>
        <v>1Q25</v>
      </c>
      <c r="HV4" s="91" t="str">
        <f>CSX!LK4</f>
        <v>2Q25</v>
      </c>
      <c r="HW4" s="91" t="str">
        <f>CSX!LL4</f>
        <v>3Q25</v>
      </c>
      <c r="HX4" s="91" t="str">
        <f>CSX!LM4</f>
        <v>4Q25</v>
      </c>
      <c r="HY4" s="93">
        <f>CSX!LN4</f>
        <v>2025</v>
      </c>
      <c r="HZ4" s="81"/>
      <c r="IA4" s="405" t="s">
        <v>541</v>
      </c>
      <c r="IB4" s="91" t="str">
        <f>CSX!LQ4</f>
        <v>1Q26E</v>
      </c>
      <c r="IC4" s="91" t="str">
        <f>CSX!LR4</f>
        <v>2Q26E</v>
      </c>
      <c r="ID4" s="91" t="str">
        <f>CSX!LS4</f>
        <v>3Q26E</v>
      </c>
      <c r="IE4" s="91" t="str">
        <f>CSX!LT4</f>
        <v>4Q26E</v>
      </c>
      <c r="IF4" s="93" t="str">
        <f>CSX!LU4</f>
        <v>2026E</v>
      </c>
      <c r="IG4" s="81"/>
      <c r="IH4" s="405" t="s">
        <v>541</v>
      </c>
      <c r="II4" s="91" t="str">
        <f>CSX!LX4</f>
        <v>1Q27E</v>
      </c>
      <c r="IJ4" s="91" t="str">
        <f>CSX!LY4</f>
        <v>2Q27E</v>
      </c>
      <c r="IK4" s="91" t="str">
        <f>CSX!LZ4</f>
        <v>3Q27E</v>
      </c>
      <c r="IL4" s="91" t="str">
        <f>CSX!MA4</f>
        <v>4Q27E</v>
      </c>
      <c r="IM4" s="93" t="str">
        <f>CSX!MB4</f>
        <v>2027E</v>
      </c>
      <c r="IO4" s="405" t="s">
        <v>541</v>
      </c>
      <c r="IP4" s="91" t="str">
        <f>CSX!ME4</f>
        <v>1Q28E</v>
      </c>
      <c r="IQ4" s="91" t="str">
        <f>CSX!MF4</f>
        <v>2Q28E</v>
      </c>
      <c r="IR4" s="91" t="str">
        <f>CSX!MG4</f>
        <v>3Q28E</v>
      </c>
      <c r="IS4" s="91" t="str">
        <f>CSX!MH4</f>
        <v>4Q28E</v>
      </c>
      <c r="IT4" s="93" t="str">
        <f>CSX!MI4</f>
        <v>2028E</v>
      </c>
    </row>
    <row r="5" spans="1:291" x14ac:dyDescent="0.4">
      <c r="A5" s="312"/>
      <c r="B5" s="406" t="s">
        <v>1</v>
      </c>
      <c r="C5" s="407"/>
      <c r="D5" s="407"/>
      <c r="E5" s="407"/>
      <c r="F5" s="407"/>
      <c r="G5" s="407"/>
      <c r="H5" s="407"/>
      <c r="I5" s="407"/>
      <c r="J5" s="407"/>
      <c r="K5" s="407"/>
      <c r="L5" s="407"/>
      <c r="M5" s="407"/>
      <c r="N5" s="407"/>
      <c r="O5" s="407"/>
      <c r="P5" s="407"/>
      <c r="Q5" s="407"/>
      <c r="R5" s="407"/>
      <c r="S5" s="407"/>
      <c r="T5" s="407"/>
      <c r="U5" s="407"/>
      <c r="V5" s="407"/>
      <c r="W5" s="407"/>
      <c r="X5" s="407"/>
      <c r="Y5" s="407"/>
      <c r="Z5" s="407"/>
      <c r="AA5" s="407"/>
      <c r="AB5" s="404"/>
      <c r="AC5" s="404"/>
      <c r="AD5" s="404"/>
      <c r="AE5" s="404"/>
      <c r="AF5" s="404"/>
      <c r="AG5" s="313"/>
      <c r="AH5" s="313"/>
      <c r="AI5" s="313"/>
      <c r="AJ5" s="313"/>
      <c r="AK5" s="313"/>
      <c r="AL5" s="313"/>
      <c r="AM5" s="313"/>
      <c r="AN5" s="313"/>
      <c r="AO5" s="313"/>
      <c r="AP5" s="313"/>
      <c r="AQ5" s="313"/>
      <c r="AR5" s="313"/>
      <c r="AT5" s="88" t="s">
        <v>1</v>
      </c>
      <c r="AU5" s="92">
        <f>CSX!EJ5</f>
        <v>36250</v>
      </c>
      <c r="AV5" s="92">
        <f>CSX!EK5</f>
        <v>36341</v>
      </c>
      <c r="AW5" s="92">
        <f>CSX!EL5</f>
        <v>36433</v>
      </c>
      <c r="AX5" s="92">
        <f>CSX!EM5</f>
        <v>36525</v>
      </c>
      <c r="AY5" s="92" t="str">
        <f>CSX!EN5</f>
        <v>FY</v>
      </c>
      <c r="AZ5" s="94"/>
      <c r="BA5" s="88" t="s">
        <v>1</v>
      </c>
      <c r="BB5" s="92">
        <f>CSX!EQ5</f>
        <v>36616</v>
      </c>
      <c r="BC5" s="92">
        <f>CSX!ER5</f>
        <v>36707</v>
      </c>
      <c r="BD5" s="92">
        <f>CSX!ES5</f>
        <v>36799</v>
      </c>
      <c r="BE5" s="92">
        <f>CSX!ET5</f>
        <v>36891</v>
      </c>
      <c r="BF5" s="92" t="str">
        <f>CSX!EU5</f>
        <v>FY</v>
      </c>
      <c r="BH5" s="88" t="s">
        <v>1</v>
      </c>
      <c r="BI5" s="92">
        <f>CSX!EX5</f>
        <v>36981</v>
      </c>
      <c r="BJ5" s="92">
        <f>CSX!EY5</f>
        <v>37072</v>
      </c>
      <c r="BK5" s="92">
        <f>CSX!EZ5</f>
        <v>37164</v>
      </c>
      <c r="BL5" s="92">
        <f>CSX!FA5</f>
        <v>37256</v>
      </c>
      <c r="BM5" s="92" t="str">
        <f>CSX!FB5</f>
        <v>FY</v>
      </c>
      <c r="BO5" s="88" t="s">
        <v>1</v>
      </c>
      <c r="BP5" s="92">
        <f>CSX!FE5</f>
        <v>37346</v>
      </c>
      <c r="BQ5" s="92">
        <f>CSX!FF5</f>
        <v>37437</v>
      </c>
      <c r="BR5" s="92">
        <f>CSX!FG5</f>
        <v>37529</v>
      </c>
      <c r="BS5" s="92">
        <f>CSX!FH5</f>
        <v>37621</v>
      </c>
      <c r="BT5" s="92" t="str">
        <f>CSX!FI5</f>
        <v>FY</v>
      </c>
      <c r="BV5" s="88" t="s">
        <v>1</v>
      </c>
      <c r="BW5" s="92">
        <f>CSX!FL5</f>
        <v>37711</v>
      </c>
      <c r="BX5" s="92">
        <f>CSX!FM5</f>
        <v>37802</v>
      </c>
      <c r="BY5" s="92">
        <f>CSX!FN5</f>
        <v>37894</v>
      </c>
      <c r="BZ5" s="92">
        <f>CSX!FO5</f>
        <v>37986</v>
      </c>
      <c r="CA5" s="92" t="str">
        <f>CSX!FP5</f>
        <v>FY</v>
      </c>
      <c r="CC5" s="88" t="s">
        <v>1</v>
      </c>
      <c r="CD5" s="92">
        <f>CSX!FS5</f>
        <v>38077</v>
      </c>
      <c r="CE5" s="92">
        <f>CSX!FT5</f>
        <v>38168</v>
      </c>
      <c r="CF5" s="92">
        <f>CSX!FU5</f>
        <v>38260</v>
      </c>
      <c r="CG5" s="92">
        <f>CSX!FV5</f>
        <v>38352</v>
      </c>
      <c r="CH5" s="92" t="str">
        <f>CSX!FW5</f>
        <v>FY</v>
      </c>
      <c r="CJ5" s="88" t="s">
        <v>1</v>
      </c>
      <c r="CK5" s="92">
        <f>CSX!FZ5</f>
        <v>38442</v>
      </c>
      <c r="CL5" s="92">
        <f>CSX!GA5</f>
        <v>38533</v>
      </c>
      <c r="CM5" s="92">
        <f>CSX!GB5</f>
        <v>38625</v>
      </c>
      <c r="CN5" s="92">
        <f>CSX!GC5</f>
        <v>38717</v>
      </c>
      <c r="CO5" s="92" t="str">
        <f>CSX!GD5</f>
        <v>FY</v>
      </c>
      <c r="CP5" s="94"/>
      <c r="CQ5" s="88" t="s">
        <v>1</v>
      </c>
      <c r="CR5" s="92">
        <f>CSX!GG5</f>
        <v>38807</v>
      </c>
      <c r="CS5" s="92">
        <f>CSX!GH5</f>
        <v>38898</v>
      </c>
      <c r="CT5" s="92">
        <f>CSX!GI5</f>
        <v>38990</v>
      </c>
      <c r="CU5" s="92">
        <f>CSX!GJ5</f>
        <v>39082</v>
      </c>
      <c r="CV5" s="92" t="str">
        <f>CSX!GK5</f>
        <v>FY</v>
      </c>
      <c r="CW5" s="94"/>
      <c r="CX5" s="88" t="s">
        <v>1</v>
      </c>
      <c r="CY5" s="92">
        <f>CSX!GN5</f>
        <v>39172</v>
      </c>
      <c r="CZ5" s="92">
        <f>CSX!GO5</f>
        <v>39263</v>
      </c>
      <c r="DA5" s="92">
        <f>CSX!GP5</f>
        <v>39355</v>
      </c>
      <c r="DB5" s="92">
        <f>CSX!GQ5</f>
        <v>39447</v>
      </c>
      <c r="DC5" s="92" t="str">
        <f>CSX!GR5</f>
        <v>FY</v>
      </c>
      <c r="DD5" s="94"/>
      <c r="DE5" s="88" t="s">
        <v>1</v>
      </c>
      <c r="DF5" s="92">
        <f>CSX!GU5</f>
        <v>39538</v>
      </c>
      <c r="DG5" s="92">
        <f>CSX!GV5</f>
        <v>39629</v>
      </c>
      <c r="DH5" s="92">
        <f>CSX!GW5</f>
        <v>39721</v>
      </c>
      <c r="DI5" s="92">
        <f>CSX!GX5</f>
        <v>39813</v>
      </c>
      <c r="DJ5" s="92" t="str">
        <f>CSX!GY5</f>
        <v>FY</v>
      </c>
      <c r="DK5" s="94"/>
      <c r="DL5" s="88" t="s">
        <v>1</v>
      </c>
      <c r="DM5" s="92">
        <f>CSX!HB5</f>
        <v>39903</v>
      </c>
      <c r="DN5" s="92">
        <f>CSX!HC5</f>
        <v>39994</v>
      </c>
      <c r="DO5" s="92">
        <f>CSX!HD5</f>
        <v>40086</v>
      </c>
      <c r="DP5" s="92">
        <f>CSX!HE5</f>
        <v>40178</v>
      </c>
      <c r="DQ5" s="92" t="str">
        <f>CSX!HF5</f>
        <v>FY</v>
      </c>
      <c r="DR5" s="94"/>
      <c r="DS5" s="88" t="s">
        <v>1</v>
      </c>
      <c r="DT5" s="92">
        <f>CSX!HI5</f>
        <v>40268</v>
      </c>
      <c r="DU5" s="92">
        <f>CSX!HJ5</f>
        <v>40359</v>
      </c>
      <c r="DV5" s="92">
        <f>CSX!HK5</f>
        <v>40451</v>
      </c>
      <c r="DW5" s="92">
        <f>CSX!HL5</f>
        <v>40543</v>
      </c>
      <c r="DX5" s="92" t="str">
        <f>CSX!HM5</f>
        <v>FY</v>
      </c>
      <c r="DY5" s="94"/>
      <c r="DZ5" s="88" t="s">
        <v>1</v>
      </c>
      <c r="EA5" s="92">
        <f>CSX!HP5</f>
        <v>40633</v>
      </c>
      <c r="EB5" s="92">
        <f>CSX!HQ5</f>
        <v>40724</v>
      </c>
      <c r="EC5" s="92">
        <f>CSX!HR5</f>
        <v>40816</v>
      </c>
      <c r="ED5" s="92">
        <f>CSX!HS5</f>
        <v>40908</v>
      </c>
      <c r="EE5" s="92" t="str">
        <f>CSX!HT5</f>
        <v>FY</v>
      </c>
      <c r="EF5" s="94"/>
      <c r="EG5" s="88" t="s">
        <v>1</v>
      </c>
      <c r="EH5" s="92">
        <f>CSX!HW5</f>
        <v>40999</v>
      </c>
      <c r="EI5" s="92">
        <f>CSX!HX5</f>
        <v>41090</v>
      </c>
      <c r="EJ5" s="92">
        <f>CSX!HY5</f>
        <v>41182</v>
      </c>
      <c r="EK5" s="92">
        <f>CSX!HZ5</f>
        <v>41274</v>
      </c>
      <c r="EL5" s="92" t="str">
        <f>CSX!IA5</f>
        <v>FY</v>
      </c>
      <c r="EM5" s="94"/>
      <c r="EN5" s="88" t="s">
        <v>1</v>
      </c>
      <c r="EO5" s="92">
        <f>CSX!ID5</f>
        <v>41364</v>
      </c>
      <c r="EP5" s="92">
        <f>CSX!IE5</f>
        <v>41455</v>
      </c>
      <c r="EQ5" s="92">
        <f>CSX!IF5</f>
        <v>41547</v>
      </c>
      <c r="ER5" s="92">
        <f>CSX!IG5</f>
        <v>41639</v>
      </c>
      <c r="ES5" s="92" t="str">
        <f>CSX!IH5</f>
        <v>FY</v>
      </c>
      <c r="ET5" s="94"/>
      <c r="EU5" s="88" t="s">
        <v>1</v>
      </c>
      <c r="EV5" s="92">
        <f>CSX!IK5</f>
        <v>41729</v>
      </c>
      <c r="EW5" s="92">
        <f>CSX!IL5</f>
        <v>41820</v>
      </c>
      <c r="EX5" s="92">
        <f>CSX!IM5</f>
        <v>41912</v>
      </c>
      <c r="EY5" s="92">
        <f>CSX!IN5</f>
        <v>42004</v>
      </c>
      <c r="EZ5" s="92" t="str">
        <f>CSX!IO5</f>
        <v>FY</v>
      </c>
      <c r="FA5" s="94"/>
      <c r="FB5" s="88" t="s">
        <v>1</v>
      </c>
      <c r="FC5" s="92">
        <f>CSX!IR5</f>
        <v>42094</v>
      </c>
      <c r="FD5" s="92">
        <f>CSX!IS5</f>
        <v>42185</v>
      </c>
      <c r="FE5" s="92">
        <f>CSX!IT5</f>
        <v>42277</v>
      </c>
      <c r="FF5" s="92">
        <f>CSX!IU5</f>
        <v>42369</v>
      </c>
      <c r="FG5" s="92" t="str">
        <f>CSX!IV5</f>
        <v>FY</v>
      </c>
      <c r="FH5" s="94"/>
      <c r="FI5" s="88" t="s">
        <v>1</v>
      </c>
      <c r="FJ5" s="92">
        <f>CSX!IY5</f>
        <v>42460</v>
      </c>
      <c r="FK5" s="92">
        <f>CSX!IZ5</f>
        <v>42551</v>
      </c>
      <c r="FL5" s="92">
        <f>CSX!JA5</f>
        <v>42643</v>
      </c>
      <c r="FM5" s="92">
        <f>CSX!JB5</f>
        <v>42735</v>
      </c>
      <c r="FN5" s="92" t="str">
        <f>CSX!JC5</f>
        <v>FY</v>
      </c>
      <c r="FO5" s="94"/>
      <c r="FP5" s="88" t="s">
        <v>1</v>
      </c>
      <c r="FQ5" s="92">
        <f>CSX!JF5</f>
        <v>42825</v>
      </c>
      <c r="FR5" s="92">
        <f>CSX!JG5</f>
        <v>42916</v>
      </c>
      <c r="FS5" s="92">
        <f>CSX!JH5</f>
        <v>43008</v>
      </c>
      <c r="FT5" s="92">
        <f>CSX!JI5</f>
        <v>43100</v>
      </c>
      <c r="FU5" s="92" t="str">
        <f>CSX!JJ5</f>
        <v>FY</v>
      </c>
      <c r="FV5" s="94"/>
      <c r="FW5" s="88" t="s">
        <v>1</v>
      </c>
      <c r="FX5" s="92">
        <f>CSX!JM5</f>
        <v>43190</v>
      </c>
      <c r="FY5" s="92">
        <f>CSX!JN5</f>
        <v>43281</v>
      </c>
      <c r="FZ5" s="92">
        <f>CSX!JO5</f>
        <v>43373</v>
      </c>
      <c r="GA5" s="92">
        <f>CSX!JP5</f>
        <v>43465</v>
      </c>
      <c r="GB5" s="92" t="str">
        <f>CSX!JQ5</f>
        <v>FY</v>
      </c>
      <c r="GC5" s="94"/>
      <c r="GD5" s="88" t="s">
        <v>1</v>
      </c>
      <c r="GE5" s="92">
        <f>CSX!JT5</f>
        <v>43555</v>
      </c>
      <c r="GF5" s="92">
        <f>CSX!JU5</f>
        <v>43646</v>
      </c>
      <c r="GG5" s="92">
        <f>CSX!JV5</f>
        <v>43738</v>
      </c>
      <c r="GH5" s="92">
        <f>CSX!JW5</f>
        <v>43830</v>
      </c>
      <c r="GI5" s="92" t="str">
        <f>CSX!JX5</f>
        <v>FY</v>
      </c>
      <c r="GJ5" s="94"/>
      <c r="GK5" s="88" t="s">
        <v>1</v>
      </c>
      <c r="GL5" s="92">
        <f>CSX!KA5</f>
        <v>43921</v>
      </c>
      <c r="GM5" s="92">
        <f>CSX!KB5</f>
        <v>44012</v>
      </c>
      <c r="GN5" s="92">
        <f>CSX!KC5</f>
        <v>44104</v>
      </c>
      <c r="GO5" s="92">
        <f>CSX!KD5</f>
        <v>44196</v>
      </c>
      <c r="GP5" s="92" t="str">
        <f>CSX!KE5</f>
        <v>FY</v>
      </c>
      <c r="GQ5" s="94"/>
      <c r="GR5" s="88" t="s">
        <v>1</v>
      </c>
      <c r="GS5" s="92">
        <f>CSX!KH5</f>
        <v>44286</v>
      </c>
      <c r="GT5" s="92">
        <f>CSX!KI5</f>
        <v>44377</v>
      </c>
      <c r="GU5" s="92">
        <f>CSX!KJ5</f>
        <v>44469</v>
      </c>
      <c r="GV5" s="92">
        <f>CSX!KK5</f>
        <v>44561</v>
      </c>
      <c r="GW5" s="92" t="str">
        <f>CSX!KL5</f>
        <v>FY</v>
      </c>
      <c r="GX5" s="94"/>
      <c r="GY5" s="88" t="s">
        <v>1</v>
      </c>
      <c r="GZ5" s="92">
        <f>CSX!KO5</f>
        <v>44651</v>
      </c>
      <c r="HA5" s="92">
        <f>CSX!KP5</f>
        <v>44742</v>
      </c>
      <c r="HB5" s="92">
        <f>CSX!KQ5</f>
        <v>44834</v>
      </c>
      <c r="HC5" s="92">
        <f>CSX!KR5</f>
        <v>44926</v>
      </c>
      <c r="HD5" s="92" t="str">
        <f>CSX!KS5</f>
        <v>FY</v>
      </c>
      <c r="HE5" s="94"/>
      <c r="HF5" s="88" t="s">
        <v>1</v>
      </c>
      <c r="HG5" s="92">
        <f>CSX!KV5</f>
        <v>45016</v>
      </c>
      <c r="HH5" s="92">
        <f>CSX!KW5</f>
        <v>45107</v>
      </c>
      <c r="HI5" s="92">
        <f>CSX!KX5</f>
        <v>45199</v>
      </c>
      <c r="HJ5" s="92">
        <f>CSX!KY5</f>
        <v>45291</v>
      </c>
      <c r="HK5" s="92" t="str">
        <f>CSX!KZ5</f>
        <v>FY</v>
      </c>
      <c r="HL5" s="94"/>
      <c r="HM5" s="88" t="s">
        <v>1</v>
      </c>
      <c r="HN5" s="92">
        <f>CSX!LC5</f>
        <v>45382</v>
      </c>
      <c r="HO5" s="92">
        <f>CSX!LD5</f>
        <v>45473</v>
      </c>
      <c r="HP5" s="92">
        <f>CSX!LE5</f>
        <v>45565</v>
      </c>
      <c r="HQ5" s="92">
        <f>CSX!LF5</f>
        <v>45657</v>
      </c>
      <c r="HR5" s="95" t="str">
        <f>CSX!LG5</f>
        <v>FY</v>
      </c>
      <c r="HS5" s="94"/>
      <c r="HT5" s="88" t="s">
        <v>1</v>
      </c>
      <c r="HU5" s="92">
        <f>CSX!LJ5</f>
        <v>45747</v>
      </c>
      <c r="HV5" s="92">
        <f>CSX!LK5</f>
        <v>45838</v>
      </c>
      <c r="HW5" s="92">
        <f>CSX!LL5</f>
        <v>45930</v>
      </c>
      <c r="HX5" s="92">
        <f>CSX!LM5</f>
        <v>46022</v>
      </c>
      <c r="HY5" s="95" t="str">
        <f>CSX!LN5</f>
        <v>FY</v>
      </c>
      <c r="HZ5" s="94"/>
      <c r="IA5" s="88" t="s">
        <v>1</v>
      </c>
      <c r="IB5" s="92">
        <f>CSX!LQ5</f>
        <v>46112</v>
      </c>
      <c r="IC5" s="92">
        <f>CSX!LR5</f>
        <v>46203</v>
      </c>
      <c r="ID5" s="92">
        <f>CSX!LS5</f>
        <v>46295</v>
      </c>
      <c r="IE5" s="92">
        <f>CSX!LT5</f>
        <v>46387</v>
      </c>
      <c r="IF5" s="95" t="str">
        <f>CSX!LU5</f>
        <v>FY</v>
      </c>
      <c r="IG5" s="94"/>
      <c r="IH5" s="88" t="s">
        <v>1</v>
      </c>
      <c r="II5" s="92">
        <f>CSX!LX5</f>
        <v>46477</v>
      </c>
      <c r="IJ5" s="92">
        <f>CSX!LY5</f>
        <v>46568</v>
      </c>
      <c r="IK5" s="92">
        <f>CSX!LZ5</f>
        <v>46660</v>
      </c>
      <c r="IL5" s="92">
        <f>CSX!MA5</f>
        <v>46752</v>
      </c>
      <c r="IM5" s="95" t="str">
        <f>CSX!MB5</f>
        <v>FY</v>
      </c>
      <c r="IO5" s="88" t="s">
        <v>1</v>
      </c>
      <c r="IP5" s="92">
        <f>CSX!ME5</f>
        <v>46843</v>
      </c>
      <c r="IQ5" s="92">
        <f>CSX!MF5</f>
        <v>46934</v>
      </c>
      <c r="IR5" s="92">
        <f>CSX!MG5</f>
        <v>47026</v>
      </c>
      <c r="IS5" s="92">
        <f>CSX!MH5</f>
        <v>47118</v>
      </c>
      <c r="IT5" s="95" t="str">
        <f>CSX!MI5</f>
        <v>FY</v>
      </c>
    </row>
    <row r="6" spans="1:291" ht="14.25" thickBot="1" x14ac:dyDescent="0.45">
      <c r="A6" s="312"/>
      <c r="B6" s="76"/>
      <c r="AT6" s="76"/>
      <c r="BA6" s="76"/>
      <c r="BH6" s="76"/>
      <c r="BO6" s="76"/>
      <c r="BV6" s="76"/>
      <c r="CC6" s="76"/>
      <c r="CJ6" s="76"/>
      <c r="CQ6" s="76"/>
      <c r="CX6" s="76"/>
      <c r="DE6" s="76"/>
      <c r="DL6" s="76"/>
      <c r="DS6" s="76"/>
      <c r="DZ6" s="76"/>
      <c r="EG6" s="76"/>
      <c r="EN6" s="76"/>
      <c r="EU6" s="76"/>
      <c r="FB6" s="76"/>
      <c r="FI6" s="76"/>
      <c r="FP6" s="76"/>
      <c r="FW6" s="76"/>
      <c r="GD6" s="76"/>
      <c r="GK6" s="76"/>
      <c r="GR6" s="76"/>
      <c r="GY6" s="76"/>
      <c r="HF6" s="76"/>
      <c r="HM6" s="76"/>
      <c r="HT6" s="76"/>
      <c r="IA6" s="76"/>
      <c r="IH6" s="76"/>
      <c r="IO6" s="76"/>
    </row>
    <row r="7" spans="1:291" s="166" customFormat="1" ht="15" customHeight="1" thickBot="1" x14ac:dyDescent="0.45">
      <c r="B7" s="315" t="s">
        <v>43</v>
      </c>
      <c r="C7" s="316"/>
      <c r="D7" s="316"/>
      <c r="E7" s="316"/>
      <c r="F7" s="316"/>
      <c r="G7" s="316"/>
      <c r="H7" s="316"/>
      <c r="I7" s="316"/>
      <c r="J7" s="316"/>
      <c r="K7" s="316"/>
      <c r="L7" s="316"/>
      <c r="M7" s="316"/>
      <c r="N7" s="316"/>
      <c r="O7" s="316"/>
      <c r="P7" s="316"/>
      <c r="Q7" s="316"/>
      <c r="R7" s="316"/>
      <c r="S7" s="316"/>
      <c r="T7" s="316"/>
      <c r="U7" s="316"/>
      <c r="V7" s="316"/>
      <c r="W7" s="316"/>
      <c r="X7" s="316"/>
      <c r="Y7" s="316"/>
      <c r="Z7" s="316"/>
      <c r="AA7" s="316"/>
      <c r="AB7" s="316"/>
      <c r="AC7" s="316"/>
      <c r="AD7" s="316"/>
      <c r="AE7" s="316"/>
      <c r="AF7" s="316"/>
      <c r="AG7" s="316"/>
      <c r="AH7" s="316"/>
      <c r="AI7" s="316"/>
      <c r="AJ7" s="316"/>
      <c r="AK7" s="316"/>
      <c r="AL7" s="316"/>
      <c r="AM7" s="316"/>
      <c r="AN7" s="316"/>
      <c r="AO7" s="316"/>
      <c r="AP7" s="316"/>
      <c r="AQ7" s="316"/>
      <c r="AR7" s="316"/>
      <c r="AS7" s="317"/>
      <c r="AT7" s="315" t="s">
        <v>43</v>
      </c>
      <c r="AU7" s="316"/>
      <c r="AV7" s="316"/>
      <c r="AW7" s="316"/>
      <c r="AX7" s="316"/>
      <c r="AY7" s="316"/>
      <c r="AZ7" s="317"/>
      <c r="BA7" s="315" t="s">
        <v>43</v>
      </c>
      <c r="BB7" s="316"/>
      <c r="BC7" s="316"/>
      <c r="BD7" s="316"/>
      <c r="BE7" s="316"/>
      <c r="BF7" s="316"/>
      <c r="BG7" s="317"/>
      <c r="BH7" s="315" t="s">
        <v>43</v>
      </c>
      <c r="BI7" s="316"/>
      <c r="BJ7" s="316"/>
      <c r="BK7" s="316"/>
      <c r="BL7" s="316"/>
      <c r="BM7" s="316"/>
      <c r="BN7" s="317"/>
      <c r="BO7" s="315" t="s">
        <v>43</v>
      </c>
      <c r="BP7" s="316"/>
      <c r="BQ7" s="316"/>
      <c r="BR7" s="316"/>
      <c r="BS7" s="316"/>
      <c r="BT7" s="316"/>
      <c r="BU7" s="317"/>
      <c r="BV7" s="315" t="s">
        <v>43</v>
      </c>
      <c r="BW7" s="316"/>
      <c r="BX7" s="316"/>
      <c r="BY7" s="316"/>
      <c r="BZ7" s="316"/>
      <c r="CA7" s="316"/>
      <c r="CB7" s="317"/>
      <c r="CC7" s="315" t="s">
        <v>43</v>
      </c>
      <c r="CD7" s="316"/>
      <c r="CE7" s="316"/>
      <c r="CF7" s="316"/>
      <c r="CG7" s="316"/>
      <c r="CH7" s="316"/>
      <c r="CI7" s="317"/>
      <c r="CJ7" s="315" t="s">
        <v>43</v>
      </c>
      <c r="CK7" s="316"/>
      <c r="CL7" s="316"/>
      <c r="CM7" s="316"/>
      <c r="CN7" s="316"/>
      <c r="CO7" s="316"/>
      <c r="CP7" s="317"/>
      <c r="CQ7" s="315" t="s">
        <v>43</v>
      </c>
      <c r="CR7" s="316"/>
      <c r="CS7" s="316"/>
      <c r="CT7" s="316"/>
      <c r="CU7" s="316"/>
      <c r="CV7" s="316"/>
      <c r="CW7" s="317"/>
      <c r="CX7" s="315" t="s">
        <v>43</v>
      </c>
      <c r="CY7" s="316"/>
      <c r="CZ7" s="316"/>
      <c r="DA7" s="316"/>
      <c r="DB7" s="316"/>
      <c r="DC7" s="316"/>
      <c r="DD7" s="317"/>
      <c r="DE7" s="315" t="s">
        <v>43</v>
      </c>
      <c r="DF7" s="316"/>
      <c r="DG7" s="316"/>
      <c r="DH7" s="316"/>
      <c r="DI7" s="316"/>
      <c r="DJ7" s="316"/>
      <c r="DK7" s="317"/>
      <c r="DL7" s="315" t="s">
        <v>43</v>
      </c>
      <c r="DM7" s="316"/>
      <c r="DN7" s="316"/>
      <c r="DO7" s="316"/>
      <c r="DP7" s="316"/>
      <c r="DQ7" s="316"/>
      <c r="DR7" s="317"/>
      <c r="DS7" s="315" t="s">
        <v>43</v>
      </c>
      <c r="DT7" s="316"/>
      <c r="DU7" s="316"/>
      <c r="DV7" s="316"/>
      <c r="DW7" s="316"/>
      <c r="DX7" s="316"/>
      <c r="DY7" s="317"/>
      <c r="DZ7" s="315" t="s">
        <v>43</v>
      </c>
      <c r="EA7" s="316"/>
      <c r="EB7" s="316"/>
      <c r="EC7" s="316"/>
      <c r="ED7" s="316"/>
      <c r="EE7" s="316"/>
      <c r="EF7" s="317"/>
      <c r="EG7" s="315" t="s">
        <v>43</v>
      </c>
      <c r="EH7" s="316"/>
      <c r="EI7" s="316"/>
      <c r="EJ7" s="316"/>
      <c r="EK7" s="316"/>
      <c r="EL7" s="316"/>
      <c r="EM7" s="317"/>
      <c r="EN7" s="315" t="s">
        <v>43</v>
      </c>
      <c r="EO7" s="316"/>
      <c r="EP7" s="316"/>
      <c r="EQ7" s="316"/>
      <c r="ER7" s="316"/>
      <c r="ES7" s="316"/>
      <c r="ET7" s="317"/>
      <c r="EU7" s="315" t="s">
        <v>43</v>
      </c>
      <c r="EV7" s="316"/>
      <c r="EW7" s="316"/>
      <c r="EX7" s="316"/>
      <c r="EY7" s="316"/>
      <c r="EZ7" s="316"/>
      <c r="FA7" s="317"/>
      <c r="FB7" s="315" t="s">
        <v>43</v>
      </c>
      <c r="FC7" s="316"/>
      <c r="FD7" s="316"/>
      <c r="FE7" s="316"/>
      <c r="FF7" s="316"/>
      <c r="FG7" s="316"/>
      <c r="FH7" s="317"/>
      <c r="FI7" s="315" t="s">
        <v>43</v>
      </c>
      <c r="FJ7" s="316"/>
      <c r="FK7" s="316"/>
      <c r="FL7" s="316"/>
      <c r="FM7" s="316"/>
      <c r="FN7" s="316"/>
      <c r="FO7" s="317"/>
      <c r="FP7" s="315" t="s">
        <v>43</v>
      </c>
      <c r="FQ7" s="316"/>
      <c r="FR7" s="316"/>
      <c r="FS7" s="316"/>
      <c r="FT7" s="316"/>
      <c r="FU7" s="316"/>
      <c r="FV7" s="317"/>
      <c r="FW7" s="315" t="s">
        <v>43</v>
      </c>
      <c r="FX7" s="316"/>
      <c r="FY7" s="316"/>
      <c r="FZ7" s="316"/>
      <c r="GA7" s="316"/>
      <c r="GB7" s="316"/>
      <c r="GC7" s="317"/>
      <c r="GD7" s="315" t="s">
        <v>43</v>
      </c>
      <c r="GE7" s="316"/>
      <c r="GF7" s="316"/>
      <c r="GG7" s="316"/>
      <c r="GH7" s="316"/>
      <c r="GI7" s="316"/>
      <c r="GJ7" s="317"/>
      <c r="GK7" s="315" t="s">
        <v>43</v>
      </c>
      <c r="GL7" s="316"/>
      <c r="GM7" s="316"/>
      <c r="GN7" s="316"/>
      <c r="GO7" s="316"/>
      <c r="GP7" s="316"/>
      <c r="GQ7" s="317"/>
      <c r="GR7" s="315" t="s">
        <v>43</v>
      </c>
      <c r="GS7" s="316"/>
      <c r="GT7" s="316"/>
      <c r="GU7" s="316"/>
      <c r="GV7" s="316"/>
      <c r="GW7" s="316"/>
      <c r="GX7" s="317"/>
      <c r="GY7" s="315" t="s">
        <v>43</v>
      </c>
      <c r="GZ7" s="316"/>
      <c r="HA7" s="316"/>
      <c r="HB7" s="316"/>
      <c r="HC7" s="316"/>
      <c r="HD7" s="316"/>
      <c r="HE7" s="317"/>
      <c r="HF7" s="315" t="s">
        <v>43</v>
      </c>
      <c r="HG7" s="316"/>
      <c r="HH7" s="316"/>
      <c r="HI7" s="316"/>
      <c r="HJ7" s="316"/>
      <c r="HK7" s="316"/>
      <c r="HL7" s="317"/>
      <c r="HM7" s="315" t="s">
        <v>43</v>
      </c>
      <c r="HN7" s="316"/>
      <c r="HO7" s="316"/>
      <c r="HP7" s="316"/>
      <c r="HQ7" s="316"/>
      <c r="HR7" s="316"/>
      <c r="HS7" s="317"/>
      <c r="HT7" s="315" t="s">
        <v>43</v>
      </c>
      <c r="HU7" s="316"/>
      <c r="HV7" s="316"/>
      <c r="HW7" s="316"/>
      <c r="HX7" s="316"/>
      <c r="HY7" s="316"/>
      <c r="HZ7" s="317"/>
      <c r="IA7" s="315" t="s">
        <v>43</v>
      </c>
      <c r="IB7" s="316"/>
      <c r="IC7" s="316"/>
      <c r="ID7" s="316"/>
      <c r="IE7" s="316"/>
      <c r="IF7" s="316"/>
      <c r="IG7" s="317"/>
      <c r="IH7" s="315" t="s">
        <v>43</v>
      </c>
      <c r="II7" s="316"/>
      <c r="IJ7" s="316"/>
      <c r="IK7" s="316"/>
      <c r="IL7" s="316"/>
      <c r="IM7" s="316"/>
      <c r="IN7" s="317"/>
      <c r="IO7" s="315" t="s">
        <v>43</v>
      </c>
      <c r="IP7" s="316"/>
      <c r="IQ7" s="316"/>
      <c r="IR7" s="316"/>
      <c r="IS7" s="316"/>
      <c r="IT7" s="316"/>
      <c r="IU7" s="317"/>
      <c r="IV7" s="317"/>
      <c r="IW7" s="317"/>
      <c r="IX7" s="317"/>
      <c r="IY7" s="317"/>
      <c r="IZ7" s="317"/>
      <c r="JA7" s="317"/>
      <c r="JB7" s="317"/>
      <c r="JC7" s="317"/>
      <c r="JD7" s="317"/>
      <c r="JE7" s="317"/>
      <c r="JF7" s="317"/>
      <c r="JG7" s="317"/>
      <c r="JH7" s="317"/>
      <c r="JI7" s="317"/>
      <c r="JJ7" s="317"/>
      <c r="JK7" s="317"/>
      <c r="JL7" s="317"/>
      <c r="JM7" s="317"/>
      <c r="JN7" s="317"/>
      <c r="JO7" s="317"/>
      <c r="JP7" s="317"/>
      <c r="JQ7" s="317"/>
      <c r="JR7" s="317"/>
      <c r="JS7" s="317"/>
      <c r="JT7" s="317"/>
      <c r="JU7" s="317"/>
      <c r="JV7" s="317"/>
      <c r="JW7" s="317"/>
      <c r="JX7" s="317"/>
      <c r="JY7" s="317"/>
      <c r="JZ7" s="317"/>
      <c r="KA7" s="317"/>
      <c r="KB7" s="317"/>
      <c r="KC7" s="317"/>
      <c r="KD7" s="317"/>
      <c r="KE7" s="317"/>
    </row>
    <row r="8" spans="1:291" x14ac:dyDescent="0.4">
      <c r="B8" s="76"/>
      <c r="AT8" s="76"/>
      <c r="BA8" s="76"/>
      <c r="BH8" s="76"/>
      <c r="BO8" s="76"/>
      <c r="BV8" s="76"/>
      <c r="CC8" s="76"/>
      <c r="CJ8" s="76"/>
      <c r="CQ8" s="76"/>
      <c r="CX8" s="76"/>
      <c r="DE8" s="76"/>
      <c r="DL8" s="76"/>
      <c r="DS8" s="76"/>
      <c r="DZ8" s="76"/>
      <c r="EG8" s="76"/>
      <c r="EN8" s="76"/>
      <c r="EU8" s="76"/>
      <c r="FB8" s="76"/>
      <c r="FI8" s="76"/>
      <c r="FP8" s="76"/>
      <c r="FW8" s="76"/>
      <c r="GD8" s="76"/>
      <c r="GK8" s="76"/>
      <c r="GR8" s="76"/>
      <c r="GY8" s="76"/>
      <c r="HF8" s="76"/>
      <c r="HM8" s="76"/>
      <c r="HT8" s="76"/>
      <c r="IA8" s="76"/>
      <c r="IH8" s="76"/>
      <c r="IO8" s="76"/>
    </row>
    <row r="9" spans="1:291" x14ac:dyDescent="0.4">
      <c r="B9" s="318" t="s">
        <v>73</v>
      </c>
      <c r="C9" s="319">
        <f t="shared" ref="C9:C15" si="0">AY9</f>
        <v>974</v>
      </c>
      <c r="D9" s="319">
        <f t="shared" ref="D9:D15" si="1">BF9</f>
        <v>686</v>
      </c>
      <c r="E9" s="319">
        <f t="shared" ref="E9:E15" si="2">BM9</f>
        <v>137</v>
      </c>
      <c r="F9" s="319">
        <f t="shared" ref="F9:F15" si="3">BT9</f>
        <v>127</v>
      </c>
      <c r="G9" s="319">
        <f t="shared" ref="G9:G15" si="4">CA9</f>
        <v>296</v>
      </c>
      <c r="H9" s="319">
        <f t="shared" ref="H9:H15" si="5">CH9</f>
        <v>522</v>
      </c>
      <c r="I9" s="319">
        <f t="shared" ref="I9:I15" si="6">CO9</f>
        <v>309</v>
      </c>
      <c r="J9" s="319">
        <f t="shared" ref="J9:J15" si="7">CV9</f>
        <v>461</v>
      </c>
      <c r="K9" s="319">
        <f t="shared" ref="K9:K15" si="8">DC9</f>
        <v>368</v>
      </c>
      <c r="L9" s="319">
        <f t="shared" ref="L9:L15" si="9">DJ9</f>
        <v>669</v>
      </c>
      <c r="M9" s="319">
        <f t="shared" ref="M9:M15" si="10">DQ9</f>
        <v>1029</v>
      </c>
      <c r="N9" s="319">
        <f t="shared" ref="N9:N15" si="11">DX9</f>
        <v>1292</v>
      </c>
      <c r="O9" s="319">
        <f t="shared" ref="O9:O15" si="12">EE9</f>
        <v>783</v>
      </c>
      <c r="P9" s="319">
        <f t="shared" ref="P9:P15" si="13">EL9</f>
        <v>784</v>
      </c>
      <c r="Q9" s="319">
        <f t="shared" ref="Q9:Q15" si="14">ES9</f>
        <v>592</v>
      </c>
      <c r="R9" s="319">
        <f t="shared" ref="R9:R15" si="15">EZ9</f>
        <v>669</v>
      </c>
      <c r="S9" s="319">
        <f t="shared" ref="S9:S15" si="16">FG9</f>
        <v>628</v>
      </c>
      <c r="T9" s="319">
        <f t="shared" ref="T9:T15" si="17">FN9</f>
        <v>603</v>
      </c>
      <c r="U9" s="319">
        <f t="shared" ref="U9:U15" si="18">FU9</f>
        <v>401</v>
      </c>
      <c r="V9" s="319">
        <f t="shared" ref="V9:V15" si="19">GB9</f>
        <v>858</v>
      </c>
      <c r="W9" s="319">
        <f t="shared" ref="W9:W15" si="20">GI9</f>
        <v>958</v>
      </c>
      <c r="X9" s="319">
        <f t="shared" ref="X9:X15" si="21">GP9</f>
        <v>3129</v>
      </c>
      <c r="Y9" s="319">
        <f t="shared" ref="Y9:Y15" si="22">GW9</f>
        <v>2239</v>
      </c>
      <c r="Z9" s="319">
        <f t="shared" ref="Z9:Z15" si="23">HD9</f>
        <v>1933</v>
      </c>
      <c r="AA9" s="319">
        <f t="shared" ref="AA9:AA15" si="24">HK9</f>
        <v>1353</v>
      </c>
      <c r="AB9" s="319">
        <f t="shared" ref="AB9:AB15" si="25">HR9</f>
        <v>933</v>
      </c>
      <c r="AC9" s="319">
        <f t="shared" ref="AC9:AC15" si="26">HY9</f>
        <v>670</v>
      </c>
      <c r="AD9" s="319">
        <f t="shared" ref="AD9:AD15" si="27">IF9</f>
        <v>153.86953252188437</v>
      </c>
      <c r="AE9" s="319">
        <f t="shared" ref="AE9:AE15" si="28">IM9</f>
        <v>-194.3194886084093</v>
      </c>
      <c r="AF9" s="319">
        <f t="shared" ref="AF9:AF15" si="29">IT9</f>
        <v>-425.51551077089698</v>
      </c>
      <c r="AG9" s="320"/>
      <c r="AH9" s="320"/>
      <c r="AI9" s="320"/>
      <c r="AJ9" s="320"/>
      <c r="AK9" s="320"/>
      <c r="AL9" s="320"/>
      <c r="AM9" s="320"/>
      <c r="AN9" s="320"/>
      <c r="AO9" s="320"/>
      <c r="AP9" s="320"/>
      <c r="AQ9" s="320"/>
      <c r="AR9" s="320"/>
      <c r="AT9" s="318" t="s">
        <v>73</v>
      </c>
      <c r="AU9" s="319"/>
      <c r="AV9" s="319"/>
      <c r="AW9" s="319"/>
      <c r="AX9" s="319">
        <v>974</v>
      </c>
      <c r="AY9" s="319">
        <f>AX9</f>
        <v>974</v>
      </c>
      <c r="BA9" s="318" t="s">
        <v>73</v>
      </c>
      <c r="BB9" s="319">
        <v>293</v>
      </c>
      <c r="BC9" s="319">
        <v>128</v>
      </c>
      <c r="BD9" s="319">
        <v>492</v>
      </c>
      <c r="BE9" s="319">
        <v>686</v>
      </c>
      <c r="BF9" s="319">
        <f>BE9</f>
        <v>686</v>
      </c>
      <c r="BH9" s="318" t="s">
        <v>73</v>
      </c>
      <c r="BI9" s="319">
        <v>121</v>
      </c>
      <c r="BJ9" s="319">
        <v>143</v>
      </c>
      <c r="BK9" s="319">
        <v>133</v>
      </c>
      <c r="BL9" s="319">
        <v>137</v>
      </c>
      <c r="BM9" s="319">
        <f>BL9</f>
        <v>137</v>
      </c>
      <c r="BO9" s="318" t="s">
        <v>73</v>
      </c>
      <c r="BP9" s="319">
        <v>140</v>
      </c>
      <c r="BQ9" s="319">
        <v>251</v>
      </c>
      <c r="BR9" s="319">
        <v>120</v>
      </c>
      <c r="BS9" s="319">
        <v>127</v>
      </c>
      <c r="BT9" s="319">
        <f>BS9</f>
        <v>127</v>
      </c>
      <c r="BV9" s="318" t="s">
        <v>73</v>
      </c>
      <c r="BW9" s="319">
        <v>159</v>
      </c>
      <c r="BX9" s="319">
        <v>174</v>
      </c>
      <c r="BY9" s="319">
        <v>385</v>
      </c>
      <c r="BZ9" s="319">
        <v>296</v>
      </c>
      <c r="CA9" s="319">
        <f>BZ9</f>
        <v>296</v>
      </c>
      <c r="CC9" s="318" t="s">
        <v>73</v>
      </c>
      <c r="CD9" s="319">
        <v>230</v>
      </c>
      <c r="CE9" s="319">
        <v>564</v>
      </c>
      <c r="CF9" s="319">
        <v>191</v>
      </c>
      <c r="CG9" s="319">
        <v>522</v>
      </c>
      <c r="CH9" s="319">
        <f>CG9</f>
        <v>522</v>
      </c>
      <c r="CJ9" s="318" t="s">
        <v>73</v>
      </c>
      <c r="CK9" s="319">
        <v>710</v>
      </c>
      <c r="CL9" s="319">
        <v>301</v>
      </c>
      <c r="CM9" s="319">
        <v>278</v>
      </c>
      <c r="CN9" s="319">
        <v>309</v>
      </c>
      <c r="CO9" s="319">
        <f>CN9</f>
        <v>309</v>
      </c>
      <c r="CQ9" s="318" t="s">
        <v>73</v>
      </c>
      <c r="CR9" s="319">
        <v>376</v>
      </c>
      <c r="CS9" s="319">
        <v>320</v>
      </c>
      <c r="CT9" s="319">
        <v>388</v>
      </c>
      <c r="CU9" s="319">
        <v>461</v>
      </c>
      <c r="CV9" s="319">
        <f>CU9</f>
        <v>461</v>
      </c>
      <c r="CX9" s="318" t="s">
        <v>73</v>
      </c>
      <c r="CY9" s="319">
        <v>512</v>
      </c>
      <c r="CZ9" s="319">
        <v>428</v>
      </c>
      <c r="DA9" s="319">
        <v>660</v>
      </c>
      <c r="DB9" s="319">
        <v>368</v>
      </c>
      <c r="DC9" s="319">
        <f>DB9</f>
        <v>368</v>
      </c>
      <c r="DE9" s="318" t="s">
        <v>73</v>
      </c>
      <c r="DF9" s="319">
        <v>1570</v>
      </c>
      <c r="DG9" s="319">
        <v>1398</v>
      </c>
      <c r="DH9" s="319">
        <v>895</v>
      </c>
      <c r="DI9" s="319">
        <v>669</v>
      </c>
      <c r="DJ9" s="319">
        <f>DI9</f>
        <v>669</v>
      </c>
      <c r="DL9" s="318" t="s">
        <v>73</v>
      </c>
      <c r="DM9" s="319">
        <v>1056</v>
      </c>
      <c r="DN9" s="319">
        <v>1108</v>
      </c>
      <c r="DO9" s="319">
        <v>1240</v>
      </c>
      <c r="DP9" s="319">
        <v>1029</v>
      </c>
      <c r="DQ9" s="319">
        <f>DP9</f>
        <v>1029</v>
      </c>
      <c r="DS9" s="318" t="s">
        <v>73</v>
      </c>
      <c r="DT9" s="319">
        <v>993</v>
      </c>
      <c r="DU9" s="319">
        <v>633</v>
      </c>
      <c r="DV9" s="319">
        <v>636</v>
      </c>
      <c r="DW9" s="319">
        <v>1292</v>
      </c>
      <c r="DX9" s="319">
        <f>DW9</f>
        <v>1292</v>
      </c>
      <c r="DZ9" s="318" t="s">
        <v>73</v>
      </c>
      <c r="EA9" s="319">
        <v>534</v>
      </c>
      <c r="EB9" s="319">
        <v>1252</v>
      </c>
      <c r="EC9" s="319">
        <v>580</v>
      </c>
      <c r="ED9" s="319">
        <v>783</v>
      </c>
      <c r="EE9" s="319">
        <f>ED9</f>
        <v>783</v>
      </c>
      <c r="EG9" s="318" t="s">
        <v>73</v>
      </c>
      <c r="EH9" s="319">
        <v>627</v>
      </c>
      <c r="EI9" s="319">
        <v>642</v>
      </c>
      <c r="EJ9" s="319">
        <v>693</v>
      </c>
      <c r="EK9" s="319">
        <v>784</v>
      </c>
      <c r="EL9" s="319">
        <f>EK9</f>
        <v>784</v>
      </c>
      <c r="EN9" s="318" t="s">
        <v>73</v>
      </c>
      <c r="EO9" s="319">
        <v>705</v>
      </c>
      <c r="EP9" s="319">
        <v>614</v>
      </c>
      <c r="EQ9" s="319">
        <v>591</v>
      </c>
      <c r="ER9" s="319">
        <v>592</v>
      </c>
      <c r="ES9" s="319">
        <f>ER9</f>
        <v>592</v>
      </c>
      <c r="EU9" s="318" t="s">
        <v>73</v>
      </c>
      <c r="EV9" s="319">
        <v>475</v>
      </c>
      <c r="EW9" s="319">
        <v>573</v>
      </c>
      <c r="EX9" s="319">
        <v>479</v>
      </c>
      <c r="EY9" s="319">
        <v>669</v>
      </c>
      <c r="EZ9" s="319">
        <f>EY9</f>
        <v>669</v>
      </c>
      <c r="FB9" s="318" t="s">
        <v>73</v>
      </c>
      <c r="FC9" s="319">
        <v>561</v>
      </c>
      <c r="FD9" s="319">
        <v>438</v>
      </c>
      <c r="FE9" s="319">
        <v>541</v>
      </c>
      <c r="FF9" s="319">
        <v>628</v>
      </c>
      <c r="FG9" s="319">
        <f>FF9</f>
        <v>628</v>
      </c>
      <c r="FI9" s="318" t="s">
        <v>73</v>
      </c>
      <c r="FJ9" s="319">
        <v>731</v>
      </c>
      <c r="FK9" s="319">
        <v>566</v>
      </c>
      <c r="FL9" s="319">
        <v>603</v>
      </c>
      <c r="FM9" s="319">
        <v>603</v>
      </c>
      <c r="FN9" s="319">
        <f>FM9</f>
        <v>603</v>
      </c>
      <c r="FP9" s="318" t="s">
        <v>73</v>
      </c>
      <c r="FQ9" s="319">
        <v>930</v>
      </c>
      <c r="FR9" s="319">
        <v>620</v>
      </c>
      <c r="FS9" s="319">
        <v>591</v>
      </c>
      <c r="FT9" s="319">
        <v>401</v>
      </c>
      <c r="FU9" s="319">
        <f>FT9</f>
        <v>401</v>
      </c>
      <c r="FW9" s="318" t="s">
        <v>73</v>
      </c>
      <c r="FX9" s="319">
        <v>1980</v>
      </c>
      <c r="FY9" s="319">
        <v>1320</v>
      </c>
      <c r="FZ9" s="319">
        <v>663</v>
      </c>
      <c r="GA9" s="319">
        <v>858</v>
      </c>
      <c r="GB9" s="319">
        <f>GA9</f>
        <v>858</v>
      </c>
      <c r="GD9" s="318" t="s">
        <v>73</v>
      </c>
      <c r="GE9" s="319">
        <v>1188</v>
      </c>
      <c r="GF9" s="319">
        <v>853</v>
      </c>
      <c r="GG9" s="319">
        <v>1521</v>
      </c>
      <c r="GH9" s="319">
        <v>958</v>
      </c>
      <c r="GI9" s="319">
        <f>GH9</f>
        <v>958</v>
      </c>
      <c r="GK9" s="318" t="s">
        <v>73</v>
      </c>
      <c r="GL9" s="319">
        <v>1995</v>
      </c>
      <c r="GM9" s="319">
        <v>2391</v>
      </c>
      <c r="GN9" s="319">
        <v>2898</v>
      </c>
      <c r="GO9" s="319">
        <v>3129</v>
      </c>
      <c r="GP9" s="319">
        <f>+GO9</f>
        <v>3129</v>
      </c>
      <c r="GR9" s="318" t="s">
        <v>73</v>
      </c>
      <c r="GS9" s="319">
        <v>2955</v>
      </c>
      <c r="GT9" s="319">
        <v>2986</v>
      </c>
      <c r="GU9" s="319">
        <v>2179</v>
      </c>
      <c r="GV9" s="319">
        <v>2239</v>
      </c>
      <c r="GW9" s="319">
        <f>+GV9</f>
        <v>2239</v>
      </c>
      <c r="GY9" s="318" t="s">
        <v>73</v>
      </c>
      <c r="GZ9" s="319">
        <v>1936</v>
      </c>
      <c r="HA9" s="319">
        <v>724</v>
      </c>
      <c r="HB9" s="319">
        <v>2311</v>
      </c>
      <c r="HC9" s="319">
        <v>1933</v>
      </c>
      <c r="HD9" s="319">
        <f>+HC9</f>
        <v>1933</v>
      </c>
      <c r="HF9" s="318" t="s">
        <v>73</v>
      </c>
      <c r="HG9" s="319">
        <v>1291</v>
      </c>
      <c r="HH9" s="319">
        <v>956</v>
      </c>
      <c r="HI9" s="319">
        <v>1360</v>
      </c>
      <c r="HJ9" s="319">
        <v>1353</v>
      </c>
      <c r="HK9" s="319">
        <f>+HJ9</f>
        <v>1353</v>
      </c>
      <c r="HM9" s="318" t="s">
        <v>73</v>
      </c>
      <c r="HN9" s="319">
        <v>1483</v>
      </c>
      <c r="HO9" s="319">
        <v>1238</v>
      </c>
      <c r="HP9" s="319">
        <v>1644</v>
      </c>
      <c r="HQ9" s="319">
        <v>933</v>
      </c>
      <c r="HR9" s="319">
        <f>+HQ9</f>
        <v>933</v>
      </c>
      <c r="HT9" s="318" t="s">
        <v>73</v>
      </c>
      <c r="HU9" s="319">
        <v>1139</v>
      </c>
      <c r="HV9" s="319">
        <v>387</v>
      </c>
      <c r="HW9" s="319">
        <v>612</v>
      </c>
      <c r="HX9" s="319">
        <v>670</v>
      </c>
      <c r="HY9" s="319">
        <f>+HX9</f>
        <v>670</v>
      </c>
      <c r="IA9" s="318" t="s">
        <v>73</v>
      </c>
      <c r="IB9" s="319">
        <f>+CF!GH65</f>
        <v>418.40783681674429</v>
      </c>
      <c r="IC9" s="319">
        <f>+CF!GI65</f>
        <v>313.85136390227308</v>
      </c>
      <c r="ID9" s="319">
        <f>+CF!GJ65</f>
        <v>293.22051022354344</v>
      </c>
      <c r="IE9" s="319">
        <f>+CF!GK65</f>
        <v>153.86953252188437</v>
      </c>
      <c r="IF9" s="319">
        <f>+IE9</f>
        <v>153.86953252188437</v>
      </c>
      <c r="IH9" s="318" t="s">
        <v>73</v>
      </c>
      <c r="II9" s="319">
        <f>+CF!GO65</f>
        <v>37.196634815027437</v>
      </c>
      <c r="IJ9" s="319">
        <f>+CF!GP65</f>
        <v>-46.132466812461644</v>
      </c>
      <c r="IK9" s="319">
        <f>+CF!GQ65</f>
        <v>-94.916719135117773</v>
      </c>
      <c r="IL9" s="319">
        <f>+CF!GR65</f>
        <v>-194.3194886084093</v>
      </c>
      <c r="IM9" s="319">
        <f>+IL9</f>
        <v>-194.3194886084093</v>
      </c>
      <c r="IO9" s="318" t="s">
        <v>73</v>
      </c>
      <c r="IP9" s="319">
        <f>+CF!GV65</f>
        <v>-369.71352277783444</v>
      </c>
      <c r="IQ9" s="319">
        <f>+CF!GW65</f>
        <v>-392.69471159025306</v>
      </c>
      <c r="IR9" s="319">
        <f>+CF!GX65</f>
        <v>-383.98859870782599</v>
      </c>
      <c r="IS9" s="319">
        <f>+CF!GY65</f>
        <v>-425.51551077089698</v>
      </c>
      <c r="IT9" s="319">
        <f>+IS9</f>
        <v>-425.51551077089698</v>
      </c>
    </row>
    <row r="10" spans="1:291" x14ac:dyDescent="0.4">
      <c r="B10" s="318" t="s">
        <v>131</v>
      </c>
      <c r="C10" s="319">
        <f t="shared" si="0"/>
        <v>0</v>
      </c>
      <c r="D10" s="319">
        <f t="shared" si="1"/>
        <v>0</v>
      </c>
      <c r="E10" s="319">
        <f t="shared" si="2"/>
        <v>481</v>
      </c>
      <c r="F10" s="319">
        <f t="shared" si="3"/>
        <v>137</v>
      </c>
      <c r="G10" s="319">
        <f t="shared" si="4"/>
        <v>72</v>
      </c>
      <c r="H10" s="319">
        <f t="shared" si="5"/>
        <v>337</v>
      </c>
      <c r="I10" s="319">
        <f t="shared" si="6"/>
        <v>293</v>
      </c>
      <c r="J10" s="319">
        <f t="shared" si="7"/>
        <v>439</v>
      </c>
      <c r="K10" s="319">
        <f t="shared" si="8"/>
        <v>346</v>
      </c>
      <c r="L10" s="319">
        <f t="shared" si="9"/>
        <v>76</v>
      </c>
      <c r="M10" s="319">
        <f t="shared" si="10"/>
        <v>61</v>
      </c>
      <c r="N10" s="319">
        <f t="shared" si="11"/>
        <v>54</v>
      </c>
      <c r="O10" s="319">
        <f t="shared" si="12"/>
        <v>523</v>
      </c>
      <c r="P10" s="319">
        <f t="shared" si="13"/>
        <v>587</v>
      </c>
      <c r="Q10" s="319">
        <f t="shared" si="14"/>
        <v>487</v>
      </c>
      <c r="R10" s="319">
        <f t="shared" si="15"/>
        <v>292</v>
      </c>
      <c r="S10" s="319">
        <f t="shared" si="16"/>
        <v>810</v>
      </c>
      <c r="T10" s="319">
        <f t="shared" si="17"/>
        <v>417</v>
      </c>
      <c r="U10" s="319">
        <f t="shared" si="18"/>
        <v>18</v>
      </c>
      <c r="V10" s="319">
        <f t="shared" si="19"/>
        <v>253</v>
      </c>
      <c r="W10" s="319">
        <f t="shared" si="20"/>
        <v>996</v>
      </c>
      <c r="X10" s="319">
        <f t="shared" si="21"/>
        <v>2</v>
      </c>
      <c r="Y10" s="319">
        <f t="shared" si="22"/>
        <v>77</v>
      </c>
      <c r="Z10" s="319">
        <f t="shared" si="23"/>
        <v>129</v>
      </c>
      <c r="AA10" s="319">
        <f t="shared" si="24"/>
        <v>83</v>
      </c>
      <c r="AB10" s="319">
        <f t="shared" si="25"/>
        <v>72</v>
      </c>
      <c r="AC10" s="319">
        <f t="shared" si="26"/>
        <v>5</v>
      </c>
      <c r="AD10" s="319">
        <f t="shared" si="27"/>
        <v>405</v>
      </c>
      <c r="AE10" s="319">
        <f t="shared" si="28"/>
        <v>805</v>
      </c>
      <c r="AF10" s="319">
        <f t="shared" si="29"/>
        <v>1205</v>
      </c>
      <c r="AG10" s="320"/>
      <c r="AH10" s="320"/>
      <c r="AI10" s="320"/>
      <c r="AJ10" s="320"/>
      <c r="AK10" s="320"/>
      <c r="AL10" s="320"/>
      <c r="AM10" s="320"/>
      <c r="AN10" s="320"/>
      <c r="AO10" s="320"/>
      <c r="AP10" s="320"/>
      <c r="AQ10" s="320"/>
      <c r="AR10" s="320"/>
      <c r="AT10" s="318" t="s">
        <v>131</v>
      </c>
      <c r="AU10" s="319"/>
      <c r="AV10" s="319"/>
      <c r="AW10" s="319"/>
      <c r="AX10" s="319"/>
      <c r="AY10" s="319">
        <f>AX10</f>
        <v>0</v>
      </c>
      <c r="BA10" s="318" t="s">
        <v>131</v>
      </c>
      <c r="BB10" s="319">
        <v>373</v>
      </c>
      <c r="BC10" s="319">
        <v>267</v>
      </c>
      <c r="BD10" s="319">
        <v>377</v>
      </c>
      <c r="BE10" s="319"/>
      <c r="BF10" s="319">
        <f>BE10</f>
        <v>0</v>
      </c>
      <c r="BH10" s="318" t="s">
        <v>131</v>
      </c>
      <c r="BI10" s="319">
        <v>500</v>
      </c>
      <c r="BJ10" s="319">
        <v>413</v>
      </c>
      <c r="BK10" s="319">
        <v>459</v>
      </c>
      <c r="BL10" s="319">
        <v>481</v>
      </c>
      <c r="BM10" s="319">
        <f>BL10</f>
        <v>481</v>
      </c>
      <c r="BO10" s="318" t="s">
        <v>131</v>
      </c>
      <c r="BP10" s="319">
        <v>641</v>
      </c>
      <c r="BQ10" s="319">
        <v>480</v>
      </c>
      <c r="BR10" s="319">
        <v>302</v>
      </c>
      <c r="BS10" s="319">
        <v>137</v>
      </c>
      <c r="BT10" s="319">
        <f>BS10</f>
        <v>137</v>
      </c>
      <c r="BV10" s="318" t="s">
        <v>131</v>
      </c>
      <c r="BW10" s="319">
        <v>135</v>
      </c>
      <c r="BX10" s="319">
        <v>137</v>
      </c>
      <c r="BY10" s="319">
        <v>351</v>
      </c>
      <c r="BZ10" s="319">
        <v>72</v>
      </c>
      <c r="CA10" s="319">
        <f>BZ10</f>
        <v>72</v>
      </c>
      <c r="CC10" s="318" t="s">
        <v>131</v>
      </c>
      <c r="CD10" s="319">
        <v>217</v>
      </c>
      <c r="CE10" s="319">
        <v>164</v>
      </c>
      <c r="CF10" s="319">
        <v>438</v>
      </c>
      <c r="CG10" s="319">
        <v>337</v>
      </c>
      <c r="CH10" s="319">
        <f>CG10</f>
        <v>337</v>
      </c>
      <c r="CJ10" s="318" t="s">
        <v>131</v>
      </c>
      <c r="CK10" s="319">
        <v>1113</v>
      </c>
      <c r="CL10" s="319">
        <v>212</v>
      </c>
      <c r="CM10" s="319">
        <v>312</v>
      </c>
      <c r="CN10" s="319">
        <v>293</v>
      </c>
      <c r="CO10" s="319">
        <f>CN10</f>
        <v>293</v>
      </c>
      <c r="CQ10" s="318" t="s">
        <v>131</v>
      </c>
      <c r="CR10" s="319">
        <v>337</v>
      </c>
      <c r="CS10" s="319">
        <v>362</v>
      </c>
      <c r="CT10" s="319">
        <v>272</v>
      </c>
      <c r="CU10" s="319">
        <v>439</v>
      </c>
      <c r="CV10" s="319">
        <f>CU10</f>
        <v>439</v>
      </c>
      <c r="CX10" s="318" t="s">
        <v>131</v>
      </c>
      <c r="CY10" s="319">
        <v>425</v>
      </c>
      <c r="CZ10" s="319">
        <v>402</v>
      </c>
      <c r="DA10" s="319">
        <v>576</v>
      </c>
      <c r="DB10" s="319">
        <v>346</v>
      </c>
      <c r="DC10" s="319">
        <f>DB10</f>
        <v>346</v>
      </c>
      <c r="DE10" s="318" t="s">
        <v>131</v>
      </c>
      <c r="DF10" s="319">
        <v>69</v>
      </c>
      <c r="DG10" s="319">
        <v>76</v>
      </c>
      <c r="DH10" s="319">
        <v>76</v>
      </c>
      <c r="DI10" s="319">
        <v>76</v>
      </c>
      <c r="DJ10" s="319">
        <f>DI10</f>
        <v>76</v>
      </c>
      <c r="DL10" s="318" t="s">
        <v>131</v>
      </c>
      <c r="DM10" s="319">
        <v>73</v>
      </c>
      <c r="DN10" s="319">
        <v>70</v>
      </c>
      <c r="DO10" s="319">
        <v>81</v>
      </c>
      <c r="DP10" s="319">
        <v>61</v>
      </c>
      <c r="DQ10" s="319">
        <f>DP10</f>
        <v>61</v>
      </c>
      <c r="DS10" s="318" t="s">
        <v>131</v>
      </c>
      <c r="DT10" s="319">
        <v>57</v>
      </c>
      <c r="DU10" s="319">
        <v>56</v>
      </c>
      <c r="DV10" s="319">
        <v>40</v>
      </c>
      <c r="DW10" s="319">
        <v>54</v>
      </c>
      <c r="DX10" s="319">
        <f>DW10</f>
        <v>54</v>
      </c>
      <c r="DZ10" s="318" t="s">
        <v>131</v>
      </c>
      <c r="EA10" s="319">
        <v>56</v>
      </c>
      <c r="EB10" s="319">
        <v>43</v>
      </c>
      <c r="EC10" s="319">
        <v>61</v>
      </c>
      <c r="ED10" s="319">
        <v>523</v>
      </c>
      <c r="EE10" s="319">
        <f>ED10</f>
        <v>523</v>
      </c>
      <c r="EG10" s="318" t="s">
        <v>131</v>
      </c>
      <c r="EH10" s="319">
        <v>139</v>
      </c>
      <c r="EI10" s="319">
        <v>41</v>
      </c>
      <c r="EJ10" s="319">
        <v>35</v>
      </c>
      <c r="EK10" s="319">
        <v>587</v>
      </c>
      <c r="EL10" s="319">
        <f>EK10</f>
        <v>587</v>
      </c>
      <c r="EN10" s="318" t="s">
        <v>131</v>
      </c>
      <c r="EO10" s="319">
        <v>367</v>
      </c>
      <c r="EP10" s="319">
        <v>403</v>
      </c>
      <c r="EQ10" s="319">
        <v>128</v>
      </c>
      <c r="ER10" s="319">
        <v>487</v>
      </c>
      <c r="ES10" s="319">
        <f>ER10</f>
        <v>487</v>
      </c>
      <c r="EU10" s="318" t="s">
        <v>131</v>
      </c>
      <c r="EV10" s="319">
        <v>248</v>
      </c>
      <c r="EW10" s="319">
        <v>216</v>
      </c>
      <c r="EX10" s="319">
        <v>575</v>
      </c>
      <c r="EY10" s="319">
        <v>292</v>
      </c>
      <c r="EZ10" s="319">
        <f>EY10</f>
        <v>292</v>
      </c>
      <c r="FB10" s="318" t="s">
        <v>131</v>
      </c>
      <c r="FC10" s="319">
        <v>257</v>
      </c>
      <c r="FD10" s="319">
        <v>680</v>
      </c>
      <c r="FE10" s="319">
        <v>425</v>
      </c>
      <c r="FF10" s="319">
        <v>810</v>
      </c>
      <c r="FG10" s="319">
        <f>FF10</f>
        <v>810</v>
      </c>
      <c r="FI10" s="318" t="s">
        <v>131</v>
      </c>
      <c r="FJ10" s="319">
        <v>375</v>
      </c>
      <c r="FK10" s="319">
        <v>262</v>
      </c>
      <c r="FL10" s="319">
        <v>152</v>
      </c>
      <c r="FM10" s="319">
        <v>417</v>
      </c>
      <c r="FN10" s="319">
        <f>FM10</f>
        <v>417</v>
      </c>
      <c r="FP10" s="318" t="s">
        <v>131</v>
      </c>
      <c r="FQ10" s="319">
        <v>287</v>
      </c>
      <c r="FR10" s="319">
        <v>477</v>
      </c>
      <c r="FS10" s="319">
        <v>113</v>
      </c>
      <c r="FT10" s="319">
        <v>18</v>
      </c>
      <c r="FU10" s="319">
        <f>FT10</f>
        <v>18</v>
      </c>
      <c r="FW10" s="318" t="s">
        <v>131</v>
      </c>
      <c r="FX10" s="319">
        <v>10</v>
      </c>
      <c r="FY10" s="319">
        <v>83</v>
      </c>
      <c r="FZ10" s="319">
        <v>615</v>
      </c>
      <c r="GA10" s="319">
        <v>253</v>
      </c>
      <c r="GB10" s="319">
        <f>GA10</f>
        <v>253</v>
      </c>
      <c r="GD10" s="318" t="s">
        <v>131</v>
      </c>
      <c r="GE10" s="319">
        <v>822</v>
      </c>
      <c r="GF10" s="319">
        <v>878</v>
      </c>
      <c r="GG10" s="319">
        <v>1037</v>
      </c>
      <c r="GH10" s="319">
        <v>996</v>
      </c>
      <c r="GI10" s="319">
        <f>GH10</f>
        <v>996</v>
      </c>
      <c r="GK10" s="318" t="s">
        <v>131</v>
      </c>
      <c r="GL10" s="319">
        <v>487</v>
      </c>
      <c r="GM10" s="319">
        <v>203</v>
      </c>
      <c r="GN10" s="319">
        <v>1</v>
      </c>
      <c r="GO10" s="319">
        <v>2</v>
      </c>
      <c r="GP10" s="319">
        <f>+GO10</f>
        <v>2</v>
      </c>
      <c r="GR10" s="318" t="s">
        <v>131</v>
      </c>
      <c r="GS10" s="319">
        <v>2</v>
      </c>
      <c r="GT10" s="319">
        <v>4</v>
      </c>
      <c r="GU10" s="319">
        <v>0</v>
      </c>
      <c r="GV10" s="319">
        <v>77</v>
      </c>
      <c r="GW10" s="319">
        <f>+GV10</f>
        <v>77</v>
      </c>
      <c r="GY10" s="318" t="s">
        <v>131</v>
      </c>
      <c r="GZ10" s="319">
        <v>96</v>
      </c>
      <c r="HA10" s="319">
        <v>88</v>
      </c>
      <c r="HB10" s="319">
        <v>88</v>
      </c>
      <c r="HC10" s="319">
        <v>129</v>
      </c>
      <c r="HD10" s="319">
        <f>+HC10</f>
        <v>129</v>
      </c>
      <c r="HF10" s="318" t="s">
        <v>131</v>
      </c>
      <c r="HG10" s="319">
        <v>178</v>
      </c>
      <c r="HH10" s="319">
        <v>78</v>
      </c>
      <c r="HI10" s="319">
        <v>79</v>
      </c>
      <c r="HJ10" s="319">
        <v>83</v>
      </c>
      <c r="HK10" s="319">
        <f>+HJ10</f>
        <v>83</v>
      </c>
      <c r="HM10" s="318" t="s">
        <v>131</v>
      </c>
      <c r="HN10" s="319">
        <v>2</v>
      </c>
      <c r="HO10" s="319">
        <v>4</v>
      </c>
      <c r="HP10" s="319">
        <v>12</v>
      </c>
      <c r="HQ10" s="319">
        <v>72</v>
      </c>
      <c r="HR10" s="319">
        <f>+HQ10</f>
        <v>72</v>
      </c>
      <c r="HT10" s="318" t="s">
        <v>131</v>
      </c>
      <c r="HU10" s="319">
        <v>8</v>
      </c>
      <c r="HV10" s="319">
        <v>6</v>
      </c>
      <c r="HW10" s="319">
        <v>6</v>
      </c>
      <c r="HX10" s="319">
        <v>5</v>
      </c>
      <c r="HY10" s="319">
        <f>+HX10</f>
        <v>5</v>
      </c>
      <c r="IA10" s="318" t="s">
        <v>131</v>
      </c>
      <c r="IB10" s="319">
        <f>+HY10-CF!GH44</f>
        <v>105</v>
      </c>
      <c r="IC10" s="319">
        <f>+IB10-CF!GI44</f>
        <v>205</v>
      </c>
      <c r="ID10" s="319">
        <f>+IC10-CF!GJ44</f>
        <v>305</v>
      </c>
      <c r="IE10" s="319">
        <f>+ID10-CF!GK44</f>
        <v>405</v>
      </c>
      <c r="IF10" s="319">
        <f>+IE10</f>
        <v>405</v>
      </c>
      <c r="IH10" s="318" t="s">
        <v>131</v>
      </c>
      <c r="II10" s="319">
        <f>+IF10-CF!GO44</f>
        <v>505</v>
      </c>
      <c r="IJ10" s="319">
        <f>+II10-CF!GP44</f>
        <v>605</v>
      </c>
      <c r="IK10" s="319">
        <f>+IJ10-CF!GQ44</f>
        <v>705</v>
      </c>
      <c r="IL10" s="319">
        <f>+IK10-CF!GR44</f>
        <v>805</v>
      </c>
      <c r="IM10" s="319">
        <f>+IL10</f>
        <v>805</v>
      </c>
      <c r="IO10" s="318" t="s">
        <v>131</v>
      </c>
      <c r="IP10" s="319">
        <f>+IM10-CF!GV44</f>
        <v>905</v>
      </c>
      <c r="IQ10" s="319">
        <f>+IP10-CF!GW44</f>
        <v>1005</v>
      </c>
      <c r="IR10" s="319">
        <f>+IQ10-CF!GX44</f>
        <v>1105</v>
      </c>
      <c r="IS10" s="319">
        <f>+IR10-CF!GY44</f>
        <v>1205</v>
      </c>
      <c r="IT10" s="319">
        <f>+IS10</f>
        <v>1205</v>
      </c>
    </row>
    <row r="11" spans="1:291" x14ac:dyDescent="0.4">
      <c r="B11" s="318" t="s">
        <v>267</v>
      </c>
      <c r="C11" s="319">
        <f t="shared" si="0"/>
        <v>0</v>
      </c>
      <c r="D11" s="319">
        <f t="shared" si="1"/>
        <v>1334</v>
      </c>
      <c r="E11" s="319">
        <f t="shared" si="2"/>
        <v>1666</v>
      </c>
      <c r="F11" s="319">
        <f t="shared" si="3"/>
        <v>1525</v>
      </c>
      <c r="G11" s="319">
        <f t="shared" si="4"/>
        <v>1929</v>
      </c>
      <c r="H11" s="319">
        <f t="shared" si="5"/>
        <v>2144</v>
      </c>
      <c r="I11" s="319">
        <f t="shared" si="6"/>
        <v>1770</v>
      </c>
      <c r="J11" s="319">
        <f t="shared" si="7"/>
        <v>1772</v>
      </c>
      <c r="K11" s="319">
        <f t="shared" si="8"/>
        <v>1777</v>
      </c>
      <c r="L11" s="319">
        <f t="shared" si="9"/>
        <v>1646</v>
      </c>
      <c r="M11" s="319">
        <f t="shared" si="10"/>
        <v>1480</v>
      </c>
      <c r="N11" s="319">
        <f t="shared" si="11"/>
        <v>1509</v>
      </c>
      <c r="O11" s="319">
        <f t="shared" si="12"/>
        <v>1629</v>
      </c>
      <c r="P11" s="319">
        <f t="shared" si="13"/>
        <v>1430</v>
      </c>
      <c r="Q11" s="319">
        <f t="shared" si="14"/>
        <v>1523</v>
      </c>
      <c r="R11" s="319">
        <f t="shared" si="15"/>
        <v>1611</v>
      </c>
      <c r="S11" s="319">
        <f t="shared" si="16"/>
        <v>1528</v>
      </c>
      <c r="T11" s="319">
        <f t="shared" si="17"/>
        <v>1467</v>
      </c>
      <c r="U11" s="319">
        <f t="shared" si="18"/>
        <v>1496</v>
      </c>
      <c r="V11" s="319">
        <f t="shared" si="19"/>
        <v>1454</v>
      </c>
      <c r="W11" s="319">
        <f t="shared" si="20"/>
        <v>1324</v>
      </c>
      <c r="X11" s="319">
        <f t="shared" si="21"/>
        <v>1310</v>
      </c>
      <c r="Y11" s="319">
        <f t="shared" si="22"/>
        <v>1557</v>
      </c>
      <c r="Z11" s="319">
        <f t="shared" si="23"/>
        <v>1745</v>
      </c>
      <c r="AA11" s="319">
        <f t="shared" si="24"/>
        <v>1923</v>
      </c>
      <c r="AB11" s="319">
        <f t="shared" si="25"/>
        <v>1815</v>
      </c>
      <c r="AC11" s="319">
        <f t="shared" si="26"/>
        <v>1875</v>
      </c>
      <c r="AD11" s="319">
        <f t="shared" si="27"/>
        <v>1625.0478872519584</v>
      </c>
      <c r="AE11" s="319">
        <f t="shared" si="28"/>
        <v>1549.7585595447754</v>
      </c>
      <c r="AF11" s="319">
        <f t="shared" si="29"/>
        <v>1610.485058042646</v>
      </c>
      <c r="AG11" s="320"/>
      <c r="AH11" s="320"/>
      <c r="AI11" s="320"/>
      <c r="AJ11" s="320"/>
      <c r="AK11" s="320"/>
      <c r="AL11" s="320"/>
      <c r="AM11" s="320"/>
      <c r="AN11" s="320"/>
      <c r="AO11" s="320"/>
      <c r="AP11" s="320"/>
      <c r="AQ11" s="320"/>
      <c r="AR11" s="320"/>
      <c r="AT11" s="318" t="s">
        <v>267</v>
      </c>
      <c r="AU11" s="319"/>
      <c r="AV11" s="319"/>
      <c r="AW11" s="319"/>
      <c r="AX11" s="319">
        <f>+AX12+AX13+AX14+AX15</f>
        <v>1589</v>
      </c>
      <c r="AY11" s="319"/>
      <c r="BA11" s="318" t="s">
        <v>267</v>
      </c>
      <c r="BB11" s="319">
        <f>+BB12+BB13+BB14+BB15</f>
        <v>1684</v>
      </c>
      <c r="BC11" s="319">
        <f>+BC12+BC13+BC14+BC15</f>
        <v>1684</v>
      </c>
      <c r="BD11" s="319">
        <f>+BD12+BD13+BD14+BD15</f>
        <v>1383</v>
      </c>
      <c r="BE11" s="319">
        <f>+BE12+BE13+BE14+BE15</f>
        <v>1334</v>
      </c>
      <c r="BF11" s="319">
        <f>+BF12+BF13+BF14+BF15</f>
        <v>1334</v>
      </c>
      <c r="BH11" s="318" t="s">
        <v>267</v>
      </c>
      <c r="BI11" s="319">
        <f>+BI12+BI13+BI14+BI15</f>
        <v>1379</v>
      </c>
      <c r="BJ11" s="319">
        <f>+BJ12+BJ13+BJ14+BJ15</f>
        <v>1421</v>
      </c>
      <c r="BK11" s="319">
        <f>+BK12+BK13+BK14+BK15</f>
        <v>1427</v>
      </c>
      <c r="BL11" s="319">
        <f>+BL12+BL13+BL14+BL15</f>
        <v>1666</v>
      </c>
      <c r="BM11" s="319">
        <f>+BM12+BM13+BM14+BM15</f>
        <v>1666</v>
      </c>
      <c r="BO11" s="318" t="s">
        <v>267</v>
      </c>
      <c r="BP11" s="319">
        <f>+BP12+BP13+BP14+BP15</f>
        <v>1395</v>
      </c>
      <c r="BQ11" s="319">
        <f>+BQ12+BQ13+BQ14+BQ15</f>
        <v>1360</v>
      </c>
      <c r="BR11" s="319">
        <f>+BR12+BR13+BR14+BR15</f>
        <v>1488</v>
      </c>
      <c r="BS11" s="319">
        <f>+BS12+BS13+BS14+BS15</f>
        <v>1525</v>
      </c>
      <c r="BT11" s="319">
        <f>+BT12+BT13+BT14+BT15</f>
        <v>1525</v>
      </c>
      <c r="BV11" s="318" t="s">
        <v>267</v>
      </c>
      <c r="BW11" s="319">
        <f>+BW12+BW13+BW14+BW15</f>
        <v>1328</v>
      </c>
      <c r="BX11" s="319">
        <f>+BX12+BX13+BX14+BX15</f>
        <v>1721</v>
      </c>
      <c r="BY11" s="319">
        <f>+BY12+BY13+BY14+BY15</f>
        <v>1644</v>
      </c>
      <c r="BZ11" s="319">
        <f>+BZ12+BZ13+BZ14+BZ15</f>
        <v>1929</v>
      </c>
      <c r="CA11" s="319">
        <f>+CA12+CA13+CA14+CA15</f>
        <v>1929</v>
      </c>
      <c r="CC11" s="318" t="s">
        <v>267</v>
      </c>
      <c r="CD11" s="319">
        <f>+CD12+CD13+CD14+CD15</f>
        <v>1585</v>
      </c>
      <c r="CE11" s="319">
        <f>+CE12+CE13+CE14+CE15</f>
        <v>1646</v>
      </c>
      <c r="CF11" s="319">
        <f>+CF12+CF13+CF14+CF15</f>
        <v>1686</v>
      </c>
      <c r="CG11" s="319">
        <f>+CG12+CG13+CG14+CG15</f>
        <v>2144</v>
      </c>
      <c r="CH11" s="319">
        <f>+CH12+CH13+CH14+CH15</f>
        <v>2144</v>
      </c>
      <c r="CJ11" s="318" t="s">
        <v>267</v>
      </c>
      <c r="CK11" s="319">
        <f>+CK12+CK13+CK14+CK15</f>
        <v>1756</v>
      </c>
      <c r="CL11" s="319">
        <f>+CL12+CL13+CL14+CL15</f>
        <v>1691</v>
      </c>
      <c r="CM11" s="319">
        <f>+CM12+CM13+CM14+CM15</f>
        <v>1857</v>
      </c>
      <c r="CN11" s="319">
        <f>+CN12+CN13+CN14+CN15</f>
        <v>1770</v>
      </c>
      <c r="CO11" s="319">
        <f>+CO12+CO13+CO14+CO15</f>
        <v>1770</v>
      </c>
      <c r="CQ11" s="318" t="s">
        <v>267</v>
      </c>
      <c r="CR11" s="319">
        <f>+CR12+CR13+CR14+CR15</f>
        <v>1734</v>
      </c>
      <c r="CS11" s="319">
        <f>+CS12+CS13+CS14+CS15</f>
        <v>1713</v>
      </c>
      <c r="CT11" s="319">
        <f>+CT12+CT13+CT14+CT15</f>
        <v>1878</v>
      </c>
      <c r="CU11" s="319">
        <f>+CU12+CU13+CU14+CU15</f>
        <v>1772</v>
      </c>
      <c r="CV11" s="319">
        <f>+CV12+CV13+CV14+CV15</f>
        <v>1772</v>
      </c>
      <c r="CX11" s="318" t="s">
        <v>267</v>
      </c>
      <c r="CY11" s="319">
        <f>+CY12+CY13+CY14+CY15</f>
        <v>1671</v>
      </c>
      <c r="CZ11" s="319">
        <f>+CZ12+CZ13+CZ14+CZ15</f>
        <v>1741</v>
      </c>
      <c r="DA11" s="319">
        <f>+DA12+DA13+DA14+DA15</f>
        <v>1744</v>
      </c>
      <c r="DB11" s="319">
        <f>+DB12+DB13+DB14+DB15</f>
        <v>1777</v>
      </c>
      <c r="DC11" s="319">
        <f>+DC12+DC13+DC14+DC15</f>
        <v>1777</v>
      </c>
      <c r="DE11" s="318" t="s">
        <v>267</v>
      </c>
      <c r="DF11" s="319">
        <f>+DF12+DF13+DF14+DF15</f>
        <v>1775</v>
      </c>
      <c r="DG11" s="319">
        <f>+DG12+DG13+DG14+DG15</f>
        <v>1812</v>
      </c>
      <c r="DH11" s="319">
        <f>+DH12+DH13+DH14+DH15</f>
        <v>1780</v>
      </c>
      <c r="DI11" s="319">
        <f>+DI12+DI13+DI14+DI15</f>
        <v>1646</v>
      </c>
      <c r="DJ11" s="319">
        <f>+DJ12+DJ13+DJ14+DJ15</f>
        <v>1646</v>
      </c>
      <c r="DL11" s="318" t="s">
        <v>267</v>
      </c>
      <c r="DM11" s="319">
        <f>+DM12+DM13+DM14+DM15</f>
        <v>1471</v>
      </c>
      <c r="DN11" s="319">
        <f>+DN12+DN13+DN14+DN15</f>
        <v>1458</v>
      </c>
      <c r="DO11" s="319">
        <f>+DO12+DO13+DO14+DO15</f>
        <v>1449</v>
      </c>
      <c r="DP11" s="319">
        <f>+DP12+DP13+DP14+DP15</f>
        <v>1480</v>
      </c>
      <c r="DQ11" s="319">
        <f>+DQ12+DQ13+DQ14+DQ15</f>
        <v>1480</v>
      </c>
      <c r="DS11" s="318" t="s">
        <v>267</v>
      </c>
      <c r="DT11" s="319">
        <f>+DT12+DT13+DT14+DT15</f>
        <v>1451</v>
      </c>
      <c r="DU11" s="319">
        <f>+DU12+DU13+DU14+DU15</f>
        <v>1454</v>
      </c>
      <c r="DV11" s="319">
        <f>+DV12+DV13+DV14+DV15</f>
        <v>1529</v>
      </c>
      <c r="DW11" s="319">
        <f>+DW12+DW13+DW14+DW15</f>
        <v>1509</v>
      </c>
      <c r="DX11" s="319">
        <f>+DX12+DX13+DX14+DX15</f>
        <v>1509</v>
      </c>
      <c r="DZ11" s="318" t="s">
        <v>267</v>
      </c>
      <c r="EA11" s="319">
        <f>+EA12+EA13+EA14+EA15</f>
        <v>1581</v>
      </c>
      <c r="EB11" s="319">
        <f>+EB12+EB13+EB14+EB15</f>
        <v>1672</v>
      </c>
      <c r="EC11" s="319">
        <f>+EC12+EC13+EC14+EC15</f>
        <v>1660</v>
      </c>
      <c r="ED11" s="319">
        <f>+ED12+ED13+ED14+ED15</f>
        <v>1629</v>
      </c>
      <c r="EE11" s="319">
        <f>+EE12+EE13+EE14+EE15</f>
        <v>1629</v>
      </c>
      <c r="EG11" s="318" t="s">
        <v>267</v>
      </c>
      <c r="EH11" s="319">
        <f>+EH12+EH13+EH14+EH15</f>
        <v>1702</v>
      </c>
      <c r="EI11" s="319">
        <f>+EI12+EI13+EI14+EI15</f>
        <v>1689</v>
      </c>
      <c r="EJ11" s="319">
        <f>+EJ12+EJ13+EJ14+EJ15</f>
        <v>1665</v>
      </c>
      <c r="EK11" s="319">
        <f>+EK12+EK13+EK14+EK15</f>
        <v>1430</v>
      </c>
      <c r="EL11" s="319">
        <f>+EL12+EL13+EL14+EL15</f>
        <v>1430</v>
      </c>
      <c r="EN11" s="318" t="s">
        <v>267</v>
      </c>
      <c r="EO11" s="319">
        <f>+EO12+EO13+EO14+EO15</f>
        <v>1495</v>
      </c>
      <c r="EP11" s="319">
        <f>+EP12+EP13+EP14+EP15</f>
        <v>1472</v>
      </c>
      <c r="EQ11" s="319">
        <f>+EQ12+EQ13+EQ14+EQ15</f>
        <v>1481</v>
      </c>
      <c r="ER11" s="319">
        <f>+ER12+ER13+ER14+ER15</f>
        <v>1523</v>
      </c>
      <c r="ES11" s="319">
        <f>+ES12+ES13+ES14+ES15</f>
        <v>1523</v>
      </c>
      <c r="EU11" s="318" t="s">
        <v>267</v>
      </c>
      <c r="EV11" s="319">
        <f>+EV12+EV13+EV14+EV15</f>
        <v>1566</v>
      </c>
      <c r="EW11" s="319">
        <f>+EW12+EW13+EW14+EW15</f>
        <v>1583</v>
      </c>
      <c r="EX11" s="319">
        <f>+EX12+EX13+EX14+EX15</f>
        <v>1622</v>
      </c>
      <c r="EY11" s="319">
        <f>+EY12+EY13+EY14+EY15</f>
        <v>1611</v>
      </c>
      <c r="EZ11" s="319">
        <f>+EZ12+EZ13+EZ14+EZ15</f>
        <v>1611</v>
      </c>
      <c r="FB11" s="318" t="s">
        <v>267</v>
      </c>
      <c r="FC11" s="319">
        <f>+FC12+FC13+FC14+FC15</f>
        <v>1639</v>
      </c>
      <c r="FD11" s="319">
        <f>+FD12+FD13+FD14+FD15</f>
        <v>1551</v>
      </c>
      <c r="FE11" s="319">
        <f>+FE12+FE13+FE14+FE15</f>
        <v>1536</v>
      </c>
      <c r="FF11" s="319">
        <f>+FF12+FF13+FF14+FF15</f>
        <v>1528</v>
      </c>
      <c r="FG11" s="319">
        <f>+FG12+FG13+FG14+FG15</f>
        <v>1528</v>
      </c>
      <c r="FI11" s="318" t="s">
        <v>267</v>
      </c>
      <c r="FJ11" s="319">
        <f>+FJ12+FJ13+FJ14+FJ15</f>
        <v>1502</v>
      </c>
      <c r="FK11" s="319">
        <f>+FK12+FK13+FK14+FK15</f>
        <v>1400</v>
      </c>
      <c r="FL11" s="319">
        <f>+FL12+FL13+FL14+FL15</f>
        <v>1408</v>
      </c>
      <c r="FM11" s="319">
        <f>+FM12+FM13+FM14+FM15</f>
        <v>1467</v>
      </c>
      <c r="FN11" s="319">
        <f>+FN12+FN13+FN14+FN15</f>
        <v>1467</v>
      </c>
      <c r="FP11" s="318" t="s">
        <v>267</v>
      </c>
      <c r="FQ11" s="319">
        <f>+FQ12+FQ13+FQ14+FQ15</f>
        <v>1443</v>
      </c>
      <c r="FR11" s="319">
        <f>+FR12+FR13+FR14+FR15</f>
        <v>1533</v>
      </c>
      <c r="FS11" s="319">
        <f>+FS12+FS13+FS14+FS15</f>
        <v>1468</v>
      </c>
      <c r="FT11" s="319">
        <f>+FT12+FT13+FT14+FT15</f>
        <v>1496</v>
      </c>
      <c r="FU11" s="319">
        <f>+FU12+FU13+FU14+FU15</f>
        <v>1496</v>
      </c>
      <c r="FW11" s="318" t="s">
        <v>267</v>
      </c>
      <c r="FX11" s="319">
        <f>+FX12+FX13+FX14+FX15</f>
        <v>1552</v>
      </c>
      <c r="FY11" s="319">
        <f>+FY12+FY13+FY14+FY15</f>
        <v>1478</v>
      </c>
      <c r="FZ11" s="319">
        <f>+FZ12+FZ13+FZ14+FZ15</f>
        <v>1506</v>
      </c>
      <c r="GA11" s="319">
        <f>+GA12+GA13+GA14+GA15</f>
        <v>1454</v>
      </c>
      <c r="GB11" s="319">
        <f>+GB12+GB13+GB14+GB15</f>
        <v>1454</v>
      </c>
      <c r="GD11" s="318" t="s">
        <v>267</v>
      </c>
      <c r="GE11" s="319">
        <f>+GE12+GE13+GE14+GE15</f>
        <v>1469</v>
      </c>
      <c r="GF11" s="319">
        <f>+GF12+GF13+GF14+GF15</f>
        <v>1455</v>
      </c>
      <c r="GG11" s="319">
        <f>+GG12+GG13+GG14+GG15</f>
        <v>1402</v>
      </c>
      <c r="GH11" s="319">
        <f>+GH12+GH13+GH14+GH15</f>
        <v>1324</v>
      </c>
      <c r="GI11" s="319">
        <f>+GH11</f>
        <v>1324</v>
      </c>
      <c r="GK11" s="318" t="s">
        <v>267</v>
      </c>
      <c r="GL11" s="319">
        <f>+GL12+GL13+GL14+GL15</f>
        <v>1339</v>
      </c>
      <c r="GM11" s="319">
        <f>+GM12+GM13+GM14+GM15</f>
        <v>1197</v>
      </c>
      <c r="GN11" s="319">
        <f>+GN12+GN13+GN14+GN15</f>
        <v>1329</v>
      </c>
      <c r="GO11" s="319">
        <v>1310</v>
      </c>
      <c r="GP11" s="319">
        <f>+GP12+GP13+GP14+GP15</f>
        <v>1310</v>
      </c>
      <c r="GR11" s="318" t="s">
        <v>267</v>
      </c>
      <c r="GS11" s="319">
        <f>+GS12+GS13+GS14+GS15</f>
        <v>1348</v>
      </c>
      <c r="GT11" s="319">
        <f>+GT12+GT13+GT14+GT15</f>
        <v>1583</v>
      </c>
      <c r="GU11" s="319">
        <f>+GU12+GU13+GU14+GU15</f>
        <v>1718</v>
      </c>
      <c r="GV11" s="319">
        <f>+GV12+GV13+GV14+GV15</f>
        <v>1557</v>
      </c>
      <c r="GW11" s="319">
        <f>GV11</f>
        <v>1557</v>
      </c>
      <c r="GY11" s="318" t="s">
        <v>267</v>
      </c>
      <c r="GZ11" s="319">
        <f>+GZ12+GZ13+GZ14+GZ15</f>
        <v>1725</v>
      </c>
      <c r="HA11" s="319">
        <f>+HA12+HA13+HA14+HA15</f>
        <v>1972</v>
      </c>
      <c r="HB11" s="319">
        <f>+HB12+HB13+HB14+HB15</f>
        <v>1911</v>
      </c>
      <c r="HC11" s="319">
        <f>+HC12+HC13+HC14+HC15</f>
        <v>1745</v>
      </c>
      <c r="HD11" s="319">
        <f>HC11</f>
        <v>1745</v>
      </c>
      <c r="HF11" s="318" t="s">
        <v>267</v>
      </c>
      <c r="HG11" s="319">
        <f>+HG12+HG13+HG14+HG15</f>
        <v>1870</v>
      </c>
      <c r="HH11" s="319">
        <f>+HH12+HH13+HH14+HH15</f>
        <v>1861</v>
      </c>
      <c r="HI11" s="319">
        <f>+HI12+HI13+HI14+HI15</f>
        <v>1901</v>
      </c>
      <c r="HJ11" s="319">
        <f t="shared" ref="HJ11:HK11" si="30">+HJ12+HJ13+HJ14+HJ15</f>
        <v>1923</v>
      </c>
      <c r="HK11" s="319">
        <f t="shared" si="30"/>
        <v>1923</v>
      </c>
      <c r="HM11" s="318" t="s">
        <v>267</v>
      </c>
      <c r="HN11" s="319">
        <f t="shared" ref="HN11:HR11" si="31">+HN12+HN13+HN14+HN15</f>
        <v>1962</v>
      </c>
      <c r="HO11" s="319">
        <f t="shared" si="31"/>
        <v>1938</v>
      </c>
      <c r="HP11" s="319">
        <f t="shared" si="31"/>
        <v>1921</v>
      </c>
      <c r="HQ11" s="319">
        <f t="shared" si="31"/>
        <v>1815</v>
      </c>
      <c r="HR11" s="319">
        <f t="shared" si="31"/>
        <v>1815</v>
      </c>
      <c r="HT11" s="318" t="s">
        <v>267</v>
      </c>
      <c r="HU11" s="319">
        <f>SUM(HU12:HU15)</f>
        <v>1873</v>
      </c>
      <c r="HV11" s="319">
        <f>SUM(HV12:HV15)</f>
        <v>1912</v>
      </c>
      <c r="HW11" s="319">
        <f>SUM(HW12:HW15)</f>
        <v>1893</v>
      </c>
      <c r="HX11" s="319">
        <f>SUM(HX12:HX15)</f>
        <v>1875</v>
      </c>
      <c r="HY11" s="319">
        <f>SUM(HY12:HY15)</f>
        <v>1875</v>
      </c>
      <c r="IA11" s="318" t="s">
        <v>267</v>
      </c>
      <c r="IB11" s="319">
        <f>SUM(IB12:IB15)</f>
        <v>1669.8466296285417</v>
      </c>
      <c r="IC11" s="319">
        <f>SUM(IC12:IC15)</f>
        <v>1676.2838454089169</v>
      </c>
      <c r="ID11" s="319">
        <f>SUM(ID12:ID15)</f>
        <v>1610.0656351208886</v>
      </c>
      <c r="IE11" s="319">
        <f>SUM(IE12:IE15)</f>
        <v>1625.0478872519584</v>
      </c>
      <c r="IF11" s="319">
        <f>SUM(IF12:IF15)</f>
        <v>1625.0478872519584</v>
      </c>
      <c r="IH11" s="318" t="s">
        <v>267</v>
      </c>
      <c r="II11" s="319">
        <f>SUM(II12:II15)</f>
        <v>1516.791216968134</v>
      </c>
      <c r="IJ11" s="319">
        <f>SUM(IJ12:IJ15)</f>
        <v>1528.4530316747571</v>
      </c>
      <c r="IK11" s="319">
        <f>SUM(IK12:IK15)</f>
        <v>1538.9045744867892</v>
      </c>
      <c r="IL11" s="319">
        <f>SUM(IL12:IL15)</f>
        <v>1549.7585595447754</v>
      </c>
      <c r="IM11" s="319">
        <f>SUM(IM12:IM15)</f>
        <v>1549.7585595447754</v>
      </c>
      <c r="IO11" s="318" t="s">
        <v>267</v>
      </c>
      <c r="IP11" s="319">
        <f>SUM(IP12:IP15)</f>
        <v>1563.924317595387</v>
      </c>
      <c r="IQ11" s="319">
        <f>SUM(IQ12:IQ15)</f>
        <v>1579.3816146052384</v>
      </c>
      <c r="IR11" s="319">
        <f>SUM(IR12:IR15)</f>
        <v>1596.0864132729266</v>
      </c>
      <c r="IS11" s="319">
        <f>SUM(IS12:IS15)</f>
        <v>1610.485058042646</v>
      </c>
      <c r="IT11" s="319">
        <f>SUM(IT12:IT15)</f>
        <v>1610.485058042646</v>
      </c>
    </row>
    <row r="12" spans="1:291" outlineLevel="1" x14ac:dyDescent="0.4">
      <c r="A12" s="137"/>
      <c r="B12" s="321" t="s">
        <v>101</v>
      </c>
      <c r="C12" s="322">
        <f t="shared" si="0"/>
        <v>1135</v>
      </c>
      <c r="D12" s="322">
        <f t="shared" si="1"/>
        <v>850</v>
      </c>
      <c r="E12" s="322">
        <f t="shared" si="2"/>
        <v>871</v>
      </c>
      <c r="F12" s="322">
        <f t="shared" si="3"/>
        <v>799</v>
      </c>
      <c r="G12" s="322">
        <f t="shared" si="4"/>
        <v>1115</v>
      </c>
      <c r="H12" s="322">
        <f t="shared" si="5"/>
        <v>1159</v>
      </c>
      <c r="I12" s="322">
        <f t="shared" si="6"/>
        <v>1202</v>
      </c>
      <c r="J12" s="322">
        <f t="shared" si="7"/>
        <v>1174</v>
      </c>
      <c r="K12" s="322">
        <f t="shared" si="8"/>
        <v>1174</v>
      </c>
      <c r="L12" s="322">
        <f t="shared" si="9"/>
        <v>1107</v>
      </c>
      <c r="M12" s="322">
        <f t="shared" si="10"/>
        <v>995</v>
      </c>
      <c r="N12" s="322">
        <f t="shared" si="11"/>
        <v>993</v>
      </c>
      <c r="O12" s="322">
        <f t="shared" si="12"/>
        <v>1129</v>
      </c>
      <c r="P12" s="322">
        <f t="shared" si="13"/>
        <v>962</v>
      </c>
      <c r="Q12" s="322">
        <f t="shared" si="14"/>
        <v>1052</v>
      </c>
      <c r="R12" s="322">
        <f t="shared" si="15"/>
        <v>1129</v>
      </c>
      <c r="S12" s="322">
        <f t="shared" si="16"/>
        <v>982</v>
      </c>
      <c r="T12" s="322">
        <f t="shared" si="17"/>
        <v>938</v>
      </c>
      <c r="U12" s="322">
        <f t="shared" si="18"/>
        <v>970</v>
      </c>
      <c r="V12" s="322">
        <f t="shared" si="19"/>
        <v>1010</v>
      </c>
      <c r="W12" s="322">
        <f t="shared" si="20"/>
        <v>986</v>
      </c>
      <c r="X12" s="322">
        <f t="shared" si="21"/>
        <v>912</v>
      </c>
      <c r="Y12" s="322">
        <f t="shared" si="22"/>
        <v>1148</v>
      </c>
      <c r="Z12" s="322">
        <f t="shared" si="23"/>
        <v>1313</v>
      </c>
      <c r="AA12" s="322">
        <f t="shared" si="24"/>
        <v>1393</v>
      </c>
      <c r="AB12" s="319">
        <f t="shared" si="25"/>
        <v>1326</v>
      </c>
      <c r="AC12" s="319">
        <f t="shared" si="26"/>
        <v>1374.191</v>
      </c>
      <c r="AD12" s="319">
        <f t="shared" si="27"/>
        <v>1127.3729658333334</v>
      </c>
      <c r="AE12" s="319">
        <f t="shared" si="28"/>
        <v>1054.2295736239041</v>
      </c>
      <c r="AF12" s="319">
        <f t="shared" si="29"/>
        <v>1100.5998186823233</v>
      </c>
      <c r="AG12" s="320"/>
      <c r="AH12" s="320"/>
      <c r="AI12" s="320"/>
      <c r="AJ12" s="320"/>
      <c r="AK12" s="320"/>
      <c r="AL12" s="320"/>
      <c r="AM12" s="320"/>
      <c r="AN12" s="320"/>
      <c r="AO12" s="320"/>
      <c r="AP12" s="320"/>
      <c r="AQ12" s="320"/>
      <c r="AR12" s="320"/>
      <c r="AT12" s="321" t="s">
        <v>101</v>
      </c>
      <c r="AU12" s="322"/>
      <c r="AV12" s="322"/>
      <c r="AW12" s="322"/>
      <c r="AX12" s="322">
        <v>1135</v>
      </c>
      <c r="AY12" s="322">
        <f>AX12</f>
        <v>1135</v>
      </c>
      <c r="BA12" s="321" t="s">
        <v>101</v>
      </c>
      <c r="BB12" s="322">
        <v>1129</v>
      </c>
      <c r="BC12" s="322">
        <v>1135</v>
      </c>
      <c r="BD12" s="322">
        <v>833</v>
      </c>
      <c r="BE12" s="322">
        <v>850</v>
      </c>
      <c r="BF12" s="322">
        <f>BE12</f>
        <v>850</v>
      </c>
      <c r="BH12" s="321" t="s">
        <v>101</v>
      </c>
      <c r="BI12" s="322">
        <v>840</v>
      </c>
      <c r="BJ12" s="322">
        <v>890</v>
      </c>
      <c r="BK12" s="322">
        <v>876</v>
      </c>
      <c r="BL12" s="322">
        <v>871</v>
      </c>
      <c r="BM12" s="322">
        <f>BL12</f>
        <v>871</v>
      </c>
      <c r="BO12" s="321" t="s">
        <v>101</v>
      </c>
      <c r="BP12" s="322">
        <v>809</v>
      </c>
      <c r="BQ12" s="322">
        <v>828</v>
      </c>
      <c r="BR12" s="322">
        <v>955</v>
      </c>
      <c r="BS12" s="322">
        <v>799</v>
      </c>
      <c r="BT12" s="322">
        <f>BS12</f>
        <v>799</v>
      </c>
      <c r="BV12" s="321" t="s">
        <v>101</v>
      </c>
      <c r="BW12" s="322">
        <v>847</v>
      </c>
      <c r="BX12" s="322">
        <v>1219</v>
      </c>
      <c r="BY12" s="322">
        <v>1250</v>
      </c>
      <c r="BZ12" s="322">
        <v>1115</v>
      </c>
      <c r="CA12" s="322">
        <f>BZ12</f>
        <v>1115</v>
      </c>
      <c r="CC12" s="321" t="s">
        <v>101</v>
      </c>
      <c r="CD12" s="322">
        <v>1170</v>
      </c>
      <c r="CE12" s="322">
        <v>1215</v>
      </c>
      <c r="CF12" s="322">
        <v>1171</v>
      </c>
      <c r="CG12" s="322">
        <v>1159</v>
      </c>
      <c r="CH12" s="322">
        <f>CG12</f>
        <v>1159</v>
      </c>
      <c r="CJ12" s="321" t="s">
        <v>101</v>
      </c>
      <c r="CK12" s="322">
        <v>1163</v>
      </c>
      <c r="CL12" s="322">
        <v>1123</v>
      </c>
      <c r="CM12" s="322">
        <v>1274</v>
      </c>
      <c r="CN12" s="322">
        <v>1202</v>
      </c>
      <c r="CO12" s="322">
        <f>CN12</f>
        <v>1202</v>
      </c>
      <c r="CQ12" s="321" t="s">
        <v>101</v>
      </c>
      <c r="CR12" s="322">
        <v>1202</v>
      </c>
      <c r="CS12" s="322">
        <v>1204</v>
      </c>
      <c r="CT12" s="322">
        <v>1275</v>
      </c>
      <c r="CU12" s="322">
        <v>1174</v>
      </c>
      <c r="CV12" s="322">
        <f>CU12</f>
        <v>1174</v>
      </c>
      <c r="CX12" s="321" t="s">
        <v>101</v>
      </c>
      <c r="CY12" s="322">
        <v>1112</v>
      </c>
      <c r="CZ12" s="322">
        <v>1171</v>
      </c>
      <c r="DA12" s="322">
        <v>1173</v>
      </c>
      <c r="DB12" s="322">
        <v>1174</v>
      </c>
      <c r="DC12" s="322">
        <f>DB12</f>
        <v>1174</v>
      </c>
      <c r="DE12" s="321" t="s">
        <v>101</v>
      </c>
      <c r="DF12" s="322">
        <v>1170</v>
      </c>
      <c r="DG12" s="322">
        <v>1218</v>
      </c>
      <c r="DH12" s="322">
        <v>1249</v>
      </c>
      <c r="DI12" s="322">
        <v>1107</v>
      </c>
      <c r="DJ12" s="322">
        <f>DI12</f>
        <v>1107</v>
      </c>
      <c r="DL12" s="321" t="s">
        <v>101</v>
      </c>
      <c r="DM12" s="322">
        <v>958</v>
      </c>
      <c r="DN12" s="322">
        <v>885</v>
      </c>
      <c r="DO12" s="322">
        <v>928</v>
      </c>
      <c r="DP12" s="322">
        <v>995</v>
      </c>
      <c r="DQ12" s="322">
        <f>DP12</f>
        <v>995</v>
      </c>
      <c r="DS12" s="321" t="s">
        <v>101</v>
      </c>
      <c r="DT12" s="322">
        <v>971</v>
      </c>
      <c r="DU12" s="322">
        <v>938</v>
      </c>
      <c r="DV12" s="322">
        <v>1001</v>
      </c>
      <c r="DW12" s="322">
        <v>993</v>
      </c>
      <c r="DX12" s="322">
        <f>DW12</f>
        <v>993</v>
      </c>
      <c r="DZ12" s="321" t="s">
        <v>101</v>
      </c>
      <c r="EA12" s="322">
        <v>1068</v>
      </c>
      <c r="EB12" s="322">
        <v>1112</v>
      </c>
      <c r="EC12" s="322">
        <v>1148</v>
      </c>
      <c r="ED12" s="322">
        <v>1129</v>
      </c>
      <c r="EE12" s="322">
        <f>ED12</f>
        <v>1129</v>
      </c>
      <c r="EG12" s="321" t="s">
        <v>101</v>
      </c>
      <c r="EH12" s="322">
        <v>1161</v>
      </c>
      <c r="EI12" s="322">
        <v>1136</v>
      </c>
      <c r="EJ12" s="322">
        <v>1163</v>
      </c>
      <c r="EK12" s="322">
        <v>962</v>
      </c>
      <c r="EL12" s="322">
        <f>EK12</f>
        <v>962</v>
      </c>
      <c r="EN12" s="321" t="s">
        <v>101</v>
      </c>
      <c r="EO12" s="322">
        <v>976</v>
      </c>
      <c r="EP12" s="322">
        <v>946</v>
      </c>
      <c r="EQ12" s="322">
        <v>981</v>
      </c>
      <c r="ER12" s="322">
        <v>1052</v>
      </c>
      <c r="ES12" s="322">
        <f>ER12</f>
        <v>1052</v>
      </c>
      <c r="EU12" s="321" t="s">
        <v>101</v>
      </c>
      <c r="EV12" s="322">
        <v>1073</v>
      </c>
      <c r="EW12" s="322">
        <v>1062</v>
      </c>
      <c r="EX12" s="322">
        <v>1123</v>
      </c>
      <c r="EY12" s="322">
        <v>1129</v>
      </c>
      <c r="EZ12" s="322">
        <f>EY12</f>
        <v>1129</v>
      </c>
      <c r="FB12" s="321" t="s">
        <v>101</v>
      </c>
      <c r="FC12" s="322">
        <v>1103</v>
      </c>
      <c r="FD12" s="322">
        <v>1022</v>
      </c>
      <c r="FE12" s="322">
        <v>1003</v>
      </c>
      <c r="FF12" s="322">
        <v>982</v>
      </c>
      <c r="FG12" s="322">
        <f>FF12</f>
        <v>982</v>
      </c>
      <c r="FI12" s="321" t="s">
        <v>101</v>
      </c>
      <c r="FJ12" s="322">
        <v>917</v>
      </c>
      <c r="FK12" s="322">
        <v>912</v>
      </c>
      <c r="FL12" s="322">
        <v>925</v>
      </c>
      <c r="FM12" s="322">
        <v>938</v>
      </c>
      <c r="FN12" s="322">
        <f>FM12</f>
        <v>938</v>
      </c>
      <c r="FP12" s="321" t="s">
        <v>101</v>
      </c>
      <c r="FQ12" s="322">
        <v>943</v>
      </c>
      <c r="FR12" s="322">
        <v>1015</v>
      </c>
      <c r="FS12" s="322">
        <v>981</v>
      </c>
      <c r="FT12" s="322">
        <v>970</v>
      </c>
      <c r="FU12" s="322">
        <f>FT12</f>
        <v>970</v>
      </c>
      <c r="FW12" s="321" t="s">
        <v>101</v>
      </c>
      <c r="FX12" s="322">
        <v>1045</v>
      </c>
      <c r="FY12" s="322">
        <v>1036</v>
      </c>
      <c r="FZ12" s="322">
        <v>1090</v>
      </c>
      <c r="GA12" s="322">
        <v>1010</v>
      </c>
      <c r="GB12" s="322">
        <f>GA12</f>
        <v>1010</v>
      </c>
      <c r="GD12" s="321" t="s">
        <v>101</v>
      </c>
      <c r="GE12" s="322">
        <v>1106</v>
      </c>
      <c r="GF12" s="322">
        <v>1111</v>
      </c>
      <c r="GG12" s="322">
        <v>1101</v>
      </c>
      <c r="GH12" s="322">
        <v>986</v>
      </c>
      <c r="GI12" s="322">
        <f>+GH12</f>
        <v>986</v>
      </c>
      <c r="GK12" s="321" t="s">
        <v>101</v>
      </c>
      <c r="GL12" s="322">
        <v>1008</v>
      </c>
      <c r="GM12" s="322">
        <v>860</v>
      </c>
      <c r="GN12" s="322">
        <v>980</v>
      </c>
      <c r="GO12" s="322">
        <v>912</v>
      </c>
      <c r="GP12" s="322">
        <f>+GO12</f>
        <v>912</v>
      </c>
      <c r="GR12" s="321" t="s">
        <v>101</v>
      </c>
      <c r="GS12" s="322">
        <v>957</v>
      </c>
      <c r="GT12" s="322">
        <v>1192</v>
      </c>
      <c r="GU12" s="322">
        <v>1326</v>
      </c>
      <c r="GV12" s="322">
        <v>1148</v>
      </c>
      <c r="GW12" s="322">
        <f>+GV12</f>
        <v>1148</v>
      </c>
      <c r="GY12" s="321" t="s">
        <v>101</v>
      </c>
      <c r="GZ12" s="322">
        <v>1277</v>
      </c>
      <c r="HA12" s="322">
        <v>1489</v>
      </c>
      <c r="HB12" s="322">
        <v>1467</v>
      </c>
      <c r="HC12" s="322">
        <v>1313</v>
      </c>
      <c r="HD12" s="322">
        <f>+HC12</f>
        <v>1313</v>
      </c>
      <c r="HF12" s="321" t="s">
        <v>101</v>
      </c>
      <c r="HG12" s="322">
        <v>1377</v>
      </c>
      <c r="HH12" s="322">
        <v>1327</v>
      </c>
      <c r="HI12" s="322">
        <v>1399</v>
      </c>
      <c r="HJ12" s="322">
        <v>1393</v>
      </c>
      <c r="HK12" s="322">
        <f>+HJ12</f>
        <v>1393</v>
      </c>
      <c r="HM12" s="321" t="s">
        <v>101</v>
      </c>
      <c r="HN12" s="322">
        <v>1400</v>
      </c>
      <c r="HO12" s="319">
        <v>1430</v>
      </c>
      <c r="HP12" s="322">
        <v>1413</v>
      </c>
      <c r="HQ12" s="322">
        <v>1326</v>
      </c>
      <c r="HR12" s="322">
        <f>+HQ12</f>
        <v>1326</v>
      </c>
      <c r="HT12" s="321" t="s">
        <v>101</v>
      </c>
      <c r="HU12" s="319">
        <v>1348</v>
      </c>
      <c r="HV12" s="319">
        <v>1409</v>
      </c>
      <c r="HW12" s="319">
        <v>1370</v>
      </c>
      <c r="HX12" s="319">
        <f>1875-HX13-HX14-HX15</f>
        <v>1374.191</v>
      </c>
      <c r="HY12" s="319">
        <f>+HX12</f>
        <v>1374.191</v>
      </c>
      <c r="IA12" s="321" t="s">
        <v>101</v>
      </c>
      <c r="IB12" s="319">
        <f>+CF!GH100*BS!IB69/360</f>
        <v>1177.4847854166667</v>
      </c>
      <c r="IC12" s="319">
        <f>+CF!GI100*BS!IC69/360</f>
        <v>1182.6422791666666</v>
      </c>
      <c r="ID12" s="319">
        <f>+CF!GJ100*BS!ID69/360</f>
        <v>1112.8943388888888</v>
      </c>
      <c r="IE12" s="319">
        <f>+CF!GK100*BS!IE69/360</f>
        <v>1127.3729658333334</v>
      </c>
      <c r="IF12" s="319">
        <f>+IE12</f>
        <v>1127.3729658333334</v>
      </c>
      <c r="IH12" s="321" t="s">
        <v>101</v>
      </c>
      <c r="II12" s="319">
        <f>+CF!GO100*BS!II69/360</f>
        <v>1018.2092139988606</v>
      </c>
      <c r="IJ12" s="319">
        <f>+CF!GP100*BS!IJ69/360</f>
        <v>1030.2274799907009</v>
      </c>
      <c r="IK12" s="319">
        <f>+CF!GQ100*BS!IK69/360</f>
        <v>1042.1772885111002</v>
      </c>
      <c r="IL12" s="319">
        <f>+CF!GR100*BS!IL69/360</f>
        <v>1054.2295736239041</v>
      </c>
      <c r="IM12" s="319">
        <f>+IL12</f>
        <v>1054.2295736239041</v>
      </c>
      <c r="IO12" s="321" t="s">
        <v>101</v>
      </c>
      <c r="IP12" s="319">
        <f>+CF!GV100*BS!IP69/360</f>
        <v>1065.5309398438601</v>
      </c>
      <c r="IQ12" s="319">
        <f>+CF!GW100*BS!IQ69/360</f>
        <v>1077.2178843380063</v>
      </c>
      <c r="IR12" s="319">
        <f>+CF!GX100*BS!IR69/360</f>
        <v>1089.0300937686127</v>
      </c>
      <c r="IS12" s="319">
        <f>+CF!GY100*BS!IS69/360</f>
        <v>1100.5998186823233</v>
      </c>
      <c r="IT12" s="319">
        <f>+IS12</f>
        <v>1100.5998186823233</v>
      </c>
    </row>
    <row r="13" spans="1:291" outlineLevel="1" x14ac:dyDescent="0.4">
      <c r="A13" s="137"/>
      <c r="B13" s="321" t="s">
        <v>74</v>
      </c>
      <c r="C13" s="322">
        <f t="shared" si="0"/>
        <v>220</v>
      </c>
      <c r="D13" s="322">
        <f t="shared" si="1"/>
        <v>194</v>
      </c>
      <c r="E13" s="322">
        <f t="shared" si="2"/>
        <v>191</v>
      </c>
      <c r="F13" s="322">
        <f t="shared" si="3"/>
        <v>180</v>
      </c>
      <c r="G13" s="322">
        <f t="shared" si="4"/>
        <v>168</v>
      </c>
      <c r="H13" s="322">
        <f t="shared" si="5"/>
        <v>165</v>
      </c>
      <c r="I13" s="322">
        <f t="shared" si="6"/>
        <v>199</v>
      </c>
      <c r="J13" s="322">
        <f t="shared" si="7"/>
        <v>204</v>
      </c>
      <c r="K13" s="322">
        <f t="shared" si="8"/>
        <v>240</v>
      </c>
      <c r="L13" s="322">
        <f t="shared" si="9"/>
        <v>217</v>
      </c>
      <c r="M13" s="322">
        <f t="shared" si="10"/>
        <v>203</v>
      </c>
      <c r="N13" s="322">
        <f t="shared" si="11"/>
        <v>218</v>
      </c>
      <c r="O13" s="322">
        <f t="shared" si="12"/>
        <v>240</v>
      </c>
      <c r="P13" s="322">
        <f t="shared" si="13"/>
        <v>274</v>
      </c>
      <c r="Q13" s="322">
        <f t="shared" si="14"/>
        <v>252</v>
      </c>
      <c r="R13" s="322">
        <f t="shared" si="15"/>
        <v>273</v>
      </c>
      <c r="S13" s="322">
        <f t="shared" si="16"/>
        <v>350</v>
      </c>
      <c r="T13" s="322">
        <f t="shared" si="17"/>
        <v>407</v>
      </c>
      <c r="U13" s="322">
        <f t="shared" si="18"/>
        <v>372</v>
      </c>
      <c r="V13" s="322">
        <f t="shared" si="19"/>
        <v>263</v>
      </c>
      <c r="W13" s="322">
        <f t="shared" si="20"/>
        <v>261</v>
      </c>
      <c r="X13" s="322">
        <f t="shared" si="21"/>
        <v>302</v>
      </c>
      <c r="Y13" s="322">
        <f t="shared" si="22"/>
        <v>339</v>
      </c>
      <c r="Z13" s="322">
        <f t="shared" si="23"/>
        <v>341</v>
      </c>
      <c r="AA13" s="322">
        <f t="shared" si="24"/>
        <v>440</v>
      </c>
      <c r="AB13" s="319">
        <f t="shared" si="25"/>
        <v>414</v>
      </c>
      <c r="AC13" s="319">
        <f t="shared" si="26"/>
        <v>402.16500000000002</v>
      </c>
      <c r="AD13" s="319">
        <f t="shared" si="27"/>
        <v>396.21135449362498</v>
      </c>
      <c r="AE13" s="319">
        <f t="shared" si="28"/>
        <v>389.26264489958169</v>
      </c>
      <c r="AF13" s="319">
        <f t="shared" si="29"/>
        <v>398.94477763714445</v>
      </c>
      <c r="AG13" s="320"/>
      <c r="AH13" s="320"/>
      <c r="AI13" s="320"/>
      <c r="AJ13" s="320"/>
      <c r="AK13" s="320"/>
      <c r="AL13" s="320"/>
      <c r="AM13" s="320"/>
      <c r="AN13" s="320"/>
      <c r="AO13" s="320"/>
      <c r="AP13" s="320"/>
      <c r="AQ13" s="320"/>
      <c r="AR13" s="320"/>
      <c r="AT13" s="321" t="s">
        <v>74</v>
      </c>
      <c r="AU13" s="322"/>
      <c r="AV13" s="322"/>
      <c r="AW13" s="322"/>
      <c r="AX13" s="322">
        <v>220</v>
      </c>
      <c r="AY13" s="322">
        <f>AX13</f>
        <v>220</v>
      </c>
      <c r="BA13" s="321" t="s">
        <v>74</v>
      </c>
      <c r="BB13" s="322">
        <v>263</v>
      </c>
      <c r="BC13" s="322">
        <v>278</v>
      </c>
      <c r="BD13" s="322">
        <v>276</v>
      </c>
      <c r="BE13" s="322">
        <v>194</v>
      </c>
      <c r="BF13" s="322">
        <f>BE13</f>
        <v>194</v>
      </c>
      <c r="BH13" s="321" t="s">
        <v>74</v>
      </c>
      <c r="BI13" s="322">
        <v>269</v>
      </c>
      <c r="BJ13" s="322">
        <v>268</v>
      </c>
      <c r="BK13" s="322">
        <v>266</v>
      </c>
      <c r="BL13" s="322">
        <v>191</v>
      </c>
      <c r="BM13" s="322">
        <f>BL13</f>
        <v>191</v>
      </c>
      <c r="BO13" s="321" t="s">
        <v>74</v>
      </c>
      <c r="BP13" s="322">
        <v>223</v>
      </c>
      <c r="BQ13" s="322">
        <v>220</v>
      </c>
      <c r="BR13" s="322">
        <v>212</v>
      </c>
      <c r="BS13" s="322">
        <v>180</v>
      </c>
      <c r="BT13" s="322">
        <f>BS13</f>
        <v>180</v>
      </c>
      <c r="BV13" s="321" t="s">
        <v>74</v>
      </c>
      <c r="BW13" s="322">
        <v>187</v>
      </c>
      <c r="BX13" s="322">
        <v>178</v>
      </c>
      <c r="BY13" s="322">
        <v>168</v>
      </c>
      <c r="BZ13" s="322">
        <v>168</v>
      </c>
      <c r="CA13" s="322">
        <f>BZ13</f>
        <v>168</v>
      </c>
      <c r="CC13" s="321" t="s">
        <v>74</v>
      </c>
      <c r="CD13" s="322">
        <v>179</v>
      </c>
      <c r="CE13" s="322">
        <v>174</v>
      </c>
      <c r="CF13" s="322">
        <v>167</v>
      </c>
      <c r="CG13" s="322">
        <v>165</v>
      </c>
      <c r="CH13" s="322">
        <f>CG13</f>
        <v>165</v>
      </c>
      <c r="CJ13" s="321" t="s">
        <v>74</v>
      </c>
      <c r="CK13" s="322">
        <v>190</v>
      </c>
      <c r="CL13" s="322">
        <v>196</v>
      </c>
      <c r="CM13" s="322">
        <v>203</v>
      </c>
      <c r="CN13" s="322">
        <v>199</v>
      </c>
      <c r="CO13" s="322">
        <f>CN13</f>
        <v>199</v>
      </c>
      <c r="CQ13" s="321" t="s">
        <v>74</v>
      </c>
      <c r="CR13" s="322">
        <v>208</v>
      </c>
      <c r="CS13" s="322">
        <v>202</v>
      </c>
      <c r="CT13" s="322">
        <v>197</v>
      </c>
      <c r="CU13" s="322">
        <v>204</v>
      </c>
      <c r="CV13" s="322">
        <f>CU13</f>
        <v>204</v>
      </c>
      <c r="CX13" s="321" t="s">
        <v>74</v>
      </c>
      <c r="CY13" s="322">
        <v>217</v>
      </c>
      <c r="CZ13" s="322">
        <v>238</v>
      </c>
      <c r="DA13" s="322">
        <v>244</v>
      </c>
      <c r="DB13" s="322">
        <v>240</v>
      </c>
      <c r="DC13" s="322">
        <f>DB13</f>
        <v>240</v>
      </c>
      <c r="DE13" s="321" t="s">
        <v>74</v>
      </c>
      <c r="DF13" s="322">
        <v>247</v>
      </c>
      <c r="DG13" s="322">
        <v>247</v>
      </c>
      <c r="DH13" s="322">
        <v>251</v>
      </c>
      <c r="DI13" s="322">
        <v>217</v>
      </c>
      <c r="DJ13" s="322">
        <f>DI13</f>
        <v>217</v>
      </c>
      <c r="DL13" s="321" t="s">
        <v>74</v>
      </c>
      <c r="DM13" s="322">
        <v>250</v>
      </c>
      <c r="DN13" s="322">
        <v>254</v>
      </c>
      <c r="DO13" s="322">
        <v>239</v>
      </c>
      <c r="DP13" s="322">
        <v>203</v>
      </c>
      <c r="DQ13" s="322">
        <f>DP13</f>
        <v>203</v>
      </c>
      <c r="DS13" s="321" t="s">
        <v>74</v>
      </c>
      <c r="DT13" s="322">
        <v>218</v>
      </c>
      <c r="DU13" s="322">
        <v>223</v>
      </c>
      <c r="DV13" s="322">
        <v>225</v>
      </c>
      <c r="DW13" s="322">
        <v>218</v>
      </c>
      <c r="DX13" s="322">
        <f>DW13</f>
        <v>218</v>
      </c>
      <c r="DZ13" s="321" t="s">
        <v>74</v>
      </c>
      <c r="EA13" s="322">
        <v>237</v>
      </c>
      <c r="EB13" s="322">
        <v>251</v>
      </c>
      <c r="EC13" s="322">
        <v>236</v>
      </c>
      <c r="ED13" s="322">
        <v>240</v>
      </c>
      <c r="EE13" s="322">
        <f>ED13</f>
        <v>240</v>
      </c>
      <c r="EG13" s="321" t="s">
        <v>74</v>
      </c>
      <c r="EH13" s="322">
        <v>251</v>
      </c>
      <c r="EI13" s="322">
        <v>256</v>
      </c>
      <c r="EJ13" s="322">
        <v>264</v>
      </c>
      <c r="EK13" s="322">
        <v>274</v>
      </c>
      <c r="EL13" s="322">
        <f>EK13</f>
        <v>274</v>
      </c>
      <c r="EN13" s="321" t="s">
        <v>74</v>
      </c>
      <c r="EO13" s="322">
        <v>283</v>
      </c>
      <c r="EP13" s="322">
        <v>264</v>
      </c>
      <c r="EQ13" s="322">
        <v>267</v>
      </c>
      <c r="ER13" s="322">
        <v>252</v>
      </c>
      <c r="ES13" s="322">
        <f>ER13</f>
        <v>252</v>
      </c>
      <c r="EU13" s="321" t="s">
        <v>74</v>
      </c>
      <c r="EV13" s="322">
        <v>259</v>
      </c>
      <c r="EW13" s="322">
        <v>275</v>
      </c>
      <c r="EX13" s="322">
        <v>276</v>
      </c>
      <c r="EY13" s="322">
        <v>273</v>
      </c>
      <c r="EZ13" s="322">
        <f>EY13</f>
        <v>273</v>
      </c>
      <c r="FB13" s="321" t="s">
        <v>74</v>
      </c>
      <c r="FC13" s="322">
        <v>291</v>
      </c>
      <c r="FD13" s="322">
        <v>295</v>
      </c>
      <c r="FE13" s="322">
        <v>309</v>
      </c>
      <c r="FF13" s="322">
        <v>350</v>
      </c>
      <c r="FG13" s="322">
        <f>FF13</f>
        <v>350</v>
      </c>
      <c r="FI13" s="321" t="s">
        <v>74</v>
      </c>
      <c r="FJ13" s="322">
        <v>370</v>
      </c>
      <c r="FK13" s="322">
        <v>399</v>
      </c>
      <c r="FL13" s="322">
        <v>397</v>
      </c>
      <c r="FM13" s="322">
        <v>407</v>
      </c>
      <c r="FN13" s="322">
        <f>FM13</f>
        <v>407</v>
      </c>
      <c r="FP13" s="321" t="s">
        <v>74</v>
      </c>
      <c r="FQ13" s="322">
        <v>415</v>
      </c>
      <c r="FR13" s="322">
        <v>428</v>
      </c>
      <c r="FS13" s="322">
        <v>392</v>
      </c>
      <c r="FT13" s="322">
        <v>372</v>
      </c>
      <c r="FU13" s="322">
        <f>FT13</f>
        <v>372</v>
      </c>
      <c r="FW13" s="321" t="s">
        <v>74</v>
      </c>
      <c r="FX13" s="322">
        <v>369</v>
      </c>
      <c r="FY13" s="322">
        <v>326</v>
      </c>
      <c r="FZ13" s="322">
        <v>283</v>
      </c>
      <c r="GA13" s="322">
        <v>263</v>
      </c>
      <c r="GB13" s="322">
        <f>GA13</f>
        <v>263</v>
      </c>
      <c r="GD13" s="321" t="s">
        <v>74</v>
      </c>
      <c r="GE13" s="322">
        <v>241</v>
      </c>
      <c r="GF13" s="322">
        <v>222</v>
      </c>
      <c r="GG13" s="322">
        <v>235</v>
      </c>
      <c r="GH13" s="322">
        <v>261</v>
      </c>
      <c r="GI13" s="322">
        <f>+GH13</f>
        <v>261</v>
      </c>
      <c r="GK13" s="321" t="s">
        <v>74</v>
      </c>
      <c r="GL13" s="322">
        <v>257</v>
      </c>
      <c r="GM13" s="322">
        <v>246</v>
      </c>
      <c r="GN13" s="322">
        <v>253</v>
      </c>
      <c r="GO13" s="322">
        <v>302</v>
      </c>
      <c r="GP13" s="322">
        <f>+GO13</f>
        <v>302</v>
      </c>
      <c r="GR13" s="321" t="s">
        <v>74</v>
      </c>
      <c r="GS13" s="322">
        <v>298</v>
      </c>
      <c r="GT13" s="322">
        <v>289</v>
      </c>
      <c r="GU13" s="322">
        <v>303</v>
      </c>
      <c r="GV13" s="322">
        <v>339</v>
      </c>
      <c r="GW13" s="322">
        <f>+GV13</f>
        <v>339</v>
      </c>
      <c r="GY13" s="321" t="s">
        <v>74</v>
      </c>
      <c r="GZ13" s="322">
        <v>351</v>
      </c>
      <c r="HA13" s="322">
        <v>379</v>
      </c>
      <c r="HB13" s="322">
        <v>365</v>
      </c>
      <c r="HC13" s="322">
        <v>341</v>
      </c>
      <c r="HD13" s="322">
        <f>+HC13</f>
        <v>341</v>
      </c>
      <c r="HF13" s="321" t="s">
        <v>74</v>
      </c>
      <c r="HG13" s="322">
        <v>394</v>
      </c>
      <c r="HH13" s="322">
        <v>427</v>
      </c>
      <c r="HI13" s="322">
        <v>427</v>
      </c>
      <c r="HJ13" s="322">
        <v>440</v>
      </c>
      <c r="HK13" s="322">
        <f>+HJ13</f>
        <v>440</v>
      </c>
      <c r="HM13" s="321" t="s">
        <v>74</v>
      </c>
      <c r="HN13" s="322">
        <v>445</v>
      </c>
      <c r="HO13" s="319">
        <v>417</v>
      </c>
      <c r="HP13" s="322">
        <v>415</v>
      </c>
      <c r="HQ13" s="322">
        <v>414</v>
      </c>
      <c r="HR13" s="322">
        <f>+HQ13</f>
        <v>414</v>
      </c>
      <c r="HT13" s="321" t="s">
        <v>74</v>
      </c>
      <c r="HU13" s="319">
        <v>438</v>
      </c>
      <c r="HV13" s="319">
        <v>420</v>
      </c>
      <c r="HW13" s="319">
        <v>414</v>
      </c>
      <c r="HX13" s="319">
        <f>+CF!GD105</f>
        <v>402.16500000000002</v>
      </c>
      <c r="HY13" s="319">
        <f>+HX13</f>
        <v>402.16500000000002</v>
      </c>
      <c r="IA13" s="321" t="s">
        <v>74</v>
      </c>
      <c r="IB13" s="319">
        <f>+CF!GH105</f>
        <v>393.45312223687506</v>
      </c>
      <c r="IC13" s="319">
        <f>+CF!GI105</f>
        <v>394.29961479225005</v>
      </c>
      <c r="ID13" s="319">
        <f>+CF!GJ105</f>
        <v>397.01080573199999</v>
      </c>
      <c r="IE13" s="319">
        <f>+CF!GK105</f>
        <v>396.21135449362498</v>
      </c>
      <c r="IF13" s="319">
        <f>+IE13</f>
        <v>396.21135449362498</v>
      </c>
      <c r="IH13" s="321" t="s">
        <v>74</v>
      </c>
      <c r="II13" s="319">
        <f>+CF!GO105</f>
        <v>395.9465141981882</v>
      </c>
      <c r="IJ13" s="319">
        <f>+CF!GP105</f>
        <v>394.37862170099356</v>
      </c>
      <c r="IK13" s="319">
        <f>+CF!GQ105</f>
        <v>391.67581529376997</v>
      </c>
      <c r="IL13" s="319">
        <f>+CF!GR105</f>
        <v>389.26264489958169</v>
      </c>
      <c r="IM13" s="319">
        <f>+IL13</f>
        <v>389.26264489958169</v>
      </c>
      <c r="IO13" s="321" t="s">
        <v>74</v>
      </c>
      <c r="IP13" s="319">
        <f>+CF!GV105</f>
        <v>390.98785901526571</v>
      </c>
      <c r="IQ13" s="319">
        <f>+CF!GW105</f>
        <v>393.5801675259612</v>
      </c>
      <c r="IR13" s="319">
        <f>+CF!GX105</f>
        <v>397.28208605243771</v>
      </c>
      <c r="IS13" s="319">
        <f>+CF!GY105</f>
        <v>398.94477763714445</v>
      </c>
      <c r="IT13" s="319">
        <f>+IS13</f>
        <v>398.94477763714445</v>
      </c>
    </row>
    <row r="14" spans="1:291" outlineLevel="1" x14ac:dyDescent="0.4">
      <c r="A14" s="137"/>
      <c r="B14" s="321" t="s">
        <v>75</v>
      </c>
      <c r="C14" s="322">
        <f t="shared" si="0"/>
        <v>135</v>
      </c>
      <c r="D14" s="322">
        <f t="shared" si="1"/>
        <v>121</v>
      </c>
      <c r="E14" s="322">
        <f t="shared" si="2"/>
        <v>162</v>
      </c>
      <c r="F14" s="322">
        <f t="shared" si="3"/>
        <v>128</v>
      </c>
      <c r="G14" s="322">
        <f t="shared" si="4"/>
        <v>136</v>
      </c>
      <c r="H14" s="322">
        <f t="shared" si="5"/>
        <v>20</v>
      </c>
      <c r="I14" s="322">
        <f t="shared" si="6"/>
        <v>225</v>
      </c>
      <c r="J14" s="322">
        <f t="shared" si="7"/>
        <v>251</v>
      </c>
      <c r="K14" s="322">
        <f t="shared" si="8"/>
        <v>254</v>
      </c>
      <c r="L14" s="322">
        <f t="shared" si="9"/>
        <v>203</v>
      </c>
      <c r="M14" s="322">
        <f t="shared" si="10"/>
        <v>158</v>
      </c>
      <c r="N14" s="322">
        <f t="shared" si="11"/>
        <v>192</v>
      </c>
      <c r="O14" s="322">
        <f t="shared" si="12"/>
        <v>182</v>
      </c>
      <c r="P14" s="322">
        <f t="shared" si="13"/>
        <v>119</v>
      </c>
      <c r="Q14" s="322">
        <f t="shared" si="14"/>
        <v>155</v>
      </c>
      <c r="R14" s="322">
        <f t="shared" si="15"/>
        <v>141</v>
      </c>
      <c r="S14" s="322">
        <f t="shared" si="16"/>
        <v>126</v>
      </c>
      <c r="T14" s="322">
        <f t="shared" si="17"/>
        <v>0</v>
      </c>
      <c r="U14" s="322">
        <f t="shared" si="18"/>
        <v>0</v>
      </c>
      <c r="V14" s="322">
        <f t="shared" si="19"/>
        <v>0</v>
      </c>
      <c r="W14" s="322">
        <f t="shared" si="20"/>
        <v>0</v>
      </c>
      <c r="X14" s="322">
        <f t="shared" si="21"/>
        <v>0</v>
      </c>
      <c r="Y14" s="322">
        <f t="shared" si="22"/>
        <v>0</v>
      </c>
      <c r="Z14" s="322">
        <f t="shared" si="23"/>
        <v>0</v>
      </c>
      <c r="AA14" s="322">
        <f t="shared" si="24"/>
        <v>0</v>
      </c>
      <c r="AB14" s="319">
        <f t="shared" si="25"/>
        <v>0</v>
      </c>
      <c r="AC14" s="319">
        <f t="shared" si="26"/>
        <v>0</v>
      </c>
      <c r="AD14" s="319">
        <f t="shared" si="27"/>
        <v>0</v>
      </c>
      <c r="AE14" s="319">
        <f t="shared" si="28"/>
        <v>0</v>
      </c>
      <c r="AF14" s="319">
        <f t="shared" si="29"/>
        <v>0</v>
      </c>
      <c r="AG14" s="320"/>
      <c r="AH14" s="320"/>
      <c r="AI14" s="320"/>
      <c r="AJ14" s="320"/>
      <c r="AK14" s="320"/>
      <c r="AL14" s="320"/>
      <c r="AM14" s="320"/>
      <c r="AN14" s="320"/>
      <c r="AO14" s="320"/>
      <c r="AP14" s="320"/>
      <c r="AQ14" s="320"/>
      <c r="AR14" s="320"/>
      <c r="AT14" s="321" t="s">
        <v>75</v>
      </c>
      <c r="AU14" s="322"/>
      <c r="AV14" s="322"/>
      <c r="AW14" s="322"/>
      <c r="AX14" s="322">
        <v>135</v>
      </c>
      <c r="AY14" s="322">
        <f>AX14</f>
        <v>135</v>
      </c>
      <c r="BA14" s="321" t="s">
        <v>75</v>
      </c>
      <c r="BB14" s="322">
        <v>133</v>
      </c>
      <c r="BC14" s="322">
        <v>127</v>
      </c>
      <c r="BD14" s="322">
        <v>128</v>
      </c>
      <c r="BE14" s="322">
        <v>121</v>
      </c>
      <c r="BF14" s="322">
        <f>BE14</f>
        <v>121</v>
      </c>
      <c r="BH14" s="321" t="s">
        <v>75</v>
      </c>
      <c r="BI14" s="322">
        <v>122</v>
      </c>
      <c r="BJ14" s="322">
        <v>114</v>
      </c>
      <c r="BK14" s="322">
        <v>141</v>
      </c>
      <c r="BL14" s="322">
        <v>162</v>
      </c>
      <c r="BM14" s="322">
        <f>BL14</f>
        <v>162</v>
      </c>
      <c r="BO14" s="321" t="s">
        <v>75</v>
      </c>
      <c r="BP14" s="322">
        <v>131</v>
      </c>
      <c r="BQ14" s="322">
        <v>122</v>
      </c>
      <c r="BR14" s="322">
        <v>122</v>
      </c>
      <c r="BS14" s="322">
        <v>128</v>
      </c>
      <c r="BT14" s="322">
        <f>BS14</f>
        <v>128</v>
      </c>
      <c r="BV14" s="321" t="s">
        <v>75</v>
      </c>
      <c r="BW14" s="322">
        <v>130</v>
      </c>
      <c r="BX14" s="322">
        <v>139</v>
      </c>
      <c r="BY14" s="322">
        <v>134</v>
      </c>
      <c r="BZ14" s="322">
        <v>136</v>
      </c>
      <c r="CA14" s="322">
        <f>BZ14</f>
        <v>136</v>
      </c>
      <c r="CC14" s="321" t="s">
        <v>75</v>
      </c>
      <c r="CD14" s="322">
        <v>128</v>
      </c>
      <c r="CE14" s="322">
        <v>128</v>
      </c>
      <c r="CF14" s="322">
        <v>126</v>
      </c>
      <c r="CG14" s="322">
        <v>20</v>
      </c>
      <c r="CH14" s="322">
        <f>CG14</f>
        <v>20</v>
      </c>
      <c r="CJ14" s="321" t="s">
        <v>75</v>
      </c>
      <c r="CK14" s="322">
        <v>115</v>
      </c>
      <c r="CL14" s="322">
        <v>120</v>
      </c>
      <c r="CM14" s="322">
        <v>141</v>
      </c>
      <c r="CN14" s="322">
        <v>225</v>
      </c>
      <c r="CO14" s="322">
        <f>CN14</f>
        <v>225</v>
      </c>
      <c r="CQ14" s="321" t="s">
        <v>75</v>
      </c>
      <c r="CR14" s="322">
        <v>217</v>
      </c>
      <c r="CS14" s="322">
        <v>241</v>
      </c>
      <c r="CT14" s="322">
        <v>253</v>
      </c>
      <c r="CU14" s="322">
        <v>251</v>
      </c>
      <c r="CV14" s="322">
        <f>CU14</f>
        <v>251</v>
      </c>
      <c r="CX14" s="321" t="s">
        <v>75</v>
      </c>
      <c r="CY14" s="322">
        <v>239</v>
      </c>
      <c r="CZ14" s="322">
        <v>233</v>
      </c>
      <c r="DA14" s="322">
        <v>229</v>
      </c>
      <c r="DB14" s="322">
        <v>254</v>
      </c>
      <c r="DC14" s="322">
        <f>DB14</f>
        <v>254</v>
      </c>
      <c r="DE14" s="321" t="s">
        <v>75</v>
      </c>
      <c r="DF14" s="322">
        <v>249</v>
      </c>
      <c r="DG14" s="322">
        <v>234</v>
      </c>
      <c r="DH14" s="322">
        <v>205</v>
      </c>
      <c r="DI14" s="322">
        <v>203</v>
      </c>
      <c r="DJ14" s="322">
        <f>DI14</f>
        <v>203</v>
      </c>
      <c r="DL14" s="321" t="s">
        <v>75</v>
      </c>
      <c r="DM14" s="322">
        <v>151</v>
      </c>
      <c r="DN14" s="322">
        <v>159</v>
      </c>
      <c r="DO14" s="322">
        <v>171</v>
      </c>
      <c r="DP14" s="322">
        <v>158</v>
      </c>
      <c r="DQ14" s="322">
        <f>DP14</f>
        <v>158</v>
      </c>
      <c r="DS14" s="321" t="s">
        <v>75</v>
      </c>
      <c r="DT14" s="322">
        <v>184</v>
      </c>
      <c r="DU14" s="322">
        <v>185</v>
      </c>
      <c r="DV14" s="322">
        <v>206</v>
      </c>
      <c r="DW14" s="322">
        <v>192</v>
      </c>
      <c r="DX14" s="322">
        <f>DW14</f>
        <v>192</v>
      </c>
      <c r="DZ14" s="321" t="s">
        <v>75</v>
      </c>
      <c r="EA14" s="322">
        <v>174</v>
      </c>
      <c r="EB14" s="322">
        <v>186</v>
      </c>
      <c r="EC14" s="322">
        <v>164</v>
      </c>
      <c r="ED14" s="322">
        <v>182</v>
      </c>
      <c r="EE14" s="322">
        <f>ED14</f>
        <v>182</v>
      </c>
      <c r="EG14" s="321" t="s">
        <v>75</v>
      </c>
      <c r="EH14" s="322">
        <v>178</v>
      </c>
      <c r="EI14" s="322">
        <v>172</v>
      </c>
      <c r="EJ14" s="322">
        <v>134</v>
      </c>
      <c r="EK14" s="322">
        <v>119</v>
      </c>
      <c r="EL14" s="322">
        <f>EK14</f>
        <v>119</v>
      </c>
      <c r="EN14" s="321" t="s">
        <v>75</v>
      </c>
      <c r="EO14" s="322">
        <v>133</v>
      </c>
      <c r="EP14" s="322">
        <v>144</v>
      </c>
      <c r="EQ14" s="322">
        <v>148</v>
      </c>
      <c r="ER14" s="322">
        <v>155</v>
      </c>
      <c r="ES14" s="322">
        <f>ER14</f>
        <v>155</v>
      </c>
      <c r="EU14" s="321" t="s">
        <v>75</v>
      </c>
      <c r="EV14" s="322">
        <v>143</v>
      </c>
      <c r="EW14" s="322">
        <v>123</v>
      </c>
      <c r="EX14" s="322">
        <v>128</v>
      </c>
      <c r="EY14" s="322">
        <v>141</v>
      </c>
      <c r="EZ14" s="322">
        <f>EY14</f>
        <v>141</v>
      </c>
      <c r="FB14" s="321" t="s">
        <v>75</v>
      </c>
      <c r="FC14" s="322">
        <v>146</v>
      </c>
      <c r="FD14" s="322">
        <v>132</v>
      </c>
      <c r="FE14" s="322">
        <v>137</v>
      </c>
      <c r="FF14" s="322">
        <v>126</v>
      </c>
      <c r="FG14" s="322">
        <f>FF14</f>
        <v>126</v>
      </c>
      <c r="FI14" s="321" t="s">
        <v>75</v>
      </c>
      <c r="FJ14" s="322">
        <v>132</v>
      </c>
      <c r="FK14" s="322">
        <v>0</v>
      </c>
      <c r="FL14" s="322">
        <v>0</v>
      </c>
      <c r="FM14" s="322">
        <v>0</v>
      </c>
      <c r="FN14" s="322">
        <f>FM14</f>
        <v>0</v>
      </c>
      <c r="FP14" s="321" t="s">
        <v>75</v>
      </c>
      <c r="FQ14" s="322">
        <v>0</v>
      </c>
      <c r="FR14" s="322">
        <v>0</v>
      </c>
      <c r="FS14" s="322">
        <v>0</v>
      </c>
      <c r="FT14" s="322">
        <v>0</v>
      </c>
      <c r="FU14" s="322">
        <f>FT14</f>
        <v>0</v>
      </c>
      <c r="FW14" s="321" t="s">
        <v>75</v>
      </c>
      <c r="FX14" s="322">
        <v>0</v>
      </c>
      <c r="FY14" s="322">
        <v>0</v>
      </c>
      <c r="FZ14" s="322">
        <v>0</v>
      </c>
      <c r="GA14" s="322">
        <v>0</v>
      </c>
      <c r="GB14" s="322">
        <f>GA14</f>
        <v>0</v>
      </c>
      <c r="GD14" s="321" t="s">
        <v>75</v>
      </c>
      <c r="GE14" s="322">
        <v>0</v>
      </c>
      <c r="GF14" s="322">
        <v>0</v>
      </c>
      <c r="GG14" s="322">
        <v>0</v>
      </c>
      <c r="GH14" s="322">
        <v>0</v>
      </c>
      <c r="GI14" s="322">
        <f>+GH14</f>
        <v>0</v>
      </c>
      <c r="GK14" s="321" t="s">
        <v>75</v>
      </c>
      <c r="GL14" s="322">
        <v>0</v>
      </c>
      <c r="GM14" s="322">
        <v>0</v>
      </c>
      <c r="GN14" s="322">
        <v>0</v>
      </c>
      <c r="GO14" s="322">
        <v>0</v>
      </c>
      <c r="GP14" s="322">
        <f>+GO14</f>
        <v>0</v>
      </c>
      <c r="GR14" s="321" t="s">
        <v>75</v>
      </c>
      <c r="GS14" s="322">
        <v>0</v>
      </c>
      <c r="GT14" s="322">
        <v>0</v>
      </c>
      <c r="GU14" s="322">
        <v>0</v>
      </c>
      <c r="GV14" s="322">
        <v>0</v>
      </c>
      <c r="GW14" s="322">
        <f>+GV14</f>
        <v>0</v>
      </c>
      <c r="GY14" s="321" t="s">
        <v>75</v>
      </c>
      <c r="GZ14" s="322">
        <v>0</v>
      </c>
      <c r="HA14" s="322">
        <v>0</v>
      </c>
      <c r="HB14" s="322">
        <v>0</v>
      </c>
      <c r="HC14" s="322">
        <v>0</v>
      </c>
      <c r="HD14" s="322">
        <f>+HC14</f>
        <v>0</v>
      </c>
      <c r="HF14" s="321" t="s">
        <v>75</v>
      </c>
      <c r="HG14" s="322">
        <v>0</v>
      </c>
      <c r="HH14" s="322">
        <v>0</v>
      </c>
      <c r="HI14" s="322">
        <v>0</v>
      </c>
      <c r="HJ14" s="322">
        <v>0</v>
      </c>
      <c r="HK14" s="322">
        <f>+HJ14</f>
        <v>0</v>
      </c>
      <c r="HM14" s="321" t="s">
        <v>75</v>
      </c>
      <c r="HN14" s="322">
        <v>0</v>
      </c>
      <c r="HO14" s="319">
        <v>0</v>
      </c>
      <c r="HP14" s="322">
        <v>0</v>
      </c>
      <c r="HQ14" s="322">
        <v>0</v>
      </c>
      <c r="HR14" s="322">
        <f>+HQ14</f>
        <v>0</v>
      </c>
      <c r="HT14" s="321" t="s">
        <v>75</v>
      </c>
      <c r="HU14" s="319">
        <v>0</v>
      </c>
      <c r="HV14" s="319">
        <v>0</v>
      </c>
      <c r="HW14" s="319">
        <v>0</v>
      </c>
      <c r="HX14" s="319">
        <f>+HW14</f>
        <v>0</v>
      </c>
      <c r="HY14" s="319">
        <f>+HX14</f>
        <v>0</v>
      </c>
      <c r="IA14" s="321" t="s">
        <v>75</v>
      </c>
      <c r="IB14" s="319">
        <f>+HY14</f>
        <v>0</v>
      </c>
      <c r="IC14" s="319">
        <f>+IB14</f>
        <v>0</v>
      </c>
      <c r="ID14" s="319">
        <f>+IC14</f>
        <v>0</v>
      </c>
      <c r="IE14" s="319">
        <f>+ID14</f>
        <v>0</v>
      </c>
      <c r="IF14" s="319">
        <f>+IE14</f>
        <v>0</v>
      </c>
      <c r="IH14" s="321" t="s">
        <v>75</v>
      </c>
      <c r="II14" s="319">
        <f>+IF14</f>
        <v>0</v>
      </c>
      <c r="IJ14" s="319">
        <f>+II14</f>
        <v>0</v>
      </c>
      <c r="IK14" s="319">
        <f>+IJ14</f>
        <v>0</v>
      </c>
      <c r="IL14" s="319">
        <f>+IK14</f>
        <v>0</v>
      </c>
      <c r="IM14" s="319">
        <f>+IL14</f>
        <v>0</v>
      </c>
      <c r="IO14" s="321" t="s">
        <v>75</v>
      </c>
      <c r="IP14" s="319">
        <f>+IM14</f>
        <v>0</v>
      </c>
      <c r="IQ14" s="319">
        <f>+IP14</f>
        <v>0</v>
      </c>
      <c r="IR14" s="319">
        <f>+IQ14</f>
        <v>0</v>
      </c>
      <c r="IS14" s="319">
        <f>+IR14</f>
        <v>0</v>
      </c>
      <c r="IT14" s="319">
        <f>+IS14</f>
        <v>0</v>
      </c>
    </row>
    <row r="15" spans="1:291" outlineLevel="1" x14ac:dyDescent="0.4">
      <c r="A15" s="137"/>
      <c r="B15" s="321" t="s">
        <v>102</v>
      </c>
      <c r="C15" s="322">
        <f t="shared" si="0"/>
        <v>99</v>
      </c>
      <c r="D15" s="322">
        <f t="shared" si="1"/>
        <v>169</v>
      </c>
      <c r="E15" s="322">
        <f t="shared" si="2"/>
        <v>442</v>
      </c>
      <c r="F15" s="322">
        <f t="shared" si="3"/>
        <v>418</v>
      </c>
      <c r="G15" s="322">
        <f t="shared" si="4"/>
        <v>510</v>
      </c>
      <c r="H15" s="322">
        <f t="shared" si="5"/>
        <v>800</v>
      </c>
      <c r="I15" s="322">
        <f t="shared" si="6"/>
        <v>144</v>
      </c>
      <c r="J15" s="322">
        <f t="shared" si="7"/>
        <v>143</v>
      </c>
      <c r="K15" s="322">
        <f t="shared" si="8"/>
        <v>109</v>
      </c>
      <c r="L15" s="322">
        <f t="shared" si="9"/>
        <v>119</v>
      </c>
      <c r="M15" s="322">
        <f t="shared" si="10"/>
        <v>124</v>
      </c>
      <c r="N15" s="322">
        <f t="shared" si="11"/>
        <v>106</v>
      </c>
      <c r="O15" s="322">
        <f t="shared" si="12"/>
        <v>78</v>
      </c>
      <c r="P15" s="322">
        <f t="shared" si="13"/>
        <v>75</v>
      </c>
      <c r="Q15" s="322">
        <f t="shared" si="14"/>
        <v>64</v>
      </c>
      <c r="R15" s="322">
        <f t="shared" si="15"/>
        <v>68</v>
      </c>
      <c r="S15" s="322">
        <f t="shared" si="16"/>
        <v>70</v>
      </c>
      <c r="T15" s="322">
        <f t="shared" si="17"/>
        <v>122</v>
      </c>
      <c r="U15" s="322">
        <f t="shared" si="18"/>
        <v>154</v>
      </c>
      <c r="V15" s="322">
        <f t="shared" si="19"/>
        <v>181</v>
      </c>
      <c r="W15" s="322">
        <f t="shared" si="20"/>
        <v>77</v>
      </c>
      <c r="X15" s="322">
        <f t="shared" si="21"/>
        <v>96</v>
      </c>
      <c r="Y15" s="322">
        <f t="shared" si="22"/>
        <v>70</v>
      </c>
      <c r="Z15" s="322">
        <f t="shared" si="23"/>
        <v>91</v>
      </c>
      <c r="AA15" s="322">
        <f t="shared" si="24"/>
        <v>90</v>
      </c>
      <c r="AB15" s="319">
        <f t="shared" si="25"/>
        <v>75</v>
      </c>
      <c r="AC15" s="319">
        <f t="shared" si="26"/>
        <v>98.644000000000005</v>
      </c>
      <c r="AD15" s="319">
        <f t="shared" si="27"/>
        <v>101.46356692500001</v>
      </c>
      <c r="AE15" s="319">
        <f t="shared" si="28"/>
        <v>106.26634102128953</v>
      </c>
      <c r="AF15" s="319">
        <f t="shared" si="29"/>
        <v>110.94046172317819</v>
      </c>
      <c r="AG15" s="320"/>
      <c r="AH15" s="320"/>
      <c r="AI15" s="320"/>
      <c r="AJ15" s="320"/>
      <c r="AK15" s="320"/>
      <c r="AL15" s="320"/>
      <c r="AM15" s="320"/>
      <c r="AN15" s="320"/>
      <c r="AO15" s="320"/>
      <c r="AP15" s="320"/>
      <c r="AQ15" s="320"/>
      <c r="AR15" s="320"/>
      <c r="AT15" s="321" t="s">
        <v>102</v>
      </c>
      <c r="AU15" s="322"/>
      <c r="AV15" s="322"/>
      <c r="AW15" s="322"/>
      <c r="AX15" s="322">
        <v>99</v>
      </c>
      <c r="AY15" s="322">
        <f>AX15</f>
        <v>99</v>
      </c>
      <c r="BA15" s="321" t="s">
        <v>102</v>
      </c>
      <c r="BB15" s="322">
        <v>159</v>
      </c>
      <c r="BC15" s="322">
        <v>144</v>
      </c>
      <c r="BD15" s="322">
        <v>146</v>
      </c>
      <c r="BE15" s="322">
        <v>169</v>
      </c>
      <c r="BF15" s="322">
        <f>BE15</f>
        <v>169</v>
      </c>
      <c r="BH15" s="321" t="s">
        <v>102</v>
      </c>
      <c r="BI15" s="322">
        <v>148</v>
      </c>
      <c r="BJ15" s="322">
        <v>149</v>
      </c>
      <c r="BK15" s="322">
        <v>144</v>
      </c>
      <c r="BL15" s="322">
        <f>244+198</f>
        <v>442</v>
      </c>
      <c r="BM15" s="322">
        <f>BL15</f>
        <v>442</v>
      </c>
      <c r="BO15" s="321" t="s">
        <v>102</v>
      </c>
      <c r="BP15" s="322">
        <v>232</v>
      </c>
      <c r="BQ15" s="322">
        <v>190</v>
      </c>
      <c r="BR15" s="322">
        <v>199</v>
      </c>
      <c r="BS15" s="322">
        <f>155+263</f>
        <v>418</v>
      </c>
      <c r="BT15" s="322">
        <f>BS15</f>
        <v>418</v>
      </c>
      <c r="BV15" s="321" t="s">
        <v>102</v>
      </c>
      <c r="BW15" s="322">
        <v>164</v>
      </c>
      <c r="BX15" s="322">
        <v>185</v>
      </c>
      <c r="BY15" s="322">
        <v>92</v>
      </c>
      <c r="BZ15" s="322">
        <f>64+446</f>
        <v>510</v>
      </c>
      <c r="CA15" s="322">
        <f>BZ15</f>
        <v>510</v>
      </c>
      <c r="CC15" s="321" t="s">
        <v>102</v>
      </c>
      <c r="CD15" s="322">
        <v>108</v>
      </c>
      <c r="CE15" s="322">
        <v>129</v>
      </c>
      <c r="CF15" s="322">
        <v>222</v>
      </c>
      <c r="CG15" s="322">
        <f>157+643</f>
        <v>800</v>
      </c>
      <c r="CH15" s="322">
        <f>CG15</f>
        <v>800</v>
      </c>
      <c r="CJ15" s="321" t="s">
        <v>102</v>
      </c>
      <c r="CK15" s="322">
        <v>288</v>
      </c>
      <c r="CL15" s="322">
        <v>252</v>
      </c>
      <c r="CM15" s="322">
        <v>239</v>
      </c>
      <c r="CN15" s="322">
        <v>144</v>
      </c>
      <c r="CO15" s="322">
        <f>CN15</f>
        <v>144</v>
      </c>
      <c r="CQ15" s="321" t="s">
        <v>102</v>
      </c>
      <c r="CR15" s="322">
        <v>107</v>
      </c>
      <c r="CS15" s="322">
        <v>66</v>
      </c>
      <c r="CT15" s="322">
        <v>153</v>
      </c>
      <c r="CU15" s="322">
        <v>143</v>
      </c>
      <c r="CV15" s="322">
        <f>CU15</f>
        <v>143</v>
      </c>
      <c r="CX15" s="321" t="s">
        <v>102</v>
      </c>
      <c r="CY15" s="322">
        <v>103</v>
      </c>
      <c r="CZ15" s="322">
        <v>99</v>
      </c>
      <c r="DA15" s="322">
        <v>98</v>
      </c>
      <c r="DB15" s="322">
        <v>109</v>
      </c>
      <c r="DC15" s="322">
        <f>DB15</f>
        <v>109</v>
      </c>
      <c r="DE15" s="321" t="s">
        <v>102</v>
      </c>
      <c r="DF15" s="322">
        <v>109</v>
      </c>
      <c r="DG15" s="322">
        <v>113</v>
      </c>
      <c r="DH15" s="322">
        <v>75</v>
      </c>
      <c r="DI15" s="322">
        <v>119</v>
      </c>
      <c r="DJ15" s="322">
        <f>DI15</f>
        <v>119</v>
      </c>
      <c r="DL15" s="321" t="s">
        <v>102</v>
      </c>
      <c r="DM15" s="322">
        <v>112</v>
      </c>
      <c r="DN15" s="322">
        <v>160</v>
      </c>
      <c r="DO15" s="322">
        <v>111</v>
      </c>
      <c r="DP15" s="322">
        <v>124</v>
      </c>
      <c r="DQ15" s="322">
        <f>DP15</f>
        <v>124</v>
      </c>
      <c r="DS15" s="321" t="s">
        <v>102</v>
      </c>
      <c r="DT15" s="322">
        <v>78</v>
      </c>
      <c r="DU15" s="322">
        <v>108</v>
      </c>
      <c r="DV15" s="322">
        <v>97</v>
      </c>
      <c r="DW15" s="322">
        <v>106</v>
      </c>
      <c r="DX15" s="322">
        <f>DW15</f>
        <v>106</v>
      </c>
      <c r="DZ15" s="321" t="s">
        <v>102</v>
      </c>
      <c r="EA15" s="322">
        <v>102</v>
      </c>
      <c r="EB15" s="322">
        <v>123</v>
      </c>
      <c r="EC15" s="322">
        <v>112</v>
      </c>
      <c r="ED15" s="322">
        <v>78</v>
      </c>
      <c r="EE15" s="322">
        <f>ED15</f>
        <v>78</v>
      </c>
      <c r="EG15" s="321" t="s">
        <v>102</v>
      </c>
      <c r="EH15" s="322">
        <v>112</v>
      </c>
      <c r="EI15" s="322">
        <v>125</v>
      </c>
      <c r="EJ15" s="322">
        <v>104</v>
      </c>
      <c r="EK15" s="322">
        <v>75</v>
      </c>
      <c r="EL15" s="322">
        <f>EK15</f>
        <v>75</v>
      </c>
      <c r="EN15" s="321" t="s">
        <v>102</v>
      </c>
      <c r="EO15" s="322">
        <v>103</v>
      </c>
      <c r="EP15" s="322">
        <v>118</v>
      </c>
      <c r="EQ15" s="322">
        <v>85</v>
      </c>
      <c r="ER15" s="322">
        <v>64</v>
      </c>
      <c r="ES15" s="322">
        <f>ER15</f>
        <v>64</v>
      </c>
      <c r="EU15" s="321" t="s">
        <v>102</v>
      </c>
      <c r="EV15" s="322">
        <v>91</v>
      </c>
      <c r="EW15" s="322">
        <v>123</v>
      </c>
      <c r="EX15" s="322">
        <v>95</v>
      </c>
      <c r="EY15" s="322">
        <v>68</v>
      </c>
      <c r="EZ15" s="322">
        <f>EY15</f>
        <v>68</v>
      </c>
      <c r="FB15" s="321" t="s">
        <v>102</v>
      </c>
      <c r="FC15" s="322">
        <v>99</v>
      </c>
      <c r="FD15" s="322">
        <v>102</v>
      </c>
      <c r="FE15" s="322">
        <v>87</v>
      </c>
      <c r="FF15" s="322">
        <v>70</v>
      </c>
      <c r="FG15" s="322">
        <f>FF15</f>
        <v>70</v>
      </c>
      <c r="FI15" s="321" t="s">
        <v>102</v>
      </c>
      <c r="FJ15" s="322">
        <v>83</v>
      </c>
      <c r="FK15" s="322">
        <v>89</v>
      </c>
      <c r="FL15" s="322">
        <v>86</v>
      </c>
      <c r="FM15" s="322">
        <v>122</v>
      </c>
      <c r="FN15" s="322">
        <f>FM15</f>
        <v>122</v>
      </c>
      <c r="FP15" s="321" t="s">
        <v>102</v>
      </c>
      <c r="FQ15" s="322">
        <v>85</v>
      </c>
      <c r="FR15" s="322">
        <v>90</v>
      </c>
      <c r="FS15" s="322">
        <v>95</v>
      </c>
      <c r="FT15" s="322">
        <v>154</v>
      </c>
      <c r="FU15" s="322">
        <f>FT15</f>
        <v>154</v>
      </c>
      <c r="FW15" s="321" t="s">
        <v>102</v>
      </c>
      <c r="FX15" s="322">
        <v>138</v>
      </c>
      <c r="FY15" s="322">
        <v>116</v>
      </c>
      <c r="FZ15" s="322">
        <v>133</v>
      </c>
      <c r="GA15" s="322">
        <v>181</v>
      </c>
      <c r="GB15" s="322">
        <f>GA15</f>
        <v>181</v>
      </c>
      <c r="GD15" s="321" t="s">
        <v>102</v>
      </c>
      <c r="GE15" s="322">
        <v>122</v>
      </c>
      <c r="GF15" s="322">
        <v>122</v>
      </c>
      <c r="GG15" s="322">
        <v>66</v>
      </c>
      <c r="GH15" s="322">
        <v>77</v>
      </c>
      <c r="GI15" s="322">
        <f>+GH15</f>
        <v>77</v>
      </c>
      <c r="GK15" s="321" t="s">
        <v>102</v>
      </c>
      <c r="GL15" s="322">
        <v>74</v>
      </c>
      <c r="GM15" s="322">
        <v>91</v>
      </c>
      <c r="GN15" s="322">
        <v>96</v>
      </c>
      <c r="GO15" s="322">
        <v>96</v>
      </c>
      <c r="GP15" s="322">
        <f>+GO15</f>
        <v>96</v>
      </c>
      <c r="GR15" s="321" t="s">
        <v>102</v>
      </c>
      <c r="GS15" s="322">
        <v>93</v>
      </c>
      <c r="GT15" s="322">
        <v>102</v>
      </c>
      <c r="GU15" s="322">
        <v>89</v>
      </c>
      <c r="GV15" s="322">
        <v>70</v>
      </c>
      <c r="GW15" s="322">
        <f>+GV15</f>
        <v>70</v>
      </c>
      <c r="GY15" s="321" t="s">
        <v>102</v>
      </c>
      <c r="GZ15" s="322">
        <v>97</v>
      </c>
      <c r="HA15" s="322">
        <v>104</v>
      </c>
      <c r="HB15" s="322">
        <v>79</v>
      </c>
      <c r="HC15" s="322">
        <v>91</v>
      </c>
      <c r="HD15" s="322">
        <f>+HC15</f>
        <v>91</v>
      </c>
      <c r="HF15" s="321" t="s">
        <v>102</v>
      </c>
      <c r="HG15" s="322">
        <v>99</v>
      </c>
      <c r="HH15" s="322">
        <v>107</v>
      </c>
      <c r="HI15" s="322">
        <v>75</v>
      </c>
      <c r="HJ15" s="322">
        <v>90</v>
      </c>
      <c r="HK15" s="322">
        <f>+HJ15</f>
        <v>90</v>
      </c>
      <c r="HM15" s="321" t="s">
        <v>102</v>
      </c>
      <c r="HN15" s="322">
        <v>117</v>
      </c>
      <c r="HO15" s="319">
        <v>91</v>
      </c>
      <c r="HP15" s="322">
        <v>93</v>
      </c>
      <c r="HQ15" s="322">
        <v>75</v>
      </c>
      <c r="HR15" s="322">
        <f>+HQ15</f>
        <v>75</v>
      </c>
      <c r="HT15" s="321" t="s">
        <v>102</v>
      </c>
      <c r="HU15" s="319">
        <v>87</v>
      </c>
      <c r="HV15" s="319">
        <v>83</v>
      </c>
      <c r="HW15" s="319">
        <v>109</v>
      </c>
      <c r="HX15" s="319">
        <f>+CF!GD102</f>
        <v>98.644000000000005</v>
      </c>
      <c r="HY15" s="319">
        <f>+HX15</f>
        <v>98.644000000000005</v>
      </c>
      <c r="IA15" s="321" t="s">
        <v>102</v>
      </c>
      <c r="IB15" s="319">
        <f>+CF!GH102</f>
        <v>98.908721974999992</v>
      </c>
      <c r="IC15" s="319">
        <f>+CF!GI102</f>
        <v>99.34195145000001</v>
      </c>
      <c r="ID15" s="319">
        <f>+CF!GJ102</f>
        <v>100.16049049999999</v>
      </c>
      <c r="IE15" s="319">
        <f>+CF!GK102</f>
        <v>101.46356692500001</v>
      </c>
      <c r="IF15" s="319">
        <f>+IE15</f>
        <v>101.46356692500001</v>
      </c>
      <c r="IH15" s="321" t="s">
        <v>102</v>
      </c>
      <c r="II15" s="319">
        <f>+CF!GO102</f>
        <v>102.63548877108515</v>
      </c>
      <c r="IJ15" s="319">
        <f>+CF!GP102</f>
        <v>103.84692998306267</v>
      </c>
      <c r="IK15" s="319">
        <f>+CF!GQ102</f>
        <v>105.0514706819189</v>
      </c>
      <c r="IL15" s="319">
        <f>+CF!GR102</f>
        <v>106.26634102128953</v>
      </c>
      <c r="IM15" s="319">
        <f>+IL15</f>
        <v>106.26634102128953</v>
      </c>
      <c r="IO15" s="321" t="s">
        <v>102</v>
      </c>
      <c r="IP15" s="319">
        <f>+CF!GV102</f>
        <v>107.40551873626112</v>
      </c>
      <c r="IQ15" s="319">
        <f>+CF!GW102</f>
        <v>108.58356274127104</v>
      </c>
      <c r="IR15" s="319">
        <f>+CF!GX102</f>
        <v>109.77423345187616</v>
      </c>
      <c r="IS15" s="319">
        <f>+CF!GY102</f>
        <v>110.94046172317819</v>
      </c>
      <c r="IT15" s="319">
        <f>+IS15</f>
        <v>110.94046172317819</v>
      </c>
    </row>
    <row r="16" spans="1:291" x14ac:dyDescent="0.4">
      <c r="A16" s="137"/>
      <c r="B16" s="323"/>
      <c r="C16" s="324"/>
      <c r="D16" s="324"/>
      <c r="E16" s="324"/>
      <c r="F16" s="324"/>
      <c r="G16" s="324"/>
      <c r="H16" s="324"/>
      <c r="I16" s="324"/>
      <c r="J16" s="324"/>
      <c r="K16" s="324"/>
      <c r="L16" s="324"/>
      <c r="M16" s="324"/>
      <c r="N16" s="324"/>
      <c r="O16" s="324"/>
      <c r="P16" s="324"/>
      <c r="Q16" s="324"/>
      <c r="R16" s="324"/>
      <c r="S16" s="324"/>
      <c r="T16" s="324"/>
      <c r="U16" s="324"/>
      <c r="V16" s="324"/>
      <c r="W16" s="324"/>
      <c r="X16" s="324"/>
      <c r="Y16" s="324"/>
      <c r="Z16" s="324"/>
      <c r="AA16" s="324"/>
      <c r="AB16" s="356"/>
      <c r="AC16" s="356"/>
      <c r="AD16" s="356"/>
      <c r="AE16" s="356"/>
      <c r="AF16" s="356"/>
      <c r="AG16" s="324"/>
      <c r="AH16" s="324"/>
      <c r="AI16" s="324"/>
      <c r="AJ16" s="324"/>
      <c r="AK16" s="324"/>
      <c r="AL16" s="324"/>
      <c r="AM16" s="324"/>
      <c r="AN16" s="324"/>
      <c r="AO16" s="324"/>
      <c r="AP16" s="324"/>
      <c r="AQ16" s="324"/>
      <c r="AR16" s="324"/>
      <c r="AT16" s="323"/>
      <c r="AU16" s="324"/>
      <c r="AV16" s="324"/>
      <c r="AW16" s="324"/>
      <c r="AX16" s="324"/>
      <c r="AY16" s="324"/>
      <c r="BA16" s="323"/>
      <c r="BB16" s="324"/>
      <c r="BC16" s="324"/>
      <c r="BD16" s="324"/>
      <c r="BE16" s="324"/>
      <c r="BF16" s="324"/>
      <c r="BH16" s="323"/>
      <c r="BI16" s="324"/>
      <c r="BJ16" s="324"/>
      <c r="BK16" s="324"/>
      <c r="BL16" s="324"/>
      <c r="BM16" s="324"/>
      <c r="BO16" s="323"/>
      <c r="BP16" s="324"/>
      <c r="BQ16" s="324"/>
      <c r="BR16" s="324"/>
      <c r="BS16" s="324"/>
      <c r="BT16" s="324"/>
      <c r="BV16" s="323"/>
      <c r="BW16" s="324"/>
      <c r="BX16" s="324"/>
      <c r="BY16" s="324"/>
      <c r="BZ16" s="324"/>
      <c r="CA16" s="324"/>
      <c r="CC16" s="323"/>
      <c r="CD16" s="324"/>
      <c r="CE16" s="324"/>
      <c r="CF16" s="324"/>
      <c r="CG16" s="324"/>
      <c r="CH16" s="324"/>
      <c r="CJ16" s="323"/>
      <c r="CK16" s="324"/>
      <c r="CL16" s="324"/>
      <c r="CM16" s="324"/>
      <c r="CN16" s="324"/>
      <c r="CO16" s="324"/>
      <c r="CQ16" s="323"/>
      <c r="CR16" s="324"/>
      <c r="CS16" s="324"/>
      <c r="CT16" s="324"/>
      <c r="CU16" s="324"/>
      <c r="CV16" s="324"/>
      <c r="CX16" s="323"/>
      <c r="CY16" s="324"/>
      <c r="CZ16" s="324"/>
      <c r="DA16" s="324"/>
      <c r="DB16" s="324"/>
      <c r="DC16" s="324"/>
      <c r="DE16" s="323"/>
      <c r="DF16" s="324"/>
      <c r="DG16" s="324"/>
      <c r="DH16" s="324"/>
      <c r="DI16" s="324"/>
      <c r="DJ16" s="324"/>
      <c r="DL16" s="323"/>
      <c r="DM16" s="324"/>
      <c r="DN16" s="324"/>
      <c r="DO16" s="324"/>
      <c r="DP16" s="324"/>
      <c r="DQ16" s="324"/>
      <c r="DS16" s="323"/>
      <c r="DT16" s="324"/>
      <c r="DU16" s="324"/>
      <c r="DV16" s="324"/>
      <c r="DW16" s="324"/>
      <c r="DX16" s="324"/>
      <c r="DZ16" s="323"/>
      <c r="EA16" s="324"/>
      <c r="EB16" s="324"/>
      <c r="EC16" s="324"/>
      <c r="ED16" s="324"/>
      <c r="EE16" s="324"/>
      <c r="EG16" s="323"/>
      <c r="EH16" s="324"/>
      <c r="EI16" s="324"/>
      <c r="EJ16" s="324"/>
      <c r="EK16" s="324"/>
      <c r="EL16" s="324"/>
      <c r="EN16" s="323"/>
      <c r="EO16" s="324"/>
      <c r="EP16" s="324"/>
      <c r="EQ16" s="324"/>
      <c r="ER16" s="324"/>
      <c r="ES16" s="324"/>
      <c r="EU16" s="323"/>
      <c r="EV16" s="324"/>
      <c r="EW16" s="324"/>
      <c r="EX16" s="324"/>
      <c r="EY16" s="324"/>
      <c r="EZ16" s="324"/>
      <c r="FB16" s="323"/>
      <c r="FC16" s="324"/>
      <c r="FD16" s="324"/>
      <c r="FE16" s="324"/>
      <c r="FF16" s="324"/>
      <c r="FG16" s="324"/>
      <c r="FI16" s="323"/>
      <c r="FJ16" s="324"/>
      <c r="FK16" s="324"/>
      <c r="FL16" s="324"/>
      <c r="FM16" s="324"/>
      <c r="FN16" s="324"/>
      <c r="FP16" s="323"/>
      <c r="FQ16" s="324"/>
      <c r="FR16" s="324"/>
      <c r="FS16" s="324"/>
      <c r="FT16" s="324"/>
      <c r="FU16" s="324"/>
      <c r="FW16" s="323"/>
      <c r="FX16" s="324"/>
      <c r="FY16" s="324"/>
      <c r="FZ16" s="324"/>
      <c r="GA16" s="324"/>
      <c r="GB16" s="324"/>
      <c r="GD16" s="323"/>
      <c r="GE16" s="324"/>
      <c r="GF16" s="324"/>
      <c r="GG16" s="324"/>
      <c r="GH16" s="324"/>
      <c r="GI16" s="324"/>
      <c r="GK16" s="323"/>
      <c r="GL16" s="324"/>
      <c r="GM16" s="324"/>
      <c r="GN16" s="324"/>
      <c r="GO16" s="324"/>
      <c r="GP16" s="324"/>
      <c r="GR16" s="323"/>
      <c r="GS16" s="324"/>
      <c r="GT16" s="324"/>
      <c r="GU16" s="324"/>
      <c r="GV16" s="324"/>
      <c r="GW16" s="324"/>
      <c r="GY16" s="323"/>
      <c r="GZ16" s="324"/>
      <c r="HA16" s="324"/>
      <c r="HB16" s="324"/>
      <c r="HC16" s="324"/>
      <c r="HD16" s="324"/>
      <c r="HF16" s="323"/>
      <c r="HG16" s="324"/>
      <c r="HH16" s="324"/>
      <c r="HI16" s="324"/>
      <c r="HJ16" s="324"/>
      <c r="HK16" s="324"/>
      <c r="HM16" s="323"/>
      <c r="HN16" s="324"/>
      <c r="HO16" s="356"/>
      <c r="HP16" s="356"/>
      <c r="HQ16" s="324"/>
      <c r="HR16" s="324"/>
      <c r="HT16" s="323"/>
      <c r="HU16" s="356"/>
      <c r="HV16" s="356"/>
      <c r="HW16" s="356"/>
      <c r="HX16" s="356"/>
      <c r="HY16" s="356"/>
      <c r="IA16" s="323"/>
      <c r="IB16" s="356"/>
      <c r="IC16" s="356"/>
      <c r="ID16" s="356"/>
      <c r="IE16" s="356"/>
      <c r="IF16" s="356"/>
      <c r="IH16" s="323"/>
      <c r="II16" s="356"/>
      <c r="IJ16" s="356"/>
      <c r="IK16" s="356"/>
      <c r="IL16" s="356"/>
      <c r="IM16" s="356"/>
      <c r="IO16" s="323"/>
      <c r="IP16" s="356"/>
      <c r="IQ16" s="356"/>
      <c r="IR16" s="356"/>
      <c r="IS16" s="356"/>
      <c r="IT16" s="356"/>
    </row>
    <row r="17" spans="1:438" s="336" customFormat="1" ht="15" customHeight="1" thickBot="1" x14ac:dyDescent="0.45">
      <c r="A17" s="325"/>
      <c r="B17" s="326" t="s">
        <v>44</v>
      </c>
      <c r="C17" s="327">
        <f>AY17</f>
        <v>974</v>
      </c>
      <c r="D17" s="327">
        <f>BF17</f>
        <v>2020</v>
      </c>
      <c r="E17" s="327">
        <f>BM17</f>
        <v>2284</v>
      </c>
      <c r="F17" s="327">
        <f>BT17</f>
        <v>1789</v>
      </c>
      <c r="G17" s="327">
        <f>CA17</f>
        <v>2297</v>
      </c>
      <c r="H17" s="327">
        <f>CH17</f>
        <v>3003</v>
      </c>
      <c r="I17" s="327">
        <f>CO17</f>
        <v>2372</v>
      </c>
      <c r="J17" s="327">
        <f>CV17</f>
        <v>2672</v>
      </c>
      <c r="K17" s="327">
        <f>DC17</f>
        <v>2491</v>
      </c>
      <c r="L17" s="327">
        <f>DJ17</f>
        <v>2391</v>
      </c>
      <c r="M17" s="327">
        <f>DQ17</f>
        <v>2570</v>
      </c>
      <c r="N17" s="327">
        <f>DX17</f>
        <v>2855</v>
      </c>
      <c r="O17" s="327">
        <f>EE17</f>
        <v>2935</v>
      </c>
      <c r="P17" s="327">
        <f>EL17</f>
        <v>2801</v>
      </c>
      <c r="Q17" s="327">
        <f>ES17</f>
        <v>2602</v>
      </c>
      <c r="R17" s="327">
        <f>EZ17</f>
        <v>2572</v>
      </c>
      <c r="S17" s="327">
        <f>FG17</f>
        <v>2966</v>
      </c>
      <c r="T17" s="327">
        <f>FN17</f>
        <v>2487</v>
      </c>
      <c r="U17" s="327">
        <f>FU17</f>
        <v>1915</v>
      </c>
      <c r="V17" s="327">
        <f>GB17</f>
        <v>2565</v>
      </c>
      <c r="W17" s="327">
        <f>GI17</f>
        <v>3278</v>
      </c>
      <c r="X17" s="327">
        <f>GP17</f>
        <v>4441</v>
      </c>
      <c r="Y17" s="327">
        <f>GW17</f>
        <v>3873</v>
      </c>
      <c r="Z17" s="327">
        <f>HD17</f>
        <v>3807</v>
      </c>
      <c r="AA17" s="327">
        <f>HK17</f>
        <v>3359</v>
      </c>
      <c r="AB17" s="327">
        <f>HR17</f>
        <v>2820</v>
      </c>
      <c r="AC17" s="327">
        <f>HY17</f>
        <v>2550</v>
      </c>
      <c r="AD17" s="327">
        <f>IF17</f>
        <v>2183.917419773843</v>
      </c>
      <c r="AE17" s="327">
        <f>IM17</f>
        <v>2160.4390709363661</v>
      </c>
      <c r="AF17" s="327">
        <f>IT17</f>
        <v>2389.969547271749</v>
      </c>
      <c r="AG17" s="328"/>
      <c r="AH17" s="328"/>
      <c r="AI17" s="328"/>
      <c r="AJ17" s="328"/>
      <c r="AK17" s="328"/>
      <c r="AL17" s="328"/>
      <c r="AM17" s="328"/>
      <c r="AN17" s="328"/>
      <c r="AO17" s="328"/>
      <c r="AP17" s="328"/>
      <c r="AQ17" s="328"/>
      <c r="AR17" s="328"/>
      <c r="AS17" s="329"/>
      <c r="AT17" s="326" t="s">
        <v>44</v>
      </c>
      <c r="AU17" s="327"/>
      <c r="AV17" s="327"/>
      <c r="AW17" s="327"/>
      <c r="AX17" s="327">
        <f>+AX9+AX10+AX11</f>
        <v>2563</v>
      </c>
      <c r="AY17" s="327">
        <f>+AY9+AY10+AY11</f>
        <v>974</v>
      </c>
      <c r="AZ17" s="329"/>
      <c r="BA17" s="326" t="s">
        <v>44</v>
      </c>
      <c r="BB17" s="327">
        <f>+BB9+BB10+BB11</f>
        <v>2350</v>
      </c>
      <c r="BC17" s="327">
        <f>+BC9+BC10+BC11</f>
        <v>2079</v>
      </c>
      <c r="BD17" s="327">
        <f>+BD9+BD10+BD11</f>
        <v>2252</v>
      </c>
      <c r="BE17" s="327">
        <f>+BE9+BE10+BE11</f>
        <v>2020</v>
      </c>
      <c r="BF17" s="327">
        <f>+BF9+BF10+BF11</f>
        <v>2020</v>
      </c>
      <c r="BG17" s="329"/>
      <c r="BH17" s="326" t="s">
        <v>44</v>
      </c>
      <c r="BI17" s="327">
        <f>+BI9+BI10+BI11</f>
        <v>2000</v>
      </c>
      <c r="BJ17" s="327">
        <f>+BJ9+BJ10+BJ11</f>
        <v>1977</v>
      </c>
      <c r="BK17" s="327">
        <f>+BK9+BK10+BK11</f>
        <v>2019</v>
      </c>
      <c r="BL17" s="327">
        <f>+BL9+BL10+BL11</f>
        <v>2284</v>
      </c>
      <c r="BM17" s="327">
        <f>+BM9+BM10+BM11</f>
        <v>2284</v>
      </c>
      <c r="BN17" s="329"/>
      <c r="BO17" s="326" t="s">
        <v>44</v>
      </c>
      <c r="BP17" s="327">
        <f>+BP9+BP10+BP11</f>
        <v>2176</v>
      </c>
      <c r="BQ17" s="327">
        <f>+BQ9+BQ10+BQ11</f>
        <v>2091</v>
      </c>
      <c r="BR17" s="327">
        <f>+BR9+BR10+BR11</f>
        <v>1910</v>
      </c>
      <c r="BS17" s="327">
        <f>+BS9+BS10+BS11</f>
        <v>1789</v>
      </c>
      <c r="BT17" s="327">
        <f>+BT9+BT10+BT11</f>
        <v>1789</v>
      </c>
      <c r="BU17" s="329"/>
      <c r="BV17" s="326" t="s">
        <v>44</v>
      </c>
      <c r="BW17" s="327">
        <f>+BW9+BW10+BW11</f>
        <v>1622</v>
      </c>
      <c r="BX17" s="327">
        <f>+BX9+BX10+BX11</f>
        <v>2032</v>
      </c>
      <c r="BY17" s="327">
        <f>+BY9+BY10+BY11</f>
        <v>2380</v>
      </c>
      <c r="BZ17" s="327">
        <f>+BZ9+BZ10+BZ11</f>
        <v>2297</v>
      </c>
      <c r="CA17" s="327">
        <f>+CA9+CA10+CA11</f>
        <v>2297</v>
      </c>
      <c r="CB17" s="329"/>
      <c r="CC17" s="326" t="s">
        <v>44</v>
      </c>
      <c r="CD17" s="327">
        <f>+CD9+CD10+CD11</f>
        <v>2032</v>
      </c>
      <c r="CE17" s="327">
        <f>+CE9+CE10+CE11</f>
        <v>2374</v>
      </c>
      <c r="CF17" s="327">
        <f>+CF9+CF10+CF11</f>
        <v>2315</v>
      </c>
      <c r="CG17" s="327">
        <f>+CG9+CG10+CG11</f>
        <v>3003</v>
      </c>
      <c r="CH17" s="327">
        <f>+CH9+CH10+CH11</f>
        <v>3003</v>
      </c>
      <c r="CI17" s="329"/>
      <c r="CJ17" s="326" t="s">
        <v>44</v>
      </c>
      <c r="CK17" s="327">
        <f>+CK9+CK10+CK11</f>
        <v>3579</v>
      </c>
      <c r="CL17" s="327">
        <f>+CL9+CL10+CL11</f>
        <v>2204</v>
      </c>
      <c r="CM17" s="327">
        <f>+CM9+CM10+CM11</f>
        <v>2447</v>
      </c>
      <c r="CN17" s="327">
        <f>+CN9+CN10+CN11</f>
        <v>2372</v>
      </c>
      <c r="CO17" s="327">
        <f>+CO9+CO10+CO11</f>
        <v>2372</v>
      </c>
      <c r="CP17" s="329"/>
      <c r="CQ17" s="326" t="s">
        <v>44</v>
      </c>
      <c r="CR17" s="327">
        <f>+CR9+CR10+CR11</f>
        <v>2447</v>
      </c>
      <c r="CS17" s="327">
        <f>+CS9+CS10+CS11</f>
        <v>2395</v>
      </c>
      <c r="CT17" s="327">
        <f>+CT9+CT10+CT11</f>
        <v>2538</v>
      </c>
      <c r="CU17" s="327">
        <f>+CU9+CU10+CU11</f>
        <v>2672</v>
      </c>
      <c r="CV17" s="327">
        <f>+CV9+CV10+CV11</f>
        <v>2672</v>
      </c>
      <c r="CW17" s="329"/>
      <c r="CX17" s="326" t="s">
        <v>44</v>
      </c>
      <c r="CY17" s="327">
        <f>+CY9+CY10+CY11</f>
        <v>2608</v>
      </c>
      <c r="CZ17" s="327">
        <f>+CZ9+CZ10+CZ11</f>
        <v>2571</v>
      </c>
      <c r="DA17" s="327">
        <f>+DA9+DA10+DA11</f>
        <v>2980</v>
      </c>
      <c r="DB17" s="327">
        <f>+DB9+DB10+DB11</f>
        <v>2491</v>
      </c>
      <c r="DC17" s="327">
        <f>+DC9+DC10+DC11</f>
        <v>2491</v>
      </c>
      <c r="DD17" s="329"/>
      <c r="DE17" s="326" t="s">
        <v>44</v>
      </c>
      <c r="DF17" s="327">
        <f>+DF9+DF10+DF11</f>
        <v>3414</v>
      </c>
      <c r="DG17" s="327">
        <f>+DG9+DG10+DG11</f>
        <v>3286</v>
      </c>
      <c r="DH17" s="327">
        <f>+DH9+DH10+DH11</f>
        <v>2751</v>
      </c>
      <c r="DI17" s="327">
        <f>+DI9+DI10+DI11</f>
        <v>2391</v>
      </c>
      <c r="DJ17" s="327">
        <f>+DJ9+DJ10+DJ11</f>
        <v>2391</v>
      </c>
      <c r="DK17" s="329"/>
      <c r="DL17" s="326" t="s">
        <v>44</v>
      </c>
      <c r="DM17" s="327">
        <f>+DM9+DM10+DM11</f>
        <v>2600</v>
      </c>
      <c r="DN17" s="327">
        <f>+DN9+DN10+DN11</f>
        <v>2636</v>
      </c>
      <c r="DO17" s="327">
        <f>+DO9+DO10+DO11</f>
        <v>2770</v>
      </c>
      <c r="DP17" s="327">
        <f>+DP9+DP10+DP11</f>
        <v>2570</v>
      </c>
      <c r="DQ17" s="327">
        <f>+DQ9+DQ10+DQ11</f>
        <v>2570</v>
      </c>
      <c r="DR17" s="329"/>
      <c r="DS17" s="326" t="s">
        <v>44</v>
      </c>
      <c r="DT17" s="327">
        <f>+DT9+DT10+DT11</f>
        <v>2501</v>
      </c>
      <c r="DU17" s="327">
        <f>+DU9+DU10+DU11</f>
        <v>2143</v>
      </c>
      <c r="DV17" s="327">
        <f>+DV9+DV10+DV11</f>
        <v>2205</v>
      </c>
      <c r="DW17" s="327">
        <f>+DW9+DW10+DW11</f>
        <v>2855</v>
      </c>
      <c r="DX17" s="327">
        <f>+DX9+DX10+DX11</f>
        <v>2855</v>
      </c>
      <c r="DY17" s="329"/>
      <c r="DZ17" s="326" t="s">
        <v>44</v>
      </c>
      <c r="EA17" s="327">
        <f>+EA9+EA10+EA11</f>
        <v>2171</v>
      </c>
      <c r="EB17" s="327">
        <f>+EB9+EB10+EB11</f>
        <v>2967</v>
      </c>
      <c r="EC17" s="327">
        <f>+EC9+EC10+EC11</f>
        <v>2301</v>
      </c>
      <c r="ED17" s="327">
        <f>+ED9+ED10+ED11</f>
        <v>2935</v>
      </c>
      <c r="EE17" s="327">
        <f>+EE9+EE10+EE11</f>
        <v>2935</v>
      </c>
      <c r="EF17" s="329"/>
      <c r="EG17" s="326" t="s">
        <v>44</v>
      </c>
      <c r="EH17" s="327">
        <f>+EH9+EH10+EH11</f>
        <v>2468</v>
      </c>
      <c r="EI17" s="327">
        <f>+EI9+EI10+EI11</f>
        <v>2372</v>
      </c>
      <c r="EJ17" s="327">
        <f>+EJ9+EJ10+EJ11</f>
        <v>2393</v>
      </c>
      <c r="EK17" s="327">
        <f>+EK9+EK10+EK11</f>
        <v>2801</v>
      </c>
      <c r="EL17" s="327">
        <f>+EL9+EL10+EL11</f>
        <v>2801</v>
      </c>
      <c r="EM17" s="329"/>
      <c r="EN17" s="326" t="s">
        <v>44</v>
      </c>
      <c r="EO17" s="327">
        <f>+EO9+EO10+EO11</f>
        <v>2567</v>
      </c>
      <c r="EP17" s="327">
        <f>+EP9+EP10+EP11</f>
        <v>2489</v>
      </c>
      <c r="EQ17" s="327">
        <f>+EQ9+EQ10+EQ11</f>
        <v>2200</v>
      </c>
      <c r="ER17" s="327">
        <f>+ER9+ER10+ER11</f>
        <v>2602</v>
      </c>
      <c r="ES17" s="327">
        <f>+ES9+ES10+ES11</f>
        <v>2602</v>
      </c>
      <c r="ET17" s="329"/>
      <c r="EU17" s="326" t="s">
        <v>44</v>
      </c>
      <c r="EV17" s="327">
        <f>+EV9+EV10+EV11</f>
        <v>2289</v>
      </c>
      <c r="EW17" s="327">
        <f>+EW9+EW10+EW11</f>
        <v>2372</v>
      </c>
      <c r="EX17" s="327">
        <f>+EX9+EX10+EX11</f>
        <v>2676</v>
      </c>
      <c r="EY17" s="327">
        <f>+EY9+EY10+EY11</f>
        <v>2572</v>
      </c>
      <c r="EZ17" s="327">
        <f>+EZ9+EZ10+EZ11</f>
        <v>2572</v>
      </c>
      <c r="FA17" s="329"/>
      <c r="FB17" s="326" t="s">
        <v>44</v>
      </c>
      <c r="FC17" s="327">
        <f>+FC9+FC10+FC11</f>
        <v>2457</v>
      </c>
      <c r="FD17" s="327">
        <f>+FD9+FD10+FD11</f>
        <v>2669</v>
      </c>
      <c r="FE17" s="327">
        <f>+FE9+FE10+FE11</f>
        <v>2502</v>
      </c>
      <c r="FF17" s="327">
        <f>+FF9+FF10+FF11</f>
        <v>2966</v>
      </c>
      <c r="FG17" s="327">
        <f>+FG9+FG10+FG11</f>
        <v>2966</v>
      </c>
      <c r="FH17" s="329"/>
      <c r="FI17" s="326" t="s">
        <v>44</v>
      </c>
      <c r="FJ17" s="327">
        <f>+FJ9+FJ10+FJ11</f>
        <v>2608</v>
      </c>
      <c r="FK17" s="327">
        <f>+FK9+FK10+FK11</f>
        <v>2228</v>
      </c>
      <c r="FL17" s="327">
        <f>+FL9+FL10+FL11</f>
        <v>2163</v>
      </c>
      <c r="FM17" s="327">
        <f>+FM9+FM10+FM11</f>
        <v>2487</v>
      </c>
      <c r="FN17" s="327">
        <f>+FN9+FN10+FN11</f>
        <v>2487</v>
      </c>
      <c r="FO17" s="329"/>
      <c r="FP17" s="326" t="s">
        <v>44</v>
      </c>
      <c r="FQ17" s="327">
        <f>+FQ9+FQ10+FQ11</f>
        <v>2660</v>
      </c>
      <c r="FR17" s="327">
        <f>+FR9+FR10+FR11</f>
        <v>2630</v>
      </c>
      <c r="FS17" s="327">
        <f>+FS9+FS10+FS11</f>
        <v>2172</v>
      </c>
      <c r="FT17" s="327">
        <f>+FT9+FT10+FT11</f>
        <v>1915</v>
      </c>
      <c r="FU17" s="327">
        <f>+FU9+FU10+FU11</f>
        <v>1915</v>
      </c>
      <c r="FV17" s="329"/>
      <c r="FW17" s="326" t="s">
        <v>44</v>
      </c>
      <c r="FX17" s="327">
        <f>+FX9+FX10+FX11</f>
        <v>3542</v>
      </c>
      <c r="FY17" s="327">
        <f>+FY9+FY10+FY11</f>
        <v>2881</v>
      </c>
      <c r="FZ17" s="327">
        <f>+FZ9+FZ10+FZ11</f>
        <v>2784</v>
      </c>
      <c r="GA17" s="327">
        <f>+GA9+GA10+GA11</f>
        <v>2565</v>
      </c>
      <c r="GB17" s="327">
        <f>+GB9+GB10+GB11</f>
        <v>2565</v>
      </c>
      <c r="GC17" s="329"/>
      <c r="GD17" s="326" t="s">
        <v>44</v>
      </c>
      <c r="GE17" s="327">
        <f>+GE9+GE10+GE11</f>
        <v>3479</v>
      </c>
      <c r="GF17" s="327">
        <f>+GF9+GF10+GF11</f>
        <v>3186</v>
      </c>
      <c r="GG17" s="327">
        <f>+GG9+GG10+GG11</f>
        <v>3960</v>
      </c>
      <c r="GH17" s="327">
        <f>+GH9+GH10+GH11</f>
        <v>3278</v>
      </c>
      <c r="GI17" s="327">
        <f>+GI9+GI10+GI11</f>
        <v>3278</v>
      </c>
      <c r="GJ17" s="329"/>
      <c r="GK17" s="326" t="s">
        <v>44</v>
      </c>
      <c r="GL17" s="327">
        <f>+GL9+GL10+GL11</f>
        <v>3821</v>
      </c>
      <c r="GM17" s="327">
        <f>+GM9+GM10+GM11</f>
        <v>3791</v>
      </c>
      <c r="GN17" s="327">
        <f>+GN9+GN10+GN11</f>
        <v>4228</v>
      </c>
      <c r="GO17" s="327">
        <f>+GO9+GO10+GO11</f>
        <v>4441</v>
      </c>
      <c r="GP17" s="327">
        <f>+GP9+GP10+GP11</f>
        <v>4441</v>
      </c>
      <c r="GQ17" s="329"/>
      <c r="GR17" s="326" t="s">
        <v>44</v>
      </c>
      <c r="GS17" s="327">
        <f>+GS9+GS10+GS11</f>
        <v>4305</v>
      </c>
      <c r="GT17" s="327">
        <f>+GT9+GT10+GT11</f>
        <v>4573</v>
      </c>
      <c r="GU17" s="327">
        <f>+GU9+GU10+GU11</f>
        <v>3897</v>
      </c>
      <c r="GV17" s="327">
        <f>+GV9+GV10+GV11</f>
        <v>3873</v>
      </c>
      <c r="GW17" s="327">
        <f>+GW9+GW10+GW11</f>
        <v>3873</v>
      </c>
      <c r="GX17" s="329"/>
      <c r="GY17" s="326" t="s">
        <v>44</v>
      </c>
      <c r="GZ17" s="327">
        <f>+GZ9+GZ10+GZ11</f>
        <v>3757</v>
      </c>
      <c r="HA17" s="327">
        <f>+HA9+HA10+HA11</f>
        <v>2784</v>
      </c>
      <c r="HB17" s="327">
        <f>+HB9+HB10+HB11</f>
        <v>4310</v>
      </c>
      <c r="HC17" s="327">
        <f>+HC9+HC10+HC11</f>
        <v>3807</v>
      </c>
      <c r="HD17" s="327">
        <f>+HD9+HD10+HD11</f>
        <v>3807</v>
      </c>
      <c r="HE17" s="329"/>
      <c r="HF17" s="326" t="s">
        <v>44</v>
      </c>
      <c r="HG17" s="327">
        <f>+HG9+HG10+HG11</f>
        <v>3339</v>
      </c>
      <c r="HH17" s="327">
        <f>+HH9+HH10+HH11</f>
        <v>2895</v>
      </c>
      <c r="HI17" s="327">
        <f>+HI9+HI10+HI11</f>
        <v>3340</v>
      </c>
      <c r="HJ17" s="327">
        <f>+HJ9+HJ10+HJ11</f>
        <v>3359</v>
      </c>
      <c r="HK17" s="327">
        <f>+HK9+HK10+HK11</f>
        <v>3359</v>
      </c>
      <c r="HL17" s="329"/>
      <c r="HM17" s="326" t="s">
        <v>44</v>
      </c>
      <c r="HN17" s="327">
        <f>+HN9+HN10+HN11</f>
        <v>3447</v>
      </c>
      <c r="HO17" s="327">
        <f>+HO9+HO10+HO11</f>
        <v>3180</v>
      </c>
      <c r="HP17" s="327">
        <f>+HP9+HP10+HP11</f>
        <v>3577</v>
      </c>
      <c r="HQ17" s="327">
        <f>+HQ9+HQ10+HQ11</f>
        <v>2820</v>
      </c>
      <c r="HR17" s="327">
        <f>+HR9+HR10+HR11</f>
        <v>2820</v>
      </c>
      <c r="HS17" s="329"/>
      <c r="HT17" s="326" t="s">
        <v>44</v>
      </c>
      <c r="HU17" s="327">
        <f>+HU9+HU10+HU11</f>
        <v>3020</v>
      </c>
      <c r="HV17" s="327">
        <f>+HV9+HV10+HV11</f>
        <v>2305</v>
      </c>
      <c r="HW17" s="327">
        <f>+HW9+HW10+HW11</f>
        <v>2511</v>
      </c>
      <c r="HX17" s="327">
        <f>+HX9+HX10+HX11</f>
        <v>2550</v>
      </c>
      <c r="HY17" s="327">
        <f>+HY9+HY10+HY11</f>
        <v>2550</v>
      </c>
      <c r="HZ17" s="329"/>
      <c r="IA17" s="326" t="s">
        <v>44</v>
      </c>
      <c r="IB17" s="327">
        <f>+IB9+IB10+IB11</f>
        <v>2193.2544664452862</v>
      </c>
      <c r="IC17" s="327">
        <f>+IC9+IC10+IC11</f>
        <v>2195.13520931119</v>
      </c>
      <c r="ID17" s="327">
        <f>+ID9+ID10+ID11</f>
        <v>2208.286145344432</v>
      </c>
      <c r="IE17" s="327">
        <f>+IE9+IE10+IE11</f>
        <v>2183.917419773843</v>
      </c>
      <c r="IF17" s="327">
        <f>+IF9+IF10+IF11</f>
        <v>2183.917419773843</v>
      </c>
      <c r="IG17" s="329"/>
      <c r="IH17" s="326" t="s">
        <v>44</v>
      </c>
      <c r="II17" s="327">
        <f>+II9+II10+II11</f>
        <v>2058.9878517831612</v>
      </c>
      <c r="IJ17" s="327">
        <f>+IJ9+IJ10+IJ11</f>
        <v>2087.3205648622952</v>
      </c>
      <c r="IK17" s="327">
        <f>+IK9+IK10+IK11</f>
        <v>2148.9878553516714</v>
      </c>
      <c r="IL17" s="327">
        <f>+IL9+IL10+IL11</f>
        <v>2160.4390709363661</v>
      </c>
      <c r="IM17" s="327">
        <f>+IM9+IM10+IM11</f>
        <v>2160.4390709363661</v>
      </c>
      <c r="IN17" s="329"/>
      <c r="IO17" s="326" t="s">
        <v>44</v>
      </c>
      <c r="IP17" s="327">
        <f>+IP9+IP10+IP11</f>
        <v>2099.2107948175526</v>
      </c>
      <c r="IQ17" s="327">
        <f>+IQ9+IQ10+IQ11</f>
        <v>2191.6869030149855</v>
      </c>
      <c r="IR17" s="327">
        <f>+IR9+IR10+IR11</f>
        <v>2317.0978145651006</v>
      </c>
      <c r="IS17" s="327">
        <f>+IS9+IS10+IS11</f>
        <v>2389.969547271749</v>
      </c>
      <c r="IT17" s="327">
        <f>+IT9+IT10+IT11</f>
        <v>2389.969547271749</v>
      </c>
      <c r="IU17" s="329"/>
      <c r="IV17" s="329"/>
      <c r="IW17" s="329"/>
      <c r="IX17" s="329"/>
      <c r="IY17" s="329"/>
      <c r="IZ17" s="329"/>
      <c r="JA17" s="329"/>
      <c r="JB17" s="329"/>
      <c r="JC17" s="329"/>
      <c r="JD17" s="329"/>
      <c r="JE17" s="329"/>
      <c r="JF17" s="329"/>
      <c r="JG17" s="329"/>
      <c r="JH17" s="329"/>
      <c r="JI17" s="329"/>
      <c r="JJ17" s="329"/>
      <c r="JK17" s="329"/>
      <c r="JL17" s="329"/>
      <c r="JM17" s="329"/>
      <c r="JN17" s="329"/>
      <c r="JO17" s="329"/>
      <c r="JP17" s="330"/>
      <c r="JQ17" s="329"/>
      <c r="JR17" s="329"/>
      <c r="JS17" s="329"/>
      <c r="JT17" s="329"/>
      <c r="JU17" s="330"/>
      <c r="JV17" s="330"/>
      <c r="JW17" s="331"/>
      <c r="JX17" s="331"/>
      <c r="JY17" s="331"/>
      <c r="JZ17" s="331"/>
      <c r="KA17" s="331"/>
      <c r="KB17" s="331"/>
      <c r="KC17" s="331"/>
      <c r="KD17" s="331"/>
      <c r="KE17" s="331"/>
      <c r="KF17" s="332"/>
      <c r="KG17" s="333"/>
      <c r="KH17" s="334"/>
      <c r="KI17" s="334"/>
      <c r="KJ17" s="335"/>
      <c r="KK17" s="335"/>
      <c r="KL17" s="335"/>
      <c r="KM17" s="335"/>
      <c r="KN17" s="335"/>
      <c r="KO17" s="335"/>
      <c r="KP17" s="335"/>
      <c r="KQ17" s="335"/>
      <c r="KR17" s="335"/>
      <c r="KS17" s="335"/>
      <c r="KT17" s="335"/>
      <c r="KU17" s="335"/>
      <c r="KV17" s="335"/>
      <c r="KW17" s="335"/>
      <c r="KX17" s="335"/>
      <c r="KY17" s="335"/>
      <c r="KZ17" s="335"/>
      <c r="LA17" s="335"/>
      <c r="LB17" s="335"/>
      <c r="LC17" s="335"/>
      <c r="LD17" s="335"/>
      <c r="LE17" s="335"/>
      <c r="LF17" s="335"/>
      <c r="LG17" s="335"/>
      <c r="LH17" s="335"/>
      <c r="LI17" s="335"/>
      <c r="LJ17" s="335"/>
      <c r="LK17" s="335"/>
      <c r="LL17" s="335"/>
      <c r="LM17" s="335"/>
      <c r="LN17" s="335"/>
      <c r="LO17" s="335"/>
      <c r="LP17" s="335"/>
      <c r="LQ17" s="335"/>
      <c r="LR17" s="335"/>
      <c r="LS17" s="335"/>
      <c r="LT17" s="335"/>
      <c r="LU17" s="335"/>
      <c r="LV17" s="335"/>
      <c r="LW17" s="335"/>
      <c r="LX17" s="335"/>
      <c r="LY17" s="335"/>
      <c r="LZ17" s="335"/>
      <c r="MA17" s="335"/>
      <c r="MB17" s="335"/>
      <c r="MC17" s="335"/>
      <c r="MD17" s="335"/>
      <c r="ME17" s="335"/>
      <c r="MF17" s="335"/>
      <c r="MG17" s="335"/>
      <c r="MH17" s="335"/>
      <c r="MI17" s="335"/>
      <c r="MJ17" s="335"/>
      <c r="MK17" s="335"/>
      <c r="ML17" s="335"/>
      <c r="MM17" s="335"/>
      <c r="MN17" s="335"/>
      <c r="MO17" s="335"/>
      <c r="MP17" s="335"/>
      <c r="MQ17" s="335"/>
      <c r="MR17" s="335"/>
      <c r="MS17" s="335"/>
      <c r="MT17" s="335"/>
      <c r="MU17" s="335"/>
      <c r="MV17" s="335"/>
      <c r="MW17" s="335"/>
      <c r="MX17" s="335"/>
      <c r="MY17" s="335"/>
      <c r="MZ17" s="335"/>
      <c r="NA17" s="335"/>
      <c r="NB17" s="335"/>
      <c r="NC17" s="335"/>
      <c r="ND17" s="335"/>
      <c r="NE17" s="335"/>
      <c r="NF17" s="335"/>
      <c r="NG17" s="335"/>
      <c r="NH17" s="335"/>
      <c r="NI17" s="335"/>
      <c r="NJ17" s="335"/>
      <c r="NK17" s="335"/>
      <c r="NL17" s="335"/>
      <c r="NM17" s="335"/>
      <c r="NN17" s="335"/>
      <c r="NO17" s="335"/>
      <c r="NP17" s="335"/>
      <c r="NQ17" s="335"/>
      <c r="NR17" s="335"/>
      <c r="NS17" s="335"/>
      <c r="NT17" s="335"/>
      <c r="NU17" s="335"/>
      <c r="NV17" s="335"/>
      <c r="NW17" s="335"/>
      <c r="NX17" s="335"/>
      <c r="NY17" s="335"/>
      <c r="NZ17" s="335"/>
      <c r="OA17" s="335"/>
      <c r="OB17" s="335"/>
      <c r="OC17" s="335"/>
      <c r="OD17" s="335"/>
      <c r="OE17" s="335"/>
      <c r="OF17" s="335"/>
      <c r="OG17" s="335"/>
      <c r="OH17" s="335"/>
      <c r="OI17" s="335"/>
      <c r="OJ17" s="335"/>
      <c r="OK17" s="335"/>
      <c r="OL17" s="335"/>
      <c r="OM17" s="335"/>
      <c r="ON17" s="335"/>
      <c r="OO17" s="335"/>
      <c r="OP17" s="335"/>
      <c r="OQ17" s="335"/>
      <c r="OR17" s="335"/>
      <c r="OS17" s="335"/>
      <c r="OT17" s="335"/>
      <c r="OU17" s="335"/>
      <c r="OV17" s="335"/>
      <c r="OW17" s="335"/>
      <c r="OX17" s="335"/>
      <c r="OY17" s="335"/>
      <c r="OZ17" s="335"/>
      <c r="PA17" s="335"/>
      <c r="PB17" s="335"/>
      <c r="PC17" s="335"/>
      <c r="PD17" s="335"/>
      <c r="PE17" s="335"/>
      <c r="PF17" s="335"/>
      <c r="PG17" s="335"/>
      <c r="PH17" s="335"/>
      <c r="PI17" s="335"/>
      <c r="PJ17" s="335"/>
      <c r="PK17" s="335"/>
      <c r="PL17" s="335"/>
      <c r="PM17" s="335"/>
      <c r="PN17" s="335"/>
      <c r="PO17" s="335"/>
      <c r="PP17" s="335"/>
      <c r="PQ17" s="335"/>
      <c r="PR17" s="335"/>
      <c r="PS17" s="335"/>
      <c r="PT17" s="335"/>
      <c r="PU17" s="335"/>
      <c r="PV17" s="335"/>
    </row>
    <row r="18" spans="1:438" x14ac:dyDescent="0.4">
      <c r="B18" s="337"/>
      <c r="C18" s="338"/>
      <c r="D18" s="338"/>
      <c r="E18" s="338"/>
      <c r="F18" s="338"/>
      <c r="G18" s="338"/>
      <c r="H18" s="338"/>
      <c r="I18" s="338"/>
      <c r="J18" s="338"/>
      <c r="K18" s="338"/>
      <c r="L18" s="338"/>
      <c r="M18" s="338"/>
      <c r="N18" s="338"/>
      <c r="O18" s="338"/>
      <c r="P18" s="338"/>
      <c r="Q18" s="338"/>
      <c r="R18" s="338"/>
      <c r="S18" s="338"/>
      <c r="T18" s="338"/>
      <c r="U18" s="338"/>
      <c r="V18" s="338"/>
      <c r="W18" s="338"/>
      <c r="X18" s="338"/>
      <c r="Y18" s="338"/>
      <c r="Z18" s="338"/>
      <c r="AA18" s="338"/>
      <c r="AB18" s="356"/>
      <c r="AC18" s="356"/>
      <c r="AD18" s="356"/>
      <c r="AE18" s="356"/>
      <c r="AF18" s="356"/>
      <c r="AG18" s="324"/>
      <c r="AH18" s="324"/>
      <c r="AI18" s="324"/>
      <c r="AJ18" s="324"/>
      <c r="AK18" s="324"/>
      <c r="AL18" s="324"/>
      <c r="AM18" s="324"/>
      <c r="AN18" s="324"/>
      <c r="AO18" s="324"/>
      <c r="AP18" s="324"/>
      <c r="AQ18" s="324"/>
      <c r="AR18" s="324"/>
      <c r="AT18" s="337"/>
      <c r="AU18" s="338"/>
      <c r="AV18" s="338"/>
      <c r="AW18" s="338"/>
      <c r="AX18" s="338"/>
      <c r="AY18" s="338"/>
      <c r="BA18" s="337"/>
      <c r="BB18" s="338"/>
      <c r="BC18" s="338"/>
      <c r="BD18" s="338"/>
      <c r="BE18" s="338"/>
      <c r="BF18" s="338"/>
      <c r="BH18" s="337"/>
      <c r="BI18" s="338"/>
      <c r="BJ18" s="338"/>
      <c r="BK18" s="338"/>
      <c r="BL18" s="338"/>
      <c r="BM18" s="338"/>
      <c r="BO18" s="337"/>
      <c r="BP18" s="338"/>
      <c r="BQ18" s="338"/>
      <c r="BR18" s="338"/>
      <c r="BS18" s="338"/>
      <c r="BT18" s="338"/>
      <c r="BV18" s="337"/>
      <c r="BW18" s="338"/>
      <c r="BX18" s="338"/>
      <c r="BY18" s="338"/>
      <c r="BZ18" s="338"/>
      <c r="CA18" s="338"/>
      <c r="CC18" s="337"/>
      <c r="CD18" s="338"/>
      <c r="CE18" s="338"/>
      <c r="CF18" s="338"/>
      <c r="CG18" s="338"/>
      <c r="CH18" s="338"/>
      <c r="CJ18" s="337"/>
      <c r="CK18" s="338"/>
      <c r="CL18" s="338"/>
      <c r="CM18" s="338"/>
      <c r="CN18" s="338"/>
      <c r="CO18" s="338"/>
      <c r="CQ18" s="337"/>
      <c r="CR18" s="338"/>
      <c r="CS18" s="338"/>
      <c r="CT18" s="338"/>
      <c r="CU18" s="338"/>
      <c r="CV18" s="338"/>
      <c r="CX18" s="337"/>
      <c r="CY18" s="338"/>
      <c r="CZ18" s="338"/>
      <c r="DA18" s="338"/>
      <c r="DB18" s="338"/>
      <c r="DC18" s="338"/>
      <c r="DE18" s="337"/>
      <c r="DF18" s="338"/>
      <c r="DG18" s="338"/>
      <c r="DH18" s="338"/>
      <c r="DI18" s="338"/>
      <c r="DJ18" s="338"/>
      <c r="DL18" s="337"/>
      <c r="DM18" s="338"/>
      <c r="DN18" s="338"/>
      <c r="DO18" s="338"/>
      <c r="DP18" s="338"/>
      <c r="DQ18" s="338"/>
      <c r="DS18" s="337"/>
      <c r="DT18" s="338"/>
      <c r="DU18" s="338"/>
      <c r="DV18" s="338"/>
      <c r="DW18" s="338"/>
      <c r="DX18" s="338"/>
      <c r="DZ18" s="337"/>
      <c r="EA18" s="338"/>
      <c r="EB18" s="338"/>
      <c r="EC18" s="338"/>
      <c r="ED18" s="338"/>
      <c r="EE18" s="338"/>
      <c r="EG18" s="337"/>
      <c r="EH18" s="338"/>
      <c r="EI18" s="338"/>
      <c r="EJ18" s="338"/>
      <c r="EK18" s="338"/>
      <c r="EL18" s="338"/>
      <c r="EN18" s="337"/>
      <c r="EO18" s="338"/>
      <c r="EP18" s="338"/>
      <c r="EQ18" s="338"/>
      <c r="ER18" s="338"/>
      <c r="ES18" s="338"/>
      <c r="EU18" s="337"/>
      <c r="EV18" s="338"/>
      <c r="EW18" s="338"/>
      <c r="EX18" s="338"/>
      <c r="EY18" s="338"/>
      <c r="EZ18" s="338"/>
      <c r="FB18" s="337"/>
      <c r="FC18" s="338"/>
      <c r="FD18" s="338"/>
      <c r="FE18" s="338"/>
      <c r="FF18" s="338"/>
      <c r="FG18" s="338"/>
      <c r="FI18" s="337"/>
      <c r="FJ18" s="338"/>
      <c r="FK18" s="338"/>
      <c r="FL18" s="338"/>
      <c r="FM18" s="338"/>
      <c r="FN18" s="338"/>
      <c r="FP18" s="337"/>
      <c r="FQ18" s="338"/>
      <c r="FR18" s="338"/>
      <c r="FS18" s="338"/>
      <c r="FT18" s="338"/>
      <c r="FU18" s="338"/>
      <c r="FW18" s="337"/>
      <c r="FX18" s="338"/>
      <c r="FY18" s="338"/>
      <c r="FZ18" s="338"/>
      <c r="GA18" s="338"/>
      <c r="GB18" s="338"/>
      <c r="GD18" s="337"/>
      <c r="GE18" s="338"/>
      <c r="GF18" s="338"/>
      <c r="GG18" s="338"/>
      <c r="GH18" s="338"/>
      <c r="GI18" s="338"/>
      <c r="GK18" s="337"/>
      <c r="GL18" s="338"/>
      <c r="GM18" s="338"/>
      <c r="GN18" s="338"/>
      <c r="GO18" s="338"/>
      <c r="GP18" s="338"/>
      <c r="GR18" s="337"/>
      <c r="GS18" s="338"/>
      <c r="GT18" s="338"/>
      <c r="GU18" s="338"/>
      <c r="GV18" s="338"/>
      <c r="GW18" s="338"/>
      <c r="GY18" s="337"/>
      <c r="GZ18" s="338"/>
      <c r="HA18" s="338"/>
      <c r="HB18" s="338"/>
      <c r="HC18" s="338"/>
      <c r="HD18" s="338"/>
      <c r="HF18" s="337"/>
      <c r="HG18" s="338"/>
      <c r="HH18" s="338"/>
      <c r="HI18" s="338"/>
      <c r="HJ18" s="338"/>
      <c r="HK18" s="338"/>
      <c r="HM18" s="337"/>
      <c r="HN18" s="338"/>
      <c r="HO18" s="356"/>
      <c r="HP18" s="356"/>
      <c r="HQ18" s="338"/>
      <c r="HR18" s="338"/>
      <c r="HT18" s="337"/>
      <c r="HU18" s="356"/>
      <c r="HV18" s="356"/>
      <c r="HW18" s="356"/>
      <c r="HX18" s="356"/>
      <c r="HY18" s="356"/>
      <c r="IA18" s="337"/>
      <c r="IB18" s="356"/>
      <c r="IC18" s="356"/>
      <c r="ID18" s="356"/>
      <c r="IE18" s="356"/>
      <c r="IF18" s="356"/>
      <c r="IH18" s="337"/>
      <c r="II18" s="356"/>
      <c r="IJ18" s="356"/>
      <c r="IK18" s="356"/>
      <c r="IL18" s="356"/>
      <c r="IM18" s="356"/>
      <c r="IO18" s="337"/>
      <c r="IP18" s="356"/>
      <c r="IQ18" s="356"/>
      <c r="IR18" s="356"/>
      <c r="IS18" s="356"/>
      <c r="IT18" s="356"/>
    </row>
    <row r="19" spans="1:438" x14ac:dyDescent="0.4">
      <c r="B19" s="318" t="s">
        <v>268</v>
      </c>
      <c r="C19" s="319">
        <f t="shared" ref="C19:C26" si="32">AY19</f>
        <v>12257</v>
      </c>
      <c r="D19" s="319">
        <f t="shared" ref="D19:D26" si="33">BF19</f>
        <v>12661</v>
      </c>
      <c r="E19" s="319">
        <f t="shared" ref="E19:E26" si="34">BM19</f>
        <v>12847</v>
      </c>
      <c r="F19" s="319">
        <f t="shared" ref="F19:F26" si="35">BT19</f>
        <v>13286</v>
      </c>
      <c r="G19" s="319">
        <f t="shared" ref="G19:G26" si="36">CA19</f>
        <v>13634</v>
      </c>
      <c r="H19" s="319">
        <f t="shared" ref="H19:H26" si="37">CH19</f>
        <v>19945</v>
      </c>
      <c r="I19" s="319">
        <f t="shared" ref="I19:I26" si="38">CO19</f>
        <v>20163</v>
      </c>
      <c r="J19" s="319">
        <f t="shared" ref="J19:J26" si="39">CV19</f>
        <v>20923</v>
      </c>
      <c r="K19" s="319">
        <f t="shared" ref="K19:K26" si="40">DC19</f>
        <v>21780</v>
      </c>
      <c r="L19" s="319">
        <f t="shared" ref="L19:L26" si="41">DJ19</f>
        <v>22688</v>
      </c>
      <c r="M19" s="319">
        <f t="shared" ref="M19:M26" si="42">DQ19</f>
        <v>23213</v>
      </c>
      <c r="N19" s="319">
        <f t="shared" ref="N19:N26" si="43">DX19</f>
        <v>23799</v>
      </c>
      <c r="O19" s="319">
        <f t="shared" ref="O19:O26" si="44">EE19</f>
        <v>24974</v>
      </c>
      <c r="P19" s="319">
        <f t="shared" ref="P19:P26" si="45">EL19</f>
        <v>26050</v>
      </c>
      <c r="Q19" s="319">
        <f t="shared" ref="Q19:Q26" si="46">ES19</f>
        <v>27291</v>
      </c>
      <c r="R19" s="319">
        <f t="shared" ref="R19:R26" si="47">EZ19</f>
        <v>28584</v>
      </c>
      <c r="S19" s="319">
        <f t="shared" ref="S19:S26" si="48">FG19</f>
        <v>30174</v>
      </c>
      <c r="T19" s="319">
        <f t="shared" ref="T19:T26" si="49">FN19</f>
        <v>31150</v>
      </c>
      <c r="U19" s="319">
        <f t="shared" ref="U19:U26" si="50">FU19</f>
        <v>31764</v>
      </c>
      <c r="V19" s="319">
        <f t="shared" ref="V19:V26" si="51">GB19</f>
        <v>31998</v>
      </c>
      <c r="W19" s="319">
        <f t="shared" ref="W19:W26" si="52">GI19</f>
        <v>32168</v>
      </c>
      <c r="X19" s="319">
        <f t="shared" ref="X19:X26" si="53">GP19</f>
        <v>32444</v>
      </c>
      <c r="Y19" s="319">
        <f t="shared" ref="Y19:Y26" si="54">GW19</f>
        <v>33015</v>
      </c>
      <c r="Z19" s="319">
        <f t="shared" ref="Z19:Z26" si="55">HD19</f>
        <v>34070</v>
      </c>
      <c r="AA19" s="319">
        <f t="shared" ref="AA19:AA26" si="56">HK19</f>
        <v>34721</v>
      </c>
      <c r="AB19" s="319">
        <f t="shared" ref="AB19:AB26" si="57">HR19</f>
        <v>35658</v>
      </c>
      <c r="AC19" s="319">
        <f t="shared" ref="AC19:AC26" si="58">HY19</f>
        <v>36811</v>
      </c>
      <c r="AD19" s="319">
        <f t="shared" ref="AD19:AD26" si="59">IF19</f>
        <v>37628.217067812497</v>
      </c>
      <c r="AE19" s="319">
        <f t="shared" ref="AE19:AE26" si="60">IM19</f>
        <v>38438.861324160731</v>
      </c>
      <c r="AF19" s="319">
        <f t="shared" ref="AF19:AF26" si="61">IT19</f>
        <v>39308.277110980001</v>
      </c>
      <c r="AG19" s="320"/>
      <c r="AH19" s="320"/>
      <c r="AI19" s="320"/>
      <c r="AJ19" s="320"/>
      <c r="AK19" s="320"/>
      <c r="AL19" s="320"/>
      <c r="AM19" s="320"/>
      <c r="AN19" s="320"/>
      <c r="AO19" s="320"/>
      <c r="AP19" s="320"/>
      <c r="AQ19" s="320"/>
      <c r="AR19" s="320"/>
      <c r="AT19" s="318" t="s">
        <v>268</v>
      </c>
      <c r="AU19" s="319"/>
      <c r="AV19" s="319"/>
      <c r="AW19" s="319"/>
      <c r="AX19" s="319">
        <f>+AX20+AX21</f>
        <v>12257</v>
      </c>
      <c r="AY19" s="319">
        <f>+AY20+AY21</f>
        <v>12257</v>
      </c>
      <c r="BA19" s="318" t="s">
        <v>268</v>
      </c>
      <c r="BB19" s="319">
        <f>+BB20+BB21</f>
        <v>12213</v>
      </c>
      <c r="BC19" s="319">
        <f>+BC20+BC21</f>
        <v>12390</v>
      </c>
      <c r="BD19" s="319">
        <f>+BD20+BD21</f>
        <v>12542</v>
      </c>
      <c r="BE19" s="319">
        <f>+BE20+BE21</f>
        <v>12661</v>
      </c>
      <c r="BF19" s="319">
        <f>+BF20+BF21</f>
        <v>12661</v>
      </c>
      <c r="BH19" s="318" t="s">
        <v>268</v>
      </c>
      <c r="BI19" s="319">
        <f>+BI20+BI21</f>
        <v>12684</v>
      </c>
      <c r="BJ19" s="319">
        <f>+BJ20+BJ21</f>
        <v>12741</v>
      </c>
      <c r="BK19" s="319">
        <f>+BK20+BK21</f>
        <v>12879</v>
      </c>
      <c r="BL19" s="319">
        <f>+BL20+BL21</f>
        <v>12847</v>
      </c>
      <c r="BM19" s="319">
        <f>+BM20+BM21</f>
        <v>12847</v>
      </c>
      <c r="BO19" s="318" t="s">
        <v>268</v>
      </c>
      <c r="BP19" s="319">
        <f>+BP20+BP21</f>
        <v>12979</v>
      </c>
      <c r="BQ19" s="319">
        <f>+BQ20+BQ21</f>
        <v>13068</v>
      </c>
      <c r="BR19" s="319">
        <f>+BR20+BR21</f>
        <v>13209</v>
      </c>
      <c r="BS19" s="319">
        <f>+BS20+BS21</f>
        <v>13286</v>
      </c>
      <c r="BT19" s="319">
        <f>+BT20+BT21</f>
        <v>13286</v>
      </c>
      <c r="BV19" s="318" t="s">
        <v>268</v>
      </c>
      <c r="BW19" s="319">
        <f>+BW20+BW21</f>
        <v>13351</v>
      </c>
      <c r="BX19" s="319">
        <f>+BX20+BX21</f>
        <v>13504</v>
      </c>
      <c r="BY19" s="319">
        <f>+BY20+BY21</f>
        <v>13614</v>
      </c>
      <c r="BZ19" s="319">
        <f>+BZ20+BZ21</f>
        <v>13634</v>
      </c>
      <c r="CA19" s="319">
        <f>+CA20+CA21</f>
        <v>13634</v>
      </c>
      <c r="CC19" s="318" t="s">
        <v>268</v>
      </c>
      <c r="CD19" s="319">
        <f>+CD20+CD21</f>
        <v>13846</v>
      </c>
      <c r="CE19" s="319">
        <f>+CE20+CE21</f>
        <v>13894</v>
      </c>
      <c r="CF19" s="319">
        <f>+CF20+CF21</f>
        <v>19979</v>
      </c>
      <c r="CG19" s="319">
        <f>+CG20+CG21</f>
        <v>19945</v>
      </c>
      <c r="CH19" s="319">
        <f>+CH20+CH21</f>
        <v>19945</v>
      </c>
      <c r="CJ19" s="318" t="s">
        <v>268</v>
      </c>
      <c r="CK19" s="319">
        <f>+CK20+CK21</f>
        <v>19882</v>
      </c>
      <c r="CL19" s="319">
        <f>+CL20+CL21</f>
        <v>19881</v>
      </c>
      <c r="CM19" s="319">
        <f>+CM20+CM21</f>
        <v>19975</v>
      </c>
      <c r="CN19" s="319">
        <f>+CN20+CN21</f>
        <v>20163</v>
      </c>
      <c r="CO19" s="319">
        <f>+CO20+CO21</f>
        <v>20163</v>
      </c>
      <c r="CQ19" s="318" t="s">
        <v>268</v>
      </c>
      <c r="CR19" s="319">
        <f>+CR20+CR21</f>
        <v>20285</v>
      </c>
      <c r="CS19" s="319">
        <f>+CS20+CS21</f>
        <v>20557</v>
      </c>
      <c r="CT19" s="319">
        <f>+CT20+CT21</f>
        <v>20646</v>
      </c>
      <c r="CU19" s="319">
        <f>+CU20+CU21</f>
        <v>20923</v>
      </c>
      <c r="CV19" s="319">
        <f>+CV20+CV21</f>
        <v>20923</v>
      </c>
      <c r="CX19" s="318" t="s">
        <v>268</v>
      </c>
      <c r="CY19" s="319">
        <f>+CY20+CY21</f>
        <v>21093</v>
      </c>
      <c r="CZ19" s="319">
        <f>+CZ20+CZ21</f>
        <v>21262</v>
      </c>
      <c r="DA19" s="319">
        <f>+DA20+DA21</f>
        <v>21428</v>
      </c>
      <c r="DB19" s="319">
        <f>+DB20+DB21</f>
        <v>21780</v>
      </c>
      <c r="DC19" s="319">
        <f>+DC20+DC21</f>
        <v>21780</v>
      </c>
      <c r="DE19" s="318" t="s">
        <v>268</v>
      </c>
      <c r="DF19" s="319">
        <f>+DF20+DF21</f>
        <v>21970</v>
      </c>
      <c r="DG19" s="319">
        <f>+DG20+DG21</f>
        <v>22198</v>
      </c>
      <c r="DH19" s="319">
        <f>+DH20+DH21</f>
        <v>22587</v>
      </c>
      <c r="DI19" s="319">
        <f>+DI20+DI21</f>
        <v>22688</v>
      </c>
      <c r="DJ19" s="319">
        <f>+DJ20+DJ21</f>
        <v>22688</v>
      </c>
      <c r="DL19" s="318" t="s">
        <v>268</v>
      </c>
      <c r="DM19" s="319">
        <f>+DM20+DM21</f>
        <v>22762</v>
      </c>
      <c r="DN19" s="319">
        <f>+DN20+DN21</f>
        <v>22887</v>
      </c>
      <c r="DO19" s="319">
        <f>+DO20+DO21</f>
        <v>23040</v>
      </c>
      <c r="DP19" s="319">
        <f>+DP20+DP21</f>
        <v>23213</v>
      </c>
      <c r="DQ19" s="319">
        <f>+DQ20+DQ21</f>
        <v>23213</v>
      </c>
      <c r="DS19" s="318" t="s">
        <v>268</v>
      </c>
      <c r="DT19" s="319">
        <f>+DT20+DT21</f>
        <v>23290</v>
      </c>
      <c r="DU19" s="319">
        <f>+DU20+DU21</f>
        <v>23173</v>
      </c>
      <c r="DV19" s="319">
        <f>+DV20+DV21</f>
        <v>23334</v>
      </c>
      <c r="DW19" s="319">
        <f>+DW20+DW21</f>
        <v>23799</v>
      </c>
      <c r="DX19" s="319">
        <f>+DX20+DX21</f>
        <v>23799</v>
      </c>
      <c r="DZ19" s="318" t="s">
        <v>268</v>
      </c>
      <c r="EA19" s="319">
        <f>+EA20+EA21</f>
        <v>23915</v>
      </c>
      <c r="EB19" s="319">
        <f>+EB20+EB21</f>
        <v>24202</v>
      </c>
      <c r="EC19" s="319">
        <f>+EC20+EC21</f>
        <v>24418</v>
      </c>
      <c r="ED19" s="319">
        <f>+ED20+ED21</f>
        <v>24974</v>
      </c>
      <c r="EE19" s="319">
        <f>+EE20+EE21</f>
        <v>24974</v>
      </c>
      <c r="EG19" s="318" t="s">
        <v>268</v>
      </c>
      <c r="EH19" s="319">
        <f>+EH20+EH21</f>
        <v>25141</v>
      </c>
      <c r="EI19" s="319">
        <f>+EI20+EI21</f>
        <v>25632</v>
      </c>
      <c r="EJ19" s="319">
        <f>+EJ20+EJ21</f>
        <v>25932</v>
      </c>
      <c r="EK19" s="319">
        <f>+EK20+EK21</f>
        <v>26050</v>
      </c>
      <c r="EL19" s="319">
        <f>+EL20+EL21</f>
        <v>26050</v>
      </c>
      <c r="EN19" s="318" t="s">
        <v>268</v>
      </c>
      <c r="EO19" s="319">
        <f>+EO20+EO21</f>
        <v>26288</v>
      </c>
      <c r="EP19" s="319">
        <f>+EP20+EP21</f>
        <v>26599</v>
      </c>
      <c r="EQ19" s="319">
        <f>+EQ20+EQ21</f>
        <v>26946</v>
      </c>
      <c r="ER19" s="319">
        <f>+ER20+ER21</f>
        <v>27291</v>
      </c>
      <c r="ES19" s="319">
        <f>+ES20+ES21</f>
        <v>27291</v>
      </c>
      <c r="EU19" s="318" t="s">
        <v>268</v>
      </c>
      <c r="EV19" s="319">
        <f>+EV20+EV21</f>
        <v>27494</v>
      </c>
      <c r="EW19" s="319">
        <f>+EW20+EW21</f>
        <v>27685</v>
      </c>
      <c r="EX19" s="319">
        <f>+EX20+EX21</f>
        <v>27994</v>
      </c>
      <c r="EY19" s="319">
        <f>+EY20+EY21</f>
        <v>28584</v>
      </c>
      <c r="EZ19" s="319">
        <f>+EZ20+EZ21</f>
        <v>28584</v>
      </c>
      <c r="FB19" s="318" t="s">
        <v>268</v>
      </c>
      <c r="FC19" s="319">
        <f>+FC20+FC21</f>
        <v>28872</v>
      </c>
      <c r="FD19" s="319">
        <f>+FD20+FD21</f>
        <v>29250</v>
      </c>
      <c r="FE19" s="319">
        <f>+FE20+FE21</f>
        <v>29637</v>
      </c>
      <c r="FF19" s="319">
        <f>+FF20+FF21</f>
        <v>30174</v>
      </c>
      <c r="FG19" s="319">
        <f>+FG20+FG21</f>
        <v>30174</v>
      </c>
      <c r="FI19" s="318" t="s">
        <v>268</v>
      </c>
      <c r="FJ19" s="319">
        <f>+FJ20+FJ21</f>
        <v>30293</v>
      </c>
      <c r="FK19" s="319">
        <f>+FK20+FK21</f>
        <v>30607</v>
      </c>
      <c r="FL19" s="319">
        <f>+FL20+FL21</f>
        <v>30782</v>
      </c>
      <c r="FM19" s="319">
        <f>+FM20+FM21</f>
        <v>31150</v>
      </c>
      <c r="FN19" s="319">
        <f>+FN20+FN21</f>
        <v>31150</v>
      </c>
      <c r="FP19" s="318" t="s">
        <v>268</v>
      </c>
      <c r="FQ19" s="319">
        <f>+FQ20+FQ21</f>
        <v>31259</v>
      </c>
      <c r="FR19" s="319">
        <f>+FR20+FR21</f>
        <v>31427</v>
      </c>
      <c r="FS19" s="319">
        <f>+FS20+FS21</f>
        <v>31579</v>
      </c>
      <c r="FT19" s="319">
        <f>+FT20+FT21</f>
        <v>31764</v>
      </c>
      <c r="FU19" s="319">
        <f>+FU20+FU21</f>
        <v>31764</v>
      </c>
      <c r="FW19" s="318" t="s">
        <v>268</v>
      </c>
      <c r="FX19" s="319">
        <f>+FX20+FX21</f>
        <v>31748</v>
      </c>
      <c r="FY19" s="319">
        <f>+FY20+FY21</f>
        <v>31847</v>
      </c>
      <c r="FZ19" s="319">
        <f>+FZ20+FZ21</f>
        <v>31871</v>
      </c>
      <c r="GA19" s="319">
        <f>+GA20+GA21</f>
        <v>31998</v>
      </c>
      <c r="GB19" s="319">
        <f>+GB20+GB21</f>
        <v>31998</v>
      </c>
      <c r="GD19" s="318" t="s">
        <v>268</v>
      </c>
      <c r="GE19" s="319">
        <f>+GE20+GE21</f>
        <v>31988</v>
      </c>
      <c r="GF19" s="319">
        <f>+GF20+GF21</f>
        <v>32019</v>
      </c>
      <c r="GG19" s="319">
        <f>+GG20+GG21</f>
        <v>32078</v>
      </c>
      <c r="GH19" s="319">
        <f>+GH20+GH21</f>
        <v>32168</v>
      </c>
      <c r="GI19" s="319">
        <f>+GH19</f>
        <v>32168</v>
      </c>
      <c r="GK19" s="318" t="s">
        <v>268</v>
      </c>
      <c r="GL19" s="319">
        <f>+GL20+GL21</f>
        <v>32188</v>
      </c>
      <c r="GM19" s="319">
        <f>+GM20+GM21</f>
        <v>32261</v>
      </c>
      <c r="GN19" s="319">
        <f>+GN20+GN21</f>
        <v>32381</v>
      </c>
      <c r="GO19" s="319">
        <v>32444</v>
      </c>
      <c r="GP19" s="319">
        <f>+GO19</f>
        <v>32444</v>
      </c>
      <c r="GR19" s="318" t="s">
        <v>268</v>
      </c>
      <c r="GS19" s="319">
        <f>+GS20+GS21</f>
        <v>32403</v>
      </c>
      <c r="GT19" s="319">
        <f>+GT20+GT21</f>
        <v>32486</v>
      </c>
      <c r="GU19" s="319">
        <f>+GU20+GU21</f>
        <v>32814</v>
      </c>
      <c r="GV19" s="319">
        <f>+GV20+GV21</f>
        <v>33015</v>
      </c>
      <c r="GW19" s="319">
        <f>+GW20+GW21</f>
        <v>33015</v>
      </c>
      <c r="GY19" s="318" t="s">
        <v>268</v>
      </c>
      <c r="GZ19" s="319">
        <f>+GZ20+GZ21</f>
        <v>32984</v>
      </c>
      <c r="HA19" s="319">
        <f>+HA20+HA21</f>
        <v>33644</v>
      </c>
      <c r="HB19" s="319">
        <f>+HB20+HB21</f>
        <v>33956</v>
      </c>
      <c r="HC19" s="319">
        <f>+HC20+HC21</f>
        <v>34070</v>
      </c>
      <c r="HD19" s="319">
        <f>HC19</f>
        <v>34070</v>
      </c>
      <c r="HF19" s="318" t="s">
        <v>268</v>
      </c>
      <c r="HG19" s="319">
        <f>+HG20+HG21</f>
        <v>34099</v>
      </c>
      <c r="HH19" s="319">
        <f>+HH20+HH21</f>
        <v>34267</v>
      </c>
      <c r="HI19" s="319">
        <f>+HI20+HI21</f>
        <v>34441</v>
      </c>
      <c r="HJ19" s="319">
        <f>+HJ20+HJ21</f>
        <v>34721</v>
      </c>
      <c r="HK19" s="319">
        <f>SUM(HK20:HK21)</f>
        <v>34721</v>
      </c>
      <c r="HM19" s="318" t="s">
        <v>268</v>
      </c>
      <c r="HN19" s="319">
        <f>+HN20+HN21</f>
        <v>34825</v>
      </c>
      <c r="HO19" s="319">
        <f>+HO20+HO21</f>
        <v>34949</v>
      </c>
      <c r="HP19" s="319">
        <f>+HP20+HP21</f>
        <v>35170</v>
      </c>
      <c r="HQ19" s="319">
        <f>+HQ20+HQ21</f>
        <v>35658</v>
      </c>
      <c r="HR19" s="319">
        <f>SUM(HR20:HR21)</f>
        <v>35658</v>
      </c>
      <c r="HT19" s="318" t="s">
        <v>268</v>
      </c>
      <c r="HU19" s="319">
        <f>SUM(HU20:HU21)</f>
        <v>35858</v>
      </c>
      <c r="HV19" s="319">
        <f>SUM(HV20:HV21)</f>
        <v>36248</v>
      </c>
      <c r="HW19" s="319">
        <f>SUM(HW20:HW21)</f>
        <v>36534</v>
      </c>
      <c r="HX19" s="319">
        <f>SUM(HX20:HX21)</f>
        <v>36811</v>
      </c>
      <c r="HY19" s="319">
        <f>SUM(HY20:HY21)</f>
        <v>36811</v>
      </c>
      <c r="IA19" s="318" t="s">
        <v>268</v>
      </c>
      <c r="IB19" s="319">
        <f>SUM(IB20:IB21)</f>
        <v>37010.179512343748</v>
      </c>
      <c r="IC19" s="319">
        <f>SUM(IC20:IC21)</f>
        <v>37211.066708906248</v>
      </c>
      <c r="ID19" s="319">
        <f>SUM(ID20:ID21)</f>
        <v>37416.06977453125</v>
      </c>
      <c r="IE19" s="319">
        <f>SUM(IE20:IE21)</f>
        <v>37628.217067812497</v>
      </c>
      <c r="IF19" s="319">
        <f>SUM(IF20:IF21)</f>
        <v>37628.217067812497</v>
      </c>
      <c r="IH19" s="318" t="s">
        <v>268</v>
      </c>
      <c r="II19" s="319">
        <f>SUM(II20:II21)</f>
        <v>37824.361106779797</v>
      </c>
      <c r="IJ19" s="319">
        <f>SUM(IJ20:IJ21)</f>
        <v>38024.860324534107</v>
      </c>
      <c r="IK19" s="319">
        <f>SUM(IK20:IK21)</f>
        <v>38229.672825102898</v>
      </c>
      <c r="IL19" s="319">
        <f>SUM(IL20:IL21)</f>
        <v>38438.861324160731</v>
      </c>
      <c r="IM19" s="319">
        <f>SUM(IM20:IM21)</f>
        <v>38438.861324160731</v>
      </c>
      <c r="IO19" s="318" t="s">
        <v>268</v>
      </c>
      <c r="IP19" s="319">
        <f>SUM(IP20:IP21)</f>
        <v>38649.966259345172</v>
      </c>
      <c r="IQ19" s="319">
        <f>SUM(IQ20:IQ21)</f>
        <v>38865.223604560029</v>
      </c>
      <c r="IR19" s="319">
        <f>SUM(IR20:IR21)</f>
        <v>39084.710021946419</v>
      </c>
      <c r="IS19" s="319">
        <f>SUM(IS20:IS21)</f>
        <v>39308.277110980001</v>
      </c>
      <c r="IT19" s="319">
        <f>SUM(IT20:IT21)</f>
        <v>39308.277110980001</v>
      </c>
    </row>
    <row r="20" spans="1:438" outlineLevel="1" x14ac:dyDescent="0.4">
      <c r="B20" s="321" t="s">
        <v>132</v>
      </c>
      <c r="C20" s="322">
        <f t="shared" si="32"/>
        <v>17526</v>
      </c>
      <c r="D20" s="322">
        <f t="shared" si="33"/>
        <v>17863</v>
      </c>
      <c r="E20" s="322">
        <f t="shared" si="34"/>
        <v>17760</v>
      </c>
      <c r="F20" s="322">
        <f t="shared" si="35"/>
        <v>18560</v>
      </c>
      <c r="G20" s="322">
        <f t="shared" si="36"/>
        <v>19087</v>
      </c>
      <c r="H20" s="322">
        <f t="shared" si="37"/>
        <v>25852</v>
      </c>
      <c r="I20" s="322">
        <f t="shared" si="38"/>
        <v>26538</v>
      </c>
      <c r="J20" s="322">
        <f t="shared" si="39"/>
        <v>27715</v>
      </c>
      <c r="K20" s="322">
        <f t="shared" si="40"/>
        <v>28999</v>
      </c>
      <c r="L20" s="322">
        <f t="shared" si="41"/>
        <v>30208</v>
      </c>
      <c r="M20" s="322">
        <f t="shared" si="42"/>
        <v>31081</v>
      </c>
      <c r="N20" s="322">
        <f t="shared" si="43"/>
        <v>32065</v>
      </c>
      <c r="O20" s="322">
        <f t="shared" si="44"/>
        <v>33704</v>
      </c>
      <c r="P20" s="322">
        <f t="shared" si="45"/>
        <v>35279</v>
      </c>
      <c r="Q20" s="322">
        <f t="shared" si="46"/>
        <v>37184</v>
      </c>
      <c r="R20" s="322">
        <f t="shared" si="47"/>
        <v>39343</v>
      </c>
      <c r="S20" s="322">
        <f t="shared" si="48"/>
        <v>41574</v>
      </c>
      <c r="T20" s="322">
        <f t="shared" si="49"/>
        <v>43227</v>
      </c>
      <c r="U20" s="322">
        <f t="shared" si="50"/>
        <v>44324</v>
      </c>
      <c r="V20" s="322">
        <f t="shared" si="51"/>
        <v>44805</v>
      </c>
      <c r="W20" s="322">
        <f t="shared" si="52"/>
        <v>45100</v>
      </c>
      <c r="X20" s="322">
        <f t="shared" si="53"/>
        <v>45808.508249999999</v>
      </c>
      <c r="Y20" s="322">
        <f t="shared" si="54"/>
        <v>46505</v>
      </c>
      <c r="Z20" s="322">
        <f t="shared" si="55"/>
        <v>48463</v>
      </c>
      <c r="AA20" s="322">
        <f t="shared" si="56"/>
        <v>50281</v>
      </c>
      <c r="AB20" s="319">
        <f t="shared" si="57"/>
        <v>52191</v>
      </c>
      <c r="AC20" s="319">
        <f t="shared" si="58"/>
        <v>54545</v>
      </c>
      <c r="AD20" s="319">
        <f t="shared" si="59"/>
        <v>57044.217067812497</v>
      </c>
      <c r="AE20" s="319">
        <f t="shared" si="60"/>
        <v>59580.861324160731</v>
      </c>
      <c r="AF20" s="319">
        <f t="shared" si="61"/>
        <v>62232.277110980001</v>
      </c>
      <c r="AG20" s="320"/>
      <c r="AH20" s="320"/>
      <c r="AI20" s="320"/>
      <c r="AJ20" s="320"/>
      <c r="AK20" s="320"/>
      <c r="AL20" s="320"/>
      <c r="AM20" s="320"/>
      <c r="AN20" s="320"/>
      <c r="AO20" s="320"/>
      <c r="AP20" s="320"/>
      <c r="AQ20" s="320"/>
      <c r="AR20" s="320"/>
      <c r="AT20" s="321" t="s">
        <v>132</v>
      </c>
      <c r="AU20" s="322"/>
      <c r="AV20" s="322"/>
      <c r="AW20" s="322"/>
      <c r="AX20" s="322">
        <v>17526</v>
      </c>
      <c r="AY20" s="322">
        <f>AX20</f>
        <v>17526</v>
      </c>
      <c r="BA20" s="321" t="s">
        <v>132</v>
      </c>
      <c r="BB20" s="322">
        <v>17514</v>
      </c>
      <c r="BC20" s="322">
        <v>17750</v>
      </c>
      <c r="BD20" s="322">
        <v>17968</v>
      </c>
      <c r="BE20" s="322">
        <v>17863</v>
      </c>
      <c r="BF20" s="322">
        <f>BE20</f>
        <v>17863</v>
      </c>
      <c r="BH20" s="321" t="s">
        <v>132</v>
      </c>
      <c r="BI20" s="322">
        <v>17981</v>
      </c>
      <c r="BJ20" s="322">
        <v>18116</v>
      </c>
      <c r="BK20" s="322">
        <v>18279</v>
      </c>
      <c r="BL20" s="322">
        <v>17760</v>
      </c>
      <c r="BM20" s="322">
        <f>BL20</f>
        <v>17760</v>
      </c>
      <c r="BO20" s="321" t="s">
        <v>132</v>
      </c>
      <c r="BP20" s="322">
        <v>18261</v>
      </c>
      <c r="BQ20" s="322">
        <v>18416</v>
      </c>
      <c r="BR20" s="322">
        <v>18531</v>
      </c>
      <c r="BS20" s="322">
        <v>18560</v>
      </c>
      <c r="BT20" s="322">
        <f>BS20</f>
        <v>18560</v>
      </c>
      <c r="BV20" s="321" t="s">
        <v>132</v>
      </c>
      <c r="BW20" s="322">
        <v>18636</v>
      </c>
      <c r="BX20" s="322">
        <v>18892</v>
      </c>
      <c r="BY20" s="322">
        <v>19050</v>
      </c>
      <c r="BZ20" s="322">
        <v>19087</v>
      </c>
      <c r="CA20" s="322">
        <f>BZ20</f>
        <v>19087</v>
      </c>
      <c r="CC20" s="321" t="s">
        <v>132</v>
      </c>
      <c r="CD20" s="322">
        <v>19546</v>
      </c>
      <c r="CE20" s="322">
        <v>19719</v>
      </c>
      <c r="CF20" s="322">
        <v>25861</v>
      </c>
      <c r="CG20" s="322">
        <v>25852</v>
      </c>
      <c r="CH20" s="322">
        <f>CG20</f>
        <v>25852</v>
      </c>
      <c r="CJ20" s="321" t="s">
        <v>132</v>
      </c>
      <c r="CK20" s="322">
        <v>25964</v>
      </c>
      <c r="CL20" s="322">
        <v>26121</v>
      </c>
      <c r="CM20" s="322">
        <v>26275</v>
      </c>
      <c r="CN20" s="322">
        <v>26538</v>
      </c>
      <c r="CO20" s="322">
        <f>CN20</f>
        <v>26538</v>
      </c>
      <c r="CQ20" s="321" t="s">
        <v>132</v>
      </c>
      <c r="CR20" s="322">
        <v>26850</v>
      </c>
      <c r="CS20" s="322">
        <v>27229</v>
      </c>
      <c r="CT20" s="322">
        <v>27306</v>
      </c>
      <c r="CU20" s="322">
        <v>27715</v>
      </c>
      <c r="CV20" s="322">
        <f>CU20</f>
        <v>27715</v>
      </c>
      <c r="CX20" s="321" t="s">
        <v>132</v>
      </c>
      <c r="CY20" s="322">
        <v>28051</v>
      </c>
      <c r="CZ20" s="322">
        <v>28331</v>
      </c>
      <c r="DA20" s="322">
        <v>28569</v>
      </c>
      <c r="DB20" s="322">
        <v>28999</v>
      </c>
      <c r="DC20" s="322">
        <f>DB20</f>
        <v>28999</v>
      </c>
      <c r="DE20" s="321" t="s">
        <v>132</v>
      </c>
      <c r="DF20" s="322">
        <v>29305</v>
      </c>
      <c r="DG20" s="322">
        <v>29652</v>
      </c>
      <c r="DH20" s="322">
        <v>30163</v>
      </c>
      <c r="DI20" s="322">
        <v>30208</v>
      </c>
      <c r="DJ20" s="322">
        <f>DI20</f>
        <v>30208</v>
      </c>
      <c r="DL20" s="321" t="s">
        <v>132</v>
      </c>
      <c r="DM20" s="322">
        <v>30399</v>
      </c>
      <c r="DN20" s="322">
        <v>30584</v>
      </c>
      <c r="DO20" s="322">
        <v>30805</v>
      </c>
      <c r="DP20" s="322">
        <v>31081</v>
      </c>
      <c r="DQ20" s="322">
        <f>DP20</f>
        <v>31081</v>
      </c>
      <c r="DS20" s="321" t="s">
        <v>132</v>
      </c>
      <c r="DT20" s="322">
        <v>31276</v>
      </c>
      <c r="DU20" s="322">
        <v>31191</v>
      </c>
      <c r="DV20" s="322">
        <v>31457</v>
      </c>
      <c r="DW20" s="322">
        <v>32065</v>
      </c>
      <c r="DX20" s="322">
        <f>DW20</f>
        <v>32065</v>
      </c>
      <c r="DZ20" s="321" t="s">
        <v>132</v>
      </c>
      <c r="EA20" s="322">
        <v>32360</v>
      </c>
      <c r="EB20" s="322">
        <v>32777</v>
      </c>
      <c r="EC20" s="322">
        <v>33141</v>
      </c>
      <c r="ED20" s="322">
        <v>33704</v>
      </c>
      <c r="EE20" s="322">
        <f>ED20</f>
        <v>33704</v>
      </c>
      <c r="EG20" s="321" t="s">
        <v>132</v>
      </c>
      <c r="EH20" s="322">
        <v>34002</v>
      </c>
      <c r="EI20" s="322">
        <v>34616</v>
      </c>
      <c r="EJ20" s="322">
        <v>35020</v>
      </c>
      <c r="EK20" s="322">
        <v>35279</v>
      </c>
      <c r="EL20" s="322">
        <f>EK20</f>
        <v>35279</v>
      </c>
      <c r="EN20" s="321" t="s">
        <v>132</v>
      </c>
      <c r="EO20" s="322">
        <v>35674</v>
      </c>
      <c r="EP20" s="322">
        <v>36149</v>
      </c>
      <c r="EQ20" s="322">
        <v>36637</v>
      </c>
      <c r="ER20" s="322">
        <v>37184</v>
      </c>
      <c r="ES20" s="322">
        <f>ER20</f>
        <v>37184</v>
      </c>
      <c r="EU20" s="321" t="s">
        <v>132</v>
      </c>
      <c r="EV20" s="322">
        <v>37604</v>
      </c>
      <c r="EW20" s="322">
        <v>38010</v>
      </c>
      <c r="EX20" s="322">
        <v>38533</v>
      </c>
      <c r="EY20" s="322">
        <v>39343</v>
      </c>
      <c r="EZ20" s="322">
        <f>EY20</f>
        <v>39343</v>
      </c>
      <c r="FB20" s="321" t="s">
        <v>132</v>
      </c>
      <c r="FC20" s="322">
        <v>39824</v>
      </c>
      <c r="FD20" s="322">
        <v>40313</v>
      </c>
      <c r="FE20" s="322">
        <v>40843</v>
      </c>
      <c r="FF20" s="322">
        <v>41574</v>
      </c>
      <c r="FG20" s="322">
        <f>FF20</f>
        <v>41574</v>
      </c>
      <c r="FI20" s="321" t="s">
        <v>132</v>
      </c>
      <c r="FJ20" s="322">
        <v>41865</v>
      </c>
      <c r="FK20" s="322">
        <v>42345</v>
      </c>
      <c r="FL20" s="322">
        <v>42720</v>
      </c>
      <c r="FM20" s="322">
        <v>43227</v>
      </c>
      <c r="FN20" s="322">
        <f>FM20</f>
        <v>43227</v>
      </c>
      <c r="FP20" s="321" t="s">
        <v>132</v>
      </c>
      <c r="FQ20" s="322">
        <v>43399</v>
      </c>
      <c r="FR20" s="322">
        <v>43751</v>
      </c>
      <c r="FS20" s="322">
        <v>44105</v>
      </c>
      <c r="FT20" s="322">
        <v>44324</v>
      </c>
      <c r="FU20" s="322">
        <f>FT20</f>
        <v>44324</v>
      </c>
      <c r="FW20" s="321" t="s">
        <v>132</v>
      </c>
      <c r="FX20" s="322">
        <v>44103</v>
      </c>
      <c r="FY20" s="322">
        <v>44306</v>
      </c>
      <c r="FZ20" s="322">
        <v>44485</v>
      </c>
      <c r="GA20" s="322">
        <v>44805</v>
      </c>
      <c r="GB20" s="322">
        <f>GA20</f>
        <v>44805</v>
      </c>
      <c r="GD20" s="321" t="s">
        <v>132</v>
      </c>
      <c r="GE20" s="322">
        <v>44826</v>
      </c>
      <c r="GF20" s="322">
        <v>44756</v>
      </c>
      <c r="GG20" s="322">
        <v>45012</v>
      </c>
      <c r="GH20" s="322">
        <v>45100</v>
      </c>
      <c r="GI20" s="322">
        <f>+GH20</f>
        <v>45100</v>
      </c>
      <c r="GK20" s="321" t="s">
        <v>132</v>
      </c>
      <c r="GL20" s="322">
        <v>45065</v>
      </c>
      <c r="GM20" s="322">
        <v>45327</v>
      </c>
      <c r="GN20" s="322">
        <v>45409</v>
      </c>
      <c r="GO20" s="322">
        <v>45808.508249999999</v>
      </c>
      <c r="GP20" s="322">
        <f>+GO20</f>
        <v>45808.508249999999</v>
      </c>
      <c r="GR20" s="321" t="s">
        <v>132</v>
      </c>
      <c r="GS20" s="322">
        <v>45593</v>
      </c>
      <c r="GT20" s="322">
        <v>45714</v>
      </c>
      <c r="GU20" s="322">
        <v>46226</v>
      </c>
      <c r="GV20" s="322">
        <v>46505</v>
      </c>
      <c r="GW20" s="322">
        <f>+GV20</f>
        <v>46505</v>
      </c>
      <c r="GY20" s="321" t="s">
        <v>132</v>
      </c>
      <c r="GZ20" s="322">
        <v>46597</v>
      </c>
      <c r="HA20" s="322">
        <v>47446</v>
      </c>
      <c r="HB20" s="322">
        <v>47734</v>
      </c>
      <c r="HC20" s="322">
        <v>48463</v>
      </c>
      <c r="HD20" s="322">
        <f>+HC20</f>
        <v>48463</v>
      </c>
      <c r="HF20" s="321" t="s">
        <v>132</v>
      </c>
      <c r="HG20" s="322">
        <v>48780</v>
      </c>
      <c r="HH20" s="322">
        <v>49241</v>
      </c>
      <c r="HI20" s="322">
        <v>49691</v>
      </c>
      <c r="HJ20" s="322">
        <v>50281</v>
      </c>
      <c r="HK20" s="322">
        <f>+HJ20</f>
        <v>50281</v>
      </c>
      <c r="HM20" s="321" t="s">
        <v>132</v>
      </c>
      <c r="HN20" s="322">
        <v>50617</v>
      </c>
      <c r="HO20" s="319">
        <v>51065</v>
      </c>
      <c r="HP20" s="322">
        <v>51503</v>
      </c>
      <c r="HQ20" s="322">
        <v>52191</v>
      </c>
      <c r="HR20" s="322">
        <f>+HQ20</f>
        <v>52191</v>
      </c>
      <c r="HT20" s="321" t="s">
        <v>132</v>
      </c>
      <c r="HU20" s="319">
        <v>52674</v>
      </c>
      <c r="HV20" s="319">
        <v>53331</v>
      </c>
      <c r="HW20" s="319">
        <v>53864</v>
      </c>
      <c r="HX20" s="319">
        <f>36811-HX21</f>
        <v>54545</v>
      </c>
      <c r="HY20" s="319">
        <f>+HX20</f>
        <v>54545</v>
      </c>
      <c r="IA20" s="321" t="s">
        <v>132</v>
      </c>
      <c r="IB20" s="319">
        <f>+HY20-CF!GH37</f>
        <v>55163.179512343748</v>
      </c>
      <c r="IC20" s="319">
        <f>+IB20-CF!GI37</f>
        <v>55784.066708906248</v>
      </c>
      <c r="ID20" s="319">
        <f>+IC20-CF!GJ37</f>
        <v>56410.06977453125</v>
      </c>
      <c r="IE20" s="319">
        <f>+ID20-CF!GK37</f>
        <v>57044.217067812497</v>
      </c>
      <c r="IF20" s="319">
        <f>+IE20</f>
        <v>57044.217067812497</v>
      </c>
      <c r="IH20" s="321" t="s">
        <v>132</v>
      </c>
      <c r="II20" s="319">
        <f>+IF20-CF!GO37</f>
        <v>57667.361106779797</v>
      </c>
      <c r="IJ20" s="319">
        <f>+II20-CF!GP37</f>
        <v>58297.860324534107</v>
      </c>
      <c r="IK20" s="319">
        <f>+IJ20-CF!GQ37</f>
        <v>58935.672825102898</v>
      </c>
      <c r="IL20" s="319">
        <f>+IK20-CF!GR37</f>
        <v>59580.861324160731</v>
      </c>
      <c r="IM20" s="319">
        <f>+IL20</f>
        <v>59580.861324160731</v>
      </c>
      <c r="IO20" s="321" t="s">
        <v>132</v>
      </c>
      <c r="IP20" s="319">
        <f>+IM20-CF!GV37</f>
        <v>60232.966259345172</v>
      </c>
      <c r="IQ20" s="319">
        <f>+IP20-CF!GW37</f>
        <v>60892.223604560029</v>
      </c>
      <c r="IR20" s="319">
        <f>+IQ20-CF!GX37</f>
        <v>61558.710021946419</v>
      </c>
      <c r="IS20" s="319">
        <f>+IR20-CF!GY37</f>
        <v>62232.277110980001</v>
      </c>
      <c r="IT20" s="319">
        <f>+IS20</f>
        <v>62232.277110980001</v>
      </c>
    </row>
    <row r="21" spans="1:438" outlineLevel="1" x14ac:dyDescent="0.4">
      <c r="B21" s="321" t="s">
        <v>133</v>
      </c>
      <c r="C21" s="322">
        <f t="shared" si="32"/>
        <v>-5269</v>
      </c>
      <c r="D21" s="322">
        <f t="shared" si="33"/>
        <v>-5202</v>
      </c>
      <c r="E21" s="322">
        <f t="shared" si="34"/>
        <v>-4913</v>
      </c>
      <c r="F21" s="322">
        <f t="shared" si="35"/>
        <v>-5274</v>
      </c>
      <c r="G21" s="322">
        <f t="shared" si="36"/>
        <v>-5453</v>
      </c>
      <c r="H21" s="322">
        <f t="shared" si="37"/>
        <v>-5907</v>
      </c>
      <c r="I21" s="322">
        <f t="shared" si="38"/>
        <v>-6375</v>
      </c>
      <c r="J21" s="322">
        <f t="shared" si="39"/>
        <v>-6792</v>
      </c>
      <c r="K21" s="322">
        <f t="shared" si="40"/>
        <v>-7219</v>
      </c>
      <c r="L21" s="322">
        <f t="shared" si="41"/>
        <v>-7520</v>
      </c>
      <c r="M21" s="322">
        <f t="shared" si="42"/>
        <v>-7868</v>
      </c>
      <c r="N21" s="322">
        <f t="shared" si="43"/>
        <v>-8266</v>
      </c>
      <c r="O21" s="322">
        <f t="shared" si="44"/>
        <v>-8730</v>
      </c>
      <c r="P21" s="322">
        <f t="shared" si="45"/>
        <v>-9229</v>
      </c>
      <c r="Q21" s="322">
        <f t="shared" si="46"/>
        <v>-9893</v>
      </c>
      <c r="R21" s="322">
        <f t="shared" si="47"/>
        <v>-10759</v>
      </c>
      <c r="S21" s="322">
        <f t="shared" si="48"/>
        <v>-11400</v>
      </c>
      <c r="T21" s="322">
        <f t="shared" si="49"/>
        <v>-12077</v>
      </c>
      <c r="U21" s="322">
        <f t="shared" si="50"/>
        <v>-12560</v>
      </c>
      <c r="V21" s="322">
        <f t="shared" si="51"/>
        <v>-12807</v>
      </c>
      <c r="W21" s="322">
        <f t="shared" si="52"/>
        <v>-12932</v>
      </c>
      <c r="X21" s="322">
        <f t="shared" si="53"/>
        <v>-13375</v>
      </c>
      <c r="Y21" s="322">
        <f t="shared" si="54"/>
        <v>-13490</v>
      </c>
      <c r="Z21" s="322">
        <f t="shared" si="55"/>
        <v>-14393</v>
      </c>
      <c r="AA21" s="322">
        <f t="shared" si="56"/>
        <v>-15560</v>
      </c>
      <c r="AB21" s="319">
        <f t="shared" si="57"/>
        <v>-16533</v>
      </c>
      <c r="AC21" s="319">
        <f t="shared" si="58"/>
        <v>-17734</v>
      </c>
      <c r="AD21" s="319">
        <f t="shared" si="59"/>
        <v>-19416</v>
      </c>
      <c r="AE21" s="319">
        <f t="shared" si="60"/>
        <v>-21142</v>
      </c>
      <c r="AF21" s="319">
        <f t="shared" si="61"/>
        <v>-22924</v>
      </c>
      <c r="AG21" s="320"/>
      <c r="AH21" s="320"/>
      <c r="AI21" s="320"/>
      <c r="AJ21" s="320"/>
      <c r="AK21" s="320"/>
      <c r="AL21" s="320"/>
      <c r="AM21" s="320"/>
      <c r="AN21" s="320"/>
      <c r="AO21" s="320"/>
      <c r="AP21" s="320"/>
      <c r="AQ21" s="320"/>
      <c r="AR21" s="320"/>
      <c r="AT21" s="321" t="s">
        <v>133</v>
      </c>
      <c r="AU21" s="322"/>
      <c r="AV21" s="322"/>
      <c r="AW21" s="322"/>
      <c r="AX21" s="322">
        <v>-5269</v>
      </c>
      <c r="AY21" s="322">
        <f>AX21</f>
        <v>-5269</v>
      </c>
      <c r="BA21" s="321" t="s">
        <v>133</v>
      </c>
      <c r="BB21" s="322">
        <v>-5301</v>
      </c>
      <c r="BC21" s="322">
        <v>-5360</v>
      </c>
      <c r="BD21" s="322">
        <v>-5426</v>
      </c>
      <c r="BE21" s="322">
        <v>-5202</v>
      </c>
      <c r="BF21" s="322">
        <f>BE21</f>
        <v>-5202</v>
      </c>
      <c r="BH21" s="321" t="s">
        <v>133</v>
      </c>
      <c r="BI21" s="322">
        <v>-5297</v>
      </c>
      <c r="BJ21" s="322">
        <v>-5375</v>
      </c>
      <c r="BK21" s="322">
        <v>-5400</v>
      </c>
      <c r="BL21" s="322">
        <v>-4913</v>
      </c>
      <c r="BM21" s="322">
        <f>BL21</f>
        <v>-4913</v>
      </c>
      <c r="BO21" s="321" t="s">
        <v>133</v>
      </c>
      <c r="BP21" s="322">
        <v>-5282</v>
      </c>
      <c r="BQ21" s="322">
        <v>-5348</v>
      </c>
      <c r="BR21" s="322">
        <v>-5322</v>
      </c>
      <c r="BS21" s="322">
        <v>-5274</v>
      </c>
      <c r="BT21" s="322">
        <f>BS21</f>
        <v>-5274</v>
      </c>
      <c r="BV21" s="321" t="s">
        <v>133</v>
      </c>
      <c r="BW21" s="322">
        <v>-5285</v>
      </c>
      <c r="BX21" s="322">
        <v>-5388</v>
      </c>
      <c r="BY21" s="322">
        <v>-5436</v>
      </c>
      <c r="BZ21" s="322">
        <v>-5453</v>
      </c>
      <c r="CA21" s="322">
        <f>BZ21</f>
        <v>-5453</v>
      </c>
      <c r="CC21" s="321" t="s">
        <v>133</v>
      </c>
      <c r="CD21" s="322">
        <v>-5700</v>
      </c>
      <c r="CE21" s="322">
        <v>-5825</v>
      </c>
      <c r="CF21" s="322">
        <v>-5882</v>
      </c>
      <c r="CG21" s="322">
        <v>-5907</v>
      </c>
      <c r="CH21" s="322">
        <f>CG21</f>
        <v>-5907</v>
      </c>
      <c r="CJ21" s="321" t="s">
        <v>133</v>
      </c>
      <c r="CK21" s="322">
        <v>-6082</v>
      </c>
      <c r="CL21" s="322">
        <v>-6240</v>
      </c>
      <c r="CM21" s="322">
        <v>-6300</v>
      </c>
      <c r="CN21" s="322">
        <v>-6375</v>
      </c>
      <c r="CO21" s="322">
        <f>CN21</f>
        <v>-6375</v>
      </c>
      <c r="CQ21" s="321" t="s">
        <v>133</v>
      </c>
      <c r="CR21" s="322">
        <v>-6565</v>
      </c>
      <c r="CS21" s="322">
        <v>-6672</v>
      </c>
      <c r="CT21" s="322">
        <v>-6660</v>
      </c>
      <c r="CU21" s="322">
        <v>-6792</v>
      </c>
      <c r="CV21" s="322">
        <f>CU21</f>
        <v>-6792</v>
      </c>
      <c r="CX21" s="321" t="s">
        <v>133</v>
      </c>
      <c r="CY21" s="322">
        <v>-6958</v>
      </c>
      <c r="CZ21" s="322">
        <v>-7069</v>
      </c>
      <c r="DA21" s="322">
        <v>-7141</v>
      </c>
      <c r="DB21" s="322">
        <v>-7219</v>
      </c>
      <c r="DC21" s="322">
        <f>DB21</f>
        <v>-7219</v>
      </c>
      <c r="DE21" s="321" t="s">
        <v>133</v>
      </c>
      <c r="DF21" s="322">
        <v>-7335</v>
      </c>
      <c r="DG21" s="322">
        <v>-7454</v>
      </c>
      <c r="DH21" s="322">
        <v>-7576</v>
      </c>
      <c r="DI21" s="322">
        <v>-7520</v>
      </c>
      <c r="DJ21" s="322">
        <f>DI21</f>
        <v>-7520</v>
      </c>
      <c r="DL21" s="321" t="s">
        <v>133</v>
      </c>
      <c r="DM21" s="322">
        <v>-7637</v>
      </c>
      <c r="DN21" s="322">
        <v>-7697</v>
      </c>
      <c r="DO21" s="322">
        <v>-7765</v>
      </c>
      <c r="DP21" s="322">
        <v>-7868</v>
      </c>
      <c r="DQ21" s="322">
        <f>DP21</f>
        <v>-7868</v>
      </c>
      <c r="DS21" s="321" t="s">
        <v>133</v>
      </c>
      <c r="DT21" s="322">
        <v>-7986</v>
      </c>
      <c r="DU21" s="322">
        <v>-8018</v>
      </c>
      <c r="DV21" s="322">
        <v>-8123</v>
      </c>
      <c r="DW21" s="322">
        <v>-8266</v>
      </c>
      <c r="DX21" s="322">
        <f>DW21</f>
        <v>-8266</v>
      </c>
      <c r="DZ21" s="321" t="s">
        <v>133</v>
      </c>
      <c r="EA21" s="322">
        <v>-8445</v>
      </c>
      <c r="EB21" s="322">
        <v>-8575</v>
      </c>
      <c r="EC21" s="322">
        <v>-8723</v>
      </c>
      <c r="ED21" s="322">
        <v>-8730</v>
      </c>
      <c r="EE21" s="322">
        <f>ED21</f>
        <v>-8730</v>
      </c>
      <c r="EG21" s="321" t="s">
        <v>133</v>
      </c>
      <c r="EH21" s="322">
        <v>-8861</v>
      </c>
      <c r="EI21" s="322">
        <v>-8984</v>
      </c>
      <c r="EJ21" s="322">
        <v>-9088</v>
      </c>
      <c r="EK21" s="322">
        <v>-9229</v>
      </c>
      <c r="EL21" s="322">
        <f>EK21</f>
        <v>-9229</v>
      </c>
      <c r="EN21" s="321" t="s">
        <v>133</v>
      </c>
      <c r="EO21" s="322">
        <v>-9386</v>
      </c>
      <c r="EP21" s="322">
        <v>-9550</v>
      </c>
      <c r="EQ21" s="322">
        <v>-9691</v>
      </c>
      <c r="ER21" s="322">
        <v>-9893</v>
      </c>
      <c r="ES21" s="322">
        <f>ER21</f>
        <v>-9893</v>
      </c>
      <c r="EU21" s="321" t="s">
        <v>133</v>
      </c>
      <c r="EV21" s="322">
        <v>-10110</v>
      </c>
      <c r="EW21" s="322">
        <v>-10325</v>
      </c>
      <c r="EX21" s="322">
        <v>-10539</v>
      </c>
      <c r="EY21" s="322">
        <v>-10759</v>
      </c>
      <c r="EZ21" s="322">
        <f>EY21</f>
        <v>-10759</v>
      </c>
      <c r="FB21" s="321" t="s">
        <v>133</v>
      </c>
      <c r="FC21" s="322">
        <v>-10952</v>
      </c>
      <c r="FD21" s="322">
        <v>-11063</v>
      </c>
      <c r="FE21" s="322">
        <v>-11206</v>
      </c>
      <c r="FF21" s="322">
        <v>-11400</v>
      </c>
      <c r="FG21" s="322">
        <f>FF21</f>
        <v>-11400</v>
      </c>
      <c r="FI21" s="321" t="s">
        <v>133</v>
      </c>
      <c r="FJ21" s="322">
        <v>-11572</v>
      </c>
      <c r="FK21" s="322">
        <v>-11738</v>
      </c>
      <c r="FL21" s="322">
        <v>-11938</v>
      </c>
      <c r="FM21" s="322">
        <v>-12077</v>
      </c>
      <c r="FN21" s="322">
        <f>FM21</f>
        <v>-12077</v>
      </c>
      <c r="FP21" s="321" t="s">
        <v>133</v>
      </c>
      <c r="FQ21" s="322">
        <v>-12140</v>
      </c>
      <c r="FR21" s="322">
        <v>-12324</v>
      </c>
      <c r="FS21" s="322">
        <v>-12526</v>
      </c>
      <c r="FT21" s="322">
        <v>-12560</v>
      </c>
      <c r="FU21" s="322">
        <f>FT21</f>
        <v>-12560</v>
      </c>
      <c r="FW21" s="321" t="s">
        <v>133</v>
      </c>
      <c r="FX21" s="322">
        <v>-12355</v>
      </c>
      <c r="FY21" s="322">
        <v>-12459</v>
      </c>
      <c r="FZ21" s="322">
        <v>-12614</v>
      </c>
      <c r="GA21" s="322">
        <v>-12807</v>
      </c>
      <c r="GB21" s="322">
        <f>GA21</f>
        <v>-12807</v>
      </c>
      <c r="GD21" s="321" t="s">
        <v>133</v>
      </c>
      <c r="GE21" s="322">
        <v>-12838</v>
      </c>
      <c r="GF21" s="322">
        <v>-12737</v>
      </c>
      <c r="GG21" s="322">
        <v>-12934</v>
      </c>
      <c r="GH21" s="322">
        <v>-12932</v>
      </c>
      <c r="GI21" s="322">
        <f>+GH21</f>
        <v>-12932</v>
      </c>
      <c r="GK21" s="321" t="s">
        <v>133</v>
      </c>
      <c r="GL21" s="322">
        <v>-12877</v>
      </c>
      <c r="GM21" s="322">
        <v>-13066</v>
      </c>
      <c r="GN21" s="322">
        <v>-13028</v>
      </c>
      <c r="GO21" s="322">
        <v>-13375</v>
      </c>
      <c r="GP21" s="322">
        <f>+GO21</f>
        <v>-13375</v>
      </c>
      <c r="GR21" s="321" t="s">
        <v>133</v>
      </c>
      <c r="GS21" s="322">
        <v>-13190</v>
      </c>
      <c r="GT21" s="322">
        <v>-13228</v>
      </c>
      <c r="GU21" s="322">
        <v>-13412</v>
      </c>
      <c r="GV21" s="322">
        <v>-13490</v>
      </c>
      <c r="GW21" s="322">
        <f>+GV21</f>
        <v>-13490</v>
      </c>
      <c r="GY21" s="321" t="s">
        <v>133</v>
      </c>
      <c r="GZ21" s="322">
        <v>-13613</v>
      </c>
      <c r="HA21" s="322">
        <v>-13802</v>
      </c>
      <c r="HB21" s="322">
        <v>-13778</v>
      </c>
      <c r="HC21" s="322">
        <v>-14393</v>
      </c>
      <c r="HD21" s="322">
        <f>+HC21</f>
        <v>-14393</v>
      </c>
      <c r="HF21" s="321" t="s">
        <v>133</v>
      </c>
      <c r="HG21" s="322">
        <v>-14681</v>
      </c>
      <c r="HH21" s="322">
        <v>-14974</v>
      </c>
      <c r="HI21" s="322">
        <v>-15250</v>
      </c>
      <c r="HJ21" s="322">
        <v>-15560</v>
      </c>
      <c r="HK21" s="322">
        <f>+HJ21</f>
        <v>-15560</v>
      </c>
      <c r="HM21" s="321" t="s">
        <v>133</v>
      </c>
      <c r="HN21" s="322">
        <v>-15792</v>
      </c>
      <c r="HO21" s="319">
        <v>-16116</v>
      </c>
      <c r="HP21" s="322">
        <v>-16333</v>
      </c>
      <c r="HQ21" s="322">
        <v>-16533</v>
      </c>
      <c r="HR21" s="322">
        <f>+HQ21</f>
        <v>-16533</v>
      </c>
      <c r="HT21" s="321" t="s">
        <v>133</v>
      </c>
      <c r="HU21" s="319">
        <v>-16816</v>
      </c>
      <c r="HV21" s="319">
        <v>-17083</v>
      </c>
      <c r="HW21" s="319">
        <v>-17330</v>
      </c>
      <c r="HX21" s="319">
        <f>+HW21-CF!GD10</f>
        <v>-17734</v>
      </c>
      <c r="HY21" s="319">
        <f>+HX21</f>
        <v>-17734</v>
      </c>
      <c r="IA21" s="321" t="s">
        <v>133</v>
      </c>
      <c r="IB21" s="319">
        <f>+HY21-CF!GH10</f>
        <v>-18153</v>
      </c>
      <c r="IC21" s="319">
        <f>+IB21-CF!GI10</f>
        <v>-18573</v>
      </c>
      <c r="ID21" s="319">
        <f>+IC21-CF!GJ10</f>
        <v>-18994</v>
      </c>
      <c r="IE21" s="319">
        <f>+ID21-CF!GK10</f>
        <v>-19416</v>
      </c>
      <c r="IF21" s="319">
        <f>+IE21</f>
        <v>-19416</v>
      </c>
      <c r="IH21" s="321" t="s">
        <v>133</v>
      </c>
      <c r="II21" s="319">
        <f>+IF21-CF!GO10</f>
        <v>-19843</v>
      </c>
      <c r="IJ21" s="319">
        <f>+II21-CF!GP10</f>
        <v>-20273</v>
      </c>
      <c r="IK21" s="319">
        <f>+IJ21-CF!GQ10</f>
        <v>-20706</v>
      </c>
      <c r="IL21" s="319">
        <f>+IK21-CF!GR10</f>
        <v>-21142</v>
      </c>
      <c r="IM21" s="319">
        <f>+IL21</f>
        <v>-21142</v>
      </c>
      <c r="IO21" s="321" t="s">
        <v>133</v>
      </c>
      <c r="IP21" s="319">
        <f>+IM21-CF!GV10</f>
        <v>-21583</v>
      </c>
      <c r="IQ21" s="319">
        <f>+IP21-CF!GW10</f>
        <v>-22027</v>
      </c>
      <c r="IR21" s="319">
        <f>+IQ21-CF!GX10</f>
        <v>-22474</v>
      </c>
      <c r="IS21" s="319">
        <f>+IR21-CF!GY10</f>
        <v>-22924</v>
      </c>
      <c r="IT21" s="319">
        <f>+IS21</f>
        <v>-22924</v>
      </c>
    </row>
    <row r="22" spans="1:438" x14ac:dyDescent="0.4">
      <c r="A22" s="137"/>
      <c r="B22" s="318" t="s">
        <v>246</v>
      </c>
      <c r="C22" s="319">
        <f t="shared" si="32"/>
        <v>5073</v>
      </c>
      <c r="D22" s="319">
        <f t="shared" si="33"/>
        <v>5021</v>
      </c>
      <c r="E22" s="319">
        <f t="shared" si="34"/>
        <v>4952</v>
      </c>
      <c r="F22" s="319">
        <f t="shared" si="35"/>
        <v>5495</v>
      </c>
      <c r="G22" s="319">
        <f t="shared" si="36"/>
        <v>4903</v>
      </c>
      <c r="H22" s="319">
        <f t="shared" si="37"/>
        <v>855</v>
      </c>
      <c r="I22" s="319">
        <f t="shared" si="38"/>
        <v>1393</v>
      </c>
      <c r="J22" s="319">
        <f t="shared" si="39"/>
        <v>943</v>
      </c>
      <c r="K22" s="319">
        <f t="shared" si="40"/>
        <v>1004</v>
      </c>
      <c r="L22" s="319">
        <f t="shared" si="41"/>
        <v>1015</v>
      </c>
      <c r="M22" s="319">
        <f t="shared" si="42"/>
        <v>1088</v>
      </c>
      <c r="N22" s="319">
        <f t="shared" si="43"/>
        <v>1134</v>
      </c>
      <c r="O22" s="319">
        <f t="shared" si="44"/>
        <v>1171</v>
      </c>
      <c r="P22" s="319">
        <f t="shared" si="45"/>
        <v>1206</v>
      </c>
      <c r="Q22" s="319">
        <f t="shared" si="46"/>
        <v>1298</v>
      </c>
      <c r="R22" s="319">
        <f t="shared" si="47"/>
        <v>1356</v>
      </c>
      <c r="S22" s="319">
        <f t="shared" si="48"/>
        <v>1394</v>
      </c>
      <c r="T22" s="319">
        <f t="shared" si="49"/>
        <v>1459</v>
      </c>
      <c r="U22" s="319">
        <f t="shared" si="50"/>
        <v>1686</v>
      </c>
      <c r="V22" s="319">
        <f t="shared" si="51"/>
        <v>1779</v>
      </c>
      <c r="W22" s="319">
        <f t="shared" si="52"/>
        <v>1879</v>
      </c>
      <c r="X22" s="319">
        <f t="shared" si="53"/>
        <v>1985</v>
      </c>
      <c r="Y22" s="319">
        <f t="shared" si="54"/>
        <v>2099</v>
      </c>
      <c r="Z22" s="319">
        <f t="shared" si="55"/>
        <v>2292</v>
      </c>
      <c r="AA22" s="319">
        <f t="shared" si="56"/>
        <v>2397</v>
      </c>
      <c r="AB22" s="319">
        <f t="shared" si="57"/>
        <v>2520</v>
      </c>
      <c r="AC22" s="319">
        <f t="shared" si="58"/>
        <v>2164</v>
      </c>
      <c r="AD22" s="319">
        <f t="shared" si="59"/>
        <v>2164</v>
      </c>
      <c r="AE22" s="319">
        <f t="shared" si="60"/>
        <v>2164</v>
      </c>
      <c r="AF22" s="319">
        <f t="shared" si="61"/>
        <v>2164</v>
      </c>
      <c r="AG22" s="320"/>
      <c r="AH22" s="320"/>
      <c r="AI22" s="320"/>
      <c r="AJ22" s="320"/>
      <c r="AK22" s="320"/>
      <c r="AL22" s="320"/>
      <c r="AM22" s="320"/>
      <c r="AN22" s="320"/>
      <c r="AO22" s="320"/>
      <c r="AP22" s="320"/>
      <c r="AQ22" s="320"/>
      <c r="AR22" s="320"/>
      <c r="AT22" s="318" t="s">
        <v>246</v>
      </c>
      <c r="AU22" s="319"/>
      <c r="AV22" s="319"/>
      <c r="AW22" s="319"/>
      <c r="AX22" s="319">
        <f>4663+410</f>
        <v>5073</v>
      </c>
      <c r="AY22" s="319">
        <f>AX22</f>
        <v>5073</v>
      </c>
      <c r="BA22" s="318" t="s">
        <v>246</v>
      </c>
      <c r="BB22" s="319">
        <f>4668+466</f>
        <v>5134</v>
      </c>
      <c r="BC22" s="319">
        <f>4667+407</f>
        <v>5074</v>
      </c>
      <c r="BD22" s="319">
        <f>4667+417</f>
        <v>5084</v>
      </c>
      <c r="BE22" s="319">
        <f>4668+353</f>
        <v>5021</v>
      </c>
      <c r="BF22" s="319">
        <f>BE22</f>
        <v>5021</v>
      </c>
      <c r="BH22" s="318" t="s">
        <v>246</v>
      </c>
      <c r="BI22" s="319">
        <f>4673+344</f>
        <v>5017</v>
      </c>
      <c r="BJ22" s="319">
        <f>4677+353</f>
        <v>5030</v>
      </c>
      <c r="BK22" s="319">
        <f>4677+360</f>
        <v>5037</v>
      </c>
      <c r="BL22" s="319">
        <f>4655+297</f>
        <v>4952</v>
      </c>
      <c r="BM22" s="319">
        <f>BL22</f>
        <v>4952</v>
      </c>
      <c r="BO22" s="318" t="s">
        <v>246</v>
      </c>
      <c r="BP22" s="319">
        <f>4656+388</f>
        <v>5044</v>
      </c>
      <c r="BQ22" s="319">
        <f>4663+410</f>
        <v>5073</v>
      </c>
      <c r="BR22" s="319">
        <f>4667+462</f>
        <v>5129</v>
      </c>
      <c r="BS22" s="319">
        <f>4653+842</f>
        <v>5495</v>
      </c>
      <c r="BT22" s="319">
        <f>BS22</f>
        <v>5495</v>
      </c>
      <c r="BV22" s="318" t="s">
        <v>246</v>
      </c>
      <c r="BW22" s="319">
        <f>4655+467</f>
        <v>5122</v>
      </c>
      <c r="BX22" s="319">
        <f>4658+487</f>
        <v>5145</v>
      </c>
      <c r="BY22" s="319">
        <f>4661+488</f>
        <v>5149</v>
      </c>
      <c r="BZ22" s="319">
        <f>4678+225</f>
        <v>4903</v>
      </c>
      <c r="CA22" s="319">
        <f>BZ22</f>
        <v>4903</v>
      </c>
      <c r="CC22" s="318" t="s">
        <v>246</v>
      </c>
      <c r="CD22" s="319">
        <f>4683+494</f>
        <v>5177</v>
      </c>
      <c r="CE22" s="319">
        <f>4691+505</f>
        <v>5196</v>
      </c>
      <c r="CF22" s="319">
        <f>567+902</f>
        <v>1469</v>
      </c>
      <c r="CG22" s="319">
        <f>574+281</f>
        <v>855</v>
      </c>
      <c r="CH22" s="319">
        <f>CG22</f>
        <v>855</v>
      </c>
      <c r="CJ22" s="318" t="s">
        <v>246</v>
      </c>
      <c r="CK22" s="319">
        <f>577+752</f>
        <v>1329</v>
      </c>
      <c r="CL22" s="319">
        <f>583+772</f>
        <v>1355</v>
      </c>
      <c r="CM22" s="319">
        <f>603+679</f>
        <v>1282</v>
      </c>
      <c r="CN22" s="319">
        <f>603+790</f>
        <v>1393</v>
      </c>
      <c r="CO22" s="319">
        <f>CN22</f>
        <v>1393</v>
      </c>
      <c r="CQ22" s="318" t="s">
        <v>246</v>
      </c>
      <c r="CR22" s="319">
        <f>607+769</f>
        <v>1376</v>
      </c>
      <c r="CS22" s="319">
        <f>609+719</f>
        <v>1328</v>
      </c>
      <c r="CT22" s="319">
        <f>612+750</f>
        <v>1362</v>
      </c>
      <c r="CU22" s="319">
        <v>943</v>
      </c>
      <c r="CV22" s="319">
        <f>CU22</f>
        <v>943</v>
      </c>
      <c r="CX22" s="318" t="s">
        <v>246</v>
      </c>
      <c r="CY22" s="319">
        <f>613+342</f>
        <v>955</v>
      </c>
      <c r="CZ22" s="319">
        <f>617+348</f>
        <v>965</v>
      </c>
      <c r="DA22" s="319">
        <f>624+355</f>
        <v>979</v>
      </c>
      <c r="DB22" s="319">
        <v>1004</v>
      </c>
      <c r="DC22" s="319">
        <f>DB22</f>
        <v>1004</v>
      </c>
      <c r="DE22" s="318" t="s">
        <v>246</v>
      </c>
      <c r="DF22" s="319">
        <f>645+386</f>
        <v>1031</v>
      </c>
      <c r="DG22" s="319">
        <f>650+393</f>
        <v>1043</v>
      </c>
      <c r="DH22" s="319">
        <f>647+401</f>
        <v>1048</v>
      </c>
      <c r="DI22" s="319">
        <v>1015</v>
      </c>
      <c r="DJ22" s="319">
        <f>DI22</f>
        <v>1015</v>
      </c>
      <c r="DL22" s="318" t="s">
        <v>246</v>
      </c>
      <c r="DM22" s="319">
        <v>1016</v>
      </c>
      <c r="DN22" s="319">
        <v>1027</v>
      </c>
      <c r="DO22" s="319">
        <v>1037</v>
      </c>
      <c r="DP22" s="319">
        <v>1088</v>
      </c>
      <c r="DQ22" s="319">
        <f>DP22</f>
        <v>1088</v>
      </c>
      <c r="DS22" s="318" t="s">
        <v>246</v>
      </c>
      <c r="DT22" s="319">
        <v>1096</v>
      </c>
      <c r="DU22" s="319">
        <v>1109</v>
      </c>
      <c r="DV22" s="319">
        <v>1126</v>
      </c>
      <c r="DW22" s="319">
        <v>1134</v>
      </c>
      <c r="DX22" s="319">
        <f>DW22</f>
        <v>1134</v>
      </c>
      <c r="DZ22" s="318" t="s">
        <v>246</v>
      </c>
      <c r="EA22" s="319">
        <v>1140</v>
      </c>
      <c r="EB22" s="319">
        <v>1158</v>
      </c>
      <c r="EC22" s="319">
        <v>1168</v>
      </c>
      <c r="ED22" s="319">
        <v>1171</v>
      </c>
      <c r="EE22" s="319">
        <f>ED22</f>
        <v>1171</v>
      </c>
      <c r="EG22" s="318" t="s">
        <v>246</v>
      </c>
      <c r="EH22" s="319">
        <v>1178</v>
      </c>
      <c r="EI22" s="319">
        <v>1183</v>
      </c>
      <c r="EJ22" s="319">
        <v>1195</v>
      </c>
      <c r="EK22" s="319">
        <v>1206</v>
      </c>
      <c r="EL22" s="319">
        <f>EK22</f>
        <v>1206</v>
      </c>
      <c r="EN22" s="318" t="s">
        <v>246</v>
      </c>
      <c r="EO22" s="319">
        <v>1215</v>
      </c>
      <c r="EP22" s="319">
        <v>1228</v>
      </c>
      <c r="EQ22" s="319">
        <v>1241</v>
      </c>
      <c r="ER22" s="319">
        <v>1298</v>
      </c>
      <c r="ES22" s="319">
        <f>ER22</f>
        <v>1298</v>
      </c>
      <c r="EU22" s="318" t="s">
        <v>246</v>
      </c>
      <c r="EV22" s="319">
        <v>1314</v>
      </c>
      <c r="EW22" s="319">
        <v>1331</v>
      </c>
      <c r="EX22" s="319">
        <v>1345</v>
      </c>
      <c r="EY22" s="319">
        <v>1356</v>
      </c>
      <c r="EZ22" s="319">
        <f>EY22</f>
        <v>1356</v>
      </c>
      <c r="FB22" s="318" t="s">
        <v>246</v>
      </c>
      <c r="FC22" s="319">
        <v>1353</v>
      </c>
      <c r="FD22" s="319">
        <v>1366</v>
      </c>
      <c r="FE22" s="319">
        <v>1376</v>
      </c>
      <c r="FF22" s="319">
        <v>1394</v>
      </c>
      <c r="FG22" s="319">
        <f>FF22</f>
        <v>1394</v>
      </c>
      <c r="FI22" s="318" t="s">
        <v>246</v>
      </c>
      <c r="FJ22" s="319">
        <v>1402</v>
      </c>
      <c r="FK22" s="319">
        <v>1413</v>
      </c>
      <c r="FL22" s="319">
        <v>1433</v>
      </c>
      <c r="FM22" s="319">
        <v>1459</v>
      </c>
      <c r="FN22" s="319">
        <f>FM22</f>
        <v>1459</v>
      </c>
      <c r="FP22" s="318" t="s">
        <v>246</v>
      </c>
      <c r="FQ22" s="319">
        <v>1469</v>
      </c>
      <c r="FR22" s="319">
        <v>1487</v>
      </c>
      <c r="FS22" s="319">
        <v>1506</v>
      </c>
      <c r="FT22" s="319">
        <v>1686</v>
      </c>
      <c r="FU22" s="319">
        <f>FT22</f>
        <v>1686</v>
      </c>
      <c r="FW22" s="318" t="s">
        <v>246</v>
      </c>
      <c r="FX22" s="319">
        <v>1714</v>
      </c>
      <c r="FY22" s="319">
        <v>1741</v>
      </c>
      <c r="FZ22" s="319">
        <v>1764</v>
      </c>
      <c r="GA22" s="319">
        <v>1779</v>
      </c>
      <c r="GB22" s="319">
        <f>GA22</f>
        <v>1779</v>
      </c>
      <c r="GD22" s="318" t="s">
        <v>246</v>
      </c>
      <c r="GE22" s="319">
        <v>1793</v>
      </c>
      <c r="GF22" s="319">
        <f>959+863</f>
        <v>1822</v>
      </c>
      <c r="GG22" s="319">
        <f>969+880</f>
        <v>1849</v>
      </c>
      <c r="GH22" s="319">
        <f>982+897</f>
        <v>1879</v>
      </c>
      <c r="GI22" s="319">
        <f>GH22</f>
        <v>1879</v>
      </c>
      <c r="GK22" s="318" t="s">
        <v>246</v>
      </c>
      <c r="GL22" s="319">
        <f>993+908</f>
        <v>1901</v>
      </c>
      <c r="GM22" s="319">
        <v>1921</v>
      </c>
      <c r="GN22" s="319">
        <v>1949</v>
      </c>
      <c r="GO22" s="319">
        <v>1985</v>
      </c>
      <c r="GP22" s="319">
        <f>+GO22</f>
        <v>1985</v>
      </c>
      <c r="GR22" s="318" t="s">
        <v>246</v>
      </c>
      <c r="GS22" s="319">
        <v>2007</v>
      </c>
      <c r="GT22" s="319">
        <v>2033</v>
      </c>
      <c r="GU22" s="319">
        <v>2059</v>
      </c>
      <c r="GV22" s="319">
        <v>2099</v>
      </c>
      <c r="GW22" s="319">
        <f>+GV22</f>
        <v>2099</v>
      </c>
      <c r="GY22" s="318" t="s">
        <v>246</v>
      </c>
      <c r="GZ22" s="319">
        <v>2143</v>
      </c>
      <c r="HA22" s="319">
        <v>2252</v>
      </c>
      <c r="HB22" s="319">
        <v>2289</v>
      </c>
      <c r="HC22" s="319">
        <v>2292</v>
      </c>
      <c r="HD22" s="319">
        <f>+HC22</f>
        <v>2292</v>
      </c>
      <c r="HF22" s="318" t="s">
        <v>246</v>
      </c>
      <c r="HG22" s="319">
        <v>2313</v>
      </c>
      <c r="HH22" s="319">
        <v>2338</v>
      </c>
      <c r="HI22" s="319">
        <v>2364</v>
      </c>
      <c r="HJ22" s="319">
        <v>2397</v>
      </c>
      <c r="HK22" s="319">
        <f>+HJ22</f>
        <v>2397</v>
      </c>
      <c r="HM22" s="318" t="s">
        <v>246</v>
      </c>
      <c r="HN22" s="319">
        <v>2424</v>
      </c>
      <c r="HO22" s="319">
        <v>2455</v>
      </c>
      <c r="HP22" s="319">
        <v>2485</v>
      </c>
      <c r="HQ22" s="319">
        <v>2520</v>
      </c>
      <c r="HR22" s="319">
        <f>+HQ22</f>
        <v>2520</v>
      </c>
      <c r="HT22" s="318" t="s">
        <v>246</v>
      </c>
      <c r="HU22" s="319">
        <v>2537</v>
      </c>
      <c r="HV22" s="319">
        <v>2574</v>
      </c>
      <c r="HW22" s="319">
        <v>2598</v>
      </c>
      <c r="HX22" s="319">
        <f>2634-HX23</f>
        <v>2164</v>
      </c>
      <c r="HY22" s="319">
        <f>+HX22</f>
        <v>2164</v>
      </c>
      <c r="IA22" s="318" t="s">
        <v>246</v>
      </c>
      <c r="IB22" s="319">
        <f>+HY22</f>
        <v>2164</v>
      </c>
      <c r="IC22" s="319">
        <f t="shared" ref="IC22:IE23" si="62">+IB22</f>
        <v>2164</v>
      </c>
      <c r="ID22" s="319">
        <f t="shared" si="62"/>
        <v>2164</v>
      </c>
      <c r="IE22" s="319">
        <f t="shared" si="62"/>
        <v>2164</v>
      </c>
      <c r="IF22" s="319">
        <f>+IE22</f>
        <v>2164</v>
      </c>
      <c r="IH22" s="318" t="s">
        <v>246</v>
      </c>
      <c r="II22" s="319">
        <f>+IF22</f>
        <v>2164</v>
      </c>
      <c r="IJ22" s="319">
        <f t="shared" ref="IJ22:IJ23" si="63">+II22</f>
        <v>2164</v>
      </c>
      <c r="IK22" s="319">
        <f t="shared" ref="IK22:IK23" si="64">+IJ22</f>
        <v>2164</v>
      </c>
      <c r="IL22" s="319">
        <f t="shared" ref="IL22:IL23" si="65">+IK22</f>
        <v>2164</v>
      </c>
      <c r="IM22" s="319">
        <f>+IL22</f>
        <v>2164</v>
      </c>
      <c r="IO22" s="318" t="s">
        <v>246</v>
      </c>
      <c r="IP22" s="319">
        <f>+IM22</f>
        <v>2164</v>
      </c>
      <c r="IQ22" s="319">
        <f t="shared" ref="IQ22:IQ23" si="66">+IP22</f>
        <v>2164</v>
      </c>
      <c r="IR22" s="319">
        <f t="shared" ref="IR22:IR23" si="67">+IQ22</f>
        <v>2164</v>
      </c>
      <c r="IS22" s="319">
        <f t="shared" ref="IS22:IS23" si="68">+IR22</f>
        <v>2164</v>
      </c>
      <c r="IT22" s="319">
        <f>+IS22</f>
        <v>2164</v>
      </c>
    </row>
    <row r="23" spans="1:438" x14ac:dyDescent="0.4">
      <c r="A23" s="137"/>
      <c r="B23" s="318" t="s">
        <v>282</v>
      </c>
      <c r="C23" s="319">
        <f t="shared" si="32"/>
        <v>0</v>
      </c>
      <c r="D23" s="319">
        <f t="shared" si="33"/>
        <v>0</v>
      </c>
      <c r="E23" s="319">
        <f t="shared" si="34"/>
        <v>0</v>
      </c>
      <c r="F23" s="319">
        <f t="shared" si="35"/>
        <v>0</v>
      </c>
      <c r="G23" s="319">
        <f t="shared" si="36"/>
        <v>0</v>
      </c>
      <c r="H23" s="319">
        <f t="shared" si="37"/>
        <v>0</v>
      </c>
      <c r="I23" s="319">
        <f t="shared" si="38"/>
        <v>0</v>
      </c>
      <c r="J23" s="319">
        <f t="shared" si="39"/>
        <v>0</v>
      </c>
      <c r="K23" s="319">
        <f t="shared" si="40"/>
        <v>0</v>
      </c>
      <c r="L23" s="319">
        <f t="shared" si="41"/>
        <v>0</v>
      </c>
      <c r="M23" s="319">
        <f t="shared" si="42"/>
        <v>0</v>
      </c>
      <c r="N23" s="319">
        <f t="shared" si="43"/>
        <v>0</v>
      </c>
      <c r="O23" s="319">
        <f t="shared" si="44"/>
        <v>0</v>
      </c>
      <c r="P23" s="319">
        <f t="shared" si="45"/>
        <v>0</v>
      </c>
      <c r="Q23" s="319">
        <f t="shared" si="46"/>
        <v>0</v>
      </c>
      <c r="R23" s="319">
        <f t="shared" si="47"/>
        <v>0</v>
      </c>
      <c r="S23" s="319">
        <f t="shared" si="48"/>
        <v>0</v>
      </c>
      <c r="T23" s="319">
        <f t="shared" si="49"/>
        <v>0</v>
      </c>
      <c r="U23" s="319">
        <f t="shared" si="50"/>
        <v>0</v>
      </c>
      <c r="V23" s="319">
        <f t="shared" si="51"/>
        <v>0</v>
      </c>
      <c r="W23" s="319">
        <f t="shared" si="52"/>
        <v>0</v>
      </c>
      <c r="X23" s="319">
        <f t="shared" si="53"/>
        <v>0</v>
      </c>
      <c r="Y23" s="319">
        <f t="shared" si="54"/>
        <v>451</v>
      </c>
      <c r="Z23" s="319">
        <f t="shared" si="55"/>
        <v>502</v>
      </c>
      <c r="AA23" s="319">
        <f t="shared" si="56"/>
        <v>506</v>
      </c>
      <c r="AB23" s="319">
        <f t="shared" si="57"/>
        <v>433</v>
      </c>
      <c r="AC23" s="319">
        <f t="shared" si="58"/>
        <v>470</v>
      </c>
      <c r="AD23" s="319">
        <f t="shared" si="59"/>
        <v>470</v>
      </c>
      <c r="AE23" s="319">
        <f t="shared" si="60"/>
        <v>470</v>
      </c>
      <c r="AF23" s="319">
        <f t="shared" si="61"/>
        <v>470</v>
      </c>
      <c r="AG23" s="320"/>
      <c r="AH23" s="320"/>
      <c r="AI23" s="320"/>
      <c r="AJ23" s="320"/>
      <c r="AK23" s="320"/>
      <c r="AL23" s="320"/>
      <c r="AM23" s="320"/>
      <c r="AN23" s="320"/>
      <c r="AO23" s="320"/>
      <c r="AP23" s="320"/>
      <c r="AQ23" s="320"/>
      <c r="AR23" s="320"/>
      <c r="AT23" s="318" t="s">
        <v>282</v>
      </c>
      <c r="AU23" s="319"/>
      <c r="AV23" s="319"/>
      <c r="AW23" s="319"/>
      <c r="AX23" s="319"/>
      <c r="AY23" s="319"/>
      <c r="BA23" s="318" t="s">
        <v>282</v>
      </c>
      <c r="BB23" s="319"/>
      <c r="BC23" s="319"/>
      <c r="BD23" s="319"/>
      <c r="BE23" s="319"/>
      <c r="BF23" s="319"/>
      <c r="BH23" s="318" t="s">
        <v>282</v>
      </c>
      <c r="BI23" s="319"/>
      <c r="BJ23" s="319"/>
      <c r="BK23" s="319"/>
      <c r="BL23" s="319"/>
      <c r="BM23" s="319"/>
      <c r="BO23" s="318" t="s">
        <v>282</v>
      </c>
      <c r="BP23" s="319"/>
      <c r="BQ23" s="319"/>
      <c r="BR23" s="319"/>
      <c r="BS23" s="319"/>
      <c r="BT23" s="319"/>
      <c r="BV23" s="318" t="s">
        <v>282</v>
      </c>
      <c r="BW23" s="319"/>
      <c r="BX23" s="319"/>
      <c r="BY23" s="319"/>
      <c r="BZ23" s="319"/>
      <c r="CA23" s="319"/>
      <c r="CC23" s="318" t="s">
        <v>282</v>
      </c>
      <c r="CD23" s="319"/>
      <c r="CE23" s="319"/>
      <c r="CF23" s="319"/>
      <c r="CG23" s="319"/>
      <c r="CH23" s="319"/>
      <c r="CJ23" s="318" t="s">
        <v>282</v>
      </c>
      <c r="CK23" s="319"/>
      <c r="CL23" s="319"/>
      <c r="CM23" s="319"/>
      <c r="CN23" s="319"/>
      <c r="CO23" s="319"/>
      <c r="CQ23" s="318" t="s">
        <v>282</v>
      </c>
      <c r="CR23" s="319"/>
      <c r="CS23" s="319"/>
      <c r="CT23" s="319"/>
      <c r="CU23" s="319"/>
      <c r="CV23" s="319"/>
      <c r="CX23" s="318" t="s">
        <v>282</v>
      </c>
      <c r="CY23" s="319"/>
      <c r="CZ23" s="319"/>
      <c r="DA23" s="319"/>
      <c r="DB23" s="319"/>
      <c r="DC23" s="319"/>
      <c r="DE23" s="318" t="s">
        <v>282</v>
      </c>
      <c r="DF23" s="319"/>
      <c r="DG23" s="319"/>
      <c r="DH23" s="319"/>
      <c r="DI23" s="319"/>
      <c r="DJ23" s="319"/>
      <c r="DL23" s="318" t="s">
        <v>282</v>
      </c>
      <c r="DM23" s="319"/>
      <c r="DN23" s="319"/>
      <c r="DO23" s="319"/>
      <c r="DP23" s="319"/>
      <c r="DQ23" s="319"/>
      <c r="DS23" s="318" t="s">
        <v>282</v>
      </c>
      <c r="DT23" s="319"/>
      <c r="DU23" s="319"/>
      <c r="DV23" s="319"/>
      <c r="DW23" s="319"/>
      <c r="DX23" s="319"/>
      <c r="DZ23" s="318" t="s">
        <v>282</v>
      </c>
      <c r="EA23" s="319"/>
      <c r="EB23" s="319"/>
      <c r="EC23" s="319"/>
      <c r="ED23" s="319"/>
      <c r="EE23" s="319"/>
      <c r="EG23" s="318" t="s">
        <v>282</v>
      </c>
      <c r="EH23" s="319"/>
      <c r="EI23" s="319"/>
      <c r="EJ23" s="319"/>
      <c r="EK23" s="319"/>
      <c r="EL23" s="319"/>
      <c r="EN23" s="318" t="s">
        <v>282</v>
      </c>
      <c r="EO23" s="319"/>
      <c r="EP23" s="319"/>
      <c r="EQ23" s="319"/>
      <c r="ER23" s="319"/>
      <c r="ES23" s="319"/>
      <c r="EU23" s="318" t="s">
        <v>282</v>
      </c>
      <c r="EV23" s="319"/>
      <c r="EW23" s="319"/>
      <c r="EX23" s="319"/>
      <c r="EY23" s="319"/>
      <c r="EZ23" s="319"/>
      <c r="FB23" s="318" t="s">
        <v>282</v>
      </c>
      <c r="FC23" s="319"/>
      <c r="FD23" s="319"/>
      <c r="FE23" s="319"/>
      <c r="FF23" s="319"/>
      <c r="FG23" s="319"/>
      <c r="FI23" s="318" t="s">
        <v>282</v>
      </c>
      <c r="FJ23" s="319"/>
      <c r="FK23" s="319"/>
      <c r="FL23" s="319"/>
      <c r="FM23" s="319"/>
      <c r="FN23" s="319"/>
      <c r="FP23" s="318" t="s">
        <v>282</v>
      </c>
      <c r="FQ23" s="319"/>
      <c r="FR23" s="319"/>
      <c r="FS23" s="319"/>
      <c r="FT23" s="319"/>
      <c r="FU23" s="319"/>
      <c r="FW23" s="318" t="s">
        <v>282</v>
      </c>
      <c r="FX23" s="319"/>
      <c r="FY23" s="319"/>
      <c r="FZ23" s="319"/>
      <c r="GA23" s="319"/>
      <c r="GB23" s="319"/>
      <c r="GD23" s="318" t="s">
        <v>282</v>
      </c>
      <c r="GE23" s="319"/>
      <c r="GF23" s="319"/>
      <c r="GG23" s="319"/>
      <c r="GH23" s="319"/>
      <c r="GI23" s="319"/>
      <c r="GK23" s="318" t="s">
        <v>282</v>
      </c>
      <c r="GL23" s="319"/>
      <c r="GM23" s="319"/>
      <c r="GN23" s="319"/>
      <c r="GO23" s="319"/>
      <c r="GP23" s="319"/>
      <c r="GR23" s="318" t="s">
        <v>282</v>
      </c>
      <c r="GS23" s="319"/>
      <c r="GT23" s="319"/>
      <c r="GU23" s="319">
        <v>451</v>
      </c>
      <c r="GV23" s="319">
        <v>451</v>
      </c>
      <c r="GW23" s="319">
        <f>+GV23</f>
        <v>451</v>
      </c>
      <c r="GY23" s="318" t="s">
        <v>282</v>
      </c>
      <c r="GZ23" s="319">
        <v>453</v>
      </c>
      <c r="HA23" s="319">
        <v>557</v>
      </c>
      <c r="HB23" s="319">
        <v>537</v>
      </c>
      <c r="HC23" s="319">
        <v>502</v>
      </c>
      <c r="HD23" s="319">
        <f>+HC23</f>
        <v>502</v>
      </c>
      <c r="HF23" s="318" t="s">
        <v>282</v>
      </c>
      <c r="HG23" s="319">
        <v>500</v>
      </c>
      <c r="HH23" s="319">
        <v>511</v>
      </c>
      <c r="HI23" s="319">
        <v>509</v>
      </c>
      <c r="HJ23" s="319">
        <v>506</v>
      </c>
      <c r="HK23" s="319">
        <f>+HJ23</f>
        <v>506</v>
      </c>
      <c r="HM23" s="318" t="s">
        <v>282</v>
      </c>
      <c r="HN23" s="319">
        <v>520</v>
      </c>
      <c r="HO23" s="319">
        <v>535</v>
      </c>
      <c r="HP23" s="319">
        <v>544</v>
      </c>
      <c r="HQ23" s="319">
        <v>433</v>
      </c>
      <c r="HR23" s="319">
        <f>+HQ23</f>
        <v>433</v>
      </c>
      <c r="HT23" s="318" t="s">
        <v>282</v>
      </c>
      <c r="HU23" s="319">
        <v>430</v>
      </c>
      <c r="HV23" s="319">
        <v>437</v>
      </c>
      <c r="HW23" s="319">
        <v>470</v>
      </c>
      <c r="HX23" s="319">
        <f t="shared" ref="HX23" si="69">+HW23</f>
        <v>470</v>
      </c>
      <c r="HY23" s="319">
        <f>+HX23</f>
        <v>470</v>
      </c>
      <c r="IA23" s="318" t="s">
        <v>282</v>
      </c>
      <c r="IB23" s="319">
        <f>+HY23</f>
        <v>470</v>
      </c>
      <c r="IC23" s="319">
        <f t="shared" si="62"/>
        <v>470</v>
      </c>
      <c r="ID23" s="319">
        <f t="shared" si="62"/>
        <v>470</v>
      </c>
      <c r="IE23" s="319">
        <f t="shared" si="62"/>
        <v>470</v>
      </c>
      <c r="IF23" s="319">
        <f>+IE23</f>
        <v>470</v>
      </c>
      <c r="IH23" s="318" t="s">
        <v>282</v>
      </c>
      <c r="II23" s="319">
        <f>+IF23</f>
        <v>470</v>
      </c>
      <c r="IJ23" s="319">
        <f t="shared" si="63"/>
        <v>470</v>
      </c>
      <c r="IK23" s="319">
        <f t="shared" si="64"/>
        <v>470</v>
      </c>
      <c r="IL23" s="319">
        <f t="shared" si="65"/>
        <v>470</v>
      </c>
      <c r="IM23" s="319">
        <f>+IL23</f>
        <v>470</v>
      </c>
      <c r="IO23" s="318" t="s">
        <v>282</v>
      </c>
      <c r="IP23" s="319">
        <f>+IM23</f>
        <v>470</v>
      </c>
      <c r="IQ23" s="319">
        <f t="shared" si="66"/>
        <v>470</v>
      </c>
      <c r="IR23" s="319">
        <f t="shared" si="67"/>
        <v>470</v>
      </c>
      <c r="IS23" s="319">
        <f t="shared" si="68"/>
        <v>470</v>
      </c>
      <c r="IT23" s="319">
        <f>+IS23</f>
        <v>470</v>
      </c>
    </row>
    <row r="24" spans="1:438" x14ac:dyDescent="0.4">
      <c r="A24" s="137"/>
      <c r="B24" s="321" t="s">
        <v>134</v>
      </c>
      <c r="C24" s="322">
        <f t="shared" si="32"/>
        <v>827</v>
      </c>
      <c r="D24" s="322">
        <f t="shared" si="33"/>
        <v>846</v>
      </c>
      <c r="E24" s="322">
        <f t="shared" si="34"/>
        <v>718</v>
      </c>
      <c r="F24" s="322">
        <f t="shared" si="35"/>
        <v>381</v>
      </c>
      <c r="G24" s="322">
        <f t="shared" si="36"/>
        <v>926</v>
      </c>
      <c r="H24" s="322">
        <f t="shared" si="37"/>
        <v>802</v>
      </c>
      <c r="I24" s="322">
        <f t="shared" si="38"/>
        <v>304</v>
      </c>
      <c r="J24" s="322">
        <f t="shared" si="39"/>
        <v>591</v>
      </c>
      <c r="K24" s="322">
        <f t="shared" si="40"/>
        <v>259</v>
      </c>
      <c r="L24" s="322">
        <f t="shared" si="41"/>
        <v>194</v>
      </c>
      <c r="M24" s="322">
        <f t="shared" si="42"/>
        <v>165</v>
      </c>
      <c r="N24" s="322">
        <f t="shared" si="43"/>
        <v>353</v>
      </c>
      <c r="O24" s="322">
        <f t="shared" si="44"/>
        <v>393</v>
      </c>
      <c r="P24" s="322">
        <f t="shared" si="45"/>
        <v>514</v>
      </c>
      <c r="Q24" s="322">
        <f t="shared" si="46"/>
        <v>591</v>
      </c>
      <c r="R24" s="322">
        <f t="shared" si="47"/>
        <v>541</v>
      </c>
      <c r="S24" s="322">
        <f t="shared" si="48"/>
        <v>505</v>
      </c>
      <c r="T24" s="322">
        <f t="shared" si="49"/>
        <v>318</v>
      </c>
      <c r="U24" s="322">
        <f t="shared" si="50"/>
        <v>374</v>
      </c>
      <c r="V24" s="322">
        <f t="shared" si="51"/>
        <v>387</v>
      </c>
      <c r="W24" s="322">
        <f t="shared" si="52"/>
        <v>932</v>
      </c>
      <c r="X24" s="322">
        <f t="shared" si="53"/>
        <v>923</v>
      </c>
      <c r="Y24" s="322">
        <f t="shared" si="54"/>
        <v>1093</v>
      </c>
      <c r="Z24" s="322">
        <f t="shared" si="55"/>
        <v>1011</v>
      </c>
      <c r="AA24" s="322">
        <f t="shared" si="56"/>
        <v>1229</v>
      </c>
      <c r="AB24" s="319">
        <f t="shared" si="57"/>
        <v>1333</v>
      </c>
      <c r="AC24" s="319">
        <f t="shared" si="58"/>
        <v>1687</v>
      </c>
      <c r="AD24" s="319">
        <f t="shared" si="59"/>
        <v>3565.3886112685432</v>
      </c>
      <c r="AE24" s="319">
        <f t="shared" si="60"/>
        <v>6538.8464871199176</v>
      </c>
      <c r="AF24" s="319">
        <f t="shared" si="61"/>
        <v>9536.5455658069113</v>
      </c>
      <c r="AG24" s="320"/>
      <c r="AH24" s="320"/>
      <c r="AI24" s="320"/>
      <c r="AJ24" s="320"/>
      <c r="AK24" s="320"/>
      <c r="AL24" s="320"/>
      <c r="AM24" s="320"/>
      <c r="AN24" s="320"/>
      <c r="AO24" s="320"/>
      <c r="AP24" s="320"/>
      <c r="AQ24" s="320"/>
      <c r="AR24" s="320"/>
      <c r="AT24" s="321" t="s">
        <v>134</v>
      </c>
      <c r="AU24" s="322"/>
      <c r="AV24" s="322"/>
      <c r="AW24" s="322"/>
      <c r="AX24" s="322">
        <f>+AX25+AX26</f>
        <v>827</v>
      </c>
      <c r="AY24" s="322">
        <f>+AY25+AY26</f>
        <v>827</v>
      </c>
      <c r="BA24" s="321" t="s">
        <v>134</v>
      </c>
      <c r="BB24" s="322">
        <f>+BB25+BB26</f>
        <v>828</v>
      </c>
      <c r="BC24" s="322">
        <f>+BC25+BC26</f>
        <v>831</v>
      </c>
      <c r="BD24" s="322">
        <f>+BD25+BD26</f>
        <v>829</v>
      </c>
      <c r="BE24" s="322">
        <f>+BE25+BE26</f>
        <v>846</v>
      </c>
      <c r="BF24" s="322">
        <f>+BF25+BF26</f>
        <v>846</v>
      </c>
      <c r="BH24" s="321" t="s">
        <v>134</v>
      </c>
      <c r="BI24" s="322">
        <f>+BI25+BI26</f>
        <v>737</v>
      </c>
      <c r="BJ24" s="322">
        <f>+BJ25+BJ26</f>
        <v>761</v>
      </c>
      <c r="BK24" s="322">
        <f>+BK25+BK26</f>
        <v>671</v>
      </c>
      <c r="BL24" s="322">
        <f>+BL25+BL26</f>
        <v>718</v>
      </c>
      <c r="BM24" s="322">
        <f>+BM25+BM26</f>
        <v>718</v>
      </c>
      <c r="BO24" s="321" t="s">
        <v>134</v>
      </c>
      <c r="BP24" s="322">
        <f>+BP25+BP26</f>
        <v>643</v>
      </c>
      <c r="BQ24" s="322">
        <f>+BQ25+BQ26</f>
        <v>688</v>
      </c>
      <c r="BR24" s="322">
        <f>+BR25+BR26</f>
        <v>777</v>
      </c>
      <c r="BS24" s="322">
        <f>+BS25+BS26</f>
        <v>381</v>
      </c>
      <c r="BT24" s="322">
        <f>+BT25+BT26</f>
        <v>381</v>
      </c>
      <c r="BV24" s="321" t="s">
        <v>134</v>
      </c>
      <c r="BW24" s="322">
        <f>+BW25+BW26</f>
        <v>864</v>
      </c>
      <c r="BX24" s="322">
        <f>+BX25+BX26</f>
        <v>858</v>
      </c>
      <c r="BY24" s="322">
        <f>+BY25+BY26</f>
        <v>784</v>
      </c>
      <c r="BZ24" s="322">
        <f>+BZ25+BZ26</f>
        <v>926</v>
      </c>
      <c r="CA24" s="322">
        <f>+CA25+CA26</f>
        <v>926</v>
      </c>
      <c r="CC24" s="321" t="s">
        <v>134</v>
      </c>
      <c r="CD24" s="322">
        <f>+CD25+CD26</f>
        <v>1018</v>
      </c>
      <c r="CE24" s="322">
        <f>+CE25+CE26</f>
        <v>988</v>
      </c>
      <c r="CF24" s="322">
        <f>+CF25+CF26</f>
        <v>602</v>
      </c>
      <c r="CG24" s="322">
        <f>+CG25+CG26</f>
        <v>802</v>
      </c>
      <c r="CH24" s="322">
        <f>+CH25+CH26</f>
        <v>802</v>
      </c>
      <c r="CJ24" s="321" t="s">
        <v>134</v>
      </c>
      <c r="CK24" s="322">
        <f>+CK25+CK26</f>
        <v>302</v>
      </c>
      <c r="CL24" s="322">
        <f>+CL25+CL26</f>
        <v>310</v>
      </c>
      <c r="CM24" s="322">
        <f>+CM25+CM26</f>
        <v>317</v>
      </c>
      <c r="CN24" s="322">
        <f>+CN25+CN26</f>
        <v>304</v>
      </c>
      <c r="CO24" s="322">
        <f>+CO25+CO26</f>
        <v>304</v>
      </c>
      <c r="CQ24" s="321" t="s">
        <v>134</v>
      </c>
      <c r="CR24" s="322">
        <f>+CR25+CR26</f>
        <v>311</v>
      </c>
      <c r="CS24" s="322">
        <f>+CS25+CS26</f>
        <v>318</v>
      </c>
      <c r="CT24" s="322">
        <f>+CT25+CT26</f>
        <v>326</v>
      </c>
      <c r="CU24" s="322">
        <f>+CU25+CU26</f>
        <v>591</v>
      </c>
      <c r="CV24" s="322">
        <f>+CV25+CV26</f>
        <v>591</v>
      </c>
      <c r="CX24" s="321" t="s">
        <v>134</v>
      </c>
      <c r="CY24" s="322">
        <f>+CY25+CY26</f>
        <v>269</v>
      </c>
      <c r="CZ24" s="322">
        <f>+CZ25+CZ26</f>
        <v>273</v>
      </c>
      <c r="DA24" s="322">
        <f>+DA25+DA26</f>
        <v>218</v>
      </c>
      <c r="DB24" s="322">
        <f>+DB25+DB26</f>
        <v>259</v>
      </c>
      <c r="DC24" s="322">
        <f>+DC25+DC26</f>
        <v>259</v>
      </c>
      <c r="DE24" s="321" t="s">
        <v>134</v>
      </c>
      <c r="DF24" s="322">
        <f>+DF25+DF26</f>
        <v>246</v>
      </c>
      <c r="DG24" s="322">
        <f>+DG25+DG26</f>
        <v>258</v>
      </c>
      <c r="DH24" s="322">
        <f>+DH25+DH26</f>
        <v>251</v>
      </c>
      <c r="DI24" s="322">
        <f>+DI25+DI26</f>
        <v>194</v>
      </c>
      <c r="DJ24" s="322">
        <f>+DJ25+DJ26</f>
        <v>194</v>
      </c>
      <c r="DL24" s="321" t="s">
        <v>134</v>
      </c>
      <c r="DM24" s="322">
        <f>+DM25+DM26</f>
        <v>189</v>
      </c>
      <c r="DN24" s="322">
        <f>+DN25+DN26</f>
        <v>185</v>
      </c>
      <c r="DO24" s="322">
        <f>+DO25+DO26</f>
        <v>173</v>
      </c>
      <c r="DP24" s="322">
        <f>+DP25+DP26</f>
        <v>165</v>
      </c>
      <c r="DQ24" s="322">
        <f>+DQ25+DQ26</f>
        <v>165</v>
      </c>
      <c r="DS24" s="321" t="s">
        <v>134</v>
      </c>
      <c r="DT24" s="322">
        <f>+DT25+DT26</f>
        <v>306</v>
      </c>
      <c r="DU24" s="322">
        <f>+DU25+DU26</f>
        <v>319</v>
      </c>
      <c r="DV24" s="322">
        <f>+DV25+DV26</f>
        <v>364</v>
      </c>
      <c r="DW24" s="322">
        <f>+DW25+DW26</f>
        <v>353</v>
      </c>
      <c r="DX24" s="322">
        <f>+DX25+DX26</f>
        <v>353</v>
      </c>
      <c r="DZ24" s="321" t="s">
        <v>134</v>
      </c>
      <c r="EA24" s="322">
        <f>+EA25+EA26</f>
        <v>351</v>
      </c>
      <c r="EB24" s="322">
        <f>+EB25+EB26</f>
        <v>378</v>
      </c>
      <c r="EC24" s="322">
        <f>+EC25+EC26</f>
        <v>361</v>
      </c>
      <c r="ED24" s="322">
        <f>+ED25+ED26</f>
        <v>393</v>
      </c>
      <c r="EE24" s="322">
        <f>+EE25+EE26</f>
        <v>393</v>
      </c>
      <c r="EG24" s="321" t="s">
        <v>134</v>
      </c>
      <c r="EH24" s="322">
        <f>+EH25+EH26</f>
        <v>399</v>
      </c>
      <c r="EI24" s="322">
        <f>+EI25+EI26</f>
        <v>402</v>
      </c>
      <c r="EJ24" s="322">
        <f>+EJ25+EJ26</f>
        <v>410</v>
      </c>
      <c r="EK24" s="322">
        <f>+EK25+EK26</f>
        <v>514</v>
      </c>
      <c r="EL24" s="322">
        <f>+EL25+EL26</f>
        <v>514</v>
      </c>
      <c r="EN24" s="321" t="s">
        <v>134</v>
      </c>
      <c r="EO24" s="322">
        <f>+EO25+EO26</f>
        <v>516</v>
      </c>
      <c r="EP24" s="322">
        <f>+EP25+EP26</f>
        <v>565</v>
      </c>
      <c r="EQ24" s="322">
        <f>+EQ25+EQ26</f>
        <v>556</v>
      </c>
      <c r="ER24" s="322">
        <f>+ER25+ER26</f>
        <v>591</v>
      </c>
      <c r="ES24" s="322">
        <f>+ES25+ES26</f>
        <v>591</v>
      </c>
      <c r="EU24" s="321" t="s">
        <v>134</v>
      </c>
      <c r="EV24" s="322">
        <f>+EV25+EV26</f>
        <v>583</v>
      </c>
      <c r="EW24" s="322">
        <f>+EW25+EW26</f>
        <v>587</v>
      </c>
      <c r="EX24" s="322">
        <f>+EX25+EX26</f>
        <v>608</v>
      </c>
      <c r="EY24" s="322">
        <f>+EY25+EY26</f>
        <v>541</v>
      </c>
      <c r="EZ24" s="322">
        <f>+EZ25+EZ26</f>
        <v>541</v>
      </c>
      <c r="FB24" s="321" t="s">
        <v>134</v>
      </c>
      <c r="FC24" s="322">
        <f>+FC25+FC26</f>
        <v>479</v>
      </c>
      <c r="FD24" s="322">
        <f>+FD25+FD26</f>
        <v>492</v>
      </c>
      <c r="FE24" s="322">
        <f>+FE25+FE26</f>
        <v>500</v>
      </c>
      <c r="FF24" s="322">
        <f>+FF25+FF26</f>
        <v>505</v>
      </c>
      <c r="FG24" s="322">
        <f>+FG25+FG26</f>
        <v>505</v>
      </c>
      <c r="FI24" s="321" t="s">
        <v>134</v>
      </c>
      <c r="FJ24" s="322">
        <f>+FJ25+FJ26</f>
        <v>307</v>
      </c>
      <c r="FK24" s="322">
        <f>+FK25+FK26</f>
        <v>302</v>
      </c>
      <c r="FL24" s="322">
        <f>+FL25+FL26</f>
        <v>303</v>
      </c>
      <c r="FM24" s="322">
        <f>+FM25+FM26</f>
        <v>318</v>
      </c>
      <c r="FN24" s="322">
        <f>+FN25+FN26</f>
        <v>318</v>
      </c>
      <c r="FP24" s="321" t="s">
        <v>134</v>
      </c>
      <c r="FQ24" s="322">
        <f>+FQ25+FQ26</f>
        <v>324</v>
      </c>
      <c r="FR24" s="322">
        <f>+FR25+FR26</f>
        <v>317</v>
      </c>
      <c r="FS24" s="322">
        <f>+FS25+FS26</f>
        <v>316</v>
      </c>
      <c r="FT24" s="322">
        <f>+FT25+FT26</f>
        <v>374</v>
      </c>
      <c r="FU24" s="322">
        <f>+FU25+FU26</f>
        <v>374</v>
      </c>
      <c r="FW24" s="321" t="s">
        <v>134</v>
      </c>
      <c r="FX24" s="322">
        <f>+FX25+FX26</f>
        <v>435</v>
      </c>
      <c r="FY24" s="322">
        <f>+FY25+FY26</f>
        <v>455</v>
      </c>
      <c r="FZ24" s="322">
        <f>+FZ25+FZ26</f>
        <v>442</v>
      </c>
      <c r="GA24" s="322">
        <f>+GA25+GA26</f>
        <v>387</v>
      </c>
      <c r="GB24" s="322">
        <f>+GB25+GB26</f>
        <v>387</v>
      </c>
      <c r="GD24" s="321" t="s">
        <v>134</v>
      </c>
      <c r="GE24" s="322">
        <f>+GE25+GE26</f>
        <v>894</v>
      </c>
      <c r="GF24" s="322">
        <f>+GF25+GF26</f>
        <v>897</v>
      </c>
      <c r="GG24" s="322">
        <f>+GG25+GG26</f>
        <v>908</v>
      </c>
      <c r="GH24" s="322">
        <f>+GH25+GH26</f>
        <v>932</v>
      </c>
      <c r="GI24" s="322">
        <f>GH24</f>
        <v>932</v>
      </c>
      <c r="GK24" s="321" t="s">
        <v>134</v>
      </c>
      <c r="GL24" s="322">
        <f>+GL25+GL26</f>
        <v>924</v>
      </c>
      <c r="GM24" s="322">
        <f>+GM25+GM26</f>
        <v>931</v>
      </c>
      <c r="GN24" s="322">
        <v>885</v>
      </c>
      <c r="GO24" s="322">
        <v>923</v>
      </c>
      <c r="GP24" s="322">
        <f>+GP58-GP17-GP19-GP22</f>
        <v>923</v>
      </c>
      <c r="GR24" s="321" t="s">
        <v>134</v>
      </c>
      <c r="GS24" s="322">
        <f>+GS25+GS26</f>
        <v>977</v>
      </c>
      <c r="GT24" s="322">
        <f>+GT25+GT26</f>
        <v>923</v>
      </c>
      <c r="GU24" s="322">
        <f>+GU25+GU26</f>
        <v>908</v>
      </c>
      <c r="GV24" s="322">
        <f>+GV25+GV26</f>
        <v>1093</v>
      </c>
      <c r="GW24" s="322">
        <f>+GW25+GW26</f>
        <v>1093</v>
      </c>
      <c r="GY24" s="321" t="s">
        <v>134</v>
      </c>
      <c r="GZ24" s="322">
        <f>+GZ25+GZ26</f>
        <v>1115</v>
      </c>
      <c r="HA24" s="322">
        <f>+HA25+HA26</f>
        <v>1129</v>
      </c>
      <c r="HB24" s="322">
        <f>+HB25+HB26</f>
        <v>1150</v>
      </c>
      <c r="HC24" s="322">
        <f>+HC25+HC26</f>
        <v>1011</v>
      </c>
      <c r="HD24" s="322">
        <f>HC24</f>
        <v>1011</v>
      </c>
      <c r="HF24" s="321" t="s">
        <v>134</v>
      </c>
      <c r="HG24" s="322">
        <f>SUM(HG25:HG26)</f>
        <v>1005</v>
      </c>
      <c r="HH24" s="322">
        <f>+HH25+HH26</f>
        <v>968</v>
      </c>
      <c r="HI24" s="322">
        <f>+HI25+HI26</f>
        <v>935</v>
      </c>
      <c r="HJ24" s="322">
        <f>+HJ25+HJ26</f>
        <v>1229</v>
      </c>
      <c r="HK24" s="322">
        <f>+HK25+HK26</f>
        <v>1229</v>
      </c>
      <c r="HM24" s="321" t="s">
        <v>134</v>
      </c>
      <c r="HN24" s="322">
        <f>+HN25+HN26</f>
        <v>1266</v>
      </c>
      <c r="HO24" s="322">
        <f>+HO25+HO26</f>
        <v>1243</v>
      </c>
      <c r="HP24" s="322">
        <f>+HP25+HP26</f>
        <v>1293</v>
      </c>
      <c r="HQ24" s="322">
        <f>+HQ25+HQ26</f>
        <v>1333</v>
      </c>
      <c r="HR24" s="322">
        <f>+HR25+HR26</f>
        <v>1333</v>
      </c>
      <c r="HT24" s="321" t="s">
        <v>134</v>
      </c>
      <c r="HU24" s="319">
        <f>+HU25+HU26</f>
        <v>1354</v>
      </c>
      <c r="HV24" s="319">
        <f>+HV25+HV26</f>
        <v>1365</v>
      </c>
      <c r="HW24" s="319">
        <f>+HW25+HW26</f>
        <v>1166</v>
      </c>
      <c r="HX24" s="319">
        <f>+HX25+HX26</f>
        <v>1687</v>
      </c>
      <c r="HY24" s="319">
        <f>+HY25+HY26</f>
        <v>1687</v>
      </c>
      <c r="IA24" s="321" t="s">
        <v>134</v>
      </c>
      <c r="IB24" s="319">
        <f>+IB25+IB26</f>
        <v>1672.9060567905253</v>
      </c>
      <c r="IC24" s="319">
        <f>+IC25+IC26</f>
        <v>2206.0680809514524</v>
      </c>
      <c r="ID24" s="319">
        <f>+ID25+ID26</f>
        <v>2864.0400590585923</v>
      </c>
      <c r="IE24" s="319">
        <f>+IE25+IE26</f>
        <v>3565.3886112685432</v>
      </c>
      <c r="IF24" s="319">
        <f>+IF25+IF26</f>
        <v>3565.3886112685432</v>
      </c>
      <c r="IH24" s="321" t="s">
        <v>134</v>
      </c>
      <c r="II24" s="319">
        <f>+II25+II26</f>
        <v>4380.6914335560141</v>
      </c>
      <c r="IJ24" s="319">
        <f>+IJ25+IJ26</f>
        <v>5052.5690677046514</v>
      </c>
      <c r="IK24" s="319">
        <f>+IK25+IK26</f>
        <v>5796.6846245328998</v>
      </c>
      <c r="IL24" s="319">
        <f>+IL25+IL26</f>
        <v>6538.8464871199176</v>
      </c>
      <c r="IM24" s="319">
        <f>+IM25+IM26</f>
        <v>6538.8464871199176</v>
      </c>
      <c r="IO24" s="321" t="s">
        <v>134</v>
      </c>
      <c r="IP24" s="319">
        <f>+IP25+IP26</f>
        <v>7365.4994016901983</v>
      </c>
      <c r="IQ24" s="319">
        <f>+IQ25+IQ26</f>
        <v>8039.6869473592233</v>
      </c>
      <c r="IR24" s="319">
        <f>+IR25+IR26</f>
        <v>8789.1361624362762</v>
      </c>
      <c r="IS24" s="319">
        <f>+IS25+IS26</f>
        <v>9536.5455658069113</v>
      </c>
      <c r="IT24" s="319">
        <f>+IT25+IT26</f>
        <v>9536.5455658069113</v>
      </c>
    </row>
    <row r="25" spans="1:438" outlineLevel="1" x14ac:dyDescent="0.4">
      <c r="A25" s="137"/>
      <c r="B25" s="321" t="s">
        <v>247</v>
      </c>
      <c r="C25" s="322">
        <f t="shared" si="32"/>
        <v>0</v>
      </c>
      <c r="D25" s="322">
        <f t="shared" si="33"/>
        <v>0</v>
      </c>
      <c r="E25" s="322">
        <f t="shared" si="34"/>
        <v>0</v>
      </c>
      <c r="F25" s="322">
        <f t="shared" si="35"/>
        <v>0</v>
      </c>
      <c r="G25" s="322">
        <f t="shared" si="36"/>
        <v>0</v>
      </c>
      <c r="H25" s="322">
        <f t="shared" si="37"/>
        <v>0</v>
      </c>
      <c r="I25" s="322">
        <f t="shared" si="38"/>
        <v>0</v>
      </c>
      <c r="J25" s="322">
        <f t="shared" si="39"/>
        <v>0</v>
      </c>
      <c r="K25" s="322">
        <f t="shared" si="40"/>
        <v>0</v>
      </c>
      <c r="L25" s="322">
        <f t="shared" si="41"/>
        <v>0</v>
      </c>
      <c r="M25" s="322">
        <f t="shared" si="42"/>
        <v>0</v>
      </c>
      <c r="N25" s="322">
        <f t="shared" si="43"/>
        <v>0</v>
      </c>
      <c r="O25" s="322">
        <f t="shared" si="44"/>
        <v>0</v>
      </c>
      <c r="P25" s="322">
        <f t="shared" si="45"/>
        <v>0</v>
      </c>
      <c r="Q25" s="322">
        <f t="shared" si="46"/>
        <v>0</v>
      </c>
      <c r="R25" s="322">
        <f t="shared" si="47"/>
        <v>0</v>
      </c>
      <c r="S25" s="322">
        <f t="shared" si="48"/>
        <v>0</v>
      </c>
      <c r="T25" s="322">
        <f t="shared" si="49"/>
        <v>0</v>
      </c>
      <c r="U25" s="322">
        <f t="shared" si="50"/>
        <v>0</v>
      </c>
      <c r="V25" s="322">
        <f t="shared" si="51"/>
        <v>0</v>
      </c>
      <c r="W25" s="322">
        <f t="shared" si="52"/>
        <v>532</v>
      </c>
      <c r="X25" s="322">
        <f t="shared" si="53"/>
        <v>472</v>
      </c>
      <c r="Y25" s="322">
        <f t="shared" si="54"/>
        <v>501</v>
      </c>
      <c r="Z25" s="322">
        <f t="shared" si="55"/>
        <v>505</v>
      </c>
      <c r="AA25" s="322">
        <f t="shared" si="56"/>
        <v>498</v>
      </c>
      <c r="AB25" s="319">
        <f t="shared" si="57"/>
        <v>487</v>
      </c>
      <c r="AC25" s="319">
        <f t="shared" si="58"/>
        <v>270</v>
      </c>
      <c r="AD25" s="319">
        <f t="shared" si="59"/>
        <v>270</v>
      </c>
      <c r="AE25" s="319">
        <f t="shared" si="60"/>
        <v>270</v>
      </c>
      <c r="AF25" s="319">
        <f t="shared" si="61"/>
        <v>270</v>
      </c>
      <c r="AG25" s="320"/>
      <c r="AH25" s="320"/>
      <c r="AI25" s="320"/>
      <c r="AJ25" s="320"/>
      <c r="AK25" s="320"/>
      <c r="AL25" s="320"/>
      <c r="AM25" s="320"/>
      <c r="AN25" s="320"/>
      <c r="AO25" s="320"/>
      <c r="AP25" s="320"/>
      <c r="AQ25" s="320"/>
      <c r="AR25" s="320"/>
      <c r="AT25" s="321" t="s">
        <v>247</v>
      </c>
      <c r="AU25" s="322"/>
      <c r="AV25" s="322"/>
      <c r="AW25" s="322"/>
      <c r="AX25" s="322"/>
      <c r="AY25" s="322"/>
      <c r="BA25" s="321" t="s">
        <v>247</v>
      </c>
      <c r="BB25" s="322"/>
      <c r="BC25" s="322"/>
      <c r="BD25" s="322"/>
      <c r="BE25" s="322"/>
      <c r="BF25" s="322"/>
      <c r="BH25" s="321" t="s">
        <v>247</v>
      </c>
      <c r="BI25" s="322"/>
      <c r="BJ25" s="322"/>
      <c r="BK25" s="322"/>
      <c r="BL25" s="322"/>
      <c r="BM25" s="322"/>
      <c r="BO25" s="321" t="s">
        <v>247</v>
      </c>
      <c r="BP25" s="322"/>
      <c r="BQ25" s="322"/>
      <c r="BR25" s="322"/>
      <c r="BS25" s="322"/>
      <c r="BT25" s="322"/>
      <c r="BV25" s="321" t="s">
        <v>247</v>
      </c>
      <c r="BW25" s="322"/>
      <c r="BX25" s="322"/>
      <c r="BY25" s="322"/>
      <c r="BZ25" s="322"/>
      <c r="CA25" s="322"/>
      <c r="CC25" s="321" t="s">
        <v>247</v>
      </c>
      <c r="CD25" s="322"/>
      <c r="CE25" s="322"/>
      <c r="CF25" s="322"/>
      <c r="CG25" s="322"/>
      <c r="CH25" s="322"/>
      <c r="CJ25" s="321" t="s">
        <v>247</v>
      </c>
      <c r="CK25" s="322">
        <v>0</v>
      </c>
      <c r="CL25" s="322">
        <v>0</v>
      </c>
      <c r="CM25" s="322">
        <v>0</v>
      </c>
      <c r="CN25" s="322">
        <v>0</v>
      </c>
      <c r="CO25" s="322">
        <v>0</v>
      </c>
      <c r="CQ25" s="321" t="s">
        <v>247</v>
      </c>
      <c r="CR25" s="322">
        <v>0</v>
      </c>
      <c r="CS25" s="322">
        <v>0</v>
      </c>
      <c r="CT25" s="322">
        <v>0</v>
      </c>
      <c r="CU25" s="322">
        <v>0</v>
      </c>
      <c r="CV25" s="322">
        <v>0</v>
      </c>
      <c r="CX25" s="321" t="s">
        <v>247</v>
      </c>
      <c r="CY25" s="322">
        <v>0</v>
      </c>
      <c r="CZ25" s="322">
        <v>0</v>
      </c>
      <c r="DA25" s="322">
        <v>0</v>
      </c>
      <c r="DB25" s="322">
        <v>0</v>
      </c>
      <c r="DC25" s="322">
        <v>0</v>
      </c>
      <c r="DE25" s="321" t="s">
        <v>247</v>
      </c>
      <c r="DF25" s="322">
        <v>0</v>
      </c>
      <c r="DG25" s="322">
        <v>0</v>
      </c>
      <c r="DH25" s="322">
        <v>0</v>
      </c>
      <c r="DI25" s="322">
        <v>0</v>
      </c>
      <c r="DJ25" s="322">
        <v>0</v>
      </c>
      <c r="DL25" s="321" t="s">
        <v>247</v>
      </c>
      <c r="DM25" s="322">
        <v>0</v>
      </c>
      <c r="DN25" s="322">
        <v>0</v>
      </c>
      <c r="DO25" s="322">
        <v>0</v>
      </c>
      <c r="DP25" s="322">
        <v>0</v>
      </c>
      <c r="DQ25" s="322">
        <v>0</v>
      </c>
      <c r="DS25" s="321" t="s">
        <v>247</v>
      </c>
      <c r="DT25" s="322">
        <v>0</v>
      </c>
      <c r="DU25" s="322">
        <v>0</v>
      </c>
      <c r="DV25" s="322">
        <v>0</v>
      </c>
      <c r="DW25" s="322">
        <v>0</v>
      </c>
      <c r="DX25" s="322">
        <v>0</v>
      </c>
      <c r="DZ25" s="321" t="s">
        <v>247</v>
      </c>
      <c r="EA25" s="322">
        <v>0</v>
      </c>
      <c r="EB25" s="322">
        <v>0</v>
      </c>
      <c r="EC25" s="322">
        <v>0</v>
      </c>
      <c r="ED25" s="322">
        <v>0</v>
      </c>
      <c r="EE25" s="322">
        <v>0</v>
      </c>
      <c r="EG25" s="321" t="s">
        <v>247</v>
      </c>
      <c r="EH25" s="322">
        <v>0</v>
      </c>
      <c r="EI25" s="322">
        <v>0</v>
      </c>
      <c r="EJ25" s="322">
        <v>0</v>
      </c>
      <c r="EK25" s="322">
        <v>0</v>
      </c>
      <c r="EL25" s="322">
        <v>0</v>
      </c>
      <c r="EN25" s="321" t="s">
        <v>247</v>
      </c>
      <c r="EO25" s="322">
        <v>0</v>
      </c>
      <c r="EP25" s="322">
        <v>0</v>
      </c>
      <c r="EQ25" s="322">
        <v>0</v>
      </c>
      <c r="ER25" s="322">
        <v>0</v>
      </c>
      <c r="ES25" s="322">
        <v>0</v>
      </c>
      <c r="EU25" s="321" t="s">
        <v>247</v>
      </c>
      <c r="EV25" s="322">
        <v>0</v>
      </c>
      <c r="EW25" s="322">
        <v>0</v>
      </c>
      <c r="EX25" s="322">
        <v>0</v>
      </c>
      <c r="EY25" s="322">
        <v>0</v>
      </c>
      <c r="EZ25" s="322">
        <v>0</v>
      </c>
      <c r="FB25" s="321" t="s">
        <v>247</v>
      </c>
      <c r="FC25" s="322">
        <v>0</v>
      </c>
      <c r="FD25" s="322">
        <v>0</v>
      </c>
      <c r="FE25" s="322">
        <v>0</v>
      </c>
      <c r="FF25" s="322">
        <v>0</v>
      </c>
      <c r="FG25" s="322">
        <v>0</v>
      </c>
      <c r="FI25" s="321" t="s">
        <v>247</v>
      </c>
      <c r="FJ25" s="322">
        <v>0</v>
      </c>
      <c r="FK25" s="322">
        <v>0</v>
      </c>
      <c r="FL25" s="322">
        <v>0</v>
      </c>
      <c r="FM25" s="322">
        <v>0</v>
      </c>
      <c r="FN25" s="322">
        <v>0</v>
      </c>
      <c r="FP25" s="321" t="s">
        <v>247</v>
      </c>
      <c r="FQ25" s="322">
        <v>0</v>
      </c>
      <c r="FR25" s="322">
        <v>0</v>
      </c>
      <c r="FS25" s="322">
        <v>0</v>
      </c>
      <c r="FT25" s="322">
        <v>0</v>
      </c>
      <c r="FU25" s="322">
        <v>0</v>
      </c>
      <c r="FW25" s="321" t="s">
        <v>247</v>
      </c>
      <c r="FX25" s="322">
        <v>0</v>
      </c>
      <c r="FY25" s="322">
        <v>0</v>
      </c>
      <c r="FZ25" s="322">
        <v>0</v>
      </c>
      <c r="GA25" s="322">
        <v>0</v>
      </c>
      <c r="GB25" s="322">
        <v>0</v>
      </c>
      <c r="GD25" s="321" t="s">
        <v>247</v>
      </c>
      <c r="GE25" s="322">
        <v>0</v>
      </c>
      <c r="GF25" s="322">
        <v>550</v>
      </c>
      <c r="GG25" s="322">
        <v>539</v>
      </c>
      <c r="GH25" s="322">
        <v>532</v>
      </c>
      <c r="GI25" s="322">
        <f>GH25</f>
        <v>532</v>
      </c>
      <c r="GK25" s="321" t="s">
        <v>247</v>
      </c>
      <c r="GL25" s="322">
        <v>523</v>
      </c>
      <c r="GM25" s="322">
        <v>512</v>
      </c>
      <c r="GN25" s="322">
        <v>500</v>
      </c>
      <c r="GO25" s="322">
        <v>472</v>
      </c>
      <c r="GP25" s="322">
        <f>+GO25</f>
        <v>472</v>
      </c>
      <c r="GR25" s="321" t="s">
        <v>247</v>
      </c>
      <c r="GS25" s="322">
        <v>467</v>
      </c>
      <c r="GT25" s="322">
        <v>462</v>
      </c>
      <c r="GU25" s="322">
        <v>508</v>
      </c>
      <c r="GV25" s="322">
        <v>501</v>
      </c>
      <c r="GW25" s="322">
        <f>+GV25</f>
        <v>501</v>
      </c>
      <c r="GY25" s="321" t="s">
        <v>247</v>
      </c>
      <c r="GZ25" s="322">
        <v>496</v>
      </c>
      <c r="HA25" s="322">
        <v>489</v>
      </c>
      <c r="HB25" s="322">
        <v>506</v>
      </c>
      <c r="HC25" s="322">
        <v>505</v>
      </c>
      <c r="HD25" s="322">
        <f>+HC25</f>
        <v>505</v>
      </c>
      <c r="HF25" s="321" t="s">
        <v>247</v>
      </c>
      <c r="HG25" s="322">
        <v>489</v>
      </c>
      <c r="HH25" s="322">
        <v>495</v>
      </c>
      <c r="HI25" s="322">
        <v>496</v>
      </c>
      <c r="HJ25" s="322">
        <v>498</v>
      </c>
      <c r="HK25" s="322">
        <f>+HJ25</f>
        <v>498</v>
      </c>
      <c r="HM25" s="321" t="s">
        <v>247</v>
      </c>
      <c r="HN25" s="322">
        <v>507</v>
      </c>
      <c r="HO25" s="319">
        <v>505</v>
      </c>
      <c r="HP25" s="322">
        <v>498</v>
      </c>
      <c r="HQ25" s="322">
        <v>487</v>
      </c>
      <c r="HR25" s="322">
        <f>+HQ25</f>
        <v>487</v>
      </c>
      <c r="HT25" s="321" t="s">
        <v>247</v>
      </c>
      <c r="HU25" s="319">
        <v>486</v>
      </c>
      <c r="HV25" s="319">
        <v>476</v>
      </c>
      <c r="HW25" s="319">
        <v>270</v>
      </c>
      <c r="HX25" s="319">
        <f>+HW25</f>
        <v>270</v>
      </c>
      <c r="HY25" s="319">
        <f>+HX25</f>
        <v>270</v>
      </c>
      <c r="IA25" s="321" t="s">
        <v>247</v>
      </c>
      <c r="IB25" s="319">
        <f>+HY25</f>
        <v>270</v>
      </c>
      <c r="IC25" s="319">
        <f>+IB25</f>
        <v>270</v>
      </c>
      <c r="ID25" s="319">
        <f>+IC25</f>
        <v>270</v>
      </c>
      <c r="IE25" s="319">
        <f>+ID25</f>
        <v>270</v>
      </c>
      <c r="IF25" s="319">
        <f>+IE25</f>
        <v>270</v>
      </c>
      <c r="IH25" s="321" t="s">
        <v>247</v>
      </c>
      <c r="II25" s="319">
        <f>+IF25</f>
        <v>270</v>
      </c>
      <c r="IJ25" s="319">
        <f>+II25</f>
        <v>270</v>
      </c>
      <c r="IK25" s="319">
        <f>+IJ25</f>
        <v>270</v>
      </c>
      <c r="IL25" s="319">
        <f>+IK25</f>
        <v>270</v>
      </c>
      <c r="IM25" s="319">
        <f>+IL25</f>
        <v>270</v>
      </c>
      <c r="IO25" s="321" t="s">
        <v>247</v>
      </c>
      <c r="IP25" s="319">
        <f>+IM25</f>
        <v>270</v>
      </c>
      <c r="IQ25" s="319">
        <f>+IP25</f>
        <v>270</v>
      </c>
      <c r="IR25" s="319">
        <f>+IQ25</f>
        <v>270</v>
      </c>
      <c r="IS25" s="319">
        <f>+IR25</f>
        <v>270</v>
      </c>
      <c r="IT25" s="319">
        <f>+IS25</f>
        <v>270</v>
      </c>
    </row>
    <row r="26" spans="1:438" outlineLevel="1" x14ac:dyDescent="0.4">
      <c r="B26" s="321" t="s">
        <v>134</v>
      </c>
      <c r="C26" s="322">
        <f t="shared" si="32"/>
        <v>827</v>
      </c>
      <c r="D26" s="322">
        <f t="shared" si="33"/>
        <v>846</v>
      </c>
      <c r="E26" s="322">
        <f t="shared" si="34"/>
        <v>718</v>
      </c>
      <c r="F26" s="322">
        <f t="shared" si="35"/>
        <v>381</v>
      </c>
      <c r="G26" s="322">
        <f t="shared" si="36"/>
        <v>926</v>
      </c>
      <c r="H26" s="322">
        <f t="shared" si="37"/>
        <v>802</v>
      </c>
      <c r="I26" s="322">
        <f t="shared" si="38"/>
        <v>304</v>
      </c>
      <c r="J26" s="322">
        <f t="shared" si="39"/>
        <v>591</v>
      </c>
      <c r="K26" s="322">
        <f t="shared" si="40"/>
        <v>259</v>
      </c>
      <c r="L26" s="322">
        <f t="shared" si="41"/>
        <v>194</v>
      </c>
      <c r="M26" s="322">
        <f t="shared" si="42"/>
        <v>165</v>
      </c>
      <c r="N26" s="322">
        <f t="shared" si="43"/>
        <v>353</v>
      </c>
      <c r="O26" s="322">
        <f t="shared" si="44"/>
        <v>393</v>
      </c>
      <c r="P26" s="322">
        <f t="shared" si="45"/>
        <v>514</v>
      </c>
      <c r="Q26" s="322">
        <f t="shared" si="46"/>
        <v>591</v>
      </c>
      <c r="R26" s="322">
        <f t="shared" si="47"/>
        <v>541</v>
      </c>
      <c r="S26" s="322">
        <f t="shared" si="48"/>
        <v>505</v>
      </c>
      <c r="T26" s="322">
        <f t="shared" si="49"/>
        <v>318</v>
      </c>
      <c r="U26" s="322">
        <f t="shared" si="50"/>
        <v>374</v>
      </c>
      <c r="V26" s="322">
        <f t="shared" si="51"/>
        <v>387</v>
      </c>
      <c r="W26" s="322">
        <f t="shared" si="52"/>
        <v>400</v>
      </c>
      <c r="X26" s="322">
        <f t="shared" si="53"/>
        <v>451</v>
      </c>
      <c r="Y26" s="322">
        <f t="shared" si="54"/>
        <v>592</v>
      </c>
      <c r="Z26" s="322">
        <f t="shared" si="55"/>
        <v>506</v>
      </c>
      <c r="AA26" s="322">
        <f t="shared" si="56"/>
        <v>731</v>
      </c>
      <c r="AB26" s="319">
        <f t="shared" si="57"/>
        <v>846</v>
      </c>
      <c r="AC26" s="319">
        <f t="shared" si="58"/>
        <v>1417</v>
      </c>
      <c r="AD26" s="319">
        <f t="shared" si="59"/>
        <v>3295.3886112685432</v>
      </c>
      <c r="AE26" s="319">
        <f t="shared" si="60"/>
        <v>6268.8464871199176</v>
      </c>
      <c r="AF26" s="319">
        <f t="shared" si="61"/>
        <v>9266.5455658069113</v>
      </c>
      <c r="AG26" s="320"/>
      <c r="AH26" s="320"/>
      <c r="AI26" s="320"/>
      <c r="AJ26" s="320"/>
      <c r="AK26" s="320"/>
      <c r="AL26" s="320"/>
      <c r="AM26" s="320"/>
      <c r="AN26" s="320"/>
      <c r="AO26" s="320"/>
      <c r="AP26" s="320"/>
      <c r="AQ26" s="320"/>
      <c r="AR26" s="320"/>
      <c r="AT26" s="321" t="s">
        <v>134</v>
      </c>
      <c r="AU26" s="322"/>
      <c r="AV26" s="322"/>
      <c r="AW26" s="322"/>
      <c r="AX26" s="322">
        <v>827</v>
      </c>
      <c r="AY26" s="322">
        <f>AX26</f>
        <v>827</v>
      </c>
      <c r="BA26" s="321" t="s">
        <v>134</v>
      </c>
      <c r="BB26" s="322">
        <v>828</v>
      </c>
      <c r="BC26" s="322">
        <v>831</v>
      </c>
      <c r="BD26" s="322">
        <v>829</v>
      </c>
      <c r="BE26" s="322">
        <v>846</v>
      </c>
      <c r="BF26" s="322">
        <f>BE26</f>
        <v>846</v>
      </c>
      <c r="BH26" s="321" t="s">
        <v>134</v>
      </c>
      <c r="BI26" s="322">
        <v>737</v>
      </c>
      <c r="BJ26" s="322">
        <v>761</v>
      </c>
      <c r="BK26" s="322">
        <v>671</v>
      </c>
      <c r="BL26" s="322">
        <v>718</v>
      </c>
      <c r="BM26" s="322">
        <f>BL26</f>
        <v>718</v>
      </c>
      <c r="BO26" s="321" t="s">
        <v>134</v>
      </c>
      <c r="BP26" s="322">
        <v>643</v>
      </c>
      <c r="BQ26" s="322">
        <v>688</v>
      </c>
      <c r="BR26" s="322">
        <v>777</v>
      </c>
      <c r="BS26" s="322">
        <v>381</v>
      </c>
      <c r="BT26" s="322">
        <f>BS26</f>
        <v>381</v>
      </c>
      <c r="BV26" s="321" t="s">
        <v>134</v>
      </c>
      <c r="BW26" s="322">
        <v>864</v>
      </c>
      <c r="BX26" s="322">
        <v>858</v>
      </c>
      <c r="BY26" s="322">
        <v>784</v>
      </c>
      <c r="BZ26" s="322">
        <v>926</v>
      </c>
      <c r="CA26" s="322">
        <f>BZ26</f>
        <v>926</v>
      </c>
      <c r="CC26" s="321" t="s">
        <v>134</v>
      </c>
      <c r="CD26" s="322">
        <v>1018</v>
      </c>
      <c r="CE26" s="322">
        <v>988</v>
      </c>
      <c r="CF26" s="322">
        <v>602</v>
      </c>
      <c r="CG26" s="322">
        <v>802</v>
      </c>
      <c r="CH26" s="322">
        <f>CG26</f>
        <v>802</v>
      </c>
      <c r="CJ26" s="321" t="s">
        <v>134</v>
      </c>
      <c r="CK26" s="322">
        <v>302</v>
      </c>
      <c r="CL26" s="322">
        <v>310</v>
      </c>
      <c r="CM26" s="322">
        <v>317</v>
      </c>
      <c r="CN26" s="322">
        <v>304</v>
      </c>
      <c r="CO26" s="322">
        <f>CN26</f>
        <v>304</v>
      </c>
      <c r="CQ26" s="321" t="s">
        <v>134</v>
      </c>
      <c r="CR26" s="322">
        <v>311</v>
      </c>
      <c r="CS26" s="322">
        <v>318</v>
      </c>
      <c r="CT26" s="322">
        <v>326</v>
      </c>
      <c r="CU26" s="322">
        <v>591</v>
      </c>
      <c r="CV26" s="322">
        <f>CU26</f>
        <v>591</v>
      </c>
      <c r="CX26" s="321" t="s">
        <v>134</v>
      </c>
      <c r="CY26" s="322">
        <v>269</v>
      </c>
      <c r="CZ26" s="322">
        <v>273</v>
      </c>
      <c r="DA26" s="322">
        <v>218</v>
      </c>
      <c r="DB26" s="322">
        <v>259</v>
      </c>
      <c r="DC26" s="322">
        <f>DB26</f>
        <v>259</v>
      </c>
      <c r="DE26" s="321" t="s">
        <v>134</v>
      </c>
      <c r="DF26" s="322">
        <v>246</v>
      </c>
      <c r="DG26" s="322">
        <v>258</v>
      </c>
      <c r="DH26" s="322">
        <v>251</v>
      </c>
      <c r="DI26" s="322">
        <v>194</v>
      </c>
      <c r="DJ26" s="322">
        <f>DI26</f>
        <v>194</v>
      </c>
      <c r="DL26" s="321" t="s">
        <v>134</v>
      </c>
      <c r="DM26" s="322">
        <v>189</v>
      </c>
      <c r="DN26" s="322">
        <v>185</v>
      </c>
      <c r="DO26" s="322">
        <v>173</v>
      </c>
      <c r="DP26" s="322">
        <v>165</v>
      </c>
      <c r="DQ26" s="322">
        <f>DP26</f>
        <v>165</v>
      </c>
      <c r="DS26" s="321" t="s">
        <v>134</v>
      </c>
      <c r="DT26" s="322">
        <v>306</v>
      </c>
      <c r="DU26" s="322">
        <v>319</v>
      </c>
      <c r="DV26" s="322">
        <v>364</v>
      </c>
      <c r="DW26" s="322">
        <v>353</v>
      </c>
      <c r="DX26" s="322">
        <f>DW26</f>
        <v>353</v>
      </c>
      <c r="DZ26" s="321" t="s">
        <v>134</v>
      </c>
      <c r="EA26" s="322">
        <v>351</v>
      </c>
      <c r="EB26" s="322">
        <v>378</v>
      </c>
      <c r="EC26" s="322">
        <v>361</v>
      </c>
      <c r="ED26" s="322">
        <v>393</v>
      </c>
      <c r="EE26" s="322">
        <f>ED26</f>
        <v>393</v>
      </c>
      <c r="EG26" s="321" t="s">
        <v>134</v>
      </c>
      <c r="EH26" s="322">
        <v>399</v>
      </c>
      <c r="EI26" s="322">
        <v>402</v>
      </c>
      <c r="EJ26" s="322">
        <v>410</v>
      </c>
      <c r="EK26" s="322">
        <v>514</v>
      </c>
      <c r="EL26" s="322">
        <f>EK26</f>
        <v>514</v>
      </c>
      <c r="EN26" s="321" t="s">
        <v>134</v>
      </c>
      <c r="EO26" s="322">
        <v>516</v>
      </c>
      <c r="EP26" s="322">
        <v>565</v>
      </c>
      <c r="EQ26" s="322">
        <v>556</v>
      </c>
      <c r="ER26" s="322">
        <v>591</v>
      </c>
      <c r="ES26" s="322">
        <f>ER26</f>
        <v>591</v>
      </c>
      <c r="EU26" s="321" t="s">
        <v>134</v>
      </c>
      <c r="EV26" s="322">
        <v>583</v>
      </c>
      <c r="EW26" s="322">
        <v>587</v>
      </c>
      <c r="EX26" s="322">
        <v>608</v>
      </c>
      <c r="EY26" s="322">
        <v>541</v>
      </c>
      <c r="EZ26" s="322">
        <f>EY26</f>
        <v>541</v>
      </c>
      <c r="FB26" s="321" t="s">
        <v>134</v>
      </c>
      <c r="FC26" s="322">
        <v>479</v>
      </c>
      <c r="FD26" s="322">
        <v>492</v>
      </c>
      <c r="FE26" s="322">
        <v>500</v>
      </c>
      <c r="FF26" s="322">
        <v>505</v>
      </c>
      <c r="FG26" s="322">
        <f>FF26</f>
        <v>505</v>
      </c>
      <c r="FI26" s="321" t="s">
        <v>134</v>
      </c>
      <c r="FJ26" s="322">
        <v>307</v>
      </c>
      <c r="FK26" s="322">
        <v>302</v>
      </c>
      <c r="FL26" s="322">
        <v>303</v>
      </c>
      <c r="FM26" s="322">
        <v>318</v>
      </c>
      <c r="FN26" s="322">
        <f>FM26</f>
        <v>318</v>
      </c>
      <c r="FP26" s="321" t="s">
        <v>134</v>
      </c>
      <c r="FQ26" s="322">
        <v>324</v>
      </c>
      <c r="FR26" s="322">
        <v>317</v>
      </c>
      <c r="FS26" s="322">
        <v>316</v>
      </c>
      <c r="FT26" s="322">
        <v>374</v>
      </c>
      <c r="FU26" s="322">
        <f>FT26</f>
        <v>374</v>
      </c>
      <c r="FW26" s="321" t="s">
        <v>134</v>
      </c>
      <c r="FX26" s="322">
        <v>435</v>
      </c>
      <c r="FY26" s="322">
        <v>455</v>
      </c>
      <c r="FZ26" s="322">
        <v>442</v>
      </c>
      <c r="GA26" s="322">
        <v>387</v>
      </c>
      <c r="GB26" s="322">
        <f>GA26</f>
        <v>387</v>
      </c>
      <c r="GD26" s="321" t="s">
        <v>134</v>
      </c>
      <c r="GE26" s="322">
        <v>894</v>
      </c>
      <c r="GF26" s="322">
        <v>347</v>
      </c>
      <c r="GG26" s="322">
        <v>369</v>
      </c>
      <c r="GH26" s="322">
        <v>400</v>
      </c>
      <c r="GI26" s="322">
        <f>GH26</f>
        <v>400</v>
      </c>
      <c r="GK26" s="321" t="s">
        <v>134</v>
      </c>
      <c r="GL26" s="322">
        <v>401</v>
      </c>
      <c r="GM26" s="322">
        <v>419</v>
      </c>
      <c r="GN26" s="322">
        <v>385</v>
      </c>
      <c r="GO26" s="322">
        <v>451</v>
      </c>
      <c r="GP26" s="322">
        <f>+GO26</f>
        <v>451</v>
      </c>
      <c r="GR26" s="321" t="s">
        <v>134</v>
      </c>
      <c r="GS26" s="322">
        <v>510</v>
      </c>
      <c r="GT26" s="322">
        <v>461</v>
      </c>
      <c r="GU26" s="322">
        <f>400</f>
        <v>400</v>
      </c>
      <c r="GV26" s="322">
        <v>592</v>
      </c>
      <c r="GW26" s="322">
        <f>+GV26</f>
        <v>592</v>
      </c>
      <c r="GY26" s="321" t="s">
        <v>134</v>
      </c>
      <c r="GZ26" s="322">
        <v>619</v>
      </c>
      <c r="HA26" s="322">
        <v>640</v>
      </c>
      <c r="HB26" s="322">
        <v>644</v>
      </c>
      <c r="HC26" s="322">
        <v>506</v>
      </c>
      <c r="HD26" s="322">
        <f>+HD58-HD17-HD20-HD21-HD22-HD25-HD23</f>
        <v>506</v>
      </c>
      <c r="HF26" s="321" t="s">
        <v>134</v>
      </c>
      <c r="HG26" s="322">
        <v>516</v>
      </c>
      <c r="HH26" s="322">
        <v>473</v>
      </c>
      <c r="HI26" s="322">
        <v>439</v>
      </c>
      <c r="HJ26" s="322">
        <v>731</v>
      </c>
      <c r="HK26" s="322">
        <f>HJ26</f>
        <v>731</v>
      </c>
      <c r="HM26" s="321" t="s">
        <v>134</v>
      </c>
      <c r="HN26" s="322">
        <v>759</v>
      </c>
      <c r="HO26" s="319">
        <v>738</v>
      </c>
      <c r="HP26" s="322">
        <v>795</v>
      </c>
      <c r="HQ26" s="322">
        <v>846</v>
      </c>
      <c r="HR26" s="322">
        <f>HQ26</f>
        <v>846</v>
      </c>
      <c r="HT26" s="321" t="s">
        <v>134</v>
      </c>
      <c r="HU26" s="319">
        <v>868</v>
      </c>
      <c r="HV26" s="319">
        <v>889</v>
      </c>
      <c r="HW26" s="319">
        <v>896</v>
      </c>
      <c r="HX26" s="319">
        <f>1687-HX25</f>
        <v>1417</v>
      </c>
      <c r="HY26" s="319">
        <f>+HY58-HY17-HY20-HY21-HY22-HY25-HY23</f>
        <v>1417</v>
      </c>
      <c r="IA26" s="321" t="s">
        <v>134</v>
      </c>
      <c r="IB26" s="319">
        <f>+IB58-IB17-IB20-IB21-IB22-IB25-IB23</f>
        <v>1402.9060567905253</v>
      </c>
      <c r="IC26" s="319">
        <f>+IC58-IC17-IC20-IC21-IC22-IC25-IC23</f>
        <v>1936.0680809514524</v>
      </c>
      <c r="ID26" s="319">
        <f>+ID58-ID17-ID20-ID21-ID22-ID25-ID23</f>
        <v>2594.0400590585923</v>
      </c>
      <c r="IE26" s="319">
        <f>+IE58-IE17-IE20-IE21-IE22-IE25-IE23</f>
        <v>3295.3886112685432</v>
      </c>
      <c r="IF26" s="319">
        <f>+IF58-IF17-IF20-IF21-IF22-IF25-IF23</f>
        <v>3295.3886112685432</v>
      </c>
      <c r="IH26" s="321" t="s">
        <v>134</v>
      </c>
      <c r="II26" s="319">
        <f>+II58-II17-II20-II21-II22-II25-II23</f>
        <v>4110.6914335560141</v>
      </c>
      <c r="IJ26" s="319">
        <f>+IJ58-IJ17-IJ20-IJ21-IJ22-IJ25-IJ23</f>
        <v>4782.5690677046514</v>
      </c>
      <c r="IK26" s="319">
        <f>+IK58-IK17-IK20-IK21-IK22-IK25-IK23</f>
        <v>5526.6846245328998</v>
      </c>
      <c r="IL26" s="319">
        <f>+IL58-IL17-IL20-IL21-IL22-IL25-IL23</f>
        <v>6268.8464871199176</v>
      </c>
      <c r="IM26" s="319">
        <f>+IM58-IM17-IM20-IM21-IM22-IM25-IM23</f>
        <v>6268.8464871199176</v>
      </c>
      <c r="IO26" s="321" t="s">
        <v>134</v>
      </c>
      <c r="IP26" s="319">
        <f>+IP58-IP17-IP20-IP21-IP22-IP25-IP23</f>
        <v>7095.4994016901983</v>
      </c>
      <c r="IQ26" s="319">
        <f>+IQ58-IQ17-IQ20-IQ21-IQ22-IQ25-IQ23</f>
        <v>7769.6869473592233</v>
      </c>
      <c r="IR26" s="319">
        <f>+IR58-IR17-IR20-IR21-IR22-IR25-IR23</f>
        <v>8519.1361624362762</v>
      </c>
      <c r="IS26" s="319">
        <f>+IS58-IS17-IS20-IS21-IS22-IS25-IS23</f>
        <v>9266.5455658069113</v>
      </c>
      <c r="IT26" s="319">
        <f>+IT58-IT17-IT20-IT21-IT22-IT25-IT23</f>
        <v>9266.5455658069113</v>
      </c>
    </row>
    <row r="27" spans="1:438" x14ac:dyDescent="0.4">
      <c r="A27" s="137"/>
      <c r="B27" s="339"/>
      <c r="C27" s="340"/>
      <c r="D27" s="340"/>
      <c r="E27" s="340"/>
      <c r="F27" s="340"/>
      <c r="G27" s="340"/>
      <c r="H27" s="340"/>
      <c r="I27" s="340"/>
      <c r="J27" s="340"/>
      <c r="K27" s="340"/>
      <c r="L27" s="340"/>
      <c r="M27" s="340"/>
      <c r="N27" s="340"/>
      <c r="O27" s="340"/>
      <c r="P27" s="340"/>
      <c r="Q27" s="340"/>
      <c r="R27" s="340"/>
      <c r="S27" s="340"/>
      <c r="T27" s="340"/>
      <c r="U27" s="340"/>
      <c r="V27" s="340"/>
      <c r="W27" s="340"/>
      <c r="X27" s="340"/>
      <c r="Y27" s="340"/>
      <c r="Z27" s="340"/>
      <c r="AA27" s="340"/>
      <c r="AB27" s="340"/>
      <c r="AC27" s="340"/>
      <c r="AD27" s="340"/>
      <c r="AE27" s="340"/>
      <c r="AF27" s="340"/>
      <c r="AG27" s="341"/>
      <c r="AH27" s="341"/>
      <c r="AI27" s="341"/>
      <c r="AJ27" s="341"/>
      <c r="AK27" s="341"/>
      <c r="AL27" s="341"/>
      <c r="AM27" s="341"/>
      <c r="AN27" s="341"/>
      <c r="AO27" s="341"/>
      <c r="AP27" s="341"/>
      <c r="AQ27" s="341"/>
      <c r="AR27" s="341"/>
      <c r="AT27" s="339"/>
      <c r="AU27" s="340"/>
      <c r="AV27" s="340"/>
      <c r="AW27" s="340"/>
      <c r="AX27" s="340"/>
      <c r="AY27" s="340"/>
      <c r="BA27" s="339"/>
      <c r="BB27" s="340"/>
      <c r="BC27" s="340"/>
      <c r="BD27" s="340"/>
      <c r="BE27" s="340"/>
      <c r="BF27" s="340"/>
      <c r="BH27" s="339"/>
      <c r="BI27" s="340"/>
      <c r="BJ27" s="340"/>
      <c r="BK27" s="340"/>
      <c r="BL27" s="340"/>
      <c r="BM27" s="340"/>
      <c r="BO27" s="339"/>
      <c r="BP27" s="340"/>
      <c r="BQ27" s="340"/>
      <c r="BR27" s="340"/>
      <c r="BS27" s="340"/>
      <c r="BT27" s="340"/>
      <c r="BV27" s="339"/>
      <c r="BW27" s="340"/>
      <c r="BX27" s="340"/>
      <c r="BY27" s="340"/>
      <c r="BZ27" s="340"/>
      <c r="CA27" s="340"/>
      <c r="CC27" s="339"/>
      <c r="CD27" s="340"/>
      <c r="CE27" s="340"/>
      <c r="CF27" s="340"/>
      <c r="CG27" s="340"/>
      <c r="CH27" s="340"/>
      <c r="CJ27" s="339"/>
      <c r="CK27" s="340"/>
      <c r="CL27" s="340"/>
      <c r="CM27" s="340"/>
      <c r="CN27" s="340"/>
      <c r="CO27" s="340"/>
      <c r="CQ27" s="339"/>
      <c r="CR27" s="340"/>
      <c r="CS27" s="340"/>
      <c r="CT27" s="340"/>
      <c r="CU27" s="340"/>
      <c r="CV27" s="340"/>
      <c r="CX27" s="339"/>
      <c r="CY27" s="340"/>
      <c r="CZ27" s="340"/>
      <c r="DA27" s="340"/>
      <c r="DB27" s="340"/>
      <c r="DC27" s="340"/>
      <c r="DE27" s="339"/>
      <c r="DF27" s="340"/>
      <c r="DG27" s="340"/>
      <c r="DH27" s="340"/>
      <c r="DI27" s="340"/>
      <c r="DJ27" s="340"/>
      <c r="DL27" s="339"/>
      <c r="DM27" s="340"/>
      <c r="DN27" s="340"/>
      <c r="DO27" s="340"/>
      <c r="DP27" s="340"/>
      <c r="DQ27" s="340"/>
      <c r="DS27" s="339"/>
      <c r="DT27" s="340"/>
      <c r="DU27" s="340"/>
      <c r="DV27" s="340"/>
      <c r="DW27" s="340"/>
      <c r="DX27" s="340"/>
      <c r="DZ27" s="339"/>
      <c r="EA27" s="340"/>
      <c r="EB27" s="340"/>
      <c r="EC27" s="340"/>
      <c r="ED27" s="340"/>
      <c r="EE27" s="340"/>
      <c r="EG27" s="339"/>
      <c r="EH27" s="340"/>
      <c r="EI27" s="340"/>
      <c r="EJ27" s="340"/>
      <c r="EK27" s="340"/>
      <c r="EL27" s="340"/>
      <c r="EN27" s="339"/>
      <c r="EO27" s="340"/>
      <c r="EP27" s="340"/>
      <c r="EQ27" s="340"/>
      <c r="ER27" s="340"/>
      <c r="ES27" s="340"/>
      <c r="EU27" s="339"/>
      <c r="EV27" s="340"/>
      <c r="EW27" s="340"/>
      <c r="EX27" s="340"/>
      <c r="EY27" s="340"/>
      <c r="EZ27" s="340"/>
      <c r="FB27" s="339"/>
      <c r="FC27" s="340"/>
      <c r="FD27" s="340"/>
      <c r="FE27" s="340"/>
      <c r="FF27" s="340"/>
      <c r="FG27" s="340"/>
      <c r="FI27" s="339"/>
      <c r="FJ27" s="340"/>
      <c r="FK27" s="340"/>
      <c r="FL27" s="340"/>
      <c r="FM27" s="340"/>
      <c r="FN27" s="340"/>
      <c r="FP27" s="339"/>
      <c r="FQ27" s="340"/>
      <c r="FR27" s="340"/>
      <c r="FS27" s="340"/>
      <c r="FT27" s="340"/>
      <c r="FU27" s="340"/>
      <c r="FW27" s="339"/>
      <c r="FX27" s="340"/>
      <c r="FY27" s="340"/>
      <c r="FZ27" s="340"/>
      <c r="GA27" s="340"/>
      <c r="GB27" s="340"/>
      <c r="GD27" s="339"/>
      <c r="GE27" s="340"/>
      <c r="GF27" s="340"/>
      <c r="GG27" s="340"/>
      <c r="GH27" s="340"/>
      <c r="GI27" s="340"/>
      <c r="GK27" s="339"/>
      <c r="GL27" s="340"/>
      <c r="GM27" s="340"/>
      <c r="GN27" s="340"/>
      <c r="GO27" s="340"/>
      <c r="GP27" s="340"/>
      <c r="GR27" s="339"/>
      <c r="GS27" s="340"/>
      <c r="GT27" s="340"/>
      <c r="GU27" s="340"/>
      <c r="GV27" s="340"/>
      <c r="GW27" s="340"/>
      <c r="GY27" s="339"/>
      <c r="GZ27" s="340"/>
      <c r="HA27" s="340"/>
      <c r="HB27" s="340"/>
      <c r="HC27" s="340"/>
      <c r="HD27" s="340"/>
      <c r="HF27" s="339"/>
      <c r="HG27" s="340"/>
      <c r="HH27" s="340"/>
      <c r="HI27" s="340"/>
      <c r="HJ27" s="340"/>
      <c r="HK27" s="340"/>
      <c r="HM27" s="339"/>
      <c r="HN27" s="340"/>
      <c r="HO27" s="340"/>
      <c r="HP27" s="340"/>
      <c r="HQ27" s="340"/>
      <c r="HR27" s="340"/>
      <c r="HT27" s="339"/>
      <c r="HU27" s="340"/>
      <c r="HV27" s="340"/>
      <c r="HW27" s="340"/>
      <c r="HX27" s="340"/>
      <c r="HY27" s="340"/>
      <c r="IA27" s="339"/>
      <c r="IB27" s="340"/>
      <c r="IC27" s="340"/>
      <c r="ID27" s="340"/>
      <c r="IE27" s="340"/>
      <c r="IF27" s="340"/>
      <c r="IH27" s="339"/>
      <c r="II27" s="340"/>
      <c r="IJ27" s="340"/>
      <c r="IK27" s="340"/>
      <c r="IL27" s="340"/>
      <c r="IM27" s="340"/>
      <c r="IO27" s="339"/>
      <c r="IP27" s="340"/>
      <c r="IQ27" s="340"/>
      <c r="IR27" s="340"/>
      <c r="IS27" s="340"/>
      <c r="IT27" s="340"/>
    </row>
    <row r="28" spans="1:438" s="336" customFormat="1" ht="15" customHeight="1" thickBot="1" x14ac:dyDescent="0.45">
      <c r="A28" s="325"/>
      <c r="B28" s="326" t="s">
        <v>45</v>
      </c>
      <c r="C28" s="327">
        <f>AY28</f>
        <v>19131</v>
      </c>
      <c r="D28" s="327">
        <f>BF28</f>
        <v>20548</v>
      </c>
      <c r="E28" s="327">
        <f>BM28</f>
        <v>20801</v>
      </c>
      <c r="F28" s="327">
        <f>BT28</f>
        <v>20951</v>
      </c>
      <c r="G28" s="327">
        <f>CA28</f>
        <v>21760</v>
      </c>
      <c r="H28" s="327">
        <f>CH28</f>
        <v>24605</v>
      </c>
      <c r="I28" s="327">
        <f>CO28</f>
        <v>24232</v>
      </c>
      <c r="J28" s="327">
        <f>CV28</f>
        <v>25129</v>
      </c>
      <c r="K28" s="327">
        <f>DC28</f>
        <v>25534</v>
      </c>
      <c r="L28" s="327">
        <f>DJ28</f>
        <v>26288</v>
      </c>
      <c r="M28" s="327">
        <f>DQ28</f>
        <v>27036</v>
      </c>
      <c r="N28" s="327">
        <f>DX28</f>
        <v>28141</v>
      </c>
      <c r="O28" s="327">
        <f>EE28</f>
        <v>29473</v>
      </c>
      <c r="P28" s="327">
        <f>EL28</f>
        <v>30571</v>
      </c>
      <c r="Q28" s="327">
        <f>ES28</f>
        <v>31782</v>
      </c>
      <c r="R28" s="327">
        <f>EZ28</f>
        <v>33053</v>
      </c>
      <c r="S28" s="327">
        <f>FG28</f>
        <v>35039</v>
      </c>
      <c r="T28" s="327">
        <f>FN28</f>
        <v>35414</v>
      </c>
      <c r="U28" s="327">
        <f>FU28</f>
        <v>35739</v>
      </c>
      <c r="V28" s="327">
        <f>GB28</f>
        <v>36729</v>
      </c>
      <c r="W28" s="327">
        <f>GI28</f>
        <v>38257</v>
      </c>
      <c r="X28" s="327">
        <f>GP28</f>
        <v>39793</v>
      </c>
      <c r="Y28" s="327">
        <f>GW28</f>
        <v>40531</v>
      </c>
      <c r="Z28" s="327">
        <f>HD28</f>
        <v>41682</v>
      </c>
      <c r="AA28" s="327">
        <f>HK28</f>
        <v>42212</v>
      </c>
      <c r="AB28" s="327">
        <f>HR28</f>
        <v>42764</v>
      </c>
      <c r="AC28" s="327">
        <f>HY28</f>
        <v>43682</v>
      </c>
      <c r="AD28" s="327">
        <f>IF28</f>
        <v>46011.523098854886</v>
      </c>
      <c r="AE28" s="327">
        <f>IM28</f>
        <v>49772.146882217014</v>
      </c>
      <c r="AF28" s="327">
        <f>IT28</f>
        <v>53868.792224058663</v>
      </c>
      <c r="AG28" s="328"/>
      <c r="AH28" s="328"/>
      <c r="AI28" s="328"/>
      <c r="AJ28" s="328"/>
      <c r="AK28" s="328"/>
      <c r="AL28" s="328"/>
      <c r="AM28" s="328"/>
      <c r="AN28" s="328"/>
      <c r="AO28" s="328"/>
      <c r="AP28" s="328"/>
      <c r="AQ28" s="328"/>
      <c r="AR28" s="328"/>
      <c r="AS28" s="329"/>
      <c r="AT28" s="326" t="s">
        <v>45</v>
      </c>
      <c r="AU28" s="327"/>
      <c r="AV28" s="327"/>
      <c r="AW28" s="327"/>
      <c r="AX28" s="327">
        <f>+AX17+AX19+AX22+AX24</f>
        <v>20720</v>
      </c>
      <c r="AY28" s="327">
        <f>+AY17+AY19+AY22+AY24</f>
        <v>19131</v>
      </c>
      <c r="AZ28" s="329"/>
      <c r="BA28" s="326" t="s">
        <v>45</v>
      </c>
      <c r="BB28" s="327">
        <f>+BB17+BB19+BB22+BB24</f>
        <v>20525</v>
      </c>
      <c r="BC28" s="327">
        <f>+BC17+BC19+BC22+BC24</f>
        <v>20374</v>
      </c>
      <c r="BD28" s="327">
        <f>+BD17+BD19+BD22+BD24</f>
        <v>20707</v>
      </c>
      <c r="BE28" s="327">
        <f>+BE17+BE19+BE22+BE24</f>
        <v>20548</v>
      </c>
      <c r="BF28" s="327">
        <f>+BF17+BF19+BF22+BF24</f>
        <v>20548</v>
      </c>
      <c r="BG28" s="329"/>
      <c r="BH28" s="326" t="s">
        <v>45</v>
      </c>
      <c r="BI28" s="327">
        <f>+BI17+BI19+BI22+BI24</f>
        <v>20438</v>
      </c>
      <c r="BJ28" s="327">
        <f>+BJ17+BJ19+BJ22+BJ24</f>
        <v>20509</v>
      </c>
      <c r="BK28" s="327">
        <f>+BK17+BK19+BK22+BK24</f>
        <v>20606</v>
      </c>
      <c r="BL28" s="327">
        <f>+BL17+BL19+BL22+BL24</f>
        <v>20801</v>
      </c>
      <c r="BM28" s="327">
        <f>+BM17+BM19+BM22+BM24</f>
        <v>20801</v>
      </c>
      <c r="BN28" s="329"/>
      <c r="BO28" s="326" t="s">
        <v>45</v>
      </c>
      <c r="BP28" s="327">
        <f>+BP17+BP19+BP22+BP24</f>
        <v>20842</v>
      </c>
      <c r="BQ28" s="327">
        <f>+BQ17+BQ19+BQ22+BQ24</f>
        <v>20920</v>
      </c>
      <c r="BR28" s="327">
        <f>+BR17+BR19+BR22+BR24</f>
        <v>21025</v>
      </c>
      <c r="BS28" s="327">
        <f>+BS17+BS19+BS22+BS24</f>
        <v>20951</v>
      </c>
      <c r="BT28" s="327">
        <f>+BT17+BT19+BT22+BT24</f>
        <v>20951</v>
      </c>
      <c r="BU28" s="329"/>
      <c r="BV28" s="326" t="s">
        <v>45</v>
      </c>
      <c r="BW28" s="327">
        <f>+BW17+BW19+BW22+BW24</f>
        <v>20959</v>
      </c>
      <c r="BX28" s="327">
        <f>+BX17+BX19+BX22+BX24</f>
        <v>21539</v>
      </c>
      <c r="BY28" s="327">
        <f>+BY17+BY19+BY22+BY24</f>
        <v>21927</v>
      </c>
      <c r="BZ28" s="327">
        <f>+BZ17+BZ19+BZ22+BZ24</f>
        <v>21760</v>
      </c>
      <c r="CA28" s="327">
        <f>+CA17+CA19+CA22+CA24</f>
        <v>21760</v>
      </c>
      <c r="CB28" s="329"/>
      <c r="CC28" s="326" t="s">
        <v>45</v>
      </c>
      <c r="CD28" s="327">
        <f>+CD17+CD19+CD22+CD24</f>
        <v>22073</v>
      </c>
      <c r="CE28" s="327">
        <f>+CE17+CE19+CE22+CE24</f>
        <v>22452</v>
      </c>
      <c r="CF28" s="327">
        <f>+CF17+CF19+CF22+CF24</f>
        <v>24365</v>
      </c>
      <c r="CG28" s="327">
        <f>+CG17+CG19+CG22+CG24</f>
        <v>24605</v>
      </c>
      <c r="CH28" s="327">
        <f>+CH17+CH19+CH22+CH24</f>
        <v>24605</v>
      </c>
      <c r="CI28" s="329"/>
      <c r="CJ28" s="326" t="s">
        <v>45</v>
      </c>
      <c r="CK28" s="327">
        <f>+CK17+CK19+CK22+CK24</f>
        <v>25092</v>
      </c>
      <c r="CL28" s="327">
        <f>+CL17+CL19+CL22+CL24</f>
        <v>23750</v>
      </c>
      <c r="CM28" s="327">
        <f>+CM17+CM19+CM22+CM24</f>
        <v>24021</v>
      </c>
      <c r="CN28" s="327">
        <f>+CN17+CN19+CN22+CN24</f>
        <v>24232</v>
      </c>
      <c r="CO28" s="327">
        <f>+CO17+CO19+CO22+CO24</f>
        <v>24232</v>
      </c>
      <c r="CP28" s="329"/>
      <c r="CQ28" s="326" t="s">
        <v>45</v>
      </c>
      <c r="CR28" s="327">
        <f>+CR17+CR19+CR22+CR24</f>
        <v>24419</v>
      </c>
      <c r="CS28" s="327">
        <f>+CS17+CS19+CS22+CS24</f>
        <v>24598</v>
      </c>
      <c r="CT28" s="327">
        <f>+CT17+CT19+CT22+CT24</f>
        <v>24872</v>
      </c>
      <c r="CU28" s="327">
        <f>+CU17+CU19+CU22+CU24</f>
        <v>25129</v>
      </c>
      <c r="CV28" s="327">
        <f>+CV17+CV19+CV22+CV24</f>
        <v>25129</v>
      </c>
      <c r="CW28" s="329"/>
      <c r="CX28" s="326" t="s">
        <v>45</v>
      </c>
      <c r="CY28" s="327">
        <f>+CY17+CY19+CY22+CY24</f>
        <v>24925</v>
      </c>
      <c r="CZ28" s="327">
        <f>+CZ17+CZ19+CZ22+CZ24</f>
        <v>25071</v>
      </c>
      <c r="DA28" s="327">
        <f>+DA17+DA19+DA22+DA24</f>
        <v>25605</v>
      </c>
      <c r="DB28" s="327">
        <f>+DB17+DB19+DB22+DB24</f>
        <v>25534</v>
      </c>
      <c r="DC28" s="327">
        <f>+DC17+DC19+DC22+DC24</f>
        <v>25534</v>
      </c>
      <c r="DD28" s="329"/>
      <c r="DE28" s="326" t="s">
        <v>45</v>
      </c>
      <c r="DF28" s="327">
        <f>+DF17+DF19+DF22+DF24</f>
        <v>26661</v>
      </c>
      <c r="DG28" s="327">
        <f>+DG17+DG19+DG22+DG24</f>
        <v>26785</v>
      </c>
      <c r="DH28" s="327">
        <f>+DH17+DH19+DH22+DH24</f>
        <v>26637</v>
      </c>
      <c r="DI28" s="327">
        <f>+DI17+DI19+DI22+DI24</f>
        <v>26288</v>
      </c>
      <c r="DJ28" s="327">
        <f>+DJ17+DJ19+DJ22+DJ24</f>
        <v>26288</v>
      </c>
      <c r="DK28" s="329"/>
      <c r="DL28" s="326" t="s">
        <v>45</v>
      </c>
      <c r="DM28" s="327">
        <f>+DM17+DM19+DM22+DM24</f>
        <v>26567</v>
      </c>
      <c r="DN28" s="327">
        <f>+DN17+DN19+DN22+DN24</f>
        <v>26735</v>
      </c>
      <c r="DO28" s="327">
        <f>+DO17+DO19+DO22+DO24</f>
        <v>27020</v>
      </c>
      <c r="DP28" s="327">
        <f>+DP17+DP19+DP22+DP24</f>
        <v>27036</v>
      </c>
      <c r="DQ28" s="327">
        <f>+DQ17+DQ19+DQ22+DQ24</f>
        <v>27036</v>
      </c>
      <c r="DR28" s="329"/>
      <c r="DS28" s="326" t="s">
        <v>45</v>
      </c>
      <c r="DT28" s="327">
        <f>+DT17+DT19+DT22+DT24</f>
        <v>27193</v>
      </c>
      <c r="DU28" s="327">
        <f>+DU17+DU19+DU22+DU24</f>
        <v>26744</v>
      </c>
      <c r="DV28" s="327">
        <f>+DV17+DV19+DV22+DV24</f>
        <v>27029</v>
      </c>
      <c r="DW28" s="327">
        <f>+DW17+DW19+DW22+DW24</f>
        <v>28141</v>
      </c>
      <c r="DX28" s="327">
        <f>+DX17+DX19+DX22+DX24</f>
        <v>28141</v>
      </c>
      <c r="DY28" s="329"/>
      <c r="DZ28" s="326" t="s">
        <v>45</v>
      </c>
      <c r="EA28" s="327">
        <f>+EA17+EA19+EA22+EA24</f>
        <v>27577</v>
      </c>
      <c r="EB28" s="327">
        <f>+EB17+EB19+EB22+EB24</f>
        <v>28705</v>
      </c>
      <c r="EC28" s="327">
        <f>+EC17+EC19+EC22+EC24</f>
        <v>28248</v>
      </c>
      <c r="ED28" s="327">
        <f>+ED17+ED19+ED22+ED24</f>
        <v>29473</v>
      </c>
      <c r="EE28" s="327">
        <f>+EE17+EE19+EE22+EE24</f>
        <v>29473</v>
      </c>
      <c r="EF28" s="329"/>
      <c r="EG28" s="326" t="s">
        <v>45</v>
      </c>
      <c r="EH28" s="327">
        <f>+EH17+EH19+EH22+EH24</f>
        <v>29186</v>
      </c>
      <c r="EI28" s="327">
        <f>+EI17+EI19+EI22+EI24</f>
        <v>29589</v>
      </c>
      <c r="EJ28" s="327">
        <f>+EJ17+EJ19+EJ22+EJ24</f>
        <v>29930</v>
      </c>
      <c r="EK28" s="327">
        <f>+EK17+EK19+EK22+EK24</f>
        <v>30571</v>
      </c>
      <c r="EL28" s="327">
        <f>+EL17+EL19+EL22+EL24</f>
        <v>30571</v>
      </c>
      <c r="EM28" s="329"/>
      <c r="EN28" s="326" t="s">
        <v>45</v>
      </c>
      <c r="EO28" s="327">
        <f>+EO17+EO19+EO22+EO24</f>
        <v>30586</v>
      </c>
      <c r="EP28" s="327">
        <f>+EP17+EP19+EP22+EP24</f>
        <v>30881</v>
      </c>
      <c r="EQ28" s="327">
        <f>+EQ17+EQ19+EQ22+EQ24</f>
        <v>30943</v>
      </c>
      <c r="ER28" s="327">
        <f>+ER17+ER19+ER22+ER24</f>
        <v>31782</v>
      </c>
      <c r="ES28" s="327">
        <f>+ES17+ES19+ES22+ES24</f>
        <v>31782</v>
      </c>
      <c r="ET28" s="329"/>
      <c r="EU28" s="326" t="s">
        <v>45</v>
      </c>
      <c r="EV28" s="327">
        <f>+EV17+EV19+EV22+EV24</f>
        <v>31680</v>
      </c>
      <c r="EW28" s="327">
        <f>+EW17+EW19+EW22+EW24</f>
        <v>31975</v>
      </c>
      <c r="EX28" s="327">
        <f>+EX17+EX19+EX22+EX24</f>
        <v>32623</v>
      </c>
      <c r="EY28" s="327">
        <f>+EY17+EY19+EY22+EY24</f>
        <v>33053</v>
      </c>
      <c r="EZ28" s="327">
        <f>+EZ17+EZ19+EZ22+EZ24</f>
        <v>33053</v>
      </c>
      <c r="FA28" s="329"/>
      <c r="FB28" s="326" t="s">
        <v>45</v>
      </c>
      <c r="FC28" s="327">
        <f>+FC17+FC19+FC22+FC24</f>
        <v>33161</v>
      </c>
      <c r="FD28" s="327">
        <f>+FD17+FD19+FD22+FD24</f>
        <v>33777</v>
      </c>
      <c r="FE28" s="327">
        <f>+FE17+FE19+FE22+FE24</f>
        <v>34015</v>
      </c>
      <c r="FF28" s="327">
        <f>+FF17+FF19+FF22+FF24</f>
        <v>35039</v>
      </c>
      <c r="FG28" s="327">
        <f>+FG17+FG19+FG22+FG24</f>
        <v>35039</v>
      </c>
      <c r="FH28" s="329"/>
      <c r="FI28" s="326" t="s">
        <v>45</v>
      </c>
      <c r="FJ28" s="327">
        <f>+FJ17+FJ19+FJ22+FJ24</f>
        <v>34610</v>
      </c>
      <c r="FK28" s="327">
        <f>+FK17+FK19+FK22+FK24</f>
        <v>34550</v>
      </c>
      <c r="FL28" s="327">
        <f>+FL17+FL19+FL22+FL24</f>
        <v>34681</v>
      </c>
      <c r="FM28" s="327">
        <f>+FM17+FM19+FM22+FM24</f>
        <v>35414</v>
      </c>
      <c r="FN28" s="327">
        <f>+FN17+FN19+FN22+FN24</f>
        <v>35414</v>
      </c>
      <c r="FO28" s="329"/>
      <c r="FP28" s="326" t="s">
        <v>45</v>
      </c>
      <c r="FQ28" s="327">
        <f>+FQ17+FQ19+FQ22+FQ24</f>
        <v>35712</v>
      </c>
      <c r="FR28" s="327">
        <f>+FR17+FR19+FR22+FR24</f>
        <v>35861</v>
      </c>
      <c r="FS28" s="327">
        <f>+FS17+FS19+FS22+FS24</f>
        <v>35573</v>
      </c>
      <c r="FT28" s="327">
        <f>+FT17+FT19+FT22+FT24</f>
        <v>35739</v>
      </c>
      <c r="FU28" s="327">
        <f>+FU17+FU19+FU22+FU24</f>
        <v>35739</v>
      </c>
      <c r="FV28" s="329"/>
      <c r="FW28" s="326" t="s">
        <v>45</v>
      </c>
      <c r="FX28" s="327">
        <f>+FX17+FX19+FX22+FX24</f>
        <v>37439</v>
      </c>
      <c r="FY28" s="327">
        <f>+FY17+FY19+FY22+FY24</f>
        <v>36924</v>
      </c>
      <c r="FZ28" s="327">
        <f>+FZ17+FZ19+FZ22+FZ24</f>
        <v>36861</v>
      </c>
      <c r="GA28" s="327">
        <f>+GA17+GA19+GA22+GA24</f>
        <v>36729</v>
      </c>
      <c r="GB28" s="327">
        <f>+GB17+GB19+GB22+GB24</f>
        <v>36729</v>
      </c>
      <c r="GC28" s="329"/>
      <c r="GD28" s="326" t="s">
        <v>45</v>
      </c>
      <c r="GE28" s="327">
        <f>+GE17+GE19+GE22+GE24</f>
        <v>38154</v>
      </c>
      <c r="GF28" s="327">
        <f>+GF17+GF19+GF22+GF24</f>
        <v>37924</v>
      </c>
      <c r="GG28" s="327">
        <f>+GG17+GG19+GG22+GG24</f>
        <v>38795</v>
      </c>
      <c r="GH28" s="327">
        <f>+GH17+GH19+GH22+GH24</f>
        <v>38257</v>
      </c>
      <c r="GI28" s="327">
        <f>+GI17+GI19+GI22+GI24</f>
        <v>38257</v>
      </c>
      <c r="GJ28" s="329"/>
      <c r="GK28" s="326" t="s">
        <v>45</v>
      </c>
      <c r="GL28" s="327">
        <f>+GL17+GL19+GL22+GL24</f>
        <v>38834</v>
      </c>
      <c r="GM28" s="327">
        <f>+GM17+GM19+GM22+GM24</f>
        <v>38904</v>
      </c>
      <c r="GN28" s="327">
        <f>+GN17+GN19+GN22+GN24</f>
        <v>39443</v>
      </c>
      <c r="GO28" s="327">
        <f>+GO17+GO19+GO22+GO24</f>
        <v>39793</v>
      </c>
      <c r="GP28" s="327">
        <f>+GP17+GP19+GP22+GP24</f>
        <v>39793</v>
      </c>
      <c r="GQ28" s="329"/>
      <c r="GR28" s="326" t="s">
        <v>45</v>
      </c>
      <c r="GS28" s="327">
        <f>+GS17+GS19+GS22+GS24</f>
        <v>39692</v>
      </c>
      <c r="GT28" s="327">
        <f>+GT17+GT19+GT22+GT24</f>
        <v>40015</v>
      </c>
      <c r="GU28" s="327">
        <f>+GU17+GU19+GU22+GU24+GU23</f>
        <v>40129</v>
      </c>
      <c r="GV28" s="327">
        <f>+GV17+GV19+GV22+GV24+GV23</f>
        <v>40531</v>
      </c>
      <c r="GW28" s="327">
        <f>+GW17+GW19+GW22+GW24+GW23</f>
        <v>40531</v>
      </c>
      <c r="GX28" s="329"/>
      <c r="GY28" s="326" t="s">
        <v>45</v>
      </c>
      <c r="GZ28" s="327">
        <f>+GZ17+GZ19+GZ22+GZ24+GZ23</f>
        <v>40452</v>
      </c>
      <c r="HA28" s="327">
        <f>+HA17+HA19+HA22+HA24+HA23</f>
        <v>40366</v>
      </c>
      <c r="HB28" s="327">
        <f>+HB17+HB19+HB22+HB24+HB23</f>
        <v>42242</v>
      </c>
      <c r="HC28" s="327">
        <f>+HC17+HC19+HC22+HC24+HC23</f>
        <v>41682</v>
      </c>
      <c r="HD28" s="327">
        <f>+HD17+HD19+HD22+HD24+HD23</f>
        <v>41682</v>
      </c>
      <c r="HE28" s="329"/>
      <c r="HF28" s="326" t="s">
        <v>45</v>
      </c>
      <c r="HG28" s="327">
        <f>+HG17+HG19+HG22+HG24+HG23</f>
        <v>41256</v>
      </c>
      <c r="HH28" s="327">
        <f>+HH17+HH19+HH22+HH24+HH23</f>
        <v>40979</v>
      </c>
      <c r="HI28" s="327">
        <f>+HI17+HI19+HI22+HI24+HI23</f>
        <v>41589</v>
      </c>
      <c r="HJ28" s="327">
        <f>+HJ17+HJ19+HJ22+HJ24+HJ23</f>
        <v>42212</v>
      </c>
      <c r="HK28" s="327">
        <f>+HK17+HK19+HK22+HK24+HK23</f>
        <v>42212</v>
      </c>
      <c r="HL28" s="329"/>
      <c r="HM28" s="326" t="s">
        <v>45</v>
      </c>
      <c r="HN28" s="327">
        <f>+HN17+HN19+HN22+HN24+HN23</f>
        <v>42482</v>
      </c>
      <c r="HO28" s="327">
        <f>+HO17+HO19+HO22+HO24+HO23</f>
        <v>42362</v>
      </c>
      <c r="HP28" s="327">
        <f>+HP17+HP19+HP22+HP24+HP23</f>
        <v>43069</v>
      </c>
      <c r="HQ28" s="327">
        <f>+HQ17+HQ19+HQ22+HQ24+HQ23</f>
        <v>42764</v>
      </c>
      <c r="HR28" s="327">
        <f>+HR17+HR19+HR22+HR24+HR23</f>
        <v>42764</v>
      </c>
      <c r="HS28" s="329"/>
      <c r="HT28" s="326" t="s">
        <v>45</v>
      </c>
      <c r="HU28" s="327">
        <f>+HU17+HU19+HU22+HU24+HU23</f>
        <v>43199</v>
      </c>
      <c r="HV28" s="327">
        <f>+HV17+HV19+HV22+HV24+HV23</f>
        <v>42929</v>
      </c>
      <c r="HW28" s="327">
        <f>+HW17+HW19+HW22+HW24+HW23</f>
        <v>43279</v>
      </c>
      <c r="HX28" s="327">
        <f>+HX17+HX19+HX22+HX24+HX23</f>
        <v>43682</v>
      </c>
      <c r="HY28" s="327">
        <f>+HY17+HY19+HY22+HY24+HY23</f>
        <v>43682</v>
      </c>
      <c r="HZ28" s="329"/>
      <c r="IA28" s="326" t="s">
        <v>45</v>
      </c>
      <c r="IB28" s="327">
        <f>+IB17+IB19+IB22+IB24+IB23</f>
        <v>43510.34003557956</v>
      </c>
      <c r="IC28" s="327">
        <f>+IC17+IC19+IC22+IC24+IC23</f>
        <v>44246.269999168893</v>
      </c>
      <c r="ID28" s="327">
        <f>+ID17+ID19+ID22+ID24+ID23</f>
        <v>45122.395978934277</v>
      </c>
      <c r="IE28" s="327">
        <f>+IE17+IE19+IE22+IE24+IE23</f>
        <v>46011.523098854886</v>
      </c>
      <c r="IF28" s="327">
        <f>+IF17+IF19+IF22+IF24+IF23</f>
        <v>46011.523098854886</v>
      </c>
      <c r="IG28" s="329"/>
      <c r="IH28" s="326" t="s">
        <v>45</v>
      </c>
      <c r="II28" s="327">
        <f>+II17+II19+II22+II24+II23</f>
        <v>46898.040392118972</v>
      </c>
      <c r="IJ28" s="327">
        <f>+IJ17+IJ19+IJ22+IJ24+IJ23</f>
        <v>47798.749957101056</v>
      </c>
      <c r="IK28" s="327">
        <f>+IK17+IK19+IK22+IK24+IK23</f>
        <v>48809.345304987466</v>
      </c>
      <c r="IL28" s="327">
        <f>+IL17+IL19+IL22+IL24+IL23</f>
        <v>49772.146882217014</v>
      </c>
      <c r="IM28" s="327">
        <f>+IM17+IM19+IM22+IM24+IM23</f>
        <v>49772.146882217014</v>
      </c>
      <c r="IN28" s="329"/>
      <c r="IO28" s="326" t="s">
        <v>45</v>
      </c>
      <c r="IP28" s="327">
        <f>+IP17+IP19+IP22+IP24+IP23</f>
        <v>50748.676455852925</v>
      </c>
      <c r="IQ28" s="327">
        <f>+IQ17+IQ19+IQ22+IQ24+IQ23</f>
        <v>51730.597454934235</v>
      </c>
      <c r="IR28" s="327">
        <f>+IR17+IR19+IR22+IR24+IR23</f>
        <v>52824.943998947798</v>
      </c>
      <c r="IS28" s="327">
        <f>+IS17+IS19+IS22+IS24+IS23</f>
        <v>53868.792224058663</v>
      </c>
      <c r="IT28" s="327">
        <f>+IT17+IT19+IT22+IT24+IT23</f>
        <v>53868.792224058663</v>
      </c>
      <c r="IU28" s="329"/>
      <c r="IV28" s="329"/>
      <c r="IW28" s="329"/>
      <c r="IX28" s="329"/>
      <c r="IY28" s="329"/>
      <c r="IZ28" s="329"/>
      <c r="JA28" s="329"/>
      <c r="JB28" s="329"/>
      <c r="JC28" s="329"/>
      <c r="JD28" s="329"/>
      <c r="JE28" s="329"/>
      <c r="JF28" s="329"/>
      <c r="JG28" s="329"/>
      <c r="JH28" s="329"/>
      <c r="JI28" s="329"/>
      <c r="JJ28" s="329"/>
      <c r="JK28" s="329"/>
      <c r="JL28" s="329"/>
      <c r="JM28" s="329"/>
      <c r="JN28" s="329"/>
      <c r="JO28" s="329"/>
      <c r="JP28" s="330"/>
      <c r="JQ28" s="329"/>
      <c r="JR28" s="329"/>
      <c r="JS28" s="329"/>
      <c r="JT28" s="329"/>
      <c r="JU28" s="330"/>
      <c r="JV28" s="330"/>
      <c r="JW28" s="331"/>
      <c r="JX28" s="331"/>
      <c r="JY28" s="331"/>
      <c r="JZ28" s="331"/>
      <c r="KA28" s="331"/>
      <c r="KB28" s="331"/>
      <c r="KC28" s="331"/>
      <c r="KD28" s="331"/>
      <c r="KE28" s="331"/>
      <c r="KF28" s="332"/>
      <c r="KG28" s="333"/>
      <c r="KH28" s="334"/>
      <c r="KI28" s="334"/>
      <c r="KJ28" s="335"/>
      <c r="KK28" s="335"/>
      <c r="KL28" s="335"/>
      <c r="KM28" s="335"/>
      <c r="KN28" s="335"/>
      <c r="KO28" s="335"/>
      <c r="KP28" s="335"/>
      <c r="KQ28" s="335"/>
      <c r="KR28" s="335"/>
      <c r="KS28" s="335"/>
      <c r="KT28" s="335"/>
      <c r="KU28" s="335"/>
      <c r="KV28" s="335"/>
      <c r="KW28" s="335"/>
      <c r="KX28" s="335"/>
      <c r="KY28" s="335"/>
      <c r="KZ28" s="335"/>
      <c r="LA28" s="335"/>
      <c r="LB28" s="335"/>
      <c r="LC28" s="335"/>
      <c r="LD28" s="335"/>
      <c r="LE28" s="335"/>
      <c r="LF28" s="335"/>
      <c r="LG28" s="335"/>
      <c r="LH28" s="335"/>
      <c r="LI28" s="335"/>
      <c r="LJ28" s="335"/>
      <c r="LK28" s="335"/>
      <c r="LL28" s="335"/>
      <c r="LM28" s="335"/>
      <c r="LN28" s="335"/>
      <c r="LO28" s="335"/>
      <c r="LP28" s="335"/>
      <c r="LQ28" s="335"/>
      <c r="LR28" s="335"/>
      <c r="LS28" s="335"/>
      <c r="LT28" s="335"/>
      <c r="LU28" s="335"/>
      <c r="LV28" s="335"/>
      <c r="LW28" s="335"/>
      <c r="LX28" s="335"/>
      <c r="LY28" s="335"/>
      <c r="LZ28" s="335"/>
      <c r="MA28" s="335"/>
      <c r="MB28" s="335"/>
      <c r="MC28" s="335"/>
      <c r="MD28" s="335"/>
      <c r="ME28" s="335"/>
      <c r="MF28" s="335"/>
      <c r="MG28" s="335"/>
      <c r="MH28" s="335"/>
      <c r="MI28" s="335"/>
      <c r="MJ28" s="335"/>
      <c r="MK28" s="335"/>
      <c r="ML28" s="335"/>
      <c r="MM28" s="335"/>
      <c r="MN28" s="335"/>
      <c r="MO28" s="335"/>
      <c r="MP28" s="335"/>
      <c r="MQ28" s="335"/>
      <c r="MR28" s="335"/>
      <c r="MS28" s="335"/>
      <c r="MT28" s="335"/>
      <c r="MU28" s="335"/>
      <c r="MV28" s="335"/>
      <c r="MW28" s="335"/>
      <c r="MX28" s="335"/>
      <c r="MY28" s="335"/>
      <c r="MZ28" s="335"/>
      <c r="NA28" s="335"/>
      <c r="NB28" s="335"/>
      <c r="NC28" s="335"/>
      <c r="ND28" s="335"/>
      <c r="NE28" s="335"/>
      <c r="NF28" s="335"/>
      <c r="NG28" s="335"/>
      <c r="NH28" s="335"/>
      <c r="NI28" s="335"/>
      <c r="NJ28" s="335"/>
      <c r="NK28" s="335"/>
      <c r="NL28" s="335"/>
      <c r="NM28" s="335"/>
      <c r="NN28" s="335"/>
      <c r="NO28" s="335"/>
      <c r="NP28" s="335"/>
      <c r="NQ28" s="335"/>
      <c r="NR28" s="335"/>
      <c r="NS28" s="335"/>
      <c r="NT28" s="335"/>
      <c r="NU28" s="335"/>
      <c r="NV28" s="335"/>
      <c r="NW28" s="335"/>
      <c r="NX28" s="335"/>
      <c r="NY28" s="335"/>
      <c r="NZ28" s="335"/>
      <c r="OA28" s="335"/>
      <c r="OB28" s="335"/>
      <c r="OC28" s="335"/>
      <c r="OD28" s="335"/>
      <c r="OE28" s="335"/>
      <c r="OF28" s="335"/>
      <c r="OG28" s="335"/>
      <c r="OH28" s="335"/>
      <c r="OI28" s="335"/>
      <c r="OJ28" s="335"/>
      <c r="OK28" s="335"/>
      <c r="OL28" s="335"/>
      <c r="OM28" s="335"/>
      <c r="ON28" s="335"/>
      <c r="OO28" s="335"/>
      <c r="OP28" s="335"/>
      <c r="OQ28" s="335"/>
      <c r="OR28" s="335"/>
      <c r="OS28" s="335"/>
      <c r="OT28" s="335"/>
      <c r="OU28" s="335"/>
      <c r="OV28" s="335"/>
      <c r="OW28" s="335"/>
      <c r="OX28" s="335"/>
      <c r="OY28" s="335"/>
      <c r="OZ28" s="335"/>
      <c r="PA28" s="335"/>
      <c r="PB28" s="335"/>
      <c r="PC28" s="335"/>
      <c r="PD28" s="335"/>
      <c r="PE28" s="335"/>
      <c r="PF28" s="335"/>
      <c r="PG28" s="335"/>
      <c r="PH28" s="335"/>
      <c r="PI28" s="335"/>
      <c r="PJ28" s="335"/>
      <c r="PK28" s="335"/>
      <c r="PL28" s="335"/>
      <c r="PM28" s="335"/>
      <c r="PN28" s="335"/>
      <c r="PO28" s="335"/>
      <c r="PP28" s="335"/>
      <c r="PQ28" s="335"/>
      <c r="PR28" s="335"/>
      <c r="PS28" s="335"/>
      <c r="PT28" s="335"/>
      <c r="PU28" s="335"/>
      <c r="PV28" s="335"/>
    </row>
    <row r="29" spans="1:438" ht="14.25" thickBot="1" x14ac:dyDescent="0.45">
      <c r="B29" s="342"/>
      <c r="C29" s="343"/>
      <c r="D29" s="343"/>
      <c r="E29" s="343"/>
      <c r="F29" s="343"/>
      <c r="G29" s="343"/>
      <c r="H29" s="343"/>
      <c r="I29" s="343"/>
      <c r="J29" s="343"/>
      <c r="K29" s="343"/>
      <c r="L29" s="343"/>
      <c r="M29" s="343"/>
      <c r="N29" s="343"/>
      <c r="O29" s="343"/>
      <c r="P29" s="343"/>
      <c r="Q29" s="343"/>
      <c r="R29" s="343"/>
      <c r="S29" s="343"/>
      <c r="T29" s="343"/>
      <c r="U29" s="343"/>
      <c r="V29" s="343"/>
      <c r="W29" s="343"/>
      <c r="X29" s="343"/>
      <c r="Y29" s="343"/>
      <c r="Z29" s="343"/>
      <c r="AA29" s="343"/>
      <c r="AB29" s="350"/>
      <c r="AC29" s="350"/>
      <c r="AD29" s="350"/>
      <c r="AE29" s="350"/>
      <c r="AF29" s="350"/>
      <c r="AG29" s="344"/>
      <c r="AH29" s="344"/>
      <c r="AI29" s="344"/>
      <c r="AJ29" s="344"/>
      <c r="AK29" s="344"/>
      <c r="AL29" s="344"/>
      <c r="AM29" s="344"/>
      <c r="AN29" s="344"/>
      <c r="AO29" s="344"/>
      <c r="AP29" s="344"/>
      <c r="AQ29" s="344"/>
      <c r="AR29" s="344"/>
      <c r="AT29" s="342"/>
      <c r="AU29" s="343"/>
      <c r="AV29" s="343"/>
      <c r="AW29" s="343"/>
      <c r="AX29" s="343"/>
      <c r="AY29" s="343"/>
      <c r="BA29" s="342"/>
      <c r="BB29" s="343"/>
      <c r="BC29" s="343"/>
      <c r="BD29" s="343"/>
      <c r="BE29" s="343"/>
      <c r="BF29" s="343"/>
      <c r="BH29" s="342"/>
      <c r="BI29" s="343"/>
      <c r="BJ29" s="343"/>
      <c r="BK29" s="343"/>
      <c r="BL29" s="343"/>
      <c r="BM29" s="343"/>
      <c r="BO29" s="342"/>
      <c r="BP29" s="343"/>
      <c r="BQ29" s="343"/>
      <c r="BR29" s="343"/>
      <c r="BS29" s="343"/>
      <c r="BT29" s="343"/>
      <c r="BV29" s="342"/>
      <c r="BW29" s="343"/>
      <c r="BX29" s="343"/>
      <c r="BY29" s="343"/>
      <c r="BZ29" s="343"/>
      <c r="CA29" s="343"/>
      <c r="CC29" s="342"/>
      <c r="CD29" s="343"/>
      <c r="CE29" s="343"/>
      <c r="CF29" s="343"/>
      <c r="CG29" s="343"/>
      <c r="CH29" s="343"/>
      <c r="CJ29" s="342"/>
      <c r="CK29" s="343"/>
      <c r="CL29" s="343"/>
      <c r="CM29" s="343"/>
      <c r="CN29" s="343"/>
      <c r="CO29" s="343"/>
      <c r="CQ29" s="342"/>
      <c r="CR29" s="343"/>
      <c r="CS29" s="343"/>
      <c r="CT29" s="343"/>
      <c r="CU29" s="343"/>
      <c r="CV29" s="343"/>
      <c r="CX29" s="342"/>
      <c r="CY29" s="343"/>
      <c r="CZ29" s="343"/>
      <c r="DA29" s="343"/>
      <c r="DB29" s="343"/>
      <c r="DC29" s="343"/>
      <c r="DE29" s="342"/>
      <c r="DF29" s="343"/>
      <c r="DG29" s="343"/>
      <c r="DH29" s="343"/>
      <c r="DI29" s="343"/>
      <c r="DJ29" s="343"/>
      <c r="DL29" s="342"/>
      <c r="DM29" s="343"/>
      <c r="DN29" s="343"/>
      <c r="DO29" s="343"/>
      <c r="DP29" s="343"/>
      <c r="DQ29" s="343"/>
      <c r="DS29" s="342"/>
      <c r="DT29" s="343"/>
      <c r="DU29" s="343"/>
      <c r="DV29" s="343"/>
      <c r="DW29" s="343"/>
      <c r="DX29" s="343"/>
      <c r="DZ29" s="342"/>
      <c r="EA29" s="343"/>
      <c r="EB29" s="343"/>
      <c r="EC29" s="343"/>
      <c r="ED29" s="343"/>
      <c r="EE29" s="343"/>
      <c r="EG29" s="342"/>
      <c r="EH29" s="343"/>
      <c r="EI29" s="343"/>
      <c r="EJ29" s="343"/>
      <c r="EK29" s="343"/>
      <c r="EL29" s="343"/>
      <c r="EN29" s="342"/>
      <c r="EO29" s="343"/>
      <c r="EP29" s="343"/>
      <c r="EQ29" s="343"/>
      <c r="ER29" s="343"/>
      <c r="ES29" s="343"/>
      <c r="EU29" s="342"/>
      <c r="EV29" s="343"/>
      <c r="EW29" s="343"/>
      <c r="EX29" s="343"/>
      <c r="EY29" s="343"/>
      <c r="EZ29" s="343"/>
      <c r="FB29" s="342"/>
      <c r="FC29" s="343"/>
      <c r="FD29" s="343"/>
      <c r="FE29" s="343"/>
      <c r="FF29" s="343"/>
      <c r="FG29" s="343"/>
      <c r="FI29" s="342"/>
      <c r="FJ29" s="343"/>
      <c r="FK29" s="343"/>
      <c r="FL29" s="343"/>
      <c r="FM29" s="343"/>
      <c r="FN29" s="343"/>
      <c r="FP29" s="342"/>
      <c r="FQ29" s="343"/>
      <c r="FR29" s="343"/>
      <c r="FS29" s="343"/>
      <c r="FT29" s="343"/>
      <c r="FU29" s="343"/>
      <c r="FW29" s="342"/>
      <c r="FX29" s="343"/>
      <c r="FY29" s="343"/>
      <c r="FZ29" s="343"/>
      <c r="GA29" s="343"/>
      <c r="GB29" s="343"/>
      <c r="GD29" s="342"/>
      <c r="GE29" s="343"/>
      <c r="GF29" s="343"/>
      <c r="GG29" s="343"/>
      <c r="GH29" s="343"/>
      <c r="GI29" s="343"/>
      <c r="GK29" s="342"/>
      <c r="GL29" s="343"/>
      <c r="GM29" s="343"/>
      <c r="GN29" s="343"/>
      <c r="GO29" s="343"/>
      <c r="GP29" s="343"/>
      <c r="GR29" s="342"/>
      <c r="GS29" s="343"/>
      <c r="GT29" s="343"/>
      <c r="GU29" s="343"/>
      <c r="GV29" s="343"/>
      <c r="GW29" s="343"/>
      <c r="GY29" s="342"/>
      <c r="GZ29" s="343"/>
      <c r="HA29" s="343"/>
      <c r="HB29" s="343"/>
      <c r="HC29" s="343"/>
      <c r="HD29" s="343"/>
      <c r="HF29" s="342"/>
      <c r="HG29" s="343"/>
      <c r="HH29" s="343"/>
      <c r="HI29" s="343"/>
      <c r="HJ29" s="343"/>
      <c r="HK29" s="343"/>
      <c r="HM29" s="342"/>
      <c r="HN29" s="343"/>
      <c r="HO29" s="350"/>
      <c r="HP29" s="350"/>
      <c r="HQ29" s="350"/>
      <c r="HR29" s="350"/>
      <c r="HT29" s="342"/>
      <c r="HU29" s="350"/>
      <c r="HV29" s="350"/>
      <c r="HW29" s="350"/>
      <c r="HX29" s="350"/>
      <c r="HY29" s="350"/>
      <c r="IA29" s="342"/>
      <c r="IB29" s="350"/>
      <c r="IC29" s="350"/>
      <c r="ID29" s="350"/>
      <c r="IE29" s="350"/>
      <c r="IF29" s="350"/>
      <c r="IH29" s="342"/>
      <c r="II29" s="350"/>
      <c r="IJ29" s="350"/>
      <c r="IK29" s="350"/>
      <c r="IL29" s="350"/>
      <c r="IM29" s="350"/>
      <c r="IO29" s="342"/>
      <c r="IP29" s="350"/>
      <c r="IQ29" s="350"/>
      <c r="IR29" s="350"/>
      <c r="IS29" s="350"/>
      <c r="IT29" s="350"/>
    </row>
    <row r="30" spans="1:438" s="166" customFormat="1" ht="15" customHeight="1" thickBot="1" x14ac:dyDescent="0.45">
      <c r="B30" s="315" t="s">
        <v>46</v>
      </c>
      <c r="C30" s="316"/>
      <c r="D30" s="316"/>
      <c r="E30" s="316"/>
      <c r="F30" s="316"/>
      <c r="G30" s="316"/>
      <c r="H30" s="316"/>
      <c r="I30" s="316"/>
      <c r="J30" s="316"/>
      <c r="K30" s="316"/>
      <c r="L30" s="316"/>
      <c r="M30" s="316"/>
      <c r="N30" s="316"/>
      <c r="O30" s="316"/>
      <c r="P30" s="316"/>
      <c r="Q30" s="316"/>
      <c r="R30" s="316"/>
      <c r="S30" s="316"/>
      <c r="T30" s="316"/>
      <c r="U30" s="316"/>
      <c r="V30" s="316"/>
      <c r="W30" s="316"/>
      <c r="X30" s="316"/>
      <c r="Y30" s="316"/>
      <c r="Z30" s="316"/>
      <c r="AA30" s="316"/>
      <c r="AB30" s="408"/>
      <c r="AC30" s="408"/>
      <c r="AD30" s="408"/>
      <c r="AE30" s="408"/>
      <c r="AF30" s="408"/>
      <c r="AG30" s="316"/>
      <c r="AH30" s="316"/>
      <c r="AI30" s="316"/>
      <c r="AJ30" s="316"/>
      <c r="AK30" s="316"/>
      <c r="AL30" s="316"/>
      <c r="AM30" s="316"/>
      <c r="AN30" s="316"/>
      <c r="AO30" s="316"/>
      <c r="AP30" s="316"/>
      <c r="AQ30" s="316"/>
      <c r="AR30" s="316"/>
      <c r="AS30" s="317"/>
      <c r="AT30" s="315" t="s">
        <v>46</v>
      </c>
      <c r="AU30" s="316"/>
      <c r="AV30" s="316"/>
      <c r="AW30" s="316"/>
      <c r="AX30" s="316"/>
      <c r="AY30" s="316"/>
      <c r="AZ30" s="317"/>
      <c r="BA30" s="315" t="s">
        <v>46</v>
      </c>
      <c r="BB30" s="316"/>
      <c r="BC30" s="316"/>
      <c r="BD30" s="316"/>
      <c r="BE30" s="316"/>
      <c r="BF30" s="316"/>
      <c r="BG30" s="317"/>
      <c r="BH30" s="315" t="s">
        <v>46</v>
      </c>
      <c r="BI30" s="316"/>
      <c r="BJ30" s="316"/>
      <c r="BK30" s="316"/>
      <c r="BL30" s="316"/>
      <c r="BM30" s="316"/>
      <c r="BN30" s="317"/>
      <c r="BO30" s="315" t="s">
        <v>46</v>
      </c>
      <c r="BP30" s="316"/>
      <c r="BQ30" s="316"/>
      <c r="BR30" s="316"/>
      <c r="BS30" s="316"/>
      <c r="BT30" s="316"/>
      <c r="BU30" s="317"/>
      <c r="BV30" s="315" t="s">
        <v>46</v>
      </c>
      <c r="BW30" s="316"/>
      <c r="BX30" s="316"/>
      <c r="BY30" s="316"/>
      <c r="BZ30" s="316"/>
      <c r="CA30" s="316"/>
      <c r="CB30" s="317"/>
      <c r="CC30" s="315" t="s">
        <v>46</v>
      </c>
      <c r="CD30" s="316"/>
      <c r="CE30" s="316"/>
      <c r="CF30" s="316"/>
      <c r="CG30" s="316"/>
      <c r="CH30" s="316"/>
      <c r="CI30" s="317"/>
      <c r="CJ30" s="315" t="s">
        <v>46</v>
      </c>
      <c r="CK30" s="316"/>
      <c r="CL30" s="316"/>
      <c r="CM30" s="316"/>
      <c r="CN30" s="316"/>
      <c r="CO30" s="316"/>
      <c r="CP30" s="317"/>
      <c r="CQ30" s="315" t="s">
        <v>46</v>
      </c>
      <c r="CR30" s="316"/>
      <c r="CS30" s="316"/>
      <c r="CT30" s="316"/>
      <c r="CU30" s="316"/>
      <c r="CV30" s="316"/>
      <c r="CW30" s="317"/>
      <c r="CX30" s="315" t="s">
        <v>46</v>
      </c>
      <c r="CY30" s="316"/>
      <c r="CZ30" s="316"/>
      <c r="DA30" s="316"/>
      <c r="DB30" s="316"/>
      <c r="DC30" s="316"/>
      <c r="DD30" s="317"/>
      <c r="DE30" s="315" t="s">
        <v>46</v>
      </c>
      <c r="DF30" s="316"/>
      <c r="DG30" s="316"/>
      <c r="DH30" s="316"/>
      <c r="DI30" s="316"/>
      <c r="DJ30" s="316"/>
      <c r="DK30" s="317"/>
      <c r="DL30" s="315" t="s">
        <v>46</v>
      </c>
      <c r="DM30" s="316"/>
      <c r="DN30" s="316"/>
      <c r="DO30" s="316"/>
      <c r="DP30" s="316"/>
      <c r="DQ30" s="316"/>
      <c r="DR30" s="317"/>
      <c r="DS30" s="315" t="s">
        <v>46</v>
      </c>
      <c r="DT30" s="316"/>
      <c r="DU30" s="316"/>
      <c r="DV30" s="316"/>
      <c r="DW30" s="316"/>
      <c r="DX30" s="316"/>
      <c r="DY30" s="317"/>
      <c r="DZ30" s="315" t="s">
        <v>46</v>
      </c>
      <c r="EA30" s="316"/>
      <c r="EB30" s="316"/>
      <c r="EC30" s="316"/>
      <c r="ED30" s="316"/>
      <c r="EE30" s="316"/>
      <c r="EF30" s="317"/>
      <c r="EG30" s="315" t="s">
        <v>46</v>
      </c>
      <c r="EH30" s="316"/>
      <c r="EI30" s="316"/>
      <c r="EJ30" s="316"/>
      <c r="EK30" s="316"/>
      <c r="EL30" s="316"/>
      <c r="EM30" s="317"/>
      <c r="EN30" s="315" t="s">
        <v>46</v>
      </c>
      <c r="EO30" s="316"/>
      <c r="EP30" s="316"/>
      <c r="EQ30" s="316"/>
      <c r="ER30" s="316"/>
      <c r="ES30" s="316"/>
      <c r="ET30" s="317"/>
      <c r="EU30" s="315" t="s">
        <v>46</v>
      </c>
      <c r="EV30" s="316"/>
      <c r="EW30" s="316"/>
      <c r="EX30" s="316"/>
      <c r="EY30" s="316"/>
      <c r="EZ30" s="316"/>
      <c r="FA30" s="317"/>
      <c r="FB30" s="315" t="s">
        <v>46</v>
      </c>
      <c r="FC30" s="316"/>
      <c r="FD30" s="316"/>
      <c r="FE30" s="316"/>
      <c r="FF30" s="316"/>
      <c r="FG30" s="316"/>
      <c r="FH30" s="317"/>
      <c r="FI30" s="315" t="s">
        <v>46</v>
      </c>
      <c r="FJ30" s="316"/>
      <c r="FK30" s="316"/>
      <c r="FL30" s="316"/>
      <c r="FM30" s="316"/>
      <c r="FN30" s="316"/>
      <c r="FO30" s="317"/>
      <c r="FP30" s="315" t="s">
        <v>46</v>
      </c>
      <c r="FQ30" s="316"/>
      <c r="FR30" s="316"/>
      <c r="FS30" s="316"/>
      <c r="FT30" s="316"/>
      <c r="FU30" s="316"/>
      <c r="FV30" s="317"/>
      <c r="FW30" s="315" t="s">
        <v>46</v>
      </c>
      <c r="FX30" s="316"/>
      <c r="FY30" s="316"/>
      <c r="FZ30" s="316"/>
      <c r="GA30" s="316"/>
      <c r="GB30" s="316"/>
      <c r="GC30" s="317"/>
      <c r="GD30" s="315" t="s">
        <v>46</v>
      </c>
      <c r="GE30" s="316"/>
      <c r="GF30" s="316"/>
      <c r="GG30" s="316"/>
      <c r="GH30" s="316"/>
      <c r="GI30" s="316"/>
      <c r="GJ30" s="317"/>
      <c r="GK30" s="315" t="s">
        <v>46</v>
      </c>
      <c r="GL30" s="316"/>
      <c r="GM30" s="316"/>
      <c r="GN30" s="316"/>
      <c r="GO30" s="316"/>
      <c r="GP30" s="316"/>
      <c r="GQ30" s="317"/>
      <c r="GR30" s="315" t="s">
        <v>46</v>
      </c>
      <c r="GS30" s="316"/>
      <c r="GT30" s="316"/>
      <c r="GU30" s="316"/>
      <c r="GV30" s="316"/>
      <c r="GW30" s="316"/>
      <c r="GX30" s="317"/>
      <c r="GY30" s="315" t="s">
        <v>46</v>
      </c>
      <c r="GZ30" s="316"/>
      <c r="HA30" s="316"/>
      <c r="HB30" s="316"/>
      <c r="HC30" s="316"/>
      <c r="HD30" s="316"/>
      <c r="HE30" s="317"/>
      <c r="HF30" s="315" t="s">
        <v>46</v>
      </c>
      <c r="HG30" s="316"/>
      <c r="HH30" s="316"/>
      <c r="HI30" s="316"/>
      <c r="HJ30" s="316"/>
      <c r="HK30" s="316"/>
      <c r="HL30" s="317"/>
      <c r="HM30" s="315" t="s">
        <v>46</v>
      </c>
      <c r="HN30" s="316"/>
      <c r="HO30" s="408"/>
      <c r="HP30" s="408"/>
      <c r="HQ30" s="408"/>
      <c r="HR30" s="408"/>
      <c r="HS30" s="317"/>
      <c r="HT30" s="315" t="s">
        <v>46</v>
      </c>
      <c r="HU30" s="408"/>
      <c r="HV30" s="408"/>
      <c r="HW30" s="408"/>
      <c r="HX30" s="408"/>
      <c r="HY30" s="408"/>
      <c r="HZ30" s="317"/>
      <c r="IA30" s="315" t="s">
        <v>46</v>
      </c>
      <c r="IB30" s="408"/>
      <c r="IC30" s="408"/>
      <c r="ID30" s="408"/>
      <c r="IE30" s="408"/>
      <c r="IF30" s="408"/>
      <c r="IG30" s="317"/>
      <c r="IH30" s="315" t="s">
        <v>46</v>
      </c>
      <c r="II30" s="408"/>
      <c r="IJ30" s="408"/>
      <c r="IK30" s="408"/>
      <c r="IL30" s="408"/>
      <c r="IM30" s="408"/>
      <c r="IN30" s="317"/>
      <c r="IO30" s="315" t="s">
        <v>46</v>
      </c>
      <c r="IP30" s="408"/>
      <c r="IQ30" s="408"/>
      <c r="IR30" s="408"/>
      <c r="IS30" s="408"/>
      <c r="IT30" s="408"/>
      <c r="IU30" s="317"/>
      <c r="IV30" s="317"/>
      <c r="IW30" s="317"/>
      <c r="IX30" s="317"/>
      <c r="IY30" s="317"/>
      <c r="IZ30" s="317"/>
      <c r="JA30" s="317"/>
      <c r="JB30" s="317"/>
      <c r="JC30" s="317"/>
      <c r="JD30" s="317"/>
      <c r="JE30" s="317"/>
      <c r="JF30" s="317"/>
      <c r="JG30" s="317"/>
      <c r="JH30" s="317"/>
      <c r="JI30" s="317"/>
      <c r="JJ30" s="317"/>
      <c r="JK30" s="317"/>
      <c r="JL30" s="317"/>
      <c r="JM30" s="317"/>
      <c r="JN30" s="317"/>
      <c r="JO30" s="317"/>
      <c r="JP30" s="317"/>
      <c r="JQ30" s="317"/>
      <c r="JR30" s="317"/>
      <c r="JS30" s="317"/>
      <c r="JT30" s="317"/>
      <c r="JU30" s="317"/>
      <c r="JV30" s="317"/>
      <c r="JW30" s="317"/>
      <c r="JX30" s="317"/>
      <c r="JY30" s="317"/>
      <c r="JZ30" s="317"/>
      <c r="KA30" s="317"/>
      <c r="KB30" s="317"/>
      <c r="KC30" s="317"/>
      <c r="KD30" s="317"/>
      <c r="KE30" s="317"/>
    </row>
    <row r="31" spans="1:438" x14ac:dyDescent="0.4">
      <c r="B31" s="345"/>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80"/>
      <c r="AC31" s="80"/>
      <c r="AD31" s="80"/>
      <c r="AE31" s="80"/>
      <c r="AF31" s="80"/>
      <c r="AG31" s="78"/>
      <c r="AH31" s="78"/>
      <c r="AI31" s="78"/>
      <c r="AJ31" s="78"/>
      <c r="AK31" s="78"/>
      <c r="AL31" s="78"/>
      <c r="AM31" s="78"/>
      <c r="AN31" s="78"/>
      <c r="AO31" s="78"/>
      <c r="AP31" s="78"/>
      <c r="AQ31" s="78"/>
      <c r="AR31" s="78"/>
      <c r="AT31" s="345"/>
      <c r="AU31" s="78"/>
      <c r="AV31" s="78"/>
      <c r="AW31" s="78"/>
      <c r="AX31" s="78"/>
      <c r="AY31" s="78"/>
      <c r="BA31" s="345"/>
      <c r="BB31" s="78"/>
      <c r="BC31" s="78"/>
      <c r="BD31" s="78"/>
      <c r="BE31" s="78"/>
      <c r="BF31" s="78"/>
      <c r="BH31" s="345"/>
      <c r="BI31" s="78"/>
      <c r="BJ31" s="78"/>
      <c r="BK31" s="78"/>
      <c r="BL31" s="78"/>
      <c r="BM31" s="78"/>
      <c r="BO31" s="345"/>
      <c r="BP31" s="78"/>
      <c r="BQ31" s="78"/>
      <c r="BR31" s="78"/>
      <c r="BS31" s="78"/>
      <c r="BT31" s="78"/>
      <c r="BV31" s="345"/>
      <c r="BW31" s="78"/>
      <c r="BX31" s="78"/>
      <c r="BY31" s="78"/>
      <c r="BZ31" s="78"/>
      <c r="CA31" s="78"/>
      <c r="CC31" s="345"/>
      <c r="CD31" s="78"/>
      <c r="CE31" s="78"/>
      <c r="CF31" s="78"/>
      <c r="CG31" s="78"/>
      <c r="CH31" s="78"/>
      <c r="CJ31" s="345"/>
      <c r="CK31" s="78"/>
      <c r="CL31" s="78"/>
      <c r="CM31" s="78"/>
      <c r="CN31" s="78"/>
      <c r="CO31" s="78"/>
      <c r="CQ31" s="345"/>
      <c r="CR31" s="78"/>
      <c r="CS31" s="78"/>
      <c r="CT31" s="78"/>
      <c r="CU31" s="78"/>
      <c r="CV31" s="78"/>
      <c r="CX31" s="345"/>
      <c r="CY31" s="78"/>
      <c r="CZ31" s="78"/>
      <c r="DA31" s="78"/>
      <c r="DB31" s="78"/>
      <c r="DC31" s="78"/>
      <c r="DE31" s="345"/>
      <c r="DF31" s="78"/>
      <c r="DG31" s="78"/>
      <c r="DH31" s="78"/>
      <c r="DI31" s="78"/>
      <c r="DJ31" s="78"/>
      <c r="DL31" s="345"/>
      <c r="DM31" s="78"/>
      <c r="DN31" s="78"/>
      <c r="DO31" s="78"/>
      <c r="DP31" s="78"/>
      <c r="DQ31" s="78"/>
      <c r="DS31" s="345"/>
      <c r="DT31" s="78"/>
      <c r="DU31" s="78"/>
      <c r="DV31" s="78"/>
      <c r="DW31" s="78"/>
      <c r="DX31" s="78"/>
      <c r="DZ31" s="345"/>
      <c r="EA31" s="78"/>
      <c r="EB31" s="78"/>
      <c r="EC31" s="78"/>
      <c r="ED31" s="78"/>
      <c r="EE31" s="78"/>
      <c r="EG31" s="345"/>
      <c r="EH31" s="78"/>
      <c r="EI31" s="78"/>
      <c r="EJ31" s="78"/>
      <c r="EK31" s="78"/>
      <c r="EL31" s="78"/>
      <c r="EN31" s="345"/>
      <c r="EO31" s="78"/>
      <c r="EP31" s="78"/>
      <c r="EQ31" s="78"/>
      <c r="ER31" s="78"/>
      <c r="ES31" s="78"/>
      <c r="EU31" s="345"/>
      <c r="EV31" s="78"/>
      <c r="EW31" s="78"/>
      <c r="EX31" s="78"/>
      <c r="EY31" s="78"/>
      <c r="EZ31" s="78"/>
      <c r="FB31" s="345"/>
      <c r="FC31" s="78"/>
      <c r="FD31" s="78"/>
      <c r="FE31" s="78"/>
      <c r="FF31" s="78"/>
      <c r="FG31" s="78"/>
      <c r="FI31" s="345"/>
      <c r="FJ31" s="78"/>
      <c r="FK31" s="78"/>
      <c r="FL31" s="78"/>
      <c r="FM31" s="78"/>
      <c r="FN31" s="78"/>
      <c r="FP31" s="345"/>
      <c r="FQ31" s="78"/>
      <c r="FR31" s="78"/>
      <c r="FS31" s="78"/>
      <c r="FT31" s="78"/>
      <c r="FU31" s="78"/>
      <c r="FW31" s="345"/>
      <c r="FX31" s="78"/>
      <c r="FY31" s="78"/>
      <c r="FZ31" s="78"/>
      <c r="GA31" s="78"/>
      <c r="GB31" s="78"/>
      <c r="GD31" s="345"/>
      <c r="GE31" s="78"/>
      <c r="GF31" s="78"/>
      <c r="GG31" s="78"/>
      <c r="GH31" s="78"/>
      <c r="GI31" s="78"/>
      <c r="GK31" s="345"/>
      <c r="GL31" s="78"/>
      <c r="GM31" s="78"/>
      <c r="GN31" s="78"/>
      <c r="GO31" s="78"/>
      <c r="GP31" s="78"/>
      <c r="GR31" s="345"/>
      <c r="GS31" s="78"/>
      <c r="GT31" s="78"/>
      <c r="GU31" s="78"/>
      <c r="GV31" s="78"/>
      <c r="GW31" s="78"/>
      <c r="GY31" s="345"/>
      <c r="GZ31" s="78"/>
      <c r="HA31" s="78"/>
      <c r="HB31" s="78"/>
      <c r="HC31" s="78"/>
      <c r="HD31" s="78"/>
      <c r="HF31" s="345"/>
      <c r="HG31" s="78"/>
      <c r="HH31" s="78"/>
      <c r="HI31" s="78"/>
      <c r="HJ31" s="78"/>
      <c r="HK31" s="78"/>
      <c r="HM31" s="345"/>
      <c r="HN31" s="78"/>
      <c r="HO31" s="80"/>
      <c r="HP31" s="80"/>
      <c r="HQ31" s="80"/>
      <c r="HR31" s="80"/>
      <c r="HT31" s="345"/>
      <c r="HU31" s="80"/>
      <c r="HV31" s="80"/>
      <c r="HW31" s="80"/>
      <c r="HX31" s="80"/>
      <c r="HY31" s="80"/>
      <c r="IA31" s="345"/>
      <c r="IB31" s="80"/>
      <c r="IC31" s="80"/>
      <c r="ID31" s="80"/>
      <c r="IE31" s="80"/>
      <c r="IF31" s="80"/>
      <c r="IH31" s="345"/>
      <c r="II31" s="80"/>
      <c r="IJ31" s="80"/>
      <c r="IK31" s="80"/>
      <c r="IL31" s="80"/>
      <c r="IM31" s="80"/>
      <c r="IO31" s="345"/>
      <c r="IP31" s="80"/>
      <c r="IQ31" s="80"/>
      <c r="IR31" s="80"/>
      <c r="IS31" s="80"/>
      <c r="IT31" s="80"/>
    </row>
    <row r="32" spans="1:438" x14ac:dyDescent="0.4">
      <c r="B32" s="318" t="s">
        <v>139</v>
      </c>
      <c r="C32" s="319">
        <f t="shared" ref="C32:C39" si="70">AY32</f>
        <v>3124</v>
      </c>
      <c r="D32" s="319">
        <f t="shared" ref="D32:D39" si="71">BF32</f>
        <v>3059</v>
      </c>
      <c r="E32" s="319">
        <f t="shared" ref="E32:E39" si="72">BM32</f>
        <v>2263</v>
      </c>
      <c r="F32" s="319">
        <f t="shared" ref="F32:F39" si="73">BT32</f>
        <v>2063</v>
      </c>
      <c r="G32" s="319">
        <f t="shared" ref="G32:G39" si="74">CA32</f>
        <v>1948</v>
      </c>
      <c r="H32" s="319">
        <f t="shared" ref="H32:H39" si="75">CH32</f>
        <v>2334</v>
      </c>
      <c r="I32" s="319">
        <f t="shared" ref="I32:I39" si="76">CO32</f>
        <v>2043</v>
      </c>
      <c r="J32" s="319">
        <f t="shared" ref="J32:J39" si="77">CV32</f>
        <v>1930</v>
      </c>
      <c r="K32" s="319">
        <f t="shared" ref="K32:K39" si="78">DC32</f>
        <v>1886</v>
      </c>
      <c r="L32" s="319">
        <f t="shared" ref="L32:L39" si="79">DJ32</f>
        <v>2085</v>
      </c>
      <c r="M32" s="319">
        <f t="shared" ref="M32:M39" si="80">DQ32</f>
        <v>1752</v>
      </c>
      <c r="N32" s="319">
        <f t="shared" ref="N32:N39" si="81">DX32</f>
        <v>1924</v>
      </c>
      <c r="O32" s="319">
        <f t="shared" ref="O32:O39" si="82">EE32</f>
        <v>2180</v>
      </c>
      <c r="P32" s="319">
        <f t="shared" ref="P32:P39" si="83">EL32</f>
        <v>1847</v>
      </c>
      <c r="Q32" s="319">
        <f t="shared" ref="Q32:Q39" si="84">ES32</f>
        <v>1891</v>
      </c>
      <c r="R32" s="319">
        <f t="shared" ref="R32:R39" si="85">EZ32</f>
        <v>1879</v>
      </c>
      <c r="S32" s="319">
        <f t="shared" ref="S32:S39" si="86">FG32</f>
        <v>1932</v>
      </c>
      <c r="T32" s="319">
        <f t="shared" ref="T32:T39" si="87">FN32</f>
        <v>1709</v>
      </c>
      <c r="U32" s="319">
        <f t="shared" ref="U32:U39" si="88">FU32</f>
        <v>1875</v>
      </c>
      <c r="V32" s="319">
        <f t="shared" ref="V32:V39" si="89">GB32</f>
        <v>1897</v>
      </c>
      <c r="W32" s="319">
        <f t="shared" ref="W32:W39" si="90">GI32</f>
        <v>1906</v>
      </c>
      <c r="X32" s="319">
        <f t="shared" ref="X32:X39" si="91">GP32</f>
        <v>1618</v>
      </c>
      <c r="Y32" s="319">
        <f t="shared" ref="Y32:Y39" si="92">GW32</f>
        <v>2052</v>
      </c>
      <c r="Z32" s="319">
        <f t="shared" ref="Z32:Z39" si="93">HD32</f>
        <v>2295</v>
      </c>
      <c r="AA32" s="319">
        <f t="shared" ref="AA32:AA39" si="94">HK32</f>
        <v>2665</v>
      </c>
      <c r="AB32" s="319">
        <f t="shared" ref="AB32:AB39" si="95">HR32</f>
        <v>2670</v>
      </c>
      <c r="AC32" s="319">
        <f t="shared" ref="AC32:AC39" si="96">HY32</f>
        <v>2425</v>
      </c>
      <c r="AD32" s="319">
        <f t="shared" ref="AD32:AD39" si="97">IF32</f>
        <v>2223.8862710566609</v>
      </c>
      <c r="AE32" s="319">
        <f t="shared" ref="AE32:AE39" si="98">IM32</f>
        <v>2240.6540783444934</v>
      </c>
      <c r="AF32" s="319">
        <f t="shared" ref="AF32:AF39" si="99">IT32</f>
        <v>2284.2327696399748</v>
      </c>
      <c r="AG32" s="320"/>
      <c r="AH32" s="320"/>
      <c r="AI32" s="320"/>
      <c r="AJ32" s="320"/>
      <c r="AK32" s="320"/>
      <c r="AL32" s="320"/>
      <c r="AM32" s="320"/>
      <c r="AN32" s="320"/>
      <c r="AO32" s="320"/>
      <c r="AP32" s="320"/>
      <c r="AQ32" s="320"/>
      <c r="AR32" s="320"/>
      <c r="AT32" s="318" t="s">
        <v>139</v>
      </c>
      <c r="AU32" s="319"/>
      <c r="AV32" s="319"/>
      <c r="AW32" s="319"/>
      <c r="AX32" s="319">
        <f>+AX33+AX34+AX35+AX36+AX37</f>
        <v>3124</v>
      </c>
      <c r="AY32" s="319">
        <f>+AY33+AY34+AY35+AY36+AY37</f>
        <v>3124</v>
      </c>
      <c r="BA32" s="318" t="s">
        <v>139</v>
      </c>
      <c r="BB32" s="319">
        <f>+BB33+BB34+BB35+BB36+BB37</f>
        <v>2934</v>
      </c>
      <c r="BC32" s="319">
        <f>+BC33+BC34+BC35+BC36+BC37</f>
        <v>2659</v>
      </c>
      <c r="BD32" s="319">
        <f>+BD33+BD34+BD35+BD36+BD37</f>
        <v>2898</v>
      </c>
      <c r="BE32" s="319">
        <f>+BE33+BE34+BE35+BE36+BE37</f>
        <v>3059</v>
      </c>
      <c r="BF32" s="319">
        <f>+BF33+BF34+BF35+BF36+BF37</f>
        <v>3059</v>
      </c>
      <c r="BH32" s="318" t="s">
        <v>139</v>
      </c>
      <c r="BI32" s="319">
        <f>+BI33+BI34+BI35+BI36+BI37</f>
        <v>2702</v>
      </c>
      <c r="BJ32" s="319">
        <f>+BJ33+BJ34+BJ35+BJ36+BJ37</f>
        <v>2404</v>
      </c>
      <c r="BK32" s="319">
        <f>+BK33+BK34+BK35+BK36+BK37</f>
        <v>2471</v>
      </c>
      <c r="BL32" s="319">
        <f>+BL33+BL34+BL35+BL36+BL37</f>
        <v>2263</v>
      </c>
      <c r="BM32" s="319">
        <f>+BM33+BM34+BM35+BM36+BM37</f>
        <v>2263</v>
      </c>
      <c r="BO32" s="318" t="s">
        <v>139</v>
      </c>
      <c r="BP32" s="319">
        <f>+BP33+BP34+BP35+BP36+BP37</f>
        <v>1909</v>
      </c>
      <c r="BQ32" s="319">
        <f>+BQ33+BQ34+BQ35+BQ36+BQ37</f>
        <v>2568</v>
      </c>
      <c r="BR32" s="319">
        <f>+BR33+BR34+BR35+BR36+BR37</f>
        <v>2518</v>
      </c>
      <c r="BS32" s="319">
        <f>+BS33+BS34+BS35+BS36+BS37</f>
        <v>2063</v>
      </c>
      <c r="BT32" s="319">
        <f>+BT33+BT34+BT35+BT36+BT37</f>
        <v>2063</v>
      </c>
      <c r="BV32" s="318" t="s">
        <v>139</v>
      </c>
      <c r="BW32" s="319">
        <f>+BW33+BW34+BW35+BW36+BW37</f>
        <v>1880</v>
      </c>
      <c r="BX32" s="319">
        <f>+BX33+BX34+BX35+BX36+BX37</f>
        <v>2334</v>
      </c>
      <c r="BY32" s="319">
        <f>+BY33+BY34+BY35+BY36+BY37</f>
        <v>2449</v>
      </c>
      <c r="BZ32" s="319">
        <f>+BZ33+BZ34+BZ35+BZ36+BZ37</f>
        <v>1948</v>
      </c>
      <c r="CA32" s="319">
        <f>+CA33+CA34+CA35+CA36+CA37</f>
        <v>1948</v>
      </c>
      <c r="CC32" s="318" t="s">
        <v>139</v>
      </c>
      <c r="CD32" s="319">
        <f>+CD33+CD34+CD35+CD36+CD37</f>
        <v>1941</v>
      </c>
      <c r="CE32" s="319">
        <f>+CE33+CE34+CE35+CE36+CE37</f>
        <v>2483</v>
      </c>
      <c r="CF32" s="319">
        <f>+CF33+CF34+CF35+CF36+CF37</f>
        <v>1836</v>
      </c>
      <c r="CG32" s="319">
        <f>+CG33+CG34+CG35+CG36+CG37</f>
        <v>2334</v>
      </c>
      <c r="CH32" s="319">
        <f>+CH33+CH34+CH35+CH36+CH37</f>
        <v>2334</v>
      </c>
      <c r="CJ32" s="318" t="s">
        <v>139</v>
      </c>
      <c r="CK32" s="319">
        <f>+CK33+CK34+CK35+CK36+CK37</f>
        <v>2150</v>
      </c>
      <c r="CL32" s="319">
        <f>+CL33+CL34+CL35+CL36+CL37</f>
        <v>1891</v>
      </c>
      <c r="CM32" s="319">
        <f>+CM33+CM34+CM35+CM36+CM37</f>
        <v>2193</v>
      </c>
      <c r="CN32" s="319">
        <f>+CN33+CN34+CN35+CN36+CN37</f>
        <v>2043</v>
      </c>
      <c r="CO32" s="319">
        <f>+CO33+CO34+CO35+CO36+CO37</f>
        <v>2043</v>
      </c>
      <c r="CQ32" s="318" t="s">
        <v>139</v>
      </c>
      <c r="CR32" s="319">
        <f>+CR33+CR34+CR35+CR36+CR37</f>
        <v>2042</v>
      </c>
      <c r="CS32" s="319">
        <f>+CS33+CS34+CS35+CS36+CS37</f>
        <v>1885</v>
      </c>
      <c r="CT32" s="319">
        <f>+CT33+CT34+CT35+CT36+CT37</f>
        <v>1956</v>
      </c>
      <c r="CU32" s="319">
        <f>+CU33+CU34+CU35+CU36+CU37</f>
        <v>1930</v>
      </c>
      <c r="CV32" s="319">
        <f>+CV33+CV34+CV35+CV36+CV37</f>
        <v>1930</v>
      </c>
      <c r="CX32" s="318" t="s">
        <v>139</v>
      </c>
      <c r="CY32" s="319">
        <f>+CY33+CY34+CY35+CY36+CY37</f>
        <v>1913</v>
      </c>
      <c r="CZ32" s="319">
        <f>+CZ33+CZ34+CZ35+CZ36+CZ37</f>
        <v>1961</v>
      </c>
      <c r="DA32" s="319">
        <f>+DA33+DA34+DA35+DA36+DA37</f>
        <v>1938</v>
      </c>
      <c r="DB32" s="319">
        <f>+DB33+DB34+DB35+DB36+DB37</f>
        <v>1886</v>
      </c>
      <c r="DC32" s="319">
        <f>+DC33+DC34+DC35+DC36+DC37</f>
        <v>1886</v>
      </c>
      <c r="DE32" s="318" t="s">
        <v>139</v>
      </c>
      <c r="DF32" s="319">
        <f>+DF33+DF34+DF35+DF36+DF37</f>
        <v>1941</v>
      </c>
      <c r="DG32" s="319">
        <f>+DG33+DG34+DG35+DG36+DG37</f>
        <v>1909</v>
      </c>
      <c r="DH32" s="319">
        <f>+DH33+DH34+DH35+DH36+DH37</f>
        <v>2290</v>
      </c>
      <c r="DI32" s="319">
        <f>+DI33+DI34+DI35+DI36+DI37</f>
        <v>2085</v>
      </c>
      <c r="DJ32" s="319">
        <f>+DJ33+DJ34+DJ35+DJ36+DJ37</f>
        <v>2085</v>
      </c>
      <c r="DL32" s="318" t="s">
        <v>139</v>
      </c>
      <c r="DM32" s="319">
        <f>+DM33+DM34+DM35+DM36+DM37</f>
        <v>1756</v>
      </c>
      <c r="DN32" s="319">
        <f>+DN33+DN34+DN35+DN36+DN37</f>
        <v>1643</v>
      </c>
      <c r="DO32" s="319">
        <f>+DO33+DO34+DO35+DO36+DO37</f>
        <v>1760</v>
      </c>
      <c r="DP32" s="319">
        <f>+DP33+DP34+DP35+DP36+DP37</f>
        <v>1752</v>
      </c>
      <c r="DQ32" s="319">
        <f>+DQ33+DQ34+DQ35+DQ36+DQ37</f>
        <v>1752</v>
      </c>
      <c r="DS32" s="318" t="s">
        <v>139</v>
      </c>
      <c r="DT32" s="319">
        <f>+DT33+DT34+DT35+DT36+DT37</f>
        <v>1771</v>
      </c>
      <c r="DU32" s="319">
        <f>+DU33+DU34+DU35+DU36+DU37</f>
        <v>1740</v>
      </c>
      <c r="DV32" s="319">
        <f>+DV33+DV34+DV35+DV36+DV37</f>
        <v>1935</v>
      </c>
      <c r="DW32" s="319">
        <f>+DW33+DW34+DW35+DW36+DW37</f>
        <v>1924</v>
      </c>
      <c r="DX32" s="319">
        <f>+DX33+DX34+DX35+DX36+DX37</f>
        <v>1924</v>
      </c>
      <c r="DZ32" s="318" t="s">
        <v>139</v>
      </c>
      <c r="EA32" s="319">
        <f>+EA33+EA34+EA35+EA36+EA37</f>
        <v>1719</v>
      </c>
      <c r="EB32" s="319">
        <f>+EB33+EB34+EB35+EB36+EB37</f>
        <v>1991</v>
      </c>
      <c r="EC32" s="319">
        <f>+EC33+EC34+EC35+EC36+EC37</f>
        <v>2074</v>
      </c>
      <c r="ED32" s="319">
        <f>+ED33+ED34+ED35+ED36+ED37</f>
        <v>2180</v>
      </c>
      <c r="EE32" s="319">
        <f>+EE33+EE34+EE35+EE36+EE37</f>
        <v>2180</v>
      </c>
      <c r="EG32" s="318" t="s">
        <v>139</v>
      </c>
      <c r="EH32" s="319">
        <f>+EH33+EH34+EH35+EH36+EH37</f>
        <v>2091</v>
      </c>
      <c r="EI32" s="319">
        <f>+EI33+EI34+EI35+EI36+EI37</f>
        <v>2067</v>
      </c>
      <c r="EJ32" s="319">
        <f>+EJ33+EJ34+EJ35+EJ36+EJ37</f>
        <v>2215</v>
      </c>
      <c r="EK32" s="319">
        <f>+EK33+EK34+EK35+EK36+EK37</f>
        <v>1847</v>
      </c>
      <c r="EL32" s="319">
        <f>+EL33+EL34+EL35+EL36+EL37</f>
        <v>1847</v>
      </c>
      <c r="EN32" s="318" t="s">
        <v>139</v>
      </c>
      <c r="EO32" s="319">
        <f>+EO33+EO34+EO35+EO36+EO37</f>
        <v>1902</v>
      </c>
      <c r="EP32" s="319">
        <f>+EP33+EP34+EP35+EP36+EP37</f>
        <v>1854</v>
      </c>
      <c r="EQ32" s="319">
        <f>+EQ33+EQ34+EQ35+EQ36+EQ37</f>
        <v>1987</v>
      </c>
      <c r="ER32" s="319">
        <f>+ER33+ER34+ER35+ER36+ER37</f>
        <v>1891</v>
      </c>
      <c r="ES32" s="319">
        <f>+ES33+ES34+ES35+ES36+ES37</f>
        <v>1891</v>
      </c>
      <c r="EU32" s="318" t="s">
        <v>139</v>
      </c>
      <c r="EV32" s="319">
        <f>+EV33+EV34+EV35+EV36+EV37</f>
        <v>1887</v>
      </c>
      <c r="EW32" s="319">
        <f>+EW33+EW34+EW35+EW36+EW37</f>
        <v>1898</v>
      </c>
      <c r="EX32" s="319">
        <f>+EX33+EX34+EX35+EX36+EX37</f>
        <v>2001</v>
      </c>
      <c r="EY32" s="319">
        <f>+EY33+EY34+EY35+EY36+EY37</f>
        <v>1879</v>
      </c>
      <c r="EZ32" s="319">
        <f>+EZ33+EZ34+EZ35+EZ36+EZ37</f>
        <v>1879</v>
      </c>
      <c r="FB32" s="318" t="s">
        <v>139</v>
      </c>
      <c r="FC32" s="319">
        <f>+FC33+FC34+FC35+FC36+FC37</f>
        <v>1810</v>
      </c>
      <c r="FD32" s="319">
        <f>+FD33+FD34+FD35+FD36+FD37</f>
        <v>1760</v>
      </c>
      <c r="FE32" s="319">
        <f>+FE33+FE34+FE35+FE36+FE37</f>
        <v>1904</v>
      </c>
      <c r="FF32" s="319">
        <f>+FF33+FF34+FF35+FF36+FF37</f>
        <v>1932</v>
      </c>
      <c r="FG32" s="319">
        <f>+FG33+FG34+FG35+FG36+FG37</f>
        <v>1932</v>
      </c>
      <c r="FI32" s="318" t="s">
        <v>139</v>
      </c>
      <c r="FJ32" s="319">
        <f>+FJ33+FJ34+FJ35+FJ36+FJ37</f>
        <v>1672</v>
      </c>
      <c r="FK32" s="319">
        <f>+FK33+FK34+FK35+FK36+FK37</f>
        <v>1650</v>
      </c>
      <c r="FL32" s="319">
        <f>+FL33+FL34+FL35+FL36+FL37</f>
        <v>1632</v>
      </c>
      <c r="FM32" s="319">
        <f>+FM33+FM34+FM35+FM36+FM37</f>
        <v>1709</v>
      </c>
      <c r="FN32" s="319">
        <f>+FN33+FN34+FN35+FN36+FN37</f>
        <v>1709</v>
      </c>
      <c r="FP32" s="318" t="s">
        <v>139</v>
      </c>
      <c r="FQ32" s="319">
        <f>+FQ33+FQ34+FQ35+FQ36+FQ37</f>
        <v>1946</v>
      </c>
      <c r="FR32" s="319">
        <f>+FR33+FR34+FR35+FR36+FR37</f>
        <v>1653</v>
      </c>
      <c r="FS32" s="319">
        <f>+FS33+FS34+FS35+FS36+FS37</f>
        <v>2056</v>
      </c>
      <c r="FT32" s="319">
        <f>+FT33+FT34+FT35+FT36+FT37</f>
        <v>1875</v>
      </c>
      <c r="FU32" s="319">
        <f>+FU33+FU34+FU35+FU36+FU37</f>
        <v>1875</v>
      </c>
      <c r="FW32" s="318" t="s">
        <v>139</v>
      </c>
      <c r="FX32" s="319">
        <f>+FX33+FX34+FX35+FX36+FX37</f>
        <v>1872</v>
      </c>
      <c r="FY32" s="319">
        <f>+FY33+FY34+FY35+FY36+FY37</f>
        <v>1713</v>
      </c>
      <c r="FZ32" s="319">
        <f>+FZ33+FZ34+FZ35+FZ36+FZ37</f>
        <v>1926</v>
      </c>
      <c r="GA32" s="319">
        <f>+GA33+GA34+GA35+GA36+GA37</f>
        <v>1897</v>
      </c>
      <c r="GB32" s="319">
        <f>+GB33+GB34+GB35+GB36+GB37</f>
        <v>1897</v>
      </c>
      <c r="GD32" s="318" t="s">
        <v>139</v>
      </c>
      <c r="GE32" s="319">
        <f>+GE33+GE34+GE35+GE36+GE37</f>
        <v>1908</v>
      </c>
      <c r="GF32" s="319">
        <f>+GF33+GF34+GF35+GF36+GF37</f>
        <v>1808</v>
      </c>
      <c r="GG32" s="319">
        <f>+GG33+GG34+GG35+GG36+GG37</f>
        <v>2060</v>
      </c>
      <c r="GH32" s="319">
        <f>+GH33+GH34+GH35+GH36+GH37</f>
        <v>1906</v>
      </c>
      <c r="GI32" s="319">
        <f t="shared" ref="GI32:GI38" si="100">+GH32</f>
        <v>1906</v>
      </c>
      <c r="GK32" s="318" t="s">
        <v>139</v>
      </c>
      <c r="GL32" s="319">
        <f>+GL33+GL34+GL35+GL36+GL37</f>
        <v>1956</v>
      </c>
      <c r="GM32" s="319">
        <f>+GM33+GM34+GM35+GM36+GM37</f>
        <v>1969</v>
      </c>
      <c r="GN32" s="319">
        <v>1923</v>
      </c>
      <c r="GO32" s="319">
        <v>1618</v>
      </c>
      <c r="GP32" s="319">
        <f t="shared" ref="GP32:GP39" si="101">+GO32</f>
        <v>1618</v>
      </c>
      <c r="GR32" s="318" t="s">
        <v>139</v>
      </c>
      <c r="GS32" s="319">
        <v>1759</v>
      </c>
      <c r="GT32" s="319">
        <v>1829</v>
      </c>
      <c r="GU32" s="319">
        <v>2057</v>
      </c>
      <c r="GV32" s="319">
        <f>SUM(GV33:GV37)</f>
        <v>2052</v>
      </c>
      <c r="GW32" s="319">
        <f>SUM(GW33:GW37)</f>
        <v>2052</v>
      </c>
      <c r="GY32" s="318" t="s">
        <v>139</v>
      </c>
      <c r="GZ32" s="319">
        <f>SUM(GZ33:GZ37)</f>
        <v>2258</v>
      </c>
      <c r="HA32" s="319">
        <f>SUM(HA33:HA37)</f>
        <v>2157</v>
      </c>
      <c r="HB32" s="319">
        <f>SUM(HB33:HB37)</f>
        <v>2353</v>
      </c>
      <c r="HC32" s="319">
        <f>SUM(HC33:HC37)</f>
        <v>2295</v>
      </c>
      <c r="HD32" s="319">
        <f>HC32</f>
        <v>2295</v>
      </c>
      <c r="HF32" s="318" t="s">
        <v>139</v>
      </c>
      <c r="HG32" s="319">
        <f>SUM(HG33:HG37)</f>
        <v>2320</v>
      </c>
      <c r="HH32" s="319">
        <f>SUM(HH33:HH37)</f>
        <v>2064</v>
      </c>
      <c r="HI32" s="319">
        <f>SUM(HI33:HI37)</f>
        <v>2375</v>
      </c>
      <c r="HJ32" s="319">
        <f>SUM(HJ33:HJ37)</f>
        <v>2665</v>
      </c>
      <c r="HK32" s="319">
        <f>SUM(HK33:HK37)</f>
        <v>2665</v>
      </c>
      <c r="HM32" s="318" t="s">
        <v>139</v>
      </c>
      <c r="HN32" s="319">
        <f>SUM(HN33:HN37)</f>
        <v>2466</v>
      </c>
      <c r="HO32" s="319">
        <f>SUM(HO33:HO37)</f>
        <v>2182</v>
      </c>
      <c r="HP32" s="319">
        <f>SUM(HP33:HP37)</f>
        <v>2563</v>
      </c>
      <c r="HQ32" s="319">
        <f>SUM(HQ33:HQ37)</f>
        <v>2670</v>
      </c>
      <c r="HR32" s="319">
        <f>SUM(HR33:HR37)</f>
        <v>2670</v>
      </c>
      <c r="HT32" s="318" t="s">
        <v>139</v>
      </c>
      <c r="HU32" s="319">
        <f>SUM(HU33:HU37)</f>
        <v>2816</v>
      </c>
      <c r="HV32" s="319">
        <f>SUM(HV33:HV37)</f>
        <v>2367</v>
      </c>
      <c r="HW32" s="319">
        <f>SUM(HW33:HW37)</f>
        <v>2358</v>
      </c>
      <c r="HX32" s="319">
        <f>SUM(HX33:HX37)</f>
        <v>2425</v>
      </c>
      <c r="HY32" s="319">
        <f>SUM(HY33:HY37)</f>
        <v>2425</v>
      </c>
      <c r="IA32" s="318" t="s">
        <v>139</v>
      </c>
      <c r="IB32" s="319">
        <f>SUM(IB33:IB37)</f>
        <v>2225.123851406106</v>
      </c>
      <c r="IC32" s="319">
        <f>SUM(IC33:IC37)</f>
        <v>2222.940755928772</v>
      </c>
      <c r="ID32" s="319">
        <f>SUM(ID33:ID37)</f>
        <v>2223.579314570095</v>
      </c>
      <c r="IE32" s="319">
        <f>SUM(IE33:IE37)</f>
        <v>2223.8862710566609</v>
      </c>
      <c r="IF32" s="319">
        <f>SUM(IF33:IF37)</f>
        <v>2223.8862710566609</v>
      </c>
      <c r="IH32" s="318" t="s">
        <v>139</v>
      </c>
      <c r="II32" s="319">
        <f>SUM(II33:II37)</f>
        <v>2229.355226546048</v>
      </c>
      <c r="IJ32" s="319">
        <f>SUM(IJ33:IJ37)</f>
        <v>2234.3211694161237</v>
      </c>
      <c r="IK32" s="319">
        <f>SUM(IK33:IK37)</f>
        <v>2237.4156068429352</v>
      </c>
      <c r="IL32" s="319">
        <f>SUM(IL33:IL37)</f>
        <v>2240.6540783444934</v>
      </c>
      <c r="IM32" s="319">
        <f>SUM(IM33:IM37)</f>
        <v>2240.6540783444934</v>
      </c>
      <c r="IO32" s="318" t="s">
        <v>139</v>
      </c>
      <c r="IP32" s="319">
        <f>SUM(IP33:IP37)</f>
        <v>2250.0533508459657</v>
      </c>
      <c r="IQ32" s="319">
        <f>SUM(IQ33:IQ37)</f>
        <v>2261.317669852478</v>
      </c>
      <c r="IR32" s="319">
        <f>SUM(IR33:IR37)</f>
        <v>2274.3683957986559</v>
      </c>
      <c r="IS32" s="319">
        <f>SUM(IS33:IS37)</f>
        <v>2284.2327696399748</v>
      </c>
      <c r="IT32" s="319">
        <f>SUM(IT33:IT37)</f>
        <v>2284.2327696399748</v>
      </c>
    </row>
    <row r="33" spans="1:438" outlineLevel="1" x14ac:dyDescent="0.4">
      <c r="B33" s="321" t="s">
        <v>135</v>
      </c>
      <c r="C33" s="322">
        <f t="shared" si="70"/>
        <v>1197</v>
      </c>
      <c r="D33" s="322">
        <f t="shared" si="71"/>
        <v>1030</v>
      </c>
      <c r="E33" s="322">
        <f t="shared" si="72"/>
        <v>905</v>
      </c>
      <c r="F33" s="322">
        <f t="shared" si="73"/>
        <v>802</v>
      </c>
      <c r="G33" s="322">
        <f t="shared" si="74"/>
        <v>821</v>
      </c>
      <c r="H33" s="322">
        <f t="shared" si="75"/>
        <v>870</v>
      </c>
      <c r="I33" s="322">
        <f t="shared" si="76"/>
        <v>954</v>
      </c>
      <c r="J33" s="322">
        <f t="shared" si="77"/>
        <v>974</v>
      </c>
      <c r="K33" s="322">
        <f t="shared" si="78"/>
        <v>976</v>
      </c>
      <c r="L33" s="322">
        <f t="shared" si="79"/>
        <v>973</v>
      </c>
      <c r="M33" s="322">
        <f t="shared" si="80"/>
        <v>967</v>
      </c>
      <c r="N33" s="322">
        <f t="shared" si="81"/>
        <v>1046</v>
      </c>
      <c r="O33" s="322">
        <f t="shared" si="82"/>
        <v>1147</v>
      </c>
      <c r="P33" s="322">
        <f t="shared" si="83"/>
        <v>1014</v>
      </c>
      <c r="Q33" s="322">
        <f t="shared" si="84"/>
        <v>957</v>
      </c>
      <c r="R33" s="322">
        <f t="shared" si="85"/>
        <v>845</v>
      </c>
      <c r="S33" s="322">
        <f t="shared" si="86"/>
        <v>764</v>
      </c>
      <c r="T33" s="322">
        <f t="shared" si="87"/>
        <v>806</v>
      </c>
      <c r="U33" s="322">
        <f t="shared" si="88"/>
        <v>847</v>
      </c>
      <c r="V33" s="322">
        <f t="shared" si="89"/>
        <v>949</v>
      </c>
      <c r="W33" s="322">
        <f t="shared" si="90"/>
        <v>1043</v>
      </c>
      <c r="X33" s="322">
        <f t="shared" si="91"/>
        <v>809</v>
      </c>
      <c r="Y33" s="322">
        <f t="shared" si="92"/>
        <v>963</v>
      </c>
      <c r="Z33" s="322">
        <f t="shared" si="93"/>
        <v>1130</v>
      </c>
      <c r="AA33" s="322">
        <f t="shared" si="94"/>
        <v>1237</v>
      </c>
      <c r="AB33" s="319">
        <f t="shared" si="95"/>
        <v>1290</v>
      </c>
      <c r="AC33" s="319">
        <f t="shared" si="96"/>
        <v>1564.356</v>
      </c>
      <c r="AD33" s="319">
        <f t="shared" si="97"/>
        <v>1360.422704131661</v>
      </c>
      <c r="AE33" s="319">
        <f t="shared" si="98"/>
        <v>1372.387737323204</v>
      </c>
      <c r="AF33" s="319">
        <f t="shared" si="99"/>
        <v>1411.2923079167967</v>
      </c>
      <c r="AG33" s="320"/>
      <c r="AH33" s="320"/>
      <c r="AI33" s="320"/>
      <c r="AJ33" s="320"/>
      <c r="AK33" s="320"/>
      <c r="AL33" s="320"/>
      <c r="AM33" s="320"/>
      <c r="AN33" s="320"/>
      <c r="AO33" s="320"/>
      <c r="AP33" s="320"/>
      <c r="AQ33" s="320"/>
      <c r="AR33" s="320"/>
      <c r="AT33" s="321" t="s">
        <v>135</v>
      </c>
      <c r="AU33" s="322"/>
      <c r="AV33" s="322"/>
      <c r="AW33" s="322"/>
      <c r="AX33" s="322">
        <v>1197</v>
      </c>
      <c r="AY33" s="322">
        <f>AX33</f>
        <v>1197</v>
      </c>
      <c r="BA33" s="321" t="s">
        <v>135</v>
      </c>
      <c r="BB33" s="322">
        <v>1176</v>
      </c>
      <c r="BC33" s="322">
        <v>1051</v>
      </c>
      <c r="BD33" s="322">
        <v>1141</v>
      </c>
      <c r="BE33" s="322">
        <v>1030</v>
      </c>
      <c r="BF33" s="322">
        <f>BE33</f>
        <v>1030</v>
      </c>
      <c r="BH33" s="321" t="s">
        <v>135</v>
      </c>
      <c r="BI33" s="322">
        <v>1057</v>
      </c>
      <c r="BJ33" s="322">
        <v>1015</v>
      </c>
      <c r="BK33" s="322">
        <v>1097</v>
      </c>
      <c r="BL33" s="322">
        <v>905</v>
      </c>
      <c r="BM33" s="322">
        <f>BL33</f>
        <v>905</v>
      </c>
      <c r="BO33" s="321" t="s">
        <v>135</v>
      </c>
      <c r="BP33" s="322">
        <v>912</v>
      </c>
      <c r="BQ33" s="322">
        <v>918</v>
      </c>
      <c r="BR33" s="322">
        <v>893</v>
      </c>
      <c r="BS33" s="322">
        <v>802</v>
      </c>
      <c r="BT33" s="322">
        <f>BS33</f>
        <v>802</v>
      </c>
      <c r="BV33" s="321" t="s">
        <v>135</v>
      </c>
      <c r="BW33" s="322">
        <v>839</v>
      </c>
      <c r="BX33" s="322">
        <v>768</v>
      </c>
      <c r="BY33" s="322">
        <v>800</v>
      </c>
      <c r="BZ33" s="322">
        <v>821</v>
      </c>
      <c r="CA33" s="322">
        <f>BZ33</f>
        <v>821</v>
      </c>
      <c r="CC33" s="321" t="s">
        <v>135</v>
      </c>
      <c r="CD33" s="322">
        <v>864</v>
      </c>
      <c r="CE33" s="322">
        <v>863</v>
      </c>
      <c r="CF33" s="322">
        <v>862</v>
      </c>
      <c r="CG33" s="322">
        <v>870</v>
      </c>
      <c r="CH33" s="322">
        <f>CG33</f>
        <v>870</v>
      </c>
      <c r="CJ33" s="321" t="s">
        <v>135</v>
      </c>
      <c r="CK33" s="322">
        <v>939</v>
      </c>
      <c r="CL33" s="322">
        <v>885</v>
      </c>
      <c r="CM33" s="322">
        <v>930</v>
      </c>
      <c r="CN33" s="322">
        <v>954</v>
      </c>
      <c r="CO33" s="322">
        <f>CN33</f>
        <v>954</v>
      </c>
      <c r="CQ33" s="321" t="s">
        <v>135</v>
      </c>
      <c r="CR33" s="322">
        <v>965</v>
      </c>
      <c r="CS33" s="322">
        <v>917</v>
      </c>
      <c r="CT33" s="322">
        <v>971</v>
      </c>
      <c r="CU33" s="322">
        <v>974</v>
      </c>
      <c r="CV33" s="322">
        <f>CU33</f>
        <v>974</v>
      </c>
      <c r="CX33" s="321" t="s">
        <v>135</v>
      </c>
      <c r="CY33" s="322">
        <v>977</v>
      </c>
      <c r="CZ33" s="322">
        <v>958</v>
      </c>
      <c r="DA33" s="322">
        <v>1002</v>
      </c>
      <c r="DB33" s="322">
        <v>976</v>
      </c>
      <c r="DC33" s="322">
        <f>DB33</f>
        <v>976</v>
      </c>
      <c r="DE33" s="321" t="s">
        <v>135</v>
      </c>
      <c r="DF33" s="322">
        <v>979</v>
      </c>
      <c r="DG33" s="322">
        <v>1008</v>
      </c>
      <c r="DH33" s="322">
        <v>1087</v>
      </c>
      <c r="DI33" s="322">
        <v>973</v>
      </c>
      <c r="DJ33" s="322">
        <f>DI33</f>
        <v>973</v>
      </c>
      <c r="DL33" s="321" t="s">
        <v>135</v>
      </c>
      <c r="DM33" s="322">
        <v>934</v>
      </c>
      <c r="DN33" s="322">
        <v>904</v>
      </c>
      <c r="DO33" s="322">
        <v>963</v>
      </c>
      <c r="DP33" s="322">
        <v>967</v>
      </c>
      <c r="DQ33" s="322">
        <f>DP33</f>
        <v>967</v>
      </c>
      <c r="DS33" s="321" t="s">
        <v>135</v>
      </c>
      <c r="DT33" s="322">
        <v>931</v>
      </c>
      <c r="DU33" s="322">
        <v>922</v>
      </c>
      <c r="DV33" s="322">
        <v>981</v>
      </c>
      <c r="DW33" s="322">
        <v>1046</v>
      </c>
      <c r="DX33" s="322">
        <f>DW33</f>
        <v>1046</v>
      </c>
      <c r="DZ33" s="321" t="s">
        <v>135</v>
      </c>
      <c r="EA33" s="322">
        <v>1024</v>
      </c>
      <c r="EB33" s="322">
        <v>1076</v>
      </c>
      <c r="EC33" s="322">
        <v>1170</v>
      </c>
      <c r="ED33" s="322">
        <v>1147</v>
      </c>
      <c r="EE33" s="322">
        <f>ED33</f>
        <v>1147</v>
      </c>
      <c r="EG33" s="321" t="s">
        <v>135</v>
      </c>
      <c r="EH33" s="322">
        <v>1205</v>
      </c>
      <c r="EI33" s="322">
        <v>1055</v>
      </c>
      <c r="EJ33" s="322">
        <v>1197</v>
      </c>
      <c r="EK33" s="322">
        <v>1014</v>
      </c>
      <c r="EL33" s="322">
        <f>EK33</f>
        <v>1014</v>
      </c>
      <c r="EN33" s="321" t="s">
        <v>135</v>
      </c>
      <c r="EO33" s="322">
        <v>1043</v>
      </c>
      <c r="EP33" s="322">
        <v>1022</v>
      </c>
      <c r="EQ33" s="322">
        <v>1078</v>
      </c>
      <c r="ER33" s="322">
        <v>957</v>
      </c>
      <c r="ES33" s="322">
        <f>ER33</f>
        <v>957</v>
      </c>
      <c r="EU33" s="321" t="s">
        <v>135</v>
      </c>
      <c r="EV33" s="322">
        <v>975</v>
      </c>
      <c r="EW33" s="322">
        <v>900</v>
      </c>
      <c r="EX33" s="322">
        <v>986</v>
      </c>
      <c r="EY33" s="322">
        <v>845</v>
      </c>
      <c r="EZ33" s="322">
        <f>EY33</f>
        <v>845</v>
      </c>
      <c r="FB33" s="321" t="s">
        <v>135</v>
      </c>
      <c r="FC33" s="322">
        <v>858</v>
      </c>
      <c r="FD33" s="322">
        <v>772</v>
      </c>
      <c r="FE33" s="322">
        <v>842</v>
      </c>
      <c r="FF33" s="322">
        <v>764</v>
      </c>
      <c r="FG33" s="322">
        <f>FF33</f>
        <v>764</v>
      </c>
      <c r="FI33" s="321" t="s">
        <v>135</v>
      </c>
      <c r="FJ33" s="322">
        <v>815</v>
      </c>
      <c r="FK33" s="322">
        <v>766</v>
      </c>
      <c r="FL33" s="322">
        <v>859</v>
      </c>
      <c r="FM33" s="322">
        <v>806</v>
      </c>
      <c r="FN33" s="322">
        <f>FM33</f>
        <v>806</v>
      </c>
      <c r="FP33" s="321" t="s">
        <v>135</v>
      </c>
      <c r="FQ33" s="322">
        <v>898</v>
      </c>
      <c r="FR33" s="322">
        <v>810</v>
      </c>
      <c r="FS33" s="322">
        <v>905</v>
      </c>
      <c r="FT33" s="322">
        <v>847</v>
      </c>
      <c r="FU33" s="322">
        <f>FT33</f>
        <v>847</v>
      </c>
      <c r="FW33" s="321" t="s">
        <v>135</v>
      </c>
      <c r="FX33" s="322">
        <v>905</v>
      </c>
      <c r="FY33" s="322">
        <v>852</v>
      </c>
      <c r="FZ33" s="322">
        <v>982</v>
      </c>
      <c r="GA33" s="322">
        <v>949</v>
      </c>
      <c r="GB33" s="322">
        <f>GA33</f>
        <v>949</v>
      </c>
      <c r="GD33" s="321" t="s">
        <v>135</v>
      </c>
      <c r="GE33" s="322">
        <v>1019</v>
      </c>
      <c r="GF33" s="322">
        <v>989</v>
      </c>
      <c r="GG33" s="322">
        <v>1101</v>
      </c>
      <c r="GH33" s="322">
        <v>1043</v>
      </c>
      <c r="GI33" s="322">
        <f t="shared" si="100"/>
        <v>1043</v>
      </c>
      <c r="GK33" s="321" t="s">
        <v>135</v>
      </c>
      <c r="GL33" s="322">
        <v>1058</v>
      </c>
      <c r="GM33" s="322">
        <v>960</v>
      </c>
      <c r="GN33" s="322">
        <v>1042</v>
      </c>
      <c r="GO33" s="322">
        <v>809</v>
      </c>
      <c r="GP33" s="322">
        <f t="shared" si="101"/>
        <v>809</v>
      </c>
      <c r="GR33" s="321" t="s">
        <v>135</v>
      </c>
      <c r="GS33" s="322">
        <v>859</v>
      </c>
      <c r="GT33" s="322">
        <v>879</v>
      </c>
      <c r="GU33" s="322">
        <v>972</v>
      </c>
      <c r="GV33" s="322">
        <v>963</v>
      </c>
      <c r="GW33" s="322">
        <f t="shared" ref="GW33:GW39" si="102">+GV33</f>
        <v>963</v>
      </c>
      <c r="GY33" s="321" t="s">
        <v>135</v>
      </c>
      <c r="GZ33" s="322">
        <v>1050</v>
      </c>
      <c r="HA33" s="322">
        <v>1055</v>
      </c>
      <c r="HB33" s="322">
        <v>1152</v>
      </c>
      <c r="HC33" s="322">
        <v>1130</v>
      </c>
      <c r="HD33" s="322">
        <f t="shared" ref="HD33:HD39" si="103">+HC33</f>
        <v>1130</v>
      </c>
      <c r="HF33" s="321" t="s">
        <v>135</v>
      </c>
      <c r="HG33" s="322">
        <v>1203</v>
      </c>
      <c r="HH33" s="322">
        <v>1120</v>
      </c>
      <c r="HI33" s="322">
        <v>1201</v>
      </c>
      <c r="HJ33" s="322">
        <v>1237</v>
      </c>
      <c r="HK33" s="322">
        <f t="shared" ref="HK33:HK39" si="104">+HJ33</f>
        <v>1237</v>
      </c>
      <c r="HM33" s="321" t="s">
        <v>135</v>
      </c>
      <c r="HN33" s="322">
        <v>1306</v>
      </c>
      <c r="HO33" s="319">
        <v>1192</v>
      </c>
      <c r="HP33" s="322">
        <v>1301</v>
      </c>
      <c r="HQ33" s="319">
        <v>1290</v>
      </c>
      <c r="HR33" s="322">
        <f t="shared" ref="HR33:HR39" si="105">+HQ33</f>
        <v>1290</v>
      </c>
      <c r="HT33" s="321" t="s">
        <v>135</v>
      </c>
      <c r="HU33" s="319">
        <v>1315</v>
      </c>
      <c r="HV33" s="319">
        <v>1273</v>
      </c>
      <c r="HW33" s="319">
        <v>1344</v>
      </c>
      <c r="HX33" s="319">
        <f>2425-HX34-HX35-HX36-HX37</f>
        <v>1564.356</v>
      </c>
      <c r="HY33" s="319">
        <f t="shared" ref="HY33:HY39" si="106">+HX33</f>
        <v>1564.356</v>
      </c>
      <c r="IA33" s="321" t="s">
        <v>135</v>
      </c>
      <c r="IB33" s="319">
        <f>+CF!GH110*BS!IB83/360</f>
        <v>1364.2151294311063</v>
      </c>
      <c r="IC33" s="319">
        <f>+CF!GI110*BS!IC83/360</f>
        <v>1361.5988044787716</v>
      </c>
      <c r="ID33" s="319">
        <f>+CF!GJ110*BS!ID83/360</f>
        <v>1361.4188240700948</v>
      </c>
      <c r="IE33" s="319">
        <f>+CF!GK110*BS!IE83/360</f>
        <v>1360.422704131661</v>
      </c>
      <c r="IF33" s="319">
        <f t="shared" ref="IF33:IF39" si="107">+IE33</f>
        <v>1360.422704131661</v>
      </c>
      <c r="IH33" s="321" t="s">
        <v>135</v>
      </c>
      <c r="II33" s="319">
        <f>+CF!GO110*BS!II83/360</f>
        <v>1364.7197377749631</v>
      </c>
      <c r="IJ33" s="319">
        <f>+CF!GP110*BS!IJ83/360</f>
        <v>1368.474239433061</v>
      </c>
      <c r="IK33" s="319">
        <f>+CF!GQ110*BS!IK83/360</f>
        <v>1370.3641361610164</v>
      </c>
      <c r="IL33" s="319">
        <f>+CF!GR110*BS!IL83/360</f>
        <v>1372.387737323204</v>
      </c>
      <c r="IM33" s="319">
        <f t="shared" ref="IM33:IM39" si="108">+IL33</f>
        <v>1372.387737323204</v>
      </c>
      <c r="IO33" s="321" t="s">
        <v>135</v>
      </c>
      <c r="IP33" s="319">
        <f>+CF!GV110*BS!IP83/360</f>
        <v>1380.6478321097045</v>
      </c>
      <c r="IQ33" s="319">
        <f>+CF!GW110*BS!IQ83/360</f>
        <v>1390.7341071112066</v>
      </c>
      <c r="IR33" s="319">
        <f>+CF!GX110*BS!IR83/360</f>
        <v>1402.5941623467795</v>
      </c>
      <c r="IS33" s="319">
        <f>+CF!GY110*BS!IS83/360</f>
        <v>1411.2923079167967</v>
      </c>
      <c r="IT33" s="319">
        <f t="shared" ref="IT33:IT39" si="109">+IS33</f>
        <v>1411.2923079167967</v>
      </c>
    </row>
    <row r="34" spans="1:438" outlineLevel="1" x14ac:dyDescent="0.4">
      <c r="B34" s="321" t="s">
        <v>136</v>
      </c>
      <c r="C34" s="322">
        <f t="shared" si="70"/>
        <v>436</v>
      </c>
      <c r="D34" s="322">
        <f t="shared" si="71"/>
        <v>405</v>
      </c>
      <c r="E34" s="322">
        <f t="shared" si="72"/>
        <v>409</v>
      </c>
      <c r="F34" s="322">
        <f t="shared" si="73"/>
        <v>457</v>
      </c>
      <c r="G34" s="322">
        <f t="shared" si="74"/>
        <v>388</v>
      </c>
      <c r="H34" s="322">
        <f t="shared" si="75"/>
        <v>380</v>
      </c>
      <c r="I34" s="322">
        <f t="shared" si="76"/>
        <v>565</v>
      </c>
      <c r="J34" s="322">
        <f t="shared" si="77"/>
        <v>495</v>
      </c>
      <c r="K34" s="322">
        <f t="shared" si="78"/>
        <v>461</v>
      </c>
      <c r="L34" s="322">
        <f t="shared" si="79"/>
        <v>465</v>
      </c>
      <c r="M34" s="322">
        <f t="shared" si="80"/>
        <v>383</v>
      </c>
      <c r="N34" s="322">
        <f t="shared" si="81"/>
        <v>520</v>
      </c>
      <c r="O34" s="322">
        <f t="shared" si="82"/>
        <v>541</v>
      </c>
      <c r="P34" s="322">
        <f t="shared" si="83"/>
        <v>468</v>
      </c>
      <c r="Q34" s="322">
        <f t="shared" si="84"/>
        <v>587</v>
      </c>
      <c r="R34" s="322">
        <f t="shared" si="85"/>
        <v>613</v>
      </c>
      <c r="S34" s="322">
        <f t="shared" si="86"/>
        <v>490</v>
      </c>
      <c r="T34" s="322">
        <f t="shared" si="87"/>
        <v>545</v>
      </c>
      <c r="U34" s="322">
        <f t="shared" si="88"/>
        <v>602</v>
      </c>
      <c r="V34" s="322">
        <f t="shared" si="89"/>
        <v>550</v>
      </c>
      <c r="W34" s="322">
        <f t="shared" si="90"/>
        <v>489</v>
      </c>
      <c r="X34" s="322">
        <f t="shared" si="91"/>
        <v>482</v>
      </c>
      <c r="Y34" s="322">
        <f t="shared" si="92"/>
        <v>630</v>
      </c>
      <c r="Z34" s="322">
        <f t="shared" si="93"/>
        <v>682</v>
      </c>
      <c r="AA34" s="322">
        <f t="shared" si="94"/>
        <v>517</v>
      </c>
      <c r="AB34" s="319">
        <f t="shared" si="95"/>
        <v>480</v>
      </c>
      <c r="AC34" s="319">
        <f t="shared" si="96"/>
        <v>439</v>
      </c>
      <c r="AD34" s="319">
        <f t="shared" si="97"/>
        <v>439</v>
      </c>
      <c r="AE34" s="319">
        <f t="shared" si="98"/>
        <v>439</v>
      </c>
      <c r="AF34" s="319">
        <f t="shared" si="99"/>
        <v>439</v>
      </c>
      <c r="AG34" s="320"/>
      <c r="AH34" s="320"/>
      <c r="AI34" s="320"/>
      <c r="AJ34" s="320"/>
      <c r="AK34" s="320"/>
      <c r="AL34" s="320"/>
      <c r="AM34" s="320"/>
      <c r="AN34" s="320"/>
      <c r="AO34" s="320"/>
      <c r="AP34" s="320"/>
      <c r="AQ34" s="320"/>
      <c r="AR34" s="320"/>
      <c r="AT34" s="321" t="s">
        <v>136</v>
      </c>
      <c r="AU34" s="322"/>
      <c r="AV34" s="322"/>
      <c r="AW34" s="322"/>
      <c r="AX34" s="322">
        <v>436</v>
      </c>
      <c r="AY34" s="322">
        <f>AX34</f>
        <v>436</v>
      </c>
      <c r="BA34" s="321" t="s">
        <v>136</v>
      </c>
      <c r="BB34" s="322">
        <v>441</v>
      </c>
      <c r="BC34" s="322">
        <v>425</v>
      </c>
      <c r="BD34" s="322">
        <v>414</v>
      </c>
      <c r="BE34" s="322">
        <v>405</v>
      </c>
      <c r="BF34" s="322">
        <f>BE34</f>
        <v>405</v>
      </c>
      <c r="BH34" s="321" t="s">
        <v>136</v>
      </c>
      <c r="BI34" s="322">
        <v>410</v>
      </c>
      <c r="BJ34" s="322">
        <v>418</v>
      </c>
      <c r="BK34" s="322">
        <v>408</v>
      </c>
      <c r="BL34" s="322">
        <v>409</v>
      </c>
      <c r="BM34" s="322">
        <f>BL34</f>
        <v>409</v>
      </c>
      <c r="BO34" s="321" t="s">
        <v>136</v>
      </c>
      <c r="BP34" s="322">
        <v>396</v>
      </c>
      <c r="BQ34" s="322">
        <v>413</v>
      </c>
      <c r="BR34" s="322">
        <v>437</v>
      </c>
      <c r="BS34" s="322">
        <v>457</v>
      </c>
      <c r="BT34" s="322">
        <f>BS34</f>
        <v>457</v>
      </c>
      <c r="BV34" s="321" t="s">
        <v>136</v>
      </c>
      <c r="BW34" s="322">
        <v>392</v>
      </c>
      <c r="BX34" s="322">
        <v>402</v>
      </c>
      <c r="BY34" s="322">
        <v>418</v>
      </c>
      <c r="BZ34" s="322">
        <v>388</v>
      </c>
      <c r="CA34" s="322">
        <f>BZ34</f>
        <v>388</v>
      </c>
      <c r="CC34" s="321" t="s">
        <v>136</v>
      </c>
      <c r="CD34" s="322">
        <v>377</v>
      </c>
      <c r="CE34" s="322">
        <v>395</v>
      </c>
      <c r="CF34" s="322">
        <v>435</v>
      </c>
      <c r="CG34" s="322">
        <v>380</v>
      </c>
      <c r="CH34" s="322">
        <f>CG34</f>
        <v>380</v>
      </c>
      <c r="CJ34" s="321" t="s">
        <v>136</v>
      </c>
      <c r="CK34" s="322">
        <v>352</v>
      </c>
      <c r="CL34" s="322">
        <v>429</v>
      </c>
      <c r="CM34" s="322">
        <v>513</v>
      </c>
      <c r="CN34" s="322">
        <v>565</v>
      </c>
      <c r="CO34" s="322">
        <f>CN34</f>
        <v>565</v>
      </c>
      <c r="CQ34" s="321" t="s">
        <v>136</v>
      </c>
      <c r="CR34" s="322">
        <v>433</v>
      </c>
      <c r="CS34" s="322">
        <v>457</v>
      </c>
      <c r="CT34" s="322">
        <v>490</v>
      </c>
      <c r="CU34" s="322">
        <v>495</v>
      </c>
      <c r="CV34" s="322">
        <f>CU34</f>
        <v>495</v>
      </c>
      <c r="CX34" s="321" t="s">
        <v>136</v>
      </c>
      <c r="CY34" s="322">
        <v>434</v>
      </c>
      <c r="CZ34" s="322">
        <v>419</v>
      </c>
      <c r="DA34" s="322">
        <v>480</v>
      </c>
      <c r="DB34" s="322">
        <v>461</v>
      </c>
      <c r="DC34" s="322">
        <f>DB34</f>
        <v>461</v>
      </c>
      <c r="DE34" s="321" t="s">
        <v>136</v>
      </c>
      <c r="DF34" s="322">
        <v>455</v>
      </c>
      <c r="DG34" s="322">
        <v>466</v>
      </c>
      <c r="DH34" s="322">
        <v>495</v>
      </c>
      <c r="DI34" s="322">
        <v>465</v>
      </c>
      <c r="DJ34" s="322">
        <f>DI34</f>
        <v>465</v>
      </c>
      <c r="DL34" s="321" t="s">
        <v>136</v>
      </c>
      <c r="DM34" s="322">
        <v>369</v>
      </c>
      <c r="DN34" s="322">
        <v>349</v>
      </c>
      <c r="DO34" s="322">
        <v>402</v>
      </c>
      <c r="DP34" s="322">
        <v>383</v>
      </c>
      <c r="DQ34" s="322">
        <f>DP34</f>
        <v>383</v>
      </c>
      <c r="DS34" s="321" t="s">
        <v>136</v>
      </c>
      <c r="DT34" s="322">
        <v>376</v>
      </c>
      <c r="DU34" s="322">
        <v>390</v>
      </c>
      <c r="DV34" s="322">
        <v>473</v>
      </c>
      <c r="DW34" s="322">
        <v>520</v>
      </c>
      <c r="DX34" s="322">
        <f>DW34</f>
        <v>520</v>
      </c>
      <c r="DZ34" s="321" t="s">
        <v>136</v>
      </c>
      <c r="EA34" s="322">
        <v>336</v>
      </c>
      <c r="EB34" s="322">
        <v>430</v>
      </c>
      <c r="EC34" s="322">
        <v>474</v>
      </c>
      <c r="ED34" s="322">
        <v>541</v>
      </c>
      <c r="EE34" s="322">
        <f>ED34</f>
        <v>541</v>
      </c>
      <c r="EG34" s="321" t="s">
        <v>136</v>
      </c>
      <c r="EH34" s="322">
        <v>392</v>
      </c>
      <c r="EI34" s="322">
        <v>434</v>
      </c>
      <c r="EJ34" s="322">
        <v>416</v>
      </c>
      <c r="EK34" s="322">
        <v>468</v>
      </c>
      <c r="EL34" s="322">
        <f>EK34</f>
        <v>468</v>
      </c>
      <c r="EN34" s="321" t="s">
        <v>136</v>
      </c>
      <c r="EO34" s="322">
        <v>376</v>
      </c>
      <c r="EP34" s="322">
        <v>452</v>
      </c>
      <c r="EQ34" s="322">
        <v>511</v>
      </c>
      <c r="ER34" s="322">
        <v>587</v>
      </c>
      <c r="ES34" s="322">
        <f>ER34</f>
        <v>587</v>
      </c>
      <c r="EU34" s="321" t="s">
        <v>136</v>
      </c>
      <c r="EV34" s="322">
        <v>404</v>
      </c>
      <c r="EW34" s="322">
        <v>490</v>
      </c>
      <c r="EX34" s="322">
        <v>507</v>
      </c>
      <c r="EY34" s="322">
        <v>613</v>
      </c>
      <c r="EZ34" s="322">
        <f>EY34</f>
        <v>613</v>
      </c>
      <c r="FB34" s="321" t="s">
        <v>136</v>
      </c>
      <c r="FC34" s="322">
        <v>410</v>
      </c>
      <c r="FD34" s="322">
        <v>480</v>
      </c>
      <c r="FE34" s="322">
        <v>447</v>
      </c>
      <c r="FF34" s="322">
        <v>490</v>
      </c>
      <c r="FG34" s="322">
        <f>FF34</f>
        <v>490</v>
      </c>
      <c r="FI34" s="321" t="s">
        <v>136</v>
      </c>
      <c r="FJ34" s="322">
        <v>398</v>
      </c>
      <c r="FK34" s="322">
        <v>464</v>
      </c>
      <c r="FL34" s="322">
        <v>450</v>
      </c>
      <c r="FM34" s="322">
        <v>545</v>
      </c>
      <c r="FN34" s="322">
        <f>FM34</f>
        <v>545</v>
      </c>
      <c r="FP34" s="321" t="s">
        <v>136</v>
      </c>
      <c r="FQ34" s="322">
        <v>445</v>
      </c>
      <c r="FR34" s="322">
        <v>506</v>
      </c>
      <c r="FS34" s="322">
        <v>601</v>
      </c>
      <c r="FT34" s="322">
        <v>602</v>
      </c>
      <c r="FU34" s="322">
        <f>FT34</f>
        <v>602</v>
      </c>
      <c r="FW34" s="321" t="s">
        <v>136</v>
      </c>
      <c r="FX34" s="322">
        <v>443</v>
      </c>
      <c r="FY34" s="322">
        <v>486</v>
      </c>
      <c r="FZ34" s="322">
        <v>517</v>
      </c>
      <c r="GA34" s="322">
        <v>550</v>
      </c>
      <c r="GB34" s="322">
        <f>GA34</f>
        <v>550</v>
      </c>
      <c r="GD34" s="321" t="s">
        <v>136</v>
      </c>
      <c r="GE34" s="322">
        <v>406</v>
      </c>
      <c r="GF34" s="322">
        <v>412</v>
      </c>
      <c r="GG34" s="322">
        <v>486</v>
      </c>
      <c r="GH34" s="322">
        <v>489</v>
      </c>
      <c r="GI34" s="322">
        <f t="shared" si="100"/>
        <v>489</v>
      </c>
      <c r="GK34" s="321" t="s">
        <v>136</v>
      </c>
      <c r="GL34" s="322">
        <v>345</v>
      </c>
      <c r="GM34" s="322">
        <v>352</v>
      </c>
      <c r="GN34" s="322">
        <v>436</v>
      </c>
      <c r="GO34" s="322">
        <v>482</v>
      </c>
      <c r="GP34" s="322">
        <f t="shared" si="101"/>
        <v>482</v>
      </c>
      <c r="GR34" s="321" t="s">
        <v>136</v>
      </c>
      <c r="GS34" s="322">
        <v>419</v>
      </c>
      <c r="GT34" s="322">
        <v>447</v>
      </c>
      <c r="GU34" s="322">
        <v>548</v>
      </c>
      <c r="GV34" s="322">
        <v>630</v>
      </c>
      <c r="GW34" s="322">
        <f t="shared" si="102"/>
        <v>630</v>
      </c>
      <c r="GY34" s="321" t="s">
        <v>136</v>
      </c>
      <c r="GZ34" s="322">
        <v>547</v>
      </c>
      <c r="HA34" s="322">
        <v>615</v>
      </c>
      <c r="HB34" s="322">
        <v>727</v>
      </c>
      <c r="HC34" s="322">
        <v>682</v>
      </c>
      <c r="HD34" s="322">
        <f t="shared" si="103"/>
        <v>682</v>
      </c>
      <c r="HF34" s="321" t="s">
        <v>136</v>
      </c>
      <c r="HG34" s="322">
        <v>367</v>
      </c>
      <c r="HH34" s="322">
        <v>444</v>
      </c>
      <c r="HI34" s="322">
        <v>441</v>
      </c>
      <c r="HJ34" s="322">
        <v>517</v>
      </c>
      <c r="HK34" s="322">
        <f t="shared" si="104"/>
        <v>517</v>
      </c>
      <c r="HM34" s="321" t="s">
        <v>136</v>
      </c>
      <c r="HN34" s="322">
        <v>387</v>
      </c>
      <c r="HO34" s="319">
        <v>469</v>
      </c>
      <c r="HP34" s="322">
        <v>470</v>
      </c>
      <c r="HQ34" s="319">
        <v>480</v>
      </c>
      <c r="HR34" s="322">
        <f t="shared" si="105"/>
        <v>480</v>
      </c>
      <c r="HT34" s="321" t="s">
        <v>136</v>
      </c>
      <c r="HU34" s="319">
        <v>391</v>
      </c>
      <c r="HV34" s="319">
        <v>453</v>
      </c>
      <c r="HW34" s="319">
        <v>439</v>
      </c>
      <c r="HX34" s="319">
        <f t="shared" ref="HX34:HX36" si="110">+HW34</f>
        <v>439</v>
      </c>
      <c r="HY34" s="319">
        <f t="shared" si="106"/>
        <v>439</v>
      </c>
      <c r="IA34" s="321" t="s">
        <v>136</v>
      </c>
      <c r="IB34" s="319">
        <f>+HY34</f>
        <v>439</v>
      </c>
      <c r="IC34" s="319">
        <f t="shared" ref="IC34:IE36" si="111">+IB34</f>
        <v>439</v>
      </c>
      <c r="ID34" s="319">
        <f t="shared" si="111"/>
        <v>439</v>
      </c>
      <c r="IE34" s="319">
        <f t="shared" si="111"/>
        <v>439</v>
      </c>
      <c r="IF34" s="319">
        <f t="shared" si="107"/>
        <v>439</v>
      </c>
      <c r="IH34" s="321" t="s">
        <v>136</v>
      </c>
      <c r="II34" s="319">
        <f>+IF34</f>
        <v>439</v>
      </c>
      <c r="IJ34" s="319">
        <f t="shared" ref="IJ34:IJ36" si="112">+II34</f>
        <v>439</v>
      </c>
      <c r="IK34" s="319">
        <f t="shared" ref="IK34:IK36" si="113">+IJ34</f>
        <v>439</v>
      </c>
      <c r="IL34" s="319">
        <f t="shared" ref="IL34:IL36" si="114">+IK34</f>
        <v>439</v>
      </c>
      <c r="IM34" s="319">
        <f t="shared" si="108"/>
        <v>439</v>
      </c>
      <c r="IO34" s="321" t="s">
        <v>136</v>
      </c>
      <c r="IP34" s="319">
        <f>+IM34</f>
        <v>439</v>
      </c>
      <c r="IQ34" s="319">
        <f t="shared" ref="IQ34:IQ36" si="115">+IP34</f>
        <v>439</v>
      </c>
      <c r="IR34" s="319">
        <f t="shared" ref="IR34:IR36" si="116">+IQ34</f>
        <v>439</v>
      </c>
      <c r="IS34" s="319">
        <f t="shared" ref="IS34:IS36" si="117">+IR34</f>
        <v>439</v>
      </c>
      <c r="IT34" s="319">
        <f t="shared" si="109"/>
        <v>439</v>
      </c>
    </row>
    <row r="35" spans="1:438" outlineLevel="1" x14ac:dyDescent="0.4">
      <c r="B35" s="321" t="s">
        <v>137</v>
      </c>
      <c r="C35" s="322">
        <f t="shared" si="70"/>
        <v>271</v>
      </c>
      <c r="D35" s="322">
        <f t="shared" si="71"/>
        <v>246</v>
      </c>
      <c r="E35" s="322">
        <f t="shared" si="72"/>
        <v>248</v>
      </c>
      <c r="F35" s="322">
        <f t="shared" si="73"/>
        <v>246</v>
      </c>
      <c r="G35" s="322">
        <f t="shared" si="74"/>
        <v>280</v>
      </c>
      <c r="H35" s="322">
        <f t="shared" si="75"/>
        <v>312</v>
      </c>
      <c r="I35" s="322">
        <f t="shared" si="76"/>
        <v>311</v>
      </c>
      <c r="J35" s="322">
        <f t="shared" si="77"/>
        <v>253</v>
      </c>
      <c r="K35" s="322">
        <f t="shared" si="78"/>
        <v>247</v>
      </c>
      <c r="L35" s="322">
        <f t="shared" si="79"/>
        <v>236</v>
      </c>
      <c r="M35" s="322">
        <f t="shared" si="80"/>
        <v>190</v>
      </c>
      <c r="N35" s="322">
        <f t="shared" si="81"/>
        <v>176</v>
      </c>
      <c r="O35" s="322">
        <f t="shared" si="82"/>
        <v>183</v>
      </c>
      <c r="P35" s="322">
        <f t="shared" si="83"/>
        <v>140</v>
      </c>
      <c r="Q35" s="322">
        <f t="shared" si="84"/>
        <v>151</v>
      </c>
      <c r="R35" s="322">
        <f t="shared" si="85"/>
        <v>142</v>
      </c>
      <c r="S35" s="322">
        <f t="shared" si="86"/>
        <v>131</v>
      </c>
      <c r="T35" s="322">
        <f t="shared" si="87"/>
        <v>115</v>
      </c>
      <c r="U35" s="322">
        <f t="shared" si="88"/>
        <v>108</v>
      </c>
      <c r="V35" s="322">
        <f t="shared" si="89"/>
        <v>113</v>
      </c>
      <c r="W35" s="322">
        <f t="shared" si="90"/>
        <v>100</v>
      </c>
      <c r="X35" s="322">
        <f t="shared" si="91"/>
        <v>90</v>
      </c>
      <c r="Y35" s="322">
        <f t="shared" si="92"/>
        <v>118</v>
      </c>
      <c r="Z35" s="322">
        <f t="shared" si="93"/>
        <v>144</v>
      </c>
      <c r="AA35" s="322">
        <f t="shared" si="94"/>
        <v>144</v>
      </c>
      <c r="AB35" s="319">
        <f t="shared" si="95"/>
        <v>149</v>
      </c>
      <c r="AC35" s="319">
        <f t="shared" si="96"/>
        <v>159</v>
      </c>
      <c r="AD35" s="319">
        <f t="shared" si="97"/>
        <v>159</v>
      </c>
      <c r="AE35" s="319">
        <f t="shared" si="98"/>
        <v>159</v>
      </c>
      <c r="AF35" s="319">
        <f t="shared" si="99"/>
        <v>159</v>
      </c>
      <c r="AG35" s="320"/>
      <c r="AH35" s="320"/>
      <c r="AI35" s="320"/>
      <c r="AJ35" s="320"/>
      <c r="AK35" s="320"/>
      <c r="AL35" s="320"/>
      <c r="AM35" s="320"/>
      <c r="AN35" s="320"/>
      <c r="AO35" s="320"/>
      <c r="AP35" s="320"/>
      <c r="AQ35" s="320"/>
      <c r="AR35" s="320"/>
      <c r="AT35" s="321" t="s">
        <v>137</v>
      </c>
      <c r="AU35" s="322"/>
      <c r="AV35" s="322"/>
      <c r="AW35" s="322"/>
      <c r="AX35" s="322">
        <v>271</v>
      </c>
      <c r="AY35" s="322">
        <f>AX35</f>
        <v>271</v>
      </c>
      <c r="BA35" s="321" t="s">
        <v>137</v>
      </c>
      <c r="BB35" s="322">
        <v>267</v>
      </c>
      <c r="BC35" s="322">
        <v>249</v>
      </c>
      <c r="BD35" s="322">
        <v>241</v>
      </c>
      <c r="BE35" s="322">
        <v>246</v>
      </c>
      <c r="BF35" s="322">
        <f>BE35</f>
        <v>246</v>
      </c>
      <c r="BH35" s="321" t="s">
        <v>137</v>
      </c>
      <c r="BI35" s="322">
        <v>251</v>
      </c>
      <c r="BJ35" s="322">
        <v>250</v>
      </c>
      <c r="BK35" s="322">
        <v>254</v>
      </c>
      <c r="BL35" s="322">
        <v>248</v>
      </c>
      <c r="BM35" s="322">
        <f>BL35</f>
        <v>248</v>
      </c>
      <c r="BO35" s="321" t="s">
        <v>137</v>
      </c>
      <c r="BP35" s="322">
        <v>247</v>
      </c>
      <c r="BQ35" s="322">
        <v>245</v>
      </c>
      <c r="BR35" s="322">
        <v>248</v>
      </c>
      <c r="BS35" s="322">
        <v>246</v>
      </c>
      <c r="BT35" s="322">
        <f>BS35</f>
        <v>246</v>
      </c>
      <c r="BV35" s="321" t="s">
        <v>137</v>
      </c>
      <c r="BW35" s="322">
        <v>254</v>
      </c>
      <c r="BX35" s="322">
        <v>223</v>
      </c>
      <c r="BY35" s="322">
        <v>226</v>
      </c>
      <c r="BZ35" s="322">
        <v>280</v>
      </c>
      <c r="CA35" s="322">
        <f>BZ35</f>
        <v>280</v>
      </c>
      <c r="CC35" s="321" t="s">
        <v>137</v>
      </c>
      <c r="CD35" s="322">
        <v>313</v>
      </c>
      <c r="CE35" s="322">
        <v>284</v>
      </c>
      <c r="CF35" s="322">
        <v>238</v>
      </c>
      <c r="CG35" s="322">
        <v>312</v>
      </c>
      <c r="CH35" s="322">
        <f>CG35</f>
        <v>312</v>
      </c>
      <c r="CJ35" s="321" t="s">
        <v>137</v>
      </c>
      <c r="CK35" s="322">
        <v>314</v>
      </c>
      <c r="CL35" s="322">
        <v>315</v>
      </c>
      <c r="CM35" s="322">
        <v>312</v>
      </c>
      <c r="CN35" s="322">
        <v>311</v>
      </c>
      <c r="CO35" s="322">
        <f>CN35</f>
        <v>311</v>
      </c>
      <c r="CQ35" s="321" t="s">
        <v>137</v>
      </c>
      <c r="CR35" s="322">
        <v>309</v>
      </c>
      <c r="CS35" s="322">
        <v>306</v>
      </c>
      <c r="CT35" s="322">
        <v>285</v>
      </c>
      <c r="CU35" s="322">
        <v>253</v>
      </c>
      <c r="CV35" s="322">
        <f>CU35</f>
        <v>253</v>
      </c>
      <c r="CX35" s="321" t="s">
        <v>137</v>
      </c>
      <c r="CY35" s="322">
        <v>255</v>
      </c>
      <c r="CZ35" s="322">
        <v>248</v>
      </c>
      <c r="DA35" s="322">
        <v>241</v>
      </c>
      <c r="DB35" s="322">
        <v>247</v>
      </c>
      <c r="DC35" s="322">
        <f>DB35</f>
        <v>247</v>
      </c>
      <c r="DE35" s="321" t="s">
        <v>137</v>
      </c>
      <c r="DF35" s="322">
        <v>245</v>
      </c>
      <c r="DG35" s="322">
        <v>242</v>
      </c>
      <c r="DH35" s="322">
        <v>248</v>
      </c>
      <c r="DI35" s="322">
        <v>236</v>
      </c>
      <c r="DJ35" s="322">
        <f>DI35</f>
        <v>236</v>
      </c>
      <c r="DL35" s="321" t="s">
        <v>137</v>
      </c>
      <c r="DM35" s="322">
        <v>217</v>
      </c>
      <c r="DN35" s="322">
        <v>181</v>
      </c>
      <c r="DO35" s="322">
        <v>179</v>
      </c>
      <c r="DP35" s="322">
        <v>190</v>
      </c>
      <c r="DQ35" s="322">
        <f>DP35</f>
        <v>190</v>
      </c>
      <c r="DS35" s="321" t="s">
        <v>137</v>
      </c>
      <c r="DT35" s="322">
        <v>185</v>
      </c>
      <c r="DU35" s="322">
        <v>190</v>
      </c>
      <c r="DV35" s="322">
        <v>187</v>
      </c>
      <c r="DW35" s="322">
        <v>176</v>
      </c>
      <c r="DX35" s="322">
        <f>DW35</f>
        <v>176</v>
      </c>
      <c r="DZ35" s="321" t="s">
        <v>137</v>
      </c>
      <c r="EA35" s="322">
        <v>174</v>
      </c>
      <c r="EB35" s="322">
        <v>180</v>
      </c>
      <c r="EC35" s="322">
        <v>200</v>
      </c>
      <c r="ED35" s="322">
        <v>183</v>
      </c>
      <c r="EE35" s="322">
        <f>ED35</f>
        <v>183</v>
      </c>
      <c r="EG35" s="321" t="s">
        <v>137</v>
      </c>
      <c r="EH35" s="322">
        <v>168</v>
      </c>
      <c r="EI35" s="322">
        <v>171</v>
      </c>
      <c r="EJ35" s="322">
        <v>169</v>
      </c>
      <c r="EK35" s="322">
        <v>140</v>
      </c>
      <c r="EL35" s="322">
        <f>EK35</f>
        <v>140</v>
      </c>
      <c r="EN35" s="321" t="s">
        <v>137</v>
      </c>
      <c r="EO35" s="322">
        <v>139</v>
      </c>
      <c r="EP35" s="322">
        <v>150</v>
      </c>
      <c r="EQ35" s="322">
        <v>149</v>
      </c>
      <c r="ER35" s="322">
        <v>151</v>
      </c>
      <c r="ES35" s="322">
        <f>ER35</f>
        <v>151</v>
      </c>
      <c r="EU35" s="321" t="s">
        <v>137</v>
      </c>
      <c r="EV35" s="322">
        <v>149</v>
      </c>
      <c r="EW35" s="322">
        <v>151</v>
      </c>
      <c r="EX35" s="322">
        <v>151</v>
      </c>
      <c r="EY35" s="322">
        <v>142</v>
      </c>
      <c r="EZ35" s="322">
        <f>EY35</f>
        <v>142</v>
      </c>
      <c r="FB35" s="321" t="s">
        <v>137</v>
      </c>
      <c r="FC35" s="322">
        <v>141</v>
      </c>
      <c r="FD35" s="322">
        <v>146</v>
      </c>
      <c r="FE35" s="322">
        <v>146</v>
      </c>
      <c r="FF35" s="322">
        <v>131</v>
      </c>
      <c r="FG35" s="322">
        <f>FF35</f>
        <v>131</v>
      </c>
      <c r="FI35" s="321" t="s">
        <v>137</v>
      </c>
      <c r="FJ35" s="322">
        <v>130</v>
      </c>
      <c r="FK35" s="322">
        <v>133</v>
      </c>
      <c r="FL35" s="322">
        <v>124</v>
      </c>
      <c r="FM35" s="322">
        <v>115</v>
      </c>
      <c r="FN35" s="322">
        <f>FM35</f>
        <v>115</v>
      </c>
      <c r="FP35" s="321" t="s">
        <v>137</v>
      </c>
      <c r="FQ35" s="322">
        <v>114</v>
      </c>
      <c r="FR35" s="322">
        <v>115</v>
      </c>
      <c r="FS35" s="322">
        <v>122</v>
      </c>
      <c r="FT35" s="322">
        <v>108</v>
      </c>
      <c r="FU35" s="322">
        <f>FT35</f>
        <v>108</v>
      </c>
      <c r="FW35" s="321" t="s">
        <v>137</v>
      </c>
      <c r="FX35" s="322">
        <v>106</v>
      </c>
      <c r="FY35" s="322">
        <v>114</v>
      </c>
      <c r="FZ35" s="322">
        <v>110</v>
      </c>
      <c r="GA35" s="322">
        <v>113</v>
      </c>
      <c r="GB35" s="322">
        <f>GA35</f>
        <v>113</v>
      </c>
      <c r="GD35" s="321" t="s">
        <v>137</v>
      </c>
      <c r="GE35" s="322">
        <v>112</v>
      </c>
      <c r="GF35" s="322">
        <v>110</v>
      </c>
      <c r="GG35" s="322">
        <v>110</v>
      </c>
      <c r="GH35" s="322">
        <v>100</v>
      </c>
      <c r="GI35" s="322">
        <f t="shared" si="100"/>
        <v>100</v>
      </c>
      <c r="GK35" s="321" t="s">
        <v>137</v>
      </c>
      <c r="GL35" s="322">
        <v>99</v>
      </c>
      <c r="GM35" s="322">
        <v>103</v>
      </c>
      <c r="GN35" s="322">
        <v>104</v>
      </c>
      <c r="GO35" s="322">
        <v>90</v>
      </c>
      <c r="GP35" s="322">
        <f t="shared" si="101"/>
        <v>90</v>
      </c>
      <c r="GR35" s="321" t="s">
        <v>137</v>
      </c>
      <c r="GS35" s="322">
        <v>89</v>
      </c>
      <c r="GT35" s="322">
        <v>102</v>
      </c>
      <c r="GU35" s="322">
        <v>117</v>
      </c>
      <c r="GV35" s="322">
        <v>118</v>
      </c>
      <c r="GW35" s="322">
        <f t="shared" si="102"/>
        <v>118</v>
      </c>
      <c r="GY35" s="321" t="s">
        <v>137</v>
      </c>
      <c r="GZ35" s="322">
        <v>118</v>
      </c>
      <c r="HA35" s="322">
        <v>113</v>
      </c>
      <c r="HB35" s="322">
        <v>113</v>
      </c>
      <c r="HC35" s="322">
        <v>144</v>
      </c>
      <c r="HD35" s="322">
        <f t="shared" si="103"/>
        <v>144</v>
      </c>
      <c r="HF35" s="321" t="s">
        <v>137</v>
      </c>
      <c r="HG35" s="322">
        <v>151</v>
      </c>
      <c r="HH35" s="322">
        <v>138</v>
      </c>
      <c r="HI35" s="322">
        <v>133</v>
      </c>
      <c r="HJ35" s="322">
        <v>144</v>
      </c>
      <c r="HK35" s="322">
        <f t="shared" si="104"/>
        <v>144</v>
      </c>
      <c r="HM35" s="321" t="s">
        <v>137</v>
      </c>
      <c r="HN35" s="322">
        <v>140</v>
      </c>
      <c r="HO35" s="319">
        <v>148</v>
      </c>
      <c r="HP35" s="322">
        <v>147</v>
      </c>
      <c r="HQ35" s="319">
        <v>149</v>
      </c>
      <c r="HR35" s="322">
        <f t="shared" si="105"/>
        <v>149</v>
      </c>
      <c r="HT35" s="321" t="s">
        <v>137</v>
      </c>
      <c r="HU35" s="319">
        <v>146</v>
      </c>
      <c r="HV35" s="319">
        <v>158</v>
      </c>
      <c r="HW35" s="319">
        <v>159</v>
      </c>
      <c r="HX35" s="319">
        <f t="shared" si="110"/>
        <v>159</v>
      </c>
      <c r="HY35" s="319">
        <f t="shared" si="106"/>
        <v>159</v>
      </c>
      <c r="IA35" s="321" t="s">
        <v>137</v>
      </c>
      <c r="IB35" s="319">
        <f>+HY35</f>
        <v>159</v>
      </c>
      <c r="IC35" s="319">
        <f t="shared" si="111"/>
        <v>159</v>
      </c>
      <c r="ID35" s="319">
        <f t="shared" si="111"/>
        <v>159</v>
      </c>
      <c r="IE35" s="319">
        <f t="shared" si="111"/>
        <v>159</v>
      </c>
      <c r="IF35" s="319">
        <f t="shared" si="107"/>
        <v>159</v>
      </c>
      <c r="IH35" s="321" t="s">
        <v>137</v>
      </c>
      <c r="II35" s="319">
        <f>+IF35</f>
        <v>159</v>
      </c>
      <c r="IJ35" s="319">
        <f t="shared" si="112"/>
        <v>159</v>
      </c>
      <c r="IK35" s="319">
        <f t="shared" si="113"/>
        <v>159</v>
      </c>
      <c r="IL35" s="319">
        <f t="shared" si="114"/>
        <v>159</v>
      </c>
      <c r="IM35" s="319">
        <f t="shared" si="108"/>
        <v>159</v>
      </c>
      <c r="IO35" s="321" t="s">
        <v>137</v>
      </c>
      <c r="IP35" s="319">
        <f>+IM35</f>
        <v>159</v>
      </c>
      <c r="IQ35" s="319">
        <f t="shared" si="115"/>
        <v>159</v>
      </c>
      <c r="IR35" s="319">
        <f t="shared" si="116"/>
        <v>159</v>
      </c>
      <c r="IS35" s="319">
        <f t="shared" si="117"/>
        <v>159</v>
      </c>
      <c r="IT35" s="319">
        <f t="shared" si="109"/>
        <v>159</v>
      </c>
    </row>
    <row r="36" spans="1:438" outlineLevel="1" x14ac:dyDescent="0.4">
      <c r="B36" s="321" t="s">
        <v>138</v>
      </c>
      <c r="C36" s="322">
        <f t="shared" si="70"/>
        <v>224</v>
      </c>
      <c r="D36" s="322">
        <f t="shared" si="71"/>
        <v>372</v>
      </c>
      <c r="E36" s="322">
        <f t="shared" si="72"/>
        <v>100</v>
      </c>
      <c r="F36" s="322">
        <f t="shared" si="73"/>
        <v>144</v>
      </c>
      <c r="G36" s="322">
        <f t="shared" si="74"/>
        <v>114</v>
      </c>
      <c r="H36" s="322">
        <f t="shared" si="75"/>
        <v>170</v>
      </c>
      <c r="I36" s="322">
        <f t="shared" si="76"/>
        <v>102</v>
      </c>
      <c r="J36" s="322">
        <f t="shared" si="77"/>
        <v>114</v>
      </c>
      <c r="K36" s="322">
        <f t="shared" si="78"/>
        <v>113</v>
      </c>
      <c r="L36" s="322">
        <f t="shared" si="79"/>
        <v>125</v>
      </c>
      <c r="M36" s="322">
        <f t="shared" si="80"/>
        <v>112</v>
      </c>
      <c r="N36" s="322">
        <f t="shared" si="81"/>
        <v>85</v>
      </c>
      <c r="O36" s="322">
        <f t="shared" si="82"/>
        <v>129</v>
      </c>
      <c r="P36" s="322">
        <f t="shared" si="83"/>
        <v>85</v>
      </c>
      <c r="Q36" s="322">
        <f t="shared" si="84"/>
        <v>91</v>
      </c>
      <c r="R36" s="322">
        <f t="shared" si="85"/>
        <v>163</v>
      </c>
      <c r="S36" s="322">
        <f t="shared" si="86"/>
        <v>108</v>
      </c>
      <c r="T36" s="322">
        <f t="shared" si="87"/>
        <v>129</v>
      </c>
      <c r="U36" s="322">
        <f t="shared" si="88"/>
        <v>157</v>
      </c>
      <c r="V36" s="322">
        <f t="shared" si="89"/>
        <v>106</v>
      </c>
      <c r="W36" s="322">
        <f t="shared" si="90"/>
        <v>69</v>
      </c>
      <c r="X36" s="322">
        <f t="shared" si="91"/>
        <v>73</v>
      </c>
      <c r="Y36" s="322">
        <f t="shared" si="92"/>
        <v>134</v>
      </c>
      <c r="Z36" s="322">
        <f t="shared" si="93"/>
        <v>111</v>
      </c>
      <c r="AA36" s="322">
        <f t="shared" si="94"/>
        <v>524</v>
      </c>
      <c r="AB36" s="319">
        <f t="shared" si="95"/>
        <v>508</v>
      </c>
      <c r="AC36" s="319">
        <f t="shared" si="96"/>
        <v>164</v>
      </c>
      <c r="AD36" s="319">
        <f t="shared" si="97"/>
        <v>164</v>
      </c>
      <c r="AE36" s="319">
        <f t="shared" si="98"/>
        <v>164</v>
      </c>
      <c r="AF36" s="319">
        <f t="shared" si="99"/>
        <v>164</v>
      </c>
      <c r="AG36" s="320"/>
      <c r="AH36" s="320"/>
      <c r="AI36" s="320"/>
      <c r="AJ36" s="320"/>
      <c r="AK36" s="320"/>
      <c r="AL36" s="320"/>
      <c r="AM36" s="320"/>
      <c r="AN36" s="320"/>
      <c r="AO36" s="320"/>
      <c r="AP36" s="320"/>
      <c r="AQ36" s="320"/>
      <c r="AR36" s="320"/>
      <c r="AT36" s="321" t="s">
        <v>138</v>
      </c>
      <c r="AU36" s="322"/>
      <c r="AV36" s="322"/>
      <c r="AW36" s="322"/>
      <c r="AX36" s="322">
        <v>224</v>
      </c>
      <c r="AY36" s="322">
        <f>AX36</f>
        <v>224</v>
      </c>
      <c r="BA36" s="321" t="s">
        <v>138</v>
      </c>
      <c r="BB36" s="322">
        <v>0</v>
      </c>
      <c r="BC36" s="322">
        <v>0</v>
      </c>
      <c r="BD36" s="322">
        <v>0</v>
      </c>
      <c r="BE36" s="322">
        <v>372</v>
      </c>
      <c r="BF36" s="322">
        <f>BE36</f>
        <v>372</v>
      </c>
      <c r="BH36" s="321" t="s">
        <v>138</v>
      </c>
      <c r="BI36" s="322">
        <v>250</v>
      </c>
      <c r="BJ36" s="322">
        <v>289</v>
      </c>
      <c r="BK36" s="322">
        <v>190</v>
      </c>
      <c r="BL36" s="322">
        <v>100</v>
      </c>
      <c r="BM36" s="322">
        <f>BL36</f>
        <v>100</v>
      </c>
      <c r="BO36" s="321" t="s">
        <v>138</v>
      </c>
      <c r="BP36" s="322">
        <v>116</v>
      </c>
      <c r="BQ36" s="322">
        <v>171</v>
      </c>
      <c r="BR36" s="322">
        <v>192</v>
      </c>
      <c r="BS36" s="322">
        <v>144</v>
      </c>
      <c r="BT36" s="322">
        <f>BS36</f>
        <v>144</v>
      </c>
      <c r="BV36" s="321" t="s">
        <v>138</v>
      </c>
      <c r="BW36" s="322">
        <v>99</v>
      </c>
      <c r="BX36" s="322">
        <v>102</v>
      </c>
      <c r="BY36" s="322">
        <v>101</v>
      </c>
      <c r="BZ36" s="322">
        <v>114</v>
      </c>
      <c r="CA36" s="322">
        <f>BZ36</f>
        <v>114</v>
      </c>
      <c r="CC36" s="321" t="s">
        <v>138</v>
      </c>
      <c r="CD36" s="322">
        <v>109</v>
      </c>
      <c r="CE36" s="322">
        <v>126</v>
      </c>
      <c r="CF36" s="322">
        <v>101</v>
      </c>
      <c r="CG36" s="322">
        <v>170</v>
      </c>
      <c r="CH36" s="322">
        <f>CG36</f>
        <v>170</v>
      </c>
      <c r="CJ36" s="321" t="s">
        <v>138</v>
      </c>
      <c r="CK36" s="322">
        <v>463</v>
      </c>
      <c r="CL36" s="322">
        <v>206</v>
      </c>
      <c r="CM36" s="322">
        <v>341</v>
      </c>
      <c r="CN36" s="322">
        <v>102</v>
      </c>
      <c r="CO36" s="322">
        <f>CN36</f>
        <v>102</v>
      </c>
      <c r="CQ36" s="321" t="s">
        <v>138</v>
      </c>
      <c r="CR36" s="322">
        <v>237</v>
      </c>
      <c r="CS36" s="322">
        <v>113</v>
      </c>
      <c r="CT36" s="322">
        <v>119</v>
      </c>
      <c r="CU36" s="322">
        <v>114</v>
      </c>
      <c r="CV36" s="322">
        <f>CU36</f>
        <v>114</v>
      </c>
      <c r="CX36" s="321" t="s">
        <v>138</v>
      </c>
      <c r="CY36" s="322">
        <v>128</v>
      </c>
      <c r="CZ36" s="322">
        <v>240</v>
      </c>
      <c r="DA36" s="322">
        <v>109</v>
      </c>
      <c r="DB36" s="322">
        <v>113</v>
      </c>
      <c r="DC36" s="322">
        <f>DB36</f>
        <v>113</v>
      </c>
      <c r="DE36" s="321" t="s">
        <v>138</v>
      </c>
      <c r="DF36" s="322">
        <v>156</v>
      </c>
      <c r="DG36" s="322">
        <v>111</v>
      </c>
      <c r="DH36" s="322">
        <v>133</v>
      </c>
      <c r="DI36" s="322">
        <v>125</v>
      </c>
      <c r="DJ36" s="322">
        <f>DI36</f>
        <v>125</v>
      </c>
      <c r="DL36" s="321" t="s">
        <v>138</v>
      </c>
      <c r="DM36" s="322">
        <v>116</v>
      </c>
      <c r="DN36" s="322">
        <v>110</v>
      </c>
      <c r="DO36" s="322">
        <v>121</v>
      </c>
      <c r="DP36" s="322">
        <v>112</v>
      </c>
      <c r="DQ36" s="322">
        <f>DP36</f>
        <v>112</v>
      </c>
      <c r="DS36" s="321" t="s">
        <v>138</v>
      </c>
      <c r="DT36" s="322">
        <v>162</v>
      </c>
      <c r="DU36" s="322">
        <v>125</v>
      </c>
      <c r="DV36" s="322">
        <v>179</v>
      </c>
      <c r="DW36" s="322">
        <v>85</v>
      </c>
      <c r="DX36" s="322">
        <f>DW36</f>
        <v>85</v>
      </c>
      <c r="DZ36" s="321" t="s">
        <v>138</v>
      </c>
      <c r="EA36" s="322">
        <v>93</v>
      </c>
      <c r="EB36" s="322">
        <v>137</v>
      </c>
      <c r="EC36" s="322">
        <v>129</v>
      </c>
      <c r="ED36" s="322">
        <v>129</v>
      </c>
      <c r="EE36" s="322">
        <f>ED36</f>
        <v>129</v>
      </c>
      <c r="EG36" s="321" t="s">
        <v>138</v>
      </c>
      <c r="EH36" s="322">
        <v>134</v>
      </c>
      <c r="EI36" s="322">
        <v>228</v>
      </c>
      <c r="EJ36" s="322">
        <v>261</v>
      </c>
      <c r="EK36" s="322">
        <v>85</v>
      </c>
      <c r="EL36" s="322">
        <f>EK36</f>
        <v>85</v>
      </c>
      <c r="EN36" s="321" t="s">
        <v>138</v>
      </c>
      <c r="EO36" s="322">
        <v>206</v>
      </c>
      <c r="EP36" s="322">
        <v>111</v>
      </c>
      <c r="EQ36" s="322">
        <v>138</v>
      </c>
      <c r="ER36" s="322">
        <v>91</v>
      </c>
      <c r="ES36" s="322">
        <f>ER36</f>
        <v>91</v>
      </c>
      <c r="EU36" s="321" t="s">
        <v>138</v>
      </c>
      <c r="EV36" s="322">
        <v>246</v>
      </c>
      <c r="EW36" s="322">
        <v>229</v>
      </c>
      <c r="EX36" s="322">
        <v>249</v>
      </c>
      <c r="EY36" s="322">
        <v>163</v>
      </c>
      <c r="EZ36" s="322">
        <f>EY36</f>
        <v>163</v>
      </c>
      <c r="FB36" s="321" t="s">
        <v>138</v>
      </c>
      <c r="FC36" s="322">
        <v>288</v>
      </c>
      <c r="FD36" s="322">
        <v>243</v>
      </c>
      <c r="FE36" s="322">
        <v>282</v>
      </c>
      <c r="FF36" s="322">
        <v>108</v>
      </c>
      <c r="FG36" s="322">
        <f>FF36</f>
        <v>108</v>
      </c>
      <c r="FI36" s="321" t="s">
        <v>138</v>
      </c>
      <c r="FJ36" s="322">
        <v>170</v>
      </c>
      <c r="FK36" s="322">
        <v>137</v>
      </c>
      <c r="FL36" s="322">
        <v>90</v>
      </c>
      <c r="FM36" s="322">
        <v>129</v>
      </c>
      <c r="FN36" s="322">
        <f>FM36</f>
        <v>129</v>
      </c>
      <c r="FP36" s="321" t="s">
        <v>138</v>
      </c>
      <c r="FQ36" s="322">
        <v>302</v>
      </c>
      <c r="FR36" s="322">
        <v>95</v>
      </c>
      <c r="FS36" s="322">
        <v>322</v>
      </c>
      <c r="FT36" s="322">
        <v>157</v>
      </c>
      <c r="FU36" s="322">
        <f>FT36</f>
        <v>157</v>
      </c>
      <c r="FW36" s="321" t="s">
        <v>138</v>
      </c>
      <c r="FX36" s="322">
        <v>274</v>
      </c>
      <c r="FY36" s="322">
        <v>123</v>
      </c>
      <c r="FZ36" s="322">
        <v>166</v>
      </c>
      <c r="GA36" s="322">
        <v>106</v>
      </c>
      <c r="GB36" s="322">
        <f>GA36</f>
        <v>106</v>
      </c>
      <c r="GD36" s="321" t="s">
        <v>138</v>
      </c>
      <c r="GE36" s="322">
        <v>193</v>
      </c>
      <c r="GF36" s="322">
        <v>133</v>
      </c>
      <c r="GG36" s="322">
        <v>155</v>
      </c>
      <c r="GH36" s="322">
        <v>69</v>
      </c>
      <c r="GI36" s="322">
        <f t="shared" si="100"/>
        <v>69</v>
      </c>
      <c r="GK36" s="321" t="s">
        <v>138</v>
      </c>
      <c r="GL36" s="322">
        <v>269</v>
      </c>
      <c r="GM36" s="322">
        <v>380</v>
      </c>
      <c r="GN36" s="322">
        <v>140</v>
      </c>
      <c r="GO36" s="322">
        <v>73</v>
      </c>
      <c r="GP36" s="322">
        <f t="shared" si="101"/>
        <v>73</v>
      </c>
      <c r="GR36" s="321" t="s">
        <v>138</v>
      </c>
      <c r="GS36" s="322">
        <v>237</v>
      </c>
      <c r="GT36" s="322">
        <v>242</v>
      </c>
      <c r="GU36" s="322">
        <v>238</v>
      </c>
      <c r="GV36" s="322">
        <v>134</v>
      </c>
      <c r="GW36" s="322">
        <f t="shared" si="102"/>
        <v>134</v>
      </c>
      <c r="GY36" s="321" t="s">
        <v>138</v>
      </c>
      <c r="GZ36" s="322">
        <v>359</v>
      </c>
      <c r="HA36" s="322">
        <v>177</v>
      </c>
      <c r="HB36" s="322">
        <v>156</v>
      </c>
      <c r="HC36" s="322">
        <v>111</v>
      </c>
      <c r="HD36" s="322">
        <f t="shared" si="103"/>
        <v>111</v>
      </c>
      <c r="HF36" s="321" t="s">
        <v>138</v>
      </c>
      <c r="HG36" s="322">
        <v>361</v>
      </c>
      <c r="HH36" s="322">
        <v>136</v>
      </c>
      <c r="HI36" s="322">
        <v>361</v>
      </c>
      <c r="HJ36" s="322">
        <v>524</v>
      </c>
      <c r="HK36" s="322">
        <f t="shared" si="104"/>
        <v>524</v>
      </c>
      <c r="HM36" s="321" t="s">
        <v>138</v>
      </c>
      <c r="HN36" s="322">
        <v>381</v>
      </c>
      <c r="HO36" s="319">
        <v>122</v>
      </c>
      <c r="HP36" s="322">
        <v>379</v>
      </c>
      <c r="HQ36" s="319">
        <v>508</v>
      </c>
      <c r="HR36" s="322">
        <f t="shared" si="105"/>
        <v>508</v>
      </c>
      <c r="HT36" s="321" t="s">
        <v>138</v>
      </c>
      <c r="HU36" s="319">
        <v>685</v>
      </c>
      <c r="HV36" s="319">
        <v>156</v>
      </c>
      <c r="HW36" s="319">
        <v>164</v>
      </c>
      <c r="HX36" s="319">
        <f t="shared" si="110"/>
        <v>164</v>
      </c>
      <c r="HY36" s="319">
        <f t="shared" si="106"/>
        <v>164</v>
      </c>
      <c r="IA36" s="321" t="s">
        <v>138</v>
      </c>
      <c r="IB36" s="319">
        <f>+HY36</f>
        <v>164</v>
      </c>
      <c r="IC36" s="319">
        <f t="shared" si="111"/>
        <v>164</v>
      </c>
      <c r="ID36" s="319">
        <f t="shared" si="111"/>
        <v>164</v>
      </c>
      <c r="IE36" s="319">
        <f t="shared" si="111"/>
        <v>164</v>
      </c>
      <c r="IF36" s="319">
        <f t="shared" si="107"/>
        <v>164</v>
      </c>
      <c r="IH36" s="321" t="s">
        <v>138</v>
      </c>
      <c r="II36" s="319">
        <f>+IF36</f>
        <v>164</v>
      </c>
      <c r="IJ36" s="319">
        <f t="shared" si="112"/>
        <v>164</v>
      </c>
      <c r="IK36" s="319">
        <f t="shared" si="113"/>
        <v>164</v>
      </c>
      <c r="IL36" s="319">
        <f t="shared" si="114"/>
        <v>164</v>
      </c>
      <c r="IM36" s="319">
        <f t="shared" si="108"/>
        <v>164</v>
      </c>
      <c r="IO36" s="321" t="s">
        <v>138</v>
      </c>
      <c r="IP36" s="319">
        <f>+IM36</f>
        <v>164</v>
      </c>
      <c r="IQ36" s="319">
        <f t="shared" si="115"/>
        <v>164</v>
      </c>
      <c r="IR36" s="319">
        <f t="shared" si="116"/>
        <v>164</v>
      </c>
      <c r="IS36" s="319">
        <f t="shared" si="117"/>
        <v>164</v>
      </c>
      <c r="IT36" s="319">
        <f t="shared" si="109"/>
        <v>164</v>
      </c>
    </row>
    <row r="37" spans="1:438" outlineLevel="1" x14ac:dyDescent="0.4">
      <c r="B37" s="321" t="s">
        <v>139</v>
      </c>
      <c r="C37" s="322">
        <f t="shared" si="70"/>
        <v>996</v>
      </c>
      <c r="D37" s="322">
        <f t="shared" si="71"/>
        <v>1006</v>
      </c>
      <c r="E37" s="322">
        <f t="shared" si="72"/>
        <v>601</v>
      </c>
      <c r="F37" s="322">
        <f t="shared" si="73"/>
        <v>414</v>
      </c>
      <c r="G37" s="322">
        <f t="shared" si="74"/>
        <v>345</v>
      </c>
      <c r="H37" s="322">
        <f t="shared" si="75"/>
        <v>602</v>
      </c>
      <c r="I37" s="322">
        <f t="shared" si="76"/>
        <v>111</v>
      </c>
      <c r="J37" s="322">
        <f t="shared" si="77"/>
        <v>94</v>
      </c>
      <c r="K37" s="322">
        <f t="shared" si="78"/>
        <v>89</v>
      </c>
      <c r="L37" s="322">
        <f t="shared" si="79"/>
        <v>286</v>
      </c>
      <c r="M37" s="322">
        <f t="shared" si="80"/>
        <v>100</v>
      </c>
      <c r="N37" s="322">
        <f t="shared" si="81"/>
        <v>97</v>
      </c>
      <c r="O37" s="322">
        <f t="shared" si="82"/>
        <v>180</v>
      </c>
      <c r="P37" s="322">
        <f t="shared" si="83"/>
        <v>140</v>
      </c>
      <c r="Q37" s="322">
        <f t="shared" si="84"/>
        <v>105</v>
      </c>
      <c r="R37" s="322">
        <f t="shared" si="85"/>
        <v>116</v>
      </c>
      <c r="S37" s="322">
        <f t="shared" si="86"/>
        <v>439</v>
      </c>
      <c r="T37" s="322">
        <f t="shared" si="87"/>
        <v>114</v>
      </c>
      <c r="U37" s="322">
        <f t="shared" si="88"/>
        <v>161</v>
      </c>
      <c r="V37" s="322">
        <f t="shared" si="89"/>
        <v>179</v>
      </c>
      <c r="W37" s="322">
        <f t="shared" si="90"/>
        <v>205</v>
      </c>
      <c r="X37" s="322">
        <f t="shared" si="91"/>
        <v>164</v>
      </c>
      <c r="Y37" s="322">
        <f t="shared" si="92"/>
        <v>207</v>
      </c>
      <c r="Z37" s="322">
        <f t="shared" si="93"/>
        <v>228</v>
      </c>
      <c r="AA37" s="322">
        <f t="shared" si="94"/>
        <v>243</v>
      </c>
      <c r="AB37" s="319">
        <f t="shared" si="95"/>
        <v>243</v>
      </c>
      <c r="AC37" s="319">
        <f t="shared" si="96"/>
        <v>98.644000000000005</v>
      </c>
      <c r="AD37" s="319">
        <f t="shared" si="97"/>
        <v>101.46356692500001</v>
      </c>
      <c r="AE37" s="319">
        <f t="shared" si="98"/>
        <v>106.26634102128953</v>
      </c>
      <c r="AF37" s="319">
        <f t="shared" si="99"/>
        <v>110.94046172317819</v>
      </c>
      <c r="AG37" s="320"/>
      <c r="AH37" s="320"/>
      <c r="AI37" s="320"/>
      <c r="AJ37" s="320"/>
      <c r="AK37" s="320"/>
      <c r="AL37" s="320"/>
      <c r="AM37" s="320"/>
      <c r="AN37" s="320"/>
      <c r="AO37" s="320"/>
      <c r="AP37" s="320"/>
      <c r="AQ37" s="320"/>
      <c r="AR37" s="320"/>
      <c r="AT37" s="321" t="s">
        <v>139</v>
      </c>
      <c r="AU37" s="322"/>
      <c r="AV37" s="322"/>
      <c r="AW37" s="322"/>
      <c r="AX37" s="322">
        <f>422+574</f>
        <v>996</v>
      </c>
      <c r="AY37" s="322">
        <f>AX37</f>
        <v>996</v>
      </c>
      <c r="BA37" s="321" t="s">
        <v>139</v>
      </c>
      <c r="BB37" s="322">
        <f>557+493</f>
        <v>1050</v>
      </c>
      <c r="BC37" s="322">
        <f>465+469</f>
        <v>934</v>
      </c>
      <c r="BD37" s="322">
        <f>675+427</f>
        <v>1102</v>
      </c>
      <c r="BE37" s="322">
        <f>257+749</f>
        <v>1006</v>
      </c>
      <c r="BF37" s="322">
        <f>BE37</f>
        <v>1006</v>
      </c>
      <c r="BH37" s="321" t="s">
        <v>139</v>
      </c>
      <c r="BI37" s="322">
        <f>256+478</f>
        <v>734</v>
      </c>
      <c r="BJ37" s="322">
        <f>261+171</f>
        <v>432</v>
      </c>
      <c r="BK37" s="322">
        <f>250+272</f>
        <v>522</v>
      </c>
      <c r="BL37" s="322">
        <f>284+225+92</f>
        <v>601</v>
      </c>
      <c r="BM37" s="322">
        <f>BL37</f>
        <v>601</v>
      </c>
      <c r="BO37" s="321" t="s">
        <v>139</v>
      </c>
      <c r="BP37" s="322">
        <v>238</v>
      </c>
      <c r="BQ37" s="322">
        <f>243+578</f>
        <v>821</v>
      </c>
      <c r="BR37" s="322">
        <f>174+574</f>
        <v>748</v>
      </c>
      <c r="BS37" s="322">
        <f>167+143+104</f>
        <v>414</v>
      </c>
      <c r="BT37" s="322">
        <f>BS37</f>
        <v>414</v>
      </c>
      <c r="BV37" s="321" t="s">
        <v>139</v>
      </c>
      <c r="BW37" s="322">
        <f>141+155</f>
        <v>296</v>
      </c>
      <c r="BX37" s="322">
        <f>135+704</f>
        <v>839</v>
      </c>
      <c r="BY37" s="322">
        <f>175+729</f>
        <v>904</v>
      </c>
      <c r="BZ37" s="322">
        <f>199+144+2</f>
        <v>345</v>
      </c>
      <c r="CA37" s="322">
        <f>BZ37</f>
        <v>345</v>
      </c>
      <c r="CC37" s="321" t="s">
        <v>139</v>
      </c>
      <c r="CD37" s="322">
        <f>124+154</f>
        <v>278</v>
      </c>
      <c r="CE37" s="322">
        <f>111+704</f>
        <v>815</v>
      </c>
      <c r="CF37" s="322">
        <f>97+103</f>
        <v>200</v>
      </c>
      <c r="CG37" s="322">
        <f>115+101+386</f>
        <v>602</v>
      </c>
      <c r="CH37" s="322">
        <f>CG37</f>
        <v>602</v>
      </c>
      <c r="CJ37" s="321" t="s">
        <v>139</v>
      </c>
      <c r="CK37" s="322">
        <f>79+3</f>
        <v>82</v>
      </c>
      <c r="CL37" s="322">
        <f>53+3</f>
        <v>56</v>
      </c>
      <c r="CM37" s="322">
        <f>94+3</f>
        <v>97</v>
      </c>
      <c r="CN37" s="322">
        <f>110+1</f>
        <v>111</v>
      </c>
      <c r="CO37" s="322">
        <f>CN37</f>
        <v>111</v>
      </c>
      <c r="CQ37" s="321" t="s">
        <v>139</v>
      </c>
      <c r="CR37" s="322">
        <f>94+4</f>
        <v>98</v>
      </c>
      <c r="CS37" s="322">
        <f>89+3</f>
        <v>92</v>
      </c>
      <c r="CT37" s="322">
        <f>78+13</f>
        <v>91</v>
      </c>
      <c r="CU37" s="322">
        <v>94</v>
      </c>
      <c r="CV37" s="322">
        <f>CU37</f>
        <v>94</v>
      </c>
      <c r="CX37" s="321" t="s">
        <v>139</v>
      </c>
      <c r="CY37" s="322">
        <f>110+9</f>
        <v>119</v>
      </c>
      <c r="CZ37" s="322">
        <f>87+9</f>
        <v>96</v>
      </c>
      <c r="DA37" s="322">
        <f>101+5</f>
        <v>106</v>
      </c>
      <c r="DB37" s="322">
        <v>89</v>
      </c>
      <c r="DC37" s="322">
        <f>DB37</f>
        <v>89</v>
      </c>
      <c r="DE37" s="321" t="s">
        <v>139</v>
      </c>
      <c r="DF37" s="322">
        <f>99+7</f>
        <v>106</v>
      </c>
      <c r="DG37" s="322">
        <f>79+3</f>
        <v>82</v>
      </c>
      <c r="DH37" s="322">
        <f>323+4</f>
        <v>327</v>
      </c>
      <c r="DI37" s="322">
        <v>286</v>
      </c>
      <c r="DJ37" s="322">
        <f>DI37</f>
        <v>286</v>
      </c>
      <c r="DL37" s="321" t="s">
        <v>139</v>
      </c>
      <c r="DM37" s="322">
        <v>120</v>
      </c>
      <c r="DN37" s="322">
        <v>99</v>
      </c>
      <c r="DO37" s="322">
        <v>95</v>
      </c>
      <c r="DP37" s="322">
        <v>100</v>
      </c>
      <c r="DQ37" s="322">
        <f>DP37</f>
        <v>100</v>
      </c>
      <c r="DS37" s="321" t="s">
        <v>139</v>
      </c>
      <c r="DT37" s="322">
        <v>117</v>
      </c>
      <c r="DU37" s="322">
        <v>113</v>
      </c>
      <c r="DV37" s="322">
        <v>115</v>
      </c>
      <c r="DW37" s="322">
        <v>97</v>
      </c>
      <c r="DX37" s="322">
        <f>DW37</f>
        <v>97</v>
      </c>
      <c r="DZ37" s="321" t="s">
        <v>139</v>
      </c>
      <c r="EA37" s="322">
        <v>92</v>
      </c>
      <c r="EB37" s="322">
        <v>168</v>
      </c>
      <c r="EC37" s="322">
        <v>101</v>
      </c>
      <c r="ED37" s="322">
        <v>180</v>
      </c>
      <c r="EE37" s="322">
        <f>ED37</f>
        <v>180</v>
      </c>
      <c r="EG37" s="321" t="s">
        <v>139</v>
      </c>
      <c r="EH37" s="322">
        <v>192</v>
      </c>
      <c r="EI37" s="322">
        <v>179</v>
      </c>
      <c r="EJ37" s="322">
        <v>172</v>
      </c>
      <c r="EK37" s="322">
        <v>140</v>
      </c>
      <c r="EL37" s="322">
        <f>EK37</f>
        <v>140</v>
      </c>
      <c r="EN37" s="321" t="s">
        <v>139</v>
      </c>
      <c r="EO37" s="322">
        <v>138</v>
      </c>
      <c r="EP37" s="322">
        <v>119</v>
      </c>
      <c r="EQ37" s="322">
        <v>111</v>
      </c>
      <c r="ER37" s="322">
        <v>105</v>
      </c>
      <c r="ES37" s="322">
        <f>ER37</f>
        <v>105</v>
      </c>
      <c r="EU37" s="321" t="s">
        <v>139</v>
      </c>
      <c r="EV37" s="322">
        <v>113</v>
      </c>
      <c r="EW37" s="322">
        <v>128</v>
      </c>
      <c r="EX37" s="322">
        <v>108</v>
      </c>
      <c r="EY37" s="322">
        <v>116</v>
      </c>
      <c r="EZ37" s="322">
        <f>EY37</f>
        <v>116</v>
      </c>
      <c r="FB37" s="321" t="s">
        <v>139</v>
      </c>
      <c r="FC37" s="322">
        <v>113</v>
      </c>
      <c r="FD37" s="322">
        <v>119</v>
      </c>
      <c r="FE37" s="322">
        <v>187</v>
      </c>
      <c r="FF37" s="322">
        <v>439</v>
      </c>
      <c r="FG37" s="322">
        <f>FF37</f>
        <v>439</v>
      </c>
      <c r="FI37" s="321" t="s">
        <v>139</v>
      </c>
      <c r="FJ37" s="322">
        <v>159</v>
      </c>
      <c r="FK37" s="322">
        <v>150</v>
      </c>
      <c r="FL37" s="322">
        <v>109</v>
      </c>
      <c r="FM37" s="322">
        <v>114</v>
      </c>
      <c r="FN37" s="322">
        <f>FM37</f>
        <v>114</v>
      </c>
      <c r="FP37" s="321" t="s">
        <v>139</v>
      </c>
      <c r="FQ37" s="322">
        <v>187</v>
      </c>
      <c r="FR37" s="322">
        <v>127</v>
      </c>
      <c r="FS37" s="322">
        <v>106</v>
      </c>
      <c r="FT37" s="322">
        <v>161</v>
      </c>
      <c r="FU37" s="322">
        <f>FT37</f>
        <v>161</v>
      </c>
      <c r="FW37" s="321" t="s">
        <v>139</v>
      </c>
      <c r="FX37" s="322">
        <v>144</v>
      </c>
      <c r="FY37" s="322">
        <v>138</v>
      </c>
      <c r="FZ37" s="322">
        <v>151</v>
      </c>
      <c r="GA37" s="322">
        <v>179</v>
      </c>
      <c r="GB37" s="322">
        <f>GA37</f>
        <v>179</v>
      </c>
      <c r="GD37" s="321" t="s">
        <v>139</v>
      </c>
      <c r="GE37" s="322">
        <v>178</v>
      </c>
      <c r="GF37" s="322">
        <v>164</v>
      </c>
      <c r="GG37" s="322">
        <v>208</v>
      </c>
      <c r="GH37" s="322">
        <v>205</v>
      </c>
      <c r="GI37" s="322">
        <f t="shared" si="100"/>
        <v>205</v>
      </c>
      <c r="GK37" s="321" t="s">
        <v>139</v>
      </c>
      <c r="GL37" s="322">
        <v>185</v>
      </c>
      <c r="GM37" s="322">
        <v>174</v>
      </c>
      <c r="GN37" s="322">
        <v>201</v>
      </c>
      <c r="GO37" s="322">
        <v>164</v>
      </c>
      <c r="GP37" s="322">
        <f t="shared" si="101"/>
        <v>164</v>
      </c>
      <c r="GR37" s="321" t="s">
        <v>139</v>
      </c>
      <c r="GS37" s="322">
        <v>155</v>
      </c>
      <c r="GT37" s="322">
        <v>159</v>
      </c>
      <c r="GU37" s="322">
        <v>182</v>
      </c>
      <c r="GV37" s="322">
        <v>207</v>
      </c>
      <c r="GW37" s="322">
        <f t="shared" si="102"/>
        <v>207</v>
      </c>
      <c r="GY37" s="321" t="s">
        <v>139</v>
      </c>
      <c r="GZ37" s="322">
        <v>184</v>
      </c>
      <c r="HA37" s="322">
        <v>197</v>
      </c>
      <c r="HB37" s="322">
        <v>205</v>
      </c>
      <c r="HC37" s="322">
        <v>228</v>
      </c>
      <c r="HD37" s="322">
        <f t="shared" si="103"/>
        <v>228</v>
      </c>
      <c r="HF37" s="321" t="s">
        <v>139</v>
      </c>
      <c r="HG37" s="322">
        <v>238</v>
      </c>
      <c r="HH37" s="322">
        <v>226</v>
      </c>
      <c r="HI37" s="322">
        <v>239</v>
      </c>
      <c r="HJ37" s="322">
        <v>243</v>
      </c>
      <c r="HK37" s="322">
        <f t="shared" si="104"/>
        <v>243</v>
      </c>
      <c r="HM37" s="321" t="s">
        <v>139</v>
      </c>
      <c r="HN37" s="322">
        <v>252</v>
      </c>
      <c r="HO37" s="319">
        <v>251</v>
      </c>
      <c r="HP37" s="322">
        <v>266</v>
      </c>
      <c r="HQ37" s="319">
        <v>243</v>
      </c>
      <c r="HR37" s="322">
        <f t="shared" si="105"/>
        <v>243</v>
      </c>
      <c r="HT37" s="321" t="s">
        <v>139</v>
      </c>
      <c r="HU37" s="319">
        <v>279</v>
      </c>
      <c r="HV37" s="319">
        <v>327</v>
      </c>
      <c r="HW37" s="319">
        <v>252</v>
      </c>
      <c r="HX37" s="319">
        <f>+CF!GD102</f>
        <v>98.644000000000005</v>
      </c>
      <c r="HY37" s="319">
        <f t="shared" si="106"/>
        <v>98.644000000000005</v>
      </c>
      <c r="IA37" s="321" t="s">
        <v>139</v>
      </c>
      <c r="IB37" s="319">
        <f>+CF!GH102</f>
        <v>98.908721974999992</v>
      </c>
      <c r="IC37" s="319">
        <f>+CF!GI102</f>
        <v>99.34195145000001</v>
      </c>
      <c r="ID37" s="319">
        <f>+CF!GJ102</f>
        <v>100.16049049999999</v>
      </c>
      <c r="IE37" s="319">
        <f>+CF!GK102</f>
        <v>101.46356692500001</v>
      </c>
      <c r="IF37" s="319">
        <f t="shared" si="107"/>
        <v>101.46356692500001</v>
      </c>
      <c r="IH37" s="321" t="s">
        <v>139</v>
      </c>
      <c r="II37" s="319">
        <f>+CF!GO102</f>
        <v>102.63548877108515</v>
      </c>
      <c r="IJ37" s="319">
        <f>+CF!GP102</f>
        <v>103.84692998306267</v>
      </c>
      <c r="IK37" s="319">
        <f>+CF!GQ102</f>
        <v>105.0514706819189</v>
      </c>
      <c r="IL37" s="319">
        <f>+CF!GR102</f>
        <v>106.26634102128953</v>
      </c>
      <c r="IM37" s="319">
        <f t="shared" si="108"/>
        <v>106.26634102128953</v>
      </c>
      <c r="IO37" s="321" t="s">
        <v>139</v>
      </c>
      <c r="IP37" s="319">
        <f>+CF!GV102</f>
        <v>107.40551873626112</v>
      </c>
      <c r="IQ37" s="319">
        <f>+CF!GW102</f>
        <v>108.58356274127104</v>
      </c>
      <c r="IR37" s="319">
        <f>+CF!GX102</f>
        <v>109.77423345187616</v>
      </c>
      <c r="IS37" s="319">
        <f>+CF!GY102</f>
        <v>110.94046172317819</v>
      </c>
      <c r="IT37" s="319">
        <f t="shared" si="109"/>
        <v>110.94046172317819</v>
      </c>
    </row>
    <row r="38" spans="1:438" outlineLevel="2" x14ac:dyDescent="0.4">
      <c r="B38" s="346" t="s">
        <v>226</v>
      </c>
      <c r="C38" s="347">
        <f t="shared" si="70"/>
        <v>0</v>
      </c>
      <c r="D38" s="347">
        <f t="shared" si="71"/>
        <v>0</v>
      </c>
      <c r="E38" s="347">
        <f t="shared" si="72"/>
        <v>0</v>
      </c>
      <c r="F38" s="347">
        <f t="shared" si="73"/>
        <v>0</v>
      </c>
      <c r="G38" s="347">
        <f t="shared" si="74"/>
        <v>0</v>
      </c>
      <c r="H38" s="347">
        <f t="shared" si="75"/>
        <v>0</v>
      </c>
      <c r="I38" s="347">
        <f t="shared" si="76"/>
        <v>0</v>
      </c>
      <c r="J38" s="347">
        <f t="shared" si="77"/>
        <v>0</v>
      </c>
      <c r="K38" s="347">
        <f t="shared" si="78"/>
        <v>0</v>
      </c>
      <c r="L38" s="347">
        <f t="shared" si="79"/>
        <v>0</v>
      </c>
      <c r="M38" s="347">
        <f t="shared" si="80"/>
        <v>0</v>
      </c>
      <c r="N38" s="347">
        <f t="shared" si="81"/>
        <v>0</v>
      </c>
      <c r="O38" s="347">
        <f t="shared" si="82"/>
        <v>0</v>
      </c>
      <c r="P38" s="347">
        <f t="shared" si="83"/>
        <v>0</v>
      </c>
      <c r="Q38" s="347">
        <f t="shared" si="84"/>
        <v>0</v>
      </c>
      <c r="R38" s="347">
        <f t="shared" si="85"/>
        <v>0</v>
      </c>
      <c r="S38" s="347">
        <f t="shared" si="86"/>
        <v>0</v>
      </c>
      <c r="T38" s="347">
        <f t="shared" si="87"/>
        <v>0</v>
      </c>
      <c r="U38" s="347">
        <f t="shared" si="88"/>
        <v>0</v>
      </c>
      <c r="V38" s="347">
        <f t="shared" si="89"/>
        <v>0</v>
      </c>
      <c r="W38" s="347">
        <f t="shared" si="90"/>
        <v>57</v>
      </c>
      <c r="X38" s="347">
        <f t="shared" si="91"/>
        <v>0</v>
      </c>
      <c r="Y38" s="347">
        <f t="shared" si="92"/>
        <v>0</v>
      </c>
      <c r="Z38" s="347">
        <f t="shared" si="93"/>
        <v>0</v>
      </c>
      <c r="AA38" s="347">
        <f t="shared" si="94"/>
        <v>0</v>
      </c>
      <c r="AB38" s="354">
        <f t="shared" si="95"/>
        <v>0</v>
      </c>
      <c r="AC38" s="354">
        <f t="shared" si="96"/>
        <v>0</v>
      </c>
      <c r="AD38" s="354">
        <f t="shared" si="97"/>
        <v>0</v>
      </c>
      <c r="AE38" s="354">
        <f t="shared" si="98"/>
        <v>0</v>
      </c>
      <c r="AF38" s="354">
        <f t="shared" si="99"/>
        <v>0</v>
      </c>
      <c r="AG38" s="348"/>
      <c r="AH38" s="348"/>
      <c r="AI38" s="348"/>
      <c r="AJ38" s="348"/>
      <c r="AK38" s="348"/>
      <c r="AL38" s="348"/>
      <c r="AM38" s="348"/>
      <c r="AN38" s="348"/>
      <c r="AO38" s="348"/>
      <c r="AP38" s="348"/>
      <c r="AQ38" s="348"/>
      <c r="AR38" s="348"/>
      <c r="AT38" s="346" t="s">
        <v>226</v>
      </c>
      <c r="AU38" s="347"/>
      <c r="AV38" s="347"/>
      <c r="AW38" s="347"/>
      <c r="AX38" s="347"/>
      <c r="AY38" s="347"/>
      <c r="BA38" s="346" t="s">
        <v>226</v>
      </c>
      <c r="BB38" s="347"/>
      <c r="BC38" s="347"/>
      <c r="BD38" s="347"/>
      <c r="BE38" s="347"/>
      <c r="BF38" s="347"/>
      <c r="BH38" s="346" t="s">
        <v>226</v>
      </c>
      <c r="BI38" s="347"/>
      <c r="BJ38" s="347"/>
      <c r="BK38" s="347"/>
      <c r="BL38" s="347"/>
      <c r="BM38" s="347"/>
      <c r="BO38" s="346" t="s">
        <v>226</v>
      </c>
      <c r="BP38" s="347"/>
      <c r="BQ38" s="347"/>
      <c r="BR38" s="347"/>
      <c r="BS38" s="347"/>
      <c r="BT38" s="347"/>
      <c r="BV38" s="346" t="s">
        <v>226</v>
      </c>
      <c r="BW38" s="347"/>
      <c r="BX38" s="347"/>
      <c r="BY38" s="347"/>
      <c r="BZ38" s="347"/>
      <c r="CA38" s="347"/>
      <c r="CC38" s="346" t="s">
        <v>226</v>
      </c>
      <c r="CD38" s="347"/>
      <c r="CE38" s="347"/>
      <c r="CF38" s="347"/>
      <c r="CG38" s="347"/>
      <c r="CH38" s="347"/>
      <c r="CJ38" s="346" t="s">
        <v>226</v>
      </c>
      <c r="CK38" s="347">
        <v>0</v>
      </c>
      <c r="CL38" s="347">
        <v>0</v>
      </c>
      <c r="CM38" s="347">
        <v>0</v>
      </c>
      <c r="CN38" s="347">
        <v>0</v>
      </c>
      <c r="CO38" s="347">
        <v>0</v>
      </c>
      <c r="CQ38" s="346" t="s">
        <v>226</v>
      </c>
      <c r="CR38" s="347">
        <v>0</v>
      </c>
      <c r="CS38" s="347">
        <v>0</v>
      </c>
      <c r="CT38" s="347">
        <v>0</v>
      </c>
      <c r="CU38" s="347">
        <v>0</v>
      </c>
      <c r="CV38" s="347">
        <v>0</v>
      </c>
      <c r="CX38" s="346" t="s">
        <v>226</v>
      </c>
      <c r="CY38" s="347">
        <v>0</v>
      </c>
      <c r="CZ38" s="347">
        <v>0</v>
      </c>
      <c r="DA38" s="347">
        <v>0</v>
      </c>
      <c r="DB38" s="347">
        <v>0</v>
      </c>
      <c r="DC38" s="347">
        <v>0</v>
      </c>
      <c r="DE38" s="346" t="s">
        <v>226</v>
      </c>
      <c r="DF38" s="347">
        <v>0</v>
      </c>
      <c r="DG38" s="347">
        <v>0</v>
      </c>
      <c r="DH38" s="347">
        <v>0</v>
      </c>
      <c r="DI38" s="347">
        <v>0</v>
      </c>
      <c r="DJ38" s="347">
        <v>0</v>
      </c>
      <c r="DL38" s="346" t="s">
        <v>226</v>
      </c>
      <c r="DM38" s="347">
        <v>0</v>
      </c>
      <c r="DN38" s="347">
        <v>0</v>
      </c>
      <c r="DO38" s="347">
        <v>0</v>
      </c>
      <c r="DP38" s="347">
        <v>0</v>
      </c>
      <c r="DQ38" s="347">
        <v>0</v>
      </c>
      <c r="DS38" s="346" t="s">
        <v>226</v>
      </c>
      <c r="DT38" s="347">
        <v>0</v>
      </c>
      <c r="DU38" s="347">
        <v>0</v>
      </c>
      <c r="DV38" s="347">
        <v>0</v>
      </c>
      <c r="DW38" s="347">
        <v>0</v>
      </c>
      <c r="DX38" s="347">
        <v>0</v>
      </c>
      <c r="DZ38" s="346" t="s">
        <v>226</v>
      </c>
      <c r="EA38" s="347">
        <v>0</v>
      </c>
      <c r="EB38" s="347">
        <v>0</v>
      </c>
      <c r="EC38" s="347">
        <v>0</v>
      </c>
      <c r="ED38" s="347">
        <v>0</v>
      </c>
      <c r="EE38" s="347">
        <v>0</v>
      </c>
      <c r="EG38" s="346" t="s">
        <v>226</v>
      </c>
      <c r="EH38" s="347">
        <v>0</v>
      </c>
      <c r="EI38" s="347">
        <v>0</v>
      </c>
      <c r="EJ38" s="347">
        <v>0</v>
      </c>
      <c r="EK38" s="347">
        <v>0</v>
      </c>
      <c r="EL38" s="347">
        <v>0</v>
      </c>
      <c r="EN38" s="346" t="s">
        <v>226</v>
      </c>
      <c r="EO38" s="347">
        <v>0</v>
      </c>
      <c r="EP38" s="347">
        <v>0</v>
      </c>
      <c r="EQ38" s="347">
        <v>0</v>
      </c>
      <c r="ER38" s="347">
        <v>0</v>
      </c>
      <c r="ES38" s="347">
        <v>0</v>
      </c>
      <c r="EU38" s="346" t="s">
        <v>226</v>
      </c>
      <c r="EV38" s="347">
        <v>0</v>
      </c>
      <c r="EW38" s="347">
        <v>0</v>
      </c>
      <c r="EX38" s="347">
        <v>0</v>
      </c>
      <c r="EY38" s="347">
        <v>0</v>
      </c>
      <c r="EZ38" s="347">
        <v>0</v>
      </c>
      <c r="FB38" s="346" t="s">
        <v>226</v>
      </c>
      <c r="FC38" s="347">
        <v>0</v>
      </c>
      <c r="FD38" s="347">
        <v>0</v>
      </c>
      <c r="FE38" s="347">
        <v>0</v>
      </c>
      <c r="FF38" s="347">
        <v>0</v>
      </c>
      <c r="FG38" s="347">
        <v>0</v>
      </c>
      <c r="FI38" s="346" t="s">
        <v>226</v>
      </c>
      <c r="FJ38" s="347">
        <v>0</v>
      </c>
      <c r="FK38" s="347">
        <v>0</v>
      </c>
      <c r="FL38" s="347">
        <v>0</v>
      </c>
      <c r="FM38" s="347">
        <v>0</v>
      </c>
      <c r="FN38" s="347">
        <v>0</v>
      </c>
      <c r="FP38" s="346" t="s">
        <v>226</v>
      </c>
      <c r="FQ38" s="347">
        <v>0</v>
      </c>
      <c r="FR38" s="347">
        <v>0</v>
      </c>
      <c r="FS38" s="347">
        <v>0</v>
      </c>
      <c r="FT38" s="347">
        <v>0</v>
      </c>
      <c r="FU38" s="347">
        <v>0</v>
      </c>
      <c r="FW38" s="346" t="s">
        <v>226</v>
      </c>
      <c r="FX38" s="347">
        <v>0</v>
      </c>
      <c r="FY38" s="347">
        <v>0</v>
      </c>
      <c r="FZ38" s="347">
        <v>0</v>
      </c>
      <c r="GA38" s="347">
        <v>0</v>
      </c>
      <c r="GB38" s="347">
        <v>0</v>
      </c>
      <c r="GD38" s="346" t="s">
        <v>226</v>
      </c>
      <c r="GE38" s="347">
        <v>53</v>
      </c>
      <c r="GF38" s="347">
        <v>59</v>
      </c>
      <c r="GG38" s="347">
        <v>59</v>
      </c>
      <c r="GH38" s="347">
        <v>57</v>
      </c>
      <c r="GI38" s="347">
        <f t="shared" si="100"/>
        <v>57</v>
      </c>
      <c r="GK38" s="346" t="s">
        <v>226</v>
      </c>
      <c r="GL38" s="347"/>
      <c r="GM38" s="347"/>
      <c r="GN38" s="347"/>
      <c r="GO38" s="347">
        <v>0</v>
      </c>
      <c r="GP38" s="347">
        <f t="shared" si="101"/>
        <v>0</v>
      </c>
      <c r="GR38" s="346" t="s">
        <v>226</v>
      </c>
      <c r="GS38" s="347">
        <f>+GP38</f>
        <v>0</v>
      </c>
      <c r="GT38" s="347">
        <v>0</v>
      </c>
      <c r="GU38" s="347">
        <v>0</v>
      </c>
      <c r="GV38" s="347">
        <v>0</v>
      </c>
      <c r="GW38" s="347">
        <f t="shared" si="102"/>
        <v>0</v>
      </c>
      <c r="GY38" s="346" t="s">
        <v>226</v>
      </c>
      <c r="GZ38" s="347">
        <f>+GW38</f>
        <v>0</v>
      </c>
      <c r="HA38" s="347">
        <v>0</v>
      </c>
      <c r="HB38" s="347">
        <v>0</v>
      </c>
      <c r="HC38" s="347">
        <v>0</v>
      </c>
      <c r="HD38" s="347">
        <f t="shared" si="103"/>
        <v>0</v>
      </c>
      <c r="HF38" s="346" t="s">
        <v>226</v>
      </c>
      <c r="HG38" s="347">
        <v>0</v>
      </c>
      <c r="HH38" s="347">
        <v>0</v>
      </c>
      <c r="HI38" s="347">
        <v>0</v>
      </c>
      <c r="HJ38" s="347">
        <f>+HI38</f>
        <v>0</v>
      </c>
      <c r="HK38" s="347">
        <f t="shared" si="104"/>
        <v>0</v>
      </c>
      <c r="HM38" s="346" t="s">
        <v>226</v>
      </c>
      <c r="HN38" s="347">
        <f>+HK38</f>
        <v>0</v>
      </c>
      <c r="HO38" s="354">
        <f>+HN38</f>
        <v>0</v>
      </c>
      <c r="HP38" s="347">
        <f>+HO38</f>
        <v>0</v>
      </c>
      <c r="HQ38" s="354">
        <f>+HP38</f>
        <v>0</v>
      </c>
      <c r="HR38" s="347">
        <f t="shared" si="105"/>
        <v>0</v>
      </c>
      <c r="HT38" s="346" t="s">
        <v>226</v>
      </c>
      <c r="HU38" s="354">
        <v>0</v>
      </c>
      <c r="HV38" s="354">
        <f>+HU38</f>
        <v>0</v>
      </c>
      <c r="HW38" s="354">
        <f>+HV38</f>
        <v>0</v>
      </c>
      <c r="HX38" s="354">
        <f>+HW38</f>
        <v>0</v>
      </c>
      <c r="HY38" s="354">
        <f t="shared" si="106"/>
        <v>0</v>
      </c>
      <c r="IA38" s="346" t="s">
        <v>226</v>
      </c>
      <c r="IB38" s="354">
        <f>+HY38</f>
        <v>0</v>
      </c>
      <c r="IC38" s="354">
        <f>+IB38</f>
        <v>0</v>
      </c>
      <c r="ID38" s="354">
        <f>+IC38</f>
        <v>0</v>
      </c>
      <c r="IE38" s="354">
        <f>+ID38</f>
        <v>0</v>
      </c>
      <c r="IF38" s="354">
        <f t="shared" si="107"/>
        <v>0</v>
      </c>
      <c r="IH38" s="346" t="s">
        <v>226</v>
      </c>
      <c r="II38" s="354">
        <f>+IF38</f>
        <v>0</v>
      </c>
      <c r="IJ38" s="354">
        <f>+II38</f>
        <v>0</v>
      </c>
      <c r="IK38" s="354">
        <f>+IJ38</f>
        <v>0</v>
      </c>
      <c r="IL38" s="354">
        <f>+IK38</f>
        <v>0</v>
      </c>
      <c r="IM38" s="354">
        <f t="shared" si="108"/>
        <v>0</v>
      </c>
      <c r="IO38" s="346" t="s">
        <v>226</v>
      </c>
      <c r="IP38" s="354">
        <f>+IM38</f>
        <v>0</v>
      </c>
      <c r="IQ38" s="354">
        <f>+IP38</f>
        <v>0</v>
      </c>
      <c r="IR38" s="354">
        <f>+IQ38</f>
        <v>0</v>
      </c>
      <c r="IS38" s="354">
        <f>+IR38</f>
        <v>0</v>
      </c>
      <c r="IT38" s="354">
        <f t="shared" si="109"/>
        <v>0</v>
      </c>
    </row>
    <row r="39" spans="1:438" x14ac:dyDescent="0.4">
      <c r="B39" s="318" t="s">
        <v>140</v>
      </c>
      <c r="C39" s="319">
        <f t="shared" si="70"/>
        <v>0</v>
      </c>
      <c r="D39" s="319">
        <f t="shared" si="71"/>
        <v>0</v>
      </c>
      <c r="E39" s="319">
        <f t="shared" si="72"/>
        <v>1044</v>
      </c>
      <c r="F39" s="319">
        <f t="shared" si="73"/>
        <v>0</v>
      </c>
      <c r="G39" s="319">
        <f t="shared" si="74"/>
        <v>0</v>
      </c>
      <c r="H39" s="319">
        <f t="shared" si="75"/>
        <v>983</v>
      </c>
      <c r="I39" s="319">
        <f t="shared" si="76"/>
        <v>936</v>
      </c>
      <c r="J39" s="319">
        <f t="shared" si="77"/>
        <v>592</v>
      </c>
      <c r="K39" s="319">
        <f t="shared" si="78"/>
        <v>785</v>
      </c>
      <c r="L39" s="319">
        <f t="shared" si="79"/>
        <v>319</v>
      </c>
      <c r="M39" s="319">
        <f t="shared" si="80"/>
        <v>113</v>
      </c>
      <c r="N39" s="319">
        <f t="shared" si="81"/>
        <v>613</v>
      </c>
      <c r="O39" s="319">
        <f t="shared" si="82"/>
        <v>507</v>
      </c>
      <c r="P39" s="319">
        <f t="shared" si="83"/>
        <v>780</v>
      </c>
      <c r="Q39" s="319">
        <f t="shared" si="84"/>
        <v>533</v>
      </c>
      <c r="R39" s="319">
        <f t="shared" si="85"/>
        <v>228</v>
      </c>
      <c r="S39" s="319">
        <f t="shared" si="86"/>
        <v>20</v>
      </c>
      <c r="T39" s="319">
        <f t="shared" si="87"/>
        <v>331</v>
      </c>
      <c r="U39" s="319">
        <f t="shared" si="88"/>
        <v>19</v>
      </c>
      <c r="V39" s="319">
        <f t="shared" si="89"/>
        <v>18</v>
      </c>
      <c r="W39" s="319">
        <f t="shared" si="90"/>
        <v>245</v>
      </c>
      <c r="X39" s="319">
        <f t="shared" si="91"/>
        <v>401</v>
      </c>
      <c r="Y39" s="319">
        <f t="shared" si="92"/>
        <v>181</v>
      </c>
      <c r="Z39" s="319">
        <f t="shared" si="93"/>
        <v>151</v>
      </c>
      <c r="AA39" s="319">
        <f t="shared" si="94"/>
        <v>558</v>
      </c>
      <c r="AB39" s="319">
        <f t="shared" si="95"/>
        <v>606</v>
      </c>
      <c r="AC39" s="319">
        <f t="shared" si="96"/>
        <v>708</v>
      </c>
      <c r="AD39" s="319">
        <f t="shared" si="97"/>
        <v>708</v>
      </c>
      <c r="AE39" s="319">
        <f t="shared" si="98"/>
        <v>708</v>
      </c>
      <c r="AF39" s="319">
        <f t="shared" si="99"/>
        <v>708</v>
      </c>
      <c r="AG39" s="320"/>
      <c r="AH39" s="320"/>
      <c r="AI39" s="320"/>
      <c r="AJ39" s="320"/>
      <c r="AK39" s="320"/>
      <c r="AL39" s="320"/>
      <c r="AM39" s="320"/>
      <c r="AN39" s="320"/>
      <c r="AO39" s="320"/>
      <c r="AP39" s="320"/>
      <c r="AQ39" s="320"/>
      <c r="AR39" s="320"/>
      <c r="AT39" s="318" t="s">
        <v>140</v>
      </c>
      <c r="AU39" s="319"/>
      <c r="AV39" s="319"/>
      <c r="AW39" s="319"/>
      <c r="AX39" s="319">
        <v>349</v>
      </c>
      <c r="AY39" s="319"/>
      <c r="BA39" s="318" t="s">
        <v>140</v>
      </c>
      <c r="BB39" s="319">
        <v>351</v>
      </c>
      <c r="BC39" s="319">
        <v>364</v>
      </c>
      <c r="BD39" s="319">
        <v>173</v>
      </c>
      <c r="BE39" s="319">
        <v>192</v>
      </c>
      <c r="BF39" s="319"/>
      <c r="BH39" s="318" t="s">
        <v>140</v>
      </c>
      <c r="BI39" s="319">
        <v>188</v>
      </c>
      <c r="BJ39" s="319">
        <v>937</v>
      </c>
      <c r="BK39" s="319">
        <v>976</v>
      </c>
      <c r="BL39" s="319">
        <v>1044</v>
      </c>
      <c r="BM39" s="319">
        <f>BL39</f>
        <v>1044</v>
      </c>
      <c r="BO39" s="318" t="s">
        <v>140</v>
      </c>
      <c r="BP39" s="319">
        <v>952</v>
      </c>
      <c r="BQ39" s="319">
        <v>326</v>
      </c>
      <c r="BR39" s="319">
        <v>230</v>
      </c>
      <c r="BS39" s="319">
        <v>391</v>
      </c>
      <c r="BT39" s="319"/>
      <c r="BV39" s="318" t="s">
        <v>140</v>
      </c>
      <c r="BW39" s="319">
        <v>362</v>
      </c>
      <c r="BX39" s="319">
        <v>586</v>
      </c>
      <c r="BY39" s="319">
        <v>575</v>
      </c>
      <c r="BZ39" s="319">
        <v>426</v>
      </c>
      <c r="CA39" s="319"/>
      <c r="CC39" s="318" t="s">
        <v>140</v>
      </c>
      <c r="CD39" s="319">
        <v>425</v>
      </c>
      <c r="CE39" s="319">
        <v>110</v>
      </c>
      <c r="CF39" s="319">
        <v>181</v>
      </c>
      <c r="CG39" s="319">
        <v>983</v>
      </c>
      <c r="CH39" s="319">
        <f>CG39</f>
        <v>983</v>
      </c>
      <c r="CJ39" s="318" t="s">
        <v>140</v>
      </c>
      <c r="CK39" s="319">
        <v>912</v>
      </c>
      <c r="CL39" s="319">
        <v>618</v>
      </c>
      <c r="CM39" s="319">
        <v>947</v>
      </c>
      <c r="CN39" s="319">
        <v>936</v>
      </c>
      <c r="CO39" s="319">
        <f>CN39</f>
        <v>936</v>
      </c>
      <c r="CQ39" s="318" t="s">
        <v>140</v>
      </c>
      <c r="CR39" s="319">
        <v>912</v>
      </c>
      <c r="CS39" s="319">
        <v>1375</v>
      </c>
      <c r="CT39" s="319">
        <v>1057</v>
      </c>
      <c r="CU39" s="319">
        <v>592</v>
      </c>
      <c r="CV39" s="319">
        <f>CU39</f>
        <v>592</v>
      </c>
      <c r="CX39" s="318" t="s">
        <v>140</v>
      </c>
      <c r="CY39" s="319">
        <v>742</v>
      </c>
      <c r="CZ39" s="319">
        <v>229</v>
      </c>
      <c r="DA39" s="319">
        <v>230</v>
      </c>
      <c r="DB39" s="319">
        <v>785</v>
      </c>
      <c r="DC39" s="319">
        <f>DB39</f>
        <v>785</v>
      </c>
      <c r="DE39" s="318" t="s">
        <v>140</v>
      </c>
      <c r="DF39" s="319">
        <v>763</v>
      </c>
      <c r="DG39" s="319">
        <v>581</v>
      </c>
      <c r="DH39" s="319">
        <v>539</v>
      </c>
      <c r="DI39" s="319">
        <v>319</v>
      </c>
      <c r="DJ39" s="319">
        <f>DI39</f>
        <v>319</v>
      </c>
      <c r="DL39" s="318" t="s">
        <v>140</v>
      </c>
      <c r="DM39" s="319">
        <v>314</v>
      </c>
      <c r="DN39" s="319">
        <v>318</v>
      </c>
      <c r="DO39" s="319">
        <v>316</v>
      </c>
      <c r="DP39" s="319">
        <v>113</v>
      </c>
      <c r="DQ39" s="319">
        <f>DP39</f>
        <v>113</v>
      </c>
      <c r="DS39" s="318" t="s">
        <v>140</v>
      </c>
      <c r="DT39" s="319">
        <v>617</v>
      </c>
      <c r="DU39" s="319">
        <v>614</v>
      </c>
      <c r="DV39" s="319">
        <v>605</v>
      </c>
      <c r="DW39" s="319">
        <v>613</v>
      </c>
      <c r="DX39" s="319">
        <f>DW39</f>
        <v>613</v>
      </c>
      <c r="DZ39" s="318" t="s">
        <v>140</v>
      </c>
      <c r="EA39" s="319">
        <v>503</v>
      </c>
      <c r="EB39" s="319">
        <v>494</v>
      </c>
      <c r="EC39" s="319">
        <v>494</v>
      </c>
      <c r="ED39" s="319">
        <v>507</v>
      </c>
      <c r="EE39" s="319">
        <f>ED39</f>
        <v>507</v>
      </c>
      <c r="EG39" s="318" t="s">
        <v>140</v>
      </c>
      <c r="EH39" s="319">
        <v>502</v>
      </c>
      <c r="EI39" s="319">
        <v>508</v>
      </c>
      <c r="EJ39" s="319">
        <v>806</v>
      </c>
      <c r="EK39" s="319">
        <v>780</v>
      </c>
      <c r="EL39" s="319">
        <f>EK39</f>
        <v>780</v>
      </c>
      <c r="EN39" s="318" t="s">
        <v>140</v>
      </c>
      <c r="EO39" s="319">
        <v>572</v>
      </c>
      <c r="EP39" s="319">
        <v>564</v>
      </c>
      <c r="EQ39" s="319">
        <v>264</v>
      </c>
      <c r="ER39" s="319">
        <v>533</v>
      </c>
      <c r="ES39" s="319">
        <f>ER39</f>
        <v>533</v>
      </c>
      <c r="EU39" s="318" t="s">
        <v>140</v>
      </c>
      <c r="EV39" s="319">
        <v>325</v>
      </c>
      <c r="EW39" s="319">
        <v>899</v>
      </c>
      <c r="EX39" s="319">
        <v>230</v>
      </c>
      <c r="EY39" s="319">
        <v>228</v>
      </c>
      <c r="EZ39" s="319">
        <f>EY39</f>
        <v>228</v>
      </c>
      <c r="FB39" s="318" t="s">
        <v>140</v>
      </c>
      <c r="FC39" s="319">
        <v>228</v>
      </c>
      <c r="FD39" s="319">
        <v>18</v>
      </c>
      <c r="FE39" s="319">
        <v>18</v>
      </c>
      <c r="FF39" s="319">
        <v>20</v>
      </c>
      <c r="FG39" s="319">
        <f>FF39</f>
        <v>20</v>
      </c>
      <c r="FI39" s="318" t="s">
        <v>140</v>
      </c>
      <c r="FJ39" s="319">
        <v>20</v>
      </c>
      <c r="FK39" s="319">
        <v>632</v>
      </c>
      <c r="FL39" s="319">
        <v>631</v>
      </c>
      <c r="FM39" s="319">
        <v>331</v>
      </c>
      <c r="FN39" s="319">
        <f>FM39</f>
        <v>331</v>
      </c>
      <c r="FP39" s="318" t="s">
        <v>140</v>
      </c>
      <c r="FQ39" s="319">
        <v>331</v>
      </c>
      <c r="FR39" s="319">
        <v>19</v>
      </c>
      <c r="FS39" s="319">
        <v>19</v>
      </c>
      <c r="FT39" s="319">
        <v>19</v>
      </c>
      <c r="FU39" s="319">
        <f>FT39</f>
        <v>19</v>
      </c>
      <c r="FW39" s="318" t="s">
        <v>140</v>
      </c>
      <c r="FX39" s="319">
        <v>19</v>
      </c>
      <c r="FY39" s="319">
        <v>19</v>
      </c>
      <c r="FZ39" s="319">
        <v>18</v>
      </c>
      <c r="GA39" s="319">
        <v>18</v>
      </c>
      <c r="GB39" s="319">
        <f>GA39</f>
        <v>18</v>
      </c>
      <c r="GD39" s="318" t="s">
        <v>140</v>
      </c>
      <c r="GE39" s="319">
        <v>18</v>
      </c>
      <c r="GF39" s="319">
        <v>245</v>
      </c>
      <c r="GG39" s="319">
        <v>745</v>
      </c>
      <c r="GH39" s="319">
        <v>245</v>
      </c>
      <c r="GI39" s="319">
        <f>GH39</f>
        <v>245</v>
      </c>
      <c r="GK39" s="318" t="s">
        <v>140</v>
      </c>
      <c r="GL39" s="319">
        <v>255</v>
      </c>
      <c r="GM39" s="319">
        <v>378</v>
      </c>
      <c r="GN39" s="319">
        <v>371</v>
      </c>
      <c r="GO39" s="319">
        <v>401</v>
      </c>
      <c r="GP39" s="319">
        <f t="shared" si="101"/>
        <v>401</v>
      </c>
      <c r="GR39" s="318" t="s">
        <v>140</v>
      </c>
      <c r="GS39" s="319">
        <v>41</v>
      </c>
      <c r="GT39" s="319">
        <v>122</v>
      </c>
      <c r="GU39" s="319">
        <v>211</v>
      </c>
      <c r="GV39" s="319">
        <v>181</v>
      </c>
      <c r="GW39" s="319">
        <f t="shared" si="102"/>
        <v>181</v>
      </c>
      <c r="GY39" s="318" t="s">
        <v>140</v>
      </c>
      <c r="GZ39" s="319">
        <v>317</v>
      </c>
      <c r="HA39" s="319">
        <v>236</v>
      </c>
      <c r="HB39" s="319">
        <v>155</v>
      </c>
      <c r="HC39" s="319">
        <v>151</v>
      </c>
      <c r="HD39" s="319">
        <f t="shared" si="103"/>
        <v>151</v>
      </c>
      <c r="HF39" s="318" t="s">
        <v>140</v>
      </c>
      <c r="HG39" s="319">
        <v>11</v>
      </c>
      <c r="HH39" s="319">
        <v>10</v>
      </c>
      <c r="HI39" s="319">
        <v>559</v>
      </c>
      <c r="HJ39" s="319">
        <v>558</v>
      </c>
      <c r="HK39" s="319">
        <f t="shared" si="104"/>
        <v>558</v>
      </c>
      <c r="HM39" s="318" t="s">
        <v>140</v>
      </c>
      <c r="HN39" s="319">
        <v>557</v>
      </c>
      <c r="HO39" s="319">
        <v>557</v>
      </c>
      <c r="HP39" s="319">
        <v>6</v>
      </c>
      <c r="HQ39" s="319">
        <v>606</v>
      </c>
      <c r="HR39" s="319">
        <f t="shared" si="105"/>
        <v>606</v>
      </c>
      <c r="HT39" s="318" t="s">
        <v>140</v>
      </c>
      <c r="HU39" s="319">
        <v>605</v>
      </c>
      <c r="HV39" s="319">
        <v>616</v>
      </c>
      <c r="HW39" s="319">
        <v>608</v>
      </c>
      <c r="HX39" s="319">
        <v>708</v>
      </c>
      <c r="HY39" s="319">
        <f t="shared" si="106"/>
        <v>708</v>
      </c>
      <c r="IA39" s="318" t="s">
        <v>140</v>
      </c>
      <c r="IB39" s="319">
        <f>+CF!GH138</f>
        <v>708</v>
      </c>
      <c r="IC39" s="319">
        <f>+CF!GI138</f>
        <v>708</v>
      </c>
      <c r="ID39" s="319">
        <f>+CF!GJ138</f>
        <v>708</v>
      </c>
      <c r="IE39" s="319">
        <f>+CF!GK138</f>
        <v>708</v>
      </c>
      <c r="IF39" s="319">
        <f t="shared" si="107"/>
        <v>708</v>
      </c>
      <c r="IH39" s="318" t="s">
        <v>140</v>
      </c>
      <c r="II39" s="319">
        <f>+CF!GO138</f>
        <v>708</v>
      </c>
      <c r="IJ39" s="319">
        <f>+CF!GP138</f>
        <v>708</v>
      </c>
      <c r="IK39" s="319">
        <f>+CF!GQ138</f>
        <v>708</v>
      </c>
      <c r="IL39" s="319">
        <f>+CF!GR138</f>
        <v>708</v>
      </c>
      <c r="IM39" s="319">
        <f t="shared" si="108"/>
        <v>708</v>
      </c>
      <c r="IO39" s="318" t="s">
        <v>140</v>
      </c>
      <c r="IP39" s="319">
        <f>+CF!GV138</f>
        <v>708</v>
      </c>
      <c r="IQ39" s="319">
        <f>+CF!GW138</f>
        <v>708</v>
      </c>
      <c r="IR39" s="319">
        <f>+CF!GX138</f>
        <v>708</v>
      </c>
      <c r="IS39" s="319">
        <f>+CF!GY138</f>
        <v>708</v>
      </c>
      <c r="IT39" s="319">
        <f t="shared" si="109"/>
        <v>708</v>
      </c>
    </row>
    <row r="40" spans="1:438" x14ac:dyDescent="0.4">
      <c r="B40" s="82"/>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78"/>
      <c r="AH40" s="78"/>
      <c r="AI40" s="78"/>
      <c r="AJ40" s="78"/>
      <c r="AK40" s="78"/>
      <c r="AL40" s="78"/>
      <c r="AM40" s="78"/>
      <c r="AN40" s="78"/>
      <c r="AO40" s="78"/>
      <c r="AP40" s="78"/>
      <c r="AQ40" s="78"/>
      <c r="AR40" s="78"/>
      <c r="AT40" s="82"/>
      <c r="AU40" s="80"/>
      <c r="AV40" s="80"/>
      <c r="AW40" s="80"/>
      <c r="AX40" s="80"/>
      <c r="AY40" s="80"/>
      <c r="BA40" s="82"/>
      <c r="BB40" s="80"/>
      <c r="BC40" s="80"/>
      <c r="BD40" s="80"/>
      <c r="BE40" s="80"/>
      <c r="BF40" s="80"/>
      <c r="BH40" s="82"/>
      <c r="BI40" s="80"/>
      <c r="BJ40" s="80"/>
      <c r="BK40" s="80"/>
      <c r="BL40" s="80"/>
      <c r="BM40" s="80"/>
      <c r="BO40" s="82"/>
      <c r="BP40" s="80"/>
      <c r="BQ40" s="80"/>
      <c r="BR40" s="80"/>
      <c r="BS40" s="80"/>
      <c r="BT40" s="80"/>
      <c r="BV40" s="82"/>
      <c r="BW40" s="80"/>
      <c r="BX40" s="80"/>
      <c r="BY40" s="80"/>
      <c r="BZ40" s="80"/>
      <c r="CA40" s="80"/>
      <c r="CC40" s="82"/>
      <c r="CD40" s="80"/>
      <c r="CE40" s="80"/>
      <c r="CF40" s="80"/>
      <c r="CG40" s="80"/>
      <c r="CH40" s="80"/>
      <c r="CJ40" s="82"/>
      <c r="CK40" s="80"/>
      <c r="CL40" s="80"/>
      <c r="CM40" s="80"/>
      <c r="CN40" s="80"/>
      <c r="CO40" s="80"/>
      <c r="CQ40" s="82"/>
      <c r="CR40" s="80"/>
      <c r="CS40" s="80"/>
      <c r="CT40" s="80"/>
      <c r="CU40" s="80"/>
      <c r="CV40" s="80"/>
      <c r="CX40" s="82"/>
      <c r="CY40" s="80"/>
      <c r="CZ40" s="80"/>
      <c r="DA40" s="80"/>
      <c r="DB40" s="80"/>
      <c r="DC40" s="80"/>
      <c r="DE40" s="82"/>
      <c r="DF40" s="80"/>
      <c r="DG40" s="80"/>
      <c r="DH40" s="80"/>
      <c r="DI40" s="80"/>
      <c r="DJ40" s="80"/>
      <c r="DL40" s="82"/>
      <c r="DM40" s="80"/>
      <c r="DN40" s="80"/>
      <c r="DO40" s="80"/>
      <c r="DP40" s="80"/>
      <c r="DQ40" s="80"/>
      <c r="DS40" s="82"/>
      <c r="DT40" s="80"/>
      <c r="DU40" s="80"/>
      <c r="DV40" s="80"/>
      <c r="DW40" s="80"/>
      <c r="DX40" s="80"/>
      <c r="DZ40" s="82"/>
      <c r="EA40" s="80"/>
      <c r="EB40" s="80"/>
      <c r="EC40" s="80"/>
      <c r="ED40" s="80"/>
      <c r="EE40" s="80"/>
      <c r="EG40" s="82"/>
      <c r="EH40" s="80"/>
      <c r="EI40" s="80"/>
      <c r="EJ40" s="80"/>
      <c r="EK40" s="80"/>
      <c r="EL40" s="80"/>
      <c r="EN40" s="82"/>
      <c r="EO40" s="80"/>
      <c r="EP40" s="80"/>
      <c r="EQ40" s="80"/>
      <c r="ER40" s="80"/>
      <c r="ES40" s="80"/>
      <c r="EU40" s="82"/>
      <c r="EV40" s="80"/>
      <c r="EW40" s="80"/>
      <c r="EX40" s="80"/>
      <c r="EY40" s="80"/>
      <c r="EZ40" s="80"/>
      <c r="FB40" s="82"/>
      <c r="FC40" s="80"/>
      <c r="FD40" s="80"/>
      <c r="FE40" s="80"/>
      <c r="FF40" s="80"/>
      <c r="FG40" s="80"/>
      <c r="FI40" s="82"/>
      <c r="FJ40" s="80"/>
      <c r="FK40" s="80"/>
      <c r="FL40" s="80"/>
      <c r="FM40" s="80"/>
      <c r="FN40" s="80"/>
      <c r="FP40" s="82"/>
      <c r="FQ40" s="80"/>
      <c r="FR40" s="80"/>
      <c r="FS40" s="80"/>
      <c r="FT40" s="80"/>
      <c r="FU40" s="80"/>
      <c r="FW40" s="82"/>
      <c r="FX40" s="80"/>
      <c r="FY40" s="80"/>
      <c r="FZ40" s="80"/>
      <c r="GA40" s="80"/>
      <c r="GB40" s="80"/>
      <c r="GD40" s="82"/>
      <c r="GE40" s="80"/>
      <c r="GF40" s="80"/>
      <c r="GG40" s="80"/>
      <c r="GH40" s="80"/>
      <c r="GI40" s="80"/>
      <c r="GK40" s="82"/>
      <c r="GL40" s="80"/>
      <c r="GM40" s="80"/>
      <c r="GN40" s="80"/>
      <c r="GO40" s="80"/>
      <c r="GP40" s="80"/>
      <c r="GR40" s="82"/>
      <c r="GS40" s="80"/>
      <c r="GT40" s="80"/>
      <c r="GU40" s="80"/>
      <c r="GV40" s="80"/>
      <c r="GW40" s="80"/>
      <c r="GY40" s="82"/>
      <c r="GZ40" s="80"/>
      <c r="HA40" s="80"/>
      <c r="HB40" s="80"/>
      <c r="HC40" s="80"/>
      <c r="HD40" s="80"/>
      <c r="HF40" s="82"/>
      <c r="HG40" s="80"/>
      <c r="HH40" s="80"/>
      <c r="HI40" s="80"/>
      <c r="HJ40" s="80"/>
      <c r="HK40" s="80"/>
      <c r="HM40" s="82"/>
      <c r="HN40" s="80"/>
      <c r="HO40" s="80"/>
      <c r="HP40" s="80"/>
      <c r="HQ40" s="80"/>
      <c r="HR40" s="80"/>
      <c r="HT40" s="82"/>
      <c r="HU40" s="80"/>
      <c r="HV40" s="80"/>
      <c r="HW40" s="80"/>
      <c r="HX40" s="80"/>
      <c r="HY40" s="80"/>
      <c r="IA40" s="82"/>
      <c r="IB40" s="80"/>
      <c r="IC40" s="80"/>
      <c r="ID40" s="80"/>
      <c r="IE40" s="80"/>
      <c r="IF40" s="80"/>
      <c r="IH40" s="82"/>
      <c r="II40" s="80"/>
      <c r="IJ40" s="80"/>
      <c r="IK40" s="80"/>
      <c r="IL40" s="80"/>
      <c r="IM40" s="80"/>
      <c r="IO40" s="82"/>
      <c r="IP40" s="80"/>
      <c r="IQ40" s="80"/>
      <c r="IR40" s="80"/>
      <c r="IS40" s="80"/>
      <c r="IT40" s="80"/>
    </row>
    <row r="41" spans="1:438" s="336" customFormat="1" ht="15" customHeight="1" thickBot="1" x14ac:dyDescent="0.45">
      <c r="A41" s="325"/>
      <c r="B41" s="326" t="s">
        <v>47</v>
      </c>
      <c r="C41" s="327">
        <f>AY41</f>
        <v>3124</v>
      </c>
      <c r="D41" s="327">
        <f>BF41</f>
        <v>3059</v>
      </c>
      <c r="E41" s="327">
        <f>BM41</f>
        <v>3307</v>
      </c>
      <c r="F41" s="327">
        <f>BT41</f>
        <v>2063</v>
      </c>
      <c r="G41" s="327">
        <f>CA41</f>
        <v>1948</v>
      </c>
      <c r="H41" s="327">
        <f>CH41</f>
        <v>3317</v>
      </c>
      <c r="I41" s="327">
        <f>CO41</f>
        <v>2979</v>
      </c>
      <c r="J41" s="327">
        <f>CV41</f>
        <v>2522</v>
      </c>
      <c r="K41" s="327">
        <f>DC41</f>
        <v>2671</v>
      </c>
      <c r="L41" s="327">
        <f>DJ41</f>
        <v>2404</v>
      </c>
      <c r="M41" s="327">
        <f>DQ41</f>
        <v>1865</v>
      </c>
      <c r="N41" s="327">
        <f>DX41</f>
        <v>2537</v>
      </c>
      <c r="O41" s="327">
        <f>EE41</f>
        <v>2687</v>
      </c>
      <c r="P41" s="327">
        <f>EL41</f>
        <v>2627</v>
      </c>
      <c r="Q41" s="327">
        <f>ES41</f>
        <v>2424</v>
      </c>
      <c r="R41" s="327">
        <f>EZ41</f>
        <v>2107</v>
      </c>
      <c r="S41" s="327">
        <f>FG41</f>
        <v>1952</v>
      </c>
      <c r="T41" s="327">
        <f>FN41</f>
        <v>2040</v>
      </c>
      <c r="U41" s="327">
        <f>FU41</f>
        <v>1894</v>
      </c>
      <c r="V41" s="327">
        <f>GB41</f>
        <v>1915</v>
      </c>
      <c r="W41" s="327">
        <f>GI41</f>
        <v>2151</v>
      </c>
      <c r="X41" s="327">
        <f>GP41</f>
        <v>2019</v>
      </c>
      <c r="Y41" s="327">
        <f>GW41</f>
        <v>2233</v>
      </c>
      <c r="Z41" s="327">
        <f>HD41</f>
        <v>2446</v>
      </c>
      <c r="AA41" s="327">
        <f>HK41</f>
        <v>3223</v>
      </c>
      <c r="AB41" s="327">
        <f>HR41</f>
        <v>3276</v>
      </c>
      <c r="AC41" s="327">
        <f>HY41</f>
        <v>3133</v>
      </c>
      <c r="AD41" s="327">
        <f>IF41</f>
        <v>2931.8862710566609</v>
      </c>
      <c r="AE41" s="327">
        <f>IM41</f>
        <v>2948.6540783444934</v>
      </c>
      <c r="AF41" s="327">
        <f>IT41</f>
        <v>2992.2327696399748</v>
      </c>
      <c r="AG41" s="328"/>
      <c r="AH41" s="328"/>
      <c r="AI41" s="328"/>
      <c r="AJ41" s="328"/>
      <c r="AK41" s="328"/>
      <c r="AL41" s="328"/>
      <c r="AM41" s="328"/>
      <c r="AN41" s="328"/>
      <c r="AO41" s="328"/>
      <c r="AP41" s="328"/>
      <c r="AQ41" s="328"/>
      <c r="AR41" s="328"/>
      <c r="AS41" s="329"/>
      <c r="AT41" s="326" t="s">
        <v>47</v>
      </c>
      <c r="AU41" s="327"/>
      <c r="AV41" s="327"/>
      <c r="AW41" s="327"/>
      <c r="AX41" s="327">
        <f>+AX39+AX32</f>
        <v>3473</v>
      </c>
      <c r="AY41" s="327">
        <f>+AY39+AY32</f>
        <v>3124</v>
      </c>
      <c r="AZ41" s="329"/>
      <c r="BA41" s="326" t="s">
        <v>47</v>
      </c>
      <c r="BB41" s="327">
        <f>+BB39+BB32</f>
        <v>3285</v>
      </c>
      <c r="BC41" s="327">
        <f>+BC39+BC32</f>
        <v>3023</v>
      </c>
      <c r="BD41" s="327">
        <f>+BD39+BD32</f>
        <v>3071</v>
      </c>
      <c r="BE41" s="327">
        <f>+BE39+BE32</f>
        <v>3251</v>
      </c>
      <c r="BF41" s="327">
        <f>+BF39+BF32</f>
        <v>3059</v>
      </c>
      <c r="BG41" s="329"/>
      <c r="BH41" s="326" t="s">
        <v>47</v>
      </c>
      <c r="BI41" s="327">
        <f>+BI39+BI32</f>
        <v>2890</v>
      </c>
      <c r="BJ41" s="327">
        <f>+BJ39+BJ32</f>
        <v>3341</v>
      </c>
      <c r="BK41" s="327">
        <f>+BK39+BK32</f>
        <v>3447</v>
      </c>
      <c r="BL41" s="327">
        <f>+BL39+BL32</f>
        <v>3307</v>
      </c>
      <c r="BM41" s="327">
        <f>+BM39+BM32</f>
        <v>3307</v>
      </c>
      <c r="BN41" s="329"/>
      <c r="BO41" s="326" t="s">
        <v>47</v>
      </c>
      <c r="BP41" s="327">
        <f>+BP39+BP32</f>
        <v>2861</v>
      </c>
      <c r="BQ41" s="327">
        <f>+BQ39+BQ32</f>
        <v>2894</v>
      </c>
      <c r="BR41" s="327">
        <f>+BR39+BR32</f>
        <v>2748</v>
      </c>
      <c r="BS41" s="327">
        <f>+BS39+BS32</f>
        <v>2454</v>
      </c>
      <c r="BT41" s="327">
        <f>+BT39+BT32</f>
        <v>2063</v>
      </c>
      <c r="BU41" s="329"/>
      <c r="BV41" s="326" t="s">
        <v>47</v>
      </c>
      <c r="BW41" s="327">
        <f>+BW39+BW32</f>
        <v>2242</v>
      </c>
      <c r="BX41" s="327">
        <f>+BX39+BX32</f>
        <v>2920</v>
      </c>
      <c r="BY41" s="327">
        <f>+BY39+BY32</f>
        <v>3024</v>
      </c>
      <c r="BZ41" s="327">
        <f>+BZ39+BZ32</f>
        <v>2374</v>
      </c>
      <c r="CA41" s="327">
        <f>+CA39+CA32</f>
        <v>1948</v>
      </c>
      <c r="CB41" s="329"/>
      <c r="CC41" s="326" t="s">
        <v>47</v>
      </c>
      <c r="CD41" s="327">
        <f>+CD39+CD32</f>
        <v>2366</v>
      </c>
      <c r="CE41" s="327">
        <f>+CE39+CE32</f>
        <v>2593</v>
      </c>
      <c r="CF41" s="327">
        <f>+CF39+CF32</f>
        <v>2017</v>
      </c>
      <c r="CG41" s="327">
        <f>+CG39+CG32</f>
        <v>3317</v>
      </c>
      <c r="CH41" s="327">
        <f>+CH39+CH32</f>
        <v>3317</v>
      </c>
      <c r="CI41" s="329"/>
      <c r="CJ41" s="326" t="s">
        <v>47</v>
      </c>
      <c r="CK41" s="327">
        <f>+CK39+CK32</f>
        <v>3062</v>
      </c>
      <c r="CL41" s="327">
        <f>+CL39+CL32</f>
        <v>2509</v>
      </c>
      <c r="CM41" s="327">
        <f>+CM39+CM32</f>
        <v>3140</v>
      </c>
      <c r="CN41" s="327">
        <f>+CN39+CN32</f>
        <v>2979</v>
      </c>
      <c r="CO41" s="327">
        <f>+CO39+CO32</f>
        <v>2979</v>
      </c>
      <c r="CP41" s="329"/>
      <c r="CQ41" s="326" t="s">
        <v>47</v>
      </c>
      <c r="CR41" s="327">
        <f>+CR39+CR32</f>
        <v>2954</v>
      </c>
      <c r="CS41" s="327">
        <f>+CS39+CS32</f>
        <v>3260</v>
      </c>
      <c r="CT41" s="327">
        <f>+CT39+CT32</f>
        <v>3013</v>
      </c>
      <c r="CU41" s="327">
        <f>+CU39+CU32</f>
        <v>2522</v>
      </c>
      <c r="CV41" s="327">
        <f>+CV39+CV32</f>
        <v>2522</v>
      </c>
      <c r="CW41" s="329"/>
      <c r="CX41" s="326" t="s">
        <v>47</v>
      </c>
      <c r="CY41" s="327">
        <f>+CY39+CY32</f>
        <v>2655</v>
      </c>
      <c r="CZ41" s="327">
        <f>+CZ39+CZ32</f>
        <v>2190</v>
      </c>
      <c r="DA41" s="327">
        <f>+DA39+DA32</f>
        <v>2168</v>
      </c>
      <c r="DB41" s="327">
        <f>+DB39+DB32</f>
        <v>2671</v>
      </c>
      <c r="DC41" s="327">
        <f>+DC39+DC32</f>
        <v>2671</v>
      </c>
      <c r="DD41" s="329"/>
      <c r="DE41" s="326" t="s">
        <v>47</v>
      </c>
      <c r="DF41" s="327">
        <f>+DF39+DF32</f>
        <v>2704</v>
      </c>
      <c r="DG41" s="327">
        <f>+DG39+DG32</f>
        <v>2490</v>
      </c>
      <c r="DH41" s="327">
        <f>+DH39+DH32</f>
        <v>2829</v>
      </c>
      <c r="DI41" s="327">
        <f>+DI39+DI32</f>
        <v>2404</v>
      </c>
      <c r="DJ41" s="327">
        <f>+DJ39+DJ32</f>
        <v>2404</v>
      </c>
      <c r="DK41" s="329"/>
      <c r="DL41" s="326" t="s">
        <v>47</v>
      </c>
      <c r="DM41" s="327">
        <f>+DM39+DM32</f>
        <v>2070</v>
      </c>
      <c r="DN41" s="327">
        <f>+DN39+DN32</f>
        <v>1961</v>
      </c>
      <c r="DO41" s="327">
        <f>+DO39+DO32</f>
        <v>2076</v>
      </c>
      <c r="DP41" s="327">
        <f>+DP39+DP32</f>
        <v>1865</v>
      </c>
      <c r="DQ41" s="327">
        <f>+DQ39+DQ32</f>
        <v>1865</v>
      </c>
      <c r="DR41" s="329"/>
      <c r="DS41" s="326" t="s">
        <v>47</v>
      </c>
      <c r="DT41" s="327">
        <f>+DT39+DT32</f>
        <v>2388</v>
      </c>
      <c r="DU41" s="327">
        <f>+DU39+DU32</f>
        <v>2354</v>
      </c>
      <c r="DV41" s="327">
        <f>+DV39+DV32</f>
        <v>2540</v>
      </c>
      <c r="DW41" s="327">
        <f>+DW39+DW32</f>
        <v>2537</v>
      </c>
      <c r="DX41" s="327">
        <f>+DX39+DX32</f>
        <v>2537</v>
      </c>
      <c r="DY41" s="329"/>
      <c r="DZ41" s="326" t="s">
        <v>47</v>
      </c>
      <c r="EA41" s="327">
        <f>+EA39+EA32</f>
        <v>2222</v>
      </c>
      <c r="EB41" s="327">
        <f>+EB39+EB32</f>
        <v>2485</v>
      </c>
      <c r="EC41" s="327">
        <f>+EC39+EC32</f>
        <v>2568</v>
      </c>
      <c r="ED41" s="327">
        <f>+ED39+ED32</f>
        <v>2687</v>
      </c>
      <c r="EE41" s="327">
        <f>+EE39+EE32</f>
        <v>2687</v>
      </c>
      <c r="EF41" s="329"/>
      <c r="EG41" s="326" t="s">
        <v>47</v>
      </c>
      <c r="EH41" s="327">
        <f>+EH39+EH32</f>
        <v>2593</v>
      </c>
      <c r="EI41" s="327">
        <f>+EI39+EI32</f>
        <v>2575</v>
      </c>
      <c r="EJ41" s="327">
        <f>+EJ39+EJ32</f>
        <v>3021</v>
      </c>
      <c r="EK41" s="327">
        <f>+EK39+EK32</f>
        <v>2627</v>
      </c>
      <c r="EL41" s="327">
        <f>+EL39+EL32</f>
        <v>2627</v>
      </c>
      <c r="EM41" s="329"/>
      <c r="EN41" s="326" t="s">
        <v>47</v>
      </c>
      <c r="EO41" s="327">
        <f>+EO39+EO32</f>
        <v>2474</v>
      </c>
      <c r="EP41" s="327">
        <f>+EP39+EP32</f>
        <v>2418</v>
      </c>
      <c r="EQ41" s="327">
        <f>+EQ39+EQ32</f>
        <v>2251</v>
      </c>
      <c r="ER41" s="327">
        <f>+ER39+ER32</f>
        <v>2424</v>
      </c>
      <c r="ES41" s="327">
        <f>+ES39+ES32</f>
        <v>2424</v>
      </c>
      <c r="ET41" s="329"/>
      <c r="EU41" s="326" t="s">
        <v>47</v>
      </c>
      <c r="EV41" s="327">
        <f>+EV39+EV32</f>
        <v>2212</v>
      </c>
      <c r="EW41" s="327">
        <f>+EW39+EW32</f>
        <v>2797</v>
      </c>
      <c r="EX41" s="327">
        <f>+EX39+EX32</f>
        <v>2231</v>
      </c>
      <c r="EY41" s="327">
        <f>+EY39+EY32</f>
        <v>2107</v>
      </c>
      <c r="EZ41" s="327">
        <f>+EZ39+EZ32</f>
        <v>2107</v>
      </c>
      <c r="FA41" s="329"/>
      <c r="FB41" s="326" t="s">
        <v>47</v>
      </c>
      <c r="FC41" s="327">
        <f>+FC39+FC32</f>
        <v>2038</v>
      </c>
      <c r="FD41" s="327">
        <f>+FD39+FD32</f>
        <v>1778</v>
      </c>
      <c r="FE41" s="327">
        <f>+FE39+FE32</f>
        <v>1922</v>
      </c>
      <c r="FF41" s="327">
        <f>+FF39+FF32</f>
        <v>1952</v>
      </c>
      <c r="FG41" s="327">
        <f>+FG39+FG32</f>
        <v>1952</v>
      </c>
      <c r="FH41" s="329"/>
      <c r="FI41" s="326" t="s">
        <v>47</v>
      </c>
      <c r="FJ41" s="327">
        <f>+FJ39+FJ32</f>
        <v>1692</v>
      </c>
      <c r="FK41" s="327">
        <f>+FK39+FK32</f>
        <v>2282</v>
      </c>
      <c r="FL41" s="327">
        <f>+FL39+FL32</f>
        <v>2263</v>
      </c>
      <c r="FM41" s="327">
        <f>+FM39+FM32</f>
        <v>2040</v>
      </c>
      <c r="FN41" s="327">
        <f>+FN39+FN32</f>
        <v>2040</v>
      </c>
      <c r="FO41" s="329"/>
      <c r="FP41" s="326" t="s">
        <v>47</v>
      </c>
      <c r="FQ41" s="327">
        <f>+FQ39+FQ32</f>
        <v>2277</v>
      </c>
      <c r="FR41" s="327">
        <f>+FR39+FR32</f>
        <v>1672</v>
      </c>
      <c r="FS41" s="327">
        <f>+FS39+FS32</f>
        <v>2075</v>
      </c>
      <c r="FT41" s="327">
        <f>+FT39+FT32</f>
        <v>1894</v>
      </c>
      <c r="FU41" s="327">
        <f>+FU39+FU32</f>
        <v>1894</v>
      </c>
      <c r="FV41" s="329"/>
      <c r="FW41" s="326" t="s">
        <v>47</v>
      </c>
      <c r="FX41" s="327">
        <f>+FX39+FX32</f>
        <v>1891</v>
      </c>
      <c r="FY41" s="327">
        <f>+FY39+FY32</f>
        <v>1732</v>
      </c>
      <c r="FZ41" s="327">
        <f>+FZ39+FZ32</f>
        <v>1944</v>
      </c>
      <c r="GA41" s="327">
        <f>+GA39+GA32</f>
        <v>1915</v>
      </c>
      <c r="GB41" s="327">
        <f>+GB39+GB32</f>
        <v>1915</v>
      </c>
      <c r="GC41" s="329"/>
      <c r="GD41" s="326" t="s">
        <v>47</v>
      </c>
      <c r="GE41" s="327">
        <f>+GE39+GE32</f>
        <v>1926</v>
      </c>
      <c r="GF41" s="327">
        <f>+GF39+GF32</f>
        <v>2053</v>
      </c>
      <c r="GG41" s="327">
        <f>+GG39+GG32</f>
        <v>2805</v>
      </c>
      <c r="GH41" s="327">
        <f>+GH39+GH32</f>
        <v>2151</v>
      </c>
      <c r="GI41" s="327">
        <f>+GI39+GI32</f>
        <v>2151</v>
      </c>
      <c r="GJ41" s="329"/>
      <c r="GK41" s="326" t="s">
        <v>47</v>
      </c>
      <c r="GL41" s="327">
        <f>+GL39+GL32</f>
        <v>2211</v>
      </c>
      <c r="GM41" s="327">
        <f>+GM39+GM32</f>
        <v>2347</v>
      </c>
      <c r="GN41" s="327">
        <f>+GN39+GN32</f>
        <v>2294</v>
      </c>
      <c r="GO41" s="327">
        <f>+GO39+GO32</f>
        <v>2019</v>
      </c>
      <c r="GP41" s="327">
        <f>+GP39+GP32</f>
        <v>2019</v>
      </c>
      <c r="GQ41" s="329"/>
      <c r="GR41" s="326" t="s">
        <v>47</v>
      </c>
      <c r="GS41" s="327">
        <f>+GS39+GS32</f>
        <v>1800</v>
      </c>
      <c r="GT41" s="327">
        <f>+GT39+GT32</f>
        <v>1951</v>
      </c>
      <c r="GU41" s="327">
        <f>+GU39+GU32</f>
        <v>2268</v>
      </c>
      <c r="GV41" s="327">
        <f>+GV39+GV32</f>
        <v>2233</v>
      </c>
      <c r="GW41" s="327">
        <f>+GW39+GW32</f>
        <v>2233</v>
      </c>
      <c r="GX41" s="329"/>
      <c r="GY41" s="326" t="s">
        <v>47</v>
      </c>
      <c r="GZ41" s="327">
        <f>+GZ39+GZ32</f>
        <v>2575</v>
      </c>
      <c r="HA41" s="327">
        <f>+HA39+HA32</f>
        <v>2393</v>
      </c>
      <c r="HB41" s="327">
        <f>+HB39+HB32</f>
        <v>2508</v>
      </c>
      <c r="HC41" s="327">
        <f>+HC39+HC32</f>
        <v>2446</v>
      </c>
      <c r="HD41" s="327">
        <f>+HD39+HD32</f>
        <v>2446</v>
      </c>
      <c r="HE41" s="329"/>
      <c r="HF41" s="326" t="s">
        <v>47</v>
      </c>
      <c r="HG41" s="327">
        <f>+HG39+HG32</f>
        <v>2331</v>
      </c>
      <c r="HH41" s="327">
        <f>+HH39+HH32</f>
        <v>2074</v>
      </c>
      <c r="HI41" s="327">
        <f>+HI39+HI32</f>
        <v>2934</v>
      </c>
      <c r="HJ41" s="327">
        <f>+HJ39+HJ32</f>
        <v>3223</v>
      </c>
      <c r="HK41" s="327">
        <f>+HK39+HK32</f>
        <v>3223</v>
      </c>
      <c r="HL41" s="329"/>
      <c r="HM41" s="326" t="s">
        <v>47</v>
      </c>
      <c r="HN41" s="327">
        <f>+HN39+HN32</f>
        <v>3023</v>
      </c>
      <c r="HO41" s="327">
        <f>+HO39+HO32</f>
        <v>2739</v>
      </c>
      <c r="HP41" s="327">
        <f>+HP39+HP32</f>
        <v>2569</v>
      </c>
      <c r="HQ41" s="327">
        <f>+HQ39+HQ32</f>
        <v>3276</v>
      </c>
      <c r="HR41" s="327">
        <f>+HR39+HR32</f>
        <v>3276</v>
      </c>
      <c r="HS41" s="329"/>
      <c r="HT41" s="326" t="s">
        <v>47</v>
      </c>
      <c r="HU41" s="327">
        <f>+HU39+HU32</f>
        <v>3421</v>
      </c>
      <c r="HV41" s="327">
        <f>+HV39+HV32</f>
        <v>2983</v>
      </c>
      <c r="HW41" s="327">
        <f>+HW39+HW32</f>
        <v>2966</v>
      </c>
      <c r="HX41" s="327">
        <f>+HX39+HX32</f>
        <v>3133</v>
      </c>
      <c r="HY41" s="327">
        <f>+HY39+HY32</f>
        <v>3133</v>
      </c>
      <c r="HZ41" s="329"/>
      <c r="IA41" s="326" t="s">
        <v>47</v>
      </c>
      <c r="IB41" s="327">
        <f>+IB39+IB32</f>
        <v>2933.123851406106</v>
      </c>
      <c r="IC41" s="327">
        <f>+IC39+IC32</f>
        <v>2930.940755928772</v>
      </c>
      <c r="ID41" s="327">
        <f>+ID39+ID32</f>
        <v>2931.579314570095</v>
      </c>
      <c r="IE41" s="327">
        <f>+IE39+IE32</f>
        <v>2931.8862710566609</v>
      </c>
      <c r="IF41" s="327">
        <f>+IF39+IF32</f>
        <v>2931.8862710566609</v>
      </c>
      <c r="IG41" s="329"/>
      <c r="IH41" s="326" t="s">
        <v>47</v>
      </c>
      <c r="II41" s="327">
        <f>+II39+II32</f>
        <v>2937.355226546048</v>
      </c>
      <c r="IJ41" s="327">
        <f>+IJ39+IJ32</f>
        <v>2942.3211694161237</v>
      </c>
      <c r="IK41" s="327">
        <f>+IK39+IK32</f>
        <v>2945.4156068429352</v>
      </c>
      <c r="IL41" s="327">
        <f>+IL39+IL32</f>
        <v>2948.6540783444934</v>
      </c>
      <c r="IM41" s="327">
        <f>+IM39+IM32</f>
        <v>2948.6540783444934</v>
      </c>
      <c r="IN41" s="329"/>
      <c r="IO41" s="326" t="s">
        <v>47</v>
      </c>
      <c r="IP41" s="327">
        <f>+IP39+IP32</f>
        <v>2958.0533508459657</v>
      </c>
      <c r="IQ41" s="327">
        <f>+IQ39+IQ32</f>
        <v>2969.317669852478</v>
      </c>
      <c r="IR41" s="327">
        <f>+IR39+IR32</f>
        <v>2982.3683957986559</v>
      </c>
      <c r="IS41" s="327">
        <f>+IS39+IS32</f>
        <v>2992.2327696399748</v>
      </c>
      <c r="IT41" s="327">
        <f>+IT39+IT32</f>
        <v>2992.2327696399748</v>
      </c>
      <c r="IU41" s="329"/>
      <c r="IV41" s="329"/>
      <c r="IW41" s="329"/>
      <c r="IX41" s="329"/>
      <c r="IY41" s="329"/>
      <c r="IZ41" s="329"/>
      <c r="JA41" s="329"/>
      <c r="JB41" s="329"/>
      <c r="JC41" s="329"/>
      <c r="JD41" s="329"/>
      <c r="JE41" s="329"/>
      <c r="JF41" s="329"/>
      <c r="JG41" s="329"/>
      <c r="JH41" s="329"/>
      <c r="JI41" s="329"/>
      <c r="JJ41" s="329"/>
      <c r="JK41" s="329"/>
      <c r="JL41" s="329"/>
      <c r="JM41" s="329"/>
      <c r="JN41" s="329"/>
      <c r="JO41" s="329"/>
      <c r="JP41" s="330"/>
      <c r="JQ41" s="329"/>
      <c r="JR41" s="329"/>
      <c r="JS41" s="329"/>
      <c r="JT41" s="329"/>
      <c r="JU41" s="330"/>
      <c r="JV41" s="330"/>
      <c r="JW41" s="331"/>
      <c r="JX41" s="331"/>
      <c r="JY41" s="331"/>
      <c r="JZ41" s="331"/>
      <c r="KA41" s="331"/>
      <c r="KB41" s="331"/>
      <c r="KC41" s="331"/>
      <c r="KD41" s="331"/>
      <c r="KE41" s="331"/>
      <c r="KF41" s="332"/>
      <c r="KG41" s="333"/>
      <c r="KH41" s="334"/>
      <c r="KI41" s="334"/>
      <c r="KJ41" s="335"/>
      <c r="KK41" s="335"/>
      <c r="KL41" s="335"/>
      <c r="KM41" s="335"/>
      <c r="KN41" s="335"/>
      <c r="KO41" s="335"/>
      <c r="KP41" s="335"/>
      <c r="KQ41" s="335"/>
      <c r="KR41" s="335"/>
      <c r="KS41" s="335"/>
      <c r="KT41" s="335"/>
      <c r="KU41" s="335"/>
      <c r="KV41" s="335"/>
      <c r="KW41" s="335"/>
      <c r="KX41" s="335"/>
      <c r="KY41" s="335"/>
      <c r="KZ41" s="335"/>
      <c r="LA41" s="335"/>
      <c r="LB41" s="335"/>
      <c r="LC41" s="335"/>
      <c r="LD41" s="335"/>
      <c r="LE41" s="335"/>
      <c r="LF41" s="335"/>
      <c r="LG41" s="335"/>
      <c r="LH41" s="335"/>
      <c r="LI41" s="335"/>
      <c r="LJ41" s="335"/>
      <c r="LK41" s="335"/>
      <c r="LL41" s="335"/>
      <c r="LM41" s="335"/>
      <c r="LN41" s="335"/>
      <c r="LO41" s="335"/>
      <c r="LP41" s="335"/>
      <c r="LQ41" s="335"/>
      <c r="LR41" s="335"/>
      <c r="LS41" s="335"/>
      <c r="LT41" s="335"/>
      <c r="LU41" s="335"/>
      <c r="LV41" s="335"/>
      <c r="LW41" s="335"/>
      <c r="LX41" s="335"/>
      <c r="LY41" s="335"/>
      <c r="LZ41" s="335"/>
      <c r="MA41" s="335"/>
      <c r="MB41" s="335"/>
      <c r="MC41" s="335"/>
      <c r="MD41" s="335"/>
      <c r="ME41" s="335"/>
      <c r="MF41" s="335"/>
      <c r="MG41" s="335"/>
      <c r="MH41" s="335"/>
      <c r="MI41" s="335"/>
      <c r="MJ41" s="335"/>
      <c r="MK41" s="335"/>
      <c r="ML41" s="335"/>
      <c r="MM41" s="335"/>
      <c r="MN41" s="335"/>
      <c r="MO41" s="335"/>
      <c r="MP41" s="335"/>
      <c r="MQ41" s="335"/>
      <c r="MR41" s="335"/>
      <c r="MS41" s="335"/>
      <c r="MT41" s="335"/>
      <c r="MU41" s="335"/>
      <c r="MV41" s="335"/>
      <c r="MW41" s="335"/>
      <c r="MX41" s="335"/>
      <c r="MY41" s="335"/>
      <c r="MZ41" s="335"/>
      <c r="NA41" s="335"/>
      <c r="NB41" s="335"/>
      <c r="NC41" s="335"/>
      <c r="ND41" s="335"/>
      <c r="NE41" s="335"/>
      <c r="NF41" s="335"/>
      <c r="NG41" s="335"/>
      <c r="NH41" s="335"/>
      <c r="NI41" s="335"/>
      <c r="NJ41" s="335"/>
      <c r="NK41" s="335"/>
      <c r="NL41" s="335"/>
      <c r="NM41" s="335"/>
      <c r="NN41" s="335"/>
      <c r="NO41" s="335"/>
      <c r="NP41" s="335"/>
      <c r="NQ41" s="335"/>
      <c r="NR41" s="335"/>
      <c r="NS41" s="335"/>
      <c r="NT41" s="335"/>
      <c r="NU41" s="335"/>
      <c r="NV41" s="335"/>
      <c r="NW41" s="335"/>
      <c r="NX41" s="335"/>
      <c r="NY41" s="335"/>
      <c r="NZ41" s="335"/>
      <c r="OA41" s="335"/>
      <c r="OB41" s="335"/>
      <c r="OC41" s="335"/>
      <c r="OD41" s="335"/>
      <c r="OE41" s="335"/>
      <c r="OF41" s="335"/>
      <c r="OG41" s="335"/>
      <c r="OH41" s="335"/>
      <c r="OI41" s="335"/>
      <c r="OJ41" s="335"/>
      <c r="OK41" s="335"/>
      <c r="OL41" s="335"/>
      <c r="OM41" s="335"/>
      <c r="ON41" s="335"/>
      <c r="OO41" s="335"/>
      <c r="OP41" s="335"/>
      <c r="OQ41" s="335"/>
      <c r="OR41" s="335"/>
      <c r="OS41" s="335"/>
      <c r="OT41" s="335"/>
      <c r="OU41" s="335"/>
      <c r="OV41" s="335"/>
      <c r="OW41" s="335"/>
      <c r="OX41" s="335"/>
      <c r="OY41" s="335"/>
      <c r="OZ41" s="335"/>
      <c r="PA41" s="335"/>
      <c r="PB41" s="335"/>
      <c r="PC41" s="335"/>
      <c r="PD41" s="335"/>
      <c r="PE41" s="335"/>
      <c r="PF41" s="335"/>
      <c r="PG41" s="335"/>
      <c r="PH41" s="335"/>
      <c r="PI41" s="335"/>
      <c r="PJ41" s="335"/>
      <c r="PK41" s="335"/>
      <c r="PL41" s="335"/>
      <c r="PM41" s="335"/>
      <c r="PN41" s="335"/>
      <c r="PO41" s="335"/>
      <c r="PP41" s="335"/>
      <c r="PQ41" s="335"/>
      <c r="PR41" s="335"/>
      <c r="PS41" s="335"/>
      <c r="PT41" s="335"/>
      <c r="PU41" s="335"/>
      <c r="PV41" s="335"/>
    </row>
    <row r="42" spans="1:438" x14ac:dyDescent="0.4">
      <c r="B42" s="349"/>
      <c r="C42" s="350"/>
      <c r="D42" s="350"/>
      <c r="E42" s="350"/>
      <c r="F42" s="350"/>
      <c r="G42" s="350"/>
      <c r="H42" s="350"/>
      <c r="I42" s="350"/>
      <c r="J42" s="350"/>
      <c r="K42" s="350"/>
      <c r="L42" s="350"/>
      <c r="M42" s="350"/>
      <c r="N42" s="350"/>
      <c r="O42" s="350"/>
      <c r="P42" s="350"/>
      <c r="Q42" s="350"/>
      <c r="R42" s="350"/>
      <c r="S42" s="350"/>
      <c r="T42" s="350"/>
      <c r="U42" s="350"/>
      <c r="V42" s="350"/>
      <c r="W42" s="350"/>
      <c r="X42" s="350"/>
      <c r="Y42" s="350"/>
      <c r="Z42" s="350"/>
      <c r="AA42" s="350"/>
      <c r="AB42" s="350"/>
      <c r="AC42" s="350"/>
      <c r="AD42" s="350"/>
      <c r="AE42" s="350"/>
      <c r="AF42" s="350"/>
      <c r="AG42" s="344"/>
      <c r="AH42" s="344"/>
      <c r="AI42" s="344"/>
      <c r="AJ42" s="344"/>
      <c r="AK42" s="344"/>
      <c r="AL42" s="344"/>
      <c r="AM42" s="344"/>
      <c r="AN42" s="344"/>
      <c r="AO42" s="344"/>
      <c r="AP42" s="344"/>
      <c r="AQ42" s="344"/>
      <c r="AR42" s="344"/>
      <c r="AT42" s="349"/>
      <c r="AU42" s="350"/>
      <c r="AV42" s="350"/>
      <c r="AW42" s="350"/>
      <c r="AX42" s="350"/>
      <c r="AY42" s="350"/>
      <c r="BA42" s="349"/>
      <c r="BB42" s="350"/>
      <c r="BC42" s="350"/>
      <c r="BD42" s="350"/>
      <c r="BE42" s="350"/>
      <c r="BF42" s="350"/>
      <c r="BH42" s="349"/>
      <c r="BI42" s="350"/>
      <c r="BJ42" s="350"/>
      <c r="BK42" s="350"/>
      <c r="BL42" s="350"/>
      <c r="BM42" s="350"/>
      <c r="BO42" s="349"/>
      <c r="BP42" s="350"/>
      <c r="BQ42" s="350"/>
      <c r="BR42" s="350"/>
      <c r="BS42" s="350"/>
      <c r="BT42" s="350"/>
      <c r="BV42" s="349"/>
      <c r="BW42" s="350"/>
      <c r="BX42" s="350"/>
      <c r="BY42" s="350"/>
      <c r="BZ42" s="350"/>
      <c r="CA42" s="350"/>
      <c r="CC42" s="349"/>
      <c r="CD42" s="350"/>
      <c r="CE42" s="350"/>
      <c r="CF42" s="350"/>
      <c r="CG42" s="350"/>
      <c r="CH42" s="350"/>
      <c r="CJ42" s="349"/>
      <c r="CK42" s="350"/>
      <c r="CL42" s="350"/>
      <c r="CM42" s="350"/>
      <c r="CN42" s="350"/>
      <c r="CO42" s="350"/>
      <c r="CQ42" s="349"/>
      <c r="CR42" s="350"/>
      <c r="CS42" s="350"/>
      <c r="CT42" s="350"/>
      <c r="CU42" s="350"/>
      <c r="CV42" s="350"/>
      <c r="CX42" s="349"/>
      <c r="CY42" s="350"/>
      <c r="CZ42" s="350"/>
      <c r="DA42" s="350"/>
      <c r="DB42" s="350"/>
      <c r="DC42" s="350"/>
      <c r="DE42" s="349"/>
      <c r="DF42" s="350"/>
      <c r="DG42" s="350"/>
      <c r="DH42" s="350"/>
      <c r="DI42" s="350"/>
      <c r="DJ42" s="350"/>
      <c r="DL42" s="349"/>
      <c r="DM42" s="350"/>
      <c r="DN42" s="350"/>
      <c r="DO42" s="350"/>
      <c r="DP42" s="350"/>
      <c r="DQ42" s="350"/>
      <c r="DS42" s="349"/>
      <c r="DT42" s="350"/>
      <c r="DU42" s="350"/>
      <c r="DV42" s="350"/>
      <c r="DW42" s="350"/>
      <c r="DX42" s="350"/>
      <c r="DZ42" s="349"/>
      <c r="EA42" s="350"/>
      <c r="EB42" s="350"/>
      <c r="EC42" s="350"/>
      <c r="ED42" s="350"/>
      <c r="EE42" s="350"/>
      <c r="EG42" s="349"/>
      <c r="EH42" s="350"/>
      <c r="EI42" s="350"/>
      <c r="EJ42" s="350"/>
      <c r="EK42" s="350"/>
      <c r="EL42" s="350"/>
      <c r="EN42" s="349"/>
      <c r="EO42" s="350"/>
      <c r="EP42" s="350"/>
      <c r="EQ42" s="350"/>
      <c r="ER42" s="350"/>
      <c r="ES42" s="350"/>
      <c r="EU42" s="349"/>
      <c r="EV42" s="350"/>
      <c r="EW42" s="350"/>
      <c r="EX42" s="350"/>
      <c r="EY42" s="350"/>
      <c r="EZ42" s="350"/>
      <c r="FB42" s="349"/>
      <c r="FC42" s="350"/>
      <c r="FD42" s="350"/>
      <c r="FE42" s="350"/>
      <c r="FF42" s="350"/>
      <c r="FG42" s="350"/>
      <c r="FI42" s="349"/>
      <c r="FJ42" s="350"/>
      <c r="FK42" s="350"/>
      <c r="FL42" s="350"/>
      <c r="FM42" s="350"/>
      <c r="FN42" s="350"/>
      <c r="FP42" s="349"/>
      <c r="FQ42" s="350"/>
      <c r="FR42" s="350"/>
      <c r="FS42" s="350"/>
      <c r="FT42" s="350"/>
      <c r="FU42" s="350"/>
      <c r="FW42" s="349"/>
      <c r="FX42" s="350"/>
      <c r="FY42" s="350"/>
      <c r="FZ42" s="350"/>
      <c r="GA42" s="350"/>
      <c r="GB42" s="350"/>
      <c r="GD42" s="349"/>
      <c r="GE42" s="350"/>
      <c r="GF42" s="350"/>
      <c r="GG42" s="350"/>
      <c r="GH42" s="350"/>
      <c r="GI42" s="350"/>
      <c r="GK42" s="349"/>
      <c r="GL42" s="350"/>
      <c r="GM42" s="350"/>
      <c r="GN42" s="350"/>
      <c r="GO42" s="350"/>
      <c r="GP42" s="350"/>
      <c r="GR42" s="349"/>
      <c r="GS42" s="350"/>
      <c r="GT42" s="350"/>
      <c r="GU42" s="350"/>
      <c r="GV42" s="350"/>
      <c r="GW42" s="350"/>
      <c r="GY42" s="349"/>
      <c r="GZ42" s="350"/>
      <c r="HA42" s="350"/>
      <c r="HB42" s="350"/>
      <c r="HC42" s="350"/>
      <c r="HD42" s="350"/>
      <c r="HF42" s="349"/>
      <c r="HG42" s="350"/>
      <c r="HH42" s="350"/>
      <c r="HI42" s="350"/>
      <c r="HJ42" s="350"/>
      <c r="HK42" s="350"/>
      <c r="HM42" s="349"/>
      <c r="HN42" s="350"/>
      <c r="HO42" s="350"/>
      <c r="HP42" s="350"/>
      <c r="HQ42" s="350"/>
      <c r="HR42" s="350"/>
      <c r="HT42" s="349"/>
      <c r="HU42" s="350"/>
      <c r="HV42" s="350"/>
      <c r="HW42" s="350"/>
      <c r="HX42" s="350"/>
      <c r="HY42" s="350"/>
      <c r="IA42" s="349"/>
      <c r="IB42" s="350"/>
      <c r="IC42" s="350"/>
      <c r="ID42" s="350"/>
      <c r="IE42" s="350"/>
      <c r="IF42" s="350"/>
      <c r="IH42" s="349"/>
      <c r="II42" s="350"/>
      <c r="IJ42" s="350"/>
      <c r="IK42" s="350"/>
      <c r="IL42" s="350"/>
      <c r="IM42" s="350"/>
      <c r="IO42" s="349"/>
      <c r="IP42" s="350"/>
      <c r="IQ42" s="350"/>
      <c r="IR42" s="350"/>
      <c r="IS42" s="350"/>
      <c r="IT42" s="350"/>
    </row>
    <row r="43" spans="1:438" x14ac:dyDescent="0.4">
      <c r="B43" s="253" t="s">
        <v>152</v>
      </c>
      <c r="C43" s="351">
        <f>AY43</f>
        <v>0</v>
      </c>
      <c r="D43" s="351">
        <f>BF43</f>
        <v>0</v>
      </c>
      <c r="E43" s="351">
        <f>BM43</f>
        <v>0</v>
      </c>
      <c r="F43" s="351">
        <f>BT43</f>
        <v>0</v>
      </c>
      <c r="G43" s="351">
        <f>CA43</f>
        <v>0</v>
      </c>
      <c r="H43" s="351">
        <f>CH43</f>
        <v>2250</v>
      </c>
      <c r="I43" s="351">
        <f>CO43</f>
        <v>2124</v>
      </c>
      <c r="J43" s="351">
        <f>CV43</f>
        <v>2193</v>
      </c>
      <c r="K43" s="351">
        <f>DC43</f>
        <v>1612</v>
      </c>
      <c r="L43" s="351">
        <f>DJ43</f>
        <v>2089</v>
      </c>
      <c r="M43" s="351">
        <f>DQ43</f>
        <v>1831</v>
      </c>
      <c r="N43" s="351">
        <f>DX43</f>
        <v>1800</v>
      </c>
      <c r="O43" s="351">
        <f>EE43</f>
        <v>1983</v>
      </c>
      <c r="P43" s="351">
        <f>EL43</f>
        <v>1794</v>
      </c>
      <c r="Q43" s="351">
        <f>ES43</f>
        <v>1170</v>
      </c>
      <c r="R43" s="351">
        <f>EZ43</f>
        <v>1398</v>
      </c>
      <c r="S43" s="351">
        <f>FG43</f>
        <v>1431</v>
      </c>
      <c r="T43" s="351">
        <f>FN43</f>
        <v>1122</v>
      </c>
      <c r="U43" s="351">
        <f>FU43</f>
        <v>916</v>
      </c>
      <c r="V43" s="351">
        <f>GB43</f>
        <v>805</v>
      </c>
      <c r="W43" s="351">
        <f>GI43</f>
        <v>1289</v>
      </c>
      <c r="X43" s="351">
        <f>GP43</f>
        <v>1192</v>
      </c>
      <c r="Y43" s="351">
        <f>GW43</f>
        <v>1230</v>
      </c>
      <c r="Z43" s="351">
        <f>HD43</f>
        <v>1351</v>
      </c>
      <c r="AA43" s="351">
        <f>HK43</f>
        <v>1330</v>
      </c>
      <c r="AB43" s="351">
        <f>HR43</f>
        <v>1359</v>
      </c>
      <c r="AC43" s="351">
        <f>HY43</f>
        <v>1310</v>
      </c>
      <c r="AD43" s="351">
        <f>IF43</f>
        <v>1319.026370025</v>
      </c>
      <c r="AE43" s="351">
        <f>IM43</f>
        <v>1381.4624332767639</v>
      </c>
      <c r="AF43" s="351">
        <f>IT43</f>
        <v>1442.2260024013162</v>
      </c>
      <c r="AG43" s="352"/>
      <c r="AH43" s="352"/>
      <c r="AI43" s="352"/>
      <c r="AJ43" s="352"/>
      <c r="AK43" s="352"/>
      <c r="AL43" s="352"/>
      <c r="AM43" s="352"/>
      <c r="AN43" s="352"/>
      <c r="AO43" s="352"/>
      <c r="AP43" s="352"/>
      <c r="AQ43" s="352"/>
      <c r="AR43" s="352"/>
      <c r="AT43" s="253" t="s">
        <v>152</v>
      </c>
      <c r="AU43" s="351"/>
      <c r="AV43" s="351"/>
      <c r="AW43" s="351"/>
      <c r="AX43" s="351">
        <f>1301+767</f>
        <v>2068</v>
      </c>
      <c r="AY43" s="351"/>
      <c r="BA43" s="253" t="s">
        <v>152</v>
      </c>
      <c r="BB43" s="351">
        <f>1382+763</f>
        <v>2145</v>
      </c>
      <c r="BC43" s="351">
        <f>1329+781</f>
        <v>2110</v>
      </c>
      <c r="BD43" s="351">
        <f>1387+771</f>
        <v>2158</v>
      </c>
      <c r="BE43" s="351">
        <f>1245+755</f>
        <v>2000</v>
      </c>
      <c r="BF43" s="351"/>
      <c r="BH43" s="253" t="s">
        <v>152</v>
      </c>
      <c r="BI43" s="351">
        <f>1224+745</f>
        <v>1969</v>
      </c>
      <c r="BJ43" s="351">
        <f>1215+740</f>
        <v>1955</v>
      </c>
      <c r="BK43" s="351">
        <f>1192+713</f>
        <v>1905</v>
      </c>
      <c r="BL43" s="351">
        <f>1227+687</f>
        <v>1914</v>
      </c>
      <c r="BM43" s="351"/>
      <c r="BO43" s="253" t="s">
        <v>152</v>
      </c>
      <c r="BP43" s="351">
        <f>1223+678</f>
        <v>1901</v>
      </c>
      <c r="BQ43" s="351">
        <f>1165+657</f>
        <v>1822</v>
      </c>
      <c r="BR43" s="351">
        <f>1176+641</f>
        <v>1817</v>
      </c>
      <c r="BS43" s="351">
        <f>1566+604</f>
        <v>2170</v>
      </c>
      <c r="BT43" s="351"/>
      <c r="BV43" s="253" t="s">
        <v>152</v>
      </c>
      <c r="BW43" s="351">
        <f>1647+590</f>
        <v>2237</v>
      </c>
      <c r="BX43" s="351">
        <f>1635+629</f>
        <v>2264</v>
      </c>
      <c r="BY43" s="351">
        <f>1619+862</f>
        <v>2481</v>
      </c>
      <c r="BZ43" s="351">
        <f>836+1509</f>
        <v>2345</v>
      </c>
      <c r="CA43" s="351"/>
      <c r="CC43" s="253" t="s">
        <v>152</v>
      </c>
      <c r="CD43" s="351">
        <f>1651+822</f>
        <v>2473</v>
      </c>
      <c r="CE43" s="351">
        <f>1592+816</f>
        <v>2408</v>
      </c>
      <c r="CF43" s="351">
        <f>1553+812</f>
        <v>2365</v>
      </c>
      <c r="CG43" s="351">
        <f>1515+735</f>
        <v>2250</v>
      </c>
      <c r="CH43" s="351">
        <f>CG43</f>
        <v>2250</v>
      </c>
      <c r="CJ43" s="253" t="s">
        <v>152</v>
      </c>
      <c r="CK43" s="351">
        <f>1528+726</f>
        <v>2254</v>
      </c>
      <c r="CL43" s="351">
        <f>697+1522</f>
        <v>2219</v>
      </c>
      <c r="CM43" s="351">
        <f>703+1347</f>
        <v>2050</v>
      </c>
      <c r="CN43" s="351">
        <f>653+1471</f>
        <v>2124</v>
      </c>
      <c r="CO43" s="351">
        <f>CN43</f>
        <v>2124</v>
      </c>
      <c r="CQ43" s="253" t="s">
        <v>152</v>
      </c>
      <c r="CR43" s="351">
        <f>1386+678</f>
        <v>2064</v>
      </c>
      <c r="CS43" s="351">
        <f>1440+649</f>
        <v>2089</v>
      </c>
      <c r="CT43" s="351">
        <f>657+1483</f>
        <v>2140</v>
      </c>
      <c r="CU43" s="351">
        <v>2193</v>
      </c>
      <c r="CV43" s="351">
        <f>CU43</f>
        <v>2193</v>
      </c>
      <c r="CX43" s="253" t="s">
        <v>152</v>
      </c>
      <c r="CY43" s="351">
        <f>695+1447</f>
        <v>2142</v>
      </c>
      <c r="CZ43" s="351">
        <f>664+1394</f>
        <v>2058</v>
      </c>
      <c r="DA43" s="351">
        <f>666+1385</f>
        <v>2051</v>
      </c>
      <c r="DB43" s="351">
        <v>1612</v>
      </c>
      <c r="DC43" s="351">
        <f>DB43</f>
        <v>1612</v>
      </c>
      <c r="DE43" s="253" t="s">
        <v>152</v>
      </c>
      <c r="DF43" s="351">
        <f>629+967</f>
        <v>1596</v>
      </c>
      <c r="DG43" s="351">
        <f>614+952</f>
        <v>1566</v>
      </c>
      <c r="DH43" s="351">
        <f>875+610</f>
        <v>1485</v>
      </c>
      <c r="DI43" s="351">
        <v>2089</v>
      </c>
      <c r="DJ43" s="351">
        <f>DI43</f>
        <v>2089</v>
      </c>
      <c r="DL43" s="253" t="s">
        <v>152</v>
      </c>
      <c r="DM43" s="351">
        <v>2031</v>
      </c>
      <c r="DN43" s="351">
        <v>1968</v>
      </c>
      <c r="DO43" s="351">
        <v>1798</v>
      </c>
      <c r="DP43" s="351">
        <v>1831</v>
      </c>
      <c r="DQ43" s="351">
        <f>DP43</f>
        <v>1831</v>
      </c>
      <c r="DS43" s="253" t="s">
        <v>152</v>
      </c>
      <c r="DT43" s="351">
        <v>1880</v>
      </c>
      <c r="DU43" s="351">
        <v>1843</v>
      </c>
      <c r="DV43" s="351">
        <v>1822</v>
      </c>
      <c r="DW43" s="351">
        <v>1800</v>
      </c>
      <c r="DX43" s="351">
        <f>DW43</f>
        <v>1800</v>
      </c>
      <c r="DZ43" s="253" t="s">
        <v>152</v>
      </c>
      <c r="EA43" s="351">
        <v>1780</v>
      </c>
      <c r="EB43" s="351">
        <v>1753</v>
      </c>
      <c r="EC43" s="351">
        <v>1717</v>
      </c>
      <c r="ED43" s="351">
        <v>1983</v>
      </c>
      <c r="EE43" s="351">
        <f>ED43</f>
        <v>1983</v>
      </c>
      <c r="EG43" s="253" t="s">
        <v>152</v>
      </c>
      <c r="EH43" s="351">
        <v>1667</v>
      </c>
      <c r="EI43" s="351">
        <v>1642</v>
      </c>
      <c r="EJ43" s="351">
        <v>1603</v>
      </c>
      <c r="EK43" s="351">
        <v>1794</v>
      </c>
      <c r="EL43" s="351">
        <f>EK43</f>
        <v>1794</v>
      </c>
      <c r="EN43" s="253" t="s">
        <v>152</v>
      </c>
      <c r="EO43" s="351">
        <v>1716</v>
      </c>
      <c r="EP43" s="351">
        <v>1677</v>
      </c>
      <c r="EQ43" s="351">
        <v>1650</v>
      </c>
      <c r="ER43" s="351">
        <v>1170</v>
      </c>
      <c r="ES43" s="351">
        <f>ER43</f>
        <v>1170</v>
      </c>
      <c r="EU43" s="253" t="s">
        <v>152</v>
      </c>
      <c r="EV43" s="351">
        <v>1144</v>
      </c>
      <c r="EW43" s="351">
        <v>1136</v>
      </c>
      <c r="EX43" s="351">
        <v>1121</v>
      </c>
      <c r="EY43" s="351">
        <v>1398</v>
      </c>
      <c r="EZ43" s="351">
        <f>EY43</f>
        <v>1398</v>
      </c>
      <c r="FB43" s="253" t="s">
        <v>152</v>
      </c>
      <c r="FC43" s="351">
        <v>1386</v>
      </c>
      <c r="FD43" s="351">
        <v>1418</v>
      </c>
      <c r="FE43" s="351">
        <v>1388</v>
      </c>
      <c r="FF43" s="351">
        <v>1431</v>
      </c>
      <c r="FG43" s="351">
        <f>FF43</f>
        <v>1431</v>
      </c>
      <c r="FI43" s="253" t="s">
        <v>152</v>
      </c>
      <c r="FJ43" s="351">
        <v>1400</v>
      </c>
      <c r="FK43" s="351">
        <v>1383</v>
      </c>
      <c r="FL43" s="351">
        <v>1355</v>
      </c>
      <c r="FM43" s="351">
        <v>1122</v>
      </c>
      <c r="FN43" s="351">
        <f>FM43</f>
        <v>1122</v>
      </c>
      <c r="FP43" s="253" t="s">
        <v>152</v>
      </c>
      <c r="FQ43" s="351">
        <v>1155</v>
      </c>
      <c r="FR43" s="351">
        <v>1045</v>
      </c>
      <c r="FS43" s="351">
        <v>1019</v>
      </c>
      <c r="FT43" s="351">
        <v>916</v>
      </c>
      <c r="FU43" s="351">
        <f>FT43</f>
        <v>916</v>
      </c>
      <c r="FW43" s="253" t="s">
        <v>152</v>
      </c>
      <c r="FX43" s="351">
        <v>904</v>
      </c>
      <c r="FY43" s="351">
        <v>868</v>
      </c>
      <c r="FZ43" s="351">
        <v>844</v>
      </c>
      <c r="GA43" s="351">
        <v>805</v>
      </c>
      <c r="GB43" s="351">
        <f>GA43</f>
        <v>805</v>
      </c>
      <c r="GD43" s="253" t="s">
        <v>152</v>
      </c>
      <c r="GE43" s="351">
        <v>1292</v>
      </c>
      <c r="GF43" s="351">
        <f>568+199+GF44</f>
        <v>1268</v>
      </c>
      <c r="GG43" s="351">
        <f>548+195+GG44</f>
        <v>1237</v>
      </c>
      <c r="GH43" s="351">
        <f>205+591+GH44</f>
        <v>1289</v>
      </c>
      <c r="GI43" s="351">
        <f>GH43</f>
        <v>1289</v>
      </c>
      <c r="GK43" s="253" t="s">
        <v>152</v>
      </c>
      <c r="GL43" s="351">
        <f>210+568+GL44</f>
        <v>1267</v>
      </c>
      <c r="GM43" s="351">
        <v>1238</v>
      </c>
      <c r="GN43" s="351">
        <v>1214</v>
      </c>
      <c r="GO43" s="351">
        <f>513+455+224</f>
        <v>1192</v>
      </c>
      <c r="GP43" s="351">
        <f>+GO43</f>
        <v>1192</v>
      </c>
      <c r="GR43" s="253" t="s">
        <v>152</v>
      </c>
      <c r="GS43" s="351">
        <v>1200</v>
      </c>
      <c r="GT43" s="351">
        <v>1153</v>
      </c>
      <c r="GU43" s="351">
        <v>1209</v>
      </c>
      <c r="GV43" s="351">
        <f>250+478+502</f>
        <v>1230</v>
      </c>
      <c r="GW43" s="351">
        <f>+GV43</f>
        <v>1230</v>
      </c>
      <c r="GY43" s="253" t="s">
        <v>152</v>
      </c>
      <c r="GZ43" s="351">
        <f>267+476+492</f>
        <v>1235</v>
      </c>
      <c r="HA43" s="351">
        <f>290+503+473</f>
        <v>1266</v>
      </c>
      <c r="HB43" s="351">
        <f>317+487+520</f>
        <v>1324</v>
      </c>
      <c r="HC43" s="351">
        <v>1351</v>
      </c>
      <c r="HD43" s="351">
        <f>+HC43</f>
        <v>1351</v>
      </c>
      <c r="HF43" s="253" t="s">
        <v>152</v>
      </c>
      <c r="HG43" s="351">
        <f>542+HG44+287</f>
        <v>1307</v>
      </c>
      <c r="HH43" s="351">
        <v>1328</v>
      </c>
      <c r="HI43" s="351">
        <f>570+487+302</f>
        <v>1359</v>
      </c>
      <c r="HJ43" s="351">
        <f>296+543+491</f>
        <v>1330</v>
      </c>
      <c r="HK43" s="351">
        <f>+HJ43</f>
        <v>1330</v>
      </c>
      <c r="HM43" s="253" t="s">
        <v>152</v>
      </c>
      <c r="HN43" s="351">
        <f>308+501+557</f>
        <v>1366</v>
      </c>
      <c r="HO43" s="351">
        <v>1336</v>
      </c>
      <c r="HP43" s="351">
        <f>309+494+505</f>
        <v>1308</v>
      </c>
      <c r="HQ43" s="351">
        <f>560+486+313</f>
        <v>1359</v>
      </c>
      <c r="HR43" s="351">
        <f>+HQ43</f>
        <v>1359</v>
      </c>
      <c r="HT43" s="253" t="s">
        <v>152</v>
      </c>
      <c r="HU43" s="351">
        <f>319+535+489</f>
        <v>1343</v>
      </c>
      <c r="HV43" s="351">
        <f>304+484+513</f>
        <v>1301</v>
      </c>
      <c r="HW43" s="351">
        <f>311+481+500</f>
        <v>1292</v>
      </c>
      <c r="HX43" s="351">
        <v>1310</v>
      </c>
      <c r="HY43" s="351">
        <f>+HX43</f>
        <v>1310</v>
      </c>
      <c r="IA43" s="253" t="s">
        <v>152</v>
      </c>
      <c r="IB43" s="351">
        <f>+CF!GH112</f>
        <v>1285.8133856749998</v>
      </c>
      <c r="IC43" s="351">
        <f>+CF!GI112</f>
        <v>1291.44536885</v>
      </c>
      <c r="ID43" s="351">
        <f>+CF!GJ112</f>
        <v>1302.0863764999999</v>
      </c>
      <c r="IE43" s="351">
        <f>+CF!GK112</f>
        <v>1319.026370025</v>
      </c>
      <c r="IF43" s="351">
        <f>+IE43</f>
        <v>1319.026370025</v>
      </c>
      <c r="IH43" s="253" t="s">
        <v>152</v>
      </c>
      <c r="II43" s="351">
        <f>+CF!GO112</f>
        <v>1334.2613540241068</v>
      </c>
      <c r="IJ43" s="351">
        <f>+CF!GP112</f>
        <v>1350.0100897798145</v>
      </c>
      <c r="IK43" s="351">
        <f>+CF!GQ112</f>
        <v>1365.6691188649456</v>
      </c>
      <c r="IL43" s="351">
        <f>+CF!GR112</f>
        <v>1381.4624332767639</v>
      </c>
      <c r="IM43" s="351">
        <f>+IL43</f>
        <v>1381.4624332767639</v>
      </c>
      <c r="IO43" s="253" t="s">
        <v>152</v>
      </c>
      <c r="IP43" s="351">
        <f>+CF!GV112</f>
        <v>1396.2717435713944</v>
      </c>
      <c r="IQ43" s="351">
        <f>+CF!GW112</f>
        <v>1411.5863156365235</v>
      </c>
      <c r="IR43" s="351">
        <f>+CF!GX112</f>
        <v>1427.06503487439</v>
      </c>
      <c r="IS43" s="351">
        <f>+CF!GY112</f>
        <v>1442.2260024013162</v>
      </c>
      <c r="IT43" s="351">
        <f>+IS43</f>
        <v>1442.2260024013162</v>
      </c>
    </row>
    <row r="44" spans="1:438" outlineLevel="1" x14ac:dyDescent="0.4">
      <c r="B44" s="353" t="s">
        <v>228</v>
      </c>
      <c r="C44" s="354">
        <f>AY44</f>
        <v>0</v>
      </c>
      <c r="D44" s="354">
        <f>BF44</f>
        <v>0</v>
      </c>
      <c r="E44" s="354">
        <f>BM44</f>
        <v>0</v>
      </c>
      <c r="F44" s="354">
        <f>BT44</f>
        <v>0</v>
      </c>
      <c r="G44" s="354">
        <f>CA44</f>
        <v>0</v>
      </c>
      <c r="H44" s="354">
        <f>CH44</f>
        <v>0</v>
      </c>
      <c r="I44" s="354">
        <f>CO44</f>
        <v>0</v>
      </c>
      <c r="J44" s="354">
        <f>CV44</f>
        <v>0</v>
      </c>
      <c r="K44" s="354">
        <f>DC44</f>
        <v>0</v>
      </c>
      <c r="L44" s="354">
        <f>DJ44</f>
        <v>0</v>
      </c>
      <c r="M44" s="354">
        <f>DQ44</f>
        <v>0</v>
      </c>
      <c r="N44" s="354">
        <f>DX44</f>
        <v>0</v>
      </c>
      <c r="O44" s="354">
        <f>EE44</f>
        <v>0</v>
      </c>
      <c r="P44" s="354">
        <f>EL44</f>
        <v>0</v>
      </c>
      <c r="Q44" s="354">
        <f>ES44</f>
        <v>0</v>
      </c>
      <c r="R44" s="354">
        <f>EZ44</f>
        <v>0</v>
      </c>
      <c r="S44" s="354">
        <f>FG44</f>
        <v>0</v>
      </c>
      <c r="T44" s="354">
        <f>FN44</f>
        <v>0</v>
      </c>
      <c r="U44" s="354">
        <f>FU44</f>
        <v>0</v>
      </c>
      <c r="V44" s="354">
        <f>GB44</f>
        <v>0</v>
      </c>
      <c r="W44" s="354">
        <f>GI44</f>
        <v>493</v>
      </c>
      <c r="X44" s="354">
        <f>GP44</f>
        <v>455</v>
      </c>
      <c r="Y44" s="354">
        <f>GW44</f>
        <v>478</v>
      </c>
      <c r="Z44" s="354">
        <f>HD44</f>
        <v>488</v>
      </c>
      <c r="AA44" s="354">
        <f>HK44</f>
        <v>491</v>
      </c>
      <c r="AB44" s="354">
        <f>HR44</f>
        <v>486</v>
      </c>
      <c r="AC44" s="354">
        <f>HY44</f>
        <v>481</v>
      </c>
      <c r="AD44" s="354">
        <f>IF44</f>
        <v>481</v>
      </c>
      <c r="AE44" s="354">
        <f>IM44</f>
        <v>481</v>
      </c>
      <c r="AF44" s="354">
        <f>IT44</f>
        <v>481</v>
      </c>
      <c r="AG44" s="348"/>
      <c r="AH44" s="348"/>
      <c r="AI44" s="348"/>
      <c r="AJ44" s="348"/>
      <c r="AK44" s="348"/>
      <c r="AL44" s="348"/>
      <c r="AM44" s="348"/>
      <c r="AN44" s="348"/>
      <c r="AO44" s="348"/>
      <c r="AP44" s="348"/>
      <c r="AQ44" s="348"/>
      <c r="AR44" s="348"/>
      <c r="AT44" s="353" t="s">
        <v>228</v>
      </c>
      <c r="AU44" s="354"/>
      <c r="AV44" s="354"/>
      <c r="AW44" s="354"/>
      <c r="AX44" s="354"/>
      <c r="AY44" s="354"/>
      <c r="BA44" s="353" t="s">
        <v>228</v>
      </c>
      <c r="BB44" s="354"/>
      <c r="BC44" s="354"/>
      <c r="BD44" s="354"/>
      <c r="BE44" s="354"/>
      <c r="BF44" s="354"/>
      <c r="BH44" s="353" t="s">
        <v>228</v>
      </c>
      <c r="BI44" s="354"/>
      <c r="BJ44" s="354"/>
      <c r="BK44" s="354"/>
      <c r="BL44" s="354"/>
      <c r="BM44" s="354"/>
      <c r="BO44" s="353" t="s">
        <v>228</v>
      </c>
      <c r="BP44" s="354"/>
      <c r="BQ44" s="354"/>
      <c r="BR44" s="354"/>
      <c r="BS44" s="354"/>
      <c r="BT44" s="354"/>
      <c r="BV44" s="353" t="s">
        <v>228</v>
      </c>
      <c r="BW44" s="354"/>
      <c r="BX44" s="354"/>
      <c r="BY44" s="354"/>
      <c r="BZ44" s="354"/>
      <c r="CA44" s="354"/>
      <c r="CC44" s="353" t="s">
        <v>228</v>
      </c>
      <c r="CD44" s="354"/>
      <c r="CE44" s="354"/>
      <c r="CF44" s="354"/>
      <c r="CG44" s="354"/>
      <c r="CH44" s="354"/>
      <c r="CJ44" s="353" t="s">
        <v>228</v>
      </c>
      <c r="CK44" s="354">
        <v>0</v>
      </c>
      <c r="CL44" s="354">
        <v>0</v>
      </c>
      <c r="CM44" s="354">
        <v>0</v>
      </c>
      <c r="CN44" s="354">
        <v>0</v>
      </c>
      <c r="CO44" s="354">
        <v>0</v>
      </c>
      <c r="CQ44" s="353" t="s">
        <v>228</v>
      </c>
      <c r="CR44" s="354">
        <v>0</v>
      </c>
      <c r="CS44" s="354">
        <v>0</v>
      </c>
      <c r="CT44" s="354">
        <v>0</v>
      </c>
      <c r="CU44" s="354">
        <v>0</v>
      </c>
      <c r="CV44" s="354">
        <v>0</v>
      </c>
      <c r="CX44" s="353" t="s">
        <v>228</v>
      </c>
      <c r="CY44" s="354">
        <v>0</v>
      </c>
      <c r="CZ44" s="354">
        <v>0</v>
      </c>
      <c r="DA44" s="354">
        <v>0</v>
      </c>
      <c r="DB44" s="354">
        <v>0</v>
      </c>
      <c r="DC44" s="354">
        <v>0</v>
      </c>
      <c r="DE44" s="353" t="s">
        <v>228</v>
      </c>
      <c r="DF44" s="354">
        <v>0</v>
      </c>
      <c r="DG44" s="354">
        <v>0</v>
      </c>
      <c r="DH44" s="354">
        <v>0</v>
      </c>
      <c r="DI44" s="354">
        <v>0</v>
      </c>
      <c r="DJ44" s="354">
        <v>0</v>
      </c>
      <c r="DL44" s="353" t="s">
        <v>228</v>
      </c>
      <c r="DM44" s="354">
        <v>0</v>
      </c>
      <c r="DN44" s="354">
        <v>0</v>
      </c>
      <c r="DO44" s="354">
        <v>0</v>
      </c>
      <c r="DP44" s="354">
        <v>0</v>
      </c>
      <c r="DQ44" s="354">
        <v>0</v>
      </c>
      <c r="DS44" s="353" t="s">
        <v>228</v>
      </c>
      <c r="DT44" s="354">
        <v>0</v>
      </c>
      <c r="DU44" s="354">
        <v>0</v>
      </c>
      <c r="DV44" s="354">
        <v>0</v>
      </c>
      <c r="DW44" s="354">
        <v>0</v>
      </c>
      <c r="DX44" s="354">
        <v>0</v>
      </c>
      <c r="DZ44" s="353" t="s">
        <v>228</v>
      </c>
      <c r="EA44" s="354">
        <v>0</v>
      </c>
      <c r="EB44" s="354">
        <v>0</v>
      </c>
      <c r="EC44" s="354">
        <v>0</v>
      </c>
      <c r="ED44" s="354">
        <v>0</v>
      </c>
      <c r="EE44" s="354">
        <v>0</v>
      </c>
      <c r="EG44" s="353" t="s">
        <v>228</v>
      </c>
      <c r="EH44" s="354">
        <v>0</v>
      </c>
      <c r="EI44" s="354">
        <v>0</v>
      </c>
      <c r="EJ44" s="354">
        <v>0</v>
      </c>
      <c r="EK44" s="354">
        <v>0</v>
      </c>
      <c r="EL44" s="354">
        <v>0</v>
      </c>
      <c r="EN44" s="353" t="s">
        <v>228</v>
      </c>
      <c r="EO44" s="354">
        <v>0</v>
      </c>
      <c r="EP44" s="354">
        <v>0</v>
      </c>
      <c r="EQ44" s="354">
        <v>0</v>
      </c>
      <c r="ER44" s="354">
        <v>0</v>
      </c>
      <c r="ES44" s="354">
        <v>0</v>
      </c>
      <c r="EU44" s="353" t="s">
        <v>228</v>
      </c>
      <c r="EV44" s="354">
        <v>0</v>
      </c>
      <c r="EW44" s="354">
        <v>0</v>
      </c>
      <c r="EX44" s="354">
        <v>0</v>
      </c>
      <c r="EY44" s="354">
        <v>0</v>
      </c>
      <c r="EZ44" s="354">
        <v>0</v>
      </c>
      <c r="FB44" s="353" t="s">
        <v>228</v>
      </c>
      <c r="FC44" s="354">
        <v>0</v>
      </c>
      <c r="FD44" s="354">
        <v>0</v>
      </c>
      <c r="FE44" s="354">
        <v>0</v>
      </c>
      <c r="FF44" s="354">
        <v>0</v>
      </c>
      <c r="FG44" s="354">
        <v>0</v>
      </c>
      <c r="FI44" s="353" t="s">
        <v>228</v>
      </c>
      <c r="FJ44" s="354">
        <v>0</v>
      </c>
      <c r="FK44" s="354">
        <v>0</v>
      </c>
      <c r="FL44" s="354">
        <v>0</v>
      </c>
      <c r="FM44" s="354">
        <v>0</v>
      </c>
      <c r="FN44" s="354">
        <v>0</v>
      </c>
      <c r="FP44" s="353" t="s">
        <v>228</v>
      </c>
      <c r="FQ44" s="354">
        <v>0</v>
      </c>
      <c r="FR44" s="354">
        <v>0</v>
      </c>
      <c r="FS44" s="354">
        <v>0</v>
      </c>
      <c r="FT44" s="354">
        <v>0</v>
      </c>
      <c r="FU44" s="354">
        <v>0</v>
      </c>
      <c r="FW44" s="353" t="s">
        <v>228</v>
      </c>
      <c r="FX44" s="354">
        <v>0</v>
      </c>
      <c r="FY44" s="354">
        <v>0</v>
      </c>
      <c r="FZ44" s="354">
        <v>0</v>
      </c>
      <c r="GA44" s="354">
        <v>0</v>
      </c>
      <c r="GB44" s="354">
        <v>0</v>
      </c>
      <c r="GD44" s="353" t="s">
        <v>228</v>
      </c>
      <c r="GE44" s="354">
        <v>502</v>
      </c>
      <c r="GF44" s="354">
        <v>501</v>
      </c>
      <c r="GG44" s="354">
        <v>494</v>
      </c>
      <c r="GH44" s="354">
        <v>493</v>
      </c>
      <c r="GI44" s="354">
        <f>+GH44</f>
        <v>493</v>
      </c>
      <c r="GK44" s="353" t="s">
        <v>228</v>
      </c>
      <c r="GL44" s="354">
        <v>489</v>
      </c>
      <c r="GM44" s="354"/>
      <c r="GN44" s="354">
        <v>475</v>
      </c>
      <c r="GO44" s="354">
        <v>455</v>
      </c>
      <c r="GP44" s="354">
        <f>+GO44</f>
        <v>455</v>
      </c>
      <c r="GR44" s="353" t="s">
        <v>228</v>
      </c>
      <c r="GS44" s="354">
        <v>453</v>
      </c>
      <c r="GT44" s="354">
        <v>450</v>
      </c>
      <c r="GU44" s="354">
        <v>482</v>
      </c>
      <c r="GV44" s="354">
        <v>478</v>
      </c>
      <c r="GW44" s="354">
        <f>+GV44</f>
        <v>478</v>
      </c>
      <c r="GY44" s="353" t="s">
        <v>228</v>
      </c>
      <c r="GZ44" s="354">
        <v>476</v>
      </c>
      <c r="HA44" s="354">
        <v>473</v>
      </c>
      <c r="HB44" s="354">
        <v>487</v>
      </c>
      <c r="HC44" s="354">
        <v>488</v>
      </c>
      <c r="HD44" s="354">
        <f>+HC44</f>
        <v>488</v>
      </c>
      <c r="HF44" s="353" t="s">
        <v>228</v>
      </c>
      <c r="HG44" s="354">
        <v>478</v>
      </c>
      <c r="HH44" s="354">
        <v>485</v>
      </c>
      <c r="HI44" s="354">
        <v>488</v>
      </c>
      <c r="HJ44" s="354">
        <v>491</v>
      </c>
      <c r="HK44" s="354">
        <f>+HJ44</f>
        <v>491</v>
      </c>
      <c r="HM44" s="353" t="s">
        <v>228</v>
      </c>
      <c r="HN44" s="354">
        <v>501</v>
      </c>
      <c r="HO44" s="354">
        <v>500</v>
      </c>
      <c r="HP44" s="354">
        <v>494</v>
      </c>
      <c r="HQ44" s="354">
        <v>486</v>
      </c>
      <c r="HR44" s="354">
        <f>+HQ44</f>
        <v>486</v>
      </c>
      <c r="HT44" s="353" t="s">
        <v>228</v>
      </c>
      <c r="HU44" s="354">
        <v>489</v>
      </c>
      <c r="HV44" s="354">
        <v>484</v>
      </c>
      <c r="HW44" s="354">
        <v>481</v>
      </c>
      <c r="HX44" s="354">
        <f>+HW44</f>
        <v>481</v>
      </c>
      <c r="HY44" s="354">
        <f>+HX44</f>
        <v>481</v>
      </c>
      <c r="IA44" s="353" t="s">
        <v>228</v>
      </c>
      <c r="IB44" s="354">
        <f>+HY44</f>
        <v>481</v>
      </c>
      <c r="IC44" s="354">
        <f>+IB44</f>
        <v>481</v>
      </c>
      <c r="ID44" s="354">
        <f>+IC44</f>
        <v>481</v>
      </c>
      <c r="IE44" s="354">
        <f>+ID44</f>
        <v>481</v>
      </c>
      <c r="IF44" s="354">
        <f>+IE44</f>
        <v>481</v>
      </c>
      <c r="IH44" s="353" t="s">
        <v>228</v>
      </c>
      <c r="II44" s="354">
        <f>+IF44</f>
        <v>481</v>
      </c>
      <c r="IJ44" s="354">
        <f>+II44</f>
        <v>481</v>
      </c>
      <c r="IK44" s="354">
        <f>+IJ44</f>
        <v>481</v>
      </c>
      <c r="IL44" s="354">
        <f>+IK44</f>
        <v>481</v>
      </c>
      <c r="IM44" s="354">
        <f>+IL44</f>
        <v>481</v>
      </c>
      <c r="IO44" s="353" t="s">
        <v>228</v>
      </c>
      <c r="IP44" s="354">
        <f>+IM44</f>
        <v>481</v>
      </c>
      <c r="IQ44" s="354">
        <f>+IP44</f>
        <v>481</v>
      </c>
      <c r="IR44" s="354">
        <f>+IQ44</f>
        <v>481</v>
      </c>
      <c r="IS44" s="354">
        <f>+IR44</f>
        <v>481</v>
      </c>
      <c r="IT44" s="354">
        <f>+IS44</f>
        <v>481</v>
      </c>
    </row>
    <row r="45" spans="1:438" x14ac:dyDescent="0.4">
      <c r="B45" s="318" t="s">
        <v>76</v>
      </c>
      <c r="C45" s="319">
        <f>AY45</f>
        <v>6196</v>
      </c>
      <c r="D45" s="319">
        <f>BF45</f>
        <v>5896</v>
      </c>
      <c r="E45" s="319">
        <f>BM45</f>
        <v>5839</v>
      </c>
      <c r="F45" s="319">
        <f>BT45</f>
        <v>6519</v>
      </c>
      <c r="G45" s="319">
        <f>CA45</f>
        <v>6886</v>
      </c>
      <c r="H45" s="319">
        <f>CH45</f>
        <v>6248</v>
      </c>
      <c r="I45" s="319">
        <f>CO45</f>
        <v>5093</v>
      </c>
      <c r="J45" s="319">
        <f>CV45</f>
        <v>5362</v>
      </c>
      <c r="K45" s="319">
        <f>DC45</f>
        <v>6470</v>
      </c>
      <c r="L45" s="319">
        <f>DJ45</f>
        <v>7512</v>
      </c>
      <c r="M45" s="319">
        <f>DQ45</f>
        <v>7895</v>
      </c>
      <c r="N45" s="319">
        <f>DX45</f>
        <v>8051</v>
      </c>
      <c r="O45" s="319">
        <f>EE45</f>
        <v>8734</v>
      </c>
      <c r="P45" s="319">
        <f>EL45</f>
        <v>9052</v>
      </c>
      <c r="Q45" s="319">
        <f>ES45</f>
        <v>9022</v>
      </c>
      <c r="R45" s="319">
        <f>EZ45</f>
        <v>9514</v>
      </c>
      <c r="S45" s="319">
        <f>FG45</f>
        <v>10683</v>
      </c>
      <c r="T45" s="319">
        <f>FN45</f>
        <v>10962</v>
      </c>
      <c r="U45" s="319">
        <f>FU45</f>
        <v>11790</v>
      </c>
      <c r="V45" s="319">
        <f>GB45</f>
        <v>14739</v>
      </c>
      <c r="W45" s="319">
        <f>GI45</f>
        <v>15993</v>
      </c>
      <c r="X45" s="319">
        <f>GP45</f>
        <v>16304</v>
      </c>
      <c r="Y45" s="319">
        <f>GW45</f>
        <v>16185</v>
      </c>
      <c r="Z45" s="319">
        <f>HD45</f>
        <v>17896</v>
      </c>
      <c r="AA45" s="319">
        <f>HK45</f>
        <v>17975</v>
      </c>
      <c r="AB45" s="319">
        <f>HR45</f>
        <v>17897</v>
      </c>
      <c r="AC45" s="319">
        <f>HY45</f>
        <v>18165</v>
      </c>
      <c r="AD45" s="319">
        <f>IF45</f>
        <v>18765</v>
      </c>
      <c r="AE45" s="319">
        <f>IM45</f>
        <v>19265</v>
      </c>
      <c r="AF45" s="319">
        <f>IT45</f>
        <v>19765</v>
      </c>
      <c r="AG45" s="320"/>
      <c r="AH45" s="320"/>
      <c r="AI45" s="320"/>
      <c r="AJ45" s="320"/>
      <c r="AK45" s="320"/>
      <c r="AL45" s="320"/>
      <c r="AM45" s="320"/>
      <c r="AN45" s="320"/>
      <c r="AO45" s="320"/>
      <c r="AP45" s="320"/>
      <c r="AQ45" s="320"/>
      <c r="AR45" s="320"/>
      <c r="AT45" s="318" t="s">
        <v>76</v>
      </c>
      <c r="AU45" s="319"/>
      <c r="AV45" s="319"/>
      <c r="AW45" s="319"/>
      <c r="AX45" s="319">
        <v>6196</v>
      </c>
      <c r="AY45" s="319">
        <f>AX45</f>
        <v>6196</v>
      </c>
      <c r="BA45" s="318" t="s">
        <v>76</v>
      </c>
      <c r="BB45" s="319">
        <v>6160</v>
      </c>
      <c r="BC45" s="319">
        <v>6296</v>
      </c>
      <c r="BD45" s="319">
        <v>6122</v>
      </c>
      <c r="BE45" s="319">
        <v>5896</v>
      </c>
      <c r="BF45" s="319">
        <f>BE45</f>
        <v>5896</v>
      </c>
      <c r="BH45" s="318" t="s">
        <v>76</v>
      </c>
      <c r="BI45" s="319">
        <v>6212</v>
      </c>
      <c r="BJ45" s="319">
        <v>5770</v>
      </c>
      <c r="BK45" s="319">
        <v>5659</v>
      </c>
      <c r="BL45" s="319">
        <v>5839</v>
      </c>
      <c r="BM45" s="319">
        <f>BL45</f>
        <v>5839</v>
      </c>
      <c r="BO45" s="318" t="s">
        <v>76</v>
      </c>
      <c r="BP45" s="319">
        <v>6361</v>
      </c>
      <c r="BQ45" s="319">
        <v>6338</v>
      </c>
      <c r="BR45" s="319">
        <v>6434</v>
      </c>
      <c r="BS45" s="319">
        <v>6519</v>
      </c>
      <c r="BT45" s="319">
        <f>BS45</f>
        <v>6519</v>
      </c>
      <c r="BV45" s="318" t="s">
        <v>76</v>
      </c>
      <c r="BW45" s="319">
        <v>6527</v>
      </c>
      <c r="BX45" s="319">
        <v>6204</v>
      </c>
      <c r="BY45" s="319">
        <v>6480</v>
      </c>
      <c r="BZ45" s="319">
        <v>6886</v>
      </c>
      <c r="CA45" s="319">
        <f>BZ45</f>
        <v>6886</v>
      </c>
      <c r="CC45" s="318" t="s">
        <v>76</v>
      </c>
      <c r="CD45" s="319">
        <v>6970</v>
      </c>
      <c r="CE45" s="319">
        <v>6901</v>
      </c>
      <c r="CF45" s="319">
        <v>7096</v>
      </c>
      <c r="CG45" s="319">
        <v>6248</v>
      </c>
      <c r="CH45" s="319">
        <f>CG45</f>
        <v>6248</v>
      </c>
      <c r="CJ45" s="318" t="s">
        <v>76</v>
      </c>
      <c r="CK45" s="319">
        <v>6208</v>
      </c>
      <c r="CL45" s="319">
        <v>5399</v>
      </c>
      <c r="CM45" s="319">
        <v>5058</v>
      </c>
      <c r="CN45" s="319">
        <v>5093</v>
      </c>
      <c r="CO45" s="319">
        <f>CN45</f>
        <v>5093</v>
      </c>
      <c r="CQ45" s="318" t="s">
        <v>76</v>
      </c>
      <c r="CR45" s="319">
        <v>5045</v>
      </c>
      <c r="CS45" s="319">
        <v>4567</v>
      </c>
      <c r="CT45" s="319">
        <v>4937</v>
      </c>
      <c r="CU45" s="319">
        <v>5362</v>
      </c>
      <c r="CV45" s="319">
        <f>CU45</f>
        <v>5362</v>
      </c>
      <c r="CX45" s="318" t="s">
        <v>76</v>
      </c>
      <c r="CY45" s="319">
        <v>5182</v>
      </c>
      <c r="CZ45" s="319">
        <v>5751</v>
      </c>
      <c r="DA45" s="319">
        <v>6678</v>
      </c>
      <c r="DB45" s="319">
        <v>6470</v>
      </c>
      <c r="DC45" s="319">
        <f>DB45</f>
        <v>6470</v>
      </c>
      <c r="DE45" s="318" t="s">
        <v>76</v>
      </c>
      <c r="DF45" s="319">
        <v>7440</v>
      </c>
      <c r="DG45" s="319">
        <v>7396</v>
      </c>
      <c r="DH45" s="319">
        <v>7367</v>
      </c>
      <c r="DI45" s="319">
        <v>7512</v>
      </c>
      <c r="DJ45" s="319">
        <f>DI45</f>
        <v>7512</v>
      </c>
      <c r="DL45" s="318" t="s">
        <v>76</v>
      </c>
      <c r="DM45" s="319">
        <v>7995</v>
      </c>
      <c r="DN45" s="319">
        <v>7933</v>
      </c>
      <c r="DO45" s="319">
        <v>7906</v>
      </c>
      <c r="DP45" s="319">
        <v>7895</v>
      </c>
      <c r="DQ45" s="319">
        <f>DP45</f>
        <v>7895</v>
      </c>
      <c r="DS45" s="318" t="s">
        <v>76</v>
      </c>
      <c r="DT45" s="319">
        <v>7372</v>
      </c>
      <c r="DU45" s="319">
        <v>7320</v>
      </c>
      <c r="DV45" s="319">
        <v>7297</v>
      </c>
      <c r="DW45" s="319">
        <v>8051</v>
      </c>
      <c r="DX45" s="319">
        <f>DW45</f>
        <v>8051</v>
      </c>
      <c r="DZ45" s="318" t="s">
        <v>76</v>
      </c>
      <c r="EA45" s="319">
        <v>7637</v>
      </c>
      <c r="EB45" s="319">
        <v>8186</v>
      </c>
      <c r="EC45" s="319">
        <v>8160</v>
      </c>
      <c r="ED45" s="319">
        <v>8734</v>
      </c>
      <c r="EE45" s="319">
        <f>ED45</f>
        <v>8734</v>
      </c>
      <c r="EG45" s="318" t="s">
        <v>76</v>
      </c>
      <c r="EH45" s="319">
        <v>8623</v>
      </c>
      <c r="EI45" s="319">
        <v>8581</v>
      </c>
      <c r="EJ45" s="319">
        <v>8257</v>
      </c>
      <c r="EK45" s="319">
        <v>9052</v>
      </c>
      <c r="EL45" s="319">
        <f>EK45</f>
        <v>9052</v>
      </c>
      <c r="EN45" s="318" t="s">
        <v>76</v>
      </c>
      <c r="EO45" s="319">
        <v>8846</v>
      </c>
      <c r="EP45" s="319">
        <v>8811</v>
      </c>
      <c r="EQ45" s="319">
        <v>8787</v>
      </c>
      <c r="ER45" s="319">
        <v>9022</v>
      </c>
      <c r="ES45" s="319">
        <f>ER45</f>
        <v>9022</v>
      </c>
      <c r="EU45" s="318" t="s">
        <v>76</v>
      </c>
      <c r="EV45" s="319">
        <v>9021</v>
      </c>
      <c r="EW45" s="319">
        <v>8410</v>
      </c>
      <c r="EX45" s="319">
        <v>9387</v>
      </c>
      <c r="EY45" s="319">
        <v>9514</v>
      </c>
      <c r="EZ45" s="319">
        <f>EY45</f>
        <v>9514</v>
      </c>
      <c r="FB45" s="318" t="s">
        <v>76</v>
      </c>
      <c r="FC45" s="319">
        <v>9513</v>
      </c>
      <c r="FD45" s="319">
        <v>10107</v>
      </c>
      <c r="FE45" s="319">
        <v>10088</v>
      </c>
      <c r="FF45" s="319">
        <v>10683</v>
      </c>
      <c r="FG45" s="319">
        <f>FF45</f>
        <v>10683</v>
      </c>
      <c r="FI45" s="318" t="s">
        <v>76</v>
      </c>
      <c r="FJ45" s="319">
        <v>10516</v>
      </c>
      <c r="FK45" s="319">
        <v>9905</v>
      </c>
      <c r="FL45" s="319">
        <v>9888</v>
      </c>
      <c r="FM45" s="319">
        <v>10962</v>
      </c>
      <c r="FN45" s="319">
        <f>FM45</f>
        <v>10962</v>
      </c>
      <c r="FP45" s="318" t="s">
        <v>76</v>
      </c>
      <c r="FQ45" s="319">
        <v>10963</v>
      </c>
      <c r="FR45" s="319">
        <v>11806</v>
      </c>
      <c r="FS45" s="319">
        <v>11788</v>
      </c>
      <c r="FT45" s="319">
        <v>11790</v>
      </c>
      <c r="FU45" s="319">
        <f>FT45</f>
        <v>11790</v>
      </c>
      <c r="FW45" s="318" t="s">
        <v>76</v>
      </c>
      <c r="FX45" s="319">
        <v>13768</v>
      </c>
      <c r="FY45" s="319">
        <v>13769</v>
      </c>
      <c r="FZ45" s="319">
        <v>13754</v>
      </c>
      <c r="GA45" s="319">
        <v>14739</v>
      </c>
      <c r="GB45" s="319">
        <f>GA45</f>
        <v>14739</v>
      </c>
      <c r="GD45" s="318" t="s">
        <v>76</v>
      </c>
      <c r="GE45" s="319">
        <v>15748</v>
      </c>
      <c r="GF45" s="319">
        <v>15522</v>
      </c>
      <c r="GG45" s="319">
        <v>15992</v>
      </c>
      <c r="GH45" s="319">
        <v>15993</v>
      </c>
      <c r="GI45" s="319">
        <f>GH45</f>
        <v>15993</v>
      </c>
      <c r="GK45" s="318" t="s">
        <v>76</v>
      </c>
      <c r="GL45" s="319">
        <v>16477</v>
      </c>
      <c r="GM45" s="319">
        <v>16128</v>
      </c>
      <c r="GN45" s="319">
        <v>16121</v>
      </c>
      <c r="GO45" s="319">
        <v>16304</v>
      </c>
      <c r="GP45" s="319">
        <f>+GO45</f>
        <v>16304</v>
      </c>
      <c r="GR45" s="318" t="s">
        <v>76</v>
      </c>
      <c r="GS45" s="319">
        <v>16306</v>
      </c>
      <c r="GT45" s="319">
        <v>16229</v>
      </c>
      <c r="GU45" s="319">
        <v>16182</v>
      </c>
      <c r="GV45" s="319">
        <v>16185</v>
      </c>
      <c r="GW45" s="319">
        <f>+GV45</f>
        <v>16185</v>
      </c>
      <c r="GY45" s="318" t="s">
        <v>76</v>
      </c>
      <c r="GZ45" s="319">
        <v>16019</v>
      </c>
      <c r="HA45" s="319">
        <v>15974</v>
      </c>
      <c r="HB45" s="319">
        <v>17895</v>
      </c>
      <c r="HC45" s="319">
        <v>17896</v>
      </c>
      <c r="HD45" s="319">
        <f>+HC45</f>
        <v>17896</v>
      </c>
      <c r="HF45" s="318" t="s">
        <v>76</v>
      </c>
      <c r="HG45" s="319">
        <v>17911</v>
      </c>
      <c r="HH45" s="319">
        <v>17898</v>
      </c>
      <c r="HI45" s="319">
        <v>17903</v>
      </c>
      <c r="HJ45" s="319">
        <v>17975</v>
      </c>
      <c r="HK45" s="319">
        <f>+HJ45</f>
        <v>17975</v>
      </c>
      <c r="HM45" s="318" t="s">
        <v>76</v>
      </c>
      <c r="HN45" s="319">
        <v>17944</v>
      </c>
      <c r="HO45" s="319">
        <v>17951</v>
      </c>
      <c r="HP45" s="319">
        <v>18535</v>
      </c>
      <c r="HQ45" s="319">
        <v>17897</v>
      </c>
      <c r="HR45" s="319">
        <f>+HQ45</f>
        <v>17897</v>
      </c>
      <c r="HT45" s="318" t="s">
        <v>76</v>
      </c>
      <c r="HU45" s="319">
        <v>18521</v>
      </c>
      <c r="HV45" s="319">
        <v>18550</v>
      </c>
      <c r="HW45" s="319">
        <v>18554</v>
      </c>
      <c r="HX45" s="319">
        <v>18165</v>
      </c>
      <c r="HY45" s="319">
        <f>+HX45</f>
        <v>18165</v>
      </c>
      <c r="IA45" s="318" t="s">
        <v>76</v>
      </c>
      <c r="IB45" s="319">
        <f>+CF!GH141</f>
        <v>18315</v>
      </c>
      <c r="IC45" s="319">
        <f>+CF!GI141</f>
        <v>18465</v>
      </c>
      <c r="ID45" s="319">
        <f>+CF!GJ141</f>
        <v>18615</v>
      </c>
      <c r="IE45" s="319">
        <f>+CF!GK141</f>
        <v>18765</v>
      </c>
      <c r="IF45" s="319">
        <f>+IE45</f>
        <v>18765</v>
      </c>
      <c r="IH45" s="318" t="s">
        <v>76</v>
      </c>
      <c r="II45" s="319">
        <f>+CF!GO141</f>
        <v>18890</v>
      </c>
      <c r="IJ45" s="319">
        <f>+CF!GP141</f>
        <v>19015</v>
      </c>
      <c r="IK45" s="319">
        <f>+CF!GQ141</f>
        <v>19140</v>
      </c>
      <c r="IL45" s="319">
        <f>+CF!GR141</f>
        <v>19265</v>
      </c>
      <c r="IM45" s="319">
        <f>+IL45</f>
        <v>19265</v>
      </c>
      <c r="IO45" s="318" t="s">
        <v>76</v>
      </c>
      <c r="IP45" s="319">
        <f>+CF!GV141</f>
        <v>19390</v>
      </c>
      <c r="IQ45" s="319">
        <f>+CF!GW141</f>
        <v>19515</v>
      </c>
      <c r="IR45" s="319">
        <f>+CF!GX141</f>
        <v>19640</v>
      </c>
      <c r="IS45" s="319">
        <f>+CF!GY141</f>
        <v>19765</v>
      </c>
      <c r="IT45" s="319">
        <f>+IS45</f>
        <v>19765</v>
      </c>
    </row>
    <row r="46" spans="1:438" x14ac:dyDescent="0.4">
      <c r="B46" s="318" t="s">
        <v>75</v>
      </c>
      <c r="C46" s="319">
        <f>AY46</f>
        <v>3227</v>
      </c>
      <c r="D46" s="319">
        <f>BF46</f>
        <v>3384</v>
      </c>
      <c r="E46" s="319">
        <f>BM46</f>
        <v>3621</v>
      </c>
      <c r="F46" s="319">
        <f>BT46</f>
        <v>3567</v>
      </c>
      <c r="G46" s="319">
        <f>CA46</f>
        <v>3707</v>
      </c>
      <c r="H46" s="319">
        <f>CH46</f>
        <v>5979</v>
      </c>
      <c r="I46" s="319">
        <f>CO46</f>
        <v>6082</v>
      </c>
      <c r="J46" s="319">
        <f>CV46</f>
        <v>6110</v>
      </c>
      <c r="K46" s="319">
        <f>DC46</f>
        <v>6096</v>
      </c>
      <c r="L46" s="319">
        <f>DJ46</f>
        <v>6235</v>
      </c>
      <c r="M46" s="319">
        <f>DQ46</f>
        <v>6585</v>
      </c>
      <c r="N46" s="319">
        <f>DX46</f>
        <v>7053</v>
      </c>
      <c r="O46" s="319">
        <f>EE46</f>
        <v>7601</v>
      </c>
      <c r="P46" s="319">
        <f>EL46</f>
        <v>8096</v>
      </c>
      <c r="Q46" s="319">
        <f>ES46</f>
        <v>8662</v>
      </c>
      <c r="R46" s="319">
        <f>EZ46</f>
        <v>8858</v>
      </c>
      <c r="S46" s="319">
        <f>FG46</f>
        <v>9305</v>
      </c>
      <c r="T46" s="319">
        <f>FN46</f>
        <v>9596</v>
      </c>
      <c r="U46" s="319">
        <f>FU46</f>
        <v>6418</v>
      </c>
      <c r="V46" s="319">
        <f>GB46</f>
        <v>6690</v>
      </c>
      <c r="W46" s="319">
        <f>GI46</f>
        <v>6961</v>
      </c>
      <c r="X46" s="319">
        <f>GP46</f>
        <v>7168</v>
      </c>
      <c r="Y46" s="319">
        <f>GW46</f>
        <v>7383</v>
      </c>
      <c r="Z46" s="319">
        <f>HD46</f>
        <v>7520</v>
      </c>
      <c r="AA46" s="319">
        <f>HK46</f>
        <v>7699</v>
      </c>
      <c r="AB46" s="319">
        <f>HR46</f>
        <v>7725</v>
      </c>
      <c r="AC46" s="319">
        <f>HY46</f>
        <v>7914</v>
      </c>
      <c r="AD46" s="319">
        <f>IF46</f>
        <v>7464.8195666250003</v>
      </c>
      <c r="AE46" s="319">
        <f>IM46</f>
        <v>7818.1665179948732</v>
      </c>
      <c r="AF46" s="319">
        <f>IT46</f>
        <v>8162.0482553481097</v>
      </c>
      <c r="AG46" s="320"/>
      <c r="AH46" s="320"/>
      <c r="AI46" s="320"/>
      <c r="AJ46" s="320"/>
      <c r="AK46" s="320"/>
      <c r="AL46" s="320"/>
      <c r="AM46" s="320"/>
      <c r="AN46" s="320"/>
      <c r="AO46" s="320"/>
      <c r="AP46" s="320"/>
      <c r="AQ46" s="320"/>
      <c r="AR46" s="320"/>
      <c r="AT46" s="318" t="s">
        <v>75</v>
      </c>
      <c r="AU46" s="319"/>
      <c r="AV46" s="319"/>
      <c r="AW46" s="319"/>
      <c r="AX46" s="319">
        <v>3227</v>
      </c>
      <c r="AY46" s="319">
        <f>AX46</f>
        <v>3227</v>
      </c>
      <c r="BA46" s="318" t="s">
        <v>75</v>
      </c>
      <c r="BB46" s="319">
        <v>3228</v>
      </c>
      <c r="BC46" s="319">
        <v>3251</v>
      </c>
      <c r="BD46" s="319">
        <v>3311</v>
      </c>
      <c r="BE46" s="319">
        <v>3384</v>
      </c>
      <c r="BF46" s="319">
        <f>BE46</f>
        <v>3384</v>
      </c>
      <c r="BH46" s="318" t="s">
        <v>75</v>
      </c>
      <c r="BI46" s="319">
        <v>3391</v>
      </c>
      <c r="BJ46" s="319">
        <v>3411</v>
      </c>
      <c r="BK46" s="319">
        <v>3482</v>
      </c>
      <c r="BL46" s="319">
        <v>3621</v>
      </c>
      <c r="BM46" s="319">
        <f>BL46</f>
        <v>3621</v>
      </c>
      <c r="BO46" s="318" t="s">
        <v>75</v>
      </c>
      <c r="BP46" s="319">
        <v>3575</v>
      </c>
      <c r="BQ46" s="319">
        <v>3598</v>
      </c>
      <c r="BR46" s="319">
        <v>3650</v>
      </c>
      <c r="BS46" s="319">
        <v>3567</v>
      </c>
      <c r="BT46" s="319">
        <f>BS46</f>
        <v>3567</v>
      </c>
      <c r="BV46" s="318" t="s">
        <v>75</v>
      </c>
      <c r="BW46" s="319">
        <v>3630</v>
      </c>
      <c r="BX46" s="319">
        <v>3715</v>
      </c>
      <c r="BY46" s="319">
        <v>3630</v>
      </c>
      <c r="BZ46" s="319">
        <v>3707</v>
      </c>
      <c r="CA46" s="319">
        <f>BZ46</f>
        <v>3707</v>
      </c>
      <c r="CC46" s="318" t="s">
        <v>75</v>
      </c>
      <c r="CD46" s="319">
        <v>3780</v>
      </c>
      <c r="CE46" s="319">
        <v>3881</v>
      </c>
      <c r="CF46" s="319">
        <v>6051</v>
      </c>
      <c r="CG46" s="319">
        <v>5979</v>
      </c>
      <c r="CH46" s="319">
        <f>CG46</f>
        <v>5979</v>
      </c>
      <c r="CJ46" s="318" t="s">
        <v>75</v>
      </c>
      <c r="CK46" s="319">
        <v>6080</v>
      </c>
      <c r="CL46" s="319">
        <v>6006</v>
      </c>
      <c r="CM46" s="319">
        <v>6011</v>
      </c>
      <c r="CN46" s="319">
        <v>6082</v>
      </c>
      <c r="CO46" s="319">
        <f>CN46</f>
        <v>6082</v>
      </c>
      <c r="CQ46" s="318" t="s">
        <v>75</v>
      </c>
      <c r="CR46" s="319">
        <v>6081</v>
      </c>
      <c r="CS46" s="319">
        <v>6079</v>
      </c>
      <c r="CT46" s="319">
        <v>6139</v>
      </c>
      <c r="CU46" s="319">
        <v>6110</v>
      </c>
      <c r="CV46" s="319">
        <f>CU46</f>
        <v>6110</v>
      </c>
      <c r="CX46" s="318" t="s">
        <v>75</v>
      </c>
      <c r="CY46" s="319">
        <v>5828</v>
      </c>
      <c r="CZ46" s="319">
        <v>5832</v>
      </c>
      <c r="DA46" s="319">
        <v>5931</v>
      </c>
      <c r="DB46" s="319">
        <v>6096</v>
      </c>
      <c r="DC46" s="319">
        <f>DB46</f>
        <v>6096</v>
      </c>
      <c r="DE46" s="318" t="s">
        <v>75</v>
      </c>
      <c r="DF46" s="319">
        <v>6179</v>
      </c>
      <c r="DG46" s="319">
        <v>6263</v>
      </c>
      <c r="DH46" s="319">
        <v>6383</v>
      </c>
      <c r="DI46" s="319">
        <v>6235</v>
      </c>
      <c r="DJ46" s="319">
        <f>DI46</f>
        <v>6235</v>
      </c>
      <c r="DL46" s="318" t="s">
        <v>75</v>
      </c>
      <c r="DM46" s="319">
        <v>6266</v>
      </c>
      <c r="DN46" s="319">
        <v>6417</v>
      </c>
      <c r="DO46" s="319">
        <v>6551</v>
      </c>
      <c r="DP46" s="319">
        <v>6585</v>
      </c>
      <c r="DQ46" s="319">
        <f>DP46</f>
        <v>6585</v>
      </c>
      <c r="DS46" s="318" t="s">
        <v>75</v>
      </c>
      <c r="DT46" s="319">
        <v>6668</v>
      </c>
      <c r="DU46" s="319">
        <v>6650</v>
      </c>
      <c r="DV46" s="319">
        <v>6732</v>
      </c>
      <c r="DW46" s="319">
        <v>7053</v>
      </c>
      <c r="DX46" s="319">
        <f>DW46</f>
        <v>7053</v>
      </c>
      <c r="DZ46" s="318" t="s">
        <v>75</v>
      </c>
      <c r="EA46" s="319">
        <v>7182</v>
      </c>
      <c r="EB46" s="319">
        <v>7340</v>
      </c>
      <c r="EC46" s="319">
        <v>7535</v>
      </c>
      <c r="ED46" s="319">
        <v>7601</v>
      </c>
      <c r="EE46" s="319">
        <f>ED46</f>
        <v>7601</v>
      </c>
      <c r="EG46" s="318" t="s">
        <v>75</v>
      </c>
      <c r="EH46" s="319">
        <v>7799</v>
      </c>
      <c r="EI46" s="319">
        <v>7896</v>
      </c>
      <c r="EJ46" s="319">
        <v>8018</v>
      </c>
      <c r="EK46" s="319">
        <v>8096</v>
      </c>
      <c r="EL46" s="319">
        <f>EK46</f>
        <v>8096</v>
      </c>
      <c r="EN46" s="318" t="s">
        <v>75</v>
      </c>
      <c r="EO46" s="319">
        <v>8202</v>
      </c>
      <c r="EP46" s="319">
        <v>8313</v>
      </c>
      <c r="EQ46" s="319">
        <v>8387</v>
      </c>
      <c r="ER46" s="319">
        <v>8662</v>
      </c>
      <c r="ES46" s="319">
        <f>ER46</f>
        <v>8662</v>
      </c>
      <c r="EU46" s="318" t="s">
        <v>75</v>
      </c>
      <c r="EV46" s="319">
        <v>8658</v>
      </c>
      <c r="EW46" s="319">
        <v>8728</v>
      </c>
      <c r="EX46" s="319">
        <v>8742</v>
      </c>
      <c r="EY46" s="319">
        <v>8858</v>
      </c>
      <c r="EZ46" s="319">
        <f>EY46</f>
        <v>8858</v>
      </c>
      <c r="FB46" s="318" t="s">
        <v>75</v>
      </c>
      <c r="FC46" s="319">
        <v>8886</v>
      </c>
      <c r="FD46" s="319">
        <v>8897</v>
      </c>
      <c r="FE46" s="319">
        <v>8957</v>
      </c>
      <c r="FF46" s="319">
        <v>9305</v>
      </c>
      <c r="FG46" s="319">
        <f>FF46</f>
        <v>9305</v>
      </c>
      <c r="FI46" s="318" t="s">
        <v>75</v>
      </c>
      <c r="FJ46" s="319">
        <v>9396</v>
      </c>
      <c r="FK46" s="319">
        <v>9355</v>
      </c>
      <c r="FL46" s="319">
        <v>9505</v>
      </c>
      <c r="FM46" s="319">
        <v>9596</v>
      </c>
      <c r="FN46" s="319">
        <f>FM46</f>
        <v>9596</v>
      </c>
      <c r="FP46" s="318" t="s">
        <v>75</v>
      </c>
      <c r="FQ46" s="319">
        <v>9648</v>
      </c>
      <c r="FR46" s="319">
        <v>9737</v>
      </c>
      <c r="FS46" s="319">
        <v>9789</v>
      </c>
      <c r="FT46" s="319">
        <v>6418</v>
      </c>
      <c r="FU46" s="319">
        <f>FT46</f>
        <v>6418</v>
      </c>
      <c r="FW46" s="318" t="s">
        <v>75</v>
      </c>
      <c r="FX46" s="319">
        <v>6485</v>
      </c>
      <c r="FY46" s="319">
        <v>6532</v>
      </c>
      <c r="FZ46" s="319">
        <v>6584</v>
      </c>
      <c r="GA46" s="319">
        <v>6690</v>
      </c>
      <c r="GB46" s="319">
        <f>GA46</f>
        <v>6690</v>
      </c>
      <c r="GD46" s="318" t="s">
        <v>75</v>
      </c>
      <c r="GE46" s="319">
        <v>6743</v>
      </c>
      <c r="GF46" s="319">
        <v>6791</v>
      </c>
      <c r="GG46" s="319">
        <v>6882</v>
      </c>
      <c r="GH46" s="319">
        <v>6961</v>
      </c>
      <c r="GI46" s="319">
        <f>GH46</f>
        <v>6961</v>
      </c>
      <c r="GK46" s="318" t="s">
        <v>75</v>
      </c>
      <c r="GL46" s="319">
        <v>6991</v>
      </c>
      <c r="GM46" s="319">
        <v>7028</v>
      </c>
      <c r="GN46" s="319">
        <v>7087</v>
      </c>
      <c r="GO46" s="319">
        <v>7168</v>
      </c>
      <c r="GP46" s="319">
        <f>+GO46</f>
        <v>7168</v>
      </c>
      <c r="GR46" s="318" t="s">
        <v>75</v>
      </c>
      <c r="GS46" s="319">
        <v>7226</v>
      </c>
      <c r="GT46" s="319">
        <v>7248</v>
      </c>
      <c r="GU46" s="319">
        <v>7298</v>
      </c>
      <c r="GV46" s="319">
        <v>7383</v>
      </c>
      <c r="GW46" s="319">
        <f>+GV46</f>
        <v>7383</v>
      </c>
      <c r="GY46" s="318" t="s">
        <v>75</v>
      </c>
      <c r="GZ46" s="319">
        <v>7428</v>
      </c>
      <c r="HA46" s="319">
        <v>7592</v>
      </c>
      <c r="HB46" s="319">
        <v>7632</v>
      </c>
      <c r="HC46" s="319">
        <v>7520</v>
      </c>
      <c r="HD46" s="319">
        <f>+HC46</f>
        <v>7520</v>
      </c>
      <c r="HF46" s="318" t="s">
        <v>75</v>
      </c>
      <c r="HG46" s="319">
        <v>7552</v>
      </c>
      <c r="HH46" s="319">
        <v>7605</v>
      </c>
      <c r="HI46" s="319">
        <v>7637</v>
      </c>
      <c r="HJ46" s="319">
        <v>7699</v>
      </c>
      <c r="HK46" s="319">
        <f>+HJ46</f>
        <v>7699</v>
      </c>
      <c r="HM46" s="318" t="s">
        <v>75</v>
      </c>
      <c r="HN46" s="319">
        <v>7708</v>
      </c>
      <c r="HO46" s="319">
        <v>7716</v>
      </c>
      <c r="HP46" s="319">
        <v>7721</v>
      </c>
      <c r="HQ46" s="319">
        <v>7725</v>
      </c>
      <c r="HR46" s="319">
        <f>+HQ46</f>
        <v>7725</v>
      </c>
      <c r="HT46" s="318" t="s">
        <v>75</v>
      </c>
      <c r="HU46" s="319">
        <v>7739</v>
      </c>
      <c r="HV46" s="319">
        <v>7718</v>
      </c>
      <c r="HW46" s="319">
        <v>7709</v>
      </c>
      <c r="HX46" s="319">
        <v>7914</v>
      </c>
      <c r="HY46" s="319">
        <f>+HX46</f>
        <v>7914</v>
      </c>
      <c r="IA46" s="318" t="s">
        <v>75</v>
      </c>
      <c r="IB46" s="319">
        <f>+CF!GH115</f>
        <v>7347.5050609999998</v>
      </c>
      <c r="IC46" s="319">
        <f>+CF!GI115</f>
        <v>7308.7292852500004</v>
      </c>
      <c r="ID46" s="319">
        <f>+CF!GJ115</f>
        <v>7368.9503725000004</v>
      </c>
      <c r="IE46" s="319">
        <f>+CF!GK115</f>
        <v>7464.8195666250003</v>
      </c>
      <c r="IF46" s="319">
        <f>+IE46</f>
        <v>7464.8195666250003</v>
      </c>
      <c r="IH46" s="318" t="s">
        <v>75</v>
      </c>
      <c r="II46" s="319">
        <f>+CF!GO115</f>
        <v>7624.3505944234685</v>
      </c>
      <c r="IJ46" s="319">
        <f>+CF!GP115</f>
        <v>7640.1669916110386</v>
      </c>
      <c r="IK46" s="319">
        <f>+CF!GQ115</f>
        <v>7728.7867715983193</v>
      </c>
      <c r="IL46" s="319">
        <f>+CF!GR115</f>
        <v>7818.1665179948732</v>
      </c>
      <c r="IM46" s="319">
        <f>+IL46</f>
        <v>7818.1665179948732</v>
      </c>
      <c r="IO46" s="318" t="s">
        <v>75</v>
      </c>
      <c r="IP46" s="319">
        <f>+CF!GV115</f>
        <v>7978.6956775508252</v>
      </c>
      <c r="IQ46" s="319">
        <f>+CF!GW115</f>
        <v>7988.6478302506557</v>
      </c>
      <c r="IR46" s="319">
        <f>+CF!GX115</f>
        <v>8076.2471753880318</v>
      </c>
      <c r="IS46" s="319">
        <f>+CF!GY115</f>
        <v>8162.0482553481097</v>
      </c>
      <c r="IT46" s="319">
        <f>+IS46</f>
        <v>8162.0482553481097</v>
      </c>
    </row>
    <row r="47" spans="1:438" x14ac:dyDescent="0.4">
      <c r="A47" s="137"/>
      <c r="B47" s="82"/>
      <c r="C47" s="80"/>
      <c r="D47" s="80"/>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78"/>
      <c r="AH47" s="78"/>
      <c r="AI47" s="78"/>
      <c r="AJ47" s="78"/>
      <c r="AK47" s="78"/>
      <c r="AL47" s="78"/>
      <c r="AM47" s="78"/>
      <c r="AN47" s="78"/>
      <c r="AO47" s="78"/>
      <c r="AP47" s="78"/>
      <c r="AQ47" s="78"/>
      <c r="AR47" s="78"/>
      <c r="AT47" s="82"/>
      <c r="AU47" s="80"/>
      <c r="AV47" s="80"/>
      <c r="AW47" s="80"/>
      <c r="AX47" s="80"/>
      <c r="AY47" s="80"/>
      <c r="BA47" s="82"/>
      <c r="BB47" s="80"/>
      <c r="BC47" s="80"/>
      <c r="BD47" s="80"/>
      <c r="BE47" s="80"/>
      <c r="BF47" s="80"/>
      <c r="BH47" s="82"/>
      <c r="BI47" s="80"/>
      <c r="BJ47" s="80"/>
      <c r="BK47" s="80"/>
      <c r="BL47" s="80"/>
      <c r="BM47" s="80"/>
      <c r="BO47" s="82"/>
      <c r="BP47" s="80"/>
      <c r="BQ47" s="80"/>
      <c r="BR47" s="80"/>
      <c r="BS47" s="80"/>
      <c r="BT47" s="80"/>
      <c r="BV47" s="82"/>
      <c r="BW47" s="80"/>
      <c r="BX47" s="80"/>
      <c r="BY47" s="80"/>
      <c r="BZ47" s="80"/>
      <c r="CA47" s="80"/>
      <c r="CC47" s="82"/>
      <c r="CD47" s="80"/>
      <c r="CE47" s="80"/>
      <c r="CF47" s="80"/>
      <c r="CG47" s="80"/>
      <c r="CH47" s="80"/>
      <c r="CJ47" s="82"/>
      <c r="CK47" s="80"/>
      <c r="CL47" s="80"/>
      <c r="CM47" s="80"/>
      <c r="CN47" s="80"/>
      <c r="CO47" s="80"/>
      <c r="CQ47" s="82"/>
      <c r="CR47" s="80"/>
      <c r="CS47" s="80"/>
      <c r="CT47" s="80"/>
      <c r="CU47" s="80"/>
      <c r="CV47" s="80"/>
      <c r="CX47" s="82"/>
      <c r="CY47" s="80"/>
      <c r="CZ47" s="80"/>
      <c r="DA47" s="80"/>
      <c r="DB47" s="80"/>
      <c r="DC47" s="80"/>
      <c r="DE47" s="82"/>
      <c r="DF47" s="80"/>
      <c r="DG47" s="80"/>
      <c r="DH47" s="80"/>
      <c r="DI47" s="80"/>
      <c r="DJ47" s="80"/>
      <c r="DL47" s="82"/>
      <c r="DM47" s="80"/>
      <c r="DN47" s="80"/>
      <c r="DO47" s="80"/>
      <c r="DP47" s="80"/>
      <c r="DQ47" s="80"/>
      <c r="DS47" s="82"/>
      <c r="DT47" s="80"/>
      <c r="DU47" s="80"/>
      <c r="DV47" s="80"/>
      <c r="DW47" s="80"/>
      <c r="DX47" s="80"/>
      <c r="DZ47" s="82"/>
      <c r="EA47" s="80"/>
      <c r="EB47" s="80"/>
      <c r="EC47" s="80"/>
      <c r="ED47" s="80"/>
      <c r="EE47" s="80"/>
      <c r="EG47" s="82"/>
      <c r="EH47" s="80"/>
      <c r="EI47" s="80"/>
      <c r="EJ47" s="80"/>
      <c r="EK47" s="80"/>
      <c r="EL47" s="80"/>
      <c r="EN47" s="82"/>
      <c r="EO47" s="80"/>
      <c r="EP47" s="80"/>
      <c r="EQ47" s="80"/>
      <c r="ER47" s="80"/>
      <c r="ES47" s="80"/>
      <c r="EU47" s="82"/>
      <c r="EV47" s="80"/>
      <c r="EW47" s="80"/>
      <c r="EX47" s="80"/>
      <c r="EY47" s="80"/>
      <c r="EZ47" s="80"/>
      <c r="FB47" s="82"/>
      <c r="FC47" s="80"/>
      <c r="FD47" s="80"/>
      <c r="FE47" s="80"/>
      <c r="FF47" s="80"/>
      <c r="FG47" s="80"/>
      <c r="FI47" s="82"/>
      <c r="FJ47" s="80"/>
      <c r="FK47" s="80"/>
      <c r="FL47" s="80"/>
      <c r="FM47" s="80"/>
      <c r="FN47" s="80"/>
      <c r="FP47" s="82"/>
      <c r="FQ47" s="80"/>
      <c r="FR47" s="80"/>
      <c r="FS47" s="80"/>
      <c r="FT47" s="80"/>
      <c r="FU47" s="80"/>
      <c r="FW47" s="82"/>
      <c r="FX47" s="80"/>
      <c r="FY47" s="80"/>
      <c r="FZ47" s="80"/>
      <c r="GA47" s="80"/>
      <c r="GB47" s="80"/>
      <c r="GD47" s="82"/>
      <c r="GE47" s="80"/>
      <c r="GF47" s="80"/>
      <c r="GG47" s="80"/>
      <c r="GH47" s="80"/>
      <c r="GI47" s="80"/>
      <c r="GK47" s="82"/>
      <c r="GL47" s="80"/>
      <c r="GM47" s="80"/>
      <c r="GN47" s="80"/>
      <c r="GO47" s="80"/>
      <c r="GP47" s="80"/>
      <c r="GR47" s="82"/>
      <c r="GS47" s="80"/>
      <c r="GT47" s="80"/>
      <c r="GU47" s="80"/>
      <c r="GV47" s="80"/>
      <c r="GW47" s="80"/>
      <c r="GY47" s="82"/>
      <c r="GZ47" s="80"/>
      <c r="HA47" s="80"/>
      <c r="HB47" s="80"/>
      <c r="HC47" s="80"/>
      <c r="HD47" s="80"/>
      <c r="HF47" s="82"/>
      <c r="HG47" s="80"/>
      <c r="HH47" s="80"/>
      <c r="HI47" s="80"/>
      <c r="HJ47" s="80"/>
      <c r="HK47" s="80"/>
      <c r="HM47" s="82"/>
      <c r="HN47" s="80"/>
      <c r="HO47" s="80"/>
      <c r="HP47" s="80"/>
      <c r="HQ47" s="80"/>
      <c r="HR47" s="80"/>
      <c r="HT47" s="82"/>
      <c r="HU47" s="80"/>
      <c r="HV47" s="80"/>
      <c r="HW47" s="80"/>
      <c r="HX47" s="80"/>
      <c r="HY47" s="80"/>
      <c r="IA47" s="82"/>
      <c r="IB47" s="80"/>
      <c r="IC47" s="80"/>
      <c r="ID47" s="80"/>
      <c r="IE47" s="80"/>
      <c r="IF47" s="80"/>
      <c r="IH47" s="82"/>
      <c r="II47" s="80"/>
      <c r="IJ47" s="80"/>
      <c r="IK47" s="80"/>
      <c r="IL47" s="80"/>
      <c r="IM47" s="80"/>
      <c r="IO47" s="82"/>
      <c r="IP47" s="80"/>
      <c r="IQ47" s="80"/>
      <c r="IR47" s="80"/>
      <c r="IS47" s="80"/>
      <c r="IT47" s="80"/>
    </row>
    <row r="48" spans="1:438" s="336" customFormat="1" ht="15" customHeight="1" thickBot="1" x14ac:dyDescent="0.45">
      <c r="A48" s="325"/>
      <c r="B48" s="326" t="s">
        <v>48</v>
      </c>
      <c r="C48" s="327">
        <f>AY48</f>
        <v>12547</v>
      </c>
      <c r="D48" s="327">
        <f>BF48</f>
        <v>12339</v>
      </c>
      <c r="E48" s="327">
        <f>BM48</f>
        <v>12767</v>
      </c>
      <c r="F48" s="327">
        <f>BT48</f>
        <v>12149</v>
      </c>
      <c r="G48" s="327">
        <f>CA48</f>
        <v>12541</v>
      </c>
      <c r="H48" s="327">
        <f>CH48</f>
        <v>17794</v>
      </c>
      <c r="I48" s="327">
        <f>CO48</f>
        <v>16278</v>
      </c>
      <c r="J48" s="327">
        <f>CV48</f>
        <v>16187</v>
      </c>
      <c r="K48" s="327">
        <f>DC48</f>
        <v>16849</v>
      </c>
      <c r="L48" s="327">
        <f>DJ48</f>
        <v>18240</v>
      </c>
      <c r="M48" s="327">
        <f>DQ48</f>
        <v>18176</v>
      </c>
      <c r="N48" s="327">
        <f>DX48</f>
        <v>19441</v>
      </c>
      <c r="O48" s="327">
        <f>EE48</f>
        <v>21005</v>
      </c>
      <c r="P48" s="327">
        <f>EL48</f>
        <v>21569</v>
      </c>
      <c r="Q48" s="327">
        <f>ES48</f>
        <v>21278</v>
      </c>
      <c r="R48" s="327">
        <f>EZ48</f>
        <v>21877</v>
      </c>
      <c r="S48" s="327">
        <f>FG48</f>
        <v>23371</v>
      </c>
      <c r="T48" s="327">
        <f>FN48</f>
        <v>23720</v>
      </c>
      <c r="U48" s="327">
        <f>FU48</f>
        <v>21018</v>
      </c>
      <c r="V48" s="327">
        <f>GB48</f>
        <v>24149</v>
      </c>
      <c r="W48" s="327">
        <f>GI48</f>
        <v>26394</v>
      </c>
      <c r="X48" s="327">
        <f>GP48</f>
        <v>26683</v>
      </c>
      <c r="Y48" s="327">
        <f>GW48</f>
        <v>27031</v>
      </c>
      <c r="Z48" s="327">
        <f>HD48</f>
        <v>29213</v>
      </c>
      <c r="AA48" s="327">
        <f>HK48</f>
        <v>30227</v>
      </c>
      <c r="AB48" s="327">
        <f>HR48</f>
        <v>30257</v>
      </c>
      <c r="AC48" s="327">
        <f>HY48</f>
        <v>30522</v>
      </c>
      <c r="AD48" s="327">
        <f>IF48</f>
        <v>30480.73220770666</v>
      </c>
      <c r="AE48" s="327">
        <f>IM48</f>
        <v>31413.28302961613</v>
      </c>
      <c r="AF48" s="327">
        <f>IT48</f>
        <v>32361.507027389398</v>
      </c>
      <c r="AG48" s="328"/>
      <c r="AH48" s="328"/>
      <c r="AI48" s="328"/>
      <c r="AJ48" s="328"/>
      <c r="AK48" s="328"/>
      <c r="AL48" s="328"/>
      <c r="AM48" s="328"/>
      <c r="AN48" s="328"/>
      <c r="AO48" s="328"/>
      <c r="AP48" s="328"/>
      <c r="AQ48" s="328"/>
      <c r="AR48" s="328"/>
      <c r="AS48" s="329"/>
      <c r="AT48" s="326" t="s">
        <v>48</v>
      </c>
      <c r="AU48" s="327">
        <f>+AU46+AU45+AU41+AU43</f>
        <v>0</v>
      </c>
      <c r="AV48" s="327">
        <f>+AV46+AV45+AV41+AV43</f>
        <v>0</v>
      </c>
      <c r="AW48" s="327">
        <f>+AW46+AW45+AW41+AW43</f>
        <v>0</v>
      </c>
      <c r="AX48" s="327">
        <f>+AX46+AX45+AX41+AX43</f>
        <v>14964</v>
      </c>
      <c r="AY48" s="327">
        <f>+AY46+AY45+AY41+AY43</f>
        <v>12547</v>
      </c>
      <c r="AZ48" s="329"/>
      <c r="BA48" s="326" t="s">
        <v>48</v>
      </c>
      <c r="BB48" s="327">
        <f>+BB46+BB45+BB41+BB43</f>
        <v>14818</v>
      </c>
      <c r="BC48" s="327">
        <f>+BC46+BC45+BC41+BC43</f>
        <v>14680</v>
      </c>
      <c r="BD48" s="327">
        <f>+BD46+BD45+BD41+BD43</f>
        <v>14662</v>
      </c>
      <c r="BE48" s="327">
        <f>+BE46+BE45+BE41+BE43</f>
        <v>14531</v>
      </c>
      <c r="BF48" s="327">
        <f>+BF46+BF45+BF41+BF43</f>
        <v>12339</v>
      </c>
      <c r="BG48" s="329"/>
      <c r="BH48" s="326" t="s">
        <v>48</v>
      </c>
      <c r="BI48" s="327">
        <f>+BI46+BI45+BI41+BI43</f>
        <v>14462</v>
      </c>
      <c r="BJ48" s="327">
        <f>+BJ46+BJ45+BJ41+BJ43</f>
        <v>14477</v>
      </c>
      <c r="BK48" s="327">
        <f>+BK46+BK45+BK41+BK43</f>
        <v>14493</v>
      </c>
      <c r="BL48" s="327">
        <f>+BL46+BL45+BL41+BL43</f>
        <v>14681</v>
      </c>
      <c r="BM48" s="327">
        <f>+BM46+BM45+BM41+BM43</f>
        <v>12767</v>
      </c>
      <c r="BN48" s="329"/>
      <c r="BO48" s="326" t="s">
        <v>48</v>
      </c>
      <c r="BP48" s="327">
        <f>+BP46+BP45+BP41+BP43</f>
        <v>14698</v>
      </c>
      <c r="BQ48" s="327">
        <f>+BQ46+BQ45+BQ41+BQ43</f>
        <v>14652</v>
      </c>
      <c r="BR48" s="327">
        <f>+BR46+BR45+BR41+BR43</f>
        <v>14649</v>
      </c>
      <c r="BS48" s="327">
        <f>+BS46+BS45+BS41+BS43</f>
        <v>14710</v>
      </c>
      <c r="BT48" s="327">
        <f>+BT46+BT45+BT41+BT43</f>
        <v>12149</v>
      </c>
      <c r="BU48" s="329"/>
      <c r="BV48" s="326" t="s">
        <v>48</v>
      </c>
      <c r="BW48" s="327">
        <f>+BW46+BW45+BW41+BW43</f>
        <v>14636</v>
      </c>
      <c r="BX48" s="327">
        <f>+BX46+BX45+BX41+BX43</f>
        <v>15103</v>
      </c>
      <c r="BY48" s="327">
        <f>+BY46+BY45+BY41+BY43</f>
        <v>15615</v>
      </c>
      <c r="BZ48" s="327">
        <f>+BZ46+BZ45+BZ41+BZ43</f>
        <v>15312</v>
      </c>
      <c r="CA48" s="327">
        <f>+CA46+CA45+CA41+CA43</f>
        <v>12541</v>
      </c>
      <c r="CB48" s="329"/>
      <c r="CC48" s="326" t="s">
        <v>48</v>
      </c>
      <c r="CD48" s="327">
        <f>+CD46+CD45+CD41+CD43</f>
        <v>15589</v>
      </c>
      <c r="CE48" s="327">
        <f>+CE46+CE45+CE41+CE43</f>
        <v>15783</v>
      </c>
      <c r="CF48" s="327">
        <f>+CF46+CF45+CF41+CF43</f>
        <v>17529</v>
      </c>
      <c r="CG48" s="327">
        <f>+CG46+CG45+CG41+CG43</f>
        <v>17794</v>
      </c>
      <c r="CH48" s="327">
        <f>+CH46+CH45+CH41+CH43</f>
        <v>17794</v>
      </c>
      <c r="CI48" s="329"/>
      <c r="CJ48" s="326" t="s">
        <v>48</v>
      </c>
      <c r="CK48" s="327">
        <f>+CK46+CK45+CK41+CK43</f>
        <v>17604</v>
      </c>
      <c r="CL48" s="327">
        <f>+CL46+CL45+CL41+CL43</f>
        <v>16133</v>
      </c>
      <c r="CM48" s="327">
        <f>+CM46+CM45+CM41+CM43</f>
        <v>16259</v>
      </c>
      <c r="CN48" s="327">
        <f>+CN46+CN45+CN41+CN43</f>
        <v>16278</v>
      </c>
      <c r="CO48" s="327">
        <f>+CO46+CO45+CO41+CO43</f>
        <v>16278</v>
      </c>
      <c r="CP48" s="329"/>
      <c r="CQ48" s="326" t="s">
        <v>48</v>
      </c>
      <c r="CR48" s="327">
        <f>+CR46+CR45+CR41+CR43</f>
        <v>16144</v>
      </c>
      <c r="CS48" s="327">
        <f>+CS46+CS45+CS41+CS43</f>
        <v>15995</v>
      </c>
      <c r="CT48" s="327">
        <f>+CT46+CT45+CT41+CT43</f>
        <v>16229</v>
      </c>
      <c r="CU48" s="327">
        <f>+CU46+CU45+CU41+CU43</f>
        <v>16187</v>
      </c>
      <c r="CV48" s="327">
        <f>+CV46+CV45+CV41+CV43</f>
        <v>16187</v>
      </c>
      <c r="CW48" s="329"/>
      <c r="CX48" s="326" t="s">
        <v>48</v>
      </c>
      <c r="CY48" s="327">
        <f>+CY46+CY45+CY41+CY43</f>
        <v>15807</v>
      </c>
      <c r="CZ48" s="327">
        <f>+CZ46+CZ45+CZ41+CZ43</f>
        <v>15831</v>
      </c>
      <c r="DA48" s="327">
        <f>+DA46+DA45+DA41+DA43</f>
        <v>16828</v>
      </c>
      <c r="DB48" s="327">
        <f>+DB46+DB45+DB41+DB43</f>
        <v>16849</v>
      </c>
      <c r="DC48" s="327">
        <f>+DC46+DC45+DC41+DC43</f>
        <v>16849</v>
      </c>
      <c r="DD48" s="329"/>
      <c r="DE48" s="326" t="s">
        <v>48</v>
      </c>
      <c r="DF48" s="327">
        <f>+DF46+DF45+DF41+DF43</f>
        <v>17919</v>
      </c>
      <c r="DG48" s="327">
        <f>+DG46+DG45+DG41+DG43</f>
        <v>17715</v>
      </c>
      <c r="DH48" s="327">
        <f>+DH46+DH45+DH41+DH43</f>
        <v>18064</v>
      </c>
      <c r="DI48" s="327">
        <f>+DI46+DI45+DI41+DI43</f>
        <v>18240</v>
      </c>
      <c r="DJ48" s="327">
        <f>+DJ46+DJ45+DJ41+DJ43</f>
        <v>18240</v>
      </c>
      <c r="DK48" s="329"/>
      <c r="DL48" s="326" t="s">
        <v>48</v>
      </c>
      <c r="DM48" s="327">
        <f>+DM46+DM45+DM41+DM43</f>
        <v>18362</v>
      </c>
      <c r="DN48" s="327">
        <f>+DN46+DN45+DN41+DN43</f>
        <v>18279</v>
      </c>
      <c r="DO48" s="327">
        <f>+DO46+DO45+DO41+DO43</f>
        <v>18331</v>
      </c>
      <c r="DP48" s="327">
        <f>+DP46+DP45+DP41+DP43</f>
        <v>18176</v>
      </c>
      <c r="DQ48" s="327">
        <f>+DQ46+DQ45+DQ41+DQ43</f>
        <v>18176</v>
      </c>
      <c r="DR48" s="329"/>
      <c r="DS48" s="326" t="s">
        <v>48</v>
      </c>
      <c r="DT48" s="327">
        <f>+DT46+DT45+DT41+DT43</f>
        <v>18308</v>
      </c>
      <c r="DU48" s="327">
        <f>+DU46+DU45+DU41+DU43</f>
        <v>18167</v>
      </c>
      <c r="DV48" s="327">
        <f>+DV46+DV45+DV41+DV43</f>
        <v>18391</v>
      </c>
      <c r="DW48" s="327">
        <f>+DW46+DW45+DW41+DW43</f>
        <v>19441</v>
      </c>
      <c r="DX48" s="327">
        <f>+DX46+DX45+DX41+DX43</f>
        <v>19441</v>
      </c>
      <c r="DY48" s="329"/>
      <c r="DZ48" s="326" t="s">
        <v>48</v>
      </c>
      <c r="EA48" s="327">
        <f>+EA46+EA45+EA41+EA43</f>
        <v>18821</v>
      </c>
      <c r="EB48" s="327">
        <f>+EB46+EB45+EB41+EB43</f>
        <v>19764</v>
      </c>
      <c r="EC48" s="327">
        <f>+EC46+EC45+EC41+EC43</f>
        <v>19980</v>
      </c>
      <c r="ED48" s="327">
        <f>+ED46+ED45+ED41+ED43</f>
        <v>21005</v>
      </c>
      <c r="EE48" s="327">
        <f>+EE46+EE45+EE41+EE43</f>
        <v>21005</v>
      </c>
      <c r="EF48" s="329"/>
      <c r="EG48" s="326" t="s">
        <v>48</v>
      </c>
      <c r="EH48" s="327">
        <f>+EH46+EH45+EH41+EH43</f>
        <v>20682</v>
      </c>
      <c r="EI48" s="327">
        <f>+EI46+EI45+EI41+EI43</f>
        <v>20694</v>
      </c>
      <c r="EJ48" s="327">
        <f>+EJ46+EJ45+EJ41+EJ43</f>
        <v>20899</v>
      </c>
      <c r="EK48" s="327">
        <f>+EK46+EK45+EK41+EK43</f>
        <v>21569</v>
      </c>
      <c r="EL48" s="327">
        <f>+EL46+EL45+EL41+EL43</f>
        <v>21569</v>
      </c>
      <c r="EM48" s="329"/>
      <c r="EN48" s="326" t="s">
        <v>48</v>
      </c>
      <c r="EO48" s="327">
        <f>+EO46+EO45+EO41+EO43</f>
        <v>21238</v>
      </c>
      <c r="EP48" s="327">
        <f>+EP46+EP45+EP41+EP43</f>
        <v>21219</v>
      </c>
      <c r="EQ48" s="327">
        <f>+EQ46+EQ45+EQ41+EQ43</f>
        <v>21075</v>
      </c>
      <c r="ER48" s="327">
        <f>+ER46+ER45+ER41+ER43</f>
        <v>21278</v>
      </c>
      <c r="ES48" s="327">
        <f>+ES46+ES45+ES41+ES43</f>
        <v>21278</v>
      </c>
      <c r="ET48" s="329"/>
      <c r="EU48" s="326" t="s">
        <v>48</v>
      </c>
      <c r="EV48" s="327">
        <f>+EV46+EV45+EV41+EV43</f>
        <v>21035</v>
      </c>
      <c r="EW48" s="327">
        <f>+EW46+EW45+EW41+EW43</f>
        <v>21071</v>
      </c>
      <c r="EX48" s="327">
        <f>+EX46+EX45+EX41+EX43</f>
        <v>21481</v>
      </c>
      <c r="EY48" s="327">
        <f>+EY46+EY45+EY41+EY43</f>
        <v>21877</v>
      </c>
      <c r="EZ48" s="327">
        <f>+EZ46+EZ45+EZ41+EZ43</f>
        <v>21877</v>
      </c>
      <c r="FA48" s="329"/>
      <c r="FB48" s="326" t="s">
        <v>48</v>
      </c>
      <c r="FC48" s="327">
        <f>+FC46+FC45+FC41+FC43</f>
        <v>21823</v>
      </c>
      <c r="FD48" s="327">
        <f>+FD46+FD45+FD41+FD43</f>
        <v>22200</v>
      </c>
      <c r="FE48" s="327">
        <f>+FE46+FE45+FE41+FE43</f>
        <v>22355</v>
      </c>
      <c r="FF48" s="327">
        <f>+FF46+FF45+FF41+FF43</f>
        <v>23371</v>
      </c>
      <c r="FG48" s="327">
        <f>+FG46+FG45+FG41+FG43</f>
        <v>23371</v>
      </c>
      <c r="FH48" s="329"/>
      <c r="FI48" s="326" t="s">
        <v>48</v>
      </c>
      <c r="FJ48" s="327">
        <f>+FJ46+FJ45+FJ41+FJ43</f>
        <v>23004</v>
      </c>
      <c r="FK48" s="327">
        <f>+FK46+FK45+FK41+FK43</f>
        <v>22925</v>
      </c>
      <c r="FL48" s="327">
        <f>+FL46+FL45+FL41+FL43</f>
        <v>23011</v>
      </c>
      <c r="FM48" s="327">
        <f>+FM46+FM45+FM41+FM43</f>
        <v>23720</v>
      </c>
      <c r="FN48" s="327">
        <f>+FN46+FN45+FN41+FN43</f>
        <v>23720</v>
      </c>
      <c r="FO48" s="329"/>
      <c r="FP48" s="326" t="s">
        <v>48</v>
      </c>
      <c r="FQ48" s="327">
        <f>+FQ46+FQ45+FQ41+FQ43</f>
        <v>24043</v>
      </c>
      <c r="FR48" s="327">
        <f>+FR46+FR45+FR41+FR43</f>
        <v>24260</v>
      </c>
      <c r="FS48" s="327">
        <f>+FS46+FS45+FS41+FS43</f>
        <v>24671</v>
      </c>
      <c r="FT48" s="327">
        <f>+FT46+FT45+FT41+FT43</f>
        <v>21018</v>
      </c>
      <c r="FU48" s="327">
        <f>+FU46+FU45+FU41+FU43</f>
        <v>21018</v>
      </c>
      <c r="FV48" s="329"/>
      <c r="FW48" s="326" t="s">
        <v>48</v>
      </c>
      <c r="FX48" s="327">
        <f>+FX46+FX45+FX41+FX43</f>
        <v>23048</v>
      </c>
      <c r="FY48" s="327">
        <f>+FY46+FY45+FY41+FY43</f>
        <v>22901</v>
      </c>
      <c r="FZ48" s="327">
        <f>+FZ46+FZ45+FZ41+FZ43</f>
        <v>23126</v>
      </c>
      <c r="GA48" s="327">
        <f>+GA46+GA45+GA41+GA43</f>
        <v>24149</v>
      </c>
      <c r="GB48" s="327">
        <f>+GB46+GB45+GB41+GB43</f>
        <v>24149</v>
      </c>
      <c r="GC48" s="329"/>
      <c r="GD48" s="326" t="s">
        <v>48</v>
      </c>
      <c r="GE48" s="327">
        <f>+GE46+GE45+GE41+GE43</f>
        <v>25709</v>
      </c>
      <c r="GF48" s="327">
        <f>+GF46+GF45+GF41+GF43</f>
        <v>25634</v>
      </c>
      <c r="GG48" s="327">
        <f>+GG46+GG45+GG41+GG43</f>
        <v>26916</v>
      </c>
      <c r="GH48" s="327">
        <f>+GH46+GH45+GH41+GH43</f>
        <v>26394</v>
      </c>
      <c r="GI48" s="327">
        <f>+GI46+GI45+GI41+GI43</f>
        <v>26394</v>
      </c>
      <c r="GJ48" s="329"/>
      <c r="GK48" s="326" t="s">
        <v>48</v>
      </c>
      <c r="GL48" s="327">
        <f>+GL46+GL45+GL41+GL43</f>
        <v>26946</v>
      </c>
      <c r="GM48" s="327">
        <f>+GM46+GM45+GM41+GM43</f>
        <v>26741</v>
      </c>
      <c r="GN48" s="327">
        <f>+GN46+GN45+GN41+GN43</f>
        <v>26716</v>
      </c>
      <c r="GO48" s="327">
        <f>+GO46+GO45+GO41+GO43</f>
        <v>26683</v>
      </c>
      <c r="GP48" s="327">
        <f>+GP46+GP45+GP41+GP43</f>
        <v>26683</v>
      </c>
      <c r="GQ48" s="329"/>
      <c r="GR48" s="326" t="s">
        <v>48</v>
      </c>
      <c r="GS48" s="327">
        <f>+GS46+GS45+GS41+GS43</f>
        <v>26532</v>
      </c>
      <c r="GT48" s="327">
        <f>+GT46+GT45+GT41+GT43</f>
        <v>26581</v>
      </c>
      <c r="GU48" s="327">
        <f>+GU46+GU45+GU41+GU43</f>
        <v>26957</v>
      </c>
      <c r="GV48" s="327">
        <f>+GV46+GV45+GV41+GV43</f>
        <v>27031</v>
      </c>
      <c r="GW48" s="327">
        <f>+GW46+GW45+GW41+GW43</f>
        <v>27031</v>
      </c>
      <c r="GX48" s="329"/>
      <c r="GY48" s="326" t="s">
        <v>48</v>
      </c>
      <c r="GZ48" s="327">
        <f>+GZ46+GZ45+GZ41+GZ43</f>
        <v>27257</v>
      </c>
      <c r="HA48" s="327">
        <f>+HA46+HA45+HA41+HA43</f>
        <v>27225</v>
      </c>
      <c r="HB48" s="327">
        <f>+HB46+HB45+HB41+HB43</f>
        <v>29359</v>
      </c>
      <c r="HC48" s="327">
        <f>+HC46+HC45+HC41+HC43</f>
        <v>29213</v>
      </c>
      <c r="HD48" s="327">
        <f>+HD46+HD45+HD41+HD43</f>
        <v>29213</v>
      </c>
      <c r="HE48" s="329"/>
      <c r="HF48" s="326" t="s">
        <v>48</v>
      </c>
      <c r="HG48" s="327">
        <f>+HG46+HG45+HG41+HG43</f>
        <v>29101</v>
      </c>
      <c r="HH48" s="327">
        <f>+HH46+HH45+HH41+HH43</f>
        <v>28905</v>
      </c>
      <c r="HI48" s="327">
        <f>+HI46+HI45+HI41+HI43</f>
        <v>29833</v>
      </c>
      <c r="HJ48" s="327">
        <f>+HJ46+HJ45+HJ41+HJ43</f>
        <v>30227</v>
      </c>
      <c r="HK48" s="327">
        <f>+HK46+HK45+HK41+HK43</f>
        <v>30227</v>
      </c>
      <c r="HL48" s="329"/>
      <c r="HM48" s="326" t="s">
        <v>48</v>
      </c>
      <c r="HN48" s="327">
        <f>+HN46+HN45+HN41+HN43</f>
        <v>30041</v>
      </c>
      <c r="HO48" s="327">
        <f>+HO46+HO45+HO41+HO43</f>
        <v>29742</v>
      </c>
      <c r="HP48" s="327">
        <f>+HP46+HP45+HP41+HP43</f>
        <v>30133</v>
      </c>
      <c r="HQ48" s="327">
        <f>+HQ46+HQ45+HQ41+HQ43</f>
        <v>30257</v>
      </c>
      <c r="HR48" s="327">
        <f>+HR46+HR45+HR41+HR43</f>
        <v>30257</v>
      </c>
      <c r="HS48" s="329"/>
      <c r="HT48" s="326" t="s">
        <v>48</v>
      </c>
      <c r="HU48" s="327">
        <f>+HU46+HU45+HU41+HU43</f>
        <v>31024</v>
      </c>
      <c r="HV48" s="327">
        <f>+HV46+HV45+HV41+HV43</f>
        <v>30552</v>
      </c>
      <c r="HW48" s="327">
        <f>+HW46+HW45+HW41+HW43</f>
        <v>30521</v>
      </c>
      <c r="HX48" s="327">
        <f>+HX46+HX45+HX41+HX43</f>
        <v>30522</v>
      </c>
      <c r="HY48" s="327">
        <f>+HY46+HY45+HY41+HY43</f>
        <v>30522</v>
      </c>
      <c r="HZ48" s="329"/>
      <c r="IA48" s="326" t="s">
        <v>48</v>
      </c>
      <c r="IB48" s="327">
        <f>+IB46+IB45+IB41+IB43</f>
        <v>29881.442298081107</v>
      </c>
      <c r="IC48" s="327">
        <f>+IC46+IC45+IC41+IC43</f>
        <v>29996.115410028771</v>
      </c>
      <c r="ID48" s="327">
        <f>+ID46+ID45+ID41+ID43</f>
        <v>30217.616063570094</v>
      </c>
      <c r="IE48" s="327">
        <f>+IE46+IE45+IE41+IE43</f>
        <v>30480.73220770666</v>
      </c>
      <c r="IF48" s="327">
        <f>+IF46+IF45+IF41+IF43</f>
        <v>30480.73220770666</v>
      </c>
      <c r="IG48" s="329"/>
      <c r="IH48" s="326" t="s">
        <v>48</v>
      </c>
      <c r="II48" s="327">
        <f>+II46+II45+II41+II43</f>
        <v>30785.967174993624</v>
      </c>
      <c r="IJ48" s="327">
        <f>+IJ46+IJ45+IJ41+IJ43</f>
        <v>30947.498250806977</v>
      </c>
      <c r="IK48" s="327">
        <f>+IK46+IK45+IK41+IK43</f>
        <v>31179.871497306201</v>
      </c>
      <c r="IL48" s="327">
        <f>+IL46+IL45+IL41+IL43</f>
        <v>31413.28302961613</v>
      </c>
      <c r="IM48" s="327">
        <f>+IM46+IM45+IM41+IM43</f>
        <v>31413.28302961613</v>
      </c>
      <c r="IN48" s="329"/>
      <c r="IO48" s="326" t="s">
        <v>48</v>
      </c>
      <c r="IP48" s="327">
        <f>+IP46+IP45+IP41+IP43</f>
        <v>31723.020771968186</v>
      </c>
      <c r="IQ48" s="327">
        <f>+IQ46+IQ45+IQ41+IQ43</f>
        <v>31884.551815739655</v>
      </c>
      <c r="IR48" s="327">
        <f>+IR46+IR45+IR41+IR43</f>
        <v>32125.68060606108</v>
      </c>
      <c r="IS48" s="327">
        <f>+IS46+IS45+IS41+IS43</f>
        <v>32361.507027389398</v>
      </c>
      <c r="IT48" s="327">
        <f>+IT46+IT45+IT41+IT43</f>
        <v>32361.507027389398</v>
      </c>
      <c r="IU48" s="329"/>
      <c r="IV48" s="329"/>
      <c r="IW48" s="329"/>
      <c r="IX48" s="329"/>
      <c r="IY48" s="329"/>
      <c r="IZ48" s="329"/>
      <c r="JA48" s="329"/>
      <c r="JB48" s="329"/>
      <c r="JC48" s="329"/>
      <c r="JD48" s="329"/>
      <c r="JE48" s="329"/>
      <c r="JF48" s="329"/>
      <c r="JG48" s="329"/>
      <c r="JH48" s="329"/>
      <c r="JI48" s="329"/>
      <c r="JJ48" s="329"/>
      <c r="JK48" s="329"/>
      <c r="JL48" s="329"/>
      <c r="JM48" s="329"/>
      <c r="JN48" s="329"/>
      <c r="JO48" s="329"/>
      <c r="JP48" s="330"/>
      <c r="JQ48" s="329"/>
      <c r="JR48" s="329"/>
      <c r="JS48" s="329"/>
      <c r="JT48" s="329"/>
      <c r="JU48" s="330"/>
      <c r="JV48" s="330"/>
      <c r="JW48" s="331"/>
      <c r="JX48" s="331"/>
      <c r="JY48" s="331"/>
      <c r="JZ48" s="331"/>
      <c r="KA48" s="331"/>
      <c r="KB48" s="331"/>
      <c r="KC48" s="331"/>
      <c r="KD48" s="331"/>
      <c r="KE48" s="331"/>
      <c r="KF48" s="332"/>
      <c r="KG48" s="333"/>
      <c r="KH48" s="334"/>
      <c r="KI48" s="334"/>
      <c r="KJ48" s="335"/>
      <c r="KK48" s="335"/>
      <c r="KL48" s="335"/>
      <c r="KM48" s="335"/>
      <c r="KN48" s="335"/>
      <c r="KO48" s="335"/>
      <c r="KP48" s="335"/>
      <c r="KQ48" s="335"/>
      <c r="KR48" s="335"/>
      <c r="KS48" s="335"/>
      <c r="KT48" s="335"/>
      <c r="KU48" s="335"/>
      <c r="KV48" s="335"/>
      <c r="KW48" s="335"/>
      <c r="KX48" s="335"/>
      <c r="KY48" s="335"/>
      <c r="KZ48" s="335"/>
      <c r="LA48" s="335"/>
      <c r="LB48" s="335"/>
      <c r="LC48" s="335"/>
      <c r="LD48" s="335"/>
      <c r="LE48" s="335"/>
      <c r="LF48" s="335"/>
      <c r="LG48" s="335"/>
      <c r="LH48" s="335"/>
      <c r="LI48" s="335"/>
      <c r="LJ48" s="335"/>
      <c r="LK48" s="335"/>
      <c r="LL48" s="335"/>
      <c r="LM48" s="335"/>
      <c r="LN48" s="335"/>
      <c r="LO48" s="335"/>
      <c r="LP48" s="335"/>
      <c r="LQ48" s="335"/>
      <c r="LR48" s="335"/>
      <c r="LS48" s="335"/>
      <c r="LT48" s="335"/>
      <c r="LU48" s="335"/>
      <c r="LV48" s="335"/>
      <c r="LW48" s="335"/>
      <c r="LX48" s="335"/>
      <c r="LY48" s="335"/>
      <c r="LZ48" s="335"/>
      <c r="MA48" s="335"/>
      <c r="MB48" s="335"/>
      <c r="MC48" s="335"/>
      <c r="MD48" s="335"/>
      <c r="ME48" s="335"/>
      <c r="MF48" s="335"/>
      <c r="MG48" s="335"/>
      <c r="MH48" s="335"/>
      <c r="MI48" s="335"/>
      <c r="MJ48" s="335"/>
      <c r="MK48" s="335"/>
      <c r="ML48" s="335"/>
      <c r="MM48" s="335"/>
      <c r="MN48" s="335"/>
      <c r="MO48" s="335"/>
      <c r="MP48" s="335"/>
      <c r="MQ48" s="335"/>
      <c r="MR48" s="335"/>
      <c r="MS48" s="335"/>
      <c r="MT48" s="335"/>
      <c r="MU48" s="335"/>
      <c r="MV48" s="335"/>
      <c r="MW48" s="335"/>
      <c r="MX48" s="335"/>
      <c r="MY48" s="335"/>
      <c r="MZ48" s="335"/>
      <c r="NA48" s="335"/>
      <c r="NB48" s="335"/>
      <c r="NC48" s="335"/>
      <c r="ND48" s="335"/>
      <c r="NE48" s="335"/>
      <c r="NF48" s="335"/>
      <c r="NG48" s="335"/>
      <c r="NH48" s="335"/>
      <c r="NI48" s="335"/>
      <c r="NJ48" s="335"/>
      <c r="NK48" s="335"/>
      <c r="NL48" s="335"/>
      <c r="NM48" s="335"/>
      <c r="NN48" s="335"/>
      <c r="NO48" s="335"/>
      <c r="NP48" s="335"/>
      <c r="NQ48" s="335"/>
      <c r="NR48" s="335"/>
      <c r="NS48" s="335"/>
      <c r="NT48" s="335"/>
      <c r="NU48" s="335"/>
      <c r="NV48" s="335"/>
      <c r="NW48" s="335"/>
      <c r="NX48" s="335"/>
      <c r="NY48" s="335"/>
      <c r="NZ48" s="335"/>
      <c r="OA48" s="335"/>
      <c r="OB48" s="335"/>
      <c r="OC48" s="335"/>
      <c r="OD48" s="335"/>
      <c r="OE48" s="335"/>
      <c r="OF48" s="335"/>
      <c r="OG48" s="335"/>
      <c r="OH48" s="335"/>
      <c r="OI48" s="335"/>
      <c r="OJ48" s="335"/>
      <c r="OK48" s="335"/>
      <c r="OL48" s="335"/>
      <c r="OM48" s="335"/>
      <c r="ON48" s="335"/>
      <c r="OO48" s="335"/>
      <c r="OP48" s="335"/>
      <c r="OQ48" s="335"/>
      <c r="OR48" s="335"/>
      <c r="OS48" s="335"/>
      <c r="OT48" s="335"/>
      <c r="OU48" s="335"/>
      <c r="OV48" s="335"/>
      <c r="OW48" s="335"/>
      <c r="OX48" s="335"/>
      <c r="OY48" s="335"/>
      <c r="OZ48" s="335"/>
      <c r="PA48" s="335"/>
      <c r="PB48" s="335"/>
      <c r="PC48" s="335"/>
      <c r="PD48" s="335"/>
      <c r="PE48" s="335"/>
      <c r="PF48" s="335"/>
      <c r="PG48" s="335"/>
      <c r="PH48" s="335"/>
      <c r="PI48" s="335"/>
      <c r="PJ48" s="335"/>
      <c r="PK48" s="335"/>
      <c r="PL48" s="335"/>
      <c r="PM48" s="335"/>
      <c r="PN48" s="335"/>
      <c r="PO48" s="335"/>
      <c r="PP48" s="335"/>
      <c r="PQ48" s="335"/>
      <c r="PR48" s="335"/>
      <c r="PS48" s="335"/>
      <c r="PT48" s="335"/>
      <c r="PU48" s="335"/>
      <c r="PV48" s="335"/>
    </row>
    <row r="49" spans="1:438" x14ac:dyDescent="0.4">
      <c r="B49" s="355"/>
      <c r="C49" s="356"/>
      <c r="D49" s="356"/>
      <c r="E49" s="356"/>
      <c r="F49" s="356"/>
      <c r="G49" s="356"/>
      <c r="H49" s="356"/>
      <c r="I49" s="356"/>
      <c r="J49" s="356"/>
      <c r="K49" s="356"/>
      <c r="L49" s="356"/>
      <c r="M49" s="356"/>
      <c r="N49" s="356"/>
      <c r="O49" s="356"/>
      <c r="P49" s="356"/>
      <c r="Q49" s="356"/>
      <c r="R49" s="356"/>
      <c r="S49" s="356"/>
      <c r="T49" s="356"/>
      <c r="U49" s="356"/>
      <c r="V49" s="356"/>
      <c r="W49" s="356"/>
      <c r="X49" s="356"/>
      <c r="Y49" s="356"/>
      <c r="Z49" s="356"/>
      <c r="AA49" s="356"/>
      <c r="AB49" s="356"/>
      <c r="AC49" s="356"/>
      <c r="AD49" s="356"/>
      <c r="AE49" s="356"/>
      <c r="AF49" s="356"/>
      <c r="AG49" s="324"/>
      <c r="AH49" s="324"/>
      <c r="AI49" s="324"/>
      <c r="AJ49" s="324"/>
      <c r="AK49" s="324"/>
      <c r="AL49" s="324"/>
      <c r="AM49" s="324"/>
      <c r="AN49" s="324"/>
      <c r="AO49" s="324"/>
      <c r="AP49" s="324"/>
      <c r="AQ49" s="324"/>
      <c r="AR49" s="324"/>
      <c r="AT49" s="355"/>
      <c r="AU49" s="356"/>
      <c r="AV49" s="356"/>
      <c r="AW49" s="356"/>
      <c r="AX49" s="356"/>
      <c r="AY49" s="356"/>
      <c r="BA49" s="355"/>
      <c r="BB49" s="356"/>
      <c r="BC49" s="356"/>
      <c r="BD49" s="356"/>
      <c r="BE49" s="356"/>
      <c r="BF49" s="356"/>
      <c r="BH49" s="355"/>
      <c r="BI49" s="356"/>
      <c r="BJ49" s="356"/>
      <c r="BK49" s="356"/>
      <c r="BL49" s="356"/>
      <c r="BM49" s="356"/>
      <c r="BO49" s="355"/>
      <c r="BP49" s="356"/>
      <c r="BQ49" s="356"/>
      <c r="BR49" s="356"/>
      <c r="BS49" s="356"/>
      <c r="BT49" s="356"/>
      <c r="BV49" s="355"/>
      <c r="BW49" s="356"/>
      <c r="BX49" s="356"/>
      <c r="BY49" s="356"/>
      <c r="BZ49" s="356"/>
      <c r="CA49" s="356"/>
      <c r="CC49" s="355"/>
      <c r="CD49" s="356"/>
      <c r="CE49" s="356"/>
      <c r="CF49" s="356"/>
      <c r="CG49" s="356"/>
      <c r="CH49" s="356"/>
      <c r="CJ49" s="355"/>
      <c r="CK49" s="356"/>
      <c r="CL49" s="356"/>
      <c r="CM49" s="356"/>
      <c r="CN49" s="356"/>
      <c r="CO49" s="356"/>
      <c r="CQ49" s="355"/>
      <c r="CR49" s="356"/>
      <c r="CS49" s="356"/>
      <c r="CT49" s="356"/>
      <c r="CU49" s="356"/>
      <c r="CV49" s="356"/>
      <c r="CX49" s="355"/>
      <c r="CY49" s="356"/>
      <c r="CZ49" s="356"/>
      <c r="DA49" s="356"/>
      <c r="DB49" s="356"/>
      <c r="DC49" s="356"/>
      <c r="DE49" s="355"/>
      <c r="DF49" s="356"/>
      <c r="DG49" s="356"/>
      <c r="DH49" s="356"/>
      <c r="DI49" s="356"/>
      <c r="DJ49" s="356"/>
      <c r="DL49" s="355"/>
      <c r="DM49" s="356"/>
      <c r="DN49" s="356"/>
      <c r="DO49" s="356"/>
      <c r="DP49" s="356"/>
      <c r="DQ49" s="356"/>
      <c r="DS49" s="355"/>
      <c r="DT49" s="356"/>
      <c r="DU49" s="356"/>
      <c r="DV49" s="356"/>
      <c r="DW49" s="356"/>
      <c r="DX49" s="356"/>
      <c r="DZ49" s="355"/>
      <c r="EA49" s="356"/>
      <c r="EB49" s="356"/>
      <c r="EC49" s="356"/>
      <c r="ED49" s="356"/>
      <c r="EE49" s="356"/>
      <c r="EG49" s="355"/>
      <c r="EH49" s="356"/>
      <c r="EI49" s="356"/>
      <c r="EJ49" s="356"/>
      <c r="EK49" s="356"/>
      <c r="EL49" s="356"/>
      <c r="EN49" s="355"/>
      <c r="EO49" s="356"/>
      <c r="EP49" s="356"/>
      <c r="EQ49" s="356"/>
      <c r="ER49" s="356"/>
      <c r="ES49" s="356"/>
      <c r="EU49" s="355"/>
      <c r="EV49" s="356"/>
      <c r="EW49" s="356"/>
      <c r="EX49" s="356"/>
      <c r="EY49" s="356"/>
      <c r="EZ49" s="356"/>
      <c r="FB49" s="355"/>
      <c r="FC49" s="356"/>
      <c r="FD49" s="356"/>
      <c r="FE49" s="356"/>
      <c r="FF49" s="356"/>
      <c r="FG49" s="356"/>
      <c r="FI49" s="355"/>
      <c r="FJ49" s="356"/>
      <c r="FK49" s="356"/>
      <c r="FL49" s="356"/>
      <c r="FM49" s="356"/>
      <c r="FN49" s="356"/>
      <c r="FP49" s="355"/>
      <c r="FQ49" s="356"/>
      <c r="FR49" s="356"/>
      <c r="FS49" s="356"/>
      <c r="FT49" s="356"/>
      <c r="FU49" s="356"/>
      <c r="FW49" s="355"/>
      <c r="FX49" s="356"/>
      <c r="FY49" s="356"/>
      <c r="FZ49" s="356"/>
      <c r="GA49" s="356"/>
      <c r="GB49" s="356"/>
      <c r="GD49" s="355"/>
      <c r="GE49" s="356"/>
      <c r="GF49" s="356"/>
      <c r="GG49" s="356"/>
      <c r="GH49" s="356"/>
      <c r="GI49" s="356"/>
      <c r="GK49" s="355"/>
      <c r="GL49" s="356"/>
      <c r="GM49" s="356"/>
      <c r="GN49" s="356"/>
      <c r="GO49" s="356"/>
      <c r="GP49" s="356"/>
      <c r="GR49" s="355"/>
      <c r="GS49" s="356"/>
      <c r="GT49" s="356"/>
      <c r="GU49" s="356"/>
      <c r="GV49" s="356"/>
      <c r="GW49" s="356"/>
      <c r="GY49" s="355"/>
      <c r="GZ49" s="356"/>
      <c r="HA49" s="356"/>
      <c r="HB49" s="356"/>
      <c r="HC49" s="356"/>
      <c r="HD49" s="356"/>
      <c r="HF49" s="355"/>
      <c r="HG49" s="356"/>
      <c r="HH49" s="356"/>
      <c r="HI49" s="356"/>
      <c r="HJ49" s="356"/>
      <c r="HK49" s="356"/>
      <c r="HM49" s="355"/>
      <c r="HN49" s="356"/>
      <c r="HO49" s="356"/>
      <c r="HP49" s="356"/>
      <c r="HQ49" s="356"/>
      <c r="HR49" s="356"/>
      <c r="HT49" s="355"/>
      <c r="HU49" s="356"/>
      <c r="HV49" s="356"/>
      <c r="HW49" s="356"/>
      <c r="HX49" s="356"/>
      <c r="HY49" s="356"/>
      <c r="IA49" s="355"/>
      <c r="IB49" s="356"/>
      <c r="IC49" s="356"/>
      <c r="ID49" s="356"/>
      <c r="IE49" s="356"/>
      <c r="IF49" s="356"/>
      <c r="IH49" s="355"/>
      <c r="II49" s="356"/>
      <c r="IJ49" s="356"/>
      <c r="IK49" s="356"/>
      <c r="IL49" s="356"/>
      <c r="IM49" s="356"/>
      <c r="IO49" s="355"/>
      <c r="IP49" s="356"/>
      <c r="IQ49" s="356"/>
      <c r="IR49" s="356"/>
      <c r="IS49" s="356"/>
      <c r="IT49" s="356"/>
    </row>
    <row r="50" spans="1:438" outlineLevel="1" x14ac:dyDescent="0.4">
      <c r="A50" s="137"/>
      <c r="B50" s="321" t="s">
        <v>77</v>
      </c>
      <c r="C50" s="322">
        <f>AY50</f>
        <v>218</v>
      </c>
      <c r="D50" s="322">
        <f>BF50</f>
        <v>213</v>
      </c>
      <c r="E50" s="322">
        <f>BM50</f>
        <v>214</v>
      </c>
      <c r="F50" s="322">
        <f>BT50</f>
        <v>215</v>
      </c>
      <c r="G50" s="322">
        <f>CA50</f>
        <v>215</v>
      </c>
      <c r="H50" s="322">
        <f>CH50</f>
        <v>216</v>
      </c>
      <c r="I50" s="322">
        <f>CO50</f>
        <v>436</v>
      </c>
      <c r="J50" s="322">
        <f>CV50</f>
        <v>438</v>
      </c>
      <c r="K50" s="322">
        <f>DC50</f>
        <v>408</v>
      </c>
      <c r="L50" s="322">
        <f>DJ50</f>
        <v>391</v>
      </c>
      <c r="M50" s="322">
        <f>DQ50</f>
        <v>393</v>
      </c>
      <c r="N50" s="322">
        <f>DX50</f>
        <v>370</v>
      </c>
      <c r="O50" s="322">
        <f>EE50</f>
        <v>1049</v>
      </c>
      <c r="P50" s="322">
        <f>EL50</f>
        <v>1020</v>
      </c>
      <c r="Q50" s="322">
        <f>ES50</f>
        <v>1009</v>
      </c>
      <c r="R50" s="322">
        <f>EZ50</f>
        <v>992</v>
      </c>
      <c r="S50" s="322">
        <f>FG50</f>
        <v>966</v>
      </c>
      <c r="T50" s="322">
        <f>FN50</f>
        <v>928</v>
      </c>
      <c r="U50" s="322">
        <f>FU50</f>
        <v>890</v>
      </c>
      <c r="V50" s="322">
        <f>GB50</f>
        <v>818</v>
      </c>
      <c r="W50" s="322">
        <f>GI50</f>
        <v>773</v>
      </c>
      <c r="X50" s="322">
        <f>GP50</f>
        <v>763</v>
      </c>
      <c r="Y50" s="322">
        <f>GW50</f>
        <v>2202</v>
      </c>
      <c r="Z50" s="322">
        <f>HD50</f>
        <v>2066</v>
      </c>
      <c r="AA50" s="322">
        <f>HK50</f>
        <v>1959</v>
      </c>
      <c r="AB50" s="319">
        <f>HR50</f>
        <v>1900</v>
      </c>
      <c r="AC50" s="319">
        <f>HY50</f>
        <v>1862</v>
      </c>
      <c r="AD50" s="319">
        <f>IF50</f>
        <v>1862</v>
      </c>
      <c r="AE50" s="319">
        <f>IM50</f>
        <v>1862</v>
      </c>
      <c r="AF50" s="319">
        <f>IT50</f>
        <v>1862</v>
      </c>
      <c r="AG50" s="320"/>
      <c r="AH50" s="320"/>
      <c r="AI50" s="320"/>
      <c r="AJ50" s="320"/>
      <c r="AK50" s="320"/>
      <c r="AL50" s="320"/>
      <c r="AM50" s="320"/>
      <c r="AN50" s="320"/>
      <c r="AO50" s="320"/>
      <c r="AP50" s="320"/>
      <c r="AQ50" s="320"/>
      <c r="AR50" s="320"/>
      <c r="AT50" s="321" t="s">
        <v>77</v>
      </c>
      <c r="AU50" s="322"/>
      <c r="AV50" s="322"/>
      <c r="AW50" s="322"/>
      <c r="AX50" s="322">
        <v>218</v>
      </c>
      <c r="AY50" s="322">
        <f>AX50</f>
        <v>218</v>
      </c>
      <c r="BA50" s="321" t="s">
        <v>77</v>
      </c>
      <c r="BB50" s="322">
        <v>218</v>
      </c>
      <c r="BC50" s="322">
        <v>218</v>
      </c>
      <c r="BD50" s="322">
        <v>217</v>
      </c>
      <c r="BE50" s="322">
        <v>213</v>
      </c>
      <c r="BF50" s="322">
        <f>BE50</f>
        <v>213</v>
      </c>
      <c r="BH50" s="321" t="s">
        <v>77</v>
      </c>
      <c r="BI50" s="322">
        <v>213</v>
      </c>
      <c r="BJ50" s="322">
        <v>213</v>
      </c>
      <c r="BK50" s="322">
        <v>213</v>
      </c>
      <c r="BL50" s="322">
        <v>214</v>
      </c>
      <c r="BM50" s="322">
        <f>BL50</f>
        <v>214</v>
      </c>
      <c r="BO50" s="321" t="s">
        <v>77</v>
      </c>
      <c r="BP50" s="322">
        <v>214</v>
      </c>
      <c r="BQ50" s="322">
        <v>215</v>
      </c>
      <c r="BR50" s="322">
        <v>215</v>
      </c>
      <c r="BS50" s="322">
        <v>215</v>
      </c>
      <c r="BT50" s="322">
        <f>BS50</f>
        <v>215</v>
      </c>
      <c r="BV50" s="321" t="s">
        <v>77</v>
      </c>
      <c r="BW50" s="322">
        <v>216</v>
      </c>
      <c r="BX50" s="322">
        <v>215</v>
      </c>
      <c r="BY50" s="322">
        <v>214</v>
      </c>
      <c r="BZ50" s="322">
        <v>215</v>
      </c>
      <c r="CA50" s="322">
        <f>BZ50</f>
        <v>215</v>
      </c>
      <c r="CC50" s="321" t="s">
        <v>77</v>
      </c>
      <c r="CD50" s="322">
        <v>215</v>
      </c>
      <c r="CE50" s="322">
        <v>216</v>
      </c>
      <c r="CF50" s="322">
        <v>215</v>
      </c>
      <c r="CG50" s="322">
        <v>216</v>
      </c>
      <c r="CH50" s="322">
        <f>CG50</f>
        <v>216</v>
      </c>
      <c r="CJ50" s="321" t="s">
        <v>77</v>
      </c>
      <c r="CK50" s="322">
        <v>217</v>
      </c>
      <c r="CL50" s="322">
        <v>217</v>
      </c>
      <c r="CM50" s="322">
        <v>217</v>
      </c>
      <c r="CN50" s="322">
        <v>436</v>
      </c>
      <c r="CO50" s="322">
        <f>CN50</f>
        <v>436</v>
      </c>
      <c r="CQ50" s="321" t="s">
        <v>77</v>
      </c>
      <c r="CR50" s="322">
        <v>222</v>
      </c>
      <c r="CS50" s="322">
        <v>222</v>
      </c>
      <c r="CT50" s="322">
        <v>435</v>
      </c>
      <c r="CU50" s="322">
        <v>438</v>
      </c>
      <c r="CV50" s="322">
        <f>CU50</f>
        <v>438</v>
      </c>
      <c r="CX50" s="321" t="s">
        <v>77</v>
      </c>
      <c r="CY50" s="322">
        <v>437</v>
      </c>
      <c r="CZ50" s="322">
        <v>439</v>
      </c>
      <c r="DA50" s="322">
        <v>420</v>
      </c>
      <c r="DB50" s="322">
        <v>408</v>
      </c>
      <c r="DC50" s="322">
        <f>DB50</f>
        <v>408</v>
      </c>
      <c r="DE50" s="321" t="s">
        <v>77</v>
      </c>
      <c r="DF50" s="322">
        <v>405</v>
      </c>
      <c r="DG50" s="322">
        <v>408</v>
      </c>
      <c r="DH50" s="322">
        <v>394</v>
      </c>
      <c r="DI50" s="322">
        <v>391</v>
      </c>
      <c r="DJ50" s="322">
        <f>DI50</f>
        <v>391</v>
      </c>
      <c r="DL50" s="321" t="s">
        <v>77</v>
      </c>
      <c r="DM50" s="322">
        <v>392</v>
      </c>
      <c r="DN50" s="322">
        <v>392</v>
      </c>
      <c r="DO50" s="322">
        <v>393</v>
      </c>
      <c r="DP50" s="322">
        <v>393</v>
      </c>
      <c r="DQ50" s="322">
        <f>DP50</f>
        <v>393</v>
      </c>
      <c r="DS50" s="321" t="s">
        <v>77</v>
      </c>
      <c r="DT50" s="322">
        <v>389</v>
      </c>
      <c r="DU50" s="322">
        <v>380</v>
      </c>
      <c r="DV50" s="322">
        <v>374</v>
      </c>
      <c r="DW50" s="322">
        <v>370</v>
      </c>
      <c r="DX50" s="322">
        <f>DW50</f>
        <v>370</v>
      </c>
      <c r="DZ50" s="321" t="s">
        <v>77</v>
      </c>
      <c r="EA50" s="322">
        <v>368</v>
      </c>
      <c r="EB50" s="322">
        <v>1095</v>
      </c>
      <c r="EC50" s="322">
        <v>1050</v>
      </c>
      <c r="ED50" s="322">
        <v>1049</v>
      </c>
      <c r="EE50" s="322">
        <f>ED50</f>
        <v>1049</v>
      </c>
      <c r="EG50" s="321" t="s">
        <v>77</v>
      </c>
      <c r="EH50" s="322">
        <v>1039</v>
      </c>
      <c r="EI50" s="322">
        <v>1040</v>
      </c>
      <c r="EJ50" s="322">
        <v>1031</v>
      </c>
      <c r="EK50" s="322">
        <v>1020</v>
      </c>
      <c r="EL50" s="322">
        <f>EK50</f>
        <v>1020</v>
      </c>
      <c r="EN50" s="321" t="s">
        <v>77</v>
      </c>
      <c r="EO50" s="322">
        <v>1022</v>
      </c>
      <c r="EP50" s="322">
        <v>1019</v>
      </c>
      <c r="EQ50" s="322">
        <v>1014</v>
      </c>
      <c r="ER50" s="322">
        <v>1009</v>
      </c>
      <c r="ES50" s="322">
        <f>ER50</f>
        <v>1009</v>
      </c>
      <c r="EU50" s="321" t="s">
        <v>77</v>
      </c>
      <c r="EV50" s="322">
        <v>1004</v>
      </c>
      <c r="EW50" s="322">
        <v>1000</v>
      </c>
      <c r="EX50" s="322">
        <v>995</v>
      </c>
      <c r="EY50" s="322">
        <v>992</v>
      </c>
      <c r="EZ50" s="322">
        <f>EY50</f>
        <v>992</v>
      </c>
      <c r="FB50" s="321" t="s">
        <v>77</v>
      </c>
      <c r="FC50" s="322">
        <v>988</v>
      </c>
      <c r="FD50" s="322">
        <v>984</v>
      </c>
      <c r="FE50" s="322">
        <v>975</v>
      </c>
      <c r="FF50" s="322">
        <v>966</v>
      </c>
      <c r="FG50" s="322">
        <f>FF50</f>
        <v>966</v>
      </c>
      <c r="FI50" s="321" t="s">
        <v>77</v>
      </c>
      <c r="FJ50" s="322">
        <v>956</v>
      </c>
      <c r="FK50" s="322">
        <v>946</v>
      </c>
      <c r="FL50" s="322">
        <v>937</v>
      </c>
      <c r="FM50" s="322">
        <v>928</v>
      </c>
      <c r="FN50" s="322">
        <f>FM50</f>
        <v>928</v>
      </c>
      <c r="FP50" s="321" t="s">
        <v>77</v>
      </c>
      <c r="FQ50" s="322">
        <v>923</v>
      </c>
      <c r="FR50" s="322">
        <v>913</v>
      </c>
      <c r="FS50" s="322">
        <v>894</v>
      </c>
      <c r="FT50" s="322">
        <v>890</v>
      </c>
      <c r="FU50" s="322">
        <f>FT50</f>
        <v>890</v>
      </c>
      <c r="FW50" s="321" t="s">
        <v>77</v>
      </c>
      <c r="FX50" s="322">
        <v>875</v>
      </c>
      <c r="FY50" s="322">
        <v>859</v>
      </c>
      <c r="FZ50" s="322">
        <v>844</v>
      </c>
      <c r="GA50" s="322">
        <v>818</v>
      </c>
      <c r="GB50" s="322">
        <f>GA50</f>
        <v>818</v>
      </c>
      <c r="GD50" s="321" t="s">
        <v>77</v>
      </c>
      <c r="GE50" s="322">
        <v>809</v>
      </c>
      <c r="GF50" s="322">
        <v>798</v>
      </c>
      <c r="GG50" s="322">
        <v>782</v>
      </c>
      <c r="GH50" s="322">
        <v>773</v>
      </c>
      <c r="GI50" s="322">
        <f>GH50</f>
        <v>773</v>
      </c>
      <c r="GK50" s="321" t="s">
        <v>77</v>
      </c>
      <c r="GL50" s="322">
        <v>765</v>
      </c>
      <c r="GM50" s="322">
        <v>765</v>
      </c>
      <c r="GN50" s="322">
        <v>765</v>
      </c>
      <c r="GO50" s="322">
        <v>763</v>
      </c>
      <c r="GP50" s="322">
        <f>+GO50</f>
        <v>763</v>
      </c>
      <c r="GR50" s="321" t="s">
        <v>77</v>
      </c>
      <c r="GS50" s="322">
        <v>757</v>
      </c>
      <c r="GT50" s="322">
        <v>2254</v>
      </c>
      <c r="GU50" s="322">
        <v>2218</v>
      </c>
      <c r="GV50" s="322">
        <v>2202</v>
      </c>
      <c r="GW50" s="322">
        <f>+GV50</f>
        <v>2202</v>
      </c>
      <c r="GY50" s="321" t="s">
        <v>77</v>
      </c>
      <c r="GZ50" s="322">
        <v>2174</v>
      </c>
      <c r="HA50" s="322">
        <v>2141</v>
      </c>
      <c r="HB50" s="322">
        <v>2102</v>
      </c>
      <c r="HC50" s="322">
        <v>2066</v>
      </c>
      <c r="HD50" s="322">
        <f>+HC50</f>
        <v>2066</v>
      </c>
      <c r="HF50" s="321" t="s">
        <v>77</v>
      </c>
      <c r="HG50" s="322">
        <v>2033</v>
      </c>
      <c r="HH50" s="322">
        <v>2006</v>
      </c>
      <c r="HI50" s="322">
        <v>1976</v>
      </c>
      <c r="HJ50" s="322">
        <v>1959</v>
      </c>
      <c r="HK50" s="322">
        <f>+HJ50</f>
        <v>1959</v>
      </c>
      <c r="HM50" s="321" t="s">
        <v>77</v>
      </c>
      <c r="HN50" s="322">
        <v>1955</v>
      </c>
      <c r="HO50" s="319">
        <v>1939</v>
      </c>
      <c r="HP50" s="319">
        <v>1928</v>
      </c>
      <c r="HQ50" s="322">
        <v>1900</v>
      </c>
      <c r="HR50" s="322">
        <f t="shared" ref="HR50:HR51" si="118">+HQ50</f>
        <v>1900</v>
      </c>
      <c r="HT50" s="321" t="s">
        <v>77</v>
      </c>
      <c r="HU50" s="319">
        <v>1878</v>
      </c>
      <c r="HV50" s="319">
        <v>1864</v>
      </c>
      <c r="HW50" s="319">
        <v>1862</v>
      </c>
      <c r="HX50" s="319">
        <f t="shared" ref="HX50:HY51" si="119">+HW50</f>
        <v>1862</v>
      </c>
      <c r="HY50" s="319">
        <f t="shared" si="119"/>
        <v>1862</v>
      </c>
      <c r="IA50" s="321" t="s">
        <v>77</v>
      </c>
      <c r="IB50" s="319">
        <f>+HY50</f>
        <v>1862</v>
      </c>
      <c r="IC50" s="319">
        <f t="shared" ref="IC50:IF51" si="120">+IB50</f>
        <v>1862</v>
      </c>
      <c r="ID50" s="319">
        <f t="shared" si="120"/>
        <v>1862</v>
      </c>
      <c r="IE50" s="319">
        <f t="shared" si="120"/>
        <v>1862</v>
      </c>
      <c r="IF50" s="319">
        <f t="shared" si="120"/>
        <v>1862</v>
      </c>
      <c r="IH50" s="321" t="s">
        <v>77</v>
      </c>
      <c r="II50" s="319">
        <f>+IF50</f>
        <v>1862</v>
      </c>
      <c r="IJ50" s="319">
        <f t="shared" ref="IJ50:IJ51" si="121">+II50</f>
        <v>1862</v>
      </c>
      <c r="IK50" s="319">
        <f t="shared" ref="IK50:IK51" si="122">+IJ50</f>
        <v>1862</v>
      </c>
      <c r="IL50" s="319">
        <f t="shared" ref="IL50:IL51" si="123">+IK50</f>
        <v>1862</v>
      </c>
      <c r="IM50" s="319">
        <f t="shared" ref="IM50:IM51" si="124">+IL50</f>
        <v>1862</v>
      </c>
      <c r="IO50" s="321" t="s">
        <v>77</v>
      </c>
      <c r="IP50" s="319">
        <f>+IM50</f>
        <v>1862</v>
      </c>
      <c r="IQ50" s="319">
        <f t="shared" ref="IQ50:IQ51" si="125">+IP50</f>
        <v>1862</v>
      </c>
      <c r="IR50" s="319">
        <f t="shared" ref="IR50:IR51" si="126">+IQ50</f>
        <v>1862</v>
      </c>
      <c r="IS50" s="319">
        <f t="shared" ref="IS50:IS51" si="127">+IR50</f>
        <v>1862</v>
      </c>
      <c r="IT50" s="319">
        <f t="shared" ref="IT50:IT51" si="128">+IS50</f>
        <v>1862</v>
      </c>
    </row>
    <row r="51" spans="1:438" outlineLevel="1" x14ac:dyDescent="0.4">
      <c r="A51" s="137"/>
      <c r="B51" s="321" t="s">
        <v>150</v>
      </c>
      <c r="C51" s="322">
        <f>AY51</f>
        <v>1525</v>
      </c>
      <c r="D51" s="322">
        <f>BF51</f>
        <v>1467</v>
      </c>
      <c r="E51" s="322">
        <f>BM51</f>
        <v>1492</v>
      </c>
      <c r="F51" s="322">
        <f>BT51</f>
        <v>1547</v>
      </c>
      <c r="G51" s="322">
        <f>CA51</f>
        <v>1579</v>
      </c>
      <c r="H51" s="322">
        <f>CH51</f>
        <v>1605</v>
      </c>
      <c r="I51" s="322">
        <f>CO51</f>
        <v>1533</v>
      </c>
      <c r="J51" s="322">
        <f>CV51</f>
        <v>1469</v>
      </c>
      <c r="K51" s="322">
        <f>DC51</f>
        <v>37</v>
      </c>
      <c r="L51" s="322">
        <f>DJ51</f>
        <v>0</v>
      </c>
      <c r="M51" s="322">
        <f>DQ51</f>
        <v>80</v>
      </c>
      <c r="N51" s="322">
        <f>DX51</f>
        <v>0</v>
      </c>
      <c r="O51" s="322">
        <f>EE51</f>
        <v>6</v>
      </c>
      <c r="P51" s="322">
        <f>EL51</f>
        <v>28</v>
      </c>
      <c r="Q51" s="322">
        <f>ES51</f>
        <v>61</v>
      </c>
      <c r="R51" s="322">
        <f>EZ51</f>
        <v>92</v>
      </c>
      <c r="S51" s="322">
        <f>FG51</f>
        <v>113</v>
      </c>
      <c r="T51" s="322">
        <f>FN51</f>
        <v>138</v>
      </c>
      <c r="U51" s="322">
        <f>FU51</f>
        <v>217</v>
      </c>
      <c r="V51" s="322">
        <f>GB51</f>
        <v>249</v>
      </c>
      <c r="W51" s="322">
        <f>GI51</f>
        <v>346</v>
      </c>
      <c r="X51" s="322">
        <f>GP51</f>
        <v>409</v>
      </c>
      <c r="Y51" s="322">
        <f>GW51</f>
        <v>66</v>
      </c>
      <c r="Z51" s="322">
        <f>HD51</f>
        <v>574</v>
      </c>
      <c r="AA51" s="322">
        <f>HK51</f>
        <v>691</v>
      </c>
      <c r="AB51" s="319">
        <f>HR51</f>
        <v>846</v>
      </c>
      <c r="AC51" s="319">
        <f>HY51</f>
        <v>920</v>
      </c>
      <c r="AD51" s="319">
        <f>IF51</f>
        <v>920</v>
      </c>
      <c r="AE51" s="319">
        <f>IM51</f>
        <v>920</v>
      </c>
      <c r="AF51" s="319">
        <f>IT51</f>
        <v>920</v>
      </c>
      <c r="AG51" s="320"/>
      <c r="AH51" s="320"/>
      <c r="AI51" s="320"/>
      <c r="AJ51" s="320"/>
      <c r="AK51" s="320"/>
      <c r="AL51" s="320"/>
      <c r="AM51" s="320"/>
      <c r="AN51" s="320"/>
      <c r="AO51" s="320"/>
      <c r="AP51" s="320"/>
      <c r="AQ51" s="320"/>
      <c r="AR51" s="320"/>
      <c r="AT51" s="321" t="s">
        <v>150</v>
      </c>
      <c r="AU51" s="322"/>
      <c r="AV51" s="322"/>
      <c r="AW51" s="322"/>
      <c r="AX51" s="322">
        <v>1525</v>
      </c>
      <c r="AY51" s="322">
        <f>AX51</f>
        <v>1525</v>
      </c>
      <c r="BA51" s="321" t="s">
        <v>150</v>
      </c>
      <c r="BB51" s="322">
        <v>1514</v>
      </c>
      <c r="BC51" s="322">
        <v>1510</v>
      </c>
      <c r="BD51" s="322">
        <v>1501</v>
      </c>
      <c r="BE51" s="322">
        <v>1467</v>
      </c>
      <c r="BF51" s="322">
        <f>BE51</f>
        <v>1467</v>
      </c>
      <c r="BH51" s="321" t="s">
        <v>150</v>
      </c>
      <c r="BI51" s="322">
        <v>1470</v>
      </c>
      <c r="BJ51" s="322">
        <v>1482</v>
      </c>
      <c r="BK51" s="322">
        <v>1485</v>
      </c>
      <c r="BL51" s="322">
        <v>1492</v>
      </c>
      <c r="BM51" s="322">
        <f>BL51</f>
        <v>1492</v>
      </c>
      <c r="BO51" s="321" t="s">
        <v>150</v>
      </c>
      <c r="BP51" s="322">
        <v>1511</v>
      </c>
      <c r="BQ51" s="322">
        <v>1521</v>
      </c>
      <c r="BR51" s="322">
        <v>1525</v>
      </c>
      <c r="BS51" s="322">
        <v>1547</v>
      </c>
      <c r="BT51" s="322">
        <f>BS51</f>
        <v>1547</v>
      </c>
      <c r="BV51" s="321" t="s">
        <v>150</v>
      </c>
      <c r="BW51" s="322">
        <v>1549</v>
      </c>
      <c r="BX51" s="322">
        <v>1554</v>
      </c>
      <c r="BY51" s="322">
        <v>1556</v>
      </c>
      <c r="BZ51" s="322">
        <v>1579</v>
      </c>
      <c r="CA51" s="322">
        <f>BZ51</f>
        <v>1579</v>
      </c>
      <c r="CC51" s="321" t="s">
        <v>150</v>
      </c>
      <c r="CD51" s="322">
        <v>1587</v>
      </c>
      <c r="CE51" s="322">
        <v>1591</v>
      </c>
      <c r="CF51" s="322">
        <v>1597</v>
      </c>
      <c r="CG51" s="322">
        <v>1605</v>
      </c>
      <c r="CH51" s="322">
        <f>CG51</f>
        <v>1605</v>
      </c>
      <c r="CJ51" s="321" t="s">
        <v>150</v>
      </c>
      <c r="CK51" s="322">
        <v>1657</v>
      </c>
      <c r="CL51" s="322">
        <v>1678</v>
      </c>
      <c r="CM51" s="322">
        <v>1698</v>
      </c>
      <c r="CN51" s="322">
        <v>1533</v>
      </c>
      <c r="CO51" s="322">
        <f>CN51</f>
        <v>1533</v>
      </c>
      <c r="CQ51" s="321" t="s">
        <v>150</v>
      </c>
      <c r="CR51" s="322">
        <v>1871</v>
      </c>
      <c r="CS51" s="322">
        <v>1848</v>
      </c>
      <c r="CT51" s="322">
        <v>1391</v>
      </c>
      <c r="CU51" s="322">
        <v>1469</v>
      </c>
      <c r="CV51" s="322">
        <f>CU51</f>
        <v>1469</v>
      </c>
      <c r="CX51" s="321" t="s">
        <v>150</v>
      </c>
      <c r="CY51" s="322">
        <v>1423</v>
      </c>
      <c r="CZ51" s="322">
        <v>1266</v>
      </c>
      <c r="DA51" s="322">
        <v>471</v>
      </c>
      <c r="DB51" s="322">
        <v>37</v>
      </c>
      <c r="DC51" s="322">
        <f>DB51</f>
        <v>37</v>
      </c>
      <c r="DE51" s="321" t="s">
        <v>150</v>
      </c>
      <c r="DF51" s="322">
        <v>0</v>
      </c>
      <c r="DG51" s="322">
        <v>13</v>
      </c>
      <c r="DH51" s="322">
        <v>0</v>
      </c>
      <c r="DI51" s="322">
        <v>0</v>
      </c>
      <c r="DJ51" s="322">
        <f>DI51</f>
        <v>0</v>
      </c>
      <c r="DL51" s="321" t="s">
        <v>150</v>
      </c>
      <c r="DM51" s="322" t="s">
        <v>80</v>
      </c>
      <c r="DN51" s="322">
        <v>29</v>
      </c>
      <c r="DO51" s="322">
        <v>48</v>
      </c>
      <c r="DP51" s="322">
        <v>80</v>
      </c>
      <c r="DQ51" s="322">
        <f>DP51</f>
        <v>80</v>
      </c>
      <c r="DS51" s="321" t="s">
        <v>150</v>
      </c>
      <c r="DT51" s="322">
        <v>0</v>
      </c>
      <c r="DU51" s="322">
        <v>0</v>
      </c>
      <c r="DV51" s="322">
        <v>0</v>
      </c>
      <c r="DW51" s="322">
        <v>0</v>
      </c>
      <c r="DX51" s="322">
        <f>DW51</f>
        <v>0</v>
      </c>
      <c r="DZ51" s="321" t="s">
        <v>150</v>
      </c>
      <c r="EA51" s="322">
        <v>0</v>
      </c>
      <c r="EB51" s="322">
        <v>0</v>
      </c>
      <c r="EC51" s="322" t="s">
        <v>80</v>
      </c>
      <c r="ED51" s="322">
        <v>6</v>
      </c>
      <c r="EE51" s="322">
        <f>ED51</f>
        <v>6</v>
      </c>
      <c r="EG51" s="321" t="s">
        <v>150</v>
      </c>
      <c r="EH51" s="322">
        <v>5</v>
      </c>
      <c r="EI51" s="322">
        <v>11</v>
      </c>
      <c r="EJ51" s="322">
        <v>20</v>
      </c>
      <c r="EK51" s="322">
        <v>28</v>
      </c>
      <c r="EL51" s="322">
        <f>EK51</f>
        <v>28</v>
      </c>
      <c r="EN51" s="321" t="s">
        <v>150</v>
      </c>
      <c r="EO51" s="322">
        <v>36</v>
      </c>
      <c r="EP51" s="322">
        <v>44</v>
      </c>
      <c r="EQ51" s="322">
        <v>50</v>
      </c>
      <c r="ER51" s="322">
        <v>61</v>
      </c>
      <c r="ES51" s="322">
        <f>ER51</f>
        <v>61</v>
      </c>
      <c r="EU51" s="321" t="s">
        <v>150</v>
      </c>
      <c r="EV51" s="322">
        <v>65</v>
      </c>
      <c r="EW51" s="322">
        <v>70</v>
      </c>
      <c r="EX51" s="322">
        <v>80</v>
      </c>
      <c r="EY51" s="322">
        <v>92</v>
      </c>
      <c r="EZ51" s="322">
        <f>EY51</f>
        <v>92</v>
      </c>
      <c r="FB51" s="321" t="s">
        <v>150</v>
      </c>
      <c r="FC51" s="322">
        <v>100</v>
      </c>
      <c r="FD51" s="322">
        <v>118</v>
      </c>
      <c r="FE51" s="322">
        <v>120</v>
      </c>
      <c r="FF51" s="322">
        <v>113</v>
      </c>
      <c r="FG51" s="322">
        <f>FF51</f>
        <v>113</v>
      </c>
      <c r="FI51" s="321" t="s">
        <v>150</v>
      </c>
      <c r="FJ51" s="322">
        <v>112</v>
      </c>
      <c r="FK51" s="322">
        <v>116</v>
      </c>
      <c r="FL51" s="322">
        <v>125</v>
      </c>
      <c r="FM51" s="322">
        <v>138</v>
      </c>
      <c r="FN51" s="322">
        <f>FM51</f>
        <v>138</v>
      </c>
      <c r="FP51" s="321" t="s">
        <v>150</v>
      </c>
      <c r="FQ51" s="322">
        <v>170</v>
      </c>
      <c r="FR51" s="322">
        <v>210</v>
      </c>
      <c r="FS51" s="322">
        <v>227</v>
      </c>
      <c r="FT51" s="322">
        <v>217</v>
      </c>
      <c r="FU51" s="322">
        <f>FT51</f>
        <v>217</v>
      </c>
      <c r="FW51" s="321" t="s">
        <v>150</v>
      </c>
      <c r="FX51" s="322">
        <v>215</v>
      </c>
      <c r="FY51" s="322">
        <v>127</v>
      </c>
      <c r="FZ51" s="322">
        <v>129</v>
      </c>
      <c r="GA51" s="322">
        <v>249</v>
      </c>
      <c r="GB51" s="322">
        <f>GA51</f>
        <v>249</v>
      </c>
      <c r="GD51" s="321" t="s">
        <v>150</v>
      </c>
      <c r="GE51" s="322">
        <v>267</v>
      </c>
      <c r="GF51" s="322">
        <v>290</v>
      </c>
      <c r="GG51" s="322">
        <v>314</v>
      </c>
      <c r="GH51" s="322">
        <v>346</v>
      </c>
      <c r="GI51" s="322">
        <f>GH51</f>
        <v>346</v>
      </c>
      <c r="GK51" s="321" t="s">
        <v>150</v>
      </c>
      <c r="GL51" s="322">
        <v>366</v>
      </c>
      <c r="GM51" s="322">
        <v>361</v>
      </c>
      <c r="GN51" s="322">
        <v>400</v>
      </c>
      <c r="GO51" s="322">
        <v>409</v>
      </c>
      <c r="GP51" s="322">
        <f>+GO51</f>
        <v>409</v>
      </c>
      <c r="GR51" s="321" t="s">
        <v>150</v>
      </c>
      <c r="GS51" s="322">
        <v>448</v>
      </c>
      <c r="GT51" s="322">
        <v>0</v>
      </c>
      <c r="GU51" s="322">
        <v>24</v>
      </c>
      <c r="GV51" s="322">
        <v>66</v>
      </c>
      <c r="GW51" s="322">
        <f>+GV51</f>
        <v>66</v>
      </c>
      <c r="GY51" s="321" t="s">
        <v>150</v>
      </c>
      <c r="GZ51" s="322">
        <v>103</v>
      </c>
      <c r="HA51" s="322">
        <v>534</v>
      </c>
      <c r="HB51" s="322">
        <v>555</v>
      </c>
      <c r="HC51" s="322">
        <v>574</v>
      </c>
      <c r="HD51" s="322">
        <f>+HC51</f>
        <v>574</v>
      </c>
      <c r="HF51" s="321" t="s">
        <v>150</v>
      </c>
      <c r="HG51" s="322">
        <v>587</v>
      </c>
      <c r="HH51" s="322">
        <v>624</v>
      </c>
      <c r="HI51" s="322">
        <v>657</v>
      </c>
      <c r="HJ51" s="322">
        <v>691</v>
      </c>
      <c r="HK51" s="322">
        <f>+HJ51</f>
        <v>691</v>
      </c>
      <c r="HM51" s="321" t="s">
        <v>150</v>
      </c>
      <c r="HN51" s="322">
        <v>743</v>
      </c>
      <c r="HO51" s="319">
        <v>758</v>
      </c>
      <c r="HP51" s="319">
        <v>815</v>
      </c>
      <c r="HQ51" s="322">
        <v>846</v>
      </c>
      <c r="HR51" s="322">
        <f t="shared" si="118"/>
        <v>846</v>
      </c>
      <c r="HT51" s="321" t="s">
        <v>150</v>
      </c>
      <c r="HU51" s="319">
        <v>864</v>
      </c>
      <c r="HV51" s="319">
        <v>882</v>
      </c>
      <c r="HW51" s="319">
        <v>920</v>
      </c>
      <c r="HX51" s="319">
        <f t="shared" si="119"/>
        <v>920</v>
      </c>
      <c r="HY51" s="319">
        <f t="shared" si="119"/>
        <v>920</v>
      </c>
      <c r="IA51" s="321" t="s">
        <v>150</v>
      </c>
      <c r="IB51" s="319">
        <f>+HY51</f>
        <v>920</v>
      </c>
      <c r="IC51" s="319">
        <f t="shared" si="120"/>
        <v>920</v>
      </c>
      <c r="ID51" s="319">
        <f t="shared" si="120"/>
        <v>920</v>
      </c>
      <c r="IE51" s="319">
        <f t="shared" si="120"/>
        <v>920</v>
      </c>
      <c r="IF51" s="319">
        <f t="shared" si="120"/>
        <v>920</v>
      </c>
      <c r="IH51" s="321" t="s">
        <v>150</v>
      </c>
      <c r="II51" s="319">
        <f>+IF51</f>
        <v>920</v>
      </c>
      <c r="IJ51" s="319">
        <f t="shared" si="121"/>
        <v>920</v>
      </c>
      <c r="IK51" s="319">
        <f t="shared" si="122"/>
        <v>920</v>
      </c>
      <c r="IL51" s="319">
        <f t="shared" si="123"/>
        <v>920</v>
      </c>
      <c r="IM51" s="319">
        <f t="shared" si="124"/>
        <v>920</v>
      </c>
      <c r="IO51" s="321" t="s">
        <v>150</v>
      </c>
      <c r="IP51" s="319">
        <f>+IM51</f>
        <v>920</v>
      </c>
      <c r="IQ51" s="319">
        <f t="shared" si="125"/>
        <v>920</v>
      </c>
      <c r="IR51" s="319">
        <f t="shared" si="126"/>
        <v>920</v>
      </c>
      <c r="IS51" s="319">
        <f t="shared" si="127"/>
        <v>920</v>
      </c>
      <c r="IT51" s="319">
        <f t="shared" si="128"/>
        <v>920</v>
      </c>
    </row>
    <row r="52" spans="1:438" outlineLevel="1" x14ac:dyDescent="0.4">
      <c r="A52" s="137"/>
      <c r="B52" s="321" t="s">
        <v>78</v>
      </c>
      <c r="C52" s="322">
        <f>AY52</f>
        <v>4034</v>
      </c>
      <c r="D52" s="322">
        <f>BF52</f>
        <v>4337</v>
      </c>
      <c r="E52" s="322">
        <f>BM52</f>
        <v>4459</v>
      </c>
      <c r="F52" s="322">
        <f>BT52</f>
        <v>4797</v>
      </c>
      <c r="G52" s="322">
        <f>CA52</f>
        <v>4957</v>
      </c>
      <c r="H52" s="322">
        <f>CH52</f>
        <v>5210</v>
      </c>
      <c r="I52" s="322">
        <f>CO52</f>
        <v>6262</v>
      </c>
      <c r="J52" s="322">
        <f>CV52</f>
        <v>7427</v>
      </c>
      <c r="K52" s="322">
        <f>DC52</f>
        <v>8565</v>
      </c>
      <c r="L52" s="322">
        <f>DJ52</f>
        <v>8398</v>
      </c>
      <c r="M52" s="322">
        <f>DQ52</f>
        <v>9182</v>
      </c>
      <c r="N52" s="322">
        <f>DX52</f>
        <v>9087</v>
      </c>
      <c r="O52" s="322">
        <f>EE52</f>
        <v>8275</v>
      </c>
      <c r="P52" s="322">
        <f>EL52</f>
        <v>8876</v>
      </c>
      <c r="Q52" s="322">
        <f>ES52</f>
        <v>9936</v>
      </c>
      <c r="R52" s="322">
        <f>EZ52</f>
        <v>10734</v>
      </c>
      <c r="S52" s="322">
        <f>FG52</f>
        <v>11238</v>
      </c>
      <c r="T52" s="322">
        <f>FN52</f>
        <v>11253</v>
      </c>
      <c r="U52" s="322">
        <f>FU52</f>
        <v>14084</v>
      </c>
      <c r="V52" s="322">
        <f>GB52</f>
        <v>12157</v>
      </c>
      <c r="W52" s="322">
        <f>GI52</f>
        <v>11404</v>
      </c>
      <c r="X52" s="322">
        <f>GP52</f>
        <v>12527</v>
      </c>
      <c r="Y52" s="322">
        <f>GW52</f>
        <v>11630</v>
      </c>
      <c r="Z52" s="322">
        <f>HD52</f>
        <v>10229</v>
      </c>
      <c r="AA52" s="322">
        <f>HK52</f>
        <v>9609</v>
      </c>
      <c r="AB52" s="319">
        <f>HR52</f>
        <v>9988</v>
      </c>
      <c r="AC52" s="319">
        <f>HY52</f>
        <v>10593</v>
      </c>
      <c r="AD52" s="319">
        <f>IF52</f>
        <v>12963.790891148217</v>
      </c>
      <c r="AE52" s="319">
        <f>IM52</f>
        <v>15791.86385260088</v>
      </c>
      <c r="AF52" s="319">
        <f>IT52</f>
        <v>18940.285196669261</v>
      </c>
      <c r="AG52" s="320"/>
      <c r="AH52" s="320"/>
      <c r="AI52" s="320"/>
      <c r="AJ52" s="320"/>
      <c r="AK52" s="320"/>
      <c r="AL52" s="320"/>
      <c r="AM52" s="320"/>
      <c r="AN52" s="320"/>
      <c r="AO52" s="320"/>
      <c r="AP52" s="320"/>
      <c r="AQ52" s="320"/>
      <c r="AR52" s="320"/>
      <c r="AT52" s="321" t="s">
        <v>78</v>
      </c>
      <c r="AU52" s="322"/>
      <c r="AV52" s="322"/>
      <c r="AW52" s="322"/>
      <c r="AX52" s="322">
        <v>4034</v>
      </c>
      <c r="AY52" s="322">
        <f>AX52</f>
        <v>4034</v>
      </c>
      <c r="BA52" s="321" t="s">
        <v>78</v>
      </c>
      <c r="BB52" s="322">
        <v>3997</v>
      </c>
      <c r="BC52" s="322">
        <v>3987</v>
      </c>
      <c r="BD52" s="322">
        <v>4348</v>
      </c>
      <c r="BE52" s="322">
        <v>4337</v>
      </c>
      <c r="BF52" s="322">
        <f>BE52</f>
        <v>4337</v>
      </c>
      <c r="BH52" s="321" t="s">
        <v>78</v>
      </c>
      <c r="BI52" s="322">
        <v>4293</v>
      </c>
      <c r="BJ52" s="322">
        <v>4337</v>
      </c>
      <c r="BK52" s="322">
        <v>4415</v>
      </c>
      <c r="BL52" s="322">
        <v>4459</v>
      </c>
      <c r="BM52" s="322">
        <f>BL52</f>
        <v>4459</v>
      </c>
      <c r="BO52" s="321" t="s">
        <v>78</v>
      </c>
      <c r="BP52" s="322">
        <v>4463</v>
      </c>
      <c r="BQ52" s="322">
        <v>4576</v>
      </c>
      <c r="BR52" s="322">
        <v>4682</v>
      </c>
      <c r="BS52" s="322">
        <v>4797</v>
      </c>
      <c r="BT52" s="322">
        <f>BS52</f>
        <v>4797</v>
      </c>
      <c r="BV52" s="321" t="s">
        <v>78</v>
      </c>
      <c r="BW52" s="322">
        <v>4875</v>
      </c>
      <c r="BX52" s="322">
        <v>4981</v>
      </c>
      <c r="BY52" s="322">
        <v>4858</v>
      </c>
      <c r="BZ52" s="322">
        <v>4957</v>
      </c>
      <c r="CA52" s="322">
        <f>BZ52</f>
        <v>4957</v>
      </c>
      <c r="CC52" s="321" t="s">
        <v>78</v>
      </c>
      <c r="CD52" s="322">
        <v>4966</v>
      </c>
      <c r="CE52" s="322">
        <v>5065</v>
      </c>
      <c r="CF52" s="322">
        <v>5167</v>
      </c>
      <c r="CG52" s="322">
        <v>5210</v>
      </c>
      <c r="CH52" s="322">
        <f>CG52</f>
        <v>5210</v>
      </c>
      <c r="CJ52" s="321" t="s">
        <v>78</v>
      </c>
      <c r="CK52" s="322">
        <v>5768</v>
      </c>
      <c r="CL52" s="322">
        <v>5912</v>
      </c>
      <c r="CM52" s="322">
        <v>6053</v>
      </c>
      <c r="CN52" s="322">
        <v>6262</v>
      </c>
      <c r="CO52" s="322">
        <f>CN52</f>
        <v>6262</v>
      </c>
      <c r="CQ52" s="321" t="s">
        <v>78</v>
      </c>
      <c r="CR52" s="322">
        <v>6479</v>
      </c>
      <c r="CS52" s="322">
        <v>6841</v>
      </c>
      <c r="CT52" s="322">
        <v>7125</v>
      </c>
      <c r="CU52" s="322">
        <v>7427</v>
      </c>
      <c r="CV52" s="322">
        <f>CU52</f>
        <v>7427</v>
      </c>
      <c r="CX52" s="321" t="s">
        <v>78</v>
      </c>
      <c r="CY52" s="322">
        <v>7648</v>
      </c>
      <c r="CZ52" s="322">
        <v>7919</v>
      </c>
      <c r="DA52" s="322">
        <v>8262</v>
      </c>
      <c r="DB52" s="322">
        <v>8565</v>
      </c>
      <c r="DC52" s="322">
        <f>DB52</f>
        <v>8565</v>
      </c>
      <c r="DE52" s="321" t="s">
        <v>78</v>
      </c>
      <c r="DF52" s="322">
        <v>8660</v>
      </c>
      <c r="DG52" s="322">
        <v>8973</v>
      </c>
      <c r="DH52" s="322">
        <v>8499</v>
      </c>
      <c r="DI52" s="322">
        <v>8398</v>
      </c>
      <c r="DJ52" s="322">
        <f>DI52</f>
        <v>8398</v>
      </c>
      <c r="DL52" s="321" t="s">
        <v>78</v>
      </c>
      <c r="DM52" s="322">
        <v>8534</v>
      </c>
      <c r="DN52" s="322">
        <v>8757</v>
      </c>
      <c r="DO52" s="322">
        <v>8963</v>
      </c>
      <c r="DP52" s="322">
        <v>9182</v>
      </c>
      <c r="DQ52" s="322">
        <f>DP52</f>
        <v>9182</v>
      </c>
      <c r="DS52" s="321" t="s">
        <v>78</v>
      </c>
      <c r="DT52" s="322">
        <v>9279</v>
      </c>
      <c r="DU52" s="322">
        <v>8968</v>
      </c>
      <c r="DV52" s="322">
        <v>9022</v>
      </c>
      <c r="DW52" s="322">
        <v>9087</v>
      </c>
      <c r="DX52" s="322">
        <f>DW52</f>
        <v>9087</v>
      </c>
      <c r="DZ52" s="321" t="s">
        <v>78</v>
      </c>
      <c r="EA52" s="322">
        <v>9134</v>
      </c>
      <c r="EB52" s="322">
        <v>8582</v>
      </c>
      <c r="EC52" s="322">
        <v>7944</v>
      </c>
      <c r="ED52" s="322">
        <v>8275</v>
      </c>
      <c r="EE52" s="322">
        <f>ED52</f>
        <v>8275</v>
      </c>
      <c r="EG52" s="321" t="s">
        <v>78</v>
      </c>
      <c r="EH52" s="322">
        <v>8313</v>
      </c>
      <c r="EI52" s="322">
        <v>8679</v>
      </c>
      <c r="EJ52" s="322">
        <v>8798</v>
      </c>
      <c r="EK52" s="322">
        <v>8876</v>
      </c>
      <c r="EL52" s="322">
        <f>EK52</f>
        <v>8876</v>
      </c>
      <c r="EN52" s="321" t="s">
        <v>78</v>
      </c>
      <c r="EO52" s="322">
        <v>9191</v>
      </c>
      <c r="EP52" s="322">
        <v>9482</v>
      </c>
      <c r="EQ52" s="322">
        <v>9670</v>
      </c>
      <c r="ER52" s="322">
        <v>9936</v>
      </c>
      <c r="ES52" s="322">
        <f>ER52</f>
        <v>9936</v>
      </c>
      <c r="EU52" s="321" t="s">
        <v>78</v>
      </c>
      <c r="EV52" s="322">
        <v>10062</v>
      </c>
      <c r="EW52" s="322">
        <v>10304</v>
      </c>
      <c r="EX52" s="322">
        <v>10527</v>
      </c>
      <c r="EY52" s="322">
        <v>10734</v>
      </c>
      <c r="EZ52" s="322">
        <f>EY52</f>
        <v>10734</v>
      </c>
      <c r="FB52" s="321" t="s">
        <v>78</v>
      </c>
      <c r="FC52" s="322">
        <v>10895</v>
      </c>
      <c r="FD52" s="322">
        <v>11117</v>
      </c>
      <c r="FE52" s="322">
        <v>11195</v>
      </c>
      <c r="FF52" s="322">
        <v>11238</v>
      </c>
      <c r="FG52" s="322">
        <f>FF52</f>
        <v>11238</v>
      </c>
      <c r="FI52" s="321" t="s">
        <v>78</v>
      </c>
      <c r="FJ52" s="322">
        <v>11183</v>
      </c>
      <c r="FK52" s="322">
        <v>11199</v>
      </c>
      <c r="FL52" s="322">
        <v>11233</v>
      </c>
      <c r="FM52" s="322">
        <v>11253</v>
      </c>
      <c r="FN52" s="322">
        <f>FM52</f>
        <v>11253</v>
      </c>
      <c r="FP52" s="321" t="s">
        <v>78</v>
      </c>
      <c r="FQ52" s="322">
        <v>11197</v>
      </c>
      <c r="FR52" s="322">
        <v>11033</v>
      </c>
      <c r="FS52" s="322">
        <v>10327</v>
      </c>
      <c r="FT52" s="322">
        <v>14084</v>
      </c>
      <c r="FU52" s="322">
        <f>FT52</f>
        <v>14084</v>
      </c>
      <c r="FW52" s="321" t="s">
        <v>78</v>
      </c>
      <c r="FX52" s="322">
        <v>13873</v>
      </c>
      <c r="FY52" s="322">
        <v>13604</v>
      </c>
      <c r="FZ52" s="322">
        <v>13320</v>
      </c>
      <c r="GA52" s="322">
        <v>12157</v>
      </c>
      <c r="GB52" s="322">
        <f>GA52</f>
        <v>12157</v>
      </c>
      <c r="GD52" s="321" t="s">
        <v>78</v>
      </c>
      <c r="GE52" s="322">
        <v>12011</v>
      </c>
      <c r="GF52" s="322">
        <v>11843</v>
      </c>
      <c r="GG52" s="322">
        <v>11416</v>
      </c>
      <c r="GH52" s="322">
        <v>11404</v>
      </c>
      <c r="GI52" s="322">
        <f>GH52</f>
        <v>11404</v>
      </c>
      <c r="GK52" s="321" t="s">
        <v>78</v>
      </c>
      <c r="GL52" s="322">
        <v>11412</v>
      </c>
      <c r="GM52" s="322">
        <v>11676</v>
      </c>
      <c r="GN52" s="322">
        <v>12166</v>
      </c>
      <c r="GO52" s="322">
        <v>12527</v>
      </c>
      <c r="GP52" s="322">
        <f>+GO52</f>
        <v>12527</v>
      </c>
      <c r="GR52" s="321" t="s">
        <v>78</v>
      </c>
      <c r="GS52" s="322">
        <v>12476</v>
      </c>
      <c r="GT52" s="322">
        <v>11723</v>
      </c>
      <c r="GU52" s="322">
        <v>11455</v>
      </c>
      <c r="GV52" s="322">
        <v>11630</v>
      </c>
      <c r="GW52" s="322">
        <f>+GV52</f>
        <v>11630</v>
      </c>
      <c r="GY52" s="321" t="s">
        <v>78</v>
      </c>
      <c r="GZ52" s="322">
        <v>11284</v>
      </c>
      <c r="HA52" s="322">
        <v>10794</v>
      </c>
      <c r="HB52" s="322">
        <v>10537</v>
      </c>
      <c r="HC52" s="322">
        <v>10229</v>
      </c>
      <c r="HD52" s="322">
        <f>+HC52</f>
        <v>10229</v>
      </c>
      <c r="HF52" s="321" t="s">
        <v>78</v>
      </c>
      <c r="HG52" s="322">
        <v>9935</v>
      </c>
      <c r="HH52" s="322">
        <v>9852</v>
      </c>
      <c r="HI52" s="322">
        <v>9513</v>
      </c>
      <c r="HJ52" s="322">
        <v>9609</v>
      </c>
      <c r="HK52" s="322">
        <f>+HJ52</f>
        <v>9609</v>
      </c>
      <c r="HM52" s="321" t="s">
        <v>78</v>
      </c>
      <c r="HN52" s="322">
        <v>10011</v>
      </c>
      <c r="HO52" s="319">
        <v>10189</v>
      </c>
      <c r="HP52" s="319">
        <v>10457</v>
      </c>
      <c r="HQ52" s="322">
        <v>9988</v>
      </c>
      <c r="HR52" s="322">
        <f>+HQ52</f>
        <v>9988</v>
      </c>
      <c r="HT52" s="321" t="s">
        <v>78</v>
      </c>
      <c r="HU52" s="319">
        <v>9655</v>
      </c>
      <c r="HV52" s="319">
        <v>9850</v>
      </c>
      <c r="HW52" s="319">
        <v>10191</v>
      </c>
      <c r="HX52" s="319">
        <f>13160-HX51-HX50-HX53-HX54</f>
        <v>10593</v>
      </c>
      <c r="HY52" s="319">
        <f>+HX52</f>
        <v>10593</v>
      </c>
      <c r="IA52" s="321" t="s">
        <v>78</v>
      </c>
      <c r="IB52" s="319">
        <f>+HY52+CF!GH9+CF!GH54</f>
        <v>11061.89773749845</v>
      </c>
      <c r="IC52" s="319">
        <f>+IB52+CF!GI9+CF!GI54</f>
        <v>11683.154589140124</v>
      </c>
      <c r="ID52" s="319">
        <f>+IC52+CF!GJ9+CF!GJ54</f>
        <v>12337.779915364184</v>
      </c>
      <c r="IE52" s="319">
        <f>+ID52+CF!GK9+CF!GK54</f>
        <v>12963.790891148217</v>
      </c>
      <c r="IF52" s="319">
        <f>+IE52</f>
        <v>12963.790891148217</v>
      </c>
      <c r="IH52" s="321" t="s">
        <v>78</v>
      </c>
      <c r="II52" s="319">
        <f>+IF52+CF!GO9+CF!GO54</f>
        <v>13545.073217125351</v>
      </c>
      <c r="IJ52" s="319">
        <f>+II52+CF!GP9+CF!GP54</f>
        <v>14284.251706294077</v>
      </c>
      <c r="IK52" s="319">
        <f>+IJ52+CF!GQ9+CF!GQ54</f>
        <v>15062.473807681263</v>
      </c>
      <c r="IL52" s="319">
        <f>+IK52+CF!GR9+CF!GR54</f>
        <v>15791.86385260088</v>
      </c>
      <c r="IM52" s="319">
        <f>+IL52</f>
        <v>15791.86385260088</v>
      </c>
      <c r="IO52" s="321" t="s">
        <v>78</v>
      </c>
      <c r="IP52" s="319">
        <f>+IM52+CF!GV9+CF!GV54</f>
        <v>16458.655683884735</v>
      </c>
      <c r="IQ52" s="319">
        <f>+IP52+CF!GW9+CF!GW54</f>
        <v>17279.045639194585</v>
      </c>
      <c r="IR52" s="319">
        <f>+IQ52+CF!GX9+CF!GX54</f>
        <v>18132.263392886722</v>
      </c>
      <c r="IS52" s="319">
        <f>+IR52+CF!GY9+CF!GY54</f>
        <v>18940.285196669261</v>
      </c>
      <c r="IT52" s="319">
        <f>+IS52</f>
        <v>18940.285196669261</v>
      </c>
    </row>
    <row r="53" spans="1:438" outlineLevel="1" x14ac:dyDescent="0.4">
      <c r="A53" s="137"/>
      <c r="B53" s="321" t="s">
        <v>151</v>
      </c>
      <c r="C53" s="322">
        <f>AY53</f>
        <v>-21</v>
      </c>
      <c r="D53" s="322">
        <f>BF53</f>
        <v>0</v>
      </c>
      <c r="E53" s="322">
        <f>BM53</f>
        <v>-45</v>
      </c>
      <c r="F53" s="322">
        <f>BT53</f>
        <v>-318</v>
      </c>
      <c r="G53" s="322">
        <f>CA53</f>
        <v>-303</v>
      </c>
      <c r="H53" s="322">
        <f>CH53</f>
        <v>-220</v>
      </c>
      <c r="I53" s="322">
        <f>CO53</f>
        <v>-277</v>
      </c>
      <c r="J53" s="322">
        <f>CV53</f>
        <v>-392</v>
      </c>
      <c r="K53" s="322">
        <f>DC53</f>
        <v>-325</v>
      </c>
      <c r="L53" s="322">
        <f>DJ53</f>
        <v>-741</v>
      </c>
      <c r="M53" s="322">
        <f>DQ53</f>
        <v>-809</v>
      </c>
      <c r="N53" s="322">
        <f>DX53</f>
        <v>-771</v>
      </c>
      <c r="O53" s="322">
        <f>EE53</f>
        <v>-875</v>
      </c>
      <c r="P53" s="322">
        <f>EL53</f>
        <v>-936</v>
      </c>
      <c r="Q53" s="322">
        <f>ES53</f>
        <v>-523</v>
      </c>
      <c r="R53" s="322">
        <f>EZ53</f>
        <v>-666</v>
      </c>
      <c r="S53" s="322">
        <f>FG53</f>
        <v>-665</v>
      </c>
      <c r="T53" s="322">
        <f>FN53</f>
        <v>-640</v>
      </c>
      <c r="U53" s="322">
        <f>FU53</f>
        <v>-486</v>
      </c>
      <c r="V53" s="322">
        <f>GB53</f>
        <v>-661</v>
      </c>
      <c r="W53" s="322">
        <f>GI53</f>
        <v>-675</v>
      </c>
      <c r="X53" s="322">
        <f>GP53</f>
        <v>-598</v>
      </c>
      <c r="Y53" s="322">
        <f>GW53</f>
        <v>-408</v>
      </c>
      <c r="Z53" s="322">
        <f>HD53</f>
        <v>-410</v>
      </c>
      <c r="AA53" s="322">
        <f>HK53</f>
        <v>-279</v>
      </c>
      <c r="AB53" s="319">
        <f>HR53</f>
        <v>-232</v>
      </c>
      <c r="AC53" s="319">
        <f>HY53</f>
        <v>-220</v>
      </c>
      <c r="AD53" s="319">
        <f>IF53</f>
        <v>-220</v>
      </c>
      <c r="AE53" s="319">
        <f>IM53</f>
        <v>-220</v>
      </c>
      <c r="AF53" s="319">
        <f>IT53</f>
        <v>-220</v>
      </c>
      <c r="AG53" s="320"/>
      <c r="AH53" s="320"/>
      <c r="AI53" s="320"/>
      <c r="AJ53" s="320"/>
      <c r="AK53" s="320"/>
      <c r="AL53" s="320"/>
      <c r="AM53" s="320"/>
      <c r="AN53" s="320"/>
      <c r="AO53" s="320"/>
      <c r="AP53" s="320"/>
      <c r="AQ53" s="320"/>
      <c r="AR53" s="320"/>
      <c r="AT53" s="321" t="s">
        <v>151</v>
      </c>
      <c r="AU53" s="322"/>
      <c r="AV53" s="322"/>
      <c r="AW53" s="322"/>
      <c r="AX53" s="322">
        <v>-21</v>
      </c>
      <c r="AY53" s="322">
        <f>AX53</f>
        <v>-21</v>
      </c>
      <c r="BA53" s="321" t="s">
        <v>151</v>
      </c>
      <c r="BB53" s="322">
        <v>-22</v>
      </c>
      <c r="BC53" s="322">
        <v>-21</v>
      </c>
      <c r="BD53" s="322">
        <v>-21</v>
      </c>
      <c r="BE53" s="322">
        <v>0</v>
      </c>
      <c r="BF53" s="322">
        <f>BE53</f>
        <v>0</v>
      </c>
      <c r="BH53" s="321" t="s">
        <v>151</v>
      </c>
      <c r="BI53" s="322">
        <v>0</v>
      </c>
      <c r="BJ53" s="322">
        <v>0</v>
      </c>
      <c r="BK53" s="322">
        <v>0</v>
      </c>
      <c r="BL53" s="322">
        <v>-45</v>
      </c>
      <c r="BM53" s="322">
        <f>BL53</f>
        <v>-45</v>
      </c>
      <c r="BO53" s="321" t="s">
        <v>151</v>
      </c>
      <c r="BP53" s="322">
        <v>-44</v>
      </c>
      <c r="BQ53" s="322">
        <v>-44</v>
      </c>
      <c r="BR53" s="322">
        <v>-46</v>
      </c>
      <c r="BS53" s="322">
        <v>-318</v>
      </c>
      <c r="BT53" s="322">
        <f>BS53</f>
        <v>-318</v>
      </c>
      <c r="BV53" s="321" t="s">
        <v>151</v>
      </c>
      <c r="BW53" s="322">
        <v>-317</v>
      </c>
      <c r="BX53" s="322">
        <v>-314</v>
      </c>
      <c r="BY53" s="322">
        <v>-316</v>
      </c>
      <c r="BZ53" s="322">
        <v>-303</v>
      </c>
      <c r="CA53" s="322">
        <f>BZ53</f>
        <v>-303</v>
      </c>
      <c r="CC53" s="321" t="s">
        <v>151</v>
      </c>
      <c r="CD53" s="322">
        <v>-284</v>
      </c>
      <c r="CE53" s="322">
        <v>-203</v>
      </c>
      <c r="CF53" s="322">
        <v>-143</v>
      </c>
      <c r="CG53" s="322">
        <v>-220</v>
      </c>
      <c r="CH53" s="322">
        <f>CG53</f>
        <v>-220</v>
      </c>
      <c r="CJ53" s="321" t="s">
        <v>151</v>
      </c>
      <c r="CK53" s="322">
        <v>-154</v>
      </c>
      <c r="CL53" s="322">
        <v>-190</v>
      </c>
      <c r="CM53" s="322">
        <v>-206</v>
      </c>
      <c r="CN53" s="322">
        <v>-277</v>
      </c>
      <c r="CO53" s="322">
        <f>CN53</f>
        <v>-277</v>
      </c>
      <c r="CQ53" s="321" t="s">
        <v>151</v>
      </c>
      <c r="CR53" s="322">
        <v>-297</v>
      </c>
      <c r="CS53" s="322">
        <v>-308</v>
      </c>
      <c r="CT53" s="322">
        <v>-308</v>
      </c>
      <c r="CU53" s="322">
        <v>-392</v>
      </c>
      <c r="CV53" s="322">
        <f>CU53</f>
        <v>-392</v>
      </c>
      <c r="CX53" s="321" t="s">
        <v>151</v>
      </c>
      <c r="CY53" s="322">
        <v>-390</v>
      </c>
      <c r="CZ53" s="322">
        <v>-384</v>
      </c>
      <c r="DA53" s="322">
        <v>-376</v>
      </c>
      <c r="DB53" s="322">
        <v>-325</v>
      </c>
      <c r="DC53" s="322">
        <f>DB53</f>
        <v>-325</v>
      </c>
      <c r="DE53" s="321" t="s">
        <v>151</v>
      </c>
      <c r="DF53" s="322">
        <v>-323</v>
      </c>
      <c r="DG53" s="322">
        <v>-321</v>
      </c>
      <c r="DH53" s="322">
        <v>-320</v>
      </c>
      <c r="DI53" s="322">
        <v>-741</v>
      </c>
      <c r="DJ53" s="322">
        <f>DI53</f>
        <v>-741</v>
      </c>
      <c r="DL53" s="321" t="s">
        <v>151</v>
      </c>
      <c r="DM53" s="322">
        <v>-742</v>
      </c>
      <c r="DN53" s="322">
        <v>-735</v>
      </c>
      <c r="DO53" s="322">
        <v>-728</v>
      </c>
      <c r="DP53" s="322">
        <v>-809</v>
      </c>
      <c r="DQ53" s="322">
        <f>DP53</f>
        <v>-809</v>
      </c>
      <c r="DS53" s="321" t="s">
        <v>151</v>
      </c>
      <c r="DT53" s="322">
        <v>-798</v>
      </c>
      <c r="DU53" s="322">
        <v>-787</v>
      </c>
      <c r="DV53" s="322">
        <v>-771</v>
      </c>
      <c r="DW53" s="322">
        <v>-771</v>
      </c>
      <c r="DX53" s="322">
        <f>DW53</f>
        <v>-771</v>
      </c>
      <c r="DZ53" s="321" t="s">
        <v>151</v>
      </c>
      <c r="EA53" s="322">
        <v>-760</v>
      </c>
      <c r="EB53" s="322">
        <v>-747</v>
      </c>
      <c r="EC53" s="322">
        <v>-738</v>
      </c>
      <c r="ED53" s="322">
        <v>-875</v>
      </c>
      <c r="EE53" s="322">
        <f>ED53</f>
        <v>-875</v>
      </c>
      <c r="EG53" s="321" t="s">
        <v>151</v>
      </c>
      <c r="EH53" s="322">
        <v>-866</v>
      </c>
      <c r="EI53" s="322">
        <v>-849</v>
      </c>
      <c r="EJ53" s="322">
        <v>-833</v>
      </c>
      <c r="EK53" s="322">
        <v>-936</v>
      </c>
      <c r="EL53" s="322">
        <f>EK53</f>
        <v>-936</v>
      </c>
      <c r="EN53" s="321" t="s">
        <v>151</v>
      </c>
      <c r="EO53" s="322">
        <v>-919</v>
      </c>
      <c r="EP53" s="322">
        <v>-902</v>
      </c>
      <c r="EQ53" s="322">
        <v>-886</v>
      </c>
      <c r="ER53" s="322">
        <v>-523</v>
      </c>
      <c r="ES53" s="322">
        <f>ER53</f>
        <v>-523</v>
      </c>
      <c r="EU53" s="321" t="s">
        <v>151</v>
      </c>
      <c r="EV53" s="322">
        <v>-507</v>
      </c>
      <c r="EW53" s="322">
        <v>-492</v>
      </c>
      <c r="EX53" s="322">
        <v>-483</v>
      </c>
      <c r="EY53" s="322">
        <v>-666</v>
      </c>
      <c r="EZ53" s="322">
        <f>EY53</f>
        <v>-666</v>
      </c>
      <c r="FB53" s="321" t="s">
        <v>151</v>
      </c>
      <c r="FC53" s="322">
        <v>-668</v>
      </c>
      <c r="FD53" s="322">
        <v>-656</v>
      </c>
      <c r="FE53" s="322">
        <v>-645</v>
      </c>
      <c r="FF53" s="322">
        <v>-665</v>
      </c>
      <c r="FG53" s="322">
        <f>FF53</f>
        <v>-665</v>
      </c>
      <c r="FI53" s="321" t="s">
        <v>151</v>
      </c>
      <c r="FJ53" s="322">
        <v>-658</v>
      </c>
      <c r="FK53" s="322">
        <v>-649</v>
      </c>
      <c r="FL53" s="322">
        <v>-639</v>
      </c>
      <c r="FM53" s="322">
        <v>-640</v>
      </c>
      <c r="FN53" s="322">
        <f>FM53</f>
        <v>-640</v>
      </c>
      <c r="FP53" s="321" t="s">
        <v>151</v>
      </c>
      <c r="FQ53" s="322">
        <v>-634</v>
      </c>
      <c r="FR53" s="322">
        <v>-569</v>
      </c>
      <c r="FS53" s="322">
        <v>-561</v>
      </c>
      <c r="FT53" s="322">
        <v>-486</v>
      </c>
      <c r="FU53" s="322">
        <f>FT53</f>
        <v>-486</v>
      </c>
      <c r="FW53" s="321" t="s">
        <v>151</v>
      </c>
      <c r="FX53" s="322">
        <v>-585</v>
      </c>
      <c r="FY53" s="322">
        <v>-581</v>
      </c>
      <c r="FZ53" s="322">
        <v>-574</v>
      </c>
      <c r="GA53" s="322">
        <v>-661</v>
      </c>
      <c r="GB53" s="322">
        <f>GA53</f>
        <v>-661</v>
      </c>
      <c r="GD53" s="321" t="s">
        <v>151</v>
      </c>
      <c r="GE53" s="322">
        <v>-659</v>
      </c>
      <c r="GF53" s="322">
        <v>-655</v>
      </c>
      <c r="GG53" s="322">
        <v>-648</v>
      </c>
      <c r="GH53" s="322">
        <v>-675</v>
      </c>
      <c r="GI53" s="322">
        <f>GH53</f>
        <v>-675</v>
      </c>
      <c r="GK53" s="321" t="s">
        <v>151</v>
      </c>
      <c r="GL53" s="322">
        <v>-672</v>
      </c>
      <c r="GM53" s="322">
        <v>-652</v>
      </c>
      <c r="GN53" s="322">
        <v>-618</v>
      </c>
      <c r="GO53" s="322">
        <v>-598</v>
      </c>
      <c r="GP53" s="322">
        <f>+GO53</f>
        <v>-598</v>
      </c>
      <c r="GR53" s="321" t="s">
        <v>151</v>
      </c>
      <c r="GS53" s="322">
        <v>-530</v>
      </c>
      <c r="GT53" s="322">
        <v>-551</v>
      </c>
      <c r="GU53" s="322">
        <v>-534</v>
      </c>
      <c r="GV53" s="322">
        <v>-408</v>
      </c>
      <c r="GW53" s="322">
        <f>+GV53</f>
        <v>-408</v>
      </c>
      <c r="GY53" s="321" t="s">
        <v>151</v>
      </c>
      <c r="GZ53" s="322">
        <v>-377</v>
      </c>
      <c r="HA53" s="322">
        <v>-338</v>
      </c>
      <c r="HB53" s="322">
        <v>-320</v>
      </c>
      <c r="HC53" s="322">
        <v>-410</v>
      </c>
      <c r="HD53" s="322">
        <f>+HC53</f>
        <v>-410</v>
      </c>
      <c r="HF53" s="321" t="s">
        <v>151</v>
      </c>
      <c r="HG53" s="322">
        <v>-408</v>
      </c>
      <c r="HH53" s="322">
        <v>-412</v>
      </c>
      <c r="HI53" s="322">
        <v>-394</v>
      </c>
      <c r="HJ53" s="322">
        <v>-279</v>
      </c>
      <c r="HK53" s="322">
        <f>+HJ53</f>
        <v>-279</v>
      </c>
      <c r="HM53" s="321" t="s">
        <v>151</v>
      </c>
      <c r="HN53" s="322">
        <v>-273</v>
      </c>
      <c r="HO53" s="319">
        <v>-270</v>
      </c>
      <c r="HP53" s="319">
        <v>-269</v>
      </c>
      <c r="HQ53" s="322">
        <v>-232</v>
      </c>
      <c r="HR53" s="322">
        <f>+HQ53</f>
        <v>-232</v>
      </c>
      <c r="HT53" s="321" t="s">
        <v>151</v>
      </c>
      <c r="HU53" s="319">
        <v>-227</v>
      </c>
      <c r="HV53" s="319">
        <v>-224</v>
      </c>
      <c r="HW53" s="319">
        <v>-220</v>
      </c>
      <c r="HX53" s="319">
        <f t="shared" ref="HX53:HX54" si="129">+HW53</f>
        <v>-220</v>
      </c>
      <c r="HY53" s="319">
        <f>+HX53</f>
        <v>-220</v>
      </c>
      <c r="IA53" s="321" t="s">
        <v>151</v>
      </c>
      <c r="IB53" s="319">
        <f>+HY53</f>
        <v>-220</v>
      </c>
      <c r="IC53" s="319">
        <f t="shared" ref="IC53:IE54" si="130">+IB53</f>
        <v>-220</v>
      </c>
      <c r="ID53" s="319">
        <f t="shared" si="130"/>
        <v>-220</v>
      </c>
      <c r="IE53" s="319">
        <f t="shared" si="130"/>
        <v>-220</v>
      </c>
      <c r="IF53" s="319">
        <f>+IE53</f>
        <v>-220</v>
      </c>
      <c r="IH53" s="321" t="s">
        <v>151</v>
      </c>
      <c r="II53" s="319">
        <f>+IF53</f>
        <v>-220</v>
      </c>
      <c r="IJ53" s="319">
        <f t="shared" ref="IJ53:IJ54" si="131">+II53</f>
        <v>-220</v>
      </c>
      <c r="IK53" s="319">
        <f t="shared" ref="IK53:IK54" si="132">+IJ53</f>
        <v>-220</v>
      </c>
      <c r="IL53" s="319">
        <f t="shared" ref="IL53:IL54" si="133">+IK53</f>
        <v>-220</v>
      </c>
      <c r="IM53" s="319">
        <f>+IL53</f>
        <v>-220</v>
      </c>
      <c r="IO53" s="321" t="s">
        <v>151</v>
      </c>
      <c r="IP53" s="319">
        <f>+IM53</f>
        <v>-220</v>
      </c>
      <c r="IQ53" s="319">
        <f t="shared" ref="IQ53:IQ54" si="134">+IP53</f>
        <v>-220</v>
      </c>
      <c r="IR53" s="319">
        <f t="shared" ref="IR53:IR54" si="135">+IQ53</f>
        <v>-220</v>
      </c>
      <c r="IS53" s="319">
        <f t="shared" ref="IS53:IS54" si="136">+IR53</f>
        <v>-220</v>
      </c>
      <c r="IT53" s="319">
        <f>+IS53</f>
        <v>-220</v>
      </c>
    </row>
    <row r="54" spans="1:438" outlineLevel="1" x14ac:dyDescent="0.4">
      <c r="A54" s="137"/>
      <c r="B54" s="321" t="s">
        <v>79</v>
      </c>
      <c r="C54" s="322">
        <f>AY54</f>
        <v>0</v>
      </c>
      <c r="D54" s="322">
        <f>BF54</f>
        <v>0</v>
      </c>
      <c r="E54" s="322">
        <f>BM54</f>
        <v>0</v>
      </c>
      <c r="F54" s="322">
        <f>BT54</f>
        <v>0</v>
      </c>
      <c r="G54" s="322">
        <f>CA54</f>
        <v>0</v>
      </c>
      <c r="H54" s="322">
        <f>CH54</f>
        <v>0</v>
      </c>
      <c r="I54" s="322">
        <f>CO54</f>
        <v>0</v>
      </c>
      <c r="J54" s="322">
        <f>CV54</f>
        <v>0</v>
      </c>
      <c r="K54" s="322">
        <f>DC54</f>
        <v>0</v>
      </c>
      <c r="L54" s="322">
        <f>DJ54</f>
        <v>0</v>
      </c>
      <c r="M54" s="322">
        <f>DQ54</f>
        <v>14</v>
      </c>
      <c r="N54" s="322">
        <f>DX54</f>
        <v>14</v>
      </c>
      <c r="O54" s="322">
        <f>EE54</f>
        <v>13</v>
      </c>
      <c r="P54" s="322">
        <f>EL54</f>
        <v>14</v>
      </c>
      <c r="Q54" s="322">
        <f>ES54</f>
        <v>21</v>
      </c>
      <c r="R54" s="322">
        <f>EZ54</f>
        <v>24</v>
      </c>
      <c r="S54" s="322">
        <f>FG54</f>
        <v>16</v>
      </c>
      <c r="T54" s="322">
        <f>FN54</f>
        <v>15</v>
      </c>
      <c r="U54" s="322">
        <f>FU54</f>
        <v>16</v>
      </c>
      <c r="V54" s="322">
        <f>GB54</f>
        <v>17</v>
      </c>
      <c r="W54" s="322">
        <f>GI54</f>
        <v>15</v>
      </c>
      <c r="X54" s="322">
        <f>GP54</f>
        <v>9</v>
      </c>
      <c r="Y54" s="322">
        <f>GW54</f>
        <v>10</v>
      </c>
      <c r="Z54" s="322">
        <f>HD54</f>
        <v>10</v>
      </c>
      <c r="AA54" s="322">
        <f>HK54</f>
        <v>5</v>
      </c>
      <c r="AB54" s="319">
        <f>HR54</f>
        <v>5</v>
      </c>
      <c r="AC54" s="319">
        <f>HY54</f>
        <v>5</v>
      </c>
      <c r="AD54" s="319">
        <f>IF54</f>
        <v>5</v>
      </c>
      <c r="AE54" s="319">
        <f>IM54</f>
        <v>5</v>
      </c>
      <c r="AF54" s="319">
        <f>IT54</f>
        <v>5</v>
      </c>
      <c r="AG54" s="320"/>
      <c r="AH54" s="320"/>
      <c r="AI54" s="320"/>
      <c r="AJ54" s="320"/>
      <c r="AK54" s="320"/>
      <c r="AL54" s="320"/>
      <c r="AM54" s="320"/>
      <c r="AN54" s="320"/>
      <c r="AO54" s="320"/>
      <c r="AP54" s="320"/>
      <c r="AQ54" s="320"/>
      <c r="AR54" s="320"/>
      <c r="AT54" s="321" t="s">
        <v>79</v>
      </c>
      <c r="AU54" s="322"/>
      <c r="AV54" s="322"/>
      <c r="AW54" s="322"/>
      <c r="AX54" s="322">
        <v>0</v>
      </c>
      <c r="AY54" s="322">
        <f>AX54</f>
        <v>0</v>
      </c>
      <c r="BA54" s="321" t="s">
        <v>79</v>
      </c>
      <c r="BB54" s="322"/>
      <c r="BC54" s="322"/>
      <c r="BD54" s="322"/>
      <c r="BE54" s="322">
        <v>0</v>
      </c>
      <c r="BF54" s="322">
        <f>BE54</f>
        <v>0</v>
      </c>
      <c r="BH54" s="321" t="s">
        <v>79</v>
      </c>
      <c r="BI54" s="322">
        <v>0</v>
      </c>
      <c r="BJ54" s="322">
        <v>0</v>
      </c>
      <c r="BK54" s="322">
        <v>0</v>
      </c>
      <c r="BL54" s="322">
        <v>0</v>
      </c>
      <c r="BM54" s="322">
        <f>BL54</f>
        <v>0</v>
      </c>
      <c r="BO54" s="321" t="s">
        <v>79</v>
      </c>
      <c r="BP54" s="322"/>
      <c r="BQ54" s="322"/>
      <c r="BR54" s="322"/>
      <c r="BS54" s="322"/>
      <c r="BT54" s="322">
        <f>BS54</f>
        <v>0</v>
      </c>
      <c r="BV54" s="321" t="s">
        <v>79</v>
      </c>
      <c r="BW54" s="322">
        <v>0</v>
      </c>
      <c r="BX54" s="322"/>
      <c r="BY54" s="322"/>
      <c r="BZ54" s="322"/>
      <c r="CA54" s="322">
        <f>BZ54</f>
        <v>0</v>
      </c>
      <c r="CC54" s="321" t="s">
        <v>79</v>
      </c>
      <c r="CD54" s="322"/>
      <c r="CE54" s="322"/>
      <c r="CF54" s="322">
        <v>0</v>
      </c>
      <c r="CG54" s="322">
        <v>0</v>
      </c>
      <c r="CH54" s="322">
        <f>CG54</f>
        <v>0</v>
      </c>
      <c r="CJ54" s="321" t="s">
        <v>79</v>
      </c>
      <c r="CK54" s="322">
        <v>0</v>
      </c>
      <c r="CL54" s="322">
        <v>0</v>
      </c>
      <c r="CM54" s="322">
        <v>0</v>
      </c>
      <c r="CN54" s="322">
        <v>0</v>
      </c>
      <c r="CO54" s="322">
        <f>CN54</f>
        <v>0</v>
      </c>
      <c r="CQ54" s="321" t="s">
        <v>79</v>
      </c>
      <c r="CR54" s="322">
        <v>0</v>
      </c>
      <c r="CS54" s="322">
        <v>0</v>
      </c>
      <c r="CT54" s="322">
        <v>0</v>
      </c>
      <c r="CU54" s="322">
        <v>0</v>
      </c>
      <c r="CV54" s="322">
        <f>CU54</f>
        <v>0</v>
      </c>
      <c r="CX54" s="321" t="s">
        <v>79</v>
      </c>
      <c r="CY54" s="322">
        <v>0</v>
      </c>
      <c r="CZ54" s="322">
        <v>0</v>
      </c>
      <c r="DA54" s="322">
        <v>0</v>
      </c>
      <c r="DB54" s="322">
        <v>0</v>
      </c>
      <c r="DC54" s="322">
        <f>DB54</f>
        <v>0</v>
      </c>
      <c r="DE54" s="321" t="s">
        <v>79</v>
      </c>
      <c r="DF54" s="322">
        <v>0</v>
      </c>
      <c r="DG54" s="322">
        <v>0</v>
      </c>
      <c r="DH54" s="322">
        <v>0</v>
      </c>
      <c r="DI54" s="322">
        <v>0</v>
      </c>
      <c r="DJ54" s="322">
        <f>DI54</f>
        <v>0</v>
      </c>
      <c r="DL54" s="321" t="s">
        <v>79</v>
      </c>
      <c r="DM54" s="322">
        <v>21</v>
      </c>
      <c r="DN54" s="322">
        <v>13</v>
      </c>
      <c r="DO54" s="322">
        <v>13</v>
      </c>
      <c r="DP54" s="322">
        <v>14</v>
      </c>
      <c r="DQ54" s="322">
        <f>DP54</f>
        <v>14</v>
      </c>
      <c r="DS54" s="321" t="s">
        <v>79</v>
      </c>
      <c r="DT54" s="322">
        <v>15</v>
      </c>
      <c r="DU54" s="322">
        <v>16</v>
      </c>
      <c r="DV54" s="322">
        <v>13</v>
      </c>
      <c r="DW54" s="322">
        <v>14</v>
      </c>
      <c r="DX54" s="322">
        <f>DW54</f>
        <v>14</v>
      </c>
      <c r="DZ54" s="321" t="s">
        <v>79</v>
      </c>
      <c r="EA54" s="322">
        <v>14</v>
      </c>
      <c r="EB54" s="322">
        <v>11</v>
      </c>
      <c r="EC54" s="322">
        <v>12</v>
      </c>
      <c r="ED54" s="322">
        <v>13</v>
      </c>
      <c r="EE54" s="322">
        <f>ED54</f>
        <v>13</v>
      </c>
      <c r="EG54" s="321" t="s">
        <v>79</v>
      </c>
      <c r="EH54" s="322">
        <v>13</v>
      </c>
      <c r="EI54" s="322">
        <v>14</v>
      </c>
      <c r="EJ54" s="322">
        <v>15</v>
      </c>
      <c r="EK54" s="322">
        <v>14</v>
      </c>
      <c r="EL54" s="322">
        <f>EK54</f>
        <v>14</v>
      </c>
      <c r="EN54" s="321" t="s">
        <v>79</v>
      </c>
      <c r="EO54" s="322">
        <v>18</v>
      </c>
      <c r="EP54" s="322">
        <v>19</v>
      </c>
      <c r="EQ54" s="322">
        <v>20</v>
      </c>
      <c r="ER54" s="322">
        <v>21</v>
      </c>
      <c r="ES54" s="322">
        <f>ER54</f>
        <v>21</v>
      </c>
      <c r="EU54" s="321" t="s">
        <v>79</v>
      </c>
      <c r="EV54" s="322">
        <v>21</v>
      </c>
      <c r="EW54" s="322">
        <v>22</v>
      </c>
      <c r="EX54" s="322">
        <v>23</v>
      </c>
      <c r="EY54" s="322">
        <v>24</v>
      </c>
      <c r="EZ54" s="322">
        <f>EY54</f>
        <v>24</v>
      </c>
      <c r="FB54" s="321" t="s">
        <v>79</v>
      </c>
      <c r="FC54" s="322">
        <v>23</v>
      </c>
      <c r="FD54" s="322">
        <v>14</v>
      </c>
      <c r="FE54" s="322">
        <v>15</v>
      </c>
      <c r="FF54" s="322">
        <v>16</v>
      </c>
      <c r="FG54" s="322">
        <f>FF54</f>
        <v>16</v>
      </c>
      <c r="FI54" s="321" t="s">
        <v>79</v>
      </c>
      <c r="FJ54" s="322">
        <v>13</v>
      </c>
      <c r="FK54" s="322">
        <v>13</v>
      </c>
      <c r="FL54" s="322">
        <v>14</v>
      </c>
      <c r="FM54" s="322">
        <v>15</v>
      </c>
      <c r="FN54" s="322">
        <f>FM54</f>
        <v>15</v>
      </c>
      <c r="FP54" s="321" t="s">
        <v>79</v>
      </c>
      <c r="FQ54" s="322">
        <v>13</v>
      </c>
      <c r="FR54" s="322">
        <v>14</v>
      </c>
      <c r="FS54" s="322">
        <v>15</v>
      </c>
      <c r="FT54" s="322">
        <v>16</v>
      </c>
      <c r="FU54" s="322">
        <f>FT54</f>
        <v>16</v>
      </c>
      <c r="FW54" s="321" t="s">
        <v>79</v>
      </c>
      <c r="FX54" s="322">
        <v>13</v>
      </c>
      <c r="FY54" s="322">
        <v>14</v>
      </c>
      <c r="FZ54" s="322">
        <v>16</v>
      </c>
      <c r="GA54" s="322">
        <v>17</v>
      </c>
      <c r="GB54" s="322">
        <f>GA54</f>
        <v>17</v>
      </c>
      <c r="GD54" s="321" t="s">
        <v>79</v>
      </c>
      <c r="GE54" s="322">
        <v>17</v>
      </c>
      <c r="GF54" s="322">
        <v>14</v>
      </c>
      <c r="GG54" s="322">
        <v>15</v>
      </c>
      <c r="GH54" s="322">
        <v>15</v>
      </c>
      <c r="GI54" s="322">
        <f>GH54</f>
        <v>15</v>
      </c>
      <c r="GK54" s="321" t="s">
        <v>79</v>
      </c>
      <c r="GL54" s="322">
        <v>17</v>
      </c>
      <c r="GM54" s="322">
        <v>13</v>
      </c>
      <c r="GN54" s="322">
        <v>14</v>
      </c>
      <c r="GO54" s="322">
        <v>9</v>
      </c>
      <c r="GP54" s="322">
        <f>+GO54</f>
        <v>9</v>
      </c>
      <c r="GR54" s="321" t="s">
        <v>79</v>
      </c>
      <c r="GS54" s="322">
        <v>9</v>
      </c>
      <c r="GT54" s="322">
        <v>8</v>
      </c>
      <c r="GU54" s="322">
        <v>9</v>
      </c>
      <c r="GV54" s="322">
        <v>10</v>
      </c>
      <c r="GW54" s="322">
        <f>+GV54</f>
        <v>10</v>
      </c>
      <c r="GY54" s="321" t="s">
        <v>79</v>
      </c>
      <c r="GZ54" s="322">
        <v>11</v>
      </c>
      <c r="HA54" s="322">
        <v>10</v>
      </c>
      <c r="HB54" s="322">
        <v>9</v>
      </c>
      <c r="HC54" s="322">
        <v>10</v>
      </c>
      <c r="HD54" s="322">
        <f>+HC54</f>
        <v>10</v>
      </c>
      <c r="HF54" s="321" t="s">
        <v>79</v>
      </c>
      <c r="HG54" s="322">
        <v>8</v>
      </c>
      <c r="HH54" s="322">
        <v>4</v>
      </c>
      <c r="HI54" s="322">
        <v>4</v>
      </c>
      <c r="HJ54" s="322">
        <v>5</v>
      </c>
      <c r="HK54" s="322">
        <f>+HJ54</f>
        <v>5</v>
      </c>
      <c r="HM54" s="321" t="s">
        <v>79</v>
      </c>
      <c r="HN54" s="322">
        <v>5</v>
      </c>
      <c r="HO54" s="319">
        <v>4</v>
      </c>
      <c r="HP54" s="319">
        <v>5</v>
      </c>
      <c r="HQ54" s="322">
        <v>5</v>
      </c>
      <c r="HR54" s="322">
        <f>+HQ54</f>
        <v>5</v>
      </c>
      <c r="HT54" s="321" t="s">
        <v>79</v>
      </c>
      <c r="HU54" s="319">
        <v>5</v>
      </c>
      <c r="HV54" s="319">
        <v>5</v>
      </c>
      <c r="HW54" s="319">
        <v>5</v>
      </c>
      <c r="HX54" s="319">
        <f t="shared" si="129"/>
        <v>5</v>
      </c>
      <c r="HY54" s="319">
        <f>+HX54</f>
        <v>5</v>
      </c>
      <c r="IA54" s="321" t="s">
        <v>79</v>
      </c>
      <c r="IB54" s="319">
        <f>+HY54</f>
        <v>5</v>
      </c>
      <c r="IC54" s="319">
        <f t="shared" si="130"/>
        <v>5</v>
      </c>
      <c r="ID54" s="319">
        <f t="shared" si="130"/>
        <v>5</v>
      </c>
      <c r="IE54" s="319">
        <f t="shared" si="130"/>
        <v>5</v>
      </c>
      <c r="IF54" s="319">
        <f>+IE54</f>
        <v>5</v>
      </c>
      <c r="IH54" s="321" t="s">
        <v>79</v>
      </c>
      <c r="II54" s="319">
        <f>+IF54</f>
        <v>5</v>
      </c>
      <c r="IJ54" s="319">
        <f t="shared" si="131"/>
        <v>5</v>
      </c>
      <c r="IK54" s="319">
        <f t="shared" si="132"/>
        <v>5</v>
      </c>
      <c r="IL54" s="319">
        <f t="shared" si="133"/>
        <v>5</v>
      </c>
      <c r="IM54" s="319">
        <f>+IL54</f>
        <v>5</v>
      </c>
      <c r="IO54" s="321" t="s">
        <v>79</v>
      </c>
      <c r="IP54" s="319">
        <f>+IM54</f>
        <v>5</v>
      </c>
      <c r="IQ54" s="319">
        <f t="shared" si="134"/>
        <v>5</v>
      </c>
      <c r="IR54" s="319">
        <f t="shared" si="135"/>
        <v>5</v>
      </c>
      <c r="IS54" s="319">
        <f t="shared" si="136"/>
        <v>5</v>
      </c>
      <c r="IT54" s="319">
        <f>+IS54</f>
        <v>5</v>
      </c>
    </row>
    <row r="55" spans="1:438" outlineLevel="1" x14ac:dyDescent="0.4">
      <c r="A55" s="137"/>
      <c r="B55" s="318"/>
      <c r="C55" s="319"/>
      <c r="D55" s="319"/>
      <c r="E55" s="319"/>
      <c r="F55" s="319"/>
      <c r="G55" s="319"/>
      <c r="H55" s="319"/>
      <c r="I55" s="319"/>
      <c r="J55" s="319"/>
      <c r="K55" s="319"/>
      <c r="L55" s="319"/>
      <c r="M55" s="319"/>
      <c r="N55" s="319"/>
      <c r="O55" s="319"/>
      <c r="P55" s="319"/>
      <c r="Q55" s="319"/>
      <c r="R55" s="319"/>
      <c r="S55" s="319"/>
      <c r="T55" s="319"/>
      <c r="U55" s="319"/>
      <c r="V55" s="319"/>
      <c r="W55" s="319"/>
      <c r="X55" s="319"/>
      <c r="Y55" s="319"/>
      <c r="Z55" s="319"/>
      <c r="AA55" s="319"/>
      <c r="AB55" s="319"/>
      <c r="AC55" s="319"/>
      <c r="AD55" s="319"/>
      <c r="AE55" s="319"/>
      <c r="AF55" s="319"/>
      <c r="AG55" s="320"/>
      <c r="AH55" s="320"/>
      <c r="AI55" s="320"/>
      <c r="AJ55" s="320"/>
      <c r="AK55" s="320"/>
      <c r="AL55" s="320"/>
      <c r="AM55" s="320"/>
      <c r="AN55" s="320"/>
      <c r="AO55" s="320"/>
      <c r="AP55" s="320"/>
      <c r="AQ55" s="320"/>
      <c r="AR55" s="320"/>
      <c r="AT55" s="318"/>
      <c r="AU55" s="319"/>
      <c r="AV55" s="319"/>
      <c r="AW55" s="319"/>
      <c r="AX55" s="319"/>
      <c r="AY55" s="319"/>
      <c r="BA55" s="318"/>
      <c r="BB55" s="319"/>
      <c r="BC55" s="319"/>
      <c r="BD55" s="319"/>
      <c r="BE55" s="319"/>
      <c r="BF55" s="319"/>
      <c r="BH55" s="318"/>
      <c r="BI55" s="319"/>
      <c r="BJ55" s="319"/>
      <c r="BK55" s="319"/>
      <c r="BL55" s="319"/>
      <c r="BM55" s="319"/>
      <c r="BO55" s="318"/>
      <c r="BP55" s="319"/>
      <c r="BQ55" s="319"/>
      <c r="BR55" s="319"/>
      <c r="BS55" s="319"/>
      <c r="BT55" s="319"/>
      <c r="BV55" s="318"/>
      <c r="BW55" s="319"/>
      <c r="BX55" s="319"/>
      <c r="BY55" s="319"/>
      <c r="BZ55" s="319"/>
      <c r="CA55" s="319"/>
      <c r="CC55" s="318"/>
      <c r="CD55" s="319"/>
      <c r="CE55" s="319"/>
      <c r="CF55" s="319"/>
      <c r="CG55" s="319"/>
      <c r="CH55" s="319"/>
      <c r="CJ55" s="318"/>
      <c r="CK55" s="319"/>
      <c r="CL55" s="319"/>
      <c r="CM55" s="319"/>
      <c r="CN55" s="319"/>
      <c r="CO55" s="319"/>
      <c r="CQ55" s="318"/>
      <c r="CR55" s="319"/>
      <c r="CS55" s="319"/>
      <c r="CT55" s="319"/>
      <c r="CU55" s="319"/>
      <c r="CV55" s="319"/>
      <c r="CX55" s="318"/>
      <c r="CY55" s="319"/>
      <c r="CZ55" s="319"/>
      <c r="DA55" s="319"/>
      <c r="DB55" s="319"/>
      <c r="DC55" s="319"/>
      <c r="DE55" s="318"/>
      <c r="DF55" s="319"/>
      <c r="DG55" s="319"/>
      <c r="DH55" s="319"/>
      <c r="DI55" s="319"/>
      <c r="DJ55" s="319"/>
      <c r="DL55" s="318"/>
      <c r="DM55" s="319"/>
      <c r="DN55" s="319"/>
      <c r="DO55" s="319"/>
      <c r="DP55" s="319"/>
      <c r="DQ55" s="319"/>
      <c r="DS55" s="318"/>
      <c r="DT55" s="319"/>
      <c r="DU55" s="319"/>
      <c r="DV55" s="319"/>
      <c r="DW55" s="319"/>
      <c r="DX55" s="319"/>
      <c r="DZ55" s="318"/>
      <c r="EA55" s="319"/>
      <c r="EB55" s="319"/>
      <c r="EC55" s="319"/>
      <c r="ED55" s="319"/>
      <c r="EE55" s="319"/>
      <c r="EG55" s="318"/>
      <c r="EH55" s="319"/>
      <c r="EI55" s="319"/>
      <c r="EJ55" s="319"/>
      <c r="EK55" s="319"/>
      <c r="EL55" s="319"/>
      <c r="EN55" s="318"/>
      <c r="EO55" s="319"/>
      <c r="EP55" s="319"/>
      <c r="EQ55" s="319"/>
      <c r="ER55" s="319"/>
      <c r="ES55" s="319"/>
      <c r="EU55" s="318"/>
      <c r="EV55" s="319"/>
      <c r="EW55" s="319"/>
      <c r="EX55" s="319"/>
      <c r="EY55" s="319"/>
      <c r="EZ55" s="319"/>
      <c r="FB55" s="318"/>
      <c r="FC55" s="319"/>
      <c r="FD55" s="319"/>
      <c r="FE55" s="319"/>
      <c r="FF55" s="319"/>
      <c r="FG55" s="319"/>
      <c r="FI55" s="318"/>
      <c r="FJ55" s="319"/>
      <c r="FK55" s="319"/>
      <c r="FL55" s="319"/>
      <c r="FM55" s="319"/>
      <c r="FN55" s="319"/>
      <c r="FP55" s="318"/>
      <c r="FQ55" s="319"/>
      <c r="FR55" s="319"/>
      <c r="FS55" s="319"/>
      <c r="FT55" s="319"/>
      <c r="FU55" s="319"/>
      <c r="FW55" s="318"/>
      <c r="FX55" s="319"/>
      <c r="FY55" s="319"/>
      <c r="FZ55" s="319"/>
      <c r="GA55" s="319"/>
      <c r="GB55" s="319"/>
      <c r="GD55" s="318"/>
      <c r="GE55" s="319"/>
      <c r="GF55" s="319"/>
      <c r="GG55" s="319"/>
      <c r="GH55" s="319"/>
      <c r="GI55" s="319"/>
      <c r="GK55" s="318"/>
      <c r="GL55" s="319"/>
      <c r="GM55" s="319"/>
      <c r="GN55" s="319"/>
      <c r="GO55" s="319"/>
      <c r="GP55" s="319"/>
      <c r="GR55" s="318"/>
      <c r="GS55" s="319"/>
      <c r="GT55" s="319"/>
      <c r="GU55" s="319"/>
      <c r="GV55" s="319"/>
      <c r="GW55" s="319"/>
      <c r="GY55" s="318"/>
      <c r="GZ55" s="319"/>
      <c r="HA55" s="319"/>
      <c r="HB55" s="319"/>
      <c r="HC55" s="319"/>
      <c r="HD55" s="319"/>
      <c r="HF55" s="318"/>
      <c r="HG55" s="319"/>
      <c r="HH55" s="319"/>
      <c r="HI55" s="319"/>
      <c r="HJ55" s="319"/>
      <c r="HK55" s="319"/>
      <c r="HM55" s="318"/>
      <c r="HN55" s="319"/>
      <c r="HO55" s="319"/>
      <c r="HP55" s="319"/>
      <c r="HQ55" s="319"/>
      <c r="HR55" s="319"/>
      <c r="HT55" s="318"/>
      <c r="HU55" s="319"/>
      <c r="HV55" s="319"/>
      <c r="HW55" s="319"/>
      <c r="HX55" s="319"/>
      <c r="HY55" s="319"/>
      <c r="IA55" s="318"/>
      <c r="IB55" s="319"/>
      <c r="IC55" s="319"/>
      <c r="ID55" s="319"/>
      <c r="IE55" s="319"/>
      <c r="IF55" s="319"/>
      <c r="IH55" s="318"/>
      <c r="II55" s="319"/>
      <c r="IJ55" s="319"/>
      <c r="IK55" s="319"/>
      <c r="IL55" s="319"/>
      <c r="IM55" s="319"/>
      <c r="IO55" s="318"/>
      <c r="IP55" s="319"/>
      <c r="IQ55" s="319"/>
      <c r="IR55" s="319"/>
      <c r="IS55" s="319"/>
      <c r="IT55" s="319"/>
    </row>
    <row r="56" spans="1:438" s="336" customFormat="1" ht="15" customHeight="1" thickBot="1" x14ac:dyDescent="0.45">
      <c r="A56" s="325"/>
      <c r="B56" s="326" t="s">
        <v>220</v>
      </c>
      <c r="C56" s="327">
        <f>AY56</f>
        <v>0</v>
      </c>
      <c r="D56" s="327">
        <f>BF56</f>
        <v>0</v>
      </c>
      <c r="E56" s="327">
        <f>BM56</f>
        <v>0</v>
      </c>
      <c r="F56" s="327">
        <f>BT56</f>
        <v>0</v>
      </c>
      <c r="G56" s="327">
        <f>CA56</f>
        <v>0</v>
      </c>
      <c r="H56" s="327">
        <f>CH56</f>
        <v>0</v>
      </c>
      <c r="I56" s="327">
        <f>CO56</f>
        <v>7954</v>
      </c>
      <c r="J56" s="327">
        <f>CV56</f>
        <v>8942</v>
      </c>
      <c r="K56" s="327">
        <f>DC56</f>
        <v>8685</v>
      </c>
      <c r="L56" s="327">
        <f>DJ56</f>
        <v>8048</v>
      </c>
      <c r="M56" s="327">
        <f>DQ56</f>
        <v>8860</v>
      </c>
      <c r="N56" s="327">
        <f>DX56</f>
        <v>8700</v>
      </c>
      <c r="O56" s="327">
        <f>EE56</f>
        <v>8468</v>
      </c>
      <c r="P56" s="327">
        <f>EL56</f>
        <v>9002</v>
      </c>
      <c r="Q56" s="327">
        <f>ES56</f>
        <v>10504</v>
      </c>
      <c r="R56" s="327">
        <f>EZ56</f>
        <v>11176</v>
      </c>
      <c r="S56" s="327">
        <f>FG56</f>
        <v>11668</v>
      </c>
      <c r="T56" s="327">
        <f>FN56</f>
        <v>11694</v>
      </c>
      <c r="U56" s="327">
        <f>FU56</f>
        <v>14721</v>
      </c>
      <c r="V56" s="327">
        <f>GB56</f>
        <v>12580</v>
      </c>
      <c r="W56" s="327">
        <f>GI56</f>
        <v>11863</v>
      </c>
      <c r="X56" s="327">
        <f>GP56</f>
        <v>13110</v>
      </c>
      <c r="Y56" s="327">
        <f>GW56</f>
        <v>13500</v>
      </c>
      <c r="Z56" s="327">
        <f>HD56</f>
        <v>12469</v>
      </c>
      <c r="AA56" s="327">
        <f>HK56</f>
        <v>11985</v>
      </c>
      <c r="AB56" s="327">
        <f>HR56</f>
        <v>12507</v>
      </c>
      <c r="AC56" s="327">
        <f>HY56</f>
        <v>13160</v>
      </c>
      <c r="AD56" s="327">
        <f>IF56</f>
        <v>15530.790891148217</v>
      </c>
      <c r="AE56" s="327">
        <f>IM56</f>
        <v>18358.86385260088</v>
      </c>
      <c r="AF56" s="327">
        <f>IT56</f>
        <v>21507.285196669261</v>
      </c>
      <c r="AG56" s="328"/>
      <c r="AH56" s="328"/>
      <c r="AI56" s="328"/>
      <c r="AJ56" s="328"/>
      <c r="AK56" s="328"/>
      <c r="AL56" s="328"/>
      <c r="AM56" s="328"/>
      <c r="AN56" s="328"/>
      <c r="AO56" s="328"/>
      <c r="AP56" s="328"/>
      <c r="AQ56" s="328"/>
      <c r="AR56" s="328"/>
      <c r="AS56" s="329"/>
      <c r="AT56" s="326" t="s">
        <v>220</v>
      </c>
      <c r="AU56" s="327"/>
      <c r="AV56" s="327"/>
      <c r="AW56" s="327"/>
      <c r="AX56" s="327"/>
      <c r="AY56" s="327"/>
      <c r="AZ56" s="329"/>
      <c r="BA56" s="326" t="s">
        <v>220</v>
      </c>
      <c r="BB56" s="327"/>
      <c r="BC56" s="327"/>
      <c r="BD56" s="327"/>
      <c r="BE56" s="327"/>
      <c r="BF56" s="327"/>
      <c r="BG56" s="329"/>
      <c r="BH56" s="326" t="s">
        <v>220</v>
      </c>
      <c r="BI56" s="327"/>
      <c r="BJ56" s="327"/>
      <c r="BK56" s="327"/>
      <c r="BL56" s="327"/>
      <c r="BM56" s="327"/>
      <c r="BN56" s="329"/>
      <c r="BO56" s="326" t="s">
        <v>220</v>
      </c>
      <c r="BP56" s="327"/>
      <c r="BQ56" s="327"/>
      <c r="BR56" s="327"/>
      <c r="BS56" s="327"/>
      <c r="BT56" s="327"/>
      <c r="BU56" s="329"/>
      <c r="BV56" s="326" t="s">
        <v>220</v>
      </c>
      <c r="BW56" s="327"/>
      <c r="BX56" s="327"/>
      <c r="BY56" s="327"/>
      <c r="BZ56" s="327"/>
      <c r="CA56" s="327"/>
      <c r="CB56" s="329"/>
      <c r="CC56" s="326" t="s">
        <v>220</v>
      </c>
      <c r="CD56" s="327"/>
      <c r="CE56" s="327"/>
      <c r="CF56" s="327"/>
      <c r="CG56" s="327"/>
      <c r="CH56" s="327"/>
      <c r="CI56" s="329"/>
      <c r="CJ56" s="326" t="s">
        <v>220</v>
      </c>
      <c r="CK56" s="327">
        <f>+SUM(CK50:CK54)</f>
        <v>7488</v>
      </c>
      <c r="CL56" s="327">
        <f>+SUM(CL50:CL54)</f>
        <v>7617</v>
      </c>
      <c r="CM56" s="327">
        <f>+SUM(CM50:CM54)</f>
        <v>7762</v>
      </c>
      <c r="CN56" s="327">
        <f>+SUM(CN50:CN54)</f>
        <v>7954</v>
      </c>
      <c r="CO56" s="327">
        <f>+SUM(CO50:CO54)</f>
        <v>7954</v>
      </c>
      <c r="CP56" s="329"/>
      <c r="CQ56" s="326" t="s">
        <v>220</v>
      </c>
      <c r="CR56" s="327">
        <f>+SUM(CR50:CR54)</f>
        <v>8275</v>
      </c>
      <c r="CS56" s="327">
        <f>+SUM(CS50:CS54)</f>
        <v>8603</v>
      </c>
      <c r="CT56" s="327">
        <f>+SUM(CT50:CT54)</f>
        <v>8643</v>
      </c>
      <c r="CU56" s="327">
        <f>+SUM(CU50:CU54)</f>
        <v>8942</v>
      </c>
      <c r="CV56" s="327">
        <f>+SUM(CV50:CV54)</f>
        <v>8942</v>
      </c>
      <c r="CW56" s="329"/>
      <c r="CX56" s="326" t="s">
        <v>220</v>
      </c>
      <c r="CY56" s="327">
        <f>+SUM(CY50:CY54)</f>
        <v>9118</v>
      </c>
      <c r="CZ56" s="327">
        <f>+SUM(CZ50:CZ54)</f>
        <v>9240</v>
      </c>
      <c r="DA56" s="327">
        <f>+SUM(DA50:DA54)</f>
        <v>8777</v>
      </c>
      <c r="DB56" s="327">
        <f>+SUM(DB50:DB54)</f>
        <v>8685</v>
      </c>
      <c r="DC56" s="327">
        <f>+SUM(DC50:DC54)</f>
        <v>8685</v>
      </c>
      <c r="DD56" s="329"/>
      <c r="DE56" s="326" t="s">
        <v>220</v>
      </c>
      <c r="DF56" s="327">
        <f>+SUM(DF50:DF54)</f>
        <v>8742</v>
      </c>
      <c r="DG56" s="327">
        <f>+SUM(DG50:DG54)</f>
        <v>9073</v>
      </c>
      <c r="DH56" s="327">
        <f>+SUM(DH50:DH54)</f>
        <v>8573</v>
      </c>
      <c r="DI56" s="327">
        <f>+SUM(DI50:DI54)</f>
        <v>8048</v>
      </c>
      <c r="DJ56" s="327">
        <f>+SUM(DJ50:DJ54)</f>
        <v>8048</v>
      </c>
      <c r="DK56" s="329"/>
      <c r="DL56" s="326" t="s">
        <v>220</v>
      </c>
      <c r="DM56" s="327">
        <f>+SUM(DM50:DM54)</f>
        <v>8205</v>
      </c>
      <c r="DN56" s="327">
        <f>+SUM(DN50:DN54)</f>
        <v>8456</v>
      </c>
      <c r="DO56" s="327">
        <f>+SUM(DO50:DO54)</f>
        <v>8689</v>
      </c>
      <c r="DP56" s="327">
        <f>+SUM(DP50:DP54)</f>
        <v>8860</v>
      </c>
      <c r="DQ56" s="327">
        <f>+SUM(DQ50:DQ54)</f>
        <v>8860</v>
      </c>
      <c r="DR56" s="329"/>
      <c r="DS56" s="326" t="s">
        <v>220</v>
      </c>
      <c r="DT56" s="327">
        <f>+SUM(DT50:DT54)</f>
        <v>8885</v>
      </c>
      <c r="DU56" s="327">
        <f>+SUM(DU50:DU54)</f>
        <v>8577</v>
      </c>
      <c r="DV56" s="327">
        <f>+SUM(DV50:DV54)</f>
        <v>8638</v>
      </c>
      <c r="DW56" s="327">
        <f>+SUM(DW50:DW54)</f>
        <v>8700</v>
      </c>
      <c r="DX56" s="327">
        <f>+SUM(DX50:DX54)</f>
        <v>8700</v>
      </c>
      <c r="DY56" s="329"/>
      <c r="DZ56" s="326" t="s">
        <v>220</v>
      </c>
      <c r="EA56" s="327">
        <f>+SUM(EA50:EA54)</f>
        <v>8756</v>
      </c>
      <c r="EB56" s="327">
        <f>+SUM(EB50:EB54)</f>
        <v>8941</v>
      </c>
      <c r="EC56" s="327">
        <f>+SUM(EC50:EC54)</f>
        <v>8268</v>
      </c>
      <c r="ED56" s="327">
        <f>+SUM(ED50:ED54)</f>
        <v>8468</v>
      </c>
      <c r="EE56" s="327">
        <f>+SUM(EE50:EE54)</f>
        <v>8468</v>
      </c>
      <c r="EF56" s="329"/>
      <c r="EG56" s="326" t="s">
        <v>220</v>
      </c>
      <c r="EH56" s="327">
        <f>+SUM(EH50:EH54)</f>
        <v>8504</v>
      </c>
      <c r="EI56" s="327">
        <f>+SUM(EI50:EI54)</f>
        <v>8895</v>
      </c>
      <c r="EJ56" s="327">
        <f>+SUM(EJ50:EJ54)</f>
        <v>9031</v>
      </c>
      <c r="EK56" s="327">
        <f>+SUM(EK50:EK54)</f>
        <v>9002</v>
      </c>
      <c r="EL56" s="327">
        <f>+SUM(EL50:EL54)</f>
        <v>9002</v>
      </c>
      <c r="EM56" s="329"/>
      <c r="EN56" s="326" t="s">
        <v>220</v>
      </c>
      <c r="EO56" s="327">
        <f>+SUM(EO50:EO54)</f>
        <v>9348</v>
      </c>
      <c r="EP56" s="327">
        <f>+SUM(EP50:EP54)</f>
        <v>9662</v>
      </c>
      <c r="EQ56" s="327">
        <f>+SUM(EQ50:EQ54)</f>
        <v>9868</v>
      </c>
      <c r="ER56" s="327">
        <f>+SUM(ER50:ER54)</f>
        <v>10504</v>
      </c>
      <c r="ES56" s="327">
        <f>+SUM(ES50:ES54)</f>
        <v>10504</v>
      </c>
      <c r="ET56" s="329"/>
      <c r="EU56" s="326" t="s">
        <v>220</v>
      </c>
      <c r="EV56" s="327">
        <f>+SUM(EV50:EV54)</f>
        <v>10645</v>
      </c>
      <c r="EW56" s="327">
        <f>+SUM(EW50:EW54)</f>
        <v>10904</v>
      </c>
      <c r="EX56" s="327">
        <f>+SUM(EX50:EX54)</f>
        <v>11142</v>
      </c>
      <c r="EY56" s="327">
        <f>+SUM(EY50:EY54)</f>
        <v>11176</v>
      </c>
      <c r="EZ56" s="327">
        <f>+SUM(EZ50:EZ54)</f>
        <v>11176</v>
      </c>
      <c r="FA56" s="329"/>
      <c r="FB56" s="326" t="s">
        <v>220</v>
      </c>
      <c r="FC56" s="327">
        <f>+SUM(FC50:FC54)</f>
        <v>11338</v>
      </c>
      <c r="FD56" s="327">
        <f>+SUM(FD50:FD54)</f>
        <v>11577</v>
      </c>
      <c r="FE56" s="327">
        <f>+SUM(FE50:FE54)</f>
        <v>11660</v>
      </c>
      <c r="FF56" s="327">
        <f>+SUM(FF50:FF54)</f>
        <v>11668</v>
      </c>
      <c r="FG56" s="327">
        <f>+SUM(FG50:FG54)</f>
        <v>11668</v>
      </c>
      <c r="FH56" s="329"/>
      <c r="FI56" s="326" t="s">
        <v>220</v>
      </c>
      <c r="FJ56" s="327">
        <f>+SUM(FJ50:FJ54)</f>
        <v>11606</v>
      </c>
      <c r="FK56" s="327">
        <f>+SUM(FK50:FK54)</f>
        <v>11625</v>
      </c>
      <c r="FL56" s="327">
        <f>+SUM(FL50:FL54)</f>
        <v>11670</v>
      </c>
      <c r="FM56" s="327">
        <f>+SUM(FM50:FM54)</f>
        <v>11694</v>
      </c>
      <c r="FN56" s="327">
        <f>+SUM(FN50:FN54)</f>
        <v>11694</v>
      </c>
      <c r="FO56" s="329"/>
      <c r="FP56" s="326" t="s">
        <v>220</v>
      </c>
      <c r="FQ56" s="327">
        <f>+SUM(FQ50:FQ54)</f>
        <v>11669</v>
      </c>
      <c r="FR56" s="327">
        <f>+SUM(FR50:FR54)</f>
        <v>11601</v>
      </c>
      <c r="FS56" s="327">
        <f>+SUM(FS50:FS54)</f>
        <v>10902</v>
      </c>
      <c r="FT56" s="327">
        <f>+SUM(FT50:FT54)</f>
        <v>14721</v>
      </c>
      <c r="FU56" s="327">
        <f>+SUM(FU50:FU54)</f>
        <v>14721</v>
      </c>
      <c r="FV56" s="329"/>
      <c r="FW56" s="326" t="s">
        <v>220</v>
      </c>
      <c r="FX56" s="327">
        <f>+SUM(FX50:FX54)</f>
        <v>14391</v>
      </c>
      <c r="FY56" s="327">
        <f>+SUM(FY50:FY54)</f>
        <v>14023</v>
      </c>
      <c r="FZ56" s="327">
        <f>+SUM(FZ50:FZ54)</f>
        <v>13735</v>
      </c>
      <c r="GA56" s="327">
        <f>+SUM(GA50:GA54)</f>
        <v>12580</v>
      </c>
      <c r="GB56" s="327">
        <f>+SUM(GB50:GB54)</f>
        <v>12580</v>
      </c>
      <c r="GC56" s="329"/>
      <c r="GD56" s="326" t="s">
        <v>220</v>
      </c>
      <c r="GE56" s="327">
        <f>+SUM(GE50:GE54)</f>
        <v>12445</v>
      </c>
      <c r="GF56" s="327">
        <f>+SUM(GF50:GF54)</f>
        <v>12290</v>
      </c>
      <c r="GG56" s="327">
        <f>+SUM(GG50:GG54)</f>
        <v>11879</v>
      </c>
      <c r="GH56" s="327">
        <f>+SUM(GH50:GH54)</f>
        <v>11863</v>
      </c>
      <c r="GI56" s="327">
        <f>+SUM(GI50:GI54)</f>
        <v>11863</v>
      </c>
      <c r="GJ56" s="329"/>
      <c r="GK56" s="326" t="s">
        <v>220</v>
      </c>
      <c r="GL56" s="327">
        <f>+SUM(GL50:GL54)</f>
        <v>11888</v>
      </c>
      <c r="GM56" s="327">
        <f>+SUM(GM50:GM54)</f>
        <v>12163</v>
      </c>
      <c r="GN56" s="327">
        <f>+SUM(GN50:GN54)</f>
        <v>12727</v>
      </c>
      <c r="GO56" s="327">
        <f>+SUM(GO50:GO54)</f>
        <v>13110</v>
      </c>
      <c r="GP56" s="327">
        <f>+SUM(GP50:GP54)</f>
        <v>13110</v>
      </c>
      <c r="GQ56" s="329"/>
      <c r="GR56" s="326" t="s">
        <v>220</v>
      </c>
      <c r="GS56" s="327">
        <f>+SUM(GS50:GS54)</f>
        <v>13160</v>
      </c>
      <c r="GT56" s="327">
        <f>+SUM(GT50:GT54)</f>
        <v>13434</v>
      </c>
      <c r="GU56" s="327">
        <f>+SUM(GU50:GU54)</f>
        <v>13172</v>
      </c>
      <c r="GV56" s="327">
        <f>+SUM(GV50:GV54)</f>
        <v>13500</v>
      </c>
      <c r="GW56" s="327">
        <f>+SUM(GW50:GW54)</f>
        <v>13500</v>
      </c>
      <c r="GX56" s="329"/>
      <c r="GY56" s="326" t="s">
        <v>220</v>
      </c>
      <c r="GZ56" s="327">
        <f>+SUM(GZ50:GZ54)</f>
        <v>13195</v>
      </c>
      <c r="HA56" s="327">
        <f>+SUM(HA50:HA54)</f>
        <v>13141</v>
      </c>
      <c r="HB56" s="327">
        <f t="shared" ref="HB56:HC56" si="137">+SUM(HB50:HB54)</f>
        <v>12883</v>
      </c>
      <c r="HC56" s="327">
        <f t="shared" si="137"/>
        <v>12469</v>
      </c>
      <c r="HD56" s="327">
        <f>HC56</f>
        <v>12469</v>
      </c>
      <c r="HE56" s="329"/>
      <c r="HF56" s="326" t="s">
        <v>220</v>
      </c>
      <c r="HG56" s="327">
        <f>+SUM(HG50:HG54)</f>
        <v>12155</v>
      </c>
      <c r="HH56" s="327">
        <f>+SUM(HH50:HH54)</f>
        <v>12074</v>
      </c>
      <c r="HI56" s="327">
        <f>+SUM(HI50:HI54)</f>
        <v>11756</v>
      </c>
      <c r="HJ56" s="327">
        <f>+SUM(HJ50:HJ54)</f>
        <v>11985</v>
      </c>
      <c r="HK56" s="327">
        <f>+SUM(HK50:HK54)</f>
        <v>11985</v>
      </c>
      <c r="HL56" s="329"/>
      <c r="HM56" s="326" t="s">
        <v>220</v>
      </c>
      <c r="HN56" s="327">
        <f>+SUM(HN50:HN54)</f>
        <v>12441</v>
      </c>
      <c r="HO56" s="327">
        <f>+SUM(HO50:HO54)</f>
        <v>12620</v>
      </c>
      <c r="HP56" s="327">
        <f>+SUM(HP50:HP54)</f>
        <v>12936</v>
      </c>
      <c r="HQ56" s="327">
        <f>+SUM(HQ50:HQ54)</f>
        <v>12507</v>
      </c>
      <c r="HR56" s="327">
        <f>+SUM(HR50:HR54)</f>
        <v>12507</v>
      </c>
      <c r="HS56" s="329"/>
      <c r="HT56" s="326" t="s">
        <v>220</v>
      </c>
      <c r="HU56" s="327">
        <f>+SUM(HU50:HU54)</f>
        <v>12175</v>
      </c>
      <c r="HV56" s="327">
        <f>+SUM(HV50:HV54)</f>
        <v>12377</v>
      </c>
      <c r="HW56" s="327">
        <f>+SUM(HW50:HW54)</f>
        <v>12758</v>
      </c>
      <c r="HX56" s="327">
        <f>+SUM(HX50:HX54)</f>
        <v>13160</v>
      </c>
      <c r="HY56" s="327">
        <f>+SUM(HY50:HY54)</f>
        <v>13160</v>
      </c>
      <c r="HZ56" s="329"/>
      <c r="IA56" s="326" t="s">
        <v>220</v>
      </c>
      <c r="IB56" s="327">
        <f>+SUM(IB50:IB54)</f>
        <v>13628.89773749845</v>
      </c>
      <c r="IC56" s="327">
        <f>+SUM(IC50:IC54)</f>
        <v>14250.154589140124</v>
      </c>
      <c r="ID56" s="327">
        <f>+SUM(ID50:ID54)</f>
        <v>14904.779915364184</v>
      </c>
      <c r="IE56" s="327">
        <f>+SUM(IE50:IE54)</f>
        <v>15530.790891148217</v>
      </c>
      <c r="IF56" s="327">
        <f>+SUM(IF50:IF54)</f>
        <v>15530.790891148217</v>
      </c>
      <c r="IG56" s="329"/>
      <c r="IH56" s="326" t="s">
        <v>220</v>
      </c>
      <c r="II56" s="327">
        <f>+SUM(II50:II54)</f>
        <v>16112.073217125351</v>
      </c>
      <c r="IJ56" s="327">
        <f>+SUM(IJ50:IJ54)</f>
        <v>16851.251706294075</v>
      </c>
      <c r="IK56" s="327">
        <f>+SUM(IK50:IK54)</f>
        <v>17629.473807681265</v>
      </c>
      <c r="IL56" s="327">
        <f>+SUM(IL50:IL54)</f>
        <v>18358.86385260088</v>
      </c>
      <c r="IM56" s="327">
        <f>+SUM(IM50:IM54)</f>
        <v>18358.86385260088</v>
      </c>
      <c r="IN56" s="329"/>
      <c r="IO56" s="326" t="s">
        <v>220</v>
      </c>
      <c r="IP56" s="327">
        <f>+SUM(IP50:IP54)</f>
        <v>19025.655683884735</v>
      </c>
      <c r="IQ56" s="327">
        <f>+SUM(IQ50:IQ54)</f>
        <v>19846.045639194585</v>
      </c>
      <c r="IR56" s="327">
        <f>+SUM(IR50:IR54)</f>
        <v>20699.263392886722</v>
      </c>
      <c r="IS56" s="327">
        <f>+SUM(IS50:IS54)</f>
        <v>21507.285196669261</v>
      </c>
      <c r="IT56" s="327">
        <f>+SUM(IT50:IT54)</f>
        <v>21507.285196669261</v>
      </c>
      <c r="IU56" s="329"/>
      <c r="IV56" s="329"/>
      <c r="IW56" s="329"/>
      <c r="IX56" s="329"/>
      <c r="IY56" s="329"/>
      <c r="IZ56" s="329"/>
      <c r="JA56" s="329"/>
      <c r="JB56" s="329"/>
      <c r="JC56" s="329"/>
      <c r="JD56" s="329"/>
      <c r="JE56" s="329"/>
      <c r="JF56" s="329"/>
      <c r="JG56" s="329"/>
      <c r="JH56" s="329"/>
      <c r="JI56" s="329"/>
      <c r="JJ56" s="329"/>
      <c r="JK56" s="329"/>
      <c r="JL56" s="329"/>
      <c r="JM56" s="329"/>
      <c r="JN56" s="329"/>
      <c r="JO56" s="329"/>
      <c r="JP56" s="330"/>
      <c r="JQ56" s="329"/>
      <c r="JR56" s="329"/>
      <c r="JS56" s="329"/>
      <c r="JT56" s="329"/>
      <c r="JU56" s="330"/>
      <c r="JV56" s="330"/>
      <c r="JW56" s="331"/>
      <c r="JX56" s="331"/>
      <c r="JY56" s="331"/>
      <c r="JZ56" s="331"/>
      <c r="KA56" s="331"/>
      <c r="KB56" s="331"/>
      <c r="KC56" s="331"/>
      <c r="KD56" s="331"/>
      <c r="KE56" s="331"/>
      <c r="KF56" s="332"/>
      <c r="KG56" s="333"/>
      <c r="KH56" s="334"/>
      <c r="KI56" s="334"/>
      <c r="KJ56" s="335"/>
      <c r="KK56" s="335"/>
      <c r="KL56" s="335"/>
      <c r="KM56" s="335"/>
      <c r="KN56" s="335"/>
      <c r="KO56" s="335"/>
      <c r="KP56" s="335"/>
      <c r="KQ56" s="335"/>
      <c r="KR56" s="335"/>
      <c r="KS56" s="335"/>
      <c r="KT56" s="335"/>
      <c r="KU56" s="335"/>
      <c r="KV56" s="335"/>
      <c r="KW56" s="335"/>
      <c r="KX56" s="335"/>
      <c r="KY56" s="335"/>
      <c r="KZ56" s="335"/>
      <c r="LA56" s="335"/>
      <c r="LB56" s="335"/>
      <c r="LC56" s="335"/>
      <c r="LD56" s="335"/>
      <c r="LE56" s="335"/>
      <c r="LF56" s="335"/>
      <c r="LG56" s="335"/>
      <c r="LH56" s="335"/>
      <c r="LI56" s="335"/>
      <c r="LJ56" s="335"/>
      <c r="LK56" s="335"/>
      <c r="LL56" s="335"/>
      <c r="LM56" s="335"/>
      <c r="LN56" s="335"/>
      <c r="LO56" s="335"/>
      <c r="LP56" s="335"/>
      <c r="LQ56" s="335"/>
      <c r="LR56" s="335"/>
      <c r="LS56" s="335"/>
      <c r="LT56" s="335"/>
      <c r="LU56" s="335"/>
      <c r="LV56" s="335"/>
      <c r="LW56" s="335"/>
      <c r="LX56" s="335"/>
      <c r="LY56" s="335"/>
      <c r="LZ56" s="335"/>
      <c r="MA56" s="335"/>
      <c r="MB56" s="335"/>
      <c r="MC56" s="335"/>
      <c r="MD56" s="335"/>
      <c r="ME56" s="335"/>
      <c r="MF56" s="335"/>
      <c r="MG56" s="335"/>
      <c r="MH56" s="335"/>
      <c r="MI56" s="335"/>
      <c r="MJ56" s="335"/>
      <c r="MK56" s="335"/>
      <c r="ML56" s="335"/>
      <c r="MM56" s="335"/>
      <c r="MN56" s="335"/>
      <c r="MO56" s="335"/>
      <c r="MP56" s="335"/>
      <c r="MQ56" s="335"/>
      <c r="MR56" s="335"/>
      <c r="MS56" s="335"/>
      <c r="MT56" s="335"/>
      <c r="MU56" s="335"/>
      <c r="MV56" s="335"/>
      <c r="MW56" s="335"/>
      <c r="MX56" s="335"/>
      <c r="MY56" s="335"/>
      <c r="MZ56" s="335"/>
      <c r="NA56" s="335"/>
      <c r="NB56" s="335"/>
      <c r="NC56" s="335"/>
      <c r="ND56" s="335"/>
      <c r="NE56" s="335"/>
      <c r="NF56" s="335"/>
      <c r="NG56" s="335"/>
      <c r="NH56" s="335"/>
      <c r="NI56" s="335"/>
      <c r="NJ56" s="335"/>
      <c r="NK56" s="335"/>
      <c r="NL56" s="335"/>
      <c r="NM56" s="335"/>
      <c r="NN56" s="335"/>
      <c r="NO56" s="335"/>
      <c r="NP56" s="335"/>
      <c r="NQ56" s="335"/>
      <c r="NR56" s="335"/>
      <c r="NS56" s="335"/>
      <c r="NT56" s="335"/>
      <c r="NU56" s="335"/>
      <c r="NV56" s="335"/>
      <c r="NW56" s="335"/>
      <c r="NX56" s="335"/>
      <c r="NY56" s="335"/>
      <c r="NZ56" s="335"/>
      <c r="OA56" s="335"/>
      <c r="OB56" s="335"/>
      <c r="OC56" s="335"/>
      <c r="OD56" s="335"/>
      <c r="OE56" s="335"/>
      <c r="OF56" s="335"/>
      <c r="OG56" s="335"/>
      <c r="OH56" s="335"/>
      <c r="OI56" s="335"/>
      <c r="OJ56" s="335"/>
      <c r="OK56" s="335"/>
      <c r="OL56" s="335"/>
      <c r="OM56" s="335"/>
      <c r="ON56" s="335"/>
      <c r="OO56" s="335"/>
      <c r="OP56" s="335"/>
      <c r="OQ56" s="335"/>
      <c r="OR56" s="335"/>
      <c r="OS56" s="335"/>
      <c r="OT56" s="335"/>
      <c r="OU56" s="335"/>
      <c r="OV56" s="335"/>
      <c r="OW56" s="335"/>
      <c r="OX56" s="335"/>
      <c r="OY56" s="335"/>
      <c r="OZ56" s="335"/>
      <c r="PA56" s="335"/>
      <c r="PB56" s="335"/>
      <c r="PC56" s="335"/>
      <c r="PD56" s="335"/>
      <c r="PE56" s="335"/>
      <c r="PF56" s="335"/>
      <c r="PG56" s="335"/>
      <c r="PH56" s="335"/>
      <c r="PI56" s="335"/>
      <c r="PJ56" s="335"/>
      <c r="PK56" s="335"/>
      <c r="PL56" s="335"/>
      <c r="PM56" s="335"/>
      <c r="PN56" s="335"/>
      <c r="PO56" s="335"/>
      <c r="PP56" s="335"/>
      <c r="PQ56" s="335"/>
      <c r="PR56" s="335"/>
      <c r="PS56" s="335"/>
      <c r="PT56" s="335"/>
      <c r="PU56" s="335"/>
      <c r="PV56" s="335"/>
    </row>
    <row r="57" spans="1:438" x14ac:dyDescent="0.4">
      <c r="B57" s="355"/>
      <c r="C57" s="356"/>
      <c r="D57" s="356"/>
      <c r="E57" s="356"/>
      <c r="F57" s="356"/>
      <c r="G57" s="356"/>
      <c r="H57" s="356"/>
      <c r="I57" s="356"/>
      <c r="J57" s="356"/>
      <c r="K57" s="356"/>
      <c r="L57" s="356"/>
      <c r="M57" s="356"/>
      <c r="N57" s="356"/>
      <c r="O57" s="356"/>
      <c r="P57" s="356"/>
      <c r="Q57" s="356"/>
      <c r="R57" s="356"/>
      <c r="S57" s="356"/>
      <c r="T57" s="356"/>
      <c r="U57" s="356"/>
      <c r="V57" s="356"/>
      <c r="W57" s="356"/>
      <c r="X57" s="356"/>
      <c r="Y57" s="356"/>
      <c r="Z57" s="356"/>
      <c r="AA57" s="356"/>
      <c r="AB57" s="356"/>
      <c r="AC57" s="356"/>
      <c r="AD57" s="356"/>
      <c r="AE57" s="356"/>
      <c r="AF57" s="356"/>
      <c r="AG57" s="324"/>
      <c r="AH57" s="324"/>
      <c r="AI57" s="324"/>
      <c r="AJ57" s="324"/>
      <c r="AK57" s="324"/>
      <c r="AL57" s="324"/>
      <c r="AM57" s="324"/>
      <c r="AN57" s="324"/>
      <c r="AO57" s="324"/>
      <c r="AP57" s="324"/>
      <c r="AQ57" s="324"/>
      <c r="AR57" s="324"/>
      <c r="AT57" s="355"/>
      <c r="AU57" s="356"/>
      <c r="AV57" s="356"/>
      <c r="AW57" s="356"/>
      <c r="AX57" s="356"/>
      <c r="AY57" s="356"/>
      <c r="BA57" s="355"/>
      <c r="BB57" s="356"/>
      <c r="BC57" s="356"/>
      <c r="BD57" s="356"/>
      <c r="BE57" s="356"/>
      <c r="BF57" s="356"/>
      <c r="BH57" s="355"/>
      <c r="BI57" s="356"/>
      <c r="BJ57" s="356"/>
      <c r="BK57" s="356"/>
      <c r="BL57" s="356"/>
      <c r="BM57" s="356"/>
      <c r="BO57" s="355"/>
      <c r="BP57" s="356"/>
      <c r="BQ57" s="356"/>
      <c r="BR57" s="356"/>
      <c r="BS57" s="356"/>
      <c r="BT57" s="356"/>
      <c r="BV57" s="355"/>
      <c r="BW57" s="356"/>
      <c r="BX57" s="356"/>
      <c r="BY57" s="356"/>
      <c r="BZ57" s="356"/>
      <c r="CA57" s="356"/>
      <c r="CC57" s="355"/>
      <c r="CD57" s="356"/>
      <c r="CE57" s="356"/>
      <c r="CF57" s="356"/>
      <c r="CG57" s="356"/>
      <c r="CH57" s="356"/>
      <c r="CJ57" s="355"/>
      <c r="CK57" s="356"/>
      <c r="CL57" s="356"/>
      <c r="CM57" s="356"/>
      <c r="CN57" s="356"/>
      <c r="CO57" s="356"/>
      <c r="CQ57" s="355"/>
      <c r="CR57" s="356"/>
      <c r="CS57" s="356"/>
      <c r="CT57" s="356"/>
      <c r="CU57" s="356"/>
      <c r="CV57" s="356"/>
      <c r="CX57" s="355"/>
      <c r="CY57" s="356"/>
      <c r="CZ57" s="356"/>
      <c r="DA57" s="356"/>
      <c r="DB57" s="356"/>
      <c r="DC57" s="356"/>
      <c r="DE57" s="355"/>
      <c r="DF57" s="356"/>
      <c r="DG57" s="356"/>
      <c r="DH57" s="356"/>
      <c r="DI57" s="356"/>
      <c r="DJ57" s="356"/>
      <c r="DL57" s="355"/>
      <c r="DM57" s="356"/>
      <c r="DN57" s="356"/>
      <c r="DO57" s="356"/>
      <c r="DP57" s="356"/>
      <c r="DQ57" s="356"/>
      <c r="DS57" s="355"/>
      <c r="DT57" s="356"/>
      <c r="DU57" s="356"/>
      <c r="DV57" s="356"/>
      <c r="DW57" s="356"/>
      <c r="DX57" s="356"/>
      <c r="DZ57" s="355"/>
      <c r="EA57" s="356"/>
      <c r="EB57" s="356"/>
      <c r="EC57" s="356"/>
      <c r="ED57" s="356"/>
      <c r="EE57" s="356"/>
      <c r="EG57" s="355"/>
      <c r="EH57" s="356"/>
      <c r="EI57" s="356"/>
      <c r="EJ57" s="356"/>
      <c r="EK57" s="356"/>
      <c r="EL57" s="356"/>
      <c r="EN57" s="355"/>
      <c r="EO57" s="356"/>
      <c r="EP57" s="356"/>
      <c r="EQ57" s="356"/>
      <c r="ER57" s="356"/>
      <c r="ES57" s="356"/>
      <c r="EU57" s="355"/>
      <c r="EV57" s="356"/>
      <c r="EW57" s="356"/>
      <c r="EX57" s="356"/>
      <c r="EY57" s="356"/>
      <c r="EZ57" s="356"/>
      <c r="FB57" s="355"/>
      <c r="FC57" s="356"/>
      <c r="FD57" s="356"/>
      <c r="FE57" s="356"/>
      <c r="FF57" s="356"/>
      <c r="FG57" s="356"/>
      <c r="FI57" s="355"/>
      <c r="FJ57" s="356"/>
      <c r="FK57" s="356"/>
      <c r="FL57" s="356"/>
      <c r="FM57" s="356"/>
      <c r="FN57" s="356"/>
      <c r="FP57" s="355"/>
      <c r="FQ57" s="356"/>
      <c r="FR57" s="356"/>
      <c r="FS57" s="356"/>
      <c r="FT57" s="356"/>
      <c r="FU57" s="356"/>
      <c r="FW57" s="355"/>
      <c r="FX57" s="356"/>
      <c r="FY57" s="356"/>
      <c r="FZ57" s="356"/>
      <c r="GA57" s="356"/>
      <c r="GB57" s="356"/>
      <c r="GD57" s="355"/>
      <c r="GE57" s="356"/>
      <c r="GF57" s="356"/>
      <c r="GG57" s="356"/>
      <c r="GH57" s="356"/>
      <c r="GI57" s="356"/>
      <c r="GK57" s="355"/>
      <c r="GL57" s="356"/>
      <c r="GM57" s="356"/>
      <c r="GN57" s="356"/>
      <c r="GO57" s="356"/>
      <c r="GP57" s="356"/>
      <c r="GR57" s="355"/>
      <c r="GS57" s="356"/>
      <c r="GT57" s="356"/>
      <c r="GU57" s="356"/>
      <c r="GV57" s="356"/>
      <c r="GW57" s="356"/>
      <c r="GY57" s="355"/>
      <c r="GZ57" s="356"/>
      <c r="HA57" s="356"/>
      <c r="HB57" s="356"/>
      <c r="HC57" s="356"/>
      <c r="HD57" s="356"/>
      <c r="HF57" s="355"/>
      <c r="HG57" s="356"/>
      <c r="HH57" s="356"/>
      <c r="HI57" s="356"/>
      <c r="HJ57" s="356"/>
      <c r="HK57" s="356"/>
      <c r="HM57" s="355"/>
      <c r="HN57" s="356"/>
      <c r="HO57" s="356"/>
      <c r="HP57" s="356"/>
      <c r="HQ57" s="356"/>
      <c r="HR57" s="356"/>
      <c r="HT57" s="355"/>
      <c r="HU57" s="356"/>
      <c r="HV57" s="356"/>
      <c r="HW57" s="356"/>
      <c r="HX57" s="356"/>
      <c r="HY57" s="356"/>
      <c r="IA57" s="355"/>
      <c r="IB57" s="356"/>
      <c r="IC57" s="356"/>
      <c r="ID57" s="356"/>
      <c r="IE57" s="356"/>
      <c r="IF57" s="356"/>
      <c r="IH57" s="355"/>
      <c r="II57" s="356"/>
      <c r="IJ57" s="356"/>
      <c r="IK57" s="356"/>
      <c r="IL57" s="356"/>
      <c r="IM57" s="356"/>
      <c r="IO57" s="355"/>
      <c r="IP57" s="356"/>
      <c r="IQ57" s="356"/>
      <c r="IR57" s="356"/>
      <c r="IS57" s="356"/>
      <c r="IT57" s="356"/>
    </row>
    <row r="58" spans="1:438" s="336" customFormat="1" ht="15" customHeight="1" thickBot="1" x14ac:dyDescent="0.45">
      <c r="A58" s="325"/>
      <c r="B58" s="326" t="s">
        <v>50</v>
      </c>
      <c r="C58" s="327">
        <f>AY58</f>
        <v>20720</v>
      </c>
      <c r="D58" s="357">
        <f>BF58</f>
        <v>20548</v>
      </c>
      <c r="E58" s="357">
        <f>BM58</f>
        <v>20801</v>
      </c>
      <c r="F58" s="357">
        <f>BT58</f>
        <v>20951</v>
      </c>
      <c r="G58" s="357">
        <f>CA58</f>
        <v>21760</v>
      </c>
      <c r="H58" s="357">
        <f>CH58</f>
        <v>24605</v>
      </c>
      <c r="I58" s="357">
        <f>CO58</f>
        <v>24232</v>
      </c>
      <c r="J58" s="357">
        <f>CV58</f>
        <v>25129</v>
      </c>
      <c r="K58" s="357">
        <f>DC58</f>
        <v>25534</v>
      </c>
      <c r="L58" s="357">
        <f>DJ58</f>
        <v>26288</v>
      </c>
      <c r="M58" s="357">
        <f>DQ58</f>
        <v>27036</v>
      </c>
      <c r="N58" s="357">
        <f>DX58</f>
        <v>28141</v>
      </c>
      <c r="O58" s="357">
        <f>EE58</f>
        <v>29473</v>
      </c>
      <c r="P58" s="357">
        <f>EL58</f>
        <v>30571</v>
      </c>
      <c r="Q58" s="357">
        <f>ES58</f>
        <v>31782</v>
      </c>
      <c r="R58" s="357">
        <f>EZ58</f>
        <v>33053</v>
      </c>
      <c r="S58" s="357">
        <f>FG58</f>
        <v>35039</v>
      </c>
      <c r="T58" s="357">
        <f>FN58</f>
        <v>35414</v>
      </c>
      <c r="U58" s="357">
        <f>FU58</f>
        <v>35739</v>
      </c>
      <c r="V58" s="357">
        <f>GB58</f>
        <v>36729</v>
      </c>
      <c r="W58" s="357">
        <f>GI58</f>
        <v>38257</v>
      </c>
      <c r="X58" s="357">
        <f>GP58</f>
        <v>39793</v>
      </c>
      <c r="Y58" s="357">
        <f>GW58</f>
        <v>40531</v>
      </c>
      <c r="Z58" s="357">
        <f>HD58</f>
        <v>41682</v>
      </c>
      <c r="AA58" s="357">
        <f>HK58</f>
        <v>42212</v>
      </c>
      <c r="AB58" s="327">
        <f>HR58</f>
        <v>42764</v>
      </c>
      <c r="AC58" s="327">
        <f>HY58</f>
        <v>43682</v>
      </c>
      <c r="AD58" s="327">
        <f>IF58</f>
        <v>46011.523098854879</v>
      </c>
      <c r="AE58" s="327">
        <f>IM58</f>
        <v>49772.146882217014</v>
      </c>
      <c r="AF58" s="327">
        <f>IT58</f>
        <v>53868.792224058663</v>
      </c>
      <c r="AG58" s="328"/>
      <c r="AH58" s="328"/>
      <c r="AI58" s="328"/>
      <c r="AJ58" s="328"/>
      <c r="AK58" s="328"/>
      <c r="AL58" s="328"/>
      <c r="AM58" s="328"/>
      <c r="AN58" s="328"/>
      <c r="AO58" s="328"/>
      <c r="AP58" s="328"/>
      <c r="AQ58" s="328"/>
      <c r="AR58" s="328"/>
      <c r="AS58" s="329"/>
      <c r="AT58" s="326" t="s">
        <v>50</v>
      </c>
      <c r="AU58" s="327">
        <f>SUM(AU50:AU54)+AU48</f>
        <v>0</v>
      </c>
      <c r="AV58" s="327">
        <f>SUM(AV50:AV54)+AV48</f>
        <v>0</v>
      </c>
      <c r="AW58" s="327">
        <f>SUM(AW50:AW54)+AW48</f>
        <v>0</v>
      </c>
      <c r="AX58" s="327">
        <f>SUM(AX50:AX54)+AX48</f>
        <v>20720</v>
      </c>
      <c r="AY58" s="327">
        <f>AX58</f>
        <v>20720</v>
      </c>
      <c r="AZ58" s="329"/>
      <c r="BA58" s="326" t="s">
        <v>50</v>
      </c>
      <c r="BB58" s="327">
        <f>SUM(BB50:BB54)+BB48</f>
        <v>20525</v>
      </c>
      <c r="BC58" s="327">
        <f>SUM(BC50:BC54)+BC48</f>
        <v>20374</v>
      </c>
      <c r="BD58" s="327">
        <f>SUM(BD50:BD54)+BD48</f>
        <v>20707</v>
      </c>
      <c r="BE58" s="327">
        <f>SUM(BE50:BE54)+BE48</f>
        <v>20548</v>
      </c>
      <c r="BF58" s="327">
        <f>BE58</f>
        <v>20548</v>
      </c>
      <c r="BG58" s="329"/>
      <c r="BH58" s="326" t="s">
        <v>50</v>
      </c>
      <c r="BI58" s="327">
        <f>SUM(BI50:BI54)+BI48</f>
        <v>20438</v>
      </c>
      <c r="BJ58" s="327">
        <f>SUM(BJ50:BJ54)+BJ48</f>
        <v>20509</v>
      </c>
      <c r="BK58" s="327">
        <f>SUM(BK50:BK54)+BK48</f>
        <v>20606</v>
      </c>
      <c r="BL58" s="327">
        <f>SUM(BL50:BL54)+BL48</f>
        <v>20801</v>
      </c>
      <c r="BM58" s="327">
        <f>BL58</f>
        <v>20801</v>
      </c>
      <c r="BN58" s="329"/>
      <c r="BO58" s="326" t="s">
        <v>50</v>
      </c>
      <c r="BP58" s="327">
        <f>SUM(BP50:BP54)+BP48</f>
        <v>20842</v>
      </c>
      <c r="BQ58" s="327">
        <f>SUM(BQ50:BQ54)+BQ48</f>
        <v>20920</v>
      </c>
      <c r="BR58" s="327">
        <f>SUM(BR50:BR54)+BR48</f>
        <v>21025</v>
      </c>
      <c r="BS58" s="327">
        <f>SUM(BS50:BS54)+BS48</f>
        <v>20951</v>
      </c>
      <c r="BT58" s="327">
        <f>BS58</f>
        <v>20951</v>
      </c>
      <c r="BU58" s="329"/>
      <c r="BV58" s="326" t="s">
        <v>50</v>
      </c>
      <c r="BW58" s="327">
        <f>SUM(BW50:BW54)+BW48</f>
        <v>20959</v>
      </c>
      <c r="BX58" s="327">
        <f>SUM(BX50:BX54)+BX48</f>
        <v>21539</v>
      </c>
      <c r="BY58" s="327">
        <f>SUM(BY50:BY54)+BY48</f>
        <v>21927</v>
      </c>
      <c r="BZ58" s="327">
        <f>SUM(BZ50:BZ54)+BZ48</f>
        <v>21760</v>
      </c>
      <c r="CA58" s="327">
        <f>BZ58</f>
        <v>21760</v>
      </c>
      <c r="CB58" s="329"/>
      <c r="CC58" s="326" t="s">
        <v>50</v>
      </c>
      <c r="CD58" s="327">
        <f>SUM(CD50:CD54)+CD48</f>
        <v>22073</v>
      </c>
      <c r="CE58" s="327">
        <f>SUM(CE50:CE54)+CE48</f>
        <v>22452</v>
      </c>
      <c r="CF58" s="327">
        <f>SUM(CF50:CF54)+CF48</f>
        <v>24365</v>
      </c>
      <c r="CG58" s="327">
        <f>SUM(CG50:CG54)+CG48</f>
        <v>24605</v>
      </c>
      <c r="CH58" s="327">
        <f>CG58</f>
        <v>24605</v>
      </c>
      <c r="CI58" s="329"/>
      <c r="CJ58" s="326" t="s">
        <v>50</v>
      </c>
      <c r="CK58" s="327">
        <f>+CK48+CK56</f>
        <v>25092</v>
      </c>
      <c r="CL58" s="327">
        <f>+CL48+CL56</f>
        <v>23750</v>
      </c>
      <c r="CM58" s="327">
        <f>+CM48+CM56</f>
        <v>24021</v>
      </c>
      <c r="CN58" s="327">
        <f>+CN48+CN56</f>
        <v>24232</v>
      </c>
      <c r="CO58" s="327">
        <f>+CO48+CO56</f>
        <v>24232</v>
      </c>
      <c r="CP58" s="329"/>
      <c r="CQ58" s="326" t="s">
        <v>50</v>
      </c>
      <c r="CR58" s="327">
        <f>+CR48+CR56</f>
        <v>24419</v>
      </c>
      <c r="CS58" s="327">
        <f>+CS48+CS56</f>
        <v>24598</v>
      </c>
      <c r="CT58" s="327">
        <f>+CT48+CT56</f>
        <v>24872</v>
      </c>
      <c r="CU58" s="327">
        <f>+CU48+CU56</f>
        <v>25129</v>
      </c>
      <c r="CV58" s="327">
        <f>+CV48+CV56</f>
        <v>25129</v>
      </c>
      <c r="CW58" s="329"/>
      <c r="CX58" s="326" t="s">
        <v>50</v>
      </c>
      <c r="CY58" s="327">
        <f>+CY48+CY56</f>
        <v>24925</v>
      </c>
      <c r="CZ58" s="327">
        <f>+CZ48+CZ56</f>
        <v>25071</v>
      </c>
      <c r="DA58" s="327">
        <f>+DA48+DA56</f>
        <v>25605</v>
      </c>
      <c r="DB58" s="327">
        <f>+DB48+DB56</f>
        <v>25534</v>
      </c>
      <c r="DC58" s="327">
        <f>+DC48+DC56</f>
        <v>25534</v>
      </c>
      <c r="DD58" s="329"/>
      <c r="DE58" s="326" t="s">
        <v>50</v>
      </c>
      <c r="DF58" s="327">
        <f>+DF48+DF56</f>
        <v>26661</v>
      </c>
      <c r="DG58" s="327">
        <f>+DG48+DG56</f>
        <v>26788</v>
      </c>
      <c r="DH58" s="327">
        <f>+DH48+DH56</f>
        <v>26637</v>
      </c>
      <c r="DI58" s="327">
        <f>+DI48+DI56</f>
        <v>26288</v>
      </c>
      <c r="DJ58" s="327">
        <f>+DJ48+DJ56</f>
        <v>26288</v>
      </c>
      <c r="DK58" s="329"/>
      <c r="DL58" s="326" t="s">
        <v>50</v>
      </c>
      <c r="DM58" s="327">
        <f>+DM48+DM56</f>
        <v>26567</v>
      </c>
      <c r="DN58" s="327">
        <f>+DN48+DN56</f>
        <v>26735</v>
      </c>
      <c r="DO58" s="327">
        <f>+DO48+DO56</f>
        <v>27020</v>
      </c>
      <c r="DP58" s="327">
        <f>+DP48+DP56</f>
        <v>27036</v>
      </c>
      <c r="DQ58" s="327">
        <f>+DQ48+DQ56</f>
        <v>27036</v>
      </c>
      <c r="DR58" s="329"/>
      <c r="DS58" s="326" t="s">
        <v>50</v>
      </c>
      <c r="DT58" s="327">
        <f>+DT48+DT56</f>
        <v>27193</v>
      </c>
      <c r="DU58" s="327">
        <f>+DU48+DU56</f>
        <v>26744</v>
      </c>
      <c r="DV58" s="327">
        <f>+DV48+DV56</f>
        <v>27029</v>
      </c>
      <c r="DW58" s="327">
        <f>+DW48+DW56</f>
        <v>28141</v>
      </c>
      <c r="DX58" s="327">
        <f>+DX48+DX56</f>
        <v>28141</v>
      </c>
      <c r="DY58" s="329"/>
      <c r="DZ58" s="326" t="s">
        <v>50</v>
      </c>
      <c r="EA58" s="327">
        <f>+EA48+EA56</f>
        <v>27577</v>
      </c>
      <c r="EB58" s="327">
        <f>+EB48+EB56</f>
        <v>28705</v>
      </c>
      <c r="EC58" s="327">
        <f>+EC48+EC56</f>
        <v>28248</v>
      </c>
      <c r="ED58" s="327">
        <f>+ED48+ED56</f>
        <v>29473</v>
      </c>
      <c r="EE58" s="327">
        <f>+EE48+EE56</f>
        <v>29473</v>
      </c>
      <c r="EF58" s="329"/>
      <c r="EG58" s="326" t="s">
        <v>50</v>
      </c>
      <c r="EH58" s="327">
        <f>+EH48+EH56</f>
        <v>29186</v>
      </c>
      <c r="EI58" s="327">
        <f>+EI48+EI56</f>
        <v>29589</v>
      </c>
      <c r="EJ58" s="327">
        <f>+EJ48+EJ56</f>
        <v>29930</v>
      </c>
      <c r="EK58" s="327">
        <f>+EK48+EK56</f>
        <v>30571</v>
      </c>
      <c r="EL58" s="327">
        <f>+EL48+EL56</f>
        <v>30571</v>
      </c>
      <c r="EM58" s="329"/>
      <c r="EN58" s="326" t="s">
        <v>50</v>
      </c>
      <c r="EO58" s="327">
        <f>+EO48+EO56</f>
        <v>30586</v>
      </c>
      <c r="EP58" s="327">
        <f>+EP48+EP56</f>
        <v>30881</v>
      </c>
      <c r="EQ58" s="327">
        <f>+EQ48+EQ56</f>
        <v>30943</v>
      </c>
      <c r="ER58" s="327">
        <f>+ER48+ER56</f>
        <v>31782</v>
      </c>
      <c r="ES58" s="327">
        <f>+ES48+ES56</f>
        <v>31782</v>
      </c>
      <c r="ET58" s="329"/>
      <c r="EU58" s="326" t="s">
        <v>50</v>
      </c>
      <c r="EV58" s="327">
        <f>+EV48+EV56</f>
        <v>31680</v>
      </c>
      <c r="EW58" s="327">
        <f>+EW48+EW56</f>
        <v>31975</v>
      </c>
      <c r="EX58" s="327">
        <f>+EX48+EX56</f>
        <v>32623</v>
      </c>
      <c r="EY58" s="327">
        <f>+EY48+EY56</f>
        <v>33053</v>
      </c>
      <c r="EZ58" s="327">
        <f>+EZ48+EZ56</f>
        <v>33053</v>
      </c>
      <c r="FA58" s="329"/>
      <c r="FB58" s="326" t="s">
        <v>50</v>
      </c>
      <c r="FC58" s="327">
        <f>+FC48+FC56</f>
        <v>33161</v>
      </c>
      <c r="FD58" s="327">
        <f>+FD48+FD56</f>
        <v>33777</v>
      </c>
      <c r="FE58" s="327">
        <f>+FE48+FE56</f>
        <v>34015</v>
      </c>
      <c r="FF58" s="327">
        <f>+FF48+FF56</f>
        <v>35039</v>
      </c>
      <c r="FG58" s="327">
        <f>+FG48+FG56</f>
        <v>35039</v>
      </c>
      <c r="FH58" s="329"/>
      <c r="FI58" s="326" t="s">
        <v>50</v>
      </c>
      <c r="FJ58" s="327">
        <f>+FJ48+FJ56</f>
        <v>34610</v>
      </c>
      <c r="FK58" s="327">
        <f>+FK48+FK56</f>
        <v>34550</v>
      </c>
      <c r="FL58" s="327">
        <f>+FL48+FL56</f>
        <v>34681</v>
      </c>
      <c r="FM58" s="327">
        <f>+FM48+FM56</f>
        <v>35414</v>
      </c>
      <c r="FN58" s="327">
        <f>+FN48+FN56</f>
        <v>35414</v>
      </c>
      <c r="FO58" s="329"/>
      <c r="FP58" s="326" t="s">
        <v>50</v>
      </c>
      <c r="FQ58" s="327">
        <f>+FQ48+FQ56</f>
        <v>35712</v>
      </c>
      <c r="FR58" s="327">
        <f>+FR48+FR56</f>
        <v>35861</v>
      </c>
      <c r="FS58" s="327">
        <f>+FS48+FS56</f>
        <v>35573</v>
      </c>
      <c r="FT58" s="327">
        <f>+FT48+FT56</f>
        <v>35739</v>
      </c>
      <c r="FU58" s="327">
        <f>+FU48+FU56</f>
        <v>35739</v>
      </c>
      <c r="FV58" s="329"/>
      <c r="FW58" s="326" t="s">
        <v>50</v>
      </c>
      <c r="FX58" s="327">
        <f>+FX48+FX56</f>
        <v>37439</v>
      </c>
      <c r="FY58" s="327">
        <f>+FY48+FY56</f>
        <v>36924</v>
      </c>
      <c r="FZ58" s="327">
        <f>+FZ48+FZ56</f>
        <v>36861</v>
      </c>
      <c r="GA58" s="327">
        <f>+GA48+GA56</f>
        <v>36729</v>
      </c>
      <c r="GB58" s="327">
        <f>+GB48+GB56</f>
        <v>36729</v>
      </c>
      <c r="GC58" s="329"/>
      <c r="GD58" s="326" t="s">
        <v>50</v>
      </c>
      <c r="GE58" s="327">
        <f>+GE48+GE56</f>
        <v>38154</v>
      </c>
      <c r="GF58" s="327">
        <f>+GF48+GF56</f>
        <v>37924</v>
      </c>
      <c r="GG58" s="327">
        <f>+GG48+GG56</f>
        <v>38795</v>
      </c>
      <c r="GH58" s="327">
        <f>+GH48+GH56</f>
        <v>38257</v>
      </c>
      <c r="GI58" s="327">
        <f>+GI48+GI56</f>
        <v>38257</v>
      </c>
      <c r="GJ58" s="329"/>
      <c r="GK58" s="326" t="s">
        <v>50</v>
      </c>
      <c r="GL58" s="327">
        <f>+GL48+GL56</f>
        <v>38834</v>
      </c>
      <c r="GM58" s="327">
        <f>+GM48+GM56</f>
        <v>38904</v>
      </c>
      <c r="GN58" s="327">
        <f>+GN48+GN56</f>
        <v>39443</v>
      </c>
      <c r="GO58" s="327">
        <f>+GO48+GO56</f>
        <v>39793</v>
      </c>
      <c r="GP58" s="327">
        <f>+GP48+GP56</f>
        <v>39793</v>
      </c>
      <c r="GQ58" s="329"/>
      <c r="GR58" s="326" t="s">
        <v>50</v>
      </c>
      <c r="GS58" s="327">
        <f>+GS48+GS56</f>
        <v>39692</v>
      </c>
      <c r="GT58" s="327">
        <f>+GT48+GT56</f>
        <v>40015</v>
      </c>
      <c r="GU58" s="327">
        <f>+GU48+GU56</f>
        <v>40129</v>
      </c>
      <c r="GV58" s="327">
        <f>+GV48+GV56</f>
        <v>40531</v>
      </c>
      <c r="GW58" s="327">
        <f>+GW48+GW56</f>
        <v>40531</v>
      </c>
      <c r="GX58" s="329"/>
      <c r="GY58" s="326" t="s">
        <v>50</v>
      </c>
      <c r="GZ58" s="327">
        <f>+GZ48+GZ56</f>
        <v>40452</v>
      </c>
      <c r="HA58" s="327">
        <f>+HA48+HA56</f>
        <v>40366</v>
      </c>
      <c r="HB58" s="327">
        <f>+HB48+HB56</f>
        <v>42242</v>
      </c>
      <c r="HC58" s="327">
        <f>+HC48+HC56</f>
        <v>41682</v>
      </c>
      <c r="HD58" s="327">
        <f>+HD48+HD56</f>
        <v>41682</v>
      </c>
      <c r="HE58" s="329"/>
      <c r="HF58" s="326" t="s">
        <v>50</v>
      </c>
      <c r="HG58" s="327">
        <f>+HG48+HG56</f>
        <v>41256</v>
      </c>
      <c r="HH58" s="327">
        <f>+HH48+HH56</f>
        <v>40979</v>
      </c>
      <c r="HI58" s="327">
        <f>+HI48+HI56</f>
        <v>41589</v>
      </c>
      <c r="HJ58" s="327">
        <f>+HJ48+HJ56</f>
        <v>42212</v>
      </c>
      <c r="HK58" s="327">
        <f>+HK48+HK56</f>
        <v>42212</v>
      </c>
      <c r="HL58" s="329"/>
      <c r="HM58" s="326" t="s">
        <v>50</v>
      </c>
      <c r="HN58" s="327">
        <f>+HN48+HN56</f>
        <v>42482</v>
      </c>
      <c r="HO58" s="327">
        <f>+HO48+HO56</f>
        <v>42362</v>
      </c>
      <c r="HP58" s="327">
        <f>+HP48+HP56</f>
        <v>43069</v>
      </c>
      <c r="HQ58" s="327">
        <f>+HQ48+HQ56</f>
        <v>42764</v>
      </c>
      <c r="HR58" s="327">
        <f>+HR48+HR56</f>
        <v>42764</v>
      </c>
      <c r="HS58" s="329"/>
      <c r="HT58" s="326" t="s">
        <v>50</v>
      </c>
      <c r="HU58" s="327">
        <f>+HU48+HU56</f>
        <v>43199</v>
      </c>
      <c r="HV58" s="327">
        <f>+HV48+HV56</f>
        <v>42929</v>
      </c>
      <c r="HW58" s="327">
        <f>+HW48+HW56</f>
        <v>43279</v>
      </c>
      <c r="HX58" s="327">
        <f>+HX48+HX56</f>
        <v>43682</v>
      </c>
      <c r="HY58" s="327">
        <f>+HY48+HY56</f>
        <v>43682</v>
      </c>
      <c r="HZ58" s="329"/>
      <c r="IA58" s="326" t="s">
        <v>50</v>
      </c>
      <c r="IB58" s="327">
        <f>+IB48+IB56</f>
        <v>43510.34003557956</v>
      </c>
      <c r="IC58" s="327">
        <f>+IC48+IC56</f>
        <v>44246.269999168893</v>
      </c>
      <c r="ID58" s="327">
        <f>+ID48+ID56</f>
        <v>45122.395978934277</v>
      </c>
      <c r="IE58" s="327">
        <f>+IE48+IE56</f>
        <v>46011.523098854879</v>
      </c>
      <c r="IF58" s="327">
        <f>+IF48+IF56</f>
        <v>46011.523098854879</v>
      </c>
      <c r="IG58" s="329"/>
      <c r="IH58" s="326" t="s">
        <v>50</v>
      </c>
      <c r="II58" s="327">
        <f>+II48+II56</f>
        <v>46898.040392118972</v>
      </c>
      <c r="IJ58" s="327">
        <f>+IJ48+IJ56</f>
        <v>47798.749957101056</v>
      </c>
      <c r="IK58" s="327">
        <f>+IK48+IK56</f>
        <v>48809.345304987466</v>
      </c>
      <c r="IL58" s="327">
        <f>+IL48+IL56</f>
        <v>49772.146882217014</v>
      </c>
      <c r="IM58" s="327">
        <f>+IM48+IM56</f>
        <v>49772.146882217014</v>
      </c>
      <c r="IN58" s="329"/>
      <c r="IO58" s="326" t="s">
        <v>50</v>
      </c>
      <c r="IP58" s="327">
        <f>+IP48+IP56</f>
        <v>50748.676455852925</v>
      </c>
      <c r="IQ58" s="327">
        <f>+IQ48+IQ56</f>
        <v>51730.597454934235</v>
      </c>
      <c r="IR58" s="327">
        <f>+IR48+IR56</f>
        <v>52824.943998947798</v>
      </c>
      <c r="IS58" s="327">
        <f>+IS48+IS56</f>
        <v>53868.792224058663</v>
      </c>
      <c r="IT58" s="327">
        <f>+IT48+IT56</f>
        <v>53868.792224058663</v>
      </c>
      <c r="IU58" s="329"/>
      <c r="IV58" s="329"/>
      <c r="IW58" s="329"/>
      <c r="IX58" s="329"/>
      <c r="IY58" s="329"/>
      <c r="IZ58" s="329"/>
      <c r="JA58" s="329"/>
      <c r="JB58" s="329"/>
      <c r="JC58" s="329"/>
      <c r="JD58" s="329"/>
      <c r="JE58" s="329"/>
      <c r="JF58" s="329"/>
      <c r="JG58" s="329"/>
      <c r="JH58" s="329"/>
      <c r="JI58" s="329"/>
      <c r="JJ58" s="329"/>
      <c r="JK58" s="329"/>
      <c r="JL58" s="329"/>
      <c r="JM58" s="329"/>
      <c r="JN58" s="329"/>
      <c r="JO58" s="329"/>
      <c r="JP58" s="330"/>
      <c r="JQ58" s="329"/>
      <c r="JR58" s="329"/>
      <c r="JS58" s="329"/>
      <c r="JT58" s="329"/>
      <c r="JU58" s="330"/>
      <c r="JV58" s="330"/>
      <c r="JW58" s="331"/>
      <c r="JX58" s="331"/>
      <c r="JY58" s="331"/>
      <c r="JZ58" s="331"/>
      <c r="KA58" s="331"/>
      <c r="KB58" s="331"/>
      <c r="KC58" s="331"/>
      <c r="KD58" s="331"/>
      <c r="KE58" s="331"/>
      <c r="KF58" s="332"/>
      <c r="KG58" s="333"/>
      <c r="KH58" s="334"/>
      <c r="KI58" s="334"/>
      <c r="KJ58" s="335"/>
      <c r="KK58" s="335"/>
      <c r="KL58" s="335"/>
      <c r="KM58" s="335"/>
      <c r="KN58" s="335"/>
      <c r="KO58" s="335"/>
      <c r="KP58" s="335"/>
      <c r="KQ58" s="335"/>
      <c r="KR58" s="335"/>
      <c r="KS58" s="335"/>
      <c r="KT58" s="335"/>
      <c r="KU58" s="335"/>
      <c r="KV58" s="335"/>
      <c r="KW58" s="335"/>
      <c r="KX58" s="335"/>
      <c r="KY58" s="335"/>
      <c r="KZ58" s="335"/>
      <c r="LA58" s="335"/>
      <c r="LB58" s="335"/>
      <c r="LC58" s="335"/>
      <c r="LD58" s="335"/>
      <c r="LE58" s="335"/>
      <c r="LF58" s="335"/>
      <c r="LG58" s="335"/>
      <c r="LH58" s="335"/>
      <c r="LI58" s="335"/>
      <c r="LJ58" s="335"/>
      <c r="LK58" s="335"/>
      <c r="LL58" s="335"/>
      <c r="LM58" s="335"/>
      <c r="LN58" s="335"/>
      <c r="LO58" s="335"/>
      <c r="LP58" s="335"/>
      <c r="LQ58" s="335"/>
      <c r="LR58" s="335"/>
      <c r="LS58" s="335"/>
      <c r="LT58" s="335"/>
      <c r="LU58" s="335"/>
      <c r="LV58" s="335"/>
      <c r="LW58" s="335"/>
      <c r="LX58" s="335"/>
      <c r="LY58" s="335"/>
      <c r="LZ58" s="335"/>
      <c r="MA58" s="335"/>
      <c r="MB58" s="335"/>
      <c r="MC58" s="335"/>
      <c r="MD58" s="335"/>
      <c r="ME58" s="335"/>
      <c r="MF58" s="335"/>
      <c r="MG58" s="335"/>
      <c r="MH58" s="335"/>
      <c r="MI58" s="335"/>
      <c r="MJ58" s="335"/>
      <c r="MK58" s="335"/>
      <c r="ML58" s="335"/>
      <c r="MM58" s="335"/>
      <c r="MN58" s="335"/>
      <c r="MO58" s="335"/>
      <c r="MP58" s="335"/>
      <c r="MQ58" s="335"/>
      <c r="MR58" s="335"/>
      <c r="MS58" s="335"/>
      <c r="MT58" s="335"/>
      <c r="MU58" s="335"/>
      <c r="MV58" s="335"/>
      <c r="MW58" s="335"/>
      <c r="MX58" s="335"/>
      <c r="MY58" s="335"/>
      <c r="MZ58" s="335"/>
      <c r="NA58" s="335"/>
      <c r="NB58" s="335"/>
      <c r="NC58" s="335"/>
      <c r="ND58" s="335"/>
      <c r="NE58" s="335"/>
      <c r="NF58" s="335"/>
      <c r="NG58" s="335"/>
      <c r="NH58" s="335"/>
      <c r="NI58" s="335"/>
      <c r="NJ58" s="335"/>
      <c r="NK58" s="335"/>
      <c r="NL58" s="335"/>
      <c r="NM58" s="335"/>
      <c r="NN58" s="335"/>
      <c r="NO58" s="335"/>
      <c r="NP58" s="335"/>
      <c r="NQ58" s="335"/>
      <c r="NR58" s="335"/>
      <c r="NS58" s="335"/>
      <c r="NT58" s="335"/>
      <c r="NU58" s="335"/>
      <c r="NV58" s="335"/>
      <c r="NW58" s="335"/>
      <c r="NX58" s="335"/>
      <c r="NY58" s="335"/>
      <c r="NZ58" s="335"/>
      <c r="OA58" s="335"/>
      <c r="OB58" s="335"/>
      <c r="OC58" s="335"/>
      <c r="OD58" s="335"/>
      <c r="OE58" s="335"/>
      <c r="OF58" s="335"/>
      <c r="OG58" s="335"/>
      <c r="OH58" s="335"/>
      <c r="OI58" s="335"/>
      <c r="OJ58" s="335"/>
      <c r="OK58" s="335"/>
      <c r="OL58" s="335"/>
      <c r="OM58" s="335"/>
      <c r="ON58" s="335"/>
      <c r="OO58" s="335"/>
      <c r="OP58" s="335"/>
      <c r="OQ58" s="335"/>
      <c r="OR58" s="335"/>
      <c r="OS58" s="335"/>
      <c r="OT58" s="335"/>
      <c r="OU58" s="335"/>
      <c r="OV58" s="335"/>
      <c r="OW58" s="335"/>
      <c r="OX58" s="335"/>
      <c r="OY58" s="335"/>
      <c r="OZ58" s="335"/>
      <c r="PA58" s="335"/>
      <c r="PB58" s="335"/>
      <c r="PC58" s="335"/>
      <c r="PD58" s="335"/>
      <c r="PE58" s="335"/>
      <c r="PF58" s="335"/>
      <c r="PG58" s="335"/>
      <c r="PH58" s="335"/>
      <c r="PI58" s="335"/>
      <c r="PJ58" s="335"/>
      <c r="PK58" s="335"/>
      <c r="PL58" s="335"/>
      <c r="PM58" s="335"/>
      <c r="PN58" s="335"/>
      <c r="PO58" s="335"/>
      <c r="PP58" s="335"/>
      <c r="PQ58" s="335"/>
      <c r="PR58" s="335"/>
      <c r="PS58" s="335"/>
      <c r="PT58" s="335"/>
      <c r="PU58" s="335"/>
      <c r="PV58" s="335"/>
    </row>
    <row r="59" spans="1:438" s="363" customFormat="1" ht="15" customHeight="1" outlineLevel="1" x14ac:dyDescent="0.4">
      <c r="A59" s="137"/>
      <c r="B59" s="358" t="s">
        <v>51</v>
      </c>
      <c r="C59" s="359">
        <f>AY59</f>
        <v>1589</v>
      </c>
      <c r="D59" s="359">
        <f>BF59</f>
        <v>0</v>
      </c>
      <c r="E59" s="359">
        <f>BM59</f>
        <v>0</v>
      </c>
      <c r="F59" s="359">
        <f>BT59</f>
        <v>0</v>
      </c>
      <c r="G59" s="359">
        <f>CA59</f>
        <v>0</v>
      </c>
      <c r="H59" s="359">
        <f>CH59</f>
        <v>0</v>
      </c>
      <c r="I59" s="359">
        <f>CO59</f>
        <v>0</v>
      </c>
      <c r="J59" s="359">
        <f>CV59</f>
        <v>0</v>
      </c>
      <c r="K59" s="359">
        <f>DC59</f>
        <v>0</v>
      </c>
      <c r="L59" s="359">
        <f>DJ59</f>
        <v>0</v>
      </c>
      <c r="M59" s="359">
        <f>DQ59</f>
        <v>0</v>
      </c>
      <c r="N59" s="359">
        <f>DX59</f>
        <v>0</v>
      </c>
      <c r="O59" s="359">
        <f>EE59</f>
        <v>0</v>
      </c>
      <c r="P59" s="359">
        <f>EL59</f>
        <v>0</v>
      </c>
      <c r="Q59" s="359">
        <f>ES59</f>
        <v>0</v>
      </c>
      <c r="R59" s="359">
        <f>EZ59</f>
        <v>0</v>
      </c>
      <c r="S59" s="359">
        <f>FG59</f>
        <v>0</v>
      </c>
      <c r="T59" s="359">
        <f>FN59</f>
        <v>0</v>
      </c>
      <c r="U59" s="359">
        <f>FU59</f>
        <v>0</v>
      </c>
      <c r="V59" s="359">
        <f>GB59</f>
        <v>0</v>
      </c>
      <c r="W59" s="359">
        <f>GI59</f>
        <v>0</v>
      </c>
      <c r="X59" s="359">
        <f>GP59</f>
        <v>0</v>
      </c>
      <c r="Y59" s="359">
        <f>GW59</f>
        <v>0</v>
      </c>
      <c r="Z59" s="359">
        <f>HD59</f>
        <v>0</v>
      </c>
      <c r="AA59" s="359">
        <f>HK59</f>
        <v>0</v>
      </c>
      <c r="AB59" s="359">
        <f>HR59</f>
        <v>0</v>
      </c>
      <c r="AC59" s="359">
        <f>HY59</f>
        <v>0</v>
      </c>
      <c r="AD59" s="359">
        <f>IF59</f>
        <v>0</v>
      </c>
      <c r="AE59" s="359">
        <f>IM59</f>
        <v>0</v>
      </c>
      <c r="AF59" s="359">
        <f>IT59</f>
        <v>0</v>
      </c>
      <c r="AG59" s="359"/>
      <c r="AH59" s="359"/>
      <c r="AI59" s="359"/>
      <c r="AJ59" s="359"/>
      <c r="AK59" s="359"/>
      <c r="AL59" s="359"/>
      <c r="AM59" s="359"/>
      <c r="AN59" s="359"/>
      <c r="AO59" s="359"/>
      <c r="AP59" s="359"/>
      <c r="AQ59" s="359"/>
      <c r="AR59" s="359"/>
      <c r="AS59" s="360"/>
      <c r="AT59" s="358" t="s">
        <v>51</v>
      </c>
      <c r="AU59" s="359">
        <f>AU58-AU28</f>
        <v>0</v>
      </c>
      <c r="AV59" s="359">
        <f>AV58-AV28</f>
        <v>0</v>
      </c>
      <c r="AW59" s="359">
        <f>AW58-AW28</f>
        <v>0</v>
      </c>
      <c r="AX59" s="359">
        <f>AX58-AX28</f>
        <v>0</v>
      </c>
      <c r="AY59" s="359">
        <f>AY58-AY28</f>
        <v>1589</v>
      </c>
      <c r="AZ59" s="360"/>
      <c r="BA59" s="358" t="s">
        <v>51</v>
      </c>
      <c r="BB59" s="359">
        <f>BB58-BB28</f>
        <v>0</v>
      </c>
      <c r="BC59" s="359">
        <f>BC58-BC28</f>
        <v>0</v>
      </c>
      <c r="BD59" s="359">
        <f>BD58-BD28</f>
        <v>0</v>
      </c>
      <c r="BE59" s="359">
        <f>BE58-BE28</f>
        <v>0</v>
      </c>
      <c r="BF59" s="359">
        <f>BF58-BF28</f>
        <v>0</v>
      </c>
      <c r="BG59" s="360"/>
      <c r="BH59" s="358" t="s">
        <v>51</v>
      </c>
      <c r="BI59" s="359">
        <f>BI58-BI28</f>
        <v>0</v>
      </c>
      <c r="BJ59" s="359">
        <f>BJ58-BJ28</f>
        <v>0</v>
      </c>
      <c r="BK59" s="359">
        <f>BK58-BK28</f>
        <v>0</v>
      </c>
      <c r="BL59" s="359">
        <f>BL58-BL28</f>
        <v>0</v>
      </c>
      <c r="BM59" s="359">
        <f>BM58-BM28</f>
        <v>0</v>
      </c>
      <c r="BN59" s="360"/>
      <c r="BO59" s="358" t="s">
        <v>51</v>
      </c>
      <c r="BP59" s="359">
        <f>BP58-BP28</f>
        <v>0</v>
      </c>
      <c r="BQ59" s="359">
        <f>BQ58-BQ28</f>
        <v>0</v>
      </c>
      <c r="BR59" s="359">
        <f>BR58-BR28</f>
        <v>0</v>
      </c>
      <c r="BS59" s="359">
        <f>BS58-BS28</f>
        <v>0</v>
      </c>
      <c r="BT59" s="359">
        <f>BT58-BT28</f>
        <v>0</v>
      </c>
      <c r="BU59" s="360"/>
      <c r="BV59" s="358" t="s">
        <v>51</v>
      </c>
      <c r="BW59" s="359">
        <f>BW58-BW28</f>
        <v>0</v>
      </c>
      <c r="BX59" s="359">
        <f>BX58-BX28</f>
        <v>0</v>
      </c>
      <c r="BY59" s="359">
        <f>BY58-BY28</f>
        <v>0</v>
      </c>
      <c r="BZ59" s="359">
        <f>BZ58-BZ28</f>
        <v>0</v>
      </c>
      <c r="CA59" s="359">
        <f>CA58-CA28</f>
        <v>0</v>
      </c>
      <c r="CB59" s="360"/>
      <c r="CC59" s="358" t="s">
        <v>51</v>
      </c>
      <c r="CD59" s="359">
        <f>CD58-CD28</f>
        <v>0</v>
      </c>
      <c r="CE59" s="359">
        <f>CE58-CE28</f>
        <v>0</v>
      </c>
      <c r="CF59" s="359">
        <f>CF58-CF28</f>
        <v>0</v>
      </c>
      <c r="CG59" s="359">
        <f>CG58-CG28</f>
        <v>0</v>
      </c>
      <c r="CH59" s="359">
        <f>CH58-CH28</f>
        <v>0</v>
      </c>
      <c r="CI59" s="360"/>
      <c r="CJ59" s="358" t="s">
        <v>51</v>
      </c>
      <c r="CK59" s="359">
        <f>CK58-CK28</f>
        <v>0</v>
      </c>
      <c r="CL59" s="359">
        <f>CL58-CL28</f>
        <v>0</v>
      </c>
      <c r="CM59" s="359">
        <f>CM58-CM28</f>
        <v>0</v>
      </c>
      <c r="CN59" s="359">
        <f>CN58-CN28</f>
        <v>0</v>
      </c>
      <c r="CO59" s="359">
        <f>CO58-CO28</f>
        <v>0</v>
      </c>
      <c r="CP59" s="360"/>
      <c r="CQ59" s="358" t="s">
        <v>51</v>
      </c>
      <c r="CR59" s="359">
        <f>CR58-CR28</f>
        <v>0</v>
      </c>
      <c r="CS59" s="359">
        <f>CS58-CS28</f>
        <v>0</v>
      </c>
      <c r="CT59" s="359">
        <f>CT58-CT28</f>
        <v>0</v>
      </c>
      <c r="CU59" s="359">
        <f>CU58-CU28</f>
        <v>0</v>
      </c>
      <c r="CV59" s="359">
        <f>CV58-CV28</f>
        <v>0</v>
      </c>
      <c r="CW59" s="360"/>
      <c r="CX59" s="358" t="s">
        <v>51</v>
      </c>
      <c r="CY59" s="359">
        <f>CY58-CY28</f>
        <v>0</v>
      </c>
      <c r="CZ59" s="359">
        <f>CZ58-CZ28</f>
        <v>0</v>
      </c>
      <c r="DA59" s="359">
        <f>DA58-DA28</f>
        <v>0</v>
      </c>
      <c r="DB59" s="359">
        <f>DB58-DB28</f>
        <v>0</v>
      </c>
      <c r="DC59" s="359">
        <f>DC58-DC28</f>
        <v>0</v>
      </c>
      <c r="DD59" s="360"/>
      <c r="DE59" s="358" t="s">
        <v>51</v>
      </c>
      <c r="DF59" s="359">
        <f>DF58-DF28</f>
        <v>0</v>
      </c>
      <c r="DG59" s="359">
        <f>DG58-DG28</f>
        <v>3</v>
      </c>
      <c r="DH59" s="359">
        <f>DH58-DH28</f>
        <v>0</v>
      </c>
      <c r="DI59" s="359">
        <f>DI58-DI28</f>
        <v>0</v>
      </c>
      <c r="DJ59" s="359">
        <f>DJ58-DJ28</f>
        <v>0</v>
      </c>
      <c r="DK59" s="360"/>
      <c r="DL59" s="358" t="s">
        <v>51</v>
      </c>
      <c r="DM59" s="359">
        <f>DM58-DM28</f>
        <v>0</v>
      </c>
      <c r="DN59" s="359">
        <f>DN58-DN28</f>
        <v>0</v>
      </c>
      <c r="DO59" s="359">
        <f>DO58-DO28</f>
        <v>0</v>
      </c>
      <c r="DP59" s="359">
        <f>DP58-DP28</f>
        <v>0</v>
      </c>
      <c r="DQ59" s="359">
        <f>DQ58-DQ28</f>
        <v>0</v>
      </c>
      <c r="DR59" s="360"/>
      <c r="DS59" s="358" t="s">
        <v>51</v>
      </c>
      <c r="DT59" s="359">
        <f>DT58-DT28</f>
        <v>0</v>
      </c>
      <c r="DU59" s="359">
        <f>DU58-DU28</f>
        <v>0</v>
      </c>
      <c r="DV59" s="359">
        <f>DV58-DV28</f>
        <v>0</v>
      </c>
      <c r="DW59" s="359">
        <f>DW58-DW28</f>
        <v>0</v>
      </c>
      <c r="DX59" s="359">
        <f>DX58-DX28</f>
        <v>0</v>
      </c>
      <c r="DY59" s="360"/>
      <c r="DZ59" s="358" t="s">
        <v>51</v>
      </c>
      <c r="EA59" s="359">
        <f>EA58-EA28</f>
        <v>0</v>
      </c>
      <c r="EB59" s="359">
        <f>EB58-EB28</f>
        <v>0</v>
      </c>
      <c r="EC59" s="359">
        <f>EC58-EC28</f>
        <v>0</v>
      </c>
      <c r="ED59" s="359">
        <f>ED58-ED28</f>
        <v>0</v>
      </c>
      <c r="EE59" s="359">
        <f>EE58-EE28</f>
        <v>0</v>
      </c>
      <c r="EF59" s="360"/>
      <c r="EG59" s="358" t="s">
        <v>51</v>
      </c>
      <c r="EH59" s="359">
        <f>EH58-EH28</f>
        <v>0</v>
      </c>
      <c r="EI59" s="359">
        <f>EI58-EI28</f>
        <v>0</v>
      </c>
      <c r="EJ59" s="359">
        <f>EJ58-EJ28</f>
        <v>0</v>
      </c>
      <c r="EK59" s="359">
        <f>EK58-EK28</f>
        <v>0</v>
      </c>
      <c r="EL59" s="359">
        <f>EL58-EL28</f>
        <v>0</v>
      </c>
      <c r="EM59" s="360"/>
      <c r="EN59" s="358" t="s">
        <v>51</v>
      </c>
      <c r="EO59" s="359">
        <f>EO58-EO28</f>
        <v>0</v>
      </c>
      <c r="EP59" s="359">
        <f>EP58-EP28</f>
        <v>0</v>
      </c>
      <c r="EQ59" s="359">
        <f>EQ58-EQ28</f>
        <v>0</v>
      </c>
      <c r="ER59" s="359">
        <f>ER58-ER28</f>
        <v>0</v>
      </c>
      <c r="ES59" s="359">
        <f>ES58-ES28</f>
        <v>0</v>
      </c>
      <c r="ET59" s="360"/>
      <c r="EU59" s="358" t="s">
        <v>51</v>
      </c>
      <c r="EV59" s="359">
        <f>EV58-EV28</f>
        <v>0</v>
      </c>
      <c r="EW59" s="359">
        <f>EW58-EW28</f>
        <v>0</v>
      </c>
      <c r="EX59" s="359">
        <f>EX58-EX28</f>
        <v>0</v>
      </c>
      <c r="EY59" s="359">
        <f>EY58-EY28</f>
        <v>0</v>
      </c>
      <c r="EZ59" s="359">
        <f>EZ58-EZ28</f>
        <v>0</v>
      </c>
      <c r="FA59" s="360"/>
      <c r="FB59" s="358" t="s">
        <v>51</v>
      </c>
      <c r="FC59" s="359">
        <f>FC58-FC28</f>
        <v>0</v>
      </c>
      <c r="FD59" s="359">
        <f>FD58-FD28</f>
        <v>0</v>
      </c>
      <c r="FE59" s="359">
        <f>FE58-FE28</f>
        <v>0</v>
      </c>
      <c r="FF59" s="359">
        <f>FF58-FF28</f>
        <v>0</v>
      </c>
      <c r="FG59" s="359">
        <f>FG58-FG28</f>
        <v>0</v>
      </c>
      <c r="FH59" s="360"/>
      <c r="FI59" s="358" t="s">
        <v>51</v>
      </c>
      <c r="FJ59" s="359">
        <f>FJ58-FJ28</f>
        <v>0</v>
      </c>
      <c r="FK59" s="359">
        <f>FK58-FK28</f>
        <v>0</v>
      </c>
      <c r="FL59" s="359">
        <f>FL58-FL28</f>
        <v>0</v>
      </c>
      <c r="FM59" s="359">
        <f>FM58-FM28</f>
        <v>0</v>
      </c>
      <c r="FN59" s="359">
        <f>FN58-FN28</f>
        <v>0</v>
      </c>
      <c r="FO59" s="360"/>
      <c r="FP59" s="358" t="s">
        <v>51</v>
      </c>
      <c r="FQ59" s="359">
        <f>FQ58-FQ28</f>
        <v>0</v>
      </c>
      <c r="FR59" s="359">
        <f>FR58-FR28</f>
        <v>0</v>
      </c>
      <c r="FS59" s="359">
        <f>FS58-FS28</f>
        <v>0</v>
      </c>
      <c r="FT59" s="359">
        <f>FT58-FT28</f>
        <v>0</v>
      </c>
      <c r="FU59" s="359">
        <f>FU58-FU28</f>
        <v>0</v>
      </c>
      <c r="FV59" s="360"/>
      <c r="FW59" s="358" t="s">
        <v>51</v>
      </c>
      <c r="FX59" s="359">
        <f>FX58-FX28</f>
        <v>0</v>
      </c>
      <c r="FY59" s="359">
        <f>FY58-FY28</f>
        <v>0</v>
      </c>
      <c r="FZ59" s="359">
        <f>FZ58-FZ28</f>
        <v>0</v>
      </c>
      <c r="GA59" s="359">
        <f>GA58-GA28</f>
        <v>0</v>
      </c>
      <c r="GB59" s="359">
        <f>GB58-GB28</f>
        <v>0</v>
      </c>
      <c r="GC59" s="360"/>
      <c r="GD59" s="358" t="s">
        <v>51</v>
      </c>
      <c r="GE59" s="359">
        <f>GE58-GE28</f>
        <v>0</v>
      </c>
      <c r="GF59" s="359">
        <f>GF58-GF28</f>
        <v>0</v>
      </c>
      <c r="GG59" s="359">
        <f>GG58-GG28</f>
        <v>0</v>
      </c>
      <c r="GH59" s="359">
        <f>GH58-GH28</f>
        <v>0</v>
      </c>
      <c r="GI59" s="359">
        <f>GI58-GI28</f>
        <v>0</v>
      </c>
      <c r="GJ59" s="360"/>
      <c r="GK59" s="358" t="s">
        <v>51</v>
      </c>
      <c r="GL59" s="359">
        <f>GL58-GL28</f>
        <v>0</v>
      </c>
      <c r="GM59" s="359">
        <f>GM58-GM28</f>
        <v>0</v>
      </c>
      <c r="GN59" s="359">
        <f>GN58-GN28</f>
        <v>0</v>
      </c>
      <c r="GO59" s="359">
        <f>GO58-GO28</f>
        <v>0</v>
      </c>
      <c r="GP59" s="359">
        <f>GP58-GP28</f>
        <v>0</v>
      </c>
      <c r="GQ59" s="360"/>
      <c r="GR59" s="358" t="s">
        <v>51</v>
      </c>
      <c r="GS59" s="359">
        <f>GS58-GS28</f>
        <v>0</v>
      </c>
      <c r="GT59" s="359">
        <f>GT58-GT28</f>
        <v>0</v>
      </c>
      <c r="GU59" s="359">
        <f>GU58-GU28</f>
        <v>0</v>
      </c>
      <c r="GV59" s="359">
        <f>GV58-GV28</f>
        <v>0</v>
      </c>
      <c r="GW59" s="359">
        <f>GW58-GW28</f>
        <v>0</v>
      </c>
      <c r="GX59" s="360"/>
      <c r="GY59" s="358" t="s">
        <v>51</v>
      </c>
      <c r="GZ59" s="359">
        <f>GZ58-GZ28</f>
        <v>0</v>
      </c>
      <c r="HA59" s="359">
        <f>HA58-HA28</f>
        <v>0</v>
      </c>
      <c r="HB59" s="359">
        <f>HB58-HB28</f>
        <v>0</v>
      </c>
      <c r="HC59" s="359">
        <f>HC58-HC28</f>
        <v>0</v>
      </c>
      <c r="HD59" s="359">
        <f>HD58-HD28</f>
        <v>0</v>
      </c>
      <c r="HE59" s="360"/>
      <c r="HF59" s="358" t="s">
        <v>51</v>
      </c>
      <c r="HG59" s="359">
        <f>HG58-HG28</f>
        <v>0</v>
      </c>
      <c r="HH59" s="359">
        <f>HH58-HH28</f>
        <v>0</v>
      </c>
      <c r="HI59" s="359">
        <f>HI58-HI28</f>
        <v>0</v>
      </c>
      <c r="HJ59" s="359">
        <f>HJ58-HJ28</f>
        <v>0</v>
      </c>
      <c r="HK59" s="359">
        <f>HK58-HK28</f>
        <v>0</v>
      </c>
      <c r="HL59" s="360"/>
      <c r="HM59" s="358" t="s">
        <v>51</v>
      </c>
      <c r="HN59" s="359">
        <f>HN58-HN28</f>
        <v>0</v>
      </c>
      <c r="HO59" s="359">
        <f>HO58-HO28</f>
        <v>0</v>
      </c>
      <c r="HP59" s="359">
        <f>HP58-HP28</f>
        <v>0</v>
      </c>
      <c r="HQ59" s="359">
        <f>HQ58-HQ28</f>
        <v>0</v>
      </c>
      <c r="HR59" s="359">
        <f>HR58-HR28</f>
        <v>0</v>
      </c>
      <c r="HS59" s="360"/>
      <c r="HT59" s="358" t="s">
        <v>51</v>
      </c>
      <c r="HU59" s="359">
        <f>HU58-HU28</f>
        <v>0</v>
      </c>
      <c r="HV59" s="359">
        <f>HV58-HV28</f>
        <v>0</v>
      </c>
      <c r="HW59" s="359">
        <f>HW58-HW28</f>
        <v>0</v>
      </c>
      <c r="HX59" s="359">
        <f>HX58-HX28</f>
        <v>0</v>
      </c>
      <c r="HY59" s="359">
        <f>HY58-HY28</f>
        <v>0</v>
      </c>
      <c r="HZ59" s="360"/>
      <c r="IA59" s="358" t="s">
        <v>51</v>
      </c>
      <c r="IB59" s="359">
        <f>IB58-IB28</f>
        <v>0</v>
      </c>
      <c r="IC59" s="359">
        <f>IC58-IC28</f>
        <v>0</v>
      </c>
      <c r="ID59" s="359">
        <f>ID58-ID28</f>
        <v>0</v>
      </c>
      <c r="IE59" s="359">
        <f>IE58-IE28</f>
        <v>0</v>
      </c>
      <c r="IF59" s="359">
        <f>IF58-IF28</f>
        <v>0</v>
      </c>
      <c r="IG59" s="360"/>
      <c r="IH59" s="358" t="s">
        <v>51</v>
      </c>
      <c r="II59" s="359">
        <f>II58-II28</f>
        <v>0</v>
      </c>
      <c r="IJ59" s="359">
        <f>IJ58-IJ28</f>
        <v>0</v>
      </c>
      <c r="IK59" s="359">
        <f>IK58-IK28</f>
        <v>0</v>
      </c>
      <c r="IL59" s="359">
        <f>IL58-IL28</f>
        <v>0</v>
      </c>
      <c r="IM59" s="359">
        <f>IM58-IM28</f>
        <v>0</v>
      </c>
      <c r="IN59" s="360"/>
      <c r="IO59" s="358" t="s">
        <v>51</v>
      </c>
      <c r="IP59" s="359">
        <f>IP58-IP28</f>
        <v>0</v>
      </c>
      <c r="IQ59" s="359">
        <f>IQ58-IQ28</f>
        <v>0</v>
      </c>
      <c r="IR59" s="359">
        <f>IR58-IR28</f>
        <v>0</v>
      </c>
      <c r="IS59" s="359">
        <f>IS58-IS28</f>
        <v>0</v>
      </c>
      <c r="IT59" s="359">
        <f>IT58-IT28</f>
        <v>0</v>
      </c>
      <c r="IU59" s="360"/>
      <c r="IV59" s="360"/>
      <c r="IW59" s="360"/>
      <c r="IX59" s="360"/>
      <c r="IY59" s="360"/>
      <c r="IZ59" s="360"/>
      <c r="JA59" s="360"/>
      <c r="JB59" s="360"/>
      <c r="JC59" s="360"/>
      <c r="JD59" s="360"/>
      <c r="JE59" s="360"/>
      <c r="JF59" s="360"/>
      <c r="JG59" s="360"/>
      <c r="JH59" s="360"/>
      <c r="JI59" s="360"/>
      <c r="JJ59" s="360"/>
      <c r="JK59" s="360"/>
      <c r="JL59" s="360"/>
      <c r="JM59" s="360"/>
      <c r="JN59" s="360"/>
      <c r="JO59" s="360"/>
      <c r="JP59" s="361"/>
      <c r="JQ59" s="360"/>
      <c r="JR59" s="360"/>
      <c r="JS59" s="360"/>
      <c r="JT59" s="360"/>
      <c r="JU59" s="361"/>
      <c r="JV59" s="361"/>
      <c r="JW59" s="362"/>
      <c r="JX59" s="362"/>
      <c r="JY59" s="362"/>
      <c r="JZ59" s="362"/>
      <c r="KA59" s="362"/>
      <c r="KB59" s="362"/>
      <c r="KC59" s="362"/>
      <c r="KD59" s="362"/>
      <c r="KE59" s="362"/>
      <c r="KG59" s="364"/>
      <c r="KH59" s="365"/>
      <c r="KI59" s="365"/>
    </row>
    <row r="60" spans="1:438" x14ac:dyDescent="0.4">
      <c r="B60" s="83"/>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T60" s="83"/>
      <c r="AU60" s="84"/>
      <c r="AV60" s="84"/>
      <c r="AW60" s="84"/>
      <c r="AX60" s="84"/>
      <c r="AY60" s="84"/>
      <c r="BA60" s="83"/>
      <c r="BB60" s="84"/>
      <c r="BC60" s="84"/>
      <c r="BD60" s="84"/>
      <c r="BE60" s="84"/>
      <c r="BF60" s="84"/>
      <c r="BH60" s="83"/>
      <c r="BI60" s="84"/>
      <c r="BJ60" s="84"/>
      <c r="BK60" s="84"/>
      <c r="BL60" s="84"/>
      <c r="BM60" s="84"/>
      <c r="BO60" s="83"/>
      <c r="BP60" s="84"/>
      <c r="BQ60" s="84"/>
      <c r="BR60" s="84"/>
      <c r="BS60" s="84"/>
      <c r="BT60" s="84"/>
      <c r="BV60" s="83"/>
      <c r="BW60" s="84"/>
      <c r="BX60" s="84"/>
      <c r="BY60" s="84"/>
      <c r="BZ60" s="84"/>
      <c r="CA60" s="84"/>
      <c r="CC60" s="83"/>
      <c r="CD60" s="84"/>
      <c r="CE60" s="84"/>
      <c r="CF60" s="84"/>
      <c r="CG60" s="84"/>
      <c r="CH60" s="84"/>
      <c r="CJ60" s="83"/>
      <c r="CK60" s="84"/>
      <c r="CL60" s="84"/>
      <c r="CM60" s="84"/>
      <c r="CN60" s="84"/>
      <c r="CO60" s="84"/>
      <c r="CQ60" s="83"/>
      <c r="CR60" s="84"/>
      <c r="CS60" s="84"/>
      <c r="CT60" s="84"/>
      <c r="CU60" s="84"/>
      <c r="CV60" s="84"/>
      <c r="CX60" s="83"/>
      <c r="CY60" s="84"/>
      <c r="CZ60" s="84"/>
      <c r="DA60" s="84"/>
      <c r="DB60" s="84"/>
      <c r="DC60" s="84"/>
      <c r="DE60" s="83"/>
      <c r="DF60" s="84"/>
      <c r="DG60" s="84"/>
      <c r="DH60" s="84"/>
      <c r="DI60" s="84"/>
      <c r="DJ60" s="84"/>
      <c r="DL60" s="83"/>
      <c r="DM60" s="84"/>
      <c r="DN60" s="84"/>
      <c r="DO60" s="84"/>
      <c r="DP60" s="84"/>
      <c r="DQ60" s="84"/>
      <c r="DS60" s="83"/>
      <c r="DT60" s="84"/>
      <c r="DU60" s="84"/>
      <c r="DV60" s="84"/>
      <c r="DW60" s="84"/>
      <c r="DX60" s="84"/>
      <c r="DZ60" s="83"/>
      <c r="EA60" s="84"/>
      <c r="EB60" s="84"/>
      <c r="EC60" s="84"/>
      <c r="ED60" s="84"/>
      <c r="EE60" s="84"/>
      <c r="EG60" s="83"/>
      <c r="EH60" s="84"/>
      <c r="EI60" s="84"/>
      <c r="EJ60" s="84"/>
      <c r="EK60" s="84"/>
      <c r="EL60" s="84"/>
      <c r="EN60" s="83"/>
      <c r="EO60" s="84"/>
      <c r="EP60" s="84"/>
      <c r="EQ60" s="84"/>
      <c r="ER60" s="84"/>
      <c r="ES60" s="84"/>
      <c r="EU60" s="83"/>
      <c r="EV60" s="84"/>
      <c r="EW60" s="84"/>
      <c r="EX60" s="84"/>
      <c r="EY60" s="84"/>
      <c r="EZ60" s="84"/>
      <c r="FB60" s="83"/>
      <c r="FC60" s="84"/>
      <c r="FD60" s="84"/>
      <c r="FE60" s="84"/>
      <c r="FF60" s="84"/>
      <c r="FG60" s="84"/>
      <c r="FI60" s="83"/>
      <c r="FJ60" s="84"/>
      <c r="FK60" s="84"/>
      <c r="FL60" s="84"/>
      <c r="FM60" s="84"/>
      <c r="FN60" s="84"/>
      <c r="FP60" s="83"/>
      <c r="FQ60" s="84"/>
      <c r="FR60" s="84"/>
      <c r="FS60" s="84"/>
      <c r="FT60" s="84"/>
      <c r="FU60" s="84"/>
      <c r="FW60" s="83"/>
      <c r="FX60" s="84"/>
      <c r="FY60" s="84"/>
      <c r="FZ60" s="84"/>
      <c r="GA60" s="84"/>
      <c r="GB60" s="84"/>
      <c r="GD60" s="83"/>
      <c r="GE60" s="84"/>
      <c r="GF60" s="84"/>
      <c r="GG60" s="84"/>
      <c r="GH60" s="84"/>
      <c r="GI60" s="84"/>
      <c r="GK60" s="83"/>
      <c r="GL60" s="84"/>
      <c r="GM60" s="84"/>
      <c r="GN60" s="84"/>
      <c r="GO60" s="84"/>
      <c r="GP60" s="84"/>
      <c r="GR60" s="83"/>
      <c r="GS60" s="84"/>
      <c r="GT60" s="84"/>
      <c r="GU60" s="84"/>
      <c r="GV60" s="84"/>
      <c r="GW60" s="84"/>
      <c r="GY60" s="83"/>
      <c r="GZ60" s="84"/>
      <c r="HA60" s="84"/>
      <c r="HB60" s="84"/>
      <c r="HC60" s="84"/>
      <c r="HD60" s="84"/>
      <c r="HF60" s="83"/>
      <c r="HG60" s="84"/>
      <c r="HH60" s="84"/>
      <c r="HI60" s="84"/>
      <c r="HJ60" s="84"/>
      <c r="HK60" s="84"/>
      <c r="HM60" s="83"/>
      <c r="HN60" s="84"/>
      <c r="HO60" s="84"/>
      <c r="HP60" s="84"/>
      <c r="HQ60" s="84"/>
      <c r="HR60" s="84"/>
      <c r="HT60" s="83"/>
      <c r="HU60" s="84"/>
      <c r="HV60" s="84"/>
      <c r="HW60" s="84"/>
      <c r="HX60" s="84"/>
      <c r="HY60" s="84"/>
      <c r="IA60" s="83"/>
      <c r="IB60" s="84"/>
      <c r="IC60" s="84"/>
      <c r="ID60" s="84"/>
      <c r="IE60" s="84"/>
      <c r="IF60" s="84"/>
      <c r="IH60" s="83"/>
      <c r="II60" s="84"/>
      <c r="IJ60" s="84"/>
      <c r="IK60" s="84"/>
      <c r="IL60" s="84"/>
      <c r="IM60" s="84"/>
      <c r="IO60" s="83"/>
      <c r="IP60" s="84"/>
      <c r="IQ60" s="84"/>
      <c r="IR60" s="84"/>
      <c r="IS60" s="84"/>
      <c r="IT60" s="84"/>
    </row>
    <row r="61" spans="1:438" x14ac:dyDescent="0.4">
      <c r="B61" s="76" t="s">
        <v>11</v>
      </c>
      <c r="AT61" s="76" t="s">
        <v>11</v>
      </c>
      <c r="BA61" s="76" t="s">
        <v>11</v>
      </c>
      <c r="BH61" s="76" t="s">
        <v>11</v>
      </c>
      <c r="BO61" s="76" t="s">
        <v>11</v>
      </c>
      <c r="BV61" s="76" t="s">
        <v>11</v>
      </c>
      <c r="CC61" s="76" t="s">
        <v>11</v>
      </c>
      <c r="CJ61" s="76" t="s">
        <v>11</v>
      </c>
      <c r="CQ61" s="76" t="s">
        <v>11</v>
      </c>
      <c r="CX61" s="76" t="s">
        <v>11</v>
      </c>
      <c r="DE61" s="76" t="s">
        <v>11</v>
      </c>
      <c r="DL61" s="76" t="s">
        <v>11</v>
      </c>
      <c r="DS61" s="76" t="s">
        <v>11</v>
      </c>
      <c r="DZ61" s="76" t="s">
        <v>11</v>
      </c>
      <c r="EG61" s="76" t="s">
        <v>11</v>
      </c>
      <c r="EN61" s="76" t="s">
        <v>11</v>
      </c>
      <c r="EU61" s="76" t="s">
        <v>11</v>
      </c>
      <c r="FB61" s="76" t="s">
        <v>11</v>
      </c>
      <c r="FI61" s="76" t="s">
        <v>11</v>
      </c>
      <c r="FP61" s="76" t="s">
        <v>11</v>
      </c>
      <c r="FW61" s="76" t="s">
        <v>11</v>
      </c>
      <c r="GD61" s="76" t="s">
        <v>11</v>
      </c>
      <c r="GK61" s="76" t="s">
        <v>11</v>
      </c>
      <c r="GR61" s="76" t="s">
        <v>11</v>
      </c>
      <c r="GY61" s="76" t="s">
        <v>11</v>
      </c>
      <c r="HF61" s="76" t="s">
        <v>11</v>
      </c>
      <c r="HM61" s="76" t="s">
        <v>11</v>
      </c>
      <c r="HT61" s="76" t="s">
        <v>11</v>
      </c>
      <c r="IA61" s="76" t="s">
        <v>11</v>
      </c>
      <c r="IH61" s="76" t="s">
        <v>11</v>
      </c>
      <c r="IO61" s="76" t="s">
        <v>11</v>
      </c>
    </row>
    <row r="62" spans="1:438" x14ac:dyDescent="0.4">
      <c r="B62" s="76"/>
      <c r="AT62" s="76"/>
      <c r="BA62" s="76"/>
      <c r="BH62" s="76"/>
      <c r="BO62" s="76"/>
      <c r="BV62" s="76"/>
      <c r="CC62" s="76"/>
      <c r="CJ62" s="76"/>
      <c r="CQ62" s="76"/>
      <c r="CX62" s="76"/>
      <c r="DE62" s="76"/>
      <c r="DL62" s="76"/>
      <c r="DS62" s="76"/>
      <c r="DZ62" s="76"/>
      <c r="EG62" s="76"/>
      <c r="EN62" s="76"/>
      <c r="EU62" s="76"/>
      <c r="FB62" s="76"/>
      <c r="FI62" s="76"/>
      <c r="FP62" s="76"/>
      <c r="FW62" s="76"/>
      <c r="GD62" s="76"/>
      <c r="GK62" s="76"/>
      <c r="GR62" s="76"/>
      <c r="GY62" s="76"/>
      <c r="HF62" s="76"/>
      <c r="HM62" s="76"/>
      <c r="HT62" s="76"/>
      <c r="IA62" s="76"/>
      <c r="IH62" s="76"/>
      <c r="IO62" s="76"/>
    </row>
    <row r="63" spans="1:438" x14ac:dyDescent="0.4">
      <c r="A63" s="366"/>
      <c r="B63" s="76"/>
      <c r="AT63" s="76"/>
      <c r="BA63" s="76"/>
      <c r="BH63" s="76"/>
      <c r="BO63" s="76"/>
      <c r="BV63" s="76"/>
      <c r="CC63" s="76"/>
      <c r="CJ63" s="76"/>
      <c r="CQ63" s="76"/>
      <c r="CX63" s="76"/>
      <c r="DE63" s="76"/>
      <c r="DL63" s="76"/>
      <c r="DS63" s="76"/>
      <c r="DZ63" s="76"/>
      <c r="EG63" s="76"/>
      <c r="EN63" s="76"/>
      <c r="EU63" s="76"/>
      <c r="FB63" s="76"/>
      <c r="FI63" s="76"/>
      <c r="FP63" s="76"/>
      <c r="FW63" s="76"/>
      <c r="GD63" s="76"/>
      <c r="GK63" s="76"/>
      <c r="GR63" s="76"/>
      <c r="GY63" s="76"/>
      <c r="HF63" s="76"/>
      <c r="HM63" s="76"/>
      <c r="HT63" s="76"/>
      <c r="IA63" s="76"/>
      <c r="IH63" s="76"/>
      <c r="IO63" s="76"/>
    </row>
    <row r="64" spans="1:438" x14ac:dyDescent="0.4">
      <c r="B64" s="39" t="s">
        <v>227</v>
      </c>
      <c r="C64" s="40">
        <f>AY64</f>
        <v>1999</v>
      </c>
      <c r="D64" s="40">
        <f>BF64</f>
        <v>2000</v>
      </c>
      <c r="E64" s="40">
        <f>BM64</f>
        <v>2001</v>
      </c>
      <c r="F64" s="40">
        <f>BT64</f>
        <v>2002</v>
      </c>
      <c r="G64" s="40">
        <f>CA64</f>
        <v>2003</v>
      </c>
      <c r="H64" s="40">
        <f>CH64</f>
        <v>2004</v>
      </c>
      <c r="I64" s="40">
        <f>CO64</f>
        <v>2005</v>
      </c>
      <c r="J64" s="40">
        <f>CV64</f>
        <v>2006</v>
      </c>
      <c r="K64" s="40">
        <f>DC64</f>
        <v>2007</v>
      </c>
      <c r="L64" s="40">
        <f>DJ64</f>
        <v>2008</v>
      </c>
      <c r="M64" s="40">
        <f>DQ64</f>
        <v>2009</v>
      </c>
      <c r="N64" s="40">
        <f>DX64</f>
        <v>2010</v>
      </c>
      <c r="O64" s="40">
        <f>EE64</f>
        <v>2011</v>
      </c>
      <c r="P64" s="40">
        <f>EL64</f>
        <v>2012</v>
      </c>
      <c r="Q64" s="40">
        <f>ES64</f>
        <v>2013</v>
      </c>
      <c r="R64" s="40">
        <f>EZ64</f>
        <v>2014</v>
      </c>
      <c r="S64" s="40">
        <f>FG64</f>
        <v>2015</v>
      </c>
      <c r="T64" s="40">
        <f>FN64</f>
        <v>2016</v>
      </c>
      <c r="U64" s="40">
        <f>FU64</f>
        <v>2017</v>
      </c>
      <c r="V64" s="40">
        <f>GB64</f>
        <v>2018</v>
      </c>
      <c r="W64" s="40">
        <f>GI64</f>
        <v>2019</v>
      </c>
      <c r="X64" s="40">
        <f>GP64</f>
        <v>2020</v>
      </c>
      <c r="Y64" s="40">
        <f>GW64</f>
        <v>2021</v>
      </c>
      <c r="Z64" s="40">
        <f>HD64</f>
        <v>2022</v>
      </c>
      <c r="AA64" s="40">
        <f>HK64</f>
        <v>2023</v>
      </c>
      <c r="AB64" s="311">
        <f>HR64</f>
        <v>2024</v>
      </c>
      <c r="AC64" s="311">
        <f>HY64</f>
        <v>2025</v>
      </c>
      <c r="AD64" s="311" t="str">
        <f>IF64</f>
        <v>2026E</v>
      </c>
      <c r="AE64" s="311" t="str">
        <f>IM64</f>
        <v>2027E</v>
      </c>
      <c r="AF64" s="311" t="str">
        <f>IT64</f>
        <v>2028E</v>
      </c>
      <c r="AG64" s="311"/>
      <c r="AH64" s="311"/>
      <c r="AI64" s="311"/>
      <c r="AJ64" s="311"/>
      <c r="AK64" s="311"/>
      <c r="AL64" s="311"/>
      <c r="AM64" s="311"/>
      <c r="AN64" s="311"/>
      <c r="AO64" s="311"/>
      <c r="AP64" s="311"/>
      <c r="AQ64" s="311"/>
      <c r="AR64" s="311"/>
      <c r="AT64" s="39" t="s">
        <v>227</v>
      </c>
      <c r="AU64" s="40" t="str">
        <f t="shared" ref="AU64:AY65" si="138">AU4</f>
        <v>1Q99</v>
      </c>
      <c r="AV64" s="40" t="str">
        <f t="shared" si="138"/>
        <v>2Q99</v>
      </c>
      <c r="AW64" s="40" t="str">
        <f t="shared" si="138"/>
        <v>3Q99</v>
      </c>
      <c r="AX64" s="40" t="str">
        <f t="shared" si="138"/>
        <v>4Q99</v>
      </c>
      <c r="AY64" s="40">
        <f t="shared" si="138"/>
        <v>1999</v>
      </c>
      <c r="BA64" s="39" t="s">
        <v>227</v>
      </c>
      <c r="BB64" s="40" t="str">
        <f t="shared" ref="BB64:BF64" si="139">BB4</f>
        <v>1Q00</v>
      </c>
      <c r="BC64" s="40" t="str">
        <f t="shared" si="139"/>
        <v>2Q00</v>
      </c>
      <c r="BD64" s="40" t="str">
        <f t="shared" si="139"/>
        <v>3Q00</v>
      </c>
      <c r="BE64" s="40" t="str">
        <f t="shared" si="139"/>
        <v>4Q00</v>
      </c>
      <c r="BF64" s="40">
        <f t="shared" si="139"/>
        <v>2000</v>
      </c>
      <c r="BH64" s="39" t="s">
        <v>227</v>
      </c>
      <c r="BI64" s="40" t="str">
        <f t="shared" ref="BI64:BM64" si="140">BI4</f>
        <v>1Q01</v>
      </c>
      <c r="BJ64" s="40" t="str">
        <f t="shared" si="140"/>
        <v>2Q01</v>
      </c>
      <c r="BK64" s="40" t="str">
        <f t="shared" si="140"/>
        <v>3Q01</v>
      </c>
      <c r="BL64" s="40" t="str">
        <f t="shared" si="140"/>
        <v>4Q01</v>
      </c>
      <c r="BM64" s="40">
        <f t="shared" si="140"/>
        <v>2001</v>
      </c>
      <c r="BO64" s="39" t="s">
        <v>227</v>
      </c>
      <c r="BP64" s="40" t="str">
        <f t="shared" ref="BP64:BT64" si="141">BP4</f>
        <v>1Q02</v>
      </c>
      <c r="BQ64" s="40" t="str">
        <f t="shared" si="141"/>
        <v>2Q02</v>
      </c>
      <c r="BR64" s="40" t="str">
        <f t="shared" si="141"/>
        <v>3Q02</v>
      </c>
      <c r="BS64" s="40" t="str">
        <f t="shared" si="141"/>
        <v>4Q02</v>
      </c>
      <c r="BT64" s="40">
        <f t="shared" si="141"/>
        <v>2002</v>
      </c>
      <c r="BV64" s="39" t="s">
        <v>227</v>
      </c>
      <c r="BW64" s="40" t="str">
        <f t="shared" ref="BW64:CA64" si="142">BW4</f>
        <v>1Q03</v>
      </c>
      <c r="BX64" s="40" t="str">
        <f t="shared" si="142"/>
        <v>2Q03</v>
      </c>
      <c r="BY64" s="40" t="str">
        <f t="shared" si="142"/>
        <v>3Q03</v>
      </c>
      <c r="BZ64" s="40" t="str">
        <f t="shared" si="142"/>
        <v>4Q03</v>
      </c>
      <c r="CA64" s="40">
        <f t="shared" si="142"/>
        <v>2003</v>
      </c>
      <c r="CC64" s="39" t="s">
        <v>227</v>
      </c>
      <c r="CD64" s="40" t="str">
        <f t="shared" ref="CD64:CH64" si="143">CD4</f>
        <v>1Q04</v>
      </c>
      <c r="CE64" s="40" t="str">
        <f t="shared" si="143"/>
        <v>2Q04</v>
      </c>
      <c r="CF64" s="40" t="str">
        <f t="shared" si="143"/>
        <v>3Q04</v>
      </c>
      <c r="CG64" s="40" t="str">
        <f t="shared" si="143"/>
        <v>4Q04</v>
      </c>
      <c r="CH64" s="40">
        <f t="shared" si="143"/>
        <v>2004</v>
      </c>
      <c r="CJ64" s="39" t="s">
        <v>227</v>
      </c>
      <c r="CK64" s="40" t="str">
        <f t="shared" ref="CK64:CO64" si="144">CK4</f>
        <v>1Q05</v>
      </c>
      <c r="CL64" s="40" t="str">
        <f t="shared" si="144"/>
        <v>2Q05</v>
      </c>
      <c r="CM64" s="40" t="str">
        <f t="shared" si="144"/>
        <v>3Q05</v>
      </c>
      <c r="CN64" s="40" t="str">
        <f t="shared" si="144"/>
        <v>4Q05</v>
      </c>
      <c r="CO64" s="40">
        <f t="shared" si="144"/>
        <v>2005</v>
      </c>
      <c r="CQ64" s="39" t="s">
        <v>227</v>
      </c>
      <c r="CR64" s="40" t="str">
        <f t="shared" ref="CR64:CV64" si="145">CR4</f>
        <v>1Q06</v>
      </c>
      <c r="CS64" s="40" t="str">
        <f t="shared" si="145"/>
        <v>2Q06</v>
      </c>
      <c r="CT64" s="40" t="str">
        <f t="shared" si="145"/>
        <v>3Q06</v>
      </c>
      <c r="CU64" s="40" t="str">
        <f t="shared" si="145"/>
        <v>4Q06</v>
      </c>
      <c r="CV64" s="40">
        <f t="shared" si="145"/>
        <v>2006</v>
      </c>
      <c r="CX64" s="39" t="s">
        <v>227</v>
      </c>
      <c r="CY64" s="40" t="str">
        <f t="shared" ref="CY64:DC64" si="146">CY4</f>
        <v>1Q07</v>
      </c>
      <c r="CZ64" s="40" t="str">
        <f t="shared" si="146"/>
        <v>2Q07</v>
      </c>
      <c r="DA64" s="40" t="str">
        <f t="shared" si="146"/>
        <v>3Q07</v>
      </c>
      <c r="DB64" s="40" t="str">
        <f t="shared" si="146"/>
        <v>4Q07</v>
      </c>
      <c r="DC64" s="40">
        <f t="shared" si="146"/>
        <v>2007</v>
      </c>
      <c r="DE64" s="39" t="s">
        <v>227</v>
      </c>
      <c r="DF64" s="40" t="str">
        <f t="shared" ref="DF64:DJ64" si="147">DF4</f>
        <v>1Q08</v>
      </c>
      <c r="DG64" s="40" t="str">
        <f t="shared" si="147"/>
        <v>2Q08</v>
      </c>
      <c r="DH64" s="40" t="str">
        <f t="shared" si="147"/>
        <v>3Q08</v>
      </c>
      <c r="DI64" s="40" t="str">
        <f t="shared" si="147"/>
        <v>4Q08</v>
      </c>
      <c r="DJ64" s="40">
        <f t="shared" si="147"/>
        <v>2008</v>
      </c>
      <c r="DL64" s="39" t="s">
        <v>227</v>
      </c>
      <c r="DM64" s="40" t="str">
        <f t="shared" ref="DM64:DQ64" si="148">DM4</f>
        <v>1Q09</v>
      </c>
      <c r="DN64" s="40" t="str">
        <f t="shared" si="148"/>
        <v>2Q09</v>
      </c>
      <c r="DO64" s="40" t="str">
        <f t="shared" si="148"/>
        <v>3Q09</v>
      </c>
      <c r="DP64" s="40" t="str">
        <f t="shared" si="148"/>
        <v>4Q09</v>
      </c>
      <c r="DQ64" s="40">
        <f t="shared" si="148"/>
        <v>2009</v>
      </c>
      <c r="DS64" s="39" t="s">
        <v>227</v>
      </c>
      <c r="DT64" s="40" t="str">
        <f t="shared" ref="DT64:DX64" si="149">DT4</f>
        <v>1Q10</v>
      </c>
      <c r="DU64" s="40" t="str">
        <f t="shared" si="149"/>
        <v>2Q10</v>
      </c>
      <c r="DV64" s="40" t="str">
        <f t="shared" si="149"/>
        <v>3Q10</v>
      </c>
      <c r="DW64" s="40" t="str">
        <f t="shared" si="149"/>
        <v>4Q10</v>
      </c>
      <c r="DX64" s="40">
        <f t="shared" si="149"/>
        <v>2010</v>
      </c>
      <c r="DZ64" s="39" t="s">
        <v>227</v>
      </c>
      <c r="EA64" s="40" t="str">
        <f t="shared" ref="EA64:EE64" si="150">EA4</f>
        <v>1Q11</v>
      </c>
      <c r="EB64" s="40" t="str">
        <f t="shared" si="150"/>
        <v>2Q11</v>
      </c>
      <c r="EC64" s="40" t="str">
        <f t="shared" si="150"/>
        <v>3Q11</v>
      </c>
      <c r="ED64" s="40" t="str">
        <f t="shared" si="150"/>
        <v>4Q11</v>
      </c>
      <c r="EE64" s="40">
        <f t="shared" si="150"/>
        <v>2011</v>
      </c>
      <c r="EG64" s="39" t="s">
        <v>227</v>
      </c>
      <c r="EH64" s="40" t="str">
        <f t="shared" ref="EH64:EL64" si="151">EH4</f>
        <v>1Q12</v>
      </c>
      <c r="EI64" s="40" t="str">
        <f t="shared" si="151"/>
        <v>2Q12</v>
      </c>
      <c r="EJ64" s="40" t="str">
        <f t="shared" si="151"/>
        <v>3Q12</v>
      </c>
      <c r="EK64" s="40" t="str">
        <f t="shared" si="151"/>
        <v>4Q12</v>
      </c>
      <c r="EL64" s="40">
        <f t="shared" si="151"/>
        <v>2012</v>
      </c>
      <c r="EN64" s="39" t="s">
        <v>227</v>
      </c>
      <c r="EO64" s="40" t="str">
        <f t="shared" ref="EO64:ES64" si="152">EO4</f>
        <v>1Q13</v>
      </c>
      <c r="EP64" s="40" t="str">
        <f t="shared" si="152"/>
        <v>2Q13</v>
      </c>
      <c r="EQ64" s="40" t="str">
        <f t="shared" si="152"/>
        <v>3Q13</v>
      </c>
      <c r="ER64" s="40" t="str">
        <f t="shared" si="152"/>
        <v>4Q13</v>
      </c>
      <c r="ES64" s="40">
        <f t="shared" si="152"/>
        <v>2013</v>
      </c>
      <c r="EU64" s="39" t="s">
        <v>227</v>
      </c>
      <c r="EV64" s="40" t="str">
        <f t="shared" ref="EV64:EZ64" si="153">EV4</f>
        <v>1Q14</v>
      </c>
      <c r="EW64" s="40" t="str">
        <f t="shared" si="153"/>
        <v>2Q14</v>
      </c>
      <c r="EX64" s="40" t="str">
        <f t="shared" si="153"/>
        <v>3Q14</v>
      </c>
      <c r="EY64" s="40" t="str">
        <f t="shared" si="153"/>
        <v>4Q14</v>
      </c>
      <c r="EZ64" s="40">
        <f t="shared" si="153"/>
        <v>2014</v>
      </c>
      <c r="FB64" s="39" t="s">
        <v>227</v>
      </c>
      <c r="FC64" s="40" t="str">
        <f t="shared" ref="FC64:FG64" si="154">FC4</f>
        <v>1Q15</v>
      </c>
      <c r="FD64" s="40" t="str">
        <f t="shared" si="154"/>
        <v>2Q15</v>
      </c>
      <c r="FE64" s="40" t="str">
        <f t="shared" si="154"/>
        <v>3Q15</v>
      </c>
      <c r="FF64" s="40" t="str">
        <f t="shared" si="154"/>
        <v>4Q15</v>
      </c>
      <c r="FG64" s="40">
        <f t="shared" si="154"/>
        <v>2015</v>
      </c>
      <c r="FI64" s="39" t="s">
        <v>227</v>
      </c>
      <c r="FJ64" s="40" t="str">
        <f t="shared" ref="FJ64:FN64" si="155">FJ4</f>
        <v>1Q16</v>
      </c>
      <c r="FK64" s="40" t="str">
        <f t="shared" si="155"/>
        <v>2Q16</v>
      </c>
      <c r="FL64" s="40" t="str">
        <f t="shared" si="155"/>
        <v>3Q16</v>
      </c>
      <c r="FM64" s="40" t="str">
        <f t="shared" si="155"/>
        <v>4Q16</v>
      </c>
      <c r="FN64" s="40">
        <f t="shared" si="155"/>
        <v>2016</v>
      </c>
      <c r="FP64" s="39" t="s">
        <v>227</v>
      </c>
      <c r="FQ64" s="40" t="str">
        <f t="shared" ref="FQ64:FU64" si="156">FQ4</f>
        <v>1Q17</v>
      </c>
      <c r="FR64" s="40" t="str">
        <f t="shared" si="156"/>
        <v>2Q17</v>
      </c>
      <c r="FS64" s="40" t="str">
        <f t="shared" si="156"/>
        <v>3Q17</v>
      </c>
      <c r="FT64" s="40" t="str">
        <f t="shared" si="156"/>
        <v>4Q17</v>
      </c>
      <c r="FU64" s="40">
        <f t="shared" si="156"/>
        <v>2017</v>
      </c>
      <c r="FW64" s="39" t="s">
        <v>227</v>
      </c>
      <c r="FX64" s="40" t="str">
        <f t="shared" ref="FX64:GB64" si="157">FX4</f>
        <v>1Q18</v>
      </c>
      <c r="FY64" s="40" t="str">
        <f t="shared" si="157"/>
        <v>2Q18</v>
      </c>
      <c r="FZ64" s="40" t="str">
        <f t="shared" si="157"/>
        <v>3Q18</v>
      </c>
      <c r="GA64" s="40" t="str">
        <f t="shared" si="157"/>
        <v>4Q18</v>
      </c>
      <c r="GB64" s="40">
        <f t="shared" si="157"/>
        <v>2018</v>
      </c>
      <c r="GD64" s="39" t="s">
        <v>227</v>
      </c>
      <c r="GE64" s="40" t="str">
        <f t="shared" ref="GE64:GI64" si="158">GE4</f>
        <v>1Q19</v>
      </c>
      <c r="GF64" s="40" t="str">
        <f t="shared" si="158"/>
        <v>2Q19</v>
      </c>
      <c r="GG64" s="40" t="str">
        <f t="shared" si="158"/>
        <v>3Q19</v>
      </c>
      <c r="GH64" s="40" t="str">
        <f t="shared" si="158"/>
        <v>4Q19</v>
      </c>
      <c r="GI64" s="40">
        <f t="shared" si="158"/>
        <v>2019</v>
      </c>
      <c r="GK64" s="39" t="s">
        <v>227</v>
      </c>
      <c r="GL64" s="40" t="str">
        <f t="shared" ref="GL64:GP64" si="159">GL4</f>
        <v>1Q20</v>
      </c>
      <c r="GM64" s="40" t="str">
        <f t="shared" si="159"/>
        <v>2Q20</v>
      </c>
      <c r="GN64" s="40" t="str">
        <f t="shared" si="159"/>
        <v>3Q20</v>
      </c>
      <c r="GO64" s="40" t="str">
        <f t="shared" si="159"/>
        <v>4Q20</v>
      </c>
      <c r="GP64" s="40">
        <f t="shared" si="159"/>
        <v>2020</v>
      </c>
      <c r="GR64" s="39" t="s">
        <v>227</v>
      </c>
      <c r="GS64" s="40" t="str">
        <f t="shared" ref="GS64:GW64" si="160">GS4</f>
        <v>1Q21</v>
      </c>
      <c r="GT64" s="40" t="str">
        <f t="shared" si="160"/>
        <v>2Q21</v>
      </c>
      <c r="GU64" s="40" t="str">
        <f t="shared" si="160"/>
        <v>3Q21</v>
      </c>
      <c r="GV64" s="40" t="str">
        <f t="shared" si="160"/>
        <v>4Q21</v>
      </c>
      <c r="GW64" s="40">
        <f t="shared" si="160"/>
        <v>2021</v>
      </c>
      <c r="GY64" s="39" t="s">
        <v>227</v>
      </c>
      <c r="GZ64" s="40" t="str">
        <f t="shared" ref="GZ64:HD64" si="161">GZ4</f>
        <v>1Q22</v>
      </c>
      <c r="HA64" s="40" t="str">
        <f t="shared" si="161"/>
        <v>2Q22</v>
      </c>
      <c r="HB64" s="40" t="str">
        <f t="shared" si="161"/>
        <v>3Q22</v>
      </c>
      <c r="HC64" s="40" t="str">
        <f t="shared" si="161"/>
        <v>4Q22</v>
      </c>
      <c r="HD64" s="40">
        <f t="shared" si="161"/>
        <v>2022</v>
      </c>
      <c r="HF64" s="39" t="s">
        <v>227</v>
      </c>
      <c r="HG64" s="40" t="str">
        <f t="shared" ref="HG64:HK64" si="162">HG4</f>
        <v>1Q23</v>
      </c>
      <c r="HH64" s="40" t="str">
        <f t="shared" si="162"/>
        <v>2Q23</v>
      </c>
      <c r="HI64" s="40" t="str">
        <f t="shared" si="162"/>
        <v>3Q23</v>
      </c>
      <c r="HJ64" s="40" t="str">
        <f t="shared" si="162"/>
        <v>4Q23</v>
      </c>
      <c r="HK64" s="40">
        <f t="shared" si="162"/>
        <v>2023</v>
      </c>
      <c r="HM64" s="39" t="s">
        <v>227</v>
      </c>
      <c r="HN64" s="40" t="str">
        <f t="shared" ref="HN64:HR64" si="163">HN4</f>
        <v>1Q24</v>
      </c>
      <c r="HO64" s="40" t="str">
        <f t="shared" si="163"/>
        <v>2Q24</v>
      </c>
      <c r="HP64" s="40" t="str">
        <f t="shared" si="163"/>
        <v>3Q24</v>
      </c>
      <c r="HQ64" s="40" t="str">
        <f t="shared" si="163"/>
        <v>4Q24</v>
      </c>
      <c r="HR64" s="40">
        <f t="shared" si="163"/>
        <v>2024</v>
      </c>
      <c r="HT64" s="39" t="s">
        <v>227</v>
      </c>
      <c r="HU64" s="40" t="str">
        <f t="shared" ref="HU64:HY64" si="164">HU4</f>
        <v>1Q25</v>
      </c>
      <c r="HV64" s="40" t="str">
        <f t="shared" si="164"/>
        <v>2Q25</v>
      </c>
      <c r="HW64" s="40" t="str">
        <f t="shared" si="164"/>
        <v>3Q25</v>
      </c>
      <c r="HX64" s="40" t="str">
        <f t="shared" si="164"/>
        <v>4Q25</v>
      </c>
      <c r="HY64" s="40">
        <f t="shared" si="164"/>
        <v>2025</v>
      </c>
      <c r="IA64" s="39" t="s">
        <v>227</v>
      </c>
      <c r="IB64" s="40" t="str">
        <f t="shared" ref="IB64:IF64" si="165">IB4</f>
        <v>1Q26E</v>
      </c>
      <c r="IC64" s="40" t="str">
        <f t="shared" si="165"/>
        <v>2Q26E</v>
      </c>
      <c r="ID64" s="40" t="str">
        <f t="shared" si="165"/>
        <v>3Q26E</v>
      </c>
      <c r="IE64" s="40" t="str">
        <f t="shared" si="165"/>
        <v>4Q26E</v>
      </c>
      <c r="IF64" s="40" t="str">
        <f t="shared" si="165"/>
        <v>2026E</v>
      </c>
      <c r="IH64" s="39" t="s">
        <v>227</v>
      </c>
      <c r="II64" s="40" t="str">
        <f t="shared" ref="II64:IM64" si="166">II4</f>
        <v>1Q27E</v>
      </c>
      <c r="IJ64" s="40" t="str">
        <f t="shared" si="166"/>
        <v>2Q27E</v>
      </c>
      <c r="IK64" s="40" t="str">
        <f t="shared" si="166"/>
        <v>3Q27E</v>
      </c>
      <c r="IL64" s="40" t="str">
        <f t="shared" si="166"/>
        <v>4Q27E</v>
      </c>
      <c r="IM64" s="40" t="str">
        <f t="shared" si="166"/>
        <v>2027E</v>
      </c>
      <c r="IO64" s="39" t="s">
        <v>227</v>
      </c>
      <c r="IP64" s="40" t="str">
        <f t="shared" ref="IP64:IT64" si="167">IP4</f>
        <v>1Q28E</v>
      </c>
      <c r="IQ64" s="40" t="str">
        <f t="shared" si="167"/>
        <v>2Q28E</v>
      </c>
      <c r="IR64" s="40" t="str">
        <f t="shared" si="167"/>
        <v>3Q28E</v>
      </c>
      <c r="IS64" s="40" t="str">
        <f t="shared" si="167"/>
        <v>4Q28E</v>
      </c>
      <c r="IT64" s="40" t="str">
        <f t="shared" si="167"/>
        <v>2028E</v>
      </c>
    </row>
    <row r="65" spans="1:254" x14ac:dyDescent="0.4">
      <c r="B65" s="42" t="s">
        <v>1</v>
      </c>
      <c r="C65" s="43" t="str">
        <f>AY65</f>
        <v>FY</v>
      </c>
      <c r="D65" s="43" t="str">
        <f>BF65</f>
        <v>FY</v>
      </c>
      <c r="E65" s="43" t="str">
        <f>BM65</f>
        <v>FY</v>
      </c>
      <c r="F65" s="43" t="str">
        <f>BT65</f>
        <v>FY</v>
      </c>
      <c r="G65" s="43" t="str">
        <f>CA65</f>
        <v>FY</v>
      </c>
      <c r="H65" s="43" t="str">
        <f>CH65</f>
        <v>FY</v>
      </c>
      <c r="I65" s="43" t="str">
        <f>CO65</f>
        <v>FY</v>
      </c>
      <c r="J65" s="43" t="str">
        <f>CV65</f>
        <v>FY</v>
      </c>
      <c r="K65" s="43" t="str">
        <f>DC65</f>
        <v>FY</v>
      </c>
      <c r="L65" s="43" t="str">
        <f>DJ65</f>
        <v>FY</v>
      </c>
      <c r="M65" s="43" t="str">
        <f>DQ65</f>
        <v>FY</v>
      </c>
      <c r="N65" s="43" t="str">
        <f>DX65</f>
        <v>FY</v>
      </c>
      <c r="O65" s="43" t="str">
        <f>EE65</f>
        <v>FY</v>
      </c>
      <c r="P65" s="43" t="str">
        <f>EL65</f>
        <v>FY</v>
      </c>
      <c r="Q65" s="43" t="str">
        <f>ES65</f>
        <v>FY</v>
      </c>
      <c r="R65" s="43" t="str">
        <f>EZ65</f>
        <v>FY</v>
      </c>
      <c r="S65" s="43" t="str">
        <f>FG65</f>
        <v>FY</v>
      </c>
      <c r="T65" s="43" t="str">
        <f>FN65</f>
        <v>FY</v>
      </c>
      <c r="U65" s="43" t="str">
        <f>FU65</f>
        <v>FY</v>
      </c>
      <c r="V65" s="43" t="str">
        <f>GB65</f>
        <v>FY</v>
      </c>
      <c r="W65" s="43" t="str">
        <f>GI65</f>
        <v>FY</v>
      </c>
      <c r="X65" s="43" t="str">
        <f>GP65</f>
        <v>FY</v>
      </c>
      <c r="Y65" s="43" t="str">
        <f>GW65</f>
        <v>FY</v>
      </c>
      <c r="Z65" s="43" t="str">
        <f>HD65</f>
        <v>FY</v>
      </c>
      <c r="AA65" s="43" t="str">
        <f>HK65</f>
        <v>FY</v>
      </c>
      <c r="AB65" s="313" t="str">
        <f>HR65</f>
        <v>FY</v>
      </c>
      <c r="AC65" s="313" t="str">
        <f>HY65</f>
        <v>FY</v>
      </c>
      <c r="AD65" s="313" t="str">
        <f>IF65</f>
        <v>FY</v>
      </c>
      <c r="AE65" s="313" t="str">
        <f>IM65</f>
        <v>FY</v>
      </c>
      <c r="AF65" s="313" t="str">
        <f>IT65</f>
        <v>FY</v>
      </c>
      <c r="AG65" s="313"/>
      <c r="AH65" s="313"/>
      <c r="AI65" s="313"/>
      <c r="AJ65" s="313"/>
      <c r="AK65" s="313"/>
      <c r="AL65" s="313"/>
      <c r="AM65" s="313"/>
      <c r="AN65" s="313"/>
      <c r="AO65" s="313"/>
      <c r="AP65" s="313"/>
      <c r="AQ65" s="313"/>
      <c r="AR65" s="313"/>
      <c r="AT65" s="42" t="s">
        <v>1</v>
      </c>
      <c r="AU65" s="314">
        <f t="shared" si="138"/>
        <v>36250</v>
      </c>
      <c r="AV65" s="314">
        <f t="shared" si="138"/>
        <v>36341</v>
      </c>
      <c r="AW65" s="314">
        <f t="shared" si="138"/>
        <v>36433</v>
      </c>
      <c r="AX65" s="314">
        <f t="shared" si="138"/>
        <v>36525</v>
      </c>
      <c r="AY65" s="314" t="str">
        <f t="shared" si="138"/>
        <v>FY</v>
      </c>
      <c r="BA65" s="42" t="s">
        <v>1</v>
      </c>
      <c r="BB65" s="314">
        <f t="shared" ref="BB65:BF65" si="168">BB5</f>
        <v>36616</v>
      </c>
      <c r="BC65" s="314">
        <f t="shared" si="168"/>
        <v>36707</v>
      </c>
      <c r="BD65" s="314">
        <f t="shared" si="168"/>
        <v>36799</v>
      </c>
      <c r="BE65" s="314">
        <f t="shared" si="168"/>
        <v>36891</v>
      </c>
      <c r="BF65" s="314" t="str">
        <f t="shared" si="168"/>
        <v>FY</v>
      </c>
      <c r="BH65" s="42" t="s">
        <v>1</v>
      </c>
      <c r="BI65" s="314">
        <f t="shared" ref="BI65:BM65" si="169">BI5</f>
        <v>36981</v>
      </c>
      <c r="BJ65" s="314">
        <f t="shared" si="169"/>
        <v>37072</v>
      </c>
      <c r="BK65" s="314">
        <f t="shared" si="169"/>
        <v>37164</v>
      </c>
      <c r="BL65" s="314">
        <f t="shared" si="169"/>
        <v>37256</v>
      </c>
      <c r="BM65" s="314" t="str">
        <f t="shared" si="169"/>
        <v>FY</v>
      </c>
      <c r="BO65" s="42" t="s">
        <v>1</v>
      </c>
      <c r="BP65" s="314">
        <f t="shared" ref="BP65:BT65" si="170">BP5</f>
        <v>37346</v>
      </c>
      <c r="BQ65" s="314">
        <f t="shared" si="170"/>
        <v>37437</v>
      </c>
      <c r="BR65" s="314">
        <f t="shared" si="170"/>
        <v>37529</v>
      </c>
      <c r="BS65" s="314">
        <f t="shared" si="170"/>
        <v>37621</v>
      </c>
      <c r="BT65" s="314" t="str">
        <f t="shared" si="170"/>
        <v>FY</v>
      </c>
      <c r="BV65" s="42" t="s">
        <v>1</v>
      </c>
      <c r="BW65" s="314">
        <f t="shared" ref="BW65:CA65" si="171">BW5</f>
        <v>37711</v>
      </c>
      <c r="BX65" s="314">
        <f t="shared" si="171"/>
        <v>37802</v>
      </c>
      <c r="BY65" s="314">
        <f t="shared" si="171"/>
        <v>37894</v>
      </c>
      <c r="BZ65" s="314">
        <f t="shared" si="171"/>
        <v>37986</v>
      </c>
      <c r="CA65" s="314" t="str">
        <f t="shared" si="171"/>
        <v>FY</v>
      </c>
      <c r="CC65" s="42" t="s">
        <v>1</v>
      </c>
      <c r="CD65" s="314">
        <f t="shared" ref="CD65:CH65" si="172">CD5</f>
        <v>38077</v>
      </c>
      <c r="CE65" s="314">
        <f t="shared" si="172"/>
        <v>38168</v>
      </c>
      <c r="CF65" s="314">
        <f t="shared" si="172"/>
        <v>38260</v>
      </c>
      <c r="CG65" s="314">
        <f t="shared" si="172"/>
        <v>38352</v>
      </c>
      <c r="CH65" s="314" t="str">
        <f t="shared" si="172"/>
        <v>FY</v>
      </c>
      <c r="CJ65" s="42" t="s">
        <v>1</v>
      </c>
      <c r="CK65" s="314">
        <f t="shared" ref="CK65:CO65" si="173">CK5</f>
        <v>38442</v>
      </c>
      <c r="CL65" s="314">
        <f t="shared" si="173"/>
        <v>38533</v>
      </c>
      <c r="CM65" s="314">
        <f t="shared" si="173"/>
        <v>38625</v>
      </c>
      <c r="CN65" s="314">
        <f t="shared" si="173"/>
        <v>38717</v>
      </c>
      <c r="CO65" s="314" t="str">
        <f t="shared" si="173"/>
        <v>FY</v>
      </c>
      <c r="CQ65" s="42" t="s">
        <v>1</v>
      </c>
      <c r="CR65" s="314">
        <f t="shared" ref="CR65:CV65" si="174">CR5</f>
        <v>38807</v>
      </c>
      <c r="CS65" s="314">
        <f t="shared" si="174"/>
        <v>38898</v>
      </c>
      <c r="CT65" s="314">
        <f t="shared" si="174"/>
        <v>38990</v>
      </c>
      <c r="CU65" s="314">
        <f t="shared" si="174"/>
        <v>39082</v>
      </c>
      <c r="CV65" s="314" t="str">
        <f t="shared" si="174"/>
        <v>FY</v>
      </c>
      <c r="CX65" s="42" t="s">
        <v>1</v>
      </c>
      <c r="CY65" s="314">
        <f t="shared" ref="CY65:DC65" si="175">CY5</f>
        <v>39172</v>
      </c>
      <c r="CZ65" s="314">
        <f t="shared" si="175"/>
        <v>39263</v>
      </c>
      <c r="DA65" s="314">
        <f t="shared" si="175"/>
        <v>39355</v>
      </c>
      <c r="DB65" s="314">
        <f t="shared" si="175"/>
        <v>39447</v>
      </c>
      <c r="DC65" s="314" t="str">
        <f t="shared" si="175"/>
        <v>FY</v>
      </c>
      <c r="DE65" s="42" t="s">
        <v>1</v>
      </c>
      <c r="DF65" s="314">
        <f t="shared" ref="DF65:DJ65" si="176">DF5</f>
        <v>39538</v>
      </c>
      <c r="DG65" s="314">
        <f t="shared" si="176"/>
        <v>39629</v>
      </c>
      <c r="DH65" s="314">
        <f t="shared" si="176"/>
        <v>39721</v>
      </c>
      <c r="DI65" s="314">
        <f t="shared" si="176"/>
        <v>39813</v>
      </c>
      <c r="DJ65" s="314" t="str">
        <f t="shared" si="176"/>
        <v>FY</v>
      </c>
      <c r="DL65" s="42" t="s">
        <v>1</v>
      </c>
      <c r="DM65" s="314">
        <f t="shared" ref="DM65:DQ65" si="177">DM5</f>
        <v>39903</v>
      </c>
      <c r="DN65" s="314">
        <f t="shared" si="177"/>
        <v>39994</v>
      </c>
      <c r="DO65" s="314">
        <f t="shared" si="177"/>
        <v>40086</v>
      </c>
      <c r="DP65" s="314">
        <f t="shared" si="177"/>
        <v>40178</v>
      </c>
      <c r="DQ65" s="314" t="str">
        <f t="shared" si="177"/>
        <v>FY</v>
      </c>
      <c r="DS65" s="42" t="s">
        <v>1</v>
      </c>
      <c r="DT65" s="314">
        <f t="shared" ref="DT65:DX65" si="178">DT5</f>
        <v>40268</v>
      </c>
      <c r="DU65" s="314">
        <f t="shared" si="178"/>
        <v>40359</v>
      </c>
      <c r="DV65" s="314">
        <f t="shared" si="178"/>
        <v>40451</v>
      </c>
      <c r="DW65" s="314">
        <f t="shared" si="178"/>
        <v>40543</v>
      </c>
      <c r="DX65" s="314" t="str">
        <f t="shared" si="178"/>
        <v>FY</v>
      </c>
      <c r="DZ65" s="42" t="s">
        <v>1</v>
      </c>
      <c r="EA65" s="314">
        <f t="shared" ref="EA65:EE65" si="179">EA5</f>
        <v>40633</v>
      </c>
      <c r="EB65" s="314">
        <f t="shared" si="179"/>
        <v>40724</v>
      </c>
      <c r="EC65" s="314">
        <f t="shared" si="179"/>
        <v>40816</v>
      </c>
      <c r="ED65" s="314">
        <f t="shared" si="179"/>
        <v>40908</v>
      </c>
      <c r="EE65" s="314" t="str">
        <f t="shared" si="179"/>
        <v>FY</v>
      </c>
      <c r="EG65" s="42" t="s">
        <v>1</v>
      </c>
      <c r="EH65" s="314">
        <f t="shared" ref="EH65:EL65" si="180">EH5</f>
        <v>40999</v>
      </c>
      <c r="EI65" s="314">
        <f t="shared" si="180"/>
        <v>41090</v>
      </c>
      <c r="EJ65" s="314">
        <f t="shared" si="180"/>
        <v>41182</v>
      </c>
      <c r="EK65" s="314">
        <f t="shared" si="180"/>
        <v>41274</v>
      </c>
      <c r="EL65" s="314" t="str">
        <f t="shared" si="180"/>
        <v>FY</v>
      </c>
      <c r="EN65" s="42" t="s">
        <v>1</v>
      </c>
      <c r="EO65" s="314">
        <f t="shared" ref="EO65:ES65" si="181">EO5</f>
        <v>41364</v>
      </c>
      <c r="EP65" s="314">
        <f t="shared" si="181"/>
        <v>41455</v>
      </c>
      <c r="EQ65" s="314">
        <f t="shared" si="181"/>
        <v>41547</v>
      </c>
      <c r="ER65" s="314">
        <f t="shared" si="181"/>
        <v>41639</v>
      </c>
      <c r="ES65" s="314" t="str">
        <f t="shared" si="181"/>
        <v>FY</v>
      </c>
      <c r="EU65" s="42" t="s">
        <v>1</v>
      </c>
      <c r="EV65" s="314">
        <f t="shared" ref="EV65:EZ65" si="182">EV5</f>
        <v>41729</v>
      </c>
      <c r="EW65" s="314">
        <f t="shared" si="182"/>
        <v>41820</v>
      </c>
      <c r="EX65" s="314">
        <f t="shared" si="182"/>
        <v>41912</v>
      </c>
      <c r="EY65" s="314">
        <f t="shared" si="182"/>
        <v>42004</v>
      </c>
      <c r="EZ65" s="314" t="str">
        <f t="shared" si="182"/>
        <v>FY</v>
      </c>
      <c r="FB65" s="42" t="s">
        <v>1</v>
      </c>
      <c r="FC65" s="314">
        <f t="shared" ref="FC65:FG65" si="183">FC5</f>
        <v>42094</v>
      </c>
      <c r="FD65" s="314">
        <f t="shared" si="183"/>
        <v>42185</v>
      </c>
      <c r="FE65" s="314">
        <f t="shared" si="183"/>
        <v>42277</v>
      </c>
      <c r="FF65" s="314">
        <f t="shared" si="183"/>
        <v>42369</v>
      </c>
      <c r="FG65" s="314" t="str">
        <f t="shared" si="183"/>
        <v>FY</v>
      </c>
      <c r="FI65" s="42" t="s">
        <v>1</v>
      </c>
      <c r="FJ65" s="314">
        <f t="shared" ref="FJ65:FN65" si="184">FJ5</f>
        <v>42460</v>
      </c>
      <c r="FK65" s="314">
        <f t="shared" si="184"/>
        <v>42551</v>
      </c>
      <c r="FL65" s="314">
        <f t="shared" si="184"/>
        <v>42643</v>
      </c>
      <c r="FM65" s="314">
        <f t="shared" si="184"/>
        <v>42735</v>
      </c>
      <c r="FN65" s="314" t="str">
        <f t="shared" si="184"/>
        <v>FY</v>
      </c>
      <c r="FP65" s="42" t="s">
        <v>1</v>
      </c>
      <c r="FQ65" s="314">
        <f t="shared" ref="FQ65:FU65" si="185">FQ5</f>
        <v>42825</v>
      </c>
      <c r="FR65" s="314">
        <f t="shared" si="185"/>
        <v>42916</v>
      </c>
      <c r="FS65" s="314">
        <f t="shared" si="185"/>
        <v>43008</v>
      </c>
      <c r="FT65" s="314">
        <f t="shared" si="185"/>
        <v>43100</v>
      </c>
      <c r="FU65" s="314" t="str">
        <f t="shared" si="185"/>
        <v>FY</v>
      </c>
      <c r="FW65" s="42" t="s">
        <v>1</v>
      </c>
      <c r="FX65" s="314">
        <f t="shared" ref="FX65:GB65" si="186">FX5</f>
        <v>43190</v>
      </c>
      <c r="FY65" s="314">
        <f t="shared" si="186"/>
        <v>43281</v>
      </c>
      <c r="FZ65" s="314">
        <f t="shared" si="186"/>
        <v>43373</v>
      </c>
      <c r="GA65" s="314">
        <f t="shared" si="186"/>
        <v>43465</v>
      </c>
      <c r="GB65" s="314" t="str">
        <f t="shared" si="186"/>
        <v>FY</v>
      </c>
      <c r="GD65" s="42" t="s">
        <v>1</v>
      </c>
      <c r="GE65" s="314">
        <f t="shared" ref="GE65:GI65" si="187">GE5</f>
        <v>43555</v>
      </c>
      <c r="GF65" s="314">
        <f t="shared" si="187"/>
        <v>43646</v>
      </c>
      <c r="GG65" s="314">
        <f t="shared" si="187"/>
        <v>43738</v>
      </c>
      <c r="GH65" s="314">
        <f t="shared" si="187"/>
        <v>43830</v>
      </c>
      <c r="GI65" s="314" t="str">
        <f t="shared" si="187"/>
        <v>FY</v>
      </c>
      <c r="GK65" s="42" t="s">
        <v>1</v>
      </c>
      <c r="GL65" s="314">
        <f t="shared" ref="GL65:GP65" si="188">GL5</f>
        <v>43921</v>
      </c>
      <c r="GM65" s="314">
        <f t="shared" si="188"/>
        <v>44012</v>
      </c>
      <c r="GN65" s="314">
        <f t="shared" si="188"/>
        <v>44104</v>
      </c>
      <c r="GO65" s="314">
        <f t="shared" si="188"/>
        <v>44196</v>
      </c>
      <c r="GP65" s="314" t="str">
        <f t="shared" si="188"/>
        <v>FY</v>
      </c>
      <c r="GR65" s="42" t="s">
        <v>1</v>
      </c>
      <c r="GS65" s="314">
        <f t="shared" ref="GS65:GW65" si="189">GS5</f>
        <v>44286</v>
      </c>
      <c r="GT65" s="314">
        <f t="shared" si="189"/>
        <v>44377</v>
      </c>
      <c r="GU65" s="314">
        <f t="shared" si="189"/>
        <v>44469</v>
      </c>
      <c r="GV65" s="314">
        <f t="shared" si="189"/>
        <v>44561</v>
      </c>
      <c r="GW65" s="314" t="str">
        <f t="shared" si="189"/>
        <v>FY</v>
      </c>
      <c r="GY65" s="42" t="s">
        <v>1</v>
      </c>
      <c r="GZ65" s="314">
        <f t="shared" ref="GZ65:HD65" si="190">GZ5</f>
        <v>44651</v>
      </c>
      <c r="HA65" s="314">
        <f t="shared" si="190"/>
        <v>44742</v>
      </c>
      <c r="HB65" s="314">
        <f t="shared" si="190"/>
        <v>44834</v>
      </c>
      <c r="HC65" s="314">
        <f t="shared" si="190"/>
        <v>44926</v>
      </c>
      <c r="HD65" s="314" t="str">
        <f t="shared" si="190"/>
        <v>FY</v>
      </c>
      <c r="HF65" s="42" t="s">
        <v>1</v>
      </c>
      <c r="HG65" s="314">
        <f t="shared" ref="HG65:HK65" si="191">HG5</f>
        <v>45016</v>
      </c>
      <c r="HH65" s="314">
        <f t="shared" si="191"/>
        <v>45107</v>
      </c>
      <c r="HI65" s="314">
        <f t="shared" si="191"/>
        <v>45199</v>
      </c>
      <c r="HJ65" s="314">
        <f t="shared" si="191"/>
        <v>45291</v>
      </c>
      <c r="HK65" s="314" t="str">
        <f t="shared" si="191"/>
        <v>FY</v>
      </c>
      <c r="HM65" s="42" t="s">
        <v>1</v>
      </c>
      <c r="HN65" s="314">
        <f t="shared" ref="HN65:HR65" si="192">HN5</f>
        <v>45382</v>
      </c>
      <c r="HO65" s="314">
        <f t="shared" si="192"/>
        <v>45473</v>
      </c>
      <c r="HP65" s="314">
        <f t="shared" si="192"/>
        <v>45565</v>
      </c>
      <c r="HQ65" s="314">
        <f t="shared" si="192"/>
        <v>45657</v>
      </c>
      <c r="HR65" s="314" t="str">
        <f t="shared" si="192"/>
        <v>FY</v>
      </c>
      <c r="HT65" s="42" t="s">
        <v>1</v>
      </c>
      <c r="HU65" s="314">
        <f t="shared" ref="HU65:HY65" si="193">HU5</f>
        <v>45747</v>
      </c>
      <c r="HV65" s="314">
        <f t="shared" si="193"/>
        <v>45838</v>
      </c>
      <c r="HW65" s="314">
        <f t="shared" si="193"/>
        <v>45930</v>
      </c>
      <c r="HX65" s="314">
        <f t="shared" si="193"/>
        <v>46022</v>
      </c>
      <c r="HY65" s="314" t="str">
        <f t="shared" si="193"/>
        <v>FY</v>
      </c>
      <c r="IA65" s="42" t="s">
        <v>1</v>
      </c>
      <c r="IB65" s="314">
        <f t="shared" ref="IB65:IF65" si="194">IB5</f>
        <v>46112</v>
      </c>
      <c r="IC65" s="314">
        <f t="shared" si="194"/>
        <v>46203</v>
      </c>
      <c r="ID65" s="314">
        <f t="shared" si="194"/>
        <v>46295</v>
      </c>
      <c r="IE65" s="314">
        <f t="shared" si="194"/>
        <v>46387</v>
      </c>
      <c r="IF65" s="314" t="str">
        <f t="shared" si="194"/>
        <v>FY</v>
      </c>
      <c r="IH65" s="42" t="s">
        <v>1</v>
      </c>
      <c r="II65" s="314">
        <f t="shared" ref="II65:IM65" si="195">II5</f>
        <v>46477</v>
      </c>
      <c r="IJ65" s="314">
        <f t="shared" si="195"/>
        <v>46568</v>
      </c>
      <c r="IK65" s="314">
        <f t="shared" si="195"/>
        <v>46660</v>
      </c>
      <c r="IL65" s="314">
        <f t="shared" si="195"/>
        <v>46752</v>
      </c>
      <c r="IM65" s="314" t="str">
        <f t="shared" si="195"/>
        <v>FY</v>
      </c>
      <c r="IO65" s="42" t="s">
        <v>1</v>
      </c>
      <c r="IP65" s="314">
        <f t="shared" ref="IP65:IT65" si="196">IP5</f>
        <v>46843</v>
      </c>
      <c r="IQ65" s="314">
        <f t="shared" si="196"/>
        <v>46934</v>
      </c>
      <c r="IR65" s="314">
        <f t="shared" si="196"/>
        <v>47026</v>
      </c>
      <c r="IS65" s="314">
        <f t="shared" si="196"/>
        <v>47118</v>
      </c>
      <c r="IT65" s="314" t="str">
        <f t="shared" si="196"/>
        <v>FY</v>
      </c>
    </row>
    <row r="66" spans="1:254" ht="14.25" thickBot="1" x14ac:dyDescent="0.45">
      <c r="B66" s="76"/>
      <c r="AT66" s="76"/>
      <c r="BA66" s="76"/>
      <c r="BH66" s="76"/>
      <c r="BO66" s="76"/>
      <c r="BV66" s="76"/>
      <c r="CC66" s="76"/>
      <c r="CJ66" s="76"/>
      <c r="CQ66" s="76"/>
      <c r="CX66" s="76"/>
      <c r="DE66" s="76"/>
      <c r="DL66" s="76"/>
      <c r="DS66" s="76"/>
      <c r="DZ66" s="76"/>
      <c r="EG66" s="76"/>
      <c r="EN66" s="76"/>
      <c r="EU66" s="76"/>
      <c r="FB66" s="76"/>
      <c r="FI66" s="76"/>
      <c r="FP66" s="76"/>
      <c r="FW66" s="76"/>
      <c r="GD66" s="76"/>
      <c r="GK66" s="76"/>
      <c r="GR66" s="76"/>
      <c r="GY66" s="76"/>
      <c r="HF66" s="76"/>
      <c r="HM66" s="76"/>
      <c r="HT66" s="76"/>
      <c r="IA66" s="76"/>
      <c r="IH66" s="76"/>
      <c r="IO66" s="76"/>
    </row>
    <row r="67" spans="1:254" ht="14.25" thickBot="1" x14ac:dyDescent="0.45">
      <c r="A67" s="166"/>
      <c r="B67" s="367" t="s">
        <v>207</v>
      </c>
      <c r="C67" s="368"/>
      <c r="D67" s="368"/>
      <c r="E67" s="368"/>
      <c r="F67" s="368"/>
      <c r="G67" s="368"/>
      <c r="H67" s="368"/>
      <c r="I67" s="368"/>
      <c r="J67" s="368"/>
      <c r="K67" s="368"/>
      <c r="L67" s="368"/>
      <c r="M67" s="368"/>
      <c r="N67" s="368"/>
      <c r="O67" s="368"/>
      <c r="P67" s="368"/>
      <c r="Q67" s="368"/>
      <c r="R67" s="368"/>
      <c r="S67" s="368"/>
      <c r="T67" s="368"/>
      <c r="U67" s="368"/>
      <c r="V67" s="368"/>
      <c r="W67" s="368"/>
      <c r="X67" s="368"/>
      <c r="Y67" s="368"/>
      <c r="Z67" s="368"/>
      <c r="AA67" s="368"/>
      <c r="AB67" s="368"/>
      <c r="AC67" s="368"/>
      <c r="AD67" s="368"/>
      <c r="AE67" s="368"/>
      <c r="AF67" s="368"/>
      <c r="AG67" s="368"/>
      <c r="AH67" s="368"/>
      <c r="AI67" s="368"/>
      <c r="AJ67" s="368"/>
      <c r="AK67" s="368"/>
      <c r="AL67" s="368"/>
      <c r="AM67" s="368"/>
      <c r="AN67" s="368"/>
      <c r="AO67" s="368"/>
      <c r="AP67" s="368"/>
      <c r="AQ67" s="368"/>
      <c r="AR67" s="368"/>
      <c r="AT67" s="367" t="s">
        <v>207</v>
      </c>
      <c r="AU67" s="368"/>
      <c r="AV67" s="368"/>
      <c r="AW67" s="368"/>
      <c r="AX67" s="368"/>
      <c r="AY67" s="368"/>
      <c r="BA67" s="367" t="s">
        <v>207</v>
      </c>
      <c r="BB67" s="368"/>
      <c r="BC67" s="368"/>
      <c r="BD67" s="368"/>
      <c r="BE67" s="368"/>
      <c r="BF67" s="368"/>
      <c r="BH67" s="367" t="s">
        <v>207</v>
      </c>
      <c r="BI67" s="368"/>
      <c r="BJ67" s="368"/>
      <c r="BK67" s="368"/>
      <c r="BL67" s="368"/>
      <c r="BM67" s="368"/>
      <c r="BO67" s="367" t="s">
        <v>207</v>
      </c>
      <c r="BP67" s="368"/>
      <c r="BQ67" s="368"/>
      <c r="BR67" s="368"/>
      <c r="BS67" s="368"/>
      <c r="BT67" s="368"/>
      <c r="BV67" s="367" t="s">
        <v>207</v>
      </c>
      <c r="BW67" s="368"/>
      <c r="BX67" s="368"/>
      <c r="BY67" s="368"/>
      <c r="BZ67" s="368"/>
      <c r="CA67" s="368"/>
      <c r="CC67" s="367" t="s">
        <v>207</v>
      </c>
      <c r="CD67" s="368"/>
      <c r="CE67" s="368"/>
      <c r="CF67" s="368"/>
      <c r="CG67" s="368"/>
      <c r="CH67" s="368"/>
      <c r="CJ67" s="367" t="s">
        <v>207</v>
      </c>
      <c r="CK67" s="368"/>
      <c r="CL67" s="368"/>
      <c r="CM67" s="368"/>
      <c r="CN67" s="368"/>
      <c r="CO67" s="368"/>
      <c r="CQ67" s="367" t="s">
        <v>207</v>
      </c>
      <c r="CR67" s="368"/>
      <c r="CS67" s="368"/>
      <c r="CT67" s="368"/>
      <c r="CU67" s="368"/>
      <c r="CV67" s="368"/>
      <c r="CX67" s="367" t="s">
        <v>207</v>
      </c>
      <c r="CY67" s="368"/>
      <c r="CZ67" s="368"/>
      <c r="DA67" s="368"/>
      <c r="DB67" s="368"/>
      <c r="DC67" s="368"/>
      <c r="DE67" s="367" t="s">
        <v>207</v>
      </c>
      <c r="DF67" s="368"/>
      <c r="DG67" s="368"/>
      <c r="DH67" s="368"/>
      <c r="DI67" s="368"/>
      <c r="DJ67" s="368"/>
      <c r="DL67" s="367" t="s">
        <v>207</v>
      </c>
      <c r="DM67" s="368"/>
      <c r="DN67" s="368"/>
      <c r="DO67" s="368"/>
      <c r="DP67" s="368"/>
      <c r="DQ67" s="368"/>
      <c r="DS67" s="367" t="s">
        <v>207</v>
      </c>
      <c r="DT67" s="368"/>
      <c r="DU67" s="368"/>
      <c r="DV67" s="368"/>
      <c r="DW67" s="368"/>
      <c r="DX67" s="368"/>
      <c r="DZ67" s="367" t="s">
        <v>207</v>
      </c>
      <c r="EA67" s="368"/>
      <c r="EB67" s="368"/>
      <c r="EC67" s="368"/>
      <c r="ED67" s="368"/>
      <c r="EE67" s="368"/>
      <c r="EG67" s="367" t="s">
        <v>207</v>
      </c>
      <c r="EH67" s="368"/>
      <c r="EI67" s="368"/>
      <c r="EJ67" s="368"/>
      <c r="EK67" s="368"/>
      <c r="EL67" s="368"/>
      <c r="EN67" s="367" t="s">
        <v>207</v>
      </c>
      <c r="EO67" s="368"/>
      <c r="EP67" s="368"/>
      <c r="EQ67" s="368"/>
      <c r="ER67" s="368"/>
      <c r="ES67" s="368"/>
      <c r="EU67" s="367" t="s">
        <v>207</v>
      </c>
      <c r="EV67" s="368"/>
      <c r="EW67" s="368"/>
      <c r="EX67" s="368"/>
      <c r="EY67" s="368"/>
      <c r="EZ67" s="368"/>
      <c r="FB67" s="367" t="s">
        <v>207</v>
      </c>
      <c r="FC67" s="368"/>
      <c r="FD67" s="368"/>
      <c r="FE67" s="368"/>
      <c r="FF67" s="368"/>
      <c r="FG67" s="368"/>
      <c r="FI67" s="367" t="s">
        <v>207</v>
      </c>
      <c r="FJ67" s="368"/>
      <c r="FK67" s="368"/>
      <c r="FL67" s="368"/>
      <c r="FM67" s="368"/>
      <c r="FN67" s="368"/>
      <c r="FP67" s="367" t="s">
        <v>207</v>
      </c>
      <c r="FQ67" s="368"/>
      <c r="FR67" s="368"/>
      <c r="FS67" s="368"/>
      <c r="FT67" s="368"/>
      <c r="FU67" s="368"/>
      <c r="FW67" s="367" t="s">
        <v>207</v>
      </c>
      <c r="FX67" s="368"/>
      <c r="FY67" s="368"/>
      <c r="FZ67" s="368"/>
      <c r="GA67" s="368"/>
      <c r="GB67" s="368"/>
      <c r="GD67" s="367" t="s">
        <v>207</v>
      </c>
      <c r="GE67" s="368"/>
      <c r="GF67" s="368"/>
      <c r="GG67" s="368"/>
      <c r="GH67" s="368"/>
      <c r="GI67" s="368"/>
      <c r="GK67" s="367" t="s">
        <v>207</v>
      </c>
      <c r="GL67" s="368"/>
      <c r="GM67" s="368"/>
      <c r="GN67" s="368"/>
      <c r="GO67" s="368"/>
      <c r="GP67" s="368"/>
      <c r="GR67" s="367" t="s">
        <v>207</v>
      </c>
      <c r="GS67" s="368"/>
      <c r="GT67" s="368"/>
      <c r="GU67" s="368"/>
      <c r="GV67" s="368"/>
      <c r="GW67" s="368"/>
      <c r="GY67" s="367" t="s">
        <v>207</v>
      </c>
      <c r="GZ67" s="368"/>
      <c r="HA67" s="368"/>
      <c r="HB67" s="368"/>
      <c r="HC67" s="368"/>
      <c r="HD67" s="368"/>
      <c r="HF67" s="367" t="s">
        <v>207</v>
      </c>
      <c r="HG67" s="368"/>
      <c r="HH67" s="368"/>
      <c r="HI67" s="368"/>
      <c r="HJ67" s="368"/>
      <c r="HK67" s="368"/>
      <c r="HM67" s="367" t="s">
        <v>207</v>
      </c>
      <c r="HN67" s="368"/>
      <c r="HO67" s="368"/>
      <c r="HP67" s="368"/>
      <c r="HQ67" s="368"/>
      <c r="HR67" s="368"/>
      <c r="HT67" s="367" t="s">
        <v>207</v>
      </c>
      <c r="HU67" s="368"/>
      <c r="HV67" s="368"/>
      <c r="HW67" s="368"/>
      <c r="HX67" s="368"/>
      <c r="HY67" s="368"/>
      <c r="IA67" s="367" t="s">
        <v>207</v>
      </c>
      <c r="IB67" s="368"/>
      <c r="IC67" s="368"/>
      <c r="ID67" s="368"/>
      <c r="IE67" s="368"/>
      <c r="IF67" s="368"/>
      <c r="IH67" s="367" t="s">
        <v>207</v>
      </c>
      <c r="II67" s="368"/>
      <c r="IJ67" s="368"/>
      <c r="IK67" s="368"/>
      <c r="IL67" s="368"/>
      <c r="IM67" s="368"/>
      <c r="IO67" s="367" t="s">
        <v>207</v>
      </c>
      <c r="IP67" s="368"/>
      <c r="IQ67" s="368"/>
      <c r="IR67" s="368"/>
      <c r="IS67" s="368"/>
      <c r="IT67" s="368"/>
    </row>
    <row r="68" spans="1:254" x14ac:dyDescent="0.4">
      <c r="B68" s="306"/>
      <c r="C68" s="369"/>
      <c r="D68" s="369"/>
      <c r="E68" s="369"/>
      <c r="F68" s="369"/>
      <c r="G68" s="369"/>
      <c r="H68" s="369"/>
      <c r="I68" s="369"/>
      <c r="J68" s="369"/>
      <c r="K68" s="369"/>
      <c r="L68" s="369"/>
      <c r="M68" s="369"/>
      <c r="N68" s="369"/>
      <c r="O68" s="369"/>
      <c r="P68" s="369"/>
      <c r="Q68" s="369"/>
      <c r="R68" s="369"/>
      <c r="S68" s="369"/>
      <c r="T68" s="369"/>
      <c r="U68" s="369"/>
      <c r="V68" s="369"/>
      <c r="W68" s="369"/>
      <c r="X68" s="369"/>
      <c r="Y68" s="369"/>
      <c r="Z68" s="369"/>
      <c r="AA68" s="369"/>
      <c r="AB68" s="369"/>
      <c r="AC68" s="369"/>
      <c r="AD68" s="369"/>
      <c r="AE68" s="369"/>
      <c r="AF68" s="369"/>
      <c r="AG68" s="369"/>
      <c r="AH68" s="369"/>
      <c r="AI68" s="369"/>
      <c r="AJ68" s="369"/>
      <c r="AK68" s="369"/>
      <c r="AL68" s="369"/>
      <c r="AM68" s="369"/>
      <c r="AN68" s="369"/>
      <c r="AO68" s="369"/>
      <c r="AP68" s="369"/>
      <c r="AQ68" s="369"/>
      <c r="AR68" s="369"/>
      <c r="AT68" s="306"/>
      <c r="AU68" s="369"/>
      <c r="AV68" s="369"/>
      <c r="AW68" s="369"/>
      <c r="AX68" s="369"/>
      <c r="AY68" s="369"/>
      <c r="BA68" s="306"/>
      <c r="BB68" s="369"/>
      <c r="BC68" s="369"/>
      <c r="BD68" s="369"/>
      <c r="BE68" s="369"/>
      <c r="BF68" s="369"/>
      <c r="BH68" s="306"/>
      <c r="BI68" s="369"/>
      <c r="BJ68" s="369"/>
      <c r="BK68" s="369"/>
      <c r="BL68" s="369"/>
      <c r="BM68" s="369"/>
      <c r="BO68" s="306"/>
      <c r="BP68" s="369"/>
      <c r="BQ68" s="369"/>
      <c r="BR68" s="369"/>
      <c r="BS68" s="369"/>
      <c r="BT68" s="369"/>
      <c r="BV68" s="306"/>
      <c r="BW68" s="369"/>
      <c r="BX68" s="369"/>
      <c r="BY68" s="369"/>
      <c r="BZ68" s="369"/>
      <c r="CA68" s="369"/>
      <c r="CC68" s="306"/>
      <c r="CD68" s="369"/>
      <c r="CE68" s="369"/>
      <c r="CF68" s="369"/>
      <c r="CG68" s="369"/>
      <c r="CH68" s="369"/>
      <c r="CJ68" s="306"/>
      <c r="CK68" s="369"/>
      <c r="CL68" s="369"/>
      <c r="CM68" s="369"/>
      <c r="CN68" s="369"/>
      <c r="CO68" s="369"/>
      <c r="CQ68" s="306"/>
      <c r="CR68" s="369"/>
      <c r="CS68" s="369"/>
      <c r="CT68" s="369"/>
      <c r="CU68" s="369"/>
      <c r="CV68" s="369"/>
      <c r="CX68" s="306"/>
      <c r="CY68" s="369"/>
      <c r="CZ68" s="369"/>
      <c r="DA68" s="369"/>
      <c r="DB68" s="369"/>
      <c r="DC68" s="369"/>
      <c r="DE68" s="306"/>
      <c r="DF68" s="369"/>
      <c r="DG68" s="369"/>
      <c r="DH68" s="369"/>
      <c r="DI68" s="369"/>
      <c r="DJ68" s="369"/>
      <c r="DL68" s="306"/>
      <c r="DM68" s="369"/>
      <c r="DN68" s="369"/>
      <c r="DO68" s="369"/>
      <c r="DP68" s="369"/>
      <c r="DQ68" s="369"/>
      <c r="DS68" s="306"/>
      <c r="DT68" s="369"/>
      <c r="DU68" s="369"/>
      <c r="DV68" s="369"/>
      <c r="DW68" s="369"/>
      <c r="DX68" s="369"/>
      <c r="DZ68" s="306"/>
      <c r="EA68" s="369"/>
      <c r="EB68" s="369"/>
      <c r="EC68" s="369"/>
      <c r="ED68" s="369"/>
      <c r="EE68" s="369"/>
      <c r="EG68" s="306"/>
      <c r="EH68" s="369"/>
      <c r="EI68" s="369"/>
      <c r="EJ68" s="369"/>
      <c r="EK68" s="369"/>
      <c r="EL68" s="369"/>
      <c r="EN68" s="306"/>
      <c r="EO68" s="369"/>
      <c r="EP68" s="369"/>
      <c r="EQ68" s="369"/>
      <c r="ER68" s="369"/>
      <c r="ES68" s="369"/>
      <c r="EU68" s="306"/>
      <c r="EV68" s="369"/>
      <c r="EW68" s="369"/>
      <c r="EX68" s="369"/>
      <c r="EY68" s="369"/>
      <c r="EZ68" s="369"/>
      <c r="FB68" s="306"/>
      <c r="FC68" s="369"/>
      <c r="FD68" s="369"/>
      <c r="FE68" s="369"/>
      <c r="FF68" s="369"/>
      <c r="FG68" s="369"/>
      <c r="FI68" s="306"/>
      <c r="FJ68" s="369"/>
      <c r="FK68" s="369"/>
      <c r="FL68" s="369"/>
      <c r="FM68" s="369"/>
      <c r="FN68" s="369"/>
      <c r="FP68" s="306"/>
      <c r="FQ68" s="369"/>
      <c r="FR68" s="369"/>
      <c r="FS68" s="369"/>
      <c r="FT68" s="369"/>
      <c r="FU68" s="369"/>
      <c r="FW68" s="306"/>
      <c r="FX68" s="369"/>
      <c r="FY68" s="369"/>
      <c r="FZ68" s="369"/>
      <c r="GA68" s="369"/>
      <c r="GB68" s="369"/>
      <c r="GD68" s="306"/>
      <c r="GE68" s="369"/>
      <c r="GF68" s="369"/>
      <c r="GG68" s="369"/>
      <c r="GH68" s="369"/>
      <c r="GI68" s="369"/>
      <c r="GK68" s="306"/>
      <c r="GL68" s="369"/>
      <c r="GM68" s="369"/>
      <c r="GN68" s="369"/>
      <c r="GO68" s="369"/>
      <c r="GP68" s="369"/>
      <c r="GR68" s="306"/>
      <c r="GS68" s="369"/>
      <c r="GT68" s="369"/>
      <c r="GU68" s="369"/>
      <c r="GV68" s="369"/>
      <c r="GW68" s="369"/>
      <c r="GY68" s="306"/>
      <c r="GZ68" s="369"/>
      <c r="HA68" s="369"/>
      <c r="HB68" s="369"/>
      <c r="HC68" s="369"/>
      <c r="HD68" s="369"/>
      <c r="HF68" s="306"/>
      <c r="HG68" s="369"/>
      <c r="HH68" s="369"/>
      <c r="HI68" s="369"/>
      <c r="HJ68" s="369"/>
      <c r="HK68" s="369"/>
      <c r="HM68" s="306"/>
      <c r="HN68" s="369"/>
      <c r="HO68" s="369"/>
      <c r="HP68" s="369"/>
      <c r="HQ68" s="369"/>
      <c r="HR68" s="369"/>
      <c r="HT68" s="306"/>
      <c r="HU68" s="369"/>
      <c r="HV68" s="369"/>
      <c r="HW68" s="369"/>
      <c r="HX68" s="369"/>
      <c r="HY68" s="369"/>
      <c r="IA68" s="306"/>
      <c r="IB68" s="369"/>
      <c r="IC68" s="369"/>
      <c r="ID68" s="369"/>
      <c r="IE68" s="369"/>
      <c r="IF68" s="369"/>
      <c r="IH68" s="306"/>
      <c r="II68" s="369"/>
      <c r="IJ68" s="369"/>
      <c r="IK68" s="369"/>
      <c r="IL68" s="369"/>
      <c r="IM68" s="369"/>
      <c r="IO68" s="306"/>
      <c r="IP68" s="369"/>
      <c r="IQ68" s="369"/>
      <c r="IR68" s="369"/>
      <c r="IS68" s="369"/>
      <c r="IT68" s="369"/>
    </row>
    <row r="69" spans="1:254" x14ac:dyDescent="0.4">
      <c r="B69" s="370" t="s">
        <v>208</v>
      </c>
      <c r="C69" s="371">
        <f>AY69</f>
        <v>0</v>
      </c>
      <c r="D69" s="371">
        <f>BF69</f>
        <v>0</v>
      </c>
      <c r="E69" s="371">
        <f>BM69</f>
        <v>0</v>
      </c>
      <c r="F69" s="371">
        <f>BT69</f>
        <v>0</v>
      </c>
      <c r="G69" s="371">
        <f>CA69</f>
        <v>0</v>
      </c>
      <c r="H69" s="371">
        <f>CH69</f>
        <v>0</v>
      </c>
      <c r="I69" s="371">
        <f>CO69</f>
        <v>8601</v>
      </c>
      <c r="J69" s="371">
        <f>CV69</f>
        <v>9566</v>
      </c>
      <c r="K69" s="371">
        <f>DC69</f>
        <v>10030</v>
      </c>
      <c r="L69" s="371">
        <f>DJ69</f>
        <v>11255</v>
      </c>
      <c r="M69" s="371">
        <f>DQ69</f>
        <v>9041</v>
      </c>
      <c r="N69" s="371">
        <f>DX69</f>
        <v>10636</v>
      </c>
      <c r="O69" s="371">
        <f>EE69</f>
        <v>11743</v>
      </c>
      <c r="P69" s="371">
        <f>EL69</f>
        <v>11756</v>
      </c>
      <c r="Q69" s="371">
        <f>ES69</f>
        <v>12058</v>
      </c>
      <c r="R69" s="371">
        <f>EZ69</f>
        <v>12669</v>
      </c>
      <c r="S69" s="371">
        <f>FG69</f>
        <v>11811</v>
      </c>
      <c r="T69" s="371">
        <f>FN69</f>
        <v>11069</v>
      </c>
      <c r="U69" s="371">
        <f>FU69</f>
        <v>11408</v>
      </c>
      <c r="V69" s="371">
        <f>GB69</f>
        <v>12250</v>
      </c>
      <c r="W69" s="371">
        <f>GI69</f>
        <v>11937</v>
      </c>
      <c r="X69" s="371">
        <f>GP69</f>
        <v>10583</v>
      </c>
      <c r="Y69" s="371">
        <f>GW69</f>
        <v>12522</v>
      </c>
      <c r="Z69" s="371">
        <f>HD69</f>
        <v>14853</v>
      </c>
      <c r="AA69" s="371">
        <f>HK69</f>
        <v>14657</v>
      </c>
      <c r="AB69" s="371">
        <f>HR69</f>
        <v>14540</v>
      </c>
      <c r="AC69" s="371">
        <f>HY69</f>
        <v>14092</v>
      </c>
      <c r="AD69" s="371">
        <f>IF69</f>
        <v>14494.795274999997</v>
      </c>
      <c r="AE69" s="371">
        <f>IM69</f>
        <v>15180.905860184219</v>
      </c>
      <c r="AF69" s="371">
        <f>IT69</f>
        <v>15848.637389025456</v>
      </c>
      <c r="AG69" s="372"/>
      <c r="AH69" s="372"/>
      <c r="AI69" s="372"/>
      <c r="AJ69" s="372"/>
      <c r="AK69" s="372"/>
      <c r="AL69" s="372"/>
      <c r="AM69" s="372"/>
      <c r="AN69" s="372"/>
      <c r="AO69" s="372"/>
      <c r="AP69" s="372"/>
      <c r="AQ69" s="372"/>
      <c r="AR69" s="372"/>
      <c r="AT69" s="370" t="s">
        <v>208</v>
      </c>
      <c r="AU69" s="371"/>
      <c r="AV69" s="371"/>
      <c r="AW69" s="371"/>
      <c r="AX69" s="371"/>
      <c r="AY69" s="371"/>
      <c r="BA69" s="370" t="s">
        <v>208</v>
      </c>
      <c r="BB69" s="371"/>
      <c r="BC69" s="371"/>
      <c r="BD69" s="371"/>
      <c r="BE69" s="371"/>
      <c r="BF69" s="371"/>
      <c r="BH69" s="370" t="s">
        <v>208</v>
      </c>
      <c r="BI69" s="371"/>
      <c r="BJ69" s="371"/>
      <c r="BK69" s="371"/>
      <c r="BL69" s="371"/>
      <c r="BM69" s="371"/>
      <c r="BO69" s="370" t="s">
        <v>208</v>
      </c>
      <c r="BP69" s="371"/>
      <c r="BQ69" s="371"/>
      <c r="BR69" s="371"/>
      <c r="BS69" s="371"/>
      <c r="BT69" s="371"/>
      <c r="BV69" s="370" t="s">
        <v>208</v>
      </c>
      <c r="BW69" s="371"/>
      <c r="BX69" s="371"/>
      <c r="BY69" s="371"/>
      <c r="BZ69" s="371"/>
      <c r="CA69" s="371"/>
      <c r="CC69" s="370" t="s">
        <v>208</v>
      </c>
      <c r="CD69" s="371"/>
      <c r="CE69" s="371"/>
      <c r="CF69" s="371"/>
      <c r="CG69" s="371"/>
      <c r="CH69" s="371"/>
      <c r="CJ69" s="370" t="s">
        <v>208</v>
      </c>
      <c r="CK69" s="371" t="s">
        <v>80</v>
      </c>
      <c r="CL69" s="371" t="s">
        <v>80</v>
      </c>
      <c r="CM69" s="371" t="s">
        <v>80</v>
      </c>
      <c r="CN69" s="371" t="s">
        <v>80</v>
      </c>
      <c r="CO69" s="371">
        <f>+CSX!GD20</f>
        <v>8601</v>
      </c>
      <c r="CQ69" s="370" t="s">
        <v>208</v>
      </c>
      <c r="CR69" s="371">
        <f>+SUM(CSX!GG20,CSX!GA20:GC20)</f>
        <v>8824</v>
      </c>
      <c r="CS69" s="371">
        <f>+SUM(CSX!GG20:GH20,CSX!GB20:GC20)</f>
        <v>9096</v>
      </c>
      <c r="CT69" s="371">
        <f>+SUM(CSX!GG20:GI20,CSX!GC20)</f>
        <v>9389</v>
      </c>
      <c r="CU69" s="371">
        <f>+SUM(CSX!GG20:GJ20)</f>
        <v>9566</v>
      </c>
      <c r="CV69" s="371">
        <f>+CSX!GK20</f>
        <v>9566</v>
      </c>
      <c r="CX69" s="370" t="s">
        <v>208</v>
      </c>
      <c r="CY69" s="371">
        <f>+SUM(CSX!GN20,CSX!GH20:GJ20)</f>
        <v>9657</v>
      </c>
      <c r="CZ69" s="371">
        <f>+SUM(CSX!GN20:GO20,CSX!GI20:GJ20)</f>
        <v>9766</v>
      </c>
      <c r="DA69" s="371">
        <f>+SUM(CSX!GN20:GP20,CSX!GJ20)</f>
        <v>9849</v>
      </c>
      <c r="DB69" s="371">
        <f>+SUM(CSX!GN20:GQ20)</f>
        <v>10030</v>
      </c>
      <c r="DC69" s="371">
        <f>+CSX!GR20</f>
        <v>10030</v>
      </c>
      <c r="DE69" s="370" t="s">
        <v>208</v>
      </c>
      <c r="DF69" s="371">
        <f>+SUM(CSX!GU20,CSX!GO20:GQ20)</f>
        <v>10321</v>
      </c>
      <c r="DG69" s="371">
        <f>+SUM(CSX!GU20:GV20,CSX!GP20:GQ20)</f>
        <v>10698</v>
      </c>
      <c r="DH69" s="371">
        <f>+SUM(CSX!GU20:GW20,CSX!GQ20)</f>
        <v>11158</v>
      </c>
      <c r="DI69" s="371">
        <f>+SUM(CSX!GU20:GX20)</f>
        <v>11255</v>
      </c>
      <c r="DJ69" s="371">
        <f>+CSX!GY20</f>
        <v>11255</v>
      </c>
      <c r="DL69" s="370" t="s">
        <v>208</v>
      </c>
      <c r="DM69" s="371">
        <f>+SUM(CSX!HB20,CSX!GV20:GX20)</f>
        <v>10789</v>
      </c>
      <c r="DN69" s="371">
        <f>+SUM(CSX!HB20:HC20,CSX!GW20:GX20)</f>
        <v>10067</v>
      </c>
      <c r="DO69" s="371">
        <f>+SUM(CSX!HB20:HD20,CSX!GX20)</f>
        <v>9395</v>
      </c>
      <c r="DP69" s="371">
        <f>+SUM(CSX!HB20:HE20)</f>
        <v>9041</v>
      </c>
      <c r="DQ69" s="371">
        <f>+CSX!HF20</f>
        <v>9041</v>
      </c>
      <c r="DS69" s="370" t="s">
        <v>208</v>
      </c>
      <c r="DT69" s="371">
        <f>+SUM(CSX!HI20,CSX!HC20:HE20)</f>
        <v>9285</v>
      </c>
      <c r="DU69" s="371">
        <f>+SUM(CSX!HI20:HJ20,CSX!HD20:HE20)</f>
        <v>9763</v>
      </c>
      <c r="DV69" s="371">
        <f>+SUM(CSX!HI20:HK20,CSX!HE20)</f>
        <v>10140</v>
      </c>
      <c r="DW69" s="371">
        <f>+SUM(CSX!HI20:HL20)</f>
        <v>10636</v>
      </c>
      <c r="DX69" s="371">
        <f>+CSX!HM20</f>
        <v>10636</v>
      </c>
      <c r="DZ69" s="370" t="s">
        <v>208</v>
      </c>
      <c r="EA69" s="371">
        <f>+SUM(CSX!HP20,CSX!HJ20:HL20)</f>
        <v>10955</v>
      </c>
      <c r="EB69" s="371">
        <f>+SUM(CSX!HP20:HQ20,CSX!HK20:HL20)</f>
        <v>11311</v>
      </c>
      <c r="EC69" s="371">
        <f>+SUM(CSX!HP20:HR20,CSX!HL20)</f>
        <v>11608</v>
      </c>
      <c r="ED69" s="371">
        <f>+SUM(CSX!HP20:HS20)</f>
        <v>11743</v>
      </c>
      <c r="EE69" s="371">
        <f>+CSX!HT20</f>
        <v>11743</v>
      </c>
      <c r="EG69" s="370" t="s">
        <v>208</v>
      </c>
      <c r="EH69" s="371">
        <f>+SUM(CSX!HW20,CSX!HQ20:HS20)</f>
        <v>11899</v>
      </c>
      <c r="EI69" s="371">
        <f>+SUM(CSX!HW20:HX20,CSX!HR20:HS20)</f>
        <v>11892</v>
      </c>
      <c r="EJ69" s="371">
        <f>+SUM(CSX!HW20:HY20,CSX!HS20)</f>
        <v>11823</v>
      </c>
      <c r="EK69" s="371">
        <f>+SUM(CSX!HW20:HZ20)</f>
        <v>11756</v>
      </c>
      <c r="EL69" s="371">
        <f>+CSX!IA20</f>
        <v>11756</v>
      </c>
      <c r="EN69" s="370" t="s">
        <v>208</v>
      </c>
      <c r="EO69" s="371">
        <f>+SUM(CSX!ID20,CSX!HX20:HZ20)</f>
        <v>11748</v>
      </c>
      <c r="EP69" s="371">
        <f>+SUM(CSX!ID20:IE20,CSX!HY20:HZ20)</f>
        <v>11805</v>
      </c>
      <c r="EQ69" s="371">
        <f>+SUM(CSX!ID20:IF20,CSX!HZ20)</f>
        <v>11910</v>
      </c>
      <c r="ER69" s="371">
        <f>+SUM(CSX!ID20:IG20)</f>
        <v>12058</v>
      </c>
      <c r="ES69" s="371">
        <f>+CSX!IH20</f>
        <v>12058</v>
      </c>
      <c r="EU69" s="370" t="s">
        <v>208</v>
      </c>
      <c r="EV69" s="371">
        <f>+SUM(CSX!IK20,CSX!IE20:IG20)</f>
        <v>12112</v>
      </c>
      <c r="EW69" s="371">
        <f>+SUM(CSX!IK20:IL20,CSX!IF20:IG20)</f>
        <v>12287</v>
      </c>
      <c r="EX69" s="371">
        <f>+SUM(CSX!IK20:IM20,CSX!IG20)</f>
        <v>12509</v>
      </c>
      <c r="EY69" s="371">
        <f>+SUM(CSX!IK20:IN20)</f>
        <v>12669</v>
      </c>
      <c r="EZ69" s="371">
        <f>+CSX!IO20</f>
        <v>12669</v>
      </c>
      <c r="FB69" s="370" t="s">
        <v>208</v>
      </c>
      <c r="FC69" s="371">
        <f>+SUM(CSX!IR20,CSX!IL20:IN20)</f>
        <v>12684</v>
      </c>
      <c r="FD69" s="371">
        <f>+SUM(CSX!IR20:IS20,CSX!IM20:IN20)</f>
        <v>12504</v>
      </c>
      <c r="FE69" s="371">
        <f>+SUM(CSX!IR20:IT20,CSX!IN20)</f>
        <v>12222</v>
      </c>
      <c r="FF69" s="371">
        <f>+SUM(CSX!IR20:IU20)</f>
        <v>11811</v>
      </c>
      <c r="FG69" s="371">
        <f>+CSX!IV20</f>
        <v>11811</v>
      </c>
      <c r="FI69" s="370" t="s">
        <v>208</v>
      </c>
      <c r="FJ69" s="371">
        <f>+SUM(CSX!IY20,CSX!IS20:IU20)</f>
        <v>11402</v>
      </c>
      <c r="FK69" s="371">
        <f>+SUM(CSX!IY20:IZ20,CSX!IT20:IU20)</f>
        <v>11042</v>
      </c>
      <c r="FL69" s="371">
        <f>+SUM(CSX!IY20:JA20,CSX!IU20)</f>
        <v>10813</v>
      </c>
      <c r="FM69" s="371">
        <f>+SUM(CSX!IY20:JB20)</f>
        <v>11069</v>
      </c>
      <c r="FN69" s="371">
        <f>+CSX!JC20</f>
        <v>11069</v>
      </c>
      <c r="FP69" s="370" t="s">
        <v>208</v>
      </c>
      <c r="FQ69" s="371">
        <f>+SUM(CSX!JF20,CSX!IZ20:JB20)</f>
        <v>11320</v>
      </c>
      <c r="FR69" s="371">
        <f>+SUM(CSX!JF20:JG20,CSX!JA20:JB20)</f>
        <v>11549</v>
      </c>
      <c r="FS69" s="371">
        <f>+SUM(CSX!JF20:JH20,CSX!JB20)</f>
        <v>11582</v>
      </c>
      <c r="FT69" s="371">
        <f>+SUM(CSX!JF20:JI20)</f>
        <v>11408</v>
      </c>
      <c r="FU69" s="371">
        <f>+CSX!JJ20</f>
        <v>11408</v>
      </c>
      <c r="FW69" s="370" t="s">
        <v>208</v>
      </c>
      <c r="FX69" s="371">
        <f>+SUM(CSX!JM20,CSX!JG20:JI20)</f>
        <v>11415</v>
      </c>
      <c r="FY69" s="371">
        <f>+SUM(CSX!JM20:JN20,CSX!JH20:JI20)</f>
        <v>11584</v>
      </c>
      <c r="FZ69" s="371">
        <f>+SUM(CSX!JM20:JO20,CSX!JI20)</f>
        <v>11970</v>
      </c>
      <c r="GA69" s="371">
        <f>+SUM(CSX!JM20:JP20)</f>
        <v>12250</v>
      </c>
      <c r="GB69" s="371">
        <f>+CSX!JQ20</f>
        <v>12250</v>
      </c>
      <c r="GD69" s="370" t="s">
        <v>208</v>
      </c>
      <c r="GE69" s="371">
        <f>+SUM(CSX!JT20,CSX!JN20:JP20)</f>
        <v>12387</v>
      </c>
      <c r="GF69" s="371">
        <f>+SUM(CSX!JT20:JU20,CSX!JO20:JP20)</f>
        <v>12346</v>
      </c>
      <c r="GG69" s="371">
        <f>+SUM(CSX!JT20:JV20,CSX!JP20)</f>
        <v>12195</v>
      </c>
      <c r="GH69" s="371">
        <f>+SUM(CSX!JT20:JW20)</f>
        <v>11937</v>
      </c>
      <c r="GI69" s="371">
        <f>+CSX!JX20</f>
        <v>11937</v>
      </c>
      <c r="GK69" s="370" t="s">
        <v>208</v>
      </c>
      <c r="GL69" s="371">
        <f>+SUM(CSX!KA20,CSX!JU20:JW20)</f>
        <v>11779</v>
      </c>
      <c r="GM69" s="371">
        <f>+SUM(CSX!KA20:KB20,CSX!JV20:JW20)</f>
        <v>10973</v>
      </c>
      <c r="GN69" s="371">
        <f>+SUM(CSX!KA20:KC20,CSX!JW20)</f>
        <v>10643</v>
      </c>
      <c r="GO69" s="371">
        <f>+SUM(CSX!KA20:KD20)</f>
        <v>10583</v>
      </c>
      <c r="GP69" s="371">
        <f>+CSX!KE20</f>
        <v>10583</v>
      </c>
      <c r="GR69" s="370" t="s">
        <v>208</v>
      </c>
      <c r="GS69" s="371">
        <f>+SUM(CSX!KH20,CSX!KB20:KD20)</f>
        <v>10541</v>
      </c>
      <c r="GT69" s="371">
        <f>+SUM(CSX!KH20:KI20,CSX!KC20:KD20)</f>
        <v>11276</v>
      </c>
      <c r="GU69" s="371">
        <f>+SUM(CSX!KH20:KJ20,CSX!KD20)</f>
        <v>11920</v>
      </c>
      <c r="GV69" s="371">
        <f>+SUM(CSX!KH20:KK20)</f>
        <v>12522</v>
      </c>
      <c r="GW69" s="371">
        <f>+CSX!KL20</f>
        <v>12522</v>
      </c>
      <c r="GY69" s="370" t="s">
        <v>208</v>
      </c>
      <c r="GZ69" s="371">
        <f>+SUM(CSX!KO20,CSX!KI20:KK20)</f>
        <v>13122</v>
      </c>
      <c r="HA69" s="371">
        <f>+SUM(CSX!KO20:KP20,CSX!KJ20:KK20)</f>
        <v>13947</v>
      </c>
      <c r="HB69" s="371">
        <f>+SUM(CSX!KO20:KQ20,CSX!KK20)</f>
        <v>14550</v>
      </c>
      <c r="HC69" s="371">
        <f>+SUM(CSX!KO20:KR20)</f>
        <v>14853</v>
      </c>
      <c r="HD69" s="371">
        <f>+CSX!KS20</f>
        <v>14853</v>
      </c>
      <c r="HF69" s="370" t="s">
        <v>208</v>
      </c>
      <c r="HG69" s="371">
        <f>+SUM(CSX!KV20,CSX!KP20:KR20)</f>
        <v>15146</v>
      </c>
      <c r="HH69" s="371">
        <f>+SUM(CSX!KV20:KW20,CSX!KQ20:KR20)</f>
        <v>15030</v>
      </c>
      <c r="HI69" s="371">
        <f>+SUM(CSX!KV20:KX20,CSX!KR20)</f>
        <v>14707</v>
      </c>
      <c r="HJ69" s="371">
        <f>+SUM(CSX!KV20:KY20)</f>
        <v>14657</v>
      </c>
      <c r="HK69" s="371">
        <f>+CSX!KZ20</f>
        <v>14657</v>
      </c>
      <c r="HM69" s="370" t="s">
        <v>208</v>
      </c>
      <c r="HN69" s="371">
        <f>+SUM(CSX!LC20,CSX!KW20:KY20)</f>
        <v>14632</v>
      </c>
      <c r="HO69" s="371">
        <f>+SUM(CSX!LC20:LD20,CSX!KX20:KY20)</f>
        <v>14634</v>
      </c>
      <c r="HP69" s="371">
        <f>+SUM(CSX!LC20:LE20,CSX!KY20)</f>
        <v>14681</v>
      </c>
      <c r="HQ69" s="371">
        <f>+SUM(CSX!LC20:LF20)</f>
        <v>14540</v>
      </c>
      <c r="HR69" s="371">
        <f>+CSX!LG20</f>
        <v>14540</v>
      </c>
      <c r="HT69" s="370" t="s">
        <v>208</v>
      </c>
      <c r="HU69" s="371">
        <f>+SUM(CSX!LJ20,CSX!LD20:LF20)</f>
        <v>14282</v>
      </c>
      <c r="HV69" s="371">
        <f>+SUM(CSX!LJ20:LK20,CSX!LE20:LF20)</f>
        <v>14155</v>
      </c>
      <c r="HW69" s="371">
        <f>+SUM(CSX!LJ20:LL20,CSX!LF20)</f>
        <v>14123</v>
      </c>
      <c r="HX69" s="371">
        <f>+SUM(CSX!LJ20:LM20)</f>
        <v>14092</v>
      </c>
      <c r="HY69" s="371">
        <f>+CSX!LN20</f>
        <v>14092</v>
      </c>
      <c r="IA69" s="370" t="s">
        <v>208</v>
      </c>
      <c r="IB69" s="371">
        <f>+SUM(CSX!LQ20,CSX!LK20:LM20)</f>
        <v>14129.817424999999</v>
      </c>
      <c r="IC69" s="371">
        <f>+SUM(CSX!LQ20:LR20,CSX!LL20:LM20)</f>
        <v>14191.707350000001</v>
      </c>
      <c r="ID69" s="371">
        <f>+SUM(CSX!LQ20:LS20,CSX!LM20)</f>
        <v>14308.6415</v>
      </c>
      <c r="IE69" s="371">
        <f>+SUM(CSX!LQ20:LT20)</f>
        <v>14494.795275</v>
      </c>
      <c r="IF69" s="371">
        <f>+CSX!LU20</f>
        <v>14494.795274999997</v>
      </c>
      <c r="IH69" s="370" t="s">
        <v>208</v>
      </c>
      <c r="II69" s="371">
        <f>+SUM(CSX!LX20,CSX!LR20:LT20)</f>
        <v>14662.212681583593</v>
      </c>
      <c r="IJ69" s="371">
        <f>+SUM(CSX!LX20:LY20,CSX!LS20:LT20)</f>
        <v>14835.275711866094</v>
      </c>
      <c r="IK69" s="371">
        <f>+SUM(CSX!LX20:LZ20,CSX!LT20)</f>
        <v>15007.352954559843</v>
      </c>
      <c r="IL69" s="371">
        <f>+SUM(CSX!LX20:MA20)</f>
        <v>15180.905860184219</v>
      </c>
      <c r="IM69" s="371">
        <f>+CSX!MB20</f>
        <v>15180.905860184219</v>
      </c>
      <c r="IO69" s="370" t="s">
        <v>208</v>
      </c>
      <c r="IP69" s="371">
        <f>+SUM(CSX!ME20,CSX!LY20:MA20)</f>
        <v>15343.645533751587</v>
      </c>
      <c r="IQ69" s="371">
        <f>+SUM(CSX!ME20:MF20,CSX!LZ20:MA20)</f>
        <v>15511.937534467292</v>
      </c>
      <c r="IR69" s="371">
        <f>+SUM(CSX!ME20:MG20,CSX!MA20)</f>
        <v>15682.033350268022</v>
      </c>
      <c r="IS69" s="371">
        <f>+SUM(CSX!ME20:MH20)</f>
        <v>15848.637389025454</v>
      </c>
      <c r="IT69" s="371">
        <f>+CSX!MI20</f>
        <v>15848.637389025456</v>
      </c>
    </row>
    <row r="70" spans="1:254" x14ac:dyDescent="0.4">
      <c r="B70" s="373"/>
      <c r="C70" s="374"/>
      <c r="D70" s="374"/>
      <c r="E70" s="374"/>
      <c r="F70" s="374"/>
      <c r="G70" s="374"/>
      <c r="H70" s="374"/>
      <c r="I70" s="374"/>
      <c r="J70" s="374"/>
      <c r="K70" s="374"/>
      <c r="L70" s="374"/>
      <c r="M70" s="374"/>
      <c r="N70" s="374"/>
      <c r="O70" s="374"/>
      <c r="P70" s="374"/>
      <c r="Q70" s="374"/>
      <c r="R70" s="374"/>
      <c r="S70" s="374"/>
      <c r="T70" s="374"/>
      <c r="U70" s="374"/>
      <c r="V70" s="374"/>
      <c r="W70" s="374"/>
      <c r="X70" s="374"/>
      <c r="Y70" s="374"/>
      <c r="Z70" s="374"/>
      <c r="AA70" s="374"/>
      <c r="AB70" s="374"/>
      <c r="AC70" s="374"/>
      <c r="AD70" s="374"/>
      <c r="AE70" s="374"/>
      <c r="AF70" s="374"/>
      <c r="AG70" s="375"/>
      <c r="AH70" s="375"/>
      <c r="AI70" s="375"/>
      <c r="AJ70" s="375"/>
      <c r="AK70" s="375"/>
      <c r="AL70" s="375"/>
      <c r="AM70" s="375"/>
      <c r="AN70" s="375"/>
      <c r="AO70" s="375"/>
      <c r="AP70" s="375"/>
      <c r="AQ70" s="375"/>
      <c r="AR70" s="375"/>
      <c r="AT70" s="373"/>
      <c r="AU70" s="374"/>
      <c r="AV70" s="374"/>
      <c r="AW70" s="374"/>
      <c r="AX70" s="374"/>
      <c r="AY70" s="374"/>
      <c r="BA70" s="373"/>
      <c r="BB70" s="374"/>
      <c r="BC70" s="374"/>
      <c r="BD70" s="374"/>
      <c r="BE70" s="374"/>
      <c r="BF70" s="374"/>
      <c r="BH70" s="373"/>
      <c r="BI70" s="374"/>
      <c r="BJ70" s="374"/>
      <c r="BK70" s="374"/>
      <c r="BL70" s="374"/>
      <c r="BM70" s="374"/>
      <c r="BO70" s="373"/>
      <c r="BP70" s="374"/>
      <c r="BQ70" s="374"/>
      <c r="BR70" s="374"/>
      <c r="BS70" s="374"/>
      <c r="BT70" s="374"/>
      <c r="BV70" s="373"/>
      <c r="BW70" s="374"/>
      <c r="BX70" s="374"/>
      <c r="BY70" s="374"/>
      <c r="BZ70" s="374"/>
      <c r="CA70" s="374"/>
      <c r="CC70" s="373"/>
      <c r="CD70" s="374"/>
      <c r="CE70" s="374"/>
      <c r="CF70" s="374"/>
      <c r="CG70" s="374"/>
      <c r="CH70" s="374"/>
      <c r="CJ70" s="373"/>
      <c r="CK70" s="374"/>
      <c r="CL70" s="374"/>
      <c r="CM70" s="374"/>
      <c r="CN70" s="374"/>
      <c r="CO70" s="374"/>
      <c r="CQ70" s="373"/>
      <c r="CR70" s="374"/>
      <c r="CS70" s="374"/>
      <c r="CT70" s="374"/>
      <c r="CU70" s="374"/>
      <c r="CV70" s="374"/>
      <c r="CX70" s="373"/>
      <c r="CY70" s="374"/>
      <c r="CZ70" s="374"/>
      <c r="DA70" s="374"/>
      <c r="DB70" s="374"/>
      <c r="DC70" s="374"/>
      <c r="DE70" s="373"/>
      <c r="DF70" s="374"/>
      <c r="DG70" s="374"/>
      <c r="DH70" s="374"/>
      <c r="DI70" s="374"/>
      <c r="DJ70" s="374"/>
      <c r="DL70" s="373"/>
      <c r="DM70" s="374"/>
      <c r="DN70" s="374"/>
      <c r="DO70" s="374"/>
      <c r="DP70" s="374"/>
      <c r="DQ70" s="374"/>
      <c r="DS70" s="373"/>
      <c r="DT70" s="374"/>
      <c r="DU70" s="374"/>
      <c r="DV70" s="374"/>
      <c r="DW70" s="374"/>
      <c r="DX70" s="374"/>
      <c r="DZ70" s="373"/>
      <c r="EA70" s="374"/>
      <c r="EB70" s="374"/>
      <c r="EC70" s="374"/>
      <c r="ED70" s="374"/>
      <c r="EE70" s="374"/>
      <c r="EG70" s="373"/>
      <c r="EH70" s="374"/>
      <c r="EI70" s="374"/>
      <c r="EJ70" s="374"/>
      <c r="EK70" s="374"/>
      <c r="EL70" s="374"/>
      <c r="EN70" s="373"/>
      <c r="EO70" s="374"/>
      <c r="EP70" s="374"/>
      <c r="EQ70" s="374"/>
      <c r="ER70" s="374"/>
      <c r="ES70" s="374"/>
      <c r="EU70" s="373"/>
      <c r="EV70" s="374"/>
      <c r="EW70" s="374"/>
      <c r="EX70" s="374"/>
      <c r="EY70" s="374"/>
      <c r="EZ70" s="374"/>
      <c r="FB70" s="373"/>
      <c r="FC70" s="374"/>
      <c r="FD70" s="374"/>
      <c r="FE70" s="374"/>
      <c r="FF70" s="374"/>
      <c r="FG70" s="374"/>
      <c r="FI70" s="373"/>
      <c r="FJ70" s="374"/>
      <c r="FK70" s="374"/>
      <c r="FL70" s="374"/>
      <c r="FM70" s="374"/>
      <c r="FN70" s="374"/>
      <c r="FP70" s="373"/>
      <c r="FQ70" s="374"/>
      <c r="FR70" s="374"/>
      <c r="FS70" s="374"/>
      <c r="FT70" s="374"/>
      <c r="FU70" s="374"/>
      <c r="FW70" s="373"/>
      <c r="FX70" s="374"/>
      <c r="FY70" s="374"/>
      <c r="FZ70" s="374"/>
      <c r="GA70" s="374"/>
      <c r="GB70" s="374"/>
      <c r="GD70" s="373"/>
      <c r="GE70" s="374"/>
      <c r="GF70" s="374"/>
      <c r="GG70" s="374"/>
      <c r="GH70" s="374"/>
      <c r="GI70" s="374"/>
      <c r="GK70" s="373"/>
      <c r="GL70" s="374"/>
      <c r="GM70" s="374"/>
      <c r="GN70" s="374"/>
      <c r="GO70" s="374"/>
      <c r="GP70" s="374"/>
      <c r="GR70" s="373"/>
      <c r="GS70" s="374"/>
      <c r="GT70" s="374"/>
      <c r="GU70" s="374"/>
      <c r="GV70" s="374"/>
      <c r="GW70" s="374"/>
      <c r="GY70" s="373"/>
      <c r="GZ70" s="374"/>
      <c r="HA70" s="374"/>
      <c r="HB70" s="374"/>
      <c r="HC70" s="374"/>
      <c r="HD70" s="374"/>
      <c r="HF70" s="373"/>
      <c r="HG70" s="374"/>
      <c r="HH70" s="374"/>
      <c r="HI70" s="374"/>
      <c r="HJ70" s="374"/>
      <c r="HK70" s="374"/>
      <c r="HM70" s="373"/>
      <c r="HN70" s="374"/>
      <c r="HO70" s="374"/>
      <c r="HP70" s="374"/>
      <c r="HQ70" s="374"/>
      <c r="HR70" s="374"/>
      <c r="HT70" s="373"/>
      <c r="HU70" s="374"/>
      <c r="HV70" s="374"/>
      <c r="HW70" s="374"/>
      <c r="HX70" s="374"/>
      <c r="HY70" s="374"/>
      <c r="IA70" s="373"/>
      <c r="IB70" s="374"/>
      <c r="IC70" s="374"/>
      <c r="ID70" s="374"/>
      <c r="IE70" s="374"/>
      <c r="IF70" s="374"/>
      <c r="IH70" s="373"/>
      <c r="II70" s="374"/>
      <c r="IJ70" s="374"/>
      <c r="IK70" s="374"/>
      <c r="IL70" s="374"/>
      <c r="IM70" s="374"/>
      <c r="IO70" s="373"/>
      <c r="IP70" s="374"/>
      <c r="IQ70" s="374"/>
      <c r="IR70" s="374"/>
      <c r="IS70" s="374"/>
      <c r="IT70" s="374"/>
    </row>
    <row r="71" spans="1:254" x14ac:dyDescent="0.4">
      <c r="B71" s="318" t="s">
        <v>218</v>
      </c>
      <c r="C71" s="319">
        <f>AY71</f>
        <v>0</v>
      </c>
      <c r="D71" s="319">
        <f>BF71</f>
        <v>0</v>
      </c>
      <c r="E71" s="319">
        <f>BM71</f>
        <v>0</v>
      </c>
      <c r="F71" s="319">
        <f>BT71</f>
        <v>0</v>
      </c>
      <c r="G71" s="319">
        <f>CA71</f>
        <v>0</v>
      </c>
      <c r="H71" s="319">
        <f>CH71</f>
        <v>0</v>
      </c>
      <c r="I71" s="319">
        <f>CO71</f>
        <v>7068</v>
      </c>
      <c r="J71" s="319">
        <f>CV71</f>
        <v>7442</v>
      </c>
      <c r="K71" s="319">
        <f>DC71</f>
        <v>7770</v>
      </c>
      <c r="L71" s="319">
        <f>DJ71</f>
        <v>8489</v>
      </c>
      <c r="M71" s="319">
        <f>DQ71</f>
        <v>6765</v>
      </c>
      <c r="N71" s="319">
        <f>DX71</f>
        <v>7535</v>
      </c>
      <c r="O71" s="319">
        <f>EE71</f>
        <v>8325</v>
      </c>
      <c r="P71" s="319">
        <f>EL71</f>
        <v>8299</v>
      </c>
      <c r="Q71" s="319">
        <f>ES71</f>
        <v>8553</v>
      </c>
      <c r="R71" s="319">
        <f>EZ71</f>
        <v>9056</v>
      </c>
      <c r="S71" s="319">
        <f>FG71</f>
        <v>8227</v>
      </c>
      <c r="T71" s="319">
        <f>FN71</f>
        <v>7680</v>
      </c>
      <c r="U71" s="319">
        <f>FU71</f>
        <v>7590</v>
      </c>
      <c r="V71" s="319">
        <f>GB71</f>
        <v>7381</v>
      </c>
      <c r="W71" s="319">
        <f>GI71</f>
        <v>6972</v>
      </c>
      <c r="X71" s="319">
        <f>GP71</f>
        <v>6221</v>
      </c>
      <c r="Y71" s="319">
        <f>GW71</f>
        <v>7277</v>
      </c>
      <c r="Z71" s="319">
        <f>HD71</f>
        <v>8952</v>
      </c>
      <c r="AA71" s="319">
        <f>HK71</f>
        <v>9158</v>
      </c>
      <c r="AB71" s="130">
        <f>HR71</f>
        <v>9187</v>
      </c>
      <c r="AC71" s="130">
        <f>HY71</f>
        <v>9320</v>
      </c>
      <c r="AD71" s="130">
        <f>IF71</f>
        <v>9216.6488228830476</v>
      </c>
      <c r="AE71" s="130">
        <f>IM71</f>
        <v>9326.9166990208214</v>
      </c>
      <c r="AF71" s="130">
        <f>IT71</f>
        <v>9598.3881669237981</v>
      </c>
      <c r="AG71" s="376"/>
      <c r="AH71" s="376"/>
      <c r="AI71" s="376"/>
      <c r="AJ71" s="376"/>
      <c r="AK71" s="376"/>
      <c r="AL71" s="376"/>
      <c r="AM71" s="376"/>
      <c r="AN71" s="376"/>
      <c r="AO71" s="376"/>
      <c r="AP71" s="376"/>
      <c r="AQ71" s="376"/>
      <c r="AR71" s="376"/>
      <c r="AT71" s="318" t="s">
        <v>218</v>
      </c>
      <c r="AU71" s="319"/>
      <c r="AV71" s="319"/>
      <c r="AW71" s="319"/>
      <c r="AX71" s="319"/>
      <c r="AY71" s="319"/>
      <c r="BA71" s="318" t="s">
        <v>218</v>
      </c>
      <c r="BB71" s="319"/>
      <c r="BC71" s="319"/>
      <c r="BD71" s="319"/>
      <c r="BE71" s="319"/>
      <c r="BF71" s="319"/>
      <c r="BH71" s="318" t="s">
        <v>218</v>
      </c>
      <c r="BI71" s="319"/>
      <c r="BJ71" s="319"/>
      <c r="BK71" s="319"/>
      <c r="BL71" s="319"/>
      <c r="BM71" s="319"/>
      <c r="BO71" s="318" t="s">
        <v>218</v>
      </c>
      <c r="BP71" s="319"/>
      <c r="BQ71" s="319"/>
      <c r="BR71" s="319"/>
      <c r="BS71" s="319"/>
      <c r="BT71" s="319"/>
      <c r="BV71" s="318" t="s">
        <v>218</v>
      </c>
      <c r="BW71" s="319"/>
      <c r="BX71" s="319"/>
      <c r="BY71" s="319"/>
      <c r="BZ71" s="319"/>
      <c r="CA71" s="319"/>
      <c r="CC71" s="318" t="s">
        <v>218</v>
      </c>
      <c r="CD71" s="319"/>
      <c r="CE71" s="319"/>
      <c r="CF71" s="319"/>
      <c r="CG71" s="319"/>
      <c r="CH71" s="319"/>
      <c r="CJ71" s="318" t="s">
        <v>218</v>
      </c>
      <c r="CK71" s="319" t="s">
        <v>80</v>
      </c>
      <c r="CL71" s="319" t="s">
        <v>80</v>
      </c>
      <c r="CM71" s="319" t="s">
        <v>80</v>
      </c>
      <c r="CN71" s="319" t="s">
        <v>80</v>
      </c>
      <c r="CO71" s="319">
        <f>+CSX!GD23</f>
        <v>7068</v>
      </c>
      <c r="CQ71" s="318" t="s">
        <v>218</v>
      </c>
      <c r="CR71" s="319">
        <f>+SUM(CSX!GG23:GI23,CSX!GC23)</f>
        <v>7356</v>
      </c>
      <c r="CS71" s="319">
        <f>+SUM(CSX!GG23:GH23,CSX!GB23:GC23)</f>
        <v>7199</v>
      </c>
      <c r="CT71" s="319">
        <f>+SUM(CSX!GG23:GI23,CSX!GC23)</f>
        <v>7356</v>
      </c>
      <c r="CU71" s="319">
        <f>+SUM(CSX!GG23:GJ23)</f>
        <v>7442</v>
      </c>
      <c r="CV71" s="319">
        <f>+CSX!GK23</f>
        <v>7442</v>
      </c>
      <c r="CX71" s="318" t="s">
        <v>218</v>
      </c>
      <c r="CY71" s="319">
        <f>+SUM(CSX!GN23:GP23,CSX!GJ23)</f>
        <v>7691</v>
      </c>
      <c r="CZ71" s="319">
        <f>+SUM(CSX!GN23:GO23,CSX!GI23:GJ23)</f>
        <v>7677</v>
      </c>
      <c r="DA71" s="319">
        <f>+SUM(CSX!GN23:GP23,CSX!GJ23)</f>
        <v>7691</v>
      </c>
      <c r="DB71" s="319">
        <f>+SUM(CSX!GN23:GQ23)</f>
        <v>7770</v>
      </c>
      <c r="DC71" s="319">
        <f>+CSX!GR23</f>
        <v>7770</v>
      </c>
      <c r="DE71" s="318" t="s">
        <v>218</v>
      </c>
      <c r="DF71" s="319">
        <f>+SUM(CSX!GU23:GW23,CSX!GQ23)</f>
        <v>8479</v>
      </c>
      <c r="DG71" s="319">
        <f>+SUM(CSX!GU23:GV23,CSX!GP23:GQ23)</f>
        <v>8194</v>
      </c>
      <c r="DH71" s="319">
        <f>+SUM(CSX!GU23:GW23,CSX!GQ23)</f>
        <v>8479</v>
      </c>
      <c r="DI71" s="319">
        <f>+SUM(CSX!GU23:GX23)</f>
        <v>8489</v>
      </c>
      <c r="DJ71" s="319">
        <f>+CSX!GY23</f>
        <v>8489</v>
      </c>
      <c r="DL71" s="318" t="s">
        <v>218</v>
      </c>
      <c r="DM71" s="319">
        <f>+SUM(CSX!HB23:HD23,CSX!GX23)</f>
        <v>7010</v>
      </c>
      <c r="DN71" s="319">
        <f>+SUM(CSX!HB23:HC23,CSX!GW23:GX23)</f>
        <v>7543</v>
      </c>
      <c r="DO71" s="319">
        <f>+SUM(CSX!HB23:HD23,CSX!GX23)</f>
        <v>7010</v>
      </c>
      <c r="DP71" s="319">
        <f>+SUM(CSX!HB23:HE23)</f>
        <v>6765</v>
      </c>
      <c r="DQ71" s="319">
        <f>+CSX!HF23</f>
        <v>6765</v>
      </c>
      <c r="DS71" s="318" t="s">
        <v>218</v>
      </c>
      <c r="DT71" s="319">
        <f>+SUM(CSX!HI23:HK23,CSX!HE23)</f>
        <v>7302</v>
      </c>
      <c r="DU71" s="319">
        <f>+SUM(CSX!HI23:HJ23,CSX!HD23:HE23)</f>
        <v>7156</v>
      </c>
      <c r="DV71" s="319">
        <f>+SUM(CSX!HI23:HK23,CSX!HE23)</f>
        <v>7302</v>
      </c>
      <c r="DW71" s="319">
        <f>+SUM(CSX!HI23:HL23)</f>
        <v>7535</v>
      </c>
      <c r="DX71" s="319">
        <f>+CSX!HM23</f>
        <v>7535</v>
      </c>
      <c r="DZ71" s="318" t="s">
        <v>218</v>
      </c>
      <c r="EA71" s="319">
        <f>+SUM(CSX!HP23:HR23,CSX!HL23)</f>
        <v>8185</v>
      </c>
      <c r="EB71" s="319">
        <f>+SUM(CSX!HP23:HQ23,CSX!HK23:HL23)</f>
        <v>7941</v>
      </c>
      <c r="EC71" s="319">
        <f>+SUM(CSX!HP23:HR23,CSX!HL23)</f>
        <v>8185</v>
      </c>
      <c r="ED71" s="319">
        <f>+SUM(CSX!HP23:HS23)</f>
        <v>8325</v>
      </c>
      <c r="EE71" s="319">
        <f>+CSX!HT23</f>
        <v>8325</v>
      </c>
      <c r="EG71" s="318" t="s">
        <v>218</v>
      </c>
      <c r="EH71" s="319">
        <f>+SUM(CSX!HW23:HY23,CSX!HS23)</f>
        <v>8329</v>
      </c>
      <c r="EI71" s="319">
        <f>+SUM(CSX!HW23:HX23,CSX!HR23:HS23)</f>
        <v>8374</v>
      </c>
      <c r="EJ71" s="319">
        <f>+SUM(CSX!HW23:HY23,CSX!HS23)</f>
        <v>8329</v>
      </c>
      <c r="EK71" s="319">
        <f>+SUM(CSX!HW23:HZ23)</f>
        <v>8299</v>
      </c>
      <c r="EL71" s="319">
        <f>+CSX!IA23</f>
        <v>8299</v>
      </c>
      <c r="EN71" s="318" t="s">
        <v>218</v>
      </c>
      <c r="EO71" s="319">
        <f>+SUM(CSX!ID23:IF23,CSX!HZ23)</f>
        <v>8414</v>
      </c>
      <c r="EP71" s="319">
        <f>+SUM(CSX!ID23:IE23,CSX!HY23:HZ23)</f>
        <v>8309</v>
      </c>
      <c r="EQ71" s="319">
        <f>+SUM(CSX!ID23:IF23,CSX!HZ23)</f>
        <v>8414</v>
      </c>
      <c r="ER71" s="319">
        <f>+SUM(CSX!ID23:IG23)</f>
        <v>8553</v>
      </c>
      <c r="ES71" s="319">
        <f>+CSX!IH23</f>
        <v>8553</v>
      </c>
      <c r="EU71" s="318" t="s">
        <v>218</v>
      </c>
      <c r="EV71" s="319">
        <f>+SUM(CSX!IK23:IM23,CSX!IG23)</f>
        <v>8984</v>
      </c>
      <c r="EW71" s="319">
        <f>+SUM(CSX!IK23:IL23,CSX!IF23:IG23)</f>
        <v>8884</v>
      </c>
      <c r="EX71" s="319">
        <f>+SUM(CSX!IK23:IM23,CSX!IG23)</f>
        <v>8984</v>
      </c>
      <c r="EY71" s="319">
        <f>+SUM(CSX!IK23:IN23)</f>
        <v>9056</v>
      </c>
      <c r="EZ71" s="319">
        <f>+CSX!IO23</f>
        <v>9056</v>
      </c>
      <c r="FB71" s="318" t="s">
        <v>218</v>
      </c>
      <c r="FC71" s="319">
        <f>+SUM(CSX!IR23:IT23,CSX!IN23)</f>
        <v>8528</v>
      </c>
      <c r="FD71" s="319">
        <f>+SUM(CSX!IR23:IS23,CSX!IM23:IN23)</f>
        <v>8767</v>
      </c>
      <c r="FE71" s="319">
        <f>+SUM(CSX!IR23:IT23,CSX!IN23)</f>
        <v>8528</v>
      </c>
      <c r="FF71" s="319">
        <f>+SUM(CSX!IR23:IU23)</f>
        <v>8227</v>
      </c>
      <c r="FG71" s="319">
        <f>+CSX!IV23</f>
        <v>8227</v>
      </c>
      <c r="FI71" s="318" t="s">
        <v>218</v>
      </c>
      <c r="FJ71" s="319">
        <f>+SUM(CSX!IY23:JA23,CSX!IU23)</f>
        <v>7637</v>
      </c>
      <c r="FK71" s="319">
        <f>+SUM(CSX!IY23:IZ23,CSX!IT23:IU23)</f>
        <v>7774</v>
      </c>
      <c r="FL71" s="319">
        <f>+SUM(CSX!IY23:JA23,CSX!IU23)</f>
        <v>7637</v>
      </c>
      <c r="FM71" s="319">
        <f>+SUM(CSX!IY23:JB23)</f>
        <v>7680</v>
      </c>
      <c r="FN71" s="319">
        <f>+CSX!JC23</f>
        <v>7680</v>
      </c>
      <c r="FP71" s="318" t="s">
        <v>218</v>
      </c>
      <c r="FQ71" s="319">
        <f>+SUM(CSX!JF23:JH23,CSX!JB23)</f>
        <v>7758</v>
      </c>
      <c r="FR71" s="319">
        <f>+SUM(CSX!JF23:JG23,CSX!JA23:JB23)</f>
        <v>7753</v>
      </c>
      <c r="FS71" s="319">
        <f>+SUM(CSX!JF23:JH23,CSX!JB23)</f>
        <v>7758</v>
      </c>
      <c r="FT71" s="319">
        <f>+SUM(CSX!JF23:JI23)</f>
        <v>7590</v>
      </c>
      <c r="FU71" s="319">
        <f>+CSX!JJ23</f>
        <v>7590</v>
      </c>
      <c r="FW71" s="318" t="s">
        <v>218</v>
      </c>
      <c r="FX71" s="319">
        <f>+SUM(CSX!JM23:JO23,CSX!JI23)</f>
        <v>7352</v>
      </c>
      <c r="FY71" s="319">
        <f>+SUM(CSX!JM23:JN23,CSX!JH23:JI23)</f>
        <v>7390</v>
      </c>
      <c r="FZ71" s="319">
        <f>+SUM(CSX!JM23:JO23,CSX!JI23)</f>
        <v>7352</v>
      </c>
      <c r="GA71" s="319">
        <f>+SUM(CSX!JM23:JP23)</f>
        <v>7381</v>
      </c>
      <c r="GB71" s="319">
        <f>+CSX!JQ23</f>
        <v>7381</v>
      </c>
      <c r="GD71" s="318" t="s">
        <v>218</v>
      </c>
      <c r="GE71" s="319">
        <f>+SUM(CSX!JT23:JV23,CSX!JP23)</f>
        <v>7135</v>
      </c>
      <c r="GF71" s="319">
        <f>+SUM(CSX!JT23:JU23,CSX!JO23:JP23)</f>
        <v>7280</v>
      </c>
      <c r="GG71" s="319">
        <f>+SUM(CSX!JT23:JV23,CSX!JP23)</f>
        <v>7135</v>
      </c>
      <c r="GH71" s="319">
        <f>+SUM(CSX!JT23:JW23)</f>
        <v>6972</v>
      </c>
      <c r="GI71" s="319">
        <f>+CSX!JX23</f>
        <v>6972</v>
      </c>
      <c r="GK71" s="318" t="s">
        <v>218</v>
      </c>
      <c r="GL71" s="319">
        <f>+SUM(CSX!KA23:KC23,CSX!JW23)</f>
        <v>6342</v>
      </c>
      <c r="GM71" s="319">
        <f>+SUM(CSX!KA23:KB23,CSX!JV23:JW23)</f>
        <v>6526</v>
      </c>
      <c r="GN71" s="319">
        <f>+SUM(CSX!KA23:KC23,CSX!JW23)</f>
        <v>6342</v>
      </c>
      <c r="GO71" s="319">
        <f>+SUM(CSX!KA23:KD23)</f>
        <v>6221</v>
      </c>
      <c r="GP71" s="319">
        <f>+CSX!KE23</f>
        <v>6221</v>
      </c>
      <c r="GR71" s="318" t="s">
        <v>218</v>
      </c>
      <c r="GS71" s="319">
        <f>+SUM(CSX!KH23:KJ23,CSX!KD23)</f>
        <v>6826</v>
      </c>
      <c r="GT71" s="319">
        <f>+SUM(CSX!KH23:KI23,CSX!KC23:KD23)</f>
        <v>6477</v>
      </c>
      <c r="GU71" s="319">
        <f>+SUM(CSX!KH23:KJ23,CSX!KD23)</f>
        <v>6826</v>
      </c>
      <c r="GV71" s="319">
        <f>+SUM(CSX!KH23:KK23)</f>
        <v>7277</v>
      </c>
      <c r="GW71" s="319">
        <f>+CSX!KL23</f>
        <v>7277</v>
      </c>
      <c r="GY71" s="318" t="s">
        <v>218</v>
      </c>
      <c r="GZ71" s="319">
        <f>+SUM(CSX!KO23:KQ23,CSX!KK23)</f>
        <v>8742</v>
      </c>
      <c r="HA71" s="319">
        <f>+SUM(CSX!KO23:KP23,CSX!KJ23:KK23)</f>
        <v>8282</v>
      </c>
      <c r="HB71" s="319">
        <f>+SUM(CSX!KO23:KQ23,CSX!KK23)</f>
        <v>8742</v>
      </c>
      <c r="HC71" s="319">
        <f>+SUM(CSX!KO23:KR23)</f>
        <v>8952</v>
      </c>
      <c r="HD71" s="319">
        <f>+CSX!KS23</f>
        <v>8952</v>
      </c>
      <c r="HF71" s="318" t="s">
        <v>218</v>
      </c>
      <c r="HG71" s="319">
        <f>+SUM(CSX!KV23:KX23,CSX!KR23)</f>
        <v>9064</v>
      </c>
      <c r="HH71" s="319">
        <f>+SUM(CSX!KV23:KW23,CSX!KQ23:KR23)</f>
        <v>9079</v>
      </c>
      <c r="HI71" s="319">
        <f>+SUM(CSX!KV23:KX23,CSX!KR23)</f>
        <v>9064</v>
      </c>
      <c r="HJ71" s="319">
        <f>+SUM(CSX!KV23:KY23)</f>
        <v>9158</v>
      </c>
      <c r="HK71" s="319">
        <f>+CSX!KZ23</f>
        <v>9158</v>
      </c>
      <c r="HM71" s="318" t="s">
        <v>218</v>
      </c>
      <c r="HN71" s="319">
        <f>+SUM(CSX!LC23:LE23,CSX!KY23)</f>
        <v>9227</v>
      </c>
      <c r="HO71" s="319">
        <f>+SUM(CSX!LC23:LD23,CSX!KX23:KY23)</f>
        <v>9263</v>
      </c>
      <c r="HP71" s="319">
        <f>+SUM(CSX!LC23:LE23,CSX!KY23)</f>
        <v>9227</v>
      </c>
      <c r="HQ71" s="319">
        <f>+SUM(CSX!LC23:LF23)</f>
        <v>9187</v>
      </c>
      <c r="HR71" s="319">
        <f>+CSX!LG23</f>
        <v>9187</v>
      </c>
      <c r="HT71" s="318" t="s">
        <v>218</v>
      </c>
      <c r="HU71" s="319">
        <f>+SUM(CSX!LJ23:LL23,CSX!LF23)</f>
        <v>9299</v>
      </c>
      <c r="HV71" s="319">
        <f>+SUM(CSX!LJ23:LK23,CSX!LE23:LF23)</f>
        <v>9263</v>
      </c>
      <c r="HW71" s="319">
        <f>+SUM(CSX!LJ23:LL23,CSX!LF23)</f>
        <v>9299</v>
      </c>
      <c r="HX71" s="319">
        <f>+SUM(CSX!LJ23:LM23)</f>
        <v>9320</v>
      </c>
      <c r="HY71" s="130">
        <f>+CSX!LN23</f>
        <v>9320</v>
      </c>
      <c r="IA71" s="318" t="s">
        <v>218</v>
      </c>
      <c r="IB71" s="319">
        <f>+SUM(CSX!LQ23:LS23,CSX!LM23)</f>
        <v>9204.1657948497559</v>
      </c>
      <c r="IC71" s="319">
        <f>+SUM(CSX!LQ23:LR23,CSX!LL23:LM23)</f>
        <v>9208.1626094208896</v>
      </c>
      <c r="ID71" s="319">
        <f>+SUM(CSX!LQ23:LS23,CSX!LM23)</f>
        <v>9204.1657948497559</v>
      </c>
      <c r="IE71" s="319">
        <f>+SUM(CSX!LQ23:LT23)</f>
        <v>9216.6488228830458</v>
      </c>
      <c r="IF71" s="130">
        <f>+CSX!LU23</f>
        <v>9216.6488228830476</v>
      </c>
      <c r="IH71" s="318" t="s">
        <v>218</v>
      </c>
      <c r="II71" s="319">
        <f>+SUM(CSX!LX23:LZ23,CSX!LT23)</f>
        <v>9301.7090618148595</v>
      </c>
      <c r="IJ71" s="319">
        <f>+SUM(CSX!LX23:LY23,CSX!LS23:LT23)</f>
        <v>9279.2419414754149</v>
      </c>
      <c r="IK71" s="319">
        <f>+SUM(CSX!LX23:LZ23,CSX!LT23)</f>
        <v>9301.7090618148595</v>
      </c>
      <c r="IL71" s="319">
        <f>+SUM(CSX!LX23:MA23)</f>
        <v>9326.9166990208214</v>
      </c>
      <c r="IM71" s="130">
        <f>+CSX!MB23</f>
        <v>9326.9166990208214</v>
      </c>
      <c r="IO71" s="318" t="s">
        <v>218</v>
      </c>
      <c r="IP71" s="319">
        <f>+SUM(CSX!ME23:MG23,CSX!MA23)</f>
        <v>9536.2138222283174</v>
      </c>
      <c r="IQ71" s="319">
        <f>+SUM(CSX!ME23:MF23,CSX!LZ23:MA23)</f>
        <v>9456.5273624620677</v>
      </c>
      <c r="IR71" s="319">
        <f>+SUM(CSX!ME23:MG23,CSX!MA23)</f>
        <v>9536.2138222283174</v>
      </c>
      <c r="IS71" s="319">
        <f>+SUM(CSX!ME23:MH23)</f>
        <v>9598.3881669237981</v>
      </c>
      <c r="IT71" s="130">
        <f>+CSX!MI23</f>
        <v>9598.3881669237981</v>
      </c>
    </row>
    <row r="72" spans="1:254" x14ac:dyDescent="0.4">
      <c r="B72" s="377" t="s">
        <v>210</v>
      </c>
      <c r="C72" s="378">
        <f>AY72</f>
        <v>0</v>
      </c>
      <c r="D72" s="378">
        <f>BF72</f>
        <v>0</v>
      </c>
      <c r="E72" s="378">
        <f>BM72</f>
        <v>0</v>
      </c>
      <c r="F72" s="378">
        <f>BT72</f>
        <v>0</v>
      </c>
      <c r="G72" s="378">
        <f>CA72</f>
        <v>0</v>
      </c>
      <c r="H72" s="378">
        <f>CH72</f>
        <v>0</v>
      </c>
      <c r="I72" s="378">
        <f>CO72</f>
        <v>0.8217649110568539</v>
      </c>
      <c r="J72" s="378">
        <f>CV72</f>
        <v>0.77796362115826889</v>
      </c>
      <c r="K72" s="378">
        <f>DC72</f>
        <v>0.77467597208374872</v>
      </c>
      <c r="L72" s="378">
        <f>DJ72</f>
        <v>0.75424255886272773</v>
      </c>
      <c r="M72" s="378">
        <f>DQ72</f>
        <v>0.74825793606901891</v>
      </c>
      <c r="N72" s="378">
        <f>DX72</f>
        <v>0.70844302369311773</v>
      </c>
      <c r="O72" s="378">
        <f>EE72</f>
        <v>0.7089329813505918</v>
      </c>
      <c r="P72" s="378">
        <f>EL72</f>
        <v>0.7059373936713168</v>
      </c>
      <c r="Q72" s="378">
        <f>ES72</f>
        <v>0.70932161220766299</v>
      </c>
      <c r="R72" s="378">
        <f>EZ72</f>
        <v>0.71481569184623883</v>
      </c>
      <c r="S72" s="378">
        <f>FG72</f>
        <v>0.69655405977478624</v>
      </c>
      <c r="T72" s="378">
        <f>FN72</f>
        <v>0.69382961423796186</v>
      </c>
      <c r="U72" s="378">
        <f>FU72</f>
        <v>0.66532258064516125</v>
      </c>
      <c r="V72" s="378">
        <f>GB72</f>
        <v>0.60253061224489801</v>
      </c>
      <c r="W72" s="378">
        <f>GI72</f>
        <v>0.58406634832872584</v>
      </c>
      <c r="X72" s="378">
        <f>GP72</f>
        <v>0.58782953793820281</v>
      </c>
      <c r="Y72" s="378">
        <f>GW72</f>
        <v>0.58113719853058621</v>
      </c>
      <c r="Z72" s="378">
        <f>HD72</f>
        <v>0.6027065239345587</v>
      </c>
      <c r="AA72" s="378">
        <f>HK72</f>
        <v>0.62482090468718021</v>
      </c>
      <c r="AB72" s="378">
        <f>HR72</f>
        <v>0.63184319119669874</v>
      </c>
      <c r="AC72" s="378">
        <f>HY72</f>
        <v>0.66136815214305988</v>
      </c>
      <c r="AD72" s="378">
        <f>IF72</f>
        <v>0.63585919276690506</v>
      </c>
      <c r="AE72" s="378">
        <f>IM72</f>
        <v>0.61438472676937084</v>
      </c>
      <c r="AF72" s="378">
        <f>IT72</f>
        <v>0.6056286058743634</v>
      </c>
      <c r="AG72" s="379"/>
      <c r="AH72" s="379"/>
      <c r="AI72" s="379"/>
      <c r="AJ72" s="379"/>
      <c r="AK72" s="379"/>
      <c r="AL72" s="379"/>
      <c r="AM72" s="379"/>
      <c r="AN72" s="379"/>
      <c r="AO72" s="379"/>
      <c r="AP72" s="379"/>
      <c r="AQ72" s="379"/>
      <c r="AR72" s="379"/>
      <c r="AT72" s="377" t="s">
        <v>210</v>
      </c>
      <c r="AU72" s="378"/>
      <c r="AV72" s="378"/>
      <c r="AW72" s="378"/>
      <c r="AX72" s="378"/>
      <c r="AY72" s="378"/>
      <c r="BA72" s="377" t="s">
        <v>210</v>
      </c>
      <c r="BB72" s="378"/>
      <c r="BC72" s="378"/>
      <c r="BD72" s="378"/>
      <c r="BE72" s="378"/>
      <c r="BF72" s="378"/>
      <c r="BH72" s="377" t="s">
        <v>210</v>
      </c>
      <c r="BI72" s="378"/>
      <c r="BJ72" s="378"/>
      <c r="BK72" s="378"/>
      <c r="BL72" s="378"/>
      <c r="BM72" s="378"/>
      <c r="BO72" s="377" t="s">
        <v>210</v>
      </c>
      <c r="BP72" s="378"/>
      <c r="BQ72" s="378"/>
      <c r="BR72" s="378"/>
      <c r="BS72" s="378"/>
      <c r="BT72" s="378"/>
      <c r="BV72" s="377" t="s">
        <v>210</v>
      </c>
      <c r="BW72" s="378"/>
      <c r="BX72" s="378"/>
      <c r="BY72" s="378"/>
      <c r="BZ72" s="378"/>
      <c r="CA72" s="378"/>
      <c r="CC72" s="377" t="s">
        <v>210</v>
      </c>
      <c r="CD72" s="378"/>
      <c r="CE72" s="378"/>
      <c r="CF72" s="378"/>
      <c r="CG72" s="378"/>
      <c r="CH72" s="378"/>
      <c r="CJ72" s="377" t="s">
        <v>210</v>
      </c>
      <c r="CK72" s="378" t="s">
        <v>80</v>
      </c>
      <c r="CL72" s="378" t="s">
        <v>80</v>
      </c>
      <c r="CM72" s="378" t="s">
        <v>80</v>
      </c>
      <c r="CN72" s="378" t="s">
        <v>80</v>
      </c>
      <c r="CO72" s="378">
        <f>+CO71/CO69</f>
        <v>0.8217649110568539</v>
      </c>
      <c r="CQ72" s="377" t="s">
        <v>210</v>
      </c>
      <c r="CR72" s="378">
        <f>+CR71/CR69</f>
        <v>0.8336355394378967</v>
      </c>
      <c r="CS72" s="378">
        <f>+CS71/CS69</f>
        <v>0.79144678979771332</v>
      </c>
      <c r="CT72" s="378">
        <f>+CT71/CT69</f>
        <v>0.78347001810629457</v>
      </c>
      <c r="CU72" s="378">
        <f>+CU71/CU69</f>
        <v>0.77796362115826889</v>
      </c>
      <c r="CV72" s="378">
        <f>+CV71/CV69</f>
        <v>0.77796362115826889</v>
      </c>
      <c r="CX72" s="377" t="s">
        <v>210</v>
      </c>
      <c r="CY72" s="378">
        <f>+CY71/CY69</f>
        <v>0.79641710676193433</v>
      </c>
      <c r="CZ72" s="378">
        <f>+CZ71/CZ69</f>
        <v>0.78609461396682367</v>
      </c>
      <c r="DA72" s="378">
        <f>+DA71/DA69</f>
        <v>0.78089146106203677</v>
      </c>
      <c r="DB72" s="378">
        <f>+DB71/DB69</f>
        <v>0.77467597208374872</v>
      </c>
      <c r="DC72" s="378">
        <f>+DC71/DC69</f>
        <v>0.77467597208374872</v>
      </c>
      <c r="DE72" s="377" t="s">
        <v>210</v>
      </c>
      <c r="DF72" s="378">
        <f>+DF71/DF69</f>
        <v>0.82152892161612245</v>
      </c>
      <c r="DG72" s="378">
        <f>+DG71/DG69</f>
        <v>0.76593755842213496</v>
      </c>
      <c r="DH72" s="378">
        <f>+DH71/DH69</f>
        <v>0.75990320846029757</v>
      </c>
      <c r="DI72" s="378">
        <f>+DI71/DI69</f>
        <v>0.75424255886272773</v>
      </c>
      <c r="DJ72" s="378">
        <f>+DJ71/DJ69</f>
        <v>0.75424255886272773</v>
      </c>
      <c r="DL72" s="377" t="s">
        <v>210</v>
      </c>
      <c r="DM72" s="378">
        <f>+DM71/DM69</f>
        <v>0.64973584206135881</v>
      </c>
      <c r="DN72" s="378">
        <f>+DN71/DN69</f>
        <v>0.74927982517135194</v>
      </c>
      <c r="DO72" s="378">
        <f>+DO71/DO69</f>
        <v>0.74614156466205428</v>
      </c>
      <c r="DP72" s="378">
        <f>+DP71/DP69</f>
        <v>0.74825793606901891</v>
      </c>
      <c r="DQ72" s="378">
        <f>+DQ71/DQ69</f>
        <v>0.74825793606901891</v>
      </c>
      <c r="DS72" s="377" t="s">
        <v>210</v>
      </c>
      <c r="DT72" s="378">
        <f>+DT71/DT69</f>
        <v>0.78642972536348954</v>
      </c>
      <c r="DU72" s="378">
        <f>+DU71/DU69</f>
        <v>0.73297142271842675</v>
      </c>
      <c r="DV72" s="378">
        <f>+DV71/DV69</f>
        <v>0.72011834319526624</v>
      </c>
      <c r="DW72" s="378">
        <f>+DW71/DW69</f>
        <v>0.70844302369311773</v>
      </c>
      <c r="DX72" s="378">
        <f>+DX71/DX69</f>
        <v>0.70844302369311773</v>
      </c>
      <c r="DZ72" s="377" t="s">
        <v>210</v>
      </c>
      <c r="EA72" s="378">
        <f>+EA71/EA69</f>
        <v>0.74714742126882705</v>
      </c>
      <c r="EB72" s="378">
        <f>+EB71/EB69</f>
        <v>0.70205994164972152</v>
      </c>
      <c r="EC72" s="378">
        <f>+EC71/EC69</f>
        <v>0.70511716057891105</v>
      </c>
      <c r="ED72" s="378">
        <f>+ED71/ED69</f>
        <v>0.7089329813505918</v>
      </c>
      <c r="EE72" s="378">
        <f>+EE71/EE69</f>
        <v>0.7089329813505918</v>
      </c>
      <c r="EG72" s="377" t="s">
        <v>210</v>
      </c>
      <c r="EH72" s="378">
        <f>+EH71/EH69</f>
        <v>0.69997478779729394</v>
      </c>
      <c r="EI72" s="378">
        <f>+EI71/EI69</f>
        <v>0.70417087117389843</v>
      </c>
      <c r="EJ72" s="378">
        <f>+EJ71/EJ69</f>
        <v>0.7044743296963546</v>
      </c>
      <c r="EK72" s="378">
        <f>+EK71/EK69</f>
        <v>0.7059373936713168</v>
      </c>
      <c r="EL72" s="378">
        <f>+EL71/EL69</f>
        <v>0.7059373936713168</v>
      </c>
      <c r="EN72" s="377" t="s">
        <v>210</v>
      </c>
      <c r="EO72" s="378">
        <f>+EO71/EO69</f>
        <v>0.716207013959823</v>
      </c>
      <c r="EP72" s="378">
        <f>+EP71/EP69</f>
        <v>0.70385429902583652</v>
      </c>
      <c r="EQ72" s="378">
        <f>+EQ71/EQ69</f>
        <v>0.7064651553316541</v>
      </c>
      <c r="ER72" s="378">
        <f>+ER71/ER69</f>
        <v>0.70932161220766299</v>
      </c>
      <c r="ES72" s="378">
        <f>+ES71/ES69</f>
        <v>0.70932161220766299</v>
      </c>
      <c r="EU72" s="377" t="s">
        <v>210</v>
      </c>
      <c r="EV72" s="378">
        <f>+EV71/EV69</f>
        <v>0.74174372523117571</v>
      </c>
      <c r="EW72" s="378">
        <f>+EW71/EW69</f>
        <v>0.72304061202897374</v>
      </c>
      <c r="EX72" s="378">
        <f>+EX71/EX69</f>
        <v>0.71820289391638026</v>
      </c>
      <c r="EY72" s="378">
        <f>+EY71/EY69</f>
        <v>0.71481569184623883</v>
      </c>
      <c r="EZ72" s="378">
        <f>+EZ71/EZ69</f>
        <v>0.71481569184623883</v>
      </c>
      <c r="FB72" s="377" t="s">
        <v>210</v>
      </c>
      <c r="FC72" s="378">
        <f>+FC71/FC69</f>
        <v>0.67234310942920217</v>
      </c>
      <c r="FD72" s="378">
        <f>+FD71/FD69</f>
        <v>0.70113563659628919</v>
      </c>
      <c r="FE72" s="378">
        <f>+FE71/FE69</f>
        <v>0.69775814105711009</v>
      </c>
      <c r="FF72" s="378">
        <f>+FF71/FF69</f>
        <v>0.69655405977478624</v>
      </c>
      <c r="FG72" s="378">
        <f>+FG71/FG69</f>
        <v>0.69655405977478624</v>
      </c>
      <c r="FI72" s="377" t="s">
        <v>210</v>
      </c>
      <c r="FJ72" s="378">
        <f>+FJ71/FJ69</f>
        <v>0.66979477284686895</v>
      </c>
      <c r="FK72" s="378">
        <f>+FK71/FK69</f>
        <v>0.70403912334721974</v>
      </c>
      <c r="FL72" s="378">
        <f>+FL71/FL69</f>
        <v>0.70627947840562288</v>
      </c>
      <c r="FM72" s="378">
        <f>+FM71/FM69</f>
        <v>0.69382961423796186</v>
      </c>
      <c r="FN72" s="378">
        <f>+FN71/FN69</f>
        <v>0.69382961423796186</v>
      </c>
      <c r="FP72" s="377" t="s">
        <v>210</v>
      </c>
      <c r="FQ72" s="378">
        <f>+FQ71/FQ69</f>
        <v>0.68533568904593645</v>
      </c>
      <c r="FR72" s="378">
        <f>+FR71/FR69</f>
        <v>0.67131353363927615</v>
      </c>
      <c r="FS72" s="378">
        <f>+FS71/FS69</f>
        <v>0.66983249870488693</v>
      </c>
      <c r="FT72" s="378">
        <f>+FT71/FT69</f>
        <v>0.66532258064516125</v>
      </c>
      <c r="FU72" s="378">
        <f>+FU71/FU69</f>
        <v>0.66532258064516125</v>
      </c>
      <c r="FW72" s="377" t="s">
        <v>210</v>
      </c>
      <c r="FX72" s="378">
        <f>+FX71/FX69</f>
        <v>0.64406482698204115</v>
      </c>
      <c r="FY72" s="378">
        <f>+FY71/FY69</f>
        <v>0.63794889502762431</v>
      </c>
      <c r="FZ72" s="378">
        <f>+FZ71/FZ69</f>
        <v>0.61420217209690897</v>
      </c>
      <c r="GA72" s="378">
        <f>+GA71/GA69</f>
        <v>0.60253061224489801</v>
      </c>
      <c r="GB72" s="378">
        <f>+GB71/GB69</f>
        <v>0.60253061224489801</v>
      </c>
      <c r="GD72" s="377" t="s">
        <v>210</v>
      </c>
      <c r="GE72" s="378">
        <f>+GE71/GE69</f>
        <v>0.57600710422216839</v>
      </c>
      <c r="GF72" s="378">
        <f>+GF71/GF69</f>
        <v>0.58966466871861334</v>
      </c>
      <c r="GG72" s="378">
        <f>+GG71/GG69</f>
        <v>0.58507585075850754</v>
      </c>
      <c r="GH72" s="378">
        <f>+GH71/GH69</f>
        <v>0.58406634832872584</v>
      </c>
      <c r="GI72" s="378">
        <f>+GI71/GI69</f>
        <v>0.58406634832872584</v>
      </c>
      <c r="GK72" s="377" t="s">
        <v>210</v>
      </c>
      <c r="GL72" s="378">
        <f>+GL71/GL69</f>
        <v>0.53841582477290095</v>
      </c>
      <c r="GM72" s="378">
        <f>+GM71/GM69</f>
        <v>0.59473252528934661</v>
      </c>
      <c r="GN72" s="378">
        <f>+GN71/GN69</f>
        <v>0.59588461899840273</v>
      </c>
      <c r="GO72" s="378">
        <f>+GO71/GO69</f>
        <v>0.58782953793820281</v>
      </c>
      <c r="GP72" s="378">
        <f>+GP71/GP69</f>
        <v>0.58782953793820281</v>
      </c>
      <c r="GR72" s="377" t="s">
        <v>210</v>
      </c>
      <c r="GS72" s="378">
        <f>+GS71/GS69</f>
        <v>0.64756664453087942</v>
      </c>
      <c r="GT72" s="378">
        <f>+GT71/GT69</f>
        <v>0.57440581766583898</v>
      </c>
      <c r="GU72" s="378">
        <f>+GU71/GU69</f>
        <v>0.57265100671140945</v>
      </c>
      <c r="GV72" s="378">
        <f>+GV71/GV69</f>
        <v>0.58113719853058621</v>
      </c>
      <c r="GW72" s="378">
        <f>+GW71/GW69</f>
        <v>0.58113719853058621</v>
      </c>
      <c r="GY72" s="377" t="s">
        <v>210</v>
      </c>
      <c r="GZ72" s="378">
        <f>+GZ71/GZ69</f>
        <v>0.6662094192958391</v>
      </c>
      <c r="HA72" s="378">
        <f>+HA71/HA69</f>
        <v>0.59381945938194591</v>
      </c>
      <c r="HB72" s="378">
        <f>+HB71/HB69</f>
        <v>0.60082474226804128</v>
      </c>
      <c r="HC72" s="378">
        <f>+HC71/HC69</f>
        <v>0.6027065239345587</v>
      </c>
      <c r="HD72" s="378">
        <f>+HD71/HD69</f>
        <v>0.6027065239345587</v>
      </c>
      <c r="HF72" s="377" t="s">
        <v>210</v>
      </c>
      <c r="HG72" s="378">
        <f>+HG71/HG69</f>
        <v>0.59844183282714913</v>
      </c>
      <c r="HH72" s="378">
        <f>+HH71/HH69</f>
        <v>0.60405854956753158</v>
      </c>
      <c r="HI72" s="378">
        <f>+HI71/HI69</f>
        <v>0.61630516080777864</v>
      </c>
      <c r="HJ72" s="378">
        <f>+HJ71/HJ69</f>
        <v>0.62482090468718021</v>
      </c>
      <c r="HK72" s="378">
        <f>+HK71/HK69</f>
        <v>0.62482090468718021</v>
      </c>
      <c r="HM72" s="377" t="s">
        <v>210</v>
      </c>
      <c r="HN72" s="378">
        <f>+HN71/HN69</f>
        <v>0.63060415527610714</v>
      </c>
      <c r="HO72" s="378">
        <f>+HO71/HO69</f>
        <v>0.63297799644663111</v>
      </c>
      <c r="HP72" s="378">
        <f>+HP71/HP69</f>
        <v>0.62849942102036649</v>
      </c>
      <c r="HQ72" s="378">
        <f>+HQ71/HQ69</f>
        <v>0.63184319119669874</v>
      </c>
      <c r="HR72" s="378">
        <f>+HR71/HR69</f>
        <v>0.63184319119669874</v>
      </c>
      <c r="HT72" s="377" t="s">
        <v>210</v>
      </c>
      <c r="HU72" s="378">
        <f>+HU71/HU69</f>
        <v>0.65109928581431176</v>
      </c>
      <c r="HV72" s="378">
        <f>+HV71/HV69</f>
        <v>0.65439773931472978</v>
      </c>
      <c r="HW72" s="378">
        <f>+HW71/HW69</f>
        <v>0.65842951214331236</v>
      </c>
      <c r="HX72" s="378">
        <f>+HX71/HX69</f>
        <v>0.66136815214305988</v>
      </c>
      <c r="HY72" s="378">
        <f>+HY71/HY69</f>
        <v>0.66136815214305988</v>
      </c>
      <c r="IA72" s="377" t="s">
        <v>210</v>
      </c>
      <c r="IB72" s="378">
        <f>+IB71/IB69</f>
        <v>0.65140019279829842</v>
      </c>
      <c r="IC72" s="378">
        <f>+IC71/IC69</f>
        <v>0.64884107192506957</v>
      </c>
      <c r="ID72" s="378">
        <f>+ID71/ID69</f>
        <v>0.64325923567585053</v>
      </c>
      <c r="IE72" s="378">
        <f>+IE71/IE69</f>
        <v>0.63585919276690472</v>
      </c>
      <c r="IF72" s="378">
        <f>+IF71/IF69</f>
        <v>0.63585919276690506</v>
      </c>
      <c r="IH72" s="377" t="s">
        <v>210</v>
      </c>
      <c r="II72" s="378">
        <f>+II71/II69</f>
        <v>0.63440009116074481</v>
      </c>
      <c r="IJ72" s="378">
        <f>+IJ71/IJ69</f>
        <v>0.62548496716197544</v>
      </c>
      <c r="IK72" s="378">
        <f>+IK71/IK69</f>
        <v>0.61981010841679596</v>
      </c>
      <c r="IL72" s="378">
        <f>+IL71/IL69</f>
        <v>0.61438472676937084</v>
      </c>
      <c r="IM72" s="378">
        <f>+IM71/IM69</f>
        <v>0.61438472676937084</v>
      </c>
      <c r="IO72" s="377" t="s">
        <v>210</v>
      </c>
      <c r="IP72" s="378">
        <f>+IP71/IP69</f>
        <v>0.62150900196771375</v>
      </c>
      <c r="IQ72" s="378">
        <f>+IQ71/IQ69</f>
        <v>0.60962902548116937</v>
      </c>
      <c r="IR72" s="378">
        <f>+IR71/IR69</f>
        <v>0.60809804501948295</v>
      </c>
      <c r="IS72" s="378">
        <f>+IS71/IS69</f>
        <v>0.60562860587436351</v>
      </c>
      <c r="IT72" s="378">
        <f>+IT71/IT69</f>
        <v>0.6056286058743634</v>
      </c>
    </row>
    <row r="73" spans="1:254" x14ac:dyDescent="0.4">
      <c r="B73" s="318"/>
      <c r="C73" s="319"/>
      <c r="D73" s="319"/>
      <c r="E73" s="319"/>
      <c r="F73" s="319"/>
      <c r="G73" s="319"/>
      <c r="H73" s="319"/>
      <c r="I73" s="319"/>
      <c r="J73" s="319"/>
      <c r="K73" s="319"/>
      <c r="L73" s="319"/>
      <c r="M73" s="319"/>
      <c r="N73" s="319"/>
      <c r="O73" s="319"/>
      <c r="P73" s="319"/>
      <c r="Q73" s="319"/>
      <c r="R73" s="319"/>
      <c r="S73" s="319"/>
      <c r="T73" s="319"/>
      <c r="U73" s="319"/>
      <c r="V73" s="319"/>
      <c r="W73" s="319"/>
      <c r="X73" s="319"/>
      <c r="Y73" s="319"/>
      <c r="Z73" s="319"/>
      <c r="AA73" s="319"/>
      <c r="AB73" s="130"/>
      <c r="AC73" s="130"/>
      <c r="AD73" s="130"/>
      <c r="AE73" s="130"/>
      <c r="AF73" s="130"/>
      <c r="AG73" s="376"/>
      <c r="AH73" s="376"/>
      <c r="AI73" s="376"/>
      <c r="AJ73" s="376"/>
      <c r="AK73" s="376"/>
      <c r="AL73" s="376"/>
      <c r="AM73" s="376"/>
      <c r="AN73" s="376"/>
      <c r="AO73" s="376"/>
      <c r="AP73" s="376"/>
      <c r="AQ73" s="376"/>
      <c r="AR73" s="376"/>
      <c r="AT73" s="318"/>
      <c r="AU73" s="319"/>
      <c r="AV73" s="319"/>
      <c r="AW73" s="319"/>
      <c r="AX73" s="319"/>
      <c r="AY73" s="319"/>
      <c r="BA73" s="318"/>
      <c r="BB73" s="319"/>
      <c r="BC73" s="319"/>
      <c r="BD73" s="319"/>
      <c r="BE73" s="319"/>
      <c r="BF73" s="319"/>
      <c r="BH73" s="318"/>
      <c r="BI73" s="319"/>
      <c r="BJ73" s="319"/>
      <c r="BK73" s="319"/>
      <c r="BL73" s="319"/>
      <c r="BM73" s="319"/>
      <c r="BO73" s="318"/>
      <c r="BP73" s="319"/>
      <c r="BQ73" s="319"/>
      <c r="BR73" s="319"/>
      <c r="BS73" s="319"/>
      <c r="BT73" s="319"/>
      <c r="BV73" s="318"/>
      <c r="BW73" s="319"/>
      <c r="BX73" s="319"/>
      <c r="BY73" s="319"/>
      <c r="BZ73" s="319"/>
      <c r="CA73" s="319"/>
      <c r="CC73" s="318"/>
      <c r="CD73" s="319"/>
      <c r="CE73" s="319"/>
      <c r="CF73" s="319"/>
      <c r="CG73" s="319"/>
      <c r="CH73" s="319"/>
      <c r="CJ73" s="318"/>
      <c r="CK73" s="319"/>
      <c r="CL73" s="319"/>
      <c r="CM73" s="319"/>
      <c r="CN73" s="319"/>
      <c r="CO73" s="319"/>
      <c r="CQ73" s="318"/>
      <c r="CR73" s="319"/>
      <c r="CS73" s="319"/>
      <c r="CT73" s="319"/>
      <c r="CU73" s="319"/>
      <c r="CV73" s="319"/>
      <c r="CX73" s="318"/>
      <c r="CY73" s="319"/>
      <c r="CZ73" s="319"/>
      <c r="DA73" s="319"/>
      <c r="DB73" s="319"/>
      <c r="DC73" s="319"/>
      <c r="DE73" s="318"/>
      <c r="DF73" s="319"/>
      <c r="DG73" s="319"/>
      <c r="DH73" s="319"/>
      <c r="DI73" s="319"/>
      <c r="DJ73" s="319"/>
      <c r="DL73" s="318"/>
      <c r="DM73" s="319"/>
      <c r="DN73" s="319"/>
      <c r="DO73" s="319"/>
      <c r="DP73" s="319"/>
      <c r="DQ73" s="319"/>
      <c r="DS73" s="318"/>
      <c r="DT73" s="319"/>
      <c r="DU73" s="319"/>
      <c r="DV73" s="319"/>
      <c r="DW73" s="319"/>
      <c r="DX73" s="319"/>
      <c r="DZ73" s="318"/>
      <c r="EA73" s="319"/>
      <c r="EB73" s="319"/>
      <c r="EC73" s="319"/>
      <c r="ED73" s="319"/>
      <c r="EE73" s="319"/>
      <c r="EG73" s="318"/>
      <c r="EH73" s="319"/>
      <c r="EI73" s="319"/>
      <c r="EJ73" s="319"/>
      <c r="EK73" s="319"/>
      <c r="EL73" s="319"/>
      <c r="EN73" s="318"/>
      <c r="EO73" s="319"/>
      <c r="EP73" s="319"/>
      <c r="EQ73" s="319"/>
      <c r="ER73" s="319"/>
      <c r="ES73" s="319"/>
      <c r="EU73" s="318"/>
      <c r="EV73" s="319"/>
      <c r="EW73" s="319"/>
      <c r="EX73" s="319"/>
      <c r="EY73" s="319"/>
      <c r="EZ73" s="319"/>
      <c r="FB73" s="318"/>
      <c r="FC73" s="319"/>
      <c r="FD73" s="319"/>
      <c r="FE73" s="319"/>
      <c r="FF73" s="319"/>
      <c r="FG73" s="319"/>
      <c r="FI73" s="318"/>
      <c r="FJ73" s="319"/>
      <c r="FK73" s="319"/>
      <c r="FL73" s="319"/>
      <c r="FM73" s="319"/>
      <c r="FN73" s="319"/>
      <c r="FP73" s="318"/>
      <c r="FQ73" s="319"/>
      <c r="FR73" s="319"/>
      <c r="FS73" s="319"/>
      <c r="FT73" s="319"/>
      <c r="FU73" s="319"/>
      <c r="FW73" s="318"/>
      <c r="FX73" s="319"/>
      <c r="FY73" s="319"/>
      <c r="FZ73" s="319"/>
      <c r="GA73" s="319"/>
      <c r="GB73" s="319"/>
      <c r="GD73" s="318"/>
      <c r="GE73" s="319"/>
      <c r="GF73" s="319"/>
      <c r="GG73" s="319"/>
      <c r="GH73" s="319"/>
      <c r="GI73" s="319"/>
      <c r="GK73" s="318"/>
      <c r="GL73" s="319"/>
      <c r="GM73" s="319"/>
      <c r="GN73" s="319"/>
      <c r="GO73" s="319"/>
      <c r="GP73" s="319"/>
      <c r="GR73" s="318"/>
      <c r="GS73" s="319"/>
      <c r="GT73" s="319"/>
      <c r="GU73" s="319"/>
      <c r="GV73" s="319"/>
      <c r="GW73" s="319"/>
      <c r="GY73" s="318"/>
      <c r="GZ73" s="319"/>
      <c r="HA73" s="319"/>
      <c r="HB73" s="319"/>
      <c r="HC73" s="319"/>
      <c r="HD73" s="319"/>
      <c r="HF73" s="318"/>
      <c r="HG73" s="319"/>
      <c r="HH73" s="319"/>
      <c r="HI73" s="319"/>
      <c r="HJ73" s="319"/>
      <c r="HK73" s="319"/>
      <c r="HM73" s="318"/>
      <c r="HN73" s="319"/>
      <c r="HO73" s="319"/>
      <c r="HP73" s="319"/>
      <c r="HQ73" s="319"/>
      <c r="HR73" s="319"/>
      <c r="HT73" s="318"/>
      <c r="HU73" s="319"/>
      <c r="HV73" s="319"/>
      <c r="HW73" s="319"/>
      <c r="HX73" s="319"/>
      <c r="HY73" s="130"/>
      <c r="IA73" s="318"/>
      <c r="IB73" s="319"/>
      <c r="IC73" s="319"/>
      <c r="ID73" s="319"/>
      <c r="IE73" s="319"/>
      <c r="IF73" s="130"/>
      <c r="IH73" s="318"/>
      <c r="II73" s="319"/>
      <c r="IJ73" s="319"/>
      <c r="IK73" s="319"/>
      <c r="IL73" s="319"/>
      <c r="IM73" s="130"/>
      <c r="IO73" s="318"/>
      <c r="IP73" s="319"/>
      <c r="IQ73" s="319"/>
      <c r="IR73" s="319"/>
      <c r="IS73" s="319"/>
      <c r="IT73" s="130"/>
    </row>
    <row r="74" spans="1:254" ht="14.25" thickBot="1" x14ac:dyDescent="0.45">
      <c r="B74" s="380" t="s">
        <v>219</v>
      </c>
      <c r="C74" s="381">
        <f>AY74</f>
        <v>0</v>
      </c>
      <c r="D74" s="381">
        <f>BF74</f>
        <v>0</v>
      </c>
      <c r="E74" s="381">
        <f>BM74</f>
        <v>0</v>
      </c>
      <c r="F74" s="381">
        <f>BT74</f>
        <v>0</v>
      </c>
      <c r="G74" s="381">
        <f>CA74</f>
        <v>0</v>
      </c>
      <c r="H74" s="381">
        <f>CH74</f>
        <v>0</v>
      </c>
      <c r="I74" s="381">
        <f>CO74</f>
        <v>1533</v>
      </c>
      <c r="J74" s="381">
        <f>CV74</f>
        <v>2124</v>
      </c>
      <c r="K74" s="381">
        <f>DC74</f>
        <v>2260</v>
      </c>
      <c r="L74" s="381">
        <f>DJ74</f>
        <v>2766</v>
      </c>
      <c r="M74" s="381">
        <f>DQ74</f>
        <v>2276</v>
      </c>
      <c r="N74" s="381">
        <f>DX74</f>
        <v>3101</v>
      </c>
      <c r="O74" s="381">
        <f>EE74</f>
        <v>3418</v>
      </c>
      <c r="P74" s="381">
        <f>EL74</f>
        <v>3457</v>
      </c>
      <c r="Q74" s="381">
        <f>ES74</f>
        <v>3505</v>
      </c>
      <c r="R74" s="381">
        <f>EZ74</f>
        <v>3613</v>
      </c>
      <c r="S74" s="381">
        <f>FG74</f>
        <v>3584</v>
      </c>
      <c r="T74" s="381">
        <f>FN74</f>
        <v>3389</v>
      </c>
      <c r="U74" s="381">
        <f>FU74</f>
        <v>3818</v>
      </c>
      <c r="V74" s="381">
        <f>GB74</f>
        <v>4869</v>
      </c>
      <c r="W74" s="381">
        <f>GI74</f>
        <v>4965</v>
      </c>
      <c r="X74" s="381">
        <f>GP74</f>
        <v>4362</v>
      </c>
      <c r="Y74" s="381">
        <f>GW74</f>
        <v>5245</v>
      </c>
      <c r="Z74" s="381">
        <f>HD74</f>
        <v>5901</v>
      </c>
      <c r="AA74" s="381">
        <f>HK74</f>
        <v>5499</v>
      </c>
      <c r="AB74" s="381">
        <f>HR74</f>
        <v>5353</v>
      </c>
      <c r="AC74" s="381">
        <f>HY74</f>
        <v>4772</v>
      </c>
      <c r="AD74" s="381">
        <f>IF74</f>
        <v>5278.1464521169491</v>
      </c>
      <c r="AE74" s="381">
        <f>IM74</f>
        <v>5853.9891611633975</v>
      </c>
      <c r="AF74" s="381">
        <f>IT74</f>
        <v>6250.2492221016582</v>
      </c>
      <c r="AG74" s="382"/>
      <c r="AH74" s="382"/>
      <c r="AI74" s="382"/>
      <c r="AJ74" s="382"/>
      <c r="AK74" s="382"/>
      <c r="AL74" s="382"/>
      <c r="AM74" s="382"/>
      <c r="AN74" s="382"/>
      <c r="AO74" s="382"/>
      <c r="AP74" s="382"/>
      <c r="AQ74" s="382"/>
      <c r="AR74" s="382"/>
      <c r="AT74" s="380" t="s">
        <v>219</v>
      </c>
      <c r="AU74" s="381"/>
      <c r="AV74" s="381"/>
      <c r="AW74" s="381"/>
      <c r="AX74" s="381"/>
      <c r="AY74" s="381"/>
      <c r="BA74" s="380" t="s">
        <v>219</v>
      </c>
      <c r="BB74" s="381"/>
      <c r="BC74" s="381"/>
      <c r="BD74" s="381"/>
      <c r="BE74" s="381"/>
      <c r="BF74" s="381"/>
      <c r="BH74" s="380" t="s">
        <v>219</v>
      </c>
      <c r="BI74" s="381"/>
      <c r="BJ74" s="381"/>
      <c r="BK74" s="381"/>
      <c r="BL74" s="381"/>
      <c r="BM74" s="381"/>
      <c r="BO74" s="380" t="s">
        <v>219</v>
      </c>
      <c r="BP74" s="381"/>
      <c r="BQ74" s="381"/>
      <c r="BR74" s="381"/>
      <c r="BS74" s="381"/>
      <c r="BT74" s="381"/>
      <c r="BV74" s="380" t="s">
        <v>219</v>
      </c>
      <c r="BW74" s="381"/>
      <c r="BX74" s="381"/>
      <c r="BY74" s="381"/>
      <c r="BZ74" s="381"/>
      <c r="CA74" s="381"/>
      <c r="CC74" s="380" t="s">
        <v>219</v>
      </c>
      <c r="CD74" s="381"/>
      <c r="CE74" s="381"/>
      <c r="CF74" s="381"/>
      <c r="CG74" s="381"/>
      <c r="CH74" s="381"/>
      <c r="CJ74" s="380" t="s">
        <v>219</v>
      </c>
      <c r="CK74" s="381" t="s">
        <v>80</v>
      </c>
      <c r="CL74" s="381" t="s">
        <v>80</v>
      </c>
      <c r="CM74" s="381" t="s">
        <v>80</v>
      </c>
      <c r="CN74" s="381" t="s">
        <v>80</v>
      </c>
      <c r="CO74" s="381">
        <f>+CO69-CO71</f>
        <v>1533</v>
      </c>
      <c r="CQ74" s="380" t="s">
        <v>219</v>
      </c>
      <c r="CR74" s="381">
        <f>+CR69-CR71</f>
        <v>1468</v>
      </c>
      <c r="CS74" s="381">
        <f>+CS69-CS71</f>
        <v>1897</v>
      </c>
      <c r="CT74" s="381">
        <f>+CT69-CT71</f>
        <v>2033</v>
      </c>
      <c r="CU74" s="381">
        <f>+CU69-CU71</f>
        <v>2124</v>
      </c>
      <c r="CV74" s="381">
        <f>+CV69-CV71</f>
        <v>2124</v>
      </c>
      <c r="CX74" s="380" t="s">
        <v>219</v>
      </c>
      <c r="CY74" s="381">
        <f>+CY69-CY71</f>
        <v>1966</v>
      </c>
      <c r="CZ74" s="381">
        <f>+CZ69-CZ71</f>
        <v>2089</v>
      </c>
      <c r="DA74" s="381">
        <f>+DA69-DA71</f>
        <v>2158</v>
      </c>
      <c r="DB74" s="381">
        <f>+DB69-DB71</f>
        <v>2260</v>
      </c>
      <c r="DC74" s="381">
        <f>+DC69-DC71</f>
        <v>2260</v>
      </c>
      <c r="DE74" s="380" t="s">
        <v>219</v>
      </c>
      <c r="DF74" s="381">
        <f>+DF69-DF71</f>
        <v>1842</v>
      </c>
      <c r="DG74" s="381">
        <f>+DG69-DG71</f>
        <v>2504</v>
      </c>
      <c r="DH74" s="381">
        <f>+DH69-DH71</f>
        <v>2679</v>
      </c>
      <c r="DI74" s="381">
        <f>+DI69-DI71</f>
        <v>2766</v>
      </c>
      <c r="DJ74" s="381">
        <f>+DJ69-DJ71</f>
        <v>2766</v>
      </c>
      <c r="DL74" s="380" t="s">
        <v>219</v>
      </c>
      <c r="DM74" s="381">
        <f>+DM69-DM71</f>
        <v>3779</v>
      </c>
      <c r="DN74" s="381">
        <f>+DN69-DN71</f>
        <v>2524</v>
      </c>
      <c r="DO74" s="381">
        <f>+DO69-DO71</f>
        <v>2385</v>
      </c>
      <c r="DP74" s="381">
        <f>+DP69-DP71</f>
        <v>2276</v>
      </c>
      <c r="DQ74" s="381">
        <f>+DQ69-DQ71</f>
        <v>2276</v>
      </c>
      <c r="DS74" s="380" t="s">
        <v>219</v>
      </c>
      <c r="DT74" s="381">
        <f>+DT69-DT71</f>
        <v>1983</v>
      </c>
      <c r="DU74" s="381">
        <f>+DU69-DU71</f>
        <v>2607</v>
      </c>
      <c r="DV74" s="381">
        <f>+DV69-DV71</f>
        <v>2838</v>
      </c>
      <c r="DW74" s="381">
        <f>+DW69-DW71</f>
        <v>3101</v>
      </c>
      <c r="DX74" s="381">
        <f>+DX69-DX71</f>
        <v>3101</v>
      </c>
      <c r="DZ74" s="380" t="s">
        <v>219</v>
      </c>
      <c r="EA74" s="381">
        <f>+EA69-EA71</f>
        <v>2770</v>
      </c>
      <c r="EB74" s="381">
        <f>+EB69-EB71</f>
        <v>3370</v>
      </c>
      <c r="EC74" s="381">
        <f>+EC69-EC71</f>
        <v>3423</v>
      </c>
      <c r="ED74" s="381">
        <f>+ED69-ED71</f>
        <v>3418</v>
      </c>
      <c r="EE74" s="381">
        <f>+EE69-EE71</f>
        <v>3418</v>
      </c>
      <c r="EG74" s="380" t="s">
        <v>219</v>
      </c>
      <c r="EH74" s="381">
        <f>+EH69-EH71</f>
        <v>3570</v>
      </c>
      <c r="EI74" s="381">
        <f>+EI69-EI71</f>
        <v>3518</v>
      </c>
      <c r="EJ74" s="381">
        <f>+EJ69-EJ71</f>
        <v>3494</v>
      </c>
      <c r="EK74" s="381">
        <f>+EK69-EK71</f>
        <v>3457</v>
      </c>
      <c r="EL74" s="381">
        <f>+EL69-EL71</f>
        <v>3457</v>
      </c>
      <c r="EN74" s="380" t="s">
        <v>219</v>
      </c>
      <c r="EO74" s="381">
        <f>+EO69-EO71</f>
        <v>3334</v>
      </c>
      <c r="EP74" s="381">
        <f>+EP69-EP71</f>
        <v>3496</v>
      </c>
      <c r="EQ74" s="381">
        <f>+EQ69-EQ71</f>
        <v>3496</v>
      </c>
      <c r="ER74" s="381">
        <f>+ER69-ER71</f>
        <v>3505</v>
      </c>
      <c r="ES74" s="381">
        <f>+ES69-ES71</f>
        <v>3505</v>
      </c>
      <c r="EU74" s="380" t="s">
        <v>219</v>
      </c>
      <c r="EV74" s="381">
        <f>+EV69-EV71</f>
        <v>3128</v>
      </c>
      <c r="EW74" s="381">
        <f>+EW69-EW71</f>
        <v>3403</v>
      </c>
      <c r="EX74" s="381">
        <f>+EX69-EX71</f>
        <v>3525</v>
      </c>
      <c r="EY74" s="381">
        <f>+EY69-EY71</f>
        <v>3613</v>
      </c>
      <c r="EZ74" s="381">
        <f>+EZ69-EZ71</f>
        <v>3613</v>
      </c>
      <c r="FB74" s="380" t="s">
        <v>219</v>
      </c>
      <c r="FC74" s="381">
        <f>+FC69-FC71</f>
        <v>4156</v>
      </c>
      <c r="FD74" s="381">
        <f>+FD69-FD71</f>
        <v>3737</v>
      </c>
      <c r="FE74" s="381">
        <f>+FE69-FE71</f>
        <v>3694</v>
      </c>
      <c r="FF74" s="381">
        <f>+FF69-FF71</f>
        <v>3584</v>
      </c>
      <c r="FG74" s="381">
        <f>+FG69-FG71</f>
        <v>3584</v>
      </c>
      <c r="FI74" s="380" t="s">
        <v>219</v>
      </c>
      <c r="FJ74" s="381">
        <f>+FJ69-FJ71</f>
        <v>3765</v>
      </c>
      <c r="FK74" s="381">
        <f>+FK69-FK71</f>
        <v>3268</v>
      </c>
      <c r="FL74" s="381">
        <f>+FL69-FL71</f>
        <v>3176</v>
      </c>
      <c r="FM74" s="381">
        <f>+FM69-FM71</f>
        <v>3389</v>
      </c>
      <c r="FN74" s="381">
        <f>+FN69-FN71</f>
        <v>3389</v>
      </c>
      <c r="FP74" s="380" t="s">
        <v>219</v>
      </c>
      <c r="FQ74" s="381">
        <f>+FQ69-FQ71</f>
        <v>3562</v>
      </c>
      <c r="FR74" s="381">
        <f>+FR69-FR71</f>
        <v>3796</v>
      </c>
      <c r="FS74" s="381">
        <f>+FS69-FS71</f>
        <v>3824</v>
      </c>
      <c r="FT74" s="381">
        <f>+FT69-FT71</f>
        <v>3818</v>
      </c>
      <c r="FU74" s="381">
        <f>+FU69-FU71</f>
        <v>3818</v>
      </c>
      <c r="FW74" s="380" t="s">
        <v>219</v>
      </c>
      <c r="FX74" s="381">
        <f>+FX69-FX71</f>
        <v>4063</v>
      </c>
      <c r="FY74" s="381">
        <f>+FY69-FY71</f>
        <v>4194</v>
      </c>
      <c r="FZ74" s="381">
        <f>+FZ69-FZ71</f>
        <v>4618</v>
      </c>
      <c r="GA74" s="381">
        <f>+GA69-GA71</f>
        <v>4869</v>
      </c>
      <c r="GB74" s="381">
        <f>+GB69-GB71</f>
        <v>4869</v>
      </c>
      <c r="GD74" s="380" t="s">
        <v>219</v>
      </c>
      <c r="GE74" s="381">
        <f>+GE69-GE71</f>
        <v>5252</v>
      </c>
      <c r="GF74" s="381">
        <f>+GF69-GF71</f>
        <v>5066</v>
      </c>
      <c r="GG74" s="381">
        <f>+GG69-GG71</f>
        <v>5060</v>
      </c>
      <c r="GH74" s="381">
        <f>+GH69-GH71</f>
        <v>4965</v>
      </c>
      <c r="GI74" s="381">
        <f>+GI69-GI71</f>
        <v>4965</v>
      </c>
      <c r="GK74" s="380" t="s">
        <v>219</v>
      </c>
      <c r="GL74" s="381">
        <f>+GL69-GL71</f>
        <v>5437</v>
      </c>
      <c r="GM74" s="381">
        <f>+GM69-GM71</f>
        <v>4447</v>
      </c>
      <c r="GN74" s="381">
        <f>+GN69-GN71</f>
        <v>4301</v>
      </c>
      <c r="GO74" s="381">
        <f>+GO69-GO71</f>
        <v>4362</v>
      </c>
      <c r="GP74" s="381">
        <f>+GP69-GP71</f>
        <v>4362</v>
      </c>
      <c r="GR74" s="380" t="s">
        <v>219</v>
      </c>
      <c r="GS74" s="381">
        <f>+GS69-GS71</f>
        <v>3715</v>
      </c>
      <c r="GT74" s="381">
        <f>+GT69-GT71</f>
        <v>4799</v>
      </c>
      <c r="GU74" s="381">
        <f>+GU69-GU71</f>
        <v>5094</v>
      </c>
      <c r="GV74" s="381">
        <f>+GV69-GV71</f>
        <v>5245</v>
      </c>
      <c r="GW74" s="381">
        <f>+GW69-GW71</f>
        <v>5245</v>
      </c>
      <c r="GY74" s="380" t="s">
        <v>219</v>
      </c>
      <c r="GZ74" s="381">
        <f>+GZ69-GZ71</f>
        <v>4380</v>
      </c>
      <c r="HA74" s="381">
        <f>+HA69-HA71</f>
        <v>5665</v>
      </c>
      <c r="HB74" s="381">
        <f>+HB69-HB71</f>
        <v>5808</v>
      </c>
      <c r="HC74" s="381">
        <f>+HC69-HC71</f>
        <v>5901</v>
      </c>
      <c r="HD74" s="381">
        <f>+HD69-HD71</f>
        <v>5901</v>
      </c>
      <c r="HF74" s="380" t="s">
        <v>219</v>
      </c>
      <c r="HG74" s="381">
        <f>+HG69-HG71</f>
        <v>6082</v>
      </c>
      <c r="HH74" s="381">
        <f>+HH69-HH71</f>
        <v>5951</v>
      </c>
      <c r="HI74" s="381">
        <f>+HI69-HI71</f>
        <v>5643</v>
      </c>
      <c r="HJ74" s="381">
        <f>+HJ69-HJ71</f>
        <v>5499</v>
      </c>
      <c r="HK74" s="381">
        <f>+HK69-HK71</f>
        <v>5499</v>
      </c>
      <c r="HM74" s="380" t="s">
        <v>219</v>
      </c>
      <c r="HN74" s="381">
        <f>+HN69-HN71</f>
        <v>5405</v>
      </c>
      <c r="HO74" s="381">
        <f>+HO69-HO71</f>
        <v>5371</v>
      </c>
      <c r="HP74" s="381">
        <f>+HP69-HP71</f>
        <v>5454</v>
      </c>
      <c r="HQ74" s="381">
        <f>+HQ69-HQ71</f>
        <v>5353</v>
      </c>
      <c r="HR74" s="381">
        <f>+HR69-HR71</f>
        <v>5353</v>
      </c>
      <c r="HT74" s="380" t="s">
        <v>219</v>
      </c>
      <c r="HU74" s="381">
        <f>+HU69-HU71</f>
        <v>4983</v>
      </c>
      <c r="HV74" s="381">
        <f>+HV69-HV71</f>
        <v>4892</v>
      </c>
      <c r="HW74" s="381">
        <f>+HW69-HW71</f>
        <v>4824</v>
      </c>
      <c r="HX74" s="381">
        <f>+HX69-HX71</f>
        <v>4772</v>
      </c>
      <c r="HY74" s="381">
        <f>+HY69-HY71</f>
        <v>4772</v>
      </c>
      <c r="IA74" s="380" t="s">
        <v>219</v>
      </c>
      <c r="IB74" s="381">
        <f>+IB69-IB71</f>
        <v>4925.6516301502434</v>
      </c>
      <c r="IC74" s="381">
        <f>+IC69-IC71</f>
        <v>4983.544740579111</v>
      </c>
      <c r="ID74" s="381">
        <f>+ID69-ID71</f>
        <v>5104.4757051502438</v>
      </c>
      <c r="IE74" s="381">
        <f>+IE69-IE71</f>
        <v>5278.1464521169546</v>
      </c>
      <c r="IF74" s="381">
        <f>+IF69-IF71</f>
        <v>5278.1464521169491</v>
      </c>
      <c r="IH74" s="380" t="s">
        <v>219</v>
      </c>
      <c r="II74" s="381">
        <f>+II69-II71</f>
        <v>5360.5036197687332</v>
      </c>
      <c r="IJ74" s="381">
        <f>+IJ69-IJ71</f>
        <v>5556.0337703906789</v>
      </c>
      <c r="IK74" s="381">
        <f>+IK69-IK71</f>
        <v>5705.6438927449835</v>
      </c>
      <c r="IL74" s="381">
        <f>+IL69-IL71</f>
        <v>5853.9891611633975</v>
      </c>
      <c r="IM74" s="381">
        <f>+IM69-IM71</f>
        <v>5853.9891611633975</v>
      </c>
      <c r="IO74" s="380" t="s">
        <v>219</v>
      </c>
      <c r="IP74" s="381">
        <f>+IP69-IP71</f>
        <v>5807.4317115232698</v>
      </c>
      <c r="IQ74" s="381">
        <f>+IQ69-IQ71</f>
        <v>6055.410172005224</v>
      </c>
      <c r="IR74" s="381">
        <f>+IR69-IR71</f>
        <v>6145.8195280397049</v>
      </c>
      <c r="IS74" s="381">
        <f>+IS69-IS71</f>
        <v>6250.2492221016564</v>
      </c>
      <c r="IT74" s="381">
        <f>+IT69-IT71</f>
        <v>6250.2492221016582</v>
      </c>
    </row>
    <row r="75" spans="1:254" x14ac:dyDescent="0.4">
      <c r="B75" s="377" t="s">
        <v>4</v>
      </c>
      <c r="C75" s="378">
        <f>AY75</f>
        <v>0</v>
      </c>
      <c r="D75" s="378">
        <f>BF75</f>
        <v>0</v>
      </c>
      <c r="E75" s="378">
        <f>BM75</f>
        <v>0</v>
      </c>
      <c r="F75" s="378">
        <f>BT75</f>
        <v>0</v>
      </c>
      <c r="G75" s="378">
        <f>CA75</f>
        <v>0</v>
      </c>
      <c r="H75" s="378">
        <f>CH75</f>
        <v>0</v>
      </c>
      <c r="I75" s="378">
        <f>CO75</f>
        <v>0.17823508894314616</v>
      </c>
      <c r="J75" s="378">
        <f>CV75</f>
        <v>0.22203637884173114</v>
      </c>
      <c r="K75" s="378">
        <f>DC75</f>
        <v>0.22532402791625125</v>
      </c>
      <c r="L75" s="378">
        <f>DJ75</f>
        <v>0.24575744113727233</v>
      </c>
      <c r="M75" s="378">
        <f>DQ75</f>
        <v>0.25174206393098109</v>
      </c>
      <c r="N75" s="378">
        <f>DX75</f>
        <v>0.29155697630688227</v>
      </c>
      <c r="O75" s="378">
        <f>EE75</f>
        <v>0.29106701864940815</v>
      </c>
      <c r="P75" s="378">
        <f>EL75</f>
        <v>0.29406260632868325</v>
      </c>
      <c r="Q75" s="378">
        <f>ES75</f>
        <v>0.29067838779233701</v>
      </c>
      <c r="R75" s="378">
        <f>EZ75</f>
        <v>0.28518430815376117</v>
      </c>
      <c r="S75" s="378">
        <f>FG75</f>
        <v>0.30344594022521376</v>
      </c>
      <c r="T75" s="378">
        <f>FN75</f>
        <v>0.30617038576203814</v>
      </c>
      <c r="U75" s="378">
        <f>FU75</f>
        <v>0.33467741935483869</v>
      </c>
      <c r="V75" s="378">
        <f>GB75</f>
        <v>0.39746938775510204</v>
      </c>
      <c r="W75" s="378">
        <f>GI75</f>
        <v>0.41593365167127416</v>
      </c>
      <c r="X75" s="378">
        <f>GP75</f>
        <v>0.41217046206179725</v>
      </c>
      <c r="Y75" s="378">
        <f>GW75</f>
        <v>0.41886280146941385</v>
      </c>
      <c r="Z75" s="378">
        <f>HD75</f>
        <v>0.3972934760654413</v>
      </c>
      <c r="AA75" s="378">
        <f>HK75</f>
        <v>0.37517909531281979</v>
      </c>
      <c r="AB75" s="378">
        <f>HR75</f>
        <v>0.36815680880330126</v>
      </c>
      <c r="AC75" s="378">
        <f>HY75</f>
        <v>0.33863184785694012</v>
      </c>
      <c r="AD75" s="378">
        <f>IF75</f>
        <v>0.36414080723309494</v>
      </c>
      <c r="AE75" s="378">
        <f>IM75</f>
        <v>0.38561527323062922</v>
      </c>
      <c r="AF75" s="378">
        <f>IT75</f>
        <v>0.3943713941256366</v>
      </c>
      <c r="AG75" s="379"/>
      <c r="AH75" s="379"/>
      <c r="AI75" s="379"/>
      <c r="AJ75" s="379"/>
      <c r="AK75" s="379"/>
      <c r="AL75" s="379"/>
      <c r="AM75" s="379"/>
      <c r="AN75" s="379"/>
      <c r="AO75" s="379"/>
      <c r="AP75" s="379"/>
      <c r="AQ75" s="379"/>
      <c r="AR75" s="379"/>
      <c r="AT75" s="377" t="s">
        <v>4</v>
      </c>
      <c r="AU75" s="378"/>
      <c r="AV75" s="378"/>
      <c r="AW75" s="378"/>
      <c r="AX75" s="378"/>
      <c r="AY75" s="378"/>
      <c r="BA75" s="377" t="s">
        <v>4</v>
      </c>
      <c r="BB75" s="378"/>
      <c r="BC75" s="378"/>
      <c r="BD75" s="378"/>
      <c r="BE75" s="378"/>
      <c r="BF75" s="378"/>
      <c r="BH75" s="377" t="s">
        <v>4</v>
      </c>
      <c r="BI75" s="378"/>
      <c r="BJ75" s="378"/>
      <c r="BK75" s="378"/>
      <c r="BL75" s="378"/>
      <c r="BM75" s="378"/>
      <c r="BO75" s="377" t="s">
        <v>4</v>
      </c>
      <c r="BP75" s="378"/>
      <c r="BQ75" s="378"/>
      <c r="BR75" s="378"/>
      <c r="BS75" s="378"/>
      <c r="BT75" s="378"/>
      <c r="BV75" s="377" t="s">
        <v>4</v>
      </c>
      <c r="BW75" s="378"/>
      <c r="BX75" s="378"/>
      <c r="BY75" s="378"/>
      <c r="BZ75" s="378"/>
      <c r="CA75" s="378"/>
      <c r="CC75" s="377" t="s">
        <v>4</v>
      </c>
      <c r="CD75" s="378"/>
      <c r="CE75" s="378"/>
      <c r="CF75" s="378"/>
      <c r="CG75" s="378"/>
      <c r="CH75" s="378"/>
      <c r="CJ75" s="377" t="s">
        <v>4</v>
      </c>
      <c r="CK75" s="378" t="s">
        <v>80</v>
      </c>
      <c r="CL75" s="378" t="s">
        <v>80</v>
      </c>
      <c r="CM75" s="378" t="s">
        <v>80</v>
      </c>
      <c r="CN75" s="378" t="s">
        <v>80</v>
      </c>
      <c r="CO75" s="378">
        <f>+CO74/CO69</f>
        <v>0.17823508894314616</v>
      </c>
      <c r="CQ75" s="377" t="s">
        <v>4</v>
      </c>
      <c r="CR75" s="378">
        <f>+CR74/CR69</f>
        <v>0.16636446056210336</v>
      </c>
      <c r="CS75" s="378">
        <f>+CS74/CS69</f>
        <v>0.20855321020228673</v>
      </c>
      <c r="CT75" s="378">
        <f>+CT74/CT69</f>
        <v>0.2165299818937054</v>
      </c>
      <c r="CU75" s="378">
        <f>+CU74/CU69</f>
        <v>0.22203637884173114</v>
      </c>
      <c r="CV75" s="378">
        <f>+CV74/CV69</f>
        <v>0.22203637884173114</v>
      </c>
      <c r="CX75" s="377" t="s">
        <v>4</v>
      </c>
      <c r="CY75" s="378">
        <f>+CY74/CY69</f>
        <v>0.20358289323806567</v>
      </c>
      <c r="CZ75" s="378">
        <f>+CZ74/CZ69</f>
        <v>0.21390538603317633</v>
      </c>
      <c r="DA75" s="378">
        <f>+DA74/DA69</f>
        <v>0.21910853893796325</v>
      </c>
      <c r="DB75" s="378">
        <f>+DB74/DB69</f>
        <v>0.22532402791625125</v>
      </c>
      <c r="DC75" s="378">
        <f>+DC74/DC69</f>
        <v>0.22532402791625125</v>
      </c>
      <c r="DE75" s="377" t="s">
        <v>4</v>
      </c>
      <c r="DF75" s="378">
        <f>+DF74/DF69</f>
        <v>0.17847107838387752</v>
      </c>
      <c r="DG75" s="378">
        <f>+DG74/DG69</f>
        <v>0.23406244157786502</v>
      </c>
      <c r="DH75" s="378">
        <f>+DH74/DH69</f>
        <v>0.24009679153970245</v>
      </c>
      <c r="DI75" s="378">
        <f>+DI74/DI69</f>
        <v>0.24575744113727233</v>
      </c>
      <c r="DJ75" s="378">
        <f>+DJ74/DJ69</f>
        <v>0.24575744113727233</v>
      </c>
      <c r="DL75" s="377" t="s">
        <v>4</v>
      </c>
      <c r="DM75" s="378">
        <f>+DM74/DM69</f>
        <v>0.35026415793864119</v>
      </c>
      <c r="DN75" s="378">
        <f>+DN74/DN69</f>
        <v>0.25072017482864806</v>
      </c>
      <c r="DO75" s="378">
        <f>+DO74/DO69</f>
        <v>0.25385843533794572</v>
      </c>
      <c r="DP75" s="378">
        <f>+DP74/DP69</f>
        <v>0.25174206393098109</v>
      </c>
      <c r="DQ75" s="378">
        <f>+DQ74/DQ69</f>
        <v>0.25174206393098109</v>
      </c>
      <c r="DS75" s="377" t="s">
        <v>4</v>
      </c>
      <c r="DT75" s="378">
        <f>+DT74/DT69</f>
        <v>0.21357027463651049</v>
      </c>
      <c r="DU75" s="378">
        <f>+DU74/DU69</f>
        <v>0.26702857728157331</v>
      </c>
      <c r="DV75" s="378">
        <f>+DV74/DV69</f>
        <v>0.2798816568047337</v>
      </c>
      <c r="DW75" s="378">
        <f>+DW74/DW69</f>
        <v>0.29155697630688227</v>
      </c>
      <c r="DX75" s="378">
        <f>+DX74/DX69</f>
        <v>0.29155697630688227</v>
      </c>
      <c r="DZ75" s="377" t="s">
        <v>4</v>
      </c>
      <c r="EA75" s="378">
        <f>+EA74/EA69</f>
        <v>0.25285257873117301</v>
      </c>
      <c r="EB75" s="378">
        <f>+EB74/EB69</f>
        <v>0.29794005835027848</v>
      </c>
      <c r="EC75" s="378">
        <f>+EC74/EC69</f>
        <v>0.29488283942108889</v>
      </c>
      <c r="ED75" s="378">
        <f>+ED74/ED69</f>
        <v>0.29106701864940815</v>
      </c>
      <c r="EE75" s="378">
        <f>+EE74/EE69</f>
        <v>0.29106701864940815</v>
      </c>
      <c r="EG75" s="377" t="s">
        <v>4</v>
      </c>
      <c r="EH75" s="378">
        <f>+EH74/EH69</f>
        <v>0.30002521220270612</v>
      </c>
      <c r="EI75" s="378">
        <f>+EI74/EI69</f>
        <v>0.29582912882610157</v>
      </c>
      <c r="EJ75" s="378">
        <f>+EJ74/EJ69</f>
        <v>0.29552567030364546</v>
      </c>
      <c r="EK75" s="378">
        <f>+EK74/EK69</f>
        <v>0.29406260632868325</v>
      </c>
      <c r="EL75" s="378">
        <f>+EL74/EL69</f>
        <v>0.29406260632868325</v>
      </c>
      <c r="EN75" s="377" t="s">
        <v>4</v>
      </c>
      <c r="EO75" s="378">
        <f>+EO74/EO69</f>
        <v>0.28379298604017705</v>
      </c>
      <c r="EP75" s="378">
        <f>+EP74/EP69</f>
        <v>0.29614570097416348</v>
      </c>
      <c r="EQ75" s="378">
        <f>+EQ74/EQ69</f>
        <v>0.29353484466834595</v>
      </c>
      <c r="ER75" s="378">
        <f>+ER74/ER69</f>
        <v>0.29067838779233701</v>
      </c>
      <c r="ES75" s="378">
        <f>+ES74/ES69</f>
        <v>0.29067838779233701</v>
      </c>
      <c r="EU75" s="377" t="s">
        <v>4</v>
      </c>
      <c r="EV75" s="378">
        <f>+EV74/EV69</f>
        <v>0.25825627476882429</v>
      </c>
      <c r="EW75" s="378">
        <f>+EW74/EW69</f>
        <v>0.27695938797102626</v>
      </c>
      <c r="EX75" s="378">
        <f>+EX74/EX69</f>
        <v>0.2817971060836198</v>
      </c>
      <c r="EY75" s="378">
        <f>+EY74/EY69</f>
        <v>0.28518430815376117</v>
      </c>
      <c r="EZ75" s="378">
        <f>+EZ74/EZ69</f>
        <v>0.28518430815376117</v>
      </c>
      <c r="FB75" s="377" t="s">
        <v>4</v>
      </c>
      <c r="FC75" s="378">
        <f>+FC74/FC69</f>
        <v>0.32765689057079783</v>
      </c>
      <c r="FD75" s="378">
        <f>+FD74/FD69</f>
        <v>0.29886436340371081</v>
      </c>
      <c r="FE75" s="378">
        <f>+FE74/FE69</f>
        <v>0.30224185894288985</v>
      </c>
      <c r="FF75" s="378">
        <f>+FF74/FF69</f>
        <v>0.30344594022521376</v>
      </c>
      <c r="FG75" s="378">
        <f>+FG74/FG69</f>
        <v>0.30344594022521376</v>
      </c>
      <c r="FI75" s="377" t="s">
        <v>4</v>
      </c>
      <c r="FJ75" s="378">
        <f>+FJ74/FJ69</f>
        <v>0.33020522715313105</v>
      </c>
      <c r="FK75" s="378">
        <f>+FK74/FK69</f>
        <v>0.29596087665278031</v>
      </c>
      <c r="FL75" s="378">
        <f>+FL74/FL69</f>
        <v>0.29372052159437712</v>
      </c>
      <c r="FM75" s="378">
        <f>+FM74/FM69</f>
        <v>0.30617038576203814</v>
      </c>
      <c r="FN75" s="378">
        <f>+FN74/FN69</f>
        <v>0.30617038576203814</v>
      </c>
      <c r="FP75" s="377" t="s">
        <v>4</v>
      </c>
      <c r="FQ75" s="378">
        <f>+FQ74/FQ69</f>
        <v>0.31466431095406361</v>
      </c>
      <c r="FR75" s="378">
        <f>+FR74/FR69</f>
        <v>0.32868646636072385</v>
      </c>
      <c r="FS75" s="378">
        <f>+FS74/FS69</f>
        <v>0.33016750129511313</v>
      </c>
      <c r="FT75" s="378">
        <f>+FT74/FT69</f>
        <v>0.33467741935483869</v>
      </c>
      <c r="FU75" s="378">
        <f>+FU74/FU69</f>
        <v>0.33467741935483869</v>
      </c>
      <c r="FW75" s="377" t="s">
        <v>4</v>
      </c>
      <c r="FX75" s="378">
        <f>+FX74/FX69</f>
        <v>0.35593517301795885</v>
      </c>
      <c r="FY75" s="378">
        <f>+FY74/FY69</f>
        <v>0.36205110497237569</v>
      </c>
      <c r="FZ75" s="378">
        <f>+FZ74/FZ69</f>
        <v>0.38579782790309108</v>
      </c>
      <c r="GA75" s="378">
        <f>+GA74/GA69</f>
        <v>0.39746938775510204</v>
      </c>
      <c r="GB75" s="378">
        <f>+GB74/GB69</f>
        <v>0.39746938775510204</v>
      </c>
      <c r="GD75" s="377" t="s">
        <v>4</v>
      </c>
      <c r="GE75" s="378">
        <f>+GE74/GE69</f>
        <v>0.42399289577783161</v>
      </c>
      <c r="GF75" s="378">
        <f>+GF74/GF69</f>
        <v>0.41033533128138666</v>
      </c>
      <c r="GG75" s="378">
        <f>+GG74/GG69</f>
        <v>0.4149241492414924</v>
      </c>
      <c r="GH75" s="378">
        <f>+GH74/GH69</f>
        <v>0.41593365167127416</v>
      </c>
      <c r="GI75" s="378">
        <f>+GI74/GI69</f>
        <v>0.41593365167127416</v>
      </c>
      <c r="GK75" s="377" t="s">
        <v>4</v>
      </c>
      <c r="GL75" s="378">
        <f>+GL74/GL69</f>
        <v>0.46158417522709905</v>
      </c>
      <c r="GM75" s="378">
        <f>+GM74/GM69</f>
        <v>0.40526747471065344</v>
      </c>
      <c r="GN75" s="378">
        <f>+GN74/GN69</f>
        <v>0.40411538100159727</v>
      </c>
      <c r="GO75" s="378">
        <f>+GO74/GO69</f>
        <v>0.41217046206179725</v>
      </c>
      <c r="GP75" s="378">
        <f>+GP74/GP69</f>
        <v>0.41217046206179725</v>
      </c>
      <c r="GR75" s="377" t="s">
        <v>4</v>
      </c>
      <c r="GS75" s="378">
        <f>+GS74/GS69</f>
        <v>0.35243335546912058</v>
      </c>
      <c r="GT75" s="378">
        <f>+GT74/GT69</f>
        <v>0.42559418233416108</v>
      </c>
      <c r="GU75" s="378">
        <f>+GU74/GU69</f>
        <v>0.42734899328859061</v>
      </c>
      <c r="GV75" s="378">
        <f>+GV74/GV69</f>
        <v>0.41886280146941385</v>
      </c>
      <c r="GW75" s="378">
        <f>+GW74/GW69</f>
        <v>0.41886280146941385</v>
      </c>
      <c r="GY75" s="377" t="s">
        <v>4</v>
      </c>
      <c r="GZ75" s="378">
        <f>+GZ74/GZ69</f>
        <v>0.33379058070416096</v>
      </c>
      <c r="HA75" s="378">
        <f>+HA74/HA69</f>
        <v>0.40618054061805409</v>
      </c>
      <c r="HB75" s="378">
        <f>+HB74/HB69</f>
        <v>0.39917525773195878</v>
      </c>
      <c r="HC75" s="378">
        <f>+HC74/HC69</f>
        <v>0.3972934760654413</v>
      </c>
      <c r="HD75" s="378">
        <f>+HD74/HD69</f>
        <v>0.3972934760654413</v>
      </c>
      <c r="HF75" s="377" t="s">
        <v>4</v>
      </c>
      <c r="HG75" s="378">
        <f>+HG74/HG69</f>
        <v>0.40155816717285092</v>
      </c>
      <c r="HH75" s="378">
        <f>+HH74/HH69</f>
        <v>0.39594145043246842</v>
      </c>
      <c r="HI75" s="378">
        <f>+HI74/HI69</f>
        <v>0.38369483919222142</v>
      </c>
      <c r="HJ75" s="378">
        <f>+HJ74/HJ69</f>
        <v>0.37517909531281979</v>
      </c>
      <c r="HK75" s="378">
        <f>+HK74/HK69</f>
        <v>0.37517909531281979</v>
      </c>
      <c r="HM75" s="377" t="s">
        <v>4</v>
      </c>
      <c r="HN75" s="378">
        <f>+HN74/HN69</f>
        <v>0.36939584472389286</v>
      </c>
      <c r="HO75" s="378">
        <f>+HO74/HO69</f>
        <v>0.36702200355336889</v>
      </c>
      <c r="HP75" s="378">
        <f>+HP74/HP69</f>
        <v>0.37150057897963357</v>
      </c>
      <c r="HQ75" s="378">
        <f>+HQ74/HQ69</f>
        <v>0.36815680880330126</v>
      </c>
      <c r="HR75" s="378">
        <f>+HR74/HR69</f>
        <v>0.36815680880330126</v>
      </c>
      <c r="HT75" s="377" t="s">
        <v>4</v>
      </c>
      <c r="HU75" s="378">
        <f>+HU74/HU69</f>
        <v>0.3489007141856883</v>
      </c>
      <c r="HV75" s="378">
        <f>+HV74/HV69</f>
        <v>0.34560226068527022</v>
      </c>
      <c r="HW75" s="378">
        <f>+HW74/HW69</f>
        <v>0.3415704878566877</v>
      </c>
      <c r="HX75" s="378">
        <f>+HX74/HX69</f>
        <v>0.33863184785694012</v>
      </c>
      <c r="HY75" s="378">
        <f>+HY74/HY69</f>
        <v>0.33863184785694012</v>
      </c>
      <c r="IA75" s="377" t="s">
        <v>4</v>
      </c>
      <c r="IB75" s="378">
        <f>+IB74/IB69</f>
        <v>0.34859980720170158</v>
      </c>
      <c r="IC75" s="378">
        <f>+IC74/IC69</f>
        <v>0.35115892807493038</v>
      </c>
      <c r="ID75" s="378">
        <f>+ID74/ID69</f>
        <v>0.35674076432414942</v>
      </c>
      <c r="IE75" s="378">
        <f>+IE74/IE69</f>
        <v>0.36414080723309522</v>
      </c>
      <c r="IF75" s="378">
        <f>+IF74/IF69</f>
        <v>0.36414080723309494</v>
      </c>
      <c r="IH75" s="377" t="s">
        <v>4</v>
      </c>
      <c r="II75" s="378">
        <f>+II74/II69</f>
        <v>0.36559990883925519</v>
      </c>
      <c r="IJ75" s="378">
        <f>+IJ74/IJ69</f>
        <v>0.37451503283802462</v>
      </c>
      <c r="IK75" s="378">
        <f>+IK74/IK69</f>
        <v>0.38018989158320404</v>
      </c>
      <c r="IL75" s="378">
        <f>+IL74/IL69</f>
        <v>0.38561527323062922</v>
      </c>
      <c r="IM75" s="378">
        <f>+IM74/IM69</f>
        <v>0.38561527323062922</v>
      </c>
      <c r="IO75" s="377" t="s">
        <v>4</v>
      </c>
      <c r="IP75" s="378">
        <f>+IP74/IP69</f>
        <v>0.37849099803228625</v>
      </c>
      <c r="IQ75" s="378">
        <f>+IQ74/IQ69</f>
        <v>0.39037097451883068</v>
      </c>
      <c r="IR75" s="378">
        <f>+IR74/IR69</f>
        <v>0.391901954980517</v>
      </c>
      <c r="IS75" s="378">
        <f>+IS74/IS69</f>
        <v>0.39437139412563654</v>
      </c>
      <c r="IT75" s="378">
        <f>+IT74/IT69</f>
        <v>0.3943713941256366</v>
      </c>
    </row>
    <row r="76" spans="1:254" x14ac:dyDescent="0.4">
      <c r="A76" s="383"/>
      <c r="B76" s="318"/>
      <c r="C76" s="319"/>
      <c r="D76" s="319"/>
      <c r="E76" s="319"/>
      <c r="F76" s="319"/>
      <c r="G76" s="319"/>
      <c r="H76" s="319"/>
      <c r="I76" s="319"/>
      <c r="J76" s="319"/>
      <c r="K76" s="319"/>
      <c r="L76" s="319"/>
      <c r="M76" s="319"/>
      <c r="N76" s="319"/>
      <c r="O76" s="319"/>
      <c r="P76" s="319"/>
      <c r="Q76" s="319"/>
      <c r="R76" s="319"/>
      <c r="S76" s="319"/>
      <c r="T76" s="319"/>
      <c r="U76" s="319"/>
      <c r="V76" s="319"/>
      <c r="W76" s="319"/>
      <c r="X76" s="319"/>
      <c r="Y76" s="319"/>
      <c r="Z76" s="319"/>
      <c r="AA76" s="319"/>
      <c r="AB76" s="130"/>
      <c r="AC76" s="130"/>
      <c r="AD76" s="130"/>
      <c r="AE76" s="130"/>
      <c r="AF76" s="130"/>
      <c r="AG76" s="376"/>
      <c r="AH76" s="376"/>
      <c r="AI76" s="376"/>
      <c r="AJ76" s="376"/>
      <c r="AK76" s="376"/>
      <c r="AL76" s="376"/>
      <c r="AM76" s="376"/>
      <c r="AN76" s="376"/>
      <c r="AO76" s="376"/>
      <c r="AP76" s="376"/>
      <c r="AQ76" s="376"/>
      <c r="AR76" s="376"/>
      <c r="AT76" s="318"/>
      <c r="AU76" s="319"/>
      <c r="AV76" s="319"/>
      <c r="AW76" s="319"/>
      <c r="AX76" s="319"/>
      <c r="AY76" s="319"/>
      <c r="BA76" s="318"/>
      <c r="BB76" s="319"/>
      <c r="BC76" s="319"/>
      <c r="BD76" s="319"/>
      <c r="BE76" s="319"/>
      <c r="BF76" s="319"/>
      <c r="BH76" s="318"/>
      <c r="BI76" s="319"/>
      <c r="BJ76" s="319"/>
      <c r="BK76" s="319"/>
      <c r="BL76" s="319"/>
      <c r="BM76" s="319"/>
      <c r="BO76" s="318"/>
      <c r="BP76" s="319"/>
      <c r="BQ76" s="319"/>
      <c r="BR76" s="319"/>
      <c r="BS76" s="319"/>
      <c r="BT76" s="319"/>
      <c r="BV76" s="318"/>
      <c r="BW76" s="319"/>
      <c r="BX76" s="319"/>
      <c r="BY76" s="319"/>
      <c r="BZ76" s="319"/>
      <c r="CA76" s="319"/>
      <c r="CC76" s="318"/>
      <c r="CD76" s="319"/>
      <c r="CE76" s="319"/>
      <c r="CF76" s="319"/>
      <c r="CG76" s="319"/>
      <c r="CH76" s="319"/>
      <c r="CJ76" s="318"/>
      <c r="CK76" s="319"/>
      <c r="CL76" s="319"/>
      <c r="CM76" s="319"/>
      <c r="CN76" s="319"/>
      <c r="CO76" s="319"/>
      <c r="CQ76" s="318"/>
      <c r="CR76" s="319"/>
      <c r="CS76" s="319"/>
      <c r="CT76" s="319"/>
      <c r="CU76" s="319"/>
      <c r="CV76" s="319"/>
      <c r="CX76" s="318"/>
      <c r="CY76" s="319"/>
      <c r="CZ76" s="319"/>
      <c r="DA76" s="319"/>
      <c r="DB76" s="319"/>
      <c r="DC76" s="319"/>
      <c r="DE76" s="318"/>
      <c r="DF76" s="319"/>
      <c r="DG76" s="319"/>
      <c r="DH76" s="319"/>
      <c r="DI76" s="319"/>
      <c r="DJ76" s="319"/>
      <c r="DL76" s="318"/>
      <c r="DM76" s="319"/>
      <c r="DN76" s="319"/>
      <c r="DO76" s="319"/>
      <c r="DP76" s="319"/>
      <c r="DQ76" s="319"/>
      <c r="DS76" s="318"/>
      <c r="DT76" s="319"/>
      <c r="DU76" s="319"/>
      <c r="DV76" s="319"/>
      <c r="DW76" s="319"/>
      <c r="DX76" s="319"/>
      <c r="DZ76" s="318"/>
      <c r="EA76" s="319"/>
      <c r="EB76" s="319"/>
      <c r="EC76" s="319"/>
      <c r="ED76" s="319"/>
      <c r="EE76" s="319"/>
      <c r="EG76" s="318"/>
      <c r="EH76" s="319"/>
      <c r="EI76" s="319"/>
      <c r="EJ76" s="319"/>
      <c r="EK76" s="319"/>
      <c r="EL76" s="319"/>
      <c r="EN76" s="318"/>
      <c r="EO76" s="319"/>
      <c r="EP76" s="319"/>
      <c r="EQ76" s="319"/>
      <c r="ER76" s="319"/>
      <c r="ES76" s="319"/>
      <c r="EU76" s="318"/>
      <c r="EV76" s="319"/>
      <c r="EW76" s="319"/>
      <c r="EX76" s="319"/>
      <c r="EY76" s="319"/>
      <c r="EZ76" s="319"/>
      <c r="FB76" s="318"/>
      <c r="FC76" s="319"/>
      <c r="FD76" s="319"/>
      <c r="FE76" s="319"/>
      <c r="FF76" s="319"/>
      <c r="FG76" s="319"/>
      <c r="FI76" s="318"/>
      <c r="FJ76" s="319"/>
      <c r="FK76" s="319"/>
      <c r="FL76" s="319"/>
      <c r="FM76" s="319"/>
      <c r="FN76" s="319"/>
      <c r="FP76" s="318"/>
      <c r="FQ76" s="319"/>
      <c r="FR76" s="319"/>
      <c r="FS76" s="319"/>
      <c r="FT76" s="319"/>
      <c r="FU76" s="319"/>
      <c r="FW76" s="318"/>
      <c r="FX76" s="319"/>
      <c r="FY76" s="319"/>
      <c r="FZ76" s="319"/>
      <c r="GA76" s="319"/>
      <c r="GB76" s="319"/>
      <c r="GD76" s="318"/>
      <c r="GE76" s="319"/>
      <c r="GF76" s="319"/>
      <c r="GG76" s="319"/>
      <c r="GH76" s="319"/>
      <c r="GI76" s="319"/>
      <c r="GK76" s="318"/>
      <c r="GL76" s="319"/>
      <c r="GM76" s="319"/>
      <c r="GN76" s="319"/>
      <c r="GO76" s="319"/>
      <c r="GP76" s="319"/>
      <c r="GR76" s="318"/>
      <c r="GS76" s="319"/>
      <c r="GT76" s="319"/>
      <c r="GU76" s="319"/>
      <c r="GV76" s="319"/>
      <c r="GW76" s="319"/>
      <c r="GY76" s="318"/>
      <c r="GZ76" s="319"/>
      <c r="HA76" s="319"/>
      <c r="HB76" s="319"/>
      <c r="HC76" s="319"/>
      <c r="HD76" s="319"/>
      <c r="HF76" s="318"/>
      <c r="HG76" s="319"/>
      <c r="HH76" s="319"/>
      <c r="HI76" s="319"/>
      <c r="HJ76" s="319"/>
      <c r="HK76" s="319"/>
      <c r="HM76" s="318"/>
      <c r="HN76" s="319"/>
      <c r="HO76" s="319"/>
      <c r="HP76" s="319"/>
      <c r="HQ76" s="319"/>
      <c r="HR76" s="319"/>
      <c r="HT76" s="318"/>
      <c r="HU76" s="319"/>
      <c r="HV76" s="319"/>
      <c r="HW76" s="319"/>
      <c r="HX76" s="319"/>
      <c r="HY76" s="130"/>
      <c r="IA76" s="318"/>
      <c r="IB76" s="319"/>
      <c r="IC76" s="319"/>
      <c r="ID76" s="319"/>
      <c r="IE76" s="319"/>
      <c r="IF76" s="130"/>
      <c r="IH76" s="318"/>
      <c r="II76" s="319"/>
      <c r="IJ76" s="319"/>
      <c r="IK76" s="319"/>
      <c r="IL76" s="319"/>
      <c r="IM76" s="130"/>
      <c r="IO76" s="318"/>
      <c r="IP76" s="319"/>
      <c r="IQ76" s="319"/>
      <c r="IR76" s="319"/>
      <c r="IS76" s="319"/>
      <c r="IT76" s="130"/>
    </row>
    <row r="77" spans="1:254" x14ac:dyDescent="0.4">
      <c r="A77" s="369"/>
      <c r="B77" s="318" t="s">
        <v>216</v>
      </c>
      <c r="C77" s="319">
        <f>AY77</f>
        <v>0</v>
      </c>
      <c r="D77" s="319">
        <f>BF77</f>
        <v>0</v>
      </c>
      <c r="E77" s="319">
        <f>BM77</f>
        <v>0</v>
      </c>
      <c r="F77" s="319">
        <f>BT77</f>
        <v>0</v>
      </c>
      <c r="G77" s="319">
        <f>CA77</f>
        <v>0</v>
      </c>
      <c r="H77" s="319">
        <f>CH77</f>
        <v>0</v>
      </c>
      <c r="I77" s="319">
        <f>CO77</f>
        <v>833</v>
      </c>
      <c r="J77" s="319">
        <f>CV77</f>
        <v>867</v>
      </c>
      <c r="K77" s="319">
        <f>DC77</f>
        <v>890</v>
      </c>
      <c r="L77" s="319">
        <f>DJ77</f>
        <v>914</v>
      </c>
      <c r="M77" s="319">
        <f>DQ77</f>
        <v>903</v>
      </c>
      <c r="N77" s="319">
        <f>DX77</f>
        <v>947</v>
      </c>
      <c r="O77" s="319">
        <f>EE77</f>
        <v>976</v>
      </c>
      <c r="P77" s="319">
        <f>EL77</f>
        <v>1059</v>
      </c>
      <c r="Q77" s="319">
        <f>ES77</f>
        <v>1104</v>
      </c>
      <c r="R77" s="319">
        <f>EZ77</f>
        <v>1151</v>
      </c>
      <c r="S77" s="319">
        <f>FG77</f>
        <v>1208</v>
      </c>
      <c r="T77" s="319">
        <f>FN77</f>
        <v>1301</v>
      </c>
      <c r="U77" s="319">
        <f>FU77</f>
        <v>1315</v>
      </c>
      <c r="V77" s="319">
        <f>GB77</f>
        <v>1331</v>
      </c>
      <c r="W77" s="319">
        <f>GI77</f>
        <v>1349</v>
      </c>
      <c r="X77" s="319">
        <f>GP77</f>
        <v>1383</v>
      </c>
      <c r="Y77" s="319">
        <f>GW77</f>
        <v>1420</v>
      </c>
      <c r="Z77" s="319">
        <f>HD77</f>
        <v>1500</v>
      </c>
      <c r="AA77" s="319">
        <f>HK77</f>
        <v>1611</v>
      </c>
      <c r="AB77" s="130">
        <f>HR77</f>
        <v>1658</v>
      </c>
      <c r="AC77" s="130">
        <f>HY77</f>
        <v>1680</v>
      </c>
      <c r="AD77" s="130">
        <f>IF77</f>
        <v>1682</v>
      </c>
      <c r="AE77" s="130">
        <f>IM77</f>
        <v>1726</v>
      </c>
      <c r="AF77" s="130">
        <f>IT77</f>
        <v>1782</v>
      </c>
      <c r="AG77" s="376"/>
      <c r="AH77" s="376"/>
      <c r="AI77" s="376"/>
      <c r="AJ77" s="376"/>
      <c r="AK77" s="376"/>
      <c r="AL77" s="376"/>
      <c r="AM77" s="376"/>
      <c r="AN77" s="376"/>
      <c r="AO77" s="376"/>
      <c r="AP77" s="376"/>
      <c r="AQ77" s="376"/>
      <c r="AR77" s="376"/>
      <c r="AT77" s="318" t="s">
        <v>216</v>
      </c>
      <c r="AU77" s="319"/>
      <c r="AV77" s="319"/>
      <c r="AW77" s="319"/>
      <c r="AX77" s="319"/>
      <c r="AY77" s="319"/>
      <c r="BA77" s="318" t="s">
        <v>216</v>
      </c>
      <c r="BB77" s="319"/>
      <c r="BC77" s="319"/>
      <c r="BD77" s="319"/>
      <c r="BE77" s="319"/>
      <c r="BF77" s="319"/>
      <c r="BH77" s="318" t="s">
        <v>216</v>
      </c>
      <c r="BI77" s="319"/>
      <c r="BJ77" s="319"/>
      <c r="BK77" s="319"/>
      <c r="BL77" s="319"/>
      <c r="BM77" s="319"/>
      <c r="BO77" s="318" t="s">
        <v>216</v>
      </c>
      <c r="BP77" s="319"/>
      <c r="BQ77" s="319"/>
      <c r="BR77" s="319"/>
      <c r="BS77" s="319"/>
      <c r="BT77" s="319"/>
      <c r="BV77" s="318" t="s">
        <v>216</v>
      </c>
      <c r="BW77" s="319"/>
      <c r="BX77" s="319"/>
      <c r="BY77" s="319"/>
      <c r="BZ77" s="319"/>
      <c r="CA77" s="319"/>
      <c r="CC77" s="318" t="s">
        <v>216</v>
      </c>
      <c r="CD77" s="319"/>
      <c r="CE77" s="319"/>
      <c r="CF77" s="319"/>
      <c r="CG77" s="319"/>
      <c r="CH77" s="319"/>
      <c r="CJ77" s="318" t="s">
        <v>216</v>
      </c>
      <c r="CK77" s="319" t="s">
        <v>80</v>
      </c>
      <c r="CL77" s="319" t="s">
        <v>80</v>
      </c>
      <c r="CM77" s="319" t="s">
        <v>80</v>
      </c>
      <c r="CN77" s="319" t="s">
        <v>80</v>
      </c>
      <c r="CO77" s="319">
        <f>+CF!AU10</f>
        <v>833</v>
      </c>
      <c r="CQ77" s="318" t="s">
        <v>216</v>
      </c>
      <c r="CR77" s="319">
        <f>+SUM(CF!AR10:AT10,CF!AX10)</f>
        <v>836</v>
      </c>
      <c r="CS77" s="319">
        <f>+SUM(CF!AX10:AY10,CF!AS10:AT10)</f>
        <v>845</v>
      </c>
      <c r="CT77" s="319">
        <f>+SUM(CF!AX10:AZ10,CF!AT10)</f>
        <v>861</v>
      </c>
      <c r="CU77" s="319">
        <f>+SUM(CF!AX10:BA10)</f>
        <v>867</v>
      </c>
      <c r="CV77" s="319">
        <f>+CF!BB10</f>
        <v>867</v>
      </c>
      <c r="CX77" s="318" t="s">
        <v>216</v>
      </c>
      <c r="CY77" s="319">
        <f>+SUM(CF!AY10:BA10,CF!BE10)</f>
        <v>880</v>
      </c>
      <c r="CZ77" s="319">
        <f>+SUM(CF!BE10:BF10,CF!AZ10:BA10)</f>
        <v>885</v>
      </c>
      <c r="DA77" s="319">
        <f>+SUM(CF!BE10:BG10,CF!BA10)</f>
        <v>885</v>
      </c>
      <c r="DB77" s="319">
        <f>+SUM(CF!BE10:BH10)</f>
        <v>890</v>
      </c>
      <c r="DC77" s="319">
        <f>+CF!BI10</f>
        <v>890</v>
      </c>
      <c r="DE77" s="318" t="s">
        <v>216</v>
      </c>
      <c r="DF77" s="319">
        <f>+SUM(CF!BF10:BH10,CF!BL10)</f>
        <v>890</v>
      </c>
      <c r="DG77" s="319">
        <f>+SUM(CF!BL10:BM10,CF!BG10:BH10)</f>
        <v>898</v>
      </c>
      <c r="DH77" s="319">
        <f>+SUM(CF!BL10:BN10,CF!BH10)</f>
        <v>910</v>
      </c>
      <c r="DI77" s="319">
        <f>+SUM(CF!BL10:BO10)</f>
        <v>914</v>
      </c>
      <c r="DJ77" s="319">
        <f>+CF!BP10</f>
        <v>914</v>
      </c>
      <c r="DL77" s="318" t="s">
        <v>216</v>
      </c>
      <c r="DM77" s="319">
        <f>+SUM(CF!BM10:BO10,CF!BS10)</f>
        <v>913</v>
      </c>
      <c r="DN77" s="319">
        <f>+SUM(CF!BS10:BT10,CF!BN10:BO10)</f>
        <v>909</v>
      </c>
      <c r="DO77" s="319">
        <f>+SUM(CF!BS10:BU10,CF!BO10)</f>
        <v>903</v>
      </c>
      <c r="DP77" s="319">
        <f>+SUM(CF!BS10:BV10)</f>
        <v>903</v>
      </c>
      <c r="DQ77" s="319">
        <f>+CF!BW10</f>
        <v>903</v>
      </c>
      <c r="DS77" s="318" t="s">
        <v>216</v>
      </c>
      <c r="DT77" s="319">
        <f>+SUM(CF!BT10:BV10,CF!BZ10)</f>
        <v>907</v>
      </c>
      <c r="DU77" s="319">
        <f>+SUM(CF!BZ10:CA10,CF!BU10:BV10)</f>
        <v>910</v>
      </c>
      <c r="DV77" s="319">
        <f>+SUM(CF!BZ10:CB10,CF!BV10)</f>
        <v>918</v>
      </c>
      <c r="DW77" s="319">
        <f>+SUM(CF!BZ10:CC10)</f>
        <v>947</v>
      </c>
      <c r="DX77" s="319">
        <f>+CF!CD10</f>
        <v>947</v>
      </c>
      <c r="DZ77" s="318" t="s">
        <v>216</v>
      </c>
      <c r="EA77" s="319">
        <f>+SUM(CF!CA10:CC10,CF!CG10)</f>
        <v>962</v>
      </c>
      <c r="EB77" s="319">
        <f>+SUM(CF!CG10:CH10,CF!CB10:CC10)</f>
        <v>978</v>
      </c>
      <c r="EC77" s="319">
        <f>+SUM(CF!CG10:CI10,CF!CC10)</f>
        <v>997</v>
      </c>
      <c r="ED77" s="319">
        <f>+SUM(CF!CG10:CJ10)</f>
        <v>976</v>
      </c>
      <c r="EE77" s="319">
        <f>+CF!CK10</f>
        <v>976</v>
      </c>
      <c r="EG77" s="318" t="s">
        <v>216</v>
      </c>
      <c r="EH77" s="319">
        <f>+SUM(CF!CH10:CJ10,CF!CN10)</f>
        <v>990</v>
      </c>
      <c r="EI77" s="319">
        <f>+SUM(CF!CN10:CO10,CF!CI10:CJ10)</f>
        <v>1007</v>
      </c>
      <c r="EJ77" s="319">
        <f>+SUM(CF!CN10:CP10,CF!CJ10)</f>
        <v>1024</v>
      </c>
      <c r="EK77" s="319">
        <f>+SUM(CF!CN10:CQ10)</f>
        <v>1059</v>
      </c>
      <c r="EL77" s="319">
        <f>+CF!CR10</f>
        <v>1059</v>
      </c>
      <c r="EN77" s="318" t="s">
        <v>216</v>
      </c>
      <c r="EO77" s="319">
        <f>+SUM(CF!CO10:CQ10,CF!CU10)</f>
        <v>1072</v>
      </c>
      <c r="EP77" s="319">
        <f>+SUM(CF!CU10:CV10,CF!CP10:CQ10)</f>
        <v>1085</v>
      </c>
      <c r="EQ77" s="319">
        <f>+SUM(CF!CU10:CW10,CF!CQ10)</f>
        <v>1094</v>
      </c>
      <c r="ER77" s="319">
        <f>+SUM(CF!CU10:CX10)</f>
        <v>1104</v>
      </c>
      <c r="ES77" s="319">
        <f>+CF!CY10</f>
        <v>1104</v>
      </c>
      <c r="EU77" s="318" t="s">
        <v>216</v>
      </c>
      <c r="EV77" s="319">
        <f>+SUM(CF!CV10:CX10,CF!DB10)</f>
        <v>1117</v>
      </c>
      <c r="EW77" s="319">
        <f>+SUM(CF!DB10:DC10,CF!CW10:CX10)</f>
        <v>1128</v>
      </c>
      <c r="EX77" s="319">
        <f>+SUM(CF!DB10:DD10,CF!CX10)</f>
        <v>1142</v>
      </c>
      <c r="EY77" s="319">
        <f>+SUM(CF!DB10:DE10)</f>
        <v>1151</v>
      </c>
      <c r="EZ77" s="319">
        <f>+CF!DF10</f>
        <v>1151</v>
      </c>
      <c r="FB77" s="318" t="s">
        <v>216</v>
      </c>
      <c r="FC77" s="319">
        <f>+SUM(CF!DC10:DE10,CF!DI10)</f>
        <v>1163</v>
      </c>
      <c r="FD77" s="319">
        <f>+SUM(CF!DI10:DJ10,CF!DD10:DE10)</f>
        <v>1175</v>
      </c>
      <c r="FE77" s="319">
        <f>+SUM(CF!DI10:DK10,CF!DE10)</f>
        <v>1186</v>
      </c>
      <c r="FF77" s="319">
        <f>+SUM(CF!DI10:DL10)</f>
        <v>1208</v>
      </c>
      <c r="FG77" s="319">
        <f>+CF!DM10</f>
        <v>1208</v>
      </c>
      <c r="FI77" s="318" t="s">
        <v>216</v>
      </c>
      <c r="FJ77" s="319">
        <f>+SUM(CF!DJ10:DL10,CF!DP10)</f>
        <v>1226</v>
      </c>
      <c r="FK77" s="319">
        <f>+SUM(CF!DP10:DQ10,CF!DK10:DL10)</f>
        <v>1246</v>
      </c>
      <c r="FL77" s="319">
        <f>+SUM(CF!DP10:DR10,CF!DL10)</f>
        <v>1265</v>
      </c>
      <c r="FM77" s="319">
        <f>+SUM(CF!DP10:DS10)</f>
        <v>1301</v>
      </c>
      <c r="FN77" s="319">
        <f>+CF!DT10</f>
        <v>1301</v>
      </c>
      <c r="FP77" s="318" t="s">
        <v>216</v>
      </c>
      <c r="FQ77" s="319">
        <f>+SUM(CF!DQ10:DS10,CF!DW10)</f>
        <v>1308</v>
      </c>
      <c r="FR77" s="319">
        <f>+SUM(CF!DW10:DX10,CF!DR10:DS10)</f>
        <v>1316</v>
      </c>
      <c r="FS77" s="319">
        <f>+SUM(CF!DW10:DY10,CF!DS10)</f>
        <v>1326</v>
      </c>
      <c r="FT77" s="319">
        <f>+SUM(CF!DW10:DZ10)</f>
        <v>1315</v>
      </c>
      <c r="FU77" s="319">
        <f>+CF!EA10</f>
        <v>1315</v>
      </c>
      <c r="FW77" s="318" t="s">
        <v>216</v>
      </c>
      <c r="FX77" s="319">
        <f>+SUM(CF!DX10:DZ10,CF!ED10)</f>
        <v>1318</v>
      </c>
      <c r="FY77" s="319">
        <f>+SUM(CF!ED10:EE10,CF!DY10:DZ10)</f>
        <v>1320</v>
      </c>
      <c r="FZ77" s="319">
        <f>+SUM(CF!ED10:EF10,CF!DZ10)</f>
        <v>1323</v>
      </c>
      <c r="GA77" s="319">
        <f>+SUM(CF!ED10:EG10)</f>
        <v>1331</v>
      </c>
      <c r="GB77" s="319">
        <f>+CF!EH10</f>
        <v>1331</v>
      </c>
      <c r="GD77" s="318" t="s">
        <v>216</v>
      </c>
      <c r="GE77" s="319">
        <f>+SUM(CF!EE10:EG10,CF!EK10)</f>
        <v>1338</v>
      </c>
      <c r="GF77" s="319">
        <f>+SUM(CF!EK10:EL10,CF!EF10:EG10)</f>
        <v>1346</v>
      </c>
      <c r="GG77" s="319">
        <f>+SUM(CF!EK10:EM10,CF!EG10)</f>
        <v>1350</v>
      </c>
      <c r="GH77" s="319">
        <f>+SUM(CF!EK10:EN10)</f>
        <v>1349</v>
      </c>
      <c r="GI77" s="319">
        <f>+CF!EO10</f>
        <v>1349</v>
      </c>
      <c r="GK77" s="318" t="s">
        <v>216</v>
      </c>
      <c r="GL77" s="319">
        <f>+SUM(CF!EL10:EN10,CF!ER10)</f>
        <v>1363</v>
      </c>
      <c r="GM77" s="319">
        <f>+SUM(CF!ER10:ES10,CF!EM10:EN10)</f>
        <v>1370</v>
      </c>
      <c r="GN77" s="319">
        <f>+SUM(CF!ER10:ET10,CF!EN10)</f>
        <v>1380</v>
      </c>
      <c r="GO77" s="319">
        <f>+SUM(CF!ER10:EU10)</f>
        <v>1383</v>
      </c>
      <c r="GP77" s="319">
        <f>+CF!EV10</f>
        <v>1383</v>
      </c>
      <c r="GR77" s="318" t="s">
        <v>216</v>
      </c>
      <c r="GS77" s="319">
        <f>+SUM(CF!ES10:EU10,CF!EY10)</f>
        <v>1384</v>
      </c>
      <c r="GT77" s="319">
        <f>+SUM(CF!EY10:EZ10,CF!ET10:EU10)</f>
        <v>1388</v>
      </c>
      <c r="GU77" s="319">
        <f>+SUM(CF!EY10:FA10,CF!EU10)</f>
        <v>1407</v>
      </c>
      <c r="GV77" s="319">
        <f>+SUM(CF!EY10:FB10)</f>
        <v>1420</v>
      </c>
      <c r="GW77" s="319">
        <f>+CF!FC10</f>
        <v>1420</v>
      </c>
      <c r="GY77" s="318" t="s">
        <v>216</v>
      </c>
      <c r="GZ77" s="319">
        <f>+SUM(CF!EZ10:FB10,CF!FF10)</f>
        <v>1435</v>
      </c>
      <c r="HA77" s="319">
        <f>+SUM(CF!FF10:FG10,CF!FA10:FB10)</f>
        <v>1456</v>
      </c>
      <c r="HB77" s="319">
        <f>+SUM(CF!FF10:FH10,CF!FB10)</f>
        <v>1467</v>
      </c>
      <c r="HC77" s="319">
        <f>+SUM(CF!FF10:FI10)</f>
        <v>1500</v>
      </c>
      <c r="HD77" s="319">
        <f>+CF!FJ10</f>
        <v>1500</v>
      </c>
      <c r="HF77" s="318" t="s">
        <v>216</v>
      </c>
      <c r="HG77" s="319">
        <f>+SUM(CF!FG10:FI10,CF!FM10)</f>
        <v>1533</v>
      </c>
      <c r="HH77" s="319">
        <f>+SUM(CF!FM10:FN10,CF!FH10:FI10)</f>
        <v>1566</v>
      </c>
      <c r="HI77" s="319">
        <f>+SUM(CF!FM10:FO10,CF!FI10)</f>
        <v>1587</v>
      </c>
      <c r="HJ77" s="319">
        <f>+SUM(CF!FM10:FP10)</f>
        <v>1611</v>
      </c>
      <c r="HK77" s="319">
        <f>+CF!FQ10</f>
        <v>1611</v>
      </c>
      <c r="HM77" s="318" t="s">
        <v>216</v>
      </c>
      <c r="HN77" s="319">
        <f>+SUM(CF!FN10:FP10,CF!FT10)</f>
        <v>1628</v>
      </c>
      <c r="HO77" s="319">
        <f>+SUM(CF!FT10:FU10,CF!FO10:FP10)</f>
        <v>1636</v>
      </c>
      <c r="HP77" s="319">
        <f>+SUM(CF!FT10:FV10,CF!FP10)</f>
        <v>1653</v>
      </c>
      <c r="HQ77" s="319">
        <f>+SUM(CF!FT10:FW10)</f>
        <v>1658</v>
      </c>
      <c r="HR77" s="319">
        <f>+CF!FX10</f>
        <v>1658</v>
      </c>
      <c r="HT77" s="318" t="s">
        <v>216</v>
      </c>
      <c r="HU77" s="319">
        <f>+SUM(CF!FU10:FW10,CF!GA10)</f>
        <v>1673</v>
      </c>
      <c r="HV77" s="319">
        <f>+SUM(CF!GA10:GB10,CF!FV10:FW10)</f>
        <v>1690</v>
      </c>
      <c r="HW77" s="319">
        <f>+SUM(CF!GA10:GC10,CF!FW10)</f>
        <v>1698</v>
      </c>
      <c r="HX77" s="319">
        <f>+SUM(CF!GA10:GD10)</f>
        <v>1680</v>
      </c>
      <c r="HY77" s="130">
        <f>+CF!GE10</f>
        <v>1680</v>
      </c>
      <c r="IA77" s="318" t="s">
        <v>216</v>
      </c>
      <c r="IB77" s="319">
        <f>+SUM(CF!GB10:GD10,CF!GH10)</f>
        <v>1674</v>
      </c>
      <c r="IC77" s="319">
        <f>+SUM(CF!GH10:GI10,CF!GC10:GD10)</f>
        <v>1667</v>
      </c>
      <c r="ID77" s="319">
        <f>+SUM(CF!GH10:GJ10,CF!GD10)</f>
        <v>1664</v>
      </c>
      <c r="IE77" s="319">
        <f>+SUM(CF!GH10:GK10)</f>
        <v>1682</v>
      </c>
      <c r="IF77" s="130">
        <f>+CF!GL10</f>
        <v>1682</v>
      </c>
      <c r="IH77" s="318" t="s">
        <v>216</v>
      </c>
      <c r="II77" s="319">
        <f>+SUM(CF!GI10:GK10,CF!GO10)</f>
        <v>1690</v>
      </c>
      <c r="IJ77" s="319">
        <f>+SUM(CF!GO10:GP10,CF!GJ10:GK10)</f>
        <v>1700</v>
      </c>
      <c r="IK77" s="319">
        <f>+SUM(CF!GO10:GQ10,CF!GK10)</f>
        <v>1712</v>
      </c>
      <c r="IL77" s="319">
        <f>+SUM(CF!GO10:GR10)</f>
        <v>1726</v>
      </c>
      <c r="IM77" s="130">
        <f>+CF!GS10</f>
        <v>1726</v>
      </c>
      <c r="IO77" s="318" t="s">
        <v>216</v>
      </c>
      <c r="IP77" s="319">
        <f>+SUM(CF!GP10:GR10,CF!GV10)</f>
        <v>1740</v>
      </c>
      <c r="IQ77" s="319">
        <f>+SUM(CF!GV10:GW10,CF!GQ10:GR10)</f>
        <v>1754</v>
      </c>
      <c r="IR77" s="319">
        <f>+SUM(CF!GV10:GX10,CF!GR10)</f>
        <v>1768</v>
      </c>
      <c r="IS77" s="319">
        <f>+SUM(CF!GV10:GY10)</f>
        <v>1782</v>
      </c>
      <c r="IT77" s="130">
        <f>+CF!GZ10</f>
        <v>1782</v>
      </c>
    </row>
    <row r="78" spans="1:254" x14ac:dyDescent="0.4">
      <c r="B78" s="377" t="s">
        <v>6</v>
      </c>
      <c r="C78" s="378">
        <f>AY78</f>
        <v>0</v>
      </c>
      <c r="D78" s="378">
        <f>BF78</f>
        <v>0</v>
      </c>
      <c r="E78" s="378">
        <f>BM78</f>
        <v>0</v>
      </c>
      <c r="F78" s="378">
        <f>BT78</f>
        <v>0</v>
      </c>
      <c r="G78" s="378">
        <f>CA78</f>
        <v>0</v>
      </c>
      <c r="H78" s="378">
        <f>CH78</f>
        <v>0</v>
      </c>
      <c r="I78" s="378">
        <f>CO78</f>
        <v>9.6849203580978954E-2</v>
      </c>
      <c r="J78" s="378">
        <f>CV78</f>
        <v>9.0633493623249003E-2</v>
      </c>
      <c r="K78" s="378">
        <f>DC78</f>
        <v>8.8733798604187439E-2</v>
      </c>
      <c r="L78" s="378">
        <f>DJ78</f>
        <v>8.1208351843625057E-2</v>
      </c>
      <c r="M78" s="378">
        <f>DQ78</f>
        <v>9.9878332042915602E-2</v>
      </c>
      <c r="N78" s="378">
        <f>DX78</f>
        <v>8.9037232042121092E-2</v>
      </c>
      <c r="O78" s="378">
        <f>EE78</f>
        <v>8.311334411990122E-2</v>
      </c>
      <c r="P78" s="378">
        <f>EL78</f>
        <v>9.008166042871725E-2</v>
      </c>
      <c r="Q78" s="378">
        <f>ES78</f>
        <v>9.1557472217614858E-2</v>
      </c>
      <c r="R78" s="378">
        <f>EZ78</f>
        <v>9.0851685215881287E-2</v>
      </c>
      <c r="S78" s="378">
        <f>FG78</f>
        <v>0.10227753788840911</v>
      </c>
      <c r="T78" s="378">
        <f>FN78</f>
        <v>0.11753545939109224</v>
      </c>
      <c r="U78" s="378">
        <f>FU78</f>
        <v>0.11526998597475456</v>
      </c>
      <c r="V78" s="378">
        <f>GB78</f>
        <v>0.1086530612244898</v>
      </c>
      <c r="W78" s="378">
        <f>GI78</f>
        <v>0.11300996900393734</v>
      </c>
      <c r="X78" s="378">
        <f>GP78</f>
        <v>0.13068128130019843</v>
      </c>
      <c r="Y78" s="378">
        <f>GW78</f>
        <v>0.11340041526912634</v>
      </c>
      <c r="Z78" s="378">
        <f>HD78</f>
        <v>0.10098969905069682</v>
      </c>
      <c r="AA78" s="378">
        <f>HK78</f>
        <v>0.10991335198198812</v>
      </c>
      <c r="AB78" s="378">
        <f>HR78</f>
        <v>0.11403026134800551</v>
      </c>
      <c r="AC78" s="378">
        <f>HY78</f>
        <v>0.11921657678115243</v>
      </c>
      <c r="AD78" s="378">
        <f>IF78</f>
        <v>0.1160416527511114</v>
      </c>
      <c r="AE78" s="378">
        <f>IM78</f>
        <v>0.11369545506021965</v>
      </c>
      <c r="AF78" s="378">
        <f>IT78</f>
        <v>0.11243868834010698</v>
      </c>
      <c r="AG78" s="379"/>
      <c r="AH78" s="379"/>
      <c r="AI78" s="379"/>
      <c r="AJ78" s="379"/>
      <c r="AK78" s="379"/>
      <c r="AL78" s="379"/>
      <c r="AM78" s="379"/>
      <c r="AN78" s="379"/>
      <c r="AO78" s="379"/>
      <c r="AP78" s="379"/>
      <c r="AQ78" s="379"/>
      <c r="AR78" s="379"/>
      <c r="AT78" s="377" t="s">
        <v>6</v>
      </c>
      <c r="AU78" s="378"/>
      <c r="AV78" s="378"/>
      <c r="AW78" s="378"/>
      <c r="AX78" s="378"/>
      <c r="AY78" s="378"/>
      <c r="BA78" s="377" t="s">
        <v>6</v>
      </c>
      <c r="BB78" s="378"/>
      <c r="BC78" s="378"/>
      <c r="BD78" s="378"/>
      <c r="BE78" s="378"/>
      <c r="BF78" s="378"/>
      <c r="BH78" s="377" t="s">
        <v>6</v>
      </c>
      <c r="BI78" s="378"/>
      <c r="BJ78" s="378"/>
      <c r="BK78" s="378"/>
      <c r="BL78" s="378"/>
      <c r="BM78" s="378"/>
      <c r="BO78" s="377" t="s">
        <v>6</v>
      </c>
      <c r="BP78" s="378"/>
      <c r="BQ78" s="378"/>
      <c r="BR78" s="378"/>
      <c r="BS78" s="378"/>
      <c r="BT78" s="378"/>
      <c r="BV78" s="377" t="s">
        <v>6</v>
      </c>
      <c r="BW78" s="378"/>
      <c r="BX78" s="378"/>
      <c r="BY78" s="378"/>
      <c r="BZ78" s="378"/>
      <c r="CA78" s="378"/>
      <c r="CC78" s="377" t="s">
        <v>6</v>
      </c>
      <c r="CD78" s="378"/>
      <c r="CE78" s="378"/>
      <c r="CF78" s="378"/>
      <c r="CG78" s="378"/>
      <c r="CH78" s="378"/>
      <c r="CJ78" s="377" t="s">
        <v>6</v>
      </c>
      <c r="CK78" s="378" t="s">
        <v>80</v>
      </c>
      <c r="CL78" s="378" t="s">
        <v>80</v>
      </c>
      <c r="CM78" s="378" t="s">
        <v>80</v>
      </c>
      <c r="CN78" s="378" t="s">
        <v>80</v>
      </c>
      <c r="CO78" s="378">
        <f>+CO77/CO69</f>
        <v>9.6849203580978954E-2</v>
      </c>
      <c r="CQ78" s="377" t="s">
        <v>6</v>
      </c>
      <c r="CR78" s="378">
        <f>+CR77/CR69</f>
        <v>9.4741613780598366E-2</v>
      </c>
      <c r="CS78" s="378">
        <f>+CS77/CS69</f>
        <v>9.2897977132805634E-2</v>
      </c>
      <c r="CT78" s="378">
        <f>+CT77/CT69</f>
        <v>9.1703056768558958E-2</v>
      </c>
      <c r="CU78" s="378">
        <f>+CU77/CU69</f>
        <v>9.0633493623249003E-2</v>
      </c>
      <c r="CV78" s="378">
        <f>+CV77/CV69</f>
        <v>9.0633493623249003E-2</v>
      </c>
      <c r="CX78" s="377" t="s">
        <v>6</v>
      </c>
      <c r="CY78" s="378">
        <f>+CY77/CY69</f>
        <v>9.1125608366987673E-2</v>
      </c>
      <c r="CZ78" s="378">
        <f>+CZ77/CZ69</f>
        <v>9.062052017202539E-2</v>
      </c>
      <c r="DA78" s="378">
        <f>+DA77/DA69</f>
        <v>8.9856838257691141E-2</v>
      </c>
      <c r="DB78" s="378">
        <f>+DB77/DB69</f>
        <v>8.8733798604187439E-2</v>
      </c>
      <c r="DC78" s="378">
        <f>+DC77/DC69</f>
        <v>8.8733798604187439E-2</v>
      </c>
      <c r="DE78" s="377" t="s">
        <v>6</v>
      </c>
      <c r="DF78" s="378">
        <f>+DF77/DF69</f>
        <v>8.6231954267997291E-2</v>
      </c>
      <c r="DG78" s="378">
        <f>+DG77/DG69</f>
        <v>8.3940923537109746E-2</v>
      </c>
      <c r="DH78" s="378">
        <f>+DH77/DH69</f>
        <v>8.1555834378920958E-2</v>
      </c>
      <c r="DI78" s="378">
        <f>+DI77/DI69</f>
        <v>8.1208351843625057E-2</v>
      </c>
      <c r="DJ78" s="378">
        <f>+DJ77/DJ69</f>
        <v>8.1208351843625057E-2</v>
      </c>
      <c r="DL78" s="377" t="s">
        <v>6</v>
      </c>
      <c r="DM78" s="378">
        <f>+DM77/DM69</f>
        <v>8.4623227361201217E-2</v>
      </c>
      <c r="DN78" s="378">
        <f>+DN77/DN69</f>
        <v>9.0295023343597888E-2</v>
      </c>
      <c r="DO78" s="378">
        <f>+DO77/DO69</f>
        <v>9.6114954763171903E-2</v>
      </c>
      <c r="DP78" s="378">
        <f>+DP77/DP69</f>
        <v>9.9878332042915602E-2</v>
      </c>
      <c r="DQ78" s="378">
        <f>+DQ77/DQ69</f>
        <v>9.9878332042915602E-2</v>
      </c>
      <c r="DS78" s="377" t="s">
        <v>6</v>
      </c>
      <c r="DT78" s="378">
        <f>+DT77/DT69</f>
        <v>9.7684437264404955E-2</v>
      </c>
      <c r="DU78" s="378">
        <f>+DU77/DU69</f>
        <v>9.3209054593874838E-2</v>
      </c>
      <c r="DV78" s="378">
        <f>+DV77/DV69</f>
        <v>9.0532544378698218E-2</v>
      </c>
      <c r="DW78" s="378">
        <f>+DW77/DW69</f>
        <v>8.9037232042121092E-2</v>
      </c>
      <c r="DX78" s="378">
        <f>+DX77/DX69</f>
        <v>8.9037232042121092E-2</v>
      </c>
      <c r="DZ78" s="377" t="s">
        <v>6</v>
      </c>
      <c r="EA78" s="378">
        <f>+EA77/EA69</f>
        <v>8.7813783660429023E-2</v>
      </c>
      <c r="EB78" s="378">
        <f>+EB77/EB69</f>
        <v>8.6464503580585272E-2</v>
      </c>
      <c r="EC78" s="378">
        <f>+EC77/EC69</f>
        <v>8.5889042039972427E-2</v>
      </c>
      <c r="ED78" s="378">
        <f>+ED77/ED69</f>
        <v>8.311334411990122E-2</v>
      </c>
      <c r="EE78" s="378">
        <f>+EE77/EE69</f>
        <v>8.311334411990122E-2</v>
      </c>
      <c r="EG78" s="377" t="s">
        <v>6</v>
      </c>
      <c r="EH78" s="378">
        <f>+EH77/EH69</f>
        <v>8.3200268930162205E-2</v>
      </c>
      <c r="EI78" s="378">
        <f>+EI77/EI69</f>
        <v>8.4678775647494112E-2</v>
      </c>
      <c r="EJ78" s="378">
        <f>+EJ77/EJ69</f>
        <v>8.6610843271589272E-2</v>
      </c>
      <c r="EK78" s="378">
        <f>+EK77/EK69</f>
        <v>9.008166042871725E-2</v>
      </c>
      <c r="EL78" s="378">
        <f>+EL77/EL69</f>
        <v>9.008166042871725E-2</v>
      </c>
      <c r="EN78" s="377" t="s">
        <v>6</v>
      </c>
      <c r="EO78" s="378">
        <f>+EO77/EO69</f>
        <v>9.1249574395641811E-2</v>
      </c>
      <c r="EP78" s="378">
        <f>+EP77/EP69</f>
        <v>9.1910207539178321E-2</v>
      </c>
      <c r="EQ78" s="378">
        <f>+EQ77/EQ69</f>
        <v>9.1855583543240971E-2</v>
      </c>
      <c r="ER78" s="378">
        <f>+ER77/ER69</f>
        <v>9.1557472217614858E-2</v>
      </c>
      <c r="ES78" s="378">
        <f>+ES77/ES69</f>
        <v>9.1557472217614858E-2</v>
      </c>
      <c r="EU78" s="377" t="s">
        <v>6</v>
      </c>
      <c r="EV78" s="378">
        <f>+EV77/EV69</f>
        <v>9.2222589167767502E-2</v>
      </c>
      <c r="EW78" s="378">
        <f>+EW77/EW69</f>
        <v>9.1804346056808012E-2</v>
      </c>
      <c r="EX78" s="378">
        <f>+EX77/EX69</f>
        <v>9.1294268126948602E-2</v>
      </c>
      <c r="EY78" s="378">
        <f>+EY77/EY69</f>
        <v>9.0851685215881287E-2</v>
      </c>
      <c r="EZ78" s="378">
        <f>+EZ77/EZ69</f>
        <v>9.0851685215881287E-2</v>
      </c>
      <c r="FB78" s="377" t="s">
        <v>6</v>
      </c>
      <c r="FC78" s="378">
        <f>+FC77/FC69</f>
        <v>9.1690318511510563E-2</v>
      </c>
      <c r="FD78" s="378">
        <f>+FD77/FD69</f>
        <v>9.3969929622520793E-2</v>
      </c>
      <c r="FE78" s="378">
        <f>+FE77/FE69</f>
        <v>9.703812796596302E-2</v>
      </c>
      <c r="FF78" s="378">
        <f>+FF77/FF69</f>
        <v>0.10227753788840911</v>
      </c>
      <c r="FG78" s="378">
        <f>+FG77/FG69</f>
        <v>0.10227753788840911</v>
      </c>
      <c r="FI78" s="377" t="s">
        <v>6</v>
      </c>
      <c r="FJ78" s="378">
        <f>+FJ77/FJ69</f>
        <v>0.10752499561480441</v>
      </c>
      <c r="FK78" s="378">
        <f>+FK77/FK69</f>
        <v>0.11284187647165368</v>
      </c>
      <c r="FL78" s="378">
        <f>+FL77/FL69</f>
        <v>0.11698880976602238</v>
      </c>
      <c r="FM78" s="378">
        <f>+FM77/FM69</f>
        <v>0.11753545939109224</v>
      </c>
      <c r="FN78" s="378">
        <f>+FN77/FN69</f>
        <v>0.11753545939109224</v>
      </c>
      <c r="FP78" s="377" t="s">
        <v>6</v>
      </c>
      <c r="FQ78" s="378">
        <f>+FQ77/FQ69</f>
        <v>0.11554770318021201</v>
      </c>
      <c r="FR78" s="378">
        <f>+FR77/FR69</f>
        <v>0.11394925967616244</v>
      </c>
      <c r="FS78" s="378">
        <f>+FS77/FS69</f>
        <v>0.11448799861854601</v>
      </c>
      <c r="FT78" s="378">
        <f>+FT77/FT69</f>
        <v>0.11526998597475456</v>
      </c>
      <c r="FU78" s="378">
        <f>+FU77/FU69</f>
        <v>0.11526998597475456</v>
      </c>
      <c r="FW78" s="377" t="s">
        <v>6</v>
      </c>
      <c r="FX78" s="378">
        <f>+FX77/FX69</f>
        <v>0.11546211125711783</v>
      </c>
      <c r="FY78" s="378">
        <f>+FY77/FY69</f>
        <v>0.11395027624309392</v>
      </c>
      <c r="FZ78" s="378">
        <f>+FZ77/FZ69</f>
        <v>0.11052631578947368</v>
      </c>
      <c r="GA78" s="378">
        <f>+GA77/GA69</f>
        <v>0.1086530612244898</v>
      </c>
      <c r="GB78" s="378">
        <f>+GB77/GB69</f>
        <v>0.1086530612244898</v>
      </c>
      <c r="GD78" s="377" t="s">
        <v>6</v>
      </c>
      <c r="GE78" s="378">
        <f>+GE77/GE69</f>
        <v>0.10801646887866312</v>
      </c>
      <c r="GF78" s="378">
        <f>+GF77/GF69</f>
        <v>0.10902316539769966</v>
      </c>
      <c r="GG78" s="378">
        <f>+GG77/GG69</f>
        <v>0.11070110701107011</v>
      </c>
      <c r="GH78" s="378">
        <f>+GH77/GH69</f>
        <v>0.11300996900393734</v>
      </c>
      <c r="GI78" s="378">
        <f>+GI77/GI69</f>
        <v>0.11300996900393734</v>
      </c>
      <c r="GK78" s="377" t="s">
        <v>6</v>
      </c>
      <c r="GL78" s="378">
        <f>+GL77/GL69</f>
        <v>0.11571440699550047</v>
      </c>
      <c r="GM78" s="378">
        <f>+GM77/GM69</f>
        <v>0.12485190923175066</v>
      </c>
      <c r="GN78" s="378">
        <f>+GN77/GN69</f>
        <v>0.12966268909142159</v>
      </c>
      <c r="GO78" s="378">
        <f>+GO77/GO69</f>
        <v>0.13068128130019843</v>
      </c>
      <c r="GP78" s="378">
        <f>+GP77/GP69</f>
        <v>0.13068128130019843</v>
      </c>
      <c r="GR78" s="377" t="s">
        <v>6</v>
      </c>
      <c r="GS78" s="378">
        <f>+GS77/GS69</f>
        <v>0.13129684090693483</v>
      </c>
      <c r="GT78" s="378">
        <f>+GT77/GT69</f>
        <v>0.12309329549485633</v>
      </c>
      <c r="GU78" s="378">
        <f>+GU77/GU69</f>
        <v>0.11803691275167785</v>
      </c>
      <c r="GV78" s="378">
        <f>+GV77/GV69</f>
        <v>0.11340041526912634</v>
      </c>
      <c r="GW78" s="378">
        <f>+GW77/GW69</f>
        <v>0.11340041526912634</v>
      </c>
      <c r="GY78" s="377" t="s">
        <v>6</v>
      </c>
      <c r="GZ78" s="378">
        <f>+GZ77/GZ69</f>
        <v>0.10935832952293857</v>
      </c>
      <c r="HA78" s="378">
        <f>+HA77/HA69</f>
        <v>0.10439521043952105</v>
      </c>
      <c r="HB78" s="378">
        <f>+HB77/HB69</f>
        <v>0.10082474226804124</v>
      </c>
      <c r="HC78" s="378">
        <f>+HC77/HC69</f>
        <v>0.10098969905069682</v>
      </c>
      <c r="HD78" s="378">
        <f>+HD77/HD69</f>
        <v>0.10098969905069682</v>
      </c>
      <c r="HF78" s="377" t="s">
        <v>6</v>
      </c>
      <c r="HG78" s="378">
        <f>+HG77/HG69</f>
        <v>0.10121484220256173</v>
      </c>
      <c r="HH78" s="378">
        <f>+HH77/HH69</f>
        <v>0.10419161676646707</v>
      </c>
      <c r="HI78" s="378">
        <f>+HI77/HI69</f>
        <v>0.10790779900727544</v>
      </c>
      <c r="HJ78" s="378">
        <f>+HJ77/HJ69</f>
        <v>0.10991335198198812</v>
      </c>
      <c r="HK78" s="378">
        <f>+HK77/HK69</f>
        <v>0.10991335198198812</v>
      </c>
      <c r="HM78" s="377" t="s">
        <v>6</v>
      </c>
      <c r="HN78" s="378">
        <f>+HN77/HN69</f>
        <v>0.11126298523783489</v>
      </c>
      <c r="HO78" s="378">
        <f>+HO77/HO69</f>
        <v>0.11179445127784611</v>
      </c>
      <c r="HP78" s="378">
        <f>+HP77/HP69</f>
        <v>0.11259450991076903</v>
      </c>
      <c r="HQ78" s="378">
        <f>+HQ77/HQ69</f>
        <v>0.11403026134800551</v>
      </c>
      <c r="HR78" s="378">
        <f>+HR77/HR69</f>
        <v>0.11403026134800551</v>
      </c>
      <c r="HT78" s="377" t="s">
        <v>6</v>
      </c>
      <c r="HU78" s="378">
        <f>+HU77/HU69</f>
        <v>0.11714045651869485</v>
      </c>
      <c r="HV78" s="378">
        <f>+HV77/HV69</f>
        <v>0.1193924408336277</v>
      </c>
      <c r="HW78" s="378">
        <f>+HW77/HW69</f>
        <v>0.12022941301423211</v>
      </c>
      <c r="HX78" s="378">
        <f>+HX77/HX69</f>
        <v>0.11921657678115243</v>
      </c>
      <c r="HY78" s="378">
        <f>+HY77/HY69</f>
        <v>0.11921657678115243</v>
      </c>
      <c r="IA78" s="377" t="s">
        <v>6</v>
      </c>
      <c r="IB78" s="378">
        <f>+IB77/IB69</f>
        <v>0.11847286837819845</v>
      </c>
      <c r="IC78" s="378">
        <f>+IC77/IC69</f>
        <v>0.11746296332696009</v>
      </c>
      <c r="ID78" s="378">
        <f>+ID77/ID69</f>
        <v>0.11629336020474061</v>
      </c>
      <c r="IE78" s="378">
        <f>+IE77/IE69</f>
        <v>0.11604165275111138</v>
      </c>
      <c r="IF78" s="378">
        <f>+IF77/IF69</f>
        <v>0.1160416527511114</v>
      </c>
      <c r="IH78" s="377" t="s">
        <v>6</v>
      </c>
      <c r="II78" s="378">
        <f>+II77/II69</f>
        <v>0.11526227566748619</v>
      </c>
      <c r="IJ78" s="378">
        <f>+IJ77/IJ69</f>
        <v>0.11459173614415832</v>
      </c>
      <c r="IK78" s="378">
        <f>+IK77/IK69</f>
        <v>0.11407741293109422</v>
      </c>
      <c r="IL78" s="378">
        <f>+IL77/IL69</f>
        <v>0.11369545506021965</v>
      </c>
      <c r="IM78" s="378">
        <f>+IM77/IM69</f>
        <v>0.11369545506021965</v>
      </c>
      <c r="IO78" s="377" t="s">
        <v>6</v>
      </c>
      <c r="IP78" s="378">
        <f>+IP77/IP69</f>
        <v>0.11340199408103523</v>
      </c>
      <c r="IQ78" s="378">
        <f>+IQ77/IQ69</f>
        <v>0.11307420469574729</v>
      </c>
      <c r="IR78" s="378">
        <f>+IR77/IR69</f>
        <v>0.11274048208613094</v>
      </c>
      <c r="IS78" s="378">
        <f>+IS77/IS69</f>
        <v>0.11243868834010699</v>
      </c>
      <c r="IT78" s="378">
        <f>+IT77/IT69</f>
        <v>0.11243868834010698</v>
      </c>
    </row>
    <row r="79" spans="1:254" x14ac:dyDescent="0.4">
      <c r="A79" s="384"/>
      <c r="B79" s="385"/>
      <c r="C79" s="386"/>
      <c r="D79" s="386"/>
      <c r="E79" s="386"/>
      <c r="F79" s="386"/>
      <c r="G79" s="386"/>
      <c r="H79" s="386"/>
      <c r="I79" s="386"/>
      <c r="J79" s="386"/>
      <c r="K79" s="386"/>
      <c r="L79" s="386"/>
      <c r="M79" s="386"/>
      <c r="N79" s="386"/>
      <c r="O79" s="386"/>
      <c r="P79" s="386"/>
      <c r="Q79" s="386"/>
      <c r="R79" s="386"/>
      <c r="S79" s="386"/>
      <c r="T79" s="386"/>
      <c r="U79" s="386"/>
      <c r="V79" s="386"/>
      <c r="W79" s="386"/>
      <c r="X79" s="386"/>
      <c r="Y79" s="386"/>
      <c r="Z79" s="386"/>
      <c r="AA79" s="386"/>
      <c r="AB79" s="378"/>
      <c r="AC79" s="378"/>
      <c r="AD79" s="378"/>
      <c r="AE79" s="378"/>
      <c r="AF79" s="378"/>
      <c r="AG79" s="379"/>
      <c r="AH79" s="379"/>
      <c r="AI79" s="379"/>
      <c r="AJ79" s="379"/>
      <c r="AK79" s="379"/>
      <c r="AL79" s="379"/>
      <c r="AM79" s="379"/>
      <c r="AN79" s="379"/>
      <c r="AO79" s="379"/>
      <c r="AP79" s="379"/>
      <c r="AQ79" s="379"/>
      <c r="AR79" s="379"/>
      <c r="AT79" s="385"/>
      <c r="AU79" s="386"/>
      <c r="AV79" s="386"/>
      <c r="AW79" s="386"/>
      <c r="AX79" s="386"/>
      <c r="AY79" s="386"/>
      <c r="BA79" s="385"/>
      <c r="BB79" s="386"/>
      <c r="BC79" s="386"/>
      <c r="BD79" s="386"/>
      <c r="BE79" s="386"/>
      <c r="BF79" s="386"/>
      <c r="BH79" s="385"/>
      <c r="BI79" s="386"/>
      <c r="BJ79" s="386"/>
      <c r="BK79" s="386"/>
      <c r="BL79" s="386"/>
      <c r="BM79" s="386"/>
      <c r="BO79" s="385"/>
      <c r="BP79" s="386"/>
      <c r="BQ79" s="386"/>
      <c r="BR79" s="386"/>
      <c r="BS79" s="386"/>
      <c r="BT79" s="386"/>
      <c r="BV79" s="385"/>
      <c r="BW79" s="386"/>
      <c r="BX79" s="386"/>
      <c r="BY79" s="386"/>
      <c r="BZ79" s="386"/>
      <c r="CA79" s="386"/>
      <c r="CC79" s="385"/>
      <c r="CD79" s="386"/>
      <c r="CE79" s="386"/>
      <c r="CF79" s="386"/>
      <c r="CG79" s="386"/>
      <c r="CH79" s="386"/>
      <c r="CJ79" s="385"/>
      <c r="CK79" s="386"/>
      <c r="CL79" s="386"/>
      <c r="CM79" s="386"/>
      <c r="CN79" s="386"/>
      <c r="CO79" s="386"/>
      <c r="CQ79" s="385"/>
      <c r="CR79" s="386"/>
      <c r="CS79" s="386"/>
      <c r="CT79" s="386"/>
      <c r="CU79" s="386"/>
      <c r="CV79" s="386"/>
      <c r="CX79" s="385"/>
      <c r="CY79" s="386"/>
      <c r="CZ79" s="386"/>
      <c r="DA79" s="386"/>
      <c r="DB79" s="386"/>
      <c r="DC79" s="386"/>
      <c r="DE79" s="385"/>
      <c r="DF79" s="386"/>
      <c r="DG79" s="386"/>
      <c r="DH79" s="386"/>
      <c r="DI79" s="386"/>
      <c r="DJ79" s="386"/>
      <c r="DL79" s="385"/>
      <c r="DM79" s="386"/>
      <c r="DN79" s="386"/>
      <c r="DO79" s="386"/>
      <c r="DP79" s="386"/>
      <c r="DQ79" s="386"/>
      <c r="DS79" s="385"/>
      <c r="DT79" s="386"/>
      <c r="DU79" s="386"/>
      <c r="DV79" s="386"/>
      <c r="DW79" s="386"/>
      <c r="DX79" s="386"/>
      <c r="DZ79" s="385"/>
      <c r="EA79" s="386"/>
      <c r="EB79" s="386"/>
      <c r="EC79" s="386"/>
      <c r="ED79" s="386"/>
      <c r="EE79" s="386"/>
      <c r="EG79" s="385"/>
      <c r="EH79" s="386"/>
      <c r="EI79" s="386"/>
      <c r="EJ79" s="386"/>
      <c r="EK79" s="386"/>
      <c r="EL79" s="386"/>
      <c r="EN79" s="385"/>
      <c r="EO79" s="386"/>
      <c r="EP79" s="386"/>
      <c r="EQ79" s="386"/>
      <c r="ER79" s="386"/>
      <c r="ES79" s="386"/>
      <c r="EU79" s="385"/>
      <c r="EV79" s="386"/>
      <c r="EW79" s="386"/>
      <c r="EX79" s="386"/>
      <c r="EY79" s="386"/>
      <c r="EZ79" s="386"/>
      <c r="FB79" s="385"/>
      <c r="FC79" s="386"/>
      <c r="FD79" s="386"/>
      <c r="FE79" s="386"/>
      <c r="FF79" s="386"/>
      <c r="FG79" s="386"/>
      <c r="FI79" s="385"/>
      <c r="FJ79" s="386"/>
      <c r="FK79" s="386"/>
      <c r="FL79" s="386"/>
      <c r="FM79" s="386"/>
      <c r="FN79" s="386"/>
      <c r="FP79" s="385"/>
      <c r="FQ79" s="386"/>
      <c r="FR79" s="386"/>
      <c r="FS79" s="386"/>
      <c r="FT79" s="386"/>
      <c r="FU79" s="386"/>
      <c r="FW79" s="385"/>
      <c r="FX79" s="386"/>
      <c r="FY79" s="386"/>
      <c r="FZ79" s="386"/>
      <c r="GA79" s="386"/>
      <c r="GB79" s="386"/>
      <c r="GD79" s="385"/>
      <c r="GE79" s="386"/>
      <c r="GF79" s="386"/>
      <c r="GG79" s="386"/>
      <c r="GH79" s="386"/>
      <c r="GI79" s="386"/>
      <c r="GK79" s="385"/>
      <c r="GL79" s="386"/>
      <c r="GM79" s="386"/>
      <c r="GN79" s="386"/>
      <c r="GO79" s="386"/>
      <c r="GP79" s="386"/>
      <c r="GR79" s="385"/>
      <c r="GS79" s="386"/>
      <c r="GT79" s="386"/>
      <c r="GU79" s="386"/>
      <c r="GV79" s="386"/>
      <c r="GW79" s="386"/>
      <c r="GY79" s="385"/>
      <c r="GZ79" s="386"/>
      <c r="HA79" s="386"/>
      <c r="HB79" s="386"/>
      <c r="HC79" s="386"/>
      <c r="HD79" s="386"/>
      <c r="HF79" s="385"/>
      <c r="HG79" s="386"/>
      <c r="HH79" s="386"/>
      <c r="HI79" s="386"/>
      <c r="HJ79" s="386"/>
      <c r="HK79" s="386"/>
      <c r="HM79" s="385"/>
      <c r="HN79" s="386"/>
      <c r="HO79" s="386"/>
      <c r="HP79" s="386"/>
      <c r="HQ79" s="386"/>
      <c r="HR79" s="386"/>
      <c r="HT79" s="385"/>
      <c r="HU79" s="386"/>
      <c r="HV79" s="386"/>
      <c r="HW79" s="386"/>
      <c r="HX79" s="386"/>
      <c r="HY79" s="378"/>
      <c r="IA79" s="385"/>
      <c r="IB79" s="386"/>
      <c r="IC79" s="386"/>
      <c r="ID79" s="386"/>
      <c r="IE79" s="386"/>
      <c r="IF79" s="378"/>
      <c r="IH79" s="385"/>
      <c r="II79" s="386"/>
      <c r="IJ79" s="386"/>
      <c r="IK79" s="386"/>
      <c r="IL79" s="386"/>
      <c r="IM79" s="378"/>
      <c r="IO79" s="385"/>
      <c r="IP79" s="386"/>
      <c r="IQ79" s="386"/>
      <c r="IR79" s="386"/>
      <c r="IS79" s="386"/>
      <c r="IT79" s="378"/>
    </row>
    <row r="80" spans="1:254" x14ac:dyDescent="0.4">
      <c r="A80" s="384"/>
      <c r="B80" s="318" t="s">
        <v>25</v>
      </c>
      <c r="C80" s="319">
        <f>AY80</f>
        <v>0</v>
      </c>
      <c r="D80" s="319">
        <f>BF80</f>
        <v>0</v>
      </c>
      <c r="E80" s="319">
        <f>BM80</f>
        <v>0</v>
      </c>
      <c r="F80" s="319">
        <f>BT80</f>
        <v>0</v>
      </c>
      <c r="G80" s="319">
        <f>CA80</f>
        <v>0</v>
      </c>
      <c r="H80" s="319">
        <f>CH80</f>
        <v>0</v>
      </c>
      <c r="I80" s="319">
        <f>CO80</f>
        <v>1776</v>
      </c>
      <c r="J80" s="319">
        <f>CV80</f>
        <v>1964</v>
      </c>
      <c r="K80" s="319">
        <f>DC80</f>
        <v>1924</v>
      </c>
      <c r="L80" s="319">
        <f>DJ80</f>
        <v>2135</v>
      </c>
      <c r="M80" s="319">
        <f>DQ80</f>
        <v>1863</v>
      </c>
      <c r="N80" s="319">
        <f>DX80</f>
        <v>2075</v>
      </c>
      <c r="O80" s="319">
        <f>EE80</f>
        <v>2229</v>
      </c>
      <c r="P80" s="319">
        <f>EL80</f>
        <v>2156</v>
      </c>
      <c r="Q80" s="319">
        <f>ES80</f>
        <v>2275</v>
      </c>
      <c r="R80" s="319">
        <f>EZ80</f>
        <v>2484</v>
      </c>
      <c r="S80" s="319">
        <f>FG80</f>
        <v>2336</v>
      </c>
      <c r="T80" s="319">
        <f>FN80</f>
        <v>2073</v>
      </c>
      <c r="U80" s="319">
        <f>FU80</f>
        <v>2114</v>
      </c>
      <c r="V80" s="319">
        <f>GB80</f>
        <v>1967</v>
      </c>
      <c r="W80" s="319">
        <f>GI80</f>
        <v>1784</v>
      </c>
      <c r="X80" s="319">
        <f>GP80</f>
        <v>1684</v>
      </c>
      <c r="Y80" s="319">
        <f>GW80</f>
        <v>2132</v>
      </c>
      <c r="Z80" s="319">
        <f>HD80</f>
        <v>2685</v>
      </c>
      <c r="AA80" s="319">
        <f>HK80</f>
        <v>2792</v>
      </c>
      <c r="AB80" s="130">
        <f>HR80</f>
        <v>2852</v>
      </c>
      <c r="AC80" s="130">
        <f>HY80</f>
        <v>2979</v>
      </c>
      <c r="AD80" s="130">
        <f>IF80</f>
        <v>2934.8989221749998</v>
      </c>
      <c r="AE80" s="130">
        <f>IM80</f>
        <v>2883.4269992561603</v>
      </c>
      <c r="AF80" s="130">
        <f>IT80</f>
        <v>2955.1465010158845</v>
      </c>
      <c r="AG80" s="376"/>
      <c r="AH80" s="376"/>
      <c r="AI80" s="376"/>
      <c r="AJ80" s="376"/>
      <c r="AK80" s="376"/>
      <c r="AL80" s="376"/>
      <c r="AM80" s="376"/>
      <c r="AN80" s="376"/>
      <c r="AO80" s="376"/>
      <c r="AP80" s="376"/>
      <c r="AQ80" s="376"/>
      <c r="AR80" s="376"/>
      <c r="AT80" s="318" t="s">
        <v>25</v>
      </c>
      <c r="AU80" s="319"/>
      <c r="AV80" s="319"/>
      <c r="AW80" s="319"/>
      <c r="AX80" s="319"/>
      <c r="AY80" s="319"/>
      <c r="BA80" s="318" t="s">
        <v>25</v>
      </c>
      <c r="BB80" s="319"/>
      <c r="BC80" s="319"/>
      <c r="BD80" s="319"/>
      <c r="BE80" s="319"/>
      <c r="BF80" s="319"/>
      <c r="BH80" s="318" t="s">
        <v>25</v>
      </c>
      <c r="BI80" s="319"/>
      <c r="BJ80" s="319"/>
      <c r="BK80" s="319"/>
      <c r="BL80" s="319"/>
      <c r="BM80" s="319"/>
      <c r="BO80" s="318" t="s">
        <v>25</v>
      </c>
      <c r="BP80" s="319"/>
      <c r="BQ80" s="319"/>
      <c r="BR80" s="319"/>
      <c r="BS80" s="319"/>
      <c r="BT80" s="319"/>
      <c r="BV80" s="318" t="s">
        <v>25</v>
      </c>
      <c r="BW80" s="319"/>
      <c r="BX80" s="319"/>
      <c r="BY80" s="319"/>
      <c r="BZ80" s="319"/>
      <c r="CA80" s="319"/>
      <c r="CC80" s="318" t="s">
        <v>25</v>
      </c>
      <c r="CD80" s="319"/>
      <c r="CE80" s="319"/>
      <c r="CF80" s="319"/>
      <c r="CG80" s="319"/>
      <c r="CH80" s="319"/>
      <c r="CJ80" s="318" t="s">
        <v>25</v>
      </c>
      <c r="CK80" s="319" t="s">
        <v>80</v>
      </c>
      <c r="CL80" s="319" t="s">
        <v>80</v>
      </c>
      <c r="CM80" s="319" t="s">
        <v>80</v>
      </c>
      <c r="CN80" s="319" t="s">
        <v>80</v>
      </c>
      <c r="CO80" s="319">
        <f>+CSX!GD28</f>
        <v>1776</v>
      </c>
      <c r="CQ80" s="318" t="s">
        <v>25</v>
      </c>
      <c r="CR80" s="319">
        <f>+SUM(CSX!GA28:GC28,CSX!GG28)</f>
        <v>1796</v>
      </c>
      <c r="CS80" s="319">
        <f>+SUM(CSX!GG28:GH28,CSX!GB28:GC28)</f>
        <v>1846</v>
      </c>
      <c r="CT80" s="319">
        <f>+SUM(CSX!GG28:GI28,CSX!GC28)</f>
        <v>1889</v>
      </c>
      <c r="CU80" s="319">
        <f>+SUM(CSX!GG28:GJ28)</f>
        <v>1964</v>
      </c>
      <c r="CV80" s="319">
        <f>+CSX!GK28</f>
        <v>1964</v>
      </c>
      <c r="CX80" s="318" t="s">
        <v>25</v>
      </c>
      <c r="CY80" s="319">
        <f>+SUM(CSX!GH28:GJ28,CSX!GN28)</f>
        <v>2021</v>
      </c>
      <c r="CZ80" s="319">
        <f>+SUM(CSX!GN28:GO28,CSX!GI28:GJ28)</f>
        <v>2002</v>
      </c>
      <c r="DA80" s="319">
        <f>+SUM(CSX!GN28:GP28,CSX!GJ28)</f>
        <v>1976</v>
      </c>
      <c r="DB80" s="319">
        <f>+SUM(CSX!GN28:GQ28)</f>
        <v>1924</v>
      </c>
      <c r="DC80" s="319">
        <f>+CSX!GR28</f>
        <v>1924</v>
      </c>
      <c r="DE80" s="318" t="s">
        <v>25</v>
      </c>
      <c r="DF80" s="319">
        <f>+SUM(CSX!GO28:GQ28,CSX!GU28)</f>
        <v>1892</v>
      </c>
      <c r="DG80" s="319">
        <f>+SUM(CSX!GU28:GV28,CSX!GP28:GQ28)</f>
        <v>1935</v>
      </c>
      <c r="DH80" s="319">
        <f>+SUM(CSX!GU28:GW28,CSX!GQ28)</f>
        <v>2032</v>
      </c>
      <c r="DI80" s="319">
        <f>+SUM(CSX!GU28:GX28)</f>
        <v>2135</v>
      </c>
      <c r="DJ80" s="319">
        <f>+CSX!GY28</f>
        <v>2135</v>
      </c>
      <c r="DL80" s="318" t="s">
        <v>25</v>
      </c>
      <c r="DM80" s="319">
        <f>+SUM(CSX!GV28:GX28,CSX!HB28)</f>
        <v>2105</v>
      </c>
      <c r="DN80" s="319">
        <f>+SUM(CSX!HB28:HC28,CSX!GW28:GX28)</f>
        <v>2036</v>
      </c>
      <c r="DO80" s="319">
        <f>+SUM(CSX!HB28:HD28,CSX!GX28)</f>
        <v>1968</v>
      </c>
      <c r="DP80" s="319">
        <f>+SUM(CSX!HB28:HE28)</f>
        <v>1863</v>
      </c>
      <c r="DQ80" s="319">
        <f>+CSX!HF28</f>
        <v>1863</v>
      </c>
      <c r="DS80" s="318" t="s">
        <v>25</v>
      </c>
      <c r="DT80" s="319">
        <f>+SUM(CSX!HC28:HE28,CSX!HI28)</f>
        <v>1905</v>
      </c>
      <c r="DU80" s="319">
        <f>+SUM(CSX!HI28:HJ28,CSX!HD28:HE28)</f>
        <v>2012</v>
      </c>
      <c r="DV80" s="319">
        <f>+SUM(CSX!HI28:HK28,CSX!HE28)</f>
        <v>2021</v>
      </c>
      <c r="DW80" s="319">
        <f>+SUM(CSX!HI28:HL28)</f>
        <v>2075</v>
      </c>
      <c r="DX80" s="319">
        <f>+CSX!HM28</f>
        <v>2075</v>
      </c>
      <c r="DZ80" s="318" t="s">
        <v>25</v>
      </c>
      <c r="EA80" s="319">
        <f>+SUM(CSX!HJ28:HL28,CSX!HP28)</f>
        <v>2086</v>
      </c>
      <c r="EB80" s="319">
        <f>+SUM(CSX!HP28:HQ28,CSX!HK28:HL28)</f>
        <v>2092</v>
      </c>
      <c r="EC80" s="319">
        <f>+SUM(CSX!HP28:HR28,CSX!HL28)</f>
        <v>2145</v>
      </c>
      <c r="ED80" s="319">
        <f>+SUM(CSX!HP28:HS28)</f>
        <v>2229</v>
      </c>
      <c r="EE80" s="319">
        <f>+CSX!HT28</f>
        <v>2229</v>
      </c>
      <c r="EG80" s="318" t="s">
        <v>25</v>
      </c>
      <c r="EH80" s="319">
        <f>+SUM(CSX!HQ28:HS28,CSX!HW28)</f>
        <v>2241</v>
      </c>
      <c r="EI80" s="319">
        <f>+SUM(CSX!HW28:HX28,CSX!HR28:HS28)</f>
        <v>2234</v>
      </c>
      <c r="EJ80" s="319">
        <f>+SUM(CSX!HW28:HY28,CSX!HS28)</f>
        <v>2197</v>
      </c>
      <c r="EK80" s="319">
        <f>+SUM(CSX!HW28:HZ28)</f>
        <v>2156</v>
      </c>
      <c r="EL80" s="319">
        <f>+CSX!IA28</f>
        <v>2156</v>
      </c>
      <c r="EN80" s="318" t="s">
        <v>25</v>
      </c>
      <c r="EO80" s="319">
        <f>+SUM(CSX!HX28:HZ28,CSX!ID28)</f>
        <v>2121</v>
      </c>
      <c r="EP80" s="319">
        <f>+SUM(CSX!ID28:IE28,CSX!HY28:HZ28)</f>
        <v>2131</v>
      </c>
      <c r="EQ80" s="319">
        <f>+SUM(CSX!ID28:IF28,CSX!HZ28)</f>
        <v>2182</v>
      </c>
      <c r="ER80" s="319">
        <f>+SUM(CSX!ID28:IG28)</f>
        <v>2275</v>
      </c>
      <c r="ES80" s="319">
        <f>+CSX!IH28</f>
        <v>2275</v>
      </c>
      <c r="EU80" s="318" t="s">
        <v>25</v>
      </c>
      <c r="EV80" s="319">
        <f>+SUM(CSX!IE28:IG28,CSX!IK28)</f>
        <v>2397</v>
      </c>
      <c r="EW80" s="319">
        <f>+SUM(CSX!IK28:IL28,CSX!IF28:IG28)</f>
        <v>2458</v>
      </c>
      <c r="EX80" s="319">
        <f>+SUM(CSX!IK28:IM28,CSX!IG28)</f>
        <v>2492</v>
      </c>
      <c r="EY80" s="319">
        <f>+SUM(CSX!IK28:IN28)</f>
        <v>2484</v>
      </c>
      <c r="EZ80" s="319">
        <f>+CSX!IO28</f>
        <v>2484</v>
      </c>
      <c r="FB80" s="318" t="s">
        <v>25</v>
      </c>
      <c r="FC80" s="319">
        <f>+SUM(CSX!IL28:IN28,CSX!IR28)</f>
        <v>2482</v>
      </c>
      <c r="FD80" s="319">
        <f>+SUM(CSX!IR28:IS28,CSX!IM28:IN28)</f>
        <v>2420</v>
      </c>
      <c r="FE80" s="319">
        <f>+SUM(CSX!IR28:IT28,CSX!IN28)</f>
        <v>2390</v>
      </c>
      <c r="FF80" s="319">
        <f>+SUM(CSX!IR28:IU28)</f>
        <v>2336</v>
      </c>
      <c r="FG80" s="319">
        <f>+CSX!IV28</f>
        <v>2336</v>
      </c>
      <c r="FI80" s="318" t="s">
        <v>25</v>
      </c>
      <c r="FJ80" s="319">
        <f>+SUM(CSX!IS28:IU28,CSX!IY28)</f>
        <v>2259</v>
      </c>
      <c r="FK80" s="319">
        <f>+SUM(CSX!IY28:IZ28,CSX!IT28:IU28)</f>
        <v>2219</v>
      </c>
      <c r="FL80" s="319">
        <f>+SUM(CSX!IY28:JA28,CSX!IU28)</f>
        <v>2146</v>
      </c>
      <c r="FM80" s="319">
        <f>+SUM(CSX!IY28:JB28)</f>
        <v>2073</v>
      </c>
      <c r="FN80" s="319">
        <f>+CSX!JC28</f>
        <v>2073</v>
      </c>
      <c r="FP80" s="318" t="s">
        <v>25</v>
      </c>
      <c r="FQ80" s="319">
        <f>+SUM(CSX!IZ28:JB28,CSX!JF28)</f>
        <v>2094</v>
      </c>
      <c r="FR80" s="319">
        <f>+SUM(CSX!JF28:JG28,CSX!JA28:JB28)</f>
        <v>2071</v>
      </c>
      <c r="FS80" s="319">
        <f>+SUM(CSX!JF28:JH28,CSX!JB28)</f>
        <v>2087</v>
      </c>
      <c r="FT80" s="319">
        <f>+SUM(CSX!JF28:JI28)</f>
        <v>2114</v>
      </c>
      <c r="FU80" s="319">
        <f>+CSX!JJ28</f>
        <v>2114</v>
      </c>
      <c r="FW80" s="318" t="s">
        <v>25</v>
      </c>
      <c r="FX80" s="319">
        <f>+SUM(CSX!JG28:JI28,CSX!JM28)</f>
        <v>2025</v>
      </c>
      <c r="FY80" s="319">
        <f>+SUM(CSX!JM28:JN28,CSX!JH28:JI28)</f>
        <v>1998</v>
      </c>
      <c r="FZ80" s="319">
        <f>+SUM(CSX!JM28:JO28,CSX!JI28)</f>
        <v>1949</v>
      </c>
      <c r="GA80" s="319">
        <f>+SUM(CSX!JM28:JP28)</f>
        <v>1967</v>
      </c>
      <c r="GB80" s="319">
        <f>+CSX!JQ28</f>
        <v>1967</v>
      </c>
      <c r="GD80" s="318" t="s">
        <v>25</v>
      </c>
      <c r="GE80" s="319">
        <f>+SUM(CSX!JN28:JP28,CSX!JT28)</f>
        <v>1963</v>
      </c>
      <c r="GF80" s="319">
        <f>+SUM(CSX!JT28:JU28,CSX!JO28:JP28)</f>
        <v>1949</v>
      </c>
      <c r="GG80" s="319">
        <f>+SUM(CSX!JT28:JV28,CSX!JP28)</f>
        <v>1890</v>
      </c>
      <c r="GH80" s="319">
        <f>+SUM(CSX!JT28:JW28)</f>
        <v>1784</v>
      </c>
      <c r="GI80" s="319">
        <f>+CSX!JX28</f>
        <v>1784</v>
      </c>
      <c r="GK80" s="318" t="s">
        <v>25</v>
      </c>
      <c r="GL80" s="319">
        <f>+SUM(CSX!JU28:JW28,CSX!KA28)</f>
        <v>1760</v>
      </c>
      <c r="GM80" s="319">
        <f>+SUM(CSX!KA28:KB28,CSX!JV28:JW28)</f>
        <v>1712</v>
      </c>
      <c r="GN80" s="319">
        <f>+SUM(CSX!KA28:KC28,CSX!JW28)</f>
        <v>1675</v>
      </c>
      <c r="GO80" s="319">
        <f>+SUM(CSX!KA28:KD28)</f>
        <v>1684</v>
      </c>
      <c r="GP80" s="319">
        <f>+CSX!KE28</f>
        <v>1684</v>
      </c>
      <c r="GR80" s="318" t="s">
        <v>25</v>
      </c>
      <c r="GS80" s="319">
        <f>+SUM(CSX!KB28:KD28,CSX!KH28)</f>
        <v>1699</v>
      </c>
      <c r="GT80" s="319">
        <f>+SUM(CSX!KH28:KI28,CSX!KC28:KD28)</f>
        <v>1733</v>
      </c>
      <c r="GU80" s="319">
        <f>+SUM(CSX!KH28:KJ28,CSX!KD28)</f>
        <v>1932</v>
      </c>
      <c r="GV80" s="319">
        <f>+SUM(CSX!KH28:KK28)</f>
        <v>2132</v>
      </c>
      <c r="GW80" s="319">
        <f>+CSX!KL28</f>
        <v>2132</v>
      </c>
      <c r="GY80" s="318" t="s">
        <v>25</v>
      </c>
      <c r="GZ80" s="319">
        <f>+SUM(CSX!KI28:KK28,CSX!KO28)</f>
        <v>2338</v>
      </c>
      <c r="HA80" s="319">
        <f>+SUM(CSX!KO28:KP28,CSX!KJ28:KK28)</f>
        <v>2544</v>
      </c>
      <c r="HB80" s="319">
        <f>+SUM(CSX!KO28:KQ28,CSX!KK28)</f>
        <v>2631</v>
      </c>
      <c r="HC80" s="319">
        <f>+SUM(CSX!KO28:KR28)</f>
        <v>2685</v>
      </c>
      <c r="HD80" s="319">
        <f>+CSX!KS28</f>
        <v>2685</v>
      </c>
      <c r="HF80" s="318" t="s">
        <v>25</v>
      </c>
      <c r="HG80" s="319">
        <f>+SUM(CSX!KP28:KR28,CSX!KV28)</f>
        <v>2708</v>
      </c>
      <c r="HH80" s="319">
        <f>+SUM(CSX!KV28:KW28,CSX!KQ28:KR28)</f>
        <v>2752</v>
      </c>
      <c r="HI80" s="319">
        <f>+SUM(CSX!KV28:KX28,CSX!KR28)</f>
        <v>2788</v>
      </c>
      <c r="HJ80" s="319">
        <f>+SUM(CSX!KV28:KY28)</f>
        <v>2792</v>
      </c>
      <c r="HK80" s="319">
        <f>+CSX!KZ28</f>
        <v>2792</v>
      </c>
      <c r="HM80" s="318" t="s">
        <v>25</v>
      </c>
      <c r="HN80" s="319">
        <f>+SUM(CSX!KW28:KY28,CSX!LC28)</f>
        <v>2815</v>
      </c>
      <c r="HO80" s="319">
        <f>+SUM(Expense!LA8:LB8,CSX!KX28:KY28)</f>
        <v>2823</v>
      </c>
      <c r="HP80" s="319">
        <f>+SUM(CSX!LC28:LE28,CSX!KY28)</f>
        <v>2798</v>
      </c>
      <c r="HQ80" s="319">
        <f>+SUM(CSX!LC28:LF28)</f>
        <v>2852</v>
      </c>
      <c r="HR80" s="319">
        <f>+CSX!LG28</f>
        <v>2852</v>
      </c>
      <c r="HT80" s="318" t="s">
        <v>25</v>
      </c>
      <c r="HU80" s="319">
        <f>+SUM(Expense!LB8:LD8,Expense!LH8)</f>
        <v>2905</v>
      </c>
      <c r="HV80" s="319">
        <f>+SUM(Expense!LH8:LI8,Expense!LC8:LD8)</f>
        <v>2916</v>
      </c>
      <c r="HW80" s="319">
        <f>+SUM(Expense!LH8:LJ8,Expense!LD8)</f>
        <v>2958</v>
      </c>
      <c r="HX80" s="319">
        <f>+SUM(Expense!LH8:LK8)</f>
        <v>2979</v>
      </c>
      <c r="HY80" s="130">
        <f>+Expense!LL8</f>
        <v>2979</v>
      </c>
      <c r="IA80" s="318" t="s">
        <v>25</v>
      </c>
      <c r="IB80" s="319">
        <f>+SUM(Expense!LI8:LK8,Expense!LO8)</f>
        <v>2914.4675721250001</v>
      </c>
      <c r="IC80" s="319">
        <f>+SUM(Expense!LO8:LP8,Expense!LJ8:LK8)</f>
        <v>2920.7378873500002</v>
      </c>
      <c r="ID80" s="319">
        <f>+SUM(Expense!LO8:LQ8,Expense!LK8)</f>
        <v>2940.8207831999998</v>
      </c>
      <c r="IE80" s="319">
        <f>+SUM(Expense!LO8:LR8)</f>
        <v>2934.8989221749998</v>
      </c>
      <c r="IF80" s="130">
        <f>+Expense!LS8</f>
        <v>2934.8989221749998</v>
      </c>
      <c r="IH80" s="318" t="s">
        <v>25</v>
      </c>
      <c r="II80" s="319">
        <f>+SUM(Expense!LP8:LR8,Expense!LV8)</f>
        <v>2932.9371422088011</v>
      </c>
      <c r="IJ80" s="319">
        <f>+SUM(Expense!LV8:LW8,Expense!LQ8:LR8)</f>
        <v>2921.3231237110631</v>
      </c>
      <c r="IK80" s="319">
        <f>+SUM(Expense!LV8:LX8,Expense!LR8)</f>
        <v>2901.3023355094069</v>
      </c>
      <c r="IL80" s="319">
        <f>+SUM(Expense!LV8:LY8)</f>
        <v>2883.4269992561603</v>
      </c>
      <c r="IM80" s="130">
        <f>+Expense!LZ8</f>
        <v>2883.4269992561603</v>
      </c>
      <c r="IO80" s="318" t="s">
        <v>25</v>
      </c>
      <c r="IP80" s="319">
        <f>+SUM(Expense!LW8:LY8,Expense!MC8)</f>
        <v>2896.2063630760422</v>
      </c>
      <c r="IQ80" s="319">
        <f>+SUM(Expense!MC8:MD8,Expense!LX8:LY8)</f>
        <v>2915.4086483404531</v>
      </c>
      <c r="IR80" s="319">
        <f>+SUM(Expense!MC8:ME8,Expense!LY8)</f>
        <v>2942.8302670550938</v>
      </c>
      <c r="IS80" s="319">
        <f>+SUM(Expense!MC8:MF8)</f>
        <v>2955.1465010158845</v>
      </c>
      <c r="IT80" s="130">
        <f>+Expense!MG8</f>
        <v>2955.1465010158845</v>
      </c>
    </row>
    <row r="81" spans="1:254" x14ac:dyDescent="0.4">
      <c r="A81" s="384"/>
      <c r="B81" s="377" t="s">
        <v>209</v>
      </c>
      <c r="C81" s="378">
        <f>AY81</f>
        <v>0</v>
      </c>
      <c r="D81" s="378">
        <f>BF81</f>
        <v>0</v>
      </c>
      <c r="E81" s="378">
        <f>BM81</f>
        <v>0</v>
      </c>
      <c r="F81" s="378">
        <f>BT81</f>
        <v>0</v>
      </c>
      <c r="G81" s="378">
        <f>CA81</f>
        <v>0</v>
      </c>
      <c r="H81" s="378">
        <f>CH81</f>
        <v>0</v>
      </c>
      <c r="I81" s="378">
        <f>CO81</f>
        <v>0.20648761771886989</v>
      </c>
      <c r="J81" s="378">
        <f>CV81</f>
        <v>0.20531047459753293</v>
      </c>
      <c r="K81" s="378">
        <f>DC81</f>
        <v>0.19182452642073777</v>
      </c>
      <c r="L81" s="378">
        <f>DJ81</f>
        <v>0.1896934695690804</v>
      </c>
      <c r="M81" s="378">
        <f>DQ81</f>
        <v>0.20606127640747704</v>
      </c>
      <c r="N81" s="378">
        <f>DX81</f>
        <v>0.19509213990221888</v>
      </c>
      <c r="O81" s="378">
        <f>EE81</f>
        <v>0.18981520906071703</v>
      </c>
      <c r="P81" s="378">
        <f>EL81</f>
        <v>0.18339571282749234</v>
      </c>
      <c r="Q81" s="378">
        <f>ES81</f>
        <v>0.18867142146292917</v>
      </c>
      <c r="R81" s="378">
        <f>EZ81</f>
        <v>0.19606914515747098</v>
      </c>
      <c r="S81" s="378">
        <f>FG81</f>
        <v>0.19778172889679113</v>
      </c>
      <c r="T81" s="378">
        <f>FN81</f>
        <v>0.18727979040563736</v>
      </c>
      <c r="U81" s="378">
        <f>FU81</f>
        <v>0.18530855539971949</v>
      </c>
      <c r="V81" s="378">
        <f>GB81</f>
        <v>0.16057142857142856</v>
      </c>
      <c r="W81" s="378">
        <f>GI81</f>
        <v>0.14945128591773477</v>
      </c>
      <c r="X81" s="378">
        <f>GP81</f>
        <v>0.15912312198809411</v>
      </c>
      <c r="Y81" s="378">
        <f>GW81</f>
        <v>0.17026034179843474</v>
      </c>
      <c r="Z81" s="378">
        <f>HD81</f>
        <v>0.18077156130074731</v>
      </c>
      <c r="AA81" s="378">
        <f>HK81</f>
        <v>0.19048918605444498</v>
      </c>
      <c r="AB81" s="378">
        <f>HR81</f>
        <v>0.19614855570839065</v>
      </c>
      <c r="AC81" s="378">
        <f>HY81</f>
        <v>0.2113965370422935</v>
      </c>
      <c r="AD81" s="378">
        <f>IF81</f>
        <v>0.20247950153783739</v>
      </c>
      <c r="AE81" s="378">
        <f>IM81</f>
        <v>0.18993774322905724</v>
      </c>
      <c r="AF81" s="378">
        <f>IT81</f>
        <v>0.18646060405560194</v>
      </c>
      <c r="AG81" s="379"/>
      <c r="AH81" s="379"/>
      <c r="AI81" s="379"/>
      <c r="AJ81" s="379"/>
      <c r="AK81" s="379"/>
      <c r="AL81" s="379"/>
      <c r="AM81" s="379"/>
      <c r="AN81" s="379"/>
      <c r="AO81" s="379"/>
      <c r="AP81" s="379"/>
      <c r="AQ81" s="379"/>
      <c r="AR81" s="379"/>
      <c r="AT81" s="377" t="s">
        <v>209</v>
      </c>
      <c r="AU81" s="378"/>
      <c r="AV81" s="378"/>
      <c r="AW81" s="378"/>
      <c r="AX81" s="378"/>
      <c r="AY81" s="378"/>
      <c r="BA81" s="377" t="s">
        <v>209</v>
      </c>
      <c r="BB81" s="378"/>
      <c r="BC81" s="378"/>
      <c r="BD81" s="378"/>
      <c r="BE81" s="378"/>
      <c r="BF81" s="378"/>
      <c r="BH81" s="377" t="s">
        <v>209</v>
      </c>
      <c r="BI81" s="378"/>
      <c r="BJ81" s="378"/>
      <c r="BK81" s="378"/>
      <c r="BL81" s="378"/>
      <c r="BM81" s="378"/>
      <c r="BO81" s="377" t="s">
        <v>209</v>
      </c>
      <c r="BP81" s="378"/>
      <c r="BQ81" s="378"/>
      <c r="BR81" s="378"/>
      <c r="BS81" s="378"/>
      <c r="BT81" s="378"/>
      <c r="BV81" s="377" t="s">
        <v>209</v>
      </c>
      <c r="BW81" s="378"/>
      <c r="BX81" s="378"/>
      <c r="BY81" s="378"/>
      <c r="BZ81" s="378"/>
      <c r="CA81" s="378"/>
      <c r="CC81" s="377" t="s">
        <v>209</v>
      </c>
      <c r="CD81" s="378"/>
      <c r="CE81" s="378"/>
      <c r="CF81" s="378"/>
      <c r="CG81" s="378"/>
      <c r="CH81" s="378"/>
      <c r="CJ81" s="377" t="s">
        <v>209</v>
      </c>
      <c r="CK81" s="378" t="s">
        <v>80</v>
      </c>
      <c r="CL81" s="378" t="s">
        <v>80</v>
      </c>
      <c r="CM81" s="378" t="s">
        <v>80</v>
      </c>
      <c r="CN81" s="378" t="s">
        <v>80</v>
      </c>
      <c r="CO81" s="378">
        <f>CO80/CO$69</f>
        <v>0.20648761771886989</v>
      </c>
      <c r="CQ81" s="377" t="s">
        <v>209</v>
      </c>
      <c r="CR81" s="378">
        <f>CR80/CR$69</f>
        <v>0.20353581142339075</v>
      </c>
      <c r="CS81" s="378">
        <f>CS80/CS$69</f>
        <v>0.20294635004397538</v>
      </c>
      <c r="CT81" s="378">
        <f>CT80/CT$69</f>
        <v>0.20119288529129833</v>
      </c>
      <c r="CU81" s="378">
        <f>CU80/CU$69</f>
        <v>0.20531047459753293</v>
      </c>
      <c r="CV81" s="378">
        <f>CV80/CV$69</f>
        <v>0.20531047459753293</v>
      </c>
      <c r="CX81" s="377" t="s">
        <v>209</v>
      </c>
      <c r="CY81" s="378">
        <f>CY80/CY$69</f>
        <v>0.20927824376100237</v>
      </c>
      <c r="CZ81" s="378">
        <f>CZ80/CZ$69</f>
        <v>0.20499692811796028</v>
      </c>
      <c r="DA81" s="378">
        <f>DA80/DA$69</f>
        <v>0.20062950553355671</v>
      </c>
      <c r="DB81" s="378">
        <f>DB80/DB$69</f>
        <v>0.19182452642073777</v>
      </c>
      <c r="DC81" s="378">
        <f>DC80/DC$69</f>
        <v>0.19182452642073777</v>
      </c>
      <c r="DE81" s="377" t="s">
        <v>209</v>
      </c>
      <c r="DF81" s="378">
        <f>DF80/DF$69</f>
        <v>0.18331557019668637</v>
      </c>
      <c r="DG81" s="378">
        <f>DG80/DG$69</f>
        <v>0.18087492989343804</v>
      </c>
      <c r="DH81" s="378">
        <f>DH80/DH$69</f>
        <v>0.18211148951424985</v>
      </c>
      <c r="DI81" s="378">
        <f>DI80/DI$69</f>
        <v>0.1896934695690804</v>
      </c>
      <c r="DJ81" s="378">
        <f>DJ80/DJ$69</f>
        <v>0.1896934695690804</v>
      </c>
      <c r="DL81" s="377" t="s">
        <v>209</v>
      </c>
      <c r="DM81" s="378">
        <f>DM80/DM$69</f>
        <v>0.19510612661043655</v>
      </c>
      <c r="DN81" s="378">
        <f>DN80/DN$69</f>
        <v>0.20224495877619947</v>
      </c>
      <c r="DO81" s="378">
        <f>DO80/DO$69</f>
        <v>0.20947312400212878</v>
      </c>
      <c r="DP81" s="378">
        <f>DP80/DP$69</f>
        <v>0.20606127640747704</v>
      </c>
      <c r="DQ81" s="378">
        <f>DQ80/DQ$69</f>
        <v>0.20606127640747704</v>
      </c>
      <c r="DS81" s="377" t="s">
        <v>209</v>
      </c>
      <c r="DT81" s="378">
        <f>DT80/DT$69</f>
        <v>0.20516962843295639</v>
      </c>
      <c r="DU81" s="378">
        <f>DU80/DU$69</f>
        <v>0.20608419543173204</v>
      </c>
      <c r="DV81" s="378">
        <f>DV80/DV$69</f>
        <v>0.19930966469428008</v>
      </c>
      <c r="DW81" s="378">
        <f>DW80/DW$69</f>
        <v>0.19509213990221888</v>
      </c>
      <c r="DX81" s="378">
        <f>DX80/DX$69</f>
        <v>0.19509213990221888</v>
      </c>
      <c r="DZ81" s="377" t="s">
        <v>209</v>
      </c>
      <c r="EA81" s="378">
        <f>EA80/EA$69</f>
        <v>0.19041533546325878</v>
      </c>
      <c r="EB81" s="378">
        <f>EB80/EB$69</f>
        <v>0.184952700910618</v>
      </c>
      <c r="EC81" s="378">
        <f>EC80/EC$69</f>
        <v>0.18478635423845624</v>
      </c>
      <c r="ED81" s="378">
        <f>ED80/ED$69</f>
        <v>0.18981520906071703</v>
      </c>
      <c r="EE81" s="378">
        <f>EE80/EE$69</f>
        <v>0.18981520906071703</v>
      </c>
      <c r="EG81" s="377" t="s">
        <v>209</v>
      </c>
      <c r="EH81" s="378">
        <f>EH80/EH$69</f>
        <v>0.18833515421463989</v>
      </c>
      <c r="EI81" s="378">
        <f>EI80/EI$69</f>
        <v>0.18785738311469896</v>
      </c>
      <c r="EJ81" s="378">
        <f>EJ80/EJ$69</f>
        <v>0.18582424088640784</v>
      </c>
      <c r="EK81" s="378">
        <f>EK80/EK$69</f>
        <v>0.18339571282749234</v>
      </c>
      <c r="EL81" s="378">
        <f>EL80/EL$69</f>
        <v>0.18339571282749234</v>
      </c>
      <c r="EN81" s="377" t="s">
        <v>209</v>
      </c>
      <c r="EO81" s="378">
        <f>EO80/EO$69</f>
        <v>0.18054136874361593</v>
      </c>
      <c r="EP81" s="378">
        <f>EP80/EP$69</f>
        <v>0.18051673019906819</v>
      </c>
      <c r="EQ81" s="378">
        <f>EQ80/EQ$69</f>
        <v>0.18320738874895046</v>
      </c>
      <c r="ER81" s="378">
        <f>ER80/ER$69</f>
        <v>0.18867142146292917</v>
      </c>
      <c r="ES81" s="378">
        <f>ES80/ES$69</f>
        <v>0.18867142146292917</v>
      </c>
      <c r="EU81" s="377" t="s">
        <v>209</v>
      </c>
      <c r="EV81" s="378">
        <f>EV80/EV$69</f>
        <v>0.19790290620871862</v>
      </c>
      <c r="EW81" s="378">
        <f>EW80/EW$69</f>
        <v>0.2000488320989664</v>
      </c>
      <c r="EX81" s="378">
        <f>EX80/EX$69</f>
        <v>0.19921656407386681</v>
      </c>
      <c r="EY81" s="378">
        <f>EY80/EY$69</f>
        <v>0.19606914515747098</v>
      </c>
      <c r="EZ81" s="378">
        <f>EZ80/EZ$69</f>
        <v>0.19606914515747098</v>
      </c>
      <c r="FB81" s="377" t="s">
        <v>209</v>
      </c>
      <c r="FC81" s="378">
        <f>FC80/FC$69</f>
        <v>0.19567959634184801</v>
      </c>
      <c r="FD81" s="378">
        <f>FD80/FD$69</f>
        <v>0.19353806781829813</v>
      </c>
      <c r="FE81" s="378">
        <f>FE80/FE$69</f>
        <v>0.19554900998199967</v>
      </c>
      <c r="FF81" s="378">
        <f>FF80/FF$69</f>
        <v>0.19778172889679113</v>
      </c>
      <c r="FG81" s="378">
        <f>FG80/FG$69</f>
        <v>0.19778172889679113</v>
      </c>
      <c r="FI81" s="377" t="s">
        <v>209</v>
      </c>
      <c r="FJ81" s="378">
        <f>FJ80/FJ$69</f>
        <v>0.19812313629187861</v>
      </c>
      <c r="FK81" s="378">
        <f>FK80/FK$69</f>
        <v>0.20095997101974281</v>
      </c>
      <c r="FL81" s="378">
        <f>FL80/FL$69</f>
        <v>0.19846481087579765</v>
      </c>
      <c r="FM81" s="378">
        <f>FM80/FM$69</f>
        <v>0.18727979040563736</v>
      </c>
      <c r="FN81" s="378">
        <f>FN80/FN$69</f>
        <v>0.18727979040563736</v>
      </c>
      <c r="FP81" s="377" t="s">
        <v>209</v>
      </c>
      <c r="FQ81" s="378">
        <f>FQ80/FQ$69</f>
        <v>0.18498233215547702</v>
      </c>
      <c r="FR81" s="378">
        <f>FR80/FR$69</f>
        <v>0.1793228850982769</v>
      </c>
      <c r="FS81" s="378">
        <f>FS80/FS$69</f>
        <v>0.180193403557244</v>
      </c>
      <c r="FT81" s="378">
        <f>FT80/FT$69</f>
        <v>0.18530855539971949</v>
      </c>
      <c r="FU81" s="378">
        <f>FU80/FU$69</f>
        <v>0.18530855539971949</v>
      </c>
      <c r="FW81" s="377" t="s">
        <v>209</v>
      </c>
      <c r="FX81" s="378">
        <f>FX80/FX$69</f>
        <v>0.1773981603153745</v>
      </c>
      <c r="FY81" s="378">
        <f>FY80/FY$69</f>
        <v>0.17247928176795579</v>
      </c>
      <c r="FZ81" s="378">
        <f>FZ80/FZ$69</f>
        <v>0.16282372598162073</v>
      </c>
      <c r="GA81" s="378">
        <f>GA80/GA$69</f>
        <v>0.16057142857142856</v>
      </c>
      <c r="GB81" s="378">
        <f>GB80/GB$69</f>
        <v>0.16057142857142856</v>
      </c>
      <c r="GD81" s="377" t="s">
        <v>209</v>
      </c>
      <c r="GE81" s="378">
        <f>GE80/GE$69</f>
        <v>0.15847259223379348</v>
      </c>
      <c r="GF81" s="378">
        <f>GF80/GF$69</f>
        <v>0.15786489551271668</v>
      </c>
      <c r="GG81" s="378">
        <f>GG80/GG$69</f>
        <v>0.15498154981549817</v>
      </c>
      <c r="GH81" s="378">
        <f>GH80/GH$69</f>
        <v>0.14945128591773477</v>
      </c>
      <c r="GI81" s="378">
        <f>GI80/GI$69</f>
        <v>0.14945128591773477</v>
      </c>
      <c r="GK81" s="377" t="s">
        <v>209</v>
      </c>
      <c r="GL81" s="378">
        <f>GL80/GL$69</f>
        <v>0.14941845657526107</v>
      </c>
      <c r="GM81" s="378">
        <f>GM80/GM$69</f>
        <v>0.15601932014945777</v>
      </c>
      <c r="GN81" s="378">
        <f>GN80/GN$69</f>
        <v>0.15738043784647185</v>
      </c>
      <c r="GO81" s="378">
        <f>GO80/GO$69</f>
        <v>0.15912312198809411</v>
      </c>
      <c r="GP81" s="378">
        <f>GP80/GP$69</f>
        <v>0.15912312198809411</v>
      </c>
      <c r="GR81" s="377" t="s">
        <v>209</v>
      </c>
      <c r="GS81" s="378">
        <f>GS80/GS$69</f>
        <v>0.16118015368560856</v>
      </c>
      <c r="GT81" s="378">
        <f>GT80/GT$69</f>
        <v>0.15368925150762683</v>
      </c>
      <c r="GU81" s="378">
        <f>GU80/GU$69</f>
        <v>0.16208053691275168</v>
      </c>
      <c r="GV81" s="378">
        <f>GV80/GV$69</f>
        <v>0.17026034179843474</v>
      </c>
      <c r="GW81" s="378">
        <f>GW80/GW$69</f>
        <v>0.17026034179843474</v>
      </c>
      <c r="GY81" s="377" t="s">
        <v>209</v>
      </c>
      <c r="GZ81" s="378">
        <f>GZ80/GZ$69</f>
        <v>0.17817405883249504</v>
      </c>
      <c r="HA81" s="378">
        <f>HA80/HA$69</f>
        <v>0.18240481824048183</v>
      </c>
      <c r="HB81" s="378">
        <f>HB80/HB$69</f>
        <v>0.18082474226804124</v>
      </c>
      <c r="HC81" s="378">
        <f>HC80/HC$69</f>
        <v>0.18077156130074731</v>
      </c>
      <c r="HD81" s="378">
        <f>HD80/HD$69</f>
        <v>0.18077156130074731</v>
      </c>
      <c r="HF81" s="377" t="s">
        <v>209</v>
      </c>
      <c r="HG81" s="378">
        <f>HG80/HG$69</f>
        <v>0.17879308068136801</v>
      </c>
      <c r="HH81" s="378">
        <f>HH80/HH$69</f>
        <v>0.18310046573519628</v>
      </c>
      <c r="HI81" s="378">
        <f>HI80/HI$69</f>
        <v>0.18956959271095397</v>
      </c>
      <c r="HJ81" s="378">
        <f>HJ80/HJ$69</f>
        <v>0.19048918605444498</v>
      </c>
      <c r="HK81" s="378">
        <f>HK80/HK$69</f>
        <v>0.19048918605444498</v>
      </c>
      <c r="HM81" s="377" t="s">
        <v>209</v>
      </c>
      <c r="HN81" s="378">
        <f>HN80/HN$69</f>
        <v>0.19238655002733734</v>
      </c>
      <c r="HO81" s="378">
        <f>HO80/HO$69</f>
        <v>0.19290692906929069</v>
      </c>
      <c r="HP81" s="378">
        <f>HP80/HP$69</f>
        <v>0.19058647231115047</v>
      </c>
      <c r="HQ81" s="378">
        <f>HQ80/HQ$69</f>
        <v>0.19614855570839065</v>
      </c>
      <c r="HR81" s="378">
        <f>HR80/HR$69</f>
        <v>0.19614855570839065</v>
      </c>
      <c r="HT81" s="377" t="s">
        <v>209</v>
      </c>
      <c r="HU81" s="378">
        <f>HU80/HU$69</f>
        <v>0.20340288475003501</v>
      </c>
      <c r="HV81" s="378">
        <f>HV80/HV$69</f>
        <v>0.2060049452490286</v>
      </c>
      <c r="HW81" s="378">
        <f>HW80/HW$69</f>
        <v>0.20944558521560575</v>
      </c>
      <c r="HX81" s="378">
        <f>HX80/HX$69</f>
        <v>0.2113965370422935</v>
      </c>
      <c r="HY81" s="378">
        <f>HY80/HY$69</f>
        <v>0.2113965370422935</v>
      </c>
      <c r="IA81" s="377" t="s">
        <v>209</v>
      </c>
      <c r="IB81" s="378">
        <f>IB80/IB$69</f>
        <v>0.20626363982371132</v>
      </c>
      <c r="IC81" s="378">
        <f>IC80/IC$69</f>
        <v>0.20580595521862985</v>
      </c>
      <c r="ID81" s="378">
        <f>ID80/ID$69</f>
        <v>0.20552760254703425</v>
      </c>
      <c r="IE81" s="378">
        <f>IE80/IE$69</f>
        <v>0.20247950153783734</v>
      </c>
      <c r="IF81" s="378">
        <f>IF80/IF$69</f>
        <v>0.20247950153783739</v>
      </c>
      <c r="IH81" s="377" t="s">
        <v>209</v>
      </c>
      <c r="II81" s="378">
        <f>II80/II$69</f>
        <v>0.20003373337318342</v>
      </c>
      <c r="IJ81" s="378">
        <f>IJ80/IJ$69</f>
        <v>0.19691734622595677</v>
      </c>
      <c r="IK81" s="378">
        <f>IK80/IK$69</f>
        <v>0.19332538818098988</v>
      </c>
      <c r="IL81" s="378">
        <f>IL80/IL$69</f>
        <v>0.18993774322905724</v>
      </c>
      <c r="IM81" s="378">
        <f>IM80/IM$69</f>
        <v>0.18993774322905724</v>
      </c>
      <c r="IO81" s="377" t="s">
        <v>209</v>
      </c>
      <c r="IP81" s="378">
        <f>IP80/IP$69</f>
        <v>0.18875607864540567</v>
      </c>
      <c r="IQ81" s="378">
        <f>IQ80/IQ$69</f>
        <v>0.1879461312851769</v>
      </c>
      <c r="IR81" s="378">
        <f>IR80/IR$69</f>
        <v>0.18765616685828548</v>
      </c>
      <c r="IS81" s="378">
        <f>IS80/IS$69</f>
        <v>0.18646060405560197</v>
      </c>
      <c r="IT81" s="378">
        <f>IT80/IT$69</f>
        <v>0.18646060405560194</v>
      </c>
    </row>
    <row r="82" spans="1:254" x14ac:dyDescent="0.4">
      <c r="A82" s="384"/>
      <c r="B82" s="385"/>
      <c r="C82" s="386"/>
      <c r="D82" s="386"/>
      <c r="E82" s="386"/>
      <c r="F82" s="386"/>
      <c r="G82" s="386"/>
      <c r="H82" s="386"/>
      <c r="I82" s="386"/>
      <c r="J82" s="386"/>
      <c r="K82" s="386"/>
      <c r="L82" s="386"/>
      <c r="M82" s="386"/>
      <c r="N82" s="386"/>
      <c r="O82" s="386"/>
      <c r="P82" s="386"/>
      <c r="Q82" s="386"/>
      <c r="R82" s="386"/>
      <c r="S82" s="386"/>
      <c r="T82" s="386"/>
      <c r="U82" s="386"/>
      <c r="V82" s="386"/>
      <c r="W82" s="386"/>
      <c r="X82" s="386"/>
      <c r="Y82" s="386"/>
      <c r="Z82" s="386"/>
      <c r="AA82" s="386"/>
      <c r="AB82" s="378"/>
      <c r="AC82" s="378"/>
      <c r="AD82" s="378"/>
      <c r="AE82" s="378"/>
      <c r="AF82" s="378"/>
      <c r="AG82" s="379"/>
      <c r="AH82" s="379"/>
      <c r="AI82" s="379"/>
      <c r="AJ82" s="379"/>
      <c r="AK82" s="379"/>
      <c r="AL82" s="379"/>
      <c r="AM82" s="379"/>
      <c r="AN82" s="379"/>
      <c r="AO82" s="379"/>
      <c r="AP82" s="379"/>
      <c r="AQ82" s="379"/>
      <c r="AR82" s="379"/>
      <c r="AT82" s="385"/>
      <c r="AU82" s="386"/>
      <c r="AV82" s="386"/>
      <c r="AW82" s="386"/>
      <c r="AX82" s="386"/>
      <c r="AY82" s="386"/>
      <c r="BA82" s="385"/>
      <c r="BB82" s="386"/>
      <c r="BC82" s="386"/>
      <c r="BD82" s="386"/>
      <c r="BE82" s="386"/>
      <c r="BF82" s="386"/>
      <c r="BH82" s="385"/>
      <c r="BI82" s="386"/>
      <c r="BJ82" s="386"/>
      <c r="BK82" s="386"/>
      <c r="BL82" s="386"/>
      <c r="BM82" s="386"/>
      <c r="BO82" s="385"/>
      <c r="BP82" s="386"/>
      <c r="BQ82" s="386"/>
      <c r="BR82" s="386"/>
      <c r="BS82" s="386"/>
      <c r="BT82" s="386"/>
      <c r="BV82" s="385"/>
      <c r="BW82" s="386"/>
      <c r="BX82" s="386"/>
      <c r="BY82" s="386"/>
      <c r="BZ82" s="386"/>
      <c r="CA82" s="386"/>
      <c r="CC82" s="385"/>
      <c r="CD82" s="386"/>
      <c r="CE82" s="386"/>
      <c r="CF82" s="386"/>
      <c r="CG82" s="386"/>
      <c r="CH82" s="386"/>
      <c r="CJ82" s="385"/>
      <c r="CK82" s="386"/>
      <c r="CL82" s="386"/>
      <c r="CM82" s="386"/>
      <c r="CN82" s="386"/>
      <c r="CO82" s="386"/>
      <c r="CQ82" s="385"/>
      <c r="CR82" s="386"/>
      <c r="CS82" s="386"/>
      <c r="CT82" s="386"/>
      <c r="CU82" s="386"/>
      <c r="CV82" s="386"/>
      <c r="CX82" s="385"/>
      <c r="CY82" s="386"/>
      <c r="CZ82" s="386"/>
      <c r="DA82" s="386"/>
      <c r="DB82" s="386"/>
      <c r="DC82" s="386"/>
      <c r="DE82" s="385"/>
      <c r="DF82" s="386"/>
      <c r="DG82" s="386"/>
      <c r="DH82" s="386"/>
      <c r="DI82" s="386"/>
      <c r="DJ82" s="386"/>
      <c r="DL82" s="385"/>
      <c r="DM82" s="386"/>
      <c r="DN82" s="386"/>
      <c r="DO82" s="386"/>
      <c r="DP82" s="386"/>
      <c r="DQ82" s="386"/>
      <c r="DS82" s="385"/>
      <c r="DT82" s="386"/>
      <c r="DU82" s="386"/>
      <c r="DV82" s="386"/>
      <c r="DW82" s="386"/>
      <c r="DX82" s="386"/>
      <c r="DZ82" s="385"/>
      <c r="EA82" s="386"/>
      <c r="EB82" s="386"/>
      <c r="EC82" s="386"/>
      <c r="ED82" s="386"/>
      <c r="EE82" s="386"/>
      <c r="EG82" s="385"/>
      <c r="EH82" s="386"/>
      <c r="EI82" s="386"/>
      <c r="EJ82" s="386"/>
      <c r="EK82" s="386"/>
      <c r="EL82" s="386"/>
      <c r="EN82" s="385"/>
      <c r="EO82" s="386"/>
      <c r="EP82" s="386"/>
      <c r="EQ82" s="386"/>
      <c r="ER82" s="386"/>
      <c r="ES82" s="386"/>
      <c r="EU82" s="385"/>
      <c r="EV82" s="386"/>
      <c r="EW82" s="386"/>
      <c r="EX82" s="386"/>
      <c r="EY82" s="386"/>
      <c r="EZ82" s="386"/>
      <c r="FB82" s="385"/>
      <c r="FC82" s="386"/>
      <c r="FD82" s="386"/>
      <c r="FE82" s="386"/>
      <c r="FF82" s="386"/>
      <c r="FG82" s="386"/>
      <c r="FI82" s="385"/>
      <c r="FJ82" s="386"/>
      <c r="FK82" s="386"/>
      <c r="FL82" s="386"/>
      <c r="FM82" s="386"/>
      <c r="FN82" s="386"/>
      <c r="FP82" s="385"/>
      <c r="FQ82" s="386"/>
      <c r="FR82" s="386"/>
      <c r="FS82" s="386"/>
      <c r="FT82" s="386"/>
      <c r="FU82" s="386"/>
      <c r="FW82" s="385"/>
      <c r="FX82" s="386"/>
      <c r="FY82" s="386"/>
      <c r="FZ82" s="386"/>
      <c r="GA82" s="386"/>
      <c r="GB82" s="386"/>
      <c r="GD82" s="385"/>
      <c r="GE82" s="386"/>
      <c r="GF82" s="386"/>
      <c r="GG82" s="386"/>
      <c r="GH82" s="386"/>
      <c r="GI82" s="386"/>
      <c r="GK82" s="385"/>
      <c r="GL82" s="386"/>
      <c r="GM82" s="386"/>
      <c r="GN82" s="386"/>
      <c r="GO82" s="386"/>
      <c r="GP82" s="386"/>
      <c r="GR82" s="385"/>
      <c r="GS82" s="386"/>
      <c r="GT82" s="386"/>
      <c r="GU82" s="386"/>
      <c r="GV82" s="386"/>
      <c r="GW82" s="386"/>
      <c r="GY82" s="385"/>
      <c r="GZ82" s="386"/>
      <c r="HA82" s="386"/>
      <c r="HB82" s="386"/>
      <c r="HC82" s="386"/>
      <c r="HD82" s="386"/>
      <c r="HF82" s="385"/>
      <c r="HG82" s="386"/>
      <c r="HH82" s="386"/>
      <c r="HI82" s="386"/>
      <c r="HJ82" s="386"/>
      <c r="HK82" s="386"/>
      <c r="HM82" s="385"/>
      <c r="HN82" s="386"/>
      <c r="HO82" s="386"/>
      <c r="HP82" s="386"/>
      <c r="HQ82" s="386"/>
      <c r="HR82" s="386"/>
      <c r="HT82" s="385"/>
      <c r="HU82" s="386"/>
      <c r="HV82" s="386"/>
      <c r="HW82" s="386"/>
      <c r="HX82" s="386"/>
      <c r="HY82" s="378"/>
      <c r="IA82" s="385"/>
      <c r="IB82" s="386"/>
      <c r="IC82" s="386"/>
      <c r="ID82" s="386"/>
      <c r="IE82" s="386"/>
      <c r="IF82" s="378"/>
      <c r="IH82" s="385"/>
      <c r="II82" s="386"/>
      <c r="IJ82" s="386"/>
      <c r="IK82" s="386"/>
      <c r="IL82" s="386"/>
      <c r="IM82" s="378"/>
      <c r="IO82" s="385"/>
      <c r="IP82" s="386"/>
      <c r="IQ82" s="386"/>
      <c r="IR82" s="386"/>
      <c r="IS82" s="386"/>
      <c r="IT82" s="378"/>
    </row>
    <row r="83" spans="1:254" x14ac:dyDescent="0.4">
      <c r="B83" s="318" t="s">
        <v>217</v>
      </c>
      <c r="C83" s="319">
        <f>AY83</f>
        <v>0</v>
      </c>
      <c r="D83" s="319">
        <f>BF83</f>
        <v>0</v>
      </c>
      <c r="E83" s="319">
        <f>BM83</f>
        <v>0</v>
      </c>
      <c r="F83" s="319">
        <f>BT83</f>
        <v>0</v>
      </c>
      <c r="G83" s="319">
        <f>CA83</f>
        <v>0</v>
      </c>
      <c r="H83" s="319">
        <f>CH83</f>
        <v>0</v>
      </c>
      <c r="I83" s="319">
        <f>CO83</f>
        <v>6250</v>
      </c>
      <c r="J83" s="319">
        <f>CV83</f>
        <v>6586</v>
      </c>
      <c r="K83" s="319">
        <f>DC83</f>
        <v>6887</v>
      </c>
      <c r="L83" s="319">
        <f>DJ83</f>
        <v>7585</v>
      </c>
      <c r="M83" s="319">
        <f>DQ83</f>
        <v>5860</v>
      </c>
      <c r="N83" s="319">
        <f>DX83</f>
        <v>6588</v>
      </c>
      <c r="O83" s="319">
        <f>EE83</f>
        <v>7349</v>
      </c>
      <c r="P83" s="319">
        <f>EL83</f>
        <v>7240</v>
      </c>
      <c r="Q83" s="319">
        <f>ES83</f>
        <v>7449</v>
      </c>
      <c r="R83" s="319">
        <f>EZ83</f>
        <v>7905</v>
      </c>
      <c r="S83" s="319">
        <f>FG83</f>
        <v>7019</v>
      </c>
      <c r="T83" s="319">
        <f>FN83</f>
        <v>6379</v>
      </c>
      <c r="U83" s="319">
        <f>FU83</f>
        <v>6275</v>
      </c>
      <c r="V83" s="319">
        <f>GB83</f>
        <v>6050</v>
      </c>
      <c r="W83" s="319">
        <f>GI83</f>
        <v>5623</v>
      </c>
      <c r="X83" s="319">
        <f>GP83</f>
        <v>4838</v>
      </c>
      <c r="Y83" s="319">
        <f>GW83</f>
        <v>5857</v>
      </c>
      <c r="Z83" s="319">
        <f>HD83</f>
        <v>7452</v>
      </c>
      <c r="AA83" s="319">
        <f>HK83</f>
        <v>7541</v>
      </c>
      <c r="AB83" s="130">
        <f>HR83</f>
        <v>7529</v>
      </c>
      <c r="AC83" s="130">
        <f>HY83</f>
        <v>7640</v>
      </c>
      <c r="AD83" s="130">
        <f>IF83</f>
        <v>7534.6488228830476</v>
      </c>
      <c r="AE83" s="130">
        <f>IM83</f>
        <v>7600.9166990208214</v>
      </c>
      <c r="AF83" s="130">
        <f>IT83</f>
        <v>7816.3881669237981</v>
      </c>
      <c r="AG83" s="376"/>
      <c r="AH83" s="376"/>
      <c r="AI83" s="376"/>
      <c r="AJ83" s="376"/>
      <c r="AK83" s="376"/>
      <c r="AL83" s="376"/>
      <c r="AM83" s="376"/>
      <c r="AN83" s="376"/>
      <c r="AO83" s="376"/>
      <c r="AP83" s="376"/>
      <c r="AQ83" s="376"/>
      <c r="AR83" s="376"/>
      <c r="AT83" s="318" t="s">
        <v>217</v>
      </c>
      <c r="AU83" s="319"/>
      <c r="AV83" s="319"/>
      <c r="AW83" s="319"/>
      <c r="AX83" s="319"/>
      <c r="AY83" s="319"/>
      <c r="BA83" s="318" t="s">
        <v>217</v>
      </c>
      <c r="BB83" s="319"/>
      <c r="BC83" s="319"/>
      <c r="BD83" s="319"/>
      <c r="BE83" s="319"/>
      <c r="BF83" s="319"/>
      <c r="BH83" s="318" t="s">
        <v>217</v>
      </c>
      <c r="BI83" s="319"/>
      <c r="BJ83" s="319"/>
      <c r="BK83" s="319"/>
      <c r="BL83" s="319"/>
      <c r="BM83" s="319"/>
      <c r="BO83" s="318" t="s">
        <v>217</v>
      </c>
      <c r="BP83" s="319"/>
      <c r="BQ83" s="319"/>
      <c r="BR83" s="319"/>
      <c r="BS83" s="319"/>
      <c r="BT83" s="319"/>
      <c r="BV83" s="318" t="s">
        <v>217</v>
      </c>
      <c r="BW83" s="319"/>
      <c r="BX83" s="319"/>
      <c r="BY83" s="319"/>
      <c r="BZ83" s="319"/>
      <c r="CA83" s="319"/>
      <c r="CC83" s="318" t="s">
        <v>217</v>
      </c>
      <c r="CD83" s="319"/>
      <c r="CE83" s="319"/>
      <c r="CF83" s="319"/>
      <c r="CG83" s="319"/>
      <c r="CH83" s="319"/>
      <c r="CJ83" s="318" t="s">
        <v>217</v>
      </c>
      <c r="CK83" s="319" t="s">
        <v>80</v>
      </c>
      <c r="CL83" s="319" t="s">
        <v>80</v>
      </c>
      <c r="CM83" s="319" t="s">
        <v>80</v>
      </c>
      <c r="CN83" s="319" t="s">
        <v>80</v>
      </c>
      <c r="CO83" s="319">
        <f>+CSX!GD23-CSX!GD29</f>
        <v>6250</v>
      </c>
      <c r="CQ83" s="318" t="s">
        <v>217</v>
      </c>
      <c r="CR83" s="319">
        <f>+SUM(CSX!GG23,CSX!GA23:GC23)-SUM(CSX!GG29,CSX!GA29:GC29)</f>
        <v>6332</v>
      </c>
      <c r="CS83" s="319">
        <f>+SUM(CSX!GG23:GH23,CSX!GB23:GC23)-SUM(CSX!GG29:GH29,CSX!GB29:GC29)</f>
        <v>6360</v>
      </c>
      <c r="CT83" s="319">
        <f>SUM(CSX!GG23:GI23,CSX!GC23)-SUM(CSX!GG29:GI29,CSX!GC29)</f>
        <v>6508</v>
      </c>
      <c r="CU83" s="319">
        <f>SUM(CSX!GG23:GJ23)-SUM(CSX!GG29:GJ29)</f>
        <v>6586</v>
      </c>
      <c r="CV83" s="319">
        <f>+CSX!GK23-CSX!GK29</f>
        <v>6586</v>
      </c>
      <c r="CX83" s="318" t="s">
        <v>217</v>
      </c>
      <c r="CY83" s="319">
        <f>+SUM(CSX!GN23,CSX!GH23:GJ23)-SUM(CSX!GN29,CSX!GH29:GJ29)</f>
        <v>6669</v>
      </c>
      <c r="CZ83" s="319">
        <f>+SUM(CSX!GN23:GO23,CSX!GI23:GJ23)-SUM(CSX!GN29:GO29,CSX!GI29:GJ29)</f>
        <v>6805</v>
      </c>
      <c r="DA83" s="319">
        <f>SUM(CSX!GN23:GP23,CSX!GJ23)-SUM(CSX!GN29:GP29,CSX!GJ29)</f>
        <v>6812</v>
      </c>
      <c r="DB83" s="319">
        <f>SUM(CSX!GN23:GQ23)-SUM(CSX!GN29:GQ29)</f>
        <v>6887</v>
      </c>
      <c r="DC83" s="319">
        <f>+CSX!GR23-CSX!GR29</f>
        <v>6887</v>
      </c>
      <c r="DE83" s="318" t="s">
        <v>217</v>
      </c>
      <c r="DF83" s="319">
        <f>+SUM(CSX!GU23,CSX!GO23:GQ23)-SUM(CSX!GU29,CSX!GO29:GQ29)</f>
        <v>7038</v>
      </c>
      <c r="DG83" s="319">
        <f>+SUM(CSX!GU23:GV23,CSX!GP23:GQ23)-SUM(CSX!GU29:GV29,CSX!GP29:GQ29)</f>
        <v>7305</v>
      </c>
      <c r="DH83" s="319">
        <f>SUM(CSX!GU23:GW23,CSX!GQ23)-SUM(CSX!GU29:GW29,CSX!GQ29)</f>
        <v>7583</v>
      </c>
      <c r="DI83" s="319">
        <f>SUM(CSX!GU23:GX23)-SUM(CSX!GU29:GX29)</f>
        <v>7585</v>
      </c>
      <c r="DJ83" s="319">
        <f>+CSX!GY23-CSX!GY29</f>
        <v>7585</v>
      </c>
      <c r="DL83" s="318" t="s">
        <v>217</v>
      </c>
      <c r="DM83" s="319">
        <f>+SUM(CSX!HB23,CSX!GV23:GX23)-SUM(CSX!HB29,CSX!GV29:GX29)</f>
        <v>7219</v>
      </c>
      <c r="DN83" s="319">
        <f>+SUM(CSX!HB23:HC23,CSX!GW23:GX23)-SUM(CSX!HB29:HC29,CSX!GW29:GX29)</f>
        <v>6637</v>
      </c>
      <c r="DO83" s="319">
        <f>SUM(CSX!HB23:HD23,CSX!GX23)-SUM(CSX!HB29:HD29,CSX!GX29)</f>
        <v>6104</v>
      </c>
      <c r="DP83" s="319">
        <f>SUM(CSX!HB23:HE23)-SUM(CSX!HB29:HE29)</f>
        <v>5860</v>
      </c>
      <c r="DQ83" s="319">
        <f>+CSX!HF23-CSX!HF29</f>
        <v>5860</v>
      </c>
      <c r="DS83" s="318" t="s">
        <v>217</v>
      </c>
      <c r="DT83" s="319">
        <f>+SUM(CSX!HI23,CSX!HC23:HE23)-SUM(CSX!HI29,CSX!HC29:HE29)</f>
        <v>5990</v>
      </c>
      <c r="DU83" s="319">
        <f>+SUM(CSX!HI23:HJ23,CSX!HD23:HE23)-SUM(CSX!HI29:HJ29,CSX!HD29:HE29)</f>
        <v>6244</v>
      </c>
      <c r="DV83" s="319">
        <f>SUM(CSX!HI23:HK23,CSX!HE23)-SUM(CSX!HI29:HK29,CSX!HE29)</f>
        <v>6385</v>
      </c>
      <c r="DW83" s="319">
        <f>SUM(CSX!HI23:HL23)-SUM(CSX!HI29:HL29)</f>
        <v>6588</v>
      </c>
      <c r="DX83" s="319">
        <f>+CSX!HM23-CSX!HM29</f>
        <v>6588</v>
      </c>
      <c r="DZ83" s="318" t="s">
        <v>217</v>
      </c>
      <c r="EA83" s="319">
        <f>+SUM(CSX!HP23,CSX!HJ23:HL23)-SUM(CSX!HP29,CSX!HJ29:HL29)</f>
        <v>6751</v>
      </c>
      <c r="EB83" s="319">
        <f>+SUM(CSX!HP23:HQ23,CSX!HK23:HL23)-SUM(CSX!HP29:HQ29,CSX!HK29:HL29)</f>
        <v>6963</v>
      </c>
      <c r="EC83" s="319">
        <f>SUM(CSX!HP23:HR23,CSX!HL23)-SUM(CSX!HP29:HR29,CSX!HL29)</f>
        <v>7188</v>
      </c>
      <c r="ED83" s="319">
        <f>SUM(CSX!HP23:HS23)-SUM(CSX!HP29:HS29)</f>
        <v>7349</v>
      </c>
      <c r="EE83" s="319">
        <f>+CSX!HT23-CSX!HT29</f>
        <v>7349</v>
      </c>
      <c r="EG83" s="318" t="s">
        <v>217</v>
      </c>
      <c r="EH83" s="319">
        <f>+SUM(CSX!HW23,CSX!HQ23:HS23)-SUM(CSX!HW29,CSX!HQ29:HS29)</f>
        <v>7408</v>
      </c>
      <c r="EI83" s="319">
        <f>+SUM(CSX!HW23:HX23,CSX!HR23:HS23)-SUM(CSX!HW29:HX29,CSX!HR29:HS29)</f>
        <v>7367</v>
      </c>
      <c r="EJ83" s="319">
        <f>SUM(CSX!HW23:HY23,CSX!HS23)-SUM(CSX!HW29:HY29,CSX!HS29)</f>
        <v>7305</v>
      </c>
      <c r="EK83" s="319">
        <f>SUM(CSX!HW23:HZ23)-SUM(CSX!HW29:HZ29)</f>
        <v>7240</v>
      </c>
      <c r="EL83" s="319">
        <f>+CSX!IA23-CSX!IA29</f>
        <v>7240</v>
      </c>
      <c r="EN83" s="318" t="s">
        <v>217</v>
      </c>
      <c r="EO83" s="319">
        <f>+SUM(CSX!ID23,CSX!HX23:HZ23)-SUM(CSX!ID29,CSX!HX29:HZ29)</f>
        <v>7200</v>
      </c>
      <c r="EP83" s="319">
        <f>+SUM(CSX!ID23:IE23,CSX!HY23:HZ23)-SUM(CSX!ID29:IE29,CSX!HY29:HZ29)</f>
        <v>7224</v>
      </c>
      <c r="EQ83" s="319">
        <f>SUM(CSX!ID23:IF23,CSX!HZ23)-SUM(CSX!ID29:IF29,CSX!HZ29)</f>
        <v>7320</v>
      </c>
      <c r="ER83" s="319">
        <f>SUM(CSX!ID23:IG23)-SUM(CSX!ID29:IG29)</f>
        <v>7449</v>
      </c>
      <c r="ES83" s="319">
        <f>+CSX!IH23-CSX!IH29</f>
        <v>7449</v>
      </c>
      <c r="EU83" s="318" t="s">
        <v>217</v>
      </c>
      <c r="EV83" s="319">
        <f>+SUM(CSX!IK23,CSX!IE23:IG23)-SUM(CSX!IK29,CSX!IE29:IG29)</f>
        <v>7626</v>
      </c>
      <c r="EW83" s="319">
        <f>+SUM(CSX!IK23:IL23,CSX!IF23:IG23)-SUM(CSX!IK29:IL29,CSX!IF29:IG29)</f>
        <v>7756</v>
      </c>
      <c r="EX83" s="319">
        <f>SUM(CSX!IK23:IM23,CSX!IG23)-SUM(CSX!IK29:IM29,CSX!IG29)</f>
        <v>7842</v>
      </c>
      <c r="EY83" s="319">
        <f>SUM(CSX!IK23:IN23)-SUM(CSX!IK29:IN29)</f>
        <v>7905</v>
      </c>
      <c r="EZ83" s="319">
        <f>+CSX!IO23-CSX!IO29</f>
        <v>7905</v>
      </c>
      <c r="FB83" s="318" t="s">
        <v>217</v>
      </c>
      <c r="FC83" s="319">
        <f>+SUM(CSX!IR23,CSX!IL23:IN23)-SUM(CSX!IR29,CSX!IL29:IN29)</f>
        <v>7804</v>
      </c>
      <c r="FD83" s="319">
        <f>+SUM(CSX!IR23:IS23,CSX!IM23:IN23)-SUM(CSX!IR29:IS29,CSX!IM29:IN29)</f>
        <v>7592</v>
      </c>
      <c r="FE83" s="319">
        <f>SUM(CSX!IR23:IT23,CSX!IN23)-SUM(CSX!IR29:IT29,CSX!IN29)</f>
        <v>7342</v>
      </c>
      <c r="FF83" s="319">
        <f>SUM(CSX!IR23:IU23)-SUM(CSX!IR29:IU29)</f>
        <v>7019</v>
      </c>
      <c r="FG83" s="319">
        <f>+CSX!IV23-CSX!IV29</f>
        <v>7019</v>
      </c>
      <c r="FI83" s="318" t="s">
        <v>217</v>
      </c>
      <c r="FJ83" s="319">
        <f>+SUM(CSX!IY23,CSX!IS23:IU23)-SUM(CSX!IY29,CSX!IS29:IU29)</f>
        <v>6731</v>
      </c>
      <c r="FK83" s="319">
        <f>+SUM(CSX!IY23:IZ23,CSX!IT23:IU23)-SUM(CSX!IY29:IZ29,CSX!IT29:IU29)</f>
        <v>6528</v>
      </c>
      <c r="FL83" s="319">
        <f>SUM(CSX!IY23:JA23,CSX!IU23)-SUM(CSX!IY29:JA29,CSX!IU29)</f>
        <v>6372</v>
      </c>
      <c r="FM83" s="319">
        <f>SUM(CSX!IY23:JB23)-SUM(CSX!IY29:JB29)</f>
        <v>6379</v>
      </c>
      <c r="FN83" s="319">
        <f>+CSX!JC23-CSX!JC29</f>
        <v>6379</v>
      </c>
      <c r="FP83" s="318" t="s">
        <v>217</v>
      </c>
      <c r="FQ83" s="319">
        <f>+SUM(CSX!JF23,CSX!IZ23:JB23)-SUM(CSX!JF29,CSX!IZ29:JB29)</f>
        <v>6448</v>
      </c>
      <c r="FR83" s="319">
        <f>+SUM(CSX!JF23:JG23,CSX!JA23:JB23)-SUM(CSX!JF29:JG29,CSX!JA29:JB29)</f>
        <v>6437</v>
      </c>
      <c r="FS83" s="319">
        <f>SUM(CSX!JF23:JH23,CSX!JB23)-SUM(CSX!JF29:JH29,CSX!JB29)</f>
        <v>6432</v>
      </c>
      <c r="FT83" s="319">
        <f>SUM(CSX!JF23:JI23)-SUM(CSX!JF29:JI29)</f>
        <v>6275</v>
      </c>
      <c r="FU83" s="319">
        <f>+CSX!JJ23-CSX!JJ29</f>
        <v>6275</v>
      </c>
      <c r="FW83" s="318" t="s">
        <v>217</v>
      </c>
      <c r="FX83" s="319">
        <f>+SUM(CSX!JM23,CSX!JG23:JI23)-SUM(CSX!JM29,CSX!JG29:JI29)</f>
        <v>6114</v>
      </c>
      <c r="FY83" s="319">
        <f>+SUM(CSX!JM23:JN23,CSX!JH23:JI23)-SUM(CSX!JM29:JN29,CSX!JH29:JI29)</f>
        <v>6070</v>
      </c>
      <c r="FZ83" s="319">
        <f>SUM(CSX!JM23:JO23,CSX!JI23)-SUM(CSX!JM29:JO29,CSX!JI29)</f>
        <v>6029</v>
      </c>
      <c r="GA83" s="319">
        <f>SUM(CSX!JM23:JP23)-SUM(CSX!JM29:JP29)</f>
        <v>6050</v>
      </c>
      <c r="GB83" s="319">
        <f>+CSX!JQ23-CSX!JQ29</f>
        <v>6050</v>
      </c>
      <c r="GD83" s="318" t="s">
        <v>217</v>
      </c>
      <c r="GE83" s="319">
        <f>+SUM(CSX!JT23,CSX!JN23:JP23)-SUM(CSX!JT29,CSX!JN29:JP29)</f>
        <v>6005</v>
      </c>
      <c r="GF83" s="319">
        <f>+SUM(CSX!JT23:JU23,CSX!JO23:JP23)-SUM(CSX!JT29:JU29,CSX!JO29:JP29)</f>
        <v>5934</v>
      </c>
      <c r="GG83" s="319">
        <f>SUM(CSX!JT23:JV23,CSX!JP23)-SUM(CSX!JT29:JV29,CSX!JP29)</f>
        <v>5785</v>
      </c>
      <c r="GH83" s="319">
        <f>SUM(CSX!JT23:JW23)-SUM(CSX!JT29:JW29)</f>
        <v>5623</v>
      </c>
      <c r="GI83" s="319">
        <f>+CSX!JX23-CSX!JX29</f>
        <v>5623</v>
      </c>
      <c r="GK83" s="318" t="s">
        <v>217</v>
      </c>
      <c r="GL83" s="319">
        <f>+SUM(CSX!KA23,CSX!JU23:JW23)-SUM(CSX!KA29,CSX!JU29:JW29)</f>
        <v>5492</v>
      </c>
      <c r="GM83" s="319">
        <f>+SUM(CSX!KA23:KB23,CSX!JV23:JW23)-SUM(CSX!KA29:KB29,CSX!JV29:JW29)</f>
        <v>5156</v>
      </c>
      <c r="GN83" s="319">
        <f>SUM(CSX!KA23:KC23,CSX!JW23)-SUM(CSX!KA29:KC29,CSX!JW29)</f>
        <v>4962</v>
      </c>
      <c r="GO83" s="319">
        <f>SUM(CSX!KA23:KD23)-SUM(CSX!KA29:KD29)</f>
        <v>4838</v>
      </c>
      <c r="GP83" s="319">
        <f>+CSX!KE23-CSX!KE29</f>
        <v>4838</v>
      </c>
      <c r="GR83" s="318" t="s">
        <v>217</v>
      </c>
      <c r="GS83" s="319">
        <f>+SUM(CSX!KH23,CSX!KB23:KD23)-SUM(CSX!KH29,CSX!KB29:KD29)</f>
        <v>4872</v>
      </c>
      <c r="GT83" s="319">
        <f>+SUM(CSX!KH23:KI23,CSX!KC23:KD23)-SUM(CSX!KH29:KI29,CSX!KC29:KD29)</f>
        <v>5089</v>
      </c>
      <c r="GU83" s="319">
        <f>SUM(CSX!KH23:KJ23,CSX!KD23)-SUM(CSX!KH29:KJ29,CSX!KD29)</f>
        <v>5419</v>
      </c>
      <c r="GV83" s="319">
        <f>SUM(CSX!KH23:KK23)-SUM(CSX!KH29:KK29)</f>
        <v>5857</v>
      </c>
      <c r="GW83" s="319">
        <f>+CSX!KL23-CSX!KL29</f>
        <v>5857</v>
      </c>
      <c r="GY83" s="318" t="s">
        <v>217</v>
      </c>
      <c r="GZ83" s="319">
        <f>+SUM(CSX!KO23,CSX!KI23:KK23)-SUM(CSX!KO29,CSX!KI29:KK29)</f>
        <v>6261</v>
      </c>
      <c r="HA83" s="319">
        <f>+SUM(CSX!KO23:KP23,CSX!KJ23:KK23)-SUM(CSX!KO29:KP29,CSX!KJ29:KK29)</f>
        <v>6826</v>
      </c>
      <c r="HB83" s="319">
        <f>SUM(CSX!KO23:KQ23,CSX!KK23)-SUM(CSX!KO29:KQ29,CSX!KK29)</f>
        <v>7275</v>
      </c>
      <c r="HC83" s="319">
        <f>SUM(CSX!KO23:KR23)-SUM(CSX!KO29:KR29)</f>
        <v>7452</v>
      </c>
      <c r="HD83" s="319">
        <f>+CSX!KS23-CSX!KS29</f>
        <v>7452</v>
      </c>
      <c r="HF83" s="318" t="s">
        <v>217</v>
      </c>
      <c r="HG83" s="319">
        <f>+SUM(CSX!KV23,CSX!KP23:KR23)-SUM(CSX!KV29,CSX!KP29:KR29)</f>
        <v>7547</v>
      </c>
      <c r="HH83" s="319">
        <f>+SUM(CSX!KV23:KW23,CSX!KQ23:KR23)-SUM(CSX!KV29:KW29,CSX!KQ29:KR29)</f>
        <v>7511</v>
      </c>
      <c r="HI83" s="319">
        <f>SUM(CSX!KV23:KX23,CSX!KR23)-SUM(CSX!KV29:KX29,CSX!KR29)</f>
        <v>7471</v>
      </c>
      <c r="HJ83" s="319">
        <f>SUM(CSX!KV23:KY23)-SUM(CSX!KV29:KY29)</f>
        <v>7541</v>
      </c>
      <c r="HK83" s="319">
        <f>+CSX!KZ23-CSX!KZ29</f>
        <v>7541</v>
      </c>
      <c r="HM83" s="318" t="s">
        <v>217</v>
      </c>
      <c r="HN83" s="319">
        <f>+SUM(CSX!LC23,CSX!KW23:KY23)-SUM(CSX!LC29,CSX!KW29:KY29)</f>
        <v>7609</v>
      </c>
      <c r="HO83" s="319">
        <f>+SUM(CSX!LC23:LD23,CSX!KX23:KY23)-SUM(Expense!LA9:LB9,CSX!KX29:KY29)</f>
        <v>7623</v>
      </c>
      <c r="HP83" s="319">
        <f>SUM(CSX!LC23:LE23,CSX!KY23)-SUM(CSX!LC29:LE29,CSX!KY29)</f>
        <v>7574</v>
      </c>
      <c r="HQ83" s="319">
        <f>SUM(CSX!LC23:LF23)-SUM(CSX!LC29:LF29)</f>
        <v>7529</v>
      </c>
      <c r="HR83" s="319">
        <f>+CSX!LG23-CSX!LG29</f>
        <v>7529</v>
      </c>
      <c r="HT83" s="318" t="s">
        <v>217</v>
      </c>
      <c r="HU83" s="319">
        <f>+SUM(CSX!LJ23,CSX!LD23:LF23)-SUM(Expense!LH9,Expense!LB9:LD9)</f>
        <v>7552</v>
      </c>
      <c r="HV83" s="319">
        <f>+SUM(CSX!LJ23:LK23,CSX!LE23:LF23)-SUM(Expense!LH9:LI9,Expense!LC9:LD9)</f>
        <v>7573</v>
      </c>
      <c r="HW83" s="319">
        <f>SUM(CSX!LJ23:LL23,CSX!LF23)-SUM(Expense!LH9:LJ9,Expense!LD9)</f>
        <v>7601</v>
      </c>
      <c r="HX83" s="319">
        <f>SUM(CSX!LJ23:LM23)-SUM(Expense!LH9:LK9)</f>
        <v>7640</v>
      </c>
      <c r="HY83" s="130">
        <f>+CSX!LN23-Expense!LL9</f>
        <v>7640</v>
      </c>
      <c r="IA83" s="318" t="s">
        <v>217</v>
      </c>
      <c r="IB83" s="319">
        <f>+SUM(CSX!LQ23,CSX!LK23:LM23)-SUM(Expense!LO9,Expense!LI9:LK9)</f>
        <v>7555.6530245415124</v>
      </c>
      <c r="IC83" s="319">
        <f>+SUM(CSX!LQ23:LR23,CSX!LL23:LM23)-SUM(Expense!LO9:LP9,Expense!LJ9:LK9)</f>
        <v>7541.1626094208896</v>
      </c>
      <c r="ID83" s="319">
        <f>SUM(CSX!LQ23:LS23,CSX!LM23)-SUM(Expense!LO9:LQ9,Expense!LK9)</f>
        <v>7540.1657948497559</v>
      </c>
      <c r="IE83" s="319">
        <f>SUM(CSX!LQ23:LT23)-SUM(Expense!LO9:LR9)</f>
        <v>7534.6488228830458</v>
      </c>
      <c r="IF83" s="130">
        <f>+CSX!LU23-Expense!LS9</f>
        <v>7534.6488228830476</v>
      </c>
      <c r="IH83" s="318" t="s">
        <v>217</v>
      </c>
      <c r="II83" s="319">
        <f>+SUM(CSX!LX23,CSX!LR23:LT23)-SUM(Expense!LV9,Expense!LP9:LR9)</f>
        <v>7558.4477784459486</v>
      </c>
      <c r="IJ83" s="319">
        <f>+SUM(CSX!LX23:LY23,CSX!LS23:LT23)-SUM(Expense!LV9:LW9,Expense!LQ9:LR9)</f>
        <v>7579.2419414754149</v>
      </c>
      <c r="IK83" s="319">
        <f>SUM(CSX!LX23:LZ23,CSX!LT23)-SUM(Expense!LV9:LX9,Expense!LR9)</f>
        <v>7589.7090618148595</v>
      </c>
      <c r="IL83" s="319">
        <f>SUM(CSX!LX23:MA23)-SUM(Expense!LV9:LY9)</f>
        <v>7600.9166990208214</v>
      </c>
      <c r="IM83" s="130">
        <f>+CSX!MB23-Expense!LZ9</f>
        <v>7600.9166990208214</v>
      </c>
      <c r="IO83" s="318" t="s">
        <v>217</v>
      </c>
      <c r="IP83" s="319">
        <f>+SUM(CSX!ME23,CSX!LY23:MA23)-SUM(Expense!MC9,Expense!LW9:LY9)</f>
        <v>7646.664916299902</v>
      </c>
      <c r="IQ83" s="319">
        <f>+SUM(CSX!ME23:MF23,CSX!LZ23:MA23)-SUM(Expense!MC9:MD9,Expense!LX9:LY9)</f>
        <v>7702.5273624620677</v>
      </c>
      <c r="IR83" s="319">
        <f>SUM(CSX!ME23:MG23,CSX!MA23)-SUM(Expense!MC9:ME9,Expense!LY9)</f>
        <v>7768.2138222283174</v>
      </c>
      <c r="IS83" s="319">
        <f>SUM(CSX!ME23:MH23)-SUM(Expense!MC9:MF9)</f>
        <v>7816.3881669237981</v>
      </c>
      <c r="IT83" s="130">
        <f>+CSX!MI23-Expense!MG9</f>
        <v>7816.3881669237981</v>
      </c>
    </row>
    <row r="84" spans="1:254" x14ac:dyDescent="0.4">
      <c r="B84" s="377" t="s">
        <v>6</v>
      </c>
      <c r="C84" s="378">
        <f>AY84</f>
        <v>0</v>
      </c>
      <c r="D84" s="378">
        <f>BF84</f>
        <v>0</v>
      </c>
      <c r="E84" s="378">
        <f>BM84</f>
        <v>0</v>
      </c>
      <c r="F84" s="378">
        <f>BT84</f>
        <v>0</v>
      </c>
      <c r="G84" s="378">
        <f>CA84</f>
        <v>0</v>
      </c>
      <c r="H84" s="378">
        <f>CH84</f>
        <v>0</v>
      </c>
      <c r="I84" s="378">
        <f>CO84</f>
        <v>0.72665969073363568</v>
      </c>
      <c r="J84" s="378">
        <f>CV84</f>
        <v>0.68848003345180853</v>
      </c>
      <c r="K84" s="378">
        <f>DC84</f>
        <v>0.68664007976071784</v>
      </c>
      <c r="L84" s="378">
        <f>DJ84</f>
        <v>0.6739227010217681</v>
      </c>
      <c r="M84" s="378">
        <f>DQ84</f>
        <v>0.64815838955867711</v>
      </c>
      <c r="N84" s="378">
        <f>DX84</f>
        <v>0.61940579165099663</v>
      </c>
      <c r="O84" s="378">
        <f>EE84</f>
        <v>0.62581963723069067</v>
      </c>
      <c r="P84" s="378">
        <f>EL84</f>
        <v>0.61585573324259957</v>
      </c>
      <c r="Q84" s="378">
        <f>ES84</f>
        <v>0.61776413999004809</v>
      </c>
      <c r="R84" s="378">
        <f>EZ84</f>
        <v>0.62396400663035756</v>
      </c>
      <c r="S84" s="378">
        <f>FG84</f>
        <v>0.59427652188637714</v>
      </c>
      <c r="T84" s="378">
        <f>FN84</f>
        <v>0.57629415484686963</v>
      </c>
      <c r="U84" s="378">
        <f>FU84</f>
        <v>0.55005259467040668</v>
      </c>
      <c r="V84" s="378">
        <f>GB84</f>
        <v>0.49387755102040815</v>
      </c>
      <c r="W84" s="378">
        <f>GI84</f>
        <v>0.4710563793247885</v>
      </c>
      <c r="X84" s="378">
        <f>GP84</f>
        <v>0.45714825663800435</v>
      </c>
      <c r="Y84" s="378">
        <f>GW84</f>
        <v>0.46773678326145984</v>
      </c>
      <c r="Z84" s="378">
        <f>HD84</f>
        <v>0.50171682488386182</v>
      </c>
      <c r="AA84" s="378">
        <f>HK84</f>
        <v>0.51449819199017532</v>
      </c>
      <c r="AB84" s="378">
        <f>HR84</f>
        <v>0.51781292984869332</v>
      </c>
      <c r="AC84" s="378">
        <f>HY84</f>
        <v>0.5421515753619075</v>
      </c>
      <c r="AD84" s="378">
        <f>IF84</f>
        <v>0.51981754001579361</v>
      </c>
      <c r="AE84" s="378">
        <f>IM84</f>
        <v>0.50068927170915112</v>
      </c>
      <c r="AF84" s="378">
        <f>IT84</f>
        <v>0.49318991753425645</v>
      </c>
      <c r="AG84" s="379"/>
      <c r="AH84" s="379"/>
      <c r="AI84" s="379"/>
      <c r="AJ84" s="379"/>
      <c r="AK84" s="379"/>
      <c r="AL84" s="379"/>
      <c r="AM84" s="379"/>
      <c r="AN84" s="379"/>
      <c r="AO84" s="379"/>
      <c r="AP84" s="379"/>
      <c r="AQ84" s="379"/>
      <c r="AR84" s="379"/>
      <c r="AT84" s="377" t="s">
        <v>6</v>
      </c>
      <c r="AU84" s="378"/>
      <c r="AV84" s="378"/>
      <c r="AW84" s="378"/>
      <c r="AX84" s="378"/>
      <c r="AY84" s="378"/>
      <c r="BA84" s="377" t="s">
        <v>6</v>
      </c>
      <c r="BB84" s="378"/>
      <c r="BC84" s="378"/>
      <c r="BD84" s="378"/>
      <c r="BE84" s="378"/>
      <c r="BF84" s="378"/>
      <c r="BH84" s="377" t="s">
        <v>6</v>
      </c>
      <c r="BI84" s="378"/>
      <c r="BJ84" s="378"/>
      <c r="BK84" s="378"/>
      <c r="BL84" s="378"/>
      <c r="BM84" s="378"/>
      <c r="BO84" s="377" t="s">
        <v>6</v>
      </c>
      <c r="BP84" s="378"/>
      <c r="BQ84" s="378"/>
      <c r="BR84" s="378"/>
      <c r="BS84" s="378"/>
      <c r="BT84" s="378"/>
      <c r="BV84" s="377" t="s">
        <v>6</v>
      </c>
      <c r="BW84" s="378"/>
      <c r="BX84" s="378"/>
      <c r="BY84" s="378"/>
      <c r="BZ84" s="378"/>
      <c r="CA84" s="378"/>
      <c r="CC84" s="377" t="s">
        <v>6</v>
      </c>
      <c r="CD84" s="378"/>
      <c r="CE84" s="378"/>
      <c r="CF84" s="378"/>
      <c r="CG84" s="378"/>
      <c r="CH84" s="378"/>
      <c r="CJ84" s="377" t="s">
        <v>6</v>
      </c>
      <c r="CK84" s="378" t="s">
        <v>80</v>
      </c>
      <c r="CL84" s="378" t="s">
        <v>80</v>
      </c>
      <c r="CM84" s="378" t="s">
        <v>80</v>
      </c>
      <c r="CN84" s="378" t="s">
        <v>80</v>
      </c>
      <c r="CO84" s="378">
        <f>+CO83/CO69</f>
        <v>0.72665969073363568</v>
      </c>
      <c r="CQ84" s="377" t="s">
        <v>6</v>
      </c>
      <c r="CR84" s="378">
        <f>+CR83/CR69</f>
        <v>0.71758839528558482</v>
      </c>
      <c r="CS84" s="378">
        <f>+CS83/CS69</f>
        <v>0.69920844327176779</v>
      </c>
      <c r="CT84" s="378">
        <f>+CT83/CT69</f>
        <v>0.69315156033656411</v>
      </c>
      <c r="CU84" s="378">
        <f>+CU83/CU69</f>
        <v>0.68848003345180853</v>
      </c>
      <c r="CV84" s="378">
        <f>+CV83/CV69</f>
        <v>0.68848003345180853</v>
      </c>
      <c r="CX84" s="377" t="s">
        <v>6</v>
      </c>
      <c r="CY84" s="378">
        <f>+CY83/CY69</f>
        <v>0.69058713886300094</v>
      </c>
      <c r="CZ84" s="378">
        <f>+CZ83/CZ69</f>
        <v>0.69680524267868116</v>
      </c>
      <c r="DA84" s="378">
        <f>+DA83/DA69</f>
        <v>0.6916438217077876</v>
      </c>
      <c r="DB84" s="378">
        <f>+DB83/DB69</f>
        <v>0.68664007976071784</v>
      </c>
      <c r="DC84" s="378">
        <f>+DC83/DC69</f>
        <v>0.68664007976071784</v>
      </c>
      <c r="DE84" s="377" t="s">
        <v>6</v>
      </c>
      <c r="DF84" s="378">
        <f>+DF83/DF69</f>
        <v>0.68191066757097185</v>
      </c>
      <c r="DG84" s="378">
        <f>+DG83/DG69</f>
        <v>0.6828379136287156</v>
      </c>
      <c r="DH84" s="378">
        <f>+DH83/DH69</f>
        <v>0.67960207922566773</v>
      </c>
      <c r="DI84" s="378">
        <f>+DI83/DI69</f>
        <v>0.6739227010217681</v>
      </c>
      <c r="DJ84" s="378">
        <f>+DJ83/DJ69</f>
        <v>0.6739227010217681</v>
      </c>
      <c r="DL84" s="377" t="s">
        <v>6</v>
      </c>
      <c r="DM84" s="378">
        <f>+DM83/DM69</f>
        <v>0.66910742422838076</v>
      </c>
      <c r="DN84" s="378">
        <f>+DN83/DN69</f>
        <v>0.65928280520512561</v>
      </c>
      <c r="DO84" s="378">
        <f>+DO83/DO69</f>
        <v>0.64970729111229375</v>
      </c>
      <c r="DP84" s="378">
        <f>+DP83/DP69</f>
        <v>0.64815838955867711</v>
      </c>
      <c r="DQ84" s="378">
        <f>+DQ83/DQ69</f>
        <v>0.64815838955867711</v>
      </c>
      <c r="DS84" s="377" t="s">
        <v>6</v>
      </c>
      <c r="DT84" s="378">
        <f>+DT83/DT69</f>
        <v>0.64512654819601511</v>
      </c>
      <c r="DU84" s="378">
        <f>+DU83/DU69</f>
        <v>0.63955751305951036</v>
      </c>
      <c r="DV84" s="378">
        <f>+DV83/DV69</f>
        <v>0.62968441814595666</v>
      </c>
      <c r="DW84" s="378">
        <f>+DW83/DW69</f>
        <v>0.61940579165099663</v>
      </c>
      <c r="DX84" s="378">
        <f>+DX83/DX69</f>
        <v>0.61940579165099663</v>
      </c>
      <c r="DZ84" s="377" t="s">
        <v>6</v>
      </c>
      <c r="EA84" s="378">
        <f>+EA83/EA69</f>
        <v>0.61624828845276125</v>
      </c>
      <c r="EB84" s="378">
        <f>+EB83/EB69</f>
        <v>0.61559543806913619</v>
      </c>
      <c r="EC84" s="378">
        <f>+EC83/EC69</f>
        <v>0.61922811853893867</v>
      </c>
      <c r="ED84" s="378">
        <f>+ED83/ED69</f>
        <v>0.62581963723069067</v>
      </c>
      <c r="EE84" s="378">
        <f>+EE83/EE69</f>
        <v>0.62581963723069067</v>
      </c>
      <c r="EG84" s="377" t="s">
        <v>6</v>
      </c>
      <c r="EH84" s="378">
        <f>+EH83/EH69</f>
        <v>0.62257332548953692</v>
      </c>
      <c r="EI84" s="378">
        <f>+EI83/EI69</f>
        <v>0.61949209552640427</v>
      </c>
      <c r="EJ84" s="378">
        <f>+EJ83/EJ69</f>
        <v>0.6178634864247653</v>
      </c>
      <c r="EK84" s="378">
        <f>+EK83/EK69</f>
        <v>0.61585573324259957</v>
      </c>
      <c r="EL84" s="378">
        <f>+EL83/EL69</f>
        <v>0.61585573324259957</v>
      </c>
      <c r="EN84" s="377" t="s">
        <v>6</v>
      </c>
      <c r="EO84" s="378">
        <f>+EO83/EO69</f>
        <v>0.61287027579162412</v>
      </c>
      <c r="EP84" s="378">
        <f>+EP83/EP69</f>
        <v>0.61194409148665818</v>
      </c>
      <c r="EQ84" s="378">
        <f>+EQ83/EQ69</f>
        <v>0.61460957178841313</v>
      </c>
      <c r="ER84" s="378">
        <f>+ER83/ER69</f>
        <v>0.61776413999004809</v>
      </c>
      <c r="ES84" s="378">
        <f>+ES83/ES69</f>
        <v>0.61776413999004809</v>
      </c>
      <c r="EU84" s="377" t="s">
        <v>6</v>
      </c>
      <c r="EV84" s="378">
        <f>+EV83/EV69</f>
        <v>0.62962351387054161</v>
      </c>
      <c r="EW84" s="378">
        <f>+EW83/EW69</f>
        <v>0.63123626597216576</v>
      </c>
      <c r="EX84" s="378">
        <f>+EX83/EX69</f>
        <v>0.62690862578943163</v>
      </c>
      <c r="EY84" s="378">
        <f>+EY83/EY69</f>
        <v>0.62396400663035756</v>
      </c>
      <c r="EZ84" s="378">
        <f>+EZ83/EZ69</f>
        <v>0.62396400663035756</v>
      </c>
      <c r="FB84" s="377" t="s">
        <v>6</v>
      </c>
      <c r="FC84" s="378">
        <f>+FC83/FC69</f>
        <v>0.61526332387259541</v>
      </c>
      <c r="FD84" s="378">
        <f>+FD83/FD69</f>
        <v>0.60716570697376837</v>
      </c>
      <c r="FE84" s="378">
        <f>+FE83/FE69</f>
        <v>0.60072001309114709</v>
      </c>
      <c r="FF84" s="378">
        <f>+FF83/FF69</f>
        <v>0.59427652188637714</v>
      </c>
      <c r="FG84" s="378">
        <f>+FG83/FG69</f>
        <v>0.59427652188637714</v>
      </c>
      <c r="FI84" s="377" t="s">
        <v>6</v>
      </c>
      <c r="FJ84" s="378">
        <f>+FJ83/FJ69</f>
        <v>0.59033502894229084</v>
      </c>
      <c r="FK84" s="378">
        <f>+FK83/FK69</f>
        <v>0.59119724687556607</v>
      </c>
      <c r="FL84" s="378">
        <f>+FL83/FL69</f>
        <v>0.58929066863960045</v>
      </c>
      <c r="FM84" s="378">
        <f>+FM83/FM69</f>
        <v>0.57629415484686963</v>
      </c>
      <c r="FN84" s="378">
        <f>+FN83/FN69</f>
        <v>0.57629415484686963</v>
      </c>
      <c r="FP84" s="377" t="s">
        <v>6</v>
      </c>
      <c r="FQ84" s="378">
        <f>+FQ83/FQ69</f>
        <v>0.56961130742049471</v>
      </c>
      <c r="FR84" s="378">
        <f>+FR83/FR69</f>
        <v>0.55736427396311372</v>
      </c>
      <c r="FS84" s="378">
        <f>+FS83/FS69</f>
        <v>0.55534450008634084</v>
      </c>
      <c r="FT84" s="378">
        <f>+FT83/FT69</f>
        <v>0.55005259467040668</v>
      </c>
      <c r="FU84" s="378">
        <f>+FU83/FU69</f>
        <v>0.55005259467040668</v>
      </c>
      <c r="FW84" s="377" t="s">
        <v>6</v>
      </c>
      <c r="FX84" s="378">
        <f>+FX83/FX69</f>
        <v>0.5356110381077529</v>
      </c>
      <c r="FY84" s="378">
        <f>+FY83/FY69</f>
        <v>0.52399861878453036</v>
      </c>
      <c r="FZ84" s="378">
        <f>+FZ83/FZ69</f>
        <v>0.50367585630743528</v>
      </c>
      <c r="GA84" s="378">
        <f>+GA83/GA69</f>
        <v>0.49387755102040815</v>
      </c>
      <c r="GB84" s="378">
        <f>+GB83/GB69</f>
        <v>0.49387755102040815</v>
      </c>
      <c r="GD84" s="377" t="s">
        <v>6</v>
      </c>
      <c r="GE84" s="378">
        <f>+GE83/GE69</f>
        <v>0.48478243319609265</v>
      </c>
      <c r="GF84" s="378">
        <f>+GF83/GF69</f>
        <v>0.48064150332091365</v>
      </c>
      <c r="GG84" s="378">
        <f>+GG83/GG69</f>
        <v>0.47437474374743749</v>
      </c>
      <c r="GH84" s="378">
        <f>+GH83/GH69</f>
        <v>0.4710563793247885</v>
      </c>
      <c r="GI84" s="378">
        <f>+GI83/GI69</f>
        <v>0.4710563793247885</v>
      </c>
      <c r="GK84" s="377" t="s">
        <v>6</v>
      </c>
      <c r="GL84" s="378">
        <f>+GL83/GL69</f>
        <v>0.46625350199507598</v>
      </c>
      <c r="GM84" s="378">
        <f>+GM83/GM69</f>
        <v>0.4698806160575959</v>
      </c>
      <c r="GN84" s="378">
        <f>+GN83/GN69</f>
        <v>0.46622192990698114</v>
      </c>
      <c r="GO84" s="378">
        <f>+GO83/GO69</f>
        <v>0.45714825663800435</v>
      </c>
      <c r="GP84" s="378">
        <f>+GP83/GP69</f>
        <v>0.45714825663800435</v>
      </c>
      <c r="GR84" s="377" t="s">
        <v>6</v>
      </c>
      <c r="GS84" s="378">
        <f>+GS83/GS69</f>
        <v>0.46219523764348736</v>
      </c>
      <c r="GT84" s="378">
        <f>+GT83/GT69</f>
        <v>0.45131252217098261</v>
      </c>
      <c r="GU84" s="378">
        <f>+GU83/GU69</f>
        <v>0.45461409395973157</v>
      </c>
      <c r="GV84" s="378">
        <f>+GV83/GV69</f>
        <v>0.46773678326145984</v>
      </c>
      <c r="GW84" s="378">
        <f>+GW83/GW69</f>
        <v>0.46773678326145984</v>
      </c>
      <c r="GY84" s="377" t="s">
        <v>6</v>
      </c>
      <c r="GZ84" s="378">
        <f>+GZ83/GZ69</f>
        <v>0.47713763145861909</v>
      </c>
      <c r="HA84" s="378">
        <f>+HA83/HA69</f>
        <v>0.48942424894242487</v>
      </c>
      <c r="HB84" s="378">
        <f>+HB83/HB69</f>
        <v>0.5</v>
      </c>
      <c r="HC84" s="378">
        <f>+HC83/HC69</f>
        <v>0.50171682488386182</v>
      </c>
      <c r="HD84" s="378">
        <f>+HD83/HD69</f>
        <v>0.50171682488386182</v>
      </c>
      <c r="HF84" s="377" t="s">
        <v>6</v>
      </c>
      <c r="HG84" s="378">
        <f>+HG83/HG69</f>
        <v>0.49828337514855409</v>
      </c>
      <c r="HH84" s="378">
        <f>+HH83/HH69</f>
        <v>0.49973386560212907</v>
      </c>
      <c r="HI84" s="378">
        <f>+HI83/HI69</f>
        <v>0.50798939280614674</v>
      </c>
      <c r="HJ84" s="378">
        <f>+HJ83/HJ69</f>
        <v>0.51449819199017532</v>
      </c>
      <c r="HK84" s="378">
        <f>+HK83/HK69</f>
        <v>0.51449819199017532</v>
      </c>
      <c r="HM84" s="377" t="s">
        <v>6</v>
      </c>
      <c r="HN84" s="378">
        <f>+HN83/HN69</f>
        <v>0.5200246036085292</v>
      </c>
      <c r="HO84" s="378">
        <f>+HO83/HO69</f>
        <v>0.52091020910209107</v>
      </c>
      <c r="HP84" s="378">
        <f>+HP83/HP69</f>
        <v>0.51590491110959746</v>
      </c>
      <c r="HQ84" s="378">
        <f>+HQ83/HQ69</f>
        <v>0.51781292984869332</v>
      </c>
      <c r="HR84" s="378">
        <f>+HR83/HR69</f>
        <v>0.51781292984869332</v>
      </c>
      <c r="HT84" s="377" t="s">
        <v>6</v>
      </c>
      <c r="HU84" s="378">
        <f>+HU83/HU69</f>
        <v>0.5287774821453578</v>
      </c>
      <c r="HV84" s="378">
        <f>+HV83/HV69</f>
        <v>0.53500529848110212</v>
      </c>
      <c r="HW84" s="378">
        <f>+HW83/HW69</f>
        <v>0.53820009912908018</v>
      </c>
      <c r="HX84" s="378">
        <f>+HX83/HX69</f>
        <v>0.5421515753619075</v>
      </c>
      <c r="HY84" s="378">
        <f>+HY83/HY69</f>
        <v>0.5421515753619075</v>
      </c>
      <c r="IA84" s="377" t="s">
        <v>6</v>
      </c>
      <c r="IB84" s="378">
        <f>+IB83/IB69</f>
        <v>0.53473111486729019</v>
      </c>
      <c r="IC84" s="378">
        <f>+IC83/IC69</f>
        <v>0.53137810859810952</v>
      </c>
      <c r="ID84" s="378">
        <f>+ID83/ID69</f>
        <v>0.52696587547110996</v>
      </c>
      <c r="IE84" s="378">
        <f>+IE83/IE69</f>
        <v>0.51981754001579339</v>
      </c>
      <c r="IF84" s="378">
        <f>+IF83/IF69</f>
        <v>0.51981754001579361</v>
      </c>
      <c r="IH84" s="377" t="s">
        <v>6</v>
      </c>
      <c r="II84" s="378">
        <f>+II83/II69</f>
        <v>0.51550526121747664</v>
      </c>
      <c r="IJ84" s="378">
        <f>+IJ83/IJ69</f>
        <v>0.51089323101781703</v>
      </c>
      <c r="IK84" s="378">
        <f>+IK83/IK69</f>
        <v>0.50573269548570177</v>
      </c>
      <c r="IL84" s="378">
        <f>+IL83/IL69</f>
        <v>0.50068927170915112</v>
      </c>
      <c r="IM84" s="378">
        <f>+IM83/IM69</f>
        <v>0.50068927170915112</v>
      </c>
      <c r="IO84" s="377" t="s">
        <v>6</v>
      </c>
      <c r="IP84" s="378">
        <f>+IP83/IP69</f>
        <v>0.49836037332063288</v>
      </c>
      <c r="IQ84" s="378">
        <f>+IQ83/IQ69</f>
        <v>0.49655482078542207</v>
      </c>
      <c r="IR84" s="378">
        <f>+IR83/IR69</f>
        <v>0.49535756293335204</v>
      </c>
      <c r="IS84" s="378">
        <f>+IS83/IS69</f>
        <v>0.49318991753425651</v>
      </c>
      <c r="IT84" s="378">
        <f>+IT83/IT69</f>
        <v>0.49318991753425645</v>
      </c>
    </row>
    <row r="85" spans="1:254" x14ac:dyDescent="0.4">
      <c r="B85" s="318"/>
      <c r="C85" s="319"/>
      <c r="D85" s="319"/>
      <c r="E85" s="319"/>
      <c r="F85" s="319"/>
      <c r="G85" s="319"/>
      <c r="H85" s="319"/>
      <c r="I85" s="319"/>
      <c r="J85" s="319"/>
      <c r="K85" s="319"/>
      <c r="L85" s="319"/>
      <c r="M85" s="319"/>
      <c r="N85" s="319"/>
      <c r="O85" s="319"/>
      <c r="P85" s="319"/>
      <c r="Q85" s="319"/>
      <c r="R85" s="319"/>
      <c r="S85" s="319"/>
      <c r="T85" s="319"/>
      <c r="U85" s="319"/>
      <c r="V85" s="319"/>
      <c r="W85" s="319"/>
      <c r="X85" s="319"/>
      <c r="Y85" s="319"/>
      <c r="Z85" s="319"/>
      <c r="AA85" s="319"/>
      <c r="AB85" s="130"/>
      <c r="AC85" s="130"/>
      <c r="AD85" s="130"/>
      <c r="AE85" s="130"/>
      <c r="AF85" s="130"/>
      <c r="AG85" s="376"/>
      <c r="AH85" s="376"/>
      <c r="AI85" s="376"/>
      <c r="AJ85" s="376"/>
      <c r="AK85" s="376"/>
      <c r="AL85" s="376"/>
      <c r="AM85" s="376"/>
      <c r="AN85" s="376"/>
      <c r="AO85" s="376"/>
      <c r="AP85" s="376"/>
      <c r="AQ85" s="376"/>
      <c r="AR85" s="376"/>
      <c r="AT85" s="318"/>
      <c r="AU85" s="319"/>
      <c r="AV85" s="319"/>
      <c r="AW85" s="319"/>
      <c r="AX85" s="319"/>
      <c r="AY85" s="319"/>
      <c r="BA85" s="318"/>
      <c r="BB85" s="319"/>
      <c r="BC85" s="319"/>
      <c r="BD85" s="319"/>
      <c r="BE85" s="319"/>
      <c r="BF85" s="319"/>
      <c r="BH85" s="318"/>
      <c r="BI85" s="319"/>
      <c r="BJ85" s="319"/>
      <c r="BK85" s="319"/>
      <c r="BL85" s="319"/>
      <c r="BM85" s="319"/>
      <c r="BO85" s="318"/>
      <c r="BP85" s="319"/>
      <c r="BQ85" s="319"/>
      <c r="BR85" s="319"/>
      <c r="BS85" s="319"/>
      <c r="BT85" s="319"/>
      <c r="BV85" s="318"/>
      <c r="BW85" s="319"/>
      <c r="BX85" s="319"/>
      <c r="BY85" s="319"/>
      <c r="BZ85" s="319"/>
      <c r="CA85" s="319"/>
      <c r="CC85" s="318"/>
      <c r="CD85" s="319"/>
      <c r="CE85" s="319"/>
      <c r="CF85" s="319"/>
      <c r="CG85" s="319"/>
      <c r="CH85" s="319"/>
      <c r="CJ85" s="318"/>
      <c r="CK85" s="319"/>
      <c r="CL85" s="319"/>
      <c r="CM85" s="319"/>
      <c r="CN85" s="319"/>
      <c r="CO85" s="319"/>
      <c r="CQ85" s="318"/>
      <c r="CR85" s="319"/>
      <c r="CS85" s="319"/>
      <c r="CT85" s="319"/>
      <c r="CU85" s="319"/>
      <c r="CV85" s="319"/>
      <c r="CX85" s="318"/>
      <c r="CY85" s="319"/>
      <c r="CZ85" s="319"/>
      <c r="DA85" s="319"/>
      <c r="DB85" s="319"/>
      <c r="DC85" s="319"/>
      <c r="DE85" s="318"/>
      <c r="DF85" s="319"/>
      <c r="DG85" s="319"/>
      <c r="DH85" s="319"/>
      <c r="DI85" s="319"/>
      <c r="DJ85" s="319"/>
      <c r="DL85" s="318"/>
      <c r="DM85" s="319"/>
      <c r="DN85" s="319"/>
      <c r="DO85" s="319"/>
      <c r="DP85" s="319"/>
      <c r="DQ85" s="319"/>
      <c r="DS85" s="318"/>
      <c r="DT85" s="319"/>
      <c r="DU85" s="319"/>
      <c r="DV85" s="319"/>
      <c r="DW85" s="319"/>
      <c r="DX85" s="319"/>
      <c r="DZ85" s="318"/>
      <c r="EA85" s="319"/>
      <c r="EB85" s="319"/>
      <c r="EC85" s="319"/>
      <c r="ED85" s="319"/>
      <c r="EE85" s="319"/>
      <c r="EG85" s="318"/>
      <c r="EH85" s="319"/>
      <c r="EI85" s="319"/>
      <c r="EJ85" s="319"/>
      <c r="EK85" s="319"/>
      <c r="EL85" s="319"/>
      <c r="EN85" s="318"/>
      <c r="EO85" s="319"/>
      <c r="EP85" s="319"/>
      <c r="EQ85" s="319"/>
      <c r="ER85" s="319"/>
      <c r="ES85" s="319"/>
      <c r="EU85" s="318"/>
      <c r="EV85" s="319"/>
      <c r="EW85" s="319"/>
      <c r="EX85" s="319"/>
      <c r="EY85" s="319"/>
      <c r="EZ85" s="319"/>
      <c r="FB85" s="318"/>
      <c r="FC85" s="319"/>
      <c r="FD85" s="319"/>
      <c r="FE85" s="319"/>
      <c r="FF85" s="319"/>
      <c r="FG85" s="319"/>
      <c r="FI85" s="318"/>
      <c r="FJ85" s="319"/>
      <c r="FK85" s="319"/>
      <c r="FL85" s="319"/>
      <c r="FM85" s="319"/>
      <c r="FN85" s="319"/>
      <c r="FP85" s="318"/>
      <c r="FQ85" s="319"/>
      <c r="FR85" s="319"/>
      <c r="FS85" s="319"/>
      <c r="FT85" s="319"/>
      <c r="FU85" s="319"/>
      <c r="FW85" s="318"/>
      <c r="FX85" s="319"/>
      <c r="FY85" s="319"/>
      <c r="FZ85" s="319"/>
      <c r="GA85" s="319"/>
      <c r="GB85" s="319"/>
      <c r="GD85" s="318"/>
      <c r="GE85" s="319"/>
      <c r="GF85" s="319"/>
      <c r="GG85" s="319"/>
      <c r="GH85" s="319"/>
      <c r="GI85" s="319"/>
      <c r="GK85" s="318"/>
      <c r="GL85" s="319"/>
      <c r="GM85" s="319"/>
      <c r="GN85" s="319"/>
      <c r="GO85" s="319"/>
      <c r="GP85" s="319"/>
      <c r="GR85" s="318"/>
      <c r="GS85" s="319"/>
      <c r="GT85" s="319"/>
      <c r="GU85" s="319"/>
      <c r="GV85" s="319"/>
      <c r="GW85" s="319"/>
      <c r="GY85" s="318"/>
      <c r="GZ85" s="319"/>
      <c r="HA85" s="319"/>
      <c r="HB85" s="319"/>
      <c r="HC85" s="319"/>
      <c r="HD85" s="319"/>
      <c r="HF85" s="318"/>
      <c r="HG85" s="319"/>
      <c r="HH85" s="319"/>
      <c r="HI85" s="319"/>
      <c r="HJ85" s="319"/>
      <c r="HK85" s="319"/>
      <c r="HM85" s="318"/>
      <c r="HN85" s="319"/>
      <c r="HO85" s="319"/>
      <c r="HP85" s="319"/>
      <c r="HQ85" s="319"/>
      <c r="HR85" s="319"/>
      <c r="HT85" s="318"/>
      <c r="HU85" s="319"/>
      <c r="HV85" s="319"/>
      <c r="HW85" s="319"/>
      <c r="HX85" s="319"/>
      <c r="HY85" s="130"/>
      <c r="IA85" s="318"/>
      <c r="IB85" s="319"/>
      <c r="IC85" s="319"/>
      <c r="ID85" s="319"/>
      <c r="IE85" s="319"/>
      <c r="IF85" s="130"/>
      <c r="IH85" s="318"/>
      <c r="II85" s="319"/>
      <c r="IJ85" s="319"/>
      <c r="IK85" s="319"/>
      <c r="IL85" s="319"/>
      <c r="IM85" s="130"/>
      <c r="IO85" s="318"/>
      <c r="IP85" s="319"/>
      <c r="IQ85" s="319"/>
      <c r="IR85" s="319"/>
      <c r="IS85" s="319"/>
      <c r="IT85" s="130"/>
    </row>
    <row r="86" spans="1:254" ht="14.25" thickBot="1" x14ac:dyDescent="0.45">
      <c r="B86" s="380" t="s">
        <v>15</v>
      </c>
      <c r="C86" s="381">
        <f>AY86</f>
        <v>0</v>
      </c>
      <c r="D86" s="381">
        <f>BF86</f>
        <v>0</v>
      </c>
      <c r="E86" s="381">
        <f>BM86</f>
        <v>0</v>
      </c>
      <c r="F86" s="381">
        <f>BT86</f>
        <v>0</v>
      </c>
      <c r="G86" s="381">
        <f>CA86</f>
        <v>0</v>
      </c>
      <c r="H86" s="381">
        <f>CH86</f>
        <v>0</v>
      </c>
      <c r="I86" s="381">
        <f>CO86</f>
        <v>2366</v>
      </c>
      <c r="J86" s="381">
        <f>CV86</f>
        <v>2991</v>
      </c>
      <c r="K86" s="381">
        <f>DC86</f>
        <v>3150</v>
      </c>
      <c r="L86" s="381">
        <f>DJ86</f>
        <v>3680</v>
      </c>
      <c r="M86" s="381">
        <f>DQ86</f>
        <v>3179</v>
      </c>
      <c r="N86" s="381">
        <f>DX86</f>
        <v>4048</v>
      </c>
      <c r="O86" s="381">
        <f>EE86</f>
        <v>4394</v>
      </c>
      <c r="P86" s="381">
        <f>EL86</f>
        <v>4516</v>
      </c>
      <c r="Q86" s="381">
        <f>ES86</f>
        <v>4609</v>
      </c>
      <c r="R86" s="381">
        <f>EZ86</f>
        <v>4764</v>
      </c>
      <c r="S86" s="381">
        <f>FG86</f>
        <v>4792</v>
      </c>
      <c r="T86" s="381">
        <f>FN86</f>
        <v>4690</v>
      </c>
      <c r="U86" s="381">
        <f>FU86</f>
        <v>5133</v>
      </c>
      <c r="V86" s="381">
        <f>GB86</f>
        <v>6200</v>
      </c>
      <c r="W86" s="381">
        <f>GI86</f>
        <v>6314</v>
      </c>
      <c r="X86" s="381">
        <f>GP86</f>
        <v>5745</v>
      </c>
      <c r="Y86" s="381">
        <f>GW86</f>
        <v>6665</v>
      </c>
      <c r="Z86" s="381">
        <f>HD86</f>
        <v>7401</v>
      </c>
      <c r="AA86" s="381">
        <f>HK86</f>
        <v>7110</v>
      </c>
      <c r="AB86" s="381">
        <f>HR86</f>
        <v>7011</v>
      </c>
      <c r="AC86" s="381">
        <f>HY86</f>
        <v>6452</v>
      </c>
      <c r="AD86" s="381">
        <f>IF86</f>
        <v>6960.1464521169491</v>
      </c>
      <c r="AE86" s="381">
        <f>IM86</f>
        <v>7579.9891611633975</v>
      </c>
      <c r="AF86" s="381">
        <f>IT86</f>
        <v>8032.2492221016582</v>
      </c>
      <c r="AG86" s="382"/>
      <c r="AH86" s="382"/>
      <c r="AI86" s="382"/>
      <c r="AJ86" s="382"/>
      <c r="AK86" s="382"/>
      <c r="AL86" s="382"/>
      <c r="AM86" s="382"/>
      <c r="AN86" s="382"/>
      <c r="AO86" s="382"/>
      <c r="AP86" s="382"/>
      <c r="AQ86" s="382"/>
      <c r="AR86" s="382"/>
      <c r="AT86" s="380" t="s">
        <v>15</v>
      </c>
      <c r="AU86" s="381"/>
      <c r="AV86" s="381"/>
      <c r="AW86" s="381"/>
      <c r="AX86" s="381"/>
      <c r="AY86" s="381"/>
      <c r="BA86" s="380" t="s">
        <v>15</v>
      </c>
      <c r="BB86" s="381"/>
      <c r="BC86" s="381"/>
      <c r="BD86" s="381"/>
      <c r="BE86" s="381"/>
      <c r="BF86" s="381"/>
      <c r="BH86" s="380" t="s">
        <v>15</v>
      </c>
      <c r="BI86" s="381"/>
      <c r="BJ86" s="381"/>
      <c r="BK86" s="381"/>
      <c r="BL86" s="381"/>
      <c r="BM86" s="381"/>
      <c r="BO86" s="380" t="s">
        <v>15</v>
      </c>
      <c r="BP86" s="381"/>
      <c r="BQ86" s="381"/>
      <c r="BR86" s="381"/>
      <c r="BS86" s="381"/>
      <c r="BT86" s="381"/>
      <c r="BV86" s="380" t="s">
        <v>15</v>
      </c>
      <c r="BW86" s="381"/>
      <c r="BX86" s="381"/>
      <c r="BY86" s="381"/>
      <c r="BZ86" s="381"/>
      <c r="CA86" s="381"/>
      <c r="CC86" s="380" t="s">
        <v>15</v>
      </c>
      <c r="CD86" s="381"/>
      <c r="CE86" s="381"/>
      <c r="CF86" s="381"/>
      <c r="CG86" s="381"/>
      <c r="CH86" s="381"/>
      <c r="CJ86" s="380" t="s">
        <v>15</v>
      </c>
      <c r="CK86" s="381" t="s">
        <v>80</v>
      </c>
      <c r="CL86" s="381" t="s">
        <v>80</v>
      </c>
      <c r="CM86" s="381" t="s">
        <v>80</v>
      </c>
      <c r="CN86" s="381" t="s">
        <v>80</v>
      </c>
      <c r="CO86" s="381">
        <f>+CO74+CO77</f>
        <v>2366</v>
      </c>
      <c r="CQ86" s="380" t="s">
        <v>15</v>
      </c>
      <c r="CR86" s="381">
        <f>+CR74+CR77</f>
        <v>2304</v>
      </c>
      <c r="CS86" s="381">
        <f>+CS74+CS77</f>
        <v>2742</v>
      </c>
      <c r="CT86" s="381">
        <f>+CT74+CT77</f>
        <v>2894</v>
      </c>
      <c r="CU86" s="381">
        <f>+CU74+CU77</f>
        <v>2991</v>
      </c>
      <c r="CV86" s="381">
        <f>+CV74+CV77</f>
        <v>2991</v>
      </c>
      <c r="CX86" s="380" t="s">
        <v>15</v>
      </c>
      <c r="CY86" s="381">
        <f>+CY74+CY77</f>
        <v>2846</v>
      </c>
      <c r="CZ86" s="381">
        <f>+CZ74+CZ77</f>
        <v>2974</v>
      </c>
      <c r="DA86" s="381">
        <f>+DA74+DA77</f>
        <v>3043</v>
      </c>
      <c r="DB86" s="381">
        <f>+DB74+DB77</f>
        <v>3150</v>
      </c>
      <c r="DC86" s="381">
        <f>+DC74+DC77</f>
        <v>3150</v>
      </c>
      <c r="DE86" s="380" t="s">
        <v>15</v>
      </c>
      <c r="DF86" s="381">
        <f>+DF74+DF77</f>
        <v>2732</v>
      </c>
      <c r="DG86" s="381">
        <f>+DG74+DG77</f>
        <v>3402</v>
      </c>
      <c r="DH86" s="381">
        <f>+DH74+DH77</f>
        <v>3589</v>
      </c>
      <c r="DI86" s="381">
        <f>+DI74+DI77</f>
        <v>3680</v>
      </c>
      <c r="DJ86" s="381">
        <f>+DJ74+DJ77</f>
        <v>3680</v>
      </c>
      <c r="DL86" s="380" t="s">
        <v>15</v>
      </c>
      <c r="DM86" s="381">
        <f>+DM74+DM77</f>
        <v>4692</v>
      </c>
      <c r="DN86" s="381">
        <f>+DN74+DN77</f>
        <v>3433</v>
      </c>
      <c r="DO86" s="381">
        <f>+DO74+DO77</f>
        <v>3288</v>
      </c>
      <c r="DP86" s="381">
        <f>+DP74+DP77</f>
        <v>3179</v>
      </c>
      <c r="DQ86" s="381">
        <f>+DQ74+DQ77</f>
        <v>3179</v>
      </c>
      <c r="DS86" s="380" t="s">
        <v>15</v>
      </c>
      <c r="DT86" s="381">
        <f>+DT74+DT77</f>
        <v>2890</v>
      </c>
      <c r="DU86" s="381">
        <f>+DU74+DU77</f>
        <v>3517</v>
      </c>
      <c r="DV86" s="381">
        <f>+DV74+DV77</f>
        <v>3756</v>
      </c>
      <c r="DW86" s="381">
        <f>+DW74+DW77</f>
        <v>4048</v>
      </c>
      <c r="DX86" s="381">
        <f>+DX74+DX77</f>
        <v>4048</v>
      </c>
      <c r="DZ86" s="380" t="s">
        <v>15</v>
      </c>
      <c r="EA86" s="381">
        <f>+EA74+EA77</f>
        <v>3732</v>
      </c>
      <c r="EB86" s="381">
        <f>+EB74+EB77</f>
        <v>4348</v>
      </c>
      <c r="EC86" s="381">
        <f>+EC74+EC77</f>
        <v>4420</v>
      </c>
      <c r="ED86" s="381">
        <f>+ED74+ED77</f>
        <v>4394</v>
      </c>
      <c r="EE86" s="381">
        <f>+EE74+EE77</f>
        <v>4394</v>
      </c>
      <c r="EG86" s="380" t="s">
        <v>15</v>
      </c>
      <c r="EH86" s="381">
        <f>+EH74+EH77</f>
        <v>4560</v>
      </c>
      <c r="EI86" s="381">
        <f>+EI74+EI77</f>
        <v>4525</v>
      </c>
      <c r="EJ86" s="381">
        <f>+EJ74+EJ77</f>
        <v>4518</v>
      </c>
      <c r="EK86" s="381">
        <f>+EK74+EK77</f>
        <v>4516</v>
      </c>
      <c r="EL86" s="381">
        <f>+EL74+EL77</f>
        <v>4516</v>
      </c>
      <c r="EN86" s="380" t="s">
        <v>15</v>
      </c>
      <c r="EO86" s="381">
        <f>+EO74+EO77</f>
        <v>4406</v>
      </c>
      <c r="EP86" s="381">
        <f>+EP74+EP77</f>
        <v>4581</v>
      </c>
      <c r="EQ86" s="381">
        <f>+EQ74+EQ77</f>
        <v>4590</v>
      </c>
      <c r="ER86" s="381">
        <f>+ER74+ER77</f>
        <v>4609</v>
      </c>
      <c r="ES86" s="381">
        <f>+ES74+ES77</f>
        <v>4609</v>
      </c>
      <c r="EU86" s="380" t="s">
        <v>15</v>
      </c>
      <c r="EV86" s="381">
        <f>+EV74+EV77</f>
        <v>4245</v>
      </c>
      <c r="EW86" s="381">
        <f>+EW74+EW77</f>
        <v>4531</v>
      </c>
      <c r="EX86" s="381">
        <f>+EX74+EX77</f>
        <v>4667</v>
      </c>
      <c r="EY86" s="381">
        <f>+EY74+EY77</f>
        <v>4764</v>
      </c>
      <c r="EZ86" s="381">
        <f>+EZ74+EZ77</f>
        <v>4764</v>
      </c>
      <c r="FB86" s="380" t="s">
        <v>15</v>
      </c>
      <c r="FC86" s="381">
        <f>+FC74+FC77</f>
        <v>5319</v>
      </c>
      <c r="FD86" s="381">
        <f>+FD74+FD77</f>
        <v>4912</v>
      </c>
      <c r="FE86" s="381">
        <f>+FE74+FE77</f>
        <v>4880</v>
      </c>
      <c r="FF86" s="381">
        <f>+FF74+FF77</f>
        <v>4792</v>
      </c>
      <c r="FG86" s="381">
        <f>+FG74+FG77</f>
        <v>4792</v>
      </c>
      <c r="FI86" s="380" t="s">
        <v>15</v>
      </c>
      <c r="FJ86" s="381">
        <f>+FJ74+FJ77</f>
        <v>4991</v>
      </c>
      <c r="FK86" s="381">
        <f>+FK74+FK77</f>
        <v>4514</v>
      </c>
      <c r="FL86" s="381">
        <f>+FL74+FL77</f>
        <v>4441</v>
      </c>
      <c r="FM86" s="381">
        <f>+FM74+FM77</f>
        <v>4690</v>
      </c>
      <c r="FN86" s="381">
        <f>+FN74+FN77</f>
        <v>4690</v>
      </c>
      <c r="FP86" s="380" t="s">
        <v>15</v>
      </c>
      <c r="FQ86" s="381">
        <f>+FQ74+FQ77</f>
        <v>4870</v>
      </c>
      <c r="FR86" s="381">
        <f>+FR74+FR77</f>
        <v>5112</v>
      </c>
      <c r="FS86" s="381">
        <f>+FS74+FS77</f>
        <v>5150</v>
      </c>
      <c r="FT86" s="381">
        <f>+FT74+FT77</f>
        <v>5133</v>
      </c>
      <c r="FU86" s="381">
        <f>+FU74+FU77</f>
        <v>5133</v>
      </c>
      <c r="FW86" s="380" t="s">
        <v>15</v>
      </c>
      <c r="FX86" s="381">
        <f>+FX74+FX77</f>
        <v>5381</v>
      </c>
      <c r="FY86" s="381">
        <f>+FY74+FY77</f>
        <v>5514</v>
      </c>
      <c r="FZ86" s="381">
        <f>+FZ74+FZ77</f>
        <v>5941</v>
      </c>
      <c r="GA86" s="381">
        <f>+GA74+GA77</f>
        <v>6200</v>
      </c>
      <c r="GB86" s="381">
        <f>+GB74+GB77</f>
        <v>6200</v>
      </c>
      <c r="GD86" s="380" t="s">
        <v>15</v>
      </c>
      <c r="GE86" s="381">
        <f>+GE74+GE77</f>
        <v>6590</v>
      </c>
      <c r="GF86" s="381">
        <f>+GF74+GF77</f>
        <v>6412</v>
      </c>
      <c r="GG86" s="381">
        <f>+GG74+GG77</f>
        <v>6410</v>
      </c>
      <c r="GH86" s="381">
        <f>+GH74+GH77</f>
        <v>6314</v>
      </c>
      <c r="GI86" s="381">
        <f>+GI74+GI77</f>
        <v>6314</v>
      </c>
      <c r="GK86" s="380" t="s">
        <v>15</v>
      </c>
      <c r="GL86" s="381">
        <f>+GL74+GL77</f>
        <v>6800</v>
      </c>
      <c r="GM86" s="381">
        <f>+GM74+GM77</f>
        <v>5817</v>
      </c>
      <c r="GN86" s="381">
        <f>+GN74+GN77</f>
        <v>5681</v>
      </c>
      <c r="GO86" s="381">
        <f>+GO74+GO77</f>
        <v>5745</v>
      </c>
      <c r="GP86" s="381">
        <f>+GP74+GP77</f>
        <v>5745</v>
      </c>
      <c r="GR86" s="380" t="s">
        <v>15</v>
      </c>
      <c r="GS86" s="381">
        <f>+GS74+GS77</f>
        <v>5099</v>
      </c>
      <c r="GT86" s="381">
        <f>+GT74+GT77</f>
        <v>6187</v>
      </c>
      <c r="GU86" s="381">
        <f>+GU74+GU77</f>
        <v>6501</v>
      </c>
      <c r="GV86" s="381">
        <f>+GV74+GV77</f>
        <v>6665</v>
      </c>
      <c r="GW86" s="381">
        <f>+GW74+GW77</f>
        <v>6665</v>
      </c>
      <c r="GY86" s="380" t="s">
        <v>15</v>
      </c>
      <c r="GZ86" s="381">
        <f>+GZ74+GZ77</f>
        <v>5815</v>
      </c>
      <c r="HA86" s="381">
        <f>+HA74+HA77</f>
        <v>7121</v>
      </c>
      <c r="HB86" s="381">
        <f>+HB74+HB77</f>
        <v>7275</v>
      </c>
      <c r="HC86" s="381">
        <f>+HC74+HC77</f>
        <v>7401</v>
      </c>
      <c r="HD86" s="381">
        <f>+HD74+HD77</f>
        <v>7401</v>
      </c>
      <c r="HF86" s="380" t="s">
        <v>15</v>
      </c>
      <c r="HG86" s="381">
        <f>+HG74+HG77</f>
        <v>7615</v>
      </c>
      <c r="HH86" s="381">
        <f>+HH74+HH77</f>
        <v>7517</v>
      </c>
      <c r="HI86" s="381">
        <f>+HI74+HI77</f>
        <v>7230</v>
      </c>
      <c r="HJ86" s="381">
        <f>+HJ74+HJ77</f>
        <v>7110</v>
      </c>
      <c r="HK86" s="381">
        <f>+HK74+HK77</f>
        <v>7110</v>
      </c>
      <c r="HM86" s="380" t="s">
        <v>15</v>
      </c>
      <c r="HN86" s="381">
        <f>+HN74+HN77</f>
        <v>7033</v>
      </c>
      <c r="HO86" s="381">
        <f>+HO74+HO77</f>
        <v>7007</v>
      </c>
      <c r="HP86" s="381">
        <f>+HP74+HP77</f>
        <v>7107</v>
      </c>
      <c r="HQ86" s="381">
        <f>+HQ74+HQ77</f>
        <v>7011</v>
      </c>
      <c r="HR86" s="381">
        <f>+HR74+HR77</f>
        <v>7011</v>
      </c>
      <c r="HT86" s="380" t="s">
        <v>15</v>
      </c>
      <c r="HU86" s="381">
        <f>+HU74+HU77</f>
        <v>6656</v>
      </c>
      <c r="HV86" s="381">
        <f>+HV74+HV77</f>
        <v>6582</v>
      </c>
      <c r="HW86" s="381">
        <f>+HW74+HW77</f>
        <v>6522</v>
      </c>
      <c r="HX86" s="381">
        <f>+HX74+HX77</f>
        <v>6452</v>
      </c>
      <c r="HY86" s="381">
        <f>+HY74+HY77</f>
        <v>6452</v>
      </c>
      <c r="IA86" s="380" t="s">
        <v>15</v>
      </c>
      <c r="IB86" s="381">
        <f>+IB74+IB77</f>
        <v>6599.6516301502434</v>
      </c>
      <c r="IC86" s="381">
        <f>+IC74+IC77</f>
        <v>6650.544740579111</v>
      </c>
      <c r="ID86" s="381">
        <f>+ID74+ID77</f>
        <v>6768.4757051502438</v>
      </c>
      <c r="IE86" s="381">
        <f>+IE74+IE77</f>
        <v>6960.1464521169546</v>
      </c>
      <c r="IF86" s="381">
        <f>+IF74+IF77</f>
        <v>6960.1464521169491</v>
      </c>
      <c r="IH86" s="380" t="s">
        <v>15</v>
      </c>
      <c r="II86" s="381">
        <f>+II74+II77</f>
        <v>7050.5036197687332</v>
      </c>
      <c r="IJ86" s="381">
        <f>+IJ74+IJ77</f>
        <v>7256.0337703906789</v>
      </c>
      <c r="IK86" s="381">
        <f>+IK74+IK77</f>
        <v>7417.6438927449835</v>
      </c>
      <c r="IL86" s="381">
        <f>+IL74+IL77</f>
        <v>7579.9891611633975</v>
      </c>
      <c r="IM86" s="381">
        <f>+IM74+IM77</f>
        <v>7579.9891611633975</v>
      </c>
      <c r="IO86" s="380" t="s">
        <v>15</v>
      </c>
      <c r="IP86" s="381">
        <f>+IP74+IP77</f>
        <v>7547.4317115232698</v>
      </c>
      <c r="IQ86" s="381">
        <f>+IQ74+IQ77</f>
        <v>7809.410172005224</v>
      </c>
      <c r="IR86" s="381">
        <f>+IR74+IR77</f>
        <v>7913.8195280397049</v>
      </c>
      <c r="IS86" s="381">
        <f>+IS74+IS77</f>
        <v>8032.2492221016564</v>
      </c>
      <c r="IT86" s="381">
        <f>+IT74+IT77</f>
        <v>8032.2492221016582</v>
      </c>
    </row>
    <row r="87" spans="1:254" x14ac:dyDescent="0.4">
      <c r="B87" s="377" t="s">
        <v>4</v>
      </c>
      <c r="C87" s="378">
        <f>AY87</f>
        <v>0</v>
      </c>
      <c r="D87" s="378">
        <f>BF87</f>
        <v>0</v>
      </c>
      <c r="E87" s="378">
        <f>BM87</f>
        <v>0</v>
      </c>
      <c r="F87" s="378">
        <f>BT87</f>
        <v>0</v>
      </c>
      <c r="G87" s="378">
        <f>CA87</f>
        <v>0</v>
      </c>
      <c r="H87" s="378">
        <f>CH87</f>
        <v>0</v>
      </c>
      <c r="I87" s="378">
        <f>CO87</f>
        <v>0.27508429252412508</v>
      </c>
      <c r="J87" s="378">
        <f>CV87</f>
        <v>0.31266987246498013</v>
      </c>
      <c r="K87" s="378">
        <f>DC87</f>
        <v>0.31405782652043868</v>
      </c>
      <c r="L87" s="378">
        <f>DJ87</f>
        <v>0.3269657929808974</v>
      </c>
      <c r="M87" s="378">
        <f>DQ87</f>
        <v>0.35162039597389672</v>
      </c>
      <c r="N87" s="378">
        <f>DX87</f>
        <v>0.38059420834900337</v>
      </c>
      <c r="O87" s="378">
        <f>EE87</f>
        <v>0.37418036276930938</v>
      </c>
      <c r="P87" s="378">
        <f>EL87</f>
        <v>0.38414426675740049</v>
      </c>
      <c r="Q87" s="378">
        <f>ES87</f>
        <v>0.38223586000995191</v>
      </c>
      <c r="R87" s="378">
        <f>EZ87</f>
        <v>0.37603599336964244</v>
      </c>
      <c r="S87" s="378">
        <f>FG87</f>
        <v>0.40572347811362292</v>
      </c>
      <c r="T87" s="378">
        <f>FN87</f>
        <v>0.42370584515313037</v>
      </c>
      <c r="U87" s="378">
        <f>FU87</f>
        <v>0.44994740532959326</v>
      </c>
      <c r="V87" s="378">
        <f>GB87</f>
        <v>0.5061224489795918</v>
      </c>
      <c r="W87" s="378">
        <f>GI87</f>
        <v>0.5289436206752115</v>
      </c>
      <c r="X87" s="378">
        <f>GP87</f>
        <v>0.54285174336199571</v>
      </c>
      <c r="Y87" s="378">
        <f>GW87</f>
        <v>0.53226321673854016</v>
      </c>
      <c r="Z87" s="378">
        <f>HD87</f>
        <v>0.49828317511613818</v>
      </c>
      <c r="AA87" s="378">
        <f>HK87</f>
        <v>0.48509244729480794</v>
      </c>
      <c r="AB87" s="378">
        <f>HR87</f>
        <v>0.48218707015130674</v>
      </c>
      <c r="AC87" s="378">
        <f>HY87</f>
        <v>0.45784842463809255</v>
      </c>
      <c r="AD87" s="378">
        <f>IF87</f>
        <v>0.48018245998420633</v>
      </c>
      <c r="AE87" s="378">
        <f>IM87</f>
        <v>0.49931072829084883</v>
      </c>
      <c r="AF87" s="378">
        <f>IT87</f>
        <v>0.50681008246574355</v>
      </c>
      <c r="AG87" s="379"/>
      <c r="AH87" s="379"/>
      <c r="AI87" s="379"/>
      <c r="AJ87" s="379"/>
      <c r="AK87" s="379"/>
      <c r="AL87" s="379"/>
      <c r="AM87" s="379"/>
      <c r="AN87" s="379"/>
      <c r="AO87" s="379"/>
      <c r="AP87" s="379"/>
      <c r="AQ87" s="379"/>
      <c r="AR87" s="379"/>
      <c r="AT87" s="377" t="s">
        <v>4</v>
      </c>
      <c r="AU87" s="378"/>
      <c r="AV87" s="378"/>
      <c r="AW87" s="378"/>
      <c r="AX87" s="378"/>
      <c r="AY87" s="378"/>
      <c r="BA87" s="377" t="s">
        <v>4</v>
      </c>
      <c r="BB87" s="378"/>
      <c r="BC87" s="378"/>
      <c r="BD87" s="378"/>
      <c r="BE87" s="378"/>
      <c r="BF87" s="378"/>
      <c r="BH87" s="377" t="s">
        <v>4</v>
      </c>
      <c r="BI87" s="378"/>
      <c r="BJ87" s="378"/>
      <c r="BK87" s="378"/>
      <c r="BL87" s="378"/>
      <c r="BM87" s="378"/>
      <c r="BO87" s="377" t="s">
        <v>4</v>
      </c>
      <c r="BP87" s="378"/>
      <c r="BQ87" s="378"/>
      <c r="BR87" s="378"/>
      <c r="BS87" s="378"/>
      <c r="BT87" s="378"/>
      <c r="BV87" s="377" t="s">
        <v>4</v>
      </c>
      <c r="BW87" s="378"/>
      <c r="BX87" s="378"/>
      <c r="BY87" s="378"/>
      <c r="BZ87" s="378"/>
      <c r="CA87" s="378"/>
      <c r="CC87" s="377" t="s">
        <v>4</v>
      </c>
      <c r="CD87" s="378"/>
      <c r="CE87" s="378"/>
      <c r="CF87" s="378"/>
      <c r="CG87" s="378"/>
      <c r="CH87" s="378"/>
      <c r="CJ87" s="377" t="s">
        <v>4</v>
      </c>
      <c r="CK87" s="378" t="s">
        <v>80</v>
      </c>
      <c r="CL87" s="378" t="s">
        <v>80</v>
      </c>
      <c r="CM87" s="378" t="s">
        <v>80</v>
      </c>
      <c r="CN87" s="378" t="s">
        <v>80</v>
      </c>
      <c r="CO87" s="378">
        <f>CO86/CO$69</f>
        <v>0.27508429252412508</v>
      </c>
      <c r="CQ87" s="377" t="s">
        <v>4</v>
      </c>
      <c r="CR87" s="378">
        <f>CR86/CR$69</f>
        <v>0.26110607434270172</v>
      </c>
      <c r="CS87" s="378">
        <f>CS86/CS$69</f>
        <v>0.30145118733509235</v>
      </c>
      <c r="CT87" s="378">
        <f>CT86/CT$69</f>
        <v>0.30823303866226437</v>
      </c>
      <c r="CU87" s="378">
        <f>CU86/CU$69</f>
        <v>0.31266987246498013</v>
      </c>
      <c r="CV87" s="378">
        <f>CV86/CV$69</f>
        <v>0.31266987246498013</v>
      </c>
      <c r="CX87" s="377" t="s">
        <v>4</v>
      </c>
      <c r="CY87" s="378">
        <f>CY86/CY$69</f>
        <v>0.29470850160505335</v>
      </c>
      <c r="CZ87" s="378">
        <f>CZ86/CZ$69</f>
        <v>0.3045259062052017</v>
      </c>
      <c r="DA87" s="378">
        <f>DA86/DA$69</f>
        <v>0.30896537719565437</v>
      </c>
      <c r="DB87" s="378">
        <f>DB86/DB$69</f>
        <v>0.31405782652043868</v>
      </c>
      <c r="DC87" s="378">
        <f>DC86/DC$69</f>
        <v>0.31405782652043868</v>
      </c>
      <c r="DE87" s="377" t="s">
        <v>4</v>
      </c>
      <c r="DF87" s="378">
        <f>DF86/DF$69</f>
        <v>0.26470303265187484</v>
      </c>
      <c r="DG87" s="378">
        <f>DG86/DG$69</f>
        <v>0.31800336511497473</v>
      </c>
      <c r="DH87" s="378">
        <f>DH86/DH$69</f>
        <v>0.32165262591862342</v>
      </c>
      <c r="DI87" s="378">
        <f>DI86/DI$69</f>
        <v>0.3269657929808974</v>
      </c>
      <c r="DJ87" s="378">
        <f>DJ86/DJ$69</f>
        <v>0.3269657929808974</v>
      </c>
      <c r="DL87" s="377" t="s">
        <v>4</v>
      </c>
      <c r="DM87" s="378">
        <f>DM86/DM$69</f>
        <v>0.43488738529984244</v>
      </c>
      <c r="DN87" s="378">
        <f>DN86/DN$69</f>
        <v>0.34101519817224596</v>
      </c>
      <c r="DO87" s="378">
        <f>DO86/DO$69</f>
        <v>0.34997339010111761</v>
      </c>
      <c r="DP87" s="378">
        <f>DP86/DP$69</f>
        <v>0.35162039597389672</v>
      </c>
      <c r="DQ87" s="378">
        <f>DQ86/DQ$69</f>
        <v>0.35162039597389672</v>
      </c>
      <c r="DS87" s="377" t="s">
        <v>4</v>
      </c>
      <c r="DT87" s="378">
        <f>DT86/DT$69</f>
        <v>0.31125471190091547</v>
      </c>
      <c r="DU87" s="378">
        <f>DU86/DU$69</f>
        <v>0.36023763187544811</v>
      </c>
      <c r="DV87" s="378">
        <f>DV86/DV$69</f>
        <v>0.37041420118343193</v>
      </c>
      <c r="DW87" s="378">
        <f>DW86/DW$69</f>
        <v>0.38059420834900337</v>
      </c>
      <c r="DX87" s="378">
        <f>DX86/DX$69</f>
        <v>0.38059420834900337</v>
      </c>
      <c r="DZ87" s="377" t="s">
        <v>4</v>
      </c>
      <c r="EA87" s="378">
        <f>EA86/EA$69</f>
        <v>0.34066636239160203</v>
      </c>
      <c r="EB87" s="378">
        <f>EB86/EB$69</f>
        <v>0.38440456193086375</v>
      </c>
      <c r="EC87" s="378">
        <f>EC86/EC$69</f>
        <v>0.38077188146106133</v>
      </c>
      <c r="ED87" s="378">
        <f>ED86/ED$69</f>
        <v>0.37418036276930938</v>
      </c>
      <c r="EE87" s="378">
        <f>EE86/EE$69</f>
        <v>0.37418036276930938</v>
      </c>
      <c r="EG87" s="377" t="s">
        <v>4</v>
      </c>
      <c r="EH87" s="378">
        <f>EH86/EH$69</f>
        <v>0.38322548113286831</v>
      </c>
      <c r="EI87" s="378">
        <f>EI86/EI$69</f>
        <v>0.38050790447359567</v>
      </c>
      <c r="EJ87" s="378">
        <f>EJ86/EJ$69</f>
        <v>0.3821365135752347</v>
      </c>
      <c r="EK87" s="378">
        <f>EK86/EK$69</f>
        <v>0.38414426675740049</v>
      </c>
      <c r="EL87" s="378">
        <f>EL86/EL$69</f>
        <v>0.38414426675740049</v>
      </c>
      <c r="EN87" s="377" t="s">
        <v>4</v>
      </c>
      <c r="EO87" s="378">
        <f>EO86/EO$69</f>
        <v>0.37504256043581885</v>
      </c>
      <c r="EP87" s="378">
        <f>EP86/EP$69</f>
        <v>0.38805590851334182</v>
      </c>
      <c r="EQ87" s="378">
        <f>EQ86/EQ$69</f>
        <v>0.38539042821158692</v>
      </c>
      <c r="ER87" s="378">
        <f>ER86/ER$69</f>
        <v>0.38223586000995191</v>
      </c>
      <c r="ES87" s="378">
        <f>ES86/ES$69</f>
        <v>0.38223586000995191</v>
      </c>
      <c r="EU87" s="377" t="s">
        <v>4</v>
      </c>
      <c r="EV87" s="378">
        <f>EV86/EV$69</f>
        <v>0.35047886393659183</v>
      </c>
      <c r="EW87" s="378">
        <f>EW86/EW$69</f>
        <v>0.3687637340278343</v>
      </c>
      <c r="EX87" s="378">
        <f>EX86/EX$69</f>
        <v>0.37309137421056837</v>
      </c>
      <c r="EY87" s="378">
        <f>EY86/EY$69</f>
        <v>0.37603599336964244</v>
      </c>
      <c r="EZ87" s="378">
        <f>EZ86/EZ$69</f>
        <v>0.37603599336964244</v>
      </c>
      <c r="FB87" s="377" t="s">
        <v>4</v>
      </c>
      <c r="FC87" s="378">
        <f>FC86/FC$69</f>
        <v>0.41934720908230844</v>
      </c>
      <c r="FD87" s="378">
        <f>FD86/FD$69</f>
        <v>0.39283429302623163</v>
      </c>
      <c r="FE87" s="378">
        <f>FE86/FE$69</f>
        <v>0.39927998690885291</v>
      </c>
      <c r="FF87" s="378">
        <f>FF86/FF$69</f>
        <v>0.40572347811362292</v>
      </c>
      <c r="FG87" s="378">
        <f>FG86/FG$69</f>
        <v>0.40572347811362292</v>
      </c>
      <c r="FI87" s="377" t="s">
        <v>4</v>
      </c>
      <c r="FJ87" s="378">
        <f>FJ86/FJ$69</f>
        <v>0.43773022276793544</v>
      </c>
      <c r="FK87" s="378">
        <f>FK86/FK$69</f>
        <v>0.40880275312443398</v>
      </c>
      <c r="FL87" s="378">
        <f>FL86/FL$69</f>
        <v>0.4107093313603995</v>
      </c>
      <c r="FM87" s="378">
        <f>FM86/FM$69</f>
        <v>0.42370584515313037</v>
      </c>
      <c r="FN87" s="378">
        <f>FN86/FN$69</f>
        <v>0.42370584515313037</v>
      </c>
      <c r="FP87" s="377" t="s">
        <v>4</v>
      </c>
      <c r="FQ87" s="378">
        <f>FQ86/FQ$69</f>
        <v>0.43021201413427562</v>
      </c>
      <c r="FR87" s="378">
        <f>FR86/FR$69</f>
        <v>0.44263572603688633</v>
      </c>
      <c r="FS87" s="378">
        <f>FS86/FS$69</f>
        <v>0.4446554999136591</v>
      </c>
      <c r="FT87" s="378">
        <f>FT86/FT$69</f>
        <v>0.44994740532959326</v>
      </c>
      <c r="FU87" s="378">
        <f>FU86/FU$69</f>
        <v>0.44994740532959326</v>
      </c>
      <c r="FW87" s="377" t="s">
        <v>4</v>
      </c>
      <c r="FX87" s="378">
        <f>FX86/FX$69</f>
        <v>0.47139728427507666</v>
      </c>
      <c r="FY87" s="378">
        <f>FY86/FY$69</f>
        <v>0.47600138121546959</v>
      </c>
      <c r="FZ87" s="378">
        <f>FZ86/FZ$69</f>
        <v>0.49632414369256472</v>
      </c>
      <c r="GA87" s="378">
        <f>GA86/GA$69</f>
        <v>0.5061224489795918</v>
      </c>
      <c r="GB87" s="378">
        <f>GB86/GB$69</f>
        <v>0.5061224489795918</v>
      </c>
      <c r="GD87" s="377" t="s">
        <v>4</v>
      </c>
      <c r="GE87" s="378">
        <f>GE86/GE$69</f>
        <v>0.53200936465649473</v>
      </c>
      <c r="GF87" s="378">
        <f>GF86/GF$69</f>
        <v>0.51935849667908629</v>
      </c>
      <c r="GG87" s="378">
        <f>GG86/GG$69</f>
        <v>0.52562525625256251</v>
      </c>
      <c r="GH87" s="378">
        <f>GH86/GH$69</f>
        <v>0.5289436206752115</v>
      </c>
      <c r="GI87" s="378">
        <f>GI86/GI$69</f>
        <v>0.5289436206752115</v>
      </c>
      <c r="GK87" s="377" t="s">
        <v>4</v>
      </c>
      <c r="GL87" s="378">
        <f>GL86/GL$69</f>
        <v>0.57729858222259955</v>
      </c>
      <c r="GM87" s="378">
        <f>GM86/GM$69</f>
        <v>0.5301193839424041</v>
      </c>
      <c r="GN87" s="378">
        <f>GN86/GN$69</f>
        <v>0.53377807009301892</v>
      </c>
      <c r="GO87" s="378">
        <f>GO86/GO$69</f>
        <v>0.54285174336199571</v>
      </c>
      <c r="GP87" s="378">
        <f>GP86/GP$69</f>
        <v>0.54285174336199571</v>
      </c>
      <c r="GR87" s="377" t="s">
        <v>4</v>
      </c>
      <c r="GS87" s="378">
        <f>GS86/GS$69</f>
        <v>0.48373019637605541</v>
      </c>
      <c r="GT87" s="378">
        <f>GT86/GT$69</f>
        <v>0.54868747782901739</v>
      </c>
      <c r="GU87" s="378">
        <f>GU86/GU$69</f>
        <v>0.54538590604026849</v>
      </c>
      <c r="GV87" s="378">
        <f>GV86/GV$69</f>
        <v>0.53226321673854016</v>
      </c>
      <c r="GW87" s="378">
        <f>GW86/GW$69</f>
        <v>0.53226321673854016</v>
      </c>
      <c r="GY87" s="377" t="s">
        <v>4</v>
      </c>
      <c r="GZ87" s="378">
        <f>GZ86/GZ$69</f>
        <v>0.44314891022709951</v>
      </c>
      <c r="HA87" s="378">
        <f>HA86/HA$69</f>
        <v>0.51057575105757513</v>
      </c>
      <c r="HB87" s="378">
        <f>HB86/HB$69</f>
        <v>0.5</v>
      </c>
      <c r="HC87" s="378">
        <f>HC86/HC$69</f>
        <v>0.49828317511613818</v>
      </c>
      <c r="HD87" s="378">
        <f>HD86/HD$69</f>
        <v>0.49828317511613818</v>
      </c>
      <c r="HF87" s="377" t="s">
        <v>4</v>
      </c>
      <c r="HG87" s="378">
        <f>HG86/HG$69</f>
        <v>0.50277300937541269</v>
      </c>
      <c r="HH87" s="378">
        <f>HH86/HH$69</f>
        <v>0.50013306719893547</v>
      </c>
      <c r="HI87" s="378">
        <f>HI86/HI$69</f>
        <v>0.49160263819949684</v>
      </c>
      <c r="HJ87" s="378">
        <f>HJ86/HJ$69</f>
        <v>0.48509244729480794</v>
      </c>
      <c r="HK87" s="378">
        <f>HK86/HK$69</f>
        <v>0.48509244729480794</v>
      </c>
      <c r="HM87" s="377" t="s">
        <v>4</v>
      </c>
      <c r="HN87" s="378">
        <f>HN86/HN$69</f>
        <v>0.48065882996172771</v>
      </c>
      <c r="HO87" s="378">
        <f>HO86/HO$69</f>
        <v>0.47881645483121499</v>
      </c>
      <c r="HP87" s="378">
        <f>HP86/HP$69</f>
        <v>0.48409508889040254</v>
      </c>
      <c r="HQ87" s="378">
        <f>HQ86/HQ$69</f>
        <v>0.48218707015130674</v>
      </c>
      <c r="HR87" s="378">
        <f>HR86/HR$69</f>
        <v>0.48218707015130674</v>
      </c>
      <c r="HT87" s="377" t="s">
        <v>4</v>
      </c>
      <c r="HU87" s="378">
        <f>HU86/HU$69</f>
        <v>0.46604117070438311</v>
      </c>
      <c r="HV87" s="378">
        <f>HV86/HV$69</f>
        <v>0.46499470151889793</v>
      </c>
      <c r="HW87" s="378">
        <f>HW86/HW$69</f>
        <v>0.46179990087091977</v>
      </c>
      <c r="HX87" s="378">
        <f>HX86/HX$69</f>
        <v>0.45784842463809255</v>
      </c>
      <c r="HY87" s="378">
        <f>HY86/HY$69</f>
        <v>0.45784842463809255</v>
      </c>
      <c r="IA87" s="377" t="s">
        <v>4</v>
      </c>
      <c r="IB87" s="378">
        <f>IB86/IB$69</f>
        <v>0.46707267557990007</v>
      </c>
      <c r="IC87" s="378">
        <f>IC86/IC$69</f>
        <v>0.46862189140189048</v>
      </c>
      <c r="ID87" s="378">
        <f>ID86/ID$69</f>
        <v>0.47303412452889004</v>
      </c>
      <c r="IE87" s="378">
        <f>IE86/IE$69</f>
        <v>0.48018245998420661</v>
      </c>
      <c r="IF87" s="378">
        <f>IF86/IF$69</f>
        <v>0.48018245998420633</v>
      </c>
      <c r="IH87" s="377" t="s">
        <v>4</v>
      </c>
      <c r="II87" s="378">
        <f>II86/II$69</f>
        <v>0.4808621845067414</v>
      </c>
      <c r="IJ87" s="378">
        <f>IJ86/IJ$69</f>
        <v>0.48910676898218292</v>
      </c>
      <c r="IK87" s="378">
        <f>IK86/IK$69</f>
        <v>0.49426730451429823</v>
      </c>
      <c r="IL87" s="378">
        <f>IL86/IL$69</f>
        <v>0.49931072829084883</v>
      </c>
      <c r="IM87" s="378">
        <f>IM86/IM$69</f>
        <v>0.49931072829084883</v>
      </c>
      <c r="IO87" s="377" t="s">
        <v>4</v>
      </c>
      <c r="IP87" s="378">
        <f>IP86/IP$69</f>
        <v>0.49189299211332149</v>
      </c>
      <c r="IQ87" s="378">
        <f>IQ86/IQ$69</f>
        <v>0.50344517921457799</v>
      </c>
      <c r="IR87" s="378">
        <f>IR86/IR$69</f>
        <v>0.50464243706664791</v>
      </c>
      <c r="IS87" s="378">
        <f>IS86/IS$69</f>
        <v>0.50681008246574355</v>
      </c>
      <c r="IT87" s="378">
        <f>IT86/IT$69</f>
        <v>0.50681008246574355</v>
      </c>
    </row>
    <row r="88" spans="1:254" x14ac:dyDescent="0.4">
      <c r="B88" s="318"/>
      <c r="C88" s="319"/>
      <c r="D88" s="319"/>
      <c r="E88" s="319"/>
      <c r="F88" s="319"/>
      <c r="G88" s="319"/>
      <c r="H88" s="319"/>
      <c r="I88" s="319"/>
      <c r="J88" s="319"/>
      <c r="K88" s="319"/>
      <c r="L88" s="319"/>
      <c r="M88" s="319"/>
      <c r="N88" s="319"/>
      <c r="O88" s="319"/>
      <c r="P88" s="319"/>
      <c r="Q88" s="319"/>
      <c r="R88" s="319"/>
      <c r="S88" s="319"/>
      <c r="T88" s="319"/>
      <c r="U88" s="319"/>
      <c r="V88" s="319"/>
      <c r="W88" s="319"/>
      <c r="X88" s="319"/>
      <c r="Y88" s="319"/>
      <c r="Z88" s="319"/>
      <c r="AA88" s="319"/>
      <c r="AB88" s="130"/>
      <c r="AC88" s="130"/>
      <c r="AD88" s="130"/>
      <c r="AE88" s="130"/>
      <c r="AF88" s="130"/>
      <c r="AG88" s="376"/>
      <c r="AH88" s="376"/>
      <c r="AI88" s="376"/>
      <c r="AJ88" s="376"/>
      <c r="AK88" s="376"/>
      <c r="AL88" s="376"/>
      <c r="AM88" s="376"/>
      <c r="AN88" s="376"/>
      <c r="AO88" s="376"/>
      <c r="AP88" s="376"/>
      <c r="AQ88" s="376"/>
      <c r="AR88" s="376"/>
      <c r="AT88" s="318"/>
      <c r="AU88" s="319"/>
      <c r="AV88" s="319"/>
      <c r="AW88" s="319"/>
      <c r="AX88" s="319"/>
      <c r="AY88" s="319"/>
      <c r="BA88" s="318"/>
      <c r="BB88" s="319"/>
      <c r="BC88" s="319"/>
      <c r="BD88" s="319"/>
      <c r="BE88" s="319"/>
      <c r="BF88" s="319"/>
      <c r="BH88" s="318"/>
      <c r="BI88" s="319"/>
      <c r="BJ88" s="319"/>
      <c r="BK88" s="319"/>
      <c r="BL88" s="319"/>
      <c r="BM88" s="319"/>
      <c r="BO88" s="318"/>
      <c r="BP88" s="319"/>
      <c r="BQ88" s="319"/>
      <c r="BR88" s="319"/>
      <c r="BS88" s="319"/>
      <c r="BT88" s="319"/>
      <c r="BV88" s="318"/>
      <c r="BW88" s="319"/>
      <c r="BX88" s="319"/>
      <c r="BY88" s="319"/>
      <c r="BZ88" s="319"/>
      <c r="CA88" s="319"/>
      <c r="CC88" s="318"/>
      <c r="CD88" s="319"/>
      <c r="CE88" s="319"/>
      <c r="CF88" s="319"/>
      <c r="CG88" s="319"/>
      <c r="CH88" s="319"/>
      <c r="CJ88" s="318"/>
      <c r="CK88" s="319"/>
      <c r="CL88" s="319"/>
      <c r="CM88" s="319"/>
      <c r="CN88" s="319"/>
      <c r="CO88" s="319"/>
      <c r="CQ88" s="318"/>
      <c r="CR88" s="319"/>
      <c r="CS88" s="319"/>
      <c r="CT88" s="319"/>
      <c r="CU88" s="319"/>
      <c r="CV88" s="319"/>
      <c r="CX88" s="318"/>
      <c r="CY88" s="319"/>
      <c r="CZ88" s="319"/>
      <c r="DA88" s="319"/>
      <c r="DB88" s="319"/>
      <c r="DC88" s="319"/>
      <c r="DE88" s="318"/>
      <c r="DF88" s="319"/>
      <c r="DG88" s="319"/>
      <c r="DH88" s="319"/>
      <c r="DI88" s="319"/>
      <c r="DJ88" s="319"/>
      <c r="DL88" s="318"/>
      <c r="DM88" s="319"/>
      <c r="DN88" s="319"/>
      <c r="DO88" s="319"/>
      <c r="DP88" s="319"/>
      <c r="DQ88" s="319"/>
      <c r="DS88" s="318"/>
      <c r="DT88" s="319"/>
      <c r="DU88" s="319"/>
      <c r="DV88" s="319"/>
      <c r="DW88" s="319"/>
      <c r="DX88" s="319"/>
      <c r="DZ88" s="318"/>
      <c r="EA88" s="319"/>
      <c r="EB88" s="319"/>
      <c r="EC88" s="319"/>
      <c r="ED88" s="319"/>
      <c r="EE88" s="319"/>
      <c r="EG88" s="318"/>
      <c r="EH88" s="319"/>
      <c r="EI88" s="319"/>
      <c r="EJ88" s="319"/>
      <c r="EK88" s="319"/>
      <c r="EL88" s="319"/>
      <c r="EN88" s="318"/>
      <c r="EO88" s="319"/>
      <c r="EP88" s="319"/>
      <c r="EQ88" s="319"/>
      <c r="ER88" s="319"/>
      <c r="ES88" s="319"/>
      <c r="EU88" s="318"/>
      <c r="EV88" s="319"/>
      <c r="EW88" s="319"/>
      <c r="EX88" s="319"/>
      <c r="EY88" s="319"/>
      <c r="EZ88" s="319"/>
      <c r="FB88" s="318"/>
      <c r="FC88" s="319"/>
      <c r="FD88" s="319"/>
      <c r="FE88" s="319"/>
      <c r="FF88" s="319"/>
      <c r="FG88" s="319"/>
      <c r="FI88" s="318"/>
      <c r="FJ88" s="319"/>
      <c r="FK88" s="319"/>
      <c r="FL88" s="319"/>
      <c r="FM88" s="319"/>
      <c r="FN88" s="319"/>
      <c r="FP88" s="318"/>
      <c r="FQ88" s="319"/>
      <c r="FR88" s="319"/>
      <c r="FS88" s="319"/>
      <c r="FT88" s="319"/>
      <c r="FU88" s="319"/>
      <c r="FW88" s="318"/>
      <c r="FX88" s="319"/>
      <c r="FY88" s="319"/>
      <c r="FZ88" s="319"/>
      <c r="GA88" s="319"/>
      <c r="GB88" s="319"/>
      <c r="GD88" s="318"/>
      <c r="GE88" s="319"/>
      <c r="GF88" s="319"/>
      <c r="GG88" s="319"/>
      <c r="GH88" s="319"/>
      <c r="GI88" s="319"/>
      <c r="GK88" s="318"/>
      <c r="GL88" s="319"/>
      <c r="GM88" s="319"/>
      <c r="GN88" s="319"/>
      <c r="GO88" s="319"/>
      <c r="GP88" s="319"/>
      <c r="GR88" s="318"/>
      <c r="GS88" s="319"/>
      <c r="GT88" s="319"/>
      <c r="GU88" s="319"/>
      <c r="GV88" s="319"/>
      <c r="GW88" s="319"/>
      <c r="GY88" s="318"/>
      <c r="GZ88" s="319"/>
      <c r="HA88" s="319"/>
      <c r="HB88" s="319"/>
      <c r="HC88" s="319"/>
      <c r="HD88" s="319"/>
      <c r="HF88" s="318"/>
      <c r="HG88" s="319"/>
      <c r="HH88" s="319"/>
      <c r="HI88" s="319"/>
      <c r="HJ88" s="319"/>
      <c r="HK88" s="319"/>
      <c r="HM88" s="318"/>
      <c r="HN88" s="319"/>
      <c r="HO88" s="319"/>
      <c r="HP88" s="319"/>
      <c r="HQ88" s="319"/>
      <c r="HR88" s="319"/>
      <c r="HT88" s="318"/>
      <c r="HU88" s="319"/>
      <c r="HV88" s="319"/>
      <c r="HW88" s="319"/>
      <c r="HX88" s="319"/>
      <c r="HY88" s="130"/>
      <c r="IA88" s="318"/>
      <c r="IB88" s="319"/>
      <c r="IC88" s="319"/>
      <c r="ID88" s="319"/>
      <c r="IE88" s="319"/>
      <c r="IF88" s="130"/>
      <c r="IH88" s="318"/>
      <c r="II88" s="319"/>
      <c r="IJ88" s="319"/>
      <c r="IK88" s="319"/>
      <c r="IL88" s="319"/>
      <c r="IM88" s="130"/>
      <c r="IO88" s="318"/>
      <c r="IP88" s="319"/>
      <c r="IQ88" s="319"/>
      <c r="IR88" s="319"/>
      <c r="IS88" s="319"/>
      <c r="IT88" s="130"/>
    </row>
    <row r="89" spans="1:254" x14ac:dyDescent="0.4">
      <c r="B89" s="318" t="s">
        <v>211</v>
      </c>
      <c r="C89" s="319">
        <f>AY89</f>
        <v>0</v>
      </c>
      <c r="D89" s="319">
        <f>BF89</f>
        <v>0</v>
      </c>
      <c r="E89" s="319">
        <f>BM89</f>
        <v>0</v>
      </c>
      <c r="F89" s="319">
        <f>BT89</f>
        <v>0</v>
      </c>
      <c r="G89" s="319">
        <f>CA89</f>
        <v>0</v>
      </c>
      <c r="H89" s="319">
        <f>CH89</f>
        <v>0</v>
      </c>
      <c r="I89" s="319">
        <f>CO89</f>
        <v>1211</v>
      </c>
      <c r="J89" s="319">
        <f>CV89</f>
        <v>1799</v>
      </c>
      <c r="K89" s="319">
        <f>DC89</f>
        <v>1932</v>
      </c>
      <c r="L89" s="319">
        <f>DJ89</f>
        <v>2293</v>
      </c>
      <c r="M89" s="319">
        <f>DQ89</f>
        <v>1740</v>
      </c>
      <c r="N89" s="319">
        <f>DX89</f>
        <v>2576</v>
      </c>
      <c r="O89" s="319">
        <f>EE89</f>
        <v>2888</v>
      </c>
      <c r="P89" s="319">
        <f>EL89</f>
        <v>2907</v>
      </c>
      <c r="Q89" s="319">
        <f>ES89</f>
        <v>2954</v>
      </c>
      <c r="R89" s="319">
        <f>EZ89</f>
        <v>3044</v>
      </c>
      <c r="S89" s="319">
        <f>FG89</f>
        <v>3138</v>
      </c>
      <c r="T89" s="319">
        <f>FN89</f>
        <v>2856</v>
      </c>
      <c r="U89" s="319">
        <f>FU89</f>
        <v>3325</v>
      </c>
      <c r="V89" s="319">
        <f>GB89</f>
        <v>4304</v>
      </c>
      <c r="W89" s="319">
        <f>GI89</f>
        <v>4316</v>
      </c>
      <c r="X89" s="319">
        <f>GP89</f>
        <v>3627</v>
      </c>
      <c r="Y89" s="319">
        <f>GW89</f>
        <v>4602</v>
      </c>
      <c r="Z89" s="319">
        <f>HD89</f>
        <v>5292</v>
      </c>
      <c r="AA89" s="319">
        <f>HK89</f>
        <v>4829</v>
      </c>
      <c r="AB89" s="130">
        <f>HR89</f>
        <v>4663</v>
      </c>
      <c r="AC89" s="130">
        <f>HY89</f>
        <v>4020</v>
      </c>
      <c r="AD89" s="130">
        <f>IF89</f>
        <v>4534.1464521169491</v>
      </c>
      <c r="AE89" s="130">
        <f>IM89</f>
        <v>5093.9891611633975</v>
      </c>
      <c r="AF89" s="130">
        <f>IT89</f>
        <v>5502.2492221016582</v>
      </c>
      <c r="AG89" s="376"/>
      <c r="AH89" s="376"/>
      <c r="AI89" s="376"/>
      <c r="AJ89" s="376"/>
      <c r="AK89" s="376"/>
      <c r="AL89" s="376"/>
      <c r="AM89" s="376"/>
      <c r="AN89" s="376"/>
      <c r="AO89" s="376"/>
      <c r="AP89" s="376"/>
      <c r="AQ89" s="376"/>
      <c r="AR89" s="376"/>
      <c r="AT89" s="318" t="s">
        <v>211</v>
      </c>
      <c r="AU89" s="319"/>
      <c r="AV89" s="319"/>
      <c r="AW89" s="319"/>
      <c r="AX89" s="319"/>
      <c r="AY89" s="319"/>
      <c r="BA89" s="318" t="s">
        <v>211</v>
      </c>
      <c r="BB89" s="319"/>
      <c r="BC89" s="319"/>
      <c r="BD89" s="319"/>
      <c r="BE89" s="319"/>
      <c r="BF89" s="319"/>
      <c r="BH89" s="318" t="s">
        <v>211</v>
      </c>
      <c r="BI89" s="319"/>
      <c r="BJ89" s="319"/>
      <c r="BK89" s="319"/>
      <c r="BL89" s="319"/>
      <c r="BM89" s="319"/>
      <c r="BO89" s="318" t="s">
        <v>211</v>
      </c>
      <c r="BP89" s="319"/>
      <c r="BQ89" s="319"/>
      <c r="BR89" s="319"/>
      <c r="BS89" s="319"/>
      <c r="BT89" s="319"/>
      <c r="BV89" s="318" t="s">
        <v>211</v>
      </c>
      <c r="BW89" s="319"/>
      <c r="BX89" s="319"/>
      <c r="BY89" s="319"/>
      <c r="BZ89" s="319"/>
      <c r="CA89" s="319"/>
      <c r="CC89" s="318" t="s">
        <v>211</v>
      </c>
      <c r="CD89" s="319"/>
      <c r="CE89" s="319"/>
      <c r="CF89" s="319"/>
      <c r="CG89" s="319"/>
      <c r="CH89" s="319"/>
      <c r="CJ89" s="318" t="s">
        <v>211</v>
      </c>
      <c r="CK89" s="319" t="s">
        <v>80</v>
      </c>
      <c r="CL89" s="319" t="s">
        <v>80</v>
      </c>
      <c r="CM89" s="319" t="s">
        <v>80</v>
      </c>
      <c r="CN89" s="319" t="s">
        <v>80</v>
      </c>
      <c r="CO89" s="319">
        <f>+CSX!GD43</f>
        <v>1211</v>
      </c>
      <c r="CQ89" s="318" t="s">
        <v>211</v>
      </c>
      <c r="CR89" s="319">
        <f>+SUM(CSX!GG43,CSX!GA43:GC43)</f>
        <v>1368</v>
      </c>
      <c r="CS89" s="319">
        <f>+SUM(CSX!GG43:GH43,CSX!GB43:GC43)</f>
        <v>1593</v>
      </c>
      <c r="CT89" s="319">
        <f>+SUM(CSX!GG43:GI43,CSX!GC43)</f>
        <v>1746</v>
      </c>
      <c r="CU89" s="319">
        <f>+SUM(CSX!GG43:GJ43)</f>
        <v>1799</v>
      </c>
      <c r="CV89" s="319">
        <f>+CSX!GK43</f>
        <v>1799</v>
      </c>
      <c r="CX89" s="318" t="s">
        <v>211</v>
      </c>
      <c r="CY89" s="319">
        <f>+SUM(CSX!GN43,CSX!GH43:GJ43)</f>
        <v>1782</v>
      </c>
      <c r="CZ89" s="319">
        <f>+SUM(CSX!GN43:GO43,CSX!GI43:GJ43)</f>
        <v>1737</v>
      </c>
      <c r="DA89" s="319">
        <f>+SUM(CSX!GN43:GP43,CSX!GJ43)</f>
        <v>1790</v>
      </c>
      <c r="DB89" s="319">
        <f>+SUM(CSX!GN43:GQ43)</f>
        <v>1932</v>
      </c>
      <c r="DC89" s="319">
        <f>+CSX!GR43</f>
        <v>1932</v>
      </c>
      <c r="DE89" s="318" t="s">
        <v>211</v>
      </c>
      <c r="DF89" s="319">
        <f>+SUM(CSX!GU43,CSX!GO43:GQ43)</f>
        <v>2084</v>
      </c>
      <c r="DG89" s="319">
        <f>+SUM(CSX!GU43:GV43,CSX!GP43:GQ43)</f>
        <v>2160</v>
      </c>
      <c r="DH89" s="319">
        <f>+SUM(CSX!GU43:GW43,CSX!GQ43)</f>
        <v>2300</v>
      </c>
      <c r="DI89" s="319">
        <f>+SUM(CSX!GU43:GX43)</f>
        <v>2293</v>
      </c>
      <c r="DJ89" s="319">
        <f>+CSX!GY43</f>
        <v>2293</v>
      </c>
      <c r="DL89" s="318" t="s">
        <v>211</v>
      </c>
      <c r="DM89" s="319">
        <f>+SUM(CSX!HB43,CSX!GV43:GX43)</f>
        <v>2135</v>
      </c>
      <c r="DN89" s="319">
        <f>+SUM(CSX!HB43:HC43,CSX!GW43:GX43)</f>
        <v>1993</v>
      </c>
      <c r="DO89" s="319">
        <f>+SUM(CSX!HB43:HD43,CSX!GX43)</f>
        <v>1843</v>
      </c>
      <c r="DP89" s="319">
        <f>+SUM(CSX!HB43:HE43)</f>
        <v>1740</v>
      </c>
      <c r="DQ89" s="319">
        <f>+CSX!HF43</f>
        <v>1740</v>
      </c>
      <c r="DS89" s="318" t="s">
        <v>211</v>
      </c>
      <c r="DT89" s="319">
        <f>+SUM(CSX!HI43,CSX!HC43:HE43)</f>
        <v>1869</v>
      </c>
      <c r="DU89" s="319">
        <f>+SUM(CSX!HI43:HJ43,CSX!HD43:HE43)</f>
        <v>2093</v>
      </c>
      <c r="DV89" s="319">
        <f>+SUM(CSX!HI43:HK43,CSX!HE43)</f>
        <v>2335</v>
      </c>
      <c r="DW89" s="319">
        <f>+SUM(CSX!HI43:HL43)</f>
        <v>2576</v>
      </c>
      <c r="DX89" s="319">
        <f>+CSX!HM43</f>
        <v>2576</v>
      </c>
      <c r="DZ89" s="318" t="s">
        <v>211</v>
      </c>
      <c r="EA89" s="319">
        <f>+SUM(CSX!HP43,CSX!HJ43:HL43)</f>
        <v>2713</v>
      </c>
      <c r="EB89" s="319">
        <f>+SUM(CSX!HP43:HQ43,CSX!HK43:HL43)</f>
        <v>2833</v>
      </c>
      <c r="EC89" s="319">
        <f>+SUM(CSX!HP43:HR43,CSX!HL43)</f>
        <v>2877</v>
      </c>
      <c r="ED89" s="319">
        <f>+SUM(CSX!HP43:HS43)</f>
        <v>2888</v>
      </c>
      <c r="EE89" s="319">
        <f>+CSX!HT43</f>
        <v>2888</v>
      </c>
      <c r="EG89" s="318" t="s">
        <v>211</v>
      </c>
      <c r="EH89" s="319">
        <f>+SUM(CSX!HW43,CSX!HQ43:HS43)</f>
        <v>2966</v>
      </c>
      <c r="EI89" s="319">
        <f>+SUM(CSX!HW43:HX43,CSX!HR43:HS43)</f>
        <v>2983</v>
      </c>
      <c r="EJ89" s="319">
        <f>+SUM(CSX!HW43:HY43,CSX!HS43)</f>
        <v>2958</v>
      </c>
      <c r="EK89" s="319">
        <f>+SUM(CSX!HW43:HZ43)</f>
        <v>2907</v>
      </c>
      <c r="EL89" s="319">
        <f>+CSX!IA43</f>
        <v>2907</v>
      </c>
      <c r="EN89" s="318" t="s">
        <v>211</v>
      </c>
      <c r="EO89" s="319">
        <f>+SUM(CSX!ID43,CSX!HX43:HZ43)</f>
        <v>2916</v>
      </c>
      <c r="EP89" s="319">
        <f>+SUM(CSX!ID43:IE43,CSX!HY43:HZ43)</f>
        <v>2939</v>
      </c>
      <c r="EQ89" s="319">
        <f>+SUM(CSX!ID43:IF43,CSX!HZ43)</f>
        <v>2941</v>
      </c>
      <c r="ER89" s="319">
        <f>+SUM(CSX!ID43:IG43)</f>
        <v>2954</v>
      </c>
      <c r="ES89" s="319">
        <f>+CSX!IH43</f>
        <v>2954</v>
      </c>
      <c r="EU89" s="318" t="s">
        <v>211</v>
      </c>
      <c r="EV89" s="319">
        <f>+SUM(CSX!IK43,CSX!IE43:IG43)</f>
        <v>2835</v>
      </c>
      <c r="EW89" s="319">
        <f>+SUM(CSX!IK43:IL43,CSX!IF43:IG43)</f>
        <v>2853</v>
      </c>
      <c r="EX89" s="319">
        <f>+SUM(CSX!IK43:IM43,CSX!IG43)</f>
        <v>2943</v>
      </c>
      <c r="EY89" s="319">
        <f>+SUM(CSX!IK43:IN43)</f>
        <v>3044</v>
      </c>
      <c r="EZ89" s="319">
        <f>+CSX!IO43</f>
        <v>3044</v>
      </c>
      <c r="FB89" s="318" t="s">
        <v>211</v>
      </c>
      <c r="FC89" s="319">
        <f>+SUM(CSX!IR43,CSX!IL43:IN43)</f>
        <v>3149</v>
      </c>
      <c r="FD89" s="319">
        <f>+SUM(CSX!IR43:IS43,CSX!IM43:IN43)</f>
        <v>3186</v>
      </c>
      <c r="FE89" s="319">
        <f>+SUM(CSX!IR43:IT43,CSX!IN43)</f>
        <v>3172</v>
      </c>
      <c r="FF89" s="319">
        <f>+SUM(CSX!IR43:IU43)</f>
        <v>3138</v>
      </c>
      <c r="FG89" s="319">
        <f>+CSX!IV43</f>
        <v>3138</v>
      </c>
      <c r="FI89" s="318" t="s">
        <v>211</v>
      </c>
      <c r="FJ89" s="319">
        <f>+SUM(CSX!IY43,CSX!IS43:IU43)</f>
        <v>2995</v>
      </c>
      <c r="FK89" s="319">
        <f>+SUM(CSX!IY43:IZ43,CSX!IT43:IU43)</f>
        <v>2815</v>
      </c>
      <c r="FL89" s="319">
        <f>+SUM(CSX!IY43:JA43,CSX!IU43)</f>
        <v>2731</v>
      </c>
      <c r="FM89" s="319">
        <f>+SUM(CSX!IY43:JB43)</f>
        <v>2856</v>
      </c>
      <c r="FN89" s="319">
        <f>+CSX!JC43</f>
        <v>2856</v>
      </c>
      <c r="FP89" s="318" t="s">
        <v>211</v>
      </c>
      <c r="FQ89" s="319">
        <f>+SUM(CSX!JF43,CSX!IZ43:JB43)</f>
        <v>3043</v>
      </c>
      <c r="FR89" s="319">
        <f>+SUM(CSX!JF43:JG43,CSX!JA43:JB43)</f>
        <v>3285</v>
      </c>
      <c r="FS89" s="319">
        <f>+SUM(CSX!JF43:JH43,CSX!JB43)</f>
        <v>3321</v>
      </c>
      <c r="FT89" s="319">
        <f>+SUM(CSX!JF43:JI43)</f>
        <v>3325</v>
      </c>
      <c r="FU89" s="319">
        <f>+CSX!JJ43</f>
        <v>3325</v>
      </c>
      <c r="FW89" s="318" t="s">
        <v>211</v>
      </c>
      <c r="FX89" s="319">
        <f>+SUM(CSX!JM43,CSX!JG43:JI43)</f>
        <v>3482</v>
      </c>
      <c r="FY89" s="319">
        <f>+SUM(CSX!JM43:JN43,CSX!JH43:JI43)</f>
        <v>3677</v>
      </c>
      <c r="FZ89" s="319">
        <f>+SUM(CSX!JM43:JO43,CSX!JI43)</f>
        <v>4076</v>
      </c>
      <c r="GA89" s="319">
        <f>+SUM(CSX!JM43:JP43)</f>
        <v>4304</v>
      </c>
      <c r="GB89" s="319">
        <f>+CSX!JQ43</f>
        <v>4304</v>
      </c>
      <c r="GD89" s="318" t="s">
        <v>211</v>
      </c>
      <c r="GE89" s="319">
        <f>+SUM(CSX!JT43,CSX!JN43:JP43)</f>
        <v>4456</v>
      </c>
      <c r="GF89" s="319">
        <f>+SUM(CSX!JT43:JU43,CSX!JO43:JP43)</f>
        <v>4458</v>
      </c>
      <c r="GG89" s="319">
        <f>+SUM(CSX!JT43:JV43,CSX!JP43)</f>
        <v>4433</v>
      </c>
      <c r="GH89" s="319">
        <f>+SUM(CSX!JT43:JW43)</f>
        <v>4316</v>
      </c>
      <c r="GI89" s="319">
        <f>+CSX!JX43</f>
        <v>4316</v>
      </c>
      <c r="GK89" s="318" t="s">
        <v>211</v>
      </c>
      <c r="GL89" s="319">
        <f>+SUM(CSX!KA43,CSX!JU43:JW43)</f>
        <v>4265</v>
      </c>
      <c r="GM89" s="319">
        <f>+SUM(CSX!KA43:KB43,CSX!JV43:JW43)</f>
        <v>3771</v>
      </c>
      <c r="GN89" s="319">
        <f>+SUM(CSX!KA43:KC43,CSX!JW43)</f>
        <v>3614</v>
      </c>
      <c r="GO89" s="319">
        <f>+SUM(CSX!KA43:KD43)</f>
        <v>3627</v>
      </c>
      <c r="GP89" s="319">
        <f>+CSX!KE43</f>
        <v>3627</v>
      </c>
      <c r="GR89" s="318" t="s">
        <v>211</v>
      </c>
      <c r="GS89" s="319">
        <f>+SUM(CSX!KH43,CSX!KB43:KD43)</f>
        <v>3551</v>
      </c>
      <c r="GT89" s="319">
        <f>+SUM(CSX!KH43:KI43,CSX!KC43:KD43)</f>
        <v>4080</v>
      </c>
      <c r="GU89" s="319">
        <f>+SUM(CSX!KH43:KJ43,CSX!KD43)</f>
        <v>4391</v>
      </c>
      <c r="GV89" s="319">
        <f>+SUM(CSX!KH43:KK43)</f>
        <v>4602</v>
      </c>
      <c r="GW89" s="319">
        <f>+CSX!KL43</f>
        <v>4602</v>
      </c>
      <c r="GY89" s="318" t="s">
        <v>211</v>
      </c>
      <c r="GZ89" s="319">
        <f>+SUM(CSX!KO43,CSX!KI43:KK43)</f>
        <v>4794</v>
      </c>
      <c r="HA89" s="319">
        <f>+SUM(CSX!KO43:KP43,CSX!KJ43:KK43)</f>
        <v>5049</v>
      </c>
      <c r="HB89" s="319">
        <f>+SUM(CSX!KO43:KQ43,CSX!KK43)</f>
        <v>5193</v>
      </c>
      <c r="HC89" s="319">
        <f>+SUM(CSX!KO43:KR43)</f>
        <v>5292</v>
      </c>
      <c r="HD89" s="319">
        <f>+CSX!KS43</f>
        <v>5292</v>
      </c>
      <c r="HF89" s="318" t="s">
        <v>211</v>
      </c>
      <c r="HG89" s="319">
        <f>+SUM(CSX!KV43,CSX!KP43:KR43)</f>
        <v>5450</v>
      </c>
      <c r="HH89" s="319">
        <f>+SUM(CSX!KV43:KW43,CSX!KQ43:KR43)</f>
        <v>5310</v>
      </c>
      <c r="HI89" s="319">
        <f>+SUM(CSX!KV43:KX43,CSX!KR43)</f>
        <v>4989</v>
      </c>
      <c r="HJ89" s="319">
        <f>+SUM(CSX!KV43:KY43)</f>
        <v>4829</v>
      </c>
      <c r="HK89" s="319">
        <f>+CSX!KZ43</f>
        <v>4829</v>
      </c>
      <c r="HM89" s="318" t="s">
        <v>211</v>
      </c>
      <c r="HN89" s="319">
        <f>+SUM(CSX!LC43,CSX!KW43:KY43)</f>
        <v>4710</v>
      </c>
      <c r="HO89" s="319">
        <f>+SUM(CSX!LC43:LD43,CSX!KX43:KY43)</f>
        <v>4681</v>
      </c>
      <c r="HP89" s="319">
        <f>+SUM(CSX!LC43:LE43,CSX!KY43)</f>
        <v>4763</v>
      </c>
      <c r="HQ89" s="319">
        <f>+SUM(CSX!LC43:LF43)</f>
        <v>4663</v>
      </c>
      <c r="HR89" s="319">
        <f>+CSX!LG43</f>
        <v>4663</v>
      </c>
      <c r="HT89" s="318" t="s">
        <v>211</v>
      </c>
      <c r="HU89" s="319">
        <f>+SUM(CSX!LJ43,CSX!LD43:LF43)</f>
        <v>4353</v>
      </c>
      <c r="HV89" s="319">
        <f>+SUM(CSX!LJ43:LK43,CSX!LE43:LF43)</f>
        <v>4179</v>
      </c>
      <c r="HW89" s="319">
        <f>+SUM(CSX!LJ43:LL43,CSX!LF43)</f>
        <v>4092</v>
      </c>
      <c r="HX89" s="319">
        <f>+SUM(CSX!LJ43:LM43)</f>
        <v>4020</v>
      </c>
      <c r="HY89" s="130">
        <f>+CSX!LN43</f>
        <v>4020</v>
      </c>
      <c r="IA89" s="318" t="s">
        <v>211</v>
      </c>
      <c r="IB89" s="319">
        <f>+SUM(CSX!LQ43,CSX!LK43:LM43)</f>
        <v>4145.1644004584869</v>
      </c>
      <c r="IC89" s="319">
        <f>+SUM(CSX!LQ43:LR43,CSX!LL43:LM43)</f>
        <v>4232.5447405791092</v>
      </c>
      <c r="ID89" s="319">
        <f>+SUM(CSX!LQ43:LS43,CSX!LM43)</f>
        <v>4356.4757051502438</v>
      </c>
      <c r="IE89" s="319">
        <f>+SUM(CSX!LQ43:LT43)</f>
        <v>4534.1464521169528</v>
      </c>
      <c r="IF89" s="130">
        <f>+CSX!LU43</f>
        <v>4534.1464521169491</v>
      </c>
      <c r="IH89" s="318" t="s">
        <v>211</v>
      </c>
      <c r="II89" s="319">
        <f>+SUM(CSX!LX43,CSX!LR43:LT43)</f>
        <v>4665.7649031376441</v>
      </c>
      <c r="IJ89" s="319">
        <f>+SUM(CSX!LX43:LY43,CSX!LS43:LT43)</f>
        <v>4804.0337703906771</v>
      </c>
      <c r="IK89" s="319">
        <f>+SUM(CSX!LX43:LZ43,CSX!LT43)</f>
        <v>4949.6438927449835</v>
      </c>
      <c r="IL89" s="319">
        <f>+SUM(CSX!LX43:MA43)</f>
        <v>5093.9891611633966</v>
      </c>
      <c r="IM89" s="130">
        <f>+CSX!MB43</f>
        <v>5093.9891611633975</v>
      </c>
      <c r="IO89" s="318" t="s">
        <v>211</v>
      </c>
      <c r="IP89" s="319">
        <f>+SUM(CSX!ME43,CSX!LY43:MA43)</f>
        <v>5199.9806174516871</v>
      </c>
      <c r="IQ89" s="319">
        <f>+SUM(CSX!ME43:MF43,CSX!LZ43:MA43)</f>
        <v>5301.4101720052249</v>
      </c>
      <c r="IR89" s="319">
        <f>+SUM(CSX!ME43:MG43,CSX!MA43)</f>
        <v>5394.8195280397049</v>
      </c>
      <c r="IS89" s="319">
        <f>+SUM(CSX!ME43:MH43)</f>
        <v>5502.2492221016573</v>
      </c>
      <c r="IT89" s="130">
        <f>+CSX!MI43</f>
        <v>5502.2492221016582</v>
      </c>
    </row>
    <row r="90" spans="1:254" x14ac:dyDescent="0.4">
      <c r="B90" s="377" t="s">
        <v>4</v>
      </c>
      <c r="C90" s="378">
        <f>AY90</f>
        <v>0</v>
      </c>
      <c r="D90" s="378">
        <f>BF90</f>
        <v>0</v>
      </c>
      <c r="E90" s="378">
        <f>BM90</f>
        <v>0</v>
      </c>
      <c r="F90" s="378">
        <f>BT90</f>
        <v>0</v>
      </c>
      <c r="G90" s="378">
        <f>CA90</f>
        <v>0</v>
      </c>
      <c r="H90" s="378">
        <f>CH90</f>
        <v>0</v>
      </c>
      <c r="I90" s="378">
        <f>CO90</f>
        <v>0.14079758167654924</v>
      </c>
      <c r="J90" s="378">
        <f>CV90</f>
        <v>0.18806188584570355</v>
      </c>
      <c r="K90" s="378">
        <f>DC90</f>
        <v>0.19262213359920238</v>
      </c>
      <c r="L90" s="378">
        <f>DJ90</f>
        <v>0.20373167481119503</v>
      </c>
      <c r="M90" s="378">
        <f>DQ90</f>
        <v>0.19245658666076762</v>
      </c>
      <c r="N90" s="378">
        <f>DX90</f>
        <v>0.24219631440391123</v>
      </c>
      <c r="O90" s="378">
        <f>EE90</f>
        <v>0.24593374776462573</v>
      </c>
      <c r="P90" s="378">
        <f>EL90</f>
        <v>0.24727798570942497</v>
      </c>
      <c r="Q90" s="378">
        <f>ES90</f>
        <v>0.24498258417648033</v>
      </c>
      <c r="R90" s="378">
        <f>EZ90</f>
        <v>0.24027152892888151</v>
      </c>
      <c r="S90" s="378">
        <f>FG90</f>
        <v>0.26568453136906273</v>
      </c>
      <c r="T90" s="378">
        <f>FN90</f>
        <v>0.25801788779474205</v>
      </c>
      <c r="U90" s="378">
        <f>FU90</f>
        <v>0.29146213183730713</v>
      </c>
      <c r="V90" s="378">
        <f>GB90</f>
        <v>0.35134693877551021</v>
      </c>
      <c r="W90" s="378">
        <f>GI90</f>
        <v>0.36156488229873501</v>
      </c>
      <c r="X90" s="378">
        <f>GP90</f>
        <v>0.34271945573088919</v>
      </c>
      <c r="Y90" s="378">
        <f>GW90</f>
        <v>0.36751317680881646</v>
      </c>
      <c r="Z90" s="378">
        <f>HD90</f>
        <v>0.3562916582508584</v>
      </c>
      <c r="AA90" s="378">
        <f>HK90</f>
        <v>0.3294671488026199</v>
      </c>
      <c r="AB90" s="378">
        <f>HR90</f>
        <v>0.3207015130674003</v>
      </c>
      <c r="AC90" s="378">
        <f>HY90</f>
        <v>0.28526823729775758</v>
      </c>
      <c r="AD90" s="378">
        <f>IF90</f>
        <v>0.31281203812083164</v>
      </c>
      <c r="AE90" s="378">
        <f>IM90</f>
        <v>0.33555238455984882</v>
      </c>
      <c r="AF90" s="378">
        <f>IT90</f>
        <v>0.34717490766188797</v>
      </c>
      <c r="AG90" s="379"/>
      <c r="AH90" s="379"/>
      <c r="AI90" s="379"/>
      <c r="AJ90" s="379"/>
      <c r="AK90" s="379"/>
      <c r="AL90" s="379"/>
      <c r="AM90" s="379"/>
      <c r="AN90" s="379"/>
      <c r="AO90" s="379"/>
      <c r="AP90" s="379"/>
      <c r="AQ90" s="379"/>
      <c r="AR90" s="379"/>
      <c r="AT90" s="377" t="s">
        <v>4</v>
      </c>
      <c r="AU90" s="378"/>
      <c r="AV90" s="378"/>
      <c r="AW90" s="378"/>
      <c r="AX90" s="378"/>
      <c r="AY90" s="378"/>
      <c r="BA90" s="377" t="s">
        <v>4</v>
      </c>
      <c r="BB90" s="378"/>
      <c r="BC90" s="378"/>
      <c r="BD90" s="378"/>
      <c r="BE90" s="378"/>
      <c r="BF90" s="378"/>
      <c r="BH90" s="377" t="s">
        <v>4</v>
      </c>
      <c r="BI90" s="378"/>
      <c r="BJ90" s="378"/>
      <c r="BK90" s="378"/>
      <c r="BL90" s="378"/>
      <c r="BM90" s="378"/>
      <c r="BO90" s="377" t="s">
        <v>4</v>
      </c>
      <c r="BP90" s="378"/>
      <c r="BQ90" s="378"/>
      <c r="BR90" s="378"/>
      <c r="BS90" s="378"/>
      <c r="BT90" s="378"/>
      <c r="BV90" s="377" t="s">
        <v>4</v>
      </c>
      <c r="BW90" s="378"/>
      <c r="BX90" s="378"/>
      <c r="BY90" s="378"/>
      <c r="BZ90" s="378"/>
      <c r="CA90" s="378"/>
      <c r="CC90" s="377" t="s">
        <v>4</v>
      </c>
      <c r="CD90" s="378"/>
      <c r="CE90" s="378"/>
      <c r="CF90" s="378"/>
      <c r="CG90" s="378"/>
      <c r="CH90" s="378"/>
      <c r="CJ90" s="377" t="s">
        <v>4</v>
      </c>
      <c r="CK90" s="378" t="s">
        <v>80</v>
      </c>
      <c r="CL90" s="378" t="s">
        <v>80</v>
      </c>
      <c r="CM90" s="378" t="s">
        <v>80</v>
      </c>
      <c r="CN90" s="378" t="s">
        <v>80</v>
      </c>
      <c r="CO90" s="378">
        <f>CO89/CO$69</f>
        <v>0.14079758167654924</v>
      </c>
      <c r="CQ90" s="377" t="s">
        <v>4</v>
      </c>
      <c r="CR90" s="378">
        <f>CR89/CR$69</f>
        <v>0.15503173164097914</v>
      </c>
      <c r="CS90" s="378">
        <f>CS89/CS$69</f>
        <v>0.17513192612137204</v>
      </c>
      <c r="CT90" s="378">
        <f>CT89/CT$69</f>
        <v>0.18596229630418576</v>
      </c>
      <c r="CU90" s="378">
        <f>CU89/CU$69</f>
        <v>0.18806188584570355</v>
      </c>
      <c r="CV90" s="378">
        <f>CV89/CV$69</f>
        <v>0.18806188584570355</v>
      </c>
      <c r="CX90" s="377" t="s">
        <v>4</v>
      </c>
      <c r="CY90" s="378">
        <f>CY89/CY$69</f>
        <v>0.18452935694315004</v>
      </c>
      <c r="CZ90" s="378">
        <f>CZ89/CZ$69</f>
        <v>0.17786197010034815</v>
      </c>
      <c r="DA90" s="378">
        <f>DA89/DA$69</f>
        <v>0.18174433952685551</v>
      </c>
      <c r="DB90" s="378">
        <f>DB89/DB$69</f>
        <v>0.19262213359920238</v>
      </c>
      <c r="DC90" s="378">
        <f>DC89/DC$69</f>
        <v>0.19262213359920238</v>
      </c>
      <c r="DE90" s="377" t="s">
        <v>4</v>
      </c>
      <c r="DF90" s="378">
        <f>DF89/DF$69</f>
        <v>0.20191841875787231</v>
      </c>
      <c r="DG90" s="378">
        <f>DG89/DG$69</f>
        <v>0.20190689848569826</v>
      </c>
      <c r="DH90" s="378">
        <f>DH89/DH$69</f>
        <v>0.2061301308478222</v>
      </c>
      <c r="DI90" s="378">
        <f>DI89/DI$69</f>
        <v>0.20373167481119503</v>
      </c>
      <c r="DJ90" s="378">
        <f>DJ89/DJ$69</f>
        <v>0.20373167481119503</v>
      </c>
      <c r="DL90" s="377" t="s">
        <v>4</v>
      </c>
      <c r="DM90" s="378">
        <f>DM89/DM$69</f>
        <v>0.19788673649087032</v>
      </c>
      <c r="DN90" s="378">
        <f>DN89/DN$69</f>
        <v>0.19797357703387305</v>
      </c>
      <c r="DO90" s="378">
        <f>DO89/DO$69</f>
        <v>0.19616817456093666</v>
      </c>
      <c r="DP90" s="378">
        <f>DP89/DP$69</f>
        <v>0.19245658666076762</v>
      </c>
      <c r="DQ90" s="378">
        <f>DQ89/DQ$69</f>
        <v>0.19245658666076762</v>
      </c>
      <c r="DS90" s="377" t="s">
        <v>4</v>
      </c>
      <c r="DT90" s="378">
        <f>DT89/DT$69</f>
        <v>0.20129240710823909</v>
      </c>
      <c r="DU90" s="378">
        <f>DU89/DU$69</f>
        <v>0.21438082556591212</v>
      </c>
      <c r="DV90" s="378">
        <f>DV89/DV$69</f>
        <v>0.23027613412228798</v>
      </c>
      <c r="DW90" s="378">
        <f>DW89/DW$69</f>
        <v>0.24219631440391123</v>
      </c>
      <c r="DX90" s="378">
        <f>DX89/DX$69</f>
        <v>0.24219631440391123</v>
      </c>
      <c r="DZ90" s="377" t="s">
        <v>4</v>
      </c>
      <c r="EA90" s="378">
        <f>EA89/EA$69</f>
        <v>0.24764947512551347</v>
      </c>
      <c r="EB90" s="378">
        <f>EB89/EB$69</f>
        <v>0.2504641499425338</v>
      </c>
      <c r="EC90" s="378">
        <f>EC89/EC$69</f>
        <v>0.24784631288766368</v>
      </c>
      <c r="ED90" s="378">
        <f>ED89/ED$69</f>
        <v>0.24593374776462573</v>
      </c>
      <c r="EE90" s="378">
        <f>EE89/EE$69</f>
        <v>0.24593374776462573</v>
      </c>
      <c r="EG90" s="377" t="s">
        <v>4</v>
      </c>
      <c r="EH90" s="378">
        <f>EH89/EH$69</f>
        <v>0.24926464408773846</v>
      </c>
      <c r="EI90" s="378">
        <f>EI89/EI$69</f>
        <v>0.25084090144635046</v>
      </c>
      <c r="EJ90" s="378">
        <f>EJ89/EJ$69</f>
        <v>0.2501903070286729</v>
      </c>
      <c r="EK90" s="378">
        <f>EK89/EK$69</f>
        <v>0.24727798570942497</v>
      </c>
      <c r="EL90" s="378">
        <f>EL89/EL$69</f>
        <v>0.24727798570942497</v>
      </c>
      <c r="EN90" s="377" t="s">
        <v>4</v>
      </c>
      <c r="EO90" s="378">
        <f>EO89/EO$69</f>
        <v>0.24821246169560776</v>
      </c>
      <c r="EP90" s="378">
        <f>EP89/EP$69</f>
        <v>0.24896230410842862</v>
      </c>
      <c r="EQ90" s="378">
        <f>EQ89/EQ$69</f>
        <v>0.24693534844668347</v>
      </c>
      <c r="ER90" s="378">
        <f>ER89/ER$69</f>
        <v>0.24498258417648033</v>
      </c>
      <c r="ES90" s="378">
        <f>ES89/ES$69</f>
        <v>0.24498258417648033</v>
      </c>
      <c r="EU90" s="377" t="s">
        <v>4</v>
      </c>
      <c r="EV90" s="378">
        <f>EV89/EV$69</f>
        <v>0.23406538969616908</v>
      </c>
      <c r="EW90" s="378">
        <f>EW89/EW$69</f>
        <v>0.23219663058517132</v>
      </c>
      <c r="EX90" s="378">
        <f>EX89/EX$69</f>
        <v>0.23527060516428172</v>
      </c>
      <c r="EY90" s="378">
        <f>EY89/EY$69</f>
        <v>0.24027152892888151</v>
      </c>
      <c r="EZ90" s="378">
        <f>EZ89/EZ$69</f>
        <v>0.24027152892888151</v>
      </c>
      <c r="FB90" s="377" t="s">
        <v>4</v>
      </c>
      <c r="FC90" s="378">
        <f>FC89/FC$69</f>
        <v>0.24826553137811416</v>
      </c>
      <c r="FD90" s="378">
        <f>FD89/FD$69</f>
        <v>0.25479846449136279</v>
      </c>
      <c r="FE90" s="378">
        <f>FE89/FE$69</f>
        <v>0.2595319914907544</v>
      </c>
      <c r="FF90" s="378">
        <f>FF89/FF$69</f>
        <v>0.26568453136906273</v>
      </c>
      <c r="FG90" s="378">
        <f>FG89/FG$69</f>
        <v>0.26568453136906273</v>
      </c>
      <c r="FI90" s="377" t="s">
        <v>4</v>
      </c>
      <c r="FJ90" s="378">
        <f>FJ89/FJ$69</f>
        <v>0.26267321522539905</v>
      </c>
      <c r="FK90" s="378">
        <f>FK89/FK$69</f>
        <v>0.25493570005433797</v>
      </c>
      <c r="FL90" s="378">
        <f>FL89/FL$69</f>
        <v>0.25256635531304911</v>
      </c>
      <c r="FM90" s="378">
        <f>FM89/FM$69</f>
        <v>0.25801788779474205</v>
      </c>
      <c r="FN90" s="378">
        <f>FN89/FN$69</f>
        <v>0.25801788779474205</v>
      </c>
      <c r="FP90" s="377" t="s">
        <v>4</v>
      </c>
      <c r="FQ90" s="378">
        <f>FQ89/FQ$69</f>
        <v>0.26881625441696111</v>
      </c>
      <c r="FR90" s="378">
        <f>FR89/FR$69</f>
        <v>0.28444021127370334</v>
      </c>
      <c r="FS90" s="378">
        <f>FS89/FS$69</f>
        <v>0.28673804178898288</v>
      </c>
      <c r="FT90" s="378">
        <f>FT89/FT$69</f>
        <v>0.29146213183730713</v>
      </c>
      <c r="FU90" s="378">
        <f>FU89/FU$69</f>
        <v>0.29146213183730713</v>
      </c>
      <c r="FW90" s="377" t="s">
        <v>4</v>
      </c>
      <c r="FX90" s="378">
        <f>FX89/FX$69</f>
        <v>0.30503723171265879</v>
      </c>
      <c r="FY90" s="378">
        <f>FY89/FY$69</f>
        <v>0.31742058011049723</v>
      </c>
      <c r="FZ90" s="378">
        <f>FZ89/FZ$69</f>
        <v>0.34051796157059316</v>
      </c>
      <c r="GA90" s="378">
        <f>GA89/GA$69</f>
        <v>0.35134693877551021</v>
      </c>
      <c r="GB90" s="378">
        <f>GB89/GB$69</f>
        <v>0.35134693877551021</v>
      </c>
      <c r="GD90" s="377" t="s">
        <v>4</v>
      </c>
      <c r="GE90" s="378">
        <f>GE89/GE$69</f>
        <v>0.35973197707273757</v>
      </c>
      <c r="GF90" s="378">
        <f>GF89/GF$69</f>
        <v>0.36108861169609591</v>
      </c>
      <c r="GG90" s="378">
        <f>GG89/GG$69</f>
        <v>0.36350963509635098</v>
      </c>
      <c r="GH90" s="378">
        <f>GH89/GH$69</f>
        <v>0.36156488229873501</v>
      </c>
      <c r="GI90" s="378">
        <f>GI89/GI$69</f>
        <v>0.36156488229873501</v>
      </c>
      <c r="GK90" s="377" t="s">
        <v>4</v>
      </c>
      <c r="GL90" s="378">
        <f>GL89/GL$69</f>
        <v>0.36208506664402751</v>
      </c>
      <c r="GM90" s="378">
        <f>GM89/GM$69</f>
        <v>0.34366171511892829</v>
      </c>
      <c r="GN90" s="378">
        <f>GN89/GN$69</f>
        <v>0.33956591186695478</v>
      </c>
      <c r="GO90" s="378">
        <f>GO89/GO$69</f>
        <v>0.34271945573088919</v>
      </c>
      <c r="GP90" s="378">
        <f>GP89/GP$69</f>
        <v>0.34271945573088919</v>
      </c>
      <c r="GR90" s="377" t="s">
        <v>4</v>
      </c>
      <c r="GS90" s="378">
        <f>GS89/GS$69</f>
        <v>0.33687505929228728</v>
      </c>
      <c r="GT90" s="378">
        <f>GT89/GT$69</f>
        <v>0.36183043632493794</v>
      </c>
      <c r="GU90" s="378">
        <f>GU89/GU$69</f>
        <v>0.36837248322147653</v>
      </c>
      <c r="GV90" s="378">
        <f>GV89/GV$69</f>
        <v>0.36751317680881646</v>
      </c>
      <c r="GW90" s="378">
        <f>GW89/GW$69</f>
        <v>0.36751317680881646</v>
      </c>
      <c r="GY90" s="377" t="s">
        <v>4</v>
      </c>
      <c r="GZ90" s="378">
        <f>GZ89/GZ$69</f>
        <v>0.36534064929126658</v>
      </c>
      <c r="HA90" s="378">
        <f>HA89/HA$69</f>
        <v>0.36201333620133364</v>
      </c>
      <c r="HB90" s="378">
        <f>HB89/HB$69</f>
        <v>0.35690721649484536</v>
      </c>
      <c r="HC90" s="378">
        <f>HC89/HC$69</f>
        <v>0.3562916582508584</v>
      </c>
      <c r="HD90" s="378">
        <f>HD89/HD$69</f>
        <v>0.3562916582508584</v>
      </c>
      <c r="HF90" s="377" t="s">
        <v>4</v>
      </c>
      <c r="HG90" s="378">
        <f>HG89/HG$69</f>
        <v>0.3598309784761653</v>
      </c>
      <c r="HH90" s="378">
        <f>HH89/HH$69</f>
        <v>0.3532934131736527</v>
      </c>
      <c r="HI90" s="378">
        <f>HI89/HI$69</f>
        <v>0.33922621880737064</v>
      </c>
      <c r="HJ90" s="378">
        <f>HJ89/HJ$69</f>
        <v>0.3294671488026199</v>
      </c>
      <c r="HK90" s="378">
        <f>HK89/HK$69</f>
        <v>0.3294671488026199</v>
      </c>
      <c r="HM90" s="377" t="s">
        <v>4</v>
      </c>
      <c r="HN90" s="378">
        <f>HN89/HN$69</f>
        <v>0.32189721159103335</v>
      </c>
      <c r="HO90" s="378">
        <f>HO89/HO$69</f>
        <v>0.31987153204865382</v>
      </c>
      <c r="HP90" s="378">
        <f>HP89/HP$69</f>
        <v>0.32443294053538585</v>
      </c>
      <c r="HQ90" s="378">
        <f>HQ89/HQ$69</f>
        <v>0.3207015130674003</v>
      </c>
      <c r="HR90" s="378">
        <f>HR89/HR$69</f>
        <v>0.3207015130674003</v>
      </c>
      <c r="HT90" s="377" t="s">
        <v>4</v>
      </c>
      <c r="HU90" s="378">
        <f>HU89/HU$69</f>
        <v>0.304789245203753</v>
      </c>
      <c r="HV90" s="378">
        <f>HV89/HV$69</f>
        <v>0.29523136700812436</v>
      </c>
      <c r="HW90" s="378">
        <f>HW89/HW$69</f>
        <v>0.28974014019684202</v>
      </c>
      <c r="HX90" s="378">
        <f>HX89/HX$69</f>
        <v>0.28526823729775758</v>
      </c>
      <c r="HY90" s="378">
        <f>HY89/HY$69</f>
        <v>0.28526823729775758</v>
      </c>
      <c r="IA90" s="377" t="s">
        <v>4</v>
      </c>
      <c r="IB90" s="378">
        <f>IB89/IB$69</f>
        <v>0.2933629130355509</v>
      </c>
      <c r="IC90" s="378">
        <f>IC89/IC$69</f>
        <v>0.29824070044532797</v>
      </c>
      <c r="ID90" s="378">
        <f>ID89/ID$69</f>
        <v>0.30446466250134535</v>
      </c>
      <c r="IE90" s="378">
        <f>IE89/IE$69</f>
        <v>0.3128120381208318</v>
      </c>
      <c r="IF90" s="378">
        <f>IF89/IF$69</f>
        <v>0.31281203812083164</v>
      </c>
      <c r="IH90" s="377" t="s">
        <v>4</v>
      </c>
      <c r="II90" s="378">
        <f>II89/II$69</f>
        <v>0.31821697068942789</v>
      </c>
      <c r="IJ90" s="378">
        <f>IJ89/IJ$69</f>
        <v>0.32382504132013795</v>
      </c>
      <c r="IK90" s="378">
        <f>IK89/IK$69</f>
        <v>0.32981458540568814</v>
      </c>
      <c r="IL90" s="378">
        <f>IL89/IL$69</f>
        <v>0.33555238455984876</v>
      </c>
      <c r="IM90" s="378">
        <f>IM89/IM$69</f>
        <v>0.33555238455984882</v>
      </c>
      <c r="IO90" s="377" t="s">
        <v>4</v>
      </c>
      <c r="IP90" s="378">
        <f>IP89/IP$69</f>
        <v>0.33890124781710007</v>
      </c>
      <c r="IQ90" s="378">
        <f>IQ89/IQ$69</f>
        <v>0.34176324912510581</v>
      </c>
      <c r="IR90" s="378">
        <f>IR89/IR$69</f>
        <v>0.34401275699031092</v>
      </c>
      <c r="IS90" s="378">
        <f>IS89/IS$69</f>
        <v>0.34717490766188797</v>
      </c>
      <c r="IT90" s="378">
        <f>IT89/IT$69</f>
        <v>0.34717490766188797</v>
      </c>
    </row>
    <row r="91" spans="1:254" x14ac:dyDescent="0.4">
      <c r="B91" s="318"/>
      <c r="C91" s="319"/>
      <c r="D91" s="319"/>
      <c r="E91" s="319"/>
      <c r="F91" s="319"/>
      <c r="G91" s="319"/>
      <c r="H91" s="319"/>
      <c r="I91" s="319"/>
      <c r="J91" s="319"/>
      <c r="K91" s="319"/>
      <c r="L91" s="319"/>
      <c r="M91" s="319"/>
      <c r="N91" s="319"/>
      <c r="O91" s="319"/>
      <c r="P91" s="319"/>
      <c r="Q91" s="319"/>
      <c r="R91" s="319"/>
      <c r="S91" s="319"/>
      <c r="T91" s="319"/>
      <c r="U91" s="319"/>
      <c r="V91" s="319"/>
      <c r="W91" s="319"/>
      <c r="X91" s="319"/>
      <c r="Y91" s="319"/>
      <c r="Z91" s="319"/>
      <c r="AA91" s="319"/>
      <c r="AB91" s="130"/>
      <c r="AC91" s="130"/>
      <c r="AD91" s="130"/>
      <c r="AE91" s="130"/>
      <c r="AF91" s="130"/>
      <c r="AG91" s="376"/>
      <c r="AH91" s="376"/>
      <c r="AI91" s="376"/>
      <c r="AJ91" s="376"/>
      <c r="AK91" s="376"/>
      <c r="AL91" s="376"/>
      <c r="AM91" s="376"/>
      <c r="AN91" s="376"/>
      <c r="AO91" s="376"/>
      <c r="AP91" s="376"/>
      <c r="AQ91" s="376"/>
      <c r="AR91" s="376"/>
      <c r="AT91" s="318"/>
      <c r="AU91" s="319"/>
      <c r="AV91" s="319"/>
      <c r="AW91" s="319"/>
      <c r="AX91" s="319"/>
      <c r="AY91" s="319"/>
      <c r="BA91" s="318"/>
      <c r="BB91" s="319"/>
      <c r="BC91" s="319"/>
      <c r="BD91" s="319"/>
      <c r="BE91" s="319"/>
      <c r="BF91" s="319"/>
      <c r="BH91" s="318"/>
      <c r="BI91" s="319"/>
      <c r="BJ91" s="319"/>
      <c r="BK91" s="319"/>
      <c r="BL91" s="319"/>
      <c r="BM91" s="319"/>
      <c r="BO91" s="318"/>
      <c r="BP91" s="319"/>
      <c r="BQ91" s="319"/>
      <c r="BR91" s="319"/>
      <c r="BS91" s="319"/>
      <c r="BT91" s="319"/>
      <c r="BV91" s="318"/>
      <c r="BW91" s="319"/>
      <c r="BX91" s="319"/>
      <c r="BY91" s="319"/>
      <c r="BZ91" s="319"/>
      <c r="CA91" s="319"/>
      <c r="CC91" s="318"/>
      <c r="CD91" s="319"/>
      <c r="CE91" s="319"/>
      <c r="CF91" s="319"/>
      <c r="CG91" s="319"/>
      <c r="CH91" s="319"/>
      <c r="CJ91" s="318"/>
      <c r="CK91" s="319"/>
      <c r="CL91" s="319"/>
      <c r="CM91" s="319"/>
      <c r="CN91" s="319"/>
      <c r="CO91" s="319"/>
      <c r="CQ91" s="318"/>
      <c r="CR91" s="319"/>
      <c r="CS91" s="319"/>
      <c r="CT91" s="319"/>
      <c r="CU91" s="319"/>
      <c r="CV91" s="319"/>
      <c r="CX91" s="318"/>
      <c r="CY91" s="319"/>
      <c r="CZ91" s="319"/>
      <c r="DA91" s="319"/>
      <c r="DB91" s="319"/>
      <c r="DC91" s="319"/>
      <c r="DE91" s="318"/>
      <c r="DF91" s="319"/>
      <c r="DG91" s="319"/>
      <c r="DH91" s="319"/>
      <c r="DI91" s="319"/>
      <c r="DJ91" s="319"/>
      <c r="DL91" s="318"/>
      <c r="DM91" s="319"/>
      <c r="DN91" s="319"/>
      <c r="DO91" s="319"/>
      <c r="DP91" s="319"/>
      <c r="DQ91" s="319"/>
      <c r="DS91" s="318"/>
      <c r="DT91" s="319"/>
      <c r="DU91" s="319"/>
      <c r="DV91" s="319"/>
      <c r="DW91" s="319"/>
      <c r="DX91" s="319"/>
      <c r="DZ91" s="318"/>
      <c r="EA91" s="319"/>
      <c r="EB91" s="319"/>
      <c r="EC91" s="319"/>
      <c r="ED91" s="319"/>
      <c r="EE91" s="319"/>
      <c r="EG91" s="318"/>
      <c r="EH91" s="319"/>
      <c r="EI91" s="319"/>
      <c r="EJ91" s="319"/>
      <c r="EK91" s="319"/>
      <c r="EL91" s="319"/>
      <c r="EN91" s="318"/>
      <c r="EO91" s="319"/>
      <c r="EP91" s="319"/>
      <c r="EQ91" s="319"/>
      <c r="ER91" s="319"/>
      <c r="ES91" s="319"/>
      <c r="EU91" s="318"/>
      <c r="EV91" s="319"/>
      <c r="EW91" s="319"/>
      <c r="EX91" s="319"/>
      <c r="EY91" s="319"/>
      <c r="EZ91" s="319"/>
      <c r="FB91" s="318"/>
      <c r="FC91" s="319"/>
      <c r="FD91" s="319"/>
      <c r="FE91" s="319"/>
      <c r="FF91" s="319"/>
      <c r="FG91" s="319"/>
      <c r="FI91" s="318"/>
      <c r="FJ91" s="319"/>
      <c r="FK91" s="319"/>
      <c r="FL91" s="319"/>
      <c r="FM91" s="319"/>
      <c r="FN91" s="319"/>
      <c r="FP91" s="318"/>
      <c r="FQ91" s="319"/>
      <c r="FR91" s="319"/>
      <c r="FS91" s="319"/>
      <c r="FT91" s="319"/>
      <c r="FU91" s="319"/>
      <c r="FW91" s="318"/>
      <c r="FX91" s="319"/>
      <c r="FY91" s="319"/>
      <c r="FZ91" s="319"/>
      <c r="GA91" s="319"/>
      <c r="GB91" s="319"/>
      <c r="GD91" s="318"/>
      <c r="GE91" s="319"/>
      <c r="GF91" s="319"/>
      <c r="GG91" s="319"/>
      <c r="GH91" s="319"/>
      <c r="GI91" s="319"/>
      <c r="GK91" s="318"/>
      <c r="GL91" s="319"/>
      <c r="GM91" s="319"/>
      <c r="GN91" s="319"/>
      <c r="GO91" s="319"/>
      <c r="GP91" s="319"/>
      <c r="GR91" s="318"/>
      <c r="GS91" s="319"/>
      <c r="GT91" s="319"/>
      <c r="GU91" s="319"/>
      <c r="GV91" s="319"/>
      <c r="GW91" s="319"/>
      <c r="GY91" s="318"/>
      <c r="GZ91" s="319"/>
      <c r="HA91" s="319"/>
      <c r="HB91" s="319"/>
      <c r="HC91" s="319"/>
      <c r="HD91" s="319"/>
      <c r="HF91" s="318"/>
      <c r="HG91" s="319"/>
      <c r="HH91" s="319"/>
      <c r="HI91" s="319"/>
      <c r="HJ91" s="319"/>
      <c r="HK91" s="319"/>
      <c r="HM91" s="318"/>
      <c r="HN91" s="319"/>
      <c r="HO91" s="319"/>
      <c r="HP91" s="319"/>
      <c r="HQ91" s="319"/>
      <c r="HR91" s="319"/>
      <c r="HT91" s="318"/>
      <c r="HU91" s="319"/>
      <c r="HV91" s="319"/>
      <c r="HW91" s="319"/>
      <c r="HX91" s="319"/>
      <c r="HY91" s="130"/>
      <c r="IA91" s="318"/>
      <c r="IB91" s="319"/>
      <c r="IC91" s="319"/>
      <c r="ID91" s="319"/>
      <c r="IE91" s="319"/>
      <c r="IF91" s="130"/>
      <c r="IH91" s="318"/>
      <c r="II91" s="319"/>
      <c r="IJ91" s="319"/>
      <c r="IK91" s="319"/>
      <c r="IL91" s="319"/>
      <c r="IM91" s="130"/>
      <c r="IO91" s="318"/>
      <c r="IP91" s="319"/>
      <c r="IQ91" s="319"/>
      <c r="IR91" s="319"/>
      <c r="IS91" s="319"/>
      <c r="IT91" s="130"/>
    </row>
    <row r="92" spans="1:254" x14ac:dyDescent="0.4">
      <c r="B92" s="318" t="s">
        <v>212</v>
      </c>
      <c r="C92" s="319">
        <f>AY92</f>
        <v>0</v>
      </c>
      <c r="D92" s="319">
        <f>BF92</f>
        <v>0</v>
      </c>
      <c r="E92" s="319">
        <f>BM92</f>
        <v>0</v>
      </c>
      <c r="F92" s="319">
        <f>BT92</f>
        <v>0</v>
      </c>
      <c r="G92" s="319">
        <f>CA92</f>
        <v>0</v>
      </c>
      <c r="H92" s="319">
        <f>CH92</f>
        <v>0</v>
      </c>
      <c r="I92" s="319">
        <f>CO92</f>
        <v>423</v>
      </c>
      <c r="J92" s="319">
        <f>CV92</f>
        <v>392</v>
      </c>
      <c r="K92" s="319">
        <f>DC92</f>
        <v>417</v>
      </c>
      <c r="L92" s="319">
        <f>DJ92</f>
        <v>519</v>
      </c>
      <c r="M92" s="319">
        <f>DQ92</f>
        <v>558</v>
      </c>
      <c r="N92" s="319">
        <f>DX92</f>
        <v>557</v>
      </c>
      <c r="O92" s="319">
        <f>EE92</f>
        <v>552</v>
      </c>
      <c r="P92" s="319">
        <f>EL92</f>
        <v>566</v>
      </c>
      <c r="Q92" s="319">
        <f>ES92</f>
        <v>562</v>
      </c>
      <c r="R92" s="319">
        <f>EZ92</f>
        <v>545</v>
      </c>
      <c r="S92" s="319">
        <f>FG92</f>
        <v>544</v>
      </c>
      <c r="T92" s="319">
        <f>FN92</f>
        <v>579</v>
      </c>
      <c r="U92" s="319">
        <f>FU92</f>
        <v>546</v>
      </c>
      <c r="V92" s="319">
        <f>GB92</f>
        <v>639</v>
      </c>
      <c r="W92" s="319">
        <f>GI92</f>
        <v>737</v>
      </c>
      <c r="X92" s="319">
        <f>GP92</f>
        <v>754</v>
      </c>
      <c r="Y92" s="319">
        <f>GW92</f>
        <v>722</v>
      </c>
      <c r="Z92" s="319">
        <f>HD92</f>
        <v>742</v>
      </c>
      <c r="AA92" s="319">
        <f>HK92</f>
        <v>809</v>
      </c>
      <c r="AB92" s="130">
        <f>HR92</f>
        <v>832</v>
      </c>
      <c r="AC92" s="130">
        <f>HY92</f>
        <v>844</v>
      </c>
      <c r="AD92" s="130">
        <f>IF92</f>
        <v>836</v>
      </c>
      <c r="AE92" s="130">
        <f>IM92</f>
        <v>852</v>
      </c>
      <c r="AF92" s="130">
        <f>IT92</f>
        <v>840</v>
      </c>
      <c r="AG92" s="376"/>
      <c r="AH92" s="376"/>
      <c r="AI92" s="376"/>
      <c r="AJ92" s="376"/>
      <c r="AK92" s="376"/>
      <c r="AL92" s="376"/>
      <c r="AM92" s="376"/>
      <c r="AN92" s="376"/>
      <c r="AO92" s="376"/>
      <c r="AP92" s="376"/>
      <c r="AQ92" s="376"/>
      <c r="AR92" s="376"/>
      <c r="AT92" s="318" t="s">
        <v>212</v>
      </c>
      <c r="AU92" s="319"/>
      <c r="AV92" s="319"/>
      <c r="AW92" s="319"/>
      <c r="AX92" s="319"/>
      <c r="AY92" s="319"/>
      <c r="BA92" s="318" t="s">
        <v>212</v>
      </c>
      <c r="BB92" s="319"/>
      <c r="BC92" s="319"/>
      <c r="BD92" s="319"/>
      <c r="BE92" s="319"/>
      <c r="BF92" s="319"/>
      <c r="BH92" s="318" t="s">
        <v>212</v>
      </c>
      <c r="BI92" s="319"/>
      <c r="BJ92" s="319"/>
      <c r="BK92" s="319"/>
      <c r="BL92" s="319"/>
      <c r="BM92" s="319"/>
      <c r="BO92" s="318" t="s">
        <v>212</v>
      </c>
      <c r="BP92" s="319"/>
      <c r="BQ92" s="319"/>
      <c r="BR92" s="319"/>
      <c r="BS92" s="319"/>
      <c r="BT92" s="319"/>
      <c r="BV92" s="318" t="s">
        <v>212</v>
      </c>
      <c r="BW92" s="319"/>
      <c r="BX92" s="319"/>
      <c r="BY92" s="319"/>
      <c r="BZ92" s="319"/>
      <c r="CA92" s="319"/>
      <c r="CC92" s="318" t="s">
        <v>212</v>
      </c>
      <c r="CD92" s="319"/>
      <c r="CE92" s="319"/>
      <c r="CF92" s="319"/>
      <c r="CG92" s="319"/>
      <c r="CH92" s="319"/>
      <c r="CJ92" s="318" t="s">
        <v>212</v>
      </c>
      <c r="CK92" s="319" t="s">
        <v>80</v>
      </c>
      <c r="CL92" s="319" t="s">
        <v>80</v>
      </c>
      <c r="CM92" s="319" t="s">
        <v>80</v>
      </c>
      <c r="CN92" s="319" t="s">
        <v>80</v>
      </c>
      <c r="CO92" s="319">
        <f>-CSX!GD40</f>
        <v>423</v>
      </c>
      <c r="CQ92" s="318" t="s">
        <v>212</v>
      </c>
      <c r="CR92" s="319">
        <f>-SUM(CSX!GG40,CSX!GA40:GC40)</f>
        <v>407</v>
      </c>
      <c r="CS92" s="319">
        <f>-SUM(CSX!GG40:GH40,CSX!GB40:GC40)</f>
        <v>395</v>
      </c>
      <c r="CT92" s="319">
        <f>-SUM(CSX!GG40:GI40,CSX!GC40)</f>
        <v>392</v>
      </c>
      <c r="CU92" s="319">
        <f>-SUM(CSX!GG40:GJ40)</f>
        <v>392</v>
      </c>
      <c r="CV92" s="319">
        <f>-CSX!GK40</f>
        <v>392</v>
      </c>
      <c r="CX92" s="318" t="s">
        <v>212</v>
      </c>
      <c r="CY92" s="319">
        <f>-SUM(CSX!GN40,CSX!GH40:GJ40)</f>
        <v>393</v>
      </c>
      <c r="CZ92" s="319">
        <f>-SUM(CSX!GN40:GO40,CSX!GI40:GJ40)</f>
        <v>396</v>
      </c>
      <c r="DA92" s="319">
        <f>-SUM(CSX!GN40:GP40,CSX!GJ40)</f>
        <v>401</v>
      </c>
      <c r="DB92" s="319">
        <f>-SUM(CSX!GN40:GQ40)</f>
        <v>417</v>
      </c>
      <c r="DC92" s="319">
        <f>-CSX!GR40</f>
        <v>417</v>
      </c>
      <c r="DE92" s="318" t="s">
        <v>212</v>
      </c>
      <c r="DF92" s="319">
        <f>-SUM(CSX!GU40,CSX!GO40:GQ40)</f>
        <v>437</v>
      </c>
      <c r="DG92" s="319">
        <f>-SUM(CSX!GU40:GV40,CSX!GP40:GQ40)</f>
        <v>469</v>
      </c>
      <c r="DH92" s="319">
        <f>-SUM(CSX!GU40:GW40,CSX!GQ40)</f>
        <v>498</v>
      </c>
      <c r="DI92" s="319">
        <f>-SUM(CSX!GU40:GX40)</f>
        <v>519</v>
      </c>
      <c r="DJ92" s="319">
        <f>-CSX!GY40</f>
        <v>519</v>
      </c>
      <c r="DL92" s="318" t="s">
        <v>212</v>
      </c>
      <c r="DM92" s="319">
        <f>-SUM(CSX!HB40,CSX!GV40:GX40)</f>
        <v>541</v>
      </c>
      <c r="DN92" s="319">
        <f>-SUM(CSX!HB40:HC40,CSX!GW40:GX40)</f>
        <v>547</v>
      </c>
      <c r="DO92" s="319">
        <f>-SUM(CSX!HB40:HD40,CSX!GX40)</f>
        <v>556</v>
      </c>
      <c r="DP92" s="319">
        <f>-SUM(CSX!HB40:HE40)</f>
        <v>558</v>
      </c>
      <c r="DQ92" s="319">
        <f>-CSX!HF40</f>
        <v>558</v>
      </c>
      <c r="DS92" s="318" t="s">
        <v>212</v>
      </c>
      <c r="DT92" s="319">
        <f>-SUM(CSX!HI40,CSX!HC40:HE40)</f>
        <v>559</v>
      </c>
      <c r="DU92" s="319">
        <f>-SUM(CSX!HI40:HJ40,CSX!HD40:HE40)</f>
        <v>555</v>
      </c>
      <c r="DV92" s="319">
        <f>-SUM(CSX!HI40:HK40,CSX!HE40)</f>
        <v>546</v>
      </c>
      <c r="DW92" s="319">
        <f>-SUM(CSX!HI40:HL40)</f>
        <v>557</v>
      </c>
      <c r="DX92" s="319">
        <f>-CSX!HM40</f>
        <v>557</v>
      </c>
      <c r="DZ92" s="318" t="s">
        <v>212</v>
      </c>
      <c r="EA92" s="319">
        <f>-SUM(CSX!HP40,CSX!HJ40:HL40)</f>
        <v>555</v>
      </c>
      <c r="EB92" s="319">
        <f>-SUM(CSX!HP40:HQ40,CSX!HK40:HL40)</f>
        <v>554</v>
      </c>
      <c r="EC92" s="319">
        <f>-SUM(CSX!HP40:HR40,CSX!HL40)</f>
        <v>561</v>
      </c>
      <c r="ED92" s="319">
        <f>-SUM(CSX!HP40:HS40)</f>
        <v>552</v>
      </c>
      <c r="EE92" s="319">
        <f>-CSX!HT40</f>
        <v>552</v>
      </c>
      <c r="EG92" s="318" t="s">
        <v>212</v>
      </c>
      <c r="EH92" s="319">
        <f>-SUM(CSX!HW40,CSX!HQ40:HS40)</f>
        <v>556</v>
      </c>
      <c r="EI92" s="319">
        <f>-SUM(CSX!HW40:HX40,CSX!HR40:HS40)</f>
        <v>561</v>
      </c>
      <c r="EJ92" s="319">
        <f>-SUM(CSX!HW40:HY40,CSX!HS40)</f>
        <v>561</v>
      </c>
      <c r="EK92" s="319">
        <f>-SUM(CSX!HW40:HZ40)</f>
        <v>566</v>
      </c>
      <c r="EL92" s="319">
        <f>-CSX!IA40</f>
        <v>566</v>
      </c>
      <c r="EN92" s="318" t="s">
        <v>212</v>
      </c>
      <c r="EO92" s="319">
        <f>-SUM(CSX!ID40,CSX!HX40:HZ40)</f>
        <v>569</v>
      </c>
      <c r="EP92" s="319">
        <f>-SUM(CSX!ID40:IE40,CSX!HY40:HZ40)</f>
        <v>570</v>
      </c>
      <c r="EQ92" s="319">
        <f>-SUM(CSX!ID40:IF40,CSX!HZ40)</f>
        <v>568</v>
      </c>
      <c r="ER92" s="319">
        <f>-SUM(CSX!ID40:IG40)</f>
        <v>562</v>
      </c>
      <c r="ES92" s="319">
        <f>-CSX!IH40</f>
        <v>562</v>
      </c>
      <c r="EU92" s="318" t="s">
        <v>212</v>
      </c>
      <c r="EV92" s="319">
        <f>-SUM(CSX!IK40,CSX!IE40:IG40)</f>
        <v>555</v>
      </c>
      <c r="EW92" s="319">
        <f>-SUM(CSX!IK40:IL40,CSX!IF40:IG40)</f>
        <v>550</v>
      </c>
      <c r="EX92" s="319">
        <f>-SUM(CSX!IK40:IM40,CSX!IG40)</f>
        <v>551</v>
      </c>
      <c r="EY92" s="319">
        <f>-SUM(CSX!IK40:IN40)</f>
        <v>545</v>
      </c>
      <c r="EZ92" s="319">
        <f>-CSX!IO40</f>
        <v>545</v>
      </c>
      <c r="FB92" s="318" t="s">
        <v>212</v>
      </c>
      <c r="FC92" s="319">
        <f>-SUM(CSX!IR40,CSX!IL40:IN40)</f>
        <v>539</v>
      </c>
      <c r="FD92" s="319">
        <f>-SUM(CSX!IR40:IS40,CSX!IM40:IN40)</f>
        <v>538</v>
      </c>
      <c r="FE92" s="319">
        <f>-SUM(CSX!IR40:IT40,CSX!IN40)</f>
        <v>537</v>
      </c>
      <c r="FF92" s="319">
        <f>-SUM(CSX!IR40:IU40)</f>
        <v>544</v>
      </c>
      <c r="FG92" s="319">
        <f>-CSX!IV40</f>
        <v>544</v>
      </c>
      <c r="FI92" s="318" t="s">
        <v>212</v>
      </c>
      <c r="FJ92" s="319">
        <f>-SUM(CSX!IY40,CSX!IS40:IU40)</f>
        <v>553</v>
      </c>
      <c r="FK92" s="319">
        <f>-SUM(CSX!IY40:IZ40,CSX!IT40:IU40)</f>
        <v>560</v>
      </c>
      <c r="FL92" s="319">
        <f>-SUM(CSX!IY40:JA40,CSX!IU40)</f>
        <v>563</v>
      </c>
      <c r="FM92" s="319">
        <f>-SUM(CSX!IY40:JB40)</f>
        <v>579</v>
      </c>
      <c r="FN92" s="319">
        <f>-CSX!JC40</f>
        <v>579</v>
      </c>
      <c r="FP92" s="318" t="s">
        <v>212</v>
      </c>
      <c r="FQ92" s="319">
        <f>-SUM(CSX!JF40,CSX!IZ40:JB40)</f>
        <v>573</v>
      </c>
      <c r="FR92" s="319">
        <f>-SUM(CSX!JF40:JG40,CSX!JA40:JB40)</f>
        <v>569</v>
      </c>
      <c r="FS92" s="319">
        <f>-SUM(CSX!JF40:JH40,CSX!JB40)</f>
        <v>562</v>
      </c>
      <c r="FT92" s="319">
        <f>-SUM(CSX!JF40:JI40)</f>
        <v>546</v>
      </c>
      <c r="FU92" s="319">
        <f>-CSX!JJ40</f>
        <v>546</v>
      </c>
      <c r="FW92" s="318" t="s">
        <v>212</v>
      </c>
      <c r="FX92" s="319">
        <f>-SUM(CSX!JM40,CSX!JG40:JI40)</f>
        <v>558</v>
      </c>
      <c r="FY92" s="319">
        <f>-SUM(CSX!JM40:JN40,CSX!JH40:JI40)</f>
        <v>578</v>
      </c>
      <c r="FZ92" s="319">
        <f>-SUM(CSX!JM40:JO40,CSX!JI40)</f>
        <v>608</v>
      </c>
      <c r="GA92" s="319">
        <f>-SUM(CSX!JM40:JP40)</f>
        <v>639</v>
      </c>
      <c r="GB92" s="319">
        <f>-CSX!JQ40</f>
        <v>639</v>
      </c>
      <c r="GD92" s="318" t="s">
        <v>212</v>
      </c>
      <c r="GE92" s="319">
        <f>-SUM(CSX!JT40,CSX!JN40:JP40)</f>
        <v>668</v>
      </c>
      <c r="GF92" s="319">
        <f>-SUM(CSX!JT40:JU40,CSX!JO40:JP40)</f>
        <v>695</v>
      </c>
      <c r="GG92" s="319">
        <f>-SUM(CSX!JT40:JV40,CSX!JP40)</f>
        <v>719</v>
      </c>
      <c r="GH92" s="319">
        <f>-SUM(CSX!JT40:JW40)</f>
        <v>737</v>
      </c>
      <c r="GI92" s="319">
        <f>-CSX!JX40</f>
        <v>737</v>
      </c>
      <c r="GK92" s="318" t="s">
        <v>212</v>
      </c>
      <c r="GL92" s="319">
        <f>-SUM(CSX!KA40,CSX!JU40:JW40)</f>
        <v>746</v>
      </c>
      <c r="GM92" s="319">
        <f>-SUM(CSX!KA40:KB40,CSX!JV40:JW40)</f>
        <v>753</v>
      </c>
      <c r="GN92" s="319">
        <f>-SUM(CSX!KA40:KC40,CSX!JW40)</f>
        <v>754</v>
      </c>
      <c r="GO92" s="319">
        <f>-SUM(CSX!KA40:KD40)</f>
        <v>754</v>
      </c>
      <c r="GP92" s="319">
        <f>-CSX!KE40</f>
        <v>754</v>
      </c>
      <c r="GR92" s="318" t="s">
        <v>212</v>
      </c>
      <c r="GS92" s="319">
        <f>-SUM(CSX!KH40,CSX!KB40:KD40)</f>
        <v>751</v>
      </c>
      <c r="GT92" s="319">
        <f>-SUM(CSX!KH40:KI40,CSX!KC40:KD40)</f>
        <v>741</v>
      </c>
      <c r="GU92" s="319">
        <f>-SUM(CSX!KH40:KJ40,CSX!KD40)</f>
        <v>731</v>
      </c>
      <c r="GV92" s="319">
        <f>-SUM(CSX!KH40:KK40)</f>
        <v>722</v>
      </c>
      <c r="GW92" s="319">
        <f>-CSX!KL40</f>
        <v>722</v>
      </c>
      <c r="GY92" s="318" t="s">
        <v>212</v>
      </c>
      <c r="GZ92" s="319">
        <f>-SUM(CSX!KO40,CSX!KI40:KK40)</f>
        <v>717</v>
      </c>
      <c r="HA92" s="319">
        <f>-SUM(CSX!KO40:KP40,CSX!KJ40:KK40)</f>
        <v>707</v>
      </c>
      <c r="HB92" s="319">
        <f>-SUM(CSX!KO40:KQ40,CSX!KK40)</f>
        <v>723</v>
      </c>
      <c r="HC92" s="319">
        <f>-SUM(CSX!KO40:KR40)</f>
        <v>742</v>
      </c>
      <c r="HD92" s="319">
        <f>-CSX!KS40</f>
        <v>742</v>
      </c>
      <c r="HF92" s="318" t="s">
        <v>212</v>
      </c>
      <c r="HG92" s="319">
        <f>-SUM(CSX!KV40,CSX!KP40:KR40)</f>
        <v>764</v>
      </c>
      <c r="HH92" s="319">
        <f>-SUM(CSX!KV40:KW40,CSX!KQ40:KR40)</f>
        <v>794</v>
      </c>
      <c r="HI92" s="319">
        <f>-SUM(CSX!KV40:KX40,CSX!KR40)</f>
        <v>804</v>
      </c>
      <c r="HJ92" s="319">
        <f>-SUM(CSX!KV40:KY40)</f>
        <v>809</v>
      </c>
      <c r="HK92" s="319">
        <f>-CSX!KZ40</f>
        <v>809</v>
      </c>
      <c r="HM92" s="318" t="s">
        <v>212</v>
      </c>
      <c r="HN92" s="319">
        <f>-SUM(CSX!LC40,CSX!KW40:KY40)</f>
        <v>818</v>
      </c>
      <c r="HO92" s="319">
        <f>-SUM(CSX!LC40:LD40,CSX!KX40:KY40)</f>
        <v>826</v>
      </c>
      <c r="HP92" s="319">
        <f>-SUM(CSX!LC40:LE40,CSX!KY40)</f>
        <v>829</v>
      </c>
      <c r="HQ92" s="319">
        <f>-SUM(CSX!LC40:LF40)</f>
        <v>832</v>
      </c>
      <c r="HR92" s="319">
        <f>-CSX!LG40</f>
        <v>832</v>
      </c>
      <c r="HT92" s="318" t="s">
        <v>212</v>
      </c>
      <c r="HU92" s="319">
        <f>-SUM(CSX!LJ40,CSX!LD40:LF40)</f>
        <v>831</v>
      </c>
      <c r="HV92" s="319">
        <f>-SUM(CSX!LJ40:LK40,CSX!LE40:LF40)</f>
        <v>834</v>
      </c>
      <c r="HW92" s="319">
        <f>-SUM(CSX!LJ40:LL40,CSX!LF40)</f>
        <v>838</v>
      </c>
      <c r="HX92" s="319">
        <f>-SUM(CSX!LJ40:LM40)</f>
        <v>844</v>
      </c>
      <c r="HY92" s="130">
        <f>-CSX!LN40</f>
        <v>844</v>
      </c>
      <c r="IA92" s="318" t="s">
        <v>212</v>
      </c>
      <c r="IB92" s="319">
        <f>-SUM(CSX!LQ40,CSX!LK40:LM40)</f>
        <v>844</v>
      </c>
      <c r="IC92" s="319">
        <f>-SUM(CSX!LQ40:LR40,CSX!LL40:LM40)</f>
        <v>841</v>
      </c>
      <c r="ID92" s="319">
        <f>-SUM(CSX!LQ40:LS40,CSX!LM40)</f>
        <v>840</v>
      </c>
      <c r="IE92" s="319">
        <f>-SUM(CSX!LQ40:LT40)</f>
        <v>836</v>
      </c>
      <c r="IF92" s="130">
        <f>-CSX!LU40</f>
        <v>836</v>
      </c>
      <c r="IH92" s="318" t="s">
        <v>212</v>
      </c>
      <c r="II92" s="319">
        <f>-SUM(CSX!LX40,CSX!LR40:LT40)</f>
        <v>840</v>
      </c>
      <c r="IJ92" s="319">
        <f>-SUM(CSX!LX40:LY40,CSX!LS40:LT40)</f>
        <v>844</v>
      </c>
      <c r="IK92" s="319">
        <f>-SUM(CSX!LX40:LZ40,CSX!LT40)</f>
        <v>848</v>
      </c>
      <c r="IL92" s="319">
        <f>-SUM(CSX!LX40:MA40)</f>
        <v>852</v>
      </c>
      <c r="IM92" s="130">
        <f>-CSX!MB40</f>
        <v>852</v>
      </c>
      <c r="IO92" s="318" t="s">
        <v>212</v>
      </c>
      <c r="IP92" s="319">
        <f>-SUM(CSX!ME40,CSX!LY40:MA40)</f>
        <v>849</v>
      </c>
      <c r="IQ92" s="319">
        <f>-SUM(CSX!ME40:MF40,CSX!LZ40:MA40)</f>
        <v>846</v>
      </c>
      <c r="IR92" s="319">
        <f>-SUM(CSX!ME40:MG40,CSX!MA40)</f>
        <v>843</v>
      </c>
      <c r="IS92" s="319">
        <f>-SUM(CSX!ME40:MH40)</f>
        <v>840</v>
      </c>
      <c r="IT92" s="130">
        <f>-CSX!MI40</f>
        <v>840</v>
      </c>
    </row>
    <row r="93" spans="1:254" x14ac:dyDescent="0.4">
      <c r="B93" s="377" t="s">
        <v>6</v>
      </c>
      <c r="C93" s="378">
        <f>AY93</f>
        <v>0</v>
      </c>
      <c r="D93" s="378">
        <f>BF93</f>
        <v>0</v>
      </c>
      <c r="E93" s="378">
        <f>BM93</f>
        <v>0</v>
      </c>
      <c r="F93" s="378">
        <f>BT93</f>
        <v>0</v>
      </c>
      <c r="G93" s="378">
        <f>CA93</f>
        <v>0</v>
      </c>
      <c r="H93" s="378">
        <f>CH93</f>
        <v>0</v>
      </c>
      <c r="I93" s="378">
        <f>CO93</f>
        <v>4.9180327868852458E-2</v>
      </c>
      <c r="J93" s="378">
        <f>CV93</f>
        <v>4.0978465398285598E-2</v>
      </c>
      <c r="K93" s="378">
        <f>DC93</f>
        <v>4.1575274177467599E-2</v>
      </c>
      <c r="L93" s="378">
        <f>DJ93</f>
        <v>4.6112838738338519E-2</v>
      </c>
      <c r="M93" s="378">
        <f>DQ93</f>
        <v>6.1718836411901339E-2</v>
      </c>
      <c r="N93" s="378">
        <f>DX93</f>
        <v>5.236931177134261E-2</v>
      </c>
      <c r="O93" s="378">
        <f>EE93</f>
        <v>4.7006727412075282E-2</v>
      </c>
      <c r="P93" s="378">
        <f>EL93</f>
        <v>4.8145627764545763E-2</v>
      </c>
      <c r="Q93" s="378">
        <f>ES93</f>
        <v>4.6608061038314809E-2</v>
      </c>
      <c r="R93" s="378">
        <f>EZ93</f>
        <v>4.3018391348962036E-2</v>
      </c>
      <c r="S93" s="378">
        <f>FG93</f>
        <v>4.6058758784184237E-2</v>
      </c>
      <c r="T93" s="378">
        <f>FN93</f>
        <v>5.2308248260908845E-2</v>
      </c>
      <c r="U93" s="378">
        <f>FU93</f>
        <v>4.7861150070126229E-2</v>
      </c>
      <c r="V93" s="378">
        <f>GB93</f>
        <v>5.2163265306122447E-2</v>
      </c>
      <c r="W93" s="378">
        <f>GI93</f>
        <v>6.1740805897629217E-2</v>
      </c>
      <c r="X93" s="378">
        <f>GP93</f>
        <v>7.1246338467353301E-2</v>
      </c>
      <c r="Y93" s="378">
        <f>GW93</f>
        <v>5.765852100303466E-2</v>
      </c>
      <c r="Z93" s="378">
        <f>HD93</f>
        <v>4.9956237797078029E-2</v>
      </c>
      <c r="AA93" s="378">
        <f>HK93</f>
        <v>5.5195469741420485E-2</v>
      </c>
      <c r="AB93" s="378">
        <f>HR93</f>
        <v>5.7221458046767537E-2</v>
      </c>
      <c r="AC93" s="378">
        <f>HY93</f>
        <v>5.989213738291229E-2</v>
      </c>
      <c r="AD93" s="378">
        <f>IF93</f>
        <v>5.7675874970231356E-2</v>
      </c>
      <c r="AE93" s="378">
        <f>IM93</f>
        <v>5.6123133088822212E-2</v>
      </c>
      <c r="AF93" s="378">
        <f>IT93</f>
        <v>5.3001401911161539E-2</v>
      </c>
      <c r="AG93" s="379"/>
      <c r="AH93" s="379"/>
      <c r="AI93" s="379"/>
      <c r="AJ93" s="379"/>
      <c r="AK93" s="379"/>
      <c r="AL93" s="379"/>
      <c r="AM93" s="379"/>
      <c r="AN93" s="379"/>
      <c r="AO93" s="379"/>
      <c r="AP93" s="379"/>
      <c r="AQ93" s="379"/>
      <c r="AR93" s="379"/>
      <c r="AT93" s="377" t="s">
        <v>6</v>
      </c>
      <c r="AU93" s="378"/>
      <c r="AV93" s="378"/>
      <c r="AW93" s="378"/>
      <c r="AX93" s="378"/>
      <c r="AY93" s="378"/>
      <c r="BA93" s="377" t="s">
        <v>6</v>
      </c>
      <c r="BB93" s="378"/>
      <c r="BC93" s="378"/>
      <c r="BD93" s="378"/>
      <c r="BE93" s="378"/>
      <c r="BF93" s="378"/>
      <c r="BH93" s="377" t="s">
        <v>6</v>
      </c>
      <c r="BI93" s="378"/>
      <c r="BJ93" s="378"/>
      <c r="BK93" s="378"/>
      <c r="BL93" s="378"/>
      <c r="BM93" s="378"/>
      <c r="BO93" s="377" t="s">
        <v>6</v>
      </c>
      <c r="BP93" s="378"/>
      <c r="BQ93" s="378"/>
      <c r="BR93" s="378"/>
      <c r="BS93" s="378"/>
      <c r="BT93" s="378"/>
      <c r="BV93" s="377" t="s">
        <v>6</v>
      </c>
      <c r="BW93" s="378"/>
      <c r="BX93" s="378"/>
      <c r="BY93" s="378"/>
      <c r="BZ93" s="378"/>
      <c r="CA93" s="378"/>
      <c r="CC93" s="377" t="s">
        <v>6</v>
      </c>
      <c r="CD93" s="378"/>
      <c r="CE93" s="378"/>
      <c r="CF93" s="378"/>
      <c r="CG93" s="378"/>
      <c r="CH93" s="378"/>
      <c r="CJ93" s="377" t="s">
        <v>6</v>
      </c>
      <c r="CK93" s="378" t="s">
        <v>80</v>
      </c>
      <c r="CL93" s="378" t="s">
        <v>80</v>
      </c>
      <c r="CM93" s="378" t="s">
        <v>80</v>
      </c>
      <c r="CN93" s="378" t="s">
        <v>80</v>
      </c>
      <c r="CO93" s="378">
        <f>CO92/CO$69</f>
        <v>4.9180327868852458E-2</v>
      </c>
      <c r="CQ93" s="377" t="s">
        <v>6</v>
      </c>
      <c r="CR93" s="378">
        <f>CR92/CR$69</f>
        <v>4.6124206708975518E-2</v>
      </c>
      <c r="CS93" s="378">
        <f>CS92/CS$69</f>
        <v>4.3425681618293757E-2</v>
      </c>
      <c r="CT93" s="378">
        <f>CT92/CT$69</f>
        <v>4.1750985195441473E-2</v>
      </c>
      <c r="CU93" s="378">
        <f>CU92/CU$69</f>
        <v>4.0978465398285598E-2</v>
      </c>
      <c r="CV93" s="378">
        <f>CV92/CV$69</f>
        <v>4.0978465398285598E-2</v>
      </c>
      <c r="CX93" s="377" t="s">
        <v>6</v>
      </c>
      <c r="CY93" s="378">
        <f>CY92/CY$69</f>
        <v>4.0695868282075179E-2</v>
      </c>
      <c r="CZ93" s="378">
        <f>CZ92/CZ$69</f>
        <v>4.0548842924431699E-2</v>
      </c>
      <c r="DA93" s="378">
        <f>DA92/DA$69</f>
        <v>4.0714793380038583E-2</v>
      </c>
      <c r="DB93" s="378">
        <f>DB92/DB$69</f>
        <v>4.1575274177467599E-2</v>
      </c>
      <c r="DC93" s="378">
        <f>DC92/DC$69</f>
        <v>4.1575274177467599E-2</v>
      </c>
      <c r="DE93" s="377" t="s">
        <v>6</v>
      </c>
      <c r="DF93" s="378">
        <f>DF92/DF$69</f>
        <v>4.2340858443949227E-2</v>
      </c>
      <c r="DG93" s="378">
        <f>DG92/DG$69</f>
        <v>4.3839970087866893E-2</v>
      </c>
      <c r="DH93" s="378">
        <f>DH92/DH$69</f>
        <v>4.4631654418354545E-2</v>
      </c>
      <c r="DI93" s="378">
        <f>DI92/DI$69</f>
        <v>4.6112838738338519E-2</v>
      </c>
      <c r="DJ93" s="378">
        <f>DJ92/DJ$69</f>
        <v>4.6112838738338519E-2</v>
      </c>
      <c r="DL93" s="377" t="s">
        <v>6</v>
      </c>
      <c r="DM93" s="378">
        <f>DM92/DM$69</f>
        <v>5.0143664843822412E-2</v>
      </c>
      <c r="DN93" s="378">
        <f>DN92/DN$69</f>
        <v>5.4335949140756928E-2</v>
      </c>
      <c r="DO93" s="378">
        <f>DO92/DO$69</f>
        <v>5.9180415114422562E-2</v>
      </c>
      <c r="DP93" s="378">
        <f>DP92/DP$69</f>
        <v>6.1718836411901339E-2</v>
      </c>
      <c r="DQ93" s="378">
        <f>DQ92/DQ$69</f>
        <v>6.1718836411901339E-2</v>
      </c>
      <c r="DS93" s="377" t="s">
        <v>6</v>
      </c>
      <c r="DT93" s="378">
        <f>DT92/DT$69</f>
        <v>6.0204631125471191E-2</v>
      </c>
      <c r="DU93" s="378">
        <f>DU92/DU$69</f>
        <v>5.6847280549011572E-2</v>
      </c>
      <c r="DV93" s="378">
        <f>DV92/DV$69</f>
        <v>5.3846153846153849E-2</v>
      </c>
      <c r="DW93" s="378">
        <f>DW92/DW$69</f>
        <v>5.236931177134261E-2</v>
      </c>
      <c r="DX93" s="378">
        <f>DX92/DX$69</f>
        <v>5.236931177134261E-2</v>
      </c>
      <c r="DZ93" s="377" t="s">
        <v>6</v>
      </c>
      <c r="EA93" s="378">
        <f>EA92/EA$69</f>
        <v>5.0661798265632128E-2</v>
      </c>
      <c r="EB93" s="378">
        <f>EB92/EB$69</f>
        <v>4.8978870126425607E-2</v>
      </c>
      <c r="EC93" s="378">
        <f>EC92/EC$69</f>
        <v>4.8328738800827019E-2</v>
      </c>
      <c r="ED93" s="378">
        <f>ED92/ED$69</f>
        <v>4.7006727412075282E-2</v>
      </c>
      <c r="EE93" s="378">
        <f>EE92/EE$69</f>
        <v>4.7006727412075282E-2</v>
      </c>
      <c r="EG93" s="377" t="s">
        <v>6</v>
      </c>
      <c r="EH93" s="378">
        <f>EH92/EH$69</f>
        <v>4.6726615681990082E-2</v>
      </c>
      <c r="EI93" s="378">
        <f>EI92/EI$69</f>
        <v>4.7174571140262363E-2</v>
      </c>
      <c r="EJ93" s="378">
        <f>EJ92/EJ$69</f>
        <v>4.74498858157828E-2</v>
      </c>
      <c r="EK93" s="378">
        <f>EK92/EK$69</f>
        <v>4.8145627764545763E-2</v>
      </c>
      <c r="EL93" s="378">
        <f>EL92/EL$69</f>
        <v>4.8145627764545763E-2</v>
      </c>
      <c r="EN93" s="377" t="s">
        <v>6</v>
      </c>
      <c r="EO93" s="378">
        <f>EO92/EO$69</f>
        <v>4.8433775961865849E-2</v>
      </c>
      <c r="EP93" s="378">
        <f>EP92/EP$69</f>
        <v>4.8284625158831002E-2</v>
      </c>
      <c r="EQ93" s="378">
        <f>EQ92/EQ$69</f>
        <v>4.7691015952980691E-2</v>
      </c>
      <c r="ER93" s="378">
        <f>ER92/ER$69</f>
        <v>4.6608061038314809E-2</v>
      </c>
      <c r="ES93" s="378">
        <f>ES92/ES$69</f>
        <v>4.6608061038314809E-2</v>
      </c>
      <c r="EU93" s="377" t="s">
        <v>6</v>
      </c>
      <c r="EV93" s="378">
        <f>EV92/EV$69</f>
        <v>4.5822324966974901E-2</v>
      </c>
      <c r="EW93" s="378">
        <f>EW92/EW$69</f>
        <v>4.4762757385854966E-2</v>
      </c>
      <c r="EX93" s="378">
        <f>EX92/EX$69</f>
        <v>4.4048285234631064E-2</v>
      </c>
      <c r="EY93" s="378">
        <f>EY92/EY$69</f>
        <v>4.3018391348962036E-2</v>
      </c>
      <c r="EZ93" s="378">
        <f>EZ92/EZ$69</f>
        <v>4.3018391348962036E-2</v>
      </c>
      <c r="FB93" s="377" t="s">
        <v>6</v>
      </c>
      <c r="FC93" s="378">
        <f>FC92/FC$69</f>
        <v>4.2494481236203092E-2</v>
      </c>
      <c r="FD93" s="378">
        <f>FD92/FD$69</f>
        <v>4.3026231605886117E-2</v>
      </c>
      <c r="FE93" s="378">
        <f>FE92/FE$69</f>
        <v>4.3937162493863521E-2</v>
      </c>
      <c r="FF93" s="378">
        <f>FF92/FF$69</f>
        <v>4.6058758784184237E-2</v>
      </c>
      <c r="FG93" s="378">
        <f>FG92/FG$69</f>
        <v>4.6058758784184237E-2</v>
      </c>
      <c r="FI93" s="377" t="s">
        <v>6</v>
      </c>
      <c r="FJ93" s="378">
        <f>FJ92/FJ$69</f>
        <v>4.8500263111734783E-2</v>
      </c>
      <c r="FK93" s="378">
        <f>FK92/FK$69</f>
        <v>5.0715450099619634E-2</v>
      </c>
      <c r="FL93" s="378">
        <f>FL92/FL$69</f>
        <v>5.206695644132063E-2</v>
      </c>
      <c r="FM93" s="378">
        <f>FM92/FM$69</f>
        <v>5.2308248260908845E-2</v>
      </c>
      <c r="FN93" s="378">
        <f>FN92/FN$69</f>
        <v>5.2308248260908845E-2</v>
      </c>
      <c r="FP93" s="377" t="s">
        <v>6</v>
      </c>
      <c r="FQ93" s="378">
        <f>FQ92/FQ$69</f>
        <v>5.061837455830389E-2</v>
      </c>
      <c r="FR93" s="378">
        <f>FR92/FR$69</f>
        <v>4.9268334920772358E-2</v>
      </c>
      <c r="FS93" s="378">
        <f>FS92/FS$69</f>
        <v>4.8523571058539113E-2</v>
      </c>
      <c r="FT93" s="378">
        <f>FT92/FT$69</f>
        <v>4.7861150070126229E-2</v>
      </c>
      <c r="FU93" s="378">
        <f>FU92/FU$69</f>
        <v>4.7861150070126229E-2</v>
      </c>
      <c r="FW93" s="377" t="s">
        <v>6</v>
      </c>
      <c r="FX93" s="378">
        <f>FX92/FX$69</f>
        <v>4.8883048620236534E-2</v>
      </c>
      <c r="FY93" s="378">
        <f>FY92/FY$69</f>
        <v>4.9896408839779006E-2</v>
      </c>
      <c r="FZ93" s="378">
        <f>FZ92/FZ$69</f>
        <v>5.0793650793650794E-2</v>
      </c>
      <c r="GA93" s="378">
        <f>GA92/GA$69</f>
        <v>5.2163265306122447E-2</v>
      </c>
      <c r="GB93" s="378">
        <f>GB92/GB$69</f>
        <v>5.2163265306122447E-2</v>
      </c>
      <c r="GD93" s="377" t="s">
        <v>6</v>
      </c>
      <c r="GE93" s="378">
        <f>GE92/GE$69</f>
        <v>5.3927504641963352E-2</v>
      </c>
      <c r="GF93" s="378">
        <f>GF92/GF$69</f>
        <v>5.6293536368054432E-2</v>
      </c>
      <c r="GG93" s="378">
        <f>GG92/GG$69</f>
        <v>5.8958589585895858E-2</v>
      </c>
      <c r="GH93" s="378">
        <f>GH92/GH$69</f>
        <v>6.1740805897629217E-2</v>
      </c>
      <c r="GI93" s="378">
        <f>GI92/GI$69</f>
        <v>6.1740805897629217E-2</v>
      </c>
      <c r="GK93" s="377" t="s">
        <v>6</v>
      </c>
      <c r="GL93" s="378">
        <f>GL92/GL$69</f>
        <v>6.3333050343832242E-2</v>
      </c>
      <c r="GM93" s="378">
        <f>GM92/GM$69</f>
        <v>6.8622983687232297E-2</v>
      </c>
      <c r="GN93" s="378">
        <f>GN92/GN$69</f>
        <v>7.0844686648501368E-2</v>
      </c>
      <c r="GO93" s="378">
        <f>GO92/GO$69</f>
        <v>7.1246338467353301E-2</v>
      </c>
      <c r="GP93" s="378">
        <f>GP92/GP$69</f>
        <v>7.1246338467353301E-2</v>
      </c>
      <c r="GR93" s="377" t="s">
        <v>6</v>
      </c>
      <c r="GS93" s="378">
        <f>GS92/GS$69</f>
        <v>7.1245612370742811E-2</v>
      </c>
      <c r="GT93" s="378">
        <f>GT92/GT$69</f>
        <v>6.5714792479602699E-2</v>
      </c>
      <c r="GU93" s="378">
        <f>GU92/GU$69</f>
        <v>6.1325503355704698E-2</v>
      </c>
      <c r="GV93" s="378">
        <f>GV92/GV$69</f>
        <v>5.765852100303466E-2</v>
      </c>
      <c r="GW93" s="378">
        <f>GW92/GW$69</f>
        <v>5.765852100303466E-2</v>
      </c>
      <c r="GY93" s="377" t="s">
        <v>6</v>
      </c>
      <c r="GZ93" s="378">
        <f>GZ92/GZ$69</f>
        <v>5.464106081390032E-2</v>
      </c>
      <c r="HA93" s="378">
        <f>HA92/HA$69</f>
        <v>5.069190506919051E-2</v>
      </c>
      <c r="HB93" s="378">
        <f>HB92/HB$69</f>
        <v>4.9690721649484536E-2</v>
      </c>
      <c r="HC93" s="378">
        <f>HC92/HC$69</f>
        <v>4.9956237797078029E-2</v>
      </c>
      <c r="HD93" s="378">
        <f>HD92/HD$69</f>
        <v>4.9956237797078029E-2</v>
      </c>
      <c r="HF93" s="377" t="s">
        <v>6</v>
      </c>
      <c r="HG93" s="378">
        <f>HG92/HG$69</f>
        <v>5.0442361019411068E-2</v>
      </c>
      <c r="HH93" s="378">
        <f>HH92/HH$69</f>
        <v>5.2827677977378577E-2</v>
      </c>
      <c r="HI93" s="378">
        <f>HI92/HI$69</f>
        <v>5.4667845243761476E-2</v>
      </c>
      <c r="HJ93" s="378">
        <f>HJ92/HJ$69</f>
        <v>5.5195469741420485E-2</v>
      </c>
      <c r="HK93" s="378">
        <f>HK92/HK$69</f>
        <v>5.5195469741420485E-2</v>
      </c>
      <c r="HM93" s="377" t="s">
        <v>6</v>
      </c>
      <c r="HN93" s="378">
        <f>HN92/HN$69</f>
        <v>5.5904866047020232E-2</v>
      </c>
      <c r="HO93" s="378">
        <f>HO92/HO$69</f>
        <v>5.6443897772311055E-2</v>
      </c>
      <c r="HP93" s="378">
        <f>HP92/HP$69</f>
        <v>5.6467543082896261E-2</v>
      </c>
      <c r="HQ93" s="378">
        <f>HQ92/HQ$69</f>
        <v>5.7221458046767537E-2</v>
      </c>
      <c r="HR93" s="378">
        <f>HR92/HR$69</f>
        <v>5.7221458046767537E-2</v>
      </c>
      <c r="HT93" s="377" t="s">
        <v>6</v>
      </c>
      <c r="HU93" s="378">
        <f>HU92/HU$69</f>
        <v>5.8185128133314661E-2</v>
      </c>
      <c r="HV93" s="378">
        <f>HV92/HV$69</f>
        <v>5.8919109855174852E-2</v>
      </c>
      <c r="HW93" s="378">
        <f>HW92/HW$69</f>
        <v>5.9335835162500884E-2</v>
      </c>
      <c r="HX93" s="378">
        <f>HX92/HX$69</f>
        <v>5.989213738291229E-2</v>
      </c>
      <c r="HY93" s="378">
        <f>HY92/HY$69</f>
        <v>5.989213738291229E-2</v>
      </c>
      <c r="IA93" s="377" t="s">
        <v>6</v>
      </c>
      <c r="IB93" s="378">
        <f>IB92/IB$69</f>
        <v>5.9731840448745223E-2</v>
      </c>
      <c r="IC93" s="378">
        <f>IC92/IC$69</f>
        <v>5.9259959302923479E-2</v>
      </c>
      <c r="ID93" s="378">
        <f>ID92/ID$69</f>
        <v>5.8705782795662326E-2</v>
      </c>
      <c r="IE93" s="378">
        <f>IE92/IE$69</f>
        <v>5.7675874970231342E-2</v>
      </c>
      <c r="IF93" s="378">
        <f>IF92/IF$69</f>
        <v>5.7675874970231356E-2</v>
      </c>
      <c r="IH93" s="377" t="s">
        <v>6</v>
      </c>
      <c r="II93" s="378">
        <f>II92/II$69</f>
        <v>5.7290125183839288E-2</v>
      </c>
      <c r="IJ93" s="378">
        <f>IJ92/IJ$69</f>
        <v>5.68914266503939E-2</v>
      </c>
      <c r="IK93" s="378">
        <f>IK92/IK$69</f>
        <v>5.6505634442504608E-2</v>
      </c>
      <c r="IL93" s="378">
        <f>IL92/IL$69</f>
        <v>5.6123133088822212E-2</v>
      </c>
      <c r="IM93" s="378">
        <f>IM92/IM$69</f>
        <v>5.6123133088822212E-2</v>
      </c>
      <c r="IO93" s="377" t="s">
        <v>6</v>
      </c>
      <c r="IP93" s="378">
        <f>IP92/IP$69</f>
        <v>5.5332352284367184E-2</v>
      </c>
      <c r="IQ93" s="378">
        <f>IQ92/IQ$69</f>
        <v>5.4538641489510951E-2</v>
      </c>
      <c r="IR93" s="378">
        <f>IR92/IR$69</f>
        <v>5.3755784162108813E-2</v>
      </c>
      <c r="IS93" s="378">
        <f>IS92/IS$69</f>
        <v>5.3001401911161546E-2</v>
      </c>
      <c r="IT93" s="378">
        <f>IT92/IT$69</f>
        <v>5.3001401911161539E-2</v>
      </c>
    </row>
    <row r="94" spans="1:254" x14ac:dyDescent="0.4">
      <c r="B94" s="385"/>
      <c r="C94" s="386"/>
      <c r="D94" s="386"/>
      <c r="E94" s="386"/>
      <c r="F94" s="386"/>
      <c r="G94" s="386"/>
      <c r="H94" s="386"/>
      <c r="I94" s="386"/>
      <c r="J94" s="386"/>
      <c r="K94" s="386"/>
      <c r="L94" s="386"/>
      <c r="M94" s="386"/>
      <c r="N94" s="386"/>
      <c r="O94" s="386"/>
      <c r="P94" s="386"/>
      <c r="Q94" s="386"/>
      <c r="R94" s="386"/>
      <c r="S94" s="386"/>
      <c r="T94" s="386"/>
      <c r="U94" s="386"/>
      <c r="V94" s="386"/>
      <c r="W94" s="386"/>
      <c r="X94" s="386"/>
      <c r="Y94" s="386"/>
      <c r="Z94" s="386"/>
      <c r="AA94" s="386"/>
      <c r="AB94" s="378"/>
      <c r="AC94" s="378"/>
      <c r="AD94" s="378"/>
      <c r="AE94" s="378"/>
      <c r="AF94" s="378"/>
      <c r="AG94" s="379"/>
      <c r="AH94" s="379"/>
      <c r="AI94" s="379"/>
      <c r="AJ94" s="379"/>
      <c r="AK94" s="379"/>
      <c r="AL94" s="379"/>
      <c r="AM94" s="379"/>
      <c r="AN94" s="379"/>
      <c r="AO94" s="379"/>
      <c r="AP94" s="379"/>
      <c r="AQ94" s="379"/>
      <c r="AR94" s="379"/>
      <c r="AT94" s="385"/>
      <c r="AU94" s="386"/>
      <c r="AV94" s="386"/>
      <c r="AW94" s="386"/>
      <c r="AX94" s="386"/>
      <c r="AY94" s="386"/>
      <c r="BA94" s="385"/>
      <c r="BB94" s="386"/>
      <c r="BC94" s="386"/>
      <c r="BD94" s="386"/>
      <c r="BE94" s="386"/>
      <c r="BF94" s="386"/>
      <c r="BH94" s="385"/>
      <c r="BI94" s="386"/>
      <c r="BJ94" s="386"/>
      <c r="BK94" s="386"/>
      <c r="BL94" s="386"/>
      <c r="BM94" s="386"/>
      <c r="BO94" s="385"/>
      <c r="BP94" s="386"/>
      <c r="BQ94" s="386"/>
      <c r="BR94" s="386"/>
      <c r="BS94" s="386"/>
      <c r="BT94" s="386"/>
      <c r="BV94" s="385"/>
      <c r="BW94" s="386"/>
      <c r="BX94" s="386"/>
      <c r="BY94" s="386"/>
      <c r="BZ94" s="386"/>
      <c r="CA94" s="386"/>
      <c r="CC94" s="385"/>
      <c r="CD94" s="386"/>
      <c r="CE94" s="386"/>
      <c r="CF94" s="386"/>
      <c r="CG94" s="386"/>
      <c r="CH94" s="386"/>
      <c r="CJ94" s="385"/>
      <c r="CK94" s="386"/>
      <c r="CL94" s="386"/>
      <c r="CM94" s="386"/>
      <c r="CN94" s="386"/>
      <c r="CO94" s="386"/>
      <c r="CQ94" s="385"/>
      <c r="CR94" s="386"/>
      <c r="CS94" s="386"/>
      <c r="CT94" s="386"/>
      <c r="CU94" s="386"/>
      <c r="CV94" s="386"/>
      <c r="CX94" s="385"/>
      <c r="CY94" s="386"/>
      <c r="CZ94" s="386"/>
      <c r="DA94" s="386"/>
      <c r="DB94" s="386"/>
      <c r="DC94" s="386"/>
      <c r="DE94" s="385"/>
      <c r="DF94" s="386"/>
      <c r="DG94" s="386"/>
      <c r="DH94" s="386"/>
      <c r="DI94" s="386"/>
      <c r="DJ94" s="386"/>
      <c r="DL94" s="385"/>
      <c r="DM94" s="386"/>
      <c r="DN94" s="386"/>
      <c r="DO94" s="386"/>
      <c r="DP94" s="386"/>
      <c r="DQ94" s="386"/>
      <c r="DS94" s="385"/>
      <c r="DT94" s="386"/>
      <c r="DU94" s="386"/>
      <c r="DV94" s="386"/>
      <c r="DW94" s="386"/>
      <c r="DX94" s="386"/>
      <c r="DZ94" s="385"/>
      <c r="EA94" s="386"/>
      <c r="EB94" s="386"/>
      <c r="EC94" s="386"/>
      <c r="ED94" s="386"/>
      <c r="EE94" s="386"/>
      <c r="EG94" s="385"/>
      <c r="EH94" s="386"/>
      <c r="EI94" s="386"/>
      <c r="EJ94" s="386"/>
      <c r="EK94" s="386"/>
      <c r="EL94" s="386"/>
      <c r="EN94" s="385"/>
      <c r="EO94" s="386"/>
      <c r="EP94" s="386"/>
      <c r="EQ94" s="386"/>
      <c r="ER94" s="386"/>
      <c r="ES94" s="386"/>
      <c r="EU94" s="385"/>
      <c r="EV94" s="386"/>
      <c r="EW94" s="386"/>
      <c r="EX94" s="386"/>
      <c r="EY94" s="386"/>
      <c r="EZ94" s="386"/>
      <c r="FB94" s="385"/>
      <c r="FC94" s="386"/>
      <c r="FD94" s="386"/>
      <c r="FE94" s="386"/>
      <c r="FF94" s="386"/>
      <c r="FG94" s="386"/>
      <c r="FI94" s="385"/>
      <c r="FJ94" s="386"/>
      <c r="FK94" s="386"/>
      <c r="FL94" s="386"/>
      <c r="FM94" s="386"/>
      <c r="FN94" s="386"/>
      <c r="FP94" s="385"/>
      <c r="FQ94" s="386"/>
      <c r="FR94" s="386"/>
      <c r="FS94" s="386"/>
      <c r="FT94" s="386"/>
      <c r="FU94" s="386"/>
      <c r="FW94" s="385"/>
      <c r="FX94" s="386"/>
      <c r="FY94" s="386"/>
      <c r="FZ94" s="386"/>
      <c r="GA94" s="386"/>
      <c r="GB94" s="386"/>
      <c r="GD94" s="385"/>
      <c r="GE94" s="386"/>
      <c r="GF94" s="386"/>
      <c r="GG94" s="386"/>
      <c r="GH94" s="386"/>
      <c r="GI94" s="386"/>
      <c r="GK94" s="385"/>
      <c r="GL94" s="386"/>
      <c r="GM94" s="386"/>
      <c r="GN94" s="386"/>
      <c r="GO94" s="386"/>
      <c r="GP94" s="386"/>
      <c r="GR94" s="385"/>
      <c r="GS94" s="386"/>
      <c r="GT94" s="386"/>
      <c r="GU94" s="386"/>
      <c r="GV94" s="386"/>
      <c r="GW94" s="386"/>
      <c r="GY94" s="385"/>
      <c r="GZ94" s="386"/>
      <c r="HA94" s="386"/>
      <c r="HB94" s="386"/>
      <c r="HC94" s="386"/>
      <c r="HD94" s="386"/>
      <c r="HF94" s="385"/>
      <c r="HG94" s="386"/>
      <c r="HH94" s="386"/>
      <c r="HI94" s="386"/>
      <c r="HJ94" s="386"/>
      <c r="HK94" s="386"/>
      <c r="HM94" s="385"/>
      <c r="HN94" s="386"/>
      <c r="HO94" s="386"/>
      <c r="HP94" s="386"/>
      <c r="HQ94" s="386"/>
      <c r="HR94" s="386"/>
      <c r="HT94" s="385"/>
      <c r="HU94" s="386"/>
      <c r="HV94" s="386"/>
      <c r="HW94" s="386"/>
      <c r="HX94" s="386"/>
      <c r="HY94" s="378"/>
      <c r="IA94" s="385"/>
      <c r="IB94" s="386"/>
      <c r="IC94" s="386"/>
      <c r="ID94" s="386"/>
      <c r="IE94" s="386"/>
      <c r="IF94" s="378"/>
      <c r="IH94" s="385"/>
      <c r="II94" s="386"/>
      <c r="IJ94" s="386"/>
      <c r="IK94" s="386"/>
      <c r="IL94" s="386"/>
      <c r="IM94" s="378"/>
      <c r="IO94" s="385"/>
      <c r="IP94" s="386"/>
      <c r="IQ94" s="386"/>
      <c r="IR94" s="386"/>
      <c r="IS94" s="386"/>
      <c r="IT94" s="378"/>
    </row>
    <row r="95" spans="1:254" x14ac:dyDescent="0.4">
      <c r="B95" s="318" t="s">
        <v>213</v>
      </c>
      <c r="C95" s="319">
        <f>AY95</f>
        <v>0</v>
      </c>
      <c r="D95" s="319">
        <f>BF95</f>
        <v>0</v>
      </c>
      <c r="E95" s="319">
        <f>BM95</f>
        <v>0</v>
      </c>
      <c r="F95" s="319">
        <f>BT95</f>
        <v>0</v>
      </c>
      <c r="G95" s="319">
        <f>CA95</f>
        <v>0</v>
      </c>
      <c r="H95" s="319">
        <f>CH95</f>
        <v>0</v>
      </c>
      <c r="I95" s="319">
        <f>CO95</f>
        <v>449.50997799999999</v>
      </c>
      <c r="J95" s="319">
        <f>CV95</f>
        <v>604.85</v>
      </c>
      <c r="K95" s="319">
        <f>DC95</f>
        <v>694.12</v>
      </c>
      <c r="L95" s="319">
        <f>DJ95</f>
        <v>858.2</v>
      </c>
      <c r="M95" s="319">
        <f>DQ95</f>
        <v>635</v>
      </c>
      <c r="N95" s="319">
        <f>DX95</f>
        <v>988</v>
      </c>
      <c r="O95" s="319">
        <f>EE95</f>
        <v>1095</v>
      </c>
      <c r="P95" s="319">
        <f>EL95</f>
        <v>1092.3399999999999</v>
      </c>
      <c r="Q95" s="319">
        <f>ES95</f>
        <v>1099</v>
      </c>
      <c r="R95" s="319">
        <f>EZ95</f>
        <v>1117</v>
      </c>
      <c r="S95" s="319">
        <f>FG95</f>
        <v>1170</v>
      </c>
      <c r="T95" s="319">
        <f>FN95</f>
        <v>1071.8499999999999</v>
      </c>
      <c r="U95" s="319">
        <f>FU95</f>
        <v>1228</v>
      </c>
      <c r="V95" s="319">
        <f>GB95</f>
        <v>995</v>
      </c>
      <c r="W95" s="319">
        <f>GI95</f>
        <v>985</v>
      </c>
      <c r="X95" s="319">
        <f>GP95</f>
        <v>862</v>
      </c>
      <c r="Y95" s="319">
        <f>GW95</f>
        <v>1088.56783</v>
      </c>
      <c r="Z95" s="319">
        <f>HD95</f>
        <v>1218.2439024390244</v>
      </c>
      <c r="AA95" s="319">
        <f>HK95</f>
        <v>1161</v>
      </c>
      <c r="AB95" s="130">
        <f>HR95</f>
        <v>1111</v>
      </c>
      <c r="AC95" s="130">
        <f>HY95</f>
        <v>939.35434782608695</v>
      </c>
      <c r="AD95" s="130">
        <f>IF95</f>
        <v>1065.2017335687344</v>
      </c>
      <c r="AE95" s="130">
        <f>IM95</f>
        <v>1208.487372310733</v>
      </c>
      <c r="AF95" s="130">
        <f>IT95</f>
        <v>1337.7990506332694</v>
      </c>
      <c r="AG95" s="376"/>
      <c r="AH95" s="376"/>
      <c r="AI95" s="376"/>
      <c r="AJ95" s="376"/>
      <c r="AK95" s="376"/>
      <c r="AL95" s="376"/>
      <c r="AM95" s="376"/>
      <c r="AN95" s="376"/>
      <c r="AO95" s="376"/>
      <c r="AP95" s="376"/>
      <c r="AQ95" s="376"/>
      <c r="AR95" s="376"/>
      <c r="AT95" s="318" t="s">
        <v>213</v>
      </c>
      <c r="AU95" s="319"/>
      <c r="AV95" s="319"/>
      <c r="AW95" s="319"/>
      <c r="AX95" s="319"/>
      <c r="AY95" s="319"/>
      <c r="BA95" s="318" t="s">
        <v>213</v>
      </c>
      <c r="BB95" s="319"/>
      <c r="BC95" s="319"/>
      <c r="BD95" s="319"/>
      <c r="BE95" s="319"/>
      <c r="BF95" s="319"/>
      <c r="BH95" s="318" t="s">
        <v>213</v>
      </c>
      <c r="BI95" s="319"/>
      <c r="BJ95" s="319"/>
      <c r="BK95" s="319"/>
      <c r="BL95" s="319"/>
      <c r="BM95" s="319"/>
      <c r="BO95" s="318" t="s">
        <v>213</v>
      </c>
      <c r="BP95" s="319"/>
      <c r="BQ95" s="319"/>
      <c r="BR95" s="319"/>
      <c r="BS95" s="319"/>
      <c r="BT95" s="319"/>
      <c r="BV95" s="318" t="s">
        <v>213</v>
      </c>
      <c r="BW95" s="319"/>
      <c r="BX95" s="319"/>
      <c r="BY95" s="319"/>
      <c r="BZ95" s="319"/>
      <c r="CA95" s="319"/>
      <c r="CC95" s="318" t="s">
        <v>213</v>
      </c>
      <c r="CD95" s="319"/>
      <c r="CE95" s="319"/>
      <c r="CF95" s="319"/>
      <c r="CG95" s="319"/>
      <c r="CH95" s="319"/>
      <c r="CJ95" s="318" t="s">
        <v>213</v>
      </c>
      <c r="CK95" s="319" t="s">
        <v>80</v>
      </c>
      <c r="CL95" s="319" t="s">
        <v>80</v>
      </c>
      <c r="CM95" s="319" t="s">
        <v>80</v>
      </c>
      <c r="CN95" s="319" t="s">
        <v>80</v>
      </c>
      <c r="CO95" s="319">
        <f>-CSX!GD46</f>
        <v>449.50997799999999</v>
      </c>
      <c r="CQ95" s="318" t="s">
        <v>213</v>
      </c>
      <c r="CR95" s="319">
        <f>-SUM(CSX!GG46,CSX!GA46:GC46)</f>
        <v>515.50997800000005</v>
      </c>
      <c r="CS95" s="319">
        <f>-SUM(CSX!GG46:GH46,CSX!GB46:GC46)</f>
        <v>550</v>
      </c>
      <c r="CT95" s="319">
        <f>-SUM(CSX!GG46:GI46,CSX!GC46)</f>
        <v>602.29999999999995</v>
      </c>
      <c r="CU95" s="319">
        <f>-SUM(CSX!GG46:GJ46)</f>
        <v>604.85</v>
      </c>
      <c r="CV95" s="319">
        <f>-CSX!GK46</f>
        <v>604.85</v>
      </c>
      <c r="CX95" s="318" t="s">
        <v>213</v>
      </c>
      <c r="CY95" s="319">
        <f>-SUM(CSX!GN46,CSX!GH46:GJ46)</f>
        <v>583.85</v>
      </c>
      <c r="CZ95" s="319">
        <f>-SUM(CSX!GN46:GO46,CSX!GI46:GJ46)</f>
        <v>611.85</v>
      </c>
      <c r="DA95" s="319">
        <f>-SUM(CSX!GN46:GP46,CSX!GJ46)</f>
        <v>632.54999999999995</v>
      </c>
      <c r="DB95" s="319">
        <f>-SUM(CSX!GN46:GQ46)</f>
        <v>694.12</v>
      </c>
      <c r="DC95" s="319">
        <f>-CSX!GR46</f>
        <v>694.12</v>
      </c>
      <c r="DE95" s="318" t="s">
        <v>213</v>
      </c>
      <c r="DF95" s="319">
        <f>-SUM(CSX!GU46,CSX!GO46:GQ46)</f>
        <v>764.12</v>
      </c>
      <c r="DG95" s="319">
        <f>-SUM(CSX!GU46:GV46,CSX!GP46:GQ46)</f>
        <v>796.72</v>
      </c>
      <c r="DH95" s="319">
        <f>-SUM(CSX!GU46:GW46,CSX!GQ46)</f>
        <v>851.72</v>
      </c>
      <c r="DI95" s="319">
        <f>-SUM(CSX!GU46:GX46)</f>
        <v>858.2</v>
      </c>
      <c r="DJ95" s="319">
        <f>-CSX!GY46</f>
        <v>858.2</v>
      </c>
      <c r="DL95" s="318" t="s">
        <v>213</v>
      </c>
      <c r="DM95" s="319">
        <f>-SUM(CSX!HB46,CSX!GV46:GX46)</f>
        <v>785.2</v>
      </c>
      <c r="DN95" s="319">
        <f>-SUM(CSX!HB46:HC46,CSX!GW46:GX46)</f>
        <v>730.6</v>
      </c>
      <c r="DO95" s="319">
        <f>-SUM(CSX!HB46:HD46,CSX!GX46)</f>
        <v>673.6</v>
      </c>
      <c r="DP95" s="319">
        <f>-SUM(CSX!HB46:HE46)</f>
        <v>635</v>
      </c>
      <c r="DQ95" s="319">
        <f>-CSX!HF46</f>
        <v>635</v>
      </c>
      <c r="DS95" s="318" t="s">
        <v>213</v>
      </c>
      <c r="DT95" s="319">
        <f>-SUM(CSX!HI46,CSX!HC46:HE46)</f>
        <v>706</v>
      </c>
      <c r="DU95" s="319">
        <f>-SUM(CSX!HI46:HJ46,CSX!HD46:HE46)</f>
        <v>792</v>
      </c>
      <c r="DV95" s="319">
        <f>-SUM(CSX!HI46:HK46,CSX!HE46)</f>
        <v>887</v>
      </c>
      <c r="DW95" s="319">
        <f>-SUM(CSX!HI46:HL46)</f>
        <v>988</v>
      </c>
      <c r="DX95" s="319">
        <f>-CSX!HM46</f>
        <v>988</v>
      </c>
      <c r="DZ95" s="318" t="s">
        <v>213</v>
      </c>
      <c r="EA95" s="319">
        <f>-SUM(CSX!HP46,CSX!HJ46:HL46)</f>
        <v>1034</v>
      </c>
      <c r="EB95" s="319">
        <f>-SUM(CSX!HP46:HQ46,CSX!HK46:HL46)</f>
        <v>1080</v>
      </c>
      <c r="EC95" s="319">
        <f>-SUM(CSX!HP46:HR46,CSX!HL46)</f>
        <v>1096</v>
      </c>
      <c r="ED95" s="319">
        <f>-SUM(CSX!HP46:HS46)</f>
        <v>1095</v>
      </c>
      <c r="EE95" s="319">
        <f>-CSX!HT46</f>
        <v>1095</v>
      </c>
      <c r="EG95" s="318" t="s">
        <v>213</v>
      </c>
      <c r="EH95" s="319">
        <f>-SUM(CSX!HW46,CSX!HQ46:HS46)</f>
        <v>1119</v>
      </c>
      <c r="EI95" s="319">
        <f>-SUM(CSX!HW46:HX46,CSX!HR46:HS46)</f>
        <v>1125</v>
      </c>
      <c r="EJ95" s="319">
        <f>-SUM(CSX!HW46:HY46,CSX!HS46)</f>
        <v>1109</v>
      </c>
      <c r="EK95" s="319">
        <f>-SUM(CSX!HW46:HZ46)</f>
        <v>1092.3399999999999</v>
      </c>
      <c r="EL95" s="319">
        <f>-CSX!IA46</f>
        <v>1092.3399999999999</v>
      </c>
      <c r="EN95" s="318" t="s">
        <v>213</v>
      </c>
      <c r="EO95" s="319">
        <f>-SUM(CSX!ID46,CSX!HX46:HZ46)</f>
        <v>1091.3399999999999</v>
      </c>
      <c r="EP95" s="319">
        <f>-SUM(CSX!ID46:IE46,CSX!HY46:HZ46)</f>
        <v>1099.3399999999999</v>
      </c>
      <c r="EQ95" s="319">
        <f>-SUM(CSX!ID46:IF46,CSX!HZ46)</f>
        <v>1104.3399999999999</v>
      </c>
      <c r="ER95" s="319">
        <f>-SUM(CSX!ID46:IG46)</f>
        <v>1099</v>
      </c>
      <c r="ES95" s="319">
        <f>-CSX!IH46</f>
        <v>1099</v>
      </c>
      <c r="EU95" s="318" t="s">
        <v>213</v>
      </c>
      <c r="EV95" s="319">
        <f>-SUM(CSX!IK46,CSX!IE46:IG46)</f>
        <v>1041</v>
      </c>
      <c r="EW95" s="319">
        <f>-SUM(CSX!IK46:IL46,CSX!IF46:IG46)</f>
        <v>1048</v>
      </c>
      <c r="EX95" s="319">
        <f>-SUM(CSX!IK46:IM46,CSX!IG46)</f>
        <v>1081</v>
      </c>
      <c r="EY95" s="319">
        <f>-SUM(CSX!IK46:IN46)</f>
        <v>1117</v>
      </c>
      <c r="EZ95" s="319">
        <f>-CSX!IO46</f>
        <v>1117</v>
      </c>
      <c r="FB95" s="318" t="s">
        <v>213</v>
      </c>
      <c r="FC95" s="319">
        <f>-SUM(CSX!IR46,CSX!IL46:IN46)</f>
        <v>1178</v>
      </c>
      <c r="FD95" s="319">
        <f>-SUM(CSX!IR46:IS46,CSX!IM46:IN46)</f>
        <v>1191</v>
      </c>
      <c r="FE95" s="319">
        <f>-SUM(CSX!IR46:IT46,CSX!IN46)</f>
        <v>1179</v>
      </c>
      <c r="FF95" s="319">
        <f>-SUM(CSX!IR46:IU46)</f>
        <v>1170</v>
      </c>
      <c r="FG95" s="319">
        <f>-CSX!IV46</f>
        <v>1170</v>
      </c>
      <c r="FI95" s="318" t="s">
        <v>213</v>
      </c>
      <c r="FJ95" s="319">
        <f>-SUM(CSX!IY46,CSX!IS46:IU46)</f>
        <v>1113</v>
      </c>
      <c r="FK95" s="319">
        <f>-SUM(CSX!IY46:IZ46,CSX!IT46:IU46)</f>
        <v>1041</v>
      </c>
      <c r="FL95" s="319">
        <f>-SUM(CSX!IY46:JA46,CSX!IU46)</f>
        <v>1009</v>
      </c>
      <c r="FM95" s="319">
        <f>-SUM(CSX!IY46:JB46)</f>
        <v>1071.8499999999999</v>
      </c>
      <c r="FN95" s="319">
        <f>-CSX!JC46</f>
        <v>1071.8499999999999</v>
      </c>
      <c r="FP95" s="318" t="s">
        <v>213</v>
      </c>
      <c r="FQ95" s="319">
        <f>-SUM(CSX!JF46,CSX!IZ46:JB46)</f>
        <v>1144.8499999999999</v>
      </c>
      <c r="FR95" s="319">
        <f>-SUM(CSX!JF46:JG46,CSX!JA46:JB46)</f>
        <v>1240.8499999999999</v>
      </c>
      <c r="FS95" s="319">
        <f>-SUM(CSX!JF46:JH46,CSX!JB46)</f>
        <v>1268.8499999999999</v>
      </c>
      <c r="FT95" s="319">
        <f>-SUM(CSX!JF46:JI46)</f>
        <v>1228</v>
      </c>
      <c r="FU95" s="319">
        <f>-CSX!JJ46</f>
        <v>1228</v>
      </c>
      <c r="FW95" s="318" t="s">
        <v>213</v>
      </c>
      <c r="FX95" s="319">
        <f>-SUM(CSX!JM46,CSX!JG46:JI46)</f>
        <v>1160</v>
      </c>
      <c r="FY95" s="319">
        <f>-SUM(CSX!JM46:JN46,CSX!JH46:JI46)</f>
        <v>1069</v>
      </c>
      <c r="FZ95" s="319">
        <f>-SUM(CSX!JM46:JO46,CSX!JI46)</f>
        <v>1037</v>
      </c>
      <c r="GA95" s="319">
        <f>-SUM(CSX!JM46:JP46)</f>
        <v>995</v>
      </c>
      <c r="GB95" s="319">
        <f>-CSX!JQ46</f>
        <v>995</v>
      </c>
      <c r="GD95" s="318" t="s">
        <v>213</v>
      </c>
      <c r="GE95" s="319">
        <f>-SUM(CSX!JT46,CSX!JN46:JP46)</f>
        <v>1008</v>
      </c>
      <c r="GF95" s="319">
        <f>-SUM(CSX!JT46:JU46,CSX!JO46:JP46)</f>
        <v>1017</v>
      </c>
      <c r="GG95" s="319">
        <f>-SUM(CSX!JT46:JV46,CSX!JP46)</f>
        <v>1030</v>
      </c>
      <c r="GH95" s="319">
        <f>-SUM(CSX!JT46:JW46)</f>
        <v>985</v>
      </c>
      <c r="GI95" s="319">
        <f>-CSX!JX46</f>
        <v>985</v>
      </c>
      <c r="GK95" s="318" t="s">
        <v>213</v>
      </c>
      <c r="GL95" s="319">
        <f>-SUM(CSX!KA46,CSX!JU46:JW46)</f>
        <v>998</v>
      </c>
      <c r="GM95" s="319">
        <f>-SUM(CSX!KA46:KB46,CSX!JV46:JW46)</f>
        <v>875</v>
      </c>
      <c r="GN95" s="319">
        <f>-SUM(CSX!KA46:KC46,CSX!JW46)</f>
        <v>838</v>
      </c>
      <c r="GO95" s="319">
        <f>-SUM(CSX!KA46:KD46)</f>
        <v>862</v>
      </c>
      <c r="GP95" s="319">
        <f>-CSX!KE46</f>
        <v>862</v>
      </c>
      <c r="GR95" s="318" t="s">
        <v>213</v>
      </c>
      <c r="GS95" s="319">
        <f>-SUM(CSX!KH46,CSX!KB46:KD46)</f>
        <v>850</v>
      </c>
      <c r="GT95" s="319">
        <f>-SUM(CSX!KH46:KI46,CSX!KC46:KD46)</f>
        <v>972.56782999999996</v>
      </c>
      <c r="GU95" s="319">
        <f>-SUM(CSX!KH46:KJ46,CSX!KD46)</f>
        <v>1051.56783</v>
      </c>
      <c r="GV95" s="319">
        <f>-SUM(CSX!KH46:KK46)</f>
        <v>1088.56783</v>
      </c>
      <c r="GW95" s="319">
        <f>-CSX!KL46</f>
        <v>1088.56783</v>
      </c>
      <c r="GY95" s="318" t="s">
        <v>213</v>
      </c>
      <c r="GZ95" s="319">
        <f>-SUM(CSX!KO46,CSX!KI46:KK46)</f>
        <v>1127.56783</v>
      </c>
      <c r="HA95" s="319">
        <f>-SUM(CSX!KO46:KP46,CSX!KJ46:KK46)</f>
        <v>1202.2439024390244</v>
      </c>
      <c r="HB95" s="319">
        <f>-SUM(CSX!KO46:KQ46,CSX!KK46)</f>
        <v>1203.2439024390244</v>
      </c>
      <c r="HC95" s="319">
        <f>-SUM(CSX!KO46:KR46)</f>
        <v>1218.2439024390244</v>
      </c>
      <c r="HD95" s="319">
        <f>-CSX!KS46</f>
        <v>1218.2439024390244</v>
      </c>
      <c r="HF95" s="318" t="s">
        <v>213</v>
      </c>
      <c r="HG95" s="319">
        <f>-SUM(CSX!KV46,CSX!KP46:KR46)</f>
        <v>1261.2439024390244</v>
      </c>
      <c r="HH95" s="319">
        <f>-SUM(CSX!KV46:KW46,CSX!KQ46:KR46)</f>
        <v>1223</v>
      </c>
      <c r="HI95" s="319">
        <f>-SUM(CSX!KV46:KX46,CSX!KR46)</f>
        <v>1185</v>
      </c>
      <c r="HJ95" s="319">
        <f>-SUM(CSX!KV46:KY46)</f>
        <v>1161</v>
      </c>
      <c r="HK95" s="319">
        <f>-CSX!KZ46</f>
        <v>1161</v>
      </c>
      <c r="HM95" s="318" t="s">
        <v>213</v>
      </c>
      <c r="HN95" s="319">
        <f>-SUM(CSX!LC46,CSX!KW46:KY46)</f>
        <v>1136</v>
      </c>
      <c r="HO95" s="319">
        <f>-SUM(CSX!LC46:LD46,CSX!KX46:KY46)</f>
        <v>1128</v>
      </c>
      <c r="HP95" s="319">
        <f>-SUM(CSX!LC46:LE46,CSX!KY46)</f>
        <v>1144</v>
      </c>
      <c r="HQ95" s="319">
        <f>-SUM(CSX!LC46:LF46)</f>
        <v>1111</v>
      </c>
      <c r="HR95" s="319">
        <f>-CSX!LG46</f>
        <v>1111</v>
      </c>
      <c r="HT95" s="318" t="s">
        <v>213</v>
      </c>
      <c r="HU95" s="319">
        <f>-SUM(CSX!LJ46,CSX!LD46:LF46)</f>
        <v>1035</v>
      </c>
      <c r="HV95" s="319">
        <f>-SUM(CSX!LJ46:LK46,CSX!LE46:LF46)</f>
        <v>995</v>
      </c>
      <c r="HW95" s="319">
        <f>-SUM(CSX!LJ46:LL46,CSX!LF46)</f>
        <v>957.05</v>
      </c>
      <c r="HX95" s="319">
        <f>-SUM(CSX!LJ46:LM46)</f>
        <v>939.35434782608695</v>
      </c>
      <c r="HY95" s="130">
        <f>-CSX!LN46</f>
        <v>939.35434782608695</v>
      </c>
      <c r="IA95" s="318" t="s">
        <v>213</v>
      </c>
      <c r="IB95" s="319">
        <f>-SUM(CSX!LQ46,CSX!LK46:LM46)</f>
        <v>963.3138039361238</v>
      </c>
      <c r="IC95" s="319">
        <f>-SUM(CSX!LQ46:LR46,CSX!LL46:LM46)</f>
        <v>982.6050855650733</v>
      </c>
      <c r="ID95" s="319">
        <f>-SUM(CSX!LQ46:LS46,CSX!LM46)</f>
        <v>1023.5785170621455</v>
      </c>
      <c r="IE95" s="319">
        <f>-SUM(CSX!LQ46:LT46)</f>
        <v>1065.2017335687344</v>
      </c>
      <c r="IF95" s="130">
        <f>-CSX!LU46</f>
        <v>1065.2017335687344</v>
      </c>
      <c r="IH95" s="318" t="s">
        <v>213</v>
      </c>
      <c r="II95" s="319">
        <f>-SUM(CSX!LX46,CSX!LR46:LT46)</f>
        <v>1094.5605961107419</v>
      </c>
      <c r="IJ95" s="319">
        <f>-SUM(CSX!LX46:LY46,CSX!LS46:LT46)</f>
        <v>1125.1078258367227</v>
      </c>
      <c r="IK95" s="319">
        <f>-SUM(CSX!LX46:LZ46,CSX!LT46)</f>
        <v>1157.3211730279054</v>
      </c>
      <c r="IL95" s="319">
        <f>-SUM(CSX!LX46:MA46)</f>
        <v>1208.487372310733</v>
      </c>
      <c r="IM95" s="130">
        <f>-CSX!MB46</f>
        <v>1208.487372310733</v>
      </c>
      <c r="IO95" s="318" t="s">
        <v>213</v>
      </c>
      <c r="IP95" s="319">
        <f>-SUM(CSX!ME46,CSX!LY46:MA46)</f>
        <v>1239.2068232922998</v>
      </c>
      <c r="IQ95" s="319">
        <f>-SUM(CSX!ME46:MF46,CSX!LZ46:MA46)</f>
        <v>1269.7374117047141</v>
      </c>
      <c r="IR95" s="319">
        <f>-SUM(CSX!ME46:MG46,CSX!MA46)</f>
        <v>1298.53861543424</v>
      </c>
      <c r="IS95" s="319">
        <f>-SUM(CSX!ME46:MH46)</f>
        <v>1337.7990506332694</v>
      </c>
      <c r="IT95" s="130">
        <f>-CSX!MI46</f>
        <v>1337.7990506332694</v>
      </c>
    </row>
    <row r="96" spans="1:254" x14ac:dyDescent="0.4">
      <c r="B96" s="318"/>
      <c r="C96" s="319"/>
      <c r="D96" s="319"/>
      <c r="E96" s="319"/>
      <c r="F96" s="319"/>
      <c r="G96" s="319"/>
      <c r="H96" s="319"/>
      <c r="I96" s="319"/>
      <c r="J96" s="319"/>
      <c r="K96" s="319"/>
      <c r="L96" s="319"/>
      <c r="M96" s="319"/>
      <c r="N96" s="319"/>
      <c r="O96" s="319"/>
      <c r="P96" s="319"/>
      <c r="Q96" s="319"/>
      <c r="R96" s="319"/>
      <c r="S96" s="319"/>
      <c r="T96" s="319"/>
      <c r="U96" s="319"/>
      <c r="V96" s="319"/>
      <c r="W96" s="319"/>
      <c r="X96" s="319"/>
      <c r="Y96" s="319"/>
      <c r="Z96" s="319"/>
      <c r="AA96" s="319"/>
      <c r="AB96" s="130"/>
      <c r="AC96" s="130"/>
      <c r="AD96" s="130"/>
      <c r="AE96" s="130"/>
      <c r="AF96" s="130"/>
      <c r="AG96" s="376"/>
      <c r="AH96" s="376"/>
      <c r="AI96" s="376"/>
      <c r="AJ96" s="376"/>
      <c r="AK96" s="376"/>
      <c r="AL96" s="376"/>
      <c r="AM96" s="376"/>
      <c r="AN96" s="376"/>
      <c r="AO96" s="376"/>
      <c r="AP96" s="376"/>
      <c r="AQ96" s="376"/>
      <c r="AR96" s="376"/>
      <c r="AT96" s="318"/>
      <c r="AU96" s="319"/>
      <c r="AV96" s="319"/>
      <c r="AW96" s="319"/>
      <c r="AX96" s="319"/>
      <c r="AY96" s="319"/>
      <c r="BA96" s="318"/>
      <c r="BB96" s="319"/>
      <c r="BC96" s="319"/>
      <c r="BD96" s="319"/>
      <c r="BE96" s="319"/>
      <c r="BF96" s="319"/>
      <c r="BH96" s="318"/>
      <c r="BI96" s="319"/>
      <c r="BJ96" s="319"/>
      <c r="BK96" s="319"/>
      <c r="BL96" s="319"/>
      <c r="BM96" s="319"/>
      <c r="BO96" s="318"/>
      <c r="BP96" s="319"/>
      <c r="BQ96" s="319"/>
      <c r="BR96" s="319"/>
      <c r="BS96" s="319"/>
      <c r="BT96" s="319"/>
      <c r="BV96" s="318"/>
      <c r="BW96" s="319"/>
      <c r="BX96" s="319"/>
      <c r="BY96" s="319"/>
      <c r="BZ96" s="319"/>
      <c r="CA96" s="319"/>
      <c r="CC96" s="318"/>
      <c r="CD96" s="319"/>
      <c r="CE96" s="319"/>
      <c r="CF96" s="319"/>
      <c r="CG96" s="319"/>
      <c r="CH96" s="319"/>
      <c r="CJ96" s="318"/>
      <c r="CK96" s="319"/>
      <c r="CL96" s="319"/>
      <c r="CM96" s="319"/>
      <c r="CN96" s="319"/>
      <c r="CO96" s="319"/>
      <c r="CQ96" s="318"/>
      <c r="CR96" s="319"/>
      <c r="CS96" s="319"/>
      <c r="CT96" s="319"/>
      <c r="CU96" s="319"/>
      <c r="CV96" s="319"/>
      <c r="CX96" s="318"/>
      <c r="CY96" s="319"/>
      <c r="CZ96" s="319"/>
      <c r="DA96" s="319"/>
      <c r="DB96" s="319"/>
      <c r="DC96" s="319"/>
      <c r="DE96" s="318"/>
      <c r="DF96" s="319"/>
      <c r="DG96" s="319"/>
      <c r="DH96" s="319"/>
      <c r="DI96" s="319"/>
      <c r="DJ96" s="319"/>
      <c r="DL96" s="318"/>
      <c r="DM96" s="319"/>
      <c r="DN96" s="319"/>
      <c r="DO96" s="319"/>
      <c r="DP96" s="319"/>
      <c r="DQ96" s="319"/>
      <c r="DS96" s="318"/>
      <c r="DT96" s="319"/>
      <c r="DU96" s="319"/>
      <c r="DV96" s="319"/>
      <c r="DW96" s="319"/>
      <c r="DX96" s="319"/>
      <c r="DZ96" s="318"/>
      <c r="EA96" s="319"/>
      <c r="EB96" s="319"/>
      <c r="EC96" s="319"/>
      <c r="ED96" s="319"/>
      <c r="EE96" s="319"/>
      <c r="EG96" s="318"/>
      <c r="EH96" s="319"/>
      <c r="EI96" s="319"/>
      <c r="EJ96" s="319"/>
      <c r="EK96" s="319"/>
      <c r="EL96" s="319"/>
      <c r="EN96" s="318"/>
      <c r="EO96" s="319"/>
      <c r="EP96" s="319"/>
      <c r="EQ96" s="319"/>
      <c r="ER96" s="319"/>
      <c r="ES96" s="319"/>
      <c r="EU96" s="318"/>
      <c r="EV96" s="319"/>
      <c r="EW96" s="319"/>
      <c r="EX96" s="319"/>
      <c r="EY96" s="319"/>
      <c r="EZ96" s="319"/>
      <c r="FB96" s="318"/>
      <c r="FC96" s="319"/>
      <c r="FD96" s="319"/>
      <c r="FE96" s="319"/>
      <c r="FF96" s="319"/>
      <c r="FG96" s="319"/>
      <c r="FI96" s="318"/>
      <c r="FJ96" s="319"/>
      <c r="FK96" s="319"/>
      <c r="FL96" s="319"/>
      <c r="FM96" s="319"/>
      <c r="FN96" s="319"/>
      <c r="FP96" s="318"/>
      <c r="FQ96" s="319"/>
      <c r="FR96" s="319"/>
      <c r="FS96" s="319"/>
      <c r="FT96" s="319"/>
      <c r="FU96" s="319"/>
      <c r="FW96" s="318"/>
      <c r="FX96" s="319"/>
      <c r="FY96" s="319"/>
      <c r="FZ96" s="319"/>
      <c r="GA96" s="319"/>
      <c r="GB96" s="319"/>
      <c r="GD96" s="318"/>
      <c r="GE96" s="319"/>
      <c r="GF96" s="319"/>
      <c r="GG96" s="319"/>
      <c r="GH96" s="319"/>
      <c r="GI96" s="319"/>
      <c r="GK96" s="318"/>
      <c r="GL96" s="319"/>
      <c r="GM96" s="319"/>
      <c r="GN96" s="319"/>
      <c r="GO96" s="319"/>
      <c r="GP96" s="319"/>
      <c r="GR96" s="318"/>
      <c r="GS96" s="319"/>
      <c r="GT96" s="319"/>
      <c r="GU96" s="319"/>
      <c r="GV96" s="319"/>
      <c r="GW96" s="319"/>
      <c r="GY96" s="318"/>
      <c r="GZ96" s="319"/>
      <c r="HA96" s="319"/>
      <c r="HB96" s="319"/>
      <c r="HC96" s="319"/>
      <c r="HD96" s="319"/>
      <c r="HF96" s="318"/>
      <c r="HG96" s="319"/>
      <c r="HH96" s="319"/>
      <c r="HI96" s="319"/>
      <c r="HJ96" s="319"/>
      <c r="HK96" s="319"/>
      <c r="HM96" s="318"/>
      <c r="HN96" s="319"/>
      <c r="HO96" s="319"/>
      <c r="HP96" s="319"/>
      <c r="HQ96" s="319"/>
      <c r="HR96" s="319"/>
      <c r="HT96" s="318"/>
      <c r="HU96" s="319"/>
      <c r="HV96" s="319"/>
      <c r="HW96" s="319"/>
      <c r="HX96" s="319"/>
      <c r="HY96" s="130"/>
      <c r="IA96" s="318"/>
      <c r="IB96" s="319"/>
      <c r="IC96" s="319"/>
      <c r="ID96" s="319"/>
      <c r="IE96" s="319"/>
      <c r="IF96" s="130"/>
      <c r="IH96" s="318"/>
      <c r="II96" s="319"/>
      <c r="IJ96" s="319"/>
      <c r="IK96" s="319"/>
      <c r="IL96" s="319"/>
      <c r="IM96" s="130"/>
      <c r="IO96" s="318"/>
      <c r="IP96" s="319"/>
      <c r="IQ96" s="319"/>
      <c r="IR96" s="319"/>
      <c r="IS96" s="319"/>
      <c r="IT96" s="130"/>
    </row>
    <row r="97" spans="1:254" ht="14.25" thickBot="1" x14ac:dyDescent="0.45">
      <c r="A97" s="166"/>
      <c r="B97" s="387" t="s">
        <v>214</v>
      </c>
      <c r="C97" s="388">
        <f>AY97</f>
        <v>0</v>
      </c>
      <c r="D97" s="388">
        <f>BF97</f>
        <v>0</v>
      </c>
      <c r="E97" s="388">
        <f>BM97</f>
        <v>0</v>
      </c>
      <c r="F97" s="388">
        <f>BT97</f>
        <v>0</v>
      </c>
      <c r="G97" s="388">
        <f>CA97</f>
        <v>0</v>
      </c>
      <c r="H97" s="388">
        <f>CH97</f>
        <v>0</v>
      </c>
      <c r="I97" s="388">
        <f>CO97</f>
        <v>761.49002199999995</v>
      </c>
      <c r="J97" s="388">
        <f>CV97</f>
        <v>1194.1500000000001</v>
      </c>
      <c r="K97" s="388">
        <f>DC97</f>
        <v>1237.8800000000001</v>
      </c>
      <c r="L97" s="388">
        <f>DJ97</f>
        <v>1434.8000000000002</v>
      </c>
      <c r="M97" s="388">
        <f>DQ97</f>
        <v>1105</v>
      </c>
      <c r="N97" s="388">
        <f>DX97</f>
        <v>1588</v>
      </c>
      <c r="O97" s="388">
        <f>EE97</f>
        <v>1793</v>
      </c>
      <c r="P97" s="388">
        <f>EL97</f>
        <v>1814.6599999999999</v>
      </c>
      <c r="Q97" s="388">
        <f>ES97</f>
        <v>1855</v>
      </c>
      <c r="R97" s="388">
        <f>EZ97</f>
        <v>1927</v>
      </c>
      <c r="S97" s="388">
        <f>FG97</f>
        <v>1968</v>
      </c>
      <c r="T97" s="388">
        <f>FN97</f>
        <v>1784.15</v>
      </c>
      <c r="U97" s="388">
        <f>FU97</f>
        <v>2097</v>
      </c>
      <c r="V97" s="388">
        <f>GB97</f>
        <v>3309</v>
      </c>
      <c r="W97" s="388">
        <f>GI97</f>
        <v>3331</v>
      </c>
      <c r="X97" s="388">
        <f>GP97</f>
        <v>2765</v>
      </c>
      <c r="Y97" s="388">
        <f>GW97</f>
        <v>3513.43217</v>
      </c>
      <c r="Z97" s="388">
        <f>HD97</f>
        <v>4073.7560975609758</v>
      </c>
      <c r="AA97" s="388">
        <f>HK97</f>
        <v>3668</v>
      </c>
      <c r="AB97" s="388">
        <f>HR97</f>
        <v>3552</v>
      </c>
      <c r="AC97" s="388">
        <f>HY97</f>
        <v>3080.6456521739128</v>
      </c>
      <c r="AD97" s="388">
        <f>IF97</f>
        <v>3468.9447185482177</v>
      </c>
      <c r="AE97" s="388">
        <f>IM97</f>
        <v>3885.5017888526631</v>
      </c>
      <c r="AF97" s="388">
        <f>IT97</f>
        <v>4164.4501714683884</v>
      </c>
      <c r="AG97" s="389"/>
      <c r="AH97" s="389"/>
      <c r="AI97" s="389"/>
      <c r="AJ97" s="389"/>
      <c r="AK97" s="389"/>
      <c r="AL97" s="389"/>
      <c r="AM97" s="389"/>
      <c r="AN97" s="389"/>
      <c r="AO97" s="389"/>
      <c r="AP97" s="389"/>
      <c r="AQ97" s="389"/>
      <c r="AR97" s="389"/>
      <c r="AT97" s="387" t="s">
        <v>214</v>
      </c>
      <c r="AU97" s="388"/>
      <c r="AV97" s="388"/>
      <c r="AW97" s="388"/>
      <c r="AX97" s="388"/>
      <c r="AY97" s="388"/>
      <c r="BA97" s="387" t="s">
        <v>214</v>
      </c>
      <c r="BB97" s="388"/>
      <c r="BC97" s="388"/>
      <c r="BD97" s="388"/>
      <c r="BE97" s="388"/>
      <c r="BF97" s="388"/>
      <c r="BH97" s="387" t="s">
        <v>214</v>
      </c>
      <c r="BI97" s="388"/>
      <c r="BJ97" s="388"/>
      <c r="BK97" s="388"/>
      <c r="BL97" s="388"/>
      <c r="BM97" s="388"/>
      <c r="BO97" s="387" t="s">
        <v>214</v>
      </c>
      <c r="BP97" s="388"/>
      <c r="BQ97" s="388"/>
      <c r="BR97" s="388"/>
      <c r="BS97" s="388"/>
      <c r="BT97" s="388"/>
      <c r="BV97" s="387" t="s">
        <v>214</v>
      </c>
      <c r="BW97" s="388"/>
      <c r="BX97" s="388"/>
      <c r="BY97" s="388"/>
      <c r="BZ97" s="388"/>
      <c r="CA97" s="388"/>
      <c r="CC97" s="387" t="s">
        <v>214</v>
      </c>
      <c r="CD97" s="388"/>
      <c r="CE97" s="388"/>
      <c r="CF97" s="388"/>
      <c r="CG97" s="388"/>
      <c r="CH97" s="388"/>
      <c r="CJ97" s="387" t="s">
        <v>214</v>
      </c>
      <c r="CK97" s="388" t="s">
        <v>80</v>
      </c>
      <c r="CL97" s="388" t="s">
        <v>80</v>
      </c>
      <c r="CM97" s="388" t="s">
        <v>80</v>
      </c>
      <c r="CN97" s="388" t="s">
        <v>80</v>
      </c>
      <c r="CO97" s="388">
        <f>+CSX!GD49</f>
        <v>761.49002199999995</v>
      </c>
      <c r="CQ97" s="387" t="s">
        <v>214</v>
      </c>
      <c r="CR97" s="388">
        <f>+SUM(CSX!GA49:GC49,CSX!GG49)</f>
        <v>852.49002199999995</v>
      </c>
      <c r="CS97" s="388">
        <f>+SUM(CSX!GB49:GC49,CSX!GG49:GH49)</f>
        <v>1043</v>
      </c>
      <c r="CT97" s="388">
        <f>+SUM(CSX!GG49:GI49,CSX!GC49)</f>
        <v>1143.7</v>
      </c>
      <c r="CU97" s="388">
        <f>+SUM(CSX!GG49:GJ49)</f>
        <v>1194.1500000000001</v>
      </c>
      <c r="CV97" s="388">
        <f>+CSX!GK49</f>
        <v>1194.1500000000001</v>
      </c>
      <c r="CX97" s="387" t="s">
        <v>214</v>
      </c>
      <c r="CY97" s="388">
        <f>+SUM(CSX!GH49:GJ49,CSX!GN49)</f>
        <v>1198.1500000000001</v>
      </c>
      <c r="CZ97" s="388">
        <f>+SUM(CSX!GI49:GJ49,CSX!GN49:GO49)</f>
        <v>1125.1500000000001</v>
      </c>
      <c r="DA97" s="388">
        <f>+SUM(CSX!GN49:GP49,CSX!GJ49)</f>
        <v>1157.45</v>
      </c>
      <c r="DB97" s="388">
        <f>+SUM(CSX!GN49:GQ49)</f>
        <v>1237.8800000000001</v>
      </c>
      <c r="DC97" s="388">
        <f>+CSX!GR49</f>
        <v>1237.8800000000001</v>
      </c>
      <c r="DE97" s="387" t="s">
        <v>214</v>
      </c>
      <c r="DF97" s="388">
        <f>+SUM(CSX!GO49:GQ49,CSX!GU49)</f>
        <v>1319.88</v>
      </c>
      <c r="DG97" s="388">
        <f>+SUM(CSX!GP49:GQ49,CSX!GU49:GV49)</f>
        <v>1363.28</v>
      </c>
      <c r="DH97" s="388">
        <f>+SUM(CSX!GU49:GW49,CSX!GQ49)</f>
        <v>1448.2800000000002</v>
      </c>
      <c r="DI97" s="388">
        <f>+SUM(CSX!GU49:GX49)</f>
        <v>1434.8000000000002</v>
      </c>
      <c r="DJ97" s="388">
        <f>+CSX!GY49</f>
        <v>1434.8000000000002</v>
      </c>
      <c r="DL97" s="387" t="s">
        <v>214</v>
      </c>
      <c r="DM97" s="388">
        <f>+SUM(CSX!GV49:GX49,CSX!HB49)</f>
        <v>1349.8</v>
      </c>
      <c r="DN97" s="388">
        <f>+SUM(CSX!GW49:GX49,CSX!HB49:HC49)</f>
        <v>1262.4000000000001</v>
      </c>
      <c r="DO97" s="388">
        <f>+SUM(CSX!HB49:HD49,CSX!GX49)</f>
        <v>1169.4000000000001</v>
      </c>
      <c r="DP97" s="388">
        <f>+SUM(CSX!HB49:HE49)</f>
        <v>1105</v>
      </c>
      <c r="DQ97" s="388">
        <f>+CSX!HF49</f>
        <v>1105</v>
      </c>
      <c r="DS97" s="387" t="s">
        <v>214</v>
      </c>
      <c r="DT97" s="388">
        <f>+SUM(CSX!HC49:HE49,CSX!HI49)</f>
        <v>1163</v>
      </c>
      <c r="DU97" s="388">
        <f>+SUM(CSX!HD49:HE49,CSX!HI49:HJ49)</f>
        <v>1301</v>
      </c>
      <c r="DV97" s="388">
        <f>+SUM(CSX!HI49:HK49,CSX!HE49)</f>
        <v>1448</v>
      </c>
      <c r="DW97" s="388">
        <f>+SUM(CSX!HI49:HL49)</f>
        <v>1588</v>
      </c>
      <c r="DX97" s="388">
        <f>+CSX!HM49</f>
        <v>1588</v>
      </c>
      <c r="DZ97" s="387" t="s">
        <v>214</v>
      </c>
      <c r="EA97" s="388">
        <f>+SUM(CSX!HJ49:HL49,CSX!HP49)</f>
        <v>1679</v>
      </c>
      <c r="EB97" s="388">
        <f>+SUM(CSX!HK49:HL49,CSX!HP49:HQ49)</f>
        <v>1753</v>
      </c>
      <c r="EC97" s="388">
        <f>+SUM(CSX!HP49:HR49,CSX!HL49)</f>
        <v>1781</v>
      </c>
      <c r="ED97" s="388">
        <f>+SUM(CSX!HP49:HS49)</f>
        <v>1793</v>
      </c>
      <c r="EE97" s="388">
        <f>+CSX!HT49</f>
        <v>1793</v>
      </c>
      <c r="EG97" s="387" t="s">
        <v>214</v>
      </c>
      <c r="EH97" s="388">
        <f>+SUM(CSX!HQ49:HS49,CSX!HW49)</f>
        <v>1847</v>
      </c>
      <c r="EI97" s="388">
        <f>+SUM(CSX!HR49:HS49,CSX!HW49:HX49)</f>
        <v>1858</v>
      </c>
      <c r="EJ97" s="388">
        <f>+SUM(CSX!HW49:HY49,CSX!HS49)</f>
        <v>1849</v>
      </c>
      <c r="EK97" s="388">
        <f>+SUM(CSX!HW49:HZ49)</f>
        <v>1814.6599999999999</v>
      </c>
      <c r="EL97" s="388">
        <f>+CSX!IA49</f>
        <v>1814.6599999999999</v>
      </c>
      <c r="EN97" s="387" t="s">
        <v>214</v>
      </c>
      <c r="EO97" s="388">
        <f>+SUM(CSX!HX49:HZ49,CSX!ID49)</f>
        <v>1824.6599999999999</v>
      </c>
      <c r="EP97" s="388">
        <f>+SUM(CSX!HY49:HZ49,CSX!ID49:IE49)</f>
        <v>1839.6599999999999</v>
      </c>
      <c r="EQ97" s="388">
        <f>+SUM(CSX!ID49:IF49,CSX!HZ49)</f>
        <v>1836.6599999999999</v>
      </c>
      <c r="ER97" s="388">
        <f>+SUM(CSX!ID49:IG49)</f>
        <v>1855</v>
      </c>
      <c r="ES97" s="388">
        <f>+CSX!IH49</f>
        <v>1855</v>
      </c>
      <c r="EU97" s="387" t="s">
        <v>214</v>
      </c>
      <c r="EV97" s="388">
        <f>+SUM(CSX!IE49:IG49,CSX!IK49)</f>
        <v>1794</v>
      </c>
      <c r="EW97" s="388">
        <f>+SUM(CSX!IF49:IG49,CSX!IK49:IL49)</f>
        <v>1805</v>
      </c>
      <c r="EX97" s="388">
        <f>+SUM(CSX!IK49:IM49,CSX!IG49)</f>
        <v>1862</v>
      </c>
      <c r="EY97" s="388">
        <f>+SUM(CSX!IK49:IN49)</f>
        <v>1927</v>
      </c>
      <c r="EZ97" s="388">
        <f>+CSX!IO49</f>
        <v>1927</v>
      </c>
      <c r="FB97" s="387" t="s">
        <v>214</v>
      </c>
      <c r="FC97" s="388">
        <f>+SUM(CSX!IL49:IN49,CSX!IR49)</f>
        <v>1971</v>
      </c>
      <c r="FD97" s="388">
        <f>+SUM(CSX!IM49:IN49,CSX!IR49:IS49)</f>
        <v>1995</v>
      </c>
      <c r="FE97" s="388">
        <f>+SUM(CSX!IR49:IT49,CSX!IN49)</f>
        <v>1993</v>
      </c>
      <c r="FF97" s="388">
        <f>+SUM(CSX!IR49:IU49)</f>
        <v>1968</v>
      </c>
      <c r="FG97" s="388">
        <f>+CSX!IV49</f>
        <v>1968</v>
      </c>
      <c r="FI97" s="387" t="s">
        <v>214</v>
      </c>
      <c r="FJ97" s="388">
        <f>+SUM(CSX!IS49:IU49,CSX!IY49)</f>
        <v>1882</v>
      </c>
      <c r="FK97" s="388">
        <f>+SUM(CSX!IT49:IU49,CSX!IY49:IZ49)</f>
        <v>1774</v>
      </c>
      <c r="FL97" s="388">
        <f>+SUM(CSX!IY49:JA49,CSX!IU49)</f>
        <v>1722</v>
      </c>
      <c r="FM97" s="388">
        <f>+SUM(CSX!IY49:JB49)</f>
        <v>1784.15</v>
      </c>
      <c r="FN97" s="388">
        <f>+CSX!JC49</f>
        <v>1784.15</v>
      </c>
      <c r="FP97" s="387" t="s">
        <v>214</v>
      </c>
      <c r="FQ97" s="388">
        <f>+SUM(CSX!IZ49:JB49,CSX!JF49)</f>
        <v>1898.15</v>
      </c>
      <c r="FR97" s="388">
        <f>+SUM(CSX!JA49:JB49,CSX!JF49:JG49)</f>
        <v>2044.15</v>
      </c>
      <c r="FS97" s="388">
        <f>+SUM(CSX!JF49:JH49,CSX!JB49)</f>
        <v>2052.15</v>
      </c>
      <c r="FT97" s="388">
        <f>+SUM(CSX!JF49:JI49)</f>
        <v>2097</v>
      </c>
      <c r="FU97" s="388">
        <f>+CSX!JJ49</f>
        <v>2097</v>
      </c>
      <c r="FW97" s="387" t="s">
        <v>214</v>
      </c>
      <c r="FX97" s="388">
        <f>+SUM(CSX!JG49:JI49,CSX!JM49)</f>
        <v>2322</v>
      </c>
      <c r="FY97" s="388">
        <f>+SUM(CSX!JH49:JI49,CSX!JM49:JN49)</f>
        <v>2608</v>
      </c>
      <c r="FZ97" s="388">
        <f>+SUM(CSX!JM49:JO49,CSX!JI49)</f>
        <v>3039</v>
      </c>
      <c r="GA97" s="388">
        <f>+SUM(CSX!JM49:JP49)</f>
        <v>3309</v>
      </c>
      <c r="GB97" s="388">
        <f>+CSX!JQ49</f>
        <v>3309</v>
      </c>
      <c r="GD97" s="387" t="s">
        <v>214</v>
      </c>
      <c r="GE97" s="388">
        <f>+SUM(CSX!JN49:JP49,CSX!JT49)</f>
        <v>3448</v>
      </c>
      <c r="GF97" s="388">
        <f>+SUM(CSX!JO49:JP49,CSX!JT49:JU49)</f>
        <v>3441</v>
      </c>
      <c r="GG97" s="388">
        <f>+SUM(CSX!JT49:JV49,CSX!JP49)</f>
        <v>3403</v>
      </c>
      <c r="GH97" s="388">
        <f>+SUM(CSX!JT49:JW49)</f>
        <v>3331</v>
      </c>
      <c r="GI97" s="388">
        <f>+CSX!JX49</f>
        <v>3331</v>
      </c>
      <c r="GK97" s="387" t="s">
        <v>214</v>
      </c>
      <c r="GL97" s="388">
        <f>+SUM(CSX!JU49:JW49,CSX!KA49)</f>
        <v>3267</v>
      </c>
      <c r="GM97" s="388">
        <f>+SUM(CSX!JV49:JW49,CSX!KA49:KB49)</f>
        <v>2896</v>
      </c>
      <c r="GN97" s="388">
        <f>+SUM(CSX!KA49:KC49,CSX!JW49)</f>
        <v>2776</v>
      </c>
      <c r="GO97" s="388">
        <f>+SUM(CSX!KA49:KD49)</f>
        <v>2765</v>
      </c>
      <c r="GP97" s="388">
        <f>+CSX!KE49</f>
        <v>2765</v>
      </c>
      <c r="GR97" s="387" t="s">
        <v>214</v>
      </c>
      <c r="GS97" s="388">
        <f>+SUM(CSX!KB49:KD49,CSX!KH49)</f>
        <v>2701</v>
      </c>
      <c r="GT97" s="388">
        <f>+SUM(CSX!KC49:KD49,CSX!KH49:KI49)</f>
        <v>3107.43217</v>
      </c>
      <c r="GU97" s="388">
        <f>+SUM(CSX!KH49:KJ49,CSX!KD49)</f>
        <v>3339.43217</v>
      </c>
      <c r="GV97" s="388">
        <f>+SUM(CSX!KH49:KK49)</f>
        <v>3513.43217</v>
      </c>
      <c r="GW97" s="388">
        <f>+CSX!KL49</f>
        <v>3513.43217</v>
      </c>
      <c r="GY97" s="387" t="s">
        <v>214</v>
      </c>
      <c r="GZ97" s="388">
        <f>+SUM(CSX!KI49:KK49,CSX!KO49)</f>
        <v>3666.43217</v>
      </c>
      <c r="HA97" s="388">
        <f>+SUM(CSX!KJ49:KK49,CSX!KO49:KP49)</f>
        <v>3846.7560975609758</v>
      </c>
      <c r="HB97" s="388">
        <f>+SUM(CSX!KO49:KQ49,CSX!KK49)</f>
        <v>3989.7560975609758</v>
      </c>
      <c r="HC97" s="388">
        <f>+SUM(CSX!KO49:KR49)</f>
        <v>4073.7560975609758</v>
      </c>
      <c r="HD97" s="388">
        <f>+CSX!KS49</f>
        <v>4073.7560975609758</v>
      </c>
      <c r="HF97" s="387" t="s">
        <v>214</v>
      </c>
      <c r="HG97" s="388">
        <f>+SUM(CSX!KP49:KR49,CSX!KV49)</f>
        <v>4188.7560975609758</v>
      </c>
      <c r="HH97" s="388">
        <f>+SUM(CSX!KQ49:KR49,CSX!KV49:KW49)</f>
        <v>4087</v>
      </c>
      <c r="HI97" s="388">
        <f>+SUM(CSX!KV49:KX49,CSX!KR49)</f>
        <v>3804</v>
      </c>
      <c r="HJ97" s="388">
        <f>+SUM(CSX!KV49:KY49)</f>
        <v>3668</v>
      </c>
      <c r="HK97" s="388">
        <f>+CSX!KZ49</f>
        <v>3668</v>
      </c>
      <c r="HM97" s="387" t="s">
        <v>214</v>
      </c>
      <c r="HN97" s="388">
        <f>+SUM(CSX!KW49:KY49,CSX!LC49)</f>
        <v>3574</v>
      </c>
      <c r="HO97" s="388">
        <f>+SUM(CSX!KX49:KY49,CSX!LC49:LD49)</f>
        <v>3553</v>
      </c>
      <c r="HP97" s="388">
        <f>+SUM(CSX!LC49:LE49,CSX!KY49)</f>
        <v>3619</v>
      </c>
      <c r="HQ97" s="388">
        <f>+SUM(CSX!LC49:LF49)</f>
        <v>3552</v>
      </c>
      <c r="HR97" s="388">
        <f>+CSX!LG49</f>
        <v>3552</v>
      </c>
      <c r="HT97" s="387" t="s">
        <v>214</v>
      </c>
      <c r="HU97" s="388">
        <f>+SUM(CSX!LD49:LF49,CSX!LJ49)</f>
        <v>3318</v>
      </c>
      <c r="HV97" s="388">
        <f>+SUM(CSX!LE49:LF49,CSX!LJ49:LK49)</f>
        <v>3184</v>
      </c>
      <c r="HW97" s="388">
        <f>+SUM(CSX!LJ49:LL49,CSX!LF49)</f>
        <v>3134.95</v>
      </c>
      <c r="HX97" s="388">
        <f>+SUM(CSX!LJ49:LM49)</f>
        <v>3080.6456521739128</v>
      </c>
      <c r="HY97" s="388">
        <f>+CSX!LN49</f>
        <v>3080.6456521739128</v>
      </c>
      <c r="IA97" s="387" t="s">
        <v>214</v>
      </c>
      <c r="IB97" s="388">
        <f>+SUM(CSX!LK49:LM49,CSX!LQ49)</f>
        <v>3181.850596522363</v>
      </c>
      <c r="IC97" s="388">
        <f>+SUM(CSX!LL49:LM49,CSX!LQ49:LR49)</f>
        <v>3249.9396550140364</v>
      </c>
      <c r="ID97" s="388">
        <f>+SUM(CSX!LQ49:LS49,CSX!LM49)</f>
        <v>3332.8971880880981</v>
      </c>
      <c r="IE97" s="388">
        <f>+SUM(CSX!LQ49:LT49)</f>
        <v>3468.9447185482177</v>
      </c>
      <c r="IF97" s="388">
        <f>+CSX!LU49</f>
        <v>3468.9447185482177</v>
      </c>
      <c r="IH97" s="387" t="s">
        <v>214</v>
      </c>
      <c r="II97" s="388">
        <f>+SUM(CSX!LR49:LT49,CSX!LX49)</f>
        <v>3571.2043070269019</v>
      </c>
      <c r="IJ97" s="388">
        <f>+SUM(CSX!LS49:LT49,CSX!LX49:LY49)</f>
        <v>3678.9259445539547</v>
      </c>
      <c r="IK97" s="388">
        <f>+SUM(CSX!LX49:LZ49,CSX!LT49)</f>
        <v>3792.3227197170781</v>
      </c>
      <c r="IL97" s="388">
        <f>+SUM(CSX!LX49:MA49)</f>
        <v>3885.5017888526631</v>
      </c>
      <c r="IM97" s="388">
        <f>+CSX!MB49</f>
        <v>3885.5017888526631</v>
      </c>
      <c r="IO97" s="387" t="s">
        <v>214</v>
      </c>
      <c r="IP97" s="388">
        <f>+SUM(CSX!LY49:MA49,CSX!ME49)</f>
        <v>3960.7737941593873</v>
      </c>
      <c r="IQ97" s="388">
        <f>+SUM(CSX!LZ49:MA49,CSX!ME49:MF49)</f>
        <v>4031.6727603005111</v>
      </c>
      <c r="IR97" s="388">
        <f>+SUM(CSX!ME49:MG49,CSX!MA49)</f>
        <v>4096.2809126054653</v>
      </c>
      <c r="IS97" s="388">
        <f>+SUM(CSX!ME49:MH49)</f>
        <v>4164.4501714683884</v>
      </c>
      <c r="IT97" s="388">
        <f>+CSX!MI49</f>
        <v>4164.4501714683884</v>
      </c>
    </row>
    <row r="98" spans="1:254" ht="14.25" thickTop="1" x14ac:dyDescent="0.4">
      <c r="B98" s="377" t="s">
        <v>4</v>
      </c>
      <c r="C98" s="378">
        <f>AY98</f>
        <v>0</v>
      </c>
      <c r="D98" s="378">
        <f>BF98</f>
        <v>0</v>
      </c>
      <c r="E98" s="378">
        <f>BM98</f>
        <v>0</v>
      </c>
      <c r="F98" s="378">
        <f>BT98</f>
        <v>0</v>
      </c>
      <c r="G98" s="378">
        <f>CA98</f>
        <v>0</v>
      </c>
      <c r="H98" s="378">
        <f>CH98</f>
        <v>0</v>
      </c>
      <c r="I98" s="378">
        <f>CO98</f>
        <v>8.8535056621323091E-2</v>
      </c>
      <c r="J98" s="378">
        <f>CV98</f>
        <v>0.12483274095755803</v>
      </c>
      <c r="K98" s="378">
        <f>DC98</f>
        <v>0.12341774675972085</v>
      </c>
      <c r="L98" s="378">
        <f>DJ98</f>
        <v>0.12748111950244337</v>
      </c>
      <c r="M98" s="378">
        <f>DQ98</f>
        <v>0.12222099325295874</v>
      </c>
      <c r="N98" s="378">
        <f>DX98</f>
        <v>0.14930424971793907</v>
      </c>
      <c r="O98" s="378">
        <f>EE98</f>
        <v>0.1526867069743677</v>
      </c>
      <c r="P98" s="378">
        <f>EL98</f>
        <v>0.15436032664171487</v>
      </c>
      <c r="Q98" s="378">
        <f>ES98</f>
        <v>0.15383977442361918</v>
      </c>
      <c r="R98" s="378">
        <f>EZ98</f>
        <v>0.15210355987055016</v>
      </c>
      <c r="S98" s="378">
        <f>FG98</f>
        <v>0.16662433324866649</v>
      </c>
      <c r="T98" s="378">
        <f>FN98</f>
        <v>0.16118438883367966</v>
      </c>
      <c r="U98" s="378">
        <f>FU98</f>
        <v>0.18381837307152876</v>
      </c>
      <c r="V98" s="378">
        <f>GB98</f>
        <v>0.27012244897959181</v>
      </c>
      <c r="W98" s="378">
        <f>GI98</f>
        <v>0.27904833710312471</v>
      </c>
      <c r="X98" s="378">
        <f>GP98</f>
        <v>0.26126807143532077</v>
      </c>
      <c r="Y98" s="378">
        <f>GW98</f>
        <v>0.2805807514773998</v>
      </c>
      <c r="Z98" s="378">
        <f>HD98</f>
        <v>0.27427160153241609</v>
      </c>
      <c r="AA98" s="378">
        <f>HK98</f>
        <v>0.25025585044688547</v>
      </c>
      <c r="AB98" s="378">
        <f>HR98</f>
        <v>0.24429160935350758</v>
      </c>
      <c r="AC98" s="378">
        <f>HY98</f>
        <v>0.21860954102852065</v>
      </c>
      <c r="AD98" s="378">
        <f>IF98</f>
        <v>0.23932347113113803</v>
      </c>
      <c r="AE98" s="378">
        <f>IM98</f>
        <v>0.2559466361650643</v>
      </c>
      <c r="AF98" s="378">
        <f>IT98</f>
        <v>0.26276392532976384</v>
      </c>
      <c r="AG98" s="379"/>
      <c r="AH98" s="379"/>
      <c r="AI98" s="379"/>
      <c r="AJ98" s="379"/>
      <c r="AK98" s="379"/>
      <c r="AL98" s="379"/>
      <c r="AM98" s="379"/>
      <c r="AN98" s="379"/>
      <c r="AO98" s="379"/>
      <c r="AP98" s="379"/>
      <c r="AQ98" s="379"/>
      <c r="AR98" s="379"/>
      <c r="AT98" s="377" t="s">
        <v>4</v>
      </c>
      <c r="AU98" s="378"/>
      <c r="AV98" s="378"/>
      <c r="AW98" s="378"/>
      <c r="AX98" s="378"/>
      <c r="AY98" s="378"/>
      <c r="BA98" s="377" t="s">
        <v>4</v>
      </c>
      <c r="BB98" s="378"/>
      <c r="BC98" s="378"/>
      <c r="BD98" s="378"/>
      <c r="BE98" s="378"/>
      <c r="BF98" s="378"/>
      <c r="BH98" s="377" t="s">
        <v>4</v>
      </c>
      <c r="BI98" s="378"/>
      <c r="BJ98" s="378"/>
      <c r="BK98" s="378"/>
      <c r="BL98" s="378"/>
      <c r="BM98" s="378"/>
      <c r="BO98" s="377" t="s">
        <v>4</v>
      </c>
      <c r="BP98" s="378"/>
      <c r="BQ98" s="378"/>
      <c r="BR98" s="378"/>
      <c r="BS98" s="378"/>
      <c r="BT98" s="378"/>
      <c r="BV98" s="377" t="s">
        <v>4</v>
      </c>
      <c r="BW98" s="378"/>
      <c r="BX98" s="378"/>
      <c r="BY98" s="378"/>
      <c r="BZ98" s="378"/>
      <c r="CA98" s="378"/>
      <c r="CC98" s="377" t="s">
        <v>4</v>
      </c>
      <c r="CD98" s="378"/>
      <c r="CE98" s="378"/>
      <c r="CF98" s="378"/>
      <c r="CG98" s="378"/>
      <c r="CH98" s="378"/>
      <c r="CJ98" s="377" t="s">
        <v>4</v>
      </c>
      <c r="CK98" s="378"/>
      <c r="CL98" s="378"/>
      <c r="CM98" s="378"/>
      <c r="CN98" s="378"/>
      <c r="CO98" s="378">
        <f>CO97/CO$69</f>
        <v>8.8535056621323091E-2</v>
      </c>
      <c r="CQ98" s="377" t="s">
        <v>4</v>
      </c>
      <c r="CR98" s="378">
        <f>CR97/CR$69</f>
        <v>9.6610383272892106E-2</v>
      </c>
      <c r="CS98" s="378">
        <f>CS97/CS$69</f>
        <v>0.11466578715919085</v>
      </c>
      <c r="CT98" s="378">
        <f>CT97/CT$69</f>
        <v>0.12181275961231229</v>
      </c>
      <c r="CU98" s="378">
        <f>CU97/CU$69</f>
        <v>0.12483274095755803</v>
      </c>
      <c r="CV98" s="378">
        <f>CV97/CV$69</f>
        <v>0.12483274095755803</v>
      </c>
      <c r="CX98" s="377" t="s">
        <v>4</v>
      </c>
      <c r="CY98" s="378">
        <f>CY97/CY$69</f>
        <v>0.12407062234648443</v>
      </c>
      <c r="CZ98" s="378">
        <f>CZ97/CZ$69</f>
        <v>0.11521093590006144</v>
      </c>
      <c r="DA98" s="378">
        <f>DA97/DA$69</f>
        <v>0.11751954513148544</v>
      </c>
      <c r="DB98" s="378">
        <f>DB97/DB$69</f>
        <v>0.12341774675972085</v>
      </c>
      <c r="DC98" s="378">
        <f>DC97/DC$69</f>
        <v>0.12341774675972085</v>
      </c>
      <c r="DE98" s="377" t="s">
        <v>4</v>
      </c>
      <c r="DF98" s="378">
        <f>DF97/DF$69</f>
        <v>0.12788295707780256</v>
      </c>
      <c r="DG98" s="378">
        <f>DG97/DG$69</f>
        <v>0.12743316507758459</v>
      </c>
      <c r="DH98" s="378">
        <f>DH97/DH$69</f>
        <v>0.12979745474099302</v>
      </c>
      <c r="DI98" s="378">
        <f>DI97/DI$69</f>
        <v>0.12748111950244337</v>
      </c>
      <c r="DJ98" s="378">
        <f>DJ97/DJ$69</f>
        <v>0.12748111950244337</v>
      </c>
      <c r="DL98" s="377" t="s">
        <v>4</v>
      </c>
      <c r="DM98" s="378">
        <f>DM97/DM$69</f>
        <v>0.12510890722031698</v>
      </c>
      <c r="DN98" s="378">
        <f>DN97/DN$69</f>
        <v>0.12539982119797358</v>
      </c>
      <c r="DO98" s="378">
        <f>DO97/DO$69</f>
        <v>0.12447046301224056</v>
      </c>
      <c r="DP98" s="378">
        <f>DP97/DP$69</f>
        <v>0.12222099325295874</v>
      </c>
      <c r="DQ98" s="378">
        <f>DQ97/DQ$69</f>
        <v>0.12222099325295874</v>
      </c>
      <c r="DS98" s="377" t="s">
        <v>4</v>
      </c>
      <c r="DT98" s="378">
        <f>DT97/DT$69</f>
        <v>0.125255788906839</v>
      </c>
      <c r="DU98" s="378">
        <f>DU97/DU$69</f>
        <v>0.1332582198094848</v>
      </c>
      <c r="DV98" s="378">
        <f>DV97/DV$69</f>
        <v>0.14280078895463511</v>
      </c>
      <c r="DW98" s="378">
        <f>DW97/DW$69</f>
        <v>0.14930424971793907</v>
      </c>
      <c r="DX98" s="378">
        <f>DX97/DX$69</f>
        <v>0.14930424971793907</v>
      </c>
      <c r="DZ98" s="377" t="s">
        <v>4</v>
      </c>
      <c r="EA98" s="378">
        <f>EA97/EA$69</f>
        <v>0.1532633500684619</v>
      </c>
      <c r="EB98" s="378">
        <f>EB97/EB$69</f>
        <v>0.15498187604986297</v>
      </c>
      <c r="EC98" s="378">
        <f>EC97/EC$69</f>
        <v>0.15342866988283943</v>
      </c>
      <c r="ED98" s="378">
        <f>ED97/ED$69</f>
        <v>0.1526867069743677</v>
      </c>
      <c r="EE98" s="378">
        <f>EE97/EE$69</f>
        <v>0.1526867069743677</v>
      </c>
      <c r="EG98" s="377" t="s">
        <v>4</v>
      </c>
      <c r="EH98" s="378">
        <f>EH97/EH$69</f>
        <v>0.15522312799394908</v>
      </c>
      <c r="EI98" s="378">
        <f>EI97/EI$69</f>
        <v>0.15623948873192062</v>
      </c>
      <c r="EJ98" s="378">
        <f>EJ97/EJ$69</f>
        <v>0.15639008711832869</v>
      </c>
      <c r="EK98" s="378">
        <f>EK97/EK$69</f>
        <v>0.15436032664171487</v>
      </c>
      <c r="EL98" s="378">
        <f>EL97/EL$69</f>
        <v>0.15436032664171487</v>
      </c>
      <c r="EN98" s="377" t="s">
        <v>4</v>
      </c>
      <c r="EO98" s="378">
        <f>EO97/EO$69</f>
        <v>0.15531664964249234</v>
      </c>
      <c r="EP98" s="378">
        <f>EP97/EP$69</f>
        <v>0.15583735705209656</v>
      </c>
      <c r="EQ98" s="378">
        <f>EQ97/EQ$69</f>
        <v>0.1542115869017632</v>
      </c>
      <c r="ER98" s="378">
        <f>ER97/ER$69</f>
        <v>0.15383977442361918</v>
      </c>
      <c r="ES98" s="378">
        <f>ES97/ES$69</f>
        <v>0.15383977442361918</v>
      </c>
      <c r="EU98" s="377" t="s">
        <v>4</v>
      </c>
      <c r="EV98" s="378">
        <f>EV97/EV$69</f>
        <v>0.14811756935270806</v>
      </c>
      <c r="EW98" s="378">
        <f>EW97/EW$69</f>
        <v>0.14690323105721495</v>
      </c>
      <c r="EX98" s="378">
        <f>EX97/EX$69</f>
        <v>0.14885282596530497</v>
      </c>
      <c r="EY98" s="378">
        <f>EY97/EY$69</f>
        <v>0.15210355987055016</v>
      </c>
      <c r="EZ98" s="378">
        <f>EZ97/EZ$69</f>
        <v>0.15210355987055016</v>
      </c>
      <c r="FB98" s="377" t="s">
        <v>4</v>
      </c>
      <c r="FC98" s="378">
        <f>FC97/FC$69</f>
        <v>0.1553926206244087</v>
      </c>
      <c r="FD98" s="378">
        <f>FD97/FD$69</f>
        <v>0.15954894433781189</v>
      </c>
      <c r="FE98" s="378">
        <f>FE97/FE$69</f>
        <v>0.16306660121093111</v>
      </c>
      <c r="FF98" s="378">
        <f>FF97/FF$69</f>
        <v>0.16662433324866649</v>
      </c>
      <c r="FG98" s="378">
        <f>FG97/FG$69</f>
        <v>0.16662433324866649</v>
      </c>
      <c r="FI98" s="377" t="s">
        <v>4</v>
      </c>
      <c r="FJ98" s="378">
        <f>FJ97/FJ$69</f>
        <v>0.1650587616207683</v>
      </c>
      <c r="FK98" s="378">
        <f>FK97/FK$69</f>
        <v>0.16065930085129507</v>
      </c>
      <c r="FL98" s="378">
        <f>FL97/FL$69</f>
        <v>0.15925275131785813</v>
      </c>
      <c r="FM98" s="378">
        <f>FM97/FM$69</f>
        <v>0.16118438883367966</v>
      </c>
      <c r="FN98" s="378">
        <f>FN97/FN$69</f>
        <v>0.16118438883367966</v>
      </c>
      <c r="FP98" s="377" t="s">
        <v>4</v>
      </c>
      <c r="FQ98" s="378">
        <f>FQ97/FQ$69</f>
        <v>0.16768109540636042</v>
      </c>
      <c r="FR98" s="378">
        <f>FR97/FR$69</f>
        <v>0.17699800848558317</v>
      </c>
      <c r="FS98" s="378">
        <f>FS97/FS$69</f>
        <v>0.17718442410637197</v>
      </c>
      <c r="FT98" s="378">
        <f>FT97/FT$69</f>
        <v>0.18381837307152876</v>
      </c>
      <c r="FU98" s="378">
        <f>FU97/FU$69</f>
        <v>0.18381837307152876</v>
      </c>
      <c r="FW98" s="377" t="s">
        <v>4</v>
      </c>
      <c r="FX98" s="378">
        <f>FX97/FX$69</f>
        <v>0.20341655716162943</v>
      </c>
      <c r="FY98" s="378">
        <f>FY97/FY$69</f>
        <v>0.22513812154696133</v>
      </c>
      <c r="FZ98" s="378">
        <f>FZ97/FZ$69</f>
        <v>0.2538847117794486</v>
      </c>
      <c r="GA98" s="378">
        <f>GA97/GA$69</f>
        <v>0.27012244897959181</v>
      </c>
      <c r="GB98" s="378">
        <f>GB97/GB$69</f>
        <v>0.27012244897959181</v>
      </c>
      <c r="GD98" s="377" t="s">
        <v>4</v>
      </c>
      <c r="GE98" s="378">
        <f>GE97/GE$69</f>
        <v>0.27835634132558329</v>
      </c>
      <c r="GF98" s="378">
        <f>GF97/GF$69</f>
        <v>0.27871375344241051</v>
      </c>
      <c r="GG98" s="378">
        <f>GG97/GG$69</f>
        <v>0.27904879048790487</v>
      </c>
      <c r="GH98" s="378">
        <f>GH97/GH$69</f>
        <v>0.27904833710312471</v>
      </c>
      <c r="GI98" s="378">
        <f>GI97/GI$69</f>
        <v>0.27904833710312471</v>
      </c>
      <c r="GK98" s="377" t="s">
        <v>4</v>
      </c>
      <c r="GL98" s="378">
        <f>GL97/GL$69</f>
        <v>0.27735801001782834</v>
      </c>
      <c r="GM98" s="378">
        <f>GM97/GM$69</f>
        <v>0.26392053221543788</v>
      </c>
      <c r="GN98" s="378">
        <f>GN97/GN$69</f>
        <v>0.26082871370854083</v>
      </c>
      <c r="GO98" s="378">
        <f>GO97/GO$69</f>
        <v>0.26126807143532077</v>
      </c>
      <c r="GP98" s="378">
        <f>GP97/GP$69</f>
        <v>0.26126807143532077</v>
      </c>
      <c r="GR98" s="377" t="s">
        <v>4</v>
      </c>
      <c r="GS98" s="378">
        <f>GS97/GS$69</f>
        <v>0.25623754861967557</v>
      </c>
      <c r="GT98" s="378">
        <f>GT97/GT$69</f>
        <v>0.27557929851010998</v>
      </c>
      <c r="GU98" s="378">
        <f>GU97/GU$69</f>
        <v>0.28015370553691277</v>
      </c>
      <c r="GV98" s="378">
        <f>GV97/GV$69</f>
        <v>0.2805807514773998</v>
      </c>
      <c r="GW98" s="378">
        <f>GW97/GW$69</f>
        <v>0.2805807514773998</v>
      </c>
      <c r="GY98" s="377" t="s">
        <v>4</v>
      </c>
      <c r="GZ98" s="378">
        <f>GZ97/GZ$69</f>
        <v>0.27941107834171619</v>
      </c>
      <c r="HA98" s="378">
        <f>HA97/HA$69</f>
        <v>0.27581243977636594</v>
      </c>
      <c r="HB98" s="378">
        <f>HB97/HB$69</f>
        <v>0.27421004106948288</v>
      </c>
      <c r="HC98" s="378">
        <f>HC97/HC$69</f>
        <v>0.27427160153241609</v>
      </c>
      <c r="HD98" s="378">
        <f>HD97/HD$69</f>
        <v>0.27427160153241609</v>
      </c>
      <c r="HF98" s="377" t="s">
        <v>4</v>
      </c>
      <c r="HG98" s="378">
        <f>HG97/HG$69</f>
        <v>0.27655856975841647</v>
      </c>
      <c r="HH98" s="378">
        <f>HH97/HH$69</f>
        <v>0.27192282102461746</v>
      </c>
      <c r="HI98" s="378">
        <f>HI97/HI$69</f>
        <v>0.25865234242197593</v>
      </c>
      <c r="HJ98" s="378">
        <f>HJ97/HJ$69</f>
        <v>0.25025585044688547</v>
      </c>
      <c r="HK98" s="378">
        <f>HK97/HK$69</f>
        <v>0.25025585044688547</v>
      </c>
      <c r="HM98" s="377" t="s">
        <v>4</v>
      </c>
      <c r="HN98" s="378">
        <f>HN97/HN$69</f>
        <v>0.24425915800984144</v>
      </c>
      <c r="HO98" s="378">
        <f>HO97/HO$69</f>
        <v>0.24279076124094573</v>
      </c>
      <c r="HP98" s="378">
        <f>HP97/HP$69</f>
        <v>0.24650909338600913</v>
      </c>
      <c r="HQ98" s="378">
        <f>HQ97/HQ$69</f>
        <v>0.24429160935350758</v>
      </c>
      <c r="HR98" s="378">
        <f>HR97/HR$69</f>
        <v>0.24429160935350758</v>
      </c>
      <c r="HT98" s="377" t="s">
        <v>4</v>
      </c>
      <c r="HU98" s="378">
        <f>HU97/HU$69</f>
        <v>0.23232040330485926</v>
      </c>
      <c r="HV98" s="378">
        <f>HV97/HV$69</f>
        <v>0.22493818438714236</v>
      </c>
      <c r="HW98" s="378">
        <f>HW97/HW$69</f>
        <v>0.22197479289102881</v>
      </c>
      <c r="HX98" s="378">
        <f>HX97/HX$69</f>
        <v>0.21860954102852065</v>
      </c>
      <c r="HY98" s="378">
        <f>HY97/HY$69</f>
        <v>0.21860954102852065</v>
      </c>
      <c r="IA98" s="377" t="s">
        <v>4</v>
      </c>
      <c r="IB98" s="378">
        <f>IB97/IB$69</f>
        <v>0.22518695753935852</v>
      </c>
      <c r="IC98" s="378">
        <f>IC97/IC$69</f>
        <v>0.22900272496205584</v>
      </c>
      <c r="ID98" s="378">
        <f>ID97/ID$69</f>
        <v>0.23292897429068288</v>
      </c>
      <c r="IE98" s="378">
        <f>IE97/IE$69</f>
        <v>0.23932347113113797</v>
      </c>
      <c r="IF98" s="378">
        <f>IF97/IF$69</f>
        <v>0.23932347113113803</v>
      </c>
      <c r="IH98" s="377" t="s">
        <v>4</v>
      </c>
      <c r="II98" s="378">
        <f>II97/II$69</f>
        <v>0.24356516881742529</v>
      </c>
      <c r="IJ98" s="378">
        <f>IJ97/IJ$69</f>
        <v>0.24798500654836778</v>
      </c>
      <c r="IK98" s="378">
        <f>IK97/IK$69</f>
        <v>0.25269764302870057</v>
      </c>
      <c r="IL98" s="378">
        <f>IL97/IL$69</f>
        <v>0.2559466361650643</v>
      </c>
      <c r="IM98" s="378">
        <f>IM97/IM$69</f>
        <v>0.2559466361650643</v>
      </c>
      <c r="IO98" s="377" t="s">
        <v>4</v>
      </c>
      <c r="IP98" s="378">
        <f>IP97/IP$69</f>
        <v>0.25813772779401278</v>
      </c>
      <c r="IQ98" s="378">
        <f>IQ97/IQ$69</f>
        <v>0.25990774855444038</v>
      </c>
      <c r="IR98" s="378">
        <f>IR97/IR$69</f>
        <v>0.26120853215348222</v>
      </c>
      <c r="IS98" s="378">
        <f>IS97/IS$69</f>
        <v>0.26276392532976389</v>
      </c>
      <c r="IT98" s="378">
        <f>IT97/IT$69</f>
        <v>0.26276392532976384</v>
      </c>
    </row>
    <row r="99" spans="1:254" x14ac:dyDescent="0.4">
      <c r="A99" s="390"/>
      <c r="B99" s="318"/>
      <c r="C99" s="391"/>
      <c r="D99" s="391"/>
      <c r="E99" s="391"/>
      <c r="F99" s="391"/>
      <c r="G99" s="391"/>
      <c r="H99" s="391"/>
      <c r="I99" s="391"/>
      <c r="J99" s="391"/>
      <c r="K99" s="391"/>
      <c r="L99" s="391"/>
      <c r="M99" s="391"/>
      <c r="N99" s="391"/>
      <c r="O99" s="391"/>
      <c r="P99" s="391"/>
      <c r="Q99" s="391"/>
      <c r="R99" s="391"/>
      <c r="S99" s="391"/>
      <c r="T99" s="391"/>
      <c r="U99" s="391"/>
      <c r="V99" s="391"/>
      <c r="W99" s="391"/>
      <c r="X99" s="391"/>
      <c r="Y99" s="391"/>
      <c r="Z99" s="391"/>
      <c r="AA99" s="391"/>
      <c r="AB99" s="53"/>
      <c r="AC99" s="53"/>
      <c r="AD99" s="53"/>
      <c r="AE99" s="53"/>
      <c r="AF99" s="53"/>
      <c r="AG99" s="45"/>
      <c r="AH99" s="45"/>
      <c r="AI99" s="45"/>
      <c r="AJ99" s="45"/>
      <c r="AK99" s="45"/>
      <c r="AL99" s="45"/>
      <c r="AM99" s="45"/>
      <c r="AN99" s="45"/>
      <c r="AO99" s="45"/>
      <c r="AP99" s="45"/>
      <c r="AQ99" s="45"/>
      <c r="AR99" s="45"/>
      <c r="AT99" s="318"/>
      <c r="AU99" s="391"/>
      <c r="AV99" s="391"/>
      <c r="AW99" s="391"/>
      <c r="AX99" s="391"/>
      <c r="AY99" s="391"/>
      <c r="BA99" s="318"/>
      <c r="BB99" s="391"/>
      <c r="BC99" s="391"/>
      <c r="BD99" s="391"/>
      <c r="BE99" s="391"/>
      <c r="BF99" s="391"/>
      <c r="BH99" s="318"/>
      <c r="BI99" s="391"/>
      <c r="BJ99" s="391"/>
      <c r="BK99" s="391"/>
      <c r="BL99" s="391"/>
      <c r="BM99" s="391"/>
      <c r="BO99" s="318"/>
      <c r="BP99" s="391"/>
      <c r="BQ99" s="391"/>
      <c r="BR99" s="391"/>
      <c r="BS99" s="391"/>
      <c r="BT99" s="391"/>
      <c r="BV99" s="318"/>
      <c r="BW99" s="391"/>
      <c r="BX99" s="391"/>
      <c r="BY99" s="391"/>
      <c r="BZ99" s="391"/>
      <c r="CA99" s="391"/>
      <c r="CC99" s="318"/>
      <c r="CD99" s="391"/>
      <c r="CE99" s="391"/>
      <c r="CF99" s="391"/>
      <c r="CG99" s="391"/>
      <c r="CH99" s="391"/>
      <c r="CJ99" s="318"/>
      <c r="CK99" s="391"/>
      <c r="CL99" s="391"/>
      <c r="CM99" s="391"/>
      <c r="CN99" s="391"/>
      <c r="CO99" s="391"/>
      <c r="CQ99" s="318"/>
      <c r="CR99" s="391"/>
      <c r="CS99" s="391"/>
      <c r="CT99" s="391"/>
      <c r="CU99" s="391"/>
      <c r="CV99" s="391"/>
      <c r="CX99" s="318"/>
      <c r="CY99" s="391"/>
      <c r="CZ99" s="391"/>
      <c r="DA99" s="391"/>
      <c r="DB99" s="391"/>
      <c r="DC99" s="391"/>
      <c r="DE99" s="318"/>
      <c r="DF99" s="391"/>
      <c r="DG99" s="391"/>
      <c r="DH99" s="391"/>
      <c r="DI99" s="391"/>
      <c r="DJ99" s="391"/>
      <c r="DL99" s="318"/>
      <c r="DM99" s="391"/>
      <c r="DN99" s="391"/>
      <c r="DO99" s="391"/>
      <c r="DP99" s="391"/>
      <c r="DQ99" s="391"/>
      <c r="DS99" s="318"/>
      <c r="DT99" s="391"/>
      <c r="DU99" s="391"/>
      <c r="DV99" s="391"/>
      <c r="DW99" s="391"/>
      <c r="DX99" s="391"/>
      <c r="DZ99" s="318"/>
      <c r="EA99" s="391"/>
      <c r="EB99" s="391"/>
      <c r="EC99" s="391"/>
      <c r="ED99" s="391"/>
      <c r="EE99" s="391"/>
      <c r="EG99" s="318"/>
      <c r="EH99" s="391"/>
      <c r="EI99" s="391"/>
      <c r="EJ99" s="391"/>
      <c r="EK99" s="391"/>
      <c r="EL99" s="391"/>
      <c r="EN99" s="318"/>
      <c r="EO99" s="391"/>
      <c r="EP99" s="391"/>
      <c r="EQ99" s="391"/>
      <c r="ER99" s="391"/>
      <c r="ES99" s="391"/>
      <c r="EU99" s="318"/>
      <c r="EV99" s="391"/>
      <c r="EW99" s="391"/>
      <c r="EX99" s="391"/>
      <c r="EY99" s="391"/>
      <c r="EZ99" s="391"/>
      <c r="FB99" s="318"/>
      <c r="FC99" s="391"/>
      <c r="FD99" s="391"/>
      <c r="FE99" s="391"/>
      <c r="FF99" s="391"/>
      <c r="FG99" s="391"/>
      <c r="FI99" s="318"/>
      <c r="FJ99" s="391"/>
      <c r="FK99" s="391"/>
      <c r="FL99" s="391"/>
      <c r="FM99" s="391"/>
      <c r="FN99" s="391"/>
      <c r="FP99" s="318"/>
      <c r="FQ99" s="391"/>
      <c r="FR99" s="391"/>
      <c r="FS99" s="391"/>
      <c r="FT99" s="391"/>
      <c r="FU99" s="391"/>
      <c r="FW99" s="318"/>
      <c r="FX99" s="391"/>
      <c r="FY99" s="391"/>
      <c r="FZ99" s="391"/>
      <c r="GA99" s="391"/>
      <c r="GB99" s="391"/>
      <c r="GD99" s="318"/>
      <c r="GE99" s="391"/>
      <c r="GF99" s="391"/>
      <c r="GG99" s="391"/>
      <c r="GH99" s="391"/>
      <c r="GI99" s="391"/>
      <c r="GK99" s="318"/>
      <c r="GL99" s="391"/>
      <c r="GM99" s="391"/>
      <c r="GN99" s="391"/>
      <c r="GO99" s="391"/>
      <c r="GP99" s="391"/>
      <c r="GR99" s="318"/>
      <c r="GS99" s="391"/>
      <c r="GT99" s="391"/>
      <c r="GU99" s="391"/>
      <c r="GV99" s="391"/>
      <c r="GW99" s="391"/>
      <c r="GY99" s="318"/>
      <c r="GZ99" s="391"/>
      <c r="HA99" s="391"/>
      <c r="HB99" s="391"/>
      <c r="HC99" s="391"/>
      <c r="HD99" s="391"/>
      <c r="HF99" s="318"/>
      <c r="HG99" s="391"/>
      <c r="HH99" s="391"/>
      <c r="HI99" s="391"/>
      <c r="HJ99" s="391"/>
      <c r="HK99" s="391"/>
      <c r="HM99" s="318"/>
      <c r="HN99" s="391"/>
      <c r="HO99" s="391"/>
      <c r="HP99" s="391"/>
      <c r="HQ99" s="391"/>
      <c r="HR99" s="391"/>
      <c r="HT99" s="318"/>
      <c r="HU99" s="391"/>
      <c r="HV99" s="391"/>
      <c r="HW99" s="391"/>
      <c r="HX99" s="391"/>
      <c r="HY99" s="53"/>
      <c r="IA99" s="318"/>
      <c r="IB99" s="391"/>
      <c r="IC99" s="391"/>
      <c r="ID99" s="391"/>
      <c r="IE99" s="391"/>
      <c r="IF99" s="53"/>
      <c r="IH99" s="318"/>
      <c r="II99" s="391"/>
      <c r="IJ99" s="391"/>
      <c r="IK99" s="391"/>
      <c r="IL99" s="391"/>
      <c r="IM99" s="53"/>
      <c r="IO99" s="318"/>
      <c r="IP99" s="391"/>
      <c r="IQ99" s="391"/>
      <c r="IR99" s="391"/>
      <c r="IS99" s="391"/>
      <c r="IT99" s="53"/>
    </row>
    <row r="100" spans="1:254" x14ac:dyDescent="0.4">
      <c r="B100" s="318" t="s">
        <v>215</v>
      </c>
      <c r="C100" s="319">
        <f>AY100</f>
        <v>0</v>
      </c>
      <c r="D100" s="319">
        <f>BF100</f>
        <v>0</v>
      </c>
      <c r="E100" s="319">
        <f>BM100</f>
        <v>0</v>
      </c>
      <c r="F100" s="319">
        <f>BT100</f>
        <v>0</v>
      </c>
      <c r="G100" s="319">
        <f>CA100</f>
        <v>0</v>
      </c>
      <c r="H100" s="319">
        <f>CH100</f>
        <v>0</v>
      </c>
      <c r="I100" s="319">
        <f>CO100</f>
        <v>1136</v>
      </c>
      <c r="J100" s="319">
        <f>CV100</f>
        <v>1639</v>
      </c>
      <c r="K100" s="319">
        <f>DC100</f>
        <v>1773</v>
      </c>
      <c r="L100" s="319">
        <f>DJ100</f>
        <v>1719</v>
      </c>
      <c r="M100" s="319">
        <f>DQ100</f>
        <v>1426</v>
      </c>
      <c r="N100" s="319">
        <f>DX100</f>
        <v>1840</v>
      </c>
      <c r="O100" s="319">
        <f>EE100</f>
        <v>2297</v>
      </c>
      <c r="P100" s="319">
        <f>EL100</f>
        <v>2341</v>
      </c>
      <c r="Q100" s="319">
        <f>ES100</f>
        <v>2313</v>
      </c>
      <c r="R100" s="319">
        <f>EZ100</f>
        <v>2449</v>
      </c>
      <c r="S100" s="319">
        <f>FG100</f>
        <v>2562</v>
      </c>
      <c r="T100" s="319">
        <f>FN100</f>
        <v>2398</v>
      </c>
      <c r="U100" s="319">
        <f>FU100</f>
        <v>2040</v>
      </c>
      <c r="V100" s="319">
        <f>GB100</f>
        <v>1745</v>
      </c>
      <c r="W100" s="319">
        <f>GI100</f>
        <v>1657</v>
      </c>
      <c r="X100" s="319">
        <f>GP100</f>
        <v>1626</v>
      </c>
      <c r="Y100" s="319">
        <f>GW100</f>
        <v>1791</v>
      </c>
      <c r="Z100" s="319">
        <f>HD100</f>
        <v>2133</v>
      </c>
      <c r="AA100" s="319">
        <f>HK100</f>
        <v>2281</v>
      </c>
      <c r="AB100" s="130">
        <f>HR100</f>
        <v>2529</v>
      </c>
      <c r="AC100" s="130">
        <f>HY100</f>
        <v>2902</v>
      </c>
      <c r="AD100" s="130">
        <f>IF100</f>
        <v>2499.2170678124999</v>
      </c>
      <c r="AE100" s="130">
        <f>IM100</f>
        <v>2536.6442563482342</v>
      </c>
      <c r="AF100" s="130">
        <f>IT100</f>
        <v>2651.4157868192756</v>
      </c>
      <c r="AG100" s="376"/>
      <c r="AH100" s="376"/>
      <c r="AI100" s="376"/>
      <c r="AJ100" s="376"/>
      <c r="AK100" s="376"/>
      <c r="AL100" s="376"/>
      <c r="AM100" s="376"/>
      <c r="AN100" s="376"/>
      <c r="AO100" s="376"/>
      <c r="AP100" s="376"/>
      <c r="AQ100" s="376"/>
      <c r="AR100" s="376"/>
      <c r="AT100" s="318" t="s">
        <v>215</v>
      </c>
      <c r="AU100" s="319"/>
      <c r="AV100" s="319"/>
      <c r="AW100" s="319"/>
      <c r="AX100" s="319"/>
      <c r="AY100" s="319"/>
      <c r="BA100" s="318" t="s">
        <v>215</v>
      </c>
      <c r="BB100" s="319"/>
      <c r="BC100" s="319"/>
      <c r="BD100" s="319"/>
      <c r="BE100" s="319"/>
      <c r="BF100" s="319"/>
      <c r="BH100" s="318" t="s">
        <v>215</v>
      </c>
      <c r="BI100" s="319"/>
      <c r="BJ100" s="319"/>
      <c r="BK100" s="319"/>
      <c r="BL100" s="319"/>
      <c r="BM100" s="319"/>
      <c r="BO100" s="318" t="s">
        <v>215</v>
      </c>
      <c r="BP100" s="319"/>
      <c r="BQ100" s="319"/>
      <c r="BR100" s="319"/>
      <c r="BS100" s="319"/>
      <c r="BT100" s="319"/>
      <c r="BV100" s="318" t="s">
        <v>215</v>
      </c>
      <c r="BW100" s="319"/>
      <c r="BX100" s="319"/>
      <c r="BY100" s="319"/>
      <c r="BZ100" s="319"/>
      <c r="CA100" s="319"/>
      <c r="CC100" s="318" t="s">
        <v>215</v>
      </c>
      <c r="CD100" s="319"/>
      <c r="CE100" s="319"/>
      <c r="CF100" s="319"/>
      <c r="CG100" s="319"/>
      <c r="CH100" s="319"/>
      <c r="CJ100" s="318" t="s">
        <v>215</v>
      </c>
      <c r="CK100" s="319" t="s">
        <v>80</v>
      </c>
      <c r="CL100" s="319" t="s">
        <v>80</v>
      </c>
      <c r="CM100" s="319" t="s">
        <v>80</v>
      </c>
      <c r="CN100" s="319" t="s">
        <v>80</v>
      </c>
      <c r="CO100" s="319">
        <f>-CF!AU37</f>
        <v>1136</v>
      </c>
      <c r="CQ100" s="318" t="s">
        <v>215</v>
      </c>
      <c r="CR100" s="319">
        <f>-SUM(CF!AR37:AT37,CF!AX37)</f>
        <v>1336</v>
      </c>
      <c r="CS100" s="319">
        <f>-SUM(CF!AS37:AT37,CF!AX37:AY37)</f>
        <v>1634</v>
      </c>
      <c r="CT100" s="319">
        <f>-SUM(CF!AX37:AZ37,CF!AT37)</f>
        <v>1614</v>
      </c>
      <c r="CU100" s="319">
        <f>-SUM(CF!AX37:BA37)</f>
        <v>1639</v>
      </c>
      <c r="CV100" s="319">
        <f>-CF!BB37</f>
        <v>1639</v>
      </c>
      <c r="CX100" s="318" t="s">
        <v>215</v>
      </c>
      <c r="CY100" s="319">
        <f>-SUM(CF!AY37:BA37,CF!BE37)</f>
        <v>1700</v>
      </c>
      <c r="CZ100" s="319">
        <f>-SUM(CF!AZ37:BA37,CF!BE37:BF37)</f>
        <v>1584</v>
      </c>
      <c r="DA100" s="319">
        <f>-SUM(CF!BE37:BG37,CF!BA37)</f>
        <v>1630</v>
      </c>
      <c r="DB100" s="319">
        <f>-SUM(CF!BE37:BH37)</f>
        <v>1773</v>
      </c>
      <c r="DC100" s="319">
        <f>-CF!BI37</f>
        <v>1773</v>
      </c>
      <c r="DE100" s="318" t="s">
        <v>215</v>
      </c>
      <c r="DF100" s="319">
        <f>-SUM(CF!BF37:BH37,CF!BL37)</f>
        <v>1791</v>
      </c>
      <c r="DG100" s="319">
        <f>-SUM(CF!BG37:BH37,CF!BL37:BM37)</f>
        <v>1861</v>
      </c>
      <c r="DH100" s="319">
        <f>-SUM(CF!BL37:BN37,CF!BH37)</f>
        <v>1886</v>
      </c>
      <c r="DI100" s="319">
        <f>-SUM(CF!BL37:BO37)</f>
        <v>1719</v>
      </c>
      <c r="DJ100" s="319">
        <f>-CF!BP37</f>
        <v>1719</v>
      </c>
      <c r="DL100" s="318" t="s">
        <v>215</v>
      </c>
      <c r="DM100" s="319">
        <f>-SUM(CF!BM37:BO37,CF!BS37)</f>
        <v>1582</v>
      </c>
      <c r="DN100" s="319">
        <f>-SUM(CF!BN37:BO37,CF!BS37:BT37)</f>
        <v>1464</v>
      </c>
      <c r="DO100" s="319">
        <f>-SUM(CF!BS37:BU37,CF!BO37)</f>
        <v>1442</v>
      </c>
      <c r="DP100" s="319">
        <f>-SUM(CF!BS37:BV37)</f>
        <v>1426</v>
      </c>
      <c r="DQ100" s="319">
        <f>-CF!BW37</f>
        <v>1426</v>
      </c>
      <c r="DS100" s="318" t="s">
        <v>215</v>
      </c>
      <c r="DT100" s="319">
        <f>-SUM(CF!BT37:BV37,CF!BZ37)</f>
        <v>1445</v>
      </c>
      <c r="DU100" s="319">
        <f>-SUM(CF!BU37:BV37,CF!BZ37:CA37)</f>
        <v>1456</v>
      </c>
      <c r="DV100" s="319">
        <f>-SUM(CF!BZ37:CB37,CF!BV37)</f>
        <v>1498</v>
      </c>
      <c r="DW100" s="319">
        <f>-SUM(CF!BZ37:CC37)</f>
        <v>1840</v>
      </c>
      <c r="DX100" s="319">
        <f>-CF!CD37</f>
        <v>1840</v>
      </c>
      <c r="DZ100" s="318" t="s">
        <v>215</v>
      </c>
      <c r="EA100" s="319">
        <f>-SUM(CF!CA37:CC37,CF!CG37)</f>
        <v>1891</v>
      </c>
      <c r="EB100" s="319">
        <f>-SUM(CF!CB37:CC37,CF!CG37:CH37)</f>
        <v>2098</v>
      </c>
      <c r="EC100" s="319">
        <f>-SUM(CF!CG37:CI37,CF!CC37)</f>
        <v>2173</v>
      </c>
      <c r="ED100" s="319">
        <f>-SUM(CF!CG37:CJ37)</f>
        <v>2297</v>
      </c>
      <c r="EE100" s="319">
        <f>-CF!CK37</f>
        <v>2297</v>
      </c>
      <c r="EG100" s="318" t="s">
        <v>215</v>
      </c>
      <c r="EH100" s="319">
        <f>-SUM(CF!CH37:CJ37,CF!CN37)</f>
        <v>2387</v>
      </c>
      <c r="EI100" s="319">
        <f>-SUM(CF!CI37:CJ37,CF!CN37:CO37)</f>
        <v>2575</v>
      </c>
      <c r="EJ100" s="319">
        <f>-SUM(CF!CN37:CP37,CF!CJ37)</f>
        <v>2691</v>
      </c>
      <c r="EK100" s="319">
        <f>-SUM(CF!CN37:CQ37)</f>
        <v>2341</v>
      </c>
      <c r="EL100" s="319">
        <f>-CF!CR37</f>
        <v>2341</v>
      </c>
      <c r="EN100" s="318" t="s">
        <v>215</v>
      </c>
      <c r="EO100" s="319">
        <f>-SUM(CF!CO37:CQ37,CF!CU37)</f>
        <v>2363</v>
      </c>
      <c r="EP100" s="319">
        <f>-SUM(CF!CP37:CQ37,CF!CU37:CV37)</f>
        <v>2203</v>
      </c>
      <c r="EQ100" s="319">
        <f>-SUM(CF!CU37:CW37,CF!CQ37)</f>
        <v>2198</v>
      </c>
      <c r="ER100" s="319">
        <f>-SUM(CF!CU37:CX37)</f>
        <v>2313</v>
      </c>
      <c r="ES100" s="319">
        <f>-CF!CY37</f>
        <v>2313</v>
      </c>
      <c r="EU100" s="318" t="s">
        <v>215</v>
      </c>
      <c r="EV100" s="319">
        <f>-SUM(CF!CV37:CX37,CF!DB37)</f>
        <v>2297</v>
      </c>
      <c r="EW100" s="319">
        <f>-SUM(CF!CW37:CX37,CF!DB37:DC37)</f>
        <v>2184</v>
      </c>
      <c r="EX100" s="319">
        <f>-SUM(CF!DB37:DD37,CF!CX37)</f>
        <v>2183</v>
      </c>
      <c r="EY100" s="319">
        <f>-SUM(CF!DB37:DE37)</f>
        <v>2449</v>
      </c>
      <c r="EZ100" s="319">
        <f>-CF!DF37</f>
        <v>2449</v>
      </c>
      <c r="FB100" s="318" t="s">
        <v>215</v>
      </c>
      <c r="FC100" s="319">
        <f>-SUM(CF!DC37:DE37,CF!DI37)</f>
        <v>2572</v>
      </c>
      <c r="FD100" s="319">
        <f>-SUM(CF!DD37:DE37,CF!DI37:DJ37)</f>
        <v>2781</v>
      </c>
      <c r="FE100" s="319">
        <f>-SUM(CF!DI37:DK37,CF!DE37)</f>
        <v>2801</v>
      </c>
      <c r="FF100" s="319">
        <f>-SUM(CF!DI37:DL37)</f>
        <v>2562</v>
      </c>
      <c r="FG100" s="319">
        <f>-CF!DM37</f>
        <v>2562</v>
      </c>
      <c r="FI100" s="318" t="s">
        <v>215</v>
      </c>
      <c r="FJ100" s="319">
        <f>-SUM(CF!DJ37:DL37,CF!DP37)</f>
        <v>2389</v>
      </c>
      <c r="FK100" s="319">
        <f>-SUM(CF!DK37:DL37,CF!DP37:DQ37)</f>
        <v>2340</v>
      </c>
      <c r="FL100" s="319">
        <f>-SUM(CF!DP37:DR37,CF!DL37)</f>
        <v>2243</v>
      </c>
      <c r="FM100" s="319">
        <f>-SUM(CF!DP37:DS37)</f>
        <v>2398</v>
      </c>
      <c r="FN100" s="319">
        <f>-CF!DT37</f>
        <v>2398</v>
      </c>
      <c r="FP100" s="318" t="s">
        <v>215</v>
      </c>
      <c r="FQ100" s="319">
        <f>-SUM(CF!DQ37:DS37,CF!DW37)</f>
        <v>2414</v>
      </c>
      <c r="FR100" s="319">
        <f>-SUM(CF!DR37:DS37,CF!DW37:DX37)</f>
        <v>2287</v>
      </c>
      <c r="FS100" s="319">
        <f>-SUM(CF!DW37:DY37,CF!DS37)</f>
        <v>2270</v>
      </c>
      <c r="FT100" s="319">
        <f>-SUM(CF!DW37:DZ37)</f>
        <v>2040</v>
      </c>
      <c r="FU100" s="319">
        <f>-CF!EA37</f>
        <v>2040</v>
      </c>
      <c r="FW100" s="318" t="s">
        <v>215</v>
      </c>
      <c r="FX100" s="319">
        <f>-SUM(CF!DX37:DZ37,CF!ED37)</f>
        <v>1967</v>
      </c>
      <c r="FY100" s="319">
        <f>-SUM(CF!DY37:DZ37,CF!ED37:EE37)</f>
        <v>1908</v>
      </c>
      <c r="FZ100" s="319">
        <f>-SUM(CF!ED37:EF37,CF!DZ37)</f>
        <v>1818</v>
      </c>
      <c r="GA100" s="319">
        <f>-SUM(CF!ED37:EG37)</f>
        <v>1745</v>
      </c>
      <c r="GB100" s="319">
        <f>-CF!EH37</f>
        <v>1745</v>
      </c>
      <c r="GD100" s="318" t="s">
        <v>215</v>
      </c>
      <c r="GE100" s="319">
        <f>-SUM(CF!EE37:EG37,CF!EK37)</f>
        <v>1730</v>
      </c>
      <c r="GF100" s="319">
        <f>-SUM(CF!EF37:EG37,CF!EK37:EL37)</f>
        <v>1691</v>
      </c>
      <c r="GG100" s="319">
        <f>-SUM(CF!EK37:EM37,CF!EG37)</f>
        <v>1696</v>
      </c>
      <c r="GH100" s="319">
        <f>-SUM(CF!EK37:EN37)</f>
        <v>1657</v>
      </c>
      <c r="GI100" s="319">
        <f>-CF!EO37</f>
        <v>1657</v>
      </c>
      <c r="GK100" s="318" t="s">
        <v>215</v>
      </c>
      <c r="GL100" s="319">
        <f>-SUM(CF!EL37:EN37,CF!ER37)</f>
        <v>1685</v>
      </c>
      <c r="GM100" s="319">
        <f>-SUM(CF!EM37:EN37,CF!ER37:ES37)</f>
        <v>1689</v>
      </c>
      <c r="GN100" s="319">
        <f>-SUM(CF!ER37:ET37,CF!EN37)</f>
        <v>1675</v>
      </c>
      <c r="GO100" s="319">
        <f>-SUM(CF!ER37:EU37)</f>
        <v>1626</v>
      </c>
      <c r="GP100" s="319">
        <f>-CF!EV37</f>
        <v>1626</v>
      </c>
      <c r="GR100" s="318" t="s">
        <v>215</v>
      </c>
      <c r="GS100" s="319">
        <f>-SUM(CF!ES37:EU37,CF!EY37)</f>
        <v>1551</v>
      </c>
      <c r="GT100" s="319">
        <f>-SUM(CF!ET37:EU37,CF!EY37:EZ37)</f>
        <v>1579</v>
      </c>
      <c r="GU100" s="319">
        <f>-SUM(CF!EY37:FA37,CF!EU37)</f>
        <v>1636</v>
      </c>
      <c r="GV100" s="319">
        <f>-SUM(CF!EY37:FB37)</f>
        <v>1791</v>
      </c>
      <c r="GW100" s="319">
        <f>-CF!FC37</f>
        <v>1791</v>
      </c>
      <c r="GY100" s="318" t="s">
        <v>215</v>
      </c>
      <c r="GZ100" s="319">
        <f>-SUM(CF!EZ37:FB37,CF!FF37)</f>
        <v>1816</v>
      </c>
      <c r="HA100" s="319">
        <f>-SUM(CF!FA37:FB37,CF!FF37:FG37)</f>
        <v>1848</v>
      </c>
      <c r="HB100" s="319">
        <f>-SUM(CF!FF37:FH37,CF!FB37)</f>
        <v>2009</v>
      </c>
      <c r="HC100" s="319">
        <f>-SUM(CF!FF37:FI37)</f>
        <v>2133</v>
      </c>
      <c r="HD100" s="319">
        <f>-CF!FJ37</f>
        <v>2133</v>
      </c>
      <c r="HF100" s="318" t="s">
        <v>215</v>
      </c>
      <c r="HG100" s="319">
        <f>-SUM(CF!FG37:FI37,CF!FM37)</f>
        <v>2245</v>
      </c>
      <c r="HH100" s="319">
        <f>-SUM(CF!FH37:FI37,CF!FM37:FN37)</f>
        <v>2337</v>
      </c>
      <c r="HI100" s="319">
        <f>-SUM(CF!FM37:FO37,CF!FI37)</f>
        <v>2286</v>
      </c>
      <c r="HJ100" s="319">
        <f>-SUM(CF!FM37:FP37)</f>
        <v>2281</v>
      </c>
      <c r="HK100" s="319">
        <f>-CF!FQ37</f>
        <v>2281</v>
      </c>
      <c r="HM100" s="318" t="s">
        <v>215</v>
      </c>
      <c r="HN100" s="319">
        <f>-SUM(CF!FN37:FP37,CF!FT37)</f>
        <v>2355</v>
      </c>
      <c r="HO100" s="319">
        <f>-SUM(CF!FO37:FP37,CF!FT37:FU37)</f>
        <v>2332</v>
      </c>
      <c r="HP100" s="319">
        <f>-SUM(CF!FT37:FV37,CF!FP37)</f>
        <v>2382</v>
      </c>
      <c r="HQ100" s="319">
        <f>-SUM(CF!FT37:FW37)</f>
        <v>2529</v>
      </c>
      <c r="HR100" s="319">
        <f>-CF!FX37</f>
        <v>2529</v>
      </c>
      <c r="HT100" s="318" t="s">
        <v>215</v>
      </c>
      <c r="HU100" s="319">
        <f>-SUM(CF!FU37:FW37,CF!GA37)</f>
        <v>2731</v>
      </c>
      <c r="HV100" s="319">
        <f>-SUM(CF!FV37:FW37,CF!GA37:GB37)</f>
        <v>2958</v>
      </c>
      <c r="HW100" s="319">
        <f>-SUM(CF!GA37:GC37,CF!FW37)</f>
        <v>3063</v>
      </c>
      <c r="HX100" s="319">
        <f>-SUM(CF!GA37:GD37)</f>
        <v>2902</v>
      </c>
      <c r="HY100" s="130">
        <f>-CF!GE37</f>
        <v>2902</v>
      </c>
      <c r="IA100" s="318" t="s">
        <v>215</v>
      </c>
      <c r="IB100" s="319">
        <f>-SUM(CF!GB37:GD37,CF!GH37)</f>
        <v>2801.17951234375</v>
      </c>
      <c r="IC100" s="319">
        <f>-SUM(CF!GC37:GD37,CF!GH37:GI37)</f>
        <v>2646.0667089062499</v>
      </c>
      <c r="ID100" s="319">
        <f>-SUM(CF!GH37:GJ37,CF!GD37)</f>
        <v>2542.06977453125</v>
      </c>
      <c r="IE100" s="319">
        <f>-SUM(CF!GH37:GK37)</f>
        <v>2499.2170678124999</v>
      </c>
      <c r="IF100" s="130">
        <f>-CF!GL37</f>
        <v>2499.2170678124999</v>
      </c>
      <c r="IH100" s="318" t="s">
        <v>215</v>
      </c>
      <c r="II100" s="319">
        <f>-SUM(CF!GI37:GK37,CF!GO37)</f>
        <v>2504.1815944360524</v>
      </c>
      <c r="IJ100" s="319">
        <f>-SUM(CF!GJ37:GK37,CF!GO37:GP37)</f>
        <v>2513.793615627862</v>
      </c>
      <c r="IK100" s="319">
        <f>-SUM(CF!GO37:GQ37,CF!GK37)</f>
        <v>2525.6030505716549</v>
      </c>
      <c r="IL100" s="319">
        <f>-SUM(CF!GO37:GR37)</f>
        <v>2536.6442563482342</v>
      </c>
      <c r="IM100" s="130">
        <f>-CF!GS37</f>
        <v>2536.6442563482342</v>
      </c>
      <c r="IO100" s="318" t="s">
        <v>215</v>
      </c>
      <c r="IP100" s="319">
        <f>-SUM(CF!GP37:GR37,CF!GV37)</f>
        <v>2565.6051525653743</v>
      </c>
      <c r="IQ100" s="319">
        <f>-SUM(CF!GQ37:GR37,CF!GV37:GW37)</f>
        <v>2594.3632800259252</v>
      </c>
      <c r="IR100" s="319">
        <f>-SUM(CF!GV37:GX37,CF!GR37)</f>
        <v>2623.0371968435229</v>
      </c>
      <c r="IS100" s="319">
        <f>-SUM(CF!GV37:GY37)</f>
        <v>2651.4157868192756</v>
      </c>
      <c r="IT100" s="130">
        <f>-CF!GZ37</f>
        <v>2651.4157868192756</v>
      </c>
    </row>
    <row r="101" spans="1:254" x14ac:dyDescent="0.4">
      <c r="A101" s="130"/>
      <c r="B101" s="377" t="s">
        <v>6</v>
      </c>
      <c r="C101" s="378">
        <f>AY101</f>
        <v>0</v>
      </c>
      <c r="D101" s="378">
        <f>BF101</f>
        <v>0</v>
      </c>
      <c r="E101" s="378">
        <f>BM101</f>
        <v>0</v>
      </c>
      <c r="F101" s="378">
        <f>BT101</f>
        <v>0</v>
      </c>
      <c r="G101" s="378">
        <f>CA101</f>
        <v>0</v>
      </c>
      <c r="H101" s="378">
        <f>CH101</f>
        <v>0</v>
      </c>
      <c r="I101" s="378">
        <f>CO101</f>
        <v>0.13207766538774562</v>
      </c>
      <c r="J101" s="378">
        <f>CV101</f>
        <v>0.17133598160150534</v>
      </c>
      <c r="K101" s="378">
        <f>DC101</f>
        <v>0.17676969092721834</v>
      </c>
      <c r="L101" s="378">
        <f>DJ101</f>
        <v>0.15273211905819636</v>
      </c>
      <c r="M101" s="378">
        <f>DQ101</f>
        <v>0.15772591527485896</v>
      </c>
      <c r="N101" s="378">
        <f>DX101</f>
        <v>0.17299736743136518</v>
      </c>
      <c r="O101" s="378">
        <f>EE101</f>
        <v>0.19560589287234947</v>
      </c>
      <c r="P101" s="378">
        <f>EL101</f>
        <v>0.19913235794487921</v>
      </c>
      <c r="Q101" s="378">
        <f>ES101</f>
        <v>0.19182285619505723</v>
      </c>
      <c r="R101" s="378">
        <f>EZ101</f>
        <v>0.19330649617175782</v>
      </c>
      <c r="S101" s="378">
        <f>FG101</f>
        <v>0.21691643383286766</v>
      </c>
      <c r="T101" s="378">
        <f>FN101</f>
        <v>0.2166410696539886</v>
      </c>
      <c r="U101" s="378">
        <f>FU101</f>
        <v>0.17882187938288921</v>
      </c>
      <c r="V101" s="378">
        <f>GB101</f>
        <v>0.14244897959183672</v>
      </c>
      <c r="W101" s="378">
        <f>GI101</f>
        <v>0.13881209684175252</v>
      </c>
      <c r="X101" s="378">
        <f>GP101</f>
        <v>0.15364263441368231</v>
      </c>
      <c r="Y101" s="378">
        <f>GW101</f>
        <v>0.1430282702443699</v>
      </c>
      <c r="Z101" s="378">
        <f>HD101</f>
        <v>0.1436073520500909</v>
      </c>
      <c r="AA101" s="378">
        <f>HK101</f>
        <v>0.15562529849218804</v>
      </c>
      <c r="AB101" s="378">
        <f>HR101</f>
        <v>0.17393397524071527</v>
      </c>
      <c r="AC101" s="378">
        <f>HY101</f>
        <v>0.20593244393982402</v>
      </c>
      <c r="AD101" s="378">
        <f>IF101</f>
        <v>0.17242168795050472</v>
      </c>
      <c r="AE101" s="378">
        <f>IM101</f>
        <v>0.16709439342491597</v>
      </c>
      <c r="AF101" s="378">
        <f>IT101</f>
        <v>0.16729613541762742</v>
      </c>
      <c r="AG101" s="379"/>
      <c r="AH101" s="379"/>
      <c r="AI101" s="379"/>
      <c r="AJ101" s="379"/>
      <c r="AK101" s="379"/>
      <c r="AL101" s="379"/>
      <c r="AM101" s="379"/>
      <c r="AN101" s="379"/>
      <c r="AO101" s="379"/>
      <c r="AP101" s="379"/>
      <c r="AQ101" s="379"/>
      <c r="AR101" s="379"/>
      <c r="AT101" s="377" t="s">
        <v>6</v>
      </c>
      <c r="AU101" s="378"/>
      <c r="AV101" s="378"/>
      <c r="AW101" s="378"/>
      <c r="AX101" s="378"/>
      <c r="AY101" s="378"/>
      <c r="BA101" s="377" t="s">
        <v>6</v>
      </c>
      <c r="BB101" s="378"/>
      <c r="BC101" s="378"/>
      <c r="BD101" s="378"/>
      <c r="BE101" s="378"/>
      <c r="BF101" s="378"/>
      <c r="BH101" s="377" t="s">
        <v>6</v>
      </c>
      <c r="BI101" s="378"/>
      <c r="BJ101" s="378"/>
      <c r="BK101" s="378"/>
      <c r="BL101" s="378"/>
      <c r="BM101" s="378"/>
      <c r="BO101" s="377" t="s">
        <v>6</v>
      </c>
      <c r="BP101" s="378"/>
      <c r="BQ101" s="378"/>
      <c r="BR101" s="378"/>
      <c r="BS101" s="378"/>
      <c r="BT101" s="378"/>
      <c r="BV101" s="377" t="s">
        <v>6</v>
      </c>
      <c r="BW101" s="378"/>
      <c r="BX101" s="378"/>
      <c r="BY101" s="378"/>
      <c r="BZ101" s="378"/>
      <c r="CA101" s="378"/>
      <c r="CC101" s="377" t="s">
        <v>6</v>
      </c>
      <c r="CD101" s="378"/>
      <c r="CE101" s="378"/>
      <c r="CF101" s="378"/>
      <c r="CG101" s="378"/>
      <c r="CH101" s="378"/>
      <c r="CJ101" s="377" t="s">
        <v>6</v>
      </c>
      <c r="CK101" s="378" t="s">
        <v>80</v>
      </c>
      <c r="CL101" s="378" t="s">
        <v>80</v>
      </c>
      <c r="CM101" s="378" t="s">
        <v>80</v>
      </c>
      <c r="CN101" s="378" t="s">
        <v>80</v>
      </c>
      <c r="CO101" s="378">
        <f>CO100/CO$69</f>
        <v>0.13207766538774562</v>
      </c>
      <c r="CQ101" s="377" t="s">
        <v>6</v>
      </c>
      <c r="CR101" s="378">
        <f>CR100/CR$69</f>
        <v>0.1514052583862194</v>
      </c>
      <c r="CS101" s="378">
        <f>CS100/CS$69</f>
        <v>0.17963940193491645</v>
      </c>
      <c r="CT101" s="378">
        <f>CT100/CT$69</f>
        <v>0.1719032910853126</v>
      </c>
      <c r="CU101" s="378">
        <f>CU100/CU$69</f>
        <v>0.17133598160150534</v>
      </c>
      <c r="CV101" s="378">
        <f>CV100/CV$69</f>
        <v>0.17133598160150534</v>
      </c>
      <c r="CX101" s="377" t="s">
        <v>6</v>
      </c>
      <c r="CY101" s="378">
        <f>CY100/CY$69</f>
        <v>0.17603810707258982</v>
      </c>
      <c r="CZ101" s="378">
        <f>CZ100/CZ$69</f>
        <v>0.1621953716977268</v>
      </c>
      <c r="DA101" s="378">
        <f>DA100/DA$69</f>
        <v>0.16549903543506955</v>
      </c>
      <c r="DB101" s="378">
        <f>DB100/DB$69</f>
        <v>0.17676969092721834</v>
      </c>
      <c r="DC101" s="378">
        <f>DC100/DC$69</f>
        <v>0.17676969092721834</v>
      </c>
      <c r="DE101" s="377" t="s">
        <v>6</v>
      </c>
      <c r="DF101" s="378">
        <f>DF100/DF$69</f>
        <v>0.17352969673481253</v>
      </c>
      <c r="DG101" s="378">
        <f>DG100/DG$69</f>
        <v>0.17395774911198356</v>
      </c>
      <c r="DH101" s="378">
        <f>DH100/DH$69</f>
        <v>0.16902670729521418</v>
      </c>
      <c r="DI101" s="378">
        <f>DI100/DI$69</f>
        <v>0.15273211905819636</v>
      </c>
      <c r="DJ101" s="378">
        <f>DJ100/DJ$69</f>
        <v>0.15273211905819636</v>
      </c>
      <c r="DL101" s="377" t="s">
        <v>6</v>
      </c>
      <c r="DM101" s="378">
        <f>DM100/DM$69</f>
        <v>0.1466308276948744</v>
      </c>
      <c r="DN101" s="378">
        <f>DN100/DN$69</f>
        <v>0.14542564815734579</v>
      </c>
      <c r="DO101" s="378">
        <f>DO100/DO$69</f>
        <v>0.15348589675359234</v>
      </c>
      <c r="DP101" s="378">
        <f>DP100/DP$69</f>
        <v>0.15772591527485896</v>
      </c>
      <c r="DQ101" s="378">
        <f>DQ100/DQ$69</f>
        <v>0.15772591527485896</v>
      </c>
      <c r="DS101" s="377" t="s">
        <v>6</v>
      </c>
      <c r="DT101" s="378">
        <f>DT100/DT$69</f>
        <v>0.15562735595045774</v>
      </c>
      <c r="DU101" s="378">
        <f>DU100/DU$69</f>
        <v>0.14913448735019974</v>
      </c>
      <c r="DV101" s="378">
        <f>DV100/DV$69</f>
        <v>0.14773175542406311</v>
      </c>
      <c r="DW101" s="378">
        <f>DW100/DW$69</f>
        <v>0.17299736743136518</v>
      </c>
      <c r="DX101" s="378">
        <f>DX100/DX$69</f>
        <v>0.17299736743136518</v>
      </c>
      <c r="DZ101" s="377" t="s">
        <v>6</v>
      </c>
      <c r="EA101" s="378">
        <f>EA100/EA$69</f>
        <v>0.1726152441807394</v>
      </c>
      <c r="EB101" s="378">
        <f>EB100/EB$69</f>
        <v>0.18548315798779949</v>
      </c>
      <c r="EC101" s="378">
        <f>EC100/EC$69</f>
        <v>0.18719848380427292</v>
      </c>
      <c r="ED101" s="378">
        <f>ED100/ED$69</f>
        <v>0.19560589287234947</v>
      </c>
      <c r="EE101" s="378">
        <f>EE100/EE$69</f>
        <v>0.19560589287234947</v>
      </c>
      <c r="EG101" s="377" t="s">
        <v>6</v>
      </c>
      <c r="EH101" s="378">
        <f>EH100/EH$69</f>
        <v>0.20060509286494663</v>
      </c>
      <c r="EI101" s="378">
        <f>EI100/EI$69</f>
        <v>0.21653212243525058</v>
      </c>
      <c r="EJ101" s="378">
        <f>EJ100/EJ$69</f>
        <v>0.22760720629281908</v>
      </c>
      <c r="EK101" s="378">
        <f>EK100/EK$69</f>
        <v>0.19913235794487921</v>
      </c>
      <c r="EL101" s="378">
        <f>EL100/EL$69</f>
        <v>0.19913235794487921</v>
      </c>
      <c r="EN101" s="377" t="s">
        <v>6</v>
      </c>
      <c r="EO101" s="378">
        <f>EO100/EO$69</f>
        <v>0.20114061967994551</v>
      </c>
      <c r="EP101" s="378">
        <f>EP100/EP$69</f>
        <v>0.18661584074544685</v>
      </c>
      <c r="EQ101" s="378">
        <f>EQ100/EQ$69</f>
        <v>0.18455079764903443</v>
      </c>
      <c r="ER101" s="378">
        <f>ER100/ER$69</f>
        <v>0.19182285619505723</v>
      </c>
      <c r="ES101" s="378">
        <f>ES100/ES$69</f>
        <v>0.19182285619505723</v>
      </c>
      <c r="EU101" s="377" t="s">
        <v>6</v>
      </c>
      <c r="EV101" s="378">
        <f>EV100/EV$69</f>
        <v>0.18964663143989433</v>
      </c>
      <c r="EW101" s="378">
        <f>EW100/EW$69</f>
        <v>0.17774884023764956</v>
      </c>
      <c r="EX101" s="378">
        <f>EX100/EX$69</f>
        <v>0.17451434966823887</v>
      </c>
      <c r="EY101" s="378">
        <f>EY100/EY$69</f>
        <v>0.19330649617175782</v>
      </c>
      <c r="EZ101" s="378">
        <f>EZ100/EZ$69</f>
        <v>0.19330649617175782</v>
      </c>
      <c r="FB101" s="377" t="s">
        <v>6</v>
      </c>
      <c r="FC101" s="378">
        <f>FC100/FC$69</f>
        <v>0.20277514979501735</v>
      </c>
      <c r="FD101" s="378">
        <f>FD100/FD$69</f>
        <v>0.22240882917466412</v>
      </c>
      <c r="FE101" s="378">
        <f>FE100/FE$69</f>
        <v>0.22917689412534772</v>
      </c>
      <c r="FF101" s="378">
        <f>FF100/FF$69</f>
        <v>0.21691643383286766</v>
      </c>
      <c r="FG101" s="378">
        <f>FG100/FG$69</f>
        <v>0.21691643383286766</v>
      </c>
      <c r="FI101" s="377" t="s">
        <v>6</v>
      </c>
      <c r="FJ101" s="378">
        <f>FJ100/FJ$69</f>
        <v>0.20952464479915806</v>
      </c>
      <c r="FK101" s="378">
        <f>FK100/FK$69</f>
        <v>0.21191813077341062</v>
      </c>
      <c r="FL101" s="378">
        <f>FL100/FL$69</f>
        <v>0.20743549431240174</v>
      </c>
      <c r="FM101" s="378">
        <f>FM100/FM$69</f>
        <v>0.2166410696539886</v>
      </c>
      <c r="FN101" s="378">
        <f>FN100/FN$69</f>
        <v>0.2166410696539886</v>
      </c>
      <c r="FP101" s="377" t="s">
        <v>6</v>
      </c>
      <c r="FQ101" s="378">
        <f>FQ100/FQ$69</f>
        <v>0.21325088339222614</v>
      </c>
      <c r="FR101" s="378">
        <f>FR100/FR$69</f>
        <v>0.19802580309983547</v>
      </c>
      <c r="FS101" s="378">
        <f>FS100/FS$69</f>
        <v>0.19599378345708859</v>
      </c>
      <c r="FT101" s="378">
        <f>FT100/FT$69</f>
        <v>0.17882187938288921</v>
      </c>
      <c r="FU101" s="378">
        <f>FU100/FU$69</f>
        <v>0.17882187938288921</v>
      </c>
      <c r="FW101" s="377" t="s">
        <v>6</v>
      </c>
      <c r="FX101" s="378">
        <f>FX100/FX$69</f>
        <v>0.17231712658782303</v>
      </c>
      <c r="FY101" s="378">
        <f>FY100/FY$69</f>
        <v>0.1647099447513812</v>
      </c>
      <c r="FZ101" s="378">
        <f>FZ100/FZ$69</f>
        <v>0.15187969924812031</v>
      </c>
      <c r="GA101" s="378">
        <f>GA100/GA$69</f>
        <v>0.14244897959183672</v>
      </c>
      <c r="GB101" s="378">
        <f>GB100/GB$69</f>
        <v>0.14244897959183672</v>
      </c>
      <c r="GD101" s="377" t="s">
        <v>6</v>
      </c>
      <c r="GE101" s="378">
        <f>GE100/GE$69</f>
        <v>0.13966254944700088</v>
      </c>
      <c r="GF101" s="378">
        <f>GF100/GF$69</f>
        <v>0.13696743884658999</v>
      </c>
      <c r="GG101" s="378">
        <f>GG100/GG$69</f>
        <v>0.13907339073390734</v>
      </c>
      <c r="GH101" s="378">
        <f>GH100/GH$69</f>
        <v>0.13881209684175252</v>
      </c>
      <c r="GI101" s="378">
        <f>GI100/GI$69</f>
        <v>0.13881209684175252</v>
      </c>
      <c r="GK101" s="377" t="s">
        <v>6</v>
      </c>
      <c r="GL101" s="378">
        <f>GL100/GL$69</f>
        <v>0.1430511928007471</v>
      </c>
      <c r="GM101" s="378">
        <f>GM100/GM$69</f>
        <v>0.15392326619885172</v>
      </c>
      <c r="GN101" s="378">
        <f>GN100/GN$69</f>
        <v>0.15738043784647185</v>
      </c>
      <c r="GO101" s="378">
        <f>GO100/GO$69</f>
        <v>0.15364263441368231</v>
      </c>
      <c r="GP101" s="378">
        <f>GP100/GP$69</f>
        <v>0.15364263441368231</v>
      </c>
      <c r="GR101" s="377" t="s">
        <v>6</v>
      </c>
      <c r="GS101" s="378">
        <f>GS100/GS$69</f>
        <v>0.14713974006261266</v>
      </c>
      <c r="GT101" s="378">
        <f>GT100/GT$69</f>
        <v>0.14003192621496985</v>
      </c>
      <c r="GU101" s="378">
        <f>GU100/GU$69</f>
        <v>0.13724832214765101</v>
      </c>
      <c r="GV101" s="378">
        <f>GV100/GV$69</f>
        <v>0.1430282702443699</v>
      </c>
      <c r="GW101" s="378">
        <f>GW100/GW$69</f>
        <v>0.1430282702443699</v>
      </c>
      <c r="GY101" s="377" t="s">
        <v>6</v>
      </c>
      <c r="GZ101" s="378">
        <f>GZ100/GZ$69</f>
        <v>0.1383935375704923</v>
      </c>
      <c r="HA101" s="378">
        <f>HA100/HA$69</f>
        <v>0.13250161325016133</v>
      </c>
      <c r="HB101" s="378">
        <f>HB100/HB$69</f>
        <v>0.13807560137457045</v>
      </c>
      <c r="HC101" s="378">
        <f>HC100/HC$69</f>
        <v>0.1436073520500909</v>
      </c>
      <c r="HD101" s="378">
        <f>HD100/HD$69</f>
        <v>0.1436073520500909</v>
      </c>
      <c r="HF101" s="377" t="s">
        <v>6</v>
      </c>
      <c r="HG101" s="378">
        <f>HG100/HG$69</f>
        <v>0.14822395351908094</v>
      </c>
      <c r="HH101" s="378">
        <f>HH100/HH$69</f>
        <v>0.15548902195608783</v>
      </c>
      <c r="HI101" s="378">
        <f>HI100/HI$69</f>
        <v>0.1554361868497994</v>
      </c>
      <c r="HJ101" s="378">
        <f>HJ100/HJ$69</f>
        <v>0.15562529849218804</v>
      </c>
      <c r="HK101" s="378">
        <f>HK100/HK$69</f>
        <v>0.15562529849218804</v>
      </c>
      <c r="HM101" s="377" t="s">
        <v>6</v>
      </c>
      <c r="HN101" s="378">
        <f>HN100/HN$69</f>
        <v>0.16094860579551667</v>
      </c>
      <c r="HO101" s="378">
        <f>HO100/HO$69</f>
        <v>0.15935492688260217</v>
      </c>
      <c r="HP101" s="378">
        <f>HP100/HP$69</f>
        <v>0.16225052789319527</v>
      </c>
      <c r="HQ101" s="378">
        <f>HQ100/HQ$69</f>
        <v>0.17393397524071527</v>
      </c>
      <c r="HR101" s="378">
        <f>HR100/HR$69</f>
        <v>0.17393397524071527</v>
      </c>
      <c r="HT101" s="377" t="s">
        <v>6</v>
      </c>
      <c r="HU101" s="378">
        <f>HU100/HU$69</f>
        <v>0.19121971712645289</v>
      </c>
      <c r="HV101" s="378">
        <f>HV100/HV$69</f>
        <v>0.20897209466619568</v>
      </c>
      <c r="HW101" s="378">
        <f>HW100/HW$69</f>
        <v>0.21688026623238688</v>
      </c>
      <c r="HX101" s="378">
        <f>HX100/HX$69</f>
        <v>0.20593244393982402</v>
      </c>
      <c r="HY101" s="378">
        <f>HY100/HY$69</f>
        <v>0.20593244393982402</v>
      </c>
      <c r="IA101" s="377" t="s">
        <v>6</v>
      </c>
      <c r="IB101" s="378">
        <f>IB100/IB$69</f>
        <v>0.19824598068674268</v>
      </c>
      <c r="IC101" s="378">
        <f>IC100/IC$69</f>
        <v>0.18645161175101668</v>
      </c>
      <c r="ID101" s="378">
        <f>ID100/ID$69</f>
        <v>0.17765975718458318</v>
      </c>
      <c r="IE101" s="378">
        <f>IE100/IE$69</f>
        <v>0.17242168795050469</v>
      </c>
      <c r="IF101" s="378">
        <f>IF100/IF$69</f>
        <v>0.17242168795050472</v>
      </c>
      <c r="IH101" s="377" t="s">
        <v>6</v>
      </c>
      <c r="II101" s="378">
        <f>II100/II$69</f>
        <v>0.17079152027179489</v>
      </c>
      <c r="IJ101" s="378">
        <f>IJ100/IJ$69</f>
        <v>0.16944704395464572</v>
      </c>
      <c r="IK101" s="378">
        <f>IK100/IK$69</f>
        <v>0.16829104094631653</v>
      </c>
      <c r="IL101" s="378">
        <f>IL100/IL$69</f>
        <v>0.16709439342491597</v>
      </c>
      <c r="IM101" s="378">
        <f>IM100/IM$69</f>
        <v>0.16709439342491597</v>
      </c>
      <c r="IO101" s="377" t="s">
        <v>6</v>
      </c>
      <c r="IP101" s="378">
        <f>IP100/IP$69</f>
        <v>0.16720962087671956</v>
      </c>
      <c r="IQ101" s="378">
        <f>IQ100/IQ$69</f>
        <v>0.16724946669371824</v>
      </c>
      <c r="IR101" s="378">
        <f>IR100/IR$69</f>
        <v>0.16726384508031239</v>
      </c>
      <c r="IS101" s="378">
        <f>IS100/IS$69</f>
        <v>0.16729613541762742</v>
      </c>
      <c r="IT101" s="378">
        <f>IT100/IT$69</f>
        <v>0.16729613541762742</v>
      </c>
    </row>
    <row r="102" spans="1:254" ht="14.25" thickBot="1" x14ac:dyDescent="0.45">
      <c r="B102" s="377"/>
      <c r="C102" s="392"/>
      <c r="D102" s="392"/>
      <c r="E102" s="392"/>
      <c r="F102" s="392"/>
      <c r="G102" s="392"/>
      <c r="H102" s="392"/>
      <c r="I102" s="392"/>
      <c r="J102" s="392"/>
      <c r="K102" s="392"/>
      <c r="L102" s="392"/>
      <c r="M102" s="392"/>
      <c r="N102" s="392"/>
      <c r="O102" s="392"/>
      <c r="P102" s="392"/>
      <c r="Q102" s="392"/>
      <c r="R102" s="392"/>
      <c r="S102" s="392"/>
      <c r="T102" s="392"/>
      <c r="U102" s="392"/>
      <c r="V102" s="392"/>
      <c r="W102" s="392"/>
      <c r="X102" s="392"/>
      <c r="Y102" s="392"/>
      <c r="Z102" s="392"/>
      <c r="AA102" s="392"/>
      <c r="AB102" s="378"/>
      <c r="AC102" s="378"/>
      <c r="AD102" s="378"/>
      <c r="AE102" s="378"/>
      <c r="AF102" s="378"/>
      <c r="AG102" s="379"/>
      <c r="AH102" s="379"/>
      <c r="AI102" s="379"/>
      <c r="AJ102" s="379"/>
      <c r="AK102" s="379"/>
      <c r="AL102" s="379"/>
      <c r="AM102" s="379"/>
      <c r="AN102" s="379"/>
      <c r="AO102" s="379"/>
      <c r="AP102" s="379"/>
      <c r="AQ102" s="379"/>
      <c r="AR102" s="379"/>
      <c r="AT102" s="377"/>
      <c r="AU102" s="392"/>
      <c r="AV102" s="392"/>
      <c r="AW102" s="392"/>
      <c r="AX102" s="392"/>
      <c r="AY102" s="392"/>
      <c r="BA102" s="377"/>
      <c r="BB102" s="392"/>
      <c r="BC102" s="392"/>
      <c r="BD102" s="392"/>
      <c r="BE102" s="392"/>
      <c r="BF102" s="392"/>
      <c r="BH102" s="377"/>
      <c r="BI102" s="392"/>
      <c r="BJ102" s="392"/>
      <c r="BK102" s="392"/>
      <c r="BL102" s="392"/>
      <c r="BM102" s="392"/>
      <c r="BO102" s="377"/>
      <c r="BP102" s="392"/>
      <c r="BQ102" s="392"/>
      <c r="BR102" s="392"/>
      <c r="BS102" s="392"/>
      <c r="BT102" s="392"/>
      <c r="BV102" s="377"/>
      <c r="BW102" s="392"/>
      <c r="BX102" s="392"/>
      <c r="BY102" s="392"/>
      <c r="BZ102" s="392"/>
      <c r="CA102" s="392"/>
      <c r="CC102" s="377"/>
      <c r="CD102" s="392"/>
      <c r="CE102" s="392"/>
      <c r="CF102" s="392"/>
      <c r="CG102" s="392"/>
      <c r="CH102" s="392"/>
      <c r="CJ102" s="377"/>
      <c r="CK102" s="392"/>
      <c r="CL102" s="392"/>
      <c r="CM102" s="392"/>
      <c r="CN102" s="392"/>
      <c r="CO102" s="392"/>
      <c r="CQ102" s="377"/>
      <c r="CR102" s="392"/>
      <c r="CS102" s="392"/>
      <c r="CT102" s="392"/>
      <c r="CU102" s="392"/>
      <c r="CV102" s="392"/>
      <c r="CX102" s="377"/>
      <c r="CY102" s="392"/>
      <c r="CZ102" s="392"/>
      <c r="DA102" s="392"/>
      <c r="DB102" s="392"/>
      <c r="DC102" s="392"/>
      <c r="DE102" s="377"/>
      <c r="DF102" s="392"/>
      <c r="DG102" s="392"/>
      <c r="DH102" s="392"/>
      <c r="DI102" s="392"/>
      <c r="DJ102" s="392"/>
      <c r="DL102" s="377"/>
      <c r="DM102" s="392"/>
      <c r="DN102" s="392"/>
      <c r="DO102" s="392"/>
      <c r="DP102" s="392"/>
      <c r="DQ102" s="392"/>
      <c r="DS102" s="377"/>
      <c r="DT102" s="392"/>
      <c r="DU102" s="392"/>
      <c r="DV102" s="392"/>
      <c r="DW102" s="392"/>
      <c r="DX102" s="392"/>
      <c r="DZ102" s="377"/>
      <c r="EA102" s="392"/>
      <c r="EB102" s="392"/>
      <c r="EC102" s="392"/>
      <c r="ED102" s="392"/>
      <c r="EE102" s="392"/>
      <c r="EG102" s="377"/>
      <c r="EH102" s="392"/>
      <c r="EI102" s="392"/>
      <c r="EJ102" s="392"/>
      <c r="EK102" s="392"/>
      <c r="EL102" s="392"/>
      <c r="EN102" s="377"/>
      <c r="EO102" s="392"/>
      <c r="EP102" s="392"/>
      <c r="EQ102" s="392"/>
      <c r="ER102" s="392"/>
      <c r="ES102" s="392"/>
      <c r="EU102" s="377"/>
      <c r="EV102" s="392"/>
      <c r="EW102" s="392"/>
      <c r="EX102" s="392"/>
      <c r="EY102" s="392"/>
      <c r="EZ102" s="392"/>
      <c r="FB102" s="377"/>
      <c r="FC102" s="392"/>
      <c r="FD102" s="392"/>
      <c r="FE102" s="392"/>
      <c r="FF102" s="392"/>
      <c r="FG102" s="392"/>
      <c r="FI102" s="377"/>
      <c r="FJ102" s="392"/>
      <c r="FK102" s="392"/>
      <c r="FL102" s="392"/>
      <c r="FM102" s="392"/>
      <c r="FN102" s="392"/>
      <c r="FP102" s="377"/>
      <c r="FQ102" s="392"/>
      <c r="FR102" s="392"/>
      <c r="FS102" s="392"/>
      <c r="FT102" s="392"/>
      <c r="FU102" s="392"/>
      <c r="FW102" s="377"/>
      <c r="FX102" s="392"/>
      <c r="FY102" s="392"/>
      <c r="FZ102" s="392"/>
      <c r="GA102" s="392"/>
      <c r="GB102" s="392"/>
      <c r="GD102" s="377"/>
      <c r="GE102" s="392"/>
      <c r="GF102" s="392"/>
      <c r="GG102" s="392"/>
      <c r="GH102" s="392"/>
      <c r="GI102" s="392"/>
      <c r="GK102" s="377"/>
      <c r="GL102" s="392"/>
      <c r="GM102" s="392"/>
      <c r="GN102" s="392"/>
      <c r="GO102" s="392"/>
      <c r="GP102" s="392"/>
      <c r="GR102" s="377"/>
      <c r="GS102" s="392"/>
      <c r="GT102" s="392"/>
      <c r="GU102" s="392"/>
      <c r="GV102" s="392"/>
      <c r="GW102" s="392"/>
      <c r="GY102" s="377"/>
      <c r="GZ102" s="392"/>
      <c r="HA102" s="392"/>
      <c r="HB102" s="392"/>
      <c r="HC102" s="392"/>
      <c r="HD102" s="392"/>
      <c r="HF102" s="377"/>
      <c r="HG102" s="392"/>
      <c r="HH102" s="392"/>
      <c r="HI102" s="392"/>
      <c r="HJ102" s="392"/>
      <c r="HK102" s="392"/>
      <c r="HM102" s="377"/>
      <c r="HN102" s="392"/>
      <c r="HO102" s="392"/>
      <c r="HP102" s="392"/>
      <c r="HQ102" s="392"/>
      <c r="HR102" s="378"/>
      <c r="HT102" s="377"/>
      <c r="HU102" s="392"/>
      <c r="HV102" s="392"/>
      <c r="HW102" s="392"/>
      <c r="HX102" s="392"/>
      <c r="HY102" s="378"/>
      <c r="IA102" s="377"/>
      <c r="IB102" s="392"/>
      <c r="IC102" s="392"/>
      <c r="ID102" s="392"/>
      <c r="IE102" s="392"/>
      <c r="IF102" s="378"/>
      <c r="IH102" s="377"/>
      <c r="II102" s="392"/>
      <c r="IJ102" s="392"/>
      <c r="IK102" s="392"/>
      <c r="IL102" s="392"/>
      <c r="IM102" s="378"/>
      <c r="IO102" s="377"/>
      <c r="IP102" s="392"/>
      <c r="IQ102" s="392"/>
      <c r="IR102" s="392"/>
      <c r="IS102" s="392"/>
      <c r="IT102" s="378"/>
    </row>
    <row r="103" spans="1:254" ht="14.25" thickBot="1" x14ac:dyDescent="0.45">
      <c r="A103" s="166"/>
      <c r="B103" s="315" t="s">
        <v>52</v>
      </c>
      <c r="C103" s="316"/>
      <c r="D103" s="316"/>
      <c r="E103" s="316"/>
      <c r="F103" s="316"/>
      <c r="G103" s="316"/>
      <c r="H103" s="316"/>
      <c r="I103" s="316"/>
      <c r="J103" s="316"/>
      <c r="K103" s="316"/>
      <c r="L103" s="316"/>
      <c r="M103" s="316"/>
      <c r="N103" s="316"/>
      <c r="O103" s="316"/>
      <c r="P103" s="316"/>
      <c r="Q103" s="316"/>
      <c r="R103" s="316"/>
      <c r="S103" s="316"/>
      <c r="T103" s="316"/>
      <c r="U103" s="316"/>
      <c r="V103" s="316"/>
      <c r="W103" s="316"/>
      <c r="X103" s="316"/>
      <c r="Y103" s="316"/>
      <c r="Z103" s="316"/>
      <c r="AA103" s="316"/>
      <c r="AB103" s="408"/>
      <c r="AC103" s="408"/>
      <c r="AD103" s="408"/>
      <c r="AE103" s="408"/>
      <c r="AF103" s="408"/>
      <c r="AG103" s="393"/>
      <c r="AH103" s="393"/>
      <c r="AI103" s="393"/>
      <c r="AJ103" s="393"/>
      <c r="AK103" s="393"/>
      <c r="AL103" s="393"/>
      <c r="AM103" s="393"/>
      <c r="AN103" s="393"/>
      <c r="AO103" s="393"/>
      <c r="AP103" s="393"/>
      <c r="AQ103" s="393"/>
      <c r="AR103" s="393"/>
      <c r="AT103" s="315" t="s">
        <v>52</v>
      </c>
      <c r="AU103" s="316"/>
      <c r="AV103" s="316"/>
      <c r="AW103" s="316"/>
      <c r="AX103" s="316"/>
      <c r="AY103" s="316"/>
      <c r="BA103" s="315" t="s">
        <v>52</v>
      </c>
      <c r="BB103" s="316"/>
      <c r="BC103" s="316"/>
      <c r="BD103" s="316"/>
      <c r="BE103" s="316"/>
      <c r="BF103" s="316"/>
      <c r="BH103" s="315" t="s">
        <v>52</v>
      </c>
      <c r="BI103" s="316"/>
      <c r="BJ103" s="316"/>
      <c r="BK103" s="316"/>
      <c r="BL103" s="316"/>
      <c r="BM103" s="316"/>
      <c r="BO103" s="315" t="s">
        <v>52</v>
      </c>
      <c r="BP103" s="316"/>
      <c r="BQ103" s="316"/>
      <c r="BR103" s="316"/>
      <c r="BS103" s="316"/>
      <c r="BT103" s="316"/>
      <c r="BV103" s="315" t="s">
        <v>52</v>
      </c>
      <c r="BW103" s="316"/>
      <c r="BX103" s="316"/>
      <c r="BY103" s="316"/>
      <c r="BZ103" s="316"/>
      <c r="CA103" s="316"/>
      <c r="CC103" s="315" t="s">
        <v>52</v>
      </c>
      <c r="CD103" s="316"/>
      <c r="CE103" s="316"/>
      <c r="CF103" s="316"/>
      <c r="CG103" s="316"/>
      <c r="CH103" s="316"/>
      <c r="CJ103" s="315" t="s">
        <v>52</v>
      </c>
      <c r="CK103" s="316"/>
      <c r="CL103" s="316"/>
      <c r="CM103" s="316"/>
      <c r="CN103" s="316"/>
      <c r="CO103" s="316"/>
      <c r="CQ103" s="315" t="s">
        <v>52</v>
      </c>
      <c r="CR103" s="316"/>
      <c r="CS103" s="316"/>
      <c r="CT103" s="316"/>
      <c r="CU103" s="316"/>
      <c r="CV103" s="316"/>
      <c r="CX103" s="315" t="s">
        <v>52</v>
      </c>
      <c r="CY103" s="316"/>
      <c r="CZ103" s="316"/>
      <c r="DA103" s="316"/>
      <c r="DB103" s="316"/>
      <c r="DC103" s="316"/>
      <c r="DE103" s="315" t="s">
        <v>52</v>
      </c>
      <c r="DF103" s="316"/>
      <c r="DG103" s="316"/>
      <c r="DH103" s="316"/>
      <c r="DI103" s="316"/>
      <c r="DJ103" s="316"/>
      <c r="DL103" s="315" t="s">
        <v>52</v>
      </c>
      <c r="DM103" s="316"/>
      <c r="DN103" s="316"/>
      <c r="DO103" s="316"/>
      <c r="DP103" s="316"/>
      <c r="DQ103" s="316"/>
      <c r="DS103" s="315" t="s">
        <v>52</v>
      </c>
      <c r="DT103" s="316"/>
      <c r="DU103" s="316"/>
      <c r="DV103" s="316"/>
      <c r="DW103" s="316"/>
      <c r="DX103" s="316"/>
      <c r="DZ103" s="315" t="s">
        <v>52</v>
      </c>
      <c r="EA103" s="316"/>
      <c r="EB103" s="316"/>
      <c r="EC103" s="316"/>
      <c r="ED103" s="316"/>
      <c r="EE103" s="316"/>
      <c r="EG103" s="315" t="s">
        <v>52</v>
      </c>
      <c r="EH103" s="316"/>
      <c r="EI103" s="316"/>
      <c r="EJ103" s="316"/>
      <c r="EK103" s="316"/>
      <c r="EL103" s="316"/>
      <c r="EN103" s="315" t="s">
        <v>52</v>
      </c>
      <c r="EO103" s="316"/>
      <c r="EP103" s="316"/>
      <c r="EQ103" s="316"/>
      <c r="ER103" s="316"/>
      <c r="ES103" s="316"/>
      <c r="EU103" s="315" t="s">
        <v>52</v>
      </c>
      <c r="EV103" s="316"/>
      <c r="EW103" s="316"/>
      <c r="EX103" s="316"/>
      <c r="EY103" s="316"/>
      <c r="EZ103" s="316"/>
      <c r="FB103" s="315" t="s">
        <v>52</v>
      </c>
      <c r="FC103" s="316"/>
      <c r="FD103" s="316"/>
      <c r="FE103" s="316"/>
      <c r="FF103" s="316"/>
      <c r="FG103" s="316"/>
      <c r="FI103" s="315" t="s">
        <v>52</v>
      </c>
      <c r="FJ103" s="316"/>
      <c r="FK103" s="316"/>
      <c r="FL103" s="316"/>
      <c r="FM103" s="316"/>
      <c r="FN103" s="316"/>
      <c r="FP103" s="315" t="s">
        <v>52</v>
      </c>
      <c r="FQ103" s="316"/>
      <c r="FR103" s="316"/>
      <c r="FS103" s="316"/>
      <c r="FT103" s="316"/>
      <c r="FU103" s="316"/>
      <c r="FW103" s="315" t="s">
        <v>52</v>
      </c>
      <c r="FX103" s="316"/>
      <c r="FY103" s="316"/>
      <c r="FZ103" s="316"/>
      <c r="GA103" s="316"/>
      <c r="GB103" s="316"/>
      <c r="GD103" s="315" t="s">
        <v>52</v>
      </c>
      <c r="GE103" s="316"/>
      <c r="GF103" s="316"/>
      <c r="GG103" s="316"/>
      <c r="GH103" s="316"/>
      <c r="GI103" s="316"/>
      <c r="GK103" s="315" t="s">
        <v>52</v>
      </c>
      <c r="GL103" s="316"/>
      <c r="GM103" s="316"/>
      <c r="GN103" s="316"/>
      <c r="GO103" s="316"/>
      <c r="GP103" s="316"/>
      <c r="GR103" s="315" t="s">
        <v>52</v>
      </c>
      <c r="GS103" s="316"/>
      <c r="GT103" s="316"/>
      <c r="GU103" s="316"/>
      <c r="GV103" s="316"/>
      <c r="GW103" s="316"/>
      <c r="GY103" s="315" t="s">
        <v>52</v>
      </c>
      <c r="GZ103" s="316"/>
      <c r="HA103" s="316"/>
      <c r="HB103" s="316"/>
      <c r="HC103" s="316"/>
      <c r="HD103" s="316"/>
      <c r="HF103" s="315" t="s">
        <v>52</v>
      </c>
      <c r="HG103" s="316"/>
      <c r="HH103" s="316"/>
      <c r="HI103" s="316"/>
      <c r="HJ103" s="316"/>
      <c r="HK103" s="316"/>
      <c r="HM103" s="315" t="s">
        <v>52</v>
      </c>
      <c r="HN103" s="316"/>
      <c r="HO103" s="408"/>
      <c r="HP103" s="408"/>
      <c r="HQ103" s="408"/>
      <c r="HR103" s="408"/>
      <c r="HT103" s="315" t="s">
        <v>52</v>
      </c>
      <c r="HU103" s="408"/>
      <c r="HV103" s="408"/>
      <c r="HW103" s="408"/>
      <c r="HX103" s="408"/>
      <c r="HY103" s="408"/>
      <c r="IA103" s="315" t="s">
        <v>52</v>
      </c>
      <c r="IB103" s="408"/>
      <c r="IC103" s="408"/>
      <c r="ID103" s="408"/>
      <c r="IE103" s="408"/>
      <c r="IF103" s="408"/>
      <c r="IH103" s="315" t="s">
        <v>52</v>
      </c>
      <c r="II103" s="408"/>
      <c r="IJ103" s="408"/>
      <c r="IK103" s="408"/>
      <c r="IL103" s="408"/>
      <c r="IM103" s="408"/>
      <c r="IO103" s="315" t="s">
        <v>52</v>
      </c>
      <c r="IP103" s="408"/>
      <c r="IQ103" s="408"/>
      <c r="IR103" s="408"/>
      <c r="IS103" s="408"/>
      <c r="IT103" s="408"/>
    </row>
    <row r="104" spans="1:254" x14ac:dyDescent="0.4">
      <c r="B104" s="76"/>
      <c r="AB104" s="80"/>
      <c r="AC104" s="80"/>
      <c r="AD104" s="80"/>
      <c r="AE104" s="80"/>
      <c r="AF104" s="80"/>
      <c r="AG104" s="78"/>
      <c r="AH104" s="78"/>
      <c r="AI104" s="78"/>
      <c r="AJ104" s="78"/>
      <c r="AK104" s="78"/>
      <c r="AL104" s="78"/>
      <c r="AM104" s="78"/>
      <c r="AN104" s="78"/>
      <c r="AO104" s="78"/>
      <c r="AP104" s="78"/>
      <c r="AQ104" s="78"/>
      <c r="AR104" s="78"/>
      <c r="AT104" s="76"/>
      <c r="BA104" s="76"/>
      <c r="BH104" s="76"/>
      <c r="BO104" s="76"/>
      <c r="BV104" s="76"/>
      <c r="CC104" s="76"/>
      <c r="CJ104" s="76"/>
      <c r="CQ104" s="76"/>
      <c r="CX104" s="76"/>
      <c r="DE104" s="76"/>
      <c r="DL104" s="76"/>
      <c r="DS104" s="76"/>
      <c r="DZ104" s="76"/>
      <c r="EG104" s="76"/>
      <c r="EN104" s="76"/>
      <c r="EU104" s="76"/>
      <c r="FB104" s="76"/>
      <c r="FI104" s="76"/>
      <c r="FP104" s="76"/>
      <c r="FW104" s="76"/>
      <c r="GD104" s="76"/>
      <c r="GK104" s="76"/>
      <c r="GR104" s="76"/>
      <c r="GY104" s="76"/>
      <c r="HF104" s="76"/>
      <c r="HM104" s="76"/>
      <c r="HO104" s="80"/>
      <c r="HP104" s="80"/>
      <c r="HQ104" s="80"/>
      <c r="HR104" s="80"/>
      <c r="HT104" s="76"/>
      <c r="HU104" s="80"/>
      <c r="HV104" s="80"/>
      <c r="HW104" s="80"/>
      <c r="HX104" s="80"/>
      <c r="HY104" s="80"/>
      <c r="IA104" s="76"/>
      <c r="IB104" s="80"/>
      <c r="IC104" s="80"/>
      <c r="ID104" s="80"/>
      <c r="IE104" s="80"/>
      <c r="IF104" s="80"/>
      <c r="IH104" s="76"/>
      <c r="II104" s="80"/>
      <c r="IJ104" s="80"/>
      <c r="IK104" s="80"/>
      <c r="IL104" s="80"/>
      <c r="IM104" s="80"/>
      <c r="IO104" s="76"/>
      <c r="IP104" s="80"/>
      <c r="IQ104" s="80"/>
      <c r="IR104" s="80"/>
      <c r="IS104" s="80"/>
      <c r="IT104" s="80"/>
    </row>
    <row r="105" spans="1:254" x14ac:dyDescent="0.4">
      <c r="B105" s="318" t="s">
        <v>53</v>
      </c>
      <c r="C105" s="319">
        <f>AY105</f>
        <v>0</v>
      </c>
      <c r="D105" s="319">
        <f>BF105</f>
        <v>0</v>
      </c>
      <c r="E105" s="319">
        <f>BM105</f>
        <v>0</v>
      </c>
      <c r="F105" s="319">
        <f>BT105</f>
        <v>0</v>
      </c>
      <c r="G105" s="319">
        <f>CA105</f>
        <v>0</v>
      </c>
      <c r="H105" s="319">
        <f>CH105</f>
        <v>0</v>
      </c>
      <c r="I105" s="319">
        <f>CO105</f>
        <v>50.310429019881411</v>
      </c>
      <c r="J105" s="319">
        <f>CV105</f>
        <v>44.181476061049551</v>
      </c>
      <c r="K105" s="319">
        <f>DC105</f>
        <v>42.137587238285143</v>
      </c>
      <c r="L105" s="319">
        <f>DJ105</f>
        <v>35.408262994224792</v>
      </c>
      <c r="M105" s="319">
        <f>DQ105</f>
        <v>39.619511116026992</v>
      </c>
      <c r="N105" s="319">
        <f>DX105</f>
        <v>33.61037984204588</v>
      </c>
      <c r="O105" s="319">
        <f>EE105</f>
        <v>34.611257770586732</v>
      </c>
      <c r="P105" s="319">
        <f>EL105</f>
        <v>29.458999659748212</v>
      </c>
      <c r="Q105" s="319">
        <f>ES105</f>
        <v>31.408193730303534</v>
      </c>
      <c r="R105" s="319">
        <f>EZ105</f>
        <v>32.081458678664454</v>
      </c>
      <c r="S105" s="319">
        <f>FG105</f>
        <v>29.931419862839725</v>
      </c>
      <c r="T105" s="319">
        <f>FN105</f>
        <v>30.506820851025385</v>
      </c>
      <c r="U105" s="319">
        <f>FU105</f>
        <v>30.610098176718093</v>
      </c>
      <c r="V105" s="319">
        <f>GB105</f>
        <v>29.681632653061225</v>
      </c>
      <c r="W105" s="319">
        <f>GI105</f>
        <v>29.736114601658709</v>
      </c>
      <c r="X105" s="319">
        <f>GP105</f>
        <v>31.02333931777379</v>
      </c>
      <c r="Y105" s="319">
        <f>GW105</f>
        <v>33.004312410158121</v>
      </c>
      <c r="Z105" s="319">
        <f>HD105</f>
        <v>31.823873964855586</v>
      </c>
      <c r="AA105" s="319">
        <f>HK105</f>
        <v>34.214368561097089</v>
      </c>
      <c r="AB105" s="130">
        <f>HR105</f>
        <v>32.830811554332875</v>
      </c>
      <c r="AC105" s="130">
        <f>HY105</f>
        <v>35.105645756457562</v>
      </c>
      <c r="AD105" s="130">
        <f>IF105</f>
        <v>28.000000000000007</v>
      </c>
      <c r="AE105" s="130">
        <f>IM105</f>
        <v>25</v>
      </c>
      <c r="AF105" s="130">
        <f>IT105</f>
        <v>25</v>
      </c>
      <c r="AG105" s="376"/>
      <c r="AH105" s="376"/>
      <c r="AI105" s="376"/>
      <c r="AJ105" s="376"/>
      <c r="AK105" s="376"/>
      <c r="AL105" s="376"/>
      <c r="AM105" s="376"/>
      <c r="AN105" s="376"/>
      <c r="AO105" s="376"/>
      <c r="AP105" s="376"/>
      <c r="AQ105" s="376"/>
      <c r="AR105" s="376"/>
      <c r="AT105" s="318" t="s">
        <v>53</v>
      </c>
      <c r="AU105" s="319"/>
      <c r="AV105" s="319"/>
      <c r="AW105" s="319"/>
      <c r="AX105" s="319"/>
      <c r="AY105" s="319"/>
      <c r="BA105" s="318" t="s">
        <v>53</v>
      </c>
      <c r="BB105" s="319"/>
      <c r="BC105" s="319"/>
      <c r="BD105" s="319"/>
      <c r="BE105" s="319"/>
      <c r="BF105" s="319"/>
      <c r="BH105" s="318" t="s">
        <v>53</v>
      </c>
      <c r="BI105" s="319"/>
      <c r="BJ105" s="319"/>
      <c r="BK105" s="319"/>
      <c r="BL105" s="319"/>
      <c r="BM105" s="319"/>
      <c r="BO105" s="318" t="s">
        <v>53</v>
      </c>
      <c r="BP105" s="319"/>
      <c r="BQ105" s="319"/>
      <c r="BR105" s="319"/>
      <c r="BS105" s="319"/>
      <c r="BT105" s="319"/>
      <c r="BV105" s="318" t="s">
        <v>53</v>
      </c>
      <c r="BW105" s="319"/>
      <c r="BX105" s="319"/>
      <c r="BY105" s="319"/>
      <c r="BZ105" s="319"/>
      <c r="CA105" s="319"/>
      <c r="CC105" s="318" t="s">
        <v>53</v>
      </c>
      <c r="CD105" s="319"/>
      <c r="CE105" s="319"/>
      <c r="CF105" s="319"/>
      <c r="CG105" s="319"/>
      <c r="CH105" s="319"/>
      <c r="CJ105" s="318" t="s">
        <v>53</v>
      </c>
      <c r="CK105" s="319" t="s">
        <v>80</v>
      </c>
      <c r="CL105" s="319" t="s">
        <v>80</v>
      </c>
      <c r="CM105" s="319" t="s">
        <v>80</v>
      </c>
      <c r="CN105" s="319" t="s">
        <v>80</v>
      </c>
      <c r="CO105" s="319">
        <f>+CO12*360/CO69</f>
        <v>50.310429019881411</v>
      </c>
      <c r="CQ105" s="318" t="s">
        <v>53</v>
      </c>
      <c r="CR105" s="319">
        <f>+CR12*360/CR69</f>
        <v>49.03898458748867</v>
      </c>
      <c r="CS105" s="319">
        <f>+CS12*360/CS69</f>
        <v>47.651715039577837</v>
      </c>
      <c r="CT105" s="319">
        <f>+CT12*360/CT69</f>
        <v>48.886995420172539</v>
      </c>
      <c r="CU105" s="319">
        <f>+CU12*360/CU69</f>
        <v>44.181476061049551</v>
      </c>
      <c r="CV105" s="319">
        <f>+CV12*360/CV69</f>
        <v>44.181476061049551</v>
      </c>
      <c r="CX105" s="318" t="s">
        <v>53</v>
      </c>
      <c r="CY105" s="319">
        <f>+CY12*360/CY69</f>
        <v>41.45386766076421</v>
      </c>
      <c r="CZ105" s="319">
        <f>+CZ12*360/CZ69</f>
        <v>43.166086422281381</v>
      </c>
      <c r="DA105" s="319">
        <f>+DA12*360/DA69</f>
        <v>42.875418824246118</v>
      </c>
      <c r="DB105" s="319">
        <f>+DB12*360/DB69</f>
        <v>42.137587238285143</v>
      </c>
      <c r="DC105" s="319">
        <f>+DC12*360/DC69</f>
        <v>42.137587238285143</v>
      </c>
      <c r="DE105" s="318" t="s">
        <v>53</v>
      </c>
      <c r="DF105" s="319">
        <f>+DF12*360/DF69</f>
        <v>40.80999903110164</v>
      </c>
      <c r="DG105" s="319">
        <f>+DG12*360/DG69</f>
        <v>40.987100392596744</v>
      </c>
      <c r="DH105" s="319">
        <f>+DH12*360/DH69</f>
        <v>40.297544362789033</v>
      </c>
      <c r="DI105" s="319">
        <f>+DI12*360/DI69</f>
        <v>35.408262994224792</v>
      </c>
      <c r="DJ105" s="319">
        <f>+DJ12*360/DJ69</f>
        <v>35.408262994224792</v>
      </c>
      <c r="DL105" s="318" t="s">
        <v>53</v>
      </c>
      <c r="DM105" s="319">
        <f>+DM12*360/DM69</f>
        <v>31.965891185466678</v>
      </c>
      <c r="DN105" s="319">
        <f>+DN12*360/DN69</f>
        <v>31.647958676865006</v>
      </c>
      <c r="DO105" s="319">
        <f>+DO12*360/DO69</f>
        <v>35.559340074507716</v>
      </c>
      <c r="DP105" s="319">
        <f>+DP12*360/DP69</f>
        <v>39.619511116026992</v>
      </c>
      <c r="DQ105" s="319">
        <f>+DQ12*360/DQ69</f>
        <v>39.619511116026992</v>
      </c>
      <c r="DS105" s="318" t="s">
        <v>53</v>
      </c>
      <c r="DT105" s="319">
        <f>+DT12*360/DT69</f>
        <v>37.647819063004846</v>
      </c>
      <c r="DU105" s="319">
        <f>+DU12*360/DU69</f>
        <v>34.587729181604018</v>
      </c>
      <c r="DV105" s="319">
        <f>+DV12*360/DV69</f>
        <v>35.53846153846154</v>
      </c>
      <c r="DW105" s="319">
        <f>+DW12*360/DW69</f>
        <v>33.61037984204588</v>
      </c>
      <c r="DX105" s="319">
        <f>+DX12*360/DX69</f>
        <v>33.61037984204588</v>
      </c>
      <c r="DZ105" s="318" t="s">
        <v>53</v>
      </c>
      <c r="EA105" s="319">
        <f>+EA12*360/EA69</f>
        <v>35.096303057964398</v>
      </c>
      <c r="EB105" s="319">
        <f>+EB12*360/EB69</f>
        <v>35.392096189549996</v>
      </c>
      <c r="EC105" s="319">
        <f>+EC12*360/EC69</f>
        <v>35.603032391454171</v>
      </c>
      <c r="ED105" s="319">
        <f>+ED12*360/ED69</f>
        <v>34.611257770586732</v>
      </c>
      <c r="EE105" s="319">
        <f>+EE12*360/EE69</f>
        <v>34.611257770586732</v>
      </c>
      <c r="EG105" s="318" t="s">
        <v>53</v>
      </c>
      <c r="EH105" s="319">
        <f>+EH12*360/EH69</f>
        <v>35.125640810152113</v>
      </c>
      <c r="EI105" s="319">
        <f>+EI12*360/EI69</f>
        <v>34.389505549949547</v>
      </c>
      <c r="EJ105" s="319">
        <f>+EJ12*360/EJ69</f>
        <v>35.412331895458003</v>
      </c>
      <c r="EK105" s="319">
        <f>+EK12*360/EK69</f>
        <v>29.458999659748212</v>
      </c>
      <c r="EL105" s="319">
        <f>+EL12*360/EL69</f>
        <v>29.458999659748212</v>
      </c>
      <c r="EN105" s="318" t="s">
        <v>53</v>
      </c>
      <c r="EO105" s="319">
        <f>+EO12*360/EO69</f>
        <v>29.908069458631257</v>
      </c>
      <c r="EP105" s="319">
        <f>+EP12*360/EP69</f>
        <v>28.848792884371029</v>
      </c>
      <c r="EQ105" s="319">
        <f>+EQ12*360/EQ69</f>
        <v>29.652392947103273</v>
      </c>
      <c r="ER105" s="319">
        <f>+ER12*360/ER69</f>
        <v>31.408193730303534</v>
      </c>
      <c r="ES105" s="319">
        <f>+ES12*360/ES69</f>
        <v>31.408193730303534</v>
      </c>
      <c r="EU105" s="318" t="s">
        <v>53</v>
      </c>
      <c r="EV105" s="319">
        <f>+EV12*360/EV69</f>
        <v>31.89233817701453</v>
      </c>
      <c r="EW105" s="319">
        <f>+EW12*360/EW69</f>
        <v>31.115813461381947</v>
      </c>
      <c r="EX105" s="319">
        <f>+EX12*360/EX69</f>
        <v>32.319130226237107</v>
      </c>
      <c r="EY105" s="319">
        <f>+EY12*360/EY69</f>
        <v>32.081458678664454</v>
      </c>
      <c r="EZ105" s="319">
        <f>+EZ12*360/EZ69</f>
        <v>32.081458678664454</v>
      </c>
      <c r="FB105" s="318" t="s">
        <v>53</v>
      </c>
      <c r="FC105" s="319">
        <f>+FC12*360/FC69</f>
        <v>31.305581835383158</v>
      </c>
      <c r="FD105" s="319">
        <f>+FD12*360/FD69</f>
        <v>29.424184261036469</v>
      </c>
      <c r="FE105" s="319">
        <f>+FE12*360/FE69</f>
        <v>29.543446244477174</v>
      </c>
      <c r="FF105" s="319">
        <f>+FF12*360/FF69</f>
        <v>29.931419862839725</v>
      </c>
      <c r="FG105" s="319">
        <f>+FG12*360/FG69</f>
        <v>29.931419862839725</v>
      </c>
      <c r="FI105" s="318" t="s">
        <v>53</v>
      </c>
      <c r="FJ105" s="319">
        <f>+FJ12*360/FJ69</f>
        <v>28.952815295562182</v>
      </c>
      <c r="FK105" s="319">
        <f>+FK12*360/FK69</f>
        <v>29.733743886976995</v>
      </c>
      <c r="FL105" s="319">
        <f>+FL12*360/FL69</f>
        <v>30.79626375658929</v>
      </c>
      <c r="FM105" s="319">
        <f>+FM12*360/FM69</f>
        <v>30.506820851025385</v>
      </c>
      <c r="FN105" s="319">
        <f>+FN12*360/FN69</f>
        <v>30.506820851025385</v>
      </c>
      <c r="FP105" s="318" t="s">
        <v>53</v>
      </c>
      <c r="FQ105" s="319">
        <f>+FQ12*360/FQ69</f>
        <v>29.989399293286219</v>
      </c>
      <c r="FR105" s="319">
        <f>+FR12*360/FR69</f>
        <v>31.639102952636591</v>
      </c>
      <c r="FS105" s="319">
        <f>+FS12*360/FS69</f>
        <v>30.492142980486964</v>
      </c>
      <c r="FT105" s="319">
        <f>+FT12*360/FT69</f>
        <v>30.610098176718093</v>
      </c>
      <c r="FU105" s="319">
        <f>+FU12*360/FU69</f>
        <v>30.610098176718093</v>
      </c>
      <c r="FW105" s="318" t="s">
        <v>53</v>
      </c>
      <c r="FX105" s="319">
        <f>+FX12*360/FX69</f>
        <v>32.956636005256243</v>
      </c>
      <c r="FY105" s="319">
        <f>+FY12*360/FY69</f>
        <v>32.196132596685082</v>
      </c>
      <c r="FZ105" s="319">
        <f>+FZ12*360/FZ69</f>
        <v>32.781954887218042</v>
      </c>
      <c r="GA105" s="319">
        <f>+GA12*360/GA69</f>
        <v>29.681632653061225</v>
      </c>
      <c r="GB105" s="319">
        <f>+GB12*360/GB69</f>
        <v>29.681632653061225</v>
      </c>
      <c r="GD105" s="318" t="s">
        <v>53</v>
      </c>
      <c r="GE105" s="319">
        <f>+GE12*360/GE69</f>
        <v>32.143376120125936</v>
      </c>
      <c r="GF105" s="319">
        <f>+GF12*360/GF69</f>
        <v>32.395917706139642</v>
      </c>
      <c r="GG105" s="319">
        <f>+GG12*360/GG69</f>
        <v>32.501845018450183</v>
      </c>
      <c r="GH105" s="319">
        <f>+GH12*360/GH69</f>
        <v>29.736114601658709</v>
      </c>
      <c r="GI105" s="319">
        <f>+GI12*360/GI69</f>
        <v>29.736114601658709</v>
      </c>
      <c r="GK105" s="318" t="s">
        <v>53</v>
      </c>
      <c r="GL105" s="319">
        <f>+GL12*360/GL69</f>
        <v>30.807369046608372</v>
      </c>
      <c r="GM105" s="319">
        <f>+GM12*360/GM69</f>
        <v>28.214708830766426</v>
      </c>
      <c r="GN105" s="319">
        <f>+GN12*360/GN69</f>
        <v>33.148548341632996</v>
      </c>
      <c r="GO105" s="319">
        <f>+GO12*360/GO69</f>
        <v>31.02333931777379</v>
      </c>
      <c r="GP105" s="319">
        <f>+GP12*360/GP69</f>
        <v>31.02333931777379</v>
      </c>
      <c r="GR105" s="318" t="s">
        <v>53</v>
      </c>
      <c r="GS105" s="319">
        <f>+GS12*360/GS69</f>
        <v>32.683806090503744</v>
      </c>
      <c r="GT105" s="319">
        <f>+GT12*360/GT69</f>
        <v>38.056048244058175</v>
      </c>
      <c r="GU105" s="319">
        <f>+GU12*360/GU69</f>
        <v>40.04697986577181</v>
      </c>
      <c r="GV105" s="319">
        <f>+GV12*360/GV69</f>
        <v>33.004312410158121</v>
      </c>
      <c r="GW105" s="319">
        <f>+GW12*360/GW69</f>
        <v>33.004312410158121</v>
      </c>
      <c r="GY105" s="318" t="s">
        <v>53</v>
      </c>
      <c r="GZ105" s="319">
        <f>+GZ12*360/GZ69</f>
        <v>35.034293552812073</v>
      </c>
      <c r="HA105" s="319">
        <f>+HA12*360/HA69</f>
        <v>38.434071843407182</v>
      </c>
      <c r="HB105" s="319">
        <f>+HB12*360/HB69</f>
        <v>36.296907216494844</v>
      </c>
      <c r="HC105" s="319">
        <f>+HC12*360/HC69</f>
        <v>31.823873964855586</v>
      </c>
      <c r="HD105" s="319">
        <f>+HD12*360/HD69</f>
        <v>31.823873964855586</v>
      </c>
      <c r="HF105" s="318" t="s">
        <v>53</v>
      </c>
      <c r="HG105" s="319">
        <f>+HG12*360/HG69</f>
        <v>32.729433513799023</v>
      </c>
      <c r="HH105" s="319">
        <f>+HH12*360/HH69</f>
        <v>31.78443113772455</v>
      </c>
      <c r="HI105" s="319">
        <f>+HI12*360/HI69</f>
        <v>34.244917386278644</v>
      </c>
      <c r="HJ105" s="319">
        <f>+HJ12*360/HJ69</f>
        <v>34.214368561097089</v>
      </c>
      <c r="HK105" s="319">
        <f>+HK12*360/HK69</f>
        <v>34.214368561097089</v>
      </c>
      <c r="HM105" s="318" t="s">
        <v>53</v>
      </c>
      <c r="HN105" s="319">
        <f>+HN12*360/HN69</f>
        <v>34.445051940951338</v>
      </c>
      <c r="HO105" s="319">
        <f>+HO12*360/HO69</f>
        <v>35.178351783517833</v>
      </c>
      <c r="HP105" s="319">
        <f>+HP12*360/HP69</f>
        <v>34.648865881070769</v>
      </c>
      <c r="HQ105" s="319">
        <f>+HQ12*360/HQ69</f>
        <v>32.830811554332875</v>
      </c>
      <c r="HR105" s="319">
        <f>+HR12*360/HR69</f>
        <v>32.830811554332875</v>
      </c>
      <c r="HT105" s="318" t="s">
        <v>53</v>
      </c>
      <c r="HU105" s="319">
        <f>+HU12*360/HU69</f>
        <v>33.978434392942162</v>
      </c>
      <c r="HV105" s="319">
        <f>+HV12*360/HV69</f>
        <v>35.834687389614977</v>
      </c>
      <c r="HW105" s="319">
        <f>+HW12*360/HW69</f>
        <v>34.921758833109109</v>
      </c>
      <c r="HX105" s="319">
        <f>+HX12*360/HX69</f>
        <v>35.105645756457562</v>
      </c>
      <c r="HY105" s="130">
        <f>+HY12*360/HY69</f>
        <v>35.105645756457562</v>
      </c>
      <c r="IA105" s="318" t="s">
        <v>53</v>
      </c>
      <c r="IB105" s="319">
        <f>+IB12*360/IB69</f>
        <v>30.000000000000004</v>
      </c>
      <c r="IC105" s="319">
        <f>+IC12*360/IC69</f>
        <v>30</v>
      </c>
      <c r="ID105" s="319">
        <f>+ID12*360/ID69</f>
        <v>27.999999999999996</v>
      </c>
      <c r="IE105" s="319">
        <f>+IE12*360/IE69</f>
        <v>28</v>
      </c>
      <c r="IF105" s="130">
        <f>+IF12*360/IF69</f>
        <v>28.000000000000007</v>
      </c>
      <c r="IH105" s="318" t="s">
        <v>53</v>
      </c>
      <c r="II105" s="319">
        <f>+II12*360/II69</f>
        <v>25</v>
      </c>
      <c r="IJ105" s="319">
        <f>+IJ12*360/IJ69</f>
        <v>25</v>
      </c>
      <c r="IK105" s="319">
        <f>+IK12*360/IK69</f>
        <v>25</v>
      </c>
      <c r="IL105" s="319">
        <f>+IL12*360/IL69</f>
        <v>25</v>
      </c>
      <c r="IM105" s="130">
        <f>+IM12*360/IM69</f>
        <v>25</v>
      </c>
      <c r="IO105" s="318" t="s">
        <v>53</v>
      </c>
      <c r="IP105" s="319">
        <f>+IP12*360/IP69</f>
        <v>24.999999999999996</v>
      </c>
      <c r="IQ105" s="319">
        <f>+IQ12*360/IQ69</f>
        <v>25</v>
      </c>
      <c r="IR105" s="319">
        <f>+IR12*360/IR69</f>
        <v>25</v>
      </c>
      <c r="IS105" s="319">
        <f>+IS12*360/IS69</f>
        <v>25</v>
      </c>
      <c r="IT105" s="130">
        <f>+IT12*360/IT69</f>
        <v>25</v>
      </c>
    </row>
    <row r="106" spans="1:254" x14ac:dyDescent="0.4">
      <c r="B106" s="318" t="s">
        <v>54</v>
      </c>
      <c r="C106" s="319">
        <f>AY106</f>
        <v>0</v>
      </c>
      <c r="D106" s="319">
        <f>BF106</f>
        <v>0</v>
      </c>
      <c r="E106" s="319">
        <f>BM106</f>
        <v>0</v>
      </c>
      <c r="F106" s="319">
        <f>BT106</f>
        <v>0</v>
      </c>
      <c r="G106" s="319">
        <f>CA106</f>
        <v>0</v>
      </c>
      <c r="H106" s="319">
        <f>CH106</f>
        <v>0</v>
      </c>
      <c r="I106" s="319">
        <f>CO106</f>
        <v>54.950400000000002</v>
      </c>
      <c r="J106" s="319">
        <f>CV106</f>
        <v>53.240206498633462</v>
      </c>
      <c r="K106" s="319">
        <f>DC106</f>
        <v>51.017859735733992</v>
      </c>
      <c r="L106" s="319">
        <f>DJ106</f>
        <v>46.18061964403428</v>
      </c>
      <c r="M106" s="319">
        <f>DQ106</f>
        <v>59.406143344709896</v>
      </c>
      <c r="N106" s="319">
        <f>DX106</f>
        <v>57.158469945355193</v>
      </c>
      <c r="O106" s="319">
        <f>EE106</f>
        <v>56.18723635868826</v>
      </c>
      <c r="P106" s="319">
        <f>EL106</f>
        <v>50.41988950276243</v>
      </c>
      <c r="Q106" s="319">
        <f>ES106</f>
        <v>46.250503423278289</v>
      </c>
      <c r="R106" s="319">
        <f>EZ106</f>
        <v>38.481973434535107</v>
      </c>
      <c r="S106" s="319">
        <f>FG106</f>
        <v>39.185069098162131</v>
      </c>
      <c r="T106" s="319">
        <f>FN106</f>
        <v>45.486753409625337</v>
      </c>
      <c r="U106" s="319">
        <f>FU106</f>
        <v>48.592828685258965</v>
      </c>
      <c r="V106" s="319">
        <f>GB106</f>
        <v>56.469421487603306</v>
      </c>
      <c r="W106" s="319">
        <f>GI106</f>
        <v>66.775742486217325</v>
      </c>
      <c r="X106" s="319">
        <f>GP106</f>
        <v>60.198429102935094</v>
      </c>
      <c r="Y106" s="319">
        <f>GW106</f>
        <v>59.190711968584601</v>
      </c>
      <c r="Z106" s="319">
        <f>HD106</f>
        <v>54.589371980676326</v>
      </c>
      <c r="AA106" s="319">
        <f>HK106</f>
        <v>59.05317597135658</v>
      </c>
      <c r="AB106" s="130">
        <f>HR106</f>
        <v>61.681498206933192</v>
      </c>
      <c r="AC106" s="130">
        <f>HY106</f>
        <v>73.713109947643986</v>
      </c>
      <c r="AD106" s="130">
        <f>IF106</f>
        <v>64.999999999999986</v>
      </c>
      <c r="AE106" s="130">
        <f>IM106</f>
        <v>65</v>
      </c>
      <c r="AF106" s="130">
        <f>IT106</f>
        <v>65</v>
      </c>
      <c r="AG106" s="376"/>
      <c r="AH106" s="376"/>
      <c r="AI106" s="376"/>
      <c r="AJ106" s="376"/>
      <c r="AK106" s="376"/>
      <c r="AL106" s="376"/>
      <c r="AM106" s="376"/>
      <c r="AN106" s="376"/>
      <c r="AO106" s="376"/>
      <c r="AP106" s="376"/>
      <c r="AQ106" s="376"/>
      <c r="AR106" s="376"/>
      <c r="AT106" s="318" t="s">
        <v>54</v>
      </c>
      <c r="AU106" s="319"/>
      <c r="AV106" s="319"/>
      <c r="AW106" s="319"/>
      <c r="AX106" s="319"/>
      <c r="AY106" s="319"/>
      <c r="BA106" s="318" t="s">
        <v>54</v>
      </c>
      <c r="BB106" s="319"/>
      <c r="BC106" s="319"/>
      <c r="BD106" s="319"/>
      <c r="BE106" s="319"/>
      <c r="BF106" s="319"/>
      <c r="BH106" s="318" t="s">
        <v>54</v>
      </c>
      <c r="BI106" s="319"/>
      <c r="BJ106" s="319"/>
      <c r="BK106" s="319"/>
      <c r="BL106" s="319"/>
      <c r="BM106" s="319"/>
      <c r="BO106" s="318" t="s">
        <v>54</v>
      </c>
      <c r="BP106" s="319"/>
      <c r="BQ106" s="319"/>
      <c r="BR106" s="319"/>
      <c r="BS106" s="319"/>
      <c r="BT106" s="319"/>
      <c r="BV106" s="318" t="s">
        <v>54</v>
      </c>
      <c r="BW106" s="319"/>
      <c r="BX106" s="319"/>
      <c r="BY106" s="319"/>
      <c r="BZ106" s="319"/>
      <c r="CA106" s="319"/>
      <c r="CC106" s="318" t="s">
        <v>54</v>
      </c>
      <c r="CD106" s="319"/>
      <c r="CE106" s="319"/>
      <c r="CF106" s="319"/>
      <c r="CG106" s="319"/>
      <c r="CH106" s="319"/>
      <c r="CJ106" s="318" t="s">
        <v>54</v>
      </c>
      <c r="CK106" s="319" t="s">
        <v>80</v>
      </c>
      <c r="CL106" s="319" t="s">
        <v>80</v>
      </c>
      <c r="CM106" s="319" t="s">
        <v>80</v>
      </c>
      <c r="CN106" s="319" t="s">
        <v>80</v>
      </c>
      <c r="CO106" s="319">
        <f>+CO33*360/CO83</f>
        <v>54.950400000000002</v>
      </c>
      <c r="CQ106" s="318" t="s">
        <v>54</v>
      </c>
      <c r="CR106" s="319">
        <f>+CR33*360/CR83</f>
        <v>54.864181933038537</v>
      </c>
      <c r="CS106" s="319">
        <f>+CS33*360/CS83</f>
        <v>51.905660377358494</v>
      </c>
      <c r="CT106" s="319">
        <f>+CT33*360/CT83</f>
        <v>53.712354025814385</v>
      </c>
      <c r="CU106" s="319">
        <f>+CU33*360/CU83</f>
        <v>53.240206498633462</v>
      </c>
      <c r="CV106" s="319">
        <f>+CV33*360/CV83</f>
        <v>53.240206498633462</v>
      </c>
      <c r="CX106" s="318" t="s">
        <v>54</v>
      </c>
      <c r="CY106" s="319">
        <f>+CY33*360/CY83</f>
        <v>52.739541160593795</v>
      </c>
      <c r="CZ106" s="319">
        <f>+CZ33*360/CZ83</f>
        <v>50.680382072005877</v>
      </c>
      <c r="DA106" s="319">
        <f>+DA33*360/DA83</f>
        <v>52.953611274221963</v>
      </c>
      <c r="DB106" s="319">
        <f>+DB33*360/DB83</f>
        <v>51.017859735733992</v>
      </c>
      <c r="DC106" s="319">
        <f>+DC33*360/DC83</f>
        <v>51.017859735733992</v>
      </c>
      <c r="DE106" s="318" t="s">
        <v>54</v>
      </c>
      <c r="DF106" s="319">
        <f>+DF33*360/DF83</f>
        <v>50.076726342710998</v>
      </c>
      <c r="DG106" s="319">
        <f>+DG33*360/DG83</f>
        <v>49.675564681724843</v>
      </c>
      <c r="DH106" s="319">
        <f>+DH33*360/DH83</f>
        <v>51.604905710141104</v>
      </c>
      <c r="DI106" s="319">
        <f>+DI33*360/DI83</f>
        <v>46.18061964403428</v>
      </c>
      <c r="DJ106" s="319">
        <f>+DJ33*360/DJ83</f>
        <v>46.18061964403428</v>
      </c>
      <c r="DL106" s="318" t="s">
        <v>54</v>
      </c>
      <c r="DM106" s="319">
        <f>+DM33*360/DM83</f>
        <v>46.577088239368337</v>
      </c>
      <c r="DN106" s="319">
        <f>+DN33*360/DN83</f>
        <v>49.034202199789064</v>
      </c>
      <c r="DO106" s="319">
        <f>+DO33*360/DO83</f>
        <v>56.795543905635647</v>
      </c>
      <c r="DP106" s="319">
        <f>+DP33*360/DP83</f>
        <v>59.406143344709896</v>
      </c>
      <c r="DQ106" s="319">
        <f>+DQ33*360/DQ83</f>
        <v>59.406143344709896</v>
      </c>
      <c r="DS106" s="318" t="s">
        <v>54</v>
      </c>
      <c r="DT106" s="319">
        <f>+DT33*360/DT83</f>
        <v>55.953255425709514</v>
      </c>
      <c r="DU106" s="319">
        <f>+DU33*360/DU83</f>
        <v>53.158231902626518</v>
      </c>
      <c r="DV106" s="319">
        <f>+DV33*360/DV83</f>
        <v>55.310884886452627</v>
      </c>
      <c r="DW106" s="319">
        <f>+DW33*360/DW83</f>
        <v>57.158469945355193</v>
      </c>
      <c r="DX106" s="319">
        <f>+DX33*360/DX83</f>
        <v>57.158469945355193</v>
      </c>
      <c r="DZ106" s="318" t="s">
        <v>54</v>
      </c>
      <c r="EA106" s="319">
        <f>+EA33*360/EA83</f>
        <v>54.605243667604796</v>
      </c>
      <c r="EB106" s="319">
        <f>+EB33*360/EB83</f>
        <v>55.631193451098667</v>
      </c>
      <c r="EC106" s="319">
        <f>+EC33*360/EC83</f>
        <v>58.597662771285478</v>
      </c>
      <c r="ED106" s="319">
        <f>+ED33*360/ED83</f>
        <v>56.18723635868826</v>
      </c>
      <c r="EE106" s="319">
        <f>+EE33*360/EE83</f>
        <v>56.18723635868826</v>
      </c>
      <c r="EG106" s="318" t="s">
        <v>54</v>
      </c>
      <c r="EH106" s="319">
        <f>+EH33*360/EH83</f>
        <v>58.558315334773219</v>
      </c>
      <c r="EI106" s="319">
        <f>+EI33*360/EI83</f>
        <v>51.55422831546084</v>
      </c>
      <c r="EJ106" s="319">
        <f>+EJ33*360/EJ83</f>
        <v>58.989733059548257</v>
      </c>
      <c r="EK106" s="319">
        <f>+EK33*360/EK83</f>
        <v>50.41988950276243</v>
      </c>
      <c r="EL106" s="319">
        <f>+EL33*360/EL83</f>
        <v>50.41988950276243</v>
      </c>
      <c r="EN106" s="318" t="s">
        <v>54</v>
      </c>
      <c r="EO106" s="319">
        <f>+EO33*360/EO83</f>
        <v>52.15</v>
      </c>
      <c r="EP106" s="319">
        <f>+EP33*360/EP83</f>
        <v>50.930232558139537</v>
      </c>
      <c r="EQ106" s="319">
        <f>+EQ33*360/EQ83</f>
        <v>53.016393442622949</v>
      </c>
      <c r="ER106" s="319">
        <f>+ER33*360/ER83</f>
        <v>46.250503423278289</v>
      </c>
      <c r="ES106" s="319">
        <f>+ES33*360/ES83</f>
        <v>46.250503423278289</v>
      </c>
      <c r="EU106" s="318" t="s">
        <v>54</v>
      </c>
      <c r="EV106" s="319">
        <f>+EV33*360/EV83</f>
        <v>46.026750590086543</v>
      </c>
      <c r="EW106" s="319">
        <f>+EW33*360/EW83</f>
        <v>41.774110366168131</v>
      </c>
      <c r="EX106" s="319">
        <f>+EX33*360/EX83</f>
        <v>45.263963274674829</v>
      </c>
      <c r="EY106" s="319">
        <f>+EY33*360/EY83</f>
        <v>38.481973434535107</v>
      </c>
      <c r="EZ106" s="319">
        <f>+EZ33*360/EZ83</f>
        <v>38.481973434535107</v>
      </c>
      <c r="FB106" s="318" t="s">
        <v>54</v>
      </c>
      <c r="FC106" s="319">
        <f>+FC33*360/FC83</f>
        <v>39.579702716555616</v>
      </c>
      <c r="FD106" s="319">
        <f>+FD33*360/FD83</f>
        <v>36.60695468914647</v>
      </c>
      <c r="FE106" s="319">
        <f>+FE33*360/FE83</f>
        <v>41.285753200762734</v>
      </c>
      <c r="FF106" s="319">
        <f>+FF33*360/FF83</f>
        <v>39.185069098162131</v>
      </c>
      <c r="FG106" s="319">
        <f>+FG33*360/FG83</f>
        <v>39.185069098162131</v>
      </c>
      <c r="FI106" s="318" t="s">
        <v>54</v>
      </c>
      <c r="FJ106" s="319">
        <f>+FJ33*360/FJ83</f>
        <v>43.589362650423411</v>
      </c>
      <c r="FK106" s="319">
        <f>+FK33*360/FK83</f>
        <v>42.242647058823529</v>
      </c>
      <c r="FL106" s="319">
        <f>+FL33*360/FL83</f>
        <v>48.531073446327682</v>
      </c>
      <c r="FM106" s="319">
        <f>+FM33*360/FM83</f>
        <v>45.486753409625337</v>
      </c>
      <c r="FN106" s="319">
        <f>+FN33*360/FN83</f>
        <v>45.486753409625337</v>
      </c>
      <c r="FP106" s="318" t="s">
        <v>54</v>
      </c>
      <c r="FQ106" s="319">
        <f>+FQ33*360/FQ83</f>
        <v>50.136476426799007</v>
      </c>
      <c r="FR106" s="319">
        <f>+FR33*360/FR83</f>
        <v>45.300605872300764</v>
      </c>
      <c r="FS106" s="319">
        <f>+FS33*360/FS83</f>
        <v>50.652985074626862</v>
      </c>
      <c r="FT106" s="319">
        <f>+FT33*360/FT83</f>
        <v>48.592828685258965</v>
      </c>
      <c r="FU106" s="319">
        <f>+FU33*360/FU83</f>
        <v>48.592828685258965</v>
      </c>
      <c r="FW106" s="318" t="s">
        <v>54</v>
      </c>
      <c r="FX106" s="319">
        <f>+FX33*360/FX83</f>
        <v>53.287536800785084</v>
      </c>
      <c r="FY106" s="319">
        <f>+FY33*360/FY83</f>
        <v>50.530477759472817</v>
      </c>
      <c r="FZ106" s="319">
        <f>+FZ33*360/FZ83</f>
        <v>58.636589815889863</v>
      </c>
      <c r="GA106" s="319">
        <f>+GA33*360/GA83</f>
        <v>56.469421487603306</v>
      </c>
      <c r="GB106" s="319">
        <f>+GB33*360/GB83</f>
        <v>56.469421487603306</v>
      </c>
      <c r="GD106" s="318" t="s">
        <v>54</v>
      </c>
      <c r="GE106" s="319">
        <f>+GE33*360/GE83</f>
        <v>61.089092422980848</v>
      </c>
      <c r="GF106" s="319">
        <f>+GF33*360/GF83</f>
        <v>60</v>
      </c>
      <c r="GG106" s="319">
        <f>+GG33*360/GG83</f>
        <v>68.515125324114095</v>
      </c>
      <c r="GH106" s="319">
        <f>+GH33*360/GH83</f>
        <v>66.775742486217325</v>
      </c>
      <c r="GI106" s="319">
        <f>+GI33*360/GI83</f>
        <v>66.775742486217325</v>
      </c>
      <c r="GK106" s="318" t="s">
        <v>54</v>
      </c>
      <c r="GL106" s="319">
        <f>+GL33*360/GL83</f>
        <v>69.351784413692641</v>
      </c>
      <c r="GM106" s="319">
        <f>+GM33*360/GM83</f>
        <v>67.02870442203259</v>
      </c>
      <c r="GN106" s="319">
        <f>+GN33*360/GN83</f>
        <v>75.598548972188638</v>
      </c>
      <c r="GO106" s="319">
        <f>+GO33*360/GO83</f>
        <v>60.198429102935094</v>
      </c>
      <c r="GP106" s="319">
        <f>+GP33*360/GP83</f>
        <v>60.198429102935094</v>
      </c>
      <c r="GR106" s="318" t="s">
        <v>54</v>
      </c>
      <c r="GS106" s="319">
        <f>+GS33*360/GS83</f>
        <v>63.47290640394089</v>
      </c>
      <c r="GT106" s="319">
        <f>+GT33*360/GT83</f>
        <v>62.181175083513459</v>
      </c>
      <c r="GU106" s="319">
        <f>+GU33*360/GU83</f>
        <v>64.572799409485143</v>
      </c>
      <c r="GV106" s="319">
        <f>+GV33*360/GV83</f>
        <v>59.190711968584601</v>
      </c>
      <c r="GW106" s="319">
        <f>+GW33*360/GW83</f>
        <v>59.190711968584601</v>
      </c>
      <c r="GY106" s="318" t="s">
        <v>54</v>
      </c>
      <c r="GZ106" s="319">
        <f>+GZ33*360/GZ83</f>
        <v>60.373742213703878</v>
      </c>
      <c r="HA106" s="319">
        <f>+HA33*360/HA83</f>
        <v>55.640199238206854</v>
      </c>
      <c r="HB106" s="319">
        <f>+HB33*360/HB83</f>
        <v>57.006185567010313</v>
      </c>
      <c r="HC106" s="319">
        <f>+HC33*360/HC83</f>
        <v>54.589371980676326</v>
      </c>
      <c r="HD106" s="319">
        <f>+HD33*360/HD83</f>
        <v>54.589371980676326</v>
      </c>
      <c r="HF106" s="318" t="s">
        <v>54</v>
      </c>
      <c r="HG106" s="319">
        <f>+HG33*360/HG83</f>
        <v>57.384391148800852</v>
      </c>
      <c r="HH106" s="319">
        <f>+HH33*360/HH83</f>
        <v>53.68126747437092</v>
      </c>
      <c r="HI106" s="319">
        <f>+HI33*360/HI83</f>
        <v>57.871770847276132</v>
      </c>
      <c r="HJ106" s="319">
        <f>+HJ33*360/HJ83</f>
        <v>59.05317597135658</v>
      </c>
      <c r="HK106" s="319">
        <f>+HK33*360/HK83</f>
        <v>59.05317597135658</v>
      </c>
      <c r="HM106" s="318" t="s">
        <v>54</v>
      </c>
      <c r="HN106" s="319">
        <f>+HN33*360/HN83</f>
        <v>61.789985543435407</v>
      </c>
      <c r="HO106" s="319">
        <f>+HO33*360/HO83</f>
        <v>56.29279811097993</v>
      </c>
      <c r="HP106" s="319">
        <f>+HP33*360/HP83</f>
        <v>61.83786638500132</v>
      </c>
      <c r="HQ106" s="319">
        <f>+HQ33*360/HQ83</f>
        <v>61.681498206933192</v>
      </c>
      <c r="HR106" s="319">
        <f>+HR33*360/HR83</f>
        <v>61.681498206933192</v>
      </c>
      <c r="HT106" s="318" t="s">
        <v>54</v>
      </c>
      <c r="HU106" s="319">
        <f>+HU33*360/HU83</f>
        <v>62.685381355932201</v>
      </c>
      <c r="HV106" s="319">
        <f>+HV33*360/HV83</f>
        <v>60.514987455433776</v>
      </c>
      <c r="HW106" s="319">
        <f>+HW33*360/HW83</f>
        <v>63.654782265491384</v>
      </c>
      <c r="HX106" s="319">
        <f>+HX33*360/HX83</f>
        <v>73.713109947643986</v>
      </c>
      <c r="HY106" s="130">
        <f>+HY33*360/HY83</f>
        <v>73.713109947643986</v>
      </c>
      <c r="IA106" s="318" t="s">
        <v>54</v>
      </c>
      <c r="IB106" s="319">
        <f>+IB33*360/IB83</f>
        <v>65</v>
      </c>
      <c r="IC106" s="319">
        <f>+IC33*360/IC83</f>
        <v>64.999999999999986</v>
      </c>
      <c r="ID106" s="319">
        <f>+ID33*360/ID83</f>
        <v>65</v>
      </c>
      <c r="IE106" s="319">
        <f>+IE33*360/IE83</f>
        <v>65</v>
      </c>
      <c r="IF106" s="130">
        <f>+IF33*360/IF83</f>
        <v>64.999999999999986</v>
      </c>
      <c r="IH106" s="318" t="s">
        <v>54</v>
      </c>
      <c r="II106" s="319">
        <f>+II33*360/II83</f>
        <v>65</v>
      </c>
      <c r="IJ106" s="319">
        <f>+IJ33*360/IJ83</f>
        <v>65</v>
      </c>
      <c r="IK106" s="319">
        <f>+IK33*360/IK83</f>
        <v>65</v>
      </c>
      <c r="IL106" s="319">
        <f>+IL33*360/IL83</f>
        <v>65</v>
      </c>
      <c r="IM106" s="130">
        <f>+IM33*360/IM83</f>
        <v>65</v>
      </c>
      <c r="IO106" s="318" t="s">
        <v>54</v>
      </c>
      <c r="IP106" s="319">
        <f>+IP33*360/IP83</f>
        <v>65</v>
      </c>
      <c r="IQ106" s="319">
        <f>+IQ33*360/IQ83</f>
        <v>65</v>
      </c>
      <c r="IR106" s="319">
        <f>+IR33*360/IR83</f>
        <v>65</v>
      </c>
      <c r="IS106" s="319">
        <f>+IS33*360/IS83</f>
        <v>65</v>
      </c>
      <c r="IT106" s="130">
        <f>+IT33*360/IT83</f>
        <v>65</v>
      </c>
    </row>
    <row r="107" spans="1:254" x14ac:dyDescent="0.4">
      <c r="B107" s="76"/>
      <c r="AB107" s="80"/>
      <c r="AC107" s="80"/>
      <c r="AD107" s="80"/>
      <c r="AE107" s="80"/>
      <c r="AF107" s="80"/>
      <c r="AG107" s="78"/>
      <c r="AH107" s="78"/>
      <c r="AI107" s="78"/>
      <c r="AJ107" s="78"/>
      <c r="AK107" s="78"/>
      <c r="AL107" s="78"/>
      <c r="AM107" s="78"/>
      <c r="AN107" s="78"/>
      <c r="AO107" s="78"/>
      <c r="AP107" s="78"/>
      <c r="AQ107" s="78"/>
      <c r="AR107" s="78"/>
      <c r="AT107" s="76"/>
      <c r="BA107" s="76"/>
      <c r="BH107" s="76"/>
      <c r="BO107" s="76"/>
      <c r="BV107" s="76"/>
      <c r="CC107" s="76"/>
      <c r="CJ107" s="76"/>
      <c r="CQ107" s="76"/>
      <c r="CX107" s="76"/>
      <c r="DE107" s="76"/>
      <c r="DL107" s="76"/>
      <c r="DS107" s="76"/>
      <c r="DZ107" s="76"/>
      <c r="EG107" s="76"/>
      <c r="EN107" s="76"/>
      <c r="EU107" s="76"/>
      <c r="FB107" s="76"/>
      <c r="FI107" s="76"/>
      <c r="FP107" s="76"/>
      <c r="FW107" s="76"/>
      <c r="GD107" s="76"/>
      <c r="GK107" s="76"/>
      <c r="GR107" s="76"/>
      <c r="GY107" s="76"/>
      <c r="HF107" s="76"/>
      <c r="HM107" s="76"/>
      <c r="HT107" s="76"/>
      <c r="HU107" s="80"/>
      <c r="HV107" s="80"/>
      <c r="HW107" s="80"/>
      <c r="HX107" s="80"/>
      <c r="HY107" s="80"/>
      <c r="IA107" s="76"/>
      <c r="IB107" s="80"/>
      <c r="IC107" s="80"/>
      <c r="ID107" s="80"/>
      <c r="IE107" s="80"/>
      <c r="IF107" s="80"/>
      <c r="IH107" s="76"/>
      <c r="II107" s="80"/>
      <c r="IJ107" s="80"/>
      <c r="IK107" s="80"/>
      <c r="IL107" s="80"/>
      <c r="IM107" s="80"/>
      <c r="IO107" s="76"/>
      <c r="IP107" s="80"/>
      <c r="IQ107" s="80"/>
      <c r="IR107" s="80"/>
      <c r="IS107" s="80"/>
      <c r="IT107" s="80"/>
    </row>
    <row r="108" spans="1:254" x14ac:dyDescent="0.4">
      <c r="B108" s="62" t="s">
        <v>55</v>
      </c>
      <c r="C108" s="63">
        <f>AY108</f>
        <v>0</v>
      </c>
      <c r="D108" s="63">
        <f>BF108</f>
        <v>0</v>
      </c>
      <c r="E108" s="63">
        <f>BM108</f>
        <v>0</v>
      </c>
      <c r="F108" s="63">
        <f>BT108</f>
        <v>0</v>
      </c>
      <c r="G108" s="63">
        <f>CA108</f>
        <v>0</v>
      </c>
      <c r="H108" s="63">
        <f>CH108</f>
        <v>0</v>
      </c>
      <c r="I108" s="63">
        <f>CO108</f>
        <v>3.1424976147243315E-2</v>
      </c>
      <c r="J108" s="63">
        <f>CV108</f>
        <v>4.8384352018800272E-2</v>
      </c>
      <c r="K108" s="63">
        <f>DC108</f>
        <v>4.8867220654126291E-2</v>
      </c>
      <c r="L108" s="63">
        <f>DJ108</f>
        <v>5.5374165412373132E-2</v>
      </c>
      <c r="M108" s="63">
        <f>DQ108</f>
        <v>4.1444752831745556E-2</v>
      </c>
      <c r="N108" s="63">
        <f>DX108</f>
        <v>5.7560215307102598E-2</v>
      </c>
      <c r="O108" s="63">
        <f>EE108</f>
        <v>6.2241816225223033E-2</v>
      </c>
      <c r="P108" s="63">
        <f>EL108</f>
        <v>6.0444340816734388E-2</v>
      </c>
      <c r="Q108" s="63">
        <f>ES108</f>
        <v>5.9499943867977481E-2</v>
      </c>
      <c r="R108" s="63">
        <f>EZ108</f>
        <v>5.9443201974242306E-2</v>
      </c>
      <c r="S108" s="63">
        <f>FG108</f>
        <v>5.7804147330082829E-2</v>
      </c>
      <c r="T108" s="63">
        <f>FN108</f>
        <v>5.0647949696961098E-2</v>
      </c>
      <c r="U108" s="63">
        <f>FU108</f>
        <v>5.8943403651286662E-2</v>
      </c>
      <c r="V108" s="63">
        <f>GB108</f>
        <v>9.1323066732902802E-2</v>
      </c>
      <c r="W108" s="63">
        <f>GI108</f>
        <v>8.8843250740138158E-2</v>
      </c>
      <c r="X108" s="63">
        <f>GP108</f>
        <v>7.0852017937219736E-2</v>
      </c>
      <c r="Y108" s="63">
        <f>GW108</f>
        <v>8.7481504158159459E-2</v>
      </c>
      <c r="Z108" s="63">
        <f>HD108</f>
        <v>9.9102480083708797E-2</v>
      </c>
      <c r="AA108" s="63">
        <f>HK108</f>
        <v>8.7443678928171259E-2</v>
      </c>
      <c r="AB108" s="63">
        <f>HR108</f>
        <v>8.3600075315383174E-2</v>
      </c>
      <c r="AC108" s="63">
        <f>HY108</f>
        <v>7.1273295517986085E-2</v>
      </c>
      <c r="AD108" s="63">
        <f>IF108</f>
        <v>7.7351063905137324E-2</v>
      </c>
      <c r="AE108" s="63">
        <f>IM108</f>
        <v>8.11307770859164E-2</v>
      </c>
      <c r="AF108" s="63">
        <f>IT108</f>
        <v>8.0363034287021864E-2</v>
      </c>
      <c r="AG108" s="64"/>
      <c r="AH108" s="64"/>
      <c r="AI108" s="64"/>
      <c r="AJ108" s="64"/>
      <c r="AK108" s="64"/>
      <c r="AL108" s="64"/>
      <c r="AM108" s="64"/>
      <c r="AN108" s="64"/>
      <c r="AO108" s="64"/>
      <c r="AP108" s="64"/>
      <c r="AQ108" s="64"/>
      <c r="AR108" s="64"/>
      <c r="AT108" s="62" t="s">
        <v>55</v>
      </c>
      <c r="AU108" s="63"/>
      <c r="AV108" s="63"/>
      <c r="AW108" s="63"/>
      <c r="AX108" s="63"/>
      <c r="AY108" s="63"/>
      <c r="BA108" s="62" t="s">
        <v>55</v>
      </c>
      <c r="BB108" s="63"/>
      <c r="BC108" s="63"/>
      <c r="BD108" s="63"/>
      <c r="BE108" s="63"/>
      <c r="BF108" s="63"/>
      <c r="BH108" s="62" t="s">
        <v>55</v>
      </c>
      <c r="BI108" s="63"/>
      <c r="BJ108" s="63"/>
      <c r="BK108" s="63"/>
      <c r="BL108" s="63"/>
      <c r="BM108" s="63"/>
      <c r="BO108" s="62" t="s">
        <v>55</v>
      </c>
      <c r="BP108" s="63"/>
      <c r="BQ108" s="63"/>
      <c r="BR108" s="63"/>
      <c r="BS108" s="63"/>
      <c r="BT108" s="63"/>
      <c r="BV108" s="62" t="s">
        <v>55</v>
      </c>
      <c r="BW108" s="63"/>
      <c r="BX108" s="63"/>
      <c r="BY108" s="63"/>
      <c r="BZ108" s="63"/>
      <c r="CA108" s="63"/>
      <c r="CC108" s="62" t="s">
        <v>55</v>
      </c>
      <c r="CD108" s="63"/>
      <c r="CE108" s="63"/>
      <c r="CF108" s="63"/>
      <c r="CG108" s="63"/>
      <c r="CH108" s="63"/>
      <c r="CJ108" s="62" t="s">
        <v>55</v>
      </c>
      <c r="CK108" s="63" t="s">
        <v>80</v>
      </c>
      <c r="CL108" s="63" t="s">
        <v>80</v>
      </c>
      <c r="CM108" s="63" t="s">
        <v>80</v>
      </c>
      <c r="CN108" s="63" t="s">
        <v>80</v>
      </c>
      <c r="CO108" s="63">
        <f>+CO97/AVERAGE(CO28)</f>
        <v>3.1424976147243315E-2</v>
      </c>
      <c r="CQ108" s="62" t="s">
        <v>55</v>
      </c>
      <c r="CR108" s="63">
        <f>+CR97/AVERAGE(CR28,CK28)</f>
        <v>3.4436388762093269E-2</v>
      </c>
      <c r="CS108" s="63">
        <f>+CS97/AVERAGE(CS28,CL28)</f>
        <v>4.3145528253495491E-2</v>
      </c>
      <c r="CT108" s="63">
        <f>+CT97/AVERAGE(CT28,CM28)</f>
        <v>4.6783793181027961E-2</v>
      </c>
      <c r="CU108" s="63">
        <f>+CU97/AVERAGE(CU28,CN28)</f>
        <v>4.8384352018800272E-2</v>
      </c>
      <c r="CV108" s="63">
        <f>+CV97/AVERAGE(CV28,CO28)</f>
        <v>4.8384352018800272E-2</v>
      </c>
      <c r="CX108" s="62" t="s">
        <v>55</v>
      </c>
      <c r="CY108" s="63">
        <f>+CY97/AVERAGE(CY28,CR28)</f>
        <v>4.8563148508430611E-2</v>
      </c>
      <c r="CZ108" s="63">
        <f>+CZ97/AVERAGE(CZ28,CS28)</f>
        <v>4.5305925224989434E-2</v>
      </c>
      <c r="DA108" s="63">
        <f>+DA97/AVERAGE(DA28,CT28)</f>
        <v>4.586049091665511E-2</v>
      </c>
      <c r="DB108" s="63">
        <f>+DB97/AVERAGE(DB28,CU28)</f>
        <v>4.8867220654126291E-2</v>
      </c>
      <c r="DC108" s="63">
        <f>+DC97/AVERAGE(DC28,CV28)</f>
        <v>4.8867220654126291E-2</v>
      </c>
      <c r="DE108" s="62" t="s">
        <v>55</v>
      </c>
      <c r="DF108" s="63">
        <f>+DF97/AVERAGE(DF28,CY28)</f>
        <v>5.1172023417206225E-2</v>
      </c>
      <c r="DG108" s="63">
        <f>+DG97/AVERAGE(DG28,CZ28)</f>
        <v>5.2579450786794199E-2</v>
      </c>
      <c r="DH108" s="63">
        <f>+DH97/AVERAGE(DH28,DA28)</f>
        <v>5.5445044217296437E-2</v>
      </c>
      <c r="DI108" s="63">
        <f>+DI97/AVERAGE(DI28,DB28)</f>
        <v>5.5374165412373132E-2</v>
      </c>
      <c r="DJ108" s="63">
        <f>+DJ97/AVERAGE(DJ28,DC28)</f>
        <v>5.5374165412373132E-2</v>
      </c>
      <c r="DL108" s="62" t="s">
        <v>55</v>
      </c>
      <c r="DM108" s="63">
        <f>+DM97/AVERAGE(DM28,DF28)</f>
        <v>5.0717667393101372E-2</v>
      </c>
      <c r="DN108" s="63">
        <f>+DN97/AVERAGE(DN28,DG28)</f>
        <v>4.7174887892376685E-2</v>
      </c>
      <c r="DO108" s="63">
        <f>+DO97/AVERAGE(DO28,DH28)</f>
        <v>4.3587975473843119E-2</v>
      </c>
      <c r="DP108" s="63">
        <f>+DP97/AVERAGE(DP28,DI28)</f>
        <v>4.1444752831745556E-2</v>
      </c>
      <c r="DQ108" s="63">
        <f>+DQ97/AVERAGE(DQ28,DJ28)</f>
        <v>4.1444752831745556E-2</v>
      </c>
      <c r="DS108" s="62" t="s">
        <v>55</v>
      </c>
      <c r="DT108" s="63">
        <f>+DT97/AVERAGE(DT28,DM28)</f>
        <v>4.3266369047619047E-2</v>
      </c>
      <c r="DU108" s="63">
        <f>+DU97/AVERAGE(DU28,DN28)</f>
        <v>4.8654612090727203E-2</v>
      </c>
      <c r="DV108" s="63">
        <f>+DV97/AVERAGE(DV28,DO28)</f>
        <v>5.3581009824418581E-2</v>
      </c>
      <c r="DW108" s="63">
        <f>+DW97/AVERAGE(DW28,DP28)</f>
        <v>5.7560215307102598E-2</v>
      </c>
      <c r="DX108" s="63">
        <f>+DX97/AVERAGE(DX28,DQ28)</f>
        <v>5.7560215307102598E-2</v>
      </c>
      <c r="DZ108" s="62" t="s">
        <v>55</v>
      </c>
      <c r="EA108" s="63">
        <f>+EA97/AVERAGE(EA28,DT28)</f>
        <v>6.1310936644148259E-2</v>
      </c>
      <c r="EB108" s="63">
        <f>+EB97/AVERAGE(EB28,DU28)</f>
        <v>6.322927374704683E-2</v>
      </c>
      <c r="EC108" s="63">
        <f>+EC97/AVERAGE(EC28,DV28)</f>
        <v>6.4439097635544618E-2</v>
      </c>
      <c r="ED108" s="63">
        <f>+ED97/AVERAGE(ED28,DW28)</f>
        <v>6.2241816225223033E-2</v>
      </c>
      <c r="EE108" s="63">
        <f>+EE97/AVERAGE(EE28,DX28)</f>
        <v>6.2241816225223033E-2</v>
      </c>
      <c r="EG108" s="62" t="s">
        <v>55</v>
      </c>
      <c r="EH108" s="63">
        <f>+EH97/AVERAGE(EH28,EA28)</f>
        <v>6.5077603368391385E-2</v>
      </c>
      <c r="EI108" s="63">
        <f>+EI97/AVERAGE(EI28,EB28)</f>
        <v>6.3745840052149449E-2</v>
      </c>
      <c r="EJ108" s="63">
        <f>+EJ97/AVERAGE(EJ28,EC28)</f>
        <v>6.3563546357729719E-2</v>
      </c>
      <c r="EK108" s="63">
        <f>+EK97/AVERAGE(EK28,ED28)</f>
        <v>6.0444340816734388E-2</v>
      </c>
      <c r="EL108" s="63">
        <f>+EL97/AVERAGE(EL28,EE28)</f>
        <v>6.0444340816734388E-2</v>
      </c>
      <c r="EN108" s="62" t="s">
        <v>55</v>
      </c>
      <c r="EO108" s="63">
        <f>+EO97/AVERAGE(EO28,EH28)</f>
        <v>6.1054005219835367E-2</v>
      </c>
      <c r="EP108" s="63">
        <f>+EP97/AVERAGE(EP28,EI28)</f>
        <v>6.0845377873325612E-2</v>
      </c>
      <c r="EQ108" s="63">
        <f>+EQ97/AVERAGE(EQ28,EJ28)</f>
        <v>6.0343994874574931E-2</v>
      </c>
      <c r="ER108" s="63">
        <f>+ER97/AVERAGE(ER28,EK28)</f>
        <v>5.9499943867977481E-2</v>
      </c>
      <c r="ES108" s="63">
        <f>+ES97/AVERAGE(ES28,EL28)</f>
        <v>5.9499943867977481E-2</v>
      </c>
      <c r="EU108" s="62" t="s">
        <v>55</v>
      </c>
      <c r="EV108" s="63">
        <f>+EV97/AVERAGE(EV28,EO28)</f>
        <v>5.7623743294896092E-2</v>
      </c>
      <c r="EW108" s="63">
        <f>+EW97/AVERAGE(EW28,EP28)</f>
        <v>5.7432862415680283E-2</v>
      </c>
      <c r="EX108" s="63">
        <f>+EX97/AVERAGE(EX28,EQ28)</f>
        <v>5.8584778025988736E-2</v>
      </c>
      <c r="EY108" s="63">
        <f>+EY97/AVERAGE(EY28,ER28)</f>
        <v>5.9443201974242306E-2</v>
      </c>
      <c r="EZ108" s="63">
        <f>+EZ97/AVERAGE(EZ28,ES28)</f>
        <v>5.9443201974242306E-2</v>
      </c>
      <c r="FB108" s="62" t="s">
        <v>55</v>
      </c>
      <c r="FC108" s="63">
        <f>+FC97/AVERAGE(FC28,EV28)</f>
        <v>6.0794867444980798E-2</v>
      </c>
      <c r="FD108" s="63">
        <f>+FD97/AVERAGE(FD28,EW28)</f>
        <v>6.0682564788903756E-2</v>
      </c>
      <c r="FE108" s="63">
        <f>+FE97/AVERAGE(FE28,EX28)</f>
        <v>5.981572075992677E-2</v>
      </c>
      <c r="FF108" s="63">
        <f>+FF97/AVERAGE(FF28,EY28)</f>
        <v>5.7804147330082829E-2</v>
      </c>
      <c r="FG108" s="63">
        <f>+FG97/AVERAGE(FG28,EZ28)</f>
        <v>5.7804147330082829E-2</v>
      </c>
      <c r="FI108" s="62" t="s">
        <v>55</v>
      </c>
      <c r="FJ108" s="63">
        <f>+FJ97/AVERAGE(FJ28,FC28)</f>
        <v>5.5539980227530948E-2</v>
      </c>
      <c r="FK108" s="63">
        <f>+FK97/AVERAGE(FK28,FD28)</f>
        <v>5.1926763943975295E-2</v>
      </c>
      <c r="FL108" s="63">
        <f>+FL97/AVERAGE(FL28,FE28)</f>
        <v>5.0133923372539885E-2</v>
      </c>
      <c r="FM108" s="63">
        <f>+FM97/AVERAGE(FM28,FF28)</f>
        <v>5.0647949696961098E-2</v>
      </c>
      <c r="FN108" s="63">
        <f>+FN97/AVERAGE(FN28,FG28)</f>
        <v>5.0647949696961098E-2</v>
      </c>
      <c r="FP108" s="62" t="s">
        <v>55</v>
      </c>
      <c r="FQ108" s="63">
        <f>+FQ97/AVERAGE(FQ28,FJ28)</f>
        <v>5.3984528312619094E-2</v>
      </c>
      <c r="FR108" s="63">
        <f>+FR97/AVERAGE(FR28,FK28)</f>
        <v>5.8063370780133787E-2</v>
      </c>
      <c r="FS108" s="63">
        <f>+FS97/AVERAGE(FS28,FL28)</f>
        <v>5.842087283286361E-2</v>
      </c>
      <c r="FT108" s="63">
        <f>+FT97/AVERAGE(FT28,FM28)</f>
        <v>5.8943403651286662E-2</v>
      </c>
      <c r="FU108" s="63">
        <f>+FU97/AVERAGE(FU28,FN28)</f>
        <v>5.8943403651286662E-2</v>
      </c>
      <c r="FW108" s="62" t="s">
        <v>55</v>
      </c>
      <c r="FX108" s="63">
        <f>+FX97/AVERAGE(FX28,FQ28)</f>
        <v>6.3485119820644961E-2</v>
      </c>
      <c r="FY108" s="63">
        <f>+FY97/AVERAGE(FY28,FR28)</f>
        <v>7.1663117400563303E-2</v>
      </c>
      <c r="FZ108" s="63">
        <f>+FZ97/AVERAGE(FZ28,FS28)</f>
        <v>8.3910870585636579E-2</v>
      </c>
      <c r="GA108" s="63">
        <f>+GA97/AVERAGE(GA28,FT28)</f>
        <v>9.1323066732902802E-2</v>
      </c>
      <c r="GB108" s="63">
        <f>+GB97/AVERAGE(GB28,FU28)</f>
        <v>9.1323066732902802E-2</v>
      </c>
      <c r="GD108" s="62" t="s">
        <v>55</v>
      </c>
      <c r="GE108" s="63">
        <f>+GE97/AVERAGE(GE28,FX28)</f>
        <v>9.1225378011191516E-2</v>
      </c>
      <c r="GF108" s="63">
        <f>+GF97/AVERAGE(GF28,FY28)</f>
        <v>9.194634459170585E-2</v>
      </c>
      <c r="GG108" s="63">
        <f>+GG97/AVERAGE(GG28,FZ28)</f>
        <v>8.9959818124140847E-2</v>
      </c>
      <c r="GH108" s="63">
        <f>+GH97/AVERAGE(GH28,GA28)</f>
        <v>8.8843250740138158E-2</v>
      </c>
      <c r="GI108" s="63">
        <f>+GI97/AVERAGE(GI28,GB28)</f>
        <v>8.8843250740138158E-2</v>
      </c>
      <c r="GK108" s="62" t="s">
        <v>55</v>
      </c>
      <c r="GL108" s="63">
        <f>+GL97/AVERAGE(GL28,GE28)</f>
        <v>8.4870369408219459E-2</v>
      </c>
      <c r="GM108" s="63">
        <f>+GM97/AVERAGE(GM28,GF28)</f>
        <v>7.5389181027750302E-2</v>
      </c>
      <c r="GN108" s="63">
        <f>+GN97/AVERAGE(GN28,GG28)</f>
        <v>7.096295917584805E-2</v>
      </c>
      <c r="GO108" s="63">
        <f>+GO97/AVERAGE(GO28,GH28)</f>
        <v>7.0852017937219736E-2</v>
      </c>
      <c r="GP108" s="63">
        <f>+GP97/AVERAGE(GP28,GI28)</f>
        <v>7.0852017937219736E-2</v>
      </c>
      <c r="GR108" s="62" t="s">
        <v>55</v>
      </c>
      <c r="GS108" s="63">
        <f>+GS97/AVERAGE(GS28,GL28)</f>
        <v>6.8792501846522178E-2</v>
      </c>
      <c r="GT108" s="63">
        <f>+GT97/AVERAGE(GT28,GM28)</f>
        <v>7.8749912441870781E-2</v>
      </c>
      <c r="GU108" s="63">
        <f>+GU97/AVERAGE(GU28,GN28)</f>
        <v>8.3934855728145574E-2</v>
      </c>
      <c r="GV108" s="63">
        <f>+GV97/AVERAGE(GV28,GO28)</f>
        <v>8.7481504158159459E-2</v>
      </c>
      <c r="GW108" s="63">
        <f>+GW97/AVERAGE(GW28,GP28)</f>
        <v>8.7481504158159459E-2</v>
      </c>
      <c r="GY108" s="62" t="s">
        <v>55</v>
      </c>
      <c r="GZ108" s="63">
        <f>+GZ97/AVERAGE(GZ28,GS28)</f>
        <v>9.1496111249750448E-2</v>
      </c>
      <c r="HA108" s="63">
        <f>+HA97/AVERAGE(HA28,GT28)</f>
        <v>9.5713068948158786E-2</v>
      </c>
      <c r="HB108" s="63">
        <f>+HB97/AVERAGE(HB28,GU28)</f>
        <v>9.6872833826491742E-2</v>
      </c>
      <c r="HC108" s="63">
        <f>+HC97/AVERAGE(HC28,GV28)</f>
        <v>9.9102480083708797E-2</v>
      </c>
      <c r="HD108" s="63">
        <f>+HD97/AVERAGE(HD28,GW28)</f>
        <v>9.9102480083708797E-2</v>
      </c>
      <c r="HF108" s="62" t="s">
        <v>55</v>
      </c>
      <c r="HG108" s="63">
        <f>+HG97/AVERAGE(HG28,GZ28)</f>
        <v>0.10252988930241777</v>
      </c>
      <c r="HH108" s="63">
        <f>+HH97/AVERAGE(HH28,HA28)</f>
        <v>0.10048558608396337</v>
      </c>
      <c r="HI108" s="63">
        <f>+HI97/AVERAGE(HI28,HB28)</f>
        <v>9.0754017010413815E-2</v>
      </c>
      <c r="HJ108" s="63">
        <f>+HJ97/AVERAGE(HJ28,HC28)</f>
        <v>8.7443678928171259E-2</v>
      </c>
      <c r="HK108" s="63">
        <f>+HK97/AVERAGE(HK28,HD28)</f>
        <v>8.7443678928171259E-2</v>
      </c>
      <c r="HM108" s="62" t="s">
        <v>55</v>
      </c>
      <c r="HN108" s="63">
        <f>+HN97/AVERAGE(HN28,HG28)</f>
        <v>8.5361484630633644E-2</v>
      </c>
      <c r="HO108" s="63">
        <f>+HO97/AVERAGE(HO28,HH28)</f>
        <v>8.5264155697675814E-2</v>
      </c>
      <c r="HP108" s="63">
        <f>+HP97/AVERAGE(HP28,HI28)</f>
        <v>8.5496940631718213E-2</v>
      </c>
      <c r="HQ108" s="63">
        <f>+HQ97/AVERAGE(HQ28,HJ28)</f>
        <v>8.3600075315383174E-2</v>
      </c>
      <c r="HR108" s="63">
        <f>+HR97/AVERAGE(HR28,HK28)</f>
        <v>8.3600075315383174E-2</v>
      </c>
      <c r="HT108" s="62" t="s">
        <v>55</v>
      </c>
      <c r="HU108" s="63">
        <f>+HU97/AVERAGE(HU28,HN28)</f>
        <v>7.7450076446353336E-2</v>
      </c>
      <c r="HV108" s="63">
        <f>+HV97/AVERAGE(HV28,HO28)</f>
        <v>7.4662039371094252E-2</v>
      </c>
      <c r="HW108" s="63">
        <f>+HW97/AVERAGE(HW28,HP28)</f>
        <v>7.2611988696900914E-2</v>
      </c>
      <c r="HX108" s="63">
        <f>+HX97/AVERAGE(HX28,HQ28)</f>
        <v>7.1273295517986085E-2</v>
      </c>
      <c r="HY108" s="63">
        <f>+HY97/AVERAGE(HY28,HR28)</f>
        <v>7.1273295517986085E-2</v>
      </c>
      <c r="IA108" s="62" t="s">
        <v>55</v>
      </c>
      <c r="IB108" s="63">
        <f>+IB97/AVERAGE(IB28,HU28)</f>
        <v>7.3391184737809104E-2</v>
      </c>
      <c r="IC108" s="63">
        <f>+IC97/AVERAGE(IC28,HV28)</f>
        <v>7.4561045926098538E-2</v>
      </c>
      <c r="ID108" s="63">
        <f>+ID97/AVERAGE(ID28,HW28)</f>
        <v>7.5403723010942392E-2</v>
      </c>
      <c r="IE108" s="63">
        <f>+IE97/AVERAGE(IE28,HX28)</f>
        <v>7.7351063905137324E-2</v>
      </c>
      <c r="IF108" s="63">
        <f>+IF97/AVERAGE(IF28,HY28)</f>
        <v>7.7351063905137324E-2</v>
      </c>
      <c r="IH108" s="62" t="s">
        <v>55</v>
      </c>
      <c r="II108" s="63">
        <f>+II97/AVERAGE(II28,IB28)</f>
        <v>7.9001621091594892E-2</v>
      </c>
      <c r="IJ108" s="63">
        <f>+IJ97/AVERAGE(IJ28,IC28)</f>
        <v>7.9937533748198245E-2</v>
      </c>
      <c r="IK108" s="63">
        <f>+IK97/AVERAGE(IK28,ID28)</f>
        <v>8.0746351933458901E-2</v>
      </c>
      <c r="IL108" s="63">
        <f>+IL97/AVERAGE(IL28,IE28)</f>
        <v>8.11307770859164E-2</v>
      </c>
      <c r="IM108" s="63">
        <f>+IM97/AVERAGE(IM28,IF28)</f>
        <v>8.11307770859164E-2</v>
      </c>
      <c r="IO108" s="62" t="s">
        <v>55</v>
      </c>
      <c r="IP108" s="63">
        <f>+IP97/AVERAGE(IP28,II28)</f>
        <v>8.112456664213287E-2</v>
      </c>
      <c r="IQ108" s="63">
        <f>+IQ97/AVERAGE(IQ28,IJ28)</f>
        <v>8.1014753238761672E-2</v>
      </c>
      <c r="IR108" s="63">
        <f>+IR97/AVERAGE(IR28,IK28)</f>
        <v>8.0608246304662415E-2</v>
      </c>
      <c r="IS108" s="63">
        <f>+IS97/AVERAGE(IS28,IL28)</f>
        <v>8.0363034287021864E-2</v>
      </c>
      <c r="IT108" s="63">
        <f>+IT97/AVERAGE(IT28,IM28)</f>
        <v>8.0363034287021864E-2</v>
      </c>
    </row>
    <row r="109" spans="1:254" x14ac:dyDescent="0.4">
      <c r="A109" s="383"/>
      <c r="B109" s="62" t="s">
        <v>56</v>
      </c>
      <c r="C109" s="63">
        <f>AY109</f>
        <v>0</v>
      </c>
      <c r="D109" s="63">
        <f>BF109</f>
        <v>0</v>
      </c>
      <c r="E109" s="63">
        <f>BM109</f>
        <v>0</v>
      </c>
      <c r="F109" s="63">
        <f>BT109</f>
        <v>0</v>
      </c>
      <c r="G109" s="63">
        <f>CA109</f>
        <v>0</v>
      </c>
      <c r="H109" s="63">
        <f>CH109</f>
        <v>0</v>
      </c>
      <c r="I109" s="63">
        <f>CO109</f>
        <v>9.573673899924566E-2</v>
      </c>
      <c r="J109" s="63">
        <f>CV109</f>
        <v>0.14135298295454546</v>
      </c>
      <c r="K109" s="63">
        <f>DC109</f>
        <v>0.14045271458557895</v>
      </c>
      <c r="L109" s="63">
        <f>DJ109</f>
        <v>0.17149345604494115</v>
      </c>
      <c r="M109" s="63">
        <f>DQ109</f>
        <v>0.1307073574639224</v>
      </c>
      <c r="N109" s="63">
        <f>DX109</f>
        <v>0.18086560364464693</v>
      </c>
      <c r="O109" s="63">
        <f>EE109</f>
        <v>0.20887698042870456</v>
      </c>
      <c r="P109" s="63">
        <f>EL109</f>
        <v>0.20774585002862048</v>
      </c>
      <c r="Q109" s="63">
        <f>ES109</f>
        <v>0.19019788782938582</v>
      </c>
      <c r="R109" s="63">
        <f>EZ109</f>
        <v>0.17776752767527676</v>
      </c>
      <c r="S109" s="63">
        <f>FG109</f>
        <v>0.17229907196638067</v>
      </c>
      <c r="T109" s="63">
        <f>FN109</f>
        <v>0.15273949148189367</v>
      </c>
      <c r="U109" s="63">
        <f>FU109</f>
        <v>0.15877342419080068</v>
      </c>
      <c r="V109" s="63">
        <f>GB109</f>
        <v>0.24240870297791289</v>
      </c>
      <c r="W109" s="63">
        <f>GI109</f>
        <v>0.27255246900953239</v>
      </c>
      <c r="X109" s="63">
        <f>GP109</f>
        <v>0.22143915428662955</v>
      </c>
      <c r="Y109" s="63">
        <f>GW109</f>
        <v>0.26406855843667792</v>
      </c>
      <c r="Z109" s="63">
        <f>HD109</f>
        <v>0.3137399281882996</v>
      </c>
      <c r="AA109" s="63">
        <f>HK109</f>
        <v>0.2999918213789155</v>
      </c>
      <c r="AB109" s="63">
        <f>HR109</f>
        <v>0.29005389514943652</v>
      </c>
      <c r="AC109" s="63">
        <f>HY109</f>
        <v>0.24004719306299238</v>
      </c>
      <c r="AD109" s="63">
        <f>IF109</f>
        <v>0.24181590055912114</v>
      </c>
      <c r="AE109" s="63">
        <f>IM109</f>
        <v>0.22930312027267491</v>
      </c>
      <c r="AF109" s="63">
        <f>IT109</f>
        <v>0.20892161750168492</v>
      </c>
      <c r="AG109" s="64"/>
      <c r="AH109" s="64"/>
      <c r="AI109" s="64"/>
      <c r="AJ109" s="64"/>
      <c r="AK109" s="64"/>
      <c r="AL109" s="64"/>
      <c r="AM109" s="64"/>
      <c r="AN109" s="64"/>
      <c r="AO109" s="64"/>
      <c r="AP109" s="64"/>
      <c r="AQ109" s="64"/>
      <c r="AR109" s="64"/>
      <c r="AT109" s="62" t="s">
        <v>56</v>
      </c>
      <c r="AU109" s="63"/>
      <c r="AV109" s="63"/>
      <c r="AW109" s="63"/>
      <c r="AX109" s="63"/>
      <c r="AY109" s="63"/>
      <c r="BA109" s="62" t="s">
        <v>56</v>
      </c>
      <c r="BB109" s="63"/>
      <c r="BC109" s="63"/>
      <c r="BD109" s="63"/>
      <c r="BE109" s="63"/>
      <c r="BF109" s="63"/>
      <c r="BH109" s="62" t="s">
        <v>56</v>
      </c>
      <c r="BI109" s="63"/>
      <c r="BJ109" s="63"/>
      <c r="BK109" s="63"/>
      <c r="BL109" s="63"/>
      <c r="BM109" s="63"/>
      <c r="BO109" s="62" t="s">
        <v>56</v>
      </c>
      <c r="BP109" s="63"/>
      <c r="BQ109" s="63"/>
      <c r="BR109" s="63"/>
      <c r="BS109" s="63"/>
      <c r="BT109" s="63"/>
      <c r="BV109" s="62" t="s">
        <v>56</v>
      </c>
      <c r="BW109" s="63"/>
      <c r="BX109" s="63"/>
      <c r="BY109" s="63"/>
      <c r="BZ109" s="63"/>
      <c r="CA109" s="63"/>
      <c r="CC109" s="62" t="s">
        <v>56</v>
      </c>
      <c r="CD109" s="63"/>
      <c r="CE109" s="63"/>
      <c r="CF109" s="63"/>
      <c r="CG109" s="63"/>
      <c r="CH109" s="63"/>
      <c r="CJ109" s="62" t="s">
        <v>56</v>
      </c>
      <c r="CK109" s="63" t="s">
        <v>80</v>
      </c>
      <c r="CL109" s="63" t="s">
        <v>80</v>
      </c>
      <c r="CM109" s="63" t="s">
        <v>80</v>
      </c>
      <c r="CN109" s="63" t="s">
        <v>80</v>
      </c>
      <c r="CO109" s="63">
        <f>+CO97/AVERAGE(CO56)</f>
        <v>9.573673899924566E-2</v>
      </c>
      <c r="CQ109" s="62" t="s">
        <v>56</v>
      </c>
      <c r="CR109" s="63">
        <f>+CR97/AVERAGE(CR56,CK56)</f>
        <v>0.10816342346000127</v>
      </c>
      <c r="CS109" s="63">
        <f>+CS97/AVERAGE(CS56,CL56)</f>
        <v>0.12860665844636252</v>
      </c>
      <c r="CT109" s="63">
        <f>+CT97/AVERAGE(CT56,CM56)</f>
        <v>0.13943309966473635</v>
      </c>
      <c r="CU109" s="63">
        <f>+CU97/AVERAGE(CU56,CN56)</f>
        <v>0.14135298295454546</v>
      </c>
      <c r="CV109" s="63">
        <f>+CV97/AVERAGE(CV56,CO56)</f>
        <v>0.14135298295454546</v>
      </c>
      <c r="CX109" s="62" t="s">
        <v>56</v>
      </c>
      <c r="CY109" s="63">
        <f>+CY97/AVERAGE(CY56,CR56)</f>
        <v>0.13777381705283737</v>
      </c>
      <c r="CZ109" s="63">
        <f>+CZ97/AVERAGE(CZ56,CS56)</f>
        <v>0.12611668441405594</v>
      </c>
      <c r="DA109" s="63">
        <f>+DA97/AVERAGE(DA56,CT56)</f>
        <v>0.13288748564867969</v>
      </c>
      <c r="DB109" s="63">
        <f>+DB97/AVERAGE(DB56,CU56)</f>
        <v>0.14045271458557895</v>
      </c>
      <c r="DC109" s="63">
        <f>+DC97/AVERAGE(DC56,CV56)</f>
        <v>0.14045271458557895</v>
      </c>
      <c r="DE109" s="62" t="s">
        <v>56</v>
      </c>
      <c r="DF109" s="63">
        <f>+DF97/AVERAGE(DF56,CY56)</f>
        <v>0.14780291153415454</v>
      </c>
      <c r="DG109" s="63">
        <f>+DG97/AVERAGE(DG56,CZ56)</f>
        <v>0.14888658330147983</v>
      </c>
      <c r="DH109" s="63">
        <f>+DH97/AVERAGE(DH56,DA56)</f>
        <v>0.16694870317002883</v>
      </c>
      <c r="DI109" s="63">
        <f>+DI97/AVERAGE(DI56,DB56)</f>
        <v>0.17149345604494115</v>
      </c>
      <c r="DJ109" s="63">
        <f>+DJ97/AVERAGE(DJ56,DC56)</f>
        <v>0.17149345604494115</v>
      </c>
      <c r="DL109" s="62" t="s">
        <v>56</v>
      </c>
      <c r="DM109" s="63">
        <f>+DM97/AVERAGE(DM56,DF56)</f>
        <v>0.15929663067209535</v>
      </c>
      <c r="DN109" s="63">
        <f>+DN97/AVERAGE(DN56,DG56)</f>
        <v>0.14403559815163444</v>
      </c>
      <c r="DO109" s="63">
        <f>+DO97/AVERAGE(DO56,DH56)</f>
        <v>0.13548835592631214</v>
      </c>
      <c r="DP109" s="63">
        <f>+DP97/AVERAGE(DP56,DI56)</f>
        <v>0.1307073574639224</v>
      </c>
      <c r="DQ109" s="63">
        <f>+DQ97/AVERAGE(DQ56,DJ56)</f>
        <v>0.1307073574639224</v>
      </c>
      <c r="DS109" s="62" t="s">
        <v>56</v>
      </c>
      <c r="DT109" s="63">
        <f>+DT97/AVERAGE(DT56,DM56)</f>
        <v>0.1361029842012873</v>
      </c>
      <c r="DU109" s="63">
        <f>+DU97/AVERAGE(DU56,DN56)</f>
        <v>0.15276228497622263</v>
      </c>
      <c r="DV109" s="63">
        <f>+DV97/AVERAGE(DV56,DO56)</f>
        <v>0.16713799272811219</v>
      </c>
      <c r="DW109" s="63">
        <f>+DW97/AVERAGE(DW56,DP56)</f>
        <v>0.18086560364464693</v>
      </c>
      <c r="DX109" s="63">
        <f>+DX97/AVERAGE(DX56,DQ56)</f>
        <v>0.18086560364464693</v>
      </c>
      <c r="DZ109" s="62" t="s">
        <v>56</v>
      </c>
      <c r="EA109" s="63">
        <f>+EA97/AVERAGE(EA56,DT56)</f>
        <v>0.19035202086049544</v>
      </c>
      <c r="EB109" s="63">
        <f>+EB97/AVERAGE(EB56,DU56)</f>
        <v>0.20013700194086084</v>
      </c>
      <c r="EC109" s="63">
        <f>+EC97/AVERAGE(EC56,DV56)</f>
        <v>0.21069442801372293</v>
      </c>
      <c r="ED109" s="63">
        <f>+ED97/AVERAGE(ED56,DW56)</f>
        <v>0.20887698042870456</v>
      </c>
      <c r="EE109" s="63">
        <f>+EE97/AVERAGE(EE56,DX56)</f>
        <v>0.20887698042870456</v>
      </c>
      <c r="EG109" s="62" t="s">
        <v>56</v>
      </c>
      <c r="EH109" s="63">
        <f>+EH97/AVERAGE(EH56,EA56)</f>
        <v>0.21402085747392816</v>
      </c>
      <c r="EI109" s="63">
        <f>+EI97/AVERAGE(EI56,EB56)</f>
        <v>0.20834267773043283</v>
      </c>
      <c r="EJ109" s="63">
        <f>+EJ97/AVERAGE(EJ56,EC56)</f>
        <v>0.2137695820567663</v>
      </c>
      <c r="EK109" s="63">
        <f>+EK97/AVERAGE(EK56,ED56)</f>
        <v>0.20774585002862048</v>
      </c>
      <c r="EL109" s="63">
        <f>+EL97/AVERAGE(EL56,EE56)</f>
        <v>0.20774585002862048</v>
      </c>
      <c r="EN109" s="62" t="s">
        <v>56</v>
      </c>
      <c r="EO109" s="63">
        <f>+EO97/AVERAGE(EO56,EH56)</f>
        <v>0.20442079318843825</v>
      </c>
      <c r="EP109" s="63">
        <f>+EP97/AVERAGE(EP56,EI56)</f>
        <v>0.19827127229616853</v>
      </c>
      <c r="EQ109" s="63">
        <f>+EQ97/AVERAGE(EQ56,EJ56)</f>
        <v>0.1943658394624054</v>
      </c>
      <c r="ER109" s="63">
        <f>+ER97/AVERAGE(ER56,EK56)</f>
        <v>0.19019788782938582</v>
      </c>
      <c r="ES109" s="63">
        <f>+ES97/AVERAGE(ES56,EL56)</f>
        <v>0.19019788782938582</v>
      </c>
      <c r="EU109" s="62" t="s">
        <v>56</v>
      </c>
      <c r="EV109" s="63">
        <f>+EV97/AVERAGE(EV56,EO56)</f>
        <v>0.17946281198419448</v>
      </c>
      <c r="EW109" s="63">
        <f>+EW97/AVERAGE(EW56,EP56)</f>
        <v>0.17553243216960032</v>
      </c>
      <c r="EX109" s="63">
        <f>+EX97/AVERAGE(EX56,EQ56)</f>
        <v>0.17724892908138981</v>
      </c>
      <c r="EY109" s="63">
        <f>+EY97/AVERAGE(EY56,ER56)</f>
        <v>0.17776752767527676</v>
      </c>
      <c r="EZ109" s="63">
        <f>+EZ97/AVERAGE(EZ56,ES56)</f>
        <v>0.17776752767527676</v>
      </c>
      <c r="FB109" s="62" t="s">
        <v>56</v>
      </c>
      <c r="FC109" s="63">
        <f>+FC97/AVERAGE(FC56,EV56)</f>
        <v>0.17932038393303917</v>
      </c>
      <c r="FD109" s="63">
        <f>+FD97/AVERAGE(FD56,EW56)</f>
        <v>0.17748320804234688</v>
      </c>
      <c r="FE109" s="63">
        <f>+FE97/AVERAGE(FE56,EX56)</f>
        <v>0.17480922726076659</v>
      </c>
      <c r="FF109" s="63">
        <f>+FF97/AVERAGE(FF56,EY56)</f>
        <v>0.17229907196638067</v>
      </c>
      <c r="FG109" s="63">
        <f>+FG97/AVERAGE(FG56,EZ56)</f>
        <v>0.17229907196638067</v>
      </c>
      <c r="FI109" s="62" t="s">
        <v>56</v>
      </c>
      <c r="FJ109" s="63">
        <f>+FJ97/AVERAGE(FJ56,FC56)</f>
        <v>0.16405160390516038</v>
      </c>
      <c r="FK109" s="63">
        <f>+FK97/AVERAGE(FK56,FD56)</f>
        <v>0.15291785190931817</v>
      </c>
      <c r="FL109" s="63">
        <f>+FL97/AVERAGE(FL56,FE56)</f>
        <v>0.147621088726961</v>
      </c>
      <c r="FM109" s="63">
        <f>+FM97/AVERAGE(FM56,FF56)</f>
        <v>0.15273949148189367</v>
      </c>
      <c r="FN109" s="63">
        <f>+FN97/AVERAGE(FN56,FG56)</f>
        <v>0.15273949148189367</v>
      </c>
      <c r="FP109" s="62" t="s">
        <v>56</v>
      </c>
      <c r="FQ109" s="63">
        <f>+FQ97/AVERAGE(FQ56,FJ56)</f>
        <v>0.16310633727175081</v>
      </c>
      <c r="FR109" s="63">
        <f>+FR97/AVERAGE(FR56,FK56)</f>
        <v>0.17602256092310342</v>
      </c>
      <c r="FS109" s="63">
        <f>+FS97/AVERAGE(FS56,FL56)</f>
        <v>0.18183147262094632</v>
      </c>
      <c r="FT109" s="63">
        <f>+FT97/AVERAGE(FT56,FM56)</f>
        <v>0.15877342419080068</v>
      </c>
      <c r="FU109" s="63">
        <f>+FU97/AVERAGE(FU56,FN56)</f>
        <v>0.15877342419080068</v>
      </c>
      <c r="FW109" s="62" t="s">
        <v>56</v>
      </c>
      <c r="FX109" s="63">
        <f>+FX97/AVERAGE(FX56,FQ56)</f>
        <v>0.17820414428242518</v>
      </c>
      <c r="FY109" s="63">
        <f>+FY97/AVERAGE(FY56,FR56)</f>
        <v>0.20355916328442086</v>
      </c>
      <c r="FZ109" s="63">
        <f>+FZ97/AVERAGE(FZ56,FS56)</f>
        <v>0.24670211470552422</v>
      </c>
      <c r="GA109" s="63">
        <f>+GA97/AVERAGE(GA56,FT56)</f>
        <v>0.24240870297791289</v>
      </c>
      <c r="GB109" s="63">
        <f>+GB97/AVERAGE(GB56,FU56)</f>
        <v>0.24240870297791289</v>
      </c>
      <c r="GD109" s="62" t="s">
        <v>56</v>
      </c>
      <c r="GE109" s="63">
        <f>+GE97/AVERAGE(GE56,FX56)</f>
        <v>0.25696825160232523</v>
      </c>
      <c r="GF109" s="63">
        <f>+GF97/AVERAGE(GF56,FY56)</f>
        <v>0.26154372363470529</v>
      </c>
      <c r="GG109" s="63">
        <f>+GG97/AVERAGE(GG56,FZ56)</f>
        <v>0.26571406262200359</v>
      </c>
      <c r="GH109" s="63">
        <f>+GH97/AVERAGE(GH56,GA56)</f>
        <v>0.27255246900953239</v>
      </c>
      <c r="GI109" s="63">
        <f>+GI97/AVERAGE(GI56,GB56)</f>
        <v>0.27255246900953239</v>
      </c>
      <c r="GK109" s="62" t="s">
        <v>56</v>
      </c>
      <c r="GL109" s="63">
        <f>+GL97/AVERAGE(GL56,GE56)</f>
        <v>0.26852422635926521</v>
      </c>
      <c r="GM109" s="63">
        <f>+GM97/AVERAGE(GM56,GF56)</f>
        <v>0.23686255265202633</v>
      </c>
      <c r="GN109" s="63">
        <f>+GN97/AVERAGE(GN56,GG56)</f>
        <v>0.22563602373404862</v>
      </c>
      <c r="GO109" s="63">
        <f>+GO97/AVERAGE(GO56,GH56)</f>
        <v>0.22143915428662955</v>
      </c>
      <c r="GP109" s="63">
        <f>+GP97/AVERAGE(GP56,GI56)</f>
        <v>0.22143915428662955</v>
      </c>
      <c r="GR109" s="62" t="s">
        <v>56</v>
      </c>
      <c r="GS109" s="63">
        <f>+GS97/AVERAGE(GS56,GL56)</f>
        <v>0.21566592143085275</v>
      </c>
      <c r="GT109" s="63">
        <f>+GT97/AVERAGE(GT56,GM56)</f>
        <v>0.2427965910067586</v>
      </c>
      <c r="GU109" s="63">
        <f>+GU97/AVERAGE(GU56,GN56)</f>
        <v>0.25788116684041856</v>
      </c>
      <c r="GV109" s="63">
        <f>+GV97/AVERAGE(GV56,GO56)</f>
        <v>0.26406855843667792</v>
      </c>
      <c r="GW109" s="63">
        <f>+GW97/AVERAGE(GW56,GP56)</f>
        <v>0.26406855843667792</v>
      </c>
      <c r="GY109" s="62" t="s">
        <v>56</v>
      </c>
      <c r="GZ109" s="63">
        <f>+GZ97/AVERAGE(GZ56,GS56)</f>
        <v>0.27823427584898502</v>
      </c>
      <c r="HA109" s="63">
        <f>+HA97/AVERAGE(HA56,GT56)</f>
        <v>0.28950186999518163</v>
      </c>
      <c r="HB109" s="63">
        <f>+HB97/AVERAGE(HB56,GU56)</f>
        <v>0.30625646498261183</v>
      </c>
      <c r="HC109" s="63">
        <f>+HC97/AVERAGE(HC56,GV56)</f>
        <v>0.3137399281882996</v>
      </c>
      <c r="HD109" s="63">
        <f>+HD97/AVERAGE(HD56,GW56)</f>
        <v>0.3137399281882996</v>
      </c>
      <c r="HF109" s="62" t="s">
        <v>56</v>
      </c>
      <c r="HG109" s="63">
        <f>+HG97/AVERAGE(HG56,GZ56)</f>
        <v>0.33047385385096456</v>
      </c>
      <c r="HH109" s="63">
        <f>+HH97/AVERAGE(HH56,HA56)</f>
        <v>0.32417211976997817</v>
      </c>
      <c r="HI109" s="63">
        <f>+HI97/AVERAGE(HI56,HB56)</f>
        <v>0.30877876537197124</v>
      </c>
      <c r="HJ109" s="63">
        <f>+HJ97/AVERAGE(HJ56,HC56)</f>
        <v>0.2999918213789155</v>
      </c>
      <c r="HK109" s="63">
        <f>+HK97/AVERAGE(HK56,HD56)</f>
        <v>0.2999918213789155</v>
      </c>
      <c r="HM109" s="62" t="s">
        <v>56</v>
      </c>
      <c r="HN109" s="63">
        <f>+HN97/AVERAGE(HN56,HG56)</f>
        <v>0.29061636038380223</v>
      </c>
      <c r="HO109" s="63">
        <f>+HO97/AVERAGE(HO56,HH56)</f>
        <v>0.28776220944358955</v>
      </c>
      <c r="HP109" s="63">
        <f>+HP97/AVERAGE(HP56,HI56)</f>
        <v>0.29313137858415683</v>
      </c>
      <c r="HQ109" s="63">
        <f>+HQ97/AVERAGE(HQ56,HJ56)</f>
        <v>0.29005389514943652</v>
      </c>
      <c r="HR109" s="63">
        <f>+HR97/AVERAGE(HR56,HK56)</f>
        <v>0.29005389514943652</v>
      </c>
      <c r="HT109" s="62" t="s">
        <v>56</v>
      </c>
      <c r="HU109" s="63">
        <f>+HU97/AVERAGE(HU56,HN56)</f>
        <v>0.269580760480988</v>
      </c>
      <c r="HV109" s="63">
        <f>+HV97/AVERAGE(HV56,HO56)</f>
        <v>0.25475057006840823</v>
      </c>
      <c r="HW109" s="63">
        <f>+HW97/AVERAGE(HW56,HP56)</f>
        <v>0.24402195064995719</v>
      </c>
      <c r="HX109" s="63">
        <f>+HX97/AVERAGE(HX56,HQ56)</f>
        <v>0.24004719306299238</v>
      </c>
      <c r="HY109" s="63">
        <f>+HY97/AVERAGE(HY56,HR56)</f>
        <v>0.24004719306299238</v>
      </c>
      <c r="IA109" s="62" t="s">
        <v>56</v>
      </c>
      <c r="IB109" s="63">
        <f>+IB97/AVERAGE(IB56,HU56)</f>
        <v>0.24661782718960865</v>
      </c>
      <c r="IC109" s="63">
        <f>+IC97/AVERAGE(IC56,HV56)</f>
        <v>0.24410716842719071</v>
      </c>
      <c r="ID109" s="63">
        <f>+ID97/AVERAGE(ID56,HW56)</f>
        <v>0.24096617898022418</v>
      </c>
      <c r="IE109" s="63">
        <f>+IE97/AVERAGE(IE56,HX56)</f>
        <v>0.24181590055912114</v>
      </c>
      <c r="IF109" s="63">
        <f>+IF97/AVERAGE(IF56,HY56)</f>
        <v>0.24181590055912114</v>
      </c>
      <c r="IH109" s="62" t="s">
        <v>56</v>
      </c>
      <c r="II109" s="63">
        <f>+II97/AVERAGE(II56,IB56)</f>
        <v>0.24015384786700719</v>
      </c>
      <c r="IJ109" s="63">
        <f>+IJ97/AVERAGE(IJ56,IC56)</f>
        <v>0.23657617984264809</v>
      </c>
      <c r="IK109" s="63">
        <f>+IK97/AVERAGE(IK56,ID56)</f>
        <v>0.23312799807857948</v>
      </c>
      <c r="IL109" s="63">
        <f>+IL97/AVERAGE(IL56,IE56)</f>
        <v>0.22930312027267491</v>
      </c>
      <c r="IM109" s="63">
        <f>+IM97/AVERAGE(IM56,IF56)</f>
        <v>0.22930312027267491</v>
      </c>
      <c r="IO109" s="62" t="s">
        <v>56</v>
      </c>
      <c r="IP109" s="63">
        <f>+IP97/AVERAGE(IP56,II56)</f>
        <v>0.22544278859442898</v>
      </c>
      <c r="IQ109" s="63">
        <f>+IQ97/AVERAGE(IQ56,IJ56)</f>
        <v>0.2197258682209817</v>
      </c>
      <c r="IR109" s="63">
        <f>+IR97/AVERAGE(IR56,IK56)</f>
        <v>0.21374463192827356</v>
      </c>
      <c r="IS109" s="63">
        <f>+IS97/AVERAGE(IS56,IL56)</f>
        <v>0.20892161750168492</v>
      </c>
      <c r="IT109" s="63">
        <f>+IT97/AVERAGE(IT56,IM56)</f>
        <v>0.20892161750168492</v>
      </c>
    </row>
    <row r="110" spans="1:254" x14ac:dyDescent="0.4">
      <c r="A110" s="369"/>
      <c r="B110" s="394" t="s">
        <v>57</v>
      </c>
      <c r="C110" s="202">
        <f>AY110</f>
        <v>0</v>
      </c>
      <c r="D110" s="202">
        <f>BF110</f>
        <v>0</v>
      </c>
      <c r="E110" s="202">
        <f>BM110</f>
        <v>0</v>
      </c>
      <c r="F110" s="202">
        <f>BT110</f>
        <v>0</v>
      </c>
      <c r="G110" s="202">
        <f>CA110</f>
        <v>0</v>
      </c>
      <c r="H110" s="202">
        <f>CH110</f>
        <v>0</v>
      </c>
      <c r="I110" s="202">
        <f>CO110</f>
        <v>7.0496353493952058E-2</v>
      </c>
      <c r="J110" s="202">
        <f>CV110</f>
        <v>0.10031522052117807</v>
      </c>
      <c r="K110" s="202">
        <f>DC110</f>
        <v>9.6513325634646596E-2</v>
      </c>
      <c r="L110" s="202">
        <f>DJ110</f>
        <v>0.11245341556564099</v>
      </c>
      <c r="M110" s="202">
        <f>DQ110</f>
        <v>9.3103855492782439E-2</v>
      </c>
      <c r="N110" s="202">
        <f>DX110</f>
        <v>0.11981080532404664</v>
      </c>
      <c r="O110" s="202">
        <f>EE110</f>
        <v>0.12861675155667118</v>
      </c>
      <c r="P110" s="202">
        <f>EL110</f>
        <v>0.12339838319719794</v>
      </c>
      <c r="Q110" s="202">
        <f>ES110</f>
        <v>0.11733385446622809</v>
      </c>
      <c r="R110" s="202">
        <f>EZ110</f>
        <v>0.11517799702460399</v>
      </c>
      <c r="S110" s="202">
        <f>FG110</f>
        <v>0.1070541707479928</v>
      </c>
      <c r="T110" s="202">
        <f>FN110</f>
        <v>9.5955599476403086E-2</v>
      </c>
      <c r="U110" s="202">
        <f>FU110</f>
        <v>9.9269210686725493E-2</v>
      </c>
      <c r="V110" s="202">
        <f>GB110</f>
        <v>0.14231231493195942</v>
      </c>
      <c r="W110" s="202">
        <f>GI110</f>
        <v>0.14292211581368208</v>
      </c>
      <c r="X110" s="202">
        <f>GP110</f>
        <v>0.12355118783539967</v>
      </c>
      <c r="Y110" s="202">
        <f>GW110</f>
        <v>0.14745403303039806</v>
      </c>
      <c r="Z110" s="202">
        <f>HD110</f>
        <v>0.16162822852718325</v>
      </c>
      <c r="AA110" s="202">
        <f>HK110</f>
        <v>0.1446601426900718</v>
      </c>
      <c r="AB110" s="202">
        <f>HR110</f>
        <v>0.13765914533845383</v>
      </c>
      <c r="AC110" s="202">
        <f>HY110</f>
        <v>0.1190405480100629</v>
      </c>
      <c r="AD110" s="202">
        <f>IF110</f>
        <v>0.12197491317748767</v>
      </c>
      <c r="AE110" s="202">
        <f>IM110</f>
        <v>0.1217072231081211</v>
      </c>
      <c r="AF110" s="202">
        <f>IT110</f>
        <v>0.11690270367929842</v>
      </c>
      <c r="AG110" s="395"/>
      <c r="AH110" s="395"/>
      <c r="AI110" s="395"/>
      <c r="AJ110" s="395"/>
      <c r="AK110" s="395"/>
      <c r="AL110" s="395"/>
      <c r="AM110" s="395"/>
      <c r="AN110" s="395"/>
      <c r="AO110" s="395"/>
      <c r="AP110" s="395"/>
      <c r="AQ110" s="395"/>
      <c r="AR110" s="395"/>
      <c r="AT110" s="394" t="s">
        <v>57</v>
      </c>
      <c r="AU110" s="202"/>
      <c r="AV110" s="202"/>
      <c r="AW110" s="202"/>
      <c r="AX110" s="202"/>
      <c r="AY110" s="202"/>
      <c r="BA110" s="394" t="s">
        <v>57</v>
      </c>
      <c r="BB110" s="202"/>
      <c r="BC110" s="202"/>
      <c r="BD110" s="202"/>
      <c r="BE110" s="202"/>
      <c r="BF110" s="202"/>
      <c r="BH110" s="394" t="s">
        <v>57</v>
      </c>
      <c r="BI110" s="202"/>
      <c r="BJ110" s="202"/>
      <c r="BK110" s="202"/>
      <c r="BL110" s="202"/>
      <c r="BM110" s="202"/>
      <c r="BO110" s="394" t="s">
        <v>57</v>
      </c>
      <c r="BP110" s="202"/>
      <c r="BQ110" s="202"/>
      <c r="BR110" s="202"/>
      <c r="BS110" s="202"/>
      <c r="BT110" s="202"/>
      <c r="BV110" s="394" t="s">
        <v>57</v>
      </c>
      <c r="BW110" s="202"/>
      <c r="BX110" s="202"/>
      <c r="BY110" s="202"/>
      <c r="BZ110" s="202"/>
      <c r="CA110" s="202"/>
      <c r="CC110" s="394" t="s">
        <v>57</v>
      </c>
      <c r="CD110" s="202"/>
      <c r="CE110" s="202"/>
      <c r="CF110" s="202"/>
      <c r="CG110" s="202"/>
      <c r="CH110" s="202"/>
      <c r="CJ110" s="394" t="s">
        <v>57</v>
      </c>
      <c r="CK110" s="202" t="s">
        <v>80</v>
      </c>
      <c r="CL110" s="202" t="s">
        <v>80</v>
      </c>
      <c r="CM110" s="202" t="s">
        <v>80</v>
      </c>
      <c r="CN110" s="202" t="s">
        <v>80</v>
      </c>
      <c r="CO110" s="202">
        <f>+(CO74*(1-(CO95/CO89)))/(CO56+CO39+CO45-CO9)</f>
        <v>7.0496353493952058E-2</v>
      </c>
      <c r="CQ110" s="394" t="s">
        <v>57</v>
      </c>
      <c r="CR110" s="202">
        <f>+(CR74*(1-(CR95/CR89)))/AVERAGE(SUM(CR56,CR39,CR45,-CR9),SUM(CK56,CK39,CK45,-CK9))</f>
        <v>6.5922500834187742E-2</v>
      </c>
      <c r="CS110" s="202">
        <f>+(CS74*(1-(CS95/CS89)))/AVERAGE(SUM(CS56,CS39,CS45,-CS9),SUM(CL56,CL39,CL45,-CL9))</f>
        <v>9.0140126534246287E-2</v>
      </c>
      <c r="CT110" s="202">
        <f>+(CT74*(1-(CT95/CT89)))/AVERAGE(SUM(CT56,CT39,CT45,-CT9),SUM(CM56,CM39,CM45,-CM9))</f>
        <v>9.6019648590389695E-2</v>
      </c>
      <c r="CU110" s="202">
        <f>+(CU74*(1-(CU95/CU89)))/AVERAGE(SUM(CU56,CU39,CU45,-CU9),SUM(CN56,CN39,CN45,-CN9))</f>
        <v>0.10031522052117807</v>
      </c>
      <c r="CV110" s="202">
        <f>+(CV74*(1-(CV95/CV89)))/AVERAGE(SUM(CV56,CV39,CV45,-CV9),SUM(CO56,CO39,CO45,-CO9))</f>
        <v>0.10031522052117807</v>
      </c>
      <c r="CX110" s="394" t="s">
        <v>57</v>
      </c>
      <c r="CY110" s="202">
        <f>+(CY74*(1-(CY95/CY89)))/AVERAGE(SUM(CY56,CY39,CY45,-CY9),SUM(CR56,CR39,CR45,-CR9))</f>
        <v>9.3134975169546205E-2</v>
      </c>
      <c r="CZ110" s="202">
        <f>+(CZ74*(1-(CZ95/CZ89)))/AVERAGE(SUM(CZ56,CZ39,CZ45,-CZ9),SUM(CS56,CS39,CS45,-CS9))</f>
        <v>9.326668310631793E-2</v>
      </c>
      <c r="DA110" s="202">
        <f>+(DA74*(1-(DA95/DA89)))/AVERAGE(SUM(DA56,DA39,DA45,-DA9),SUM(CT56,CT39,CT45,-CT9))</f>
        <v>9.5334166913801893E-2</v>
      </c>
      <c r="DB110" s="202">
        <f>+(DB74*(1-(DB95/DB89)))/AVERAGE(SUM(DB56,DB39,DB45,-DB9),SUM(CU56,CU39,CU45,-CU9))</f>
        <v>9.6513325634646596E-2</v>
      </c>
      <c r="DC110" s="202">
        <f>+(DC74*(1-(DC95/DC89)))/AVERAGE(SUM(DC56,DC39,DC45,-DC9),SUM(CV56,CV39,CV45,-CV9))</f>
        <v>9.6513325634646596E-2</v>
      </c>
      <c r="DE110" s="394" t="s">
        <v>57</v>
      </c>
      <c r="DF110" s="202">
        <f>+(DF74*(1-(DF95/DF89)))/AVERAGE(SUM(DF56,DF39,DF45,-DF9),SUM(CY56,CY39,CY45,-CY9))</f>
        <v>7.8021186091208214E-2</v>
      </c>
      <c r="DG110" s="202">
        <f>+(DG74*(1-(DG95/DG89)))/AVERAGE(SUM(DG56,DG39,DG45,-DG9),SUM(CZ56,CZ39,CZ45,-CZ9))</f>
        <v>0.10382308257541471</v>
      </c>
      <c r="DH110" s="202">
        <f>+(DH74*(1-(DH95/DH89)))/AVERAGE(SUM(DH56,DH39,DH45,-DH9),SUM(DA56,DA39,DA45,-DA9))</f>
        <v>0.11022453242652418</v>
      </c>
      <c r="DI110" s="202">
        <f>+(DI74*(1-(DI95/DI89)))/AVERAGE(SUM(DI56,DI39,DI45,-DI9),SUM(DB56,DB39,DB45,-DB9))</f>
        <v>0.11245341556564099</v>
      </c>
      <c r="DJ110" s="202">
        <f>+(DJ74*(1-(DJ95/DJ89)))/AVERAGE(SUM(DJ56,DJ39,DJ45,-DJ9),SUM(DC56,DC39,DC45,-DC9))</f>
        <v>0.11245341556564099</v>
      </c>
      <c r="DL110" s="394" t="s">
        <v>57</v>
      </c>
      <c r="DM110" s="202">
        <f>+(DM74*(1-(DM95/DM89)))/AVERAGE(SUM(DM56,DM39,DM45,-DM9),SUM(DF56,DF39,DF45,-DF9))</f>
        <v>0.15497535830060116</v>
      </c>
      <c r="DN110" s="202">
        <f>+(DN74*(1-(DN95/DN89)))/AVERAGE(SUM(DN56,DN39,DN45,-DN9),SUM(DG56,DG39,DG45,-DG9))</f>
        <v>0.10231636782304351</v>
      </c>
      <c r="DO110" s="202">
        <f>+(DO74*(1-(DO95/DO89)))/AVERAGE(SUM(DO56,DO39,DO45,-DO9),SUM(DH56,DH39,DH45,-DH9))</f>
        <v>9.683595280208232E-2</v>
      </c>
      <c r="DP110" s="202">
        <f>+(DP74*(1-(DP95/DP89)))/AVERAGE(SUM(DP56,DP39,DP45,-DP9),SUM(DI56,DI39,DI45,-DI9))</f>
        <v>9.3103855492782439E-2</v>
      </c>
      <c r="DQ110" s="202">
        <f>+(DQ74*(1-(DQ95/DQ89)))/AVERAGE(SUM(DQ56,DQ39,DQ45,-DQ9),SUM(DJ56,DJ39,DJ45,-DJ9))</f>
        <v>9.3103855492782439E-2</v>
      </c>
      <c r="DS110" s="394" t="s">
        <v>57</v>
      </c>
      <c r="DT110" s="202">
        <f>+(DT74*(1-(DT95/DT89)))/AVERAGE(SUM(DT56,DT39,DT45,-DT9),SUM(DM56,DM39,DM45,-DM9))</f>
        <v>7.8747720072687238E-2</v>
      </c>
      <c r="DU110" s="202">
        <f>+(DU74*(1-(DU95/DU89)))/AVERAGE(SUM(DU56,DU39,DU45,-DU9),SUM(DN56,DN39,DN45,-DN9))</f>
        <v>0.10296408418156389</v>
      </c>
      <c r="DV110" s="202">
        <f>+(DV74*(1-(DV95/DV89)))/AVERAGE(SUM(DV56,DV39,DV45,-DV9),SUM(DO56,DO39,DO45,-DO9))</f>
        <v>0.11147582741204536</v>
      </c>
      <c r="DW110" s="202">
        <f>+(DW74*(1-(DW95/DW89)))/AVERAGE(SUM(DW56,DW39,DW45,-DW9),SUM(DP56,DP39,DP45,-DP9))</f>
        <v>0.11981080532404664</v>
      </c>
      <c r="DX110" s="202">
        <f>+(DX74*(1-(DX95/DX89)))/AVERAGE(SUM(DX56,DX39,DX45,-DX9),SUM(DQ56,DQ39,DQ45,-DQ9))</f>
        <v>0.11981080532404664</v>
      </c>
      <c r="DZ110" s="394" t="s">
        <v>57</v>
      </c>
      <c r="EA110" s="202">
        <f>+(EA74*(1-(EA95/EA89)))/AVERAGE(SUM(EA56,EA39,EA45,-EA9),SUM(DT56,DT39,DT45,-DT9))</f>
        <v>0.1063347523212249</v>
      </c>
      <c r="EB110" s="202">
        <f>+(EB74*(1-(EB95/EB89)))/AVERAGE(SUM(EB56,EB39,EB45,-EB9),SUM(DU56,DU39,DU45,-DU9))</f>
        <v>0.12933197823528372</v>
      </c>
      <c r="EC110" s="202">
        <f>+(EC74*(1-(EC95/EC89)))/AVERAGE(SUM(EC56,EC39,EC45,-EC9),SUM(DV56,DV39,DV45,-DV9))</f>
        <v>0.13142715375550457</v>
      </c>
      <c r="ED110" s="202">
        <f>+(ED74*(1-(ED95/ED89)))/AVERAGE(SUM(ED56,ED39,ED45,-ED9),SUM(DW56,DW39,DW45,-DW9))</f>
        <v>0.12861675155667118</v>
      </c>
      <c r="EE110" s="202">
        <f>+(EE74*(1-(EE95/EE89)))/AVERAGE(SUM(EE56,EE39,EE45,-EE9),SUM(DX56,DX39,DX45,-DX9))</f>
        <v>0.12861675155667118</v>
      </c>
      <c r="EG110" s="394" t="s">
        <v>57</v>
      </c>
      <c r="EH110" s="202">
        <f>+(EH74*(1-(EH95/EH89)))/AVERAGE(SUM(EH56,EH39,EH45,-EH9),SUM(EA56,EA39,EA45,-EA9))</f>
        <v>0.13326492155874722</v>
      </c>
      <c r="EI110" s="202">
        <f>+(EI74*(1-(EI95/EI89)))/AVERAGE(SUM(EI56,EI39,EI45,-EI9),SUM(EB56,EB39,EB45,-EB9))</f>
        <v>0.13000098757046458</v>
      </c>
      <c r="EJ110" s="202">
        <f>+(EJ74*(1-(EJ95/EJ89)))/AVERAGE(SUM(EJ56,EJ39,EJ45,-EJ9),SUM(EC56,EC39,EC45,-EC9))</f>
        <v>0.12945175597184436</v>
      </c>
      <c r="EK110" s="202">
        <f>+(EK74*(1-(EK95/EK89)))/AVERAGE(SUM(EK56,EK39,EK45,-EK9),SUM(ED56,ED39,ED45,-ED9))</f>
        <v>0.12339838319719794</v>
      </c>
      <c r="EL110" s="202">
        <f>+(EL74*(1-(EL95/EL89)))/AVERAGE(SUM(EL56,EL39,EL45,-EL9),SUM(EE56,EE39,EE45,-EE9))</f>
        <v>0.12339838319719794</v>
      </c>
      <c r="EN110" s="394" t="s">
        <v>57</v>
      </c>
      <c r="EO110" s="202">
        <f>+(EO74*(1-(EO95/EO89)))/AVERAGE(SUM(EO56,EO39,EO45,-EO9),SUM(EH56,EH39,EH45,-EH9))</f>
        <v>0.11899835322873854</v>
      </c>
      <c r="EP110" s="202">
        <f>+(EP74*(1-(EP95/EP89)))/AVERAGE(SUM(EP56,EP39,EP45,-EP9),SUM(EI56,EI39,EI45,-EI9))</f>
        <v>0.12237174969284345</v>
      </c>
      <c r="EQ110" s="202">
        <f>+(EQ74*(1-(EQ95/EQ89)))/AVERAGE(SUM(EQ56,EQ39,EQ45,-EQ9),SUM(EJ56,EJ39,EJ45,-EJ9))</f>
        <v>0.12221212672687591</v>
      </c>
      <c r="ER110" s="202">
        <f>+(ER74*(1-(ER95/ER89)))/AVERAGE(SUM(ER56,ER39,ER45,-ER9),SUM(EK56,EK39,EK45,-EK9))</f>
        <v>0.11733385446622809</v>
      </c>
      <c r="ES110" s="202">
        <f>+(ES74*(1-(ES95/ES89)))/AVERAGE(SUM(ES56,ES39,ES45,-ES9),SUM(EL56,EL39,EL45,-EL9))</f>
        <v>0.11733385446622809</v>
      </c>
      <c r="EU110" s="394" t="s">
        <v>57</v>
      </c>
      <c r="EV110" s="202">
        <f>+(EV74*(1-(EV95/EV89)))/AVERAGE(SUM(EV56,EV39,EV45,-EV9),SUM(EO56,EO39,EO45,-EO9))</f>
        <v>0.10535229742723688</v>
      </c>
      <c r="EW110" s="202">
        <f>+(EW74*(1-(EW95/EW89)))/AVERAGE(SUM(EW56,EW39,EW45,-EW9),SUM(EP56,EP39,EP45,-EP9))</f>
        <v>0.11312650354547606</v>
      </c>
      <c r="EX110" s="202">
        <f>+(EX74*(1-(EX95/EX89)))/AVERAGE(SUM(EX56,EX39,EX45,-EX9),SUM(EQ56,EQ39,EQ45,-EQ9))</f>
        <v>0.11553171679228169</v>
      </c>
      <c r="EY110" s="202">
        <f>+(EY74*(1-(EY95/EY89)))/AVERAGE(SUM(EY56,EY39,EY45,-EY9),SUM(ER56,ER39,ER45,-ER9))</f>
        <v>0.11517799702460399</v>
      </c>
      <c r="EZ110" s="202">
        <f>+(EZ74*(1-(EZ95/EZ89)))/AVERAGE(SUM(EZ56,EZ39,EZ45,-EZ9),SUM(ES56,ES39,ES45,-ES9))</f>
        <v>0.11517799702460399</v>
      </c>
      <c r="FB110" s="394" t="s">
        <v>57</v>
      </c>
      <c r="FC110" s="202">
        <f>+(FC74*(1-(FC95/FC89)))/AVERAGE(SUM(FC56,FC39,FC45,-FC9),SUM(EV56,EV39,EV45,-EV9))</f>
        <v>0.12995425783923611</v>
      </c>
      <c r="FD110" s="202">
        <f>+(FD74*(1-(FD95/FD89)))/AVERAGE(SUM(FD56,FD39,FD45,-FD9),SUM(EW56,EW39,EW45,-EW9))</f>
        <v>0.11441538922793086</v>
      </c>
      <c r="FE110" s="202">
        <f>+(FE74*(1-(FE95/FE89)))/AVERAGE(SUM(FE56,FE39,FE45,-FE9),SUM(EX56,EX39,EX45,-EX9))</f>
        <v>0.11184088335883201</v>
      </c>
      <c r="FF110" s="202">
        <f>+(FF74*(1-(FF95/FF89)))/AVERAGE(SUM(FF56,FF39,FF45,-FF9),SUM(EY56,EY39,EY45,-EY9))</f>
        <v>0.1070541707479928</v>
      </c>
      <c r="FG110" s="202">
        <f>+(FG74*(1-(FG95/FG89)))/AVERAGE(SUM(FG56,FG39,FG45,-FG9),SUM(EZ56,EZ39,EZ45,-EZ9))</f>
        <v>0.1070541707479928</v>
      </c>
      <c r="FI110" s="394" t="s">
        <v>57</v>
      </c>
      <c r="FJ110" s="202">
        <f>+(FJ74*(1-(FJ95/FJ89)))/AVERAGE(SUM(FJ56,FJ39,FJ45,-FJ9),SUM(FC56,FC39,FC45,-FC9))</f>
        <v>0.11285044186509581</v>
      </c>
      <c r="FK110" s="202">
        <f>+(FK74*(1-(FK95/FK89)))/AVERAGE(SUM(FK56,FK39,FK45,-FK9),SUM(FD56,FD39,FD45,-FD9))</f>
        <v>9.6102590200321747E-2</v>
      </c>
      <c r="FL110" s="202">
        <f>+(FL74*(1-(FL95/FL89)))/AVERAGE(SUM(FL56,FL39,FL45,-FL9),SUM(FE56,FE39,FE45,-FE9))</f>
        <v>9.3554905404945043E-2</v>
      </c>
      <c r="FM110" s="202">
        <f>+(FM74*(1-(FM95/FM89)))/AVERAGE(SUM(FM56,FM39,FM45,-FM9),SUM(FF56,FF39,FF45,-FF9))</f>
        <v>9.5955599476403086E-2</v>
      </c>
      <c r="FN110" s="202">
        <f>+(FN74*(1-(FN95/FN89)))/AVERAGE(SUM(FN56,FN39,FN45,-FN9),SUM(FG56,FG39,FG45,-FG9))</f>
        <v>9.5955599476403086E-2</v>
      </c>
      <c r="FP110" s="394" t="s">
        <v>57</v>
      </c>
      <c r="FQ110" s="202">
        <f>+(FQ74*(1-(FQ95/FQ89)))/AVERAGE(SUM(FQ56,FQ39,FQ45,-FQ9),SUM(FJ56,FJ39,FJ45,-FJ9))</f>
        <v>0.10228752790883081</v>
      </c>
      <c r="FR110" s="202">
        <f>+(FR74*(1-(FR95/FR89)))/AVERAGE(SUM(FR56,FR39,FR45,-FR9),SUM(FK56,FK39,FK45,-FK9))</f>
        <v>0.10639740952609743</v>
      </c>
      <c r="FS110" s="202">
        <f>+(FS74*(1-(FS95/FS89)))/AVERAGE(SUM(FS56,FS39,FS45,-FS9),SUM(FL56,FL39,FL45,-FL9))</f>
        <v>0.10813515774427988</v>
      </c>
      <c r="FT110" s="202">
        <f>+(FT74*(1-(FT95/FT89)))/AVERAGE(SUM(FT56,FT39,FT45,-FT9),SUM(FM56,FM39,FM45,-FM9))</f>
        <v>9.9269210686725493E-2</v>
      </c>
      <c r="FU110" s="202">
        <f>+(FU74*(1-(FU95/FU89)))/AVERAGE(SUM(FU56,FU39,FU45,-FU9),SUM(FN56,FN39,FN45,-FN9))</f>
        <v>9.9269210686725493E-2</v>
      </c>
      <c r="FW110" s="394" t="s">
        <v>57</v>
      </c>
      <c r="FX110" s="202">
        <f>+(FX74*(1-(FX95/FX89)))/AVERAGE(SUM(FX56,FX39,FX45,-FX9),SUM(FQ56,FQ39,FQ45,-FQ9))</f>
        <v>0.11235282586241249</v>
      </c>
      <c r="FY110" s="202">
        <f>+(FY74*(1-(FY95/FY89)))/AVERAGE(SUM(FY56,FY39,FY45,-FY9),SUM(FR56,FR39,FR45,-FR9))</f>
        <v>0.12068460912344892</v>
      </c>
      <c r="FZ110" s="202">
        <f>+(FZ74*(1-(FZ95/FZ89)))/AVERAGE(SUM(FZ56,FZ39,FZ45,-FZ9),SUM(FS56,FS39,FS45,-FS9))</f>
        <v>0.14064402912210183</v>
      </c>
      <c r="GA110" s="202">
        <f>+(GA74*(1-(GA95/GA89)))/AVERAGE(SUM(GA56,GA39,GA45,-GA9),SUM(FT56,FT39,FT45,-FT9))</f>
        <v>0.14231231493195942</v>
      </c>
      <c r="GB110" s="202">
        <f>+(GB74*(1-(GB95/GB89)))/AVERAGE(SUM(GB56,GB39,GB45,-GB9),SUM(FU56,FU39,FU45,-FU9))</f>
        <v>0.14231231493195942</v>
      </c>
      <c r="GD110" s="394" t="s">
        <v>57</v>
      </c>
      <c r="GE110" s="202">
        <f>+(GE74*(1-(GE95/GE89)))/AVERAGE(SUM(GE56,GE39,GE45,-GE9),SUM(FX56,FX39,FX45,-FX9))</f>
        <v>0.15271924120340044</v>
      </c>
      <c r="GF110" s="202">
        <f>+(GF74*(1-(GF95/GF89)))/AVERAGE(SUM(GF56,GF39,GF45,-GF9),SUM(FY56,FY39,FY45,-FY9))</f>
        <v>0.14564847538130038</v>
      </c>
      <c r="GG110" s="202">
        <f>+(GG74*(1-(GG95/GG89)))/AVERAGE(SUM(GG56,GG39,GG45,-GG9),SUM(FZ56,FZ39,FZ45,-FZ9))</f>
        <v>0.14402631186584863</v>
      </c>
      <c r="GH110" s="202">
        <f>+(GH74*(1-(GH95/GH89)))/AVERAGE(SUM(GH56,GH39,GH45,-GH9),SUM(GA56,GA39,GA45,-GA9))</f>
        <v>0.14292211581368208</v>
      </c>
      <c r="GI110" s="202">
        <f>+(GI74*(1-(GI95/GI89)))/AVERAGE(SUM(GI56,GI39,GI45,-GI9),SUM(GB56,GB39,GB45,-GB9))</f>
        <v>0.14292211581368208</v>
      </c>
      <c r="GK110" s="394" t="s">
        <v>57</v>
      </c>
      <c r="GL110" s="202">
        <f>+(GL74*(1-(GL95/GL89)))/AVERAGE(SUM(GL56,GL39,GL45,-GL9),SUM(GE56,GE39,GE45,-GE9))</f>
        <v>0.15526225573920435</v>
      </c>
      <c r="GM110" s="202">
        <f>+(GM74*(1-(GM95/GM89)))/AVERAGE(SUM(GM56,GM39,GM45,-GM9),SUM(GF56,GF39,GF45,-GF9))</f>
        <v>0.12771194249886833</v>
      </c>
      <c r="GN110" s="202">
        <f>+(GN74*(1-(GN95/GN89)))/AVERAGE(SUM(GN56,GN39,GN45,-GN9),SUM(GG56,GG39,GG45,-GG9))</f>
        <v>0.12369706313266458</v>
      </c>
      <c r="GO110" s="202">
        <f>+(GO74*(1-(GO95/GO89)))/AVERAGE(SUM(GO56,GO39,GO45,-GO9),SUM(GH56,GH39,GH45,-GH9))</f>
        <v>0.12355118783539967</v>
      </c>
      <c r="GP110" s="202">
        <f>+(GP74*(1-(GP95/GP89)))/AVERAGE(SUM(GP56,GP39,GP45,-GP9),SUM(GI56,GI39,GI45,-GI9))</f>
        <v>0.12355118783539967</v>
      </c>
      <c r="GR110" s="394" t="s">
        <v>57</v>
      </c>
      <c r="GS110" s="202">
        <f>+(GS74*(1-(GS95/GS89)))/AVERAGE(SUM(GS56,GS39,GS45,-GS9),SUM(GL56,GL39,GL45,-GL9))</f>
        <v>0.10627690364437925</v>
      </c>
      <c r="GT110" s="202">
        <f>+(GT74*(1-(GT95/GT89)))/AVERAGE(SUM(GT56,GT39,GT45,-GT9),SUM(GM56,GM39,GM45,-GM9))</f>
        <v>0.13772598027052449</v>
      </c>
      <c r="GU110" s="202">
        <f>+(GU74*(1-(GU95/GU89)))/AVERAGE(SUM(GU56,GU39,GU45,-GU9),SUM(GN56,GN39,GN45,-GN9))</f>
        <v>0.14426707672678477</v>
      </c>
      <c r="GV110" s="202">
        <f>+(GV74*(1-(GV95/GV89)))/AVERAGE(SUM(GV56,GV39,GV45,-GV9),SUM(GO56,GO39,GO45,-GO9))</f>
        <v>0.14745403303039806</v>
      </c>
      <c r="GW110" s="202">
        <f>+(GW74*(1-(GW95/GW89)))/AVERAGE(SUM(GW56,GW39,GW45,-GW9),SUM(GP56,GP39,GP45,-GP9))</f>
        <v>0.14745403303039806</v>
      </c>
      <c r="GY110" s="394" t="s">
        <v>57</v>
      </c>
      <c r="GZ110" s="202">
        <f>+(GZ74*(1-(GZ95/GZ89)))/AVERAGE(SUM(GZ56,GZ39,GZ45,-GZ9),SUM(GS56,GS39,GS45,-GS9))</f>
        <v>0.12373009080435628</v>
      </c>
      <c r="HA110" s="202">
        <f>+(HA74*(1-(HA95/HA89)))/AVERAGE(SUM(HA56,HA39,HA45,-HA9),SUM(GT56,GT39,GT45,-GT9))</f>
        <v>0.15574196597004628</v>
      </c>
      <c r="HB110" s="202">
        <f>+(HB74*(1-(HB95/HB89)))/AVERAGE(SUM(HB56,HB39,HB45,-HB9),SUM(GU56,GU39,GU45,-GU9))</f>
        <v>0.15934357741082894</v>
      </c>
      <c r="HC110" s="202">
        <f>+(HC74*(1-(HC95/HC89)))/AVERAGE(SUM(HC56,HC39,HC45,-HC9),SUM(GV56,GV39,GV45,-GV9))</f>
        <v>0.16162822852718325</v>
      </c>
      <c r="HD110" s="202">
        <f>+(HD74*(1-(HD95/HD89)))/AVERAGE(SUM(HD56,HD39,HD45,-HD9),SUM(GW56,GW39,GW45,-GW9))</f>
        <v>0.16162822852718325</v>
      </c>
      <c r="HF110" s="394" t="s">
        <v>57</v>
      </c>
      <c r="HG110" s="202">
        <f>+(HG74*(1-(HG95/HG89)))/AVERAGE(SUM(HG56,HG39,HG45,-HG9),SUM(GZ56,GZ39,GZ45,-GZ9))</f>
        <v>0.16581820432620756</v>
      </c>
      <c r="HH110" s="202">
        <f>+(HH74*(1-(HH95/HH89)))/AVERAGE(SUM(HH56,HH39,HH45,-HH9),SUM(HA56,HA39,HA45,-HA9))</f>
        <v>0.15889423910039358</v>
      </c>
      <c r="HI110" s="202">
        <f>+(HI74*(1-(HI95/HI89)))/AVERAGE(SUM(HI56,HI39,HI45,-HI9),SUM(HB56,HB39,HB45,-HB9))</f>
        <v>0.14970982089615945</v>
      </c>
      <c r="HJ110" s="202">
        <f>+(HJ74*(1-(HJ95/HJ89)))/AVERAGE(SUM(HJ56,HJ39,HJ45,-HJ9),SUM(HC56,HC39,HC45,-HC9))</f>
        <v>0.1446601426900718</v>
      </c>
      <c r="HK110" s="202">
        <f>+(HK74*(1-(HK95/HK89)))/AVERAGE(SUM(HK56,HK39,HK45,-HK9),SUM(HD56,HD39,HD45,-HD9))</f>
        <v>0.1446601426900718</v>
      </c>
      <c r="HM110" s="394" t="s">
        <v>57</v>
      </c>
      <c r="HN110" s="202">
        <f>+(HN74*(1-(HN95/HN89)))/AVERAGE(SUM(HN56,HN39,HN45,-HN9),SUM(HG56,HG39,HG45,-HG9))</f>
        <v>0.14083178549355629</v>
      </c>
      <c r="HO110" s="202">
        <f>+(HO74*(1-(HO95/HO89)))/AVERAGE(SUM(HO56,HO39,HO45,-HO9),SUM(HH56,HH39,HH45,-HH9))</f>
        <v>0.1383911954624378</v>
      </c>
      <c r="HP110" s="202">
        <f>+(HP74*(1-(HP95/HP89)))/AVERAGE(SUM(HP56,HP39,HP45,-HP9),SUM(HI56,HI39,HI45,-HI9))</f>
        <v>0.1412152572818153</v>
      </c>
      <c r="HQ110" s="202">
        <f>+(HQ74*(1-(HQ95/HQ89)))/AVERAGE(SUM(HQ56,HQ39,HQ45,-HQ9),SUM(HJ56,HJ39,HJ45,-HJ9))</f>
        <v>0.13765914533845383</v>
      </c>
      <c r="HR110" s="202">
        <f>+(HR74*(1-(HR95/HR89)))/AVERAGE(SUM(HR56,HR39,HR45,-HR9),SUM(HK56,HK39,HK45,-HK9))</f>
        <v>0.13765914533845383</v>
      </c>
      <c r="HT110" s="394" t="s">
        <v>57</v>
      </c>
      <c r="HU110" s="202">
        <f>+(HU74*(1-(HU95/HU89)))/AVERAGE(SUM(HU56,HU39,HU45,-HU9),SUM(HN56,HN39,HN45,-HN9))</f>
        <v>0.12741170909453997</v>
      </c>
      <c r="HV110" s="202">
        <f>+(HV74*(1-(HV95/HV89)))/AVERAGE(SUM(HV56,HV39,HV45,-HV9),SUM(HO56,HO39,HO45,-HO9))</f>
        <v>0.12211244291970301</v>
      </c>
      <c r="HW110" s="202">
        <f>+(HW74*(1-(HW95/HW89)))/AVERAGE(SUM(HW56,HW39,HW45,-HW9),SUM(HP56,HP39,HP45,-HP9))</f>
        <v>0.12089260912747185</v>
      </c>
      <c r="HX110" s="202">
        <f>+(HX74*(1-(HX95/HX89)))/AVERAGE(SUM(HX56,HX39,HX45,-HX9),SUM(HQ56,HQ39,HQ45,-HQ9))</f>
        <v>0.1190405480100629</v>
      </c>
      <c r="HY110" s="202">
        <f>+(HY74*(1-(HY95/HY89)))/AVERAGE(SUM(HY56,HY39,HY45,-HY9),SUM(HR56,HR39,HR45,-HR9))</f>
        <v>0.1190405480100629</v>
      </c>
      <c r="IA110" s="394" t="s">
        <v>57</v>
      </c>
      <c r="IB110" s="202">
        <f>+(IB74*(1-(IB95/IB89)))/AVERAGE(SUM(IB56,IB39,IB45,-IB9),SUM(HU56,HU39,HU45,-HU9))</f>
        <v>0.12119327272631435</v>
      </c>
      <c r="IC110" s="202">
        <f>+(IC74*(1-(IC95/IC89)))/AVERAGE(SUM(IC56,IC39,IC45,-IC9),SUM(HV56,HV39,HV45,-HV9))</f>
        <v>0.11908732381239874</v>
      </c>
      <c r="ID110" s="202">
        <f>+(ID74*(1-(ID95/ID89)))/AVERAGE(SUM(ID56,ID39,ID45,-ID9),SUM(HW56,HW39,HW45,-HW9))</f>
        <v>0.11971174670258643</v>
      </c>
      <c r="IE110" s="202">
        <f>+(IE74*(1-(IE95/IE89)))/AVERAGE(SUM(IE56,IE39,IE45,-IE9),SUM(HX56,HX39,HX45,-HX9))</f>
        <v>0.12197491317748783</v>
      </c>
      <c r="IF110" s="202">
        <f>+(IF74*(1-(IF95/IF89)))/AVERAGE(SUM(IF56,IF39,IF45,-IF9),SUM(HY56,HY39,HY45,-HY9))</f>
        <v>0.12197491317748767</v>
      </c>
      <c r="IH110" s="394" t="s">
        <v>57</v>
      </c>
      <c r="II110" s="202">
        <f>+(II74*(1-(II95/II89)))/AVERAGE(SUM(II56,II39,II45,-II9),SUM(IB56,IB39,IB45,-IB9))</f>
        <v>0.12084173193661703</v>
      </c>
      <c r="IJ110" s="202">
        <f>+(IJ74*(1-(IJ95/IJ89)))/AVERAGE(SUM(IJ56,IJ39,IJ45,-IJ9),SUM(IC56,IC39,IC45,-IC9))</f>
        <v>0.12203717571131864</v>
      </c>
      <c r="IK110" s="202">
        <f>+(IK74*(1-(IK95/IK89)))/AVERAGE(SUM(IK56,IK39,IK45,-IK9),SUM(ID56,ID39,ID45,-ID9))</f>
        <v>0.12226938781936017</v>
      </c>
      <c r="IL110" s="202">
        <f>+(IL74*(1-(IL95/IL89)))/AVERAGE(SUM(IL56,IL39,IL45,-IL9),SUM(IE56,IE39,IE45,-IE9))</f>
        <v>0.1217072231081211</v>
      </c>
      <c r="IM110" s="202">
        <f>+(IM74*(1-(IM95/IM89)))/AVERAGE(SUM(IM56,IM39,IM45,-IM9),SUM(IF56,IF39,IF45,-IF9))</f>
        <v>0.1217072231081211</v>
      </c>
      <c r="IO110" s="394" t="s">
        <v>57</v>
      </c>
      <c r="IP110" s="202">
        <f>+(IP74*(1-(IP95/IP89)))/AVERAGE(SUM(IP56,IP39,IP45,-IP9),SUM(II56,II39,II45,-II9))</f>
        <v>0.11769812997087432</v>
      </c>
      <c r="IQ110" s="202">
        <f>+(IQ74*(1-(IQ95/IQ89)))/AVERAGE(SUM(IQ56,IQ39,IQ45,-IQ9),SUM(IJ56,IJ39,IJ45,-IJ9))</f>
        <v>0.11948510043230144</v>
      </c>
      <c r="IR110" s="202">
        <f>+(IR74*(1-(IR95/IR89)))/AVERAGE(SUM(IR56,IR39,IR45,-IR9),SUM(IK56,IK39,IK45,-IK9))</f>
        <v>0.11813415914879516</v>
      </c>
      <c r="IS110" s="202">
        <f>+(IS74*(1-(IS95/IS89)))/AVERAGE(SUM(IS56,IS39,IS45,-IS9),SUM(IL56,IL39,IL45,-IL9))</f>
        <v>0.11690270367929836</v>
      </c>
      <c r="IT110" s="202">
        <f>+(IT74*(1-(IT95/IT89)))/AVERAGE(SUM(IT56,IT39,IT45,-IT9),SUM(IM56,IM39,IM45,-IM9))</f>
        <v>0.11690270367929842</v>
      </c>
    </row>
    <row r="111" spans="1:254" x14ac:dyDescent="0.4">
      <c r="B111" s="76"/>
      <c r="AB111" s="80"/>
      <c r="AC111" s="80"/>
      <c r="AD111" s="80"/>
      <c r="AE111" s="80"/>
      <c r="AF111" s="80"/>
      <c r="AG111" s="78"/>
      <c r="AH111" s="78"/>
      <c r="AI111" s="78"/>
      <c r="AJ111" s="78"/>
      <c r="AK111" s="78"/>
      <c r="AL111" s="78"/>
      <c r="AM111" s="78"/>
      <c r="AN111" s="78"/>
      <c r="AO111" s="78"/>
      <c r="AP111" s="78"/>
      <c r="AQ111" s="78"/>
      <c r="AR111" s="78"/>
      <c r="AT111" s="76"/>
      <c r="BA111" s="76"/>
      <c r="BH111" s="76"/>
      <c r="BO111" s="76"/>
      <c r="BV111" s="76"/>
      <c r="CC111" s="76"/>
      <c r="CJ111" s="76"/>
      <c r="CQ111" s="76"/>
      <c r="CX111" s="76"/>
      <c r="DE111" s="76"/>
      <c r="DL111" s="76"/>
      <c r="DS111" s="76"/>
      <c r="DZ111" s="76"/>
      <c r="EG111" s="76"/>
      <c r="EN111" s="76"/>
      <c r="EU111" s="76"/>
      <c r="FB111" s="76"/>
      <c r="FI111" s="76"/>
      <c r="FP111" s="76"/>
      <c r="FW111" s="76"/>
      <c r="GD111" s="76"/>
      <c r="GK111" s="76"/>
      <c r="GR111" s="76"/>
      <c r="GY111" s="76"/>
      <c r="HF111" s="76"/>
      <c r="HM111" s="76"/>
      <c r="HT111" s="76"/>
      <c r="HU111" s="80"/>
      <c r="HV111" s="80"/>
      <c r="HW111" s="80"/>
      <c r="HX111" s="80"/>
      <c r="HY111" s="80"/>
      <c r="IA111" s="76"/>
      <c r="IB111" s="80"/>
      <c r="IC111" s="80"/>
      <c r="ID111" s="80"/>
      <c r="IE111" s="80"/>
      <c r="IF111" s="80"/>
      <c r="IH111" s="76"/>
      <c r="II111" s="80"/>
      <c r="IJ111" s="80"/>
      <c r="IK111" s="80"/>
      <c r="IL111" s="80"/>
      <c r="IM111" s="80"/>
      <c r="IO111" s="76"/>
      <c r="IP111" s="80"/>
      <c r="IQ111" s="80"/>
      <c r="IR111" s="80"/>
      <c r="IS111" s="80"/>
      <c r="IT111" s="80"/>
    </row>
    <row r="112" spans="1:254" x14ac:dyDescent="0.4">
      <c r="A112" s="384"/>
      <c r="B112" s="318" t="s">
        <v>58</v>
      </c>
      <c r="C112" s="319">
        <f>AY112</f>
        <v>0</v>
      </c>
      <c r="D112" s="319">
        <f>BF112</f>
        <v>0</v>
      </c>
      <c r="E112" s="319">
        <f>BM112</f>
        <v>0</v>
      </c>
      <c r="F112" s="319">
        <f>BT112</f>
        <v>0</v>
      </c>
      <c r="G112" s="319">
        <f>CA112</f>
        <v>0</v>
      </c>
      <c r="H112" s="319">
        <f>CH112</f>
        <v>0</v>
      </c>
      <c r="I112" s="319">
        <f>CO112</f>
        <v>20</v>
      </c>
      <c r="J112" s="319">
        <f>CV112</f>
        <v>281</v>
      </c>
      <c r="K112" s="319">
        <f>DC112</f>
        <v>237</v>
      </c>
      <c r="L112" s="319">
        <f>DJ112</f>
        <v>-363</v>
      </c>
      <c r="M112" s="319">
        <f>DQ112</f>
        <v>-211</v>
      </c>
      <c r="N112" s="319">
        <f>DX112</f>
        <v>-361</v>
      </c>
      <c r="O112" s="319">
        <f>EE112</f>
        <v>-28</v>
      </c>
      <c r="P112" s="319">
        <f>EL112</f>
        <v>170</v>
      </c>
      <c r="Q112" s="319">
        <f>ES112</f>
        <v>119</v>
      </c>
      <c r="R112" s="319">
        <f>EZ112</f>
        <v>24</v>
      </c>
      <c r="S112" s="319">
        <f>FG112</f>
        <v>406</v>
      </c>
      <c r="T112" s="319">
        <f>FN112</f>
        <v>175</v>
      </c>
      <c r="U112" s="319">
        <f>FU112</f>
        <v>-361</v>
      </c>
      <c r="V112" s="319">
        <f>GB112</f>
        <v>-190</v>
      </c>
      <c r="W112" s="319">
        <f>GI112</f>
        <v>414</v>
      </c>
      <c r="X112" s="319">
        <f>GP112</f>
        <v>-306</v>
      </c>
      <c r="Y112" s="319">
        <f>GW112</f>
        <v>-418</v>
      </c>
      <c r="Z112" s="319">
        <f>HD112</f>
        <v>-421</v>
      </c>
      <c r="AA112" s="319">
        <f>HK112</f>
        <v>-659</v>
      </c>
      <c r="AB112" s="130">
        <f>HR112</f>
        <v>-783</v>
      </c>
      <c r="AC112" s="130">
        <f>HY112</f>
        <v>-545</v>
      </c>
      <c r="AD112" s="130">
        <f>IF112</f>
        <v>-193.83838380470229</v>
      </c>
      <c r="AE112" s="130">
        <f>IM112</f>
        <v>114.10448120028195</v>
      </c>
      <c r="AF112" s="130">
        <f>IT112</f>
        <v>531.25228840267118</v>
      </c>
      <c r="AG112" s="376"/>
      <c r="AH112" s="376"/>
      <c r="AI112" s="376"/>
      <c r="AJ112" s="376"/>
      <c r="AK112" s="376"/>
      <c r="AL112" s="376"/>
      <c r="AM112" s="376"/>
      <c r="AN112" s="376"/>
      <c r="AO112" s="376"/>
      <c r="AP112" s="376"/>
      <c r="AQ112" s="376"/>
      <c r="AR112" s="376"/>
      <c r="AT112" s="318" t="s">
        <v>58</v>
      </c>
      <c r="AU112" s="319"/>
      <c r="AV112" s="319"/>
      <c r="AW112" s="319"/>
      <c r="AX112" s="319"/>
      <c r="AY112" s="319"/>
      <c r="BA112" s="318" t="s">
        <v>58</v>
      </c>
      <c r="BB112" s="319"/>
      <c r="BC112" s="319"/>
      <c r="BD112" s="319"/>
      <c r="BE112" s="319"/>
      <c r="BF112" s="319"/>
      <c r="BH112" s="318" t="s">
        <v>58</v>
      </c>
      <c r="BI112" s="319"/>
      <c r="BJ112" s="319"/>
      <c r="BK112" s="319"/>
      <c r="BL112" s="319"/>
      <c r="BM112" s="319"/>
      <c r="BO112" s="318" t="s">
        <v>58</v>
      </c>
      <c r="BP112" s="319"/>
      <c r="BQ112" s="319"/>
      <c r="BR112" s="319"/>
      <c r="BS112" s="319"/>
      <c r="BT112" s="319"/>
      <c r="BV112" s="318" t="s">
        <v>58</v>
      </c>
      <c r="BW112" s="319"/>
      <c r="BX112" s="319"/>
      <c r="BY112" s="319"/>
      <c r="BZ112" s="319"/>
      <c r="CA112" s="319"/>
      <c r="CC112" s="318" t="s">
        <v>58</v>
      </c>
      <c r="CD112" s="319"/>
      <c r="CE112" s="319"/>
      <c r="CF112" s="319"/>
      <c r="CG112" s="319"/>
      <c r="CH112" s="319"/>
      <c r="CJ112" s="318" t="s">
        <v>58</v>
      </c>
      <c r="CK112" s="319" t="s">
        <v>80</v>
      </c>
      <c r="CL112" s="319" t="s">
        <v>80</v>
      </c>
      <c r="CM112" s="319" t="s">
        <v>80</v>
      </c>
      <c r="CN112" s="319" t="s">
        <v>80</v>
      </c>
      <c r="CO112" s="319">
        <f>+CO17-CO9-(CO41-CO39)</f>
        <v>20</v>
      </c>
      <c r="CQ112" s="318" t="s">
        <v>58</v>
      </c>
      <c r="CR112" s="319">
        <f>+CR17-CR9-(CR41-CR39)</f>
        <v>29</v>
      </c>
      <c r="CS112" s="319">
        <f>+CS17-CS9-(CS41-CS39)</f>
        <v>190</v>
      </c>
      <c r="CT112" s="319">
        <f>+CT17-CT9-(CT41-CT39)</f>
        <v>194</v>
      </c>
      <c r="CU112" s="319">
        <f>+CU17-CU9-(CU41-CU39)</f>
        <v>281</v>
      </c>
      <c r="CV112" s="319">
        <f>+CV17-CV9-(CV41-CV39)</f>
        <v>281</v>
      </c>
      <c r="CX112" s="318" t="s">
        <v>58</v>
      </c>
      <c r="CY112" s="319">
        <f>+CY17-CY9-(CY41-CY39)</f>
        <v>183</v>
      </c>
      <c r="CZ112" s="319">
        <f>+CZ17-CZ9-(CZ41-CZ39)</f>
        <v>182</v>
      </c>
      <c r="DA112" s="319">
        <f>+DA17-DA9-(DA41-DA39)</f>
        <v>382</v>
      </c>
      <c r="DB112" s="319">
        <f>+DB17-DB9-(DB41-DB39)</f>
        <v>237</v>
      </c>
      <c r="DC112" s="319">
        <f>+DC17-DC9-(DC41-DC39)</f>
        <v>237</v>
      </c>
      <c r="DE112" s="318" t="s">
        <v>58</v>
      </c>
      <c r="DF112" s="319">
        <f>+DF17-DF9-(DF41-DF39)</f>
        <v>-97</v>
      </c>
      <c r="DG112" s="319">
        <f>+DG17-DG9-(DG41-DG39)</f>
        <v>-21</v>
      </c>
      <c r="DH112" s="319">
        <f>+DH17-DH9-(DH41-DH39)</f>
        <v>-434</v>
      </c>
      <c r="DI112" s="319">
        <f>+DI17-DI9-(DI41-DI39)</f>
        <v>-363</v>
      </c>
      <c r="DJ112" s="319">
        <f>+DJ17-DJ9-(DJ41-DJ39)</f>
        <v>-363</v>
      </c>
      <c r="DL112" s="318" t="s">
        <v>58</v>
      </c>
      <c r="DM112" s="319">
        <f>+DM17-DM9-(DM41-DM39)</f>
        <v>-212</v>
      </c>
      <c r="DN112" s="319">
        <f>+DN17-DN9-(DN41-DN39)</f>
        <v>-115</v>
      </c>
      <c r="DO112" s="319">
        <f>+DO17-DO9-(DO41-DO39)</f>
        <v>-230</v>
      </c>
      <c r="DP112" s="319">
        <f>+DP17-DP9-(DP41-DP39)</f>
        <v>-211</v>
      </c>
      <c r="DQ112" s="319">
        <f>+DQ17-DQ9-(DQ41-DQ39)</f>
        <v>-211</v>
      </c>
      <c r="DS112" s="318" t="s">
        <v>58</v>
      </c>
      <c r="DT112" s="319">
        <f>+DT17-DT9-(DT41-DT39)</f>
        <v>-263</v>
      </c>
      <c r="DU112" s="319">
        <f>+DU17-DU9-(DU41-DU39)</f>
        <v>-230</v>
      </c>
      <c r="DV112" s="319">
        <f>+DV17-DV9-(DV41-DV39)</f>
        <v>-366</v>
      </c>
      <c r="DW112" s="319">
        <f>+DW17-DW9-(DW41-DW39)</f>
        <v>-361</v>
      </c>
      <c r="DX112" s="319">
        <f>+DX17-DX9-(DX41-DX39)</f>
        <v>-361</v>
      </c>
      <c r="DZ112" s="318" t="s">
        <v>58</v>
      </c>
      <c r="EA112" s="319">
        <f>+EA17-EA9-(EA41-EA39)</f>
        <v>-82</v>
      </c>
      <c r="EB112" s="319">
        <f>+EB17-EB9-(EB41-EB39)</f>
        <v>-276</v>
      </c>
      <c r="EC112" s="319">
        <f>+EC17-EC9-(EC41-EC39)</f>
        <v>-353</v>
      </c>
      <c r="ED112" s="319">
        <f>+ED17-ED9-(ED41-ED39)</f>
        <v>-28</v>
      </c>
      <c r="EE112" s="319">
        <f>+EE17-EE9-(EE41-EE39)</f>
        <v>-28</v>
      </c>
      <c r="EG112" s="318" t="s">
        <v>58</v>
      </c>
      <c r="EH112" s="319">
        <f>+EH17-EH9-(EH41-EH39)</f>
        <v>-250</v>
      </c>
      <c r="EI112" s="319">
        <f>+EI17-EI9-(EI41-EI39)</f>
        <v>-337</v>
      </c>
      <c r="EJ112" s="319">
        <f>+EJ17-EJ9-(EJ41-EJ39)</f>
        <v>-515</v>
      </c>
      <c r="EK112" s="319">
        <f>+EK17-EK9-(EK41-EK39)</f>
        <v>170</v>
      </c>
      <c r="EL112" s="319">
        <f>+EL17-EL9-(EL41-EL39)</f>
        <v>170</v>
      </c>
      <c r="EN112" s="318" t="s">
        <v>58</v>
      </c>
      <c r="EO112" s="319">
        <f>+EO17-EO9-(EO41-EO39)</f>
        <v>-40</v>
      </c>
      <c r="EP112" s="319">
        <f>+EP17-EP9-(EP41-EP39)</f>
        <v>21</v>
      </c>
      <c r="EQ112" s="319">
        <f>+EQ17-EQ9-(EQ41-EQ39)</f>
        <v>-378</v>
      </c>
      <c r="ER112" s="319">
        <f>+ER17-ER9-(ER41-ER39)</f>
        <v>119</v>
      </c>
      <c r="ES112" s="319">
        <f>+ES17-ES9-(ES41-ES39)</f>
        <v>119</v>
      </c>
      <c r="EU112" s="318" t="s">
        <v>58</v>
      </c>
      <c r="EV112" s="319">
        <f>+EV17-EV9-(EV41-EV39)</f>
        <v>-73</v>
      </c>
      <c r="EW112" s="319">
        <f>+EW17-EW9-(EW41-EW39)</f>
        <v>-99</v>
      </c>
      <c r="EX112" s="319">
        <f>+EX17-EX9-(EX41-EX39)</f>
        <v>196</v>
      </c>
      <c r="EY112" s="319">
        <f>+EY17-EY9-(EY41-EY39)</f>
        <v>24</v>
      </c>
      <c r="EZ112" s="319">
        <f>+EZ17-EZ9-(EZ41-EZ39)</f>
        <v>24</v>
      </c>
      <c r="FB112" s="318" t="s">
        <v>58</v>
      </c>
      <c r="FC112" s="319">
        <f>+FC17-FC9-(FC41-FC39)</f>
        <v>86</v>
      </c>
      <c r="FD112" s="319">
        <f>+FD17-FD9-(FD41-FD39)</f>
        <v>471</v>
      </c>
      <c r="FE112" s="319">
        <f>+FE17-FE9-(FE41-FE39)</f>
        <v>57</v>
      </c>
      <c r="FF112" s="319">
        <f>+FF17-FF9-(FF41-FF39)</f>
        <v>406</v>
      </c>
      <c r="FG112" s="319">
        <f>+FG17-FG9-(FG41-FG39)</f>
        <v>406</v>
      </c>
      <c r="FI112" s="318" t="s">
        <v>58</v>
      </c>
      <c r="FJ112" s="319">
        <f>+FJ17-FJ9-(FJ41-FJ39)</f>
        <v>205</v>
      </c>
      <c r="FK112" s="319">
        <f>+FK17-FK9-(FK41-FK39)</f>
        <v>12</v>
      </c>
      <c r="FL112" s="319">
        <f>+FL17-FL9-(FL41-FL39)</f>
        <v>-72</v>
      </c>
      <c r="FM112" s="319">
        <f>+FM17-FM9-(FM41-FM39)</f>
        <v>175</v>
      </c>
      <c r="FN112" s="319">
        <f>+FN17-FN9-(FN41-FN39)</f>
        <v>175</v>
      </c>
      <c r="FP112" s="318" t="s">
        <v>58</v>
      </c>
      <c r="FQ112" s="319">
        <f>+FQ17-FQ9-(FQ41-FQ39)</f>
        <v>-216</v>
      </c>
      <c r="FR112" s="319">
        <f>+FR17-FR9-(FR41-FR39)</f>
        <v>357</v>
      </c>
      <c r="FS112" s="319">
        <f>+FS17-FS9-(FS41-FS39)</f>
        <v>-475</v>
      </c>
      <c r="FT112" s="319">
        <f>+FT17-FT9-(FT41-FT39)</f>
        <v>-361</v>
      </c>
      <c r="FU112" s="319">
        <f>+FU17-FU9-(FU41-FU39)</f>
        <v>-361</v>
      </c>
      <c r="FW112" s="318" t="s">
        <v>58</v>
      </c>
      <c r="FX112" s="319">
        <f>+FX17-FX9-(FX41-FX39)</f>
        <v>-310</v>
      </c>
      <c r="FY112" s="319">
        <f>+FY17-FY9-(FY41-FY39)</f>
        <v>-152</v>
      </c>
      <c r="FZ112" s="319">
        <f>+FZ17-FZ9-(FZ41-FZ39)</f>
        <v>195</v>
      </c>
      <c r="GA112" s="319">
        <f>+GA17-GA9-(GA41-GA39)</f>
        <v>-190</v>
      </c>
      <c r="GB112" s="319">
        <f>+GB17-GB9-(GB41-GB39)</f>
        <v>-190</v>
      </c>
      <c r="GD112" s="318" t="s">
        <v>58</v>
      </c>
      <c r="GE112" s="319">
        <f>+GE17-GE9-(GE41-GE39)</f>
        <v>383</v>
      </c>
      <c r="GF112" s="319">
        <f>+GF17-GF9-(GF41-GF39)</f>
        <v>525</v>
      </c>
      <c r="GG112" s="319">
        <f>+GG17-GG9-(GG41-GG39)</f>
        <v>379</v>
      </c>
      <c r="GH112" s="319">
        <f>+GH17-GH9-(GH41-GH39)</f>
        <v>414</v>
      </c>
      <c r="GI112" s="319">
        <f>+GI17-GI9-(GI41-GI39)</f>
        <v>414</v>
      </c>
      <c r="GK112" s="318" t="s">
        <v>58</v>
      </c>
      <c r="GL112" s="319">
        <f>+GL17-GL9-(GL41-GL39)</f>
        <v>-130</v>
      </c>
      <c r="GM112" s="319">
        <f>+GM17-GM9-(GM41-GM39)</f>
        <v>-569</v>
      </c>
      <c r="GN112" s="319">
        <f>+GN17-GN9-(GN41-GN39)</f>
        <v>-593</v>
      </c>
      <c r="GO112" s="319">
        <f>+GO17-GO9-(GO41-GO39)</f>
        <v>-306</v>
      </c>
      <c r="GP112" s="319">
        <f>+GP17-GP9-(GP41-GP39)</f>
        <v>-306</v>
      </c>
      <c r="GR112" s="318" t="s">
        <v>58</v>
      </c>
      <c r="GS112" s="319">
        <f>+GS17-GS9-(GS41-GS39)</f>
        <v>-409</v>
      </c>
      <c r="GT112" s="319">
        <f>+GT17-GT9-(GT41-GT39)</f>
        <v>-242</v>
      </c>
      <c r="GU112" s="319">
        <f>+GU17-GU9-(GU41-GU39)</f>
        <v>-339</v>
      </c>
      <c r="GV112" s="319">
        <f>+GV17-GV9-(GV41-GV39)</f>
        <v>-418</v>
      </c>
      <c r="GW112" s="319">
        <f>+GW17-GW9-(GW41-GW39)</f>
        <v>-418</v>
      </c>
      <c r="GY112" s="318" t="s">
        <v>58</v>
      </c>
      <c r="GZ112" s="319">
        <f>+GZ17-GZ9-(GZ41-GZ39)</f>
        <v>-437</v>
      </c>
      <c r="HA112" s="319">
        <f>+HA17-HA9-(HA41-HA39)</f>
        <v>-97</v>
      </c>
      <c r="HB112" s="319">
        <f>+HB17-HB9-(HB41-HB39)</f>
        <v>-354</v>
      </c>
      <c r="HC112" s="319">
        <f>+HC17-HC9-(HC41-HC39)</f>
        <v>-421</v>
      </c>
      <c r="HD112" s="319">
        <f>+HD17-HD9-(HD41-HD39)</f>
        <v>-421</v>
      </c>
      <c r="HF112" s="318" t="s">
        <v>58</v>
      </c>
      <c r="HG112" s="319">
        <f>+HG17-HG9-(HG41-HG39)</f>
        <v>-272</v>
      </c>
      <c r="HH112" s="319">
        <f>+HH17-HH9-(HH41-HH39)</f>
        <v>-125</v>
      </c>
      <c r="HI112" s="319">
        <f>+HI17-HI9-(HI41-HI39)</f>
        <v>-395</v>
      </c>
      <c r="HJ112" s="319">
        <f>+HJ17-HJ9-(HJ41-HJ39)</f>
        <v>-659</v>
      </c>
      <c r="HK112" s="319">
        <f>+HK17-HK9-(HK41-HK39)</f>
        <v>-659</v>
      </c>
      <c r="HM112" s="318" t="s">
        <v>58</v>
      </c>
      <c r="HN112" s="319">
        <f>+HN17-HN9-(HN41-HN39)</f>
        <v>-502</v>
      </c>
      <c r="HO112" s="319">
        <f>+HO17-HO9-(HO41-HO39)</f>
        <v>-240</v>
      </c>
      <c r="HP112" s="319">
        <f>+HP17-HP9-(HP41-HP39)</f>
        <v>-630</v>
      </c>
      <c r="HQ112" s="319">
        <f>+HQ17-HQ9-(HQ41-HQ39)</f>
        <v>-783</v>
      </c>
      <c r="HR112" s="319">
        <f>+HR17-HR9-(HR41-HR39)</f>
        <v>-783</v>
      </c>
      <c r="HT112" s="318" t="s">
        <v>58</v>
      </c>
      <c r="HU112" s="319">
        <f>+HU17-HU9-(HU41-HU39)</f>
        <v>-935</v>
      </c>
      <c r="HV112" s="319">
        <f>+HV17-HV9-(HV41-HV39)</f>
        <v>-449</v>
      </c>
      <c r="HW112" s="319">
        <f>+HW17-HW9-(HW41-HW39)</f>
        <v>-459</v>
      </c>
      <c r="HX112" s="319">
        <f>+HX17-HX9-(HX41-HX39)</f>
        <v>-545</v>
      </c>
      <c r="HY112" s="130">
        <f>+HY17-HY9-(HY41-HY39)</f>
        <v>-545</v>
      </c>
      <c r="IA112" s="318" t="s">
        <v>58</v>
      </c>
      <c r="IB112" s="319">
        <f>+IB17-IB9-(IB41-IB39)</f>
        <v>-450.27722177756414</v>
      </c>
      <c r="IC112" s="319">
        <f>+IC17-IC9-(IC41-IC39)</f>
        <v>-341.65691051985505</v>
      </c>
      <c r="ID112" s="319">
        <f>+ID17-ID9-(ID41-ID39)</f>
        <v>-308.51367944920639</v>
      </c>
      <c r="IE112" s="319">
        <f>+IE17-IE9-(IE41-IE39)</f>
        <v>-193.83838380470229</v>
      </c>
      <c r="IF112" s="130">
        <f>+IF17-IF9-(IF41-IF39)</f>
        <v>-193.83838380470229</v>
      </c>
      <c r="IH112" s="318" t="s">
        <v>58</v>
      </c>
      <c r="II112" s="319">
        <f>+II17-II9-(II41-II39)</f>
        <v>-207.56400957791425</v>
      </c>
      <c r="IJ112" s="319">
        <f>+IJ17-IJ9-(IJ41-IJ39)</f>
        <v>-100.86813774136681</v>
      </c>
      <c r="IK112" s="319">
        <f>+IK17-IK9-(IK41-IK39)</f>
        <v>6.4889676438538118</v>
      </c>
      <c r="IL112" s="319">
        <f>+IL17-IL9-(IL41-IL39)</f>
        <v>114.10448120028195</v>
      </c>
      <c r="IM112" s="130">
        <f>+IM17-IM9-(IM41-IM39)</f>
        <v>114.10448120028195</v>
      </c>
      <c r="IO112" s="318" t="s">
        <v>58</v>
      </c>
      <c r="IP112" s="319">
        <f>+IP17-IP9-(IP41-IP39)</f>
        <v>218.87096674942131</v>
      </c>
      <c r="IQ112" s="319">
        <f>+IQ17-IQ9-(IQ41-IQ39)</f>
        <v>323.06394475276056</v>
      </c>
      <c r="IR112" s="319">
        <f>+IR17-IR9-(IR41-IR39)</f>
        <v>426.71801747427071</v>
      </c>
      <c r="IS112" s="319">
        <f>+IS17-IS9-(IS41-IS39)</f>
        <v>531.25228840267118</v>
      </c>
      <c r="IT112" s="130">
        <f>+IT17-IT9-(IT41-IT39)</f>
        <v>531.25228840267118</v>
      </c>
    </row>
    <row r="113" spans="1:254" x14ac:dyDescent="0.4">
      <c r="A113" s="119"/>
      <c r="B113" s="396" t="s">
        <v>59</v>
      </c>
      <c r="C113" s="397">
        <f>AY113</f>
        <v>0</v>
      </c>
      <c r="D113" s="397">
        <f>BF113</f>
        <v>0</v>
      </c>
      <c r="E113" s="397">
        <f>BM113</f>
        <v>0</v>
      </c>
      <c r="F113" s="397">
        <f>BT113</f>
        <v>0</v>
      </c>
      <c r="G113" s="397">
        <f>CA113</f>
        <v>0</v>
      </c>
      <c r="H113" s="397">
        <f>CH113</f>
        <v>0</v>
      </c>
      <c r="I113" s="397">
        <f>CO113</f>
        <v>2.3253110103476338E-3</v>
      </c>
      <c r="J113" s="397">
        <f>CV113</f>
        <v>2.9374869328873093E-2</v>
      </c>
      <c r="K113" s="397">
        <f>DC113</f>
        <v>2.3629112662013958E-2</v>
      </c>
      <c r="L113" s="397">
        <f>DJ113</f>
        <v>-3.2252332296756996E-2</v>
      </c>
      <c r="M113" s="397">
        <f>DQ113</f>
        <v>-2.33381263134609E-2</v>
      </c>
      <c r="N113" s="397">
        <f>DX113</f>
        <v>-3.3941331327566757E-2</v>
      </c>
      <c r="O113" s="397">
        <f>EE113</f>
        <v>-2.3843992165545431E-3</v>
      </c>
      <c r="P113" s="397">
        <f>EL113</f>
        <v>1.4460700918679823E-2</v>
      </c>
      <c r="Q113" s="397">
        <f>ES113</f>
        <v>9.8689666611378336E-3</v>
      </c>
      <c r="R113" s="397">
        <f>EZ113</f>
        <v>1.8943878759175941E-3</v>
      </c>
      <c r="S113" s="397">
        <f>FG113</f>
        <v>3.4374735416137496E-2</v>
      </c>
      <c r="T113" s="397">
        <f>FN113</f>
        <v>1.5809919595266057E-2</v>
      </c>
      <c r="U113" s="397">
        <f>FU113</f>
        <v>-3.1644460028050492E-2</v>
      </c>
      <c r="V113" s="397">
        <f>GB113</f>
        <v>-1.5510204081632653E-2</v>
      </c>
      <c r="W113" s="397">
        <f>GI113</f>
        <v>3.4682080924855488E-2</v>
      </c>
      <c r="X113" s="397">
        <f>GP113</f>
        <v>-2.8914296513276008E-2</v>
      </c>
      <c r="Y113" s="397">
        <f>GW113</f>
        <v>-3.3381249001756909E-2</v>
      </c>
      <c r="Z113" s="397">
        <f>HD113</f>
        <v>-2.8344442200228911E-2</v>
      </c>
      <c r="AA113" s="397">
        <f>HK113</f>
        <v>-4.4961451866002596E-2</v>
      </c>
      <c r="AB113" s="397">
        <f>HR113</f>
        <v>-5.3851444291609353E-2</v>
      </c>
      <c r="AC113" s="397">
        <f>HY113</f>
        <v>-3.8674425205790522E-2</v>
      </c>
      <c r="AD113" s="397">
        <f>IF113</f>
        <v>-1.3372964579846564E-2</v>
      </c>
      <c r="AE113" s="397">
        <f>IM113</f>
        <v>7.5163157094300893E-3</v>
      </c>
      <c r="AF113" s="397">
        <f>IT113</f>
        <v>3.3520376254588424E-2</v>
      </c>
      <c r="AG113" s="398"/>
      <c r="AH113" s="398"/>
      <c r="AI113" s="398"/>
      <c r="AJ113" s="398"/>
      <c r="AK113" s="398"/>
      <c r="AL113" s="398"/>
      <c r="AM113" s="398"/>
      <c r="AN113" s="398"/>
      <c r="AO113" s="398"/>
      <c r="AP113" s="398"/>
      <c r="AQ113" s="398"/>
      <c r="AR113" s="398"/>
      <c r="AT113" s="396" t="s">
        <v>59</v>
      </c>
      <c r="AU113" s="397"/>
      <c r="AV113" s="397"/>
      <c r="AW113" s="397"/>
      <c r="AX113" s="397"/>
      <c r="AY113" s="397"/>
      <c r="BA113" s="396" t="s">
        <v>59</v>
      </c>
      <c r="BB113" s="397"/>
      <c r="BC113" s="397"/>
      <c r="BD113" s="397"/>
      <c r="BE113" s="397"/>
      <c r="BF113" s="397"/>
      <c r="BH113" s="396" t="s">
        <v>59</v>
      </c>
      <c r="BI113" s="397"/>
      <c r="BJ113" s="397"/>
      <c r="BK113" s="397"/>
      <c r="BL113" s="397"/>
      <c r="BM113" s="397"/>
      <c r="BO113" s="396" t="s">
        <v>59</v>
      </c>
      <c r="BP113" s="397"/>
      <c r="BQ113" s="397"/>
      <c r="BR113" s="397"/>
      <c r="BS113" s="397"/>
      <c r="BT113" s="397"/>
      <c r="BV113" s="396" t="s">
        <v>59</v>
      </c>
      <c r="BW113" s="397"/>
      <c r="BX113" s="397"/>
      <c r="BY113" s="397"/>
      <c r="BZ113" s="397"/>
      <c r="CA113" s="397"/>
      <c r="CC113" s="396" t="s">
        <v>59</v>
      </c>
      <c r="CD113" s="397"/>
      <c r="CE113" s="397"/>
      <c r="CF113" s="397"/>
      <c r="CG113" s="397"/>
      <c r="CH113" s="397"/>
      <c r="CJ113" s="396" t="s">
        <v>59</v>
      </c>
      <c r="CK113" s="397" t="s">
        <v>80</v>
      </c>
      <c r="CL113" s="397" t="s">
        <v>80</v>
      </c>
      <c r="CM113" s="397" t="s">
        <v>80</v>
      </c>
      <c r="CN113" s="397" t="s">
        <v>80</v>
      </c>
      <c r="CO113" s="397">
        <f>+CO112/CO69</f>
        <v>2.3253110103476338E-3</v>
      </c>
      <c r="CQ113" s="396" t="s">
        <v>59</v>
      </c>
      <c r="CR113" s="397">
        <f>+CR112/CR69</f>
        <v>3.2864913871260199E-3</v>
      </c>
      <c r="CS113" s="397">
        <f>+CS112/CS69</f>
        <v>2.0888302550571679E-2</v>
      </c>
      <c r="CT113" s="397">
        <f>+CT112/CT69</f>
        <v>2.0662477367131751E-2</v>
      </c>
      <c r="CU113" s="397">
        <f>+CU112/CU69</f>
        <v>2.9374869328873093E-2</v>
      </c>
      <c r="CV113" s="397">
        <f>+CV112/CV69</f>
        <v>2.9374869328873093E-2</v>
      </c>
      <c r="CX113" s="396" t="s">
        <v>59</v>
      </c>
      <c r="CY113" s="397">
        <f>+CY112/CY69</f>
        <v>1.8949984467225848E-2</v>
      </c>
      <c r="CZ113" s="397">
        <f>+CZ112/CZ69</f>
        <v>1.8636084374360026E-2</v>
      </c>
      <c r="DA113" s="397">
        <f>+DA112/DA69</f>
        <v>3.8785663519139001E-2</v>
      </c>
      <c r="DB113" s="397">
        <f>+DB112/DB69</f>
        <v>2.3629112662013958E-2</v>
      </c>
      <c r="DC113" s="397">
        <f>+DC112/DC69</f>
        <v>2.3629112662013958E-2</v>
      </c>
      <c r="DE113" s="396" t="s">
        <v>59</v>
      </c>
      <c r="DF113" s="397">
        <f>+DF112/DF69</f>
        <v>-9.3983141168491428E-3</v>
      </c>
      <c r="DG113" s="397">
        <f>+DG112/DG69</f>
        <v>-1.962983735277622E-3</v>
      </c>
      <c r="DH113" s="397">
        <f>+DH112/DH69</f>
        <v>-3.889585947302384E-2</v>
      </c>
      <c r="DI113" s="397">
        <f>+DI112/DI69</f>
        <v>-3.2252332296756996E-2</v>
      </c>
      <c r="DJ113" s="397">
        <f>+DJ112/DJ69</f>
        <v>-3.2252332296756996E-2</v>
      </c>
      <c r="DL113" s="396" t="s">
        <v>59</v>
      </c>
      <c r="DM113" s="397">
        <f>+DM112/DM69</f>
        <v>-1.9649643155065344E-2</v>
      </c>
      <c r="DN113" s="397">
        <f>+DN112/DN69</f>
        <v>-1.1423462799245058E-2</v>
      </c>
      <c r="DO113" s="397">
        <f>+DO112/DO69</f>
        <v>-2.4481106971793506E-2</v>
      </c>
      <c r="DP113" s="397">
        <f>+DP112/DP69</f>
        <v>-2.33381263134609E-2</v>
      </c>
      <c r="DQ113" s="397">
        <f>+DQ112/DQ69</f>
        <v>-2.33381263134609E-2</v>
      </c>
      <c r="DS113" s="396" t="s">
        <v>59</v>
      </c>
      <c r="DT113" s="397">
        <f>+DT112/DT69</f>
        <v>-2.832525578890684E-2</v>
      </c>
      <c r="DU113" s="397">
        <f>+DU112/DU69</f>
        <v>-2.3558332479770561E-2</v>
      </c>
      <c r="DV113" s="397">
        <f>+DV112/DV69</f>
        <v>-3.609467455621302E-2</v>
      </c>
      <c r="DW113" s="397">
        <f>+DW112/DW69</f>
        <v>-3.3941331327566757E-2</v>
      </c>
      <c r="DX113" s="397">
        <f>+DX112/DX69</f>
        <v>-3.3941331327566757E-2</v>
      </c>
      <c r="DZ113" s="396" t="s">
        <v>59</v>
      </c>
      <c r="EA113" s="397">
        <f>+EA112/EA69</f>
        <v>-7.4851665905979001E-3</v>
      </c>
      <c r="EB113" s="397">
        <f>+EB112/EB69</f>
        <v>-2.4401025550349217E-2</v>
      </c>
      <c r="EC113" s="397">
        <f>+EC112/EC69</f>
        <v>-3.0410062026188834E-2</v>
      </c>
      <c r="ED113" s="397">
        <f>+ED112/ED69</f>
        <v>-2.3843992165545431E-3</v>
      </c>
      <c r="EE113" s="397">
        <f>+EE112/EE69</f>
        <v>-2.3843992165545431E-3</v>
      </c>
      <c r="EG113" s="396" t="s">
        <v>59</v>
      </c>
      <c r="EH113" s="397">
        <f>+EH112/EH69</f>
        <v>-2.1010168921758131E-2</v>
      </c>
      <c r="EI113" s="397">
        <f>+EI112/EI69</f>
        <v>-2.8338378742011436E-2</v>
      </c>
      <c r="EJ113" s="397">
        <f>+EJ112/EJ69</f>
        <v>-4.3559164340691875E-2</v>
      </c>
      <c r="EK113" s="397">
        <f>+EK112/EK69</f>
        <v>1.4460700918679823E-2</v>
      </c>
      <c r="EL113" s="397">
        <f>+EL112/EL69</f>
        <v>1.4460700918679823E-2</v>
      </c>
      <c r="EN113" s="396" t="s">
        <v>59</v>
      </c>
      <c r="EO113" s="397">
        <f>+EO112/EO69</f>
        <v>-3.4048348655090228E-3</v>
      </c>
      <c r="EP113" s="397">
        <f>+EP112/EP69</f>
        <v>1.7789072426937739E-3</v>
      </c>
      <c r="EQ113" s="397">
        <f>+EQ112/EQ69</f>
        <v>-3.1738035264483627E-2</v>
      </c>
      <c r="ER113" s="397">
        <f>+ER112/ER69</f>
        <v>9.8689666611378336E-3</v>
      </c>
      <c r="ES113" s="397">
        <f>+ES112/ES69</f>
        <v>9.8689666611378336E-3</v>
      </c>
      <c r="EU113" s="396" t="s">
        <v>59</v>
      </c>
      <c r="EV113" s="397">
        <f>+EV112/EV69</f>
        <v>-6.0270805812417437E-3</v>
      </c>
      <c r="EW113" s="397">
        <f>+EW112/EW69</f>
        <v>-8.057296329453895E-3</v>
      </c>
      <c r="EX113" s="397">
        <f>+EX112/EX69</f>
        <v>1.5668718522663681E-2</v>
      </c>
      <c r="EY113" s="397">
        <f>+EY112/EY69</f>
        <v>1.8943878759175941E-3</v>
      </c>
      <c r="EZ113" s="397">
        <f>+EZ112/EZ69</f>
        <v>1.8943878759175941E-3</v>
      </c>
      <c r="FB113" s="396" t="s">
        <v>59</v>
      </c>
      <c r="FC113" s="397">
        <f>+FC112/FC69</f>
        <v>6.7801955219173766E-3</v>
      </c>
      <c r="FD113" s="397">
        <f>+FD112/FD69</f>
        <v>3.7667946257197694E-2</v>
      </c>
      <c r="FE113" s="397">
        <f>+FE112/FE69</f>
        <v>4.6637211585665193E-3</v>
      </c>
      <c r="FF113" s="397">
        <f>+FF112/FF69</f>
        <v>3.4374735416137496E-2</v>
      </c>
      <c r="FG113" s="397">
        <f>+FG112/FG69</f>
        <v>3.4374735416137496E-2</v>
      </c>
      <c r="FI113" s="396" t="s">
        <v>59</v>
      </c>
      <c r="FJ113" s="397">
        <f>+FJ112/FJ69</f>
        <v>1.797930187686371E-2</v>
      </c>
      <c r="FK113" s="397">
        <f>+FK112/FK69</f>
        <v>1.0867596449918493E-3</v>
      </c>
      <c r="FL113" s="397">
        <f>+FL112/FL69</f>
        <v>-6.6586516230463331E-3</v>
      </c>
      <c r="FM113" s="397">
        <f>+FM112/FM69</f>
        <v>1.5809919595266057E-2</v>
      </c>
      <c r="FN113" s="397">
        <f>+FN112/FN69</f>
        <v>1.5809919595266057E-2</v>
      </c>
      <c r="FP113" s="396" t="s">
        <v>59</v>
      </c>
      <c r="FQ113" s="397">
        <f>+FQ112/FQ69</f>
        <v>-1.9081272084805655E-2</v>
      </c>
      <c r="FR113" s="397">
        <f>+FR112/FR69</f>
        <v>3.0911767252575981E-2</v>
      </c>
      <c r="FS113" s="397">
        <f>+FS112/FS69</f>
        <v>-4.1011915040580209E-2</v>
      </c>
      <c r="FT113" s="397">
        <f>+FT112/FT69</f>
        <v>-3.1644460028050492E-2</v>
      </c>
      <c r="FU113" s="397">
        <f>+FU112/FU69</f>
        <v>-3.1644460028050492E-2</v>
      </c>
      <c r="FW113" s="396" t="s">
        <v>59</v>
      </c>
      <c r="FX113" s="397">
        <f>+FX112/FX69</f>
        <v>-2.7157249233464738E-2</v>
      </c>
      <c r="FY113" s="397">
        <f>+FY112/FY69</f>
        <v>-1.3121546961325966E-2</v>
      </c>
      <c r="FZ113" s="397">
        <f>+FZ112/FZ69</f>
        <v>1.6290726817042606E-2</v>
      </c>
      <c r="GA113" s="397">
        <f>+GA112/GA69</f>
        <v>-1.5510204081632653E-2</v>
      </c>
      <c r="GB113" s="397">
        <f>+GB112/GB69</f>
        <v>-1.5510204081632653E-2</v>
      </c>
      <c r="GD113" s="396" t="s">
        <v>59</v>
      </c>
      <c r="GE113" s="397">
        <f>+GE112/GE69</f>
        <v>3.0919512392023896E-2</v>
      </c>
      <c r="GF113" s="397">
        <f>+GF112/GF69</f>
        <v>4.2523894378746152E-2</v>
      </c>
      <c r="GG113" s="397">
        <f>+GG112/GG69</f>
        <v>3.107831078310783E-2</v>
      </c>
      <c r="GH113" s="397">
        <f>+GH112/GH69</f>
        <v>3.4682080924855488E-2</v>
      </c>
      <c r="GI113" s="397">
        <f>+GI112/GI69</f>
        <v>3.4682080924855488E-2</v>
      </c>
      <c r="GK113" s="396" t="s">
        <v>59</v>
      </c>
      <c r="GL113" s="397">
        <f>+GL112/GL69</f>
        <v>-1.1036590542490874E-2</v>
      </c>
      <c r="GM113" s="397">
        <f>+GM112/GM69</f>
        <v>-5.1854552082384035E-2</v>
      </c>
      <c r="GN113" s="397">
        <f>+GN112/GN69</f>
        <v>-5.5717372921168844E-2</v>
      </c>
      <c r="GO113" s="397">
        <f>+GO112/GO69</f>
        <v>-2.8914296513276008E-2</v>
      </c>
      <c r="GP113" s="397">
        <f>+GP112/GP69</f>
        <v>-2.8914296513276008E-2</v>
      </c>
      <c r="GR113" s="396" t="s">
        <v>59</v>
      </c>
      <c r="GS113" s="397">
        <f>+GS112/GS69</f>
        <v>-3.8800872782468458E-2</v>
      </c>
      <c r="GT113" s="397">
        <f>+GT112/GT69</f>
        <v>-2.1461511174175239E-2</v>
      </c>
      <c r="GU113" s="397">
        <f>+GU112/GU69</f>
        <v>-2.843959731543624E-2</v>
      </c>
      <c r="GV113" s="397">
        <f>+GV112/GV69</f>
        <v>-3.3381249001756909E-2</v>
      </c>
      <c r="GW113" s="397">
        <f>+GW112/GW69</f>
        <v>-3.3381249001756909E-2</v>
      </c>
      <c r="GY113" s="396" t="s">
        <v>59</v>
      </c>
      <c r="GZ113" s="397">
        <f>+GZ112/GZ69</f>
        <v>-3.3302850175278162E-2</v>
      </c>
      <c r="HA113" s="397">
        <f>+HA112/HA69</f>
        <v>-6.9549006954900692E-3</v>
      </c>
      <c r="HB113" s="397">
        <f>+HB112/HB69</f>
        <v>-2.4329896907216497E-2</v>
      </c>
      <c r="HC113" s="397">
        <f>+HC112/HC69</f>
        <v>-2.8344442200228911E-2</v>
      </c>
      <c r="HD113" s="397">
        <f>+HD112/HD69</f>
        <v>-2.8344442200228911E-2</v>
      </c>
      <c r="HF113" s="396" t="s">
        <v>59</v>
      </c>
      <c r="HG113" s="397">
        <f>+HG112/HG69</f>
        <v>-1.7958536907434305E-2</v>
      </c>
      <c r="HH113" s="397">
        <f>+HH112/HH69</f>
        <v>-8.3166999334664E-3</v>
      </c>
      <c r="HI113" s="397">
        <f>+HI112/HI69</f>
        <v>-2.6857958795131569E-2</v>
      </c>
      <c r="HJ113" s="397">
        <f>+HJ112/HJ69</f>
        <v>-4.4961451866002596E-2</v>
      </c>
      <c r="HK113" s="397">
        <f>+HK112/HK69</f>
        <v>-4.4961451866002596E-2</v>
      </c>
      <c r="HM113" s="396" t="s">
        <v>59</v>
      </c>
      <c r="HN113" s="397">
        <f>+HN112/HN69</f>
        <v>-3.4308365226899944E-2</v>
      </c>
      <c r="HO113" s="397">
        <f>+HO112/HO69</f>
        <v>-1.6400164001640016E-2</v>
      </c>
      <c r="HP113" s="397">
        <f>+HP112/HP69</f>
        <v>-4.2912608132960967E-2</v>
      </c>
      <c r="HQ113" s="397">
        <f>+HQ112/HQ69</f>
        <v>-5.3851444291609353E-2</v>
      </c>
      <c r="HR113" s="397">
        <f>+HR112/HR69</f>
        <v>-5.3851444291609353E-2</v>
      </c>
      <c r="HT113" s="396" t="s">
        <v>59</v>
      </c>
      <c r="HU113" s="397">
        <f>+HU112/HU69</f>
        <v>-6.5467021425570648E-2</v>
      </c>
      <c r="HV113" s="397">
        <f>+HV112/HV69</f>
        <v>-3.172024019780996E-2</v>
      </c>
      <c r="HW113" s="397">
        <f>+HW112/HW69</f>
        <v>-3.2500177016214687E-2</v>
      </c>
      <c r="HX113" s="397">
        <f>+HX112/HX69</f>
        <v>-3.8674425205790522E-2</v>
      </c>
      <c r="HY113" s="397">
        <f>+HY112/HY69</f>
        <v>-3.8674425205790522E-2</v>
      </c>
      <c r="IA113" s="396" t="s">
        <v>59</v>
      </c>
      <c r="IB113" s="397">
        <f>+IB112/IB69</f>
        <v>-3.1867164892087359E-2</v>
      </c>
      <c r="IC113" s="397">
        <f>+IC112/IC69</f>
        <v>-2.4074405009475837E-2</v>
      </c>
      <c r="ID113" s="397">
        <f>+ID112/ID69</f>
        <v>-2.1561353637185362E-2</v>
      </c>
      <c r="IE113" s="397">
        <f>+IE112/IE69</f>
        <v>-1.3372964579846561E-2</v>
      </c>
      <c r="IF113" s="397">
        <f>+IF112/IF69</f>
        <v>-1.3372964579846564E-2</v>
      </c>
      <c r="IH113" s="396" t="s">
        <v>59</v>
      </c>
      <c r="II113" s="397">
        <f>+II112/II69</f>
        <v>-1.4156390586164672E-2</v>
      </c>
      <c r="IJ113" s="397">
        <f>+IJ112/IJ69</f>
        <v>-6.7992088384772487E-3</v>
      </c>
      <c r="IK113" s="397">
        <f>+IK112/IK69</f>
        <v>4.3238588867080651E-4</v>
      </c>
      <c r="IL113" s="397">
        <f>+IL112/IL69</f>
        <v>7.5163157094300893E-3</v>
      </c>
      <c r="IM113" s="397">
        <f>+IM112/IM69</f>
        <v>7.5163157094300893E-3</v>
      </c>
      <c r="IO113" s="396" t="s">
        <v>59</v>
      </c>
      <c r="IP113" s="397">
        <f>+IP112/IP69</f>
        <v>1.4264600043579502E-2</v>
      </c>
      <c r="IQ113" s="397">
        <f>+IQ112/IQ69</f>
        <v>2.0826795107633547E-2</v>
      </c>
      <c r="IR113" s="397">
        <f>+IR112/IR69</f>
        <v>2.7210630658872925E-2</v>
      </c>
      <c r="IS113" s="397">
        <f>+IS112/IS69</f>
        <v>3.3520376254588431E-2</v>
      </c>
      <c r="IT113" s="397">
        <f>+IT112/IT69</f>
        <v>3.3520376254588424E-2</v>
      </c>
    </row>
    <row r="114" spans="1:254" ht="14.25" thickBot="1" x14ac:dyDescent="0.45">
      <c r="A114" s="383"/>
      <c r="B114" s="76"/>
      <c r="AB114" s="78"/>
      <c r="AC114" s="78"/>
      <c r="AD114" s="78"/>
      <c r="AE114" s="78"/>
      <c r="AF114" s="78"/>
      <c r="AG114" s="78"/>
      <c r="AH114" s="78"/>
      <c r="AI114" s="78"/>
      <c r="AJ114" s="78"/>
      <c r="AK114" s="78"/>
      <c r="AL114" s="78"/>
      <c r="AM114" s="78"/>
      <c r="AN114" s="78"/>
      <c r="AO114" s="78"/>
      <c r="AP114" s="78"/>
      <c r="AQ114" s="78"/>
      <c r="AR114" s="78"/>
      <c r="AT114" s="76"/>
      <c r="BA114" s="76"/>
      <c r="BH114" s="76"/>
      <c r="BO114" s="76"/>
      <c r="BV114" s="76"/>
      <c r="CC114" s="76"/>
      <c r="CJ114" s="76"/>
      <c r="CQ114" s="76"/>
      <c r="CX114" s="76"/>
      <c r="DE114" s="76"/>
      <c r="DL114" s="76"/>
      <c r="DS114" s="76"/>
      <c r="DZ114" s="76"/>
      <c r="EG114" s="76"/>
      <c r="EN114" s="76"/>
      <c r="EU114" s="76"/>
      <c r="FB114" s="76"/>
      <c r="FI114" s="76"/>
      <c r="FP114" s="76"/>
      <c r="FW114" s="76"/>
      <c r="GD114" s="76"/>
      <c r="GK114" s="76"/>
      <c r="GR114" s="76"/>
      <c r="GY114" s="76"/>
      <c r="HF114" s="76"/>
      <c r="HM114" s="76"/>
      <c r="HO114" s="80"/>
      <c r="HT114" s="76"/>
      <c r="HU114" s="80"/>
      <c r="HV114" s="80"/>
      <c r="HW114" s="80"/>
      <c r="HX114" s="80"/>
      <c r="HY114" s="80"/>
      <c r="IA114" s="76"/>
      <c r="IB114" s="80"/>
      <c r="IC114" s="80"/>
      <c r="ID114" s="80"/>
      <c r="IE114" s="80"/>
      <c r="IF114" s="80"/>
      <c r="IH114" s="76"/>
      <c r="II114" s="80"/>
      <c r="IJ114" s="80"/>
      <c r="IK114" s="80"/>
      <c r="IL114" s="80"/>
      <c r="IM114" s="80"/>
      <c r="IO114" s="76"/>
      <c r="IP114" s="80"/>
      <c r="IQ114" s="80"/>
      <c r="IR114" s="80"/>
      <c r="IS114" s="80"/>
      <c r="IT114" s="80"/>
    </row>
    <row r="115" spans="1:254" ht="14.25" thickBot="1" x14ac:dyDescent="0.45">
      <c r="A115" s="166"/>
      <c r="B115" s="315" t="s">
        <v>60</v>
      </c>
      <c r="C115" s="316"/>
      <c r="D115" s="316"/>
      <c r="E115" s="316"/>
      <c r="F115" s="316"/>
      <c r="G115" s="316"/>
      <c r="H115" s="316"/>
      <c r="I115" s="316"/>
      <c r="J115" s="316"/>
      <c r="K115" s="316"/>
      <c r="L115" s="316"/>
      <c r="M115" s="316"/>
      <c r="N115" s="316"/>
      <c r="O115" s="316"/>
      <c r="P115" s="316"/>
      <c r="Q115" s="316"/>
      <c r="R115" s="316"/>
      <c r="S115" s="316"/>
      <c r="T115" s="316"/>
      <c r="U115" s="316"/>
      <c r="V115" s="316"/>
      <c r="W115" s="316"/>
      <c r="X115" s="316"/>
      <c r="Y115" s="316"/>
      <c r="Z115" s="316"/>
      <c r="AA115" s="316"/>
      <c r="AB115" s="393"/>
      <c r="AC115" s="393"/>
      <c r="AD115" s="393"/>
      <c r="AE115" s="393"/>
      <c r="AF115" s="393"/>
      <c r="AG115" s="393"/>
      <c r="AH115" s="393"/>
      <c r="AI115" s="393"/>
      <c r="AJ115" s="393"/>
      <c r="AK115" s="393"/>
      <c r="AL115" s="393"/>
      <c r="AM115" s="393"/>
      <c r="AN115" s="393"/>
      <c r="AO115" s="393"/>
      <c r="AP115" s="393"/>
      <c r="AQ115" s="393"/>
      <c r="AR115" s="393"/>
      <c r="AT115" s="315" t="s">
        <v>60</v>
      </c>
      <c r="AU115" s="316"/>
      <c r="AV115" s="316"/>
      <c r="AW115" s="316"/>
      <c r="AX115" s="316"/>
      <c r="AY115" s="316"/>
      <c r="BA115" s="315" t="s">
        <v>60</v>
      </c>
      <c r="BB115" s="316"/>
      <c r="BC115" s="316"/>
      <c r="BD115" s="316"/>
      <c r="BE115" s="316"/>
      <c r="BF115" s="316"/>
      <c r="BH115" s="315" t="s">
        <v>60</v>
      </c>
      <c r="BI115" s="316"/>
      <c r="BJ115" s="316"/>
      <c r="BK115" s="316"/>
      <c r="BL115" s="316"/>
      <c r="BM115" s="316"/>
      <c r="BO115" s="315" t="s">
        <v>60</v>
      </c>
      <c r="BP115" s="316"/>
      <c r="BQ115" s="316"/>
      <c r="BR115" s="316"/>
      <c r="BS115" s="316"/>
      <c r="BT115" s="316"/>
      <c r="BV115" s="315" t="s">
        <v>60</v>
      </c>
      <c r="BW115" s="316"/>
      <c r="BX115" s="316"/>
      <c r="BY115" s="316"/>
      <c r="BZ115" s="316"/>
      <c r="CA115" s="316"/>
      <c r="CC115" s="315" t="s">
        <v>60</v>
      </c>
      <c r="CD115" s="316"/>
      <c r="CE115" s="316"/>
      <c r="CF115" s="316"/>
      <c r="CG115" s="316"/>
      <c r="CH115" s="316"/>
      <c r="CJ115" s="315" t="s">
        <v>60</v>
      </c>
      <c r="CK115" s="316"/>
      <c r="CL115" s="316"/>
      <c r="CM115" s="316"/>
      <c r="CN115" s="316"/>
      <c r="CO115" s="316"/>
      <c r="CQ115" s="315" t="s">
        <v>60</v>
      </c>
      <c r="CR115" s="316"/>
      <c r="CS115" s="316"/>
      <c r="CT115" s="316"/>
      <c r="CU115" s="316"/>
      <c r="CV115" s="316"/>
      <c r="CX115" s="315" t="s">
        <v>60</v>
      </c>
      <c r="CY115" s="316"/>
      <c r="CZ115" s="316"/>
      <c r="DA115" s="316"/>
      <c r="DB115" s="316"/>
      <c r="DC115" s="316"/>
      <c r="DE115" s="315" t="s">
        <v>60</v>
      </c>
      <c r="DF115" s="316"/>
      <c r="DG115" s="316"/>
      <c r="DH115" s="316"/>
      <c r="DI115" s="316"/>
      <c r="DJ115" s="316"/>
      <c r="DL115" s="315" t="s">
        <v>60</v>
      </c>
      <c r="DM115" s="316"/>
      <c r="DN115" s="316"/>
      <c r="DO115" s="316"/>
      <c r="DP115" s="316"/>
      <c r="DQ115" s="316"/>
      <c r="DS115" s="315" t="s">
        <v>60</v>
      </c>
      <c r="DT115" s="316"/>
      <c r="DU115" s="316"/>
      <c r="DV115" s="316"/>
      <c r="DW115" s="316"/>
      <c r="DX115" s="316"/>
      <c r="DZ115" s="315" t="s">
        <v>60</v>
      </c>
      <c r="EA115" s="316"/>
      <c r="EB115" s="316"/>
      <c r="EC115" s="316"/>
      <c r="ED115" s="316"/>
      <c r="EE115" s="316"/>
      <c r="EG115" s="315" t="s">
        <v>60</v>
      </c>
      <c r="EH115" s="316"/>
      <c r="EI115" s="316"/>
      <c r="EJ115" s="316"/>
      <c r="EK115" s="316"/>
      <c r="EL115" s="316"/>
      <c r="EN115" s="315" t="s">
        <v>60</v>
      </c>
      <c r="EO115" s="316"/>
      <c r="EP115" s="316"/>
      <c r="EQ115" s="316"/>
      <c r="ER115" s="316"/>
      <c r="ES115" s="316"/>
      <c r="EU115" s="315" t="s">
        <v>60</v>
      </c>
      <c r="EV115" s="316"/>
      <c r="EW115" s="316"/>
      <c r="EX115" s="316"/>
      <c r="EY115" s="316"/>
      <c r="EZ115" s="316"/>
      <c r="FB115" s="315" t="s">
        <v>60</v>
      </c>
      <c r="FC115" s="316"/>
      <c r="FD115" s="316"/>
      <c r="FE115" s="316"/>
      <c r="FF115" s="316"/>
      <c r="FG115" s="316"/>
      <c r="FI115" s="315" t="s">
        <v>60</v>
      </c>
      <c r="FJ115" s="316"/>
      <c r="FK115" s="316"/>
      <c r="FL115" s="316"/>
      <c r="FM115" s="316"/>
      <c r="FN115" s="316"/>
      <c r="FP115" s="315" t="s">
        <v>60</v>
      </c>
      <c r="FQ115" s="316"/>
      <c r="FR115" s="316"/>
      <c r="FS115" s="316"/>
      <c r="FT115" s="316"/>
      <c r="FU115" s="316"/>
      <c r="FW115" s="315" t="s">
        <v>60</v>
      </c>
      <c r="FX115" s="316"/>
      <c r="FY115" s="316"/>
      <c r="FZ115" s="316"/>
      <c r="GA115" s="316"/>
      <c r="GB115" s="316"/>
      <c r="GD115" s="315" t="s">
        <v>60</v>
      </c>
      <c r="GE115" s="316"/>
      <c r="GF115" s="316"/>
      <c r="GG115" s="316"/>
      <c r="GH115" s="316"/>
      <c r="GI115" s="316"/>
      <c r="GK115" s="315" t="s">
        <v>60</v>
      </c>
      <c r="GL115" s="316"/>
      <c r="GM115" s="316"/>
      <c r="GN115" s="316"/>
      <c r="GO115" s="316"/>
      <c r="GP115" s="316"/>
      <c r="GR115" s="315" t="s">
        <v>60</v>
      </c>
      <c r="GS115" s="316"/>
      <c r="GT115" s="316"/>
      <c r="GU115" s="316"/>
      <c r="GV115" s="316"/>
      <c r="GW115" s="316"/>
      <c r="GY115" s="315" t="s">
        <v>60</v>
      </c>
      <c r="GZ115" s="316"/>
      <c r="HA115" s="316"/>
      <c r="HB115" s="316"/>
      <c r="HC115" s="316"/>
      <c r="HD115" s="316"/>
      <c r="HF115" s="315" t="s">
        <v>60</v>
      </c>
      <c r="HG115" s="316"/>
      <c r="HH115" s="316"/>
      <c r="HI115" s="316"/>
      <c r="HJ115" s="316"/>
      <c r="HK115" s="316"/>
      <c r="HM115" s="315" t="s">
        <v>60</v>
      </c>
      <c r="HN115" s="316"/>
      <c r="HO115" s="408"/>
      <c r="HP115" s="316"/>
      <c r="HQ115" s="316"/>
      <c r="HR115" s="316"/>
      <c r="HT115" s="315" t="s">
        <v>60</v>
      </c>
      <c r="HU115" s="408"/>
      <c r="HV115" s="408"/>
      <c r="HW115" s="408"/>
      <c r="HX115" s="408"/>
      <c r="HY115" s="408"/>
      <c r="IA115" s="315" t="s">
        <v>60</v>
      </c>
      <c r="IB115" s="408"/>
      <c r="IC115" s="408"/>
      <c r="ID115" s="408"/>
      <c r="IE115" s="408"/>
      <c r="IF115" s="408"/>
      <c r="IH115" s="315" t="s">
        <v>60</v>
      </c>
      <c r="II115" s="408"/>
      <c r="IJ115" s="408"/>
      <c r="IK115" s="408"/>
      <c r="IL115" s="408"/>
      <c r="IM115" s="408"/>
      <c r="IO115" s="315" t="s">
        <v>60</v>
      </c>
      <c r="IP115" s="408"/>
      <c r="IQ115" s="408"/>
      <c r="IR115" s="408"/>
      <c r="IS115" s="408"/>
      <c r="IT115" s="408"/>
    </row>
    <row r="116" spans="1:254" x14ac:dyDescent="0.4">
      <c r="B116" s="76"/>
      <c r="AB116" s="78"/>
      <c r="AC116" s="78"/>
      <c r="AD116" s="78"/>
      <c r="AE116" s="78"/>
      <c r="AF116" s="78"/>
      <c r="AG116" s="78"/>
      <c r="AH116" s="78"/>
      <c r="AI116" s="78"/>
      <c r="AJ116" s="78"/>
      <c r="AK116" s="78"/>
      <c r="AL116" s="78"/>
      <c r="AM116" s="78"/>
      <c r="AN116" s="78"/>
      <c r="AO116" s="78"/>
      <c r="AP116" s="78"/>
      <c r="AQ116" s="78"/>
      <c r="AR116" s="78"/>
      <c r="AT116" s="76"/>
      <c r="BA116" s="76"/>
      <c r="BH116" s="76"/>
      <c r="BO116" s="76"/>
      <c r="BV116" s="76"/>
      <c r="CC116" s="76"/>
      <c r="CJ116" s="76"/>
      <c r="CQ116" s="76"/>
      <c r="CX116" s="76"/>
      <c r="DE116" s="76"/>
      <c r="DL116" s="76"/>
      <c r="DS116" s="76"/>
      <c r="DZ116" s="76"/>
      <c r="EG116" s="76"/>
      <c r="EN116" s="76"/>
      <c r="EU116" s="76"/>
      <c r="FB116" s="76"/>
      <c r="FI116" s="76"/>
      <c r="FP116" s="76"/>
      <c r="FW116" s="76"/>
      <c r="GD116" s="76"/>
      <c r="GK116" s="76"/>
      <c r="GR116" s="76"/>
      <c r="GY116" s="76"/>
      <c r="HF116" s="76"/>
      <c r="HM116" s="76"/>
      <c r="HO116" s="80"/>
      <c r="HT116" s="76"/>
      <c r="HU116" s="80"/>
      <c r="HV116" s="80"/>
      <c r="HW116" s="80"/>
      <c r="HX116" s="80"/>
      <c r="HY116" s="80"/>
      <c r="IA116" s="76"/>
      <c r="IB116" s="80"/>
      <c r="IC116" s="80"/>
      <c r="ID116" s="80"/>
      <c r="IE116" s="80"/>
      <c r="IF116" s="80"/>
      <c r="IH116" s="76"/>
      <c r="II116" s="80"/>
      <c r="IJ116" s="80"/>
      <c r="IK116" s="80"/>
      <c r="IL116" s="80"/>
      <c r="IM116" s="80"/>
      <c r="IO116" s="76"/>
      <c r="IP116" s="80"/>
      <c r="IQ116" s="80"/>
      <c r="IR116" s="80"/>
      <c r="IS116" s="80"/>
      <c r="IT116" s="80"/>
    </row>
    <row r="117" spans="1:254" x14ac:dyDescent="0.4">
      <c r="A117" s="384"/>
      <c r="B117" s="318" t="s">
        <v>68</v>
      </c>
      <c r="C117" s="319">
        <f>AY117</f>
        <v>5222</v>
      </c>
      <c r="D117" s="319">
        <f>BF117</f>
        <v>5210</v>
      </c>
      <c r="E117" s="319">
        <f>BM117</f>
        <v>6265</v>
      </c>
      <c r="F117" s="319">
        <f>BT117</f>
        <v>6255</v>
      </c>
      <c r="G117" s="319">
        <f>CA117</f>
        <v>6518</v>
      </c>
      <c r="H117" s="319">
        <f>CH117</f>
        <v>6372</v>
      </c>
      <c r="I117" s="319">
        <f>CO117</f>
        <v>5427</v>
      </c>
      <c r="J117" s="319">
        <f>CV117</f>
        <v>5054</v>
      </c>
      <c r="K117" s="319">
        <f>DC117</f>
        <v>6541</v>
      </c>
      <c r="L117" s="319">
        <f>DJ117</f>
        <v>7086</v>
      </c>
      <c r="M117" s="319">
        <f>DQ117</f>
        <v>6918</v>
      </c>
      <c r="N117" s="319">
        <f>DX117</f>
        <v>7318</v>
      </c>
      <c r="O117" s="319">
        <f>EE117</f>
        <v>7935</v>
      </c>
      <c r="P117" s="319">
        <f>EL117</f>
        <v>8461</v>
      </c>
      <c r="Q117" s="319">
        <f>ES117</f>
        <v>8476</v>
      </c>
      <c r="R117" s="319">
        <f>EZ117</f>
        <v>8781</v>
      </c>
      <c r="S117" s="319">
        <f>FG117</f>
        <v>9265</v>
      </c>
      <c r="T117" s="319">
        <f>FN117</f>
        <v>10273</v>
      </c>
      <c r="U117" s="319">
        <f>FU117</f>
        <v>11390</v>
      </c>
      <c r="V117" s="319">
        <f>GB117</f>
        <v>13646</v>
      </c>
      <c r="W117" s="319">
        <f>GI117</f>
        <v>14284</v>
      </c>
      <c r="X117" s="319">
        <f>GP117</f>
        <v>13574</v>
      </c>
      <c r="Y117" s="319">
        <f>GW117</f>
        <v>14050</v>
      </c>
      <c r="Z117" s="319">
        <f>HD117</f>
        <v>15985</v>
      </c>
      <c r="AA117" s="319">
        <f>HK117</f>
        <v>17097</v>
      </c>
      <c r="AB117" s="130">
        <f>HR117</f>
        <v>17498</v>
      </c>
      <c r="AC117" s="130">
        <f>HY117</f>
        <v>18198</v>
      </c>
      <c r="AD117" s="130">
        <f>IF117</f>
        <v>18914.130467478117</v>
      </c>
      <c r="AE117" s="130">
        <f>IM117</f>
        <v>19362.319488608409</v>
      </c>
      <c r="AF117" s="130">
        <f>IT117</f>
        <v>19693.515510770896</v>
      </c>
      <c r="AG117" s="376"/>
      <c r="AH117" s="376"/>
      <c r="AI117" s="376"/>
      <c r="AJ117" s="376"/>
      <c r="AK117" s="376"/>
      <c r="AL117" s="376"/>
      <c r="AM117" s="376"/>
      <c r="AN117" s="376"/>
      <c r="AO117" s="376"/>
      <c r="AP117" s="376"/>
      <c r="AQ117" s="376"/>
      <c r="AR117" s="376"/>
      <c r="AT117" s="318" t="s">
        <v>68</v>
      </c>
      <c r="AU117" s="319">
        <f t="shared" ref="AU117:AX117" si="197">+(AU$45+AU$39-AU9-AU10)</f>
        <v>0</v>
      </c>
      <c r="AV117" s="319">
        <f t="shared" si="197"/>
        <v>0</v>
      </c>
      <c r="AW117" s="319">
        <f t="shared" si="197"/>
        <v>0</v>
      </c>
      <c r="AX117" s="319">
        <f t="shared" si="197"/>
        <v>5571</v>
      </c>
      <c r="AY117" s="319">
        <f>+(AY$45+AY$39-AY9-AY10)</f>
        <v>5222</v>
      </c>
      <c r="BA117" s="318" t="s">
        <v>68</v>
      </c>
      <c r="BB117" s="319">
        <f t="shared" ref="BB117:BE117" si="198">+(BB$45+BB$39-BB9-BB10)</f>
        <v>5845</v>
      </c>
      <c r="BC117" s="319">
        <f t="shared" si="198"/>
        <v>6265</v>
      </c>
      <c r="BD117" s="319">
        <f t="shared" si="198"/>
        <v>5426</v>
      </c>
      <c r="BE117" s="319">
        <f t="shared" si="198"/>
        <v>5402</v>
      </c>
      <c r="BF117" s="319">
        <f>+(BF$45+BF$39-BF9-BF10)</f>
        <v>5210</v>
      </c>
      <c r="BH117" s="318" t="s">
        <v>68</v>
      </c>
      <c r="BI117" s="319">
        <f t="shared" ref="BI117:BL117" si="199">+(BI$45+BI$39-BI9-BI10)</f>
        <v>5779</v>
      </c>
      <c r="BJ117" s="319">
        <f t="shared" si="199"/>
        <v>6151</v>
      </c>
      <c r="BK117" s="319">
        <f t="shared" si="199"/>
        <v>6043</v>
      </c>
      <c r="BL117" s="319">
        <f t="shared" si="199"/>
        <v>6265</v>
      </c>
      <c r="BM117" s="319">
        <f>+(BM$45+BM$39-BM9-BM10)</f>
        <v>6265</v>
      </c>
      <c r="BO117" s="318" t="s">
        <v>68</v>
      </c>
      <c r="BP117" s="319">
        <f t="shared" ref="BP117:BS117" si="200">+(BP$45+BP$39-BP9-BP10)</f>
        <v>6532</v>
      </c>
      <c r="BQ117" s="319">
        <f t="shared" si="200"/>
        <v>5933</v>
      </c>
      <c r="BR117" s="319">
        <f t="shared" si="200"/>
        <v>6242</v>
      </c>
      <c r="BS117" s="319">
        <f t="shared" si="200"/>
        <v>6646</v>
      </c>
      <c r="BT117" s="319">
        <f>+(BT$45+BT$39-BT9-BT10)</f>
        <v>6255</v>
      </c>
      <c r="BV117" s="318" t="s">
        <v>68</v>
      </c>
      <c r="BW117" s="319">
        <f t="shared" ref="BW117:BZ117" si="201">+(BW$45+BW$39-BW9-BW10)</f>
        <v>6595</v>
      </c>
      <c r="BX117" s="319">
        <f t="shared" si="201"/>
        <v>6479</v>
      </c>
      <c r="BY117" s="319">
        <f t="shared" si="201"/>
        <v>6319</v>
      </c>
      <c r="BZ117" s="319">
        <f t="shared" si="201"/>
        <v>6944</v>
      </c>
      <c r="CA117" s="319">
        <f>+(CA$45+CA$39-CA9-CA10)</f>
        <v>6518</v>
      </c>
      <c r="CC117" s="318" t="s">
        <v>68</v>
      </c>
      <c r="CD117" s="319">
        <f t="shared" ref="CD117:CG117" si="202">+(CD$45+CD$39-CD9-CD10)</f>
        <v>6948</v>
      </c>
      <c r="CE117" s="319">
        <f t="shared" si="202"/>
        <v>6283</v>
      </c>
      <c r="CF117" s="319">
        <f t="shared" si="202"/>
        <v>6648</v>
      </c>
      <c r="CG117" s="319">
        <f t="shared" si="202"/>
        <v>6372</v>
      </c>
      <c r="CH117" s="319">
        <f>+(CH$45+CH$39-CH9-CH10)</f>
        <v>6372</v>
      </c>
      <c r="CJ117" s="318" t="s">
        <v>68</v>
      </c>
      <c r="CK117" s="319">
        <f t="shared" ref="CK117:CN117" si="203">+(CK$45+CK$39-CK9-CK10)</f>
        <v>5297</v>
      </c>
      <c r="CL117" s="319">
        <f t="shared" si="203"/>
        <v>5504</v>
      </c>
      <c r="CM117" s="319">
        <f t="shared" si="203"/>
        <v>5415</v>
      </c>
      <c r="CN117" s="319">
        <f t="shared" si="203"/>
        <v>5427</v>
      </c>
      <c r="CO117" s="319">
        <f>+(CO$45+CO$39-CO9-CO10)</f>
        <v>5427</v>
      </c>
      <c r="CQ117" s="318" t="s">
        <v>68</v>
      </c>
      <c r="CR117" s="319">
        <f t="shared" ref="CR117:CU117" si="204">+(CR$45+CR$39-CR9-CR10)</f>
        <v>5244</v>
      </c>
      <c r="CS117" s="319">
        <f t="shared" si="204"/>
        <v>5260</v>
      </c>
      <c r="CT117" s="319">
        <f t="shared" si="204"/>
        <v>5334</v>
      </c>
      <c r="CU117" s="319">
        <f t="shared" si="204"/>
        <v>5054</v>
      </c>
      <c r="CV117" s="319">
        <f>+(CV$45+CV$39-CV9-CV10)</f>
        <v>5054</v>
      </c>
      <c r="CX117" s="318" t="s">
        <v>68</v>
      </c>
      <c r="CY117" s="319">
        <f t="shared" ref="CY117:DB117" si="205">+(CY$45+CY$39-CY9-CY10)</f>
        <v>4987</v>
      </c>
      <c r="CZ117" s="319">
        <f t="shared" si="205"/>
        <v>5150</v>
      </c>
      <c r="DA117" s="319">
        <f t="shared" si="205"/>
        <v>5672</v>
      </c>
      <c r="DB117" s="319">
        <f t="shared" si="205"/>
        <v>6541</v>
      </c>
      <c r="DC117" s="319">
        <f>+(DC$45+DC$39-DC9-DC10)</f>
        <v>6541</v>
      </c>
      <c r="DE117" s="318" t="s">
        <v>68</v>
      </c>
      <c r="DF117" s="319">
        <f t="shared" ref="DF117:DI117" si="206">+(DF$45+DF$39-DF9-DF10)</f>
        <v>6564</v>
      </c>
      <c r="DG117" s="319">
        <f t="shared" si="206"/>
        <v>6503</v>
      </c>
      <c r="DH117" s="319">
        <f t="shared" si="206"/>
        <v>6935</v>
      </c>
      <c r="DI117" s="319">
        <f t="shared" si="206"/>
        <v>7086</v>
      </c>
      <c r="DJ117" s="319">
        <f>+(DJ$45+DJ$39-DJ9-DJ10)</f>
        <v>7086</v>
      </c>
      <c r="DL117" s="318" t="s">
        <v>68</v>
      </c>
      <c r="DM117" s="319">
        <f t="shared" ref="DM117:DP117" si="207">+(DM$45+DM$39-DM9-DM10)</f>
        <v>7180</v>
      </c>
      <c r="DN117" s="319">
        <f t="shared" si="207"/>
        <v>7073</v>
      </c>
      <c r="DO117" s="319">
        <f t="shared" si="207"/>
        <v>6901</v>
      </c>
      <c r="DP117" s="319">
        <f t="shared" si="207"/>
        <v>6918</v>
      </c>
      <c r="DQ117" s="319">
        <f>+(DQ$45+DQ$39-DQ9-DQ10)</f>
        <v>6918</v>
      </c>
      <c r="DS117" s="318" t="s">
        <v>68</v>
      </c>
      <c r="DT117" s="319">
        <f t="shared" ref="DT117:DW117" si="208">+(DT$45+DT$39-DT9-DT10)</f>
        <v>6939</v>
      </c>
      <c r="DU117" s="319">
        <f t="shared" si="208"/>
        <v>7245</v>
      </c>
      <c r="DV117" s="319">
        <f t="shared" si="208"/>
        <v>7226</v>
      </c>
      <c r="DW117" s="319">
        <f t="shared" si="208"/>
        <v>7318</v>
      </c>
      <c r="DX117" s="319">
        <f>+(DX$45+DX$39-DX9-DX10)</f>
        <v>7318</v>
      </c>
      <c r="DZ117" s="318" t="s">
        <v>68</v>
      </c>
      <c r="EA117" s="319">
        <f t="shared" ref="EA117:ED117" si="209">+(EA$45+EA$39-EA9-EA10)</f>
        <v>7550</v>
      </c>
      <c r="EB117" s="319">
        <f t="shared" si="209"/>
        <v>7385</v>
      </c>
      <c r="EC117" s="319">
        <f t="shared" si="209"/>
        <v>8013</v>
      </c>
      <c r="ED117" s="319">
        <f t="shared" si="209"/>
        <v>7935</v>
      </c>
      <c r="EE117" s="319">
        <f>+(EE$45+EE$39-EE9-EE10)</f>
        <v>7935</v>
      </c>
      <c r="EG117" s="318" t="s">
        <v>68</v>
      </c>
      <c r="EH117" s="319">
        <f t="shared" ref="EH117:EK117" si="210">+(EH$45+EH$39-EH9-EH10)</f>
        <v>8359</v>
      </c>
      <c r="EI117" s="319">
        <f t="shared" si="210"/>
        <v>8406</v>
      </c>
      <c r="EJ117" s="319">
        <f t="shared" si="210"/>
        <v>8335</v>
      </c>
      <c r="EK117" s="319">
        <f t="shared" si="210"/>
        <v>8461</v>
      </c>
      <c r="EL117" s="319">
        <f>+(EL$45+EL$39-EL9-EL10)</f>
        <v>8461</v>
      </c>
      <c r="EN117" s="318" t="s">
        <v>68</v>
      </c>
      <c r="EO117" s="319">
        <f t="shared" ref="EO117:ER117" si="211">+(EO$45+EO$39-EO9-EO10)</f>
        <v>8346</v>
      </c>
      <c r="EP117" s="319">
        <f t="shared" si="211"/>
        <v>8358</v>
      </c>
      <c r="EQ117" s="319">
        <f t="shared" si="211"/>
        <v>8332</v>
      </c>
      <c r="ER117" s="319">
        <f t="shared" si="211"/>
        <v>8476</v>
      </c>
      <c r="ES117" s="319">
        <f>+(ES$45+ES$39-ES9-ES10)</f>
        <v>8476</v>
      </c>
      <c r="EU117" s="318" t="s">
        <v>68</v>
      </c>
      <c r="EV117" s="319">
        <f t="shared" ref="EV117:EY117" si="212">+(EV$45+EV$39-EV9-EV10)</f>
        <v>8623</v>
      </c>
      <c r="EW117" s="319">
        <f t="shared" si="212"/>
        <v>8520</v>
      </c>
      <c r="EX117" s="319">
        <f t="shared" si="212"/>
        <v>8563</v>
      </c>
      <c r="EY117" s="319">
        <f t="shared" si="212"/>
        <v>8781</v>
      </c>
      <c r="EZ117" s="319">
        <f>+(EZ$45+EZ$39-EZ9-EZ10)</f>
        <v>8781</v>
      </c>
      <c r="FB117" s="318" t="s">
        <v>68</v>
      </c>
      <c r="FC117" s="319">
        <f t="shared" ref="FC117:FF117" si="213">+(FC$45+FC$39-FC9-FC10)</f>
        <v>8923</v>
      </c>
      <c r="FD117" s="319">
        <f t="shared" si="213"/>
        <v>9007</v>
      </c>
      <c r="FE117" s="319">
        <f t="shared" si="213"/>
        <v>9140</v>
      </c>
      <c r="FF117" s="319">
        <f t="shared" si="213"/>
        <v>9265</v>
      </c>
      <c r="FG117" s="319">
        <f>+(FG$45+FG$39-FG9-FG10)</f>
        <v>9265</v>
      </c>
      <c r="FI117" s="318" t="s">
        <v>68</v>
      </c>
      <c r="FJ117" s="319">
        <f t="shared" ref="FJ117:FM117" si="214">+(FJ$45+FJ$39-FJ9-FJ10)</f>
        <v>9430</v>
      </c>
      <c r="FK117" s="319">
        <f t="shared" si="214"/>
        <v>9709</v>
      </c>
      <c r="FL117" s="319">
        <f t="shared" si="214"/>
        <v>9764</v>
      </c>
      <c r="FM117" s="319">
        <f t="shared" si="214"/>
        <v>10273</v>
      </c>
      <c r="FN117" s="319">
        <f>+(FN$45+FN$39-FN9-FN10)</f>
        <v>10273</v>
      </c>
      <c r="FP117" s="318" t="s">
        <v>68</v>
      </c>
      <c r="FQ117" s="319">
        <f t="shared" ref="FQ117:FT117" si="215">+(FQ$45+FQ$39-FQ9-FQ10)</f>
        <v>10077</v>
      </c>
      <c r="FR117" s="319">
        <f t="shared" si="215"/>
        <v>10728</v>
      </c>
      <c r="FS117" s="319">
        <f t="shared" si="215"/>
        <v>11103</v>
      </c>
      <c r="FT117" s="319">
        <f t="shared" si="215"/>
        <v>11390</v>
      </c>
      <c r="FU117" s="319">
        <f>+(FU$45+FU$39-FU9-FU10)</f>
        <v>11390</v>
      </c>
      <c r="FW117" s="318" t="s">
        <v>68</v>
      </c>
      <c r="FX117" s="319">
        <f t="shared" ref="FX117:GA117" si="216">+(FX$45+FX$39-FX9-FX10)</f>
        <v>11797</v>
      </c>
      <c r="FY117" s="319">
        <f t="shared" si="216"/>
        <v>12385</v>
      </c>
      <c r="FZ117" s="319">
        <f t="shared" si="216"/>
        <v>12494</v>
      </c>
      <c r="GA117" s="319">
        <f t="shared" si="216"/>
        <v>13646</v>
      </c>
      <c r="GB117" s="319">
        <f>+(GB$45+GB$39-GB9-GB10)</f>
        <v>13646</v>
      </c>
      <c r="GD117" s="318" t="s">
        <v>68</v>
      </c>
      <c r="GE117" s="319">
        <f t="shared" ref="GE117:GH117" si="217">+(GE$45+GE$39-GE9-GE10)</f>
        <v>13756</v>
      </c>
      <c r="GF117" s="319">
        <f t="shared" si="217"/>
        <v>14036</v>
      </c>
      <c r="GG117" s="319">
        <f t="shared" si="217"/>
        <v>14179</v>
      </c>
      <c r="GH117" s="319">
        <f t="shared" si="217"/>
        <v>14284</v>
      </c>
      <c r="GI117" s="319">
        <f>+(GI$45+GI$39-GI9-GI10)</f>
        <v>14284</v>
      </c>
      <c r="GK117" s="318" t="s">
        <v>68</v>
      </c>
      <c r="GL117" s="319">
        <f t="shared" ref="GL117:GO117" si="218">+(GL$45+GL$39-GL9-GL10)</f>
        <v>14250</v>
      </c>
      <c r="GM117" s="319">
        <f t="shared" si="218"/>
        <v>13912</v>
      </c>
      <c r="GN117" s="319">
        <f t="shared" si="218"/>
        <v>13593</v>
      </c>
      <c r="GO117" s="319">
        <f t="shared" si="218"/>
        <v>13574</v>
      </c>
      <c r="GP117" s="319">
        <f>+(GP$45+GP$39-GP9-GP10)</f>
        <v>13574</v>
      </c>
      <c r="GR117" s="318" t="s">
        <v>68</v>
      </c>
      <c r="GS117" s="319">
        <f t="shared" ref="GS117:GV117" si="219">+(GS$45+GS$39-GS9-GS10)</f>
        <v>13390</v>
      </c>
      <c r="GT117" s="319">
        <f t="shared" si="219"/>
        <v>13361</v>
      </c>
      <c r="GU117" s="319">
        <f t="shared" si="219"/>
        <v>14214</v>
      </c>
      <c r="GV117" s="319">
        <f t="shared" si="219"/>
        <v>14050</v>
      </c>
      <c r="GW117" s="319">
        <f>+(GW$45+GW$39-GW9-GW10)</f>
        <v>14050</v>
      </c>
      <c r="GY117" s="318" t="s">
        <v>68</v>
      </c>
      <c r="GZ117" s="319">
        <f t="shared" ref="GZ117:HC117" si="220">+(GZ$45+GZ$39-GZ9-GZ10)</f>
        <v>14304</v>
      </c>
      <c r="HA117" s="319">
        <f t="shared" si="220"/>
        <v>15398</v>
      </c>
      <c r="HB117" s="319">
        <f t="shared" si="220"/>
        <v>15651</v>
      </c>
      <c r="HC117" s="319">
        <f t="shared" si="220"/>
        <v>15985</v>
      </c>
      <c r="HD117" s="319">
        <f>+(HD$45+HD$39-HD9-HD10)</f>
        <v>15985</v>
      </c>
      <c r="HF117" s="318" t="s">
        <v>68</v>
      </c>
      <c r="HG117" s="319">
        <f t="shared" ref="HG117:HJ117" si="221">+(HG$45+HG$39-HG9-HG10)</f>
        <v>16453</v>
      </c>
      <c r="HH117" s="319">
        <f t="shared" si="221"/>
        <v>16874</v>
      </c>
      <c r="HI117" s="319">
        <f t="shared" si="221"/>
        <v>17023</v>
      </c>
      <c r="HJ117" s="319">
        <f t="shared" si="221"/>
        <v>17097</v>
      </c>
      <c r="HK117" s="319">
        <f>+(HK$45+HK$39-HK9-HK10)</f>
        <v>17097</v>
      </c>
      <c r="HM117" s="318" t="s">
        <v>68</v>
      </c>
      <c r="HN117" s="319">
        <f t="shared" ref="HN117:HQ117" si="222">+(HN$45+HN$39-HN9-HN10)</f>
        <v>17016</v>
      </c>
      <c r="HO117" s="319">
        <f t="shared" si="222"/>
        <v>17266</v>
      </c>
      <c r="HP117" s="319">
        <f t="shared" si="222"/>
        <v>16885</v>
      </c>
      <c r="HQ117" s="319">
        <f t="shared" si="222"/>
        <v>17498</v>
      </c>
      <c r="HR117" s="319">
        <f>+(HR$45+HR$39-HR9-HR10)</f>
        <v>17498</v>
      </c>
      <c r="HT117" s="318" t="s">
        <v>68</v>
      </c>
      <c r="HU117" s="319">
        <f t="shared" ref="HU117:HX117" si="223">+(HU$45+HU$39-HU9-HU10)</f>
        <v>17979</v>
      </c>
      <c r="HV117" s="319">
        <f t="shared" si="223"/>
        <v>18773</v>
      </c>
      <c r="HW117" s="319">
        <f t="shared" si="223"/>
        <v>18544</v>
      </c>
      <c r="HX117" s="319">
        <f t="shared" si="223"/>
        <v>18198</v>
      </c>
      <c r="HY117" s="319">
        <f>+(HY$45+HY$39-HY9-HY10)</f>
        <v>18198</v>
      </c>
      <c r="IA117" s="318" t="s">
        <v>68</v>
      </c>
      <c r="IB117" s="319">
        <f t="shared" ref="IB117:IE117" si="224">+(IB$45+IB$39-IB9-IB10)</f>
        <v>18499.592163183257</v>
      </c>
      <c r="IC117" s="319">
        <f t="shared" si="224"/>
        <v>18654.148636097729</v>
      </c>
      <c r="ID117" s="319">
        <f t="shared" si="224"/>
        <v>18724.779489776458</v>
      </c>
      <c r="IE117" s="319">
        <f t="shared" si="224"/>
        <v>18914.130467478117</v>
      </c>
      <c r="IF117" s="319">
        <f>+(IF$45+IF$39-IF9-IF10)</f>
        <v>18914.130467478117</v>
      </c>
      <c r="IH117" s="318" t="s">
        <v>68</v>
      </c>
      <c r="II117" s="319">
        <f t="shared" ref="II117:IL117" si="225">+(II$45+II$39-II9-II10)</f>
        <v>19055.803365184973</v>
      </c>
      <c r="IJ117" s="319">
        <f t="shared" si="225"/>
        <v>19164.132466812462</v>
      </c>
      <c r="IK117" s="319">
        <f t="shared" si="225"/>
        <v>19237.916719135119</v>
      </c>
      <c r="IL117" s="319">
        <f t="shared" si="225"/>
        <v>19362.319488608409</v>
      </c>
      <c r="IM117" s="319">
        <f>+(IM$45+IM$39-IM9-IM10)</f>
        <v>19362.319488608409</v>
      </c>
      <c r="IO117" s="318" t="s">
        <v>68</v>
      </c>
      <c r="IP117" s="319">
        <f t="shared" ref="IP117:IS117" si="226">+(IP$45+IP$39-IP9-IP10)</f>
        <v>19562.713522777834</v>
      </c>
      <c r="IQ117" s="319">
        <f t="shared" si="226"/>
        <v>19610.694711590251</v>
      </c>
      <c r="IR117" s="319">
        <f t="shared" si="226"/>
        <v>19626.988598707827</v>
      </c>
      <c r="IS117" s="319">
        <f t="shared" si="226"/>
        <v>19693.515510770896</v>
      </c>
      <c r="IT117" s="319">
        <f>+(IT$45+IT$39-IT9-IT10)</f>
        <v>19693.515510770896</v>
      </c>
    </row>
    <row r="118" spans="1:254" x14ac:dyDescent="0.4">
      <c r="B118" s="62" t="s">
        <v>61</v>
      </c>
      <c r="C118" s="63">
        <f>AY118</f>
        <v>0</v>
      </c>
      <c r="D118" s="63">
        <f>BF118</f>
        <v>0</v>
      </c>
      <c r="E118" s="63">
        <f>BM118</f>
        <v>0</v>
      </c>
      <c r="F118" s="63">
        <f>BT118</f>
        <v>0</v>
      </c>
      <c r="G118" s="63">
        <f>CA118</f>
        <v>0</v>
      </c>
      <c r="H118" s="63">
        <f>CH118</f>
        <v>0</v>
      </c>
      <c r="I118" s="63">
        <f>CO118</f>
        <v>0.43116641636272618</v>
      </c>
      <c r="J118" s="63">
        <f>CV118</f>
        <v>0.39970461868958107</v>
      </c>
      <c r="K118" s="63">
        <f>DC118</f>
        <v>0.45514429109159349</v>
      </c>
      <c r="L118" s="63">
        <f>DJ118</f>
        <v>0.49316707601234333</v>
      </c>
      <c r="M118" s="63">
        <f>DQ118</f>
        <v>0.47474507944036043</v>
      </c>
      <c r="N118" s="63">
        <f>DX118</f>
        <v>0.49896337249481687</v>
      </c>
      <c r="O118" s="63">
        <f>EE118</f>
        <v>0.52182506070359702</v>
      </c>
      <c r="P118" s="63">
        <f>EL118</f>
        <v>0.52203461824360198</v>
      </c>
      <c r="Q118" s="63">
        <f>ES118</f>
        <v>0.47634478289047311</v>
      </c>
      <c r="R118" s="63">
        <f>EZ118</f>
        <v>0.4657233005067406</v>
      </c>
      <c r="S118" s="63">
        <f>FG118</f>
        <v>0.47843189843994455</v>
      </c>
      <c r="T118" s="63">
        <f>FN118</f>
        <v>0.49127767868795408</v>
      </c>
      <c r="U118" s="63">
        <f>FU118</f>
        <v>0.44511873350923481</v>
      </c>
      <c r="V118" s="63">
        <f>GB118</f>
        <v>0.53981782931557964</v>
      </c>
      <c r="W118" s="63">
        <f>GI118</f>
        <v>0.57784420483256826</v>
      </c>
      <c r="X118" s="63">
        <f>GP118</f>
        <v>0.56028844541338252</v>
      </c>
      <c r="Y118" s="63">
        <f>GW118</f>
        <v>0.54798098171834198</v>
      </c>
      <c r="Z118" s="63">
        <f>HD118</f>
        <v>0.59139467820159919</v>
      </c>
      <c r="AA118" s="63">
        <f>HK118</f>
        <v>0.60728094894816176</v>
      </c>
      <c r="AB118" s="63">
        <f>HR118</f>
        <v>0.59667849080941626</v>
      </c>
      <c r="AC118" s="63">
        <f>HY118</f>
        <v>0.58917366465832111</v>
      </c>
      <c r="AD118" s="63">
        <f>IF118</f>
        <v>0.55631117385415385</v>
      </c>
      <c r="AE118" s="63">
        <f>IM118</f>
        <v>0.52105475686762881</v>
      </c>
      <c r="AF118" s="63">
        <f>IT118</f>
        <v>0.48768129859261505</v>
      </c>
      <c r="AG118" s="64"/>
      <c r="AH118" s="64"/>
      <c r="AI118" s="64"/>
      <c r="AJ118" s="64"/>
      <c r="AK118" s="64"/>
      <c r="AL118" s="64"/>
      <c r="AM118" s="64"/>
      <c r="AN118" s="64"/>
      <c r="AO118" s="64"/>
      <c r="AP118" s="64"/>
      <c r="AQ118" s="64"/>
      <c r="AR118" s="64"/>
      <c r="AT118" s="62" t="s">
        <v>61</v>
      </c>
      <c r="AU118" s="63"/>
      <c r="AV118" s="63"/>
      <c r="AW118" s="63"/>
      <c r="AX118" s="63"/>
      <c r="AY118" s="63"/>
      <c r="BA118" s="62" t="s">
        <v>61</v>
      </c>
      <c r="BB118" s="63"/>
      <c r="BC118" s="63"/>
      <c r="BD118" s="63"/>
      <c r="BE118" s="63"/>
      <c r="BF118" s="63"/>
      <c r="BH118" s="62" t="s">
        <v>61</v>
      </c>
      <c r="BI118" s="63"/>
      <c r="BJ118" s="63"/>
      <c r="BK118" s="63"/>
      <c r="BL118" s="63"/>
      <c r="BM118" s="63"/>
      <c r="BO118" s="62" t="s">
        <v>61</v>
      </c>
      <c r="BP118" s="63"/>
      <c r="BQ118" s="63"/>
      <c r="BR118" s="63"/>
      <c r="BS118" s="63"/>
      <c r="BT118" s="63"/>
      <c r="BV118" s="62" t="s">
        <v>61</v>
      </c>
      <c r="BW118" s="63"/>
      <c r="BX118" s="63"/>
      <c r="BY118" s="63"/>
      <c r="BZ118" s="63"/>
      <c r="CA118" s="63"/>
      <c r="CC118" s="62" t="s">
        <v>61</v>
      </c>
      <c r="CD118" s="63"/>
      <c r="CE118" s="63"/>
      <c r="CF118" s="63"/>
      <c r="CG118" s="63"/>
      <c r="CH118" s="63"/>
      <c r="CJ118" s="62" t="s">
        <v>61</v>
      </c>
      <c r="CK118" s="63">
        <f>+(CK$45+CK$39)/(CK$39+CK$45+CK$56)</f>
        <v>0.48740416210295728</v>
      </c>
      <c r="CL118" s="63">
        <f>+(CL$45+CL$39)/(CL$39+CL$45+CL$56)</f>
        <v>0.44132316268153149</v>
      </c>
      <c r="CM118" s="63">
        <f>+(CM$45+CM$39)/(CM$39+CM$45+CM$56)</f>
        <v>0.43618798576305656</v>
      </c>
      <c r="CN118" s="63">
        <f>+(CN$45+CN$39)/(CN$39+CN$45+CN$56)</f>
        <v>0.43116641636272618</v>
      </c>
      <c r="CO118" s="63">
        <f>+(CO$45+CO$39)/(CO$39+CO$45+CO$56)</f>
        <v>0.43116641636272618</v>
      </c>
      <c r="CQ118" s="62" t="s">
        <v>61</v>
      </c>
      <c r="CR118" s="63">
        <f>+(CR$45+CR$39)/(CR$39+CR$45+CR$56)</f>
        <v>0.4185637998875773</v>
      </c>
      <c r="CS118" s="63">
        <f>+(CS$45+CS$39)/(CS$39+CS$45+CS$56)</f>
        <v>0.40852526641457548</v>
      </c>
      <c r="CT118" s="63">
        <f>+(CT$45+CT$39)/(CT$39+CT$45+CT$56)</f>
        <v>0.40951014552162329</v>
      </c>
      <c r="CU118" s="63">
        <f>+(CU$45+CU$39)/(CU$39+CU$45+CU$56)</f>
        <v>0.39970461868958107</v>
      </c>
      <c r="CV118" s="63">
        <f>+(CV$45+CV$39)/(CV$39+CV$45+CV$56)</f>
        <v>0.39970461868958107</v>
      </c>
      <c r="CX118" s="62" t="s">
        <v>61</v>
      </c>
      <c r="CY118" s="63">
        <f>+(CY$45+CY$39)/(CY$39+CY$45+CY$56)</f>
        <v>0.39383060763196381</v>
      </c>
      <c r="CZ118" s="63">
        <f>+(CZ$45+CZ$39)/(CZ$39+CZ$45+CZ$56)</f>
        <v>0.39290407358738499</v>
      </c>
      <c r="DA118" s="63">
        <f>+(DA$45+DA$39)/(DA$39+DA$45+DA$56)</f>
        <v>0.44042078418871533</v>
      </c>
      <c r="DB118" s="63">
        <f>+(DB$45+DB$39)/(DB$39+DB$45+DB$56)</f>
        <v>0.45514429109159349</v>
      </c>
      <c r="DC118" s="63">
        <f>+(DC$45+DC$39)/(DC$39+DC$45+DC$56)</f>
        <v>0.45514429109159349</v>
      </c>
      <c r="DE118" s="62" t="s">
        <v>61</v>
      </c>
      <c r="DF118" s="63">
        <f>+(DF$45+DF$39)/(DF$39+DF$45+DF$56)</f>
        <v>0.48409560342283858</v>
      </c>
      <c r="DG118" s="63">
        <f>+(DG$45+DG$39)/(DG$39+DG$45+DG$56)</f>
        <v>0.46785923753665687</v>
      </c>
      <c r="DH118" s="63">
        <f>+(DH$45+DH$39)/(DH$39+DH$45+DH$56)</f>
        <v>0.47976212148795438</v>
      </c>
      <c r="DI118" s="63">
        <f>+(DI$45+DI$39)/(DI$39+DI$45+DI$56)</f>
        <v>0.49316707601234333</v>
      </c>
      <c r="DJ118" s="63">
        <f>+(DJ$45+DJ$39)/(DJ$39+DJ$45+DJ$56)</f>
        <v>0.49316707601234333</v>
      </c>
      <c r="DL118" s="62" t="s">
        <v>61</v>
      </c>
      <c r="DM118" s="63">
        <f>+(DM$45+DM$39)/(DM$39+DM$45+DM$56)</f>
        <v>0.50314884340559529</v>
      </c>
      <c r="DN118" s="63">
        <f>+(DN$45+DN$39)/(DN$39+DN$45+DN$56)</f>
        <v>0.49386484707009037</v>
      </c>
      <c r="DO118" s="63">
        <f>+(DO$45+DO$39)/(DO$39+DO$45+DO$56)</f>
        <v>0.48619241913547395</v>
      </c>
      <c r="DP118" s="63">
        <f>+(DP$45+DP$39)/(DP$39+DP$45+DP$56)</f>
        <v>0.47474507944036043</v>
      </c>
      <c r="DQ118" s="63">
        <f>+(DQ$45+DQ$39)/(DQ$39+DQ$45+DQ$56)</f>
        <v>0.47474507944036043</v>
      </c>
      <c r="DS118" s="62" t="s">
        <v>61</v>
      </c>
      <c r="DT118" s="63">
        <f>+(DT$45+DT$39)/(DT$39+DT$45+DT$56)</f>
        <v>0.4734502785350243</v>
      </c>
      <c r="DU118" s="63">
        <f>+(DU$45+DU$39)/(DU$39+DU$45+DU$56)</f>
        <v>0.48052813275997819</v>
      </c>
      <c r="DV118" s="63">
        <f>+(DV$45+DV$39)/(DV$39+DV$45+DV$56)</f>
        <v>0.47775090689238209</v>
      </c>
      <c r="DW118" s="63">
        <f>+(DW$45+DW$39)/(DW$39+DW$45+DW$56)</f>
        <v>0.49896337249481687</v>
      </c>
      <c r="DX118" s="63">
        <f>+(DX$45+DX$39)/(DX$39+DX$45+DX$56)</f>
        <v>0.49896337249481687</v>
      </c>
      <c r="DZ118" s="62" t="s">
        <v>61</v>
      </c>
      <c r="EA118" s="63">
        <f>+(EA$45+EA$39)/(EA$39+EA$45+EA$56)</f>
        <v>0.48177083333333331</v>
      </c>
      <c r="EB118" s="63">
        <f>+(EB$45+EB$39)/(EB$39+EB$45+EB$56)</f>
        <v>0.49259406390102717</v>
      </c>
      <c r="EC118" s="63">
        <f>+(EC$45+EC$39)/(EC$39+EC$45+EC$56)</f>
        <v>0.51140527124453372</v>
      </c>
      <c r="ED118" s="63">
        <f>+(ED$45+ED$39)/(ED$39+ED$45+ED$56)</f>
        <v>0.52182506070359702</v>
      </c>
      <c r="EE118" s="63">
        <f>+(EE$45+EE$39)/(EE$39+EE$45+EE$56)</f>
        <v>0.52182506070359702</v>
      </c>
      <c r="EG118" s="62" t="s">
        <v>61</v>
      </c>
      <c r="EH118" s="63">
        <f>+(EH$45+EH$39)/(EH$39+EH$45+EH$56)</f>
        <v>0.51761302399455444</v>
      </c>
      <c r="EI118" s="63">
        <f>+(EI$45+EI$39)/(EI$39+EI$45+EI$56)</f>
        <v>0.50539368327402134</v>
      </c>
      <c r="EJ118" s="63">
        <f>+(EJ$45+EJ$39)/(EJ$39+EJ$45+EJ$56)</f>
        <v>0.5008842710290704</v>
      </c>
      <c r="EK118" s="63">
        <f>+(EK$45+EK$39)/(EK$39+EK$45+EK$56)</f>
        <v>0.52203461824360198</v>
      </c>
      <c r="EL118" s="63">
        <f>+(EL$45+EL$39)/(EL$39+EL$45+EL$56)</f>
        <v>0.52203461824360198</v>
      </c>
      <c r="EN118" s="62" t="s">
        <v>61</v>
      </c>
      <c r="EO118" s="63">
        <f>+(EO$45+EO$39)/(EO$39+EO$45+EO$56)</f>
        <v>0.50186507513588408</v>
      </c>
      <c r="EP118" s="63">
        <f>+(EP$45+EP$39)/(EP$39+EP$45+EP$56)</f>
        <v>0.49246204759153228</v>
      </c>
      <c r="EQ118" s="63">
        <f>+(EQ$45+EQ$39)/(EQ$39+EQ$45+EQ$56)</f>
        <v>0.47840794968021566</v>
      </c>
      <c r="ER118" s="63">
        <f>+(ER$45+ER$39)/(ER$39+ER$45+ER$56)</f>
        <v>0.47634478289047311</v>
      </c>
      <c r="ES118" s="63">
        <f>+(ES$45+ES$39)/(ES$39+ES$45+ES$56)</f>
        <v>0.47634478289047311</v>
      </c>
      <c r="EU118" s="62" t="s">
        <v>61</v>
      </c>
      <c r="EV118" s="63">
        <f>+(EV$45+EV$39)/(EV$39+EV$45+EV$56)</f>
        <v>0.46751037967085191</v>
      </c>
      <c r="EW118" s="63">
        <f>+(EW$45+EW$39)/(EW$39+EW$45+EW$56)</f>
        <v>0.46054519368723101</v>
      </c>
      <c r="EX118" s="63">
        <f>+(EX$45+EX$39)/(EX$39+EX$45+EX$56)</f>
        <v>0.46326894359073173</v>
      </c>
      <c r="EY118" s="63">
        <f>+(EY$45+EY$39)/(EY$39+EY$45+EY$56)</f>
        <v>0.4657233005067406</v>
      </c>
      <c r="EZ118" s="63">
        <f>+(EZ$45+EZ$39)/(EZ$39+EZ$45+EZ$56)</f>
        <v>0.4657233005067406</v>
      </c>
      <c r="FB118" s="62" t="s">
        <v>61</v>
      </c>
      <c r="FC118" s="63">
        <f>+(FC$45+FC$39)/(FC$39+FC$45+FC$56)</f>
        <v>0.46211869633284314</v>
      </c>
      <c r="FD118" s="63">
        <f>+(FD$45+FD$39)/(FD$39+FD$45+FD$56)</f>
        <v>0.46654686204036494</v>
      </c>
      <c r="FE118" s="63">
        <f>+(FE$45+FE$39)/(FE$39+FE$45+FE$56)</f>
        <v>0.46430212257649545</v>
      </c>
      <c r="FF118" s="63">
        <f>+(FF$45+FF$39)/(FF$39+FF$45+FF$56)</f>
        <v>0.47843189843994455</v>
      </c>
      <c r="FG118" s="63">
        <f>+(FG$45+FG$39)/(FG$39+FG$45+FG$56)</f>
        <v>0.47843189843994455</v>
      </c>
      <c r="FI118" s="62" t="s">
        <v>61</v>
      </c>
      <c r="FJ118" s="63">
        <f>+(FJ$45+FJ$39)/(FJ$39+FJ$45+FJ$56)</f>
        <v>0.47583777436545932</v>
      </c>
      <c r="FK118" s="63">
        <f>+(FK$45+FK$39)/(FK$39+FK$45+FK$56)</f>
        <v>0.47545347892789458</v>
      </c>
      <c r="FL118" s="63">
        <f>+(FL$45+FL$39)/(FL$39+FL$45+FL$56)</f>
        <v>0.47406372526927759</v>
      </c>
      <c r="FM118" s="63">
        <f>+(FM$45+FM$39)/(FM$39+FM$45+FM$56)</f>
        <v>0.49127767868795408</v>
      </c>
      <c r="FN118" s="63">
        <f>+(FN$45+FN$39)/(FN$39+FN$45+FN$56)</f>
        <v>0.49127767868795408</v>
      </c>
      <c r="FP118" s="62" t="s">
        <v>61</v>
      </c>
      <c r="FQ118" s="63">
        <f>+(FQ$45+FQ$39)/(FQ$39+FQ$45+FQ$56)</f>
        <v>0.4918346905892087</v>
      </c>
      <c r="FR118" s="63">
        <f>+(FR$45+FR$39)/(FR$39+FR$45+FR$56)</f>
        <v>0.50478101255015795</v>
      </c>
      <c r="FS118" s="63">
        <f>+(FS$45+FS$39)/(FS$39+FS$45+FS$56)</f>
        <v>0.51992602052049852</v>
      </c>
      <c r="FT118" s="63">
        <f>+(FT$45+FT$39)/(FT$39+FT$45+FT$56)</f>
        <v>0.44511873350923481</v>
      </c>
      <c r="FU118" s="63">
        <f>+(FU$45+FU$39)/(FU$39+FU$45+FU$56)</f>
        <v>0.44511873350923481</v>
      </c>
      <c r="FW118" s="62" t="s">
        <v>61</v>
      </c>
      <c r="FX118" s="63">
        <f>+(FX$45+FX$39)/(FX$39+FX$45+FX$56)</f>
        <v>0.48928241890836821</v>
      </c>
      <c r="FY118" s="63">
        <f>+(FY$45+FY$39)/(FY$39+FY$45+FY$56)</f>
        <v>0.49577505303656827</v>
      </c>
      <c r="FZ118" s="63">
        <f>+(FZ$45+FZ$39)/(FZ$39+FZ$45+FZ$56)</f>
        <v>0.50067255607663508</v>
      </c>
      <c r="GA118" s="63">
        <f>+(GA$45+GA$39)/(GA$39+GA$45+GA$56)</f>
        <v>0.53981782931557964</v>
      </c>
      <c r="GB118" s="63">
        <f>+(GB$45+GB$39)/(GB$39+GB$45+GB$56)</f>
        <v>0.53981782931557964</v>
      </c>
      <c r="GD118" s="62" t="s">
        <v>61</v>
      </c>
      <c r="GE118" s="63">
        <f>+(GE$45+GE$39)/(GE$39+GE$45+GE$56)</f>
        <v>0.55886001914146965</v>
      </c>
      <c r="GF118" s="63">
        <f>+(GF$45+GF$39)/(GF$39+GF$45+GF$56)</f>
        <v>0.56196314645186585</v>
      </c>
      <c r="GG118" s="63">
        <f>+(GG$45+GG$39)/(GG$39+GG$45+GG$56)</f>
        <v>0.58488258317025443</v>
      </c>
      <c r="GH118" s="63">
        <f>+(GH$45+GH$39)/(GH$39+GH$45+GH$56)</f>
        <v>0.57784420483256826</v>
      </c>
      <c r="GI118" s="63">
        <f>+(GI$45+GI$39)/(GI$39+GI$45+GI$56)</f>
        <v>0.57784420483256826</v>
      </c>
      <c r="GK118" s="62" t="s">
        <v>61</v>
      </c>
      <c r="GL118" s="63">
        <f>+(GL$45+GL$39)/(GL$39+GL$45+GL$56)</f>
        <v>0.5846261355695318</v>
      </c>
      <c r="GM118" s="63">
        <f>+(GM$45+GM$39)/(GM$39+GM$45+GM$56)</f>
        <v>0.57574383480414382</v>
      </c>
      <c r="GN118" s="63">
        <f>+(GN$45+GN$39)/(GN$39+GN$45+GN$56)</f>
        <v>0.56442725623737977</v>
      </c>
      <c r="GO118" s="63">
        <f>+(GO$45+GO$39)/(GO$39+GO$45+GO$56)</f>
        <v>0.56028844541338252</v>
      </c>
      <c r="GP118" s="63">
        <f>+(GP$45+GP$39)/(GP$39+GP$45+GP$56)</f>
        <v>0.56028844541338252</v>
      </c>
      <c r="GR118" s="62" t="s">
        <v>61</v>
      </c>
      <c r="GS118" s="63">
        <f>+(GS$45+GS$39)/(GS$39+GS$45+GS$56)</f>
        <v>0.55400413461212594</v>
      </c>
      <c r="GT118" s="63">
        <f>+(GT$45+GT$39)/(GT$39+GT$45+GT$56)</f>
        <v>0.54896760114151422</v>
      </c>
      <c r="GU118" s="63">
        <f>+(GU$45+GU$39)/(GU$39+GU$45+GU$56)</f>
        <v>0.5544731946558431</v>
      </c>
      <c r="GV118" s="63">
        <f>+(GV$45+GV$39)/(GV$39+GV$45+GV$56)</f>
        <v>0.54798098171834198</v>
      </c>
      <c r="GW118" s="63">
        <f>+(GW$45+GW$39)/(GW$39+GW$45+GW$56)</f>
        <v>0.54798098171834198</v>
      </c>
      <c r="GY118" s="62" t="s">
        <v>61</v>
      </c>
      <c r="GZ118" s="63">
        <f>+(GZ$45+GZ$39)/(GZ$39+GZ$45+GZ$56)</f>
        <v>0.55318140259388437</v>
      </c>
      <c r="HA118" s="63">
        <f>+(HA$45+HA$39)/(HA$39+HA$45+HA$56)</f>
        <v>0.55228101257197371</v>
      </c>
      <c r="HB118" s="63">
        <f>+(HB$45+HB$39)/(HB$39+HB$45+HB$56)</f>
        <v>0.58351921895710079</v>
      </c>
      <c r="HC118" s="63">
        <f>+(HC$45+HC$39)/(HC$39+HC$45+HC$56)</f>
        <v>0.59139467820159919</v>
      </c>
      <c r="HD118" s="63">
        <f>+(HD$45+HD$39)/(HD$39+HD$45+HD$56)</f>
        <v>0.59139467820159919</v>
      </c>
      <c r="HF118" s="62" t="s">
        <v>61</v>
      </c>
      <c r="HG118" s="63">
        <f>+(HG$45+HG$39)/(HG$39+HG$45+HG$56)</f>
        <v>0.59587059879642257</v>
      </c>
      <c r="HH118" s="63">
        <f>+(HH$45+HH$39)/(HH$39+HH$45+HH$56)</f>
        <v>0.59729170835834833</v>
      </c>
      <c r="HI118" s="63">
        <f>+(HI$45+HI$39)/(HI$39+HI$45+HI$56)</f>
        <v>0.61096035475544375</v>
      </c>
      <c r="HJ118" s="63">
        <f>+(HJ$45+HJ$39)/(HJ$39+HJ$45+HJ$56)</f>
        <v>0.60728094894816176</v>
      </c>
      <c r="HK118" s="63">
        <f>+(HK$45+HK$39)/(HK$39+HK$45+HK$56)</f>
        <v>0.60728094894816176</v>
      </c>
      <c r="HM118" s="62" t="s">
        <v>61</v>
      </c>
      <c r="HN118" s="63">
        <f>+(HN$45+HN$39)/(HN$39+HN$45+HN$56)</f>
        <v>0.59792515028117121</v>
      </c>
      <c r="HO118" s="63">
        <f>+(HO$45+HO$39)/(HO$39+HO$45+HO$56)</f>
        <v>0.59457722950398351</v>
      </c>
      <c r="HP118" s="63">
        <f>+(HP$45+HP$39)/(HP$39+HP$45+HP$56)</f>
        <v>0.58903326238205678</v>
      </c>
      <c r="HQ118" s="63">
        <f>+(HQ$45+HQ$39)/(HQ$39+HQ$45+HQ$56)</f>
        <v>0.59667849080941626</v>
      </c>
      <c r="HR118" s="63">
        <f>+(HR$45+HR$39)/(HR$39+HR$45+HR$56)</f>
        <v>0.59667849080941626</v>
      </c>
      <c r="HT118" s="62" t="s">
        <v>61</v>
      </c>
      <c r="HU118" s="63">
        <f>+(HU$45+HU$39)/(HU$39+HU$45+HU$56)</f>
        <v>0.61103479122072779</v>
      </c>
      <c r="HV118" s="63">
        <f>+(HV$45+HV$39)/(HV$39+HV$45+HV$56)</f>
        <v>0.60761500174365157</v>
      </c>
      <c r="HW118" s="63">
        <f>+(HW$45+HW$39)/(HW$39+HW$45+HW$56)</f>
        <v>0.60031328320802002</v>
      </c>
      <c r="HX118" s="63">
        <f>+(HX$45+HX$39)/(HX$39+HX$45+HX$56)</f>
        <v>0.58917366465832111</v>
      </c>
      <c r="HY118" s="63">
        <f>+(HY$45+HY$39)/(HY$39+HY$45+HY$56)</f>
        <v>0.58917366465832111</v>
      </c>
      <c r="IA118" s="62" t="s">
        <v>61</v>
      </c>
      <c r="IB118" s="63">
        <f>+(IB$45+IB$39)/(IB$39+IB$45+IB$56)</f>
        <v>0.58260013408511313</v>
      </c>
      <c r="IC118" s="63">
        <f>+(IC$45+IC$39)/(IC$39+IC$45+IC$56)</f>
        <v>0.57364423662839126</v>
      </c>
      <c r="ID118" s="63">
        <f>+(ID$45+ID$39)/(ID$39+ID$45+ID$56)</f>
        <v>0.56454143528386669</v>
      </c>
      <c r="IE118" s="63">
        <f>+(IE$45+IE$39)/(IE$39+IE$45+IE$56)</f>
        <v>0.55631117385415385</v>
      </c>
      <c r="IF118" s="63">
        <f>+(IF$45+IF$39)/(IF$39+IF$45+IF$56)</f>
        <v>0.55631117385415385</v>
      </c>
      <c r="IH118" s="62" t="s">
        <v>61</v>
      </c>
      <c r="II118" s="63">
        <f>+(II$45+II$39)/(II$39+II$45+II$56)</f>
        <v>0.54880873194629742</v>
      </c>
      <c r="IJ118" s="63">
        <f>+(IJ$45+IJ$39)/(IJ$39+IJ$45+IJ$56)</f>
        <v>0.53925915308899841</v>
      </c>
      <c r="IK118" s="63">
        <f>+(IK$45+IK$39)/(IK$39+IK$45+IK$56)</f>
        <v>0.5295981287813486</v>
      </c>
      <c r="IL118" s="63">
        <f>+(IL$45+IL$39)/(IL$39+IL$45+IL$56)</f>
        <v>0.52105475686762881</v>
      </c>
      <c r="IM118" s="63">
        <f>+(IM$45+IM$39)/(IM$39+IM$45+IM$56)</f>
        <v>0.52105475686762881</v>
      </c>
      <c r="IO118" s="62" t="s">
        <v>61</v>
      </c>
      <c r="IP118" s="63">
        <f>+(IP$45+IP$39)/(IP$39+IP$45+IP$56)</f>
        <v>0.51370455159890605</v>
      </c>
      <c r="IQ118" s="63">
        <f>+(IQ$45+IQ$39)/(IQ$39+IQ$45+IQ$56)</f>
        <v>0.50470381007074305</v>
      </c>
      <c r="IR118" s="63">
        <f>+(IR$45+IR$39)/(IR$39+IR$45+IR$56)</f>
        <v>0.49572123250307115</v>
      </c>
      <c r="IS118" s="63">
        <f>+(IS$45+IS$39)/(IS$39+IS$45+IS$56)</f>
        <v>0.48768129859261505</v>
      </c>
      <c r="IT118" s="63">
        <f>+(IT$45+IT$39)/(IT$39+IT$45+IT$56)</f>
        <v>0.48768129859261505</v>
      </c>
    </row>
    <row r="119" spans="1:254" x14ac:dyDescent="0.4">
      <c r="B119" s="62" t="s">
        <v>62</v>
      </c>
      <c r="C119" s="63">
        <f>AY119</f>
        <v>0</v>
      </c>
      <c r="D119" s="63">
        <f>BF119</f>
        <v>0</v>
      </c>
      <c r="E119" s="63">
        <f>BM119</f>
        <v>0</v>
      </c>
      <c r="F119" s="63">
        <f>BT119</f>
        <v>0</v>
      </c>
      <c r="G119" s="63">
        <f>CA119</f>
        <v>0</v>
      </c>
      <c r="H119" s="63">
        <f>CH119</f>
        <v>0</v>
      </c>
      <c r="I119" s="63">
        <f>CO119</f>
        <v>0.38811413859686761</v>
      </c>
      <c r="J119" s="63">
        <f>CV119</f>
        <v>0.3392857142857143</v>
      </c>
      <c r="K119" s="63">
        <f>DC119</f>
        <v>0.41035131744040149</v>
      </c>
      <c r="L119" s="63">
        <f>DJ119</f>
        <v>0.4462497638390327</v>
      </c>
      <c r="M119" s="63">
        <f>DQ119</f>
        <v>0.41012568176428743</v>
      </c>
      <c r="N119" s="63">
        <f>DX119</f>
        <v>0.42144667127390001</v>
      </c>
      <c r="O119" s="63">
        <f>EE119</f>
        <v>0.44807724885651362</v>
      </c>
      <c r="P119" s="63">
        <f>EL119</f>
        <v>0.44924073484124455</v>
      </c>
      <c r="Q119" s="63">
        <f>ES119</f>
        <v>0.42255346727154891</v>
      </c>
      <c r="R119" s="63">
        <f>EZ119</f>
        <v>0.41978200592790899</v>
      </c>
      <c r="S119" s="63">
        <f>FG119</f>
        <v>0.4141522506816861</v>
      </c>
      <c r="T119" s="63">
        <f>FN119</f>
        <v>0.44690477226258318</v>
      </c>
      <c r="U119" s="63">
        <f>FU119</f>
        <v>0.42932529212212589</v>
      </c>
      <c r="V119" s="63">
        <f>GB119</f>
        <v>0.49917693967882359</v>
      </c>
      <c r="W119" s="63">
        <f>GI119</f>
        <v>0.50830931283584213</v>
      </c>
      <c r="X119" s="63">
        <f>GP119</f>
        <v>0.45527419084353515</v>
      </c>
      <c r="Y119" s="63">
        <f>GW119</f>
        <v>0.47043460791535524</v>
      </c>
      <c r="Z119" s="63">
        <f>HD119</f>
        <v>0.52382356796434659</v>
      </c>
      <c r="AA119" s="63">
        <f>HK119</f>
        <v>0.56022675142538825</v>
      </c>
      <c r="AB119" s="63">
        <f>HR119</f>
        <v>0.56426959045469205</v>
      </c>
      <c r="AC119" s="63">
        <f>HY119</f>
        <v>0.56810164517840978</v>
      </c>
      <c r="AD119" s="63">
        <f>IF119</f>
        <v>0.54034520221811566</v>
      </c>
      <c r="AE119" s="63">
        <f>IM119</f>
        <v>0.50512335019927934</v>
      </c>
      <c r="AF119" s="63">
        <f>IT119</f>
        <v>0.46911342832738523</v>
      </c>
      <c r="AG119" s="64"/>
      <c r="AH119" s="64"/>
      <c r="AI119" s="64"/>
      <c r="AJ119" s="64"/>
      <c r="AK119" s="64"/>
      <c r="AL119" s="64"/>
      <c r="AM119" s="64"/>
      <c r="AN119" s="64"/>
      <c r="AO119" s="64"/>
      <c r="AP119" s="64"/>
      <c r="AQ119" s="64"/>
      <c r="AR119" s="64"/>
      <c r="AT119" s="62" t="s">
        <v>62</v>
      </c>
      <c r="AU119" s="63"/>
      <c r="AV119" s="63"/>
      <c r="AW119" s="63"/>
      <c r="AX119" s="63"/>
      <c r="AY119" s="63"/>
      <c r="BA119" s="62" t="s">
        <v>62</v>
      </c>
      <c r="BB119" s="63"/>
      <c r="BC119" s="63"/>
      <c r="BD119" s="63"/>
      <c r="BE119" s="63"/>
      <c r="BF119" s="63"/>
      <c r="BH119" s="62" t="s">
        <v>62</v>
      </c>
      <c r="BI119" s="63"/>
      <c r="BJ119" s="63"/>
      <c r="BK119" s="63"/>
      <c r="BL119" s="63"/>
      <c r="BM119" s="63"/>
      <c r="BO119" s="62" t="s">
        <v>62</v>
      </c>
      <c r="BP119" s="63"/>
      <c r="BQ119" s="63"/>
      <c r="BR119" s="63"/>
      <c r="BS119" s="63"/>
      <c r="BT119" s="63"/>
      <c r="BV119" s="62" t="s">
        <v>62</v>
      </c>
      <c r="BW119" s="63"/>
      <c r="BX119" s="63"/>
      <c r="BY119" s="63"/>
      <c r="BZ119" s="63"/>
      <c r="CA119" s="63"/>
      <c r="CC119" s="62" t="s">
        <v>62</v>
      </c>
      <c r="CD119" s="63"/>
      <c r="CE119" s="63"/>
      <c r="CF119" s="63"/>
      <c r="CG119" s="63"/>
      <c r="CH119" s="63"/>
      <c r="CJ119" s="62" t="s">
        <v>62</v>
      </c>
      <c r="CK119" s="63">
        <f>+(CK$45+CK$39-CK9-CK10)/(CK$39+CK$45+CK$56)</f>
        <v>0.36260952902519167</v>
      </c>
      <c r="CL119" s="63">
        <f>+(CL$45+CL$39-CL9-CL10)/(CL$39+CL$45+CL$56)</f>
        <v>0.40369664075106354</v>
      </c>
      <c r="CM119" s="63">
        <f>+(CM$45+CM$39-CM9-CM10)/(CM$39+CM$45+CM$56)</f>
        <v>0.39333188058400526</v>
      </c>
      <c r="CN119" s="63">
        <f>+(CN$45+CN$39-CN9-CN10)/(CN$39+CN$45+CN$56)</f>
        <v>0.38811413859686761</v>
      </c>
      <c r="CO119" s="63">
        <f>+(CO$45+CO$39-CO9-CO10)/(CO$39+CO$45+CO$56)</f>
        <v>0.38811413859686761</v>
      </c>
      <c r="CQ119" s="62" t="s">
        <v>62</v>
      </c>
      <c r="CR119" s="63">
        <f>+(CR$45+CR$39-CR9-CR10)/(CR$39+CR$45+CR$56)</f>
        <v>0.36846543001686338</v>
      </c>
      <c r="CS119" s="63">
        <f>+(CS$45+CS$39-CS9-CS10)/(CS$39+CS$45+CS$56)</f>
        <v>0.36163630113441048</v>
      </c>
      <c r="CT119" s="63">
        <f>+(CT$45+CT$39-CT9-CT10)/(CT$39+CT$45+CT$56)</f>
        <v>0.36441893830703015</v>
      </c>
      <c r="CU119" s="63">
        <f>+(CU$45+CU$39-CU9-CU10)/(CU$39+CU$45+CU$56)</f>
        <v>0.3392857142857143</v>
      </c>
      <c r="CV119" s="63">
        <f>+(CV$45+CV$39-CV9-CV10)/(CV$39+CV$45+CV$56)</f>
        <v>0.3392857142857143</v>
      </c>
      <c r="CX119" s="62" t="s">
        <v>62</v>
      </c>
      <c r="CY119" s="63">
        <f>+(CY$45+CY$39-CY9-CY10)/(CY$39+CY$45+CY$56)</f>
        <v>0.3315383592607366</v>
      </c>
      <c r="CZ119" s="63">
        <f>+(CZ$45+CZ$39-CZ9-CZ10)/(CZ$39+CZ$45+CZ$56)</f>
        <v>0.33837056504599211</v>
      </c>
      <c r="DA119" s="63">
        <f>+(DA$45+DA$39-DA9-DA10)/(DA$39+DA$45+DA$56)</f>
        <v>0.36161938157475293</v>
      </c>
      <c r="DB119" s="63">
        <f>+(DB$45+DB$39-DB9-DB10)/(DB$39+DB$45+DB$56)</f>
        <v>0.41035131744040149</v>
      </c>
      <c r="DC119" s="63">
        <f>+(DC$45+DC$39-DC9-DC10)/(DC$39+DC$45+DC$56)</f>
        <v>0.41035131744040149</v>
      </c>
      <c r="DE119" s="62" t="s">
        <v>62</v>
      </c>
      <c r="DF119" s="63">
        <f>+(DF$45+DF$39-DF9-DF10)/(DF$39+DF$45+DF$56)</f>
        <v>0.38737090587193862</v>
      </c>
      <c r="DG119" s="63">
        <f>+(DG$45+DG$39-DG9-DG10)/(DG$39+DG$45+DG$56)</f>
        <v>0.38140762463343109</v>
      </c>
      <c r="DH119" s="63">
        <f>+(DH$45+DH$39-DH9-DH10)/(DH$39+DH$45+DH$56)</f>
        <v>0.42083864312154862</v>
      </c>
      <c r="DI119" s="63">
        <f>+(DI$45+DI$39-DI9-DI10)/(DI$39+DI$45+DI$56)</f>
        <v>0.4462497638390327</v>
      </c>
      <c r="DJ119" s="63">
        <f>+(DJ$45+DJ$39-DJ9-DJ10)/(DJ$39+DJ$45+DJ$56)</f>
        <v>0.4462497638390327</v>
      </c>
      <c r="DL119" s="62" t="s">
        <v>62</v>
      </c>
      <c r="DM119" s="63">
        <f>+(DM$45+DM$39-DM9-DM10)/(DM$39+DM$45+DM$56)</f>
        <v>0.43478260869565216</v>
      </c>
      <c r="DN119" s="63">
        <f>+(DN$45+DN$39-DN9-DN10)/(DN$39+DN$45+DN$56)</f>
        <v>0.42335547973903154</v>
      </c>
      <c r="DO119" s="63">
        <f>+(DO$45+DO$39-DO9-DO10)/(DO$39+DO$45+DO$56)</f>
        <v>0.40807758263851929</v>
      </c>
      <c r="DP119" s="63">
        <f>+(DP$45+DP$39-DP9-DP10)/(DP$39+DP$45+DP$56)</f>
        <v>0.41012568176428743</v>
      </c>
      <c r="DQ119" s="63">
        <f>+(DQ$45+DQ$39-DQ9-DQ10)/(DQ$39+DQ$45+DQ$56)</f>
        <v>0.41012568176428743</v>
      </c>
      <c r="DS119" s="62" t="s">
        <v>62</v>
      </c>
      <c r="DT119" s="63">
        <f>+(DT$45+DT$39-DT9-DT10)/(DT$39+DT$45+DT$56)</f>
        <v>0.4112243688514875</v>
      </c>
      <c r="DU119" s="63">
        <f>+(DU$45+DU$39-DU9-DU10)/(DU$39+DU$45+DU$56)</f>
        <v>0.43879837683968265</v>
      </c>
      <c r="DV119" s="63">
        <f>+(DV$45+DV$39-DV9-DV10)/(DV$39+DV$45+DV$56)</f>
        <v>0.43688029020556229</v>
      </c>
      <c r="DW119" s="63">
        <f>+(DW$45+DW$39-DW9-DW10)/(DW$39+DW$45+DW$56)</f>
        <v>0.42144667127390001</v>
      </c>
      <c r="DX119" s="63">
        <f>+(DX$45+DX$39-DX9-DX10)/(DX$39+DX$45+DX$56)</f>
        <v>0.42144667127390001</v>
      </c>
      <c r="DZ119" s="62" t="s">
        <v>62</v>
      </c>
      <c r="EA119" s="63">
        <f>+(EA$45+EA$39-EA9-EA10)/(EA$39+EA$45+EA$56)</f>
        <v>0.44685132575757575</v>
      </c>
      <c r="EB119" s="63">
        <f>+(EB$45+EB$39-EB9-EB10)/(EB$39+EB$45+EB$56)</f>
        <v>0.41910220759321265</v>
      </c>
      <c r="EC119" s="63">
        <f>+(EC$45+EC$39-EC9-EC10)/(EC$39+EC$45+EC$56)</f>
        <v>0.47352558799196315</v>
      </c>
      <c r="ED119" s="63">
        <f>+(ED$45+ED$39-ED9-ED10)/(ED$39+ED$45+ED$56)</f>
        <v>0.44807724885651362</v>
      </c>
      <c r="EE119" s="63">
        <f>+(EE$45+EE$39-EE9-EE10)/(EE$39+EE$45+EE$56)</f>
        <v>0.44807724885651362</v>
      </c>
      <c r="EG119" s="62" t="s">
        <v>62</v>
      </c>
      <c r="EH119" s="63">
        <f>+(EH$45+EH$39-EH9-EH10)/(EH$39+EH$45+EH$56)</f>
        <v>0.47416189233649103</v>
      </c>
      <c r="EI119" s="63">
        <f>+(EI$45+EI$39-EI9-EI10)/(EI$39+EI$45+EI$56)</f>
        <v>0.46741548042704628</v>
      </c>
      <c r="EJ119" s="63">
        <f>+(EJ$45+EJ$39-EJ9-EJ10)/(EJ$39+EJ$45+EJ$56)</f>
        <v>0.46064993920636677</v>
      </c>
      <c r="EK119" s="63">
        <f>+(EK$45+EK$39-EK9-EK10)/(EK$39+EK$45+EK$56)</f>
        <v>0.44924073484124455</v>
      </c>
      <c r="EL119" s="63">
        <f>+(EL$45+EL$39-EL9-EL10)/(EL$39+EL$45+EL$56)</f>
        <v>0.44924073484124455</v>
      </c>
      <c r="EN119" s="62" t="s">
        <v>62</v>
      </c>
      <c r="EO119" s="63">
        <f>+(EO$45+EO$39-EO9-EO10)/(EO$39+EO$45+EO$56)</f>
        <v>0.444740488116807</v>
      </c>
      <c r="EP119" s="63">
        <f>+(EP$45+EP$39-EP9-EP10)/(EP$39+EP$45+EP$56)</f>
        <v>0.43903976466880285</v>
      </c>
      <c r="EQ119" s="63">
        <f>+(EQ$45+EQ$39-EQ9-EQ10)/(EQ$39+EQ$45+EQ$56)</f>
        <v>0.44040382684074209</v>
      </c>
      <c r="ER119" s="63">
        <f>+(ER$45+ER$39-ER9-ER10)/(ER$39+ER$45+ER$56)</f>
        <v>0.42255346727154891</v>
      </c>
      <c r="ES119" s="63">
        <f>+(ES$45+ES$39-ES9-ES10)/(ES$39+ES$45+ES$56)</f>
        <v>0.42255346727154891</v>
      </c>
      <c r="EU119" s="62" t="s">
        <v>62</v>
      </c>
      <c r="EV119" s="63">
        <f>+(EV$45+EV$39-EV9-EV10)/(EV$39+EV$45+EV$56)</f>
        <v>0.43134410484718122</v>
      </c>
      <c r="EW119" s="63">
        <f>+(EW$45+EW$39-EW9-EW10)/(EW$39+EW$45+EW$56)</f>
        <v>0.42151090882105574</v>
      </c>
      <c r="EX119" s="63">
        <f>+(EX$45+EX$39-EX9-EX10)/(EX$39+EX$45+EX$56)</f>
        <v>0.41249578496073991</v>
      </c>
      <c r="EY119" s="63">
        <f>+(EY$45+EY$39-EY9-EY10)/(EY$39+EY$45+EY$56)</f>
        <v>0.41978200592790899</v>
      </c>
      <c r="EZ119" s="63">
        <f>+(EZ$45+EZ$39-EZ9-EZ10)/(EZ$39+EZ$45+EZ$56)</f>
        <v>0.41978200592790899</v>
      </c>
      <c r="FB119" s="62" t="s">
        <v>62</v>
      </c>
      <c r="FC119" s="63">
        <f>+(FC$45+FC$39-FC9-FC10)/(FC$39+FC$45+FC$56)</f>
        <v>0.42331230134256842</v>
      </c>
      <c r="FD119" s="63">
        <f>+(FD$45+FD$39-FD9-FD10)/(FD$39+FD$45+FD$56)</f>
        <v>0.41503087273062389</v>
      </c>
      <c r="FE119" s="63">
        <f>+(FE$45+FE$39-FE9-FE10)/(FE$39+FE$45+FE$56)</f>
        <v>0.41992097767159792</v>
      </c>
      <c r="FF119" s="63">
        <f>+(FF$45+FF$39-FF9-FF10)/(FF$39+FF$45+FF$56)</f>
        <v>0.4141522506816861</v>
      </c>
      <c r="FG119" s="63">
        <f>+(FG$45+FG$39-FG9-FG10)/(FG$39+FG$45+FG$56)</f>
        <v>0.4141522506816861</v>
      </c>
      <c r="FI119" s="62" t="s">
        <v>62</v>
      </c>
      <c r="FJ119" s="63">
        <f>+(FJ$45+FJ$39-FJ9-FJ10)/(FJ$39+FJ$45+FJ$56)</f>
        <v>0.42588745370788544</v>
      </c>
      <c r="FK119" s="63">
        <f>+(FK$45+FK$39-FK9-FK10)/(FK$39+FK$45+FK$56)</f>
        <v>0.43809222994314595</v>
      </c>
      <c r="FL119" s="63">
        <f>+(FL$45+FL$39-FL9-FL10)/(FL$39+FL$45+FL$56)</f>
        <v>0.44003785659561045</v>
      </c>
      <c r="FM119" s="63">
        <f>+(FM$45+FM$39-FM9-FM10)/(FM$39+FM$45+FM$56)</f>
        <v>0.44690477226258318</v>
      </c>
      <c r="FN119" s="63">
        <f>+(FN$45+FN$39-FN9-FN10)/(FN$39+FN$45+FN$56)</f>
        <v>0.44690477226258318</v>
      </c>
      <c r="FP119" s="62" t="s">
        <v>62</v>
      </c>
      <c r="FQ119" s="63">
        <f>+(FQ$45+FQ$39-FQ9-FQ10)/(FQ$39+FQ$45+FQ$56)</f>
        <v>0.43883638897356619</v>
      </c>
      <c r="FR119" s="63">
        <f>+(FR$45+FR$39-FR9-FR10)/(FR$39+FR$45+FR$56)</f>
        <v>0.4579527021258431</v>
      </c>
      <c r="FS119" s="63">
        <f>+(FS$45+FS$39-FS9-FS10)/(FS$39+FS$45+FS$56)</f>
        <v>0.48892509577700471</v>
      </c>
      <c r="FT119" s="63">
        <f>+(FT$45+FT$39-FT9-FT10)/(FT$39+FT$45+FT$56)</f>
        <v>0.42932529212212589</v>
      </c>
      <c r="FU119" s="63">
        <f>+(FU$45+FU$39-FU9-FU10)/(FU$39+FU$45+FU$56)</f>
        <v>0.42932529212212589</v>
      </c>
      <c r="FW119" s="62" t="s">
        <v>62</v>
      </c>
      <c r="FX119" s="63">
        <f>+(FX$45+FX$39-FX9-FX10)/(FX$39+FX$45+FX$56)</f>
        <v>0.41865994747675489</v>
      </c>
      <c r="FY119" s="63">
        <f>+(FY$45+FY$39-FY9-FY10)/(FY$39+FY$45+FY$56)</f>
        <v>0.44532738844342168</v>
      </c>
      <c r="FZ119" s="63">
        <f>+(FZ$45+FZ$39-FZ9-FZ10)/(FZ$39+FZ$45+FZ$56)</f>
        <v>0.45421165521503615</v>
      </c>
      <c r="GA119" s="63">
        <f>+(GA$45+GA$39-GA9-GA10)/(GA$39+GA$45+GA$56)</f>
        <v>0.49917693967882359</v>
      </c>
      <c r="GB119" s="63">
        <f>+(GB$45+GB$39-GB9-GB10)/(GB$39+GB$45+GB$56)</f>
        <v>0.49917693967882359</v>
      </c>
      <c r="GD119" s="62" t="s">
        <v>62</v>
      </c>
      <c r="GE119" s="63">
        <f>+(GE$45+GE$39-GE9-GE10)/(GE$39+GE$45+GE$56)</f>
        <v>0.48761121548332209</v>
      </c>
      <c r="GF119" s="63">
        <f>+(GF$45+GF$39-GF9-GF10)/(GF$39+GF$45+GF$56)</f>
        <v>0.50026731297002536</v>
      </c>
      <c r="GG119" s="63">
        <f>+(GG$45+GG$39-GG9-GG10)/(GG$39+GG$45+GG$56)</f>
        <v>0.49549203242941015</v>
      </c>
      <c r="GH119" s="63">
        <f>+(GH$45+GH$39-GH9-GH10)/(GH$39+GH$45+GH$56)</f>
        <v>0.50830931283584213</v>
      </c>
      <c r="GI119" s="63">
        <f>+(GI$45+GI$39-GI9-GI10)/(GI$39+GI$45+GI$56)</f>
        <v>0.50830931283584213</v>
      </c>
      <c r="GK119" s="62" t="s">
        <v>62</v>
      </c>
      <c r="GL119" s="63">
        <f>+(GL$45+GL$39-GL9-GL10)/(GL$39+GL$45+GL$56)</f>
        <v>0.49790356394129981</v>
      </c>
      <c r="GM119" s="63">
        <f>+(GM$45+GM$39-GM9-GM10)/(GM$39+GM$45+GM$56)</f>
        <v>0.48526282744427779</v>
      </c>
      <c r="GN119" s="63">
        <f>+(GN$45+GN$39-GN9-GN10)/(GN$39+GN$45+GN$56)</f>
        <v>0.46521099284712003</v>
      </c>
      <c r="GO119" s="63">
        <f>+(GO$45+GO$39-GO9-GO10)/(GO$39+GO$45+GO$56)</f>
        <v>0.45527419084353515</v>
      </c>
      <c r="GP119" s="63">
        <f>+(GP$45+GP$39-GP9-GP10)/(GP$39+GP$45+GP$56)</f>
        <v>0.45527419084353515</v>
      </c>
      <c r="GR119" s="62" t="s">
        <v>62</v>
      </c>
      <c r="GS119" s="63">
        <f>+(GS$45+GS$39-GS9-GS10)/(GS$39+GS$45+GS$56)</f>
        <v>0.45379062595316366</v>
      </c>
      <c r="GT119" s="63">
        <f>+(GT$45+GT$39-GT9-GT10)/(GT$39+GT$45+GT$56)</f>
        <v>0.44858150075541381</v>
      </c>
      <c r="GU119" s="63">
        <f>+(GU$45+GU$39-GU9-GU10)/(GU$39+GU$45+GU$56)</f>
        <v>0.48077118214104514</v>
      </c>
      <c r="GV119" s="63">
        <f>+(GV$45+GV$39-GV9-GV10)/(GV$39+GV$45+GV$56)</f>
        <v>0.47043460791535524</v>
      </c>
      <c r="GW119" s="63">
        <f>+(GW$45+GW$39-GW9-GW10)/(GW$39+GW$45+GW$56)</f>
        <v>0.47043460791535524</v>
      </c>
      <c r="GY119" s="62" t="s">
        <v>62</v>
      </c>
      <c r="GZ119" s="63">
        <f>+(GZ$45+GZ$39-GZ9-GZ10)/(GZ$39+GZ$45+GZ$56)</f>
        <v>0.48437235447495852</v>
      </c>
      <c r="HA119" s="63">
        <f>+(HA$45+HA$39-HA9-HA10)/(HA$39+HA$45+HA$56)</f>
        <v>0.52461585635923813</v>
      </c>
      <c r="HB119" s="63">
        <f>+(HB$45+HB$39-HB9-HB10)/(HB$39+HB$45+HB$56)</f>
        <v>0.50596450392784409</v>
      </c>
      <c r="HC119" s="63">
        <f>+(HC$45+HC$39-HC9-HC10)/(HC$39+HC$45+HC$56)</f>
        <v>0.52382356796434659</v>
      </c>
      <c r="HD119" s="63">
        <f>+(HD$45+HD$39-HD9-HD10)/(HD$39+HD$45+HD$56)</f>
        <v>0.52382356796434659</v>
      </c>
      <c r="HF119" s="62" t="s">
        <v>62</v>
      </c>
      <c r="HG119" s="63">
        <f>+(HG$45+HG$39-HG9-HG10)/(HG$39+HG$45+HG$56)</f>
        <v>0.54702929148518797</v>
      </c>
      <c r="HH119" s="63">
        <f>+(HH$45+HH$39-HH9-HH10)/(HH$39+HH$45+HH$56)</f>
        <v>0.56280434927623235</v>
      </c>
      <c r="HI119" s="63">
        <f>+(HI$45+HI$39-HI9-HI10)/(HI$39+HI$45+HI$56)</f>
        <v>0.56333973128598847</v>
      </c>
      <c r="HJ119" s="63">
        <f>+(HJ$45+HJ$39-HJ9-HJ10)/(HJ$39+HJ$45+HJ$56)</f>
        <v>0.56022675142538825</v>
      </c>
      <c r="HK119" s="63">
        <f>+(HK$45+HK$39-HK9-HK10)/(HK$39+HK$45+HK$56)</f>
        <v>0.56022675142538825</v>
      </c>
      <c r="HM119" s="62" t="s">
        <v>62</v>
      </c>
      <c r="HN119" s="63">
        <f>+(HN$45+HN$39-HN9-HN10)/(HN$39+HN$45+HN$56)</f>
        <v>0.54993213108396355</v>
      </c>
      <c r="HO119" s="63">
        <f>+(HO$45+HO$39-HO9-HO10)/(HO$39+HO$45+HO$56)</f>
        <v>0.55467746080699054</v>
      </c>
      <c r="HP119" s="63">
        <f>+(HP$45+HP$39-HP9-HP10)/(HP$39+HP$45+HP$56)</f>
        <v>0.53642342027512147</v>
      </c>
      <c r="HQ119" s="63">
        <f>+(HQ$45+HQ$39-HQ9-HQ10)/(HQ$39+HQ$45+HQ$56)</f>
        <v>0.56426959045469205</v>
      </c>
      <c r="HR119" s="63">
        <f>+(HR$45+HR$39-HR9-HR10)/(HR$39+HR$45+HR$56)</f>
        <v>0.56426959045469205</v>
      </c>
      <c r="HT119" s="62" t="s">
        <v>62</v>
      </c>
      <c r="HU119" s="63">
        <f>+(HU$45+HU$39-HU9-HU10)/(HU$39+HU$45+HU$56)</f>
        <v>0.57439059454969488</v>
      </c>
      <c r="HV119" s="63">
        <f>+(HV$45+HV$39-HV9-HV10)/(HV$39+HV$45+HV$56)</f>
        <v>0.59515581904067461</v>
      </c>
      <c r="HW119" s="63">
        <f>+(HW$45+HW$39-HW9-HW10)/(HW$39+HW$45+HW$56)</f>
        <v>0.580952380952381</v>
      </c>
      <c r="HX119" s="63">
        <f>+(HX$45+HX$39-HX9-HX10)/(HX$39+HX$45+HX$56)</f>
        <v>0.56810164517840978</v>
      </c>
      <c r="HY119" s="63">
        <f>+(HY$45+HY$39-HY9-HY10)/(HY$39+HY$45+HY$56)</f>
        <v>0.56810164517840978</v>
      </c>
      <c r="IA119" s="62" t="s">
        <v>62</v>
      </c>
      <c r="IB119" s="63">
        <f>+(IB$45+IB$39-IB9-IB10)/(IB$39+IB$45+IB$56)</f>
        <v>0.56657019790729513</v>
      </c>
      <c r="IC119" s="63">
        <f>+(IC$45+IC$39-IC9-IC10)/(IC$39+IC$45+IC$56)</f>
        <v>0.55812052648551758</v>
      </c>
      <c r="ID119" s="63">
        <f>+(ID$45+ID$39-ID9-ID10)/(ID$39+ID$45+ID$56)</f>
        <v>0.54706380419874301</v>
      </c>
      <c r="IE119" s="63">
        <f>+(IE$45+IE$39-IE9-IE10)/(IE$39+IE$45+IE$56)</f>
        <v>0.54034520221811566</v>
      </c>
      <c r="IF119" s="63">
        <f>+(IF$45+IF$39-IF9-IF10)/(IF$39+IF$45+IF$56)</f>
        <v>0.54034520221811566</v>
      </c>
      <c r="IH119" s="62" t="s">
        <v>62</v>
      </c>
      <c r="II119" s="63">
        <f>+(II$45+II$39-II9-II10)/(II$39+II$45+II$56)</f>
        <v>0.53362543530284479</v>
      </c>
      <c r="IJ119" s="63">
        <f>+(IJ$45+IJ$39-IJ9-IJ10)/(IJ$39+IJ$45+IJ$56)</f>
        <v>0.52397879854680662</v>
      </c>
      <c r="IK119" s="63">
        <f>+(IK$45+IK$39-IK9-IK10)/(IK$39+IK$45+IK$56)</f>
        <v>0.51331946272195583</v>
      </c>
      <c r="IL119" s="63">
        <f>+(IL$45+IL$39-IL9-IL10)/(IL$39+IL$45+IL$56)</f>
        <v>0.50512335019927934</v>
      </c>
      <c r="IM119" s="63">
        <f>+(IM$45+IM$39-IM9-IM10)/(IM$39+IM$45+IM$56)</f>
        <v>0.50512335019927934</v>
      </c>
      <c r="IO119" s="62" t="s">
        <v>62</v>
      </c>
      <c r="IP119" s="63">
        <f>+(IP$45+IP$39-IP9-IP10)/(IP$39+IP$45+IP$56)</f>
        <v>0.50002263798768254</v>
      </c>
      <c r="IQ119" s="63">
        <f>+(IQ$45+IQ$39-IQ9-IQ10)/(IQ$39+IQ$45+IQ$56)</f>
        <v>0.48942255546030616</v>
      </c>
      <c r="IR119" s="63">
        <f>+(IR$45+IR$39-IR9-IR10)/(IR$39+IR$45+IR$56)</f>
        <v>0.47815583735380229</v>
      </c>
      <c r="IS119" s="63">
        <f>+(IS$45+IS$39-IS9-IS10)/(IS$39+IS$45+IS$56)</f>
        <v>0.46911342832738523</v>
      </c>
      <c r="IT119" s="63">
        <f>+(IT$45+IT$39-IT9-IT10)/(IT$39+IT$45+IT$56)</f>
        <v>0.46911342832738523</v>
      </c>
    </row>
    <row r="120" spans="1:254" x14ac:dyDescent="0.4">
      <c r="B120" s="62" t="s">
        <v>63</v>
      </c>
      <c r="C120" s="63">
        <f>AY120</f>
        <v>0</v>
      </c>
      <c r="D120" s="63">
        <f>BF120</f>
        <v>0</v>
      </c>
      <c r="E120" s="63">
        <f>BM120</f>
        <v>0</v>
      </c>
      <c r="F120" s="63">
        <f>BT120</f>
        <v>0</v>
      </c>
      <c r="G120" s="63">
        <f>CA120</f>
        <v>0</v>
      </c>
      <c r="H120" s="63">
        <f>CH120</f>
        <v>0</v>
      </c>
      <c r="I120" s="63">
        <f>CO120</f>
        <v>0.57002765903947694</v>
      </c>
      <c r="J120" s="63">
        <f>CV120</f>
        <v>0.48546186535450681</v>
      </c>
      <c r="K120" s="63">
        <f>DC120</f>
        <v>0.66033390903857225</v>
      </c>
      <c r="L120" s="63">
        <f>DJ120</f>
        <v>0.82604373757455274</v>
      </c>
      <c r="M120" s="63">
        <f>DQ120</f>
        <v>0.78465011286681718</v>
      </c>
      <c r="N120" s="63">
        <f>DX120</f>
        <v>0.87551724137931031</v>
      </c>
      <c r="O120" s="63">
        <f>EE120</f>
        <v>0.89619744922059519</v>
      </c>
      <c r="P120" s="63">
        <f>EL120</f>
        <v>0.920128860253277</v>
      </c>
      <c r="Q120" s="63">
        <f>ES120</f>
        <v>0.76313785224676312</v>
      </c>
      <c r="R120" s="63">
        <f>EZ120</f>
        <v>0.74454187544738726</v>
      </c>
      <c r="S120" s="63">
        <f>FG120</f>
        <v>0.76371271854645184</v>
      </c>
      <c r="T120" s="63">
        <f>FN120</f>
        <v>0.84983752351633313</v>
      </c>
      <c r="U120" s="63">
        <f>FU120</f>
        <v>0.73507234562869372</v>
      </c>
      <c r="V120" s="63">
        <f>GB120</f>
        <v>1.0726550079491255</v>
      </c>
      <c r="W120" s="63">
        <f>GI120</f>
        <v>1.2017196324707073</v>
      </c>
      <c r="X120" s="63">
        <f>GP120</f>
        <v>1.2045003813882533</v>
      </c>
      <c r="Y120" s="63">
        <f>GW120</f>
        <v>1.1215555555555556</v>
      </c>
      <c r="Z120" s="63">
        <f>HD120</f>
        <v>1.3317026225038096</v>
      </c>
      <c r="AA120" s="63">
        <f>HK120</f>
        <v>1.4231956612432206</v>
      </c>
      <c r="AB120" s="63">
        <f>HR120</f>
        <v>1.3676341248900616</v>
      </c>
      <c r="AC120" s="63">
        <f>HY120</f>
        <v>1.3293167933130701</v>
      </c>
      <c r="AD120" s="63">
        <f>IF120</f>
        <v>1.1551650627394603</v>
      </c>
      <c r="AE120" s="63">
        <f>IM120</f>
        <v>0.98664985871715249</v>
      </c>
      <c r="AF120" s="63">
        <f>IT120</f>
        <v>0.84470913065918618</v>
      </c>
      <c r="AG120" s="64"/>
      <c r="AH120" s="64"/>
      <c r="AI120" s="64"/>
      <c r="AJ120" s="64"/>
      <c r="AK120" s="64"/>
      <c r="AL120" s="64"/>
      <c r="AM120" s="64"/>
      <c r="AN120" s="64"/>
      <c r="AO120" s="64"/>
      <c r="AP120" s="64"/>
      <c r="AQ120" s="64"/>
      <c r="AR120" s="64"/>
      <c r="AT120" s="62" t="s">
        <v>63</v>
      </c>
      <c r="AU120" s="63"/>
      <c r="AV120" s="63"/>
      <c r="AW120" s="63"/>
      <c r="AX120" s="63"/>
      <c r="AY120" s="63"/>
      <c r="BA120" s="62" t="s">
        <v>63</v>
      </c>
      <c r="BB120" s="63"/>
      <c r="BC120" s="63"/>
      <c r="BD120" s="63"/>
      <c r="BE120" s="63"/>
      <c r="BF120" s="63"/>
      <c r="BH120" s="62" t="s">
        <v>63</v>
      </c>
      <c r="BI120" s="63"/>
      <c r="BJ120" s="63"/>
      <c r="BK120" s="63"/>
      <c r="BL120" s="63"/>
      <c r="BM120" s="63"/>
      <c r="BO120" s="62" t="s">
        <v>63</v>
      </c>
      <c r="BP120" s="63"/>
      <c r="BQ120" s="63"/>
      <c r="BR120" s="63"/>
      <c r="BS120" s="63"/>
      <c r="BT120" s="63"/>
      <c r="BV120" s="62" t="s">
        <v>63</v>
      </c>
      <c r="BW120" s="63"/>
      <c r="BX120" s="63"/>
      <c r="BY120" s="63"/>
      <c r="BZ120" s="63"/>
      <c r="CA120" s="63"/>
      <c r="CC120" s="62" t="s">
        <v>63</v>
      </c>
      <c r="CD120" s="63"/>
      <c r="CE120" s="63"/>
      <c r="CF120" s="63"/>
      <c r="CG120" s="63"/>
      <c r="CH120" s="63"/>
      <c r="CJ120" s="62" t="s">
        <v>63</v>
      </c>
      <c r="CK120" s="63">
        <f>+(CK$45+CK$39-CK10-CK12)/(CK$56)</f>
        <v>0.64690170940170943</v>
      </c>
      <c r="CL120" s="63">
        <f>+(CL$45+CL$39-CL10-CL12)/(CL$56)</f>
        <v>0.61467769463043198</v>
      </c>
      <c r="CM120" s="63">
        <f>+(CM$45+CM$39-CM10-CM12)/(CM$56)</f>
        <v>0.56931203298119037</v>
      </c>
      <c r="CN120" s="63">
        <f>+(CN$45+CN$39-CN10-CN12)/(CN$56)</f>
        <v>0.57002765903947694</v>
      </c>
      <c r="CO120" s="63">
        <f>+(CO$45+CO$39-CO10-CO12)/(CO$56)</f>
        <v>0.57002765903947694</v>
      </c>
      <c r="CQ120" s="62" t="s">
        <v>63</v>
      </c>
      <c r="CR120" s="63">
        <f>+(CR$45+CR$39-CR10-CR12)/(CR$56)</f>
        <v>0.53389728096676736</v>
      </c>
      <c r="CS120" s="63">
        <f>+(CS$45+CS$39-CS10-CS12)/(CS$56)</f>
        <v>0.50865976984772754</v>
      </c>
      <c r="CT120" s="63">
        <f>+(CT$45+CT$39-CT10-CT12)/(CT$56)</f>
        <v>0.51452042115006369</v>
      </c>
      <c r="CU120" s="63">
        <f>+(CU$45+CU$39-CU10-CU12)/(CU$56)</f>
        <v>0.48546186535450681</v>
      </c>
      <c r="CV120" s="63">
        <f>+(CV$45+CV$39-CV10-CV12)/(CV$56)</f>
        <v>0.48546186535450681</v>
      </c>
      <c r="CX120" s="62" t="s">
        <v>63</v>
      </c>
      <c r="CY120" s="63">
        <f>+(CY$45+CY$39-CY10-CY12)/(CY$56)</f>
        <v>0.48113621408203555</v>
      </c>
      <c r="CZ120" s="63">
        <f>+(CZ$45+CZ$39-CZ10-CZ12)/(CZ$56)</f>
        <v>0.47694805194805195</v>
      </c>
      <c r="DA120" s="63">
        <f>+(DA$45+DA$39-DA10-DA12)/(DA$56)</f>
        <v>0.58778625954198471</v>
      </c>
      <c r="DB120" s="63">
        <f>+(DB$45+DB$39-DB10-DB12)/(DB$56)</f>
        <v>0.66033390903857225</v>
      </c>
      <c r="DC120" s="63">
        <f>+(DC$45+DC$39-DC10-DC12)/(DC$56)</f>
        <v>0.66033390903857225</v>
      </c>
      <c r="DE120" s="62" t="s">
        <v>63</v>
      </c>
      <c r="DF120" s="63">
        <f>+(DF$45+DF$39-DF10-DF12)/(DF$56)</f>
        <v>0.79661404712880346</v>
      </c>
      <c r="DG120" s="63">
        <f>+(DG$45+DG$39-DG10-DG12)/(DG$56)</f>
        <v>0.73658106469745399</v>
      </c>
      <c r="DH120" s="63">
        <f>+(DH$45+DH$39-DH10-DH12)/(DH$56)</f>
        <v>0.76764259885687625</v>
      </c>
      <c r="DI120" s="63">
        <f>+(DI$45+DI$39-DI10-DI12)/(DI$56)</f>
        <v>0.82604373757455274</v>
      </c>
      <c r="DJ120" s="63">
        <f>+(DJ$45+DJ$39-DJ10-DJ12)/(DJ$56)</f>
        <v>0.82604373757455274</v>
      </c>
      <c r="DL120" s="62" t="s">
        <v>63</v>
      </c>
      <c r="DM120" s="63">
        <f>+(DM$45+DM$39-DM10-DM12)/(DM$56)</f>
        <v>0.88702010968921385</v>
      </c>
      <c r="DN120" s="63">
        <f>+(DN$45+DN$39-DN10-DN12)/(DN$56)</f>
        <v>0.86281929990539263</v>
      </c>
      <c r="DO120" s="63">
        <f>+(DO$45+DO$39-DO10-DO12)/(DO$56)</f>
        <v>0.83013004948785818</v>
      </c>
      <c r="DP120" s="63">
        <f>+(DP$45+DP$39-DP10-DP12)/(DP$56)</f>
        <v>0.78465011286681718</v>
      </c>
      <c r="DQ120" s="63">
        <f>+(DQ$45+DQ$39-DQ10-DQ12)/(DQ$56)</f>
        <v>0.78465011286681718</v>
      </c>
      <c r="DS120" s="62" t="s">
        <v>63</v>
      </c>
      <c r="DT120" s="63">
        <f>+(DT$45+DT$39-DT10-DT12)/(DT$56)</f>
        <v>0.78345526167698365</v>
      </c>
      <c r="DU120" s="63">
        <f>+(DU$45+DU$39-DU10-DU12)/(DU$56)</f>
        <v>0.80914072519528968</v>
      </c>
      <c r="DV120" s="63">
        <f>+(DV$45+DV$39-DV10-DV12)/(DV$56)</f>
        <v>0.79428108358416305</v>
      </c>
      <c r="DW120" s="63">
        <f>+(DW$45+DW$39-DW10-DW12)/(DW$56)</f>
        <v>0.87551724137931031</v>
      </c>
      <c r="DX120" s="63">
        <f>+(DX$45+DX$39-DX10-DX12)/(DX$56)</f>
        <v>0.87551724137931031</v>
      </c>
      <c r="DZ120" s="62" t="s">
        <v>63</v>
      </c>
      <c r="EA120" s="63">
        <f>+(EA$45+EA$39-EA10-EA12)/(EA$56)</f>
        <v>0.80127912288716308</v>
      </c>
      <c r="EB120" s="63">
        <f>+(EB$45+EB$39-EB10-EB12)/(EB$56)</f>
        <v>0.84162845319315516</v>
      </c>
      <c r="EC120" s="63">
        <f>+(EC$45+EC$39-EC10-EC12)/(EC$56)</f>
        <v>0.90045960328979202</v>
      </c>
      <c r="ED120" s="63">
        <f>+(ED$45+ED$39-ED10-ED12)/(ED$56)</f>
        <v>0.89619744922059519</v>
      </c>
      <c r="EE120" s="63">
        <f>+(EE$45+EE$39-EE10-EE12)/(EE$56)</f>
        <v>0.89619744922059519</v>
      </c>
      <c r="EG120" s="62" t="s">
        <v>63</v>
      </c>
      <c r="EH120" s="63">
        <f>+(EH$45+EH$39-EH10-EH12)/(EH$56)</f>
        <v>0.92015522107243652</v>
      </c>
      <c r="EI120" s="63">
        <f>+(EI$45+EI$39-EI10-EI12)/(EI$56)</f>
        <v>0.88948847667228781</v>
      </c>
      <c r="EJ120" s="63">
        <f>+(EJ$45+EJ$39-EJ10-EJ12)/(EJ$56)</f>
        <v>0.87088915956151036</v>
      </c>
      <c r="EK120" s="63">
        <f>+(EK$45+EK$39-EK10-EK12)/(EK$56)</f>
        <v>0.920128860253277</v>
      </c>
      <c r="EL120" s="63">
        <f>+(EL$45+EL$39-EL10-EL12)/(EL$56)</f>
        <v>0.920128860253277</v>
      </c>
      <c r="EN120" s="62" t="s">
        <v>63</v>
      </c>
      <c r="EO120" s="63">
        <f>+(EO$45+EO$39-EO10-EO12)/(EO$56)</f>
        <v>0.86382113821138207</v>
      </c>
      <c r="EP120" s="63">
        <f>+(EP$45+EP$39-EP10-EP12)/(EP$56)</f>
        <v>0.8306768784930656</v>
      </c>
      <c r="EQ120" s="63">
        <f>+(EQ$45+EQ$39-EQ10-EQ12)/(EQ$56)</f>
        <v>0.80482367247669229</v>
      </c>
      <c r="ER120" s="63">
        <f>+(ER$45+ER$39-ER10-ER12)/(ER$56)</f>
        <v>0.76313785224676312</v>
      </c>
      <c r="ES120" s="63">
        <f>+(ES$45+ES$39-ES10-ES12)/(ES$56)</f>
        <v>0.76313785224676312</v>
      </c>
      <c r="EU120" s="62" t="s">
        <v>63</v>
      </c>
      <c r="EV120" s="63">
        <f>+(EV$45+EV$39-EV10-EV12)/(EV$56)</f>
        <v>0.75387505871301075</v>
      </c>
      <c r="EW120" s="63">
        <f>+(EW$45+EW$39-EW10-EW12)/(EW$56)</f>
        <v>0.73651870873074099</v>
      </c>
      <c r="EX120" s="63">
        <f>+(EX$45+EX$39-EX10-EX12)/(EX$56)</f>
        <v>0.71073415903787474</v>
      </c>
      <c r="EY120" s="63">
        <f>+(EY$45+EY$39-EY10-EY12)/(EY$56)</f>
        <v>0.74454187544738726</v>
      </c>
      <c r="EZ120" s="63">
        <f>+(EZ$45+EZ$39-EZ10-EZ12)/(EZ$56)</f>
        <v>0.74454187544738726</v>
      </c>
      <c r="FB120" s="62" t="s">
        <v>63</v>
      </c>
      <c r="FC120" s="63">
        <f>+(FC$45+FC$39-FC10-FC12)/(FC$56)</f>
        <v>0.73919562533074612</v>
      </c>
      <c r="FD120" s="63">
        <f>+(FD$45+FD$39-FD10-FD12)/(FD$56)</f>
        <v>0.72756327200483717</v>
      </c>
      <c r="FE120" s="63">
        <f>+(FE$45+FE$39-FE10-FE12)/(FE$56)</f>
        <v>0.74425385934819899</v>
      </c>
      <c r="FF120" s="63">
        <f>+(FF$45+FF$39-FF10-FF12)/(FF$56)</f>
        <v>0.76371271854645184</v>
      </c>
      <c r="FG120" s="63">
        <f>+(FG$45+FG$39-FG10-FG12)/(FG$56)</f>
        <v>0.76371271854645184</v>
      </c>
      <c r="FI120" s="62" t="s">
        <v>63</v>
      </c>
      <c r="FJ120" s="63">
        <f>+(FJ$45+FJ$39-FJ10-FJ12)/(FJ$56)</f>
        <v>0.79648457694296049</v>
      </c>
      <c r="FK120" s="63">
        <f>+(FK$45+FK$39-FK10-FK12)/(FK$56)</f>
        <v>0.80541935483870963</v>
      </c>
      <c r="FL120" s="63">
        <f>+(FL$45+FL$39-FL10-FL12)/(FL$56)</f>
        <v>0.80908311910882602</v>
      </c>
      <c r="FM120" s="63">
        <f>+(FM$45+FM$39-FM10-FM12)/(FM$56)</f>
        <v>0.84983752351633313</v>
      </c>
      <c r="FN120" s="63">
        <f>+(FN$45+FN$39-FN10-FN12)/(FN$56)</f>
        <v>0.84983752351633313</v>
      </c>
      <c r="FP120" s="62" t="s">
        <v>63</v>
      </c>
      <c r="FQ120" s="63">
        <f>+(FQ$45+FQ$39-FQ10-FQ12)/(FQ$56)</f>
        <v>0.86245608021252895</v>
      </c>
      <c r="FR120" s="63">
        <f>+(FR$45+FR$39-FR10-FR12)/(FR$56)</f>
        <v>0.89069907766571843</v>
      </c>
      <c r="FS120" s="63">
        <f>+(FS$45+FS$39-FS10-FS12)/(FS$56)</f>
        <v>0.98266373142542651</v>
      </c>
      <c r="FT120" s="63">
        <f>+(FT$45+FT$39-FT10-FT12)/(FT$56)</f>
        <v>0.73507234562869372</v>
      </c>
      <c r="FU120" s="63">
        <f>+(FU$45+FU$39-FU10-FU12)/(FU$56)</f>
        <v>0.73507234562869372</v>
      </c>
      <c r="FW120" s="62" t="s">
        <v>63</v>
      </c>
      <c r="FX120" s="63">
        <f>+(FX$45+FX$39-FX10-FX12)/(FX$56)</f>
        <v>0.88471961642693353</v>
      </c>
      <c r="FY120" s="63">
        <f>+(FY$45+FY$39-FY10-FY12)/(FY$56)</f>
        <v>0.90344434143906438</v>
      </c>
      <c r="FZ120" s="63">
        <f>+(FZ$45+FZ$39-FZ10-FZ12)/(FZ$56)</f>
        <v>0.87855842737531853</v>
      </c>
      <c r="GA120" s="63">
        <f>+(GA$45+GA$39-GA10-GA12)/(GA$56)</f>
        <v>1.0726550079491255</v>
      </c>
      <c r="GB120" s="63">
        <f>+(GB$45+GB$39-GB10-GB12)/(GB$56)</f>
        <v>1.0726550079491255</v>
      </c>
      <c r="GD120" s="62" t="s">
        <v>63</v>
      </c>
      <c r="GE120" s="63">
        <f>+(GE$45+GE$39-GE10-GE12)/(GE$56)</f>
        <v>1.1119325030132583</v>
      </c>
      <c r="GF120" s="63">
        <f>+(GF$45+GF$39-GF10-GF12)/(GF$56)</f>
        <v>1.121074043938161</v>
      </c>
      <c r="GG120" s="63">
        <f>+(GG$45+GG$39-GG10-GG12)/(GG$56)</f>
        <v>1.228975502988467</v>
      </c>
      <c r="GH120" s="63">
        <f>+(GH$45+GH$39-GH10-GH12)/(GH$56)</f>
        <v>1.2017196324707073</v>
      </c>
      <c r="GI120" s="63">
        <f>+(GI$45+GI$39-GI10-GI12)/(GI$56)</f>
        <v>1.2017196324707073</v>
      </c>
      <c r="GK120" s="62" t="s">
        <v>63</v>
      </c>
      <c r="GL120" s="63">
        <f>+(GL$45+GL$39-GL10-GL12)/(GL$56)</f>
        <v>1.2817126514131898</v>
      </c>
      <c r="GM120" s="63">
        <f>+(GM$45+GM$39-GM10-GM12)/(GM$56)</f>
        <v>1.2696703116007564</v>
      </c>
      <c r="GN120" s="63">
        <f>+(GN$45+GN$39-GN10-GN12)/(GN$56)</f>
        <v>1.2187475445902411</v>
      </c>
      <c r="GO120" s="63">
        <f>+(GO$45+GO$39-GO10-GO12)/(GO$56)</f>
        <v>1.2045003813882533</v>
      </c>
      <c r="GP120" s="63">
        <f>+(GP$45+GP$39-GP10-GP12)/(GP$56)</f>
        <v>1.2045003813882533</v>
      </c>
      <c r="GR120" s="62" t="s">
        <v>63</v>
      </c>
      <c r="GS120" s="63">
        <f>+(GS$45+GS$39-GS10-GS12)/(GS$56)</f>
        <v>1.1693009118541033</v>
      </c>
      <c r="GT120" s="63">
        <f>+(GT$45+GT$39-GT10-GT12)/(GT$56)</f>
        <v>1.1281077862140836</v>
      </c>
      <c r="GU120" s="63">
        <f>+(GU$45+GU$39-GU10-GU12)/(GU$56)</f>
        <v>1.1438657758882478</v>
      </c>
      <c r="GV120" s="63">
        <f>+(GV$45+GV$39-GV10-GV12)/(GV$56)</f>
        <v>1.1215555555555556</v>
      </c>
      <c r="GW120" s="63">
        <f>+(GW$45+GW$39-GW10-GW12)/(GW$56)</f>
        <v>1.1215555555555556</v>
      </c>
      <c r="GY120" s="62" t="s">
        <v>63</v>
      </c>
      <c r="GZ120" s="63">
        <f>+(GZ$45+GZ$39-GZ10-GZ12)/(GZ$56)</f>
        <v>1.1339901477832512</v>
      </c>
      <c r="HA120" s="63">
        <f>+(HA$45+HA$39-HA10-HA12)/(HA$56)</f>
        <v>1.1135377825127464</v>
      </c>
      <c r="HB120" s="63">
        <f>+(HB$45+HB$39-HB10-HB12)/(HB$56)</f>
        <v>1.2803694791585811</v>
      </c>
      <c r="HC120" s="63">
        <f>+(HC$45+HC$39-HC10-HC12)/(HC$56)</f>
        <v>1.3317026225038096</v>
      </c>
      <c r="HD120" s="63">
        <f>+(HD$45+HD$39-HD10-HD12)/(HD$56)</f>
        <v>1.3317026225038096</v>
      </c>
      <c r="HF120" s="62" t="s">
        <v>63</v>
      </c>
      <c r="HG120" s="63">
        <f>+(HG$45+HG$39-HG10-HG12)/(HG$56)</f>
        <v>1.3465240641711229</v>
      </c>
      <c r="HH120" s="63">
        <f>+(HH$45+HH$39-HH10-HH12)/(HH$56)</f>
        <v>1.3668212688421402</v>
      </c>
      <c r="HI120" s="63">
        <f>+(HI$45+HI$39-HI10-HI12)/(HI$56)</f>
        <v>1.4447090847226949</v>
      </c>
      <c r="HJ120" s="63">
        <f>+(HJ$45+HJ$39-HJ10-HJ12)/(HJ$56)</f>
        <v>1.4231956612432206</v>
      </c>
      <c r="HK120" s="63">
        <f>+(HK$45+HK$39-HK10-HK12)/(HK$56)</f>
        <v>1.4231956612432206</v>
      </c>
      <c r="HM120" s="62" t="s">
        <v>63</v>
      </c>
      <c r="HN120" s="63">
        <f>+(HN$45+HN$39-HN10-HN12)/(HN$56)</f>
        <v>1.3744072019934088</v>
      </c>
      <c r="HO120" s="63">
        <f>+(HO$45+HO$39-HO10-HO12)/(HO$56)</f>
        <v>1.3529318541996831</v>
      </c>
      <c r="HP120" s="63">
        <f>+(HP$45+HP$39-HP10-HP12)/(HP$56)</f>
        <v>1.3231292517006803</v>
      </c>
      <c r="HQ120" s="63">
        <f>+(HQ$45+HQ$39-HQ10-HQ12)/(HQ$56)</f>
        <v>1.3676341248900616</v>
      </c>
      <c r="HR120" s="63">
        <f>+(HR$45+HR$39-HR10-HR12)/(HR$56)</f>
        <v>1.3676341248900616</v>
      </c>
      <c r="HT120" s="62" t="s">
        <v>63</v>
      </c>
      <c r="HU120" s="63">
        <f>+(HU$45+HU$39-HU10-HU12)/(HU$56)</f>
        <v>1.4595482546201233</v>
      </c>
      <c r="HV120" s="63">
        <f>+(HV$45+HV$39-HV10-HV12)/(HV$56)</f>
        <v>1.4341924537448494</v>
      </c>
      <c r="HW120" s="63">
        <f>+(HW$45+HW$39-HW10-HW12)/(HW$56)</f>
        <v>1.3941056591942311</v>
      </c>
      <c r="HX120" s="63">
        <f>+(HX$45+HX$39-HX10-HX12)/(HX$56)</f>
        <v>1.3293167933130701</v>
      </c>
      <c r="HY120" s="63">
        <f>+(HY$45+HY$39-HY10-HY12)/(HY$56)</f>
        <v>1.3293167933130701</v>
      </c>
      <c r="IA120" s="62" t="s">
        <v>63</v>
      </c>
      <c r="IB120" s="63">
        <f>+(IB$45+IB$39-IB10-IB12)/(IB$56)</f>
        <v>1.3016837866331781</v>
      </c>
      <c r="IC120" s="63">
        <f>+(IC$45+IC$39-IC10-IC12)/(IC$56)</f>
        <v>1.2480817390140699</v>
      </c>
      <c r="ID120" s="63">
        <f>+(ID$45+ID$39-ID10-ID12)/(ID$56)</f>
        <v>1.2012995671713425</v>
      </c>
      <c r="IE120" s="63">
        <f>+(IE$45+IE$39-IE10-IE12)/(IE$56)</f>
        <v>1.1551650627394603</v>
      </c>
      <c r="IF120" s="63">
        <f>+(IF$45+IF$39-IF10-IF12)/(IF$56)</f>
        <v>1.1551650627394603</v>
      </c>
      <c r="IH120" s="62" t="s">
        <v>63</v>
      </c>
      <c r="II120" s="63">
        <f>+(II$45+II$39-II10-II12)/(II$56)</f>
        <v>1.121816574591384</v>
      </c>
      <c r="IJ120" s="63">
        <f>+(IJ$45+IJ$39-IJ10-IJ12)/(IJ$56)</f>
        <v>1.0733785736078805</v>
      </c>
      <c r="IK120" s="63">
        <f>+(IK$45+IK$39-IK10-IK12)/(IK$56)</f>
        <v>1.0267364136303527</v>
      </c>
      <c r="IL120" s="63">
        <f>+(IL$45+IL$39-IL10-IL12)/(IL$56)</f>
        <v>0.98664985871715249</v>
      </c>
      <c r="IM120" s="63">
        <f>+(IM$45+IM$39-IM10-IM12)/(IM$56)</f>
        <v>0.98664985871715249</v>
      </c>
      <c r="IO120" s="62" t="s">
        <v>63</v>
      </c>
      <c r="IP120" s="63">
        <f>+(IP$45+IP$39-IP10-IP12)/(IP$56)</f>
        <v>0.95279076639185778</v>
      </c>
      <c r="IQ120" s="63">
        <f>+(IQ$45+IQ$39-IQ10-IQ12)/(IQ$56)</f>
        <v>0.91407540048356983</v>
      </c>
      <c r="IR120" s="63">
        <f>+(IR$45+IR$39-IR10-IR12)/(IR$56)</f>
        <v>0.87703458628725794</v>
      </c>
      <c r="IS120" s="63">
        <f>+(IS$45+IS$39-IS10-IS12)/(IS$56)</f>
        <v>0.84470913065918618</v>
      </c>
      <c r="IT120" s="63">
        <f>+(IT$45+IT$39-IT10-IT12)/(IT$56)</f>
        <v>0.84470913065918618</v>
      </c>
    </row>
    <row r="121" spans="1:254" x14ac:dyDescent="0.4">
      <c r="A121" s="383"/>
      <c r="B121" s="76"/>
      <c r="AB121" s="80"/>
      <c r="AC121" s="80"/>
      <c r="AD121" s="80"/>
      <c r="AE121" s="80"/>
      <c r="AF121" s="80"/>
      <c r="AG121" s="78"/>
      <c r="AH121" s="78"/>
      <c r="AI121" s="78"/>
      <c r="AJ121" s="78"/>
      <c r="AK121" s="78"/>
      <c r="AL121" s="78"/>
      <c r="AM121" s="78"/>
      <c r="AN121" s="78"/>
      <c r="AO121" s="78"/>
      <c r="AP121" s="78"/>
      <c r="AQ121" s="78"/>
      <c r="AR121" s="78"/>
      <c r="AT121" s="76"/>
      <c r="BA121" s="76"/>
      <c r="BH121" s="76"/>
      <c r="BO121" s="76"/>
      <c r="BV121" s="76"/>
      <c r="CC121" s="76"/>
      <c r="CJ121" s="76"/>
      <c r="CQ121" s="76"/>
      <c r="CX121" s="76"/>
      <c r="DE121" s="76"/>
      <c r="DL121" s="76"/>
      <c r="DS121" s="76"/>
      <c r="DZ121" s="76"/>
      <c r="EG121" s="76"/>
      <c r="EN121" s="76"/>
      <c r="EU121" s="76"/>
      <c r="FB121" s="76"/>
      <c r="FI121" s="76"/>
      <c r="FP121" s="76"/>
      <c r="FW121" s="76"/>
      <c r="GD121" s="76"/>
      <c r="GK121" s="76"/>
      <c r="GR121" s="76"/>
      <c r="GY121" s="76"/>
      <c r="HF121" s="76"/>
      <c r="HM121" s="76"/>
      <c r="HT121" s="76"/>
      <c r="HU121" s="80"/>
      <c r="HV121" s="80"/>
      <c r="HW121" s="80"/>
      <c r="HX121" s="80"/>
      <c r="HY121" s="80"/>
      <c r="IA121" s="76"/>
      <c r="IB121" s="80"/>
      <c r="IC121" s="80"/>
      <c r="ID121" s="80"/>
      <c r="IE121" s="80"/>
      <c r="IF121" s="80"/>
      <c r="IH121" s="76"/>
      <c r="II121" s="80"/>
      <c r="IJ121" s="80"/>
      <c r="IK121" s="80"/>
      <c r="IL121" s="80"/>
      <c r="IM121" s="80"/>
      <c r="IO121" s="76"/>
      <c r="IP121" s="80"/>
      <c r="IQ121" s="80"/>
      <c r="IR121" s="80"/>
      <c r="IS121" s="80"/>
      <c r="IT121" s="80"/>
    </row>
    <row r="122" spans="1:254" x14ac:dyDescent="0.4">
      <c r="B122" s="399" t="s">
        <v>64</v>
      </c>
      <c r="C122" s="400">
        <f>AY122</f>
        <v>0</v>
      </c>
      <c r="D122" s="400">
        <f>BF122</f>
        <v>0</v>
      </c>
      <c r="E122" s="400">
        <f>BM122</f>
        <v>0</v>
      </c>
      <c r="F122" s="400">
        <f>BT122</f>
        <v>0</v>
      </c>
      <c r="G122" s="400">
        <f>CA122</f>
        <v>0</v>
      </c>
      <c r="H122" s="400">
        <f>CH122</f>
        <v>0</v>
      </c>
      <c r="I122" s="400">
        <f>CO122</f>
        <v>2.548182586644125</v>
      </c>
      <c r="J122" s="400">
        <f>CV122</f>
        <v>1.9906385824139083</v>
      </c>
      <c r="K122" s="400">
        <f>DC122</f>
        <v>2.303174603174603</v>
      </c>
      <c r="L122" s="400">
        <f>DJ122</f>
        <v>2.1279891304347824</v>
      </c>
      <c r="M122" s="400">
        <f>DQ122</f>
        <v>2.5190311418685121</v>
      </c>
      <c r="N122" s="400">
        <f>DX122</f>
        <v>2.1403162055335967</v>
      </c>
      <c r="O122" s="400">
        <f>EE122</f>
        <v>2.1030951297223486</v>
      </c>
      <c r="P122" s="400">
        <f>EL122</f>
        <v>2.1771479185119573</v>
      </c>
      <c r="Q122" s="400">
        <f>ES122</f>
        <v>2.0731178129746151</v>
      </c>
      <c r="R122" s="400">
        <f>EZ122</f>
        <v>2.0449202350965576</v>
      </c>
      <c r="S122" s="400">
        <f>FG122</f>
        <v>2.2335141903171953</v>
      </c>
      <c r="T122" s="400">
        <f>FN122</f>
        <v>2.4078891257995734</v>
      </c>
      <c r="U122" s="400">
        <f>FU122</f>
        <v>2.3006039353204755</v>
      </c>
      <c r="V122" s="400">
        <f>GB122</f>
        <v>2.3801612903225808</v>
      </c>
      <c r="W122" s="400">
        <f>GI122</f>
        <v>2.5717453278428888</v>
      </c>
      <c r="X122" s="400">
        <f>GP122</f>
        <v>2.907745865970409</v>
      </c>
      <c r="Y122" s="400">
        <f>GW122</f>
        <v>2.4555138784696173</v>
      </c>
      <c r="Z122" s="400">
        <f>HD122</f>
        <v>2.4384542629374408</v>
      </c>
      <c r="AA122" s="400">
        <f>HK122</f>
        <v>2.6066104078762304</v>
      </c>
      <c r="AB122" s="400">
        <f>HR122</f>
        <v>2.6391384966481244</v>
      </c>
      <c r="AC122" s="400">
        <f>HY122</f>
        <v>2.9251394916305022</v>
      </c>
      <c r="AD122" s="400">
        <f>IF122</f>
        <v>2.7977859566557295</v>
      </c>
      <c r="AE122" s="400">
        <f>IM122</f>
        <v>2.6349641899665315</v>
      </c>
      <c r="AF122" s="400">
        <f>IT122</f>
        <v>2.5488501954927125</v>
      </c>
      <c r="AG122" s="401"/>
      <c r="AH122" s="401"/>
      <c r="AI122" s="401"/>
      <c r="AJ122" s="401"/>
      <c r="AK122" s="401"/>
      <c r="AL122" s="401"/>
      <c r="AM122" s="401"/>
      <c r="AN122" s="401"/>
      <c r="AO122" s="401"/>
      <c r="AP122" s="401"/>
      <c r="AQ122" s="401"/>
      <c r="AR122" s="401"/>
      <c r="AT122" s="399" t="s">
        <v>64</v>
      </c>
      <c r="AU122" s="400"/>
      <c r="AV122" s="400"/>
      <c r="AW122" s="400"/>
      <c r="AX122" s="400"/>
      <c r="AY122" s="400"/>
      <c r="BA122" s="399" t="s">
        <v>64</v>
      </c>
      <c r="BB122" s="400"/>
      <c r="BC122" s="400"/>
      <c r="BD122" s="400"/>
      <c r="BE122" s="400"/>
      <c r="BF122" s="400"/>
      <c r="BH122" s="399" t="s">
        <v>64</v>
      </c>
      <c r="BI122" s="400"/>
      <c r="BJ122" s="400"/>
      <c r="BK122" s="400"/>
      <c r="BL122" s="400"/>
      <c r="BM122" s="400"/>
      <c r="BO122" s="399" t="s">
        <v>64</v>
      </c>
      <c r="BP122" s="400"/>
      <c r="BQ122" s="400"/>
      <c r="BR122" s="400"/>
      <c r="BS122" s="400"/>
      <c r="BT122" s="400"/>
      <c r="BV122" s="399" t="s">
        <v>64</v>
      </c>
      <c r="BW122" s="400"/>
      <c r="BX122" s="400"/>
      <c r="BY122" s="400"/>
      <c r="BZ122" s="400"/>
      <c r="CA122" s="400"/>
      <c r="CC122" s="399" t="s">
        <v>64</v>
      </c>
      <c r="CD122" s="400"/>
      <c r="CE122" s="400"/>
      <c r="CF122" s="400"/>
      <c r="CG122" s="400"/>
      <c r="CH122" s="400"/>
      <c r="CJ122" s="399" t="s">
        <v>64</v>
      </c>
      <c r="CK122" s="400"/>
      <c r="CL122" s="400"/>
      <c r="CM122" s="400"/>
      <c r="CN122" s="400"/>
      <c r="CO122" s="400">
        <f>+(CO$39+CO$45)/CO$86</f>
        <v>2.548182586644125</v>
      </c>
      <c r="CQ122" s="399" t="s">
        <v>64</v>
      </c>
      <c r="CR122" s="400">
        <f>+(CR$39+CR$45)/CR$86</f>
        <v>2.5855034722222223</v>
      </c>
      <c r="CS122" s="400">
        <f>+(CS$39+CS$45)/CS$86</f>
        <v>2.1670313639679066</v>
      </c>
      <c r="CT122" s="400">
        <f>+(CT$39+CT$45)/CT$86</f>
        <v>2.0711817553559086</v>
      </c>
      <c r="CU122" s="400">
        <f>+(CU$39+CU$45)/CU$86</f>
        <v>1.9906385824139083</v>
      </c>
      <c r="CV122" s="400">
        <f>+(CV$39+CV$45)/CV$86</f>
        <v>1.9906385824139083</v>
      </c>
      <c r="CX122" s="399" t="s">
        <v>64</v>
      </c>
      <c r="CY122" s="400">
        <f>+(CY$39+CY$45)/CY$86</f>
        <v>2.0815179198875615</v>
      </c>
      <c r="CZ122" s="400">
        <f>+(CZ$39+CZ$45)/CZ$86</f>
        <v>2.0107599193006052</v>
      </c>
      <c r="DA122" s="400">
        <f>+(DA$39+DA$45)/DA$86</f>
        <v>2.2701281629970422</v>
      </c>
      <c r="DB122" s="400">
        <f>+(DB$39+DB$45)/DB$86</f>
        <v>2.303174603174603</v>
      </c>
      <c r="DC122" s="400">
        <f>+(DC$39+DC$45)/DC$86</f>
        <v>2.303174603174603</v>
      </c>
      <c r="DE122" s="399" t="s">
        <v>64</v>
      </c>
      <c r="DF122" s="400">
        <f>+(DF$39+DF$45)/DF$86</f>
        <v>3.0025622254758417</v>
      </c>
      <c r="DG122" s="400">
        <f>+(DG$39+DG$45)/DG$86</f>
        <v>2.3447971781305115</v>
      </c>
      <c r="DH122" s="400">
        <f>+(DH$39+DH$45)/DH$86</f>
        <v>2.2028420172750072</v>
      </c>
      <c r="DI122" s="400">
        <f>+(DI$39+DI$45)/DI$86</f>
        <v>2.1279891304347824</v>
      </c>
      <c r="DJ122" s="400">
        <f>+(DJ$39+DJ$45)/DJ$86</f>
        <v>2.1279891304347824</v>
      </c>
      <c r="DL122" s="399" t="s">
        <v>64</v>
      </c>
      <c r="DM122" s="400">
        <f>+(DM$39+DM$45)/DM$86</f>
        <v>1.7708866155157714</v>
      </c>
      <c r="DN122" s="400">
        <f>+(DN$39+DN$45)/DN$86</f>
        <v>2.4034372269152344</v>
      </c>
      <c r="DO122" s="400">
        <f>+(DO$39+DO$45)/DO$86</f>
        <v>2.5006082725060828</v>
      </c>
      <c r="DP122" s="400">
        <f>+(DP$39+DP$45)/DP$86</f>
        <v>2.5190311418685121</v>
      </c>
      <c r="DQ122" s="400">
        <f>+(DQ$39+DQ$45)/DQ$86</f>
        <v>2.5190311418685121</v>
      </c>
      <c r="DS122" s="399" t="s">
        <v>64</v>
      </c>
      <c r="DT122" s="400">
        <f>+(DT$39+DT$45)/DT$86</f>
        <v>2.7643598615916956</v>
      </c>
      <c r="DU122" s="400">
        <f>+(DU$39+DU$45)/DU$86</f>
        <v>2.2558999147000285</v>
      </c>
      <c r="DV122" s="400">
        <f>+(DV$39+DV$45)/DV$86</f>
        <v>2.1038338658146967</v>
      </c>
      <c r="DW122" s="400">
        <f>+(DW$39+DW$45)/DW$86</f>
        <v>2.1403162055335967</v>
      </c>
      <c r="DX122" s="400">
        <f>+(DX$39+DX$45)/DX$86</f>
        <v>2.1403162055335967</v>
      </c>
      <c r="DZ122" s="399" t="s">
        <v>64</v>
      </c>
      <c r="EA122" s="400">
        <f>+(EA$39+EA$45)/EA$86</f>
        <v>2.1811361200428725</v>
      </c>
      <c r="EB122" s="400">
        <f>+(EB$39+EB$45)/EB$86</f>
        <v>1.9963201471941123</v>
      </c>
      <c r="EC122" s="400">
        <f>+(EC$39+EC$45)/EC$86</f>
        <v>1.957918552036199</v>
      </c>
      <c r="ED122" s="400">
        <f>+(ED$39+ED$45)/ED$86</f>
        <v>2.1030951297223486</v>
      </c>
      <c r="EE122" s="400">
        <f>+(EE$39+EE$45)/EE$86</f>
        <v>2.1030951297223486</v>
      </c>
      <c r="EG122" s="399" t="s">
        <v>64</v>
      </c>
      <c r="EH122" s="400">
        <f>+(EH$39+EH$45)/EH$86</f>
        <v>2.0010964912280702</v>
      </c>
      <c r="EI122" s="400">
        <f>+(EI$39+EI$45)/EI$86</f>
        <v>2.0086187845303867</v>
      </c>
      <c r="EJ122" s="400">
        <f>+(EJ$39+EJ$45)/EJ$86</f>
        <v>2.0059760956175299</v>
      </c>
      <c r="EK122" s="400">
        <f>+(EK$39+EK$45)/EK$86</f>
        <v>2.1771479185119573</v>
      </c>
      <c r="EL122" s="400">
        <f>+(EL$39+EL$45)/EL$86</f>
        <v>2.1771479185119573</v>
      </c>
      <c r="EN122" s="399" t="s">
        <v>64</v>
      </c>
      <c r="EO122" s="400">
        <f>+(EO$39+EO$45)/EO$86</f>
        <v>2.1375397185655922</v>
      </c>
      <c r="EP122" s="400">
        <f>+(EP$39+EP$45)/EP$86</f>
        <v>2.0464963981663393</v>
      </c>
      <c r="EQ122" s="400">
        <f>+(EQ$39+EQ$45)/EQ$86</f>
        <v>1.9718954248366014</v>
      </c>
      <c r="ER122" s="400">
        <f>+(ER$39+ER$45)/ER$86</f>
        <v>2.0731178129746151</v>
      </c>
      <c r="ES122" s="400">
        <f>+(ES$39+ES$45)/ES$86</f>
        <v>2.0731178129746151</v>
      </c>
      <c r="EU122" s="399" t="s">
        <v>64</v>
      </c>
      <c r="EV122" s="400">
        <f>+(EV$39+EV$45)/EV$86</f>
        <v>2.2016489988221437</v>
      </c>
      <c r="EW122" s="400">
        <f>+(EW$39+EW$45)/EW$86</f>
        <v>2.0545133524608254</v>
      </c>
      <c r="EX122" s="400">
        <f>+(EX$39+EX$45)/EX$86</f>
        <v>2.0606385258195843</v>
      </c>
      <c r="EY122" s="400">
        <f>+(EY$39+EY$45)/EY$86</f>
        <v>2.0449202350965576</v>
      </c>
      <c r="EZ122" s="400">
        <f>+(EZ$39+EZ$45)/EZ$86</f>
        <v>2.0449202350965576</v>
      </c>
      <c r="FB122" s="399" t="s">
        <v>64</v>
      </c>
      <c r="FC122" s="400">
        <f>+(FC$39+FC$45)/FC$86</f>
        <v>1.8313592780597856</v>
      </c>
      <c r="FD122" s="400">
        <f>+(FD$39+FD$45)/FD$86</f>
        <v>2.0612785016286646</v>
      </c>
      <c r="FE122" s="400">
        <f>+(FE$39+FE$45)/FE$86</f>
        <v>2.0709016393442621</v>
      </c>
      <c r="FF122" s="400">
        <f>+(FF$39+FF$45)/FF$86</f>
        <v>2.2335141903171953</v>
      </c>
      <c r="FG122" s="400">
        <f>+(FG$39+FG$45)/FG$86</f>
        <v>2.2335141903171953</v>
      </c>
      <c r="FI122" s="399" t="s">
        <v>64</v>
      </c>
      <c r="FJ122" s="400">
        <f>+(FJ$39+FJ$45)/FJ$86</f>
        <v>2.1109997996393508</v>
      </c>
      <c r="FK122" s="400">
        <f>+(FK$39+FK$45)/FK$86</f>
        <v>2.334293309703146</v>
      </c>
      <c r="FL122" s="400">
        <f>+(FL$39+FL$45)/FL$86</f>
        <v>2.3686106732717858</v>
      </c>
      <c r="FM122" s="400">
        <f>+(FM$39+FM$45)/FM$86</f>
        <v>2.4078891257995734</v>
      </c>
      <c r="FN122" s="400">
        <f>+(FN$39+FN$45)/FN$86</f>
        <v>2.4078891257995734</v>
      </c>
      <c r="FP122" s="399" t="s">
        <v>64</v>
      </c>
      <c r="FQ122" s="400">
        <f>+(FQ$39+FQ$45)/FQ$86</f>
        <v>2.3190965092402465</v>
      </c>
      <c r="FR122" s="400">
        <f>+(FR$39+FR$45)/FR$86</f>
        <v>2.3131846635367763</v>
      </c>
      <c r="FS122" s="400">
        <f>+(FS$39+FS$45)/FS$86</f>
        <v>2.2926213592233009</v>
      </c>
      <c r="FT122" s="400">
        <f>+(FT$39+FT$45)/FT$86</f>
        <v>2.3006039353204755</v>
      </c>
      <c r="FU122" s="400">
        <f>+(FU$39+FU$45)/FU$86</f>
        <v>2.3006039353204755</v>
      </c>
      <c r="FW122" s="399" t="s">
        <v>64</v>
      </c>
      <c r="FX122" s="400">
        <f>+(FX$39+FX$45)/FX$86</f>
        <v>2.5621631666976397</v>
      </c>
      <c r="FY122" s="400">
        <f>+(FY$39+FY$45)/FY$86</f>
        <v>2.500544069640914</v>
      </c>
      <c r="FZ122" s="400">
        <f>+(FZ$39+FZ$45)/FZ$86</f>
        <v>2.3181282612354823</v>
      </c>
      <c r="GA122" s="400">
        <f>+(GA$39+GA$45)/GA$86</f>
        <v>2.3801612903225808</v>
      </c>
      <c r="GB122" s="400">
        <f>+(GB$39+GB$45)/GB$86</f>
        <v>2.3801612903225808</v>
      </c>
      <c r="GD122" s="399" t="s">
        <v>64</v>
      </c>
      <c r="GE122" s="400">
        <f>+(GE$39+GE$45)/GE$86</f>
        <v>2.3924127465857361</v>
      </c>
      <c r="GF122" s="400">
        <f>+(GF$39+GF$45)/GF$86</f>
        <v>2.45898315658141</v>
      </c>
      <c r="GG122" s="400">
        <f>+(GG$39+GG$45)/GG$86</f>
        <v>2.6110764430577222</v>
      </c>
      <c r="GH122" s="400">
        <f>+(GH$39+GH$45)/GH$86</f>
        <v>2.5717453278428888</v>
      </c>
      <c r="GI122" s="400">
        <f>+(GI$39+GI$45)/GI$86</f>
        <v>2.5717453278428888</v>
      </c>
      <c r="GK122" s="399" t="s">
        <v>64</v>
      </c>
      <c r="GL122" s="400">
        <f>+(GL$39+GL$45)/GL$86</f>
        <v>2.4605882352941175</v>
      </c>
      <c r="GM122" s="400">
        <f>+(GM$39+GM$45)/GM$86</f>
        <v>2.8375451263537905</v>
      </c>
      <c r="GN122" s="400">
        <f>+(GN$39+GN$45)/GN$86</f>
        <v>2.9030100334448159</v>
      </c>
      <c r="GO122" s="400">
        <f>+(GO$39+GO$45)/GO$86</f>
        <v>2.907745865970409</v>
      </c>
      <c r="GP122" s="400">
        <f>+(GP$39+GP$45)/GP$86</f>
        <v>2.907745865970409</v>
      </c>
      <c r="GR122" s="399" t="s">
        <v>64</v>
      </c>
      <c r="GS122" s="400">
        <f>+(GS$39+GS$45)/GS$86</f>
        <v>3.2059227299470483</v>
      </c>
      <c r="GT122" s="400">
        <f>+(GT$39+GT$45)/GT$86</f>
        <v>2.6427994181347989</v>
      </c>
      <c r="GU122" s="400">
        <f>+(GU$39+GU$45)/GU$86</f>
        <v>2.5216120596831257</v>
      </c>
      <c r="GV122" s="400">
        <f>+(GV$39+GV$45)/GV$86</f>
        <v>2.4555138784696173</v>
      </c>
      <c r="GW122" s="400">
        <f>+(GW$39+GW$45)/GW$86</f>
        <v>2.4555138784696173</v>
      </c>
      <c r="GY122" s="399" t="s">
        <v>64</v>
      </c>
      <c r="GZ122" s="400">
        <f>+(GZ$39+GZ$45)/GZ$86</f>
        <v>2.8092863284608769</v>
      </c>
      <c r="HA122" s="400">
        <f>+(HA$39+HA$45)/HA$86</f>
        <v>2.2763656789776716</v>
      </c>
      <c r="HB122" s="400">
        <f>+(HB$39+HB$45)/HB$86</f>
        <v>2.4810996563573884</v>
      </c>
      <c r="HC122" s="400">
        <f>+(HC$39+HC$45)/HC$86</f>
        <v>2.4384542629374408</v>
      </c>
      <c r="HD122" s="400">
        <f>+(HD$39+HD$45)/HD$86</f>
        <v>2.4384542629374408</v>
      </c>
      <c r="HF122" s="399" t="s">
        <v>64</v>
      </c>
      <c r="HG122" s="400">
        <f>+(HG$39+HG$45)/HG$86</f>
        <v>2.3535128036769533</v>
      </c>
      <c r="HH122" s="400">
        <f>+(HH$39+HH$45)/HH$86</f>
        <v>2.3823333776772651</v>
      </c>
      <c r="HI122" s="400">
        <f>+(HI$39+HI$45)/HI$86</f>
        <v>2.5535269709543567</v>
      </c>
      <c r="HJ122" s="400">
        <f>+(HJ$39+HJ$45)/HJ$86</f>
        <v>2.6066104078762304</v>
      </c>
      <c r="HK122" s="400">
        <f>+(HK$39+HK$45)/HK$86</f>
        <v>2.6066104078762304</v>
      </c>
      <c r="HM122" s="399" t="s">
        <v>64</v>
      </c>
      <c r="HN122" s="400">
        <f>+(HN$39+HN$45)/HN$86</f>
        <v>2.6305986065690319</v>
      </c>
      <c r="HO122" s="400">
        <f>+(HO$39+HO$45)/HO$86</f>
        <v>2.6413586413586412</v>
      </c>
      <c r="HP122" s="400">
        <f>+(HP$39+HP$45)/HP$86</f>
        <v>2.6088363585197691</v>
      </c>
      <c r="HQ122" s="400">
        <f>+(HQ$39+HQ$45)/HQ$86</f>
        <v>2.6391384966481244</v>
      </c>
      <c r="HR122" s="400">
        <f>+(HR$39+HR$45)/HR$86</f>
        <v>2.6391384966481244</v>
      </c>
      <c r="HT122" s="399" t="s">
        <v>64</v>
      </c>
      <c r="HU122" s="400">
        <f>+(HU$39+HU$45)/HU$86</f>
        <v>2.8734975961538463</v>
      </c>
      <c r="HV122" s="400">
        <f>+(HV$39+HV$45)/HV$86</f>
        <v>2.9118808872683073</v>
      </c>
      <c r="HW122" s="400">
        <f>+(HW$39+HW$45)/HW$86</f>
        <v>2.9380558111008894</v>
      </c>
      <c r="HX122" s="400">
        <f>+(HX$39+HX$45)/HX$86</f>
        <v>2.9251394916305022</v>
      </c>
      <c r="HY122" s="400">
        <f>+(HY$39+HY$45)/HY$86</f>
        <v>2.9251394916305022</v>
      </c>
      <c r="IA122" s="399" t="s">
        <v>64</v>
      </c>
      <c r="IB122" s="400">
        <f>+(IB$39+IB$45)/IB$86</f>
        <v>2.8824248711998961</v>
      </c>
      <c r="IC122" s="400">
        <f>+(IC$39+IC$45)/IC$86</f>
        <v>2.8829217376756522</v>
      </c>
      <c r="ID122" s="400">
        <f>+(ID$39+ID$45)/ID$86</f>
        <v>2.8548525313161446</v>
      </c>
      <c r="IE122" s="400">
        <f>+(IE$39+IE$45)/IE$86</f>
        <v>2.7977859566557273</v>
      </c>
      <c r="IF122" s="400">
        <f>+(IF$39+IF$45)/IF$86</f>
        <v>2.7977859566557295</v>
      </c>
      <c r="IH122" s="399" t="s">
        <v>64</v>
      </c>
      <c r="II122" s="400">
        <f>+(II$39+II$45)/II$86</f>
        <v>2.7796595898553473</v>
      </c>
      <c r="IJ122" s="400">
        <f>+(IJ$39+IJ$45)/IJ$86</f>
        <v>2.7181516271992319</v>
      </c>
      <c r="IK122" s="400">
        <f>+(IK$39+IK$45)/IK$86</f>
        <v>2.6757822681960839</v>
      </c>
      <c r="IL122" s="400">
        <f>+(IL$39+IL$45)/IL$86</f>
        <v>2.6349641899665315</v>
      </c>
      <c r="IM122" s="400">
        <f>+(IM$39+IM$45)/IM$86</f>
        <v>2.6349641899665315</v>
      </c>
      <c r="IO122" s="399" t="s">
        <v>64</v>
      </c>
      <c r="IP122" s="400">
        <f>+(IP$39+IP$45)/IP$86</f>
        <v>2.6628925928955103</v>
      </c>
      <c r="IQ122" s="400">
        <f>+(IQ$39+IQ$45)/IQ$86</f>
        <v>2.5895681689885341</v>
      </c>
      <c r="IR122" s="400">
        <f>+(IR$39+IR$45)/IR$86</f>
        <v>2.5711983863044079</v>
      </c>
      <c r="IS122" s="400">
        <f>+(IS$39+IS$45)/IS$86</f>
        <v>2.548850195492713</v>
      </c>
      <c r="IT122" s="400">
        <f>+(IT$39+IT$45)/IT$86</f>
        <v>2.5488501954927125</v>
      </c>
    </row>
    <row r="123" spans="1:254" x14ac:dyDescent="0.4">
      <c r="B123" s="399" t="s">
        <v>65</v>
      </c>
      <c r="C123" s="400">
        <f>AY123</f>
        <v>0</v>
      </c>
      <c r="D123" s="400">
        <f>BF123</f>
        <v>0</v>
      </c>
      <c r="E123" s="400">
        <f>BM123</f>
        <v>0</v>
      </c>
      <c r="F123" s="400">
        <f>BT123</f>
        <v>0</v>
      </c>
      <c r="G123" s="400">
        <f>CA123</f>
        <v>0</v>
      </c>
      <c r="H123" s="400">
        <f>CH123</f>
        <v>0</v>
      </c>
      <c r="I123" s="400">
        <f>CO123</f>
        <v>2.2937447168216401</v>
      </c>
      <c r="J123" s="400">
        <f>CV123</f>
        <v>1.6897358742895352</v>
      </c>
      <c r="K123" s="400">
        <f>DC123</f>
        <v>2.0765079365079364</v>
      </c>
      <c r="L123" s="400">
        <f>DJ123</f>
        <v>1.9255434782608696</v>
      </c>
      <c r="M123" s="400">
        <f>DQ123</f>
        <v>2.1761560239068891</v>
      </c>
      <c r="N123" s="400">
        <f>DX123</f>
        <v>1.8078063241106719</v>
      </c>
      <c r="O123" s="400">
        <f>EE123</f>
        <v>1.8058716431497497</v>
      </c>
      <c r="P123" s="400">
        <f>EL123</f>
        <v>1.8735606731620904</v>
      </c>
      <c r="Q123" s="400">
        <f>ES123</f>
        <v>1.8390106313733998</v>
      </c>
      <c r="R123" s="400">
        <f>EZ123</f>
        <v>1.843198992443325</v>
      </c>
      <c r="S123" s="400">
        <f>FG123</f>
        <v>1.9334307178631052</v>
      </c>
      <c r="T123" s="400">
        <f>FN123</f>
        <v>2.1904051172707888</v>
      </c>
      <c r="U123" s="400">
        <f>FU123</f>
        <v>2.218975258133645</v>
      </c>
      <c r="V123" s="400">
        <f>GB123</f>
        <v>2.2009677419354841</v>
      </c>
      <c r="W123" s="400">
        <f>GI123</f>
        <v>2.2622743110547989</v>
      </c>
      <c r="X123" s="400">
        <f>GP123</f>
        <v>2.3627502175805049</v>
      </c>
      <c r="Y123" s="400">
        <f>GW123</f>
        <v>2.108027006751688</v>
      </c>
      <c r="Z123" s="400">
        <f>HD123</f>
        <v>2.1598432644237264</v>
      </c>
      <c r="AA123" s="400">
        <f>HK123</f>
        <v>2.4046413502109703</v>
      </c>
      <c r="AB123" s="400">
        <f>HR123</f>
        <v>2.4957923263443162</v>
      </c>
      <c r="AC123" s="400">
        <f>HY123</f>
        <v>2.8205207687538749</v>
      </c>
      <c r="AD123" s="400">
        <f>IF123</f>
        <v>2.7174902996078951</v>
      </c>
      <c r="AE123" s="400">
        <f>IM123</f>
        <v>2.5543993634994364</v>
      </c>
      <c r="AF123" s="400">
        <f>IT123</f>
        <v>2.4518058349810561</v>
      </c>
      <c r="AG123" s="401"/>
      <c r="AH123" s="401"/>
      <c r="AI123" s="401"/>
      <c r="AJ123" s="401"/>
      <c r="AK123" s="401"/>
      <c r="AL123" s="401"/>
      <c r="AM123" s="401"/>
      <c r="AN123" s="401"/>
      <c r="AO123" s="401"/>
      <c r="AP123" s="401"/>
      <c r="AQ123" s="401"/>
      <c r="AR123" s="401"/>
      <c r="AT123" s="399" t="s">
        <v>65</v>
      </c>
      <c r="AU123" s="400"/>
      <c r="AV123" s="400"/>
      <c r="AW123" s="400"/>
      <c r="AX123" s="400"/>
      <c r="AY123" s="400"/>
      <c r="BA123" s="399" t="s">
        <v>65</v>
      </c>
      <c r="BB123" s="400"/>
      <c r="BC123" s="400"/>
      <c r="BD123" s="400"/>
      <c r="BE123" s="400"/>
      <c r="BF123" s="400"/>
      <c r="BH123" s="399" t="s">
        <v>65</v>
      </c>
      <c r="BI123" s="400"/>
      <c r="BJ123" s="400"/>
      <c r="BK123" s="400"/>
      <c r="BL123" s="400"/>
      <c r="BM123" s="400"/>
      <c r="BO123" s="399" t="s">
        <v>65</v>
      </c>
      <c r="BP123" s="400"/>
      <c r="BQ123" s="400"/>
      <c r="BR123" s="400"/>
      <c r="BS123" s="400"/>
      <c r="BT123" s="400"/>
      <c r="BV123" s="399" t="s">
        <v>65</v>
      </c>
      <c r="BW123" s="400"/>
      <c r="BX123" s="400"/>
      <c r="BY123" s="400"/>
      <c r="BZ123" s="400"/>
      <c r="CA123" s="400"/>
      <c r="CC123" s="399" t="s">
        <v>65</v>
      </c>
      <c r="CD123" s="400"/>
      <c r="CE123" s="400"/>
      <c r="CF123" s="400"/>
      <c r="CG123" s="400"/>
      <c r="CH123" s="400"/>
      <c r="CJ123" s="399" t="s">
        <v>65</v>
      </c>
      <c r="CK123" s="400"/>
      <c r="CL123" s="400"/>
      <c r="CM123" s="400"/>
      <c r="CN123" s="400"/>
      <c r="CO123" s="400">
        <f>+(CO$39+CO$45-CO9-CO10)/CO$86</f>
        <v>2.2937447168216401</v>
      </c>
      <c r="CQ123" s="399" t="s">
        <v>65</v>
      </c>
      <c r="CR123" s="400">
        <f>+(CR$39+CR$45-CR9-CR10)/CR$86</f>
        <v>2.2760416666666665</v>
      </c>
      <c r="CS123" s="400">
        <f>+(CS$39+CS$45-CS9-CS10)/CS$86</f>
        <v>1.9183078045222466</v>
      </c>
      <c r="CT123" s="400">
        <f>+(CT$39+CT$45-CT9-CT10)/CT$86</f>
        <v>1.8431237042156186</v>
      </c>
      <c r="CU123" s="400">
        <f>+(CU$39+CU$45-CU9-CU10)/CU$86</f>
        <v>1.6897358742895352</v>
      </c>
      <c r="CV123" s="400">
        <f>+(CV$39+CV$45-CV9-CV10)/CV$86</f>
        <v>1.6897358742895352</v>
      </c>
      <c r="CX123" s="399" t="s">
        <v>65</v>
      </c>
      <c r="CY123" s="400">
        <f>+(CY$39+CY$45-CY9-CY10)/CY$86</f>
        <v>1.752283907238229</v>
      </c>
      <c r="CZ123" s="400">
        <f>+(CZ$39+CZ$45-CZ9-CZ10)/CZ$86</f>
        <v>1.7316745124411568</v>
      </c>
      <c r="DA123" s="400">
        <f>+(DA$39+DA$45-DA9-DA10)/DA$86</f>
        <v>1.8639500492934604</v>
      </c>
      <c r="DB123" s="400">
        <f>+(DB$39+DB$45-DB9-DB10)/DB$86</f>
        <v>2.0765079365079364</v>
      </c>
      <c r="DC123" s="400">
        <f>+(DC$39+DC$45-DC9-DC10)/DC$86</f>
        <v>2.0765079365079364</v>
      </c>
      <c r="DE123" s="399" t="s">
        <v>65</v>
      </c>
      <c r="DF123" s="400">
        <f>+(DF$39+DF$45-DF9-DF10)/DF$86</f>
        <v>2.402635431918009</v>
      </c>
      <c r="DG123" s="400">
        <f>+(DG$39+DG$45-DG9-DG10)/DG$86</f>
        <v>1.9115226337448559</v>
      </c>
      <c r="DH123" s="400">
        <f>+(DH$39+DH$45-DH9-DH10)/DH$86</f>
        <v>1.9322931178601281</v>
      </c>
      <c r="DI123" s="400">
        <f>+(DI$39+DI$45-DI9-DI10)/DI$86</f>
        <v>1.9255434782608696</v>
      </c>
      <c r="DJ123" s="400">
        <f>+(DJ$39+DJ$45-DJ9-DJ10)/DJ$86</f>
        <v>1.9255434782608696</v>
      </c>
      <c r="DL123" s="399" t="s">
        <v>65</v>
      </c>
      <c r="DM123" s="400">
        <f>+(DM$39+DM$45-DM9-DM10)/DM$86</f>
        <v>1.5302642796248935</v>
      </c>
      <c r="DN123" s="400">
        <f>+(DN$39+DN$45-DN9-DN10)/DN$86</f>
        <v>2.0602971162248762</v>
      </c>
      <c r="DO123" s="400">
        <f>+(DO$39+DO$45-DO9-DO10)/DO$86</f>
        <v>2.098844282238443</v>
      </c>
      <c r="DP123" s="400">
        <f>+(DP$39+DP$45-DP9-DP10)/DP$86</f>
        <v>2.1761560239068891</v>
      </c>
      <c r="DQ123" s="400">
        <f>+(DQ$39+DQ$45-DQ9-DQ10)/DQ$86</f>
        <v>2.1761560239068891</v>
      </c>
      <c r="DS123" s="399" t="s">
        <v>65</v>
      </c>
      <c r="DT123" s="400">
        <f>+(DT$39+DT$45-DT9-DT10)/DT$86</f>
        <v>2.4010380622837371</v>
      </c>
      <c r="DU123" s="400">
        <f>+(DU$39+DU$45-DU9-DU10)/DU$86</f>
        <v>2.059994313335229</v>
      </c>
      <c r="DV123" s="400">
        <f>+(DV$39+DV$45-DV9-DV10)/DV$86</f>
        <v>1.9238551650692226</v>
      </c>
      <c r="DW123" s="400">
        <f>+(DW$39+DW$45-DW9-DW10)/DW$86</f>
        <v>1.8078063241106719</v>
      </c>
      <c r="DX123" s="400">
        <f>+(DX$39+DX$45-DX9-DX10)/DX$86</f>
        <v>1.8078063241106719</v>
      </c>
      <c r="DZ123" s="399" t="s">
        <v>65</v>
      </c>
      <c r="EA123" s="400">
        <f>+(EA$39+EA$45-EA9-EA10)/EA$86</f>
        <v>2.023043944265809</v>
      </c>
      <c r="EB123" s="400">
        <f>+(EB$39+EB$45-EB9-EB10)/EB$86</f>
        <v>1.6984820607175712</v>
      </c>
      <c r="EC123" s="400">
        <f>+(EC$39+EC$45-EC9-EC10)/EC$86</f>
        <v>1.81289592760181</v>
      </c>
      <c r="ED123" s="400">
        <f>+(ED$39+ED$45-ED9-ED10)/ED$86</f>
        <v>1.8058716431497497</v>
      </c>
      <c r="EE123" s="400">
        <f>+(EE$39+EE$45-EE9-EE10)/EE$86</f>
        <v>1.8058716431497497</v>
      </c>
      <c r="EG123" s="399" t="s">
        <v>65</v>
      </c>
      <c r="EH123" s="400">
        <f>+(EH$39+EH$45-EH9-EH10)/EH$86</f>
        <v>1.8331140350877193</v>
      </c>
      <c r="EI123" s="400">
        <f>+(EI$39+EI$45-EI9-EI10)/EI$86</f>
        <v>1.8576795580110497</v>
      </c>
      <c r="EJ123" s="400">
        <f>+(EJ$39+EJ$45-EJ9-EJ10)/EJ$86</f>
        <v>1.8448428508189465</v>
      </c>
      <c r="EK123" s="400">
        <f>+(EK$39+EK$45-EK9-EK10)/EK$86</f>
        <v>1.8735606731620904</v>
      </c>
      <c r="EL123" s="400">
        <f>+(EL$39+EL$45-EL9-EL10)/EL$86</f>
        <v>1.8735606731620904</v>
      </c>
      <c r="EN123" s="399" t="s">
        <v>65</v>
      </c>
      <c r="EO123" s="400">
        <f>+(EO$39+EO$45-EO9-EO10)/EO$86</f>
        <v>1.8942351339083068</v>
      </c>
      <c r="EP123" s="400">
        <f>+(EP$39+EP$45-EP9-EP10)/EP$86</f>
        <v>1.8244924688932547</v>
      </c>
      <c r="EQ123" s="400">
        <f>+(EQ$39+EQ$45-EQ9-EQ10)/EQ$86</f>
        <v>1.8152505446623093</v>
      </c>
      <c r="ER123" s="400">
        <f>+(ER$39+ER$45-ER9-ER10)/ER$86</f>
        <v>1.8390106313733998</v>
      </c>
      <c r="ES123" s="400">
        <f>+(ES$39+ES$45-ES9-ES10)/ES$86</f>
        <v>1.8390106313733998</v>
      </c>
      <c r="EU123" s="399" t="s">
        <v>65</v>
      </c>
      <c r="EV123" s="400">
        <f>+(EV$39+EV$45-EV9-EV10)/EV$86</f>
        <v>2.0313309776207302</v>
      </c>
      <c r="EW123" s="400">
        <f>+(EW$39+EW$45-EW9-EW10)/EW$86</f>
        <v>1.8803796071507393</v>
      </c>
      <c r="EX123" s="400">
        <f>+(EX$39+EX$45-EX9-EX10)/EX$86</f>
        <v>1.8347975144632527</v>
      </c>
      <c r="EY123" s="400">
        <f>+(EY$39+EY$45-EY9-EY10)/EY$86</f>
        <v>1.843198992443325</v>
      </c>
      <c r="EZ123" s="400">
        <f>+(EZ$39+EZ$45-EZ9-EZ10)/EZ$86</f>
        <v>1.843198992443325</v>
      </c>
      <c r="FB123" s="399" t="s">
        <v>65</v>
      </c>
      <c r="FC123" s="400">
        <f>+(FC$39+FC$45-FC9-FC10)/FC$86</f>
        <v>1.6775709719872156</v>
      </c>
      <c r="FD123" s="400">
        <f>+(FD$39+FD$45-FD9-FD10)/FD$86</f>
        <v>1.8336726384364821</v>
      </c>
      <c r="FE123" s="400">
        <f>+(FE$39+FE$45-FE9-FE10)/FE$86</f>
        <v>1.8729508196721312</v>
      </c>
      <c r="FF123" s="400">
        <f>+(FF$39+FF$45-FF9-FF10)/FF$86</f>
        <v>1.9334307178631052</v>
      </c>
      <c r="FG123" s="400">
        <f>+(FG$39+FG$45-FG9-FG10)/FG$86</f>
        <v>1.9334307178631052</v>
      </c>
      <c r="FI123" s="399" t="s">
        <v>65</v>
      </c>
      <c r="FJ123" s="400">
        <f>+(FJ$39+FJ$45-FJ9-FJ10)/FJ$86</f>
        <v>1.8894009216589862</v>
      </c>
      <c r="FK123" s="400">
        <f>+(FK$39+FK$45-FK9-FK10)/FK$86</f>
        <v>2.150863978732831</v>
      </c>
      <c r="FL123" s="400">
        <f>+(FL$39+FL$45-FL9-FL10)/FL$86</f>
        <v>2.1986039180364783</v>
      </c>
      <c r="FM123" s="400">
        <f>+(FM$39+FM$45-FM9-FM10)/FM$86</f>
        <v>2.1904051172707888</v>
      </c>
      <c r="FN123" s="400">
        <f>+(FN$39+FN$45-FN9-FN10)/FN$86</f>
        <v>2.1904051172707888</v>
      </c>
      <c r="FP123" s="399" t="s">
        <v>65</v>
      </c>
      <c r="FQ123" s="400">
        <f>+(FQ$39+FQ$45-FQ9-FQ10)/FQ$86</f>
        <v>2.0691991786447637</v>
      </c>
      <c r="FR123" s="400">
        <f>+(FR$39+FR$45-FR9-FR10)/FR$86</f>
        <v>2.0985915492957745</v>
      </c>
      <c r="FS123" s="400">
        <f>+(FS$39+FS$45-FS9-FS10)/FS$86</f>
        <v>2.1559223300970873</v>
      </c>
      <c r="FT123" s="400">
        <f>+(FT$39+FT$45-FT9-FT10)/FT$86</f>
        <v>2.218975258133645</v>
      </c>
      <c r="FU123" s="400">
        <f>+(FU$39+FU$45-FU9-FU10)/FU$86</f>
        <v>2.218975258133645</v>
      </c>
      <c r="FW123" s="399" t="s">
        <v>65</v>
      </c>
      <c r="FX123" s="400">
        <f>+(FX$39+FX$45-FX9-FX10)/FX$86</f>
        <v>2.1923434305891099</v>
      </c>
      <c r="FY123" s="400">
        <f>+(FY$39+FY$45-FY9-FY10)/FY$86</f>
        <v>2.2461008342401159</v>
      </c>
      <c r="FZ123" s="400">
        <f>+(FZ$39+FZ$45-FZ9-FZ10)/FZ$86</f>
        <v>2.1030129607810135</v>
      </c>
      <c r="GA123" s="400">
        <f>+(GA$39+GA$45-GA9-GA10)/GA$86</f>
        <v>2.2009677419354841</v>
      </c>
      <c r="GB123" s="400">
        <f>+(GB$39+GB$45-GB9-GB10)/GB$86</f>
        <v>2.2009677419354841</v>
      </c>
      <c r="GD123" s="399" t="s">
        <v>65</v>
      </c>
      <c r="GE123" s="400">
        <f>+(GE$39+GE$45-GE9-GE10)/GE$86</f>
        <v>2.0874051593323215</v>
      </c>
      <c r="GF123" s="400">
        <f>+(GF$39+GF$45-GF9-GF10)/GF$86</f>
        <v>2.189020586400499</v>
      </c>
      <c r="GG123" s="400">
        <f>+(GG$39+GG$45-GG9-GG10)/GG$86</f>
        <v>2.2120124804992201</v>
      </c>
      <c r="GH123" s="400">
        <f>+(GH$39+GH$45-GH9-GH10)/GH$86</f>
        <v>2.2622743110547989</v>
      </c>
      <c r="GI123" s="400">
        <f>+(GI$39+GI$45-GI9-GI10)/GI$86</f>
        <v>2.2622743110547989</v>
      </c>
      <c r="GK123" s="399" t="s">
        <v>65</v>
      </c>
      <c r="GL123" s="400">
        <f>+(GL$39+GL$45-GL9-GL10)/GL$86</f>
        <v>2.0955882352941178</v>
      </c>
      <c r="GM123" s="400">
        <f>+(GM$39+GM$45-GM9-GM10)/GM$86</f>
        <v>2.3916107959429258</v>
      </c>
      <c r="GN123" s="400">
        <f>+(GN$39+GN$45-GN9-GN10)/GN$86</f>
        <v>2.3927125506072873</v>
      </c>
      <c r="GO123" s="400">
        <f>+(GO$39+GO$45-GO9-GO10)/GO$86</f>
        <v>2.3627502175805049</v>
      </c>
      <c r="GP123" s="400">
        <f>+(GP$39+GP$45-GP9-GP10)/GP$86</f>
        <v>2.3627502175805049</v>
      </c>
      <c r="GR123" s="399" t="s">
        <v>65</v>
      </c>
      <c r="GS123" s="400">
        <f>+(GS$39+GS$45-GS9-GS10)/GS$86</f>
        <v>2.6260050990390273</v>
      </c>
      <c r="GT123" s="400">
        <f>+(GT$39+GT$45-GT9-GT10)/GT$86</f>
        <v>2.1595280426701149</v>
      </c>
      <c r="GU123" s="400">
        <f>+(GU$39+GU$45-GU9-GU10)/GU$86</f>
        <v>2.1864328564836177</v>
      </c>
      <c r="GV123" s="400">
        <f>+(GV$39+GV$45-GV9-GV10)/GV$86</f>
        <v>2.108027006751688</v>
      </c>
      <c r="GW123" s="400">
        <f>+(GW$39+GW$45-GW9-GW10)/GW$86</f>
        <v>2.108027006751688</v>
      </c>
      <c r="GY123" s="399" t="s">
        <v>65</v>
      </c>
      <c r="GZ123" s="400">
        <f>+(GZ$39+GZ$45-GZ9-GZ10)/GZ$86</f>
        <v>2.4598452278589855</v>
      </c>
      <c r="HA123" s="400">
        <f>+(HA$39+HA$45-HA9-HA10)/HA$86</f>
        <v>2.1623367504563964</v>
      </c>
      <c r="HB123" s="400">
        <f>+(HB$39+HB$45-HB9-HB10)/HB$86</f>
        <v>2.1513402061855671</v>
      </c>
      <c r="HC123" s="400">
        <f>+(HC$39+HC$45-HC9-HC10)/HC$86</f>
        <v>2.1598432644237264</v>
      </c>
      <c r="HD123" s="400">
        <f>+(HD$39+HD$45-HD9-HD10)/HD$86</f>
        <v>2.1598432644237264</v>
      </c>
      <c r="HF123" s="399" t="s">
        <v>65</v>
      </c>
      <c r="HG123" s="400">
        <f>+(HG$39+HG$45-HG9-HG10)/HG$86</f>
        <v>2.1606040709126724</v>
      </c>
      <c r="HH123" s="400">
        <f>+(HH$39+HH$45-HH9-HH10)/HH$86</f>
        <v>2.244778502061993</v>
      </c>
      <c r="HI123" s="400">
        <f>+(HI$39+HI$45-HI9-HI10)/HI$86</f>
        <v>2.3544951590594745</v>
      </c>
      <c r="HJ123" s="400">
        <f>+(HJ$39+HJ$45-HJ9-HJ10)/HJ$86</f>
        <v>2.4046413502109703</v>
      </c>
      <c r="HK123" s="400">
        <f>+(HK$39+HK$45-HK9-HK10)/HK$86</f>
        <v>2.4046413502109703</v>
      </c>
      <c r="HM123" s="399" t="s">
        <v>65</v>
      </c>
      <c r="HN123" s="400">
        <f>+(HN$39+HN$45-HN9-HN10)/HN$86</f>
        <v>2.4194511588226932</v>
      </c>
      <c r="HO123" s="400">
        <f>+(HO$39+HO$45-HO9-HO10)/HO$86</f>
        <v>2.4641073212501783</v>
      </c>
      <c r="HP123" s="400">
        <f>+(HP$39+HP$45-HP9-HP10)/HP$86</f>
        <v>2.3758266497819052</v>
      </c>
      <c r="HQ123" s="400">
        <f>+(HQ$39+HQ$45-HQ9-HQ10)/HQ$86</f>
        <v>2.4957923263443162</v>
      </c>
      <c r="HR123" s="400">
        <f>+(HR$39+HR$45-HR9-HR10)/HR$86</f>
        <v>2.4957923263443162</v>
      </c>
      <c r="HT123" s="399" t="s">
        <v>65</v>
      </c>
      <c r="HU123" s="400">
        <f>+(HU$39+HU$45-HU9-HU10)/HU$86</f>
        <v>2.701171875</v>
      </c>
      <c r="HV123" s="400">
        <f>+(HV$39+HV$45-HV9-HV10)/HV$86</f>
        <v>2.8521725919173502</v>
      </c>
      <c r="HW123" s="400">
        <f>+(HW$39+HW$45-HW9-HW10)/HW$86</f>
        <v>2.8432996013492793</v>
      </c>
      <c r="HX123" s="400">
        <f>+(HX$39+HX$45-HX9-HX10)/HX$86</f>
        <v>2.8205207687538749</v>
      </c>
      <c r="HY123" s="400">
        <f>+(HY$39+HY$45-HY9-HY10)/HY$86</f>
        <v>2.8205207687538749</v>
      </c>
      <c r="IA123" s="399" t="s">
        <v>65</v>
      </c>
      <c r="IB123" s="400">
        <f>+(IB$39+IB$45-IB9-IB10)/IB$86</f>
        <v>2.8031164673402782</v>
      </c>
      <c r="IC123" s="400">
        <f>+(IC$39+IC$45-IC9-IC10)/IC$86</f>
        <v>2.8049053669659814</v>
      </c>
      <c r="ID123" s="400">
        <f>+(ID$39+ID$45-ID9-ID10)/ID$86</f>
        <v>2.7664691882588079</v>
      </c>
      <c r="IE123" s="400">
        <f>+(IE$39+IE$45-IE9-IE10)/IE$86</f>
        <v>2.7174902996078929</v>
      </c>
      <c r="IF123" s="400">
        <f>+(IF$39+IF$45-IF9-IF10)/IF$86</f>
        <v>2.7174902996078951</v>
      </c>
      <c r="IH123" s="399" t="s">
        <v>65</v>
      </c>
      <c r="II123" s="400">
        <f>+(II$39+II$45-II9-II10)/II$86</f>
        <v>2.7027577592833052</v>
      </c>
      <c r="IJ123" s="400">
        <f>+(IJ$39+IJ$45-IJ9-IJ10)/IJ$86</f>
        <v>2.6411305505515346</v>
      </c>
      <c r="IK123" s="400">
        <f>+(IK$39+IK$45-IK9-IK10)/IK$86</f>
        <v>2.593534685313116</v>
      </c>
      <c r="IL123" s="400">
        <f>+(IL$39+IL$45-IL9-IL10)/IL$86</f>
        <v>2.5543993634994364</v>
      </c>
      <c r="IM123" s="400">
        <f>+(IM$39+IM$45-IM9-IM10)/IM$86</f>
        <v>2.5543993634994364</v>
      </c>
      <c r="IO123" s="399" t="s">
        <v>65</v>
      </c>
      <c r="IP123" s="400">
        <f>+(IP$39+IP$45-IP9-IP10)/IP$86</f>
        <v>2.5919695958175906</v>
      </c>
      <c r="IQ123" s="400">
        <f>+(IQ$39+IQ$45-IQ9-IQ10)/IQ$86</f>
        <v>2.5111620826230476</v>
      </c>
      <c r="IR123" s="400">
        <f>+(IR$39+IR$45-IR9-IR10)/IR$86</f>
        <v>2.4800904960198826</v>
      </c>
      <c r="IS123" s="400">
        <f>+(IS$39+IS$45-IS9-IS10)/IS$86</f>
        <v>2.451805834981057</v>
      </c>
      <c r="IT123" s="400">
        <f>+(IT$39+IT$45-IT9-IT10)/IT$86</f>
        <v>2.4518058349810561</v>
      </c>
    </row>
    <row r="124" spans="1:254" x14ac:dyDescent="0.4">
      <c r="B124" s="76"/>
      <c r="AB124" s="80"/>
      <c r="AC124" s="80"/>
      <c r="AD124" s="80"/>
      <c r="AE124" s="80"/>
      <c r="AF124" s="80"/>
      <c r="AG124" s="78"/>
      <c r="AH124" s="78"/>
      <c r="AI124" s="78"/>
      <c r="AJ124" s="78"/>
      <c r="AK124" s="78"/>
      <c r="AL124" s="78"/>
      <c r="AM124" s="78"/>
      <c r="AN124" s="78"/>
      <c r="AO124" s="78"/>
      <c r="AP124" s="78"/>
      <c r="AQ124" s="78"/>
      <c r="AR124" s="78"/>
      <c r="AT124" s="76"/>
      <c r="BA124" s="76"/>
      <c r="BH124" s="76"/>
      <c r="BO124" s="76"/>
      <c r="BV124" s="76"/>
      <c r="CC124" s="76"/>
      <c r="CJ124" s="76"/>
      <c r="CQ124" s="76"/>
      <c r="CX124" s="76"/>
      <c r="DE124" s="76"/>
      <c r="DL124" s="76"/>
      <c r="DS124" s="76"/>
      <c r="DZ124" s="76"/>
      <c r="EG124" s="76"/>
      <c r="EN124" s="76"/>
      <c r="EU124" s="76"/>
      <c r="FB124" s="76"/>
      <c r="FI124" s="76"/>
      <c r="FP124" s="76"/>
      <c r="FW124" s="76"/>
      <c r="GD124" s="76"/>
      <c r="GK124" s="76"/>
      <c r="GR124" s="76"/>
      <c r="GY124" s="76"/>
      <c r="HF124" s="76"/>
      <c r="HM124" s="76"/>
      <c r="HT124" s="76"/>
      <c r="HU124" s="80"/>
      <c r="HV124" s="80"/>
      <c r="HW124" s="80"/>
      <c r="HX124" s="80"/>
      <c r="HY124" s="80"/>
      <c r="IA124" s="76"/>
      <c r="IB124" s="80"/>
      <c r="IC124" s="80"/>
      <c r="ID124" s="80"/>
      <c r="IE124" s="80"/>
      <c r="IF124" s="80"/>
      <c r="IH124" s="76"/>
      <c r="II124" s="80"/>
      <c r="IJ124" s="80"/>
      <c r="IK124" s="80"/>
      <c r="IL124" s="80"/>
      <c r="IM124" s="80"/>
      <c r="IO124" s="76"/>
      <c r="IP124" s="80"/>
      <c r="IQ124" s="80"/>
      <c r="IR124" s="80"/>
      <c r="IS124" s="80"/>
      <c r="IT124" s="80"/>
    </row>
    <row r="125" spans="1:254" x14ac:dyDescent="0.4">
      <c r="B125" s="399" t="s">
        <v>66</v>
      </c>
      <c r="C125" s="400">
        <f>AY125</f>
        <v>0</v>
      </c>
      <c r="D125" s="400">
        <f>BF125</f>
        <v>0</v>
      </c>
      <c r="E125" s="400">
        <f>BM125</f>
        <v>0</v>
      </c>
      <c r="F125" s="400">
        <f>BT125</f>
        <v>0</v>
      </c>
      <c r="G125" s="400">
        <f>CA125</f>
        <v>0</v>
      </c>
      <c r="H125" s="400">
        <f>CH125</f>
        <v>0</v>
      </c>
      <c r="I125" s="400">
        <f>CO125</f>
        <v>5.5933806146572103</v>
      </c>
      <c r="J125" s="400">
        <f>CV125</f>
        <v>7.6301020408163263</v>
      </c>
      <c r="K125" s="400">
        <f>DC125</f>
        <v>7.5539568345323742</v>
      </c>
      <c r="L125" s="400">
        <f>DJ125</f>
        <v>7.0905587668593446</v>
      </c>
      <c r="M125" s="400">
        <f>DQ125</f>
        <v>5.6971326164874556</v>
      </c>
      <c r="N125" s="400">
        <f>DX125</f>
        <v>7.2675044883303412</v>
      </c>
      <c r="O125" s="400">
        <f>EE125</f>
        <v>7.9601449275362315</v>
      </c>
      <c r="P125" s="400">
        <f>EL125</f>
        <v>7.978798586572438</v>
      </c>
      <c r="Q125" s="400">
        <f>ES125</f>
        <v>8.2010676156583635</v>
      </c>
      <c r="R125" s="400">
        <f>EZ125</f>
        <v>8.7412844036697255</v>
      </c>
      <c r="S125" s="400">
        <f>FG125</f>
        <v>8.8088235294117645</v>
      </c>
      <c r="T125" s="400">
        <f>FN125</f>
        <v>8.1001727115716751</v>
      </c>
      <c r="U125" s="400">
        <f>FU125</f>
        <v>9.4010989010989015</v>
      </c>
      <c r="V125" s="400">
        <f>GB125</f>
        <v>9.7026604068857587</v>
      </c>
      <c r="W125" s="400">
        <f>GI125</f>
        <v>8.567164179104477</v>
      </c>
      <c r="X125" s="400">
        <f>GP125</f>
        <v>7.6193633952254638</v>
      </c>
      <c r="Y125" s="400">
        <f>GW125</f>
        <v>9.2313019390581719</v>
      </c>
      <c r="Z125" s="400">
        <f>HD125</f>
        <v>9.974393530997304</v>
      </c>
      <c r="AA125" s="400">
        <f>HK125</f>
        <v>8.788627935723115</v>
      </c>
      <c r="AB125" s="400">
        <f>HR125</f>
        <v>8.4266826923076916</v>
      </c>
      <c r="AC125" s="400">
        <f>HY125</f>
        <v>7.6445497630331758</v>
      </c>
      <c r="AD125" s="400">
        <f>IF125</f>
        <v>8.3255340336327137</v>
      </c>
      <c r="AE125" s="400">
        <f>IM125</f>
        <v>8.8967008933842688</v>
      </c>
      <c r="AF125" s="400">
        <f>IT125</f>
        <v>9.5622014548829259</v>
      </c>
      <c r="AG125" s="401"/>
      <c r="AH125" s="401"/>
      <c r="AI125" s="401"/>
      <c r="AJ125" s="401"/>
      <c r="AK125" s="401"/>
      <c r="AL125" s="401"/>
      <c r="AM125" s="401"/>
      <c r="AN125" s="401"/>
      <c r="AO125" s="401"/>
      <c r="AP125" s="401"/>
      <c r="AQ125" s="401"/>
      <c r="AR125" s="401"/>
      <c r="AT125" s="399" t="s">
        <v>66</v>
      </c>
      <c r="AU125" s="400"/>
      <c r="AV125" s="400"/>
      <c r="AW125" s="400"/>
      <c r="AX125" s="400"/>
      <c r="AY125" s="400"/>
      <c r="BA125" s="399" t="s">
        <v>66</v>
      </c>
      <c r="BB125" s="400"/>
      <c r="BC125" s="400"/>
      <c r="BD125" s="400"/>
      <c r="BE125" s="400"/>
      <c r="BF125" s="400"/>
      <c r="BH125" s="399" t="s">
        <v>66</v>
      </c>
      <c r="BI125" s="400"/>
      <c r="BJ125" s="400"/>
      <c r="BK125" s="400"/>
      <c r="BL125" s="400"/>
      <c r="BM125" s="400"/>
      <c r="BO125" s="399" t="s">
        <v>66</v>
      </c>
      <c r="BP125" s="400"/>
      <c r="BQ125" s="400"/>
      <c r="BR125" s="400"/>
      <c r="BS125" s="400"/>
      <c r="BT125" s="400"/>
      <c r="BV125" s="399" t="s">
        <v>66</v>
      </c>
      <c r="BW125" s="400"/>
      <c r="BX125" s="400"/>
      <c r="BY125" s="400"/>
      <c r="BZ125" s="400"/>
      <c r="CA125" s="400"/>
      <c r="CC125" s="399" t="s">
        <v>66</v>
      </c>
      <c r="CD125" s="400"/>
      <c r="CE125" s="400"/>
      <c r="CF125" s="400"/>
      <c r="CG125" s="400"/>
      <c r="CH125" s="400"/>
      <c r="CJ125" s="399" t="s">
        <v>66</v>
      </c>
      <c r="CK125" s="400"/>
      <c r="CL125" s="400"/>
      <c r="CM125" s="400"/>
      <c r="CN125" s="400"/>
      <c r="CO125" s="400">
        <f>+CO$86/CO$92</f>
        <v>5.5933806146572103</v>
      </c>
      <c r="CQ125" s="399" t="s">
        <v>66</v>
      </c>
      <c r="CR125" s="400">
        <f>+CR$86/CR$92</f>
        <v>5.6609336609336607</v>
      </c>
      <c r="CS125" s="400">
        <f>+CS$86/CS$92</f>
        <v>6.9417721518987339</v>
      </c>
      <c r="CT125" s="400">
        <f>+CT$86/CT$92</f>
        <v>7.3826530612244898</v>
      </c>
      <c r="CU125" s="400">
        <f>+CU$86/CU$92</f>
        <v>7.6301020408163263</v>
      </c>
      <c r="CV125" s="400">
        <f>+CV$86/CV$92</f>
        <v>7.6301020408163263</v>
      </c>
      <c r="CX125" s="399" t="s">
        <v>66</v>
      </c>
      <c r="CY125" s="400">
        <f>+CY$86/CY$92</f>
        <v>7.2417302798982188</v>
      </c>
      <c r="CZ125" s="400">
        <f>+CZ$86/CZ$92</f>
        <v>7.5101010101010104</v>
      </c>
      <c r="DA125" s="400">
        <f>+DA$86/DA$92</f>
        <v>7.5885286783042396</v>
      </c>
      <c r="DB125" s="400">
        <f>+DB$86/DB$92</f>
        <v>7.5539568345323742</v>
      </c>
      <c r="DC125" s="400">
        <f>+DC$86/DC$92</f>
        <v>7.5539568345323742</v>
      </c>
      <c r="DE125" s="399" t="s">
        <v>66</v>
      </c>
      <c r="DF125" s="400">
        <f>+DF$86/DF$92</f>
        <v>6.251716247139588</v>
      </c>
      <c r="DG125" s="400">
        <f>+DG$86/DG$92</f>
        <v>7.2537313432835822</v>
      </c>
      <c r="DH125" s="400">
        <f>+DH$86/DH$92</f>
        <v>7.2068273092369477</v>
      </c>
      <c r="DI125" s="400">
        <f>+DI$86/DI$92</f>
        <v>7.0905587668593446</v>
      </c>
      <c r="DJ125" s="400">
        <f>+DJ$86/DJ$92</f>
        <v>7.0905587668593446</v>
      </c>
      <c r="DL125" s="399" t="s">
        <v>66</v>
      </c>
      <c r="DM125" s="400">
        <f>+DM$86/DM$92</f>
        <v>8.6728280961183</v>
      </c>
      <c r="DN125" s="400">
        <f>+DN$86/DN$92</f>
        <v>6.2760511882998173</v>
      </c>
      <c r="DO125" s="400">
        <f>+DO$86/DO$92</f>
        <v>5.9136690647482011</v>
      </c>
      <c r="DP125" s="400">
        <f>+DP$86/DP$92</f>
        <v>5.6971326164874556</v>
      </c>
      <c r="DQ125" s="400">
        <f>+DQ$86/DQ$92</f>
        <v>5.6971326164874556</v>
      </c>
      <c r="DS125" s="399" t="s">
        <v>66</v>
      </c>
      <c r="DT125" s="400">
        <f>+DT$86/DT$92</f>
        <v>5.1699463327370303</v>
      </c>
      <c r="DU125" s="400">
        <f>+DU$86/DU$92</f>
        <v>6.3369369369369366</v>
      </c>
      <c r="DV125" s="400">
        <f>+DV$86/DV$92</f>
        <v>6.8791208791208796</v>
      </c>
      <c r="DW125" s="400">
        <f>+DW$86/DW$92</f>
        <v>7.2675044883303412</v>
      </c>
      <c r="DX125" s="400">
        <f>+DX$86/DX$92</f>
        <v>7.2675044883303412</v>
      </c>
      <c r="DZ125" s="399" t="s">
        <v>66</v>
      </c>
      <c r="EA125" s="400">
        <f>+EA$86/EA$92</f>
        <v>6.724324324324324</v>
      </c>
      <c r="EB125" s="400">
        <f>+EB$86/EB$92</f>
        <v>7.8483754512635375</v>
      </c>
      <c r="EC125" s="400">
        <f>+EC$86/EC$92</f>
        <v>7.8787878787878789</v>
      </c>
      <c r="ED125" s="400">
        <f>+ED$86/ED$92</f>
        <v>7.9601449275362315</v>
      </c>
      <c r="EE125" s="400">
        <f>+EE$86/EE$92</f>
        <v>7.9601449275362315</v>
      </c>
      <c r="EG125" s="399" t="s">
        <v>66</v>
      </c>
      <c r="EH125" s="400">
        <f>+EH$86/EH$92</f>
        <v>8.2014388489208638</v>
      </c>
      <c r="EI125" s="400">
        <f>+EI$86/EI$92</f>
        <v>8.0659536541889487</v>
      </c>
      <c r="EJ125" s="400">
        <f>+EJ$86/EJ$92</f>
        <v>8.0534759358288763</v>
      </c>
      <c r="EK125" s="400">
        <f>+EK$86/EK$92</f>
        <v>7.978798586572438</v>
      </c>
      <c r="EL125" s="400">
        <f>+EL$86/EL$92</f>
        <v>7.978798586572438</v>
      </c>
      <c r="EN125" s="399" t="s">
        <v>66</v>
      </c>
      <c r="EO125" s="400">
        <f>+EO$86/EO$92</f>
        <v>7.743409490333919</v>
      </c>
      <c r="EP125" s="400">
        <f>+EP$86/EP$92</f>
        <v>8.0368421052631582</v>
      </c>
      <c r="EQ125" s="400">
        <f>+EQ$86/EQ$92</f>
        <v>8.080985915492958</v>
      </c>
      <c r="ER125" s="400">
        <f>+ER$86/ER$92</f>
        <v>8.2010676156583635</v>
      </c>
      <c r="ES125" s="400">
        <f>+ES$86/ES$92</f>
        <v>8.2010676156583635</v>
      </c>
      <c r="EU125" s="399" t="s">
        <v>66</v>
      </c>
      <c r="EV125" s="400">
        <f>+EV$86/EV$92</f>
        <v>7.6486486486486482</v>
      </c>
      <c r="EW125" s="400">
        <f>+EW$86/EW$92</f>
        <v>8.2381818181818183</v>
      </c>
      <c r="EX125" s="400">
        <f>+EX$86/EX$92</f>
        <v>8.4700544464609795</v>
      </c>
      <c r="EY125" s="400">
        <f>+EY$86/EY$92</f>
        <v>8.7412844036697255</v>
      </c>
      <c r="EZ125" s="400">
        <f>+EZ$86/EZ$92</f>
        <v>8.7412844036697255</v>
      </c>
      <c r="FB125" s="399" t="s">
        <v>66</v>
      </c>
      <c r="FC125" s="400">
        <f>+FC$86/FC$92</f>
        <v>9.8682745825602964</v>
      </c>
      <c r="FD125" s="400">
        <f>+FD$86/FD$92</f>
        <v>9.1301115241635689</v>
      </c>
      <c r="FE125" s="400">
        <f>+FE$86/FE$92</f>
        <v>9.0875232774674117</v>
      </c>
      <c r="FF125" s="400">
        <f>+FF$86/FF$92</f>
        <v>8.8088235294117645</v>
      </c>
      <c r="FG125" s="400">
        <f>+FG$86/FG$92</f>
        <v>8.8088235294117645</v>
      </c>
      <c r="FI125" s="399" t="s">
        <v>66</v>
      </c>
      <c r="FJ125" s="400">
        <f>+FJ$86/FJ$92</f>
        <v>9.0253164556962027</v>
      </c>
      <c r="FK125" s="400">
        <f>+FK$86/FK$92</f>
        <v>8.0607142857142851</v>
      </c>
      <c r="FL125" s="400">
        <f>+FL$86/FL$92</f>
        <v>7.8880994671403197</v>
      </c>
      <c r="FM125" s="400">
        <f>+FM$86/FM$92</f>
        <v>8.1001727115716751</v>
      </c>
      <c r="FN125" s="400">
        <f>+FN$86/FN$92</f>
        <v>8.1001727115716751</v>
      </c>
      <c r="FP125" s="399" t="s">
        <v>66</v>
      </c>
      <c r="FQ125" s="400">
        <f>+FQ$86/FQ$92</f>
        <v>8.4991273996509591</v>
      </c>
      <c r="FR125" s="400">
        <f>+FR$86/FR$92</f>
        <v>8.984182776801406</v>
      </c>
      <c r="FS125" s="400">
        <f>+FS$86/FS$92</f>
        <v>9.1637010676156585</v>
      </c>
      <c r="FT125" s="400">
        <f>+FT$86/FT$92</f>
        <v>9.4010989010989015</v>
      </c>
      <c r="FU125" s="400">
        <f>+FU$86/FU$92</f>
        <v>9.4010989010989015</v>
      </c>
      <c r="FW125" s="399" t="s">
        <v>66</v>
      </c>
      <c r="FX125" s="400">
        <f>+FX$86/FX$92</f>
        <v>9.6433691756272406</v>
      </c>
      <c r="FY125" s="400">
        <f>+FY$86/FY$92</f>
        <v>9.5397923875432529</v>
      </c>
      <c r="FZ125" s="400">
        <f>+FZ$86/FZ$92</f>
        <v>9.7713815789473681</v>
      </c>
      <c r="GA125" s="400">
        <f>+GA$86/GA$92</f>
        <v>9.7026604068857587</v>
      </c>
      <c r="GB125" s="400">
        <f>+GB$86/GB$92</f>
        <v>9.7026604068857587</v>
      </c>
      <c r="GD125" s="399" t="s">
        <v>66</v>
      </c>
      <c r="GE125" s="400">
        <f>+GE$86/GE$92</f>
        <v>9.865269461077844</v>
      </c>
      <c r="GF125" s="400">
        <f>+GF$86/GF$92</f>
        <v>9.2258992805755398</v>
      </c>
      <c r="GG125" s="400">
        <f>+GG$86/GG$92</f>
        <v>8.9151599443671774</v>
      </c>
      <c r="GH125" s="400">
        <f>+GH$86/GH$92</f>
        <v>8.567164179104477</v>
      </c>
      <c r="GI125" s="400">
        <f>+GI$86/GI$92</f>
        <v>8.567164179104477</v>
      </c>
      <c r="GK125" s="399" t="s">
        <v>66</v>
      </c>
      <c r="GL125" s="400">
        <f>+GL$86/GL$92</f>
        <v>9.1152815013404833</v>
      </c>
      <c r="GM125" s="400">
        <f>+GM$86/GM$92</f>
        <v>7.7250996015936257</v>
      </c>
      <c r="GN125" s="400">
        <f>+GN$86/GN$92</f>
        <v>7.5344827586206895</v>
      </c>
      <c r="GO125" s="400">
        <f>+GO$86/GO$92</f>
        <v>7.6193633952254638</v>
      </c>
      <c r="GP125" s="400">
        <f>+GP$86/GP$92</f>
        <v>7.6193633952254638</v>
      </c>
      <c r="GR125" s="399" t="s">
        <v>66</v>
      </c>
      <c r="GS125" s="400">
        <f>+GS$86/GS$92</f>
        <v>6.7896138482023964</v>
      </c>
      <c r="GT125" s="400">
        <f>+GT$86/GT$92</f>
        <v>8.3495276653171384</v>
      </c>
      <c r="GU125" s="400">
        <f>+GU$86/GU$92</f>
        <v>8.8932968536251717</v>
      </c>
      <c r="GV125" s="400">
        <f>+GV$86/GV$92</f>
        <v>9.2313019390581719</v>
      </c>
      <c r="GW125" s="400">
        <f>+GW$86/GW$92</f>
        <v>9.2313019390581719</v>
      </c>
      <c r="GY125" s="399" t="s">
        <v>66</v>
      </c>
      <c r="GZ125" s="400">
        <f>+GZ$86/GZ$92</f>
        <v>8.1101813110181311</v>
      </c>
      <c r="HA125" s="400">
        <f>+HA$86/HA$92</f>
        <v>10.072135785007072</v>
      </c>
      <c r="HB125" s="400">
        <f>+HB$86/HB$92</f>
        <v>10.062240663900415</v>
      </c>
      <c r="HC125" s="400">
        <f>+HC$86/HC$92</f>
        <v>9.974393530997304</v>
      </c>
      <c r="HD125" s="400">
        <f>+HD$86/HD$92</f>
        <v>9.974393530997304</v>
      </c>
      <c r="HF125" s="399" t="s">
        <v>66</v>
      </c>
      <c r="HG125" s="400">
        <f>+HG$86/HG$92</f>
        <v>9.9672774869109944</v>
      </c>
      <c r="HH125" s="400">
        <f>+HH$86/HH$92</f>
        <v>9.4672544080604535</v>
      </c>
      <c r="HI125" s="400">
        <f>+HI$86/HI$92</f>
        <v>8.9925373134328357</v>
      </c>
      <c r="HJ125" s="400">
        <f>+HJ$86/HJ$92</f>
        <v>8.788627935723115</v>
      </c>
      <c r="HK125" s="400">
        <f>+HK$86/HK$92</f>
        <v>8.788627935723115</v>
      </c>
      <c r="HM125" s="399" t="s">
        <v>66</v>
      </c>
      <c r="HN125" s="400">
        <f>+HN$86/HN$92</f>
        <v>8.5977995110024441</v>
      </c>
      <c r="HO125" s="400">
        <f>+HO$86/HO$92</f>
        <v>8.4830508474576263</v>
      </c>
      <c r="HP125" s="400">
        <f>+HP$86/HP$92</f>
        <v>8.5729794933655015</v>
      </c>
      <c r="HQ125" s="400">
        <f>+HQ$86/HQ$92</f>
        <v>8.4266826923076916</v>
      </c>
      <c r="HR125" s="400">
        <f>+HR$86/HR$92</f>
        <v>8.4266826923076916</v>
      </c>
      <c r="HT125" s="399" t="s">
        <v>66</v>
      </c>
      <c r="HU125" s="400">
        <f>+HU$86/HU$92</f>
        <v>8.0096269554753317</v>
      </c>
      <c r="HV125" s="400">
        <f>+HV$86/HV$92</f>
        <v>7.8920863309352516</v>
      </c>
      <c r="HW125" s="400">
        <f>+HW$86/HW$92</f>
        <v>7.7828162291169454</v>
      </c>
      <c r="HX125" s="400">
        <f>+HX$86/HX$92</f>
        <v>7.6445497630331758</v>
      </c>
      <c r="HY125" s="400">
        <f>+HY$86/HY$92</f>
        <v>7.6445497630331758</v>
      </c>
      <c r="IA125" s="399" t="s">
        <v>66</v>
      </c>
      <c r="IB125" s="400">
        <f>+IB$86/IB$92</f>
        <v>7.8194924527846483</v>
      </c>
      <c r="IC125" s="400">
        <f>+IC$86/IC$92</f>
        <v>7.9079009994995371</v>
      </c>
      <c r="ID125" s="400">
        <f>+ID$86/ID$92</f>
        <v>8.0577091727979084</v>
      </c>
      <c r="IE125" s="400">
        <f>+IE$86/IE$92</f>
        <v>8.3255340336327208</v>
      </c>
      <c r="IF125" s="400">
        <f>+IF$86/IF$92</f>
        <v>8.3255340336327137</v>
      </c>
      <c r="IH125" s="399" t="s">
        <v>66</v>
      </c>
      <c r="II125" s="400">
        <f>+II$86/II$92</f>
        <v>8.3934566902008729</v>
      </c>
      <c r="IJ125" s="400">
        <f>+IJ$86/IJ$92</f>
        <v>8.5971964104154956</v>
      </c>
      <c r="IK125" s="400">
        <f>+IK$86/IK$92</f>
        <v>8.7472215716332347</v>
      </c>
      <c r="IL125" s="400">
        <f>+IL$86/IL$92</f>
        <v>8.8967008933842688</v>
      </c>
      <c r="IM125" s="400">
        <f>+IM$86/IM$92</f>
        <v>8.8967008933842688</v>
      </c>
      <c r="IO125" s="399" t="s">
        <v>66</v>
      </c>
      <c r="IP125" s="400">
        <f>+IP$86/IP$92</f>
        <v>8.8897900017941929</v>
      </c>
      <c r="IQ125" s="400">
        <f>+IQ$86/IQ$92</f>
        <v>9.2309812907863176</v>
      </c>
      <c r="IR125" s="400">
        <f>+IR$86/IR$92</f>
        <v>9.3876862728822115</v>
      </c>
      <c r="IS125" s="400">
        <f>+IS$86/IS$92</f>
        <v>9.5622014548829242</v>
      </c>
      <c r="IT125" s="400">
        <f>+IT$86/IT$92</f>
        <v>9.5622014548829259</v>
      </c>
    </row>
    <row r="126" spans="1:254" x14ac:dyDescent="0.4">
      <c r="B126" s="399" t="s">
        <v>67</v>
      </c>
      <c r="C126" s="400">
        <f>AY126</f>
        <v>0</v>
      </c>
      <c r="D126" s="400">
        <f>BF126</f>
        <v>0</v>
      </c>
      <c r="E126" s="400">
        <f>BM126</f>
        <v>0</v>
      </c>
      <c r="F126" s="400">
        <f>BT126</f>
        <v>0</v>
      </c>
      <c r="G126" s="400">
        <f>CA126</f>
        <v>0</v>
      </c>
      <c r="H126" s="400">
        <f>CH126</f>
        <v>0</v>
      </c>
      <c r="I126" s="400">
        <f>CO126</f>
        <v>2.9078014184397163</v>
      </c>
      <c r="J126" s="400">
        <f>CV126</f>
        <v>3.4489795918367347</v>
      </c>
      <c r="K126" s="400">
        <f>DC126</f>
        <v>3.3021582733812949</v>
      </c>
      <c r="L126" s="400">
        <f>DJ126</f>
        <v>3.7784200385356455</v>
      </c>
      <c r="M126" s="400">
        <f>DQ126</f>
        <v>3.1415770609318998</v>
      </c>
      <c r="N126" s="400">
        <f>DX126</f>
        <v>3.964093357271095</v>
      </c>
      <c r="O126" s="400">
        <f>EE126</f>
        <v>3.7989130434782608</v>
      </c>
      <c r="P126" s="400">
        <f>EL126</f>
        <v>3.8427561837455833</v>
      </c>
      <c r="Q126" s="400">
        <f>ES126</f>
        <v>4.0854092526690389</v>
      </c>
      <c r="R126" s="400">
        <f>EZ126</f>
        <v>4.2477064220183482</v>
      </c>
      <c r="S126" s="400">
        <f>FG126</f>
        <v>4.0992647058823533</v>
      </c>
      <c r="T126" s="400">
        <f>FN126</f>
        <v>3.9585492227979273</v>
      </c>
      <c r="U126" s="400">
        <f>FU126</f>
        <v>5.6648351648351651</v>
      </c>
      <c r="V126" s="400">
        <f>GB126</f>
        <v>6.971830985915493</v>
      </c>
      <c r="W126" s="400">
        <f>GI126</f>
        <v>6.3188602442333783</v>
      </c>
      <c r="X126" s="400">
        <f>GP126</f>
        <v>5.4628647214854116</v>
      </c>
      <c r="Y126" s="400">
        <f>GW126</f>
        <v>6.7506925207756234</v>
      </c>
      <c r="Z126" s="400">
        <f>HD126</f>
        <v>7.0997304582210239</v>
      </c>
      <c r="AA126" s="400">
        <f>HK126</f>
        <v>5.9690976514215084</v>
      </c>
      <c r="AB126" s="400">
        <f>HR126</f>
        <v>5.3870192307692308</v>
      </c>
      <c r="AC126" s="400">
        <f>HY126</f>
        <v>4.2061611374407581</v>
      </c>
      <c r="AD126" s="400">
        <f>IF126</f>
        <v>5.3360399333785269</v>
      </c>
      <c r="AE126" s="400">
        <f>IM126</f>
        <v>5.9194189023652148</v>
      </c>
      <c r="AF126" s="400">
        <f>IT126</f>
        <v>6.4057540896218832</v>
      </c>
      <c r="AG126" s="401"/>
      <c r="AH126" s="401"/>
      <c r="AI126" s="401"/>
      <c r="AJ126" s="401"/>
      <c r="AK126" s="401"/>
      <c r="AL126" s="401"/>
      <c r="AM126" s="401"/>
      <c r="AN126" s="401"/>
      <c r="AO126" s="401"/>
      <c r="AP126" s="401"/>
      <c r="AQ126" s="401"/>
      <c r="AR126" s="401"/>
      <c r="AT126" s="399" t="s">
        <v>67</v>
      </c>
      <c r="AU126" s="400"/>
      <c r="AV126" s="400"/>
      <c r="AW126" s="400"/>
      <c r="AX126" s="400"/>
      <c r="AY126" s="400"/>
      <c r="BA126" s="399" t="s">
        <v>67</v>
      </c>
      <c r="BB126" s="400"/>
      <c r="BC126" s="400"/>
      <c r="BD126" s="400"/>
      <c r="BE126" s="400"/>
      <c r="BF126" s="400"/>
      <c r="BH126" s="399" t="s">
        <v>67</v>
      </c>
      <c r="BI126" s="400"/>
      <c r="BJ126" s="400"/>
      <c r="BK126" s="400"/>
      <c r="BL126" s="400"/>
      <c r="BM126" s="400"/>
      <c r="BO126" s="399" t="s">
        <v>67</v>
      </c>
      <c r="BP126" s="400"/>
      <c r="BQ126" s="400"/>
      <c r="BR126" s="400"/>
      <c r="BS126" s="400"/>
      <c r="BT126" s="400"/>
      <c r="BV126" s="399" t="s">
        <v>67</v>
      </c>
      <c r="BW126" s="400"/>
      <c r="BX126" s="400"/>
      <c r="BY126" s="400"/>
      <c r="BZ126" s="400"/>
      <c r="CA126" s="400"/>
      <c r="CC126" s="399" t="s">
        <v>67</v>
      </c>
      <c r="CD126" s="400"/>
      <c r="CE126" s="400"/>
      <c r="CF126" s="400"/>
      <c r="CG126" s="400"/>
      <c r="CH126" s="400"/>
      <c r="CJ126" s="399" t="s">
        <v>67</v>
      </c>
      <c r="CK126" s="400"/>
      <c r="CL126" s="400"/>
      <c r="CM126" s="400"/>
      <c r="CN126" s="400"/>
      <c r="CO126" s="400">
        <f>+(CO$86-CO$100)/CO$92</f>
        <v>2.9078014184397163</v>
      </c>
      <c r="CQ126" s="399" t="s">
        <v>67</v>
      </c>
      <c r="CR126" s="400">
        <f>+(CR$86-CR$100)/CR$92</f>
        <v>2.3783783783783785</v>
      </c>
      <c r="CS126" s="400">
        <f>+(CS$86-CS$100)/CS$92</f>
        <v>2.8050632911392404</v>
      </c>
      <c r="CT126" s="400">
        <f>+(CT$86-CT$100)/CT$92</f>
        <v>3.2653061224489797</v>
      </c>
      <c r="CU126" s="400">
        <f>+(CU$86-CU$100)/CU$92</f>
        <v>3.4489795918367347</v>
      </c>
      <c r="CV126" s="400">
        <f>+(CV$86-CV$100)/CV$92</f>
        <v>3.4489795918367347</v>
      </c>
      <c r="CX126" s="399" t="s">
        <v>67</v>
      </c>
      <c r="CY126" s="400">
        <f>+(CY$86-CY$100)/CY$92</f>
        <v>2.9160305343511452</v>
      </c>
      <c r="CZ126" s="400">
        <f>+(CZ$86-CZ$100)/CZ$92</f>
        <v>3.5101010101010099</v>
      </c>
      <c r="DA126" s="400">
        <f>+(DA$86-DA$100)/DA$92</f>
        <v>3.5236907730673317</v>
      </c>
      <c r="DB126" s="400">
        <f>+(DB$86-DB$100)/DB$92</f>
        <v>3.3021582733812949</v>
      </c>
      <c r="DC126" s="400">
        <f>+(DC$86-DC$100)/DC$92</f>
        <v>3.3021582733812949</v>
      </c>
      <c r="DE126" s="399" t="s">
        <v>67</v>
      </c>
      <c r="DF126" s="400">
        <f>+(DF$86-DF$100)/DF$92</f>
        <v>2.1533180778032035</v>
      </c>
      <c r="DG126" s="400">
        <f>+(DG$86-DG$100)/DG$92</f>
        <v>3.2857142857142856</v>
      </c>
      <c r="DH126" s="400">
        <f>+(DH$86-DH$100)/DH$92</f>
        <v>3.4196787148594376</v>
      </c>
      <c r="DI126" s="400">
        <f>+(DI$86-DI$100)/DI$92</f>
        <v>3.7784200385356455</v>
      </c>
      <c r="DJ126" s="400">
        <f>+(DJ$86-DJ$100)/DJ$92</f>
        <v>3.7784200385356455</v>
      </c>
      <c r="DL126" s="399" t="s">
        <v>67</v>
      </c>
      <c r="DM126" s="400">
        <f>+(DM$86-DM$100)/DM$92</f>
        <v>5.748613678373383</v>
      </c>
      <c r="DN126" s="400">
        <f>+(DN$86-DN$100)/DN$92</f>
        <v>3.5996343692870201</v>
      </c>
      <c r="DO126" s="400">
        <f>+(DO$86-DO$100)/DO$92</f>
        <v>3.3201438848920861</v>
      </c>
      <c r="DP126" s="400">
        <f>+(DP$86-DP$100)/DP$92</f>
        <v>3.1415770609318998</v>
      </c>
      <c r="DQ126" s="400">
        <f>+(DQ$86-DQ$100)/DQ$92</f>
        <v>3.1415770609318998</v>
      </c>
      <c r="DS126" s="399" t="s">
        <v>67</v>
      </c>
      <c r="DT126" s="400">
        <f>+(DT$86-DT$100)/DT$92</f>
        <v>2.5849731663685152</v>
      </c>
      <c r="DU126" s="400">
        <f>+(DU$86-DU$100)/DU$92</f>
        <v>3.7135135135135133</v>
      </c>
      <c r="DV126" s="400">
        <f>+(DV$86-DV$100)/DV$92</f>
        <v>4.1355311355311359</v>
      </c>
      <c r="DW126" s="400">
        <f>+(DW$86-DW$100)/DW$92</f>
        <v>3.964093357271095</v>
      </c>
      <c r="DX126" s="400">
        <f>+(DX$86-DX$100)/DX$92</f>
        <v>3.964093357271095</v>
      </c>
      <c r="DZ126" s="399" t="s">
        <v>67</v>
      </c>
      <c r="EA126" s="400">
        <f>+(EA$86-EA$100)/EA$92</f>
        <v>3.317117117117117</v>
      </c>
      <c r="EB126" s="400">
        <f>+(EB$86-EB$100)/EB$92</f>
        <v>4.0613718411552346</v>
      </c>
      <c r="EC126" s="400">
        <f>+(EC$86-EC$100)/EC$92</f>
        <v>4.0053475935828873</v>
      </c>
      <c r="ED126" s="400">
        <f>+(ED$86-ED$100)/ED$92</f>
        <v>3.7989130434782608</v>
      </c>
      <c r="EE126" s="400">
        <f>+(EE$86-EE$100)/EE$92</f>
        <v>3.7989130434782608</v>
      </c>
      <c r="EG126" s="399" t="s">
        <v>67</v>
      </c>
      <c r="EH126" s="400">
        <f>+(EH$86-EH$100)/EH$92</f>
        <v>3.9082733812949639</v>
      </c>
      <c r="EI126" s="400">
        <f>+(EI$86-EI$100)/EI$92</f>
        <v>3.4759358288770055</v>
      </c>
      <c r="EJ126" s="400">
        <f>+(EJ$86-EJ$100)/EJ$92</f>
        <v>3.2566844919786098</v>
      </c>
      <c r="EK126" s="400">
        <f>+(EK$86-EK$100)/EK$92</f>
        <v>3.8427561837455833</v>
      </c>
      <c r="EL126" s="400">
        <f>+(EL$86-EL$100)/EL$92</f>
        <v>3.8427561837455833</v>
      </c>
      <c r="EN126" s="399" t="s">
        <v>67</v>
      </c>
      <c r="EO126" s="400">
        <f>+(EO$86-EO$100)/EO$92</f>
        <v>3.5905096660808438</v>
      </c>
      <c r="EP126" s="400">
        <f>+(EP$86-EP$100)/EP$92</f>
        <v>4.1719298245614036</v>
      </c>
      <c r="EQ126" s="400">
        <f>+(EQ$86-EQ$100)/EQ$92</f>
        <v>4.211267605633803</v>
      </c>
      <c r="ER126" s="400">
        <f>+(ER$86-ER$100)/ER$92</f>
        <v>4.0854092526690389</v>
      </c>
      <c r="ES126" s="400">
        <f>+(ES$86-ES$100)/ES$92</f>
        <v>4.0854092526690389</v>
      </c>
      <c r="EU126" s="399" t="s">
        <v>67</v>
      </c>
      <c r="EV126" s="400">
        <f>+(EV$86-EV$100)/EV$92</f>
        <v>3.50990990990991</v>
      </c>
      <c r="EW126" s="400">
        <f>+(EW$86-EW$100)/EW$92</f>
        <v>4.2672727272727276</v>
      </c>
      <c r="EX126" s="400">
        <f>+(EX$86-EX$100)/EX$92</f>
        <v>4.5081669691470054</v>
      </c>
      <c r="EY126" s="400">
        <f>+(EY$86-EY$100)/EY$92</f>
        <v>4.2477064220183482</v>
      </c>
      <c r="EZ126" s="400">
        <f>+(EZ$86-EZ$100)/EZ$92</f>
        <v>4.2477064220183482</v>
      </c>
      <c r="FB126" s="399" t="s">
        <v>67</v>
      </c>
      <c r="FC126" s="400">
        <f>+(FC$86-FC$100)/FC$92</f>
        <v>5.0964749536178111</v>
      </c>
      <c r="FD126" s="400">
        <f>+(FD$86-FD$100)/FD$92</f>
        <v>3.9609665427509295</v>
      </c>
      <c r="FE126" s="400">
        <f>+(FE$86-FE$100)/FE$92</f>
        <v>3.8715083798882683</v>
      </c>
      <c r="FF126" s="400">
        <f>+(FF$86-FF$100)/FF$92</f>
        <v>4.0992647058823533</v>
      </c>
      <c r="FG126" s="400">
        <f>+(FG$86-FG$100)/FG$92</f>
        <v>4.0992647058823533</v>
      </c>
      <c r="FI126" s="399" t="s">
        <v>67</v>
      </c>
      <c r="FJ126" s="400">
        <f>+(FJ$86-FJ$100)/FJ$92</f>
        <v>4.7052441229656417</v>
      </c>
      <c r="FK126" s="400">
        <f>+(FK$86-FK$100)/FK$92</f>
        <v>3.8821428571428571</v>
      </c>
      <c r="FL126" s="400">
        <f>+(FL$86-FL$100)/FL$92</f>
        <v>3.9040852575488456</v>
      </c>
      <c r="FM126" s="400">
        <f>+(FM$86-FM$100)/FM$92</f>
        <v>3.9585492227979273</v>
      </c>
      <c r="FN126" s="400">
        <f>+(FN$86-FN$100)/FN$92</f>
        <v>3.9585492227979273</v>
      </c>
      <c r="FP126" s="399" t="s">
        <v>67</v>
      </c>
      <c r="FQ126" s="400">
        <f>+(FQ$86-FQ$100)/FQ$92</f>
        <v>4.2862129144851657</v>
      </c>
      <c r="FR126" s="400">
        <f>+(FR$86-FR$100)/FR$92</f>
        <v>4.9648506151142353</v>
      </c>
      <c r="FS126" s="400">
        <f>+(FS$86-FS$100)/FS$92</f>
        <v>5.1245551601423491</v>
      </c>
      <c r="FT126" s="400">
        <f>+(FT$86-FT$100)/FT$92</f>
        <v>5.6648351648351651</v>
      </c>
      <c r="FU126" s="400">
        <f>+(FU$86-FU$100)/FU$92</f>
        <v>5.6648351648351651</v>
      </c>
      <c r="FW126" s="399" t="s">
        <v>67</v>
      </c>
      <c r="FX126" s="400">
        <f>+(FX$86-FX$100)/FX$92</f>
        <v>6.118279569892473</v>
      </c>
      <c r="FY126" s="400">
        <f>+(FY$86-FY$100)/FY$92</f>
        <v>6.2387543252595155</v>
      </c>
      <c r="FZ126" s="400">
        <f>+(FZ$86-FZ$100)/FZ$92</f>
        <v>6.78125</v>
      </c>
      <c r="GA126" s="400">
        <f>+(GA$86-GA$100)/GA$92</f>
        <v>6.971830985915493</v>
      </c>
      <c r="GB126" s="400">
        <f>+(GB$86-GB$100)/GB$92</f>
        <v>6.971830985915493</v>
      </c>
      <c r="GD126" s="399" t="s">
        <v>67</v>
      </c>
      <c r="GE126" s="400">
        <f>+(GE$86-GE$100)/GE$92</f>
        <v>7.2754491017964069</v>
      </c>
      <c r="GF126" s="400">
        <f>+(GF$86-GF$100)/GF$92</f>
        <v>6.7928057553956833</v>
      </c>
      <c r="GG126" s="400">
        <f>+(GG$86-GG$100)/GG$92</f>
        <v>6.5563282336578581</v>
      </c>
      <c r="GH126" s="400">
        <f>+(GH$86-GH$100)/GH$92</f>
        <v>6.3188602442333783</v>
      </c>
      <c r="GI126" s="400">
        <f>+(GI$86-GI$100)/GI$92</f>
        <v>6.3188602442333783</v>
      </c>
      <c r="GK126" s="399" t="s">
        <v>67</v>
      </c>
      <c r="GL126" s="400">
        <f>+(GL$86-GL$100)/GL$92</f>
        <v>6.8565683646112596</v>
      </c>
      <c r="GM126" s="400">
        <f>+(GM$86-GM$100)/GM$92</f>
        <v>5.4820717131474099</v>
      </c>
      <c r="GN126" s="400">
        <f>+(GN$86-GN$100)/GN$92</f>
        <v>5.3129973474801062</v>
      </c>
      <c r="GO126" s="400">
        <f>+(GO$86-GO$100)/GO$92</f>
        <v>5.4628647214854116</v>
      </c>
      <c r="GP126" s="400">
        <f>+(GP$86-GP$100)/GP$92</f>
        <v>5.4628647214854116</v>
      </c>
      <c r="GR126" s="399" t="s">
        <v>67</v>
      </c>
      <c r="GS126" s="400">
        <f>+(GS$86-GS$100)/GS$92</f>
        <v>4.724367509986684</v>
      </c>
      <c r="GT126" s="400">
        <f>+(GT$86-GT$100)/GT$92</f>
        <v>6.2186234817813766</v>
      </c>
      <c r="GU126" s="400">
        <f>+(GU$86-GU$100)/GU$92</f>
        <v>6.6552667578659372</v>
      </c>
      <c r="GV126" s="400">
        <f>+(GV$86-GV$100)/GV$92</f>
        <v>6.7506925207756234</v>
      </c>
      <c r="GW126" s="400">
        <f>+(GW$86-GW$100)/GW$92</f>
        <v>6.7506925207756234</v>
      </c>
      <c r="GY126" s="399" t="s">
        <v>67</v>
      </c>
      <c r="GZ126" s="400">
        <f>+(GZ$86-GZ$100)/GZ$92</f>
        <v>5.5774058577405858</v>
      </c>
      <c r="HA126" s="400">
        <f>+(HA$86-HA$100)/HA$92</f>
        <v>7.4582743988684586</v>
      </c>
      <c r="HB126" s="400">
        <f>+(HB$86-HB$100)/HB$92</f>
        <v>7.2835408022130013</v>
      </c>
      <c r="HC126" s="400">
        <f>+(HC$86-HC$100)/HC$92</f>
        <v>7.0997304582210239</v>
      </c>
      <c r="HD126" s="400">
        <f>+(HD$86-HD$100)/HD$92</f>
        <v>7.0997304582210239</v>
      </c>
      <c r="HF126" s="399" t="s">
        <v>67</v>
      </c>
      <c r="HG126" s="400">
        <f>+(HG$86-HG$100)/HG$92</f>
        <v>7.0287958115183242</v>
      </c>
      <c r="HH126" s="400">
        <f>+(HH$86-HH$100)/HH$92</f>
        <v>6.523929471032746</v>
      </c>
      <c r="HI126" s="400">
        <f>+(HI$86-HI$100)/HI$92</f>
        <v>6.1492537313432836</v>
      </c>
      <c r="HJ126" s="400">
        <f>+(HJ$86-HJ$100)/HJ$92</f>
        <v>5.9690976514215084</v>
      </c>
      <c r="HK126" s="400">
        <f>+(HK$86-HK$100)/HK$92</f>
        <v>5.9690976514215084</v>
      </c>
      <c r="HM126" s="399" t="s">
        <v>67</v>
      </c>
      <c r="HN126" s="400">
        <f>+(HN$86-HN$100)/HN$92</f>
        <v>5.7188264058679703</v>
      </c>
      <c r="HO126" s="400">
        <f>+(HO$86-HO$100)/HO$92</f>
        <v>5.6598062953995161</v>
      </c>
      <c r="HP126" s="400">
        <f>+(HP$86-HP$100)/HP$92</f>
        <v>5.6996381182147164</v>
      </c>
      <c r="HQ126" s="400">
        <f>+(HQ$86-HQ$100)/HQ$92</f>
        <v>5.3870192307692308</v>
      </c>
      <c r="HR126" s="400">
        <f>+(HR$86-HR$100)/HR$92</f>
        <v>5.3870192307692308</v>
      </c>
      <c r="HT126" s="399" t="s">
        <v>67</v>
      </c>
      <c r="HU126" s="400">
        <f>+(HU$86-HU$100)/HU$92</f>
        <v>4.7232250300842358</v>
      </c>
      <c r="HV126" s="400">
        <f>+(HV$86-HV$100)/HV$92</f>
        <v>4.3453237410071939</v>
      </c>
      <c r="HW126" s="400">
        <f>+(HW$86-HW$100)/HW$92</f>
        <v>4.1276849642004771</v>
      </c>
      <c r="HX126" s="400">
        <f>+(HX$86-HX$100)/HX$92</f>
        <v>4.2061611374407581</v>
      </c>
      <c r="HY126" s="400">
        <f>+(HY$86-HY$100)/HY$92</f>
        <v>4.2061611374407581</v>
      </c>
      <c r="IA126" s="399" t="s">
        <v>67</v>
      </c>
      <c r="IB126" s="400">
        <f>+(IB$86-IB$100)/IB$92</f>
        <v>4.5005593812873146</v>
      </c>
      <c r="IC126" s="400">
        <f>+(IC$86-IC$100)/IC$92</f>
        <v>4.7615672195872305</v>
      </c>
      <c r="ID126" s="400">
        <f>+(ID$86-ID$100)/ID$92</f>
        <v>5.0314356316892788</v>
      </c>
      <c r="IE126" s="400">
        <f>+(IE$86-IE$100)/IE$92</f>
        <v>5.336039933378534</v>
      </c>
      <c r="IF126" s="400">
        <f>+(IF$86-IF$100)/IF$92</f>
        <v>5.3360399333785269</v>
      </c>
      <c r="IH126" s="399" t="s">
        <v>67</v>
      </c>
      <c r="II126" s="400">
        <f>+(II$86-II$100)/II$92</f>
        <v>5.4122881253960484</v>
      </c>
      <c r="IJ126" s="400">
        <f>+(IJ$86-IJ$100)/IJ$92</f>
        <v>5.6187679558801147</v>
      </c>
      <c r="IK126" s="400">
        <f>+(IK$86-IK$100)/IK$92</f>
        <v>5.768916087468547</v>
      </c>
      <c r="IL126" s="400">
        <f>+(IL$86-IL$100)/IL$92</f>
        <v>5.9194189023652148</v>
      </c>
      <c r="IM126" s="400">
        <f>+(IM$86-IM$100)/IM$92</f>
        <v>5.9194189023652148</v>
      </c>
      <c r="IO126" s="399" t="s">
        <v>67</v>
      </c>
      <c r="IP126" s="400">
        <f>+(IP$86-IP$100)/IP$92</f>
        <v>5.8678758056041165</v>
      </c>
      <c r="IQ126" s="400">
        <f>+(IQ$86-IQ$100)/IQ$92</f>
        <v>6.1643580283443242</v>
      </c>
      <c r="IR126" s="400">
        <f>+(IR$86-IR$100)/IR$92</f>
        <v>6.276135624194759</v>
      </c>
      <c r="IS126" s="400">
        <f>+(IS$86-IS$100)/IS$92</f>
        <v>6.4057540896218814</v>
      </c>
      <c r="IT126" s="400">
        <f>+(IT$86-IT$100)/IT$92</f>
        <v>6.4057540896218832</v>
      </c>
    </row>
    <row r="127" spans="1:254" x14ac:dyDescent="0.4">
      <c r="B127" s="83"/>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T127" s="83"/>
      <c r="AU127" s="84"/>
      <c r="AV127" s="84"/>
      <c r="AW127" s="84"/>
      <c r="AX127" s="84"/>
      <c r="AY127" s="84"/>
      <c r="BA127" s="83"/>
      <c r="BB127" s="84"/>
      <c r="BC127" s="84"/>
      <c r="BD127" s="84"/>
      <c r="BE127" s="84"/>
      <c r="BF127" s="84"/>
      <c r="BH127" s="83"/>
      <c r="BI127" s="84"/>
      <c r="BJ127" s="84"/>
      <c r="BK127" s="84"/>
      <c r="BL127" s="84"/>
      <c r="BM127" s="84"/>
      <c r="BO127" s="83"/>
      <c r="BP127" s="84"/>
      <c r="BQ127" s="84"/>
      <c r="BR127" s="84"/>
      <c r="BS127" s="84"/>
      <c r="BT127" s="84"/>
      <c r="BV127" s="83"/>
      <c r="BW127" s="84"/>
      <c r="BX127" s="84"/>
      <c r="BY127" s="84"/>
      <c r="BZ127" s="84"/>
      <c r="CA127" s="84"/>
      <c r="CC127" s="83"/>
      <c r="CD127" s="84"/>
      <c r="CE127" s="84"/>
      <c r="CF127" s="84"/>
      <c r="CG127" s="84"/>
      <c r="CH127" s="84"/>
      <c r="CJ127" s="83"/>
      <c r="CK127" s="84"/>
      <c r="CL127" s="84"/>
      <c r="CM127" s="84"/>
      <c r="CN127" s="84"/>
      <c r="CO127" s="84"/>
      <c r="CQ127" s="83"/>
      <c r="CR127" s="84"/>
      <c r="CS127" s="84"/>
      <c r="CT127" s="84"/>
      <c r="CU127" s="84"/>
      <c r="CV127" s="84"/>
      <c r="CX127" s="83"/>
      <c r="CY127" s="84"/>
      <c r="CZ127" s="84"/>
      <c r="DA127" s="84"/>
      <c r="DB127" s="84"/>
      <c r="DC127" s="84"/>
      <c r="DE127" s="83"/>
      <c r="DF127" s="84"/>
      <c r="DG127" s="84"/>
      <c r="DH127" s="84"/>
      <c r="DI127" s="84"/>
      <c r="DJ127" s="84"/>
      <c r="DL127" s="83"/>
      <c r="DM127" s="84"/>
      <c r="DN127" s="84"/>
      <c r="DO127" s="84"/>
      <c r="DP127" s="84"/>
      <c r="DQ127" s="84"/>
      <c r="DS127" s="83"/>
      <c r="DT127" s="84"/>
      <c r="DU127" s="84"/>
      <c r="DV127" s="84"/>
      <c r="DW127" s="84"/>
      <c r="DX127" s="84"/>
      <c r="DZ127" s="83"/>
      <c r="EA127" s="84"/>
      <c r="EB127" s="84"/>
      <c r="EC127" s="84"/>
      <c r="ED127" s="84"/>
      <c r="EE127" s="84"/>
      <c r="EG127" s="83"/>
      <c r="EH127" s="84"/>
      <c r="EI127" s="84"/>
      <c r="EJ127" s="84"/>
      <c r="EK127" s="84"/>
      <c r="EL127" s="84"/>
      <c r="EN127" s="83"/>
      <c r="EO127" s="84"/>
      <c r="EP127" s="84"/>
      <c r="EQ127" s="84"/>
      <c r="ER127" s="84"/>
      <c r="ES127" s="84"/>
      <c r="EU127" s="83"/>
      <c r="EV127" s="84"/>
      <c r="EW127" s="84"/>
      <c r="EX127" s="84"/>
      <c r="EY127" s="84"/>
      <c r="EZ127" s="84"/>
      <c r="FB127" s="83"/>
      <c r="FC127" s="84"/>
      <c r="FD127" s="84"/>
      <c r="FE127" s="84"/>
      <c r="FF127" s="84"/>
      <c r="FG127" s="84"/>
      <c r="FI127" s="83"/>
      <c r="FJ127" s="84"/>
      <c r="FK127" s="84"/>
      <c r="FL127" s="84"/>
      <c r="FM127" s="84"/>
      <c r="FN127" s="84"/>
      <c r="FP127" s="83"/>
      <c r="FQ127" s="84"/>
      <c r="FR127" s="84"/>
      <c r="FS127" s="84"/>
      <c r="FT127" s="84"/>
      <c r="FU127" s="84"/>
      <c r="FW127" s="83"/>
      <c r="FX127" s="84"/>
      <c r="FY127" s="84"/>
      <c r="FZ127" s="84"/>
      <c r="GA127" s="84"/>
      <c r="GB127" s="84"/>
      <c r="GD127" s="83"/>
      <c r="GE127" s="84"/>
      <c r="GF127" s="84"/>
      <c r="GG127" s="84"/>
      <c r="GH127" s="84"/>
      <c r="GI127" s="84"/>
      <c r="GK127" s="83"/>
      <c r="GL127" s="84"/>
      <c r="GM127" s="84"/>
      <c r="GN127" s="84"/>
      <c r="GO127" s="84"/>
      <c r="GP127" s="84"/>
      <c r="GR127" s="83"/>
      <c r="GS127" s="84"/>
      <c r="GT127" s="84"/>
      <c r="GU127" s="84"/>
      <c r="GV127" s="84"/>
      <c r="GW127" s="84"/>
      <c r="GY127" s="83"/>
      <c r="GZ127" s="84"/>
      <c r="HA127" s="84"/>
      <c r="HB127" s="84"/>
      <c r="HC127" s="84"/>
      <c r="HD127" s="84"/>
      <c r="HF127" s="83"/>
      <c r="HG127" s="84"/>
      <c r="HH127" s="84"/>
      <c r="HI127" s="84"/>
      <c r="HJ127" s="84"/>
      <c r="HK127" s="84"/>
      <c r="HM127" s="83"/>
      <c r="HN127" s="84"/>
      <c r="HO127" s="85"/>
      <c r="HP127" s="85"/>
      <c r="HQ127" s="85"/>
      <c r="HR127" s="85"/>
      <c r="HT127" s="83"/>
      <c r="HU127" s="85"/>
      <c r="HV127" s="85"/>
      <c r="HW127" s="85"/>
      <c r="HX127" s="85"/>
      <c r="HY127" s="85"/>
      <c r="IA127" s="83"/>
      <c r="IB127" s="85"/>
      <c r="IC127" s="85"/>
      <c r="ID127" s="85"/>
      <c r="IE127" s="85"/>
      <c r="IF127" s="85"/>
      <c r="IH127" s="83"/>
      <c r="II127" s="85"/>
      <c r="IJ127" s="85"/>
      <c r="IK127" s="85"/>
      <c r="IL127" s="85"/>
      <c r="IM127" s="85"/>
      <c r="IO127" s="83"/>
      <c r="IP127" s="85"/>
      <c r="IQ127" s="85"/>
      <c r="IR127" s="85"/>
      <c r="IS127" s="85"/>
      <c r="IT127" s="85"/>
    </row>
    <row r="128" spans="1:254" x14ac:dyDescent="0.4">
      <c r="B128" s="53" t="str">
        <f>B61</f>
        <v>Source: Company data and Wells Fargo Securities, LLC estimates</v>
      </c>
      <c r="AT128" s="53" t="str">
        <f>AT61</f>
        <v>Source: Company data and Wells Fargo Securities, LLC estimates</v>
      </c>
      <c r="BA128" s="53" t="str">
        <f>BA61</f>
        <v>Source: Company data and Wells Fargo Securities, LLC estimates</v>
      </c>
      <c r="BH128" s="53" t="str">
        <f>BH61</f>
        <v>Source: Company data and Wells Fargo Securities, LLC estimates</v>
      </c>
      <c r="BO128" s="53" t="str">
        <f>BO61</f>
        <v>Source: Company data and Wells Fargo Securities, LLC estimates</v>
      </c>
      <c r="BV128" s="53" t="str">
        <f>BV61</f>
        <v>Source: Company data and Wells Fargo Securities, LLC estimates</v>
      </c>
      <c r="CC128" s="53" t="str">
        <f>CC61</f>
        <v>Source: Company data and Wells Fargo Securities, LLC estimates</v>
      </c>
      <c r="CJ128" s="53" t="str">
        <f>CJ61</f>
        <v>Source: Company data and Wells Fargo Securities, LLC estimates</v>
      </c>
      <c r="CQ128" s="53" t="str">
        <f>CQ61</f>
        <v>Source: Company data and Wells Fargo Securities, LLC estimates</v>
      </c>
      <c r="CX128" s="53" t="str">
        <f>CX61</f>
        <v>Source: Company data and Wells Fargo Securities, LLC estimates</v>
      </c>
      <c r="DE128" s="53" t="str">
        <f>DE61</f>
        <v>Source: Company data and Wells Fargo Securities, LLC estimates</v>
      </c>
      <c r="DL128" s="53" t="str">
        <f>DL61</f>
        <v>Source: Company data and Wells Fargo Securities, LLC estimates</v>
      </c>
      <c r="DS128" s="53" t="str">
        <f>DS61</f>
        <v>Source: Company data and Wells Fargo Securities, LLC estimates</v>
      </c>
      <c r="DZ128" s="53" t="str">
        <f>DZ61</f>
        <v>Source: Company data and Wells Fargo Securities, LLC estimates</v>
      </c>
      <c r="EG128" s="53" t="str">
        <f>EG61</f>
        <v>Source: Company data and Wells Fargo Securities, LLC estimates</v>
      </c>
      <c r="EN128" s="53" t="str">
        <f>EN61</f>
        <v>Source: Company data and Wells Fargo Securities, LLC estimates</v>
      </c>
      <c r="EU128" s="53" t="str">
        <f>EU61</f>
        <v>Source: Company data and Wells Fargo Securities, LLC estimates</v>
      </c>
      <c r="FB128" s="53" t="str">
        <f>FB61</f>
        <v>Source: Company data and Wells Fargo Securities, LLC estimates</v>
      </c>
      <c r="FI128" s="53" t="str">
        <f>FI61</f>
        <v>Source: Company data and Wells Fargo Securities, LLC estimates</v>
      </c>
      <c r="FP128" s="53" t="str">
        <f>FP61</f>
        <v>Source: Company data and Wells Fargo Securities, LLC estimates</v>
      </c>
      <c r="FW128" s="53" t="str">
        <f>FW61</f>
        <v>Source: Company data and Wells Fargo Securities, LLC estimates</v>
      </c>
      <c r="GD128" s="53" t="str">
        <f>GD61</f>
        <v>Source: Company data and Wells Fargo Securities, LLC estimates</v>
      </c>
      <c r="GK128" s="53" t="str">
        <f>GK61</f>
        <v>Source: Company data and Wells Fargo Securities, LLC estimates</v>
      </c>
      <c r="GR128" s="53" t="str">
        <f>GR61</f>
        <v>Source: Company data and Wells Fargo Securities, LLC estimates</v>
      </c>
      <c r="GY128" s="53" t="str">
        <f>GY61</f>
        <v>Source: Company data and Wells Fargo Securities, LLC estimates</v>
      </c>
      <c r="HF128" s="53" t="str">
        <f>HF61</f>
        <v>Source: Company data and Wells Fargo Securities, LLC estimates</v>
      </c>
      <c r="HM128" s="53" t="str">
        <f>HM61</f>
        <v>Source: Company data and Wells Fargo Securities, LLC estimates</v>
      </c>
      <c r="HT128" s="53" t="str">
        <f>HT61</f>
        <v>Source: Company data and Wells Fargo Securities, LLC estimates</v>
      </c>
      <c r="IA128" s="53" t="str">
        <f>IA61</f>
        <v>Source: Company data and Wells Fargo Securities, LLC estimates</v>
      </c>
      <c r="IH128" s="53" t="str">
        <f>IH61</f>
        <v>Source: Company data and Wells Fargo Securities, LLC estimates</v>
      </c>
      <c r="IO128" s="53" t="str">
        <f>IO61</f>
        <v>Source: Company data and Wells Fargo Securities, LLC estimates</v>
      </c>
    </row>
  </sheetData>
  <pageMargins left="0.7" right="0.7" top="0.75" bottom="0.75" header="0.3" footer="0.3"/>
  <pageSetup scale="10" orientation="portrait" r:id="rId1"/>
  <ignoredErrors>
    <ignoredError sqref="GB33:GB37 GB45:GB47 GB57 GB40 GB26:GB27 GB42 DT45:DU45 GB49:GB54 DT39:DU40 DT26:DU27 DT42:DU43 DT20:DU22 GB20:GB22 FX25:FX27 FX18 GB18 DT18:DU18 FX20:FX22 GB29 DT33:DU37 FX33:FX40 FX29:FX31 DT29:DU31 GB31 FX42:FX57 HG27:HH27 HG29:HH31 HD25 HD33:HD37 CO29:CO31 CO33:CO37 CO18 CO20:CO22 CO42:CO43 CO26:CO27 CO39:CO40 CO45 CR29:CV31 CR33:CV37 CR18:CV18 CR20:CV22 CR42:CV43 CR26:CV27 CR39:CV40 CR45:CV45 CY29:DC31 CY33:DC37 CY18:DC18 CY20:DC22 CY42:DC43 CY26:DC27 CY39:DC40 CY45:DC45 DF29:DJ31 DF33:DJ37 DF18:DJ18 DF20:DJ22 DF42:DJ43 DF26:DJ27 DF39:DJ40 DF45:DJ45 DM29:DQ31 DM33:DQ37 DM18:DQ18 DM20:DQ22 DM42:DQ43 DM26:DQ27 DM39:DQ40 DM45:DQ45 DX42:DX57 DX29:DX31 DX33:DX40 DX20:DX22 DX18 DX25:DX27 EA42:EE57 EA29:EE31 EA33:EE40 EA20:EE22 EA18:EE18 EA25:EE27 EH42:EL57 EH29:EL31 EH33:EL40 EH20:EL22 EH18:EL18 EH25:EL27 EO42:ES57 EO29:ES31 EO33:ES40 EO20:ES22 EO18:ES18 EO25:ES27 EV42:EZ57 EV29:EZ31 EV33:EZ40 EV20:EZ22 EV18:EZ18 EV25:EZ27 FC42:FG57 FC29:FG31 FC33:FG40 FC20:FG22 FC18:FG18 FC25:FG27 FJ42:FN57 FJ29:FN31 FJ33:FN40 FJ20:FN22 FJ18:FN18 FJ25:FN27 FQ42:FU57 FQ29:FU31 FQ33:FU40 FQ20:FU22 FQ18:FU18 FQ25:FU27 GZ29:HD31 GZ27:HD27" formula="1"/>
    <ignoredError sqref="GE69 GE72:GE79 GN72 GE92:GE96 FQ69:FS69 FQ72:FS79 EA69 CR72:CR79 EA72:EA79 DM92:DP103 CR81:CR82 EA81:EA82 FQ81:FS82 GE81:GE82 CR84:CR88 EA84:EA88 FQ84:FS96 GE84:GE87 GM69:GN69 GM73:GN79 GM81:GN82 GM84:GN87 CR92:CV103 CR69:CV69 CY92:DC103 CY69:DC69 DF92:DJ103 DF69:DJ69 DP84:DQ88 DP81:DQ82 DP72:DQ79 DM69:DQ69 DT84:DX88 DT81:DX82 DT72:DX79 DT69:DX69 FJ84:FN96 FJ81:FN82 FJ72:FN79 FJ69:FN69 FX84:GB87 FX81:GB82 FX92:GB96 FX72:GB79 FX69:GB69" formulaRange="1"/>
    <ignoredError sqref="GM72 DM72:DO79 DM81:DO82 DM84:DO88 CS84:CV88 CS81:CV82 CS72:CV79 CY84:DC88 CY81:DC82 CY72:DC79 DF84:DJ88 DF81:DJ82 DF72:DJ79" formula="1" formulaRange="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C00000"/>
    <pageSetUpPr fitToPage="1"/>
  </sheetPr>
  <dimension ref="A1:GZ180"/>
  <sheetViews>
    <sheetView showGridLines="0" zoomScale="85" zoomScaleNormal="85" workbookViewId="0"/>
  </sheetViews>
  <sheetFormatPr defaultColWidth="9.1328125" defaultRowHeight="13.9" outlineLevelRow="1" outlineLevelCol="1" x14ac:dyDescent="0.4"/>
  <cols>
    <col min="1" max="1" width="2.86328125" style="409" customWidth="1"/>
    <col min="2" max="2" width="44.86328125" style="409" customWidth="1"/>
    <col min="3" max="3" width="11.265625" style="77" customWidth="1" outlineLevel="1"/>
    <col min="4" max="26" width="11.265625" style="77" customWidth="1"/>
    <col min="27" max="40" width="11.265625" style="77" hidden="1" customWidth="1" outlineLevel="1"/>
    <col min="41" max="41" width="9.1328125" style="77" collapsed="1"/>
    <col min="42" max="42" width="44.86328125" style="409" customWidth="1"/>
    <col min="43" max="47" width="11.265625" style="77" customWidth="1" outlineLevel="1"/>
    <col min="48" max="48" width="9.1328125" style="77"/>
    <col min="49" max="49" width="44.86328125" style="409" customWidth="1"/>
    <col min="50" max="54" width="11.265625" style="77" customWidth="1" outlineLevel="1"/>
    <col min="55" max="55" width="9.1328125" style="77"/>
    <col min="56" max="56" width="44.86328125" style="409" customWidth="1"/>
    <col min="57" max="61" width="11.265625" style="77" customWidth="1" outlineLevel="1"/>
    <col min="62" max="62" width="9.1328125" style="77"/>
    <col min="63" max="63" width="44.86328125" style="409" customWidth="1"/>
    <col min="64" max="68" width="11.265625" style="77" customWidth="1" outlineLevel="1"/>
    <col min="69" max="69" width="9.1328125" style="77"/>
    <col min="70" max="70" width="44.86328125" style="409" customWidth="1"/>
    <col min="71" max="75" width="11.265625" style="77" customWidth="1" outlineLevel="1"/>
    <col min="76" max="76" width="9.1328125" style="77"/>
    <col min="77" max="77" width="44.86328125" style="409" customWidth="1"/>
    <col min="78" max="82" width="11.265625" style="77" customWidth="1" outlineLevel="1"/>
    <col min="83" max="83" width="9.1328125" style="77"/>
    <col min="84" max="84" width="44.86328125" style="409" customWidth="1"/>
    <col min="85" max="89" width="11.265625" style="77" customWidth="1" outlineLevel="1"/>
    <col min="90" max="90" width="9.1328125" style="77"/>
    <col min="91" max="91" width="44.86328125" style="409" customWidth="1"/>
    <col min="92" max="96" width="11.265625" style="77" customWidth="1" outlineLevel="1"/>
    <col min="97" max="97" width="9.1328125" style="77"/>
    <col min="98" max="98" width="44.86328125" style="409" customWidth="1"/>
    <col min="99" max="103" width="11.265625" style="77" customWidth="1" outlineLevel="1"/>
    <col min="104" max="104" width="9.1328125" style="77"/>
    <col min="105" max="105" width="44.86328125" style="409" customWidth="1"/>
    <col min="106" max="110" width="11.265625" style="77" customWidth="1" outlineLevel="1"/>
    <col min="111" max="111" width="9.1328125" style="77"/>
    <col min="112" max="112" width="44.86328125" style="409" customWidth="1"/>
    <col min="113" max="117" width="11.265625" style="77" customWidth="1" outlineLevel="1"/>
    <col min="118" max="118" width="9.1328125" style="77"/>
    <col min="119" max="119" width="44.86328125" style="409" customWidth="1"/>
    <col min="120" max="124" width="11.265625" style="77" customWidth="1" outlineLevel="1"/>
    <col min="125" max="125" width="9.1328125" style="77"/>
    <col min="126" max="126" width="44.86328125" style="409" customWidth="1"/>
    <col min="127" max="131" width="11.265625" style="77" customWidth="1" outlineLevel="1"/>
    <col min="132" max="132" width="9.1328125" style="77"/>
    <col min="133" max="133" width="44.86328125" style="409" customWidth="1"/>
    <col min="134" max="138" width="11.265625" style="77" customWidth="1" outlineLevel="1"/>
    <col min="139" max="139" width="9.1328125" style="77"/>
    <col min="140" max="140" width="44.86328125" style="409" customWidth="1"/>
    <col min="141" max="145" width="11.265625" style="77" customWidth="1" outlineLevel="1"/>
    <col min="146" max="146" width="9.1328125" style="77"/>
    <col min="147" max="147" width="44.86328125" style="409" customWidth="1"/>
    <col min="148" max="152" width="11.265625" style="77" customWidth="1" outlineLevel="1"/>
    <col min="153" max="153" width="9.1328125" style="77"/>
    <col min="154" max="154" width="44.86328125" style="409" customWidth="1"/>
    <col min="155" max="159" width="11.265625" style="77" customWidth="1" outlineLevel="1"/>
    <col min="160" max="160" width="9.1328125" style="77"/>
    <col min="161" max="161" width="44.86328125" style="409" customWidth="1"/>
    <col min="162" max="166" width="11.265625" style="77" customWidth="1" outlineLevel="1"/>
    <col min="167" max="167" width="9.1328125" style="77"/>
    <col min="168" max="168" width="44.86328125" style="409" customWidth="1"/>
    <col min="169" max="172" width="11.265625" style="77" customWidth="1" outlineLevel="1"/>
    <col min="173" max="173" width="11.265625" style="77" customWidth="1"/>
    <col min="174" max="174" width="9.1328125" style="77"/>
    <col min="175" max="175" width="44.86328125" style="409" customWidth="1"/>
    <col min="176" max="179" width="11.265625" style="77" customWidth="1" outlineLevel="1"/>
    <col min="180" max="180" width="11.265625" style="77" customWidth="1"/>
    <col min="181" max="181" width="9.1328125" style="77"/>
    <col min="182" max="182" width="44.86328125" style="409" customWidth="1"/>
    <col min="183" max="186" width="11.265625" style="77" customWidth="1" outlineLevel="1"/>
    <col min="187" max="187" width="11.265625" style="77" customWidth="1"/>
    <col min="188" max="188" width="9.1328125" style="77"/>
    <col min="189" max="189" width="44.86328125" style="409" customWidth="1"/>
    <col min="190" max="193" width="11.265625" style="77" customWidth="1" outlineLevel="1"/>
    <col min="194" max="194" width="11.265625" style="77" customWidth="1"/>
    <col min="195" max="195" width="9.1328125" style="77"/>
    <col min="196" max="196" width="44.86328125" style="409" customWidth="1"/>
    <col min="197" max="200" width="11.265625" style="77" customWidth="1" outlineLevel="1"/>
    <col min="201" max="201" width="11.265625" style="77" customWidth="1"/>
    <col min="202" max="202" width="9.1328125" style="77"/>
    <col min="203" max="203" width="44.86328125" style="409" customWidth="1"/>
    <col min="204" max="207" width="11.265625" style="77" customWidth="1" outlineLevel="1"/>
    <col min="208" max="208" width="11.265625" style="77" customWidth="1"/>
    <col min="209" max="16384" width="9.1328125" style="77"/>
  </cols>
  <sheetData>
    <row r="1" spans="1:208" x14ac:dyDescent="0.4">
      <c r="B1" s="410" t="str">
        <f>CSX!B1</f>
        <v>Wells Fargo Securities, LLC</v>
      </c>
      <c r="AP1" s="410"/>
      <c r="AW1" s="410"/>
      <c r="BD1" s="410"/>
      <c r="BK1" s="410"/>
      <c r="BR1" s="410"/>
      <c r="BY1" s="410"/>
      <c r="CF1" s="410"/>
      <c r="CM1" s="410"/>
      <c r="CT1" s="410"/>
      <c r="DA1" s="410"/>
      <c r="DH1" s="410"/>
      <c r="DO1" s="410"/>
      <c r="DV1" s="410"/>
      <c r="EC1" s="410"/>
      <c r="EJ1" s="410"/>
      <c r="EQ1" s="410"/>
      <c r="EX1" s="410"/>
      <c r="FE1" s="410"/>
      <c r="FL1" s="410"/>
      <c r="FS1" s="410"/>
      <c r="FZ1" s="410"/>
      <c r="GG1" s="410"/>
      <c r="GN1" s="410"/>
      <c r="GU1" s="410"/>
    </row>
    <row r="2" spans="1:208" x14ac:dyDescent="0.4">
      <c r="B2" s="411">
        <f>CSX!B2</f>
        <v>46044</v>
      </c>
      <c r="AP2" s="411"/>
      <c r="AW2" s="411"/>
      <c r="BD2" s="411"/>
      <c r="BK2" s="411"/>
      <c r="BR2" s="411"/>
      <c r="BY2" s="411"/>
      <c r="CF2" s="411"/>
      <c r="CM2" s="411"/>
      <c r="CT2" s="411"/>
      <c r="DA2" s="411"/>
      <c r="DH2" s="411"/>
      <c r="DO2" s="411"/>
      <c r="DV2" s="411"/>
      <c r="EC2" s="411"/>
      <c r="EJ2" s="411"/>
      <c r="EQ2" s="411"/>
      <c r="EX2" s="411"/>
      <c r="FE2" s="411"/>
      <c r="FL2" s="411"/>
      <c r="FS2" s="411"/>
      <c r="FZ2" s="411"/>
      <c r="GG2" s="411"/>
      <c r="GN2" s="411"/>
      <c r="GU2" s="411"/>
    </row>
    <row r="3" spans="1:208" x14ac:dyDescent="0.4">
      <c r="B3" s="412"/>
      <c r="AP3" s="412"/>
      <c r="AW3" s="412"/>
      <c r="BD3" s="412"/>
      <c r="BK3" s="412"/>
      <c r="BR3" s="412"/>
      <c r="BY3" s="412"/>
      <c r="CF3" s="412"/>
      <c r="CM3" s="412"/>
      <c r="CT3" s="412"/>
      <c r="DA3" s="412"/>
      <c r="DH3" s="412"/>
      <c r="DO3" s="412"/>
      <c r="DV3" s="412"/>
      <c r="EC3" s="412"/>
      <c r="EJ3" s="412"/>
      <c r="EQ3" s="412"/>
      <c r="EX3" s="412"/>
      <c r="FE3" s="412"/>
      <c r="FL3" s="412"/>
      <c r="FS3" s="412"/>
      <c r="FU3" s="633"/>
      <c r="FZ3" s="412"/>
      <c r="GG3" s="412"/>
      <c r="GN3" s="412"/>
      <c r="GU3" s="412"/>
    </row>
    <row r="4" spans="1:208" ht="24.75" x14ac:dyDescent="0.65">
      <c r="B4" s="405" t="s">
        <v>542</v>
      </c>
      <c r="C4" s="404">
        <f>AU4</f>
        <v>2005</v>
      </c>
      <c r="D4" s="404">
        <f>BB4</f>
        <v>2006</v>
      </c>
      <c r="E4" s="404">
        <f>BI4</f>
        <v>2007</v>
      </c>
      <c r="F4" s="404">
        <f>BP4</f>
        <v>2008</v>
      </c>
      <c r="G4" s="404">
        <f>BW4</f>
        <v>2009</v>
      </c>
      <c r="H4" s="404">
        <f>CD4</f>
        <v>2010</v>
      </c>
      <c r="I4" s="91">
        <f>CK4</f>
        <v>2011</v>
      </c>
      <c r="J4" s="404">
        <f>CR4</f>
        <v>2012</v>
      </c>
      <c r="K4" s="404">
        <f>CY4</f>
        <v>2013</v>
      </c>
      <c r="L4" s="404">
        <f>DF4</f>
        <v>2014</v>
      </c>
      <c r="M4" s="404">
        <f>DM4</f>
        <v>2015</v>
      </c>
      <c r="N4" s="404">
        <f>DT4</f>
        <v>2016</v>
      </c>
      <c r="O4" s="404">
        <f>EA4</f>
        <v>2017</v>
      </c>
      <c r="P4" s="91">
        <f>EH4</f>
        <v>2018</v>
      </c>
      <c r="Q4" s="91">
        <f>EO4</f>
        <v>2019</v>
      </c>
      <c r="R4" s="91">
        <f>EV4</f>
        <v>2020</v>
      </c>
      <c r="S4" s="91">
        <f>FC4</f>
        <v>2021</v>
      </c>
      <c r="T4" s="91">
        <f>FJ4</f>
        <v>2022</v>
      </c>
      <c r="U4" s="91">
        <f>FQ4</f>
        <v>2023</v>
      </c>
      <c r="V4" s="403">
        <f>FX4</f>
        <v>2024</v>
      </c>
      <c r="W4" s="403">
        <f>GE4</f>
        <v>2025</v>
      </c>
      <c r="X4" s="403" t="str">
        <f>GL4</f>
        <v>2026E</v>
      </c>
      <c r="Y4" s="403" t="str">
        <f>GS4</f>
        <v>2027E</v>
      </c>
      <c r="Z4" s="403" t="str">
        <f>GZ4</f>
        <v>2028E</v>
      </c>
      <c r="AA4" s="494"/>
      <c r="AB4" s="494"/>
      <c r="AC4" s="494"/>
      <c r="AD4" s="494"/>
      <c r="AE4" s="494"/>
      <c r="AF4" s="494"/>
      <c r="AG4" s="494"/>
      <c r="AH4" s="494"/>
      <c r="AI4" s="494"/>
      <c r="AJ4" s="494"/>
      <c r="AK4" s="494"/>
      <c r="AL4" s="494"/>
      <c r="AM4" s="494"/>
      <c r="AN4" s="494"/>
      <c r="AP4" s="87" t="s">
        <v>542</v>
      </c>
      <c r="AQ4" s="91" t="str">
        <f>CSX!FZ4</f>
        <v>1Q05</v>
      </c>
      <c r="AR4" s="91" t="str">
        <f>CSX!GA4</f>
        <v>2Q05</v>
      </c>
      <c r="AS4" s="91" t="str">
        <f>CSX!GB4</f>
        <v>3Q05</v>
      </c>
      <c r="AT4" s="91" t="str">
        <f>CSX!GC4</f>
        <v>4Q05</v>
      </c>
      <c r="AU4" s="91">
        <f>CSX!GD4</f>
        <v>2005</v>
      </c>
      <c r="AV4" s="81"/>
      <c r="AW4" s="87" t="s">
        <v>542</v>
      </c>
      <c r="AX4" s="91" t="str">
        <f>CSX!GG4</f>
        <v>1Q06</v>
      </c>
      <c r="AY4" s="91" t="str">
        <f>CSX!GH4</f>
        <v>2Q06</v>
      </c>
      <c r="AZ4" s="91" t="str">
        <f>CSX!GI4</f>
        <v>3Q06</v>
      </c>
      <c r="BA4" s="91" t="str">
        <f>CSX!GJ4</f>
        <v>4Q06</v>
      </c>
      <c r="BB4" s="91">
        <f>CSX!GK4</f>
        <v>2006</v>
      </c>
      <c r="BC4" s="81"/>
      <c r="BD4" s="87" t="s">
        <v>542</v>
      </c>
      <c r="BE4" s="91" t="str">
        <f>CSX!GN4</f>
        <v>1Q07</v>
      </c>
      <c r="BF4" s="91" t="str">
        <f>CSX!GO4</f>
        <v>2Q07</v>
      </c>
      <c r="BG4" s="91" t="str">
        <f>CSX!GP4</f>
        <v>3Q07</v>
      </c>
      <c r="BH4" s="91" t="str">
        <f>CSX!GQ4</f>
        <v>4Q07</v>
      </c>
      <c r="BI4" s="91">
        <f>CSX!GR4</f>
        <v>2007</v>
      </c>
      <c r="BJ4" s="81"/>
      <c r="BK4" s="87" t="s">
        <v>542</v>
      </c>
      <c r="BL4" s="91" t="str">
        <f>CSX!GU4</f>
        <v>1Q08</v>
      </c>
      <c r="BM4" s="91" t="str">
        <f>CSX!GV4</f>
        <v>2Q08</v>
      </c>
      <c r="BN4" s="91" t="str">
        <f>CSX!GW4</f>
        <v>3Q08</v>
      </c>
      <c r="BO4" s="91" t="str">
        <f>CSX!GX4</f>
        <v>4Q08</v>
      </c>
      <c r="BP4" s="91">
        <f>CSX!GY4</f>
        <v>2008</v>
      </c>
      <c r="BQ4" s="81"/>
      <c r="BR4" s="87" t="s">
        <v>542</v>
      </c>
      <c r="BS4" s="91" t="str">
        <f>CSX!HB4</f>
        <v>1Q09</v>
      </c>
      <c r="BT4" s="91" t="str">
        <f>CSX!HC4</f>
        <v>2Q09</v>
      </c>
      <c r="BU4" s="91" t="str">
        <f>CSX!HD4</f>
        <v>3Q09</v>
      </c>
      <c r="BV4" s="91" t="str">
        <f>CSX!HE4</f>
        <v>4Q09</v>
      </c>
      <c r="BW4" s="91">
        <f>CSX!HF4</f>
        <v>2009</v>
      </c>
      <c r="BX4" s="81"/>
      <c r="BY4" s="87" t="s">
        <v>542</v>
      </c>
      <c r="BZ4" s="91" t="str">
        <f>CSX!HI4</f>
        <v>1Q10</v>
      </c>
      <c r="CA4" s="91" t="str">
        <f>CSX!HJ4</f>
        <v>2Q10</v>
      </c>
      <c r="CB4" s="91" t="str">
        <f>CSX!HK4</f>
        <v>3Q10</v>
      </c>
      <c r="CC4" s="91" t="str">
        <f>CSX!HL4</f>
        <v>4Q10</v>
      </c>
      <c r="CD4" s="91">
        <f>CSX!HM4</f>
        <v>2010</v>
      </c>
      <c r="CE4" s="81"/>
      <c r="CF4" s="87" t="s">
        <v>542</v>
      </c>
      <c r="CG4" s="91" t="str">
        <f>CSX!HP4</f>
        <v>1Q11</v>
      </c>
      <c r="CH4" s="91" t="str">
        <f>CSX!HQ4</f>
        <v>2Q11</v>
      </c>
      <c r="CI4" s="91" t="str">
        <f>CSX!HR4</f>
        <v>3Q11</v>
      </c>
      <c r="CJ4" s="91" t="str">
        <f>CSX!HS4</f>
        <v>4Q11</v>
      </c>
      <c r="CK4" s="91">
        <f>CSX!HT4</f>
        <v>2011</v>
      </c>
      <c r="CL4" s="81"/>
      <c r="CM4" s="87" t="s">
        <v>542</v>
      </c>
      <c r="CN4" s="91" t="str">
        <f>CSX!HW4</f>
        <v>1Q12</v>
      </c>
      <c r="CO4" s="91" t="str">
        <f>CSX!HX4</f>
        <v>2Q12</v>
      </c>
      <c r="CP4" s="91" t="str">
        <f>CSX!HY4</f>
        <v>3Q12</v>
      </c>
      <c r="CQ4" s="91" t="str">
        <f>CSX!HZ4</f>
        <v>4Q12</v>
      </c>
      <c r="CR4" s="91">
        <f>CSX!IA4</f>
        <v>2012</v>
      </c>
      <c r="CS4" s="81"/>
      <c r="CT4" s="87" t="s">
        <v>542</v>
      </c>
      <c r="CU4" s="91" t="str">
        <f>CSX!ID4</f>
        <v>1Q13</v>
      </c>
      <c r="CV4" s="91" t="str">
        <f>CSX!IE4</f>
        <v>2Q13</v>
      </c>
      <c r="CW4" s="91" t="str">
        <f>CSX!IF4</f>
        <v>3Q13</v>
      </c>
      <c r="CX4" s="91" t="str">
        <f>CSX!IG4</f>
        <v>4Q13</v>
      </c>
      <c r="CY4" s="91">
        <f>CSX!IH4</f>
        <v>2013</v>
      </c>
      <c r="CZ4" s="81"/>
      <c r="DA4" s="87" t="s">
        <v>542</v>
      </c>
      <c r="DB4" s="91" t="str">
        <f>CSX!IK4</f>
        <v>1Q14</v>
      </c>
      <c r="DC4" s="91" t="str">
        <f>CSX!IL4</f>
        <v>2Q14</v>
      </c>
      <c r="DD4" s="91" t="str">
        <f>CSX!IM4</f>
        <v>3Q14</v>
      </c>
      <c r="DE4" s="91" t="str">
        <f>CSX!IN4</f>
        <v>4Q14</v>
      </c>
      <c r="DF4" s="91">
        <f>CSX!IO4</f>
        <v>2014</v>
      </c>
      <c r="DG4" s="81"/>
      <c r="DH4" s="87" t="s">
        <v>542</v>
      </c>
      <c r="DI4" s="91" t="str">
        <f>CSX!IR4</f>
        <v>1Q15</v>
      </c>
      <c r="DJ4" s="91" t="str">
        <f>CSX!IS4</f>
        <v>2Q15</v>
      </c>
      <c r="DK4" s="91" t="str">
        <f>CSX!IT4</f>
        <v>3Q15</v>
      </c>
      <c r="DL4" s="91" t="str">
        <f>CSX!IU4</f>
        <v>4Q15</v>
      </c>
      <c r="DM4" s="91">
        <f>CSX!IV4</f>
        <v>2015</v>
      </c>
      <c r="DN4" s="81"/>
      <c r="DO4" s="87" t="s">
        <v>542</v>
      </c>
      <c r="DP4" s="91" t="str">
        <f>CSX!IY4</f>
        <v>1Q16</v>
      </c>
      <c r="DQ4" s="91" t="str">
        <f>CSX!IZ4</f>
        <v>2Q16</v>
      </c>
      <c r="DR4" s="91" t="str">
        <f>CSX!JA4</f>
        <v>3Q16</v>
      </c>
      <c r="DS4" s="91" t="str">
        <f>CSX!JB4</f>
        <v>4Q16</v>
      </c>
      <c r="DT4" s="91">
        <f>CSX!JC4</f>
        <v>2016</v>
      </c>
      <c r="DU4" s="81"/>
      <c r="DV4" s="87" t="s">
        <v>542</v>
      </c>
      <c r="DW4" s="91" t="str">
        <f>CSX!JF4</f>
        <v>1Q17</v>
      </c>
      <c r="DX4" s="91" t="str">
        <f>CSX!JG4</f>
        <v>2Q17</v>
      </c>
      <c r="DY4" s="91" t="str">
        <f>CSX!JH4</f>
        <v>3Q17</v>
      </c>
      <c r="DZ4" s="91" t="str">
        <f>CSX!JI4</f>
        <v>4Q17</v>
      </c>
      <c r="EA4" s="91">
        <f>CSX!JJ4</f>
        <v>2017</v>
      </c>
      <c r="EB4" s="81"/>
      <c r="EC4" s="87" t="s">
        <v>542</v>
      </c>
      <c r="ED4" s="91" t="str">
        <f>CSX!JM4</f>
        <v>1Q18</v>
      </c>
      <c r="EE4" s="91" t="str">
        <f>CSX!JN4</f>
        <v>2Q18</v>
      </c>
      <c r="EF4" s="91" t="str">
        <f>CSX!JO4</f>
        <v>3Q18</v>
      </c>
      <c r="EG4" s="91" t="str">
        <f>CSX!JP4</f>
        <v>4Q18</v>
      </c>
      <c r="EH4" s="91">
        <f>CSX!JQ4</f>
        <v>2018</v>
      </c>
      <c r="EI4" s="81"/>
      <c r="EJ4" s="87" t="s">
        <v>542</v>
      </c>
      <c r="EK4" s="91" t="str">
        <f>CSX!JT4</f>
        <v>1Q19</v>
      </c>
      <c r="EL4" s="91" t="str">
        <f>CSX!JU4</f>
        <v>2Q19</v>
      </c>
      <c r="EM4" s="91" t="str">
        <f>CSX!JV4</f>
        <v>3Q19</v>
      </c>
      <c r="EN4" s="91" t="str">
        <f>CSX!JW4</f>
        <v>4Q19</v>
      </c>
      <c r="EO4" s="91">
        <f>CSX!JX4</f>
        <v>2019</v>
      </c>
      <c r="EP4" s="81"/>
      <c r="EQ4" s="87" t="s">
        <v>542</v>
      </c>
      <c r="ER4" s="91" t="str">
        <f>CSX!KA4</f>
        <v>1Q20</v>
      </c>
      <c r="ES4" s="91" t="str">
        <f>CSX!KB4</f>
        <v>2Q20</v>
      </c>
      <c r="ET4" s="91" t="str">
        <f>CSX!KC4</f>
        <v>3Q20</v>
      </c>
      <c r="EU4" s="91" t="str">
        <f>CSX!KD4</f>
        <v>4Q20</v>
      </c>
      <c r="EV4" s="91">
        <f>CSX!KE4</f>
        <v>2020</v>
      </c>
      <c r="EW4" s="81"/>
      <c r="EX4" s="87" t="s">
        <v>542</v>
      </c>
      <c r="EY4" s="91" t="str">
        <f>CSX!KH4</f>
        <v>1Q21</v>
      </c>
      <c r="EZ4" s="91" t="str">
        <f>CSX!KI4</f>
        <v>2Q21</v>
      </c>
      <c r="FA4" s="91" t="str">
        <f>CSX!KJ4</f>
        <v>3Q21</v>
      </c>
      <c r="FB4" s="91" t="str">
        <f>CSX!KK4</f>
        <v>4Q21</v>
      </c>
      <c r="FC4" s="91">
        <f>CSX!KL4</f>
        <v>2021</v>
      </c>
      <c r="FD4" s="81"/>
      <c r="FE4" s="87" t="s">
        <v>542</v>
      </c>
      <c r="FF4" s="91" t="str">
        <f>CSX!KO4</f>
        <v>1Q22</v>
      </c>
      <c r="FG4" s="91" t="str">
        <f>CSX!KP4</f>
        <v>2Q22</v>
      </c>
      <c r="FH4" s="91" t="str">
        <f>CSX!KQ4</f>
        <v>3Q22</v>
      </c>
      <c r="FI4" s="91" t="str">
        <f>CSX!KR4</f>
        <v>4Q22</v>
      </c>
      <c r="FJ4" s="91">
        <f>CSX!KS4</f>
        <v>2022</v>
      </c>
      <c r="FK4" s="81"/>
      <c r="FL4" s="87" t="s">
        <v>542</v>
      </c>
      <c r="FM4" s="91" t="str">
        <f>CSX!KV4</f>
        <v>1Q23</v>
      </c>
      <c r="FN4" s="91" t="str">
        <f>CSX!KW4</f>
        <v>2Q23</v>
      </c>
      <c r="FO4" s="91" t="str">
        <f>CSX!KX4</f>
        <v>3Q23</v>
      </c>
      <c r="FP4" s="91" t="str">
        <f>CSX!KY4</f>
        <v>4Q23</v>
      </c>
      <c r="FQ4" s="91">
        <f>CSX!KZ4</f>
        <v>2023</v>
      </c>
      <c r="FR4" s="81"/>
      <c r="FS4" s="87" t="s">
        <v>542</v>
      </c>
      <c r="FT4" s="91" t="str">
        <f>CSX!LC4</f>
        <v>1Q24</v>
      </c>
      <c r="FU4" s="91" t="str">
        <f>CSX!LD4</f>
        <v>2Q24</v>
      </c>
      <c r="FV4" s="91" t="str">
        <f>CSX!LE4</f>
        <v>3Q24</v>
      </c>
      <c r="FW4" s="91" t="str">
        <f>CSX!LF4</f>
        <v>4Q24</v>
      </c>
      <c r="FX4" s="93">
        <f>CSX!LG4</f>
        <v>2024</v>
      </c>
      <c r="FY4" s="81"/>
      <c r="FZ4" s="87" t="s">
        <v>542</v>
      </c>
      <c r="GA4" s="91" t="str">
        <f>CSX!LJ4</f>
        <v>1Q25</v>
      </c>
      <c r="GB4" s="91" t="str">
        <f>CSX!LK4</f>
        <v>2Q25</v>
      </c>
      <c r="GC4" s="91" t="str">
        <f>CSX!LL4</f>
        <v>3Q25</v>
      </c>
      <c r="GD4" s="91" t="str">
        <f>CSX!LM4</f>
        <v>4Q25</v>
      </c>
      <c r="GE4" s="93">
        <f>CSX!LN4</f>
        <v>2025</v>
      </c>
      <c r="GF4" s="81"/>
      <c r="GG4" s="87" t="s">
        <v>542</v>
      </c>
      <c r="GH4" s="91" t="str">
        <f>CSX!LQ4</f>
        <v>1Q26E</v>
      </c>
      <c r="GI4" s="91" t="str">
        <f>CSX!LR4</f>
        <v>2Q26E</v>
      </c>
      <c r="GJ4" s="91" t="str">
        <f>CSX!LS4</f>
        <v>3Q26E</v>
      </c>
      <c r="GK4" s="91" t="str">
        <f>CSX!LT4</f>
        <v>4Q26E</v>
      </c>
      <c r="GL4" s="93" t="str">
        <f>CSX!LU4</f>
        <v>2026E</v>
      </c>
      <c r="GM4" s="81"/>
      <c r="GN4" s="87" t="s">
        <v>542</v>
      </c>
      <c r="GO4" s="91" t="str">
        <f>CSX!LX4</f>
        <v>1Q27E</v>
      </c>
      <c r="GP4" s="91" t="str">
        <f>CSX!LY4</f>
        <v>2Q27E</v>
      </c>
      <c r="GQ4" s="91" t="str">
        <f>CSX!LZ4</f>
        <v>3Q27E</v>
      </c>
      <c r="GR4" s="91" t="str">
        <f>CSX!MA4</f>
        <v>4Q27E</v>
      </c>
      <c r="GS4" s="93" t="str">
        <f>CSX!MB4</f>
        <v>2027E</v>
      </c>
      <c r="GU4" s="87" t="s">
        <v>542</v>
      </c>
      <c r="GV4" s="91" t="str">
        <f>CSX!ME4</f>
        <v>1Q28E</v>
      </c>
      <c r="GW4" s="91" t="str">
        <f>CSX!MF4</f>
        <v>2Q28E</v>
      </c>
      <c r="GX4" s="91" t="str">
        <f>CSX!MG4</f>
        <v>3Q28E</v>
      </c>
      <c r="GY4" s="91" t="str">
        <f>CSX!MH4</f>
        <v>4Q28E</v>
      </c>
      <c r="GZ4" s="93" t="str">
        <f>CSX!MI4</f>
        <v>2028E</v>
      </c>
    </row>
    <row r="5" spans="1:208" x14ac:dyDescent="0.4">
      <c r="B5" s="406" t="s">
        <v>1</v>
      </c>
      <c r="C5" s="407" t="str">
        <f>AU5</f>
        <v>FY</v>
      </c>
      <c r="D5" s="407" t="str">
        <f>BB5</f>
        <v>FY</v>
      </c>
      <c r="E5" s="407" t="str">
        <f>BI5</f>
        <v>FY</v>
      </c>
      <c r="F5" s="407" t="str">
        <f>BP5</f>
        <v>FY</v>
      </c>
      <c r="G5" s="407" t="str">
        <f>BW5</f>
        <v>FY</v>
      </c>
      <c r="H5" s="407" t="str">
        <f>CD5</f>
        <v>FY</v>
      </c>
      <c r="I5" s="407" t="str">
        <f>CK5</f>
        <v>FY</v>
      </c>
      <c r="J5" s="407" t="str">
        <f>CR5</f>
        <v>FY</v>
      </c>
      <c r="K5" s="407" t="str">
        <f>CY5</f>
        <v>FY</v>
      </c>
      <c r="L5" s="407" t="str">
        <f>DF5</f>
        <v>FY</v>
      </c>
      <c r="M5" s="407" t="str">
        <f>DM5</f>
        <v>FY</v>
      </c>
      <c r="N5" s="407" t="str">
        <f>DT5</f>
        <v>FY</v>
      </c>
      <c r="O5" s="407" t="str">
        <f>EA5</f>
        <v>FY</v>
      </c>
      <c r="P5" s="407" t="str">
        <f>EH5</f>
        <v>FY</v>
      </c>
      <c r="Q5" s="407" t="str">
        <f>EO5</f>
        <v>FY</v>
      </c>
      <c r="R5" s="407" t="str">
        <f>EV5</f>
        <v>FY</v>
      </c>
      <c r="S5" s="407" t="str">
        <f>FC5</f>
        <v>FY</v>
      </c>
      <c r="T5" s="407" t="str">
        <f>FJ5</f>
        <v>FY</v>
      </c>
      <c r="U5" s="407" t="str">
        <f>FQ5</f>
        <v>FY</v>
      </c>
      <c r="V5" s="404" t="str">
        <f>FX5</f>
        <v>FY</v>
      </c>
      <c r="W5" s="404" t="str">
        <f>GE5</f>
        <v>FY</v>
      </c>
      <c r="X5" s="404" t="str">
        <f>GL5</f>
        <v>FY</v>
      </c>
      <c r="Y5" s="404" t="str">
        <f>GS5</f>
        <v>FY</v>
      </c>
      <c r="Z5" s="404" t="str">
        <f>GZ5</f>
        <v>FY</v>
      </c>
      <c r="AA5" s="402"/>
      <c r="AB5" s="402"/>
      <c r="AC5" s="402"/>
      <c r="AD5" s="402"/>
      <c r="AE5" s="402"/>
      <c r="AF5" s="402"/>
      <c r="AG5" s="402"/>
      <c r="AH5" s="402"/>
      <c r="AI5" s="402"/>
      <c r="AJ5" s="402"/>
      <c r="AK5" s="402"/>
      <c r="AL5" s="402"/>
      <c r="AM5" s="402"/>
      <c r="AN5" s="402"/>
      <c r="AP5" s="88" t="s">
        <v>1</v>
      </c>
      <c r="AQ5" s="92">
        <f>CSX!FZ5</f>
        <v>38442</v>
      </c>
      <c r="AR5" s="92">
        <f>CSX!GA5</f>
        <v>38533</v>
      </c>
      <c r="AS5" s="92">
        <f>CSX!GB5</f>
        <v>38625</v>
      </c>
      <c r="AT5" s="92">
        <f>CSX!GC5</f>
        <v>38717</v>
      </c>
      <c r="AU5" s="92" t="str">
        <f>CSX!GD5</f>
        <v>FY</v>
      </c>
      <c r="AV5" s="94"/>
      <c r="AW5" s="88" t="s">
        <v>1</v>
      </c>
      <c r="AX5" s="92">
        <f>CSX!GG5</f>
        <v>38807</v>
      </c>
      <c r="AY5" s="92">
        <f>CSX!GH5</f>
        <v>38898</v>
      </c>
      <c r="AZ5" s="92">
        <f>CSX!GI5</f>
        <v>38990</v>
      </c>
      <c r="BA5" s="92">
        <f>CSX!GJ5</f>
        <v>39082</v>
      </c>
      <c r="BB5" s="92" t="str">
        <f>CSX!GK5</f>
        <v>FY</v>
      </c>
      <c r="BC5" s="94"/>
      <c r="BD5" s="88" t="s">
        <v>1</v>
      </c>
      <c r="BE5" s="92">
        <f>CSX!GN5</f>
        <v>39172</v>
      </c>
      <c r="BF5" s="92">
        <f>CSX!GO5</f>
        <v>39263</v>
      </c>
      <c r="BG5" s="92">
        <f>CSX!GP5</f>
        <v>39355</v>
      </c>
      <c r="BH5" s="92">
        <f>CSX!GQ5</f>
        <v>39447</v>
      </c>
      <c r="BI5" s="92" t="str">
        <f>CSX!GR5</f>
        <v>FY</v>
      </c>
      <c r="BJ5" s="94"/>
      <c r="BK5" s="88" t="s">
        <v>1</v>
      </c>
      <c r="BL5" s="92">
        <f>CSX!GU5</f>
        <v>39538</v>
      </c>
      <c r="BM5" s="92">
        <f>CSX!GV5</f>
        <v>39629</v>
      </c>
      <c r="BN5" s="92">
        <f>CSX!GW5</f>
        <v>39721</v>
      </c>
      <c r="BO5" s="92">
        <f>CSX!GX5</f>
        <v>39813</v>
      </c>
      <c r="BP5" s="92" t="str">
        <f>CSX!GY5</f>
        <v>FY</v>
      </c>
      <c r="BQ5" s="94"/>
      <c r="BR5" s="88" t="s">
        <v>1</v>
      </c>
      <c r="BS5" s="92">
        <f>CSX!HB5</f>
        <v>39903</v>
      </c>
      <c r="BT5" s="92">
        <f>CSX!HC5</f>
        <v>39994</v>
      </c>
      <c r="BU5" s="92">
        <f>CSX!HD5</f>
        <v>40086</v>
      </c>
      <c r="BV5" s="92">
        <f>CSX!HE5</f>
        <v>40178</v>
      </c>
      <c r="BW5" s="92" t="str">
        <f>CSX!HF5</f>
        <v>FY</v>
      </c>
      <c r="BX5" s="94"/>
      <c r="BY5" s="88" t="s">
        <v>1</v>
      </c>
      <c r="BZ5" s="92">
        <f>CSX!HI5</f>
        <v>40268</v>
      </c>
      <c r="CA5" s="92">
        <f>CSX!HJ5</f>
        <v>40359</v>
      </c>
      <c r="CB5" s="92">
        <f>CSX!HK5</f>
        <v>40451</v>
      </c>
      <c r="CC5" s="92">
        <f>CSX!HL5</f>
        <v>40543</v>
      </c>
      <c r="CD5" s="92" t="str">
        <f>CSX!HM5</f>
        <v>FY</v>
      </c>
      <c r="CE5" s="94"/>
      <c r="CF5" s="88" t="s">
        <v>1</v>
      </c>
      <c r="CG5" s="92">
        <f>CSX!HP5</f>
        <v>40633</v>
      </c>
      <c r="CH5" s="92">
        <f>CSX!HQ5</f>
        <v>40724</v>
      </c>
      <c r="CI5" s="92">
        <f>CSX!HR5</f>
        <v>40816</v>
      </c>
      <c r="CJ5" s="92">
        <f>CSX!HS5</f>
        <v>40908</v>
      </c>
      <c r="CK5" s="92" t="str">
        <f>CSX!HT5</f>
        <v>FY</v>
      </c>
      <c r="CL5" s="94"/>
      <c r="CM5" s="88" t="s">
        <v>1</v>
      </c>
      <c r="CN5" s="92">
        <f>CSX!HW5</f>
        <v>40999</v>
      </c>
      <c r="CO5" s="92">
        <f>CSX!HX5</f>
        <v>41090</v>
      </c>
      <c r="CP5" s="92">
        <f>CSX!HY5</f>
        <v>41182</v>
      </c>
      <c r="CQ5" s="92">
        <f>CSX!HZ5</f>
        <v>41274</v>
      </c>
      <c r="CR5" s="92" t="str">
        <f>CSX!IA5</f>
        <v>FY</v>
      </c>
      <c r="CS5" s="94"/>
      <c r="CT5" s="88" t="s">
        <v>1</v>
      </c>
      <c r="CU5" s="92">
        <f>CSX!ID5</f>
        <v>41364</v>
      </c>
      <c r="CV5" s="92">
        <f>CSX!IE5</f>
        <v>41455</v>
      </c>
      <c r="CW5" s="92">
        <f>CSX!IF5</f>
        <v>41547</v>
      </c>
      <c r="CX5" s="92">
        <f>CSX!IG5</f>
        <v>41639</v>
      </c>
      <c r="CY5" s="92" t="str">
        <f>CSX!IH5</f>
        <v>FY</v>
      </c>
      <c r="CZ5" s="94"/>
      <c r="DA5" s="88" t="s">
        <v>1</v>
      </c>
      <c r="DB5" s="92">
        <f>CSX!IK5</f>
        <v>41729</v>
      </c>
      <c r="DC5" s="92">
        <f>CSX!IL5</f>
        <v>41820</v>
      </c>
      <c r="DD5" s="92">
        <f>CSX!IM5</f>
        <v>41912</v>
      </c>
      <c r="DE5" s="92">
        <f>CSX!IN5</f>
        <v>42004</v>
      </c>
      <c r="DF5" s="92" t="str">
        <f>CSX!IO5</f>
        <v>FY</v>
      </c>
      <c r="DG5" s="94"/>
      <c r="DH5" s="88" t="s">
        <v>1</v>
      </c>
      <c r="DI5" s="92">
        <f>CSX!IR5</f>
        <v>42094</v>
      </c>
      <c r="DJ5" s="92">
        <f>CSX!IS5</f>
        <v>42185</v>
      </c>
      <c r="DK5" s="92">
        <f>CSX!IT5</f>
        <v>42277</v>
      </c>
      <c r="DL5" s="92">
        <f>CSX!IU5</f>
        <v>42369</v>
      </c>
      <c r="DM5" s="92" t="str">
        <f>CSX!IV5</f>
        <v>FY</v>
      </c>
      <c r="DN5" s="94"/>
      <c r="DO5" s="88" t="s">
        <v>1</v>
      </c>
      <c r="DP5" s="92">
        <f>CSX!IY5</f>
        <v>42460</v>
      </c>
      <c r="DQ5" s="92">
        <f>CSX!IZ5</f>
        <v>42551</v>
      </c>
      <c r="DR5" s="92">
        <f>CSX!JA5</f>
        <v>42643</v>
      </c>
      <c r="DS5" s="92">
        <f>CSX!JB5</f>
        <v>42735</v>
      </c>
      <c r="DT5" s="92" t="str">
        <f>CSX!JC5</f>
        <v>FY</v>
      </c>
      <c r="DU5" s="94"/>
      <c r="DV5" s="88" t="s">
        <v>1</v>
      </c>
      <c r="DW5" s="92">
        <f>CSX!JF5</f>
        <v>42825</v>
      </c>
      <c r="DX5" s="92">
        <f>CSX!JG5</f>
        <v>42916</v>
      </c>
      <c r="DY5" s="92">
        <f>CSX!JH5</f>
        <v>43008</v>
      </c>
      <c r="DZ5" s="92">
        <f>CSX!JI5</f>
        <v>43100</v>
      </c>
      <c r="EA5" s="92" t="str">
        <f>CSX!JJ5</f>
        <v>FY</v>
      </c>
      <c r="EB5" s="94"/>
      <c r="EC5" s="88" t="s">
        <v>1</v>
      </c>
      <c r="ED5" s="92">
        <f>CSX!JM5</f>
        <v>43190</v>
      </c>
      <c r="EE5" s="92">
        <f>CSX!JN5</f>
        <v>43281</v>
      </c>
      <c r="EF5" s="92">
        <f>CSX!JO5</f>
        <v>43373</v>
      </c>
      <c r="EG5" s="92">
        <f>CSX!JP5</f>
        <v>43465</v>
      </c>
      <c r="EH5" s="92" t="str">
        <f>CSX!JQ5</f>
        <v>FY</v>
      </c>
      <c r="EI5" s="94"/>
      <c r="EJ5" s="88" t="s">
        <v>1</v>
      </c>
      <c r="EK5" s="92">
        <f>CSX!JT5</f>
        <v>43555</v>
      </c>
      <c r="EL5" s="92">
        <f>CSX!JU5</f>
        <v>43646</v>
      </c>
      <c r="EM5" s="92">
        <f>CSX!JV5</f>
        <v>43738</v>
      </c>
      <c r="EN5" s="92">
        <f>CSX!JW5</f>
        <v>43830</v>
      </c>
      <c r="EO5" s="92" t="str">
        <f>CSX!JX5</f>
        <v>FY</v>
      </c>
      <c r="EP5" s="94"/>
      <c r="EQ5" s="88" t="s">
        <v>1</v>
      </c>
      <c r="ER5" s="92">
        <f>CSX!KA5</f>
        <v>43921</v>
      </c>
      <c r="ES5" s="92">
        <f>CSX!KB5</f>
        <v>44012</v>
      </c>
      <c r="ET5" s="92">
        <f>CSX!KC5</f>
        <v>44104</v>
      </c>
      <c r="EU5" s="92">
        <f>CSX!KD5</f>
        <v>44196</v>
      </c>
      <c r="EV5" s="92" t="str">
        <f>CSX!KE5</f>
        <v>FY</v>
      </c>
      <c r="EW5" s="94"/>
      <c r="EX5" s="88" t="s">
        <v>1</v>
      </c>
      <c r="EY5" s="92">
        <f>CSX!KH5</f>
        <v>44286</v>
      </c>
      <c r="EZ5" s="92">
        <f>CSX!KI5</f>
        <v>44377</v>
      </c>
      <c r="FA5" s="92">
        <f>CSX!KJ5</f>
        <v>44469</v>
      </c>
      <c r="FB5" s="92">
        <f>CSX!KK5</f>
        <v>44561</v>
      </c>
      <c r="FC5" s="92" t="str">
        <f>CSX!KL5</f>
        <v>FY</v>
      </c>
      <c r="FD5" s="94"/>
      <c r="FE5" s="88" t="s">
        <v>1</v>
      </c>
      <c r="FF5" s="92">
        <f>CSX!KO5</f>
        <v>44651</v>
      </c>
      <c r="FG5" s="92">
        <f>CSX!KP5</f>
        <v>44742</v>
      </c>
      <c r="FH5" s="92">
        <f>CSX!KQ5</f>
        <v>44834</v>
      </c>
      <c r="FI5" s="92">
        <f>CSX!KR5</f>
        <v>44926</v>
      </c>
      <c r="FJ5" s="92" t="str">
        <f>CSX!KS5</f>
        <v>FY</v>
      </c>
      <c r="FK5" s="94"/>
      <c r="FL5" s="88" t="s">
        <v>1</v>
      </c>
      <c r="FM5" s="92">
        <f>CSX!KV5</f>
        <v>45016</v>
      </c>
      <c r="FN5" s="92">
        <f>CSX!KW5</f>
        <v>45107</v>
      </c>
      <c r="FO5" s="92">
        <f>CSX!KX5</f>
        <v>45199</v>
      </c>
      <c r="FP5" s="92">
        <f>CSX!KY5</f>
        <v>45291</v>
      </c>
      <c r="FQ5" s="92" t="str">
        <f>CSX!KZ5</f>
        <v>FY</v>
      </c>
      <c r="FR5" s="94"/>
      <c r="FS5" s="88" t="s">
        <v>1</v>
      </c>
      <c r="FT5" s="92">
        <f>CSX!LC5</f>
        <v>45382</v>
      </c>
      <c r="FU5" s="92">
        <f>CSX!LD5</f>
        <v>45473</v>
      </c>
      <c r="FV5" s="92">
        <f>CSX!LE5</f>
        <v>45565</v>
      </c>
      <c r="FW5" s="92">
        <f>CSX!LF5</f>
        <v>45657</v>
      </c>
      <c r="FX5" s="95" t="str">
        <f>CSX!LG5</f>
        <v>FY</v>
      </c>
      <c r="FY5" s="94"/>
      <c r="FZ5" s="88" t="s">
        <v>1</v>
      </c>
      <c r="GA5" s="92">
        <f>CSX!LJ5</f>
        <v>45747</v>
      </c>
      <c r="GB5" s="92">
        <f>CSX!LK5</f>
        <v>45838</v>
      </c>
      <c r="GC5" s="92">
        <f>CSX!LL5</f>
        <v>45930</v>
      </c>
      <c r="GD5" s="92">
        <f>CSX!LM5</f>
        <v>46022</v>
      </c>
      <c r="GE5" s="95" t="str">
        <f>CSX!LN5</f>
        <v>FY</v>
      </c>
      <c r="GF5" s="94"/>
      <c r="GG5" s="88" t="s">
        <v>1</v>
      </c>
      <c r="GH5" s="92">
        <f>CSX!LQ5</f>
        <v>46112</v>
      </c>
      <c r="GI5" s="92">
        <f>CSX!LR5</f>
        <v>46203</v>
      </c>
      <c r="GJ5" s="92">
        <f>CSX!LS5</f>
        <v>46295</v>
      </c>
      <c r="GK5" s="92">
        <f>CSX!LT5</f>
        <v>46387</v>
      </c>
      <c r="GL5" s="95" t="str">
        <f>CSX!LU5</f>
        <v>FY</v>
      </c>
      <c r="GM5" s="94"/>
      <c r="GN5" s="88" t="s">
        <v>1</v>
      </c>
      <c r="GO5" s="92">
        <f>CSX!LX5</f>
        <v>46477</v>
      </c>
      <c r="GP5" s="92">
        <f>CSX!LY5</f>
        <v>46568</v>
      </c>
      <c r="GQ5" s="92">
        <f>CSX!LZ5</f>
        <v>46660</v>
      </c>
      <c r="GR5" s="92">
        <f>CSX!MA5</f>
        <v>46752</v>
      </c>
      <c r="GS5" s="95" t="str">
        <f>CSX!MB5</f>
        <v>FY</v>
      </c>
      <c r="GU5" s="88" t="s">
        <v>1</v>
      </c>
      <c r="GV5" s="92">
        <f>CSX!ME5</f>
        <v>46843</v>
      </c>
      <c r="GW5" s="92">
        <f>CSX!MF5</f>
        <v>46934</v>
      </c>
      <c r="GX5" s="92">
        <f>CSX!MG5</f>
        <v>47026</v>
      </c>
      <c r="GY5" s="92">
        <f>CSX!MH5</f>
        <v>47118</v>
      </c>
      <c r="GZ5" s="95" t="str">
        <f>CSX!MI5</f>
        <v>FY</v>
      </c>
    </row>
    <row r="6" spans="1:208" ht="14.25" thickBot="1" x14ac:dyDescent="0.45">
      <c r="B6" s="76"/>
      <c r="AP6" s="76"/>
      <c r="AW6" s="76"/>
      <c r="BD6" s="76"/>
      <c r="BK6" s="76"/>
      <c r="BR6" s="76"/>
      <c r="BY6" s="76"/>
      <c r="CF6" s="76"/>
      <c r="CM6" s="76"/>
      <c r="CT6" s="76"/>
      <c r="DA6" s="76"/>
      <c r="DH6" s="76"/>
      <c r="DO6" s="76"/>
      <c r="DV6" s="76"/>
      <c r="EC6" s="76"/>
      <c r="EJ6" s="76"/>
      <c r="EQ6" s="76"/>
      <c r="EX6" s="76"/>
      <c r="FE6" s="76"/>
      <c r="FL6" s="76"/>
      <c r="FS6" s="76"/>
      <c r="FZ6" s="76"/>
      <c r="GG6" s="76"/>
      <c r="GN6" s="76"/>
      <c r="GU6" s="76"/>
    </row>
    <row r="7" spans="1:208" ht="14.25" thickBot="1" x14ac:dyDescent="0.45">
      <c r="A7" s="414"/>
      <c r="B7" s="415" t="s">
        <v>81</v>
      </c>
      <c r="C7" s="416"/>
      <c r="D7" s="416"/>
      <c r="E7" s="416"/>
      <c r="F7" s="416"/>
      <c r="G7" s="416"/>
      <c r="H7" s="416"/>
      <c r="I7" s="416"/>
      <c r="J7" s="416"/>
      <c r="K7" s="416"/>
      <c r="L7" s="416"/>
      <c r="M7" s="416"/>
      <c r="N7" s="416"/>
      <c r="O7" s="416"/>
      <c r="P7" s="416"/>
      <c r="Q7" s="416"/>
      <c r="R7" s="416"/>
      <c r="S7" s="416"/>
      <c r="T7" s="416"/>
      <c r="U7" s="416"/>
      <c r="V7" s="416"/>
      <c r="W7" s="416"/>
      <c r="X7" s="416"/>
      <c r="Y7" s="416"/>
      <c r="Z7" s="416"/>
      <c r="AA7" s="416"/>
      <c r="AB7" s="416"/>
      <c r="AC7" s="416"/>
      <c r="AD7" s="416"/>
      <c r="AE7" s="416"/>
      <c r="AF7" s="416"/>
      <c r="AG7" s="416"/>
      <c r="AH7" s="416"/>
      <c r="AI7" s="416"/>
      <c r="AJ7" s="416"/>
      <c r="AK7" s="416"/>
      <c r="AL7" s="416"/>
      <c r="AM7" s="416"/>
      <c r="AN7" s="416"/>
      <c r="AP7" s="415" t="s">
        <v>81</v>
      </c>
      <c r="AQ7" s="416"/>
      <c r="AR7" s="416"/>
      <c r="AS7" s="416"/>
      <c r="AT7" s="416"/>
      <c r="AU7" s="416"/>
      <c r="AW7" s="415" t="s">
        <v>81</v>
      </c>
      <c r="AX7" s="416"/>
      <c r="AY7" s="416"/>
      <c r="AZ7" s="416"/>
      <c r="BA7" s="416"/>
      <c r="BB7" s="416"/>
      <c r="BD7" s="415" t="s">
        <v>81</v>
      </c>
      <c r="BE7" s="416"/>
      <c r="BF7" s="416"/>
      <c r="BG7" s="416"/>
      <c r="BH7" s="416"/>
      <c r="BI7" s="416"/>
      <c r="BK7" s="415" t="s">
        <v>81</v>
      </c>
      <c r="BL7" s="416"/>
      <c r="BM7" s="416"/>
      <c r="BN7" s="416"/>
      <c r="BO7" s="416"/>
      <c r="BP7" s="416"/>
      <c r="BR7" s="415" t="s">
        <v>81</v>
      </c>
      <c r="BS7" s="416"/>
      <c r="BT7" s="416"/>
      <c r="BU7" s="416"/>
      <c r="BV7" s="416"/>
      <c r="BW7" s="416"/>
      <c r="BY7" s="415" t="s">
        <v>81</v>
      </c>
      <c r="BZ7" s="416"/>
      <c r="CA7" s="416"/>
      <c r="CB7" s="416"/>
      <c r="CC7" s="416"/>
      <c r="CD7" s="416"/>
      <c r="CF7" s="415" t="s">
        <v>81</v>
      </c>
      <c r="CG7" s="416"/>
      <c r="CH7" s="416"/>
      <c r="CI7" s="416"/>
      <c r="CJ7" s="416"/>
      <c r="CK7" s="416"/>
      <c r="CM7" s="415" t="s">
        <v>81</v>
      </c>
      <c r="CN7" s="416"/>
      <c r="CO7" s="416"/>
      <c r="CP7" s="416"/>
      <c r="CQ7" s="416"/>
      <c r="CR7" s="416"/>
      <c r="CT7" s="415" t="s">
        <v>81</v>
      </c>
      <c r="CU7" s="416"/>
      <c r="CV7" s="416"/>
      <c r="CW7" s="416"/>
      <c r="CX7" s="416"/>
      <c r="CY7" s="416"/>
      <c r="DA7" s="415" t="s">
        <v>81</v>
      </c>
      <c r="DB7" s="416"/>
      <c r="DC7" s="416"/>
      <c r="DD7" s="416"/>
      <c r="DE7" s="416"/>
      <c r="DF7" s="416"/>
      <c r="DH7" s="415" t="s">
        <v>81</v>
      </c>
      <c r="DI7" s="416"/>
      <c r="DJ7" s="416"/>
      <c r="DK7" s="416"/>
      <c r="DL7" s="416"/>
      <c r="DM7" s="416"/>
      <c r="DO7" s="415" t="s">
        <v>81</v>
      </c>
      <c r="DP7" s="416"/>
      <c r="DQ7" s="416"/>
      <c r="DR7" s="416"/>
      <c r="DS7" s="416"/>
      <c r="DT7" s="416"/>
      <c r="DV7" s="415" t="s">
        <v>81</v>
      </c>
      <c r="DW7" s="416"/>
      <c r="DX7" s="416"/>
      <c r="DY7" s="416"/>
      <c r="DZ7" s="416"/>
      <c r="EA7" s="416"/>
      <c r="EC7" s="415" t="s">
        <v>81</v>
      </c>
      <c r="ED7" s="416"/>
      <c r="EE7" s="416"/>
      <c r="EF7" s="416"/>
      <c r="EG7" s="416"/>
      <c r="EH7" s="416"/>
      <c r="EJ7" s="415" t="s">
        <v>81</v>
      </c>
      <c r="EK7" s="416"/>
      <c r="EL7" s="416"/>
      <c r="EM7" s="416"/>
      <c r="EN7" s="416"/>
      <c r="EO7" s="416"/>
      <c r="EQ7" s="415" t="s">
        <v>81</v>
      </c>
      <c r="ER7" s="416"/>
      <c r="ES7" s="416"/>
      <c r="ET7" s="416"/>
      <c r="EU7" s="416"/>
      <c r="EV7" s="416"/>
      <c r="EX7" s="415" t="s">
        <v>81</v>
      </c>
      <c r="EY7" s="416"/>
      <c r="EZ7" s="416"/>
      <c r="FA7" s="416"/>
      <c r="FB7" s="416"/>
      <c r="FC7" s="416"/>
      <c r="FE7" s="415" t="s">
        <v>81</v>
      </c>
      <c r="FF7" s="416"/>
      <c r="FG7" s="416"/>
      <c r="FH7" s="416"/>
      <c r="FI7" s="416"/>
      <c r="FJ7" s="416"/>
      <c r="FL7" s="415" t="s">
        <v>81</v>
      </c>
      <c r="FM7" s="416"/>
      <c r="FN7" s="416"/>
      <c r="FO7" s="416"/>
      <c r="FP7" s="416"/>
      <c r="FQ7" s="416"/>
      <c r="FS7" s="415" t="s">
        <v>81</v>
      </c>
      <c r="FT7" s="416"/>
      <c r="FU7" s="416"/>
      <c r="FV7" s="416"/>
      <c r="FW7" s="416"/>
      <c r="FX7" s="416"/>
      <c r="FZ7" s="415" t="s">
        <v>81</v>
      </c>
      <c r="GA7" s="416"/>
      <c r="GB7" s="416"/>
      <c r="GC7" s="416"/>
      <c r="GD7" s="416"/>
      <c r="GE7" s="416"/>
      <c r="GG7" s="415" t="s">
        <v>81</v>
      </c>
      <c r="GH7" s="416"/>
      <c r="GI7" s="416"/>
      <c r="GJ7" s="416"/>
      <c r="GK7" s="416"/>
      <c r="GL7" s="416"/>
      <c r="GN7" s="415" t="s">
        <v>81</v>
      </c>
      <c r="GO7" s="416"/>
      <c r="GP7" s="416"/>
      <c r="GQ7" s="416"/>
      <c r="GR7" s="416"/>
      <c r="GS7" s="416"/>
      <c r="GU7" s="415" t="s">
        <v>81</v>
      </c>
      <c r="GV7" s="416"/>
      <c r="GW7" s="416"/>
      <c r="GX7" s="416"/>
      <c r="GY7" s="416"/>
      <c r="GZ7" s="416"/>
    </row>
    <row r="8" spans="1:208" x14ac:dyDescent="0.4">
      <c r="B8" s="82"/>
      <c r="C8" s="80"/>
      <c r="D8" s="80"/>
      <c r="E8" s="80"/>
      <c r="F8" s="80"/>
      <c r="G8" s="80"/>
      <c r="H8" s="80"/>
      <c r="I8" s="80"/>
      <c r="J8" s="80"/>
      <c r="K8" s="80"/>
      <c r="L8" s="80"/>
      <c r="M8" s="80"/>
      <c r="N8" s="80"/>
      <c r="O8" s="80"/>
      <c r="P8" s="80"/>
      <c r="Q8" s="80"/>
      <c r="R8" s="80"/>
      <c r="S8" s="80"/>
      <c r="T8" s="80"/>
      <c r="U8" s="80"/>
      <c r="V8" s="80"/>
      <c r="W8" s="80"/>
      <c r="X8" s="80"/>
      <c r="Y8" s="80"/>
      <c r="Z8" s="80"/>
      <c r="AP8" s="82"/>
      <c r="AW8" s="82"/>
      <c r="BD8" s="82"/>
      <c r="BK8" s="82"/>
      <c r="BR8" s="82"/>
      <c r="BY8" s="82"/>
      <c r="CF8" s="82"/>
      <c r="CM8" s="82"/>
      <c r="CT8" s="82"/>
      <c r="DA8" s="82"/>
      <c r="DH8" s="82"/>
      <c r="DO8" s="82"/>
      <c r="DV8" s="82"/>
      <c r="EC8" s="82"/>
      <c r="EJ8" s="82"/>
      <c r="EQ8" s="82"/>
      <c r="EX8" s="82"/>
      <c r="FE8" s="82"/>
      <c r="FL8" s="82"/>
      <c r="FS8" s="82"/>
      <c r="FZ8" s="82"/>
      <c r="GG8" s="82"/>
      <c r="GN8" s="82"/>
      <c r="GU8" s="82"/>
    </row>
    <row r="9" spans="1:208" x14ac:dyDescent="0.4">
      <c r="A9" s="417"/>
      <c r="B9" s="318" t="s">
        <v>14</v>
      </c>
      <c r="C9" s="319">
        <f t="shared" ref="C9:C24" si="0">AU9</f>
        <v>1145</v>
      </c>
      <c r="D9" s="319">
        <f t="shared" ref="D9:D24" si="1">BB9</f>
        <v>1310</v>
      </c>
      <c r="E9" s="319">
        <f t="shared" ref="E9:E24" si="2">BI9</f>
        <v>1336</v>
      </c>
      <c r="F9" s="319">
        <f t="shared" ref="F9:F24" si="3">BP9</f>
        <v>1355</v>
      </c>
      <c r="G9" s="319">
        <f t="shared" ref="G9:G24" si="4">BW9</f>
        <v>1143</v>
      </c>
      <c r="H9" s="319">
        <f t="shared" ref="H9:H24" si="5">CD9</f>
        <v>1563</v>
      </c>
      <c r="I9" s="319">
        <f t="shared" ref="I9:I24" si="6">CK9</f>
        <v>1854</v>
      </c>
      <c r="J9" s="319">
        <f t="shared" ref="J9:J24" si="7">CR9</f>
        <v>1863</v>
      </c>
      <c r="K9" s="319">
        <f t="shared" ref="K9:K24" si="8">CY9</f>
        <v>1864</v>
      </c>
      <c r="L9" s="319">
        <f t="shared" ref="L9:L24" si="9">DF9</f>
        <v>1927</v>
      </c>
      <c r="M9" s="319">
        <f t="shared" ref="M9:M24" si="10">DM9</f>
        <v>1968</v>
      </c>
      <c r="N9" s="319">
        <f t="shared" ref="N9:N24" si="11">DT9</f>
        <v>1714</v>
      </c>
      <c r="O9" s="319">
        <f t="shared" ref="O9:O24" si="12">EA9</f>
        <v>5471</v>
      </c>
      <c r="P9" s="319">
        <f t="shared" ref="P9:P24" si="13">EH9</f>
        <v>3309</v>
      </c>
      <c r="Q9" s="319">
        <f t="shared" ref="Q9:Q24" si="14">EO9</f>
        <v>3331</v>
      </c>
      <c r="R9" s="319">
        <f t="shared" ref="R9:R24" si="15">EV9</f>
        <v>2765</v>
      </c>
      <c r="S9" s="319">
        <f t="shared" ref="S9:S24" si="16">FC9</f>
        <v>3781</v>
      </c>
      <c r="T9" s="319">
        <f t="shared" ref="T9:T24" si="17">FJ9</f>
        <v>4166</v>
      </c>
      <c r="U9" s="319">
        <f t="shared" ref="U9:U24" si="18">FQ9</f>
        <v>3715</v>
      </c>
      <c r="V9" s="319">
        <f t="shared" ref="V9:V24" si="19">FX9</f>
        <v>3470</v>
      </c>
      <c r="W9" s="319">
        <f t="shared" ref="W9:W24" si="20">GE9</f>
        <v>2889</v>
      </c>
      <c r="X9" s="319">
        <f t="shared" ref="X9:X24" si="21">GL9</f>
        <v>3468.9447185482177</v>
      </c>
      <c r="Y9" s="319">
        <f t="shared" ref="Y9:Y24" si="22">GS9</f>
        <v>3885.5017888526631</v>
      </c>
      <c r="Z9" s="319">
        <f t="shared" ref="Z9:Z24" si="23">GZ9</f>
        <v>4164.4501714683884</v>
      </c>
      <c r="AA9" s="320"/>
      <c r="AB9" s="320"/>
      <c r="AC9" s="320"/>
      <c r="AD9" s="320"/>
      <c r="AE9" s="320"/>
      <c r="AF9" s="320"/>
      <c r="AG9" s="320"/>
      <c r="AH9" s="320"/>
      <c r="AI9" s="320"/>
      <c r="AJ9" s="320"/>
      <c r="AK9" s="320"/>
      <c r="AL9" s="320"/>
      <c r="AM9" s="320"/>
      <c r="AN9" s="320"/>
      <c r="AP9" s="318" t="s">
        <v>14</v>
      </c>
      <c r="AQ9" s="319">
        <v>579</v>
      </c>
      <c r="AR9" s="319">
        <f>744-AQ9</f>
        <v>165</v>
      </c>
      <c r="AS9" s="319">
        <f>908-AR9-AQ9</f>
        <v>164</v>
      </c>
      <c r="AT9" s="319">
        <f>AU9-SUM(AQ9:AS9)</f>
        <v>237</v>
      </c>
      <c r="AU9" s="319">
        <v>1145</v>
      </c>
      <c r="AW9" s="318" t="s">
        <v>14</v>
      </c>
      <c r="AX9" s="319">
        <v>245</v>
      </c>
      <c r="AY9" s="319">
        <f>635-AX9</f>
        <v>390</v>
      </c>
      <c r="AZ9" s="319">
        <f>963-AY9-AX9</f>
        <v>328</v>
      </c>
      <c r="BA9" s="319">
        <f>BB9-SUM(AX9:AZ9)</f>
        <v>347</v>
      </c>
      <c r="BB9" s="319">
        <v>1310</v>
      </c>
      <c r="BD9" s="318" t="s">
        <v>14</v>
      </c>
      <c r="BE9" s="319">
        <v>240</v>
      </c>
      <c r="BF9" s="319">
        <f>564-BE9</f>
        <v>324</v>
      </c>
      <c r="BG9" s="319">
        <f>971-BF9-BE9</f>
        <v>407</v>
      </c>
      <c r="BH9" s="319">
        <f>BI9-SUM(BE9:BG9)</f>
        <v>365</v>
      </c>
      <c r="BI9" s="319">
        <v>1336</v>
      </c>
      <c r="BK9" s="318" t="s">
        <v>14</v>
      </c>
      <c r="BL9" s="319">
        <v>351</v>
      </c>
      <c r="BM9" s="319">
        <f>736-BL9</f>
        <v>385</v>
      </c>
      <c r="BN9" s="319">
        <f>1118-BM9-BL9</f>
        <v>382</v>
      </c>
      <c r="BO9" s="319">
        <f>BP9-SUM(BL9:BN9)</f>
        <v>237</v>
      </c>
      <c r="BP9" s="319">
        <v>1355</v>
      </c>
      <c r="BR9" s="318" t="s">
        <v>14</v>
      </c>
      <c r="BS9" s="319">
        <v>246</v>
      </c>
      <c r="BT9" s="319">
        <f>550-BS9</f>
        <v>304</v>
      </c>
      <c r="BU9" s="319">
        <f>840-BT9-BS9</f>
        <v>290</v>
      </c>
      <c r="BV9" s="319">
        <f>BW9-SUM(BS9:BU9)</f>
        <v>303</v>
      </c>
      <c r="BW9" s="319">
        <v>1143</v>
      </c>
      <c r="BY9" s="318" t="s">
        <v>14</v>
      </c>
      <c r="BZ9" s="319">
        <v>305</v>
      </c>
      <c r="CA9" s="319">
        <f>719-BZ9</f>
        <v>414</v>
      </c>
      <c r="CB9" s="319">
        <f>1133-CA9-BZ9</f>
        <v>414</v>
      </c>
      <c r="CC9" s="319">
        <f>CD9-SUM(BZ9:CB9)</f>
        <v>430</v>
      </c>
      <c r="CD9" s="319">
        <v>1563</v>
      </c>
      <c r="CF9" s="318" t="s">
        <v>14</v>
      </c>
      <c r="CG9" s="319">
        <v>395</v>
      </c>
      <c r="CH9" s="319">
        <f>901-CG9</f>
        <v>506</v>
      </c>
      <c r="CI9" s="319">
        <f>1365-CH9-CG9</f>
        <v>464</v>
      </c>
      <c r="CJ9" s="319">
        <f>CK9-SUM(CG9:CI9)</f>
        <v>489</v>
      </c>
      <c r="CK9" s="319">
        <v>1854</v>
      </c>
      <c r="CM9" s="318" t="s">
        <v>14</v>
      </c>
      <c r="CN9" s="319">
        <v>449</v>
      </c>
      <c r="CO9" s="319">
        <f>961-CN9</f>
        <v>512</v>
      </c>
      <c r="CP9" s="319">
        <f>1416-CO9-CN9</f>
        <v>455</v>
      </c>
      <c r="CQ9" s="319">
        <f>CR9-SUM(CN9:CP9)</f>
        <v>447</v>
      </c>
      <c r="CR9" s="319">
        <v>1863</v>
      </c>
      <c r="CT9" s="318" t="s">
        <v>14</v>
      </c>
      <c r="CU9" s="319">
        <v>462</v>
      </c>
      <c r="CV9" s="319">
        <f>983-CU9</f>
        <v>521</v>
      </c>
      <c r="CW9" s="319">
        <f>1438-CV9-CU9</f>
        <v>455</v>
      </c>
      <c r="CX9" s="319">
        <f>CY9-SUM(CU9:CW9)</f>
        <v>426</v>
      </c>
      <c r="CY9" s="319">
        <v>1864</v>
      </c>
      <c r="DA9" s="318" t="s">
        <v>14</v>
      </c>
      <c r="DB9" s="319">
        <v>398</v>
      </c>
      <c r="DC9" s="319">
        <f>927-DB9</f>
        <v>529</v>
      </c>
      <c r="DD9" s="319">
        <f>1436-DC9-DB9</f>
        <v>509</v>
      </c>
      <c r="DE9" s="319">
        <f>DF9-SUM(DB9:DD9)</f>
        <v>491</v>
      </c>
      <c r="DF9" s="319">
        <v>1927</v>
      </c>
      <c r="DH9" s="318" t="s">
        <v>14</v>
      </c>
      <c r="DI9" s="319">
        <v>442</v>
      </c>
      <c r="DJ9" s="319">
        <f>995-DI9</f>
        <v>553</v>
      </c>
      <c r="DK9" s="319">
        <f>1502-DJ9-DI9</f>
        <v>507</v>
      </c>
      <c r="DL9" s="319">
        <f>DM9-SUM(DI9:DK9)</f>
        <v>466</v>
      </c>
      <c r="DM9" s="319">
        <v>1968</v>
      </c>
      <c r="DO9" s="318" t="s">
        <v>14</v>
      </c>
      <c r="DP9" s="319">
        <v>356</v>
      </c>
      <c r="DQ9" s="319">
        <f>801-DP9</f>
        <v>445</v>
      </c>
      <c r="DR9" s="319">
        <f>1256-DQ9-DP9</f>
        <v>455</v>
      </c>
      <c r="DS9" s="319">
        <f>DT9-SUM(DP9:DR9)</f>
        <v>458</v>
      </c>
      <c r="DT9" s="319">
        <v>1714</v>
      </c>
      <c r="DV9" s="318" t="s">
        <v>14</v>
      </c>
      <c r="DW9" s="319">
        <v>362</v>
      </c>
      <c r="DX9" s="319">
        <f>872-DW9</f>
        <v>510</v>
      </c>
      <c r="DY9" s="319">
        <f>1331-DX9-DW9</f>
        <v>459</v>
      </c>
      <c r="DZ9" s="319">
        <f>EA9-SUM(DW9:DY9)</f>
        <v>4140</v>
      </c>
      <c r="EA9" s="319">
        <v>5471</v>
      </c>
      <c r="EC9" s="318" t="s">
        <v>14</v>
      </c>
      <c r="ED9" s="319">
        <v>695</v>
      </c>
      <c r="EE9" s="319">
        <f>1572-ED9</f>
        <v>877</v>
      </c>
      <c r="EF9" s="319">
        <f>2466-EE9-ED9</f>
        <v>894</v>
      </c>
      <c r="EG9" s="319">
        <f>EH9-SUM(ED9:EF9)</f>
        <v>843</v>
      </c>
      <c r="EH9" s="319">
        <v>3309</v>
      </c>
      <c r="EJ9" s="318" t="s">
        <v>14</v>
      </c>
      <c r="EK9" s="319">
        <v>834</v>
      </c>
      <c r="EL9" s="319">
        <f>1704-EK9</f>
        <v>870</v>
      </c>
      <c r="EM9" s="319">
        <f>2560-EL9-EK9</f>
        <v>856</v>
      </c>
      <c r="EN9" s="319">
        <f>EO9-SUM(EK9:EM9)</f>
        <v>771</v>
      </c>
      <c r="EO9" s="319">
        <v>3331</v>
      </c>
      <c r="EQ9" s="318" t="s">
        <v>14</v>
      </c>
      <c r="ER9" s="319">
        <v>770</v>
      </c>
      <c r="ES9" s="319">
        <f>1269-ER9</f>
        <v>499</v>
      </c>
      <c r="ET9" s="319">
        <f>2005-SUM(ER9:ES9)</f>
        <v>736</v>
      </c>
      <c r="EU9" s="319">
        <f>EV9-SUM(ER9:ET9)</f>
        <v>760</v>
      </c>
      <c r="EV9" s="319">
        <v>2765</v>
      </c>
      <c r="EX9" s="318" t="s">
        <v>14</v>
      </c>
      <c r="EY9" s="319">
        <v>706</v>
      </c>
      <c r="EZ9" s="319">
        <f>1879-EY9</f>
        <v>1173</v>
      </c>
      <c r="FA9" s="319">
        <f>2847-EZ9-EY9</f>
        <v>968</v>
      </c>
      <c r="FB9" s="319">
        <f>FC9-SUM(EY9:FA9)</f>
        <v>934</v>
      </c>
      <c r="FC9" s="319">
        <v>3781</v>
      </c>
      <c r="FE9" s="318" t="s">
        <v>14</v>
      </c>
      <c r="FF9" s="319">
        <v>859</v>
      </c>
      <c r="FG9" s="319">
        <f>2037-FF9</f>
        <v>1178</v>
      </c>
      <c r="FH9" s="319">
        <f>3148-FG9-FF9</f>
        <v>1111</v>
      </c>
      <c r="FI9" s="319">
        <f>FJ9-SUM(FF9:FH9)</f>
        <v>1018</v>
      </c>
      <c r="FJ9" s="319">
        <v>4166</v>
      </c>
      <c r="FL9" s="318" t="s">
        <v>14</v>
      </c>
      <c r="FM9" s="319">
        <v>987</v>
      </c>
      <c r="FN9" s="319">
        <f>1983-FM9</f>
        <v>996</v>
      </c>
      <c r="FO9" s="319">
        <f>2829-SUM(FM9:FN9)</f>
        <v>846</v>
      </c>
      <c r="FP9" s="319">
        <f>FQ9-SUM(FM9:FO9)</f>
        <v>886</v>
      </c>
      <c r="FQ9" s="319">
        <v>3715</v>
      </c>
      <c r="FS9" s="318" t="s">
        <v>14</v>
      </c>
      <c r="FT9" s="319">
        <v>880</v>
      </c>
      <c r="FU9" s="319">
        <f>1843-FT9</f>
        <v>963</v>
      </c>
      <c r="FV9" s="319">
        <f>2737-FU9-FT9</f>
        <v>894</v>
      </c>
      <c r="FW9" s="319">
        <f>FX9-SUM(FT9:FV9)</f>
        <v>733</v>
      </c>
      <c r="FX9" s="319">
        <v>3470</v>
      </c>
      <c r="FZ9" s="318" t="s">
        <v>14</v>
      </c>
      <c r="GA9" s="319">
        <v>646</v>
      </c>
      <c r="GB9" s="319">
        <f>1475-GA9</f>
        <v>829</v>
      </c>
      <c r="GC9" s="319">
        <f>2169-GB9-GA9</f>
        <v>694</v>
      </c>
      <c r="GD9" s="319">
        <f>2889-GC9-GB9-GA9</f>
        <v>720</v>
      </c>
      <c r="GE9" s="319">
        <f>+SUM(GA9:GD9)</f>
        <v>2889</v>
      </c>
      <c r="GG9" s="318" t="s">
        <v>14</v>
      </c>
      <c r="GH9" s="319">
        <f>+CSX!LQ49</f>
        <v>747.20494434845</v>
      </c>
      <c r="GI9" s="319">
        <f>+CSX!LR49</f>
        <v>897.08905849167331</v>
      </c>
      <c r="GJ9" s="319">
        <f>+CSX!LS49</f>
        <v>927.90753307406203</v>
      </c>
      <c r="GK9" s="319">
        <f>+CSX!LT49</f>
        <v>896.74318263403268</v>
      </c>
      <c r="GL9" s="319">
        <f>+SUM(GH9:GK9)</f>
        <v>3468.9447185482177</v>
      </c>
      <c r="GN9" s="318" t="s">
        <v>14</v>
      </c>
      <c r="GO9" s="319">
        <f>+CSX!LX49</f>
        <v>849.46453282713412</v>
      </c>
      <c r="GP9" s="319">
        <f>+CSX!LY49</f>
        <v>1004.810696018726</v>
      </c>
      <c r="GQ9" s="319">
        <f>+CSX!LZ49</f>
        <v>1041.3043082371858</v>
      </c>
      <c r="GR9" s="319">
        <f>+CSX!MA49</f>
        <v>989.92225176961767</v>
      </c>
      <c r="GS9" s="319">
        <f>+SUM(GO9:GR9)</f>
        <v>3885.5017888526631</v>
      </c>
      <c r="GU9" s="318" t="s">
        <v>14</v>
      </c>
      <c r="GV9" s="319">
        <f>+CSX!ME49</f>
        <v>924.73653813385783</v>
      </c>
      <c r="GW9" s="319">
        <f>+CSX!MF49</f>
        <v>1075.7096621598496</v>
      </c>
      <c r="GX9" s="319">
        <f>+CSX!MG49</f>
        <v>1105.9124605421396</v>
      </c>
      <c r="GY9" s="319">
        <f>+CSX!MH49</f>
        <v>1058.0915106325406</v>
      </c>
      <c r="GZ9" s="319">
        <f>+SUM(GV9:GY9)</f>
        <v>4164.4501714683884</v>
      </c>
    </row>
    <row r="10" spans="1:208" x14ac:dyDescent="0.4">
      <c r="A10" s="417"/>
      <c r="B10" s="318" t="s">
        <v>24</v>
      </c>
      <c r="C10" s="319">
        <f t="shared" si="0"/>
        <v>833</v>
      </c>
      <c r="D10" s="319">
        <f t="shared" si="1"/>
        <v>867</v>
      </c>
      <c r="E10" s="319">
        <f t="shared" si="2"/>
        <v>890</v>
      </c>
      <c r="F10" s="319">
        <f t="shared" si="3"/>
        <v>914</v>
      </c>
      <c r="G10" s="319">
        <f t="shared" si="4"/>
        <v>903</v>
      </c>
      <c r="H10" s="319">
        <f t="shared" si="5"/>
        <v>947</v>
      </c>
      <c r="I10" s="319">
        <f t="shared" si="6"/>
        <v>976</v>
      </c>
      <c r="J10" s="319">
        <f t="shared" si="7"/>
        <v>1059</v>
      </c>
      <c r="K10" s="319">
        <f t="shared" si="8"/>
        <v>1104</v>
      </c>
      <c r="L10" s="319">
        <f t="shared" si="9"/>
        <v>1151</v>
      </c>
      <c r="M10" s="319">
        <f t="shared" si="10"/>
        <v>1208</v>
      </c>
      <c r="N10" s="319">
        <f t="shared" si="11"/>
        <v>1301</v>
      </c>
      <c r="O10" s="319">
        <f t="shared" si="12"/>
        <v>1315</v>
      </c>
      <c r="P10" s="319">
        <f t="shared" si="13"/>
        <v>1331</v>
      </c>
      <c r="Q10" s="319">
        <f t="shared" si="14"/>
        <v>1349</v>
      </c>
      <c r="R10" s="319">
        <f t="shared" si="15"/>
        <v>1383</v>
      </c>
      <c r="S10" s="319">
        <f t="shared" si="16"/>
        <v>1420</v>
      </c>
      <c r="T10" s="319">
        <f t="shared" si="17"/>
        <v>1500</v>
      </c>
      <c r="U10" s="319">
        <f t="shared" si="18"/>
        <v>1611</v>
      </c>
      <c r="V10" s="319">
        <f t="shared" si="19"/>
        <v>1658</v>
      </c>
      <c r="W10" s="319">
        <f t="shared" si="20"/>
        <v>1680</v>
      </c>
      <c r="X10" s="319">
        <f t="shared" si="21"/>
        <v>1682</v>
      </c>
      <c r="Y10" s="319">
        <f t="shared" si="22"/>
        <v>1726</v>
      </c>
      <c r="Z10" s="319">
        <f t="shared" si="23"/>
        <v>1782</v>
      </c>
      <c r="AA10" s="320"/>
      <c r="AB10" s="320"/>
      <c r="AC10" s="320"/>
      <c r="AD10" s="320"/>
      <c r="AE10" s="320"/>
      <c r="AF10" s="320"/>
      <c r="AG10" s="320"/>
      <c r="AH10" s="320"/>
      <c r="AI10" s="320"/>
      <c r="AJ10" s="320"/>
      <c r="AK10" s="320"/>
      <c r="AL10" s="320"/>
      <c r="AM10" s="320"/>
      <c r="AN10" s="320"/>
      <c r="AP10" s="318" t="s">
        <v>24</v>
      </c>
      <c r="AQ10" s="319">
        <v>209</v>
      </c>
      <c r="AR10" s="319">
        <f>418-AQ10</f>
        <v>209</v>
      </c>
      <c r="AS10" s="319">
        <f>620-AR10-AQ10</f>
        <v>202</v>
      </c>
      <c r="AT10" s="319">
        <f>AU10-SUM(AQ10:AS10)</f>
        <v>213</v>
      </c>
      <c r="AU10" s="319">
        <v>833</v>
      </c>
      <c r="AW10" s="318" t="s">
        <v>24</v>
      </c>
      <c r="AX10" s="319">
        <v>212</v>
      </c>
      <c r="AY10" s="319">
        <f>430-AX10</f>
        <v>218</v>
      </c>
      <c r="AZ10" s="319">
        <f>648-AY10-AX10</f>
        <v>218</v>
      </c>
      <c r="BA10" s="319">
        <f>BB10-SUM(AX10:AZ10)</f>
        <v>219</v>
      </c>
      <c r="BB10" s="319">
        <v>867</v>
      </c>
      <c r="BD10" s="318" t="s">
        <v>24</v>
      </c>
      <c r="BE10" s="319">
        <v>225</v>
      </c>
      <c r="BF10" s="319">
        <f>448-BE10</f>
        <v>223</v>
      </c>
      <c r="BG10" s="319">
        <f>666-BF10-BE10</f>
        <v>218</v>
      </c>
      <c r="BH10" s="319">
        <f>BI10-SUM(BE10:BG10)</f>
        <v>224</v>
      </c>
      <c r="BI10" s="319">
        <v>890</v>
      </c>
      <c r="BK10" s="318" t="s">
        <v>24</v>
      </c>
      <c r="BL10" s="319">
        <v>225</v>
      </c>
      <c r="BM10" s="319">
        <f>456-BL10</f>
        <v>231</v>
      </c>
      <c r="BN10" s="319">
        <f>686-BM10-BL10</f>
        <v>230</v>
      </c>
      <c r="BO10" s="319">
        <f>BP10-SUM(BL10:BN10)</f>
        <v>228</v>
      </c>
      <c r="BP10" s="319">
        <v>914</v>
      </c>
      <c r="BR10" s="318" t="s">
        <v>24</v>
      </c>
      <c r="BS10" s="319">
        <v>224</v>
      </c>
      <c r="BT10" s="319">
        <f>451-BS10</f>
        <v>227</v>
      </c>
      <c r="BU10" s="319">
        <f>675-BT10-BS10</f>
        <v>224</v>
      </c>
      <c r="BV10" s="319">
        <f>BW10-SUM(BS10:BU10)</f>
        <v>228</v>
      </c>
      <c r="BW10" s="319">
        <v>903</v>
      </c>
      <c r="BY10" s="318" t="s">
        <v>24</v>
      </c>
      <c r="BZ10" s="319">
        <v>228</v>
      </c>
      <c r="CA10" s="319">
        <f>458-BZ10</f>
        <v>230</v>
      </c>
      <c r="CB10" s="319">
        <f>690-CA10-BZ10</f>
        <v>232</v>
      </c>
      <c r="CC10" s="319">
        <f>CD10-SUM(BZ10:CB10)</f>
        <v>257</v>
      </c>
      <c r="CD10" s="319">
        <v>947</v>
      </c>
      <c r="CF10" s="318" t="s">
        <v>24</v>
      </c>
      <c r="CG10" s="319">
        <v>243</v>
      </c>
      <c r="CH10" s="319">
        <f>489-CG10</f>
        <v>246</v>
      </c>
      <c r="CI10" s="319">
        <f>740-CH10-CG10</f>
        <v>251</v>
      </c>
      <c r="CJ10" s="319">
        <f>CK10-SUM(CG10:CI10)</f>
        <v>236</v>
      </c>
      <c r="CK10" s="319">
        <v>976</v>
      </c>
      <c r="CM10" s="318" t="s">
        <v>24</v>
      </c>
      <c r="CN10" s="319">
        <v>257</v>
      </c>
      <c r="CO10" s="319">
        <f>520-CN10</f>
        <v>263</v>
      </c>
      <c r="CP10" s="319">
        <f>788-CO10-CN10</f>
        <v>268</v>
      </c>
      <c r="CQ10" s="319">
        <f>CR10-SUM(CN10:CP10)</f>
        <v>271</v>
      </c>
      <c r="CR10" s="319">
        <v>1059</v>
      </c>
      <c r="CT10" s="318" t="s">
        <v>24</v>
      </c>
      <c r="CU10" s="319">
        <v>270</v>
      </c>
      <c r="CV10" s="319">
        <f>546-CU10</f>
        <v>276</v>
      </c>
      <c r="CW10" s="319">
        <f>823-CV10-CU10</f>
        <v>277</v>
      </c>
      <c r="CX10" s="319">
        <f>CY10-SUM(CU10:CW10)</f>
        <v>281</v>
      </c>
      <c r="CY10" s="319">
        <v>1104</v>
      </c>
      <c r="DA10" s="318" t="s">
        <v>24</v>
      </c>
      <c r="DB10" s="319">
        <v>283</v>
      </c>
      <c r="DC10" s="319">
        <f>570-DB10</f>
        <v>287</v>
      </c>
      <c r="DD10" s="319">
        <f>861-DC10-DB10</f>
        <v>291</v>
      </c>
      <c r="DE10" s="319">
        <f>DF10-SUM(DB10:DD10)</f>
        <v>290</v>
      </c>
      <c r="DF10" s="319">
        <v>1151</v>
      </c>
      <c r="DH10" s="318" t="s">
        <v>24</v>
      </c>
      <c r="DI10" s="319">
        <v>295</v>
      </c>
      <c r="DJ10" s="319">
        <f>594-DI10</f>
        <v>299</v>
      </c>
      <c r="DK10" s="319">
        <f>896-DJ10-DI10</f>
        <v>302</v>
      </c>
      <c r="DL10" s="319">
        <f>DM10-SUM(DI10:DK10)</f>
        <v>312</v>
      </c>
      <c r="DM10" s="319">
        <v>1208</v>
      </c>
      <c r="DO10" s="318" t="s">
        <v>24</v>
      </c>
      <c r="DP10" s="319">
        <v>313</v>
      </c>
      <c r="DQ10" s="319">
        <f>632-DP10</f>
        <v>319</v>
      </c>
      <c r="DR10" s="319">
        <f>953-DQ10-DP10</f>
        <v>321</v>
      </c>
      <c r="DS10" s="319">
        <f>DT10-SUM(DP10:DR10)</f>
        <v>348</v>
      </c>
      <c r="DT10" s="319">
        <v>1301</v>
      </c>
      <c r="DV10" s="318" t="s">
        <v>24</v>
      </c>
      <c r="DW10" s="319">
        <v>320</v>
      </c>
      <c r="DX10" s="319">
        <f>647-DW10</f>
        <v>327</v>
      </c>
      <c r="DY10" s="319">
        <f>978-DX10-DW10</f>
        <v>331</v>
      </c>
      <c r="DZ10" s="319">
        <f>EA10-SUM(DW10:DY10)</f>
        <v>337</v>
      </c>
      <c r="EA10" s="319">
        <v>1315</v>
      </c>
      <c r="EC10" s="318" t="s">
        <v>24</v>
      </c>
      <c r="ED10" s="319">
        <v>323</v>
      </c>
      <c r="EE10" s="319">
        <f>652-ED10</f>
        <v>329</v>
      </c>
      <c r="EF10" s="319">
        <f>986-EE10-ED10</f>
        <v>334</v>
      </c>
      <c r="EG10" s="319">
        <f>EH10-SUM(ED10:EF10)</f>
        <v>345</v>
      </c>
      <c r="EH10" s="319">
        <v>1331</v>
      </c>
      <c r="EJ10" s="318" t="s">
        <v>24</v>
      </c>
      <c r="EK10" s="319">
        <v>330</v>
      </c>
      <c r="EL10" s="319">
        <f>667-EK10</f>
        <v>337</v>
      </c>
      <c r="EM10" s="319">
        <f>1005-EL10-EK10</f>
        <v>338</v>
      </c>
      <c r="EN10" s="319">
        <f>EO10-SUM(EK10:EM10)</f>
        <v>344</v>
      </c>
      <c r="EO10" s="319">
        <v>1349</v>
      </c>
      <c r="EQ10" s="318" t="s">
        <v>24</v>
      </c>
      <c r="ER10" s="319">
        <v>344</v>
      </c>
      <c r="ES10" s="319">
        <f>688-ER10</f>
        <v>344</v>
      </c>
      <c r="ET10" s="319">
        <f>1036-SUM(ER10:ES10)</f>
        <v>348</v>
      </c>
      <c r="EU10" s="319">
        <f>EV10-SUM(ER10:ET10)</f>
        <v>347</v>
      </c>
      <c r="EV10" s="319">
        <v>1383</v>
      </c>
      <c r="EX10" s="318" t="s">
        <v>24</v>
      </c>
      <c r="EY10" s="319">
        <v>345</v>
      </c>
      <c r="EZ10" s="319">
        <f>693-EY10</f>
        <v>348</v>
      </c>
      <c r="FA10" s="319">
        <f>1060-EZ10-EY10</f>
        <v>367</v>
      </c>
      <c r="FB10" s="319">
        <f t="shared" ref="FB10:FB24" si="24">FC10-SUM(EY10:FA10)</f>
        <v>360</v>
      </c>
      <c r="FC10" s="319">
        <v>1420</v>
      </c>
      <c r="FE10" s="318" t="s">
        <v>24</v>
      </c>
      <c r="FF10" s="319">
        <v>360</v>
      </c>
      <c r="FG10" s="319">
        <f>729-FF10</f>
        <v>369</v>
      </c>
      <c r="FH10" s="319">
        <f>1107-FG10-FF10</f>
        <v>378</v>
      </c>
      <c r="FI10" s="319">
        <f>FJ10-SUM(FF10:FH10)</f>
        <v>393</v>
      </c>
      <c r="FJ10" s="319">
        <v>1500</v>
      </c>
      <c r="FL10" s="318" t="s">
        <v>24</v>
      </c>
      <c r="FM10" s="319">
        <v>393</v>
      </c>
      <c r="FN10" s="319">
        <f>795-FM10</f>
        <v>402</v>
      </c>
      <c r="FO10" s="319">
        <f>1194-SUM(FM10:FN10)</f>
        <v>399</v>
      </c>
      <c r="FP10" s="319">
        <f>FQ10-SUM(FM10:FO10)</f>
        <v>417</v>
      </c>
      <c r="FQ10" s="319">
        <v>1611</v>
      </c>
      <c r="FS10" s="318" t="s">
        <v>24</v>
      </c>
      <c r="FT10" s="319">
        <v>410</v>
      </c>
      <c r="FU10" s="319">
        <f>820-FT10</f>
        <v>410</v>
      </c>
      <c r="FV10" s="319">
        <f>1236-FU10-FT10</f>
        <v>416</v>
      </c>
      <c r="FW10" s="319">
        <f>FX10-SUM(FT10:FV10)</f>
        <v>422</v>
      </c>
      <c r="FX10" s="319">
        <v>1658</v>
      </c>
      <c r="FZ10" s="318" t="s">
        <v>24</v>
      </c>
      <c r="GA10" s="319">
        <v>425</v>
      </c>
      <c r="GB10" s="319">
        <f>852-GA10</f>
        <v>427</v>
      </c>
      <c r="GC10" s="319">
        <f>1276-GB10-GA10</f>
        <v>424</v>
      </c>
      <c r="GD10" s="319">
        <f>Expense!LK9</f>
        <v>404</v>
      </c>
      <c r="GE10" s="319">
        <f>+SUM(GA10:GD10)</f>
        <v>1680</v>
      </c>
      <c r="GG10" s="318" t="s">
        <v>24</v>
      </c>
      <c r="GH10" s="319">
        <f>Expense!LO9</f>
        <v>419</v>
      </c>
      <c r="GI10" s="319">
        <f>Expense!LP9</f>
        <v>420</v>
      </c>
      <c r="GJ10" s="319">
        <f>Expense!LQ9</f>
        <v>421</v>
      </c>
      <c r="GK10" s="319">
        <f>Expense!LR9</f>
        <v>422</v>
      </c>
      <c r="GL10" s="319">
        <f>+SUM(GH10:GK10)</f>
        <v>1682</v>
      </c>
      <c r="GN10" s="318" t="s">
        <v>24</v>
      </c>
      <c r="GO10" s="319">
        <f>Expense!LV9</f>
        <v>427</v>
      </c>
      <c r="GP10" s="319">
        <f>Expense!LW9</f>
        <v>430</v>
      </c>
      <c r="GQ10" s="319">
        <f>Expense!LX9</f>
        <v>433</v>
      </c>
      <c r="GR10" s="319">
        <f>Expense!LY9</f>
        <v>436</v>
      </c>
      <c r="GS10" s="319">
        <f>+SUM(GO10:GR10)</f>
        <v>1726</v>
      </c>
      <c r="GU10" s="318" t="s">
        <v>24</v>
      </c>
      <c r="GV10" s="319">
        <f>Expense!MC9</f>
        <v>441</v>
      </c>
      <c r="GW10" s="319">
        <f>Expense!MD9</f>
        <v>444</v>
      </c>
      <c r="GX10" s="319">
        <f>Expense!ME9</f>
        <v>447</v>
      </c>
      <c r="GY10" s="319">
        <f>Expense!MF9</f>
        <v>450</v>
      </c>
      <c r="GZ10" s="319">
        <f>+SUM(GV10:GY10)</f>
        <v>1782</v>
      </c>
    </row>
    <row r="11" spans="1:208" x14ac:dyDescent="0.4">
      <c r="A11" s="414"/>
      <c r="B11" s="318" t="s">
        <v>75</v>
      </c>
      <c r="C11" s="319">
        <f t="shared" si="0"/>
        <v>-46</v>
      </c>
      <c r="D11" s="319">
        <f t="shared" si="1"/>
        <v>42</v>
      </c>
      <c r="E11" s="319">
        <f t="shared" si="2"/>
        <v>272</v>
      </c>
      <c r="F11" s="319">
        <f t="shared" si="3"/>
        <v>428</v>
      </c>
      <c r="G11" s="319">
        <f t="shared" si="4"/>
        <v>430</v>
      </c>
      <c r="H11" s="319">
        <f t="shared" si="5"/>
        <v>474</v>
      </c>
      <c r="I11" s="319">
        <f t="shared" si="6"/>
        <v>609</v>
      </c>
      <c r="J11" s="319">
        <f t="shared" si="7"/>
        <v>592</v>
      </c>
      <c r="K11" s="319">
        <f t="shared" si="8"/>
        <v>300</v>
      </c>
      <c r="L11" s="319">
        <f t="shared" si="9"/>
        <v>298</v>
      </c>
      <c r="M11" s="319">
        <f t="shared" si="10"/>
        <v>456</v>
      </c>
      <c r="N11" s="319">
        <f t="shared" si="11"/>
        <v>405</v>
      </c>
      <c r="O11" s="319">
        <f t="shared" si="12"/>
        <v>-3233</v>
      </c>
      <c r="P11" s="319">
        <f t="shared" si="13"/>
        <v>279</v>
      </c>
      <c r="Q11" s="319">
        <f t="shared" si="14"/>
        <v>273</v>
      </c>
      <c r="R11" s="319">
        <f t="shared" si="15"/>
        <v>180</v>
      </c>
      <c r="S11" s="319">
        <f t="shared" si="16"/>
        <v>167</v>
      </c>
      <c r="T11" s="319">
        <f t="shared" si="17"/>
        <v>117</v>
      </c>
      <c r="U11" s="319">
        <f t="shared" si="18"/>
        <v>140</v>
      </c>
      <c r="V11" s="319">
        <f t="shared" si="19"/>
        <v>12</v>
      </c>
      <c r="W11" s="319">
        <f t="shared" si="20"/>
        <v>194</v>
      </c>
      <c r="X11" s="319">
        <f t="shared" si="21"/>
        <v>177.41097088783889</v>
      </c>
      <c r="Y11" s="319">
        <f t="shared" si="22"/>
        <v>229.27384836430514</v>
      </c>
      <c r="Z11" s="319">
        <f t="shared" si="23"/>
        <v>257.26409505322619</v>
      </c>
      <c r="AA11" s="320"/>
      <c r="AB11" s="320"/>
      <c r="AC11" s="320"/>
      <c r="AD11" s="320"/>
      <c r="AE11" s="320"/>
      <c r="AF11" s="320"/>
      <c r="AG11" s="320"/>
      <c r="AH11" s="320"/>
      <c r="AI11" s="320"/>
      <c r="AJ11" s="320"/>
      <c r="AK11" s="320"/>
      <c r="AL11" s="320"/>
      <c r="AM11" s="320"/>
      <c r="AN11" s="320"/>
      <c r="AP11" s="318" t="s">
        <v>75</v>
      </c>
      <c r="AQ11" s="319">
        <v>8</v>
      </c>
      <c r="AR11" s="319">
        <f>-51-AQ11</f>
        <v>-59</v>
      </c>
      <c r="AS11" s="319">
        <f>-132-AR11-AQ11</f>
        <v>-81</v>
      </c>
      <c r="AT11" s="319">
        <f>AU11-SUM(AQ11:AS11)</f>
        <v>86</v>
      </c>
      <c r="AU11" s="319">
        <v>-46</v>
      </c>
      <c r="AW11" s="318" t="s">
        <v>75</v>
      </c>
      <c r="AX11" s="319">
        <v>26</v>
      </c>
      <c r="AY11" s="319">
        <f>6-AX11</f>
        <v>-20</v>
      </c>
      <c r="AZ11" s="319">
        <f>46-AY11-AX11</f>
        <v>40</v>
      </c>
      <c r="BA11" s="319">
        <f>BB11-SUM(AX11:AZ11)</f>
        <v>-4</v>
      </c>
      <c r="BB11" s="319">
        <v>42</v>
      </c>
      <c r="BD11" s="318" t="s">
        <v>75</v>
      </c>
      <c r="BE11" s="319">
        <v>14</v>
      </c>
      <c r="BF11" s="319">
        <f>51-BE11</f>
        <v>37</v>
      </c>
      <c r="BG11" s="319">
        <f>154-BF11-BE11</f>
        <v>103</v>
      </c>
      <c r="BH11" s="319">
        <f>BI11-SUM(BE11:BG11)</f>
        <v>118</v>
      </c>
      <c r="BI11" s="319">
        <v>272</v>
      </c>
      <c r="BK11" s="318" t="s">
        <v>75</v>
      </c>
      <c r="BL11" s="319">
        <v>89</v>
      </c>
      <c r="BM11" s="319">
        <f>201-BL11</f>
        <v>112</v>
      </c>
      <c r="BN11" s="319">
        <f>356-BM11-BL11</f>
        <v>155</v>
      </c>
      <c r="BO11" s="319">
        <f>BP11-SUM(BL11:BN11)</f>
        <v>72</v>
      </c>
      <c r="BP11" s="319">
        <v>428</v>
      </c>
      <c r="BR11" s="318" t="s">
        <v>75</v>
      </c>
      <c r="BS11" s="319">
        <v>79</v>
      </c>
      <c r="BT11" s="319">
        <f>209-BS11</f>
        <v>130</v>
      </c>
      <c r="BU11" s="319">
        <f>326-BT11-BS11</f>
        <v>117</v>
      </c>
      <c r="BV11" s="319">
        <f>BW11-SUM(BS11:BU11)</f>
        <v>104</v>
      </c>
      <c r="BW11" s="319">
        <v>430</v>
      </c>
      <c r="BY11" s="318" t="s">
        <v>75</v>
      </c>
      <c r="BZ11" s="319">
        <v>46</v>
      </c>
      <c r="CA11" s="319">
        <f>79-BZ11</f>
        <v>33</v>
      </c>
      <c r="CB11" s="319">
        <f>139-CA11-BZ11</f>
        <v>60</v>
      </c>
      <c r="CC11" s="319">
        <f>CD11-SUM(BZ11:CB11)</f>
        <v>335</v>
      </c>
      <c r="CD11" s="319">
        <v>474</v>
      </c>
      <c r="CF11" s="318" t="s">
        <v>75</v>
      </c>
      <c r="CG11" s="319">
        <v>137</v>
      </c>
      <c r="CH11" s="319">
        <f>280-CG11</f>
        <v>143</v>
      </c>
      <c r="CI11" s="319">
        <f>486-CH11-CG11</f>
        <v>206</v>
      </c>
      <c r="CJ11" s="319">
        <f>CK11-SUM(CG11:CI11)</f>
        <v>123</v>
      </c>
      <c r="CK11" s="319">
        <v>609</v>
      </c>
      <c r="CM11" s="318" t="s">
        <v>75</v>
      </c>
      <c r="CN11" s="319">
        <v>195</v>
      </c>
      <c r="CO11" s="319">
        <f>300-CN11</f>
        <v>105</v>
      </c>
      <c r="CP11" s="319">
        <f>456-CO11-CN11</f>
        <v>156</v>
      </c>
      <c r="CQ11" s="319">
        <f>CR11-SUM(CN11:CP11)</f>
        <v>136</v>
      </c>
      <c r="CR11" s="319">
        <v>592</v>
      </c>
      <c r="CT11" s="318" t="s">
        <v>75</v>
      </c>
      <c r="CU11" s="319">
        <v>82</v>
      </c>
      <c r="CV11" s="319">
        <f>172-CU11</f>
        <v>90</v>
      </c>
      <c r="CW11" s="319">
        <f>229-CV11-CU11</f>
        <v>57</v>
      </c>
      <c r="CX11" s="319">
        <f>CY11-SUM(CU11:CW11)</f>
        <v>71</v>
      </c>
      <c r="CY11" s="319">
        <v>300</v>
      </c>
      <c r="DA11" s="318" t="s">
        <v>75</v>
      </c>
      <c r="DB11" s="319">
        <v>-1</v>
      </c>
      <c r="DC11" s="319">
        <f>86-DB11</f>
        <v>87</v>
      </c>
      <c r="DD11" s="319">
        <f>90-DC11-DB11</f>
        <v>4</v>
      </c>
      <c r="DE11" s="319">
        <f>DF11-SUM(DB11:DD11)</f>
        <v>208</v>
      </c>
      <c r="DF11" s="319">
        <v>298</v>
      </c>
      <c r="DH11" s="318" t="s">
        <v>75</v>
      </c>
      <c r="DI11" s="319">
        <v>6</v>
      </c>
      <c r="DJ11" s="319">
        <f>33-DI11</f>
        <v>27</v>
      </c>
      <c r="DK11" s="319">
        <f>82-DJ11-DI11</f>
        <v>49</v>
      </c>
      <c r="DL11" s="319">
        <f>DM11-SUM(DI11:DK11)</f>
        <v>374</v>
      </c>
      <c r="DM11" s="319">
        <v>456</v>
      </c>
      <c r="DO11" s="318" t="s">
        <v>75</v>
      </c>
      <c r="DP11" s="319">
        <v>80</v>
      </c>
      <c r="DQ11" s="319">
        <f>165-DP11</f>
        <v>85</v>
      </c>
      <c r="DR11" s="319">
        <f>312-DQ11-DP11</f>
        <v>147</v>
      </c>
      <c r="DS11" s="319">
        <f>DT11-SUM(DP11:DR11)</f>
        <v>93</v>
      </c>
      <c r="DT11" s="319">
        <v>405</v>
      </c>
      <c r="DV11" s="318" t="s">
        <v>75</v>
      </c>
      <c r="DW11" s="319">
        <v>59</v>
      </c>
      <c r="DX11" s="319">
        <f>112-DW11</f>
        <v>53</v>
      </c>
      <c r="DY11" s="319">
        <f>161-DX11-DW11</f>
        <v>49</v>
      </c>
      <c r="DZ11" s="319">
        <f>EA11-SUM(DW11:DY11)</f>
        <v>-3394</v>
      </c>
      <c r="EA11" s="319">
        <v>-3233</v>
      </c>
      <c r="EC11" s="318" t="s">
        <v>75</v>
      </c>
      <c r="ED11" s="319">
        <v>54</v>
      </c>
      <c r="EE11" s="319">
        <f>98-ED11</f>
        <v>44</v>
      </c>
      <c r="EF11" s="319">
        <f>148-EE11-ED11</f>
        <v>50</v>
      </c>
      <c r="EG11" s="319">
        <f>EH11-SUM(ED11:EF11)</f>
        <v>131</v>
      </c>
      <c r="EH11" s="319">
        <v>279</v>
      </c>
      <c r="EJ11" s="318" t="s">
        <v>75</v>
      </c>
      <c r="EK11" s="319">
        <v>51</v>
      </c>
      <c r="EL11" s="319">
        <f>97-EK11</f>
        <v>46</v>
      </c>
      <c r="EM11" s="319">
        <f>186-EL11-EK11</f>
        <v>89</v>
      </c>
      <c r="EN11" s="319">
        <f>EO11-SUM(EK11:EM11)</f>
        <v>87</v>
      </c>
      <c r="EO11" s="319">
        <v>273</v>
      </c>
      <c r="EQ11" s="318" t="s">
        <v>75</v>
      </c>
      <c r="ER11" s="319">
        <v>28</v>
      </c>
      <c r="ES11" s="319">
        <f>61-ER11</f>
        <v>33</v>
      </c>
      <c r="ET11" s="319">
        <f>117-SUM(ER11:ES11)</f>
        <v>56</v>
      </c>
      <c r="EU11" s="319">
        <f>EV11-SUM(ER11:ET11)</f>
        <v>63</v>
      </c>
      <c r="EV11" s="319">
        <v>180</v>
      </c>
      <c r="EX11" s="318" t="s">
        <v>75</v>
      </c>
      <c r="EY11" s="319">
        <v>40</v>
      </c>
      <c r="EZ11" s="319">
        <f>66-EY11</f>
        <v>26</v>
      </c>
      <c r="FA11" s="319">
        <f>109-EZ11-EY11</f>
        <v>43</v>
      </c>
      <c r="FB11" s="319">
        <f t="shared" si="24"/>
        <v>58</v>
      </c>
      <c r="FC11" s="319">
        <v>167</v>
      </c>
      <c r="FE11" s="318" t="s">
        <v>75</v>
      </c>
      <c r="FF11" s="319">
        <v>37</v>
      </c>
      <c r="FG11" s="319">
        <f>106-FF11</f>
        <v>69</v>
      </c>
      <c r="FH11" s="319">
        <f>125-FG11-FF11</f>
        <v>19</v>
      </c>
      <c r="FI11" s="319">
        <f>FJ11-SUM(FF11:FH11)</f>
        <v>-8</v>
      </c>
      <c r="FJ11" s="319">
        <v>117</v>
      </c>
      <c r="FL11" s="318" t="s">
        <v>75</v>
      </c>
      <c r="FM11" s="319">
        <v>35</v>
      </c>
      <c r="FN11" s="319">
        <f>78-FM11</f>
        <v>43</v>
      </c>
      <c r="FO11" s="319">
        <f>111-SUM(FM11:FN11)</f>
        <v>33</v>
      </c>
      <c r="FP11" s="319">
        <f>FQ11-SUM(FM11:FO11)</f>
        <v>29</v>
      </c>
      <c r="FQ11" s="319">
        <v>140</v>
      </c>
      <c r="FS11" s="318" t="s">
        <v>75</v>
      </c>
      <c r="FT11" s="319">
        <v>7</v>
      </c>
      <c r="FU11" s="319">
        <f>14-FT11</f>
        <v>7</v>
      </c>
      <c r="FV11" s="319">
        <f>19-FU11-FT11</f>
        <v>5</v>
      </c>
      <c r="FW11" s="319">
        <f>FX11-SUM(FT11:FV11)</f>
        <v>-7</v>
      </c>
      <c r="FX11" s="319">
        <v>12</v>
      </c>
      <c r="FZ11" s="318" t="s">
        <v>75</v>
      </c>
      <c r="GA11" s="319">
        <v>13</v>
      </c>
      <c r="GB11" s="319">
        <f>-1-GA11</f>
        <v>-14</v>
      </c>
      <c r="GC11" s="319">
        <f>143-GB11-GA11</f>
        <v>144</v>
      </c>
      <c r="GD11" s="319">
        <f>194-GC11-GB11-GA11</f>
        <v>51</v>
      </c>
      <c r="GE11" s="319">
        <f>+SUM(GA11:GD11)</f>
        <v>194</v>
      </c>
      <c r="GG11" s="318" t="s">
        <v>75</v>
      </c>
      <c r="GH11" s="319">
        <f>+CF!GH92</f>
        <v>36.12426764760464</v>
      </c>
      <c r="GI11" s="319">
        <f>+CF!GI92</f>
        <v>36.847690708690244</v>
      </c>
      <c r="GJ11" s="319">
        <f>+CF!GJ92</f>
        <v>51.178925853107273</v>
      </c>
      <c r="GK11" s="319">
        <f>+CF!GK92</f>
        <v>53.260086678436721</v>
      </c>
      <c r="GL11" s="319">
        <f>+SUM(GH11:GK11)</f>
        <v>177.41097088783889</v>
      </c>
      <c r="GN11" s="318" t="s">
        <v>75</v>
      </c>
      <c r="GO11" s="319">
        <f>+CF!GO92</f>
        <v>54.728029805537098</v>
      </c>
      <c r="GP11" s="319">
        <f>+CF!GP92</f>
        <v>56.255391291836133</v>
      </c>
      <c r="GQ11" s="319">
        <f>+CF!GQ92</f>
        <v>57.866058651395271</v>
      </c>
      <c r="GR11" s="319">
        <f>+CF!GR92</f>
        <v>60.42436861553665</v>
      </c>
      <c r="GS11" s="319">
        <f>+SUM(GO11:GR11)</f>
        <v>229.27384836430514</v>
      </c>
      <c r="GU11" s="318" t="s">
        <v>75</v>
      </c>
      <c r="GV11" s="319">
        <f>+CF!GV92</f>
        <v>61.960341164614988</v>
      </c>
      <c r="GW11" s="319">
        <f>+CF!GW92</f>
        <v>63.486870585235707</v>
      </c>
      <c r="GX11" s="319">
        <f>+CF!GX92</f>
        <v>64.926930771712009</v>
      </c>
      <c r="GY11" s="319">
        <f>+CF!GY92</f>
        <v>66.889952531663468</v>
      </c>
      <c r="GZ11" s="319">
        <f>+SUM(GV11:GY11)</f>
        <v>257.26409505322619</v>
      </c>
    </row>
    <row r="12" spans="1:208" x14ac:dyDescent="0.4">
      <c r="A12" s="414"/>
      <c r="B12" s="318" t="s">
        <v>269</v>
      </c>
      <c r="C12" s="319">
        <f t="shared" si="0"/>
        <v>-822</v>
      </c>
      <c r="D12" s="319">
        <f t="shared" si="1"/>
        <v>-161</v>
      </c>
      <c r="E12" s="319">
        <f t="shared" si="2"/>
        <v>-314</v>
      </c>
      <c r="F12" s="319">
        <f t="shared" si="3"/>
        <v>196</v>
      </c>
      <c r="G12" s="319">
        <f t="shared" si="4"/>
        <v>-437</v>
      </c>
      <c r="H12" s="319">
        <f t="shared" si="5"/>
        <v>277</v>
      </c>
      <c r="I12" s="319">
        <f t="shared" si="6"/>
        <v>52</v>
      </c>
      <c r="J12" s="319">
        <f t="shared" si="7"/>
        <v>-568</v>
      </c>
      <c r="K12" s="319">
        <f t="shared" si="8"/>
        <v>-1</v>
      </c>
      <c r="L12" s="319">
        <f t="shared" si="9"/>
        <v>-33</v>
      </c>
      <c r="M12" s="319">
        <f t="shared" si="10"/>
        <v>-262</v>
      </c>
      <c r="N12" s="319">
        <f t="shared" si="11"/>
        <v>-379</v>
      </c>
      <c r="O12" s="319">
        <f t="shared" si="12"/>
        <v>-81</v>
      </c>
      <c r="P12" s="319">
        <f t="shared" si="13"/>
        <v>-278</v>
      </c>
      <c r="Q12" s="319">
        <f t="shared" si="14"/>
        <v>-103</v>
      </c>
      <c r="R12" s="319">
        <f t="shared" si="15"/>
        <v>-65</v>
      </c>
      <c r="S12" s="319">
        <f t="shared" si="16"/>
        <v>-269</v>
      </c>
      <c r="T12" s="319">
        <f t="shared" si="17"/>
        <v>-164</v>
      </c>
      <c r="U12" s="319">
        <f t="shared" si="18"/>
        <v>83</v>
      </c>
      <c r="V12" s="319">
        <f t="shared" si="19"/>
        <v>107</v>
      </c>
      <c r="W12" s="319">
        <f t="shared" si="20"/>
        <v>-150</v>
      </c>
      <c r="X12" s="319">
        <f t="shared" si="21"/>
        <v>42.884738298327647</v>
      </c>
      <c r="Y12" s="319">
        <f t="shared" si="22"/>
        <v>85.108425400972237</v>
      </c>
      <c r="Z12" s="319">
        <f t="shared" si="23"/>
        <v>-7.4656744648264066</v>
      </c>
      <c r="AA12" s="320"/>
      <c r="AB12" s="320"/>
      <c r="AC12" s="320"/>
      <c r="AD12" s="320"/>
      <c r="AE12" s="320"/>
      <c r="AF12" s="320"/>
      <c r="AG12" s="320"/>
      <c r="AH12" s="320"/>
      <c r="AI12" s="320"/>
      <c r="AJ12" s="320"/>
      <c r="AK12" s="320"/>
      <c r="AL12" s="320"/>
      <c r="AM12" s="320"/>
      <c r="AN12" s="320"/>
      <c r="AP12" s="318" t="s">
        <v>269</v>
      </c>
      <c r="AQ12" s="319">
        <f>+AQ13+AQ26</f>
        <v>-487</v>
      </c>
      <c r="AR12" s="319">
        <f t="shared" ref="AR12:EA12" si="25">+AR13+AR26</f>
        <v>-295</v>
      </c>
      <c r="AS12" s="319">
        <f t="shared" si="25"/>
        <v>164</v>
      </c>
      <c r="AT12" s="319">
        <f t="shared" si="25"/>
        <v>-204</v>
      </c>
      <c r="AU12" s="319">
        <f t="shared" si="25"/>
        <v>-822</v>
      </c>
      <c r="AW12" s="318" t="s">
        <v>269</v>
      </c>
      <c r="AX12" s="319">
        <f t="shared" si="25"/>
        <v>-38</v>
      </c>
      <c r="AY12" s="319">
        <f t="shared" si="25"/>
        <v>-179</v>
      </c>
      <c r="AZ12" s="319">
        <f t="shared" si="25"/>
        <v>-73</v>
      </c>
      <c r="BA12" s="319">
        <f t="shared" si="25"/>
        <v>129</v>
      </c>
      <c r="BB12" s="319">
        <f t="shared" si="25"/>
        <v>-161</v>
      </c>
      <c r="BD12" s="318" t="s">
        <v>269</v>
      </c>
      <c r="BE12" s="319">
        <f t="shared" si="25"/>
        <v>118</v>
      </c>
      <c r="BF12" s="319">
        <f t="shared" si="25"/>
        <v>-106</v>
      </c>
      <c r="BG12" s="319">
        <f t="shared" si="25"/>
        <v>15</v>
      </c>
      <c r="BH12" s="319">
        <f t="shared" si="25"/>
        <v>-341</v>
      </c>
      <c r="BI12" s="319">
        <f t="shared" si="25"/>
        <v>-314</v>
      </c>
      <c r="BK12" s="318" t="s">
        <v>269</v>
      </c>
      <c r="BL12" s="319">
        <f t="shared" si="25"/>
        <v>69</v>
      </c>
      <c r="BM12" s="319">
        <f t="shared" si="25"/>
        <v>-119</v>
      </c>
      <c r="BN12" s="319">
        <f t="shared" si="25"/>
        <v>81</v>
      </c>
      <c r="BO12" s="319">
        <f t="shared" si="25"/>
        <v>165</v>
      </c>
      <c r="BP12" s="319">
        <f t="shared" si="25"/>
        <v>196</v>
      </c>
      <c r="BR12" s="318" t="s">
        <v>269</v>
      </c>
      <c r="BS12" s="319">
        <f t="shared" si="25"/>
        <v>-100</v>
      </c>
      <c r="BT12" s="319">
        <f t="shared" si="25"/>
        <v>-139</v>
      </c>
      <c r="BU12" s="319">
        <f t="shared" si="25"/>
        <v>-13</v>
      </c>
      <c r="BV12" s="319">
        <f t="shared" si="25"/>
        <v>-185</v>
      </c>
      <c r="BW12" s="319">
        <f t="shared" si="25"/>
        <v>-437</v>
      </c>
      <c r="BY12" s="318" t="s">
        <v>269</v>
      </c>
      <c r="BZ12" s="319">
        <f t="shared" si="25"/>
        <v>165</v>
      </c>
      <c r="CA12" s="319">
        <f t="shared" si="25"/>
        <v>1</v>
      </c>
      <c r="CB12" s="319">
        <f t="shared" si="25"/>
        <v>149</v>
      </c>
      <c r="CC12" s="319">
        <f t="shared" si="25"/>
        <v>-38</v>
      </c>
      <c r="CD12" s="319">
        <f t="shared" si="25"/>
        <v>277</v>
      </c>
      <c r="CF12" s="318" t="s">
        <v>269</v>
      </c>
      <c r="CG12" s="319">
        <f t="shared" si="25"/>
        <v>-280</v>
      </c>
      <c r="CH12" s="319">
        <f t="shared" si="25"/>
        <v>195</v>
      </c>
      <c r="CI12" s="319">
        <f t="shared" si="25"/>
        <v>79</v>
      </c>
      <c r="CJ12" s="319">
        <f t="shared" si="25"/>
        <v>58</v>
      </c>
      <c r="CK12" s="319">
        <f t="shared" si="25"/>
        <v>52</v>
      </c>
      <c r="CM12" s="318" t="s">
        <v>269</v>
      </c>
      <c r="CN12" s="319">
        <f t="shared" si="25"/>
        <v>-457</v>
      </c>
      <c r="CO12" s="319">
        <f t="shared" si="25"/>
        <v>-33</v>
      </c>
      <c r="CP12" s="319">
        <f t="shared" si="25"/>
        <v>134</v>
      </c>
      <c r="CQ12" s="319">
        <f t="shared" si="25"/>
        <v>-212</v>
      </c>
      <c r="CR12" s="319">
        <f t="shared" si="25"/>
        <v>-568</v>
      </c>
      <c r="CT12" s="318" t="s">
        <v>269</v>
      </c>
      <c r="CU12" s="319">
        <f t="shared" si="25"/>
        <v>-83</v>
      </c>
      <c r="CV12" s="319">
        <f t="shared" si="25"/>
        <v>-39</v>
      </c>
      <c r="CW12" s="319">
        <f t="shared" si="25"/>
        <v>131</v>
      </c>
      <c r="CX12" s="319">
        <f t="shared" si="25"/>
        <v>-10</v>
      </c>
      <c r="CY12" s="319">
        <f t="shared" si="25"/>
        <v>-1</v>
      </c>
      <c r="DA12" s="318" t="s">
        <v>269</v>
      </c>
      <c r="DB12" s="319">
        <f t="shared" si="25"/>
        <v>-81</v>
      </c>
      <c r="DC12" s="319">
        <f t="shared" si="25"/>
        <v>-57</v>
      </c>
      <c r="DD12" s="319">
        <f t="shared" si="25"/>
        <v>53</v>
      </c>
      <c r="DE12" s="319">
        <f t="shared" si="25"/>
        <v>52</v>
      </c>
      <c r="DF12" s="319">
        <f t="shared" si="25"/>
        <v>-33</v>
      </c>
      <c r="DH12" s="318" t="s">
        <v>269</v>
      </c>
      <c r="DI12" s="319">
        <f t="shared" si="25"/>
        <v>-53</v>
      </c>
      <c r="DJ12" s="319">
        <f t="shared" si="25"/>
        <v>13</v>
      </c>
      <c r="DK12" s="319">
        <f t="shared" si="25"/>
        <v>72</v>
      </c>
      <c r="DL12" s="319">
        <f t="shared" si="25"/>
        <v>-294</v>
      </c>
      <c r="DM12" s="319">
        <f t="shared" si="25"/>
        <v>-262</v>
      </c>
      <c r="DO12" s="318" t="s">
        <v>269</v>
      </c>
      <c r="DP12" s="319">
        <f t="shared" si="25"/>
        <v>5</v>
      </c>
      <c r="DQ12" s="319">
        <f t="shared" si="25"/>
        <v>-11</v>
      </c>
      <c r="DR12" s="319">
        <f t="shared" si="25"/>
        <v>-27</v>
      </c>
      <c r="DS12" s="319">
        <f t="shared" si="25"/>
        <v>-346</v>
      </c>
      <c r="DT12" s="319">
        <f t="shared" si="25"/>
        <v>-379</v>
      </c>
      <c r="DV12" s="318" t="s">
        <v>269</v>
      </c>
      <c r="DW12" s="319">
        <f t="shared" si="25"/>
        <v>302</v>
      </c>
      <c r="DX12" s="319">
        <f t="shared" si="25"/>
        <v>-367</v>
      </c>
      <c r="DY12" s="319">
        <f t="shared" si="25"/>
        <v>456</v>
      </c>
      <c r="DZ12" s="319">
        <f t="shared" si="25"/>
        <v>-472</v>
      </c>
      <c r="EA12" s="319">
        <f t="shared" si="25"/>
        <v>-81</v>
      </c>
      <c r="EC12" s="318" t="s">
        <v>269</v>
      </c>
      <c r="ED12" s="319">
        <f>+ED13+ED26</f>
        <v>-106</v>
      </c>
      <c r="EE12" s="319">
        <f>+EE13+EE26</f>
        <v>-207</v>
      </c>
      <c r="EF12" s="319">
        <f>+EF13+EF26</f>
        <v>119</v>
      </c>
      <c r="EG12" s="319">
        <f>+EG13+EG26</f>
        <v>-84</v>
      </c>
      <c r="EH12" s="319">
        <f>+EH13+EH26</f>
        <v>-278</v>
      </c>
      <c r="EJ12" s="318" t="s">
        <v>269</v>
      </c>
      <c r="EK12" s="319">
        <f>+EK13+EK26</f>
        <v>-42</v>
      </c>
      <c r="EL12" s="319">
        <f>+EL13+EL26</f>
        <v>-159</v>
      </c>
      <c r="EM12" s="319">
        <f>+EM13+EM26</f>
        <v>187</v>
      </c>
      <c r="EN12" s="319">
        <f>+EO12-SUM(EK12:EM12)</f>
        <v>-89</v>
      </c>
      <c r="EO12" s="319">
        <f>+EO13+139</f>
        <v>-103</v>
      </c>
      <c r="EQ12" s="318" t="s">
        <v>269</v>
      </c>
      <c r="ER12" s="319">
        <f>+ER13+ER26</f>
        <v>36</v>
      </c>
      <c r="ES12" s="319">
        <f>+ES13+ES26</f>
        <v>130</v>
      </c>
      <c r="ET12" s="319">
        <f>-30-ES12-ER12</f>
        <v>-196</v>
      </c>
      <c r="EU12" s="319">
        <f>+EV12-SUM(ER12:ET12)</f>
        <v>-35</v>
      </c>
      <c r="EV12" s="319">
        <f>+EV13+EV26</f>
        <v>-65</v>
      </c>
      <c r="EX12" s="318" t="s">
        <v>269</v>
      </c>
      <c r="EY12" s="319">
        <f>+EY13+EY26</f>
        <v>141</v>
      </c>
      <c r="EZ12" s="319">
        <f>+EZ13+EZ26</f>
        <v>-380</v>
      </c>
      <c r="FA12" s="319">
        <f>+FA13+FA26</f>
        <v>42</v>
      </c>
      <c r="FB12" s="319">
        <f t="shared" si="24"/>
        <v>-72</v>
      </c>
      <c r="FC12" s="319">
        <f>+FC13+FC26</f>
        <v>-269</v>
      </c>
      <c r="FE12" s="318" t="s">
        <v>269</v>
      </c>
      <c r="FF12" s="319">
        <f>+FF13+FF26</f>
        <v>39</v>
      </c>
      <c r="FG12" s="319">
        <f>+FG13+FG26</f>
        <v>-381</v>
      </c>
      <c r="FH12" s="319">
        <f>+FH13+FH26</f>
        <v>217</v>
      </c>
      <c r="FI12" s="319">
        <f>FJ12-SUM(FF12:FH12)</f>
        <v>-39</v>
      </c>
      <c r="FJ12" s="319">
        <f>+FJ13+FJ26</f>
        <v>-164</v>
      </c>
      <c r="FL12" s="318" t="s">
        <v>269</v>
      </c>
      <c r="FM12" s="319">
        <f>+FM13+FM26</f>
        <v>-164</v>
      </c>
      <c r="FN12" s="319">
        <f>+FN13+FN26</f>
        <v>-209</v>
      </c>
      <c r="FO12" s="319">
        <f>+FO13+FO26</f>
        <v>288</v>
      </c>
      <c r="FP12" s="319">
        <f>FQ12-SUM(FM12:FO12)</f>
        <v>168</v>
      </c>
      <c r="FQ12" s="319">
        <f>-34+117</f>
        <v>83</v>
      </c>
      <c r="FS12" s="318" t="s">
        <v>269</v>
      </c>
      <c r="FT12" s="319">
        <f t="shared" ref="FT12:GL12" si="26">+FT13+FT26</f>
        <v>-231</v>
      </c>
      <c r="FU12" s="319">
        <f t="shared" si="26"/>
        <v>-273</v>
      </c>
      <c r="FV12" s="319">
        <f t="shared" si="26"/>
        <v>371</v>
      </c>
      <c r="FW12" s="319">
        <f>FX12-SUM(FT12:FV12)</f>
        <v>240</v>
      </c>
      <c r="FX12" s="319">
        <f t="shared" si="26"/>
        <v>107</v>
      </c>
      <c r="FZ12" s="318" t="s">
        <v>269</v>
      </c>
      <c r="GA12" s="319">
        <f t="shared" ref="GA12" si="27">+GA13+GA26</f>
        <v>171</v>
      </c>
      <c r="GB12" s="319">
        <f t="shared" si="26"/>
        <v>-607</v>
      </c>
      <c r="GC12" s="319">
        <f t="shared" si="26"/>
        <v>75</v>
      </c>
      <c r="GD12" s="319">
        <f t="shared" si="26"/>
        <v>211</v>
      </c>
      <c r="GE12" s="319">
        <f t="shared" si="26"/>
        <v>-150</v>
      </c>
      <c r="GG12" s="318" t="s">
        <v>269</v>
      </c>
      <c r="GH12" s="319">
        <f t="shared" si="26"/>
        <v>-3.4346559855603118</v>
      </c>
      <c r="GI12" s="319">
        <f t="shared" si="26"/>
        <v>-7.7738187023346654</v>
      </c>
      <c r="GJ12" s="319">
        <f t="shared" si="26"/>
        <v>69.56795986910106</v>
      </c>
      <c r="GK12" s="319">
        <f t="shared" si="26"/>
        <v>-15.474746882878435</v>
      </c>
      <c r="GL12" s="319">
        <f t="shared" si="26"/>
        <v>42.884738298327647</v>
      </c>
      <c r="GN12" s="318" t="s">
        <v>269</v>
      </c>
      <c r="GO12" s="319">
        <f t="shared" ref="GO12:GS12" si="28">+GO13+GO26</f>
        <v>113.46078547777483</v>
      </c>
      <c r="GP12" s="319">
        <f t="shared" si="28"/>
        <v>-8.2637643337423015</v>
      </c>
      <c r="GQ12" s="319">
        <f t="shared" si="28"/>
        <v>-10.059911792443927</v>
      </c>
      <c r="GR12" s="319">
        <f t="shared" si="28"/>
        <v>-10.028683950616369</v>
      </c>
      <c r="GS12" s="319">
        <f t="shared" si="28"/>
        <v>85.108425400972237</v>
      </c>
      <c r="GU12" s="318" t="s">
        <v>269</v>
      </c>
      <c r="GV12" s="319">
        <f t="shared" ref="GV12:GZ12" si="29">+GV13+GV26</f>
        <v>-3.0412714334554494</v>
      </c>
      <c r="GW12" s="319">
        <f t="shared" si="29"/>
        <v>-1.6006694926441014</v>
      </c>
      <c r="GX12" s="319">
        <f t="shared" si="29"/>
        <v>4.7845804966527794E-2</v>
      </c>
      <c r="GY12" s="319">
        <f t="shared" si="29"/>
        <v>-2.8715793436933836</v>
      </c>
      <c r="GZ12" s="319">
        <f t="shared" si="29"/>
        <v>-7.4656744648264066</v>
      </c>
    </row>
    <row r="13" spans="1:208" outlineLevel="1" x14ac:dyDescent="0.4">
      <c r="A13" s="414"/>
      <c r="B13" s="318" t="s">
        <v>106</v>
      </c>
      <c r="C13" s="319">
        <f t="shared" si="0"/>
        <v>-540</v>
      </c>
      <c r="D13" s="319">
        <f t="shared" si="1"/>
        <v>-68</v>
      </c>
      <c r="E13" s="319">
        <f t="shared" si="2"/>
        <v>-467</v>
      </c>
      <c r="F13" s="319">
        <f t="shared" si="3"/>
        <v>129</v>
      </c>
      <c r="G13" s="319">
        <f t="shared" si="4"/>
        <v>-432</v>
      </c>
      <c r="H13" s="319">
        <f t="shared" si="5"/>
        <v>52</v>
      </c>
      <c r="I13" s="319">
        <f t="shared" si="6"/>
        <v>-35</v>
      </c>
      <c r="J13" s="319">
        <f t="shared" si="7"/>
        <v>-505</v>
      </c>
      <c r="K13" s="319">
        <f t="shared" si="8"/>
        <v>-105</v>
      </c>
      <c r="L13" s="319">
        <f t="shared" si="9"/>
        <v>3</v>
      </c>
      <c r="M13" s="319">
        <f t="shared" si="10"/>
        <v>-68</v>
      </c>
      <c r="N13" s="319">
        <f t="shared" si="11"/>
        <v>-448</v>
      </c>
      <c r="O13" s="319">
        <f t="shared" si="12"/>
        <v>-116</v>
      </c>
      <c r="P13" s="319">
        <f t="shared" si="13"/>
        <v>-286</v>
      </c>
      <c r="Q13" s="319">
        <f t="shared" si="14"/>
        <v>-242</v>
      </c>
      <c r="R13" s="319">
        <f t="shared" si="15"/>
        <v>-67</v>
      </c>
      <c r="S13" s="319">
        <f t="shared" si="16"/>
        <v>-442</v>
      </c>
      <c r="T13" s="319">
        <f t="shared" si="17"/>
        <v>-255</v>
      </c>
      <c r="U13" s="319">
        <f t="shared" si="18"/>
        <v>-39</v>
      </c>
      <c r="V13" s="319">
        <f t="shared" si="19"/>
        <v>33</v>
      </c>
      <c r="W13" s="319">
        <f t="shared" si="20"/>
        <v>106</v>
      </c>
      <c r="X13" s="319">
        <f t="shared" si="21"/>
        <v>0</v>
      </c>
      <c r="Y13" s="319">
        <f t="shared" si="22"/>
        <v>0</v>
      </c>
      <c r="Z13" s="319">
        <f t="shared" si="23"/>
        <v>0</v>
      </c>
      <c r="AA13" s="320"/>
      <c r="AB13" s="320"/>
      <c r="AC13" s="320"/>
      <c r="AD13" s="320"/>
      <c r="AE13" s="320"/>
      <c r="AF13" s="320"/>
      <c r="AG13" s="320"/>
      <c r="AH13" s="320"/>
      <c r="AI13" s="320"/>
      <c r="AJ13" s="320"/>
      <c r="AK13" s="320"/>
      <c r="AL13" s="320"/>
      <c r="AM13" s="320"/>
      <c r="AN13" s="320"/>
      <c r="AP13" s="318" t="s">
        <v>106</v>
      </c>
      <c r="AQ13" s="319">
        <f t="shared" ref="AQ13:BN13" si="30">SUM(AQ14:AQ24)</f>
        <v>-487</v>
      </c>
      <c r="AR13" s="319">
        <f t="shared" si="30"/>
        <v>-65</v>
      </c>
      <c r="AS13" s="319">
        <f t="shared" si="30"/>
        <v>151</v>
      </c>
      <c r="AT13" s="319">
        <f t="shared" si="30"/>
        <v>-139</v>
      </c>
      <c r="AU13" s="319">
        <f t="shared" si="30"/>
        <v>-540</v>
      </c>
      <c r="AW13" s="318" t="s">
        <v>106</v>
      </c>
      <c r="AX13" s="319">
        <f t="shared" si="30"/>
        <v>100</v>
      </c>
      <c r="AY13" s="319">
        <f t="shared" si="30"/>
        <v>-160</v>
      </c>
      <c r="AZ13" s="319">
        <f t="shared" si="30"/>
        <v>-40</v>
      </c>
      <c r="BA13" s="319">
        <f t="shared" si="30"/>
        <v>32</v>
      </c>
      <c r="BB13" s="319">
        <f t="shared" si="30"/>
        <v>-68</v>
      </c>
      <c r="BD13" s="318" t="s">
        <v>106</v>
      </c>
      <c r="BE13" s="319">
        <f t="shared" si="30"/>
        <v>34</v>
      </c>
      <c r="BF13" s="319">
        <f t="shared" si="30"/>
        <v>9</v>
      </c>
      <c r="BG13" s="319">
        <f t="shared" si="30"/>
        <v>-147</v>
      </c>
      <c r="BH13" s="319">
        <f t="shared" si="30"/>
        <v>-363</v>
      </c>
      <c r="BI13" s="319">
        <f t="shared" si="30"/>
        <v>-467</v>
      </c>
      <c r="BK13" s="318" t="s">
        <v>106</v>
      </c>
      <c r="BL13" s="319">
        <f t="shared" si="30"/>
        <v>-24</v>
      </c>
      <c r="BM13" s="319">
        <f t="shared" si="30"/>
        <v>-6</v>
      </c>
      <c r="BN13" s="319">
        <f t="shared" si="30"/>
        <v>-34</v>
      </c>
      <c r="BO13" s="319">
        <f t="shared" ref="BO13:DJ13" si="31">SUM(BO14:BO24)</f>
        <v>193</v>
      </c>
      <c r="BP13" s="319">
        <f>SUM(BP14:BP24)</f>
        <v>129</v>
      </c>
      <c r="BR13" s="318" t="s">
        <v>106</v>
      </c>
      <c r="BS13" s="319">
        <f t="shared" si="31"/>
        <v>-65</v>
      </c>
      <c r="BT13" s="319">
        <f t="shared" si="31"/>
        <v>-107</v>
      </c>
      <c r="BU13" s="319">
        <f t="shared" si="31"/>
        <v>-144</v>
      </c>
      <c r="BV13" s="319">
        <f t="shared" si="31"/>
        <v>-116</v>
      </c>
      <c r="BW13" s="319">
        <f t="shared" si="31"/>
        <v>-432</v>
      </c>
      <c r="BY13" s="318" t="s">
        <v>106</v>
      </c>
      <c r="BZ13" s="319">
        <f t="shared" si="31"/>
        <v>64</v>
      </c>
      <c r="CA13" s="319">
        <f t="shared" si="31"/>
        <v>15</v>
      </c>
      <c r="CB13" s="319">
        <f t="shared" si="31"/>
        <v>1</v>
      </c>
      <c r="CC13" s="319">
        <f t="shared" si="31"/>
        <v>-28</v>
      </c>
      <c r="CD13" s="319">
        <f t="shared" si="31"/>
        <v>52</v>
      </c>
      <c r="CF13" s="318" t="s">
        <v>106</v>
      </c>
      <c r="CG13" s="319">
        <f t="shared" si="31"/>
        <v>-1</v>
      </c>
      <c r="CH13" s="319">
        <f t="shared" si="31"/>
        <v>-9</v>
      </c>
      <c r="CI13" s="319">
        <f t="shared" si="31"/>
        <v>4</v>
      </c>
      <c r="CJ13" s="319">
        <f t="shared" si="31"/>
        <v>-29</v>
      </c>
      <c r="CK13" s="319">
        <f t="shared" si="31"/>
        <v>-35</v>
      </c>
      <c r="CM13" s="318" t="s">
        <v>106</v>
      </c>
      <c r="CN13" s="319">
        <f t="shared" si="31"/>
        <v>-331</v>
      </c>
      <c r="CO13" s="319">
        <f t="shared" si="31"/>
        <v>-5</v>
      </c>
      <c r="CP13" s="319">
        <f t="shared" si="31"/>
        <v>-50</v>
      </c>
      <c r="CQ13" s="319">
        <f t="shared" si="31"/>
        <v>-119</v>
      </c>
      <c r="CR13" s="319">
        <f t="shared" si="31"/>
        <v>-505</v>
      </c>
      <c r="CT13" s="318" t="s">
        <v>106</v>
      </c>
      <c r="CU13" s="319">
        <f t="shared" si="31"/>
        <v>-87</v>
      </c>
      <c r="CV13" s="319">
        <f t="shared" si="31"/>
        <v>-41</v>
      </c>
      <c r="CW13" s="319">
        <f t="shared" si="31"/>
        <v>7</v>
      </c>
      <c r="CX13" s="319">
        <f t="shared" si="31"/>
        <v>16</v>
      </c>
      <c r="CY13" s="319">
        <f t="shared" si="31"/>
        <v>-105</v>
      </c>
      <c r="DA13" s="318" t="s">
        <v>106</v>
      </c>
      <c r="DB13" s="319">
        <f t="shared" si="31"/>
        <v>-10</v>
      </c>
      <c r="DC13" s="319">
        <f t="shared" si="31"/>
        <v>7</v>
      </c>
      <c r="DD13" s="319">
        <f t="shared" si="31"/>
        <v>-21</v>
      </c>
      <c r="DE13" s="319">
        <f t="shared" si="31"/>
        <v>27</v>
      </c>
      <c r="DF13" s="319">
        <f t="shared" si="31"/>
        <v>3</v>
      </c>
      <c r="DH13" s="318" t="s">
        <v>106</v>
      </c>
      <c r="DI13" s="319">
        <f t="shared" si="31"/>
        <v>26</v>
      </c>
      <c r="DJ13" s="319">
        <f t="shared" si="31"/>
        <v>20</v>
      </c>
      <c r="DK13" s="319">
        <f t="shared" ref="DK13:EV13" si="32">SUM(DK14:DK24)</f>
        <v>-19</v>
      </c>
      <c r="DL13" s="319">
        <f t="shared" si="32"/>
        <v>-95</v>
      </c>
      <c r="DM13" s="319">
        <f t="shared" si="32"/>
        <v>-68</v>
      </c>
      <c r="DO13" s="318" t="s">
        <v>106</v>
      </c>
      <c r="DP13" s="319">
        <f t="shared" si="32"/>
        <v>-29</v>
      </c>
      <c r="DQ13" s="319">
        <f t="shared" si="32"/>
        <v>2</v>
      </c>
      <c r="DR13" s="319">
        <f t="shared" si="32"/>
        <v>-24</v>
      </c>
      <c r="DS13" s="319">
        <f t="shared" si="32"/>
        <v>-397</v>
      </c>
      <c r="DT13" s="319">
        <f t="shared" si="32"/>
        <v>-448</v>
      </c>
      <c r="DV13" s="318" t="s">
        <v>106</v>
      </c>
      <c r="DW13" s="319">
        <f t="shared" si="32"/>
        <v>163</v>
      </c>
      <c r="DX13" s="319">
        <f t="shared" si="32"/>
        <v>-12</v>
      </c>
      <c r="DY13" s="319">
        <f t="shared" si="32"/>
        <v>-15</v>
      </c>
      <c r="DZ13" s="319">
        <f t="shared" si="32"/>
        <v>-252</v>
      </c>
      <c r="EA13" s="319">
        <f t="shared" si="32"/>
        <v>-116</v>
      </c>
      <c r="EC13" s="318" t="s">
        <v>106</v>
      </c>
      <c r="ED13" s="319">
        <f t="shared" si="32"/>
        <v>-63</v>
      </c>
      <c r="EE13" s="319">
        <f t="shared" si="32"/>
        <v>-89</v>
      </c>
      <c r="EF13" s="319">
        <f t="shared" si="32"/>
        <v>-76</v>
      </c>
      <c r="EG13" s="319">
        <f t="shared" si="32"/>
        <v>-58</v>
      </c>
      <c r="EH13" s="319">
        <f t="shared" si="32"/>
        <v>-286</v>
      </c>
      <c r="EJ13" s="318" t="s">
        <v>106</v>
      </c>
      <c r="EK13" s="319">
        <f t="shared" si="32"/>
        <v>-60</v>
      </c>
      <c r="EL13" s="319">
        <f>SUM(EL14:EL24)</f>
        <v>-65</v>
      </c>
      <c r="EM13" s="319">
        <f>SUM(EM14:EM24)</f>
        <v>-85</v>
      </c>
      <c r="EN13" s="319">
        <f>SUM(EN14:EN24)</f>
        <v>-46</v>
      </c>
      <c r="EO13" s="319">
        <f>SUM(EO14:EO24)</f>
        <v>-242</v>
      </c>
      <c r="EQ13" s="318" t="s">
        <v>106</v>
      </c>
      <c r="ER13" s="319">
        <f>SUM(ER14:ER24)</f>
        <v>-18</v>
      </c>
      <c r="ES13" s="319">
        <f t="shared" si="32"/>
        <v>-36</v>
      </c>
      <c r="ET13" s="319">
        <f t="shared" si="32"/>
        <v>24</v>
      </c>
      <c r="EU13" s="319">
        <f t="shared" si="32"/>
        <v>-37</v>
      </c>
      <c r="EV13" s="319">
        <f t="shared" si="32"/>
        <v>-67</v>
      </c>
      <c r="EX13" s="318" t="s">
        <v>106</v>
      </c>
      <c r="EY13" s="319">
        <f t="shared" ref="EY13:FG13" si="33">SUM(EY14:EY24)</f>
        <v>25</v>
      </c>
      <c r="EZ13" s="319">
        <f t="shared" si="33"/>
        <v>-367</v>
      </c>
      <c r="FA13" s="319">
        <f t="shared" si="33"/>
        <v>-78</v>
      </c>
      <c r="FB13" s="319">
        <f t="shared" si="33"/>
        <v>-22</v>
      </c>
      <c r="FC13" s="319">
        <f t="shared" si="33"/>
        <v>-442</v>
      </c>
      <c r="FE13" s="318" t="s">
        <v>106</v>
      </c>
      <c r="FF13" s="319">
        <f>SUM(FF14:FF24)</f>
        <v>-27</v>
      </c>
      <c r="FG13" s="319">
        <f t="shared" si="33"/>
        <v>-143</v>
      </c>
      <c r="FH13" s="319">
        <f t="shared" ref="FH13:GL13" si="34">SUM(FH14:FH24)</f>
        <v>-65</v>
      </c>
      <c r="FI13" s="319">
        <f t="shared" si="34"/>
        <v>-20</v>
      </c>
      <c r="FJ13" s="319">
        <f t="shared" si="34"/>
        <v>-255</v>
      </c>
      <c r="FL13" s="318" t="s">
        <v>106</v>
      </c>
      <c r="FM13" s="319">
        <f t="shared" si="34"/>
        <v>-39</v>
      </c>
      <c r="FN13" s="319">
        <f t="shared" si="34"/>
        <v>42</v>
      </c>
      <c r="FO13" s="319">
        <f t="shared" si="34"/>
        <v>40</v>
      </c>
      <c r="FP13" s="319">
        <f t="shared" si="34"/>
        <v>-82</v>
      </c>
      <c r="FQ13" s="319">
        <f t="shared" si="34"/>
        <v>-39</v>
      </c>
      <c r="FS13" s="318" t="s">
        <v>106</v>
      </c>
      <c r="FT13" s="319">
        <f t="shared" si="34"/>
        <v>-17</v>
      </c>
      <c r="FU13" s="319">
        <f t="shared" si="34"/>
        <v>-2</v>
      </c>
      <c r="FV13" s="319">
        <f t="shared" si="34"/>
        <v>-24</v>
      </c>
      <c r="FW13" s="319">
        <f t="shared" ref="FW13" si="35">SUM(FW14:FW24)</f>
        <v>76</v>
      </c>
      <c r="FX13" s="319">
        <f t="shared" si="34"/>
        <v>33</v>
      </c>
      <c r="FZ13" s="318" t="s">
        <v>106</v>
      </c>
      <c r="GA13" s="319">
        <f t="shared" ref="GA13" si="36">SUM(GA14:GA24)</f>
        <v>-4</v>
      </c>
      <c r="GB13" s="319">
        <f t="shared" si="34"/>
        <v>-46</v>
      </c>
      <c r="GC13" s="319">
        <f t="shared" si="34"/>
        <v>156</v>
      </c>
      <c r="GD13" s="319">
        <f t="shared" si="34"/>
        <v>0</v>
      </c>
      <c r="GE13" s="319">
        <f t="shared" si="34"/>
        <v>106</v>
      </c>
      <c r="GG13" s="318" t="s">
        <v>106</v>
      </c>
      <c r="GH13" s="319">
        <f t="shared" si="34"/>
        <v>0</v>
      </c>
      <c r="GI13" s="319">
        <f t="shared" si="34"/>
        <v>0</v>
      </c>
      <c r="GJ13" s="319">
        <f t="shared" si="34"/>
        <v>0</v>
      </c>
      <c r="GK13" s="319">
        <f t="shared" si="34"/>
        <v>0</v>
      </c>
      <c r="GL13" s="319">
        <f t="shared" si="34"/>
        <v>0</v>
      </c>
      <c r="GN13" s="318" t="s">
        <v>106</v>
      </c>
      <c r="GO13" s="319">
        <f t="shared" ref="GO13:GS13" si="37">SUM(GO14:GO24)</f>
        <v>0</v>
      </c>
      <c r="GP13" s="319">
        <f t="shared" si="37"/>
        <v>0</v>
      </c>
      <c r="GQ13" s="319">
        <f t="shared" si="37"/>
        <v>0</v>
      </c>
      <c r="GR13" s="319">
        <f t="shared" si="37"/>
        <v>0</v>
      </c>
      <c r="GS13" s="319">
        <f t="shared" si="37"/>
        <v>0</v>
      </c>
      <c r="GU13" s="318" t="s">
        <v>106</v>
      </c>
      <c r="GV13" s="319">
        <f t="shared" ref="GV13:GZ13" si="38">SUM(GV14:GV24)</f>
        <v>0</v>
      </c>
      <c r="GW13" s="319">
        <f t="shared" si="38"/>
        <v>0</v>
      </c>
      <c r="GX13" s="319">
        <f t="shared" si="38"/>
        <v>0</v>
      </c>
      <c r="GY13" s="319">
        <f t="shared" si="38"/>
        <v>0</v>
      </c>
      <c r="GZ13" s="319">
        <f t="shared" si="38"/>
        <v>0</v>
      </c>
    </row>
    <row r="14" spans="1:208" outlineLevel="1" x14ac:dyDescent="0.4">
      <c r="A14" s="414"/>
      <c r="B14" s="346" t="s">
        <v>158</v>
      </c>
      <c r="C14" s="347">
        <f t="shared" si="0"/>
        <v>0</v>
      </c>
      <c r="D14" s="347">
        <f t="shared" si="1"/>
        <v>-168</v>
      </c>
      <c r="E14" s="347">
        <f t="shared" si="2"/>
        <v>0</v>
      </c>
      <c r="F14" s="347">
        <f t="shared" si="3"/>
        <v>0</v>
      </c>
      <c r="G14" s="347">
        <f t="shared" si="4"/>
        <v>0</v>
      </c>
      <c r="H14" s="347">
        <f t="shared" si="5"/>
        <v>0</v>
      </c>
      <c r="I14" s="347">
        <f t="shared" si="6"/>
        <v>0</v>
      </c>
      <c r="J14" s="347">
        <f t="shared" si="7"/>
        <v>0</v>
      </c>
      <c r="K14" s="347">
        <f t="shared" si="8"/>
        <v>0</v>
      </c>
      <c r="L14" s="347">
        <f t="shared" si="9"/>
        <v>0</v>
      </c>
      <c r="M14" s="347">
        <f t="shared" si="10"/>
        <v>0</v>
      </c>
      <c r="N14" s="347">
        <f t="shared" si="11"/>
        <v>0</v>
      </c>
      <c r="O14" s="347">
        <f t="shared" si="12"/>
        <v>0</v>
      </c>
      <c r="P14" s="347">
        <f t="shared" si="13"/>
        <v>0</v>
      </c>
      <c r="Q14" s="347">
        <f t="shared" si="14"/>
        <v>0</v>
      </c>
      <c r="R14" s="347">
        <f t="shared" si="15"/>
        <v>0</v>
      </c>
      <c r="S14" s="347">
        <f t="shared" si="16"/>
        <v>0</v>
      </c>
      <c r="T14" s="347">
        <f t="shared" si="17"/>
        <v>0</v>
      </c>
      <c r="U14" s="347">
        <f t="shared" si="18"/>
        <v>0</v>
      </c>
      <c r="V14" s="354">
        <f t="shared" si="19"/>
        <v>0</v>
      </c>
      <c r="W14" s="354">
        <f t="shared" si="20"/>
        <v>0</v>
      </c>
      <c r="X14" s="354">
        <f t="shared" si="21"/>
        <v>0</v>
      </c>
      <c r="Y14" s="354">
        <f t="shared" si="22"/>
        <v>0</v>
      </c>
      <c r="Z14" s="354">
        <f t="shared" si="23"/>
        <v>0</v>
      </c>
      <c r="AA14" s="348"/>
      <c r="AB14" s="348"/>
      <c r="AC14" s="348"/>
      <c r="AD14" s="348"/>
      <c r="AE14" s="348"/>
      <c r="AF14" s="348"/>
      <c r="AG14" s="348"/>
      <c r="AH14" s="348"/>
      <c r="AI14" s="348"/>
      <c r="AJ14" s="348"/>
      <c r="AK14" s="348"/>
      <c r="AL14" s="348"/>
      <c r="AM14" s="348"/>
      <c r="AN14" s="348"/>
      <c r="AP14" s="346" t="s">
        <v>158</v>
      </c>
      <c r="AQ14" s="347">
        <v>0</v>
      </c>
      <c r="AR14" s="347">
        <v>0</v>
      </c>
      <c r="AS14" s="347">
        <v>0</v>
      </c>
      <c r="AT14" s="347">
        <f t="shared" ref="AT14:AT24" si="39">AU14-SUM(AQ14:AS14)</f>
        <v>0</v>
      </c>
      <c r="AU14" s="347">
        <v>0</v>
      </c>
      <c r="AW14" s="346" t="s">
        <v>158</v>
      </c>
      <c r="AX14" s="347">
        <v>0</v>
      </c>
      <c r="AY14" s="347">
        <f>-126-AX14</f>
        <v>-126</v>
      </c>
      <c r="AZ14" s="347">
        <f>-141-AY14-AX14</f>
        <v>-15</v>
      </c>
      <c r="BA14" s="347">
        <f t="shared" ref="BA14:BA24" si="40">BB14-SUM(AX14:AZ14)</f>
        <v>-27</v>
      </c>
      <c r="BB14" s="347">
        <v>-168</v>
      </c>
      <c r="BD14" s="346" t="s">
        <v>158</v>
      </c>
      <c r="BE14" s="347">
        <v>0</v>
      </c>
      <c r="BF14" s="347">
        <v>0</v>
      </c>
      <c r="BG14" s="347">
        <v>0</v>
      </c>
      <c r="BH14" s="347">
        <f t="shared" ref="BH14:BH24" si="41">BI14-SUM(BE14:BG14)</f>
        <v>0</v>
      </c>
      <c r="BI14" s="347">
        <v>0</v>
      </c>
      <c r="BK14" s="346" t="s">
        <v>158</v>
      </c>
      <c r="BL14" s="347">
        <v>0</v>
      </c>
      <c r="BM14" s="347">
        <v>0</v>
      </c>
      <c r="BN14" s="347">
        <v>0</v>
      </c>
      <c r="BO14" s="347">
        <f t="shared" ref="BO14:BO24" si="42">BP14-SUM(BL14:BN14)</f>
        <v>0</v>
      </c>
      <c r="BP14" s="347">
        <v>0</v>
      </c>
      <c r="BR14" s="346" t="s">
        <v>158</v>
      </c>
      <c r="BS14" s="347">
        <v>0</v>
      </c>
      <c r="BT14" s="347">
        <v>0</v>
      </c>
      <c r="BU14" s="347">
        <v>0</v>
      </c>
      <c r="BV14" s="347">
        <f t="shared" ref="BV14:BV24" si="43">BW14-SUM(BS14:BU14)</f>
        <v>0</v>
      </c>
      <c r="BW14" s="347">
        <v>0</v>
      </c>
      <c r="BY14" s="346" t="s">
        <v>158</v>
      </c>
      <c r="BZ14" s="347">
        <v>0</v>
      </c>
      <c r="CA14" s="347">
        <v>0</v>
      </c>
      <c r="CB14" s="347">
        <v>0</v>
      </c>
      <c r="CC14" s="347">
        <f t="shared" ref="CC14:CC24" si="44">CD14-SUM(BZ14:CB14)</f>
        <v>0</v>
      </c>
      <c r="CD14" s="347">
        <v>0</v>
      </c>
      <c r="CF14" s="346" t="s">
        <v>158</v>
      </c>
      <c r="CG14" s="347">
        <v>0</v>
      </c>
      <c r="CH14" s="347">
        <v>0</v>
      </c>
      <c r="CI14" s="347">
        <v>0</v>
      </c>
      <c r="CJ14" s="347">
        <f t="shared" ref="CJ14:CJ24" si="45">CK14-SUM(CG14:CI14)</f>
        <v>0</v>
      </c>
      <c r="CK14" s="347">
        <v>0</v>
      </c>
      <c r="CM14" s="346" t="s">
        <v>158</v>
      </c>
      <c r="CN14" s="347">
        <v>0</v>
      </c>
      <c r="CO14" s="347">
        <v>0</v>
      </c>
      <c r="CP14" s="347">
        <v>0</v>
      </c>
      <c r="CQ14" s="347">
        <f t="shared" ref="CQ14:CQ24" si="46">CR14-SUM(CN14:CP14)</f>
        <v>0</v>
      </c>
      <c r="CR14" s="347">
        <v>0</v>
      </c>
      <c r="CT14" s="346" t="s">
        <v>158</v>
      </c>
      <c r="CU14" s="347">
        <v>0</v>
      </c>
      <c r="CV14" s="347">
        <v>0</v>
      </c>
      <c r="CW14" s="347">
        <v>0</v>
      </c>
      <c r="CX14" s="347">
        <f t="shared" ref="CX14:CX24" si="47">CY14-SUM(CU14:CW14)</f>
        <v>0</v>
      </c>
      <c r="CY14" s="347">
        <v>0</v>
      </c>
      <c r="DA14" s="346" t="s">
        <v>158</v>
      </c>
      <c r="DB14" s="347">
        <v>0</v>
      </c>
      <c r="DC14" s="347">
        <v>0</v>
      </c>
      <c r="DD14" s="347">
        <v>0</v>
      </c>
      <c r="DE14" s="347">
        <f t="shared" ref="DE14:DE24" si="48">DF14-SUM(DB14:DD14)</f>
        <v>0</v>
      </c>
      <c r="DF14" s="347">
        <v>0</v>
      </c>
      <c r="DH14" s="346" t="s">
        <v>158</v>
      </c>
      <c r="DI14" s="347">
        <v>0</v>
      </c>
      <c r="DJ14" s="347">
        <v>0</v>
      </c>
      <c r="DK14" s="347">
        <v>0</v>
      </c>
      <c r="DL14" s="347">
        <f t="shared" ref="DL14:DL24" si="49">DM14-SUM(DI14:DK14)</f>
        <v>0</v>
      </c>
      <c r="DM14" s="347">
        <v>0</v>
      </c>
      <c r="DO14" s="346" t="s">
        <v>158</v>
      </c>
      <c r="DP14" s="347">
        <v>0</v>
      </c>
      <c r="DQ14" s="347">
        <v>0</v>
      </c>
      <c r="DR14" s="347">
        <v>0</v>
      </c>
      <c r="DS14" s="347">
        <f t="shared" ref="DS14:DS24" si="50">DT14-SUM(DP14:DR14)</f>
        <v>0</v>
      </c>
      <c r="DT14" s="347">
        <v>0</v>
      </c>
      <c r="DV14" s="346" t="s">
        <v>158</v>
      </c>
      <c r="DW14" s="347">
        <v>0</v>
      </c>
      <c r="DX14" s="347">
        <v>0</v>
      </c>
      <c r="DY14" s="347">
        <v>0</v>
      </c>
      <c r="DZ14" s="347">
        <f t="shared" ref="DZ14:DZ24" si="51">EA14-SUM(DW14:DY14)</f>
        <v>0</v>
      </c>
      <c r="EA14" s="347">
        <v>0</v>
      </c>
      <c r="EC14" s="346" t="s">
        <v>158</v>
      </c>
      <c r="ED14" s="347">
        <v>0</v>
      </c>
      <c r="EE14" s="347">
        <v>0</v>
      </c>
      <c r="EF14" s="347">
        <v>0</v>
      </c>
      <c r="EG14" s="347">
        <f t="shared" ref="EG14:EG24" si="52">EH14-SUM(ED14:EF14)</f>
        <v>0</v>
      </c>
      <c r="EH14" s="347">
        <v>0</v>
      </c>
      <c r="EJ14" s="346" t="s">
        <v>158</v>
      </c>
      <c r="EK14" s="347">
        <v>0</v>
      </c>
      <c r="EL14" s="347">
        <v>0</v>
      </c>
      <c r="EM14" s="347">
        <v>0</v>
      </c>
      <c r="EN14" s="347">
        <f t="shared" ref="EN14:EN24" si="53">EO14-SUM(EK14:EM14)</f>
        <v>0</v>
      </c>
      <c r="EO14" s="347">
        <v>0</v>
      </c>
      <c r="EQ14" s="346" t="s">
        <v>158</v>
      </c>
      <c r="ER14" s="347">
        <v>0</v>
      </c>
      <c r="ES14" s="347">
        <v>0</v>
      </c>
      <c r="ET14" s="347">
        <v>0</v>
      </c>
      <c r="EU14" s="347">
        <f t="shared" ref="EU14:EU24" si="54">EV14-SUM(ER14:ET14)</f>
        <v>0</v>
      </c>
      <c r="EV14" s="347">
        <v>0</v>
      </c>
      <c r="EX14" s="346" t="s">
        <v>158</v>
      </c>
      <c r="EY14" s="347">
        <v>0</v>
      </c>
      <c r="EZ14" s="347">
        <v>0</v>
      </c>
      <c r="FA14" s="347">
        <v>0</v>
      </c>
      <c r="FB14" s="347">
        <f t="shared" si="24"/>
        <v>0</v>
      </c>
      <c r="FC14" s="347">
        <v>0</v>
      </c>
      <c r="FE14" s="346" t="s">
        <v>158</v>
      </c>
      <c r="FF14" s="347">
        <v>0</v>
      </c>
      <c r="FG14" s="347">
        <v>0</v>
      </c>
      <c r="FH14" s="347">
        <v>0</v>
      </c>
      <c r="FI14" s="347">
        <f t="shared" ref="FI14:FI24" si="55">FJ14-SUM(FF14:FH14)</f>
        <v>0</v>
      </c>
      <c r="FJ14" s="347">
        <v>0</v>
      </c>
      <c r="FL14" s="346" t="s">
        <v>158</v>
      </c>
      <c r="FM14" s="347">
        <v>0</v>
      </c>
      <c r="FN14" s="347">
        <v>0</v>
      </c>
      <c r="FO14" s="347">
        <v>0</v>
      </c>
      <c r="FP14" s="347">
        <f t="shared" ref="FP14:FP24" si="56">FQ14-SUM(FM14:FO14)</f>
        <v>0</v>
      </c>
      <c r="FQ14" s="347">
        <v>0</v>
      </c>
      <c r="FS14" s="346" t="s">
        <v>158</v>
      </c>
      <c r="FT14" s="347">
        <v>0</v>
      </c>
      <c r="FU14" s="354">
        <f>0-FT14</f>
        <v>0</v>
      </c>
      <c r="FV14" s="354">
        <f>0-FU14-FT14</f>
        <v>0</v>
      </c>
      <c r="FW14" s="347">
        <f t="shared" ref="FW14:FW24" si="57">FX14-SUM(FT14:FV14)</f>
        <v>0</v>
      </c>
      <c r="FX14" s="354">
        <v>0</v>
      </c>
      <c r="FZ14" s="346" t="s">
        <v>158</v>
      </c>
      <c r="GA14" s="354">
        <v>0</v>
      </c>
      <c r="GB14" s="354">
        <f>0-GA14</f>
        <v>0</v>
      </c>
      <c r="GC14" s="354">
        <f>0-GB14-GA14</f>
        <v>0</v>
      </c>
      <c r="GD14" s="354">
        <v>0</v>
      </c>
      <c r="GE14" s="354">
        <f t="shared" ref="GE14:GE24" si="58">+SUM(GA14:GD14)</f>
        <v>0</v>
      </c>
      <c r="GG14" s="346" t="s">
        <v>158</v>
      </c>
      <c r="GH14" s="354">
        <v>0</v>
      </c>
      <c r="GI14" s="354">
        <v>0</v>
      </c>
      <c r="GJ14" s="354">
        <v>0</v>
      </c>
      <c r="GK14" s="354">
        <v>0</v>
      </c>
      <c r="GL14" s="354">
        <f t="shared" ref="GL14:GL24" si="59">+SUM(GH14:GK14)</f>
        <v>0</v>
      </c>
      <c r="GN14" s="346" t="s">
        <v>158</v>
      </c>
      <c r="GO14" s="354">
        <v>0</v>
      </c>
      <c r="GP14" s="354">
        <v>0</v>
      </c>
      <c r="GQ14" s="354">
        <v>0</v>
      </c>
      <c r="GR14" s="354">
        <v>0</v>
      </c>
      <c r="GS14" s="354">
        <f t="shared" ref="GS14:GS24" si="60">+SUM(GO14:GR14)</f>
        <v>0</v>
      </c>
      <c r="GU14" s="346" t="s">
        <v>158</v>
      </c>
      <c r="GV14" s="354">
        <v>0</v>
      </c>
      <c r="GW14" s="354">
        <v>0</v>
      </c>
      <c r="GX14" s="354">
        <v>0</v>
      </c>
      <c r="GY14" s="354">
        <v>0</v>
      </c>
      <c r="GZ14" s="354">
        <f t="shared" ref="GZ14:GZ24" si="61">+SUM(GV14:GY14)</f>
        <v>0</v>
      </c>
    </row>
    <row r="15" spans="1:208" outlineLevel="1" x14ac:dyDescent="0.4">
      <c r="A15" s="414"/>
      <c r="B15" s="346" t="s">
        <v>159</v>
      </c>
      <c r="C15" s="347">
        <f t="shared" si="0"/>
        <v>29</v>
      </c>
      <c r="D15" s="347">
        <f t="shared" si="1"/>
        <v>121</v>
      </c>
      <c r="E15" s="347">
        <f t="shared" si="2"/>
        <v>0</v>
      </c>
      <c r="F15" s="347">
        <f t="shared" si="3"/>
        <v>0</v>
      </c>
      <c r="G15" s="347">
        <f t="shared" si="4"/>
        <v>0</v>
      </c>
      <c r="H15" s="347">
        <f t="shared" si="5"/>
        <v>0</v>
      </c>
      <c r="I15" s="347">
        <f t="shared" si="6"/>
        <v>0</v>
      </c>
      <c r="J15" s="347">
        <f t="shared" si="7"/>
        <v>0</v>
      </c>
      <c r="K15" s="347">
        <f t="shared" si="8"/>
        <v>0</v>
      </c>
      <c r="L15" s="347">
        <f t="shared" si="9"/>
        <v>0</v>
      </c>
      <c r="M15" s="347">
        <f t="shared" si="10"/>
        <v>0</v>
      </c>
      <c r="N15" s="347">
        <f t="shared" si="11"/>
        <v>0</v>
      </c>
      <c r="O15" s="347">
        <f t="shared" si="12"/>
        <v>0</v>
      </c>
      <c r="P15" s="347">
        <f t="shared" si="13"/>
        <v>0</v>
      </c>
      <c r="Q15" s="347">
        <f t="shared" si="14"/>
        <v>0</v>
      </c>
      <c r="R15" s="347">
        <f t="shared" si="15"/>
        <v>0</v>
      </c>
      <c r="S15" s="347">
        <f t="shared" si="16"/>
        <v>0</v>
      </c>
      <c r="T15" s="347">
        <f t="shared" si="17"/>
        <v>0</v>
      </c>
      <c r="U15" s="347">
        <f t="shared" si="18"/>
        <v>0</v>
      </c>
      <c r="V15" s="354">
        <f t="shared" si="19"/>
        <v>0</v>
      </c>
      <c r="W15" s="354">
        <f t="shared" si="20"/>
        <v>0</v>
      </c>
      <c r="X15" s="354">
        <f t="shared" si="21"/>
        <v>0</v>
      </c>
      <c r="Y15" s="354">
        <f t="shared" si="22"/>
        <v>0</v>
      </c>
      <c r="Z15" s="354">
        <f t="shared" si="23"/>
        <v>0</v>
      </c>
      <c r="AA15" s="348"/>
      <c r="AB15" s="348"/>
      <c r="AC15" s="348"/>
      <c r="AD15" s="348"/>
      <c r="AE15" s="348"/>
      <c r="AF15" s="348"/>
      <c r="AG15" s="348"/>
      <c r="AH15" s="348"/>
      <c r="AI15" s="348"/>
      <c r="AJ15" s="348"/>
      <c r="AK15" s="348"/>
      <c r="AL15" s="348"/>
      <c r="AM15" s="348"/>
      <c r="AN15" s="348"/>
      <c r="AP15" s="346" t="s">
        <v>159</v>
      </c>
      <c r="AQ15" s="347">
        <v>0</v>
      </c>
      <c r="AR15" s="347">
        <v>0</v>
      </c>
      <c r="AS15" s="347">
        <v>0</v>
      </c>
      <c r="AT15" s="347">
        <f t="shared" si="39"/>
        <v>29</v>
      </c>
      <c r="AU15" s="347">
        <v>29</v>
      </c>
      <c r="AW15" s="346" t="s">
        <v>159</v>
      </c>
      <c r="AX15" s="347">
        <v>50</v>
      </c>
      <c r="AY15" s="347">
        <f>92-AX15</f>
        <v>42</v>
      </c>
      <c r="AZ15" s="347">
        <f>104-AY15-AX15</f>
        <v>12</v>
      </c>
      <c r="BA15" s="347">
        <f t="shared" si="40"/>
        <v>17</v>
      </c>
      <c r="BB15" s="347">
        <v>121</v>
      </c>
      <c r="BD15" s="346" t="s">
        <v>159</v>
      </c>
      <c r="BE15" s="347">
        <v>0</v>
      </c>
      <c r="BF15" s="347">
        <v>0</v>
      </c>
      <c r="BG15" s="347">
        <v>0</v>
      </c>
      <c r="BH15" s="347">
        <f t="shared" si="41"/>
        <v>0</v>
      </c>
      <c r="BI15" s="347">
        <v>0</v>
      </c>
      <c r="BK15" s="346" t="s">
        <v>159</v>
      </c>
      <c r="BL15" s="347">
        <v>0</v>
      </c>
      <c r="BM15" s="347">
        <v>0</v>
      </c>
      <c r="BN15" s="347">
        <v>0</v>
      </c>
      <c r="BO15" s="347">
        <f t="shared" si="42"/>
        <v>0</v>
      </c>
      <c r="BP15" s="347">
        <v>0</v>
      </c>
      <c r="BR15" s="346" t="s">
        <v>159</v>
      </c>
      <c r="BS15" s="347">
        <v>0</v>
      </c>
      <c r="BT15" s="347">
        <v>0</v>
      </c>
      <c r="BU15" s="347">
        <v>0</v>
      </c>
      <c r="BV15" s="347">
        <f t="shared" si="43"/>
        <v>0</v>
      </c>
      <c r="BW15" s="347">
        <v>0</v>
      </c>
      <c r="BY15" s="346" t="s">
        <v>159</v>
      </c>
      <c r="BZ15" s="347">
        <v>0</v>
      </c>
      <c r="CA15" s="347">
        <v>0</v>
      </c>
      <c r="CB15" s="347">
        <v>0</v>
      </c>
      <c r="CC15" s="347">
        <f t="shared" si="44"/>
        <v>0</v>
      </c>
      <c r="CD15" s="347">
        <v>0</v>
      </c>
      <c r="CF15" s="346" t="s">
        <v>159</v>
      </c>
      <c r="CG15" s="347">
        <v>0</v>
      </c>
      <c r="CH15" s="347">
        <v>0</v>
      </c>
      <c r="CI15" s="347">
        <v>0</v>
      </c>
      <c r="CJ15" s="347">
        <f t="shared" si="45"/>
        <v>0</v>
      </c>
      <c r="CK15" s="347">
        <v>0</v>
      </c>
      <c r="CM15" s="346" t="s">
        <v>159</v>
      </c>
      <c r="CN15" s="347">
        <v>0</v>
      </c>
      <c r="CO15" s="347">
        <v>0</v>
      </c>
      <c r="CP15" s="347">
        <v>0</v>
      </c>
      <c r="CQ15" s="347">
        <f t="shared" si="46"/>
        <v>0</v>
      </c>
      <c r="CR15" s="347">
        <v>0</v>
      </c>
      <c r="CT15" s="346" t="s">
        <v>159</v>
      </c>
      <c r="CU15" s="347">
        <v>0</v>
      </c>
      <c r="CV15" s="347">
        <v>0</v>
      </c>
      <c r="CW15" s="347">
        <v>0</v>
      </c>
      <c r="CX15" s="347">
        <f t="shared" si="47"/>
        <v>0</v>
      </c>
      <c r="CY15" s="347">
        <v>0</v>
      </c>
      <c r="DA15" s="346" t="s">
        <v>159</v>
      </c>
      <c r="DB15" s="347">
        <v>0</v>
      </c>
      <c r="DC15" s="347">
        <v>0</v>
      </c>
      <c r="DD15" s="347">
        <v>0</v>
      </c>
      <c r="DE15" s="347">
        <f t="shared" si="48"/>
        <v>0</v>
      </c>
      <c r="DF15" s="347">
        <v>0</v>
      </c>
      <c r="DH15" s="346" t="s">
        <v>159</v>
      </c>
      <c r="DI15" s="347">
        <v>0</v>
      </c>
      <c r="DJ15" s="347">
        <v>0</v>
      </c>
      <c r="DK15" s="347">
        <v>0</v>
      </c>
      <c r="DL15" s="347">
        <f t="shared" si="49"/>
        <v>0</v>
      </c>
      <c r="DM15" s="347">
        <v>0</v>
      </c>
      <c r="DO15" s="346" t="s">
        <v>159</v>
      </c>
      <c r="DP15" s="347">
        <v>0</v>
      </c>
      <c r="DQ15" s="347">
        <v>0</v>
      </c>
      <c r="DR15" s="347">
        <v>0</v>
      </c>
      <c r="DS15" s="347">
        <f t="shared" si="50"/>
        <v>0</v>
      </c>
      <c r="DT15" s="347">
        <v>0</v>
      </c>
      <c r="DV15" s="346" t="s">
        <v>159</v>
      </c>
      <c r="DW15" s="347">
        <v>0</v>
      </c>
      <c r="DX15" s="347">
        <v>0</v>
      </c>
      <c r="DY15" s="347">
        <v>0</v>
      </c>
      <c r="DZ15" s="347">
        <f t="shared" si="51"/>
        <v>0</v>
      </c>
      <c r="EA15" s="347">
        <v>0</v>
      </c>
      <c r="EC15" s="346" t="s">
        <v>159</v>
      </c>
      <c r="ED15" s="347">
        <v>0</v>
      </c>
      <c r="EE15" s="347">
        <v>0</v>
      </c>
      <c r="EF15" s="347">
        <v>0</v>
      </c>
      <c r="EG15" s="347">
        <f t="shared" si="52"/>
        <v>0</v>
      </c>
      <c r="EH15" s="347">
        <v>0</v>
      </c>
      <c r="EJ15" s="346" t="s">
        <v>159</v>
      </c>
      <c r="EK15" s="347">
        <v>0</v>
      </c>
      <c r="EL15" s="347">
        <v>0</v>
      </c>
      <c r="EM15" s="347">
        <v>0</v>
      </c>
      <c r="EN15" s="347">
        <f t="shared" si="53"/>
        <v>0</v>
      </c>
      <c r="EO15" s="347">
        <v>0</v>
      </c>
      <c r="EQ15" s="346" t="s">
        <v>159</v>
      </c>
      <c r="ER15" s="347">
        <v>0</v>
      </c>
      <c r="ES15" s="347">
        <v>0</v>
      </c>
      <c r="ET15" s="347">
        <v>0</v>
      </c>
      <c r="EU15" s="347">
        <f t="shared" si="54"/>
        <v>0</v>
      </c>
      <c r="EV15" s="347">
        <v>0</v>
      </c>
      <c r="EX15" s="346" t="s">
        <v>159</v>
      </c>
      <c r="EY15" s="347">
        <v>0</v>
      </c>
      <c r="EZ15" s="347">
        <v>0</v>
      </c>
      <c r="FA15" s="347">
        <v>0</v>
      </c>
      <c r="FB15" s="347">
        <f t="shared" si="24"/>
        <v>0</v>
      </c>
      <c r="FC15" s="347">
        <v>0</v>
      </c>
      <c r="FE15" s="346" t="s">
        <v>159</v>
      </c>
      <c r="FF15" s="347">
        <v>0</v>
      </c>
      <c r="FG15" s="347">
        <v>0</v>
      </c>
      <c r="FH15" s="347">
        <v>0</v>
      </c>
      <c r="FI15" s="347">
        <f t="shared" si="55"/>
        <v>0</v>
      </c>
      <c r="FJ15" s="347">
        <v>0</v>
      </c>
      <c r="FL15" s="346" t="s">
        <v>159</v>
      </c>
      <c r="FM15" s="347">
        <v>0</v>
      </c>
      <c r="FN15" s="347">
        <v>0</v>
      </c>
      <c r="FO15" s="347">
        <v>0</v>
      </c>
      <c r="FP15" s="347">
        <f t="shared" si="56"/>
        <v>0</v>
      </c>
      <c r="FQ15" s="347">
        <v>0</v>
      </c>
      <c r="FS15" s="346" t="s">
        <v>159</v>
      </c>
      <c r="FT15" s="347">
        <v>0</v>
      </c>
      <c r="FU15" s="354">
        <f t="shared" ref="FU15:FU23" si="62">0-FT15</f>
        <v>0</v>
      </c>
      <c r="FV15" s="354">
        <f t="shared" ref="FV15:FV24" si="63">0-FU15-FT15</f>
        <v>0</v>
      </c>
      <c r="FW15" s="347">
        <f t="shared" si="57"/>
        <v>0</v>
      </c>
      <c r="FX15" s="354">
        <v>0</v>
      </c>
      <c r="FZ15" s="346" t="s">
        <v>163</v>
      </c>
      <c r="GA15" s="354">
        <v>0</v>
      </c>
      <c r="GB15" s="354">
        <f t="shared" ref="GB15:GB24" si="64">0-GA15</f>
        <v>0</v>
      </c>
      <c r="GC15" s="354">
        <f t="shared" ref="GC15:GC16" si="65">0-GB15-GA15</f>
        <v>0</v>
      </c>
      <c r="GD15" s="354">
        <v>0</v>
      </c>
      <c r="GE15" s="354">
        <f t="shared" si="58"/>
        <v>0</v>
      </c>
      <c r="GG15" s="346" t="s">
        <v>159</v>
      </c>
      <c r="GH15" s="354">
        <v>0</v>
      </c>
      <c r="GI15" s="354">
        <v>0</v>
      </c>
      <c r="GJ15" s="354">
        <v>0</v>
      </c>
      <c r="GK15" s="354">
        <v>0</v>
      </c>
      <c r="GL15" s="354">
        <f t="shared" si="59"/>
        <v>0</v>
      </c>
      <c r="GN15" s="346" t="s">
        <v>159</v>
      </c>
      <c r="GO15" s="354">
        <v>0</v>
      </c>
      <c r="GP15" s="354">
        <v>0</v>
      </c>
      <c r="GQ15" s="354">
        <v>0</v>
      </c>
      <c r="GR15" s="354">
        <v>0</v>
      </c>
      <c r="GS15" s="354">
        <f t="shared" si="60"/>
        <v>0</v>
      </c>
      <c r="GU15" s="346" t="s">
        <v>159</v>
      </c>
      <c r="GV15" s="354">
        <v>0</v>
      </c>
      <c r="GW15" s="354">
        <v>0</v>
      </c>
      <c r="GX15" s="354">
        <v>0</v>
      </c>
      <c r="GY15" s="354">
        <v>0</v>
      </c>
      <c r="GZ15" s="354">
        <f t="shared" si="61"/>
        <v>0</v>
      </c>
    </row>
    <row r="16" spans="1:208" outlineLevel="1" x14ac:dyDescent="0.4">
      <c r="A16" s="414"/>
      <c r="B16" s="346" t="s">
        <v>160</v>
      </c>
      <c r="C16" s="347">
        <f t="shared" si="0"/>
        <v>0</v>
      </c>
      <c r="D16" s="347">
        <f t="shared" si="1"/>
        <v>0</v>
      </c>
      <c r="E16" s="347">
        <f t="shared" si="2"/>
        <v>0</v>
      </c>
      <c r="F16" s="347">
        <f t="shared" si="3"/>
        <v>0</v>
      </c>
      <c r="G16" s="347">
        <f t="shared" si="4"/>
        <v>0</v>
      </c>
      <c r="H16" s="347">
        <f t="shared" si="5"/>
        <v>0</v>
      </c>
      <c r="I16" s="347">
        <f t="shared" si="6"/>
        <v>0</v>
      </c>
      <c r="J16" s="347">
        <f t="shared" si="7"/>
        <v>0</v>
      </c>
      <c r="K16" s="347">
        <f t="shared" si="8"/>
        <v>0</v>
      </c>
      <c r="L16" s="347">
        <f t="shared" si="9"/>
        <v>0</v>
      </c>
      <c r="M16" s="347">
        <f t="shared" si="10"/>
        <v>-40</v>
      </c>
      <c r="N16" s="347">
        <f t="shared" si="11"/>
        <v>-50</v>
      </c>
      <c r="O16" s="347">
        <f t="shared" si="12"/>
        <v>-219</v>
      </c>
      <c r="P16" s="347">
        <f t="shared" si="13"/>
        <v>-96</v>
      </c>
      <c r="Q16" s="347">
        <f t="shared" si="14"/>
        <v>-151</v>
      </c>
      <c r="R16" s="347">
        <f t="shared" si="15"/>
        <v>0</v>
      </c>
      <c r="S16" s="347">
        <f t="shared" si="16"/>
        <v>0</v>
      </c>
      <c r="T16" s="347">
        <f t="shared" si="17"/>
        <v>0</v>
      </c>
      <c r="U16" s="347">
        <f t="shared" si="18"/>
        <v>0</v>
      </c>
      <c r="V16" s="354">
        <f t="shared" si="19"/>
        <v>0</v>
      </c>
      <c r="W16" s="354">
        <f t="shared" si="20"/>
        <v>0</v>
      </c>
      <c r="X16" s="354">
        <f t="shared" si="21"/>
        <v>0</v>
      </c>
      <c r="Y16" s="354">
        <f t="shared" si="22"/>
        <v>0</v>
      </c>
      <c r="Z16" s="354">
        <f t="shared" si="23"/>
        <v>0</v>
      </c>
      <c r="AA16" s="348"/>
      <c r="AB16" s="348"/>
      <c r="AC16" s="348"/>
      <c r="AD16" s="348"/>
      <c r="AE16" s="348"/>
      <c r="AF16" s="348"/>
      <c r="AG16" s="348"/>
      <c r="AH16" s="348"/>
      <c r="AI16" s="348"/>
      <c r="AJ16" s="348"/>
      <c r="AK16" s="348"/>
      <c r="AL16" s="348"/>
      <c r="AM16" s="348"/>
      <c r="AN16" s="348"/>
      <c r="AP16" s="346" t="s">
        <v>160</v>
      </c>
      <c r="AQ16" s="347">
        <v>0</v>
      </c>
      <c r="AR16" s="347">
        <v>0</v>
      </c>
      <c r="AS16" s="347">
        <v>0</v>
      </c>
      <c r="AT16" s="347">
        <f t="shared" si="39"/>
        <v>0</v>
      </c>
      <c r="AU16" s="347">
        <v>0</v>
      </c>
      <c r="AW16" s="346" t="s">
        <v>160</v>
      </c>
      <c r="AX16" s="347">
        <v>0</v>
      </c>
      <c r="AY16" s="347">
        <v>0</v>
      </c>
      <c r="AZ16" s="347">
        <v>0</v>
      </c>
      <c r="BA16" s="347">
        <f t="shared" si="40"/>
        <v>0</v>
      </c>
      <c r="BB16" s="347">
        <v>0</v>
      </c>
      <c r="BD16" s="346" t="s">
        <v>160</v>
      </c>
      <c r="BE16" s="347">
        <v>0</v>
      </c>
      <c r="BF16" s="347">
        <v>0</v>
      </c>
      <c r="BG16" s="347">
        <v>0</v>
      </c>
      <c r="BH16" s="347">
        <f t="shared" si="41"/>
        <v>0</v>
      </c>
      <c r="BI16" s="347">
        <v>0</v>
      </c>
      <c r="BK16" s="346" t="s">
        <v>160</v>
      </c>
      <c r="BL16" s="347">
        <v>0</v>
      </c>
      <c r="BM16" s="347">
        <v>0</v>
      </c>
      <c r="BN16" s="347">
        <v>0</v>
      </c>
      <c r="BO16" s="347">
        <f t="shared" si="42"/>
        <v>0</v>
      </c>
      <c r="BP16" s="347">
        <v>0</v>
      </c>
      <c r="BR16" s="346" t="s">
        <v>160</v>
      </c>
      <c r="BS16" s="347">
        <v>0</v>
      </c>
      <c r="BT16" s="347">
        <v>0</v>
      </c>
      <c r="BU16" s="347">
        <v>0</v>
      </c>
      <c r="BV16" s="347">
        <f t="shared" si="43"/>
        <v>0</v>
      </c>
      <c r="BW16" s="347">
        <v>0</v>
      </c>
      <c r="BY16" s="346" t="s">
        <v>160</v>
      </c>
      <c r="BZ16" s="347">
        <v>0</v>
      </c>
      <c r="CA16" s="347">
        <v>0</v>
      </c>
      <c r="CB16" s="347">
        <v>0</v>
      </c>
      <c r="CC16" s="347">
        <f t="shared" si="44"/>
        <v>0</v>
      </c>
      <c r="CD16" s="347">
        <v>0</v>
      </c>
      <c r="CF16" s="346" t="s">
        <v>160</v>
      </c>
      <c r="CG16" s="347">
        <v>0</v>
      </c>
      <c r="CH16" s="347">
        <v>0</v>
      </c>
      <c r="CI16" s="347">
        <v>0</v>
      </c>
      <c r="CJ16" s="347">
        <f t="shared" si="45"/>
        <v>0</v>
      </c>
      <c r="CK16" s="347">
        <v>0</v>
      </c>
      <c r="CM16" s="346" t="s">
        <v>160</v>
      </c>
      <c r="CN16" s="347">
        <v>0</v>
      </c>
      <c r="CO16" s="347">
        <v>0</v>
      </c>
      <c r="CP16" s="347">
        <v>0</v>
      </c>
      <c r="CQ16" s="347">
        <f t="shared" si="46"/>
        <v>0</v>
      </c>
      <c r="CR16" s="347">
        <v>0</v>
      </c>
      <c r="CT16" s="346" t="s">
        <v>160</v>
      </c>
      <c r="CU16" s="347">
        <v>0</v>
      </c>
      <c r="CV16" s="347">
        <v>0</v>
      </c>
      <c r="CW16" s="347">
        <v>0</v>
      </c>
      <c r="CX16" s="347">
        <f t="shared" si="47"/>
        <v>0</v>
      </c>
      <c r="CY16" s="347">
        <v>0</v>
      </c>
      <c r="DA16" s="346" t="s">
        <v>160</v>
      </c>
      <c r="DB16" s="347">
        <v>0</v>
      </c>
      <c r="DC16" s="347">
        <v>0</v>
      </c>
      <c r="DD16" s="347">
        <v>0</v>
      </c>
      <c r="DE16" s="347">
        <f t="shared" si="48"/>
        <v>0</v>
      </c>
      <c r="DF16" s="347">
        <v>0</v>
      </c>
      <c r="DH16" s="346" t="s">
        <v>160</v>
      </c>
      <c r="DI16" s="347">
        <v>0</v>
      </c>
      <c r="DJ16" s="347">
        <v>0</v>
      </c>
      <c r="DK16" s="347">
        <v>0</v>
      </c>
      <c r="DL16" s="347">
        <f t="shared" si="49"/>
        <v>-40</v>
      </c>
      <c r="DM16" s="347">
        <v>-40</v>
      </c>
      <c r="DO16" s="346" t="s">
        <v>160</v>
      </c>
      <c r="DP16" s="347">
        <v>0</v>
      </c>
      <c r="DQ16" s="347">
        <v>0</v>
      </c>
      <c r="DR16" s="347">
        <v>0</v>
      </c>
      <c r="DS16" s="347">
        <f t="shared" si="50"/>
        <v>-50</v>
      </c>
      <c r="DT16" s="347">
        <v>-50</v>
      </c>
      <c r="DV16" s="346" t="s">
        <v>160</v>
      </c>
      <c r="DW16" s="347">
        <v>-13</v>
      </c>
      <c r="DX16" s="347">
        <f>-29-DW16</f>
        <v>-16</v>
      </c>
      <c r="DY16" s="347">
        <f>-48-DX16-DW16</f>
        <v>-19</v>
      </c>
      <c r="DZ16" s="347">
        <f t="shared" si="51"/>
        <v>-171</v>
      </c>
      <c r="EA16" s="347">
        <v>-219</v>
      </c>
      <c r="EC16" s="346" t="s">
        <v>160</v>
      </c>
      <c r="ED16" s="347">
        <v>-25</v>
      </c>
      <c r="EE16" s="347">
        <f>-55-ED16</f>
        <v>-30</v>
      </c>
      <c r="EF16" s="347">
        <f>-79-EE16-ED16</f>
        <v>-24</v>
      </c>
      <c r="EG16" s="347">
        <f t="shared" si="52"/>
        <v>-17</v>
      </c>
      <c r="EH16" s="347">
        <v>-96</v>
      </c>
      <c r="EJ16" s="346" t="s">
        <v>160</v>
      </c>
      <c r="EK16" s="347">
        <v>-19</v>
      </c>
      <c r="EL16" s="347">
        <f>-40-EK16</f>
        <v>-21</v>
      </c>
      <c r="EM16" s="347">
        <f>-67-EL16-EK16</f>
        <v>-27</v>
      </c>
      <c r="EN16" s="347">
        <f t="shared" si="53"/>
        <v>-84</v>
      </c>
      <c r="EO16" s="347">
        <v>-151</v>
      </c>
      <c r="EQ16" s="346" t="s">
        <v>160</v>
      </c>
      <c r="ER16" s="347">
        <v>0</v>
      </c>
      <c r="ES16" s="347">
        <f>-CSX!KB33</f>
        <v>0</v>
      </c>
      <c r="ET16" s="347">
        <v>0</v>
      </c>
      <c r="EU16" s="347">
        <f t="shared" si="54"/>
        <v>0</v>
      </c>
      <c r="EV16" s="347">
        <v>0</v>
      </c>
      <c r="EX16" s="346" t="s">
        <v>160</v>
      </c>
      <c r="EY16" s="347">
        <f>-CSX!KH33</f>
        <v>0</v>
      </c>
      <c r="EZ16" s="347">
        <v>0</v>
      </c>
      <c r="FA16" s="347">
        <v>0</v>
      </c>
      <c r="FB16" s="347">
        <f t="shared" si="24"/>
        <v>0</v>
      </c>
      <c r="FC16" s="347">
        <v>0</v>
      </c>
      <c r="FE16" s="346" t="s">
        <v>160</v>
      </c>
      <c r="FF16" s="347">
        <v>0</v>
      </c>
      <c r="FG16" s="347">
        <v>0</v>
      </c>
      <c r="FH16" s="347">
        <v>0</v>
      </c>
      <c r="FI16" s="347">
        <f t="shared" si="55"/>
        <v>0</v>
      </c>
      <c r="FJ16" s="347">
        <v>0</v>
      </c>
      <c r="FL16" s="346" t="s">
        <v>160</v>
      </c>
      <c r="FM16" s="347">
        <v>0</v>
      </c>
      <c r="FN16" s="347">
        <v>0</v>
      </c>
      <c r="FO16" s="347">
        <v>0</v>
      </c>
      <c r="FP16" s="347">
        <f t="shared" si="56"/>
        <v>0</v>
      </c>
      <c r="FQ16" s="347">
        <v>0</v>
      </c>
      <c r="FS16" s="346" t="s">
        <v>160</v>
      </c>
      <c r="FT16" s="347">
        <v>0</v>
      </c>
      <c r="FU16" s="354">
        <f t="shared" si="62"/>
        <v>0</v>
      </c>
      <c r="FV16" s="354">
        <f t="shared" si="63"/>
        <v>0</v>
      </c>
      <c r="FW16" s="347">
        <f t="shared" si="57"/>
        <v>0</v>
      </c>
      <c r="FX16" s="354">
        <v>0</v>
      </c>
      <c r="FZ16" s="346" t="s">
        <v>160</v>
      </c>
      <c r="GA16" s="354">
        <v>0</v>
      </c>
      <c r="GB16" s="354">
        <f t="shared" si="64"/>
        <v>0</v>
      </c>
      <c r="GC16" s="354">
        <f t="shared" si="65"/>
        <v>0</v>
      </c>
      <c r="GD16" s="354">
        <f>-Expense!LK13</f>
        <v>0</v>
      </c>
      <c r="GE16" s="354">
        <f t="shared" si="58"/>
        <v>0</v>
      </c>
      <c r="GG16" s="346" t="s">
        <v>160</v>
      </c>
      <c r="GH16" s="354">
        <f>-Expense!LO13</f>
        <v>0</v>
      </c>
      <c r="GI16" s="354">
        <f>-Expense!LP13</f>
        <v>0</v>
      </c>
      <c r="GJ16" s="354">
        <f>-Expense!LQ13</f>
        <v>0</v>
      </c>
      <c r="GK16" s="354">
        <f>-Expense!LR13</f>
        <v>0</v>
      </c>
      <c r="GL16" s="354">
        <f t="shared" si="59"/>
        <v>0</v>
      </c>
      <c r="GN16" s="346" t="s">
        <v>160</v>
      </c>
      <c r="GO16" s="354">
        <f>-Expense!LV13</f>
        <v>0</v>
      </c>
      <c r="GP16" s="354">
        <f>-Expense!LW13</f>
        <v>0</v>
      </c>
      <c r="GQ16" s="354">
        <f>-Expense!LX13</f>
        <v>0</v>
      </c>
      <c r="GR16" s="354">
        <f>-Expense!LY13</f>
        <v>0</v>
      </c>
      <c r="GS16" s="354">
        <f t="shared" si="60"/>
        <v>0</v>
      </c>
      <c r="GU16" s="346" t="s">
        <v>160</v>
      </c>
      <c r="GV16" s="354">
        <f>-Expense!MC13</f>
        <v>0</v>
      </c>
      <c r="GW16" s="354">
        <f>-Expense!MD13</f>
        <v>0</v>
      </c>
      <c r="GX16" s="354">
        <f>-Expense!ME13</f>
        <v>0</v>
      </c>
      <c r="GY16" s="354">
        <f>-Expense!MF13</f>
        <v>0</v>
      </c>
      <c r="GZ16" s="354">
        <f t="shared" si="61"/>
        <v>0</v>
      </c>
    </row>
    <row r="17" spans="1:208" outlineLevel="1" x14ac:dyDescent="0.4">
      <c r="A17" s="414"/>
      <c r="B17" s="346" t="s">
        <v>161</v>
      </c>
      <c r="C17" s="347">
        <f t="shared" si="0"/>
        <v>-141</v>
      </c>
      <c r="D17" s="347">
        <f t="shared" si="1"/>
        <v>5</v>
      </c>
      <c r="E17" s="347">
        <f t="shared" si="2"/>
        <v>-91</v>
      </c>
      <c r="F17" s="347">
        <f t="shared" si="3"/>
        <v>65</v>
      </c>
      <c r="G17" s="347">
        <f t="shared" si="4"/>
        <v>-182</v>
      </c>
      <c r="H17" s="347">
        <f t="shared" si="5"/>
        <v>31</v>
      </c>
      <c r="I17" s="347">
        <f t="shared" si="6"/>
        <v>-10</v>
      </c>
      <c r="J17" s="347">
        <f t="shared" si="7"/>
        <v>-64</v>
      </c>
      <c r="K17" s="347">
        <f t="shared" si="8"/>
        <v>-35</v>
      </c>
      <c r="L17" s="347">
        <f t="shared" si="9"/>
        <v>14</v>
      </c>
      <c r="M17" s="347">
        <f t="shared" si="10"/>
        <v>62</v>
      </c>
      <c r="N17" s="347">
        <f t="shared" si="11"/>
        <v>-20</v>
      </c>
      <c r="O17" s="347">
        <f t="shared" si="12"/>
        <v>-17</v>
      </c>
      <c r="P17" s="347">
        <f t="shared" si="13"/>
        <v>-21</v>
      </c>
      <c r="Q17" s="347">
        <f t="shared" si="14"/>
        <v>0</v>
      </c>
      <c r="R17" s="347">
        <f t="shared" si="15"/>
        <v>-32</v>
      </c>
      <c r="S17" s="347">
        <f t="shared" si="16"/>
        <v>12</v>
      </c>
      <c r="T17" s="347">
        <f t="shared" si="17"/>
        <v>-17</v>
      </c>
      <c r="U17" s="347">
        <f t="shared" si="18"/>
        <v>-5</v>
      </c>
      <c r="V17" s="354">
        <f t="shared" si="19"/>
        <v>-64</v>
      </c>
      <c r="W17" s="354">
        <f t="shared" si="20"/>
        <v>-58</v>
      </c>
      <c r="X17" s="354">
        <f t="shared" si="21"/>
        <v>0</v>
      </c>
      <c r="Y17" s="354">
        <f t="shared" si="22"/>
        <v>0</v>
      </c>
      <c r="Z17" s="354">
        <f t="shared" si="23"/>
        <v>0</v>
      </c>
      <c r="AA17" s="348"/>
      <c r="AB17" s="348"/>
      <c r="AC17" s="348"/>
      <c r="AD17" s="348"/>
      <c r="AE17" s="348"/>
      <c r="AF17" s="348"/>
      <c r="AG17" s="348"/>
      <c r="AH17" s="348"/>
      <c r="AI17" s="348"/>
      <c r="AJ17" s="348"/>
      <c r="AK17" s="348"/>
      <c r="AL17" s="348"/>
      <c r="AM17" s="348"/>
      <c r="AN17" s="348"/>
      <c r="AP17" s="346" t="s">
        <v>161</v>
      </c>
      <c r="AQ17" s="347">
        <v>-59</v>
      </c>
      <c r="AR17" s="347">
        <f>-124-AQ17</f>
        <v>-65</v>
      </c>
      <c r="AS17" s="347">
        <f>27-AR17-AQ17</f>
        <v>151</v>
      </c>
      <c r="AT17" s="347">
        <f t="shared" si="39"/>
        <v>-168</v>
      </c>
      <c r="AU17" s="347">
        <v>-141</v>
      </c>
      <c r="AW17" s="346" t="s">
        <v>161</v>
      </c>
      <c r="AX17" s="347">
        <v>50</v>
      </c>
      <c r="AY17" s="347">
        <f>-26-AX17</f>
        <v>-76</v>
      </c>
      <c r="AZ17" s="347">
        <f>-63-AY17-AX17</f>
        <v>-37</v>
      </c>
      <c r="BA17" s="347">
        <f t="shared" si="40"/>
        <v>68</v>
      </c>
      <c r="BB17" s="347">
        <v>5</v>
      </c>
      <c r="BD17" s="346" t="s">
        <v>161</v>
      </c>
      <c r="BE17" s="347">
        <f>-18+9+43</f>
        <v>34</v>
      </c>
      <c r="BF17" s="347">
        <f>43-BE17</f>
        <v>9</v>
      </c>
      <c r="BG17" s="347">
        <f>6-BF17-BE17</f>
        <v>-37</v>
      </c>
      <c r="BH17" s="347">
        <f t="shared" si="41"/>
        <v>-97</v>
      </c>
      <c r="BI17" s="347">
        <v>-91</v>
      </c>
      <c r="BK17" s="346" t="s">
        <v>161</v>
      </c>
      <c r="BL17" s="347">
        <v>-24</v>
      </c>
      <c r="BM17" s="347">
        <f>-30-BL17</f>
        <v>-6</v>
      </c>
      <c r="BN17" s="347">
        <f>-14-BM17-BL17</f>
        <v>16</v>
      </c>
      <c r="BO17" s="347">
        <f t="shared" si="42"/>
        <v>79</v>
      </c>
      <c r="BP17" s="347">
        <v>65</v>
      </c>
      <c r="BR17" s="346" t="s">
        <v>161</v>
      </c>
      <c r="BS17" s="347">
        <v>-65</v>
      </c>
      <c r="BT17" s="347">
        <f>-172-BS17</f>
        <v>-107</v>
      </c>
      <c r="BU17" s="347">
        <f>-150-BT17-BS17</f>
        <v>22</v>
      </c>
      <c r="BV17" s="347">
        <f t="shared" si="43"/>
        <v>-32</v>
      </c>
      <c r="BW17" s="347">
        <v>-182</v>
      </c>
      <c r="BY17" s="346" t="s">
        <v>161</v>
      </c>
      <c r="BZ17" s="347">
        <v>64</v>
      </c>
      <c r="CA17" s="347">
        <f>79-BZ17</f>
        <v>15</v>
      </c>
      <c r="CB17" s="347">
        <f>80-CA17-BZ17</f>
        <v>1</v>
      </c>
      <c r="CC17" s="347">
        <f t="shared" si="44"/>
        <v>-49</v>
      </c>
      <c r="CD17" s="347">
        <v>31</v>
      </c>
      <c r="CF17" s="346" t="s">
        <v>161</v>
      </c>
      <c r="CG17" s="347">
        <v>-1</v>
      </c>
      <c r="CH17" s="347">
        <f>-10-CG17</f>
        <v>-9</v>
      </c>
      <c r="CI17" s="347">
        <f>-6-CH17-CG17</f>
        <v>4</v>
      </c>
      <c r="CJ17" s="347">
        <f t="shared" si="45"/>
        <v>-4</v>
      </c>
      <c r="CK17" s="347">
        <v>-10</v>
      </c>
      <c r="CM17" s="346" t="s">
        <v>161</v>
      </c>
      <c r="CN17" s="347">
        <v>-37</v>
      </c>
      <c r="CO17" s="347">
        <f>-22-CN17</f>
        <v>15</v>
      </c>
      <c r="CP17" s="347">
        <f>-39-CO17-CN17</f>
        <v>-17</v>
      </c>
      <c r="CQ17" s="347">
        <f t="shared" si="46"/>
        <v>-25</v>
      </c>
      <c r="CR17" s="347">
        <v>-64</v>
      </c>
      <c r="CT17" s="346" t="s">
        <v>161</v>
      </c>
      <c r="CU17" s="347">
        <v>-57</v>
      </c>
      <c r="CV17" s="347">
        <f>-61-CU17</f>
        <v>-4</v>
      </c>
      <c r="CW17" s="347">
        <f>-53-CV17-CU17</f>
        <v>8</v>
      </c>
      <c r="CX17" s="347">
        <f t="shared" si="47"/>
        <v>18</v>
      </c>
      <c r="CY17" s="347">
        <v>-35</v>
      </c>
      <c r="DA17" s="346" t="s">
        <v>161</v>
      </c>
      <c r="DB17" s="347">
        <v>-9</v>
      </c>
      <c r="DC17" s="347">
        <f>-4-DB17</f>
        <v>5</v>
      </c>
      <c r="DD17" s="347">
        <f>-19-DC17-DB17</f>
        <v>-15</v>
      </c>
      <c r="DE17" s="347">
        <f t="shared" si="48"/>
        <v>33</v>
      </c>
      <c r="DF17" s="347">
        <v>14</v>
      </c>
      <c r="DH17" s="346" t="s">
        <v>161</v>
      </c>
      <c r="DI17" s="347">
        <v>26</v>
      </c>
      <c r="DJ17" s="347">
        <f>65-DI17</f>
        <v>39</v>
      </c>
      <c r="DK17" s="347">
        <f>47-DJ17-DI17</f>
        <v>-18</v>
      </c>
      <c r="DL17" s="347">
        <f t="shared" si="49"/>
        <v>15</v>
      </c>
      <c r="DM17" s="347">
        <v>62</v>
      </c>
      <c r="DO17" s="346" t="s">
        <v>161</v>
      </c>
      <c r="DP17" s="347">
        <v>-29</v>
      </c>
      <c r="DQ17" s="347">
        <f>-27-DP17</f>
        <v>2</v>
      </c>
      <c r="DR17" s="347">
        <f>-51-DQ17-DP17</f>
        <v>-24</v>
      </c>
      <c r="DS17" s="347">
        <f t="shared" si="50"/>
        <v>31</v>
      </c>
      <c r="DT17" s="347">
        <v>-20</v>
      </c>
      <c r="DV17" s="346" t="s">
        <v>161</v>
      </c>
      <c r="DW17" s="347">
        <v>17</v>
      </c>
      <c r="DX17" s="347">
        <f>18-DW17</f>
        <v>1</v>
      </c>
      <c r="DY17" s="347">
        <f>40-DX17-DW17</f>
        <v>22</v>
      </c>
      <c r="DZ17" s="347">
        <f t="shared" si="51"/>
        <v>-57</v>
      </c>
      <c r="EA17" s="347">
        <v>-17</v>
      </c>
      <c r="EC17" s="346" t="s">
        <v>161</v>
      </c>
      <c r="ED17" s="347">
        <v>6</v>
      </c>
      <c r="EE17" s="347">
        <f>-15-ED17</f>
        <v>-21</v>
      </c>
      <c r="EF17" s="347">
        <f>-13-EE17-ED17</f>
        <v>2</v>
      </c>
      <c r="EG17" s="347">
        <f t="shared" si="52"/>
        <v>-8</v>
      </c>
      <c r="EH17" s="347">
        <v>-21</v>
      </c>
      <c r="EJ17" s="346" t="s">
        <v>161</v>
      </c>
      <c r="EK17" s="347">
        <v>-14</v>
      </c>
      <c r="EL17" s="347">
        <f>-21-EK17</f>
        <v>-7</v>
      </c>
      <c r="EM17" s="347">
        <f>-14-EL17-EK17</f>
        <v>7</v>
      </c>
      <c r="EN17" s="347"/>
      <c r="EO17" s="347"/>
      <c r="EQ17" s="346" t="s">
        <v>161</v>
      </c>
      <c r="ER17" s="347">
        <v>0</v>
      </c>
      <c r="ES17" s="347">
        <v>-25</v>
      </c>
      <c r="ET17" s="347">
        <f>3-SUM(ER17:ES17)</f>
        <v>28</v>
      </c>
      <c r="EU17" s="347">
        <f t="shared" si="54"/>
        <v>-35</v>
      </c>
      <c r="EV17" s="347">
        <v>-32</v>
      </c>
      <c r="EX17" s="346" t="s">
        <v>161</v>
      </c>
      <c r="EY17" s="347">
        <v>28</v>
      </c>
      <c r="EZ17" s="347">
        <f>28-EY17</f>
        <v>0</v>
      </c>
      <c r="FA17" s="347">
        <f>10-EZ17-EY17</f>
        <v>-18</v>
      </c>
      <c r="FB17" s="347">
        <f t="shared" si="24"/>
        <v>2</v>
      </c>
      <c r="FC17" s="347">
        <v>12</v>
      </c>
      <c r="FE17" s="346" t="s">
        <v>161</v>
      </c>
      <c r="FF17" s="347">
        <v>0</v>
      </c>
      <c r="FG17" s="347">
        <f>-14-FF17</f>
        <v>-14</v>
      </c>
      <c r="FH17" s="347">
        <f>-52-FG17-FF17</f>
        <v>-38</v>
      </c>
      <c r="FI17" s="347">
        <f t="shared" si="55"/>
        <v>35</v>
      </c>
      <c r="FJ17" s="347">
        <v>-17</v>
      </c>
      <c r="FL17" s="346" t="s">
        <v>161</v>
      </c>
      <c r="FM17" s="347">
        <v>-31</v>
      </c>
      <c r="FN17" s="347">
        <f>23-FM17</f>
        <v>54</v>
      </c>
      <c r="FO17" s="347">
        <f>69-FN17-FM17</f>
        <v>46</v>
      </c>
      <c r="FP17" s="347">
        <f t="shared" si="56"/>
        <v>-74</v>
      </c>
      <c r="FQ17" s="347">
        <v>-5</v>
      </c>
      <c r="FS17" s="346" t="s">
        <v>161</v>
      </c>
      <c r="FT17" s="347">
        <v>-16</v>
      </c>
      <c r="FU17" s="354">
        <f>-10-FT17</f>
        <v>6</v>
      </c>
      <c r="FV17" s="354">
        <f>-35-FU17-FT17</f>
        <v>-25</v>
      </c>
      <c r="FW17" s="347">
        <f t="shared" si="57"/>
        <v>-29</v>
      </c>
      <c r="FX17" s="354">
        <v>-64</v>
      </c>
      <c r="FZ17" s="346" t="s">
        <v>161</v>
      </c>
      <c r="GA17" s="354">
        <v>-4</v>
      </c>
      <c r="GB17" s="354">
        <f>-50-GA17</f>
        <v>-46</v>
      </c>
      <c r="GC17" s="354">
        <f>-58-GB17-GA17</f>
        <v>-8</v>
      </c>
      <c r="GD17" s="354">
        <v>0</v>
      </c>
      <c r="GE17" s="354">
        <f t="shared" si="58"/>
        <v>-58</v>
      </c>
      <c r="GG17" s="346" t="s">
        <v>161</v>
      </c>
      <c r="GH17" s="354">
        <v>0</v>
      </c>
      <c r="GI17" s="354">
        <v>0</v>
      </c>
      <c r="GJ17" s="354">
        <v>0</v>
      </c>
      <c r="GK17" s="354">
        <v>0</v>
      </c>
      <c r="GL17" s="354">
        <f t="shared" si="59"/>
        <v>0</v>
      </c>
      <c r="GN17" s="346" t="s">
        <v>161</v>
      </c>
      <c r="GO17" s="354">
        <v>0</v>
      </c>
      <c r="GP17" s="354">
        <v>0</v>
      </c>
      <c r="GQ17" s="354">
        <v>0</v>
      </c>
      <c r="GR17" s="354">
        <v>0</v>
      </c>
      <c r="GS17" s="354">
        <f t="shared" si="60"/>
        <v>0</v>
      </c>
      <c r="GU17" s="346" t="s">
        <v>161</v>
      </c>
      <c r="GV17" s="354">
        <v>0</v>
      </c>
      <c r="GW17" s="354">
        <v>0</v>
      </c>
      <c r="GX17" s="354">
        <v>0</v>
      </c>
      <c r="GY17" s="354">
        <v>0</v>
      </c>
      <c r="GZ17" s="354">
        <f t="shared" si="61"/>
        <v>0</v>
      </c>
    </row>
    <row r="18" spans="1:208" outlineLevel="1" x14ac:dyDescent="0.4">
      <c r="A18" s="414"/>
      <c r="B18" s="346" t="s">
        <v>162</v>
      </c>
      <c r="C18" s="347">
        <f t="shared" si="0"/>
        <v>0</v>
      </c>
      <c r="D18" s="347">
        <f t="shared" si="1"/>
        <v>0</v>
      </c>
      <c r="E18" s="347">
        <f t="shared" si="2"/>
        <v>0</v>
      </c>
      <c r="F18" s="347">
        <f t="shared" si="3"/>
        <v>0</v>
      </c>
      <c r="G18" s="347">
        <f t="shared" si="4"/>
        <v>0</v>
      </c>
      <c r="H18" s="347">
        <f t="shared" si="5"/>
        <v>21</v>
      </c>
      <c r="I18" s="347">
        <f t="shared" si="6"/>
        <v>-25</v>
      </c>
      <c r="J18" s="347">
        <f t="shared" si="7"/>
        <v>-166</v>
      </c>
      <c r="K18" s="347">
        <f t="shared" si="8"/>
        <v>-70</v>
      </c>
      <c r="L18" s="347">
        <f t="shared" si="9"/>
        <v>-11</v>
      </c>
      <c r="M18" s="347">
        <f t="shared" si="10"/>
        <v>-90</v>
      </c>
      <c r="N18" s="347">
        <f t="shared" si="11"/>
        <v>-128</v>
      </c>
      <c r="O18" s="347">
        <f t="shared" si="12"/>
        <v>-18</v>
      </c>
      <c r="P18" s="347">
        <f t="shared" si="13"/>
        <v>-154</v>
      </c>
      <c r="Q18" s="347">
        <f t="shared" si="14"/>
        <v>-91</v>
      </c>
      <c r="R18" s="347">
        <f t="shared" si="15"/>
        <v>-35</v>
      </c>
      <c r="S18" s="347">
        <f t="shared" si="16"/>
        <v>-454</v>
      </c>
      <c r="T18" s="347">
        <f t="shared" si="17"/>
        <v>-238</v>
      </c>
      <c r="U18" s="347">
        <f t="shared" si="18"/>
        <v>-34</v>
      </c>
      <c r="V18" s="354">
        <f t="shared" si="19"/>
        <v>-11</v>
      </c>
      <c r="W18" s="354">
        <f t="shared" si="20"/>
        <v>0</v>
      </c>
      <c r="X18" s="354">
        <f t="shared" si="21"/>
        <v>0</v>
      </c>
      <c r="Y18" s="354">
        <f t="shared" si="22"/>
        <v>0</v>
      </c>
      <c r="Z18" s="354">
        <f t="shared" si="23"/>
        <v>0</v>
      </c>
      <c r="AA18" s="348"/>
      <c r="AB18" s="348"/>
      <c r="AC18" s="348"/>
      <c r="AD18" s="348"/>
      <c r="AE18" s="348"/>
      <c r="AF18" s="348"/>
      <c r="AG18" s="348"/>
      <c r="AH18" s="348"/>
      <c r="AI18" s="348"/>
      <c r="AJ18" s="348"/>
      <c r="AK18" s="348"/>
      <c r="AL18" s="348"/>
      <c r="AM18" s="348"/>
      <c r="AN18" s="348"/>
      <c r="AP18" s="346" t="s">
        <v>162</v>
      </c>
      <c r="AQ18" s="347">
        <v>0</v>
      </c>
      <c r="AR18" s="347">
        <v>0</v>
      </c>
      <c r="AS18" s="347">
        <v>0</v>
      </c>
      <c r="AT18" s="347">
        <f t="shared" si="39"/>
        <v>0</v>
      </c>
      <c r="AU18" s="347">
        <v>0</v>
      </c>
      <c r="AW18" s="346" t="s">
        <v>162</v>
      </c>
      <c r="AX18" s="347">
        <v>0</v>
      </c>
      <c r="AY18" s="347">
        <v>0</v>
      </c>
      <c r="AZ18" s="347">
        <v>0</v>
      </c>
      <c r="BA18" s="347">
        <f t="shared" si="40"/>
        <v>0</v>
      </c>
      <c r="BB18" s="347">
        <v>0</v>
      </c>
      <c r="BD18" s="346" t="s">
        <v>162</v>
      </c>
      <c r="BE18" s="347">
        <v>0</v>
      </c>
      <c r="BF18" s="347">
        <v>0</v>
      </c>
      <c r="BG18" s="347">
        <v>0</v>
      </c>
      <c r="BH18" s="347">
        <f t="shared" si="41"/>
        <v>0</v>
      </c>
      <c r="BI18" s="347">
        <v>0</v>
      </c>
      <c r="BK18" s="346" t="s">
        <v>162</v>
      </c>
      <c r="BL18" s="347">
        <v>0</v>
      </c>
      <c r="BM18" s="347">
        <v>0</v>
      </c>
      <c r="BN18" s="347">
        <v>0</v>
      </c>
      <c r="BO18" s="347">
        <f t="shared" si="42"/>
        <v>0</v>
      </c>
      <c r="BP18" s="347">
        <v>0</v>
      </c>
      <c r="BR18" s="346" t="s">
        <v>162</v>
      </c>
      <c r="BS18" s="347">
        <v>0</v>
      </c>
      <c r="BT18" s="347">
        <v>0</v>
      </c>
      <c r="BU18" s="347">
        <v>0</v>
      </c>
      <c r="BV18" s="347">
        <f t="shared" si="43"/>
        <v>0</v>
      </c>
      <c r="BW18" s="347">
        <v>0</v>
      </c>
      <c r="BY18" s="346" t="s">
        <v>162</v>
      </c>
      <c r="BZ18" s="347">
        <v>0</v>
      </c>
      <c r="CA18" s="347">
        <v>0</v>
      </c>
      <c r="CB18" s="347">
        <v>0</v>
      </c>
      <c r="CC18" s="347">
        <f t="shared" si="44"/>
        <v>21</v>
      </c>
      <c r="CD18" s="347">
        <v>21</v>
      </c>
      <c r="CF18" s="346" t="s">
        <v>162</v>
      </c>
      <c r="CG18" s="347">
        <v>0</v>
      </c>
      <c r="CH18" s="347">
        <v>0</v>
      </c>
      <c r="CI18" s="347">
        <v>0</v>
      </c>
      <c r="CJ18" s="347">
        <f t="shared" si="45"/>
        <v>-25</v>
      </c>
      <c r="CK18" s="347">
        <v>-25</v>
      </c>
      <c r="CM18" s="346" t="s">
        <v>162</v>
      </c>
      <c r="CN18" s="347">
        <v>-19</v>
      </c>
      <c r="CO18" s="347">
        <f>-39-CN18</f>
        <v>-20</v>
      </c>
      <c r="CP18" s="347">
        <f>-72-CO18-CN18</f>
        <v>-33</v>
      </c>
      <c r="CQ18" s="347">
        <f t="shared" si="46"/>
        <v>-94</v>
      </c>
      <c r="CR18" s="347">
        <v>-166</v>
      </c>
      <c r="CT18" s="346" t="s">
        <v>162</v>
      </c>
      <c r="CU18" s="347">
        <v>-30</v>
      </c>
      <c r="CV18" s="347">
        <f>-67-CU18</f>
        <v>-37</v>
      </c>
      <c r="CW18" s="347">
        <f>-68-CV18-CU18</f>
        <v>-1</v>
      </c>
      <c r="CX18" s="347">
        <f t="shared" si="47"/>
        <v>-2</v>
      </c>
      <c r="CY18" s="347">
        <v>-70</v>
      </c>
      <c r="DA18" s="346" t="s">
        <v>162</v>
      </c>
      <c r="DB18" s="347">
        <v>-1</v>
      </c>
      <c r="DC18" s="347">
        <f>1-DB18</f>
        <v>2</v>
      </c>
      <c r="DD18" s="347">
        <f>-5-DC18-DB18</f>
        <v>-6</v>
      </c>
      <c r="DE18" s="347">
        <f t="shared" si="48"/>
        <v>-6</v>
      </c>
      <c r="DF18" s="347">
        <v>-11</v>
      </c>
      <c r="DH18" s="346" t="s">
        <v>162</v>
      </c>
      <c r="DI18" s="347">
        <v>0</v>
      </c>
      <c r="DJ18" s="347">
        <f>-19-DI18</f>
        <v>-19</v>
      </c>
      <c r="DK18" s="347">
        <f>-20-DJ18-DI18</f>
        <v>-1</v>
      </c>
      <c r="DL18" s="347">
        <f t="shared" si="49"/>
        <v>-70</v>
      </c>
      <c r="DM18" s="347">
        <v>-90</v>
      </c>
      <c r="DO18" s="346" t="s">
        <v>162</v>
      </c>
      <c r="DP18" s="347">
        <v>0</v>
      </c>
      <c r="DQ18" s="347">
        <v>0</v>
      </c>
      <c r="DR18" s="347">
        <v>0</v>
      </c>
      <c r="DS18" s="347">
        <f t="shared" si="50"/>
        <v>-128</v>
      </c>
      <c r="DT18" s="347">
        <v>-128</v>
      </c>
      <c r="DV18" s="346" t="s">
        <v>162</v>
      </c>
      <c r="DW18" s="347">
        <v>-2</v>
      </c>
      <c r="DX18" s="347">
        <f>-4-DW18</f>
        <v>-2</v>
      </c>
      <c r="DY18" s="347">
        <f>-5-DX18-DW18</f>
        <v>-1</v>
      </c>
      <c r="DZ18" s="347">
        <f t="shared" si="51"/>
        <v>-13</v>
      </c>
      <c r="EA18" s="347">
        <v>-18</v>
      </c>
      <c r="EC18" s="346" t="s">
        <v>162</v>
      </c>
      <c r="ED18" s="347">
        <v>-32</v>
      </c>
      <c r="EE18" s="347">
        <f>-69-ED18</f>
        <v>-37</v>
      </c>
      <c r="EF18" s="347">
        <f>-122-EE18-ED18</f>
        <v>-53</v>
      </c>
      <c r="EG18" s="347">
        <f t="shared" si="52"/>
        <v>-32</v>
      </c>
      <c r="EH18" s="347">
        <v>-154</v>
      </c>
      <c r="EJ18" s="346" t="s">
        <v>162</v>
      </c>
      <c r="EK18" s="347">
        <v>-27</v>
      </c>
      <c r="EL18" s="347">
        <f>-64-EK18</f>
        <v>-37</v>
      </c>
      <c r="EM18" s="347">
        <f>-129-EL18-EK18</f>
        <v>-65</v>
      </c>
      <c r="EN18" s="347">
        <f t="shared" si="53"/>
        <v>38</v>
      </c>
      <c r="EO18" s="347">
        <v>-91</v>
      </c>
      <c r="EQ18" s="346" t="s">
        <v>162</v>
      </c>
      <c r="ER18" s="347">
        <v>-18</v>
      </c>
      <c r="ES18" s="347">
        <f>-29-ER18</f>
        <v>-11</v>
      </c>
      <c r="ET18" s="347">
        <f>-33-SUM(ER18:ES18)</f>
        <v>-4</v>
      </c>
      <c r="EU18" s="347">
        <f t="shared" si="54"/>
        <v>-2</v>
      </c>
      <c r="EV18" s="347">
        <v>-35</v>
      </c>
      <c r="EX18" s="346" t="s">
        <v>162</v>
      </c>
      <c r="EY18" s="347">
        <v>-3</v>
      </c>
      <c r="EZ18" s="347">
        <f>-370-EY18</f>
        <v>-367</v>
      </c>
      <c r="FA18" s="347">
        <f>-430-EZ18-EY18</f>
        <v>-60</v>
      </c>
      <c r="FB18" s="347">
        <f t="shared" si="24"/>
        <v>-24</v>
      </c>
      <c r="FC18" s="347">
        <v>-454</v>
      </c>
      <c r="FE18" s="346" t="s">
        <v>162</v>
      </c>
      <c r="FF18" s="347">
        <v>-27</v>
      </c>
      <c r="FG18" s="347">
        <f>-156-FF18</f>
        <v>-129</v>
      </c>
      <c r="FH18" s="347">
        <f>-183-FG18-FF18</f>
        <v>-27</v>
      </c>
      <c r="FI18" s="347">
        <f t="shared" si="55"/>
        <v>-55</v>
      </c>
      <c r="FJ18" s="347">
        <v>-238</v>
      </c>
      <c r="FL18" s="346" t="s">
        <v>162</v>
      </c>
      <c r="FM18" s="347">
        <v>-8</v>
      </c>
      <c r="FN18" s="347">
        <f>-20-FM18</f>
        <v>-12</v>
      </c>
      <c r="FO18" s="347">
        <f>-26-FN18-FM18</f>
        <v>-6</v>
      </c>
      <c r="FP18" s="347">
        <f t="shared" si="56"/>
        <v>-8</v>
      </c>
      <c r="FQ18" s="347">
        <v>-34</v>
      </c>
      <c r="FS18" s="346" t="s">
        <v>162</v>
      </c>
      <c r="FT18" s="347">
        <v>-1</v>
      </c>
      <c r="FU18" s="354">
        <f>-9-FT18</f>
        <v>-8</v>
      </c>
      <c r="FV18" s="354">
        <f>-8-FU18-FT18</f>
        <v>1</v>
      </c>
      <c r="FW18" s="347">
        <f t="shared" si="57"/>
        <v>-3</v>
      </c>
      <c r="FX18" s="354">
        <v>-11</v>
      </c>
      <c r="FZ18" s="346" t="s">
        <v>162</v>
      </c>
      <c r="GA18" s="354">
        <v>0</v>
      </c>
      <c r="GB18" s="354">
        <f t="shared" si="64"/>
        <v>0</v>
      </c>
      <c r="GC18" s="354">
        <f t="shared" ref="GC18:GC21" si="66">0-GB18-GA18</f>
        <v>0</v>
      </c>
      <c r="GD18" s="354">
        <v>0</v>
      </c>
      <c r="GE18" s="354">
        <f t="shared" si="58"/>
        <v>0</v>
      </c>
      <c r="GG18" s="346" t="s">
        <v>162</v>
      </c>
      <c r="GH18" s="354">
        <v>0</v>
      </c>
      <c r="GI18" s="354">
        <v>0</v>
      </c>
      <c r="GJ18" s="354">
        <v>0</v>
      </c>
      <c r="GK18" s="354">
        <v>0</v>
      </c>
      <c r="GL18" s="354">
        <f t="shared" si="59"/>
        <v>0</v>
      </c>
      <c r="GN18" s="346" t="s">
        <v>162</v>
      </c>
      <c r="GO18" s="354">
        <v>0</v>
      </c>
      <c r="GP18" s="354">
        <v>0</v>
      </c>
      <c r="GQ18" s="354">
        <v>0</v>
      </c>
      <c r="GR18" s="354">
        <v>0</v>
      </c>
      <c r="GS18" s="354">
        <f t="shared" si="60"/>
        <v>0</v>
      </c>
      <c r="GU18" s="346" t="s">
        <v>162</v>
      </c>
      <c r="GV18" s="354">
        <v>0</v>
      </c>
      <c r="GW18" s="354">
        <v>0</v>
      </c>
      <c r="GX18" s="354">
        <v>0</v>
      </c>
      <c r="GY18" s="354">
        <v>0</v>
      </c>
      <c r="GZ18" s="354">
        <f t="shared" si="61"/>
        <v>0</v>
      </c>
    </row>
    <row r="19" spans="1:208" outlineLevel="1" x14ac:dyDescent="0.4">
      <c r="A19" s="414"/>
      <c r="B19" s="346" t="s">
        <v>163</v>
      </c>
      <c r="C19" s="347">
        <f t="shared" si="0"/>
        <v>0</v>
      </c>
      <c r="D19" s="347">
        <f t="shared" si="1"/>
        <v>0</v>
      </c>
      <c r="E19" s="347">
        <f t="shared" si="2"/>
        <v>-266</v>
      </c>
      <c r="F19" s="347">
        <f t="shared" si="3"/>
        <v>-102</v>
      </c>
      <c r="G19" s="347">
        <f t="shared" si="4"/>
        <v>-250</v>
      </c>
      <c r="H19" s="347">
        <f t="shared" si="5"/>
        <v>0</v>
      </c>
      <c r="I19" s="347">
        <f t="shared" si="6"/>
        <v>0</v>
      </c>
      <c r="J19" s="347">
        <f t="shared" si="7"/>
        <v>-275</v>
      </c>
      <c r="K19" s="347">
        <f t="shared" si="8"/>
        <v>0</v>
      </c>
      <c r="L19" s="347">
        <f t="shared" si="9"/>
        <v>0</v>
      </c>
      <c r="M19" s="347">
        <f t="shared" si="10"/>
        <v>0</v>
      </c>
      <c r="N19" s="347">
        <f t="shared" si="11"/>
        <v>-250</v>
      </c>
      <c r="O19" s="347">
        <f t="shared" si="12"/>
        <v>0</v>
      </c>
      <c r="P19" s="347">
        <f t="shared" si="13"/>
        <v>0</v>
      </c>
      <c r="Q19" s="347">
        <f t="shared" si="14"/>
        <v>0</v>
      </c>
      <c r="R19" s="347">
        <f t="shared" si="15"/>
        <v>0</v>
      </c>
      <c r="S19" s="347">
        <f t="shared" si="16"/>
        <v>0</v>
      </c>
      <c r="T19" s="347">
        <f t="shared" si="17"/>
        <v>0</v>
      </c>
      <c r="U19" s="347">
        <f t="shared" si="18"/>
        <v>0</v>
      </c>
      <c r="V19" s="354">
        <f t="shared" si="19"/>
        <v>0</v>
      </c>
      <c r="W19" s="354">
        <f t="shared" si="20"/>
        <v>0</v>
      </c>
      <c r="X19" s="354">
        <f t="shared" si="21"/>
        <v>0</v>
      </c>
      <c r="Y19" s="354">
        <f t="shared" si="22"/>
        <v>0</v>
      </c>
      <c r="Z19" s="354">
        <f t="shared" si="23"/>
        <v>0</v>
      </c>
      <c r="AA19" s="348"/>
      <c r="AB19" s="348"/>
      <c r="AC19" s="348"/>
      <c r="AD19" s="348"/>
      <c r="AE19" s="348"/>
      <c r="AF19" s="348"/>
      <c r="AG19" s="348"/>
      <c r="AH19" s="348"/>
      <c r="AI19" s="348"/>
      <c r="AJ19" s="348"/>
      <c r="AK19" s="348"/>
      <c r="AL19" s="348"/>
      <c r="AM19" s="348"/>
      <c r="AN19" s="348"/>
      <c r="AP19" s="346" t="s">
        <v>163</v>
      </c>
      <c r="AQ19" s="347">
        <v>0</v>
      </c>
      <c r="AR19" s="347">
        <v>0</v>
      </c>
      <c r="AS19" s="347">
        <v>0</v>
      </c>
      <c r="AT19" s="347">
        <f t="shared" si="39"/>
        <v>0</v>
      </c>
      <c r="AU19" s="347">
        <v>0</v>
      </c>
      <c r="AW19" s="346" t="s">
        <v>163</v>
      </c>
      <c r="AX19" s="347">
        <v>0</v>
      </c>
      <c r="AY19" s="347">
        <v>0</v>
      </c>
      <c r="AZ19" s="347">
        <v>0</v>
      </c>
      <c r="BA19" s="347">
        <f t="shared" si="40"/>
        <v>0</v>
      </c>
      <c r="BB19" s="347">
        <v>0</v>
      </c>
      <c r="BD19" s="346" t="s">
        <v>163</v>
      </c>
      <c r="BE19" s="347">
        <v>0</v>
      </c>
      <c r="BF19" s="347">
        <v>0</v>
      </c>
      <c r="BG19" s="347">
        <v>0</v>
      </c>
      <c r="BH19" s="347">
        <f t="shared" si="41"/>
        <v>-266</v>
      </c>
      <c r="BI19" s="347">
        <v>-266</v>
      </c>
      <c r="BK19" s="346" t="s">
        <v>163</v>
      </c>
      <c r="BL19" s="347">
        <v>0</v>
      </c>
      <c r="BM19" s="347">
        <v>0</v>
      </c>
      <c r="BN19" s="347">
        <f>-50-BM19-BL19</f>
        <v>-50</v>
      </c>
      <c r="BO19" s="347">
        <f t="shared" si="42"/>
        <v>-52</v>
      </c>
      <c r="BP19" s="347">
        <v>-102</v>
      </c>
      <c r="BR19" s="346" t="s">
        <v>163</v>
      </c>
      <c r="BS19" s="347">
        <v>0</v>
      </c>
      <c r="BT19" s="347">
        <v>0</v>
      </c>
      <c r="BU19" s="347">
        <f>-166-BT19-BS19</f>
        <v>-166</v>
      </c>
      <c r="BV19" s="347">
        <f t="shared" si="43"/>
        <v>-84</v>
      </c>
      <c r="BW19" s="347">
        <v>-250</v>
      </c>
      <c r="BY19" s="346" t="s">
        <v>163</v>
      </c>
      <c r="BZ19" s="347">
        <v>0</v>
      </c>
      <c r="CA19" s="347">
        <v>0</v>
      </c>
      <c r="CB19" s="347">
        <v>0</v>
      </c>
      <c r="CC19" s="347">
        <f t="shared" si="44"/>
        <v>0</v>
      </c>
      <c r="CD19" s="347">
        <v>0</v>
      </c>
      <c r="CF19" s="346" t="s">
        <v>163</v>
      </c>
      <c r="CG19" s="347">
        <v>0</v>
      </c>
      <c r="CH19" s="347">
        <v>0</v>
      </c>
      <c r="CI19" s="347">
        <v>0</v>
      </c>
      <c r="CJ19" s="347">
        <f t="shared" si="45"/>
        <v>0</v>
      </c>
      <c r="CK19" s="347">
        <v>0</v>
      </c>
      <c r="CM19" s="346" t="s">
        <v>163</v>
      </c>
      <c r="CN19" s="347">
        <v>-275</v>
      </c>
      <c r="CO19" s="347">
        <f>-275-CN19</f>
        <v>0</v>
      </c>
      <c r="CP19" s="347">
        <f>-275-CO19-CN19</f>
        <v>0</v>
      </c>
      <c r="CQ19" s="347">
        <f t="shared" si="46"/>
        <v>0</v>
      </c>
      <c r="CR19" s="347">
        <v>-275</v>
      </c>
      <c r="CT19" s="346" t="s">
        <v>163</v>
      </c>
      <c r="CU19" s="347">
        <v>0</v>
      </c>
      <c r="CV19" s="347">
        <v>0</v>
      </c>
      <c r="CW19" s="347">
        <v>0</v>
      </c>
      <c r="CX19" s="347">
        <f t="shared" si="47"/>
        <v>0</v>
      </c>
      <c r="CY19" s="347">
        <v>0</v>
      </c>
      <c r="DA19" s="346" t="s">
        <v>163</v>
      </c>
      <c r="DB19" s="347">
        <v>0</v>
      </c>
      <c r="DC19" s="347">
        <v>0</v>
      </c>
      <c r="DD19" s="347">
        <v>0</v>
      </c>
      <c r="DE19" s="347">
        <f t="shared" si="48"/>
        <v>0</v>
      </c>
      <c r="DF19" s="347">
        <v>0</v>
      </c>
      <c r="DH19" s="346" t="s">
        <v>163</v>
      </c>
      <c r="DI19" s="347">
        <v>0</v>
      </c>
      <c r="DJ19" s="347">
        <v>0</v>
      </c>
      <c r="DK19" s="347">
        <v>0</v>
      </c>
      <c r="DL19" s="347">
        <f t="shared" si="49"/>
        <v>0</v>
      </c>
      <c r="DM19" s="347">
        <v>0</v>
      </c>
      <c r="DO19" s="346" t="s">
        <v>163</v>
      </c>
      <c r="DP19" s="347">
        <v>0</v>
      </c>
      <c r="DQ19" s="347">
        <v>0</v>
      </c>
      <c r="DR19" s="347">
        <v>0</v>
      </c>
      <c r="DS19" s="347">
        <f t="shared" si="50"/>
        <v>-250</v>
      </c>
      <c r="DT19" s="347">
        <v>-250</v>
      </c>
      <c r="DV19" s="346" t="s">
        <v>163</v>
      </c>
      <c r="DW19" s="347">
        <v>0</v>
      </c>
      <c r="DX19" s="347">
        <v>0</v>
      </c>
      <c r="DY19" s="347">
        <v>0</v>
      </c>
      <c r="DZ19" s="347">
        <f t="shared" si="51"/>
        <v>0</v>
      </c>
      <c r="EA19" s="347">
        <v>0</v>
      </c>
      <c r="EC19" s="346" t="s">
        <v>163</v>
      </c>
      <c r="ED19" s="347">
        <v>0</v>
      </c>
      <c r="EE19" s="347">
        <v>0</v>
      </c>
      <c r="EF19" s="347">
        <v>0</v>
      </c>
      <c r="EG19" s="347">
        <f t="shared" si="52"/>
        <v>0</v>
      </c>
      <c r="EH19" s="347">
        <v>0</v>
      </c>
      <c r="EJ19" s="346" t="s">
        <v>163</v>
      </c>
      <c r="EK19" s="347">
        <v>0</v>
      </c>
      <c r="EL19" s="347">
        <v>0</v>
      </c>
      <c r="EM19" s="347">
        <v>0</v>
      </c>
      <c r="EN19" s="347">
        <f t="shared" si="53"/>
        <v>0</v>
      </c>
      <c r="EO19" s="347">
        <v>0</v>
      </c>
      <c r="EQ19" s="346" t="s">
        <v>163</v>
      </c>
      <c r="ER19" s="347">
        <v>0</v>
      </c>
      <c r="ES19" s="347">
        <v>0</v>
      </c>
      <c r="ET19" s="347">
        <v>0</v>
      </c>
      <c r="EU19" s="347">
        <f t="shared" si="54"/>
        <v>0</v>
      </c>
      <c r="EV19" s="347">
        <v>0</v>
      </c>
      <c r="EX19" s="346" t="s">
        <v>163</v>
      </c>
      <c r="EY19" s="347">
        <v>0</v>
      </c>
      <c r="EZ19" s="347">
        <v>0</v>
      </c>
      <c r="FA19" s="347">
        <v>0</v>
      </c>
      <c r="FB19" s="347">
        <f t="shared" si="24"/>
        <v>0</v>
      </c>
      <c r="FC19" s="347">
        <v>0</v>
      </c>
      <c r="FE19" s="346" t="s">
        <v>163</v>
      </c>
      <c r="FF19" s="347">
        <v>0</v>
      </c>
      <c r="FG19" s="347">
        <v>0</v>
      </c>
      <c r="FH19" s="347">
        <v>0</v>
      </c>
      <c r="FI19" s="347">
        <f t="shared" si="55"/>
        <v>0</v>
      </c>
      <c r="FJ19" s="347">
        <v>0</v>
      </c>
      <c r="FL19" s="346" t="s">
        <v>163</v>
      </c>
      <c r="FM19" s="347">
        <v>0</v>
      </c>
      <c r="FN19" s="347">
        <v>0</v>
      </c>
      <c r="FO19" s="347">
        <v>0</v>
      </c>
      <c r="FP19" s="347">
        <f t="shared" si="56"/>
        <v>0</v>
      </c>
      <c r="FQ19" s="347">
        <v>0</v>
      </c>
      <c r="FS19" s="346" t="s">
        <v>163</v>
      </c>
      <c r="FT19" s="347">
        <v>0</v>
      </c>
      <c r="FU19" s="354">
        <f t="shared" si="62"/>
        <v>0</v>
      </c>
      <c r="FV19" s="354">
        <f t="shared" si="63"/>
        <v>0</v>
      </c>
      <c r="FW19" s="347">
        <f t="shared" si="57"/>
        <v>0</v>
      </c>
      <c r="FX19" s="354">
        <v>0</v>
      </c>
      <c r="FZ19" s="346" t="s">
        <v>163</v>
      </c>
      <c r="GA19" s="354">
        <v>0</v>
      </c>
      <c r="GB19" s="354">
        <f t="shared" si="64"/>
        <v>0</v>
      </c>
      <c r="GC19" s="354">
        <f t="shared" si="66"/>
        <v>0</v>
      </c>
      <c r="GD19" s="354">
        <v>0</v>
      </c>
      <c r="GE19" s="354">
        <f t="shared" si="58"/>
        <v>0</v>
      </c>
      <c r="GG19" s="346" t="s">
        <v>163</v>
      </c>
      <c r="GH19" s="354">
        <v>0</v>
      </c>
      <c r="GI19" s="354">
        <v>0</v>
      </c>
      <c r="GJ19" s="354">
        <v>0</v>
      </c>
      <c r="GK19" s="354">
        <v>0</v>
      </c>
      <c r="GL19" s="354">
        <f t="shared" si="59"/>
        <v>0</v>
      </c>
      <c r="GN19" s="346" t="s">
        <v>163</v>
      </c>
      <c r="GO19" s="354">
        <v>0</v>
      </c>
      <c r="GP19" s="354">
        <v>0</v>
      </c>
      <c r="GQ19" s="354">
        <v>0</v>
      </c>
      <c r="GR19" s="354">
        <v>0</v>
      </c>
      <c r="GS19" s="354">
        <f t="shared" si="60"/>
        <v>0</v>
      </c>
      <c r="GU19" s="346" t="s">
        <v>163</v>
      </c>
      <c r="GV19" s="354">
        <v>0</v>
      </c>
      <c r="GW19" s="354">
        <v>0</v>
      </c>
      <c r="GX19" s="354">
        <v>0</v>
      </c>
      <c r="GY19" s="354">
        <v>0</v>
      </c>
      <c r="GZ19" s="354">
        <f t="shared" si="61"/>
        <v>0</v>
      </c>
    </row>
    <row r="20" spans="1:208" outlineLevel="1" x14ac:dyDescent="0.4">
      <c r="A20" s="414"/>
      <c r="B20" s="346" t="s">
        <v>164</v>
      </c>
      <c r="C20" s="347">
        <f t="shared" si="0"/>
        <v>0</v>
      </c>
      <c r="D20" s="347">
        <f t="shared" si="1"/>
        <v>0</v>
      </c>
      <c r="E20" s="347">
        <f t="shared" si="2"/>
        <v>0</v>
      </c>
      <c r="F20" s="347">
        <f t="shared" si="3"/>
        <v>0</v>
      </c>
      <c r="G20" s="347">
        <f t="shared" si="4"/>
        <v>0</v>
      </c>
      <c r="H20" s="347">
        <f t="shared" si="5"/>
        <v>0</v>
      </c>
      <c r="I20" s="347">
        <f t="shared" si="6"/>
        <v>0</v>
      </c>
      <c r="J20" s="347">
        <f t="shared" si="7"/>
        <v>0</v>
      </c>
      <c r="K20" s="347">
        <f t="shared" si="8"/>
        <v>0</v>
      </c>
      <c r="L20" s="347">
        <f t="shared" si="9"/>
        <v>0</v>
      </c>
      <c r="M20" s="347">
        <f t="shared" si="10"/>
        <v>0</v>
      </c>
      <c r="N20" s="347">
        <f t="shared" si="11"/>
        <v>0</v>
      </c>
      <c r="O20" s="347">
        <f t="shared" si="12"/>
        <v>138</v>
      </c>
      <c r="P20" s="347">
        <f t="shared" si="13"/>
        <v>-15</v>
      </c>
      <c r="Q20" s="347">
        <f t="shared" si="14"/>
        <v>0</v>
      </c>
      <c r="R20" s="347">
        <f t="shared" si="15"/>
        <v>0</v>
      </c>
      <c r="S20" s="347">
        <f t="shared" si="16"/>
        <v>0</v>
      </c>
      <c r="T20" s="347">
        <f t="shared" si="17"/>
        <v>0</v>
      </c>
      <c r="U20" s="347">
        <f t="shared" si="18"/>
        <v>0</v>
      </c>
      <c r="V20" s="354">
        <f t="shared" si="19"/>
        <v>108</v>
      </c>
      <c r="W20" s="354">
        <f t="shared" si="20"/>
        <v>0</v>
      </c>
      <c r="X20" s="354">
        <f t="shared" si="21"/>
        <v>0</v>
      </c>
      <c r="Y20" s="354">
        <f t="shared" si="22"/>
        <v>0</v>
      </c>
      <c r="Z20" s="354">
        <f t="shared" si="23"/>
        <v>0</v>
      </c>
      <c r="AA20" s="348"/>
      <c r="AB20" s="348"/>
      <c r="AC20" s="348"/>
      <c r="AD20" s="348"/>
      <c r="AE20" s="348"/>
      <c r="AF20" s="348"/>
      <c r="AG20" s="348"/>
      <c r="AH20" s="348"/>
      <c r="AI20" s="348"/>
      <c r="AJ20" s="348"/>
      <c r="AK20" s="348"/>
      <c r="AL20" s="348"/>
      <c r="AM20" s="348"/>
      <c r="AN20" s="348"/>
      <c r="AP20" s="346" t="s">
        <v>164</v>
      </c>
      <c r="AQ20" s="347">
        <v>0</v>
      </c>
      <c r="AR20" s="347">
        <v>0</v>
      </c>
      <c r="AS20" s="347">
        <v>0</v>
      </c>
      <c r="AT20" s="347">
        <f t="shared" si="39"/>
        <v>0</v>
      </c>
      <c r="AU20" s="347">
        <v>0</v>
      </c>
      <c r="AW20" s="346" t="s">
        <v>164</v>
      </c>
      <c r="AX20" s="347">
        <v>0</v>
      </c>
      <c r="AY20" s="347">
        <v>0</v>
      </c>
      <c r="AZ20" s="347">
        <v>0</v>
      </c>
      <c r="BA20" s="347">
        <f t="shared" si="40"/>
        <v>0</v>
      </c>
      <c r="BB20" s="347">
        <v>0</v>
      </c>
      <c r="BD20" s="346" t="s">
        <v>164</v>
      </c>
      <c r="BE20" s="347">
        <v>0</v>
      </c>
      <c r="BF20" s="347">
        <v>0</v>
      </c>
      <c r="BG20" s="347">
        <v>0</v>
      </c>
      <c r="BH20" s="347">
        <f t="shared" si="41"/>
        <v>0</v>
      </c>
      <c r="BI20" s="347">
        <v>0</v>
      </c>
      <c r="BK20" s="346" t="s">
        <v>164</v>
      </c>
      <c r="BL20" s="347">
        <v>0</v>
      </c>
      <c r="BM20" s="347">
        <v>0</v>
      </c>
      <c r="BN20" s="347">
        <v>0</v>
      </c>
      <c r="BO20" s="347">
        <f t="shared" si="42"/>
        <v>0</v>
      </c>
      <c r="BP20" s="347">
        <v>0</v>
      </c>
      <c r="BR20" s="346" t="s">
        <v>164</v>
      </c>
      <c r="BS20" s="347">
        <v>0</v>
      </c>
      <c r="BT20" s="347">
        <v>0</v>
      </c>
      <c r="BU20" s="347">
        <v>0</v>
      </c>
      <c r="BV20" s="347">
        <f t="shared" si="43"/>
        <v>0</v>
      </c>
      <c r="BW20" s="347">
        <v>0</v>
      </c>
      <c r="BY20" s="346" t="s">
        <v>164</v>
      </c>
      <c r="BZ20" s="347">
        <v>0</v>
      </c>
      <c r="CA20" s="347">
        <v>0</v>
      </c>
      <c r="CB20" s="347">
        <v>0</v>
      </c>
      <c r="CC20" s="347">
        <f t="shared" si="44"/>
        <v>0</v>
      </c>
      <c r="CD20" s="347">
        <v>0</v>
      </c>
      <c r="CF20" s="346" t="s">
        <v>164</v>
      </c>
      <c r="CG20" s="347">
        <v>0</v>
      </c>
      <c r="CH20" s="347">
        <v>0</v>
      </c>
      <c r="CI20" s="347">
        <v>0</v>
      </c>
      <c r="CJ20" s="347">
        <f t="shared" si="45"/>
        <v>0</v>
      </c>
      <c r="CK20" s="347">
        <v>0</v>
      </c>
      <c r="CM20" s="346" t="s">
        <v>164</v>
      </c>
      <c r="CN20" s="347">
        <v>0</v>
      </c>
      <c r="CO20" s="347">
        <v>0</v>
      </c>
      <c r="CP20" s="347">
        <v>0</v>
      </c>
      <c r="CQ20" s="347">
        <f t="shared" si="46"/>
        <v>0</v>
      </c>
      <c r="CR20" s="347">
        <v>0</v>
      </c>
      <c r="CT20" s="346" t="s">
        <v>164</v>
      </c>
      <c r="CU20" s="347">
        <v>0</v>
      </c>
      <c r="CV20" s="347">
        <v>0</v>
      </c>
      <c r="CW20" s="347">
        <v>0</v>
      </c>
      <c r="CX20" s="347">
        <f t="shared" si="47"/>
        <v>0</v>
      </c>
      <c r="CY20" s="347">
        <v>0</v>
      </c>
      <c r="DA20" s="346" t="s">
        <v>164</v>
      </c>
      <c r="DB20" s="347">
        <v>0</v>
      </c>
      <c r="DC20" s="347">
        <v>0</v>
      </c>
      <c r="DD20" s="347">
        <v>0</v>
      </c>
      <c r="DE20" s="347">
        <f t="shared" si="48"/>
        <v>0</v>
      </c>
      <c r="DF20" s="347">
        <v>0</v>
      </c>
      <c r="DH20" s="346" t="s">
        <v>164</v>
      </c>
      <c r="DI20" s="347">
        <v>0</v>
      </c>
      <c r="DJ20" s="347">
        <v>0</v>
      </c>
      <c r="DK20" s="347">
        <v>0</v>
      </c>
      <c r="DL20" s="347">
        <f t="shared" si="49"/>
        <v>0</v>
      </c>
      <c r="DM20" s="347">
        <v>0</v>
      </c>
      <c r="DO20" s="346" t="s">
        <v>164</v>
      </c>
      <c r="DP20" s="347">
        <v>0</v>
      </c>
      <c r="DQ20" s="347">
        <v>0</v>
      </c>
      <c r="DR20" s="347">
        <v>0</v>
      </c>
      <c r="DS20" s="347">
        <f t="shared" si="50"/>
        <v>0</v>
      </c>
      <c r="DT20" s="347">
        <v>0</v>
      </c>
      <c r="DV20" s="346" t="s">
        <v>164</v>
      </c>
      <c r="DW20" s="347">
        <f>173-12</f>
        <v>161</v>
      </c>
      <c r="DX20" s="347">
        <f>295-129-DW20</f>
        <v>5</v>
      </c>
      <c r="DY20" s="347">
        <f>296-147-DX20-DW20</f>
        <v>-17</v>
      </c>
      <c r="DZ20" s="347">
        <f t="shared" si="51"/>
        <v>-11</v>
      </c>
      <c r="EA20" s="347">
        <f>325-187</f>
        <v>138</v>
      </c>
      <c r="EC20" s="346" t="s">
        <v>164</v>
      </c>
      <c r="ED20" s="347">
        <v>-12</v>
      </c>
      <c r="EE20" s="347">
        <f>-13-ED20</f>
        <v>-1</v>
      </c>
      <c r="EF20" s="347">
        <f>-14-EE20-ED20</f>
        <v>-1</v>
      </c>
      <c r="EG20" s="347">
        <f t="shared" si="52"/>
        <v>-1</v>
      </c>
      <c r="EH20" s="347">
        <v>-15</v>
      </c>
      <c r="EJ20" s="346" t="s">
        <v>164</v>
      </c>
      <c r="EK20" s="347">
        <v>0</v>
      </c>
      <c r="EL20" s="347">
        <v>0</v>
      </c>
      <c r="EM20" s="347">
        <v>0</v>
      </c>
      <c r="EN20" s="347">
        <f t="shared" si="53"/>
        <v>0</v>
      </c>
      <c r="EO20" s="347">
        <v>0</v>
      </c>
      <c r="EQ20" s="346" t="s">
        <v>164</v>
      </c>
      <c r="ER20" s="347">
        <v>0</v>
      </c>
      <c r="ES20" s="347">
        <v>0</v>
      </c>
      <c r="ET20" s="347">
        <v>0</v>
      </c>
      <c r="EU20" s="347">
        <f t="shared" si="54"/>
        <v>0</v>
      </c>
      <c r="EV20" s="347">
        <v>0</v>
      </c>
      <c r="EX20" s="346" t="s">
        <v>164</v>
      </c>
      <c r="EY20" s="347">
        <v>0</v>
      </c>
      <c r="EZ20" s="347">
        <v>0</v>
      </c>
      <c r="FA20" s="347">
        <v>0</v>
      </c>
      <c r="FB20" s="347">
        <f t="shared" si="24"/>
        <v>0</v>
      </c>
      <c r="FC20" s="347">
        <v>0</v>
      </c>
      <c r="FE20" s="346" t="s">
        <v>164</v>
      </c>
      <c r="FF20" s="347">
        <v>0</v>
      </c>
      <c r="FG20" s="347">
        <v>0</v>
      </c>
      <c r="FH20" s="347">
        <v>0</v>
      </c>
      <c r="FI20" s="347">
        <f t="shared" si="55"/>
        <v>0</v>
      </c>
      <c r="FJ20" s="347">
        <v>0</v>
      </c>
      <c r="FL20" s="346" t="s">
        <v>164</v>
      </c>
      <c r="FM20" s="347">
        <v>0</v>
      </c>
      <c r="FN20" s="347">
        <v>0</v>
      </c>
      <c r="FO20" s="347">
        <v>0</v>
      </c>
      <c r="FP20" s="347">
        <f t="shared" si="56"/>
        <v>0</v>
      </c>
      <c r="FQ20" s="347">
        <v>0</v>
      </c>
      <c r="FS20" s="346" t="s">
        <v>164</v>
      </c>
      <c r="FT20" s="347">
        <v>0</v>
      </c>
      <c r="FU20" s="354">
        <f t="shared" si="62"/>
        <v>0</v>
      </c>
      <c r="FV20" s="354">
        <f t="shared" si="63"/>
        <v>0</v>
      </c>
      <c r="FW20" s="347">
        <f t="shared" si="57"/>
        <v>108</v>
      </c>
      <c r="FX20" s="354">
        <v>108</v>
      </c>
      <c r="FZ20" s="346" t="s">
        <v>164</v>
      </c>
      <c r="GA20" s="354">
        <v>0</v>
      </c>
      <c r="GB20" s="354">
        <f t="shared" si="64"/>
        <v>0</v>
      </c>
      <c r="GC20" s="354">
        <f t="shared" si="66"/>
        <v>0</v>
      </c>
      <c r="GD20" s="354">
        <v>0</v>
      </c>
      <c r="GE20" s="354">
        <f t="shared" si="58"/>
        <v>0</v>
      </c>
      <c r="GG20" s="346" t="s">
        <v>164</v>
      </c>
      <c r="GH20" s="354">
        <v>0</v>
      </c>
      <c r="GI20" s="354">
        <v>0</v>
      </c>
      <c r="GJ20" s="354">
        <v>0</v>
      </c>
      <c r="GK20" s="354">
        <v>0</v>
      </c>
      <c r="GL20" s="354">
        <f t="shared" si="59"/>
        <v>0</v>
      </c>
      <c r="GN20" s="346" t="s">
        <v>164</v>
      </c>
      <c r="GO20" s="354">
        <v>0</v>
      </c>
      <c r="GP20" s="354">
        <v>0</v>
      </c>
      <c r="GQ20" s="354">
        <v>0</v>
      </c>
      <c r="GR20" s="354">
        <v>0</v>
      </c>
      <c r="GS20" s="354">
        <f t="shared" si="60"/>
        <v>0</v>
      </c>
      <c r="GU20" s="346" t="s">
        <v>164</v>
      </c>
      <c r="GV20" s="354">
        <v>0</v>
      </c>
      <c r="GW20" s="354">
        <v>0</v>
      </c>
      <c r="GX20" s="354">
        <v>0</v>
      </c>
      <c r="GY20" s="354">
        <v>0</v>
      </c>
      <c r="GZ20" s="354">
        <f t="shared" si="61"/>
        <v>0</v>
      </c>
    </row>
    <row r="21" spans="1:208" outlineLevel="1" x14ac:dyDescent="0.4">
      <c r="A21" s="414"/>
      <c r="B21" s="346" t="s">
        <v>165</v>
      </c>
      <c r="C21" s="347">
        <f t="shared" si="0"/>
        <v>-428</v>
      </c>
      <c r="D21" s="347">
        <f t="shared" si="1"/>
        <v>0</v>
      </c>
      <c r="E21" s="347">
        <f t="shared" si="2"/>
        <v>0</v>
      </c>
      <c r="F21" s="347">
        <f t="shared" si="3"/>
        <v>0</v>
      </c>
      <c r="G21" s="347">
        <f t="shared" si="4"/>
        <v>0</v>
      </c>
      <c r="H21" s="347">
        <f t="shared" si="5"/>
        <v>0</v>
      </c>
      <c r="I21" s="347">
        <f t="shared" si="6"/>
        <v>0</v>
      </c>
      <c r="J21" s="347">
        <f t="shared" si="7"/>
        <v>0</v>
      </c>
      <c r="K21" s="347">
        <f t="shared" si="8"/>
        <v>0</v>
      </c>
      <c r="L21" s="347">
        <f t="shared" si="9"/>
        <v>0</v>
      </c>
      <c r="M21" s="347">
        <f t="shared" si="10"/>
        <v>0</v>
      </c>
      <c r="N21" s="347">
        <f t="shared" si="11"/>
        <v>0</v>
      </c>
      <c r="O21" s="347">
        <f t="shared" si="12"/>
        <v>0</v>
      </c>
      <c r="P21" s="347">
        <f t="shared" si="13"/>
        <v>0</v>
      </c>
      <c r="Q21" s="347">
        <f t="shared" si="14"/>
        <v>0</v>
      </c>
      <c r="R21" s="347">
        <f t="shared" si="15"/>
        <v>0</v>
      </c>
      <c r="S21" s="347">
        <f t="shared" si="16"/>
        <v>0</v>
      </c>
      <c r="T21" s="347">
        <f t="shared" si="17"/>
        <v>0</v>
      </c>
      <c r="U21" s="347">
        <f t="shared" si="18"/>
        <v>0</v>
      </c>
      <c r="V21" s="354">
        <f t="shared" si="19"/>
        <v>0</v>
      </c>
      <c r="W21" s="354">
        <f t="shared" si="20"/>
        <v>0</v>
      </c>
      <c r="X21" s="354">
        <f t="shared" si="21"/>
        <v>0</v>
      </c>
      <c r="Y21" s="354">
        <f t="shared" si="22"/>
        <v>0</v>
      </c>
      <c r="Z21" s="354">
        <f t="shared" si="23"/>
        <v>0</v>
      </c>
      <c r="AA21" s="348"/>
      <c r="AB21" s="348"/>
      <c r="AC21" s="348"/>
      <c r="AD21" s="348"/>
      <c r="AE21" s="348"/>
      <c r="AF21" s="348"/>
      <c r="AG21" s="348"/>
      <c r="AH21" s="348"/>
      <c r="AI21" s="348"/>
      <c r="AJ21" s="348"/>
      <c r="AK21" s="348"/>
      <c r="AL21" s="348"/>
      <c r="AM21" s="348"/>
      <c r="AN21" s="348"/>
      <c r="AP21" s="346" t="s">
        <v>165</v>
      </c>
      <c r="AQ21" s="347">
        <v>-428</v>
      </c>
      <c r="AR21" s="347">
        <f>-428-AQ21</f>
        <v>0</v>
      </c>
      <c r="AS21" s="347">
        <f>-428-AR21-AQ21</f>
        <v>0</v>
      </c>
      <c r="AT21" s="347">
        <f t="shared" si="39"/>
        <v>0</v>
      </c>
      <c r="AU21" s="347">
        <v>-428</v>
      </c>
      <c r="AW21" s="346" t="s">
        <v>165</v>
      </c>
      <c r="AX21" s="347">
        <v>0</v>
      </c>
      <c r="AY21" s="347">
        <v>0</v>
      </c>
      <c r="AZ21" s="347">
        <v>0</v>
      </c>
      <c r="BA21" s="347">
        <f t="shared" si="40"/>
        <v>0</v>
      </c>
      <c r="BB21" s="347">
        <v>0</v>
      </c>
      <c r="BD21" s="346" t="s">
        <v>165</v>
      </c>
      <c r="BE21" s="347">
        <v>0</v>
      </c>
      <c r="BF21" s="347">
        <v>0</v>
      </c>
      <c r="BG21" s="347">
        <v>0</v>
      </c>
      <c r="BH21" s="347">
        <f t="shared" si="41"/>
        <v>0</v>
      </c>
      <c r="BI21" s="347">
        <v>0</v>
      </c>
      <c r="BK21" s="346" t="s">
        <v>165</v>
      </c>
      <c r="BL21" s="347">
        <v>0</v>
      </c>
      <c r="BM21" s="347">
        <v>0</v>
      </c>
      <c r="BN21" s="347">
        <v>0</v>
      </c>
      <c r="BO21" s="347">
        <f t="shared" si="42"/>
        <v>0</v>
      </c>
      <c r="BP21" s="347">
        <v>0</v>
      </c>
      <c r="BR21" s="346" t="s">
        <v>165</v>
      </c>
      <c r="BS21" s="347">
        <v>0</v>
      </c>
      <c r="BT21" s="347">
        <v>0</v>
      </c>
      <c r="BU21" s="347">
        <v>0</v>
      </c>
      <c r="BV21" s="347">
        <f t="shared" si="43"/>
        <v>0</v>
      </c>
      <c r="BW21" s="347">
        <v>0</v>
      </c>
      <c r="BY21" s="346" t="s">
        <v>165</v>
      </c>
      <c r="BZ21" s="347">
        <v>0</v>
      </c>
      <c r="CA21" s="347">
        <v>0</v>
      </c>
      <c r="CB21" s="347">
        <v>0</v>
      </c>
      <c r="CC21" s="347">
        <f t="shared" si="44"/>
        <v>0</v>
      </c>
      <c r="CD21" s="347">
        <v>0</v>
      </c>
      <c r="CF21" s="346" t="s">
        <v>165</v>
      </c>
      <c r="CG21" s="347">
        <v>0</v>
      </c>
      <c r="CH21" s="347">
        <v>0</v>
      </c>
      <c r="CI21" s="347">
        <v>0</v>
      </c>
      <c r="CJ21" s="347">
        <f t="shared" si="45"/>
        <v>0</v>
      </c>
      <c r="CK21" s="347">
        <v>0</v>
      </c>
      <c r="CM21" s="346" t="s">
        <v>165</v>
      </c>
      <c r="CN21" s="347">
        <v>0</v>
      </c>
      <c r="CO21" s="347">
        <v>0</v>
      </c>
      <c r="CP21" s="347">
        <v>0</v>
      </c>
      <c r="CQ21" s="347">
        <f t="shared" si="46"/>
        <v>0</v>
      </c>
      <c r="CR21" s="347">
        <v>0</v>
      </c>
      <c r="CT21" s="346" t="s">
        <v>165</v>
      </c>
      <c r="CU21" s="347">
        <v>0</v>
      </c>
      <c r="CV21" s="347">
        <v>0</v>
      </c>
      <c r="CW21" s="347">
        <v>0</v>
      </c>
      <c r="CX21" s="347">
        <f t="shared" si="47"/>
        <v>0</v>
      </c>
      <c r="CY21" s="347">
        <v>0</v>
      </c>
      <c r="DA21" s="346" t="s">
        <v>165</v>
      </c>
      <c r="DB21" s="347">
        <v>0</v>
      </c>
      <c r="DC21" s="347">
        <v>0</v>
      </c>
      <c r="DD21" s="347">
        <v>0</v>
      </c>
      <c r="DE21" s="347">
        <f t="shared" si="48"/>
        <v>0</v>
      </c>
      <c r="DF21" s="347">
        <v>0</v>
      </c>
      <c r="DH21" s="346" t="s">
        <v>165</v>
      </c>
      <c r="DI21" s="347">
        <v>0</v>
      </c>
      <c r="DJ21" s="347">
        <v>0</v>
      </c>
      <c r="DK21" s="347">
        <v>0</v>
      </c>
      <c r="DL21" s="347">
        <f t="shared" si="49"/>
        <v>0</v>
      </c>
      <c r="DM21" s="347">
        <v>0</v>
      </c>
      <c r="DO21" s="346" t="s">
        <v>165</v>
      </c>
      <c r="DP21" s="347">
        <v>0</v>
      </c>
      <c r="DQ21" s="347">
        <v>0</v>
      </c>
      <c r="DR21" s="347">
        <v>0</v>
      </c>
      <c r="DS21" s="347">
        <f t="shared" si="50"/>
        <v>0</v>
      </c>
      <c r="DT21" s="347">
        <v>0</v>
      </c>
      <c r="DV21" s="346" t="s">
        <v>165</v>
      </c>
      <c r="DW21" s="347">
        <v>0</v>
      </c>
      <c r="DX21" s="347">
        <v>0</v>
      </c>
      <c r="DY21" s="347">
        <v>0</v>
      </c>
      <c r="DZ21" s="347">
        <f t="shared" si="51"/>
        <v>0</v>
      </c>
      <c r="EA21" s="347">
        <v>0</v>
      </c>
      <c r="EC21" s="346" t="s">
        <v>165</v>
      </c>
      <c r="ED21" s="347">
        <v>0</v>
      </c>
      <c r="EE21" s="347">
        <v>0</v>
      </c>
      <c r="EF21" s="347">
        <v>0</v>
      </c>
      <c r="EG21" s="347">
        <f t="shared" si="52"/>
        <v>0</v>
      </c>
      <c r="EH21" s="347">
        <v>0</v>
      </c>
      <c r="EJ21" s="346" t="s">
        <v>165</v>
      </c>
      <c r="EK21" s="347">
        <v>0</v>
      </c>
      <c r="EL21" s="347">
        <v>0</v>
      </c>
      <c r="EM21" s="347">
        <v>0</v>
      </c>
      <c r="EN21" s="347">
        <f t="shared" si="53"/>
        <v>0</v>
      </c>
      <c r="EO21" s="347">
        <v>0</v>
      </c>
      <c r="EQ21" s="346" t="s">
        <v>165</v>
      </c>
      <c r="ER21" s="347">
        <v>0</v>
      </c>
      <c r="ES21" s="347">
        <v>0</v>
      </c>
      <c r="ET21" s="347">
        <v>0</v>
      </c>
      <c r="EU21" s="347">
        <f t="shared" si="54"/>
        <v>0</v>
      </c>
      <c r="EV21" s="347">
        <v>0</v>
      </c>
      <c r="EX21" s="346" t="s">
        <v>165</v>
      </c>
      <c r="EY21" s="347">
        <v>0</v>
      </c>
      <c r="EZ21" s="347">
        <v>0</v>
      </c>
      <c r="FA21" s="347">
        <v>0</v>
      </c>
      <c r="FB21" s="347">
        <f t="shared" si="24"/>
        <v>0</v>
      </c>
      <c r="FC21" s="347">
        <v>0</v>
      </c>
      <c r="FE21" s="346" t="s">
        <v>165</v>
      </c>
      <c r="FF21" s="347">
        <v>0</v>
      </c>
      <c r="FG21" s="347">
        <v>0</v>
      </c>
      <c r="FH21" s="347">
        <v>0</v>
      </c>
      <c r="FI21" s="347">
        <f t="shared" si="55"/>
        <v>0</v>
      </c>
      <c r="FJ21" s="347">
        <v>0</v>
      </c>
      <c r="FL21" s="346" t="s">
        <v>165</v>
      </c>
      <c r="FM21" s="347">
        <v>0</v>
      </c>
      <c r="FN21" s="347">
        <v>0</v>
      </c>
      <c r="FO21" s="347">
        <v>0</v>
      </c>
      <c r="FP21" s="347">
        <f t="shared" si="56"/>
        <v>0</v>
      </c>
      <c r="FQ21" s="347">
        <v>0</v>
      </c>
      <c r="FS21" s="346" t="s">
        <v>165</v>
      </c>
      <c r="FT21" s="347">
        <v>0</v>
      </c>
      <c r="FU21" s="354">
        <f t="shared" si="62"/>
        <v>0</v>
      </c>
      <c r="FV21" s="354">
        <f t="shared" si="63"/>
        <v>0</v>
      </c>
      <c r="FW21" s="347">
        <f t="shared" si="57"/>
        <v>0</v>
      </c>
      <c r="FX21" s="354">
        <v>0</v>
      </c>
      <c r="FZ21" s="346" t="s">
        <v>165</v>
      </c>
      <c r="GA21" s="354">
        <v>0</v>
      </c>
      <c r="GB21" s="354">
        <f t="shared" si="64"/>
        <v>0</v>
      </c>
      <c r="GC21" s="354">
        <f t="shared" si="66"/>
        <v>0</v>
      </c>
      <c r="GD21" s="354">
        <v>0</v>
      </c>
      <c r="GE21" s="354">
        <f t="shared" si="58"/>
        <v>0</v>
      </c>
      <c r="GG21" s="346" t="s">
        <v>165</v>
      </c>
      <c r="GH21" s="354">
        <v>0</v>
      </c>
      <c r="GI21" s="354">
        <v>0</v>
      </c>
      <c r="GJ21" s="354">
        <v>0</v>
      </c>
      <c r="GK21" s="354">
        <v>0</v>
      </c>
      <c r="GL21" s="354">
        <f t="shared" si="59"/>
        <v>0</v>
      </c>
      <c r="GN21" s="346" t="s">
        <v>165</v>
      </c>
      <c r="GO21" s="354">
        <v>0</v>
      </c>
      <c r="GP21" s="354">
        <v>0</v>
      </c>
      <c r="GQ21" s="354">
        <v>0</v>
      </c>
      <c r="GR21" s="354">
        <v>0</v>
      </c>
      <c r="GS21" s="354">
        <f t="shared" si="60"/>
        <v>0</v>
      </c>
      <c r="GU21" s="346" t="s">
        <v>165</v>
      </c>
      <c r="GV21" s="354">
        <v>0</v>
      </c>
      <c r="GW21" s="354">
        <v>0</v>
      </c>
      <c r="GX21" s="354">
        <v>0</v>
      </c>
      <c r="GY21" s="354">
        <v>0</v>
      </c>
      <c r="GZ21" s="354">
        <f t="shared" si="61"/>
        <v>0</v>
      </c>
    </row>
    <row r="22" spans="1:208" outlineLevel="1" x14ac:dyDescent="0.4">
      <c r="A22" s="414"/>
      <c r="B22" s="346" t="s">
        <v>166</v>
      </c>
      <c r="C22" s="347">
        <f t="shared" si="0"/>
        <v>0</v>
      </c>
      <c r="D22" s="347">
        <f t="shared" si="1"/>
        <v>0</v>
      </c>
      <c r="E22" s="347">
        <f t="shared" si="2"/>
        <v>0</v>
      </c>
      <c r="F22" s="347">
        <f t="shared" si="3"/>
        <v>0</v>
      </c>
      <c r="G22" s="347">
        <f t="shared" si="4"/>
        <v>0</v>
      </c>
      <c r="H22" s="347">
        <f t="shared" si="5"/>
        <v>0</v>
      </c>
      <c r="I22" s="347">
        <f t="shared" si="6"/>
        <v>0</v>
      </c>
      <c r="J22" s="347">
        <f t="shared" si="7"/>
        <v>0</v>
      </c>
      <c r="K22" s="347">
        <f t="shared" si="8"/>
        <v>0</v>
      </c>
      <c r="L22" s="347">
        <f t="shared" si="9"/>
        <v>0</v>
      </c>
      <c r="M22" s="347">
        <f t="shared" si="10"/>
        <v>0</v>
      </c>
      <c r="N22" s="347">
        <f t="shared" si="11"/>
        <v>0</v>
      </c>
      <c r="O22" s="347">
        <f t="shared" si="12"/>
        <v>0</v>
      </c>
      <c r="P22" s="347">
        <f t="shared" si="13"/>
        <v>0</v>
      </c>
      <c r="Q22" s="347">
        <f t="shared" si="14"/>
        <v>0</v>
      </c>
      <c r="R22" s="347">
        <f t="shared" si="15"/>
        <v>0</v>
      </c>
      <c r="S22" s="347">
        <f t="shared" si="16"/>
        <v>0</v>
      </c>
      <c r="T22" s="347">
        <f t="shared" si="17"/>
        <v>0</v>
      </c>
      <c r="U22" s="347">
        <f t="shared" si="18"/>
        <v>0</v>
      </c>
      <c r="V22" s="354">
        <f t="shared" si="19"/>
        <v>0</v>
      </c>
      <c r="W22" s="354">
        <f t="shared" si="20"/>
        <v>164</v>
      </c>
      <c r="X22" s="354">
        <f t="shared" si="21"/>
        <v>0</v>
      </c>
      <c r="Y22" s="354">
        <f t="shared" si="22"/>
        <v>0</v>
      </c>
      <c r="Z22" s="354">
        <f t="shared" si="23"/>
        <v>0</v>
      </c>
      <c r="AA22" s="348"/>
      <c r="AB22" s="348"/>
      <c r="AC22" s="348"/>
      <c r="AD22" s="348"/>
      <c r="AE22" s="348"/>
      <c r="AF22" s="348"/>
      <c r="AG22" s="348"/>
      <c r="AH22" s="348"/>
      <c r="AI22" s="348"/>
      <c r="AJ22" s="348"/>
      <c r="AK22" s="348"/>
      <c r="AL22" s="348"/>
      <c r="AM22" s="348"/>
      <c r="AN22" s="348"/>
      <c r="AP22" s="346" t="s">
        <v>166</v>
      </c>
      <c r="AQ22" s="347">
        <v>0</v>
      </c>
      <c r="AR22" s="347">
        <v>0</v>
      </c>
      <c r="AS22" s="347">
        <v>0</v>
      </c>
      <c r="AT22" s="347">
        <f t="shared" si="39"/>
        <v>0</v>
      </c>
      <c r="AU22" s="347">
        <v>0</v>
      </c>
      <c r="AW22" s="346" t="s">
        <v>166</v>
      </c>
      <c r="AX22" s="347">
        <v>0</v>
      </c>
      <c r="AY22" s="347">
        <v>0</v>
      </c>
      <c r="AZ22" s="347">
        <v>0</v>
      </c>
      <c r="BA22" s="347">
        <f t="shared" si="40"/>
        <v>0</v>
      </c>
      <c r="BB22" s="347">
        <v>0</v>
      </c>
      <c r="BD22" s="346" t="s">
        <v>166</v>
      </c>
      <c r="BE22" s="347">
        <v>0</v>
      </c>
      <c r="BF22" s="347">
        <v>0</v>
      </c>
      <c r="BG22" s="347">
        <v>0</v>
      </c>
      <c r="BH22" s="347">
        <f t="shared" si="41"/>
        <v>0</v>
      </c>
      <c r="BI22" s="347">
        <v>0</v>
      </c>
      <c r="BK22" s="346" t="s">
        <v>166</v>
      </c>
      <c r="BL22" s="347">
        <v>0</v>
      </c>
      <c r="BM22" s="347">
        <v>0</v>
      </c>
      <c r="BN22" s="347">
        <v>0</v>
      </c>
      <c r="BO22" s="347">
        <f t="shared" si="42"/>
        <v>0</v>
      </c>
      <c r="BP22" s="347">
        <v>0</v>
      </c>
      <c r="BR22" s="346" t="s">
        <v>166</v>
      </c>
      <c r="BS22" s="347">
        <v>0</v>
      </c>
      <c r="BT22" s="347">
        <v>0</v>
      </c>
      <c r="BU22" s="347">
        <v>0</v>
      </c>
      <c r="BV22" s="347">
        <f t="shared" si="43"/>
        <v>0</v>
      </c>
      <c r="BW22" s="347">
        <v>0</v>
      </c>
      <c r="BY22" s="346" t="s">
        <v>166</v>
      </c>
      <c r="BZ22" s="347">
        <v>0</v>
      </c>
      <c r="CA22" s="347">
        <v>0</v>
      </c>
      <c r="CB22" s="347">
        <v>0</v>
      </c>
      <c r="CC22" s="347">
        <f t="shared" si="44"/>
        <v>0</v>
      </c>
      <c r="CD22" s="347">
        <v>0</v>
      </c>
      <c r="CF22" s="346" t="s">
        <v>166</v>
      </c>
      <c r="CG22" s="347">
        <v>0</v>
      </c>
      <c r="CH22" s="347">
        <v>0</v>
      </c>
      <c r="CI22" s="347">
        <v>0</v>
      </c>
      <c r="CJ22" s="347">
        <f t="shared" si="45"/>
        <v>0</v>
      </c>
      <c r="CK22" s="347">
        <v>0</v>
      </c>
      <c r="CM22" s="346" t="s">
        <v>166</v>
      </c>
      <c r="CN22" s="347">
        <v>0</v>
      </c>
      <c r="CO22" s="347">
        <v>0</v>
      </c>
      <c r="CP22" s="347">
        <v>0</v>
      </c>
      <c r="CQ22" s="347">
        <f t="shared" si="46"/>
        <v>0</v>
      </c>
      <c r="CR22" s="347">
        <v>0</v>
      </c>
      <c r="CT22" s="346" t="s">
        <v>166</v>
      </c>
      <c r="CU22" s="347">
        <v>0</v>
      </c>
      <c r="CV22" s="347">
        <v>0</v>
      </c>
      <c r="CW22" s="347">
        <v>0</v>
      </c>
      <c r="CX22" s="347">
        <f t="shared" si="47"/>
        <v>0</v>
      </c>
      <c r="CY22" s="347">
        <v>0</v>
      </c>
      <c r="DA22" s="346" t="s">
        <v>166</v>
      </c>
      <c r="DB22" s="347">
        <v>0</v>
      </c>
      <c r="DC22" s="347">
        <v>0</v>
      </c>
      <c r="DD22" s="347">
        <v>0</v>
      </c>
      <c r="DE22" s="347">
        <f t="shared" si="48"/>
        <v>0</v>
      </c>
      <c r="DF22" s="347">
        <v>0</v>
      </c>
      <c r="DH22" s="346" t="s">
        <v>166</v>
      </c>
      <c r="DI22" s="347">
        <v>0</v>
      </c>
      <c r="DJ22" s="347">
        <v>0</v>
      </c>
      <c r="DK22" s="347">
        <v>0</v>
      </c>
      <c r="DL22" s="347">
        <f t="shared" si="49"/>
        <v>0</v>
      </c>
      <c r="DM22" s="347">
        <v>0</v>
      </c>
      <c r="DO22" s="346" t="s">
        <v>166</v>
      </c>
      <c r="DP22" s="347">
        <v>0</v>
      </c>
      <c r="DQ22" s="347">
        <v>0</v>
      </c>
      <c r="DR22" s="347">
        <v>0</v>
      </c>
      <c r="DS22" s="347">
        <f t="shared" si="50"/>
        <v>0</v>
      </c>
      <c r="DT22" s="347">
        <v>0</v>
      </c>
      <c r="DV22" s="346" t="s">
        <v>166</v>
      </c>
      <c r="DW22" s="347">
        <v>0</v>
      </c>
      <c r="DX22" s="347">
        <v>0</v>
      </c>
      <c r="DY22" s="347">
        <v>0</v>
      </c>
      <c r="DZ22" s="347">
        <f t="shared" si="51"/>
        <v>0</v>
      </c>
      <c r="EA22" s="347">
        <v>0</v>
      </c>
      <c r="EC22" s="346" t="s">
        <v>166</v>
      </c>
      <c r="ED22" s="347">
        <v>0</v>
      </c>
      <c r="EE22" s="347">
        <v>0</v>
      </c>
      <c r="EF22" s="347">
        <v>0</v>
      </c>
      <c r="EG22" s="347">
        <f t="shared" si="52"/>
        <v>0</v>
      </c>
      <c r="EH22" s="347">
        <v>0</v>
      </c>
      <c r="EJ22" s="346" t="s">
        <v>166</v>
      </c>
      <c r="EK22" s="347">
        <v>0</v>
      </c>
      <c r="EL22" s="347">
        <v>0</v>
      </c>
      <c r="EM22" s="347">
        <v>0</v>
      </c>
      <c r="EN22" s="347">
        <f t="shared" si="53"/>
        <v>0</v>
      </c>
      <c r="EO22" s="347">
        <v>0</v>
      </c>
      <c r="EQ22" s="346" t="s">
        <v>166</v>
      </c>
      <c r="ER22" s="347">
        <v>0</v>
      </c>
      <c r="ES22" s="347">
        <v>0</v>
      </c>
      <c r="ET22" s="347">
        <v>0</v>
      </c>
      <c r="EU22" s="347">
        <f t="shared" si="54"/>
        <v>0</v>
      </c>
      <c r="EV22" s="347">
        <v>0</v>
      </c>
      <c r="EX22" s="346" t="s">
        <v>166</v>
      </c>
      <c r="EY22" s="347">
        <v>0</v>
      </c>
      <c r="EZ22" s="347">
        <v>0</v>
      </c>
      <c r="FA22" s="347">
        <v>0</v>
      </c>
      <c r="FB22" s="347">
        <f t="shared" si="24"/>
        <v>0</v>
      </c>
      <c r="FC22" s="347">
        <v>0</v>
      </c>
      <c r="FE22" s="346" t="s">
        <v>166</v>
      </c>
      <c r="FF22" s="347">
        <v>0</v>
      </c>
      <c r="FG22" s="347">
        <v>0</v>
      </c>
      <c r="FH22" s="347">
        <v>0</v>
      </c>
      <c r="FI22" s="347">
        <f t="shared" si="55"/>
        <v>0</v>
      </c>
      <c r="FJ22" s="347">
        <v>0</v>
      </c>
      <c r="FL22" s="346" t="s">
        <v>166</v>
      </c>
      <c r="FM22" s="347">
        <v>0</v>
      </c>
      <c r="FN22" s="347">
        <v>0</v>
      </c>
      <c r="FO22" s="347">
        <v>0</v>
      </c>
      <c r="FP22" s="347">
        <f t="shared" si="56"/>
        <v>0</v>
      </c>
      <c r="FQ22" s="347">
        <v>0</v>
      </c>
      <c r="FS22" s="346" t="s">
        <v>166</v>
      </c>
      <c r="FT22" s="347">
        <v>0</v>
      </c>
      <c r="FU22" s="354">
        <f t="shared" si="62"/>
        <v>0</v>
      </c>
      <c r="FV22" s="354">
        <f t="shared" si="63"/>
        <v>0</v>
      </c>
      <c r="FW22" s="347">
        <f t="shared" si="57"/>
        <v>0</v>
      </c>
      <c r="FX22" s="354">
        <v>0</v>
      </c>
      <c r="FZ22" s="346" t="s">
        <v>166</v>
      </c>
      <c r="GA22" s="354">
        <v>0</v>
      </c>
      <c r="GB22" s="354">
        <f t="shared" si="64"/>
        <v>0</v>
      </c>
      <c r="GC22" s="354">
        <f>164-GB22-GA22</f>
        <v>164</v>
      </c>
      <c r="GD22" s="354">
        <v>0</v>
      </c>
      <c r="GE22" s="354">
        <f t="shared" si="58"/>
        <v>164</v>
      </c>
      <c r="GG22" s="346" t="s">
        <v>166</v>
      </c>
      <c r="GH22" s="354">
        <v>0</v>
      </c>
      <c r="GI22" s="354">
        <v>0</v>
      </c>
      <c r="GJ22" s="354">
        <v>0</v>
      </c>
      <c r="GK22" s="354">
        <v>0</v>
      </c>
      <c r="GL22" s="354">
        <f t="shared" si="59"/>
        <v>0</v>
      </c>
      <c r="GN22" s="346" t="s">
        <v>166</v>
      </c>
      <c r="GO22" s="354">
        <v>0</v>
      </c>
      <c r="GP22" s="354">
        <v>0</v>
      </c>
      <c r="GQ22" s="354">
        <v>0</v>
      </c>
      <c r="GR22" s="354">
        <v>0</v>
      </c>
      <c r="GS22" s="354">
        <f t="shared" si="60"/>
        <v>0</v>
      </c>
      <c r="GU22" s="346" t="s">
        <v>166</v>
      </c>
      <c r="GV22" s="354">
        <v>0</v>
      </c>
      <c r="GW22" s="354">
        <v>0</v>
      </c>
      <c r="GX22" s="354">
        <v>0</v>
      </c>
      <c r="GY22" s="354">
        <v>0</v>
      </c>
      <c r="GZ22" s="354">
        <f t="shared" si="61"/>
        <v>0</v>
      </c>
    </row>
    <row r="23" spans="1:208" outlineLevel="1" x14ac:dyDescent="0.4">
      <c r="A23" s="414"/>
      <c r="B23" s="346" t="s">
        <v>167</v>
      </c>
      <c r="C23" s="347">
        <f t="shared" si="0"/>
        <v>0</v>
      </c>
      <c r="D23" s="347">
        <f t="shared" si="1"/>
        <v>0</v>
      </c>
      <c r="E23" s="347">
        <f t="shared" si="2"/>
        <v>-110</v>
      </c>
      <c r="F23" s="347">
        <f t="shared" si="3"/>
        <v>166</v>
      </c>
      <c r="G23" s="347">
        <f t="shared" si="4"/>
        <v>0</v>
      </c>
      <c r="H23" s="347">
        <f t="shared" si="5"/>
        <v>0</v>
      </c>
      <c r="I23" s="347">
        <f t="shared" si="6"/>
        <v>0</v>
      </c>
      <c r="J23" s="347">
        <f t="shared" si="7"/>
        <v>0</v>
      </c>
      <c r="K23" s="347">
        <f t="shared" si="8"/>
        <v>0</v>
      </c>
      <c r="L23" s="347">
        <f t="shared" si="9"/>
        <v>0</v>
      </c>
      <c r="M23" s="347">
        <f t="shared" si="10"/>
        <v>0</v>
      </c>
      <c r="N23" s="347">
        <f t="shared" si="11"/>
        <v>0</v>
      </c>
      <c r="O23" s="347">
        <f t="shared" si="12"/>
        <v>0</v>
      </c>
      <c r="P23" s="347">
        <f t="shared" si="13"/>
        <v>0</v>
      </c>
      <c r="Q23" s="347">
        <f t="shared" si="14"/>
        <v>0</v>
      </c>
      <c r="R23" s="347">
        <f t="shared" si="15"/>
        <v>0</v>
      </c>
      <c r="S23" s="347">
        <f t="shared" si="16"/>
        <v>0</v>
      </c>
      <c r="T23" s="347">
        <f t="shared" si="17"/>
        <v>0</v>
      </c>
      <c r="U23" s="347">
        <f t="shared" si="18"/>
        <v>0</v>
      </c>
      <c r="V23" s="354">
        <f t="shared" si="19"/>
        <v>0</v>
      </c>
      <c r="W23" s="354">
        <f t="shared" si="20"/>
        <v>0</v>
      </c>
      <c r="X23" s="354">
        <f t="shared" si="21"/>
        <v>0</v>
      </c>
      <c r="Y23" s="354">
        <f t="shared" si="22"/>
        <v>0</v>
      </c>
      <c r="Z23" s="354">
        <f t="shared" si="23"/>
        <v>0</v>
      </c>
      <c r="AA23" s="348"/>
      <c r="AB23" s="348"/>
      <c r="AC23" s="348"/>
      <c r="AD23" s="348"/>
      <c r="AE23" s="348"/>
      <c r="AF23" s="348"/>
      <c r="AG23" s="348"/>
      <c r="AH23" s="348"/>
      <c r="AI23" s="348"/>
      <c r="AJ23" s="348"/>
      <c r="AK23" s="348"/>
      <c r="AL23" s="348"/>
      <c r="AM23" s="348"/>
      <c r="AN23" s="348"/>
      <c r="AP23" s="346" t="s">
        <v>167</v>
      </c>
      <c r="AQ23" s="347">
        <v>0</v>
      </c>
      <c r="AR23" s="347">
        <v>0</v>
      </c>
      <c r="AS23" s="347">
        <v>0</v>
      </c>
      <c r="AT23" s="347">
        <f t="shared" si="39"/>
        <v>0</v>
      </c>
      <c r="AU23" s="347">
        <v>0</v>
      </c>
      <c r="AW23" s="346" t="s">
        <v>167</v>
      </c>
      <c r="AX23" s="347">
        <v>0</v>
      </c>
      <c r="AY23" s="347">
        <v>0</v>
      </c>
      <c r="AZ23" s="347">
        <v>0</v>
      </c>
      <c r="BA23" s="347">
        <f t="shared" si="40"/>
        <v>0</v>
      </c>
      <c r="BB23" s="347">
        <v>0</v>
      </c>
      <c r="BD23" s="346" t="s">
        <v>167</v>
      </c>
      <c r="BE23" s="347">
        <v>0</v>
      </c>
      <c r="BF23" s="347">
        <v>0</v>
      </c>
      <c r="BG23" s="347">
        <f>-110-BF23-BE23</f>
        <v>-110</v>
      </c>
      <c r="BH23" s="347">
        <f t="shared" si="41"/>
        <v>0</v>
      </c>
      <c r="BI23" s="347">
        <v>-110</v>
      </c>
      <c r="BK23" s="346" t="s">
        <v>167</v>
      </c>
      <c r="BL23" s="347">
        <v>0</v>
      </c>
      <c r="BM23" s="347">
        <v>0</v>
      </c>
      <c r="BN23" s="347">
        <v>0</v>
      </c>
      <c r="BO23" s="347">
        <f t="shared" si="42"/>
        <v>166</v>
      </c>
      <c r="BP23" s="347">
        <v>166</v>
      </c>
      <c r="BR23" s="346" t="s">
        <v>167</v>
      </c>
      <c r="BS23" s="347">
        <v>0</v>
      </c>
      <c r="BT23" s="347">
        <v>0</v>
      </c>
      <c r="BU23" s="347">
        <v>0</v>
      </c>
      <c r="BV23" s="347">
        <f t="shared" si="43"/>
        <v>0</v>
      </c>
      <c r="BW23" s="347">
        <v>0</v>
      </c>
      <c r="BY23" s="346" t="s">
        <v>167</v>
      </c>
      <c r="BZ23" s="347">
        <v>0</v>
      </c>
      <c r="CA23" s="347">
        <v>0</v>
      </c>
      <c r="CB23" s="347">
        <v>0</v>
      </c>
      <c r="CC23" s="347">
        <f t="shared" si="44"/>
        <v>0</v>
      </c>
      <c r="CD23" s="347">
        <v>0</v>
      </c>
      <c r="CF23" s="346" t="s">
        <v>167</v>
      </c>
      <c r="CG23" s="347">
        <v>0</v>
      </c>
      <c r="CH23" s="347">
        <v>0</v>
      </c>
      <c r="CI23" s="347">
        <v>0</v>
      </c>
      <c r="CJ23" s="347">
        <f t="shared" si="45"/>
        <v>0</v>
      </c>
      <c r="CK23" s="347">
        <v>0</v>
      </c>
      <c r="CM23" s="346" t="s">
        <v>167</v>
      </c>
      <c r="CN23" s="347">
        <v>0</v>
      </c>
      <c r="CO23" s="347">
        <v>0</v>
      </c>
      <c r="CP23" s="347">
        <v>0</v>
      </c>
      <c r="CQ23" s="347">
        <f t="shared" si="46"/>
        <v>0</v>
      </c>
      <c r="CR23" s="347">
        <v>0</v>
      </c>
      <c r="CT23" s="346" t="s">
        <v>167</v>
      </c>
      <c r="CU23" s="347">
        <v>0</v>
      </c>
      <c r="CV23" s="347">
        <v>0</v>
      </c>
      <c r="CW23" s="347">
        <v>0</v>
      </c>
      <c r="CX23" s="347">
        <f t="shared" si="47"/>
        <v>0</v>
      </c>
      <c r="CY23" s="347">
        <v>0</v>
      </c>
      <c r="DA23" s="346" t="s">
        <v>167</v>
      </c>
      <c r="DB23" s="347">
        <v>0</v>
      </c>
      <c r="DC23" s="347">
        <v>0</v>
      </c>
      <c r="DD23" s="347">
        <v>0</v>
      </c>
      <c r="DE23" s="347">
        <f t="shared" si="48"/>
        <v>0</v>
      </c>
      <c r="DF23" s="347">
        <v>0</v>
      </c>
      <c r="DH23" s="346" t="s">
        <v>167</v>
      </c>
      <c r="DI23" s="347">
        <v>0</v>
      </c>
      <c r="DJ23" s="347">
        <v>0</v>
      </c>
      <c r="DK23" s="347">
        <v>0</v>
      </c>
      <c r="DL23" s="347">
        <f t="shared" si="49"/>
        <v>0</v>
      </c>
      <c r="DM23" s="347">
        <v>0</v>
      </c>
      <c r="DO23" s="346" t="s">
        <v>167</v>
      </c>
      <c r="DP23" s="347">
        <v>0</v>
      </c>
      <c r="DQ23" s="347">
        <v>0</v>
      </c>
      <c r="DR23" s="347">
        <v>0</v>
      </c>
      <c r="DS23" s="347">
        <f t="shared" si="50"/>
        <v>0</v>
      </c>
      <c r="DT23" s="347">
        <v>0</v>
      </c>
      <c r="DV23" s="346" t="s">
        <v>167</v>
      </c>
      <c r="DW23" s="347">
        <v>0</v>
      </c>
      <c r="DX23" s="347">
        <v>0</v>
      </c>
      <c r="DY23" s="347">
        <v>0</v>
      </c>
      <c r="DZ23" s="347">
        <f t="shared" si="51"/>
        <v>0</v>
      </c>
      <c r="EA23" s="347">
        <v>0</v>
      </c>
      <c r="EC23" s="346" t="s">
        <v>167</v>
      </c>
      <c r="ED23" s="347">
        <v>0</v>
      </c>
      <c r="EE23" s="347">
        <v>0</v>
      </c>
      <c r="EF23" s="347">
        <v>0</v>
      </c>
      <c r="EG23" s="347">
        <f t="shared" si="52"/>
        <v>0</v>
      </c>
      <c r="EH23" s="347">
        <v>0</v>
      </c>
      <c r="EJ23" s="346" t="s">
        <v>167</v>
      </c>
      <c r="EK23" s="347">
        <v>0</v>
      </c>
      <c r="EL23" s="347">
        <v>0</v>
      </c>
      <c r="EM23" s="347">
        <v>0</v>
      </c>
      <c r="EN23" s="347">
        <f t="shared" si="53"/>
        <v>0</v>
      </c>
      <c r="EO23" s="347">
        <v>0</v>
      </c>
      <c r="EQ23" s="346" t="s">
        <v>167</v>
      </c>
      <c r="ER23" s="347">
        <v>0</v>
      </c>
      <c r="ES23" s="347">
        <v>0</v>
      </c>
      <c r="ET23" s="347">
        <v>0</v>
      </c>
      <c r="EU23" s="347">
        <f t="shared" si="54"/>
        <v>0</v>
      </c>
      <c r="EV23" s="347">
        <v>0</v>
      </c>
      <c r="EX23" s="346" t="s">
        <v>167</v>
      </c>
      <c r="EY23" s="347">
        <v>0</v>
      </c>
      <c r="EZ23" s="347">
        <v>0</v>
      </c>
      <c r="FA23" s="347">
        <v>0</v>
      </c>
      <c r="FB23" s="347">
        <f t="shared" si="24"/>
        <v>0</v>
      </c>
      <c r="FC23" s="347">
        <v>0</v>
      </c>
      <c r="FE23" s="346" t="s">
        <v>167</v>
      </c>
      <c r="FF23" s="347">
        <v>0</v>
      </c>
      <c r="FG23" s="347">
        <v>0</v>
      </c>
      <c r="FH23" s="347">
        <v>0</v>
      </c>
      <c r="FI23" s="347">
        <f t="shared" si="55"/>
        <v>0</v>
      </c>
      <c r="FJ23" s="347">
        <v>0</v>
      </c>
      <c r="FL23" s="346" t="s">
        <v>167</v>
      </c>
      <c r="FM23" s="347">
        <v>0</v>
      </c>
      <c r="FN23" s="347">
        <v>0</v>
      </c>
      <c r="FO23" s="347">
        <v>0</v>
      </c>
      <c r="FP23" s="347">
        <f t="shared" si="56"/>
        <v>0</v>
      </c>
      <c r="FQ23" s="347">
        <v>0</v>
      </c>
      <c r="FS23" s="346" t="s">
        <v>167</v>
      </c>
      <c r="FT23" s="347">
        <v>0</v>
      </c>
      <c r="FU23" s="354">
        <f t="shared" si="62"/>
        <v>0</v>
      </c>
      <c r="FV23" s="354">
        <f t="shared" si="63"/>
        <v>0</v>
      </c>
      <c r="FW23" s="347">
        <f t="shared" si="57"/>
        <v>0</v>
      </c>
      <c r="FX23" s="354">
        <v>0</v>
      </c>
      <c r="FZ23" s="346" t="s">
        <v>167</v>
      </c>
      <c r="GA23" s="354">
        <v>0</v>
      </c>
      <c r="GB23" s="354">
        <f t="shared" si="64"/>
        <v>0</v>
      </c>
      <c r="GC23" s="354">
        <f t="shared" ref="GC23:GC24" si="67">0-GB23-GA23</f>
        <v>0</v>
      </c>
      <c r="GD23" s="354">
        <v>0</v>
      </c>
      <c r="GE23" s="354">
        <f t="shared" si="58"/>
        <v>0</v>
      </c>
      <c r="GG23" s="346" t="s">
        <v>167</v>
      </c>
      <c r="GH23" s="354">
        <v>0</v>
      </c>
      <c r="GI23" s="354">
        <v>0</v>
      </c>
      <c r="GJ23" s="354">
        <v>0</v>
      </c>
      <c r="GK23" s="354">
        <v>0</v>
      </c>
      <c r="GL23" s="354">
        <f t="shared" si="59"/>
        <v>0</v>
      </c>
      <c r="GN23" s="346" t="s">
        <v>167</v>
      </c>
      <c r="GO23" s="354">
        <v>0</v>
      </c>
      <c r="GP23" s="354">
        <v>0</v>
      </c>
      <c r="GQ23" s="354">
        <v>0</v>
      </c>
      <c r="GR23" s="354">
        <v>0</v>
      </c>
      <c r="GS23" s="354">
        <f t="shared" si="60"/>
        <v>0</v>
      </c>
      <c r="GU23" s="346" t="s">
        <v>167</v>
      </c>
      <c r="GV23" s="354">
        <v>0</v>
      </c>
      <c r="GW23" s="354">
        <v>0</v>
      </c>
      <c r="GX23" s="354">
        <v>0</v>
      </c>
      <c r="GY23" s="354">
        <v>0</v>
      </c>
      <c r="GZ23" s="354">
        <f t="shared" si="61"/>
        <v>0</v>
      </c>
    </row>
    <row r="24" spans="1:208" outlineLevel="1" x14ac:dyDescent="0.4">
      <c r="A24" s="414"/>
      <c r="B24" s="346" t="s">
        <v>168</v>
      </c>
      <c r="C24" s="347">
        <f t="shared" si="0"/>
        <v>0</v>
      </c>
      <c r="D24" s="347">
        <f t="shared" si="1"/>
        <v>-26</v>
      </c>
      <c r="E24" s="347">
        <f t="shared" si="2"/>
        <v>0</v>
      </c>
      <c r="F24" s="347">
        <f t="shared" si="3"/>
        <v>0</v>
      </c>
      <c r="G24" s="347">
        <f t="shared" si="4"/>
        <v>0</v>
      </c>
      <c r="H24" s="347">
        <f t="shared" si="5"/>
        <v>0</v>
      </c>
      <c r="I24" s="347">
        <f t="shared" si="6"/>
        <v>0</v>
      </c>
      <c r="J24" s="347">
        <f t="shared" si="7"/>
        <v>0</v>
      </c>
      <c r="K24" s="347">
        <f t="shared" si="8"/>
        <v>0</v>
      </c>
      <c r="L24" s="347">
        <f t="shared" si="9"/>
        <v>0</v>
      </c>
      <c r="M24" s="347">
        <f t="shared" si="10"/>
        <v>0</v>
      </c>
      <c r="N24" s="347">
        <f t="shared" si="11"/>
        <v>0</v>
      </c>
      <c r="O24" s="347">
        <f t="shared" si="12"/>
        <v>0</v>
      </c>
      <c r="P24" s="347">
        <f t="shared" si="13"/>
        <v>0</v>
      </c>
      <c r="Q24" s="347">
        <f t="shared" si="14"/>
        <v>0</v>
      </c>
      <c r="R24" s="347">
        <f t="shared" si="15"/>
        <v>0</v>
      </c>
      <c r="S24" s="347">
        <f t="shared" si="16"/>
        <v>0</v>
      </c>
      <c r="T24" s="347">
        <f t="shared" si="17"/>
        <v>0</v>
      </c>
      <c r="U24" s="347">
        <f t="shared" si="18"/>
        <v>0</v>
      </c>
      <c r="V24" s="354">
        <f t="shared" si="19"/>
        <v>0</v>
      </c>
      <c r="W24" s="354">
        <f t="shared" si="20"/>
        <v>0</v>
      </c>
      <c r="X24" s="354">
        <f t="shared" si="21"/>
        <v>0</v>
      </c>
      <c r="Y24" s="354">
        <f t="shared" si="22"/>
        <v>0</v>
      </c>
      <c r="Z24" s="354">
        <f t="shared" si="23"/>
        <v>0</v>
      </c>
      <c r="AA24" s="348"/>
      <c r="AB24" s="348"/>
      <c r="AC24" s="348"/>
      <c r="AD24" s="348"/>
      <c r="AE24" s="348"/>
      <c r="AF24" s="348"/>
      <c r="AG24" s="348"/>
      <c r="AH24" s="348"/>
      <c r="AI24" s="348"/>
      <c r="AJ24" s="348"/>
      <c r="AK24" s="348"/>
      <c r="AL24" s="348"/>
      <c r="AM24" s="348"/>
      <c r="AN24" s="348"/>
      <c r="AP24" s="346" t="s">
        <v>168</v>
      </c>
      <c r="AQ24" s="347">
        <v>0</v>
      </c>
      <c r="AR24" s="347">
        <v>0</v>
      </c>
      <c r="AS24" s="347">
        <v>0</v>
      </c>
      <c r="AT24" s="347">
        <f t="shared" si="39"/>
        <v>0</v>
      </c>
      <c r="AU24" s="347">
        <v>0</v>
      </c>
      <c r="AW24" s="346" t="s">
        <v>168</v>
      </c>
      <c r="AX24" s="347">
        <v>0</v>
      </c>
      <c r="AY24" s="347">
        <v>0</v>
      </c>
      <c r="AZ24" s="347">
        <v>0</v>
      </c>
      <c r="BA24" s="347">
        <f t="shared" si="40"/>
        <v>-26</v>
      </c>
      <c r="BB24" s="347">
        <v>-26</v>
      </c>
      <c r="BD24" s="346" t="s">
        <v>168</v>
      </c>
      <c r="BE24" s="347">
        <v>0</v>
      </c>
      <c r="BF24" s="347">
        <v>0</v>
      </c>
      <c r="BG24" s="347">
        <v>0</v>
      </c>
      <c r="BH24" s="347">
        <f t="shared" si="41"/>
        <v>0</v>
      </c>
      <c r="BI24" s="347">
        <v>0</v>
      </c>
      <c r="BK24" s="346" t="s">
        <v>168</v>
      </c>
      <c r="BL24" s="347">
        <v>0</v>
      </c>
      <c r="BM24" s="347">
        <v>0</v>
      </c>
      <c r="BN24" s="347">
        <v>0</v>
      </c>
      <c r="BO24" s="347">
        <f t="shared" si="42"/>
        <v>0</v>
      </c>
      <c r="BP24" s="347">
        <v>0</v>
      </c>
      <c r="BR24" s="346" t="s">
        <v>168</v>
      </c>
      <c r="BS24" s="347">
        <v>0</v>
      </c>
      <c r="BT24" s="347">
        <v>0</v>
      </c>
      <c r="BU24" s="347">
        <v>0</v>
      </c>
      <c r="BV24" s="347">
        <f t="shared" si="43"/>
        <v>0</v>
      </c>
      <c r="BW24" s="347">
        <v>0</v>
      </c>
      <c r="BY24" s="346" t="s">
        <v>168</v>
      </c>
      <c r="BZ24" s="347">
        <v>0</v>
      </c>
      <c r="CA24" s="347">
        <v>0</v>
      </c>
      <c r="CB24" s="347">
        <v>0</v>
      </c>
      <c r="CC24" s="347">
        <f t="shared" si="44"/>
        <v>0</v>
      </c>
      <c r="CD24" s="347">
        <v>0</v>
      </c>
      <c r="CF24" s="346" t="s">
        <v>168</v>
      </c>
      <c r="CG24" s="347">
        <v>0</v>
      </c>
      <c r="CH24" s="347">
        <v>0</v>
      </c>
      <c r="CI24" s="347">
        <v>0</v>
      </c>
      <c r="CJ24" s="347">
        <f t="shared" si="45"/>
        <v>0</v>
      </c>
      <c r="CK24" s="347">
        <v>0</v>
      </c>
      <c r="CM24" s="346" t="s">
        <v>168</v>
      </c>
      <c r="CN24" s="347">
        <v>0</v>
      </c>
      <c r="CO24" s="347">
        <v>0</v>
      </c>
      <c r="CP24" s="347">
        <v>0</v>
      </c>
      <c r="CQ24" s="347">
        <f t="shared" si="46"/>
        <v>0</v>
      </c>
      <c r="CR24" s="347">
        <v>0</v>
      </c>
      <c r="CT24" s="346" t="s">
        <v>168</v>
      </c>
      <c r="CU24" s="347">
        <v>0</v>
      </c>
      <c r="CV24" s="347">
        <v>0</v>
      </c>
      <c r="CW24" s="347">
        <v>0</v>
      </c>
      <c r="CX24" s="347">
        <f t="shared" si="47"/>
        <v>0</v>
      </c>
      <c r="CY24" s="347">
        <v>0</v>
      </c>
      <c r="DA24" s="346" t="s">
        <v>168</v>
      </c>
      <c r="DB24" s="347">
        <v>0</v>
      </c>
      <c r="DC24" s="347">
        <v>0</v>
      </c>
      <c r="DD24" s="347">
        <v>0</v>
      </c>
      <c r="DE24" s="347">
        <f t="shared" si="48"/>
        <v>0</v>
      </c>
      <c r="DF24" s="347">
        <v>0</v>
      </c>
      <c r="DH24" s="346" t="s">
        <v>168</v>
      </c>
      <c r="DI24" s="347">
        <v>0</v>
      </c>
      <c r="DJ24" s="347">
        <v>0</v>
      </c>
      <c r="DK24" s="347">
        <v>0</v>
      </c>
      <c r="DL24" s="347">
        <f t="shared" si="49"/>
        <v>0</v>
      </c>
      <c r="DM24" s="347">
        <v>0</v>
      </c>
      <c r="DO24" s="346" t="s">
        <v>168</v>
      </c>
      <c r="DP24" s="347">
        <v>0</v>
      </c>
      <c r="DQ24" s="347">
        <v>0</v>
      </c>
      <c r="DR24" s="347">
        <v>0</v>
      </c>
      <c r="DS24" s="347">
        <f t="shared" si="50"/>
        <v>0</v>
      </c>
      <c r="DT24" s="347">
        <v>0</v>
      </c>
      <c r="DV24" s="346" t="s">
        <v>168</v>
      </c>
      <c r="DW24" s="347">
        <v>0</v>
      </c>
      <c r="DX24" s="347">
        <v>0</v>
      </c>
      <c r="DY24" s="347">
        <v>0</v>
      </c>
      <c r="DZ24" s="347">
        <f t="shared" si="51"/>
        <v>0</v>
      </c>
      <c r="EA24" s="347">
        <v>0</v>
      </c>
      <c r="EC24" s="346" t="s">
        <v>168</v>
      </c>
      <c r="ED24" s="347">
        <v>0</v>
      </c>
      <c r="EE24" s="347">
        <v>0</v>
      </c>
      <c r="EF24" s="347">
        <v>0</v>
      </c>
      <c r="EG24" s="347">
        <f t="shared" si="52"/>
        <v>0</v>
      </c>
      <c r="EH24" s="347">
        <v>0</v>
      </c>
      <c r="EJ24" s="346" t="s">
        <v>168</v>
      </c>
      <c r="EK24" s="347">
        <v>0</v>
      </c>
      <c r="EL24" s="347">
        <v>0</v>
      </c>
      <c r="EM24" s="347">
        <v>0</v>
      </c>
      <c r="EN24" s="347">
        <f t="shared" si="53"/>
        <v>0</v>
      </c>
      <c r="EO24" s="347">
        <v>0</v>
      </c>
      <c r="EQ24" s="346" t="s">
        <v>168</v>
      </c>
      <c r="ER24" s="347">
        <v>0</v>
      </c>
      <c r="ES24" s="347">
        <v>0</v>
      </c>
      <c r="ET24" s="347">
        <v>0</v>
      </c>
      <c r="EU24" s="347">
        <f t="shared" si="54"/>
        <v>0</v>
      </c>
      <c r="EV24" s="347">
        <v>0</v>
      </c>
      <c r="EX24" s="346" t="s">
        <v>168</v>
      </c>
      <c r="EY24" s="347">
        <v>0</v>
      </c>
      <c r="EZ24" s="347">
        <v>0</v>
      </c>
      <c r="FA24" s="347">
        <v>0</v>
      </c>
      <c r="FB24" s="347">
        <f t="shared" si="24"/>
        <v>0</v>
      </c>
      <c r="FC24" s="347">
        <v>0</v>
      </c>
      <c r="FE24" s="346" t="s">
        <v>168</v>
      </c>
      <c r="FF24" s="347">
        <v>0</v>
      </c>
      <c r="FG24" s="347">
        <v>0</v>
      </c>
      <c r="FH24" s="347">
        <v>0</v>
      </c>
      <c r="FI24" s="347">
        <f t="shared" si="55"/>
        <v>0</v>
      </c>
      <c r="FJ24" s="347">
        <v>0</v>
      </c>
      <c r="FL24" s="346" t="s">
        <v>168</v>
      </c>
      <c r="FM24" s="347">
        <v>0</v>
      </c>
      <c r="FN24" s="347">
        <v>0</v>
      </c>
      <c r="FO24" s="347">
        <v>0</v>
      </c>
      <c r="FP24" s="347">
        <f t="shared" si="56"/>
        <v>0</v>
      </c>
      <c r="FQ24" s="347">
        <v>0</v>
      </c>
      <c r="FS24" s="346" t="s">
        <v>168</v>
      </c>
      <c r="FT24" s="347">
        <v>0</v>
      </c>
      <c r="FU24" s="354">
        <f>0-FT24</f>
        <v>0</v>
      </c>
      <c r="FV24" s="354">
        <f t="shared" si="63"/>
        <v>0</v>
      </c>
      <c r="FW24" s="347">
        <f t="shared" si="57"/>
        <v>0</v>
      </c>
      <c r="FX24" s="354">
        <v>0</v>
      </c>
      <c r="FZ24" s="346" t="s">
        <v>168</v>
      </c>
      <c r="GA24" s="354">
        <v>0</v>
      </c>
      <c r="GB24" s="354">
        <f t="shared" si="64"/>
        <v>0</v>
      </c>
      <c r="GC24" s="354">
        <f t="shared" si="67"/>
        <v>0</v>
      </c>
      <c r="GD24" s="354">
        <v>0</v>
      </c>
      <c r="GE24" s="354">
        <f t="shared" si="58"/>
        <v>0</v>
      </c>
      <c r="GG24" s="346" t="s">
        <v>168</v>
      </c>
      <c r="GH24" s="354">
        <v>0</v>
      </c>
      <c r="GI24" s="354">
        <v>0</v>
      </c>
      <c r="GJ24" s="354">
        <v>0</v>
      </c>
      <c r="GK24" s="354">
        <v>0</v>
      </c>
      <c r="GL24" s="354">
        <f t="shared" si="59"/>
        <v>0</v>
      </c>
      <c r="GN24" s="346" t="s">
        <v>168</v>
      </c>
      <c r="GO24" s="354">
        <v>0</v>
      </c>
      <c r="GP24" s="354">
        <v>0</v>
      </c>
      <c r="GQ24" s="354">
        <v>0</v>
      </c>
      <c r="GR24" s="354">
        <v>0</v>
      </c>
      <c r="GS24" s="354">
        <f t="shared" si="60"/>
        <v>0</v>
      </c>
      <c r="GU24" s="346" t="s">
        <v>168</v>
      </c>
      <c r="GV24" s="354">
        <v>0</v>
      </c>
      <c r="GW24" s="354">
        <v>0</v>
      </c>
      <c r="GX24" s="354">
        <v>0</v>
      </c>
      <c r="GY24" s="354">
        <v>0</v>
      </c>
      <c r="GZ24" s="354">
        <f t="shared" si="61"/>
        <v>0</v>
      </c>
    </row>
    <row r="25" spans="1:208" x14ac:dyDescent="0.4">
      <c r="B25" s="82"/>
      <c r="C25" s="80"/>
      <c r="D25" s="80"/>
      <c r="E25" s="80"/>
      <c r="F25" s="80"/>
      <c r="G25" s="80"/>
      <c r="H25" s="80"/>
      <c r="I25" s="80"/>
      <c r="J25" s="80"/>
      <c r="K25" s="80"/>
      <c r="L25" s="80"/>
      <c r="M25" s="80"/>
      <c r="N25" s="80"/>
      <c r="O25" s="80"/>
      <c r="P25" s="80"/>
      <c r="Q25" s="80"/>
      <c r="R25" s="80"/>
      <c r="S25" s="80"/>
      <c r="T25" s="80"/>
      <c r="U25" s="80"/>
      <c r="V25" s="80"/>
      <c r="W25" s="80"/>
      <c r="X25" s="80"/>
      <c r="Y25" s="80"/>
      <c r="Z25" s="80"/>
      <c r="AA25" s="78"/>
      <c r="AB25" s="78"/>
      <c r="AC25" s="78"/>
      <c r="AD25" s="78"/>
      <c r="AE25" s="78"/>
      <c r="AF25" s="78"/>
      <c r="AG25" s="78"/>
      <c r="AH25" s="78"/>
      <c r="AI25" s="78"/>
      <c r="AJ25" s="78"/>
      <c r="AK25" s="78"/>
      <c r="AL25" s="78"/>
      <c r="AM25" s="78"/>
      <c r="AN25" s="78"/>
      <c r="AP25" s="82"/>
      <c r="AQ25" s="80"/>
      <c r="AR25" s="80"/>
      <c r="AS25" s="80"/>
      <c r="AT25" s="80"/>
      <c r="AU25" s="80"/>
      <c r="AW25" s="82"/>
      <c r="AX25" s="80"/>
      <c r="AY25" s="80"/>
      <c r="AZ25" s="80"/>
      <c r="BA25" s="80"/>
      <c r="BB25" s="80"/>
      <c r="BD25" s="82"/>
      <c r="BE25" s="80"/>
      <c r="BF25" s="80"/>
      <c r="BG25" s="80"/>
      <c r="BH25" s="80"/>
      <c r="BI25" s="80"/>
      <c r="BK25" s="82"/>
      <c r="BL25" s="80"/>
      <c r="BM25" s="80"/>
      <c r="BN25" s="80"/>
      <c r="BO25" s="80"/>
      <c r="BP25" s="80"/>
      <c r="BR25" s="82"/>
      <c r="BS25" s="80"/>
      <c r="BT25" s="80"/>
      <c r="BU25" s="80"/>
      <c r="BV25" s="80"/>
      <c r="BW25" s="80"/>
      <c r="BY25" s="82"/>
      <c r="BZ25" s="80"/>
      <c r="CA25" s="80"/>
      <c r="CB25" s="80"/>
      <c r="CC25" s="80"/>
      <c r="CD25" s="80"/>
      <c r="CF25" s="82"/>
      <c r="CG25" s="80"/>
      <c r="CH25" s="80"/>
      <c r="CI25" s="80"/>
      <c r="CJ25" s="80"/>
      <c r="CK25" s="80"/>
      <c r="CM25" s="82"/>
      <c r="CN25" s="80"/>
      <c r="CO25" s="80"/>
      <c r="CP25" s="80"/>
      <c r="CQ25" s="80"/>
      <c r="CR25" s="80"/>
      <c r="CT25" s="82"/>
      <c r="CU25" s="80"/>
      <c r="CV25" s="80"/>
      <c r="CW25" s="80"/>
      <c r="CX25" s="80"/>
      <c r="CY25" s="80"/>
      <c r="DA25" s="82"/>
      <c r="DB25" s="80"/>
      <c r="DC25" s="80"/>
      <c r="DD25" s="80"/>
      <c r="DE25" s="80"/>
      <c r="DF25" s="80"/>
      <c r="DH25" s="82"/>
      <c r="DI25" s="80"/>
      <c r="DJ25" s="80"/>
      <c r="DK25" s="80"/>
      <c r="DL25" s="80"/>
      <c r="DM25" s="80"/>
      <c r="DO25" s="82"/>
      <c r="DP25" s="80"/>
      <c r="DQ25" s="80"/>
      <c r="DR25" s="80"/>
      <c r="DS25" s="80"/>
      <c r="DT25" s="80"/>
      <c r="DV25" s="82"/>
      <c r="DW25" s="80"/>
      <c r="DX25" s="80"/>
      <c r="DY25" s="80"/>
      <c r="DZ25" s="80"/>
      <c r="EA25" s="80"/>
      <c r="EC25" s="82"/>
      <c r="ED25" s="80"/>
      <c r="EE25" s="80"/>
      <c r="EF25" s="80"/>
      <c r="EG25" s="80"/>
      <c r="EH25" s="80"/>
      <c r="EJ25" s="82"/>
      <c r="EK25" s="80"/>
      <c r="EL25" s="80"/>
      <c r="EM25" s="80"/>
      <c r="EN25" s="80"/>
      <c r="EO25" s="80"/>
      <c r="EQ25" s="82"/>
      <c r="ER25" s="80"/>
      <c r="ES25" s="80"/>
      <c r="ET25" s="80"/>
      <c r="EU25" s="80"/>
      <c r="EV25" s="80"/>
      <c r="EX25" s="82"/>
      <c r="EY25" s="80"/>
      <c r="EZ25" s="80"/>
      <c r="FA25" s="80"/>
      <c r="FB25" s="80"/>
      <c r="FC25" s="80"/>
      <c r="FE25" s="82"/>
      <c r="FF25" s="80"/>
      <c r="FG25" s="80"/>
      <c r="FH25" s="80"/>
      <c r="FI25" s="80"/>
      <c r="FJ25" s="80"/>
      <c r="FL25" s="82"/>
      <c r="FM25" s="80"/>
      <c r="FN25" s="80"/>
      <c r="FO25" s="80"/>
      <c r="FP25" s="80"/>
      <c r="FQ25" s="80"/>
      <c r="FS25" s="82"/>
      <c r="FT25" s="80"/>
      <c r="FU25" s="80"/>
      <c r="FV25" s="80"/>
      <c r="FW25" s="80"/>
      <c r="FX25" s="80"/>
      <c r="FZ25" s="82"/>
      <c r="GA25" s="80"/>
      <c r="GB25" s="80"/>
      <c r="GC25" s="80"/>
      <c r="GD25" s="80"/>
      <c r="GE25" s="80"/>
      <c r="GG25" s="82"/>
      <c r="GH25" s="80"/>
      <c r="GI25" s="80"/>
      <c r="GJ25" s="80"/>
      <c r="GK25" s="80"/>
      <c r="GL25" s="80"/>
      <c r="GN25" s="82"/>
      <c r="GO25" s="80"/>
      <c r="GP25" s="80"/>
      <c r="GQ25" s="80"/>
      <c r="GR25" s="80"/>
      <c r="GS25" s="80"/>
      <c r="GU25" s="82"/>
      <c r="GV25" s="80"/>
      <c r="GW25" s="80"/>
      <c r="GX25" s="80"/>
      <c r="GY25" s="80"/>
      <c r="GZ25" s="80"/>
    </row>
    <row r="26" spans="1:208" outlineLevel="1" x14ac:dyDescent="0.4">
      <c r="A26" s="418"/>
      <c r="B26" s="318" t="s">
        <v>58</v>
      </c>
      <c r="C26" s="319"/>
      <c r="D26" s="319"/>
      <c r="E26" s="319"/>
      <c r="F26" s="319"/>
      <c r="G26" s="319"/>
      <c r="H26" s="319"/>
      <c r="I26" s="319"/>
      <c r="J26" s="319"/>
      <c r="K26" s="319"/>
      <c r="L26" s="319"/>
      <c r="M26" s="319"/>
      <c r="N26" s="319"/>
      <c r="O26" s="319"/>
      <c r="P26" s="319"/>
      <c r="Q26" s="319"/>
      <c r="R26" s="319"/>
      <c r="S26" s="319"/>
      <c r="T26" s="319"/>
      <c r="U26" s="319"/>
      <c r="V26" s="319"/>
      <c r="W26" s="319"/>
      <c r="X26" s="319"/>
      <c r="Y26" s="319"/>
      <c r="Z26" s="319"/>
      <c r="AA26" s="320"/>
      <c r="AB26" s="320"/>
      <c r="AC26" s="320"/>
      <c r="AD26" s="320"/>
      <c r="AE26" s="320"/>
      <c r="AF26" s="320"/>
      <c r="AG26" s="320"/>
      <c r="AH26" s="320"/>
      <c r="AI26" s="320"/>
      <c r="AJ26" s="320"/>
      <c r="AK26" s="320"/>
      <c r="AL26" s="320"/>
      <c r="AM26" s="320"/>
      <c r="AN26" s="320"/>
      <c r="AP26" s="318" t="s">
        <v>58</v>
      </c>
      <c r="AQ26" s="319">
        <f t="shared" ref="AQ26:BP26" si="68">SUM(AQ27:AQ31)</f>
        <v>0</v>
      </c>
      <c r="AR26" s="319">
        <f t="shared" si="68"/>
        <v>-230</v>
      </c>
      <c r="AS26" s="319">
        <f t="shared" si="68"/>
        <v>13</v>
      </c>
      <c r="AT26" s="319">
        <f t="shared" si="68"/>
        <v>-65</v>
      </c>
      <c r="AU26" s="319">
        <f t="shared" si="68"/>
        <v>-282</v>
      </c>
      <c r="AW26" s="318" t="s">
        <v>58</v>
      </c>
      <c r="AX26" s="319">
        <f t="shared" si="68"/>
        <v>-138</v>
      </c>
      <c r="AY26" s="319">
        <f t="shared" si="68"/>
        <v>-19</v>
      </c>
      <c r="AZ26" s="319">
        <f t="shared" si="68"/>
        <v>-33</v>
      </c>
      <c r="BA26" s="319">
        <f t="shared" si="68"/>
        <v>97</v>
      </c>
      <c r="BB26" s="319">
        <f t="shared" si="68"/>
        <v>-93</v>
      </c>
      <c r="BD26" s="318" t="s">
        <v>58</v>
      </c>
      <c r="BE26" s="319">
        <f t="shared" si="68"/>
        <v>84</v>
      </c>
      <c r="BF26" s="319">
        <f t="shared" si="68"/>
        <v>-115</v>
      </c>
      <c r="BG26" s="319">
        <f t="shared" si="68"/>
        <v>162</v>
      </c>
      <c r="BH26" s="319">
        <f t="shared" si="68"/>
        <v>22</v>
      </c>
      <c r="BI26" s="319">
        <f t="shared" si="68"/>
        <v>153</v>
      </c>
      <c r="BK26" s="318" t="s">
        <v>58</v>
      </c>
      <c r="BL26" s="319">
        <f t="shared" si="68"/>
        <v>93</v>
      </c>
      <c r="BM26" s="319">
        <f t="shared" si="68"/>
        <v>-113</v>
      </c>
      <c r="BN26" s="319">
        <f t="shared" si="68"/>
        <v>115</v>
      </c>
      <c r="BO26" s="319">
        <f t="shared" si="68"/>
        <v>-28</v>
      </c>
      <c r="BP26" s="319">
        <f t="shared" si="68"/>
        <v>67</v>
      </c>
      <c r="BR26" s="318" t="s">
        <v>58</v>
      </c>
      <c r="BS26" s="319">
        <f t="shared" ref="BS26:EH26" si="69">SUM(BS27:BS31)</f>
        <v>-35</v>
      </c>
      <c r="BT26" s="319">
        <f t="shared" si="69"/>
        <v>-32</v>
      </c>
      <c r="BU26" s="319">
        <f t="shared" si="69"/>
        <v>131</v>
      </c>
      <c r="BV26" s="319">
        <f>SUM(BV27:BV31)</f>
        <v>-69</v>
      </c>
      <c r="BW26" s="319">
        <f t="shared" si="69"/>
        <v>-5</v>
      </c>
      <c r="BY26" s="318" t="s">
        <v>58</v>
      </c>
      <c r="BZ26" s="319">
        <f t="shared" si="69"/>
        <v>101</v>
      </c>
      <c r="CA26" s="319">
        <f t="shared" si="69"/>
        <v>-14</v>
      </c>
      <c r="CB26" s="319">
        <f t="shared" si="69"/>
        <v>148</v>
      </c>
      <c r="CC26" s="319">
        <f>SUM(CC27:CC31)</f>
        <v>-10</v>
      </c>
      <c r="CD26" s="319">
        <f t="shared" si="69"/>
        <v>225</v>
      </c>
      <c r="CF26" s="318" t="s">
        <v>58</v>
      </c>
      <c r="CG26" s="319">
        <f t="shared" si="69"/>
        <v>-279</v>
      </c>
      <c r="CH26" s="319">
        <f t="shared" si="69"/>
        <v>204</v>
      </c>
      <c r="CI26" s="319">
        <f t="shared" si="69"/>
        <v>75</v>
      </c>
      <c r="CJ26" s="319">
        <f>SUM(CJ27:CJ31)</f>
        <v>87</v>
      </c>
      <c r="CK26" s="319">
        <f t="shared" si="69"/>
        <v>87</v>
      </c>
      <c r="CM26" s="318" t="s">
        <v>58</v>
      </c>
      <c r="CN26" s="319">
        <f t="shared" si="69"/>
        <v>-126</v>
      </c>
      <c r="CO26" s="319">
        <f t="shared" si="69"/>
        <v>-28</v>
      </c>
      <c r="CP26" s="319">
        <f t="shared" si="69"/>
        <v>184</v>
      </c>
      <c r="CQ26" s="319">
        <f>SUM(CQ27:CQ31)</f>
        <v>-93</v>
      </c>
      <c r="CR26" s="319">
        <f t="shared" si="69"/>
        <v>-63</v>
      </c>
      <c r="CT26" s="318" t="s">
        <v>58</v>
      </c>
      <c r="CU26" s="319">
        <f t="shared" si="69"/>
        <v>4</v>
      </c>
      <c r="CV26" s="319">
        <f t="shared" si="69"/>
        <v>2</v>
      </c>
      <c r="CW26" s="319">
        <f t="shared" si="69"/>
        <v>124</v>
      </c>
      <c r="CX26" s="319">
        <f>SUM(CX27:CX31)</f>
        <v>-26</v>
      </c>
      <c r="CY26" s="319">
        <f t="shared" si="69"/>
        <v>104</v>
      </c>
      <c r="DA26" s="318" t="s">
        <v>58</v>
      </c>
      <c r="DB26" s="319">
        <f t="shared" si="69"/>
        <v>-71</v>
      </c>
      <c r="DC26" s="319">
        <f t="shared" si="69"/>
        <v>-64</v>
      </c>
      <c r="DD26" s="319">
        <f t="shared" si="69"/>
        <v>74</v>
      </c>
      <c r="DE26" s="319">
        <f>SUM(DE27:DE31)</f>
        <v>25</v>
      </c>
      <c r="DF26" s="319">
        <f t="shared" si="69"/>
        <v>-36</v>
      </c>
      <c r="DH26" s="318" t="s">
        <v>58</v>
      </c>
      <c r="DI26" s="319">
        <f t="shared" si="69"/>
        <v>-79</v>
      </c>
      <c r="DJ26" s="319">
        <f t="shared" si="69"/>
        <v>-7</v>
      </c>
      <c r="DK26" s="319">
        <f t="shared" si="69"/>
        <v>91</v>
      </c>
      <c r="DL26" s="319">
        <f>SUM(DL27:DL31)</f>
        <v>-199</v>
      </c>
      <c r="DM26" s="319">
        <f t="shared" si="69"/>
        <v>-194</v>
      </c>
      <c r="DO26" s="318" t="s">
        <v>58</v>
      </c>
      <c r="DP26" s="319">
        <f t="shared" si="69"/>
        <v>34</v>
      </c>
      <c r="DQ26" s="319">
        <f t="shared" si="69"/>
        <v>-13</v>
      </c>
      <c r="DR26" s="319">
        <f t="shared" si="69"/>
        <v>-3</v>
      </c>
      <c r="DS26" s="319">
        <f>SUM(DS27:DS31)</f>
        <v>51</v>
      </c>
      <c r="DT26" s="319">
        <f t="shared" si="69"/>
        <v>69</v>
      </c>
      <c r="DV26" s="318" t="s">
        <v>58</v>
      </c>
      <c r="DW26" s="319">
        <f t="shared" si="69"/>
        <v>139</v>
      </c>
      <c r="DX26" s="319">
        <f t="shared" si="69"/>
        <v>-355</v>
      </c>
      <c r="DY26" s="319">
        <f>SUM(DY27:DY31)</f>
        <v>471</v>
      </c>
      <c r="DZ26" s="319">
        <f>SUM(DZ27:DZ31)</f>
        <v>-220</v>
      </c>
      <c r="EA26" s="319">
        <f t="shared" si="69"/>
        <v>35</v>
      </c>
      <c r="EC26" s="318" t="s">
        <v>58</v>
      </c>
      <c r="ED26" s="319">
        <f t="shared" si="69"/>
        <v>-43</v>
      </c>
      <c r="EE26" s="319">
        <f t="shared" si="69"/>
        <v>-118</v>
      </c>
      <c r="EF26" s="319">
        <f t="shared" si="69"/>
        <v>195</v>
      </c>
      <c r="EG26" s="319">
        <f t="shared" si="69"/>
        <v>-26</v>
      </c>
      <c r="EH26" s="319">
        <f t="shared" si="69"/>
        <v>8</v>
      </c>
      <c r="EJ26" s="318" t="s">
        <v>58</v>
      </c>
      <c r="EK26" s="319">
        <f t="shared" ref="EK26:GL26" si="70">SUM(EK27:EK31)</f>
        <v>18</v>
      </c>
      <c r="EL26" s="319">
        <f t="shared" si="70"/>
        <v>-94</v>
      </c>
      <c r="EM26" s="319">
        <f t="shared" si="70"/>
        <v>272</v>
      </c>
      <c r="EN26" s="319">
        <f t="shared" si="70"/>
        <v>-188</v>
      </c>
      <c r="EO26" s="319">
        <f t="shared" si="70"/>
        <v>8</v>
      </c>
      <c r="EQ26" s="318" t="s">
        <v>58</v>
      </c>
      <c r="ER26" s="319">
        <f t="shared" si="70"/>
        <v>54</v>
      </c>
      <c r="ES26" s="319">
        <f t="shared" si="70"/>
        <v>166</v>
      </c>
      <c r="ET26" s="319">
        <f t="shared" si="70"/>
        <v>-187</v>
      </c>
      <c r="EU26" s="319">
        <f t="shared" si="70"/>
        <v>-31</v>
      </c>
      <c r="EV26" s="319">
        <f t="shared" si="70"/>
        <v>2</v>
      </c>
      <c r="EX26" s="318" t="s">
        <v>58</v>
      </c>
      <c r="EY26" s="319">
        <f t="shared" si="70"/>
        <v>116</v>
      </c>
      <c r="EZ26" s="319">
        <f t="shared" si="70"/>
        <v>-13</v>
      </c>
      <c r="FA26" s="319">
        <f t="shared" si="70"/>
        <v>120</v>
      </c>
      <c r="FB26" s="319">
        <f t="shared" si="70"/>
        <v>-50</v>
      </c>
      <c r="FC26" s="319">
        <f t="shared" si="70"/>
        <v>173</v>
      </c>
      <c r="FE26" s="318" t="s">
        <v>58</v>
      </c>
      <c r="FF26" s="319">
        <f t="shared" si="70"/>
        <v>66</v>
      </c>
      <c r="FG26" s="319">
        <f t="shared" si="70"/>
        <v>-238</v>
      </c>
      <c r="FH26" s="319">
        <f t="shared" si="70"/>
        <v>282</v>
      </c>
      <c r="FI26" s="319">
        <f t="shared" si="70"/>
        <v>-19</v>
      </c>
      <c r="FJ26" s="319">
        <f t="shared" si="70"/>
        <v>91</v>
      </c>
      <c r="FL26" s="318" t="s">
        <v>58</v>
      </c>
      <c r="FM26" s="319">
        <f t="shared" si="70"/>
        <v>-125</v>
      </c>
      <c r="FN26" s="319">
        <f t="shared" si="70"/>
        <v>-251</v>
      </c>
      <c r="FO26" s="319">
        <f t="shared" si="70"/>
        <v>248</v>
      </c>
      <c r="FP26" s="319">
        <f t="shared" ref="FP26:FQ26" si="71">SUM(FP27:FP31)</f>
        <v>250</v>
      </c>
      <c r="FQ26" s="319">
        <f t="shared" si="71"/>
        <v>122</v>
      </c>
      <c r="FS26" s="318" t="s">
        <v>58</v>
      </c>
      <c r="FT26" s="319">
        <f t="shared" si="70"/>
        <v>-214</v>
      </c>
      <c r="FU26" s="319">
        <f t="shared" si="70"/>
        <v>-271</v>
      </c>
      <c r="FV26" s="319">
        <f t="shared" si="70"/>
        <v>395</v>
      </c>
      <c r="FW26" s="319">
        <f t="shared" si="70"/>
        <v>164</v>
      </c>
      <c r="FX26" s="319">
        <f t="shared" si="70"/>
        <v>74</v>
      </c>
      <c r="FZ26" s="318" t="s">
        <v>58</v>
      </c>
      <c r="GA26" s="319">
        <f t="shared" ref="GA26" si="72">SUM(GA27:GA31)</f>
        <v>175</v>
      </c>
      <c r="GB26" s="319">
        <f t="shared" si="70"/>
        <v>-561</v>
      </c>
      <c r="GC26" s="319">
        <f t="shared" si="70"/>
        <v>-81</v>
      </c>
      <c r="GD26" s="319">
        <f t="shared" si="70"/>
        <v>211</v>
      </c>
      <c r="GE26" s="319">
        <f t="shared" si="70"/>
        <v>-256</v>
      </c>
      <c r="GG26" s="318" t="s">
        <v>58</v>
      </c>
      <c r="GH26" s="319">
        <f t="shared" si="70"/>
        <v>-3.4346559855603118</v>
      </c>
      <c r="GI26" s="319">
        <f t="shared" si="70"/>
        <v>-7.7738187023346654</v>
      </c>
      <c r="GJ26" s="319">
        <f t="shared" si="70"/>
        <v>69.56795986910106</v>
      </c>
      <c r="GK26" s="319">
        <f t="shared" si="70"/>
        <v>-15.474746882878435</v>
      </c>
      <c r="GL26" s="319">
        <f t="shared" si="70"/>
        <v>42.884738298327647</v>
      </c>
      <c r="GN26" s="318" t="s">
        <v>58</v>
      </c>
      <c r="GO26" s="319">
        <f t="shared" ref="GO26:GS26" si="73">SUM(GO27:GO31)</f>
        <v>113.46078547777483</v>
      </c>
      <c r="GP26" s="319">
        <f t="shared" si="73"/>
        <v>-8.2637643337423015</v>
      </c>
      <c r="GQ26" s="319">
        <f t="shared" si="73"/>
        <v>-10.059911792443927</v>
      </c>
      <c r="GR26" s="319">
        <f t="shared" si="73"/>
        <v>-10.028683950616369</v>
      </c>
      <c r="GS26" s="319">
        <f t="shared" si="73"/>
        <v>85.108425400972237</v>
      </c>
      <c r="GU26" s="318" t="s">
        <v>58</v>
      </c>
      <c r="GV26" s="319">
        <f t="shared" ref="GV26:GZ26" si="74">SUM(GV27:GV31)</f>
        <v>-3.0412714334554494</v>
      </c>
      <c r="GW26" s="319">
        <f t="shared" si="74"/>
        <v>-1.6006694926441014</v>
      </c>
      <c r="GX26" s="319">
        <f t="shared" si="74"/>
        <v>4.7845804966527794E-2</v>
      </c>
      <c r="GY26" s="319">
        <f t="shared" si="74"/>
        <v>-2.8715793436933836</v>
      </c>
      <c r="GZ26" s="319">
        <f t="shared" si="74"/>
        <v>-7.4656744648264066</v>
      </c>
    </row>
    <row r="27" spans="1:208" outlineLevel="1" x14ac:dyDescent="0.4">
      <c r="A27" s="414"/>
      <c r="B27" s="353" t="s">
        <v>101</v>
      </c>
      <c r="C27" s="354">
        <f>AU27</f>
        <v>-44</v>
      </c>
      <c r="D27" s="354">
        <f>BB27</f>
        <v>-33</v>
      </c>
      <c r="E27" s="354">
        <f>BI27</f>
        <v>-50</v>
      </c>
      <c r="F27" s="354">
        <f>BP27</f>
        <v>74</v>
      </c>
      <c r="G27" s="354">
        <f>BW27</f>
        <v>91</v>
      </c>
      <c r="H27" s="354">
        <f>CD27</f>
        <v>38</v>
      </c>
      <c r="I27" s="354">
        <f>CK27</f>
        <v>-117</v>
      </c>
      <c r="J27" s="354">
        <f>CR27</f>
        <v>61</v>
      </c>
      <c r="K27" s="354">
        <f>CY27</f>
        <v>-6</v>
      </c>
      <c r="L27" s="354">
        <f>DF27</f>
        <v>-119</v>
      </c>
      <c r="M27" s="354">
        <f>DM27</f>
        <v>149</v>
      </c>
      <c r="N27" s="354">
        <f>DT27</f>
        <v>84</v>
      </c>
      <c r="O27" s="354">
        <f>EA27</f>
        <v>-70</v>
      </c>
      <c r="P27" s="354">
        <f>EH27</f>
        <v>-46</v>
      </c>
      <c r="Q27" s="354">
        <f>EO27</f>
        <v>-46</v>
      </c>
      <c r="R27" s="354">
        <f>EV27</f>
        <v>83</v>
      </c>
      <c r="S27" s="354">
        <f>FC27</f>
        <v>-141</v>
      </c>
      <c r="T27" s="354">
        <f>FJ27</f>
        <v>-101</v>
      </c>
      <c r="U27" s="354">
        <f>FQ27</f>
        <v>-51</v>
      </c>
      <c r="V27" s="354">
        <f>FX27</f>
        <v>82</v>
      </c>
      <c r="W27" s="354">
        <f>GE27</f>
        <v>-34.191000000000031</v>
      </c>
      <c r="X27" s="354">
        <f>GL27</f>
        <v>246.81803416666662</v>
      </c>
      <c r="Y27" s="354">
        <f>GS27</f>
        <v>73.143392209429294</v>
      </c>
      <c r="Z27" s="354">
        <f>GZ27</f>
        <v>-46.370245058419187</v>
      </c>
      <c r="AA27" s="348"/>
      <c r="AB27" s="348"/>
      <c r="AC27" s="348"/>
      <c r="AD27" s="348"/>
      <c r="AE27" s="348"/>
      <c r="AF27" s="348"/>
      <c r="AG27" s="348"/>
      <c r="AH27" s="348"/>
      <c r="AI27" s="348"/>
      <c r="AJ27" s="348"/>
      <c r="AK27" s="348"/>
      <c r="AL27" s="348"/>
      <c r="AM27" s="348"/>
      <c r="AN27" s="348"/>
      <c r="AP27" s="353" t="s">
        <v>101</v>
      </c>
      <c r="AQ27" s="347">
        <v>-14</v>
      </c>
      <c r="AR27" s="347">
        <f>41-AQ27</f>
        <v>55</v>
      </c>
      <c r="AS27" s="347">
        <f>-74-AR27-AQ27</f>
        <v>-115</v>
      </c>
      <c r="AT27" s="347">
        <f>AU27-SUM(AQ27:AS27)</f>
        <v>30</v>
      </c>
      <c r="AU27" s="347">
        <v>-44</v>
      </c>
      <c r="AW27" s="353" t="s">
        <v>101</v>
      </c>
      <c r="AX27" s="347">
        <v>-70</v>
      </c>
      <c r="AY27" s="347">
        <f>-63-AX27</f>
        <v>7</v>
      </c>
      <c r="AZ27" s="347">
        <f>-133-AY27-AX27</f>
        <v>-70</v>
      </c>
      <c r="BA27" s="347">
        <f>BB27-SUM(AX27:AZ27)</f>
        <v>100</v>
      </c>
      <c r="BB27" s="347">
        <v>-33</v>
      </c>
      <c r="BD27" s="353" t="s">
        <v>101</v>
      </c>
      <c r="BE27" s="347">
        <v>62</v>
      </c>
      <c r="BF27" s="347">
        <f>3-BE27</f>
        <v>-59</v>
      </c>
      <c r="BG27" s="347">
        <f>-17-BF27-BE27</f>
        <v>-20</v>
      </c>
      <c r="BH27" s="347">
        <f>BI27-SUM(BE27:BG27)</f>
        <v>-33</v>
      </c>
      <c r="BI27" s="347">
        <v>-50</v>
      </c>
      <c r="BK27" s="353" t="s">
        <v>101</v>
      </c>
      <c r="BL27" s="347">
        <v>3</v>
      </c>
      <c r="BM27" s="347">
        <f>-44-BL27</f>
        <v>-47</v>
      </c>
      <c r="BN27" s="347">
        <f>-76-BM27-BL27</f>
        <v>-32</v>
      </c>
      <c r="BO27" s="347">
        <f>BP27-SUM(BL27:BN27)</f>
        <v>150</v>
      </c>
      <c r="BP27" s="347">
        <v>74</v>
      </c>
      <c r="BR27" s="353" t="s">
        <v>101</v>
      </c>
      <c r="BS27" s="347">
        <v>132</v>
      </c>
      <c r="BT27" s="347">
        <f>202-BS27</f>
        <v>70</v>
      </c>
      <c r="BU27" s="347">
        <f>159-BT27-BS27</f>
        <v>-43</v>
      </c>
      <c r="BV27" s="347">
        <f>BW27-SUM(BS27:BU27)</f>
        <v>-68</v>
      </c>
      <c r="BW27" s="347">
        <v>91</v>
      </c>
      <c r="BY27" s="353" t="s">
        <v>101</v>
      </c>
      <c r="BZ27" s="347">
        <v>24</v>
      </c>
      <c r="CA27" s="347">
        <f>57-BZ27</f>
        <v>33</v>
      </c>
      <c r="CB27" s="347">
        <f>5-CA27-BZ27</f>
        <v>-52</v>
      </c>
      <c r="CC27" s="347">
        <f>CD27-SUM(BZ27:CB27)</f>
        <v>33</v>
      </c>
      <c r="CD27" s="347">
        <v>38</v>
      </c>
      <c r="CF27" s="353" t="s">
        <v>101</v>
      </c>
      <c r="CG27" s="347">
        <v>-86</v>
      </c>
      <c r="CH27" s="347">
        <f>-121-CG27</f>
        <v>-35</v>
      </c>
      <c r="CI27" s="347">
        <f>-149-CH27-CG27</f>
        <v>-28</v>
      </c>
      <c r="CJ27" s="347">
        <f>CK27-SUM(CG27:CI27)</f>
        <v>32</v>
      </c>
      <c r="CK27" s="347">
        <v>-117</v>
      </c>
      <c r="CM27" s="353" t="s">
        <v>101</v>
      </c>
      <c r="CN27" s="347">
        <v>-36</v>
      </c>
      <c r="CO27" s="347">
        <f>-7-CN27</f>
        <v>29</v>
      </c>
      <c r="CP27" s="347">
        <f>12-CO27-CN27</f>
        <v>19</v>
      </c>
      <c r="CQ27" s="347">
        <f>CR27-SUM(CN27:CP27)</f>
        <v>49</v>
      </c>
      <c r="CR27" s="347">
        <v>61</v>
      </c>
      <c r="CT27" s="353" t="s">
        <v>101</v>
      </c>
      <c r="CU27" s="347">
        <v>-47</v>
      </c>
      <c r="CV27" s="347">
        <f>7-CU27</f>
        <v>54</v>
      </c>
      <c r="CW27" s="347">
        <f>-53-CV27-CU27</f>
        <v>-60</v>
      </c>
      <c r="CX27" s="347">
        <f>CY27-SUM(CU27:CW27)</f>
        <v>47</v>
      </c>
      <c r="CY27" s="347">
        <v>-6</v>
      </c>
      <c r="DA27" s="353" t="s">
        <v>101</v>
      </c>
      <c r="DB27" s="347">
        <v>-46</v>
      </c>
      <c r="DC27" s="347">
        <f>-60-DB27</f>
        <v>-14</v>
      </c>
      <c r="DD27" s="347">
        <f>-116-DC27-DB27</f>
        <v>-56</v>
      </c>
      <c r="DE27" s="347">
        <f>DF27-SUM(DB27:DD27)</f>
        <v>-3</v>
      </c>
      <c r="DF27" s="347">
        <v>-119</v>
      </c>
      <c r="DH27" s="353" t="s">
        <v>101</v>
      </c>
      <c r="DI27" s="347">
        <v>19</v>
      </c>
      <c r="DJ27" s="347">
        <f>101-DI27</f>
        <v>82</v>
      </c>
      <c r="DK27" s="347">
        <f>126-DJ27-DI27</f>
        <v>25</v>
      </c>
      <c r="DL27" s="347">
        <f>DM27-SUM(DI27:DK27)</f>
        <v>23</v>
      </c>
      <c r="DM27" s="347">
        <v>149</v>
      </c>
      <c r="DO27" s="353" t="s">
        <v>101</v>
      </c>
      <c r="DP27" s="347">
        <v>57</v>
      </c>
      <c r="DQ27" s="347">
        <f>66-DP27</f>
        <v>9</v>
      </c>
      <c r="DR27" s="347">
        <f>68-DQ27-DP27</f>
        <v>2</v>
      </c>
      <c r="DS27" s="347">
        <f>DT27-SUM(DP27:DR27)</f>
        <v>16</v>
      </c>
      <c r="DT27" s="347">
        <v>84</v>
      </c>
      <c r="DV27" s="353" t="s">
        <v>101</v>
      </c>
      <c r="DW27" s="347">
        <v>-30</v>
      </c>
      <c r="DX27" s="347">
        <f>-103-DW27</f>
        <v>-73</v>
      </c>
      <c r="DY27" s="347">
        <f>-78-DX27-DW27</f>
        <v>25</v>
      </c>
      <c r="DZ27" s="347">
        <f>EA27-SUM(DW27:DY27)</f>
        <v>8</v>
      </c>
      <c r="EA27" s="347">
        <v>-70</v>
      </c>
      <c r="EC27" s="353" t="s">
        <v>101</v>
      </c>
      <c r="ED27" s="347">
        <v>-50</v>
      </c>
      <c r="EE27" s="347">
        <f>-47-ED27</f>
        <v>3</v>
      </c>
      <c r="EF27" s="347">
        <f>-97-EE27-ED27</f>
        <v>-50</v>
      </c>
      <c r="EG27" s="347">
        <f>EH27-SUM(ED27:EF27)</f>
        <v>51</v>
      </c>
      <c r="EH27" s="347">
        <v>-46</v>
      </c>
      <c r="EJ27" s="353" t="s">
        <v>101</v>
      </c>
      <c r="EK27" s="347">
        <v>-56</v>
      </c>
      <c r="EL27" s="347">
        <f>-61-EK27</f>
        <v>-5</v>
      </c>
      <c r="EM27" s="347">
        <f>-39-EL27-EK27</f>
        <v>22</v>
      </c>
      <c r="EN27" s="347">
        <f>EO27-SUM(EK27:EM27)</f>
        <v>-7</v>
      </c>
      <c r="EO27" s="347">
        <v>-46</v>
      </c>
      <c r="EQ27" s="353" t="s">
        <v>101</v>
      </c>
      <c r="ER27" s="347">
        <v>-27</v>
      </c>
      <c r="ES27" s="347">
        <f>120-ER27</f>
        <v>147</v>
      </c>
      <c r="ET27" s="347">
        <f>12-ES27-ER27</f>
        <v>-108</v>
      </c>
      <c r="EU27" s="347">
        <f>EV27-SUM(ER27:ET27)</f>
        <v>71</v>
      </c>
      <c r="EV27" s="347">
        <v>83</v>
      </c>
      <c r="EX27" s="353" t="s">
        <v>101</v>
      </c>
      <c r="EY27" s="347">
        <v>-64</v>
      </c>
      <c r="EZ27" s="347">
        <f>-127-EY27</f>
        <v>-63</v>
      </c>
      <c r="FA27" s="347">
        <f>-153-EZ27-EY27</f>
        <v>-26</v>
      </c>
      <c r="FB27" s="347">
        <f>FC27-SUM(EY27:FA27)</f>
        <v>12</v>
      </c>
      <c r="FC27" s="347">
        <v>-141</v>
      </c>
      <c r="FE27" s="353" t="s">
        <v>101</v>
      </c>
      <c r="FF27" s="347">
        <v>-131</v>
      </c>
      <c r="FG27" s="347">
        <f>-198-FF27</f>
        <v>-67</v>
      </c>
      <c r="FH27" s="347">
        <f>-143-FG27-FF27</f>
        <v>55</v>
      </c>
      <c r="FI27" s="347">
        <f>FJ27-SUM(FF27:FH27)</f>
        <v>42</v>
      </c>
      <c r="FJ27" s="347">
        <v>-101</v>
      </c>
      <c r="FL27" s="353" t="s">
        <v>101</v>
      </c>
      <c r="FM27" s="347">
        <v>-63</v>
      </c>
      <c r="FN27" s="347">
        <f>8-FM27</f>
        <v>71</v>
      </c>
      <c r="FO27" s="347">
        <f>-65-FN27-FM27</f>
        <v>-73</v>
      </c>
      <c r="FP27" s="347">
        <f>FQ27-SUM(FM27:FO27)</f>
        <v>14</v>
      </c>
      <c r="FQ27" s="347">
        <v>-51</v>
      </c>
      <c r="FS27" s="353" t="s">
        <v>101</v>
      </c>
      <c r="FT27" s="347">
        <v>5</v>
      </c>
      <c r="FU27" s="354">
        <f>-19-FT27</f>
        <v>-24</v>
      </c>
      <c r="FV27" s="354">
        <f>7-FU27-FT27</f>
        <v>26</v>
      </c>
      <c r="FW27" s="347">
        <f>FX27-SUM(FT27:FV27)</f>
        <v>75</v>
      </c>
      <c r="FX27" s="354">
        <v>82</v>
      </c>
      <c r="FZ27" s="353" t="s">
        <v>101</v>
      </c>
      <c r="GA27" s="354">
        <v>-9</v>
      </c>
      <c r="GB27" s="354">
        <f>-36-GA27</f>
        <v>-27</v>
      </c>
      <c r="GC27" s="354">
        <f>-30-GB27-GA27</f>
        <v>6</v>
      </c>
      <c r="GD27" s="354">
        <f>-(BS!HX12-BS!HW12)</f>
        <v>-4.1910000000000309</v>
      </c>
      <c r="GE27" s="354">
        <f>+SUM(GA27:GD27)</f>
        <v>-34.191000000000031</v>
      </c>
      <c r="GG27" s="353" t="s">
        <v>101</v>
      </c>
      <c r="GH27" s="354">
        <f>-(BS!IB12-BS!HY12)</f>
        <v>196.70621458333335</v>
      </c>
      <c r="GI27" s="354">
        <f>-(BS!IC12-BS!IB12)</f>
        <v>-5.1574937499999578</v>
      </c>
      <c r="GJ27" s="354">
        <f>-(BS!ID12-BS!IC12)</f>
        <v>69.747940277777843</v>
      </c>
      <c r="GK27" s="354">
        <f>-(BS!IE12-BS!ID12)</f>
        <v>-14.478626944444613</v>
      </c>
      <c r="GL27" s="354">
        <f>+SUM(GH27:GK27)</f>
        <v>246.81803416666662</v>
      </c>
      <c r="GN27" s="353" t="s">
        <v>101</v>
      </c>
      <c r="GO27" s="354">
        <f>-(BS!II12-BS!IF12)</f>
        <v>109.16375183447281</v>
      </c>
      <c r="GP27" s="354">
        <f>-(BS!IJ12-BS!II12)</f>
        <v>-12.018265991840281</v>
      </c>
      <c r="GQ27" s="354">
        <f>-(BS!IK12-BS!IJ12)</f>
        <v>-11.949808520399301</v>
      </c>
      <c r="GR27" s="354">
        <f>-(BS!IL12-BS!IK12)</f>
        <v>-12.052285112803929</v>
      </c>
      <c r="GS27" s="354">
        <f>+SUM(GO27:GR27)</f>
        <v>73.143392209429294</v>
      </c>
      <c r="GU27" s="353" t="s">
        <v>101</v>
      </c>
      <c r="GV27" s="354">
        <f>-(BS!IP12-BS!IM12)</f>
        <v>-11.30136621995598</v>
      </c>
      <c r="GW27" s="354">
        <f>-(BS!IQ12-BS!IP12)</f>
        <v>-11.686944494146246</v>
      </c>
      <c r="GX27" s="354">
        <f>-(BS!IR12-BS!IQ12)</f>
        <v>-11.812209430606345</v>
      </c>
      <c r="GY27" s="354">
        <f>-(BS!IS12-BS!IR12)</f>
        <v>-11.569724913710616</v>
      </c>
      <c r="GZ27" s="354">
        <f>+SUM(GV27:GY27)</f>
        <v>-46.370245058419187</v>
      </c>
    </row>
    <row r="28" spans="1:208" outlineLevel="1" x14ac:dyDescent="0.4">
      <c r="A28" s="414"/>
      <c r="B28" s="353" t="s">
        <v>169</v>
      </c>
      <c r="C28" s="354">
        <f>AU28</f>
        <v>-29</v>
      </c>
      <c r="D28" s="354">
        <f>BB28</f>
        <v>96</v>
      </c>
      <c r="E28" s="354">
        <f>BI28</f>
        <v>-41</v>
      </c>
      <c r="F28" s="354">
        <f>BP28</f>
        <v>37</v>
      </c>
      <c r="G28" s="354">
        <f>BW28</f>
        <v>28</v>
      </c>
      <c r="H28" s="354">
        <f>CD28</f>
        <v>-22</v>
      </c>
      <c r="I28" s="354">
        <f>CK28</f>
        <v>-23</v>
      </c>
      <c r="J28" s="354">
        <f>CR28</f>
        <v>-32</v>
      </c>
      <c r="K28" s="354">
        <f>CY28</f>
        <v>36</v>
      </c>
      <c r="L28" s="354">
        <f>DF28</f>
        <v>-26</v>
      </c>
      <c r="M28" s="354">
        <f>DM28</f>
        <v>-84</v>
      </c>
      <c r="N28" s="354">
        <f>DT28</f>
        <v>-113</v>
      </c>
      <c r="O28" s="354">
        <f>EA28</f>
        <v>1</v>
      </c>
      <c r="P28" s="354">
        <f>EH28</f>
        <v>101</v>
      </c>
      <c r="Q28" s="354">
        <f>EO28</f>
        <v>101</v>
      </c>
      <c r="R28" s="354">
        <f>EV28</f>
        <v>-75</v>
      </c>
      <c r="S28" s="354">
        <f>FC28</f>
        <v>-25</v>
      </c>
      <c r="T28" s="354">
        <f>FJ28</f>
        <v>-22</v>
      </c>
      <c r="U28" s="354">
        <f>FQ28</f>
        <v>-120</v>
      </c>
      <c r="V28" s="354">
        <f>FX28</f>
        <v>45</v>
      </c>
      <c r="W28" s="354">
        <f>GE28</f>
        <v>-21.644000000000005</v>
      </c>
      <c r="X28" s="354">
        <f>GL28</f>
        <v>-2.8195669250000037</v>
      </c>
      <c r="Y28" s="354">
        <f>GS28</f>
        <v>-4.8027740962895251</v>
      </c>
      <c r="Z28" s="354">
        <f>GZ28</f>
        <v>-4.6741207018886541</v>
      </c>
      <c r="AA28" s="348"/>
      <c r="AB28" s="348"/>
      <c r="AC28" s="348"/>
      <c r="AD28" s="348"/>
      <c r="AE28" s="348"/>
      <c r="AF28" s="348"/>
      <c r="AG28" s="348"/>
      <c r="AH28" s="348"/>
      <c r="AI28" s="348"/>
      <c r="AJ28" s="348"/>
      <c r="AK28" s="348"/>
      <c r="AL28" s="348"/>
      <c r="AM28" s="348"/>
      <c r="AN28" s="348"/>
      <c r="AP28" s="353" t="s">
        <v>169</v>
      </c>
      <c r="AQ28" s="347">
        <v>-41</v>
      </c>
      <c r="AR28" s="347">
        <f>-45-AQ28</f>
        <v>-4</v>
      </c>
      <c r="AS28" s="347">
        <f>-37-AR28-AQ28</f>
        <v>8</v>
      </c>
      <c r="AT28" s="347">
        <f>AU28-SUM(AQ28:AS28)</f>
        <v>8</v>
      </c>
      <c r="AU28" s="347">
        <v>-29</v>
      </c>
      <c r="AW28" s="353" t="s">
        <v>169</v>
      </c>
      <c r="AX28" s="347">
        <v>2</v>
      </c>
      <c r="AY28" s="347">
        <f>66-AX28</f>
        <v>64</v>
      </c>
      <c r="AZ28" s="347">
        <f>73-AY28-AX28</f>
        <v>7</v>
      </c>
      <c r="BA28" s="347">
        <f>BB28-SUM(AX28:AZ28)</f>
        <v>23</v>
      </c>
      <c r="BB28" s="347">
        <v>96</v>
      </c>
      <c r="BD28" s="353" t="s">
        <v>169</v>
      </c>
      <c r="BE28" s="347">
        <v>-63</v>
      </c>
      <c r="BF28" s="347">
        <f>-79-BE28</f>
        <v>-16</v>
      </c>
      <c r="BG28" s="347">
        <f>-54-BF28-BE28</f>
        <v>25</v>
      </c>
      <c r="BH28" s="347">
        <f>BI28-SUM(BE28:BG28)</f>
        <v>13</v>
      </c>
      <c r="BI28" s="347">
        <v>-41</v>
      </c>
      <c r="BK28" s="353" t="s">
        <v>169</v>
      </c>
      <c r="BL28" s="347">
        <v>-13</v>
      </c>
      <c r="BM28" s="347">
        <f>-16-BL28</f>
        <v>-3</v>
      </c>
      <c r="BN28" s="347">
        <f>-4-BM28-BL28</f>
        <v>12</v>
      </c>
      <c r="BO28" s="347">
        <f>BP28-SUM(BL28:BN28)</f>
        <v>41</v>
      </c>
      <c r="BP28" s="347">
        <v>37</v>
      </c>
      <c r="BR28" s="353" t="s">
        <v>169</v>
      </c>
      <c r="BS28" s="347">
        <v>-76</v>
      </c>
      <c r="BT28" s="347">
        <f>-83-BS28</f>
        <v>-7</v>
      </c>
      <c r="BU28" s="347">
        <f>-50-BT28-BS28</f>
        <v>33</v>
      </c>
      <c r="BV28" s="347">
        <f>BW28-SUM(BS28:BU28)</f>
        <v>78</v>
      </c>
      <c r="BW28" s="347">
        <v>28</v>
      </c>
      <c r="BY28" s="353" t="s">
        <v>169</v>
      </c>
      <c r="BZ28" s="347">
        <v>-34</v>
      </c>
      <c r="CA28" s="347">
        <f>-52-BZ28</f>
        <v>-18</v>
      </c>
      <c r="CB28" s="347">
        <f>-44-CA28-BZ28</f>
        <v>8</v>
      </c>
      <c r="CC28" s="347">
        <f>CD28-SUM(BZ28:CB28)</f>
        <v>22</v>
      </c>
      <c r="CD28" s="347">
        <v>-22</v>
      </c>
      <c r="CF28" s="353" t="s">
        <v>169</v>
      </c>
      <c r="CG28" s="347">
        <v>-35</v>
      </c>
      <c r="CH28" s="347">
        <f>-64-CG28</f>
        <v>-29</v>
      </c>
      <c r="CI28" s="347">
        <f>-37-CH28-CG28</f>
        <v>27</v>
      </c>
      <c r="CJ28" s="347">
        <f>CK28-SUM(CG28:CI28)</f>
        <v>14</v>
      </c>
      <c r="CK28" s="347">
        <v>-23</v>
      </c>
      <c r="CM28" s="353" t="s">
        <v>169</v>
      </c>
      <c r="CN28" s="347">
        <v>-52</v>
      </c>
      <c r="CO28" s="347">
        <f>-70-CN28</f>
        <v>-18</v>
      </c>
      <c r="CP28" s="347">
        <f>-57-CO28-CN28</f>
        <v>13</v>
      </c>
      <c r="CQ28" s="347">
        <f>CR28-SUM(CN28:CP28)</f>
        <v>25</v>
      </c>
      <c r="CR28" s="347">
        <v>-32</v>
      </c>
      <c r="CT28" s="353" t="s">
        <v>169</v>
      </c>
      <c r="CU28" s="347">
        <v>-38</v>
      </c>
      <c r="CV28" s="347">
        <f>-31-CU28</f>
        <v>7</v>
      </c>
      <c r="CW28" s="347">
        <f>-6-CV28-CU28</f>
        <v>25</v>
      </c>
      <c r="CX28" s="347">
        <f>CY28-SUM(CU28:CW28)</f>
        <v>42</v>
      </c>
      <c r="CY28" s="347">
        <v>36</v>
      </c>
      <c r="DA28" s="353" t="s">
        <v>169</v>
      </c>
      <c r="DB28" s="347">
        <v>-41</v>
      </c>
      <c r="DC28" s="347">
        <f>-60-DB28</f>
        <v>-19</v>
      </c>
      <c r="DD28" s="347">
        <f>-47-DC28-DB28</f>
        <v>13</v>
      </c>
      <c r="DE28" s="347">
        <f>DF28-SUM(DB28:DD28)</f>
        <v>21</v>
      </c>
      <c r="DF28" s="347">
        <v>-26</v>
      </c>
      <c r="DH28" s="353" t="s">
        <v>169</v>
      </c>
      <c r="DI28" s="347">
        <v>-51</v>
      </c>
      <c r="DJ28" s="347">
        <f>-52-DI28</f>
        <v>-1</v>
      </c>
      <c r="DK28" s="347">
        <f>-61-DJ28-DI28</f>
        <v>-9</v>
      </c>
      <c r="DL28" s="347">
        <f>DM28-SUM(DI28:DK28)</f>
        <v>-23</v>
      </c>
      <c r="DM28" s="347">
        <v>-84</v>
      </c>
      <c r="DO28" s="353" t="s">
        <v>169</v>
      </c>
      <c r="DP28" s="347">
        <v>-30</v>
      </c>
      <c r="DQ28" s="347">
        <f>-61-DP28</f>
        <v>-31</v>
      </c>
      <c r="DR28" s="347">
        <f>-58-DQ28-DP28</f>
        <v>3</v>
      </c>
      <c r="DS28" s="347">
        <f>DT28-SUM(DP28:DR28)</f>
        <v>-55</v>
      </c>
      <c r="DT28" s="347">
        <v>-113</v>
      </c>
      <c r="DV28" s="353" t="s">
        <v>169</v>
      </c>
      <c r="DW28" s="347">
        <v>33</v>
      </c>
      <c r="DX28" s="347">
        <f>12-DW28</f>
        <v>-21</v>
      </c>
      <c r="DY28" s="347">
        <f>47-DX28-DW28</f>
        <v>35</v>
      </c>
      <c r="DZ28" s="347">
        <f>EA28-SUM(DW28:DY28)</f>
        <v>-46</v>
      </c>
      <c r="EA28" s="347">
        <v>1</v>
      </c>
      <c r="EC28" s="353" t="s">
        <v>169</v>
      </c>
      <c r="ED28" s="347">
        <v>-19</v>
      </c>
      <c r="EE28" s="347">
        <f>14-ED28</f>
        <v>33</v>
      </c>
      <c r="EF28" s="347">
        <f>70-EE28-ED28</f>
        <v>56</v>
      </c>
      <c r="EG28" s="347">
        <f>EH28-SUM(ED28:EF28)</f>
        <v>31</v>
      </c>
      <c r="EH28" s="347">
        <v>101</v>
      </c>
      <c r="EJ28" s="353" t="s">
        <v>169</v>
      </c>
      <c r="EK28" s="347">
        <v>22</v>
      </c>
      <c r="EL28" s="347">
        <f>41-EK28</f>
        <v>19</v>
      </c>
      <c r="EM28" s="347">
        <f>84-EL28-EK28</f>
        <v>43</v>
      </c>
      <c r="EN28" s="347">
        <f>EO28-SUM(EK28:EM28)</f>
        <v>17</v>
      </c>
      <c r="EO28" s="347">
        <v>101</v>
      </c>
      <c r="EQ28" s="353" t="s">
        <v>169</v>
      </c>
      <c r="ER28" s="347">
        <v>-20</v>
      </c>
      <c r="ES28" s="347">
        <f>-24-ER28</f>
        <v>-4</v>
      </c>
      <c r="ET28" s="347">
        <f>-37-ES28-ER28</f>
        <v>-13</v>
      </c>
      <c r="EU28" s="347">
        <f>EV28-SUM(ER28:ET28)</f>
        <v>-38</v>
      </c>
      <c r="EV28" s="347">
        <v>-75</v>
      </c>
      <c r="EX28" s="353" t="s">
        <v>169</v>
      </c>
      <c r="EY28" s="347">
        <v>-5</v>
      </c>
      <c r="EZ28" s="347">
        <f>-4-EY28</f>
        <v>1</v>
      </c>
      <c r="FA28" s="347">
        <f>-4-EZ28-EY28</f>
        <v>0</v>
      </c>
      <c r="FB28" s="347">
        <f>FC28-SUM(EY28:FA28)</f>
        <v>-21</v>
      </c>
      <c r="FC28" s="347">
        <v>-25</v>
      </c>
      <c r="FE28" s="353" t="s">
        <v>169</v>
      </c>
      <c r="FF28" s="347">
        <v>-40</v>
      </c>
      <c r="FG28" s="347">
        <f>-71-FF28</f>
        <v>-31</v>
      </c>
      <c r="FH28" s="347">
        <f>-32-FG28-FF28</f>
        <v>39</v>
      </c>
      <c r="FI28" s="347">
        <f>FJ28-SUM(FF28:FH28)</f>
        <v>10</v>
      </c>
      <c r="FJ28" s="347">
        <v>-22</v>
      </c>
      <c r="FL28" s="353" t="s">
        <v>169</v>
      </c>
      <c r="FM28" s="347">
        <v>-72</v>
      </c>
      <c r="FN28" s="347">
        <f>-105-FM28</f>
        <v>-33</v>
      </c>
      <c r="FO28" s="347">
        <f>-86-FN28-FM28</f>
        <v>19</v>
      </c>
      <c r="FP28" s="347">
        <f>FQ28-SUM(FM28:FO28)</f>
        <v>-34</v>
      </c>
      <c r="FQ28" s="347">
        <v>-120</v>
      </c>
      <c r="FS28" s="353" t="s">
        <v>169</v>
      </c>
      <c r="FT28" s="347">
        <v>-29</v>
      </c>
      <c r="FU28" s="354">
        <f>25-FT28</f>
        <v>54</v>
      </c>
      <c r="FV28" s="354">
        <f>27-FU28-FT28</f>
        <v>2</v>
      </c>
      <c r="FW28" s="347">
        <f>FX28-SUM(FT28:FV28)</f>
        <v>18</v>
      </c>
      <c r="FX28" s="354">
        <v>45</v>
      </c>
      <c r="FZ28" s="353" t="s">
        <v>169</v>
      </c>
      <c r="GA28" s="354">
        <v>-34</v>
      </c>
      <c r="GB28" s="354">
        <f>-13-GA28</f>
        <v>21</v>
      </c>
      <c r="GC28" s="354">
        <f>-32-GB28-GA28</f>
        <v>-19</v>
      </c>
      <c r="GD28" s="354">
        <f>-(BS!HX15-BS!HW15)</f>
        <v>10.355999999999995</v>
      </c>
      <c r="GE28" s="354">
        <f>+SUM(GA28:GD28)</f>
        <v>-21.644000000000005</v>
      </c>
      <c r="GG28" s="353" t="s">
        <v>169</v>
      </c>
      <c r="GH28" s="354">
        <f>-(BS!IB15-BS!HY15)</f>
        <v>-0.26472197499998629</v>
      </c>
      <c r="GI28" s="354">
        <f>-(BS!IC15-BS!IB15)</f>
        <v>-0.43322947500001874</v>
      </c>
      <c r="GJ28" s="354">
        <f>-(BS!ID15-BS!IC15)</f>
        <v>-0.81853904999998406</v>
      </c>
      <c r="GK28" s="354">
        <f>-(BS!IE15-BS!ID15)</f>
        <v>-1.3030764250000146</v>
      </c>
      <c r="GL28" s="354">
        <f>+SUM(GH28:GK28)</f>
        <v>-2.8195669250000037</v>
      </c>
      <c r="GN28" s="353" t="s">
        <v>169</v>
      </c>
      <c r="GO28" s="354">
        <f>-(BS!II15-BS!IF15)</f>
        <v>-1.1719218460851408</v>
      </c>
      <c r="GP28" s="354">
        <f>-(BS!IJ15-BS!II15)</f>
        <v>-1.2114412119775153</v>
      </c>
      <c r="GQ28" s="354">
        <f>-(BS!IK15-BS!IJ15)</f>
        <v>-1.2045406988562348</v>
      </c>
      <c r="GR28" s="354">
        <f>-(BS!IL15-BS!IK15)</f>
        <v>-1.2148703393706342</v>
      </c>
      <c r="GS28" s="354">
        <f>+SUM(GO28:GR28)</f>
        <v>-4.8027740962895251</v>
      </c>
      <c r="GU28" s="353" t="s">
        <v>169</v>
      </c>
      <c r="GV28" s="354">
        <f>-(BS!IP15-BS!IM15)</f>
        <v>-1.1391777149715807</v>
      </c>
      <c r="GW28" s="354">
        <f>-(BS!IQ15-BS!IP15)</f>
        <v>-1.178044005009923</v>
      </c>
      <c r="GX28" s="354">
        <f>-(BS!IR15-BS!IQ15)</f>
        <v>-1.1906707106051186</v>
      </c>
      <c r="GY28" s="354">
        <f>-(BS!IS15-BS!IR15)</f>
        <v>-1.1662282713020318</v>
      </c>
      <c r="GZ28" s="354">
        <f>+SUM(GV28:GY28)</f>
        <v>-4.6741207018886541</v>
      </c>
    </row>
    <row r="29" spans="1:208" outlineLevel="1" x14ac:dyDescent="0.4">
      <c r="A29" s="414"/>
      <c r="B29" s="353" t="s">
        <v>170</v>
      </c>
      <c r="C29" s="354">
        <f>AU29</f>
        <v>54</v>
      </c>
      <c r="D29" s="354">
        <f>BB29</f>
        <v>51</v>
      </c>
      <c r="E29" s="354">
        <f>BI29</f>
        <v>48</v>
      </c>
      <c r="F29" s="354">
        <f>BP29</f>
        <v>-3</v>
      </c>
      <c r="G29" s="354">
        <f>BW29</f>
        <v>-4</v>
      </c>
      <c r="H29" s="354">
        <f>CD29</f>
        <v>58</v>
      </c>
      <c r="I29" s="354">
        <f>CK29</f>
        <v>76</v>
      </c>
      <c r="J29" s="354">
        <f>CR29</f>
        <v>-4</v>
      </c>
      <c r="K29" s="354">
        <f>CY29</f>
        <v>28</v>
      </c>
      <c r="L29" s="354">
        <f>DF29</f>
        <v>1</v>
      </c>
      <c r="M29" s="354">
        <f>DM29</f>
        <v>-79</v>
      </c>
      <c r="N29" s="354">
        <f>DT29</f>
        <v>40</v>
      </c>
      <c r="O29" s="354">
        <f>EA29</f>
        <v>41</v>
      </c>
      <c r="P29" s="354">
        <f>EH29</f>
        <v>104</v>
      </c>
      <c r="Q29" s="354">
        <f>EO29</f>
        <v>104</v>
      </c>
      <c r="R29" s="354">
        <f>EV29</f>
        <v>-20</v>
      </c>
      <c r="S29" s="354">
        <f>FC29</f>
        <v>128</v>
      </c>
      <c r="T29" s="354">
        <f>FJ29</f>
        <v>140</v>
      </c>
      <c r="U29" s="354">
        <f>FQ29</f>
        <v>83</v>
      </c>
      <c r="V29" s="354">
        <f>FX29</f>
        <v>-5</v>
      </c>
      <c r="W29" s="354">
        <f>GE29</f>
        <v>321.35599999999999</v>
      </c>
      <c r="X29" s="354">
        <f>GL29</f>
        <v>-203.93329586833897</v>
      </c>
      <c r="Y29" s="354">
        <f>GS29</f>
        <v>11.965033191542943</v>
      </c>
      <c r="Z29" s="354">
        <f>GZ29</f>
        <v>38.90457059359278</v>
      </c>
      <c r="AA29" s="348"/>
      <c r="AB29" s="348"/>
      <c r="AC29" s="348"/>
      <c r="AD29" s="348"/>
      <c r="AE29" s="348"/>
      <c r="AF29" s="348"/>
      <c r="AG29" s="348"/>
      <c r="AH29" s="348"/>
      <c r="AI29" s="348"/>
      <c r="AJ29" s="348"/>
      <c r="AK29" s="348"/>
      <c r="AL29" s="348"/>
      <c r="AM29" s="348"/>
      <c r="AN29" s="348"/>
      <c r="AP29" s="353" t="s">
        <v>170</v>
      </c>
      <c r="AQ29" s="347">
        <v>84</v>
      </c>
      <c r="AR29" s="347">
        <f>16-AQ29</f>
        <v>-68</v>
      </c>
      <c r="AS29" s="347">
        <f>62-AR29-AQ29</f>
        <v>46</v>
      </c>
      <c r="AT29" s="347">
        <f>AU29-SUM(AQ29:AS29)</f>
        <v>-8</v>
      </c>
      <c r="AU29" s="347">
        <v>54</v>
      </c>
      <c r="AW29" s="353" t="s">
        <v>170</v>
      </c>
      <c r="AX29" s="347">
        <v>42</v>
      </c>
      <c r="AY29" s="347">
        <f>2-AX29</f>
        <v>-40</v>
      </c>
      <c r="AZ29" s="347">
        <f>51-AY29-AX29</f>
        <v>49</v>
      </c>
      <c r="BA29" s="347">
        <f>BB29-SUM(AX29:AZ29)</f>
        <v>0</v>
      </c>
      <c r="BB29" s="347">
        <v>51</v>
      </c>
      <c r="BD29" s="353" t="s">
        <v>170</v>
      </c>
      <c r="BE29" s="347">
        <v>13</v>
      </c>
      <c r="BF29" s="347">
        <f>-9-BE29</f>
        <v>-22</v>
      </c>
      <c r="BG29" s="347">
        <f>64-BF29-BE29</f>
        <v>73</v>
      </c>
      <c r="BH29" s="347">
        <f>BI29-SUM(BE29:BG29)</f>
        <v>-16</v>
      </c>
      <c r="BI29" s="347">
        <v>48</v>
      </c>
      <c r="BK29" s="353" t="s">
        <v>170</v>
      </c>
      <c r="BL29" s="347">
        <v>10</v>
      </c>
      <c r="BM29" s="347">
        <f>35-BL29</f>
        <v>25</v>
      </c>
      <c r="BN29" s="347">
        <f>86-BM29-BL29</f>
        <v>51</v>
      </c>
      <c r="BO29" s="347">
        <f>BP29-SUM(BL29:BN29)</f>
        <v>-89</v>
      </c>
      <c r="BP29" s="347">
        <v>-3</v>
      </c>
      <c r="BR29" s="353" t="s">
        <v>170</v>
      </c>
      <c r="BS29" s="347">
        <v>-36</v>
      </c>
      <c r="BT29" s="347">
        <f>-56-BS29</f>
        <v>-20</v>
      </c>
      <c r="BU29" s="347">
        <f>-4-BT29-BS29</f>
        <v>52</v>
      </c>
      <c r="BV29" s="347">
        <f>BW29-SUM(BS29:BU29)</f>
        <v>0</v>
      </c>
      <c r="BW29" s="347">
        <v>-4</v>
      </c>
      <c r="BY29" s="353" t="s">
        <v>170</v>
      </c>
      <c r="BZ29" s="347">
        <v>-26</v>
      </c>
      <c r="CA29" s="347">
        <f>-34-BZ29</f>
        <v>-8</v>
      </c>
      <c r="CB29" s="347">
        <f>27-CA29-BZ29</f>
        <v>61</v>
      </c>
      <c r="CC29" s="347">
        <f>CD29-SUM(BZ29:CB29)</f>
        <v>31</v>
      </c>
      <c r="CD29" s="347">
        <v>58</v>
      </c>
      <c r="CF29" s="353" t="s">
        <v>170</v>
      </c>
      <c r="CG29" s="347">
        <v>-17</v>
      </c>
      <c r="CH29" s="347">
        <f>35-CG29</f>
        <v>52</v>
      </c>
      <c r="CI29" s="347">
        <f>117-CH29-CG29</f>
        <v>82</v>
      </c>
      <c r="CJ29" s="347">
        <f>CK29-SUM(CG29:CI29)</f>
        <v>-41</v>
      </c>
      <c r="CK29" s="347">
        <v>76</v>
      </c>
      <c r="CM29" s="353" t="s">
        <v>170</v>
      </c>
      <c r="CN29" s="347">
        <v>83</v>
      </c>
      <c r="CO29" s="347">
        <f>-72-CN29</f>
        <v>-155</v>
      </c>
      <c r="CP29" s="347">
        <f>48-CO29-CN29</f>
        <v>120</v>
      </c>
      <c r="CQ29" s="347">
        <f>CR29-SUM(CN29:CP29)</f>
        <v>-52</v>
      </c>
      <c r="CR29" s="347">
        <v>-4</v>
      </c>
      <c r="CT29" s="353" t="s">
        <v>170</v>
      </c>
      <c r="CU29" s="347">
        <v>48</v>
      </c>
      <c r="CV29" s="347">
        <f>25-CU29</f>
        <v>-23</v>
      </c>
      <c r="CW29" s="347">
        <f>93-CV29-CU29</f>
        <v>68</v>
      </c>
      <c r="CX29" s="347">
        <f>CY29-SUM(CU29:CW29)</f>
        <v>-65</v>
      </c>
      <c r="CY29" s="347">
        <v>28</v>
      </c>
      <c r="DA29" s="353" t="s">
        <v>170</v>
      </c>
      <c r="DB29" s="347">
        <v>30</v>
      </c>
      <c r="DC29" s="347">
        <f>-50-DB29</f>
        <v>-80</v>
      </c>
      <c r="DD29" s="347">
        <f>20-DC29-DB29</f>
        <v>70</v>
      </c>
      <c r="DE29" s="347">
        <f>DF29-SUM(DB29:DD29)</f>
        <v>-19</v>
      </c>
      <c r="DF29" s="347">
        <v>1</v>
      </c>
      <c r="DH29" s="353" t="s">
        <v>170</v>
      </c>
      <c r="DI29" s="347">
        <v>24</v>
      </c>
      <c r="DJ29" s="347">
        <f>-68-DI29</f>
        <v>-92</v>
      </c>
      <c r="DK29" s="347">
        <f>3-DJ29-DI29</f>
        <v>71</v>
      </c>
      <c r="DL29" s="347">
        <f>DM29-SUM(DI29:DK29)</f>
        <v>-82</v>
      </c>
      <c r="DM29" s="347">
        <v>-79</v>
      </c>
      <c r="DO29" s="353" t="s">
        <v>170</v>
      </c>
      <c r="DP29" s="347">
        <v>50</v>
      </c>
      <c r="DQ29" s="347">
        <f>0-DP29</f>
        <v>-50</v>
      </c>
      <c r="DR29" s="347">
        <f>94-DQ29-DP29</f>
        <v>94</v>
      </c>
      <c r="DS29" s="347">
        <f>DT29-SUM(DP29:DR29)</f>
        <v>-54</v>
      </c>
      <c r="DT29" s="347">
        <v>40</v>
      </c>
      <c r="DV29" s="353" t="s">
        <v>170</v>
      </c>
      <c r="DW29" s="347">
        <v>91</v>
      </c>
      <c r="DX29" s="347">
        <f>6-DW29</f>
        <v>-85</v>
      </c>
      <c r="DY29" s="347">
        <f>102-DX29-DW29</f>
        <v>96</v>
      </c>
      <c r="DZ29" s="347">
        <f>EA29-SUM(DW29:DY29)</f>
        <v>-61</v>
      </c>
      <c r="EA29" s="347">
        <v>41</v>
      </c>
      <c r="EC29" s="353" t="s">
        <v>170</v>
      </c>
      <c r="ED29" s="347">
        <v>64</v>
      </c>
      <c r="EE29" s="347">
        <f>11-ED29</f>
        <v>-53</v>
      </c>
      <c r="EF29" s="347">
        <f>140-EE29-ED29</f>
        <v>129</v>
      </c>
      <c r="EG29" s="347">
        <f>EH29-SUM(ED29:EF29)</f>
        <v>-36</v>
      </c>
      <c r="EH29" s="347">
        <v>104</v>
      </c>
      <c r="EJ29" s="353" t="s">
        <v>170</v>
      </c>
      <c r="EK29" s="347">
        <v>74</v>
      </c>
      <c r="EL29" s="347">
        <f>39-EK29</f>
        <v>-35</v>
      </c>
      <c r="EM29" s="347">
        <f>152-EL29-EK29</f>
        <v>113</v>
      </c>
      <c r="EN29" s="347">
        <f>EO29-SUM(EK29:EM29)</f>
        <v>-48</v>
      </c>
      <c r="EO29" s="347">
        <v>104</v>
      </c>
      <c r="EQ29" s="353" t="s">
        <v>170</v>
      </c>
      <c r="ER29" s="347">
        <v>14</v>
      </c>
      <c r="ES29" s="347">
        <f>-85-ER29</f>
        <v>-99</v>
      </c>
      <c r="ET29" s="347">
        <f>-6-ES29-ER29</f>
        <v>79</v>
      </c>
      <c r="EU29" s="347">
        <f>EV29-SUM(ER29:ET29)</f>
        <v>-14</v>
      </c>
      <c r="EV29" s="347">
        <v>-20</v>
      </c>
      <c r="EX29" s="353" t="s">
        <v>170</v>
      </c>
      <c r="EY29" s="347">
        <v>53</v>
      </c>
      <c r="EZ29" s="347">
        <f>73-EY29</f>
        <v>20</v>
      </c>
      <c r="FA29" s="347">
        <f>132-EZ29-EY29</f>
        <v>59</v>
      </c>
      <c r="FB29" s="347">
        <f>FC29-SUM(EY29:FA29)</f>
        <v>-4</v>
      </c>
      <c r="FC29" s="347">
        <v>128</v>
      </c>
      <c r="FE29" s="353" t="s">
        <v>170</v>
      </c>
      <c r="FF29" s="347">
        <v>82</v>
      </c>
      <c r="FG29" s="347">
        <f>61-FF29</f>
        <v>-21</v>
      </c>
      <c r="FH29" s="347">
        <f>166-FG29-FF29</f>
        <v>105</v>
      </c>
      <c r="FI29" s="347">
        <f>FJ29-SUM(FF29:FH29)</f>
        <v>-26</v>
      </c>
      <c r="FJ29" s="347">
        <v>140</v>
      </c>
      <c r="FL29" s="353" t="s">
        <v>170</v>
      </c>
      <c r="FM29" s="347">
        <v>70</v>
      </c>
      <c r="FN29" s="347">
        <f>-20-FM29</f>
        <v>-90</v>
      </c>
      <c r="FO29" s="347">
        <f>52-FN29-FM29</f>
        <v>72</v>
      </c>
      <c r="FP29" s="347">
        <f>FQ29-SUM(FM29:FO29)</f>
        <v>31</v>
      </c>
      <c r="FQ29" s="347">
        <v>83</v>
      </c>
      <c r="FS29" s="353" t="s">
        <v>170</v>
      </c>
      <c r="FT29" s="347">
        <v>72</v>
      </c>
      <c r="FU29" s="354">
        <f>-42-FT29</f>
        <v>-114</v>
      </c>
      <c r="FV29" s="354">
        <f>57-FU29-FT29</f>
        <v>99</v>
      </c>
      <c r="FW29" s="347">
        <f>FX29-SUM(FT29:FV29)</f>
        <v>-62</v>
      </c>
      <c r="FX29" s="354">
        <v>-5</v>
      </c>
      <c r="FZ29" s="353" t="s">
        <v>170</v>
      </c>
      <c r="GA29" s="354">
        <v>89</v>
      </c>
      <c r="GB29" s="354">
        <f>18-GA29</f>
        <v>-71</v>
      </c>
      <c r="GC29" s="354">
        <f>101-GB29-GA29</f>
        <v>83</v>
      </c>
      <c r="GD29" s="354">
        <f>+BS!HX33-BS!HW33</f>
        <v>220.35599999999999</v>
      </c>
      <c r="GE29" s="354">
        <f>+SUM(GA29:GD29)</f>
        <v>321.35599999999999</v>
      </c>
      <c r="GG29" s="353" t="s">
        <v>170</v>
      </c>
      <c r="GH29" s="354">
        <f>+BS!IB33-BS!HY33</f>
        <v>-200.14087056889366</v>
      </c>
      <c r="GI29" s="354">
        <f>+BS!IC33-BS!IB33</f>
        <v>-2.6163249523347076</v>
      </c>
      <c r="GJ29" s="354">
        <f>+BS!ID33-BS!IC33</f>
        <v>-0.17998040867678355</v>
      </c>
      <c r="GK29" s="354">
        <f>+BS!IE33-BS!ID33</f>
        <v>-0.99611993843382152</v>
      </c>
      <c r="GL29" s="354">
        <f>+SUM(GH29:GK29)</f>
        <v>-203.93329586833897</v>
      </c>
      <c r="GN29" s="353" t="s">
        <v>170</v>
      </c>
      <c r="GO29" s="354">
        <f>+BS!II33-BS!IF33</f>
        <v>4.2970336433020293</v>
      </c>
      <c r="GP29" s="354">
        <f>+BS!IJ33-BS!II33</f>
        <v>3.7545016580979791</v>
      </c>
      <c r="GQ29" s="354">
        <f>+BS!IK33-BS!IJ33</f>
        <v>1.8898967279553744</v>
      </c>
      <c r="GR29" s="354">
        <f>+BS!IL33-BS!IK33</f>
        <v>2.0236011621875605</v>
      </c>
      <c r="GS29" s="354">
        <f>+SUM(GO29:GR29)</f>
        <v>11.965033191542943</v>
      </c>
      <c r="GU29" s="353" t="s">
        <v>170</v>
      </c>
      <c r="GV29" s="354">
        <f>+BS!IP33-BS!IM33</f>
        <v>8.260094786500531</v>
      </c>
      <c r="GW29" s="354">
        <f>+BS!IQ33-BS!IP33</f>
        <v>10.086275001502145</v>
      </c>
      <c r="GX29" s="354">
        <f>+BS!IR33-BS!IQ33</f>
        <v>11.860055235572872</v>
      </c>
      <c r="GY29" s="354">
        <f>+BS!IS33-BS!IR33</f>
        <v>8.6981455700172319</v>
      </c>
      <c r="GZ29" s="354">
        <f>+SUM(GV29:GY29)</f>
        <v>38.90457059359278</v>
      </c>
    </row>
    <row r="30" spans="1:208" outlineLevel="1" x14ac:dyDescent="0.4">
      <c r="A30" s="414"/>
      <c r="B30" s="353" t="s">
        <v>171</v>
      </c>
      <c r="C30" s="354">
        <f>AU30</f>
        <v>-402</v>
      </c>
      <c r="D30" s="354">
        <f>BB30</f>
        <v>-103</v>
      </c>
      <c r="E30" s="354">
        <f>BI30</f>
        <v>234</v>
      </c>
      <c r="F30" s="354">
        <f>BP30</f>
        <v>-46</v>
      </c>
      <c r="G30" s="354">
        <f>BW30</f>
        <v>-9</v>
      </c>
      <c r="H30" s="354">
        <f>CD30</f>
        <v>28</v>
      </c>
      <c r="I30" s="354">
        <f>CK30</f>
        <v>116</v>
      </c>
      <c r="J30" s="354">
        <f>CR30</f>
        <v>-14</v>
      </c>
      <c r="K30" s="354">
        <f>CY30</f>
        <v>-67</v>
      </c>
      <c r="L30" s="354">
        <f>DF30</f>
        <v>74</v>
      </c>
      <c r="M30" s="354">
        <f>DM30</f>
        <v>-62</v>
      </c>
      <c r="N30" s="354">
        <f>DT30</f>
        <v>23</v>
      </c>
      <c r="O30" s="354">
        <f>EA30</f>
        <v>20</v>
      </c>
      <c r="P30" s="354">
        <f>EH30</f>
        <v>-104</v>
      </c>
      <c r="Q30" s="354">
        <f>EO30</f>
        <v>-104</v>
      </c>
      <c r="R30" s="354">
        <f>EV30</f>
        <v>39</v>
      </c>
      <c r="S30" s="354">
        <f>FC30</f>
        <v>72</v>
      </c>
      <c r="T30" s="354">
        <f>FJ30</f>
        <v>-39</v>
      </c>
      <c r="U30" s="354">
        <f>FQ30</f>
        <v>431</v>
      </c>
      <c r="V30" s="354">
        <f>FX30</f>
        <v>-19</v>
      </c>
      <c r="W30" s="354">
        <f>GE30</f>
        <v>-508</v>
      </c>
      <c r="X30" s="354">
        <f>GL30</f>
        <v>0</v>
      </c>
      <c r="Y30" s="354">
        <f>GS30</f>
        <v>0</v>
      </c>
      <c r="Z30" s="354">
        <f>GZ30</f>
        <v>0</v>
      </c>
      <c r="AA30" s="348"/>
      <c r="AB30" s="348"/>
      <c r="AC30" s="348"/>
      <c r="AD30" s="348"/>
      <c r="AE30" s="348"/>
      <c r="AF30" s="348"/>
      <c r="AG30" s="348"/>
      <c r="AH30" s="348"/>
      <c r="AI30" s="348"/>
      <c r="AJ30" s="348"/>
      <c r="AK30" s="348"/>
      <c r="AL30" s="348"/>
      <c r="AM30" s="348"/>
      <c r="AN30" s="348"/>
      <c r="AP30" s="353" t="s">
        <v>171</v>
      </c>
      <c r="AQ30" s="347">
        <v>31</v>
      </c>
      <c r="AR30" s="347">
        <f>-226-AQ30</f>
        <v>-257</v>
      </c>
      <c r="AS30" s="347">
        <f>-251-AR30-AQ30</f>
        <v>-25</v>
      </c>
      <c r="AT30" s="347">
        <f>AU30-SUM(AQ30:AS30)</f>
        <v>-151</v>
      </c>
      <c r="AU30" s="347">
        <v>-402</v>
      </c>
      <c r="AW30" s="353" t="s">
        <v>171</v>
      </c>
      <c r="AX30" s="347">
        <v>39</v>
      </c>
      <c r="AY30" s="347">
        <f>-21-AX30</f>
        <v>-60</v>
      </c>
      <c r="AZ30" s="347">
        <f>-61-AY30-AX30</f>
        <v>-40</v>
      </c>
      <c r="BA30" s="347">
        <f>BB30-SUM(AX30:AZ30)</f>
        <v>-42</v>
      </c>
      <c r="BB30" s="347">
        <v>-103</v>
      </c>
      <c r="BD30" s="353" t="s">
        <v>171</v>
      </c>
      <c r="BE30" s="347">
        <v>109</v>
      </c>
      <c r="BF30" s="347">
        <f>129-BE30</f>
        <v>20</v>
      </c>
      <c r="BG30" s="347">
        <f>153-BF30-BE30</f>
        <v>24</v>
      </c>
      <c r="BH30" s="347">
        <f>BI30-SUM(BE30:BG30)</f>
        <v>81</v>
      </c>
      <c r="BI30" s="347">
        <v>234</v>
      </c>
      <c r="BK30" s="353" t="s">
        <v>171</v>
      </c>
      <c r="BL30" s="347">
        <v>84</v>
      </c>
      <c r="BM30" s="347">
        <f>9-BL30</f>
        <v>-75</v>
      </c>
      <c r="BN30" s="347">
        <f>54-BM30-BL30</f>
        <v>45</v>
      </c>
      <c r="BO30" s="347">
        <f>BP30-SUM(BL30:BN30)</f>
        <v>-100</v>
      </c>
      <c r="BP30" s="347">
        <v>-46</v>
      </c>
      <c r="BR30" s="353" t="s">
        <v>171</v>
      </c>
      <c r="BS30" s="347">
        <v>31</v>
      </c>
      <c r="BT30" s="347">
        <f>-13-BS30</f>
        <v>-44</v>
      </c>
      <c r="BU30" s="347">
        <f>39-BT30-BS30</f>
        <v>52</v>
      </c>
      <c r="BV30" s="347">
        <f>BW30-SUM(BS30:BU30)</f>
        <v>-48</v>
      </c>
      <c r="BW30" s="347">
        <v>-9</v>
      </c>
      <c r="BY30" s="353" t="s">
        <v>171</v>
      </c>
      <c r="BZ30" s="347">
        <v>125</v>
      </c>
      <c r="CA30" s="347">
        <f>94-BZ30</f>
        <v>-31</v>
      </c>
      <c r="CB30" s="347">
        <f>150-CA30-BZ30</f>
        <v>56</v>
      </c>
      <c r="CC30" s="347">
        <f>CD30-SUM(BZ30:CB30)</f>
        <v>-122</v>
      </c>
      <c r="CD30" s="347">
        <v>28</v>
      </c>
      <c r="CF30" s="353" t="s">
        <v>171</v>
      </c>
      <c r="CG30" s="347">
        <v>40</v>
      </c>
      <c r="CH30" s="347">
        <f>76-CG30</f>
        <v>36</v>
      </c>
      <c r="CI30" s="347">
        <f>83-CH30-CG30</f>
        <v>7</v>
      </c>
      <c r="CJ30" s="347">
        <f>CK30-SUM(CG30:CI30)</f>
        <v>33</v>
      </c>
      <c r="CK30" s="347">
        <v>116</v>
      </c>
      <c r="CM30" s="353" t="s">
        <v>171</v>
      </c>
      <c r="CN30" s="347">
        <v>30</v>
      </c>
      <c r="CO30" s="347">
        <f>118-CN30</f>
        <v>88</v>
      </c>
      <c r="CP30" s="347">
        <f>148-CO30-CN30</f>
        <v>30</v>
      </c>
      <c r="CQ30" s="347">
        <f>CR30-SUM(CN30:CP30)</f>
        <v>-162</v>
      </c>
      <c r="CR30" s="347">
        <v>-14</v>
      </c>
      <c r="CT30" s="353" t="s">
        <v>171</v>
      </c>
      <c r="CU30" s="347">
        <v>129</v>
      </c>
      <c r="CV30" s="347">
        <f>33-CU30</f>
        <v>-96</v>
      </c>
      <c r="CW30" s="347">
        <f>54-CV30-CU30</f>
        <v>21</v>
      </c>
      <c r="CX30" s="347">
        <f>CY30-SUM(CU30:CW30)</f>
        <v>-121</v>
      </c>
      <c r="CY30" s="347">
        <v>-67</v>
      </c>
      <c r="DA30" s="353" t="s">
        <v>171</v>
      </c>
      <c r="DB30" s="347">
        <v>159</v>
      </c>
      <c r="DC30" s="347">
        <f>114-DB30</f>
        <v>-45</v>
      </c>
      <c r="DD30" s="347">
        <f>142-DC30-DB30</f>
        <v>28</v>
      </c>
      <c r="DE30" s="347">
        <f>DF30-SUM(DB30:DD30)</f>
        <v>-68</v>
      </c>
      <c r="DF30" s="347">
        <v>74</v>
      </c>
      <c r="DH30" s="353" t="s">
        <v>171</v>
      </c>
      <c r="DI30" s="347">
        <v>130</v>
      </c>
      <c r="DJ30" s="347">
        <f>78-DI30</f>
        <v>-52</v>
      </c>
      <c r="DK30" s="347">
        <f>110-DJ30-DI30</f>
        <v>32</v>
      </c>
      <c r="DL30" s="347">
        <f>DM30-SUM(DI30:DK30)</f>
        <v>-172</v>
      </c>
      <c r="DM30" s="347">
        <v>-62</v>
      </c>
      <c r="DO30" s="353" t="s">
        <v>171</v>
      </c>
      <c r="DP30" s="347">
        <v>59</v>
      </c>
      <c r="DQ30" s="347">
        <f>27-DP30</f>
        <v>-32</v>
      </c>
      <c r="DR30" s="347">
        <f>-25-DQ30-DP30</f>
        <v>-52</v>
      </c>
      <c r="DS30" s="347">
        <f>DT30-SUM(DP30:DR30)</f>
        <v>48</v>
      </c>
      <c r="DT30" s="347">
        <v>23</v>
      </c>
      <c r="DV30" s="353" t="s">
        <v>171</v>
      </c>
      <c r="DW30" s="347">
        <v>162</v>
      </c>
      <c r="DX30" s="347">
        <f>-46-DW30</f>
        <v>-208</v>
      </c>
      <c r="DY30" s="347">
        <f>180-DX30-DW30</f>
        <v>226</v>
      </c>
      <c r="DZ30" s="347">
        <f>EA30-SUM(DW30:DY30)</f>
        <v>-160</v>
      </c>
      <c r="EA30" s="347">
        <v>20</v>
      </c>
      <c r="EC30" s="353" t="s">
        <v>171</v>
      </c>
      <c r="ED30" s="347">
        <v>127</v>
      </c>
      <c r="EE30" s="347">
        <f>-24-ED30</f>
        <v>-151</v>
      </c>
      <c r="EF30" s="347">
        <f>19-EE30-ED30</f>
        <v>43</v>
      </c>
      <c r="EG30" s="347">
        <f>EH30-SUM(ED30:EF30)</f>
        <v>-123</v>
      </c>
      <c r="EH30" s="347">
        <v>-104</v>
      </c>
      <c r="EJ30" s="353" t="s">
        <v>171</v>
      </c>
      <c r="EK30" s="347">
        <v>150</v>
      </c>
      <c r="EL30" s="347">
        <f>89-EK30</f>
        <v>-61</v>
      </c>
      <c r="EM30" s="347">
        <f>114-EL30-EK30</f>
        <v>25</v>
      </c>
      <c r="EN30" s="347">
        <f>EO30-SUM(EK30:EM30)</f>
        <v>-218</v>
      </c>
      <c r="EO30" s="347">
        <v>-104</v>
      </c>
      <c r="EQ30" s="353" t="s">
        <v>171</v>
      </c>
      <c r="ER30" s="347">
        <v>227</v>
      </c>
      <c r="ES30" s="347">
        <f>338-ER30</f>
        <v>111</v>
      </c>
      <c r="ET30" s="347">
        <f>98-ES30-ER30</f>
        <v>-240</v>
      </c>
      <c r="EU30" s="347">
        <f>EV30-SUM(ER30:ET30)</f>
        <v>-59</v>
      </c>
      <c r="EV30" s="347">
        <v>39</v>
      </c>
      <c r="EX30" s="353" t="s">
        <v>171</v>
      </c>
      <c r="EY30" s="347">
        <v>192</v>
      </c>
      <c r="EZ30" s="347">
        <f>181-EY30</f>
        <v>-11</v>
      </c>
      <c r="FA30" s="347">
        <f>174-EZ30-EY30</f>
        <v>-7</v>
      </c>
      <c r="FB30" s="347">
        <f>FC30-SUM(EY30:FA30)</f>
        <v>-102</v>
      </c>
      <c r="FC30" s="347">
        <v>72</v>
      </c>
      <c r="FE30" s="353" t="s">
        <v>171</v>
      </c>
      <c r="FF30" s="347">
        <v>225</v>
      </c>
      <c r="FG30" s="347">
        <f>43-FF30</f>
        <v>-182</v>
      </c>
      <c r="FH30" s="347">
        <f>22-FG30-FF30</f>
        <v>-21</v>
      </c>
      <c r="FI30" s="347">
        <f>FJ30-SUM(FF30:FH30)</f>
        <v>-61</v>
      </c>
      <c r="FJ30" s="347">
        <v>-39</v>
      </c>
      <c r="FL30" s="353" t="s">
        <v>171</v>
      </c>
      <c r="FM30" s="347">
        <v>266</v>
      </c>
      <c r="FN30" s="347">
        <f>33-FM30</f>
        <v>-233</v>
      </c>
      <c r="FO30" s="347">
        <f>267-FN30-FM30</f>
        <v>234</v>
      </c>
      <c r="FP30" s="347">
        <f>FQ30-SUM(FM30:FO30)</f>
        <v>164</v>
      </c>
      <c r="FQ30" s="347">
        <v>431</v>
      </c>
      <c r="FS30" s="353" t="s">
        <v>171</v>
      </c>
      <c r="FT30" s="347">
        <v>-143</v>
      </c>
      <c r="FU30" s="354">
        <f>-403-FT30</f>
        <v>-260</v>
      </c>
      <c r="FV30" s="354">
        <f>-148-FU30-FT30</f>
        <v>255</v>
      </c>
      <c r="FW30" s="347">
        <f>FX30-SUM(FT30:FV30)</f>
        <v>129</v>
      </c>
      <c r="FX30" s="354">
        <v>-19</v>
      </c>
      <c r="FZ30" s="353" t="s">
        <v>171</v>
      </c>
      <c r="GA30" s="354">
        <v>175</v>
      </c>
      <c r="GB30" s="354">
        <f>-362-GA30</f>
        <v>-537</v>
      </c>
      <c r="GC30" s="354">
        <f>-508-GB30-GA30</f>
        <v>-146</v>
      </c>
      <c r="GD30" s="354">
        <f>+BS!HX36-BS!HW36</f>
        <v>0</v>
      </c>
      <c r="GE30" s="354">
        <f>+SUM(GA30:GD30)</f>
        <v>-508</v>
      </c>
      <c r="GG30" s="353" t="s">
        <v>171</v>
      </c>
      <c r="GH30" s="354">
        <f>+BS!IB36-BS!HY36</f>
        <v>0</v>
      </c>
      <c r="GI30" s="354">
        <f>+BS!IC36-BS!IB36</f>
        <v>0</v>
      </c>
      <c r="GJ30" s="354">
        <f>+BS!ID36-BS!IC36</f>
        <v>0</v>
      </c>
      <c r="GK30" s="354">
        <f>+BS!IE36-BS!ID36</f>
        <v>0</v>
      </c>
      <c r="GL30" s="354">
        <f>+SUM(GH30:GK30)</f>
        <v>0</v>
      </c>
      <c r="GN30" s="353" t="s">
        <v>171</v>
      </c>
      <c r="GO30" s="354">
        <f>+BS!II36-BS!IF36</f>
        <v>0</v>
      </c>
      <c r="GP30" s="354">
        <f>+BS!IJ36-BS!II36</f>
        <v>0</v>
      </c>
      <c r="GQ30" s="354">
        <f>+BS!IK36-BS!IJ36</f>
        <v>0</v>
      </c>
      <c r="GR30" s="354">
        <f>+BS!IL36-BS!IK36</f>
        <v>0</v>
      </c>
      <c r="GS30" s="354">
        <f>+SUM(GO30:GR30)</f>
        <v>0</v>
      </c>
      <c r="GU30" s="353" t="s">
        <v>171</v>
      </c>
      <c r="GV30" s="354">
        <f>+BS!IP36-BS!IM36</f>
        <v>0</v>
      </c>
      <c r="GW30" s="354">
        <f>+BS!IQ36-BS!IP36</f>
        <v>0</v>
      </c>
      <c r="GX30" s="354">
        <f>+BS!IR36-BS!IQ36</f>
        <v>0</v>
      </c>
      <c r="GY30" s="354">
        <f>+BS!IS36-BS!IR36</f>
        <v>0</v>
      </c>
      <c r="GZ30" s="354">
        <f>+SUM(GV30:GY30)</f>
        <v>0</v>
      </c>
    </row>
    <row r="31" spans="1:208" outlineLevel="1" x14ac:dyDescent="0.4">
      <c r="A31" s="414"/>
      <c r="B31" s="353" t="s">
        <v>172</v>
      </c>
      <c r="C31" s="354">
        <f>AU31</f>
        <v>139</v>
      </c>
      <c r="D31" s="354">
        <f>BB31</f>
        <v>-104</v>
      </c>
      <c r="E31" s="354">
        <f>BI31</f>
        <v>-38</v>
      </c>
      <c r="F31" s="354">
        <f>BP31</f>
        <v>5</v>
      </c>
      <c r="G31" s="354">
        <f>BW31</f>
        <v>-111</v>
      </c>
      <c r="H31" s="354">
        <f>CD31</f>
        <v>123</v>
      </c>
      <c r="I31" s="354">
        <f>CK31</f>
        <v>35</v>
      </c>
      <c r="J31" s="354">
        <f>CR31</f>
        <v>-74</v>
      </c>
      <c r="K31" s="354">
        <f>CY31</f>
        <v>113</v>
      </c>
      <c r="L31" s="354">
        <f>DF31</f>
        <v>34</v>
      </c>
      <c r="M31" s="354">
        <f>DM31</f>
        <v>-118</v>
      </c>
      <c r="N31" s="354">
        <f>DT31</f>
        <v>35</v>
      </c>
      <c r="O31" s="354">
        <f>EA31</f>
        <v>43</v>
      </c>
      <c r="P31" s="354">
        <f>EH31</f>
        <v>-47</v>
      </c>
      <c r="Q31" s="354">
        <f>EO31</f>
        <v>-47</v>
      </c>
      <c r="R31" s="354">
        <f>EV31</f>
        <v>-25</v>
      </c>
      <c r="S31" s="354">
        <f>FC31</f>
        <v>139</v>
      </c>
      <c r="T31" s="354">
        <f>FJ31</f>
        <v>113</v>
      </c>
      <c r="U31" s="354">
        <f>FQ31</f>
        <v>-221</v>
      </c>
      <c r="V31" s="354">
        <f>FX31</f>
        <v>-29</v>
      </c>
      <c r="W31" s="354">
        <f>GE31</f>
        <v>-13.520999999999958</v>
      </c>
      <c r="X31" s="354">
        <f>GL31</f>
        <v>2.8195669250000037</v>
      </c>
      <c r="Y31" s="354">
        <f>GS31</f>
        <v>4.8027740962895251</v>
      </c>
      <c r="Z31" s="354">
        <f>GZ31</f>
        <v>4.6741207018886541</v>
      </c>
      <c r="AA31" s="348"/>
      <c r="AB31" s="348"/>
      <c r="AC31" s="348"/>
      <c r="AD31" s="348"/>
      <c r="AE31" s="348"/>
      <c r="AF31" s="348"/>
      <c r="AG31" s="348"/>
      <c r="AH31" s="348"/>
      <c r="AI31" s="348"/>
      <c r="AJ31" s="348"/>
      <c r="AK31" s="348"/>
      <c r="AL31" s="348"/>
      <c r="AM31" s="348"/>
      <c r="AN31" s="348"/>
      <c r="AP31" s="353" t="s">
        <v>172</v>
      </c>
      <c r="AQ31" s="347">
        <v>-60</v>
      </c>
      <c r="AR31" s="347">
        <f>-16-AQ31</f>
        <v>44</v>
      </c>
      <c r="AS31" s="347">
        <f>83-AR31-AQ31</f>
        <v>99</v>
      </c>
      <c r="AT31" s="347">
        <f>AU31-SUM(AQ31:AS31)</f>
        <v>56</v>
      </c>
      <c r="AU31" s="347">
        <v>139</v>
      </c>
      <c r="AW31" s="353" t="s">
        <v>172</v>
      </c>
      <c r="AX31" s="347">
        <v>-151</v>
      </c>
      <c r="AY31" s="347">
        <f>-141-AX31</f>
        <v>10</v>
      </c>
      <c r="AZ31" s="347">
        <f>-120-AY31-AX31</f>
        <v>21</v>
      </c>
      <c r="BA31" s="347">
        <f>BB31-SUM(AX31:AZ31)</f>
        <v>16</v>
      </c>
      <c r="BB31" s="347">
        <v>-104</v>
      </c>
      <c r="BD31" s="353" t="s">
        <v>172</v>
      </c>
      <c r="BE31" s="347">
        <v>-37</v>
      </c>
      <c r="BF31" s="347">
        <f>-75-BE31</f>
        <v>-38</v>
      </c>
      <c r="BG31" s="347">
        <f>-15-BF31-BE31</f>
        <v>60</v>
      </c>
      <c r="BH31" s="347">
        <f>BI31-SUM(BE31:BG31)</f>
        <v>-23</v>
      </c>
      <c r="BI31" s="347">
        <v>-38</v>
      </c>
      <c r="BK31" s="353" t="s">
        <v>172</v>
      </c>
      <c r="BL31" s="347">
        <v>9</v>
      </c>
      <c r="BM31" s="347">
        <f>-4-BL31</f>
        <v>-13</v>
      </c>
      <c r="BN31" s="347">
        <f>35-BM31-BL31</f>
        <v>39</v>
      </c>
      <c r="BO31" s="347">
        <f>BP31-SUM(BL31:BN31)</f>
        <v>-30</v>
      </c>
      <c r="BP31" s="347">
        <v>5</v>
      </c>
      <c r="BR31" s="353" t="s">
        <v>172</v>
      </c>
      <c r="BS31" s="347">
        <v>-86</v>
      </c>
      <c r="BT31" s="347">
        <f>-117-BS31</f>
        <v>-31</v>
      </c>
      <c r="BU31" s="347">
        <f>-80-BT31-BS31</f>
        <v>37</v>
      </c>
      <c r="BV31" s="347">
        <f>BW31-SUM(BS31:BU31)</f>
        <v>-31</v>
      </c>
      <c r="BW31" s="347">
        <v>-111</v>
      </c>
      <c r="BY31" s="353" t="s">
        <v>172</v>
      </c>
      <c r="BZ31" s="347">
        <v>12</v>
      </c>
      <c r="CA31" s="347">
        <f>22-BZ31</f>
        <v>10</v>
      </c>
      <c r="CB31" s="347">
        <f>97-CA31-BZ31</f>
        <v>75</v>
      </c>
      <c r="CC31" s="347">
        <f>CD31-SUM(BZ31:CB31)</f>
        <v>26</v>
      </c>
      <c r="CD31" s="347">
        <v>123</v>
      </c>
      <c r="CF31" s="353" t="s">
        <v>172</v>
      </c>
      <c r="CG31" s="347">
        <v>-181</v>
      </c>
      <c r="CH31" s="347">
        <f>-1-CG31</f>
        <v>180</v>
      </c>
      <c r="CI31" s="347">
        <f>-14-CH31-CG31</f>
        <v>-13</v>
      </c>
      <c r="CJ31" s="347">
        <f>CK31-SUM(CG31:CI31)</f>
        <v>49</v>
      </c>
      <c r="CK31" s="347">
        <v>35</v>
      </c>
      <c r="CM31" s="353" t="s">
        <v>172</v>
      </c>
      <c r="CN31" s="347">
        <v>-151</v>
      </c>
      <c r="CO31" s="347">
        <f>-123-CN31</f>
        <v>28</v>
      </c>
      <c r="CP31" s="347">
        <f>-121-CO31-CN31</f>
        <v>2</v>
      </c>
      <c r="CQ31" s="347">
        <f>CR31-SUM(CN31:CP31)</f>
        <v>47</v>
      </c>
      <c r="CR31" s="347">
        <v>-74</v>
      </c>
      <c r="CT31" s="353" t="s">
        <v>172</v>
      </c>
      <c r="CU31" s="347">
        <v>-88</v>
      </c>
      <c r="CV31" s="347">
        <f>-28-CU31</f>
        <v>60</v>
      </c>
      <c r="CW31" s="347">
        <f>42-CV31-CU31</f>
        <v>70</v>
      </c>
      <c r="CX31" s="347">
        <f>CY31-SUM(CU31:CW31)</f>
        <v>71</v>
      </c>
      <c r="CY31" s="347">
        <v>113</v>
      </c>
      <c r="DA31" s="353" t="s">
        <v>172</v>
      </c>
      <c r="DB31" s="347">
        <v>-173</v>
      </c>
      <c r="DC31" s="347">
        <f>-79-DB31</f>
        <v>94</v>
      </c>
      <c r="DD31" s="347">
        <f>-60-DC31-DB31</f>
        <v>19</v>
      </c>
      <c r="DE31" s="347">
        <f>DF31-SUM(DB31:DD31)</f>
        <v>94</v>
      </c>
      <c r="DF31" s="347">
        <v>34</v>
      </c>
      <c r="DH31" s="353" t="s">
        <v>172</v>
      </c>
      <c r="DI31" s="347">
        <v>-201</v>
      </c>
      <c r="DJ31" s="347">
        <f>-145-DI31</f>
        <v>56</v>
      </c>
      <c r="DK31" s="347">
        <f>-173-DJ31-DI31</f>
        <v>-28</v>
      </c>
      <c r="DL31" s="347">
        <f>DM31-SUM(DI31:DK31)</f>
        <v>55</v>
      </c>
      <c r="DM31" s="347">
        <v>-118</v>
      </c>
      <c r="DO31" s="353" t="s">
        <v>172</v>
      </c>
      <c r="DP31" s="347">
        <v>-102</v>
      </c>
      <c r="DQ31" s="347">
        <f>-11-DP31</f>
        <v>91</v>
      </c>
      <c r="DR31" s="347">
        <f>-61-DQ31-DP31</f>
        <v>-50</v>
      </c>
      <c r="DS31" s="347">
        <f>DT31-SUM(DP31:DR31)</f>
        <v>96</v>
      </c>
      <c r="DT31" s="347">
        <v>35</v>
      </c>
      <c r="DV31" s="353" t="s">
        <v>172</v>
      </c>
      <c r="DW31" s="347">
        <v>-117</v>
      </c>
      <c r="DX31" s="347">
        <f>-85-DW31</f>
        <v>32</v>
      </c>
      <c r="DY31" s="347">
        <f>4-DX31-DW31</f>
        <v>89</v>
      </c>
      <c r="DZ31" s="347">
        <f>EA31-SUM(DW31:DY31)</f>
        <v>39</v>
      </c>
      <c r="EA31" s="347">
        <v>43</v>
      </c>
      <c r="EC31" s="353" t="s">
        <v>172</v>
      </c>
      <c r="ED31" s="347">
        <v>-165</v>
      </c>
      <c r="EE31" s="347">
        <f>-115-ED31</f>
        <v>50</v>
      </c>
      <c r="EF31" s="347">
        <f>-98-EE31-ED31</f>
        <v>17</v>
      </c>
      <c r="EG31" s="347">
        <f>EH31-SUM(ED31:EF31)</f>
        <v>51</v>
      </c>
      <c r="EH31" s="347">
        <v>-47</v>
      </c>
      <c r="EJ31" s="353" t="s">
        <v>172</v>
      </c>
      <c r="EK31" s="347">
        <v>-172</v>
      </c>
      <c r="EL31" s="347">
        <f>-184-EK31</f>
        <v>-12</v>
      </c>
      <c r="EM31" s="347">
        <f>-115-EL31-EK31</f>
        <v>69</v>
      </c>
      <c r="EN31" s="347">
        <f>EO31-SUM(EK31:EM31)</f>
        <v>68</v>
      </c>
      <c r="EO31" s="347">
        <v>-47</v>
      </c>
      <c r="EQ31" s="353" t="s">
        <v>172</v>
      </c>
      <c r="ER31" s="347">
        <v>-140</v>
      </c>
      <c r="ES31" s="347">
        <f>-129-ER31</f>
        <v>11</v>
      </c>
      <c r="ET31" s="347">
        <f>-34-ES31-ER31</f>
        <v>95</v>
      </c>
      <c r="EU31" s="347">
        <f>EV31-SUM(ER31:ET31)</f>
        <v>9</v>
      </c>
      <c r="EV31" s="347">
        <v>-25</v>
      </c>
      <c r="EX31" s="353" t="s">
        <v>172</v>
      </c>
      <c r="EY31" s="347">
        <v>-60</v>
      </c>
      <c r="EZ31" s="347">
        <f>-20-EY31</f>
        <v>40</v>
      </c>
      <c r="FA31" s="347">
        <f>74-EZ31-EY31</f>
        <v>94</v>
      </c>
      <c r="FB31" s="347">
        <f>FC31-SUM(EY31:FA31)</f>
        <v>65</v>
      </c>
      <c r="FC31" s="347">
        <v>139</v>
      </c>
      <c r="FE31" s="353" t="s">
        <v>172</v>
      </c>
      <c r="FF31" s="347">
        <v>-70</v>
      </c>
      <c r="FG31" s="347">
        <f>-7-FF31</f>
        <v>63</v>
      </c>
      <c r="FH31" s="347">
        <f>97-FG31-FF31</f>
        <v>104</v>
      </c>
      <c r="FI31" s="347">
        <f>FJ31-SUM(FF31:FH31)</f>
        <v>16</v>
      </c>
      <c r="FJ31" s="347">
        <v>113</v>
      </c>
      <c r="FL31" s="353" t="s">
        <v>172</v>
      </c>
      <c r="FM31" s="347">
        <v>-326</v>
      </c>
      <c r="FN31" s="347">
        <f>-292-FM31</f>
        <v>34</v>
      </c>
      <c r="FO31" s="347">
        <f>-296-FN31-FM31</f>
        <v>-4</v>
      </c>
      <c r="FP31" s="347">
        <f>FQ31-SUM(FM31:FO31)</f>
        <v>75</v>
      </c>
      <c r="FQ31" s="347">
        <v>-221</v>
      </c>
      <c r="FS31" s="353" t="s">
        <v>172</v>
      </c>
      <c r="FT31" s="347">
        <v>-119</v>
      </c>
      <c r="FU31" s="354">
        <f>-46-FT31</f>
        <v>73</v>
      </c>
      <c r="FV31" s="354">
        <f>-33-FU31-FT31</f>
        <v>13</v>
      </c>
      <c r="FW31" s="347">
        <f>FX31-SUM(FT31:FV31)</f>
        <v>4</v>
      </c>
      <c r="FX31" s="354">
        <v>-29</v>
      </c>
      <c r="FZ31" s="353" t="s">
        <v>172</v>
      </c>
      <c r="GA31" s="354">
        <v>-46</v>
      </c>
      <c r="GB31" s="354">
        <f>7-GA31</f>
        <v>53</v>
      </c>
      <c r="GC31" s="354">
        <f>2-GB31-GA31</f>
        <v>-5</v>
      </c>
      <c r="GD31" s="354">
        <f>-314-SUM(GA27:GD30,GA14:GD21,GA23:GD24,GA31:GC31)</f>
        <v>-15.520999999999958</v>
      </c>
      <c r="GE31" s="354">
        <f>+SUM(GA31:GD31)</f>
        <v>-13.520999999999958</v>
      </c>
      <c r="GG31" s="353" t="s">
        <v>172</v>
      </c>
      <c r="GH31" s="354">
        <f>+BS!IB37-BS!HY37</f>
        <v>0.26472197499998629</v>
      </c>
      <c r="GI31" s="354">
        <f>+BS!IC37-BS!IB37</f>
        <v>0.43322947500001874</v>
      </c>
      <c r="GJ31" s="354">
        <f>+BS!ID37-BS!IC37</f>
        <v>0.81853904999998406</v>
      </c>
      <c r="GK31" s="354">
        <f>+BS!IE37-BS!ID37</f>
        <v>1.3030764250000146</v>
      </c>
      <c r="GL31" s="354">
        <f>+SUM(GH31:GK31)</f>
        <v>2.8195669250000037</v>
      </c>
      <c r="GN31" s="353" t="s">
        <v>172</v>
      </c>
      <c r="GO31" s="354">
        <f>+BS!II37-BS!IF37</f>
        <v>1.1719218460851408</v>
      </c>
      <c r="GP31" s="354">
        <f>+BS!IJ37-BS!II37</f>
        <v>1.2114412119775153</v>
      </c>
      <c r="GQ31" s="354">
        <f>+BS!IK37-BS!IJ37</f>
        <v>1.2045406988562348</v>
      </c>
      <c r="GR31" s="354">
        <f>+BS!IL37-BS!IK37</f>
        <v>1.2148703393706342</v>
      </c>
      <c r="GS31" s="354">
        <f>+SUM(GO31:GR31)</f>
        <v>4.8027740962895251</v>
      </c>
      <c r="GU31" s="353" t="s">
        <v>172</v>
      </c>
      <c r="GV31" s="354">
        <f>+BS!IP37-BS!IM37</f>
        <v>1.1391777149715807</v>
      </c>
      <c r="GW31" s="354">
        <f>+BS!IQ37-BS!IP37</f>
        <v>1.178044005009923</v>
      </c>
      <c r="GX31" s="354">
        <f>+BS!IR37-BS!IQ37</f>
        <v>1.1906707106051186</v>
      </c>
      <c r="GY31" s="354">
        <f>+BS!IS37-BS!IR37</f>
        <v>1.1662282713020318</v>
      </c>
      <c r="GZ31" s="354">
        <f>+SUM(GV31:GY31)</f>
        <v>4.6741207018886541</v>
      </c>
    </row>
    <row r="32" spans="1:208" x14ac:dyDescent="0.4">
      <c r="B32" s="82"/>
      <c r="C32" s="80"/>
      <c r="D32" s="80"/>
      <c r="E32" s="80"/>
      <c r="F32" s="80"/>
      <c r="G32" s="80"/>
      <c r="H32" s="80"/>
      <c r="I32" s="80"/>
      <c r="J32" s="80"/>
      <c r="K32" s="80"/>
      <c r="L32" s="80"/>
      <c r="M32" s="80"/>
      <c r="N32" s="80"/>
      <c r="O32" s="80"/>
      <c r="P32" s="80"/>
      <c r="Q32" s="80"/>
      <c r="R32" s="80"/>
      <c r="S32" s="80"/>
      <c r="T32" s="80"/>
      <c r="U32" s="80"/>
      <c r="V32" s="80"/>
      <c r="W32" s="80"/>
      <c r="X32" s="80"/>
      <c r="Y32" s="80"/>
      <c r="Z32" s="80"/>
      <c r="AP32" s="82"/>
      <c r="AQ32" s="80"/>
      <c r="AR32" s="80"/>
      <c r="AS32" s="80"/>
      <c r="AT32" s="80"/>
      <c r="AU32" s="80"/>
      <c r="AW32" s="82"/>
      <c r="AX32" s="80"/>
      <c r="AY32" s="80"/>
      <c r="AZ32" s="80"/>
      <c r="BA32" s="80"/>
      <c r="BB32" s="80"/>
      <c r="BD32" s="82"/>
      <c r="BE32" s="80"/>
      <c r="BF32" s="80"/>
      <c r="BG32" s="80"/>
      <c r="BH32" s="80"/>
      <c r="BI32" s="80"/>
      <c r="BK32" s="82"/>
      <c r="BL32" s="80"/>
      <c r="BM32" s="80"/>
      <c r="BN32" s="80"/>
      <c r="BO32" s="80"/>
      <c r="BP32" s="80"/>
      <c r="BR32" s="82"/>
      <c r="BS32" s="80"/>
      <c r="BT32" s="80"/>
      <c r="BU32" s="80"/>
      <c r="BV32" s="80"/>
      <c r="BW32" s="80"/>
      <c r="BY32" s="82"/>
      <c r="BZ32" s="80"/>
      <c r="CA32" s="80"/>
      <c r="CB32" s="80"/>
      <c r="CC32" s="80"/>
      <c r="CD32" s="80"/>
      <c r="CF32" s="82"/>
      <c r="CG32" s="80"/>
      <c r="CH32" s="80"/>
      <c r="CI32" s="80"/>
      <c r="CJ32" s="80"/>
      <c r="CK32" s="80"/>
      <c r="CM32" s="82"/>
      <c r="CN32" s="80"/>
      <c r="CO32" s="80"/>
      <c r="CP32" s="80"/>
      <c r="CQ32" s="80"/>
      <c r="CR32" s="80"/>
      <c r="CT32" s="82"/>
      <c r="CU32" s="80"/>
      <c r="CV32" s="80"/>
      <c r="CW32" s="80"/>
      <c r="CX32" s="80"/>
      <c r="CY32" s="80"/>
      <c r="DA32" s="82"/>
      <c r="DB32" s="80"/>
      <c r="DC32" s="80"/>
      <c r="DD32" s="80"/>
      <c r="DE32" s="80"/>
      <c r="DF32" s="80"/>
      <c r="DH32" s="82"/>
      <c r="DI32" s="80"/>
      <c r="DJ32" s="80"/>
      <c r="DK32" s="80"/>
      <c r="DL32" s="80"/>
      <c r="DM32" s="80"/>
      <c r="DO32" s="82"/>
      <c r="DP32" s="80"/>
      <c r="DQ32" s="80"/>
      <c r="DR32" s="80"/>
      <c r="DS32" s="80"/>
      <c r="DT32" s="80"/>
      <c r="DV32" s="82"/>
      <c r="DW32" s="80"/>
      <c r="DX32" s="80"/>
      <c r="DY32" s="80"/>
      <c r="DZ32" s="80"/>
      <c r="EA32" s="80"/>
      <c r="EC32" s="82"/>
      <c r="ED32" s="80"/>
      <c r="EE32" s="80"/>
      <c r="EF32" s="80"/>
      <c r="EG32" s="80"/>
      <c r="EH32" s="80"/>
      <c r="EJ32" s="82"/>
      <c r="EK32" s="80"/>
      <c r="EL32" s="80"/>
      <c r="EM32" s="80"/>
      <c r="EN32" s="80"/>
      <c r="EO32" s="80"/>
      <c r="EQ32" s="82"/>
      <c r="ER32" s="80"/>
      <c r="ES32" s="80"/>
      <c r="ET32" s="80"/>
      <c r="EU32" s="80"/>
      <c r="EV32" s="80"/>
      <c r="EX32" s="82"/>
      <c r="EY32" s="80"/>
      <c r="EZ32" s="80"/>
      <c r="FA32" s="80"/>
      <c r="FB32" s="80"/>
      <c r="FC32" s="80"/>
      <c r="FE32" s="82"/>
      <c r="FF32" s="80"/>
      <c r="FG32" s="80"/>
      <c r="FH32" s="80"/>
      <c r="FI32" s="80"/>
      <c r="FJ32" s="80"/>
      <c r="FL32" s="82"/>
      <c r="FM32" s="80"/>
      <c r="FN32" s="80"/>
      <c r="FO32" s="80"/>
      <c r="FP32" s="80"/>
      <c r="FQ32" s="80"/>
      <c r="FS32" s="82"/>
      <c r="FT32" s="80"/>
      <c r="FU32" s="80"/>
      <c r="FV32" s="80"/>
      <c r="FW32" s="80"/>
      <c r="FX32" s="80"/>
      <c r="FZ32" s="82"/>
      <c r="GA32" s="80"/>
      <c r="GB32" s="80"/>
      <c r="GC32" s="80"/>
      <c r="GD32" s="80"/>
      <c r="GE32" s="80"/>
      <c r="GG32" s="82"/>
      <c r="GH32" s="80"/>
      <c r="GI32" s="80"/>
      <c r="GJ32" s="80"/>
      <c r="GK32" s="80"/>
      <c r="GL32" s="80"/>
      <c r="GN32" s="82"/>
      <c r="GO32" s="80"/>
      <c r="GP32" s="80"/>
      <c r="GQ32" s="80"/>
      <c r="GR32" s="80"/>
      <c r="GS32" s="80"/>
      <c r="GU32" s="82"/>
      <c r="GV32" s="80"/>
      <c r="GW32" s="80"/>
      <c r="GX32" s="80"/>
      <c r="GY32" s="80"/>
      <c r="GZ32" s="80"/>
    </row>
    <row r="33" spans="1:208" ht="14.25" thickBot="1" x14ac:dyDescent="0.45">
      <c r="A33" s="419"/>
      <c r="B33" s="420" t="s">
        <v>13</v>
      </c>
      <c r="C33" s="421">
        <f>AU33</f>
        <v>1110</v>
      </c>
      <c r="D33" s="421">
        <f>BB33</f>
        <v>2058</v>
      </c>
      <c r="E33" s="421">
        <f>BI33</f>
        <v>2184</v>
      </c>
      <c r="F33" s="421">
        <f>BP33</f>
        <v>2893</v>
      </c>
      <c r="G33" s="421">
        <f>BW33</f>
        <v>2039</v>
      </c>
      <c r="H33" s="421">
        <f>CD33</f>
        <v>3261</v>
      </c>
      <c r="I33" s="421">
        <f>CK33</f>
        <v>3491</v>
      </c>
      <c r="J33" s="421">
        <f>CR33</f>
        <v>2946</v>
      </c>
      <c r="K33" s="421">
        <f>CY33</f>
        <v>3267</v>
      </c>
      <c r="L33" s="421">
        <f>DF33</f>
        <v>3343</v>
      </c>
      <c r="M33" s="421">
        <f>DM33</f>
        <v>3370</v>
      </c>
      <c r="N33" s="421">
        <f>DT33</f>
        <v>3041</v>
      </c>
      <c r="O33" s="421">
        <f>EA33</f>
        <v>3472</v>
      </c>
      <c r="P33" s="421">
        <f>EH33</f>
        <v>4641</v>
      </c>
      <c r="Q33" s="421">
        <f>EO33</f>
        <v>4850</v>
      </c>
      <c r="R33" s="421">
        <f>EV33</f>
        <v>4263</v>
      </c>
      <c r="S33" s="421">
        <f>FC33</f>
        <v>5099</v>
      </c>
      <c r="T33" s="421">
        <f>FJ33</f>
        <v>5619</v>
      </c>
      <c r="U33" s="421">
        <f>FQ33</f>
        <v>5549</v>
      </c>
      <c r="V33" s="421">
        <f>FX33</f>
        <v>5247</v>
      </c>
      <c r="W33" s="421">
        <f>GE33</f>
        <v>4613</v>
      </c>
      <c r="X33" s="421">
        <f>GL33</f>
        <v>5371.240427734384</v>
      </c>
      <c r="Y33" s="421">
        <f>GS33</f>
        <v>5925.8840626179408</v>
      </c>
      <c r="Z33" s="421">
        <f>GZ33</f>
        <v>6196.2485920567879</v>
      </c>
      <c r="AA33" s="422"/>
      <c r="AB33" s="422"/>
      <c r="AC33" s="422"/>
      <c r="AD33" s="422"/>
      <c r="AE33" s="422"/>
      <c r="AF33" s="422"/>
      <c r="AG33" s="422"/>
      <c r="AH33" s="422"/>
      <c r="AI33" s="422"/>
      <c r="AJ33" s="422"/>
      <c r="AK33" s="422"/>
      <c r="AL33" s="422"/>
      <c r="AM33" s="422"/>
      <c r="AN33" s="422"/>
      <c r="AP33" s="420" t="s">
        <v>13</v>
      </c>
      <c r="AQ33" s="421">
        <f>+AQ26+AQ13+AQ11+AQ10+AQ9</f>
        <v>309</v>
      </c>
      <c r="AR33" s="421">
        <f>+AR26+AR13+AR11+AR10+AR9</f>
        <v>20</v>
      </c>
      <c r="AS33" s="421">
        <f>+AS26+AS13+AS11+AS10+AS9</f>
        <v>449</v>
      </c>
      <c r="AT33" s="421">
        <f>+AT26+AT13+AT11+AT10+AT9</f>
        <v>332</v>
      </c>
      <c r="AU33" s="421">
        <f>+AU26+AU13+AU11+AU10+AU9</f>
        <v>1110</v>
      </c>
      <c r="AW33" s="420" t="s">
        <v>13</v>
      </c>
      <c r="AX33" s="421">
        <f t="shared" ref="AX33:BI33" si="75">+AX26+AX13+AX11+AX10+AX9</f>
        <v>445</v>
      </c>
      <c r="AY33" s="421">
        <f t="shared" si="75"/>
        <v>409</v>
      </c>
      <c r="AZ33" s="421">
        <f t="shared" si="75"/>
        <v>513</v>
      </c>
      <c r="BA33" s="421">
        <f>+BA26+BA13+BA11+BA10+BA9</f>
        <v>691</v>
      </c>
      <c r="BB33" s="421">
        <f t="shared" si="75"/>
        <v>2058</v>
      </c>
      <c r="BD33" s="420" t="s">
        <v>13</v>
      </c>
      <c r="BE33" s="421">
        <f t="shared" si="75"/>
        <v>597</v>
      </c>
      <c r="BF33" s="421">
        <f t="shared" si="75"/>
        <v>478</v>
      </c>
      <c r="BG33" s="421">
        <f t="shared" si="75"/>
        <v>743</v>
      </c>
      <c r="BH33" s="421">
        <f t="shared" si="75"/>
        <v>366</v>
      </c>
      <c r="BI33" s="421">
        <f t="shared" si="75"/>
        <v>2184</v>
      </c>
      <c r="BK33" s="420" t="s">
        <v>13</v>
      </c>
      <c r="BL33" s="421">
        <f>+BL26+BL13+BL11+BL10+BL9</f>
        <v>734</v>
      </c>
      <c r="BM33" s="421">
        <f>+BM26+BM13+BM11+BM10+BM9</f>
        <v>609</v>
      </c>
      <c r="BN33" s="421">
        <f>+BN26+BN13+BN11+BN10+BN9</f>
        <v>848</v>
      </c>
      <c r="BO33" s="421">
        <f>+BO26+BO13+BO11+BO10+BO9</f>
        <v>702</v>
      </c>
      <c r="BP33" s="421">
        <f>+BP26+BP13+BP11+BP10+BP9</f>
        <v>2893</v>
      </c>
      <c r="BR33" s="420" t="s">
        <v>13</v>
      </c>
      <c r="BS33" s="421">
        <f t="shared" ref="BS33:DJ33" si="76">+BS26+BS13+BS11+BS10+BS9</f>
        <v>449</v>
      </c>
      <c r="BT33" s="421">
        <f t="shared" si="76"/>
        <v>522</v>
      </c>
      <c r="BU33" s="421">
        <f t="shared" si="76"/>
        <v>618</v>
      </c>
      <c r="BV33" s="421">
        <f t="shared" si="76"/>
        <v>450</v>
      </c>
      <c r="BW33" s="421">
        <f t="shared" si="76"/>
        <v>2039</v>
      </c>
      <c r="BY33" s="420" t="s">
        <v>13</v>
      </c>
      <c r="BZ33" s="421">
        <f t="shared" si="76"/>
        <v>744</v>
      </c>
      <c r="CA33" s="421">
        <f t="shared" si="76"/>
        <v>678</v>
      </c>
      <c r="CB33" s="421">
        <f t="shared" si="76"/>
        <v>855</v>
      </c>
      <c r="CC33" s="421">
        <f>+CC26+CC13+CC11+CC10+CC9</f>
        <v>984</v>
      </c>
      <c r="CD33" s="421">
        <f t="shared" si="76"/>
        <v>3261</v>
      </c>
      <c r="CF33" s="420" t="s">
        <v>13</v>
      </c>
      <c r="CG33" s="421">
        <f t="shared" si="76"/>
        <v>495</v>
      </c>
      <c r="CH33" s="421">
        <f t="shared" si="76"/>
        <v>1090</v>
      </c>
      <c r="CI33" s="421">
        <f t="shared" si="76"/>
        <v>1000</v>
      </c>
      <c r="CJ33" s="421">
        <f>+CJ26+CJ13+CJ11+CJ10+CJ9</f>
        <v>906</v>
      </c>
      <c r="CK33" s="421">
        <f t="shared" si="76"/>
        <v>3491</v>
      </c>
      <c r="CM33" s="420" t="s">
        <v>13</v>
      </c>
      <c r="CN33" s="421">
        <f t="shared" si="76"/>
        <v>444</v>
      </c>
      <c r="CO33" s="421">
        <f t="shared" si="76"/>
        <v>847</v>
      </c>
      <c r="CP33" s="421">
        <f t="shared" si="76"/>
        <v>1013</v>
      </c>
      <c r="CQ33" s="421">
        <f t="shared" si="76"/>
        <v>642</v>
      </c>
      <c r="CR33" s="421">
        <f t="shared" si="76"/>
        <v>2946</v>
      </c>
      <c r="CT33" s="420" t="s">
        <v>13</v>
      </c>
      <c r="CU33" s="421">
        <f t="shared" si="76"/>
        <v>731</v>
      </c>
      <c r="CV33" s="421">
        <f t="shared" si="76"/>
        <v>848</v>
      </c>
      <c r="CW33" s="421">
        <f t="shared" si="76"/>
        <v>920</v>
      </c>
      <c r="CX33" s="421">
        <f t="shared" si="76"/>
        <v>768</v>
      </c>
      <c r="CY33" s="421">
        <f t="shared" si="76"/>
        <v>3267</v>
      </c>
      <c r="DA33" s="420" t="s">
        <v>13</v>
      </c>
      <c r="DB33" s="421">
        <f t="shared" si="76"/>
        <v>599</v>
      </c>
      <c r="DC33" s="421">
        <f t="shared" si="76"/>
        <v>846</v>
      </c>
      <c r="DD33" s="421">
        <f t="shared" si="76"/>
        <v>857</v>
      </c>
      <c r="DE33" s="421">
        <f t="shared" si="76"/>
        <v>1041</v>
      </c>
      <c r="DF33" s="421">
        <f t="shared" si="76"/>
        <v>3343</v>
      </c>
      <c r="DH33" s="420" t="s">
        <v>13</v>
      </c>
      <c r="DI33" s="421">
        <f t="shared" si="76"/>
        <v>690</v>
      </c>
      <c r="DJ33" s="421">
        <f t="shared" si="76"/>
        <v>892</v>
      </c>
      <c r="DK33" s="421">
        <f t="shared" ref="DK33:EK33" si="77">+DK26+DK13+DK11+DK10+DK9</f>
        <v>930</v>
      </c>
      <c r="DL33" s="421">
        <f>+DL26+DL13+DL11+DL10+DL9</f>
        <v>858</v>
      </c>
      <c r="DM33" s="421">
        <f t="shared" si="77"/>
        <v>3370</v>
      </c>
      <c r="DO33" s="420" t="s">
        <v>13</v>
      </c>
      <c r="DP33" s="421">
        <f t="shared" si="77"/>
        <v>754</v>
      </c>
      <c r="DQ33" s="421">
        <f t="shared" si="77"/>
        <v>838</v>
      </c>
      <c r="DR33" s="421">
        <f t="shared" si="77"/>
        <v>896</v>
      </c>
      <c r="DS33" s="421">
        <f>+DS26+DS13+DS11+DS10+DS9</f>
        <v>553</v>
      </c>
      <c r="DT33" s="421">
        <f t="shared" si="77"/>
        <v>3041</v>
      </c>
      <c r="DV33" s="420" t="s">
        <v>13</v>
      </c>
      <c r="DW33" s="421">
        <f t="shared" si="77"/>
        <v>1043</v>
      </c>
      <c r="DX33" s="421">
        <f t="shared" si="77"/>
        <v>523</v>
      </c>
      <c r="DY33" s="421">
        <f t="shared" si="77"/>
        <v>1295</v>
      </c>
      <c r="DZ33" s="421">
        <f t="shared" si="77"/>
        <v>611</v>
      </c>
      <c r="EA33" s="421">
        <f t="shared" si="77"/>
        <v>3472</v>
      </c>
      <c r="EC33" s="420" t="s">
        <v>13</v>
      </c>
      <c r="ED33" s="421">
        <f t="shared" si="77"/>
        <v>966</v>
      </c>
      <c r="EE33" s="421">
        <f t="shared" si="77"/>
        <v>1043</v>
      </c>
      <c r="EF33" s="421">
        <f t="shared" si="77"/>
        <v>1397</v>
      </c>
      <c r="EG33" s="421">
        <f t="shared" si="77"/>
        <v>1235</v>
      </c>
      <c r="EH33" s="421">
        <f t="shared" si="77"/>
        <v>4641</v>
      </c>
      <c r="EJ33" s="420" t="s">
        <v>13</v>
      </c>
      <c r="EK33" s="421">
        <f t="shared" si="77"/>
        <v>1173</v>
      </c>
      <c r="EL33" s="421">
        <f>+EL26+EL13+EL11+EL10+EL9</f>
        <v>1094</v>
      </c>
      <c r="EM33" s="421">
        <f>+EM26+EM13+EM11+EM10+EM9</f>
        <v>1470</v>
      </c>
      <c r="EN33" s="421">
        <f>+EN12+EN11+EN10+EN9</f>
        <v>1113</v>
      </c>
      <c r="EO33" s="421">
        <f>+EO12+EO11+EO10+EO9</f>
        <v>4850</v>
      </c>
      <c r="EQ33" s="420" t="s">
        <v>13</v>
      </c>
      <c r="ER33" s="421">
        <f>+ER12+ER11+ER10+ER9</f>
        <v>1178</v>
      </c>
      <c r="ES33" s="421">
        <f t="shared" ref="ES33:FB33" si="78">+ES12+ES11+ES10+ES9</f>
        <v>1006</v>
      </c>
      <c r="ET33" s="421">
        <f t="shared" si="78"/>
        <v>944</v>
      </c>
      <c r="EU33" s="421">
        <f>+EU12+EU11+EU10+EU9</f>
        <v>1135</v>
      </c>
      <c r="EV33" s="421">
        <f>+EV12+EV11+EV10+EV9</f>
        <v>4263</v>
      </c>
      <c r="EX33" s="420" t="s">
        <v>13</v>
      </c>
      <c r="EY33" s="421">
        <f t="shared" si="78"/>
        <v>1232</v>
      </c>
      <c r="EZ33" s="421">
        <f>+EZ12+EZ11+EZ10+EZ9</f>
        <v>1167</v>
      </c>
      <c r="FA33" s="421">
        <f t="shared" si="78"/>
        <v>1420</v>
      </c>
      <c r="FB33" s="421">
        <f t="shared" si="78"/>
        <v>1280</v>
      </c>
      <c r="FC33" s="421">
        <f t="shared" ref="FC33:GL33" si="79">+FC12+FC11+FC10+FC9</f>
        <v>5099</v>
      </c>
      <c r="FE33" s="420" t="s">
        <v>13</v>
      </c>
      <c r="FF33" s="421">
        <f t="shared" si="79"/>
        <v>1295</v>
      </c>
      <c r="FG33" s="421">
        <f t="shared" si="79"/>
        <v>1235</v>
      </c>
      <c r="FH33" s="421">
        <f t="shared" si="79"/>
        <v>1725</v>
      </c>
      <c r="FI33" s="421">
        <f t="shared" si="79"/>
        <v>1364</v>
      </c>
      <c r="FJ33" s="421">
        <f t="shared" si="79"/>
        <v>5619</v>
      </c>
      <c r="FL33" s="420" t="s">
        <v>13</v>
      </c>
      <c r="FM33" s="421">
        <f t="shared" si="79"/>
        <v>1251</v>
      </c>
      <c r="FN33" s="421">
        <f t="shared" si="79"/>
        <v>1232</v>
      </c>
      <c r="FO33" s="421">
        <f t="shared" si="79"/>
        <v>1566</v>
      </c>
      <c r="FP33" s="421">
        <f t="shared" si="79"/>
        <v>1500</v>
      </c>
      <c r="FQ33" s="421">
        <f t="shared" si="79"/>
        <v>5549</v>
      </c>
      <c r="FS33" s="420" t="s">
        <v>13</v>
      </c>
      <c r="FT33" s="421">
        <f t="shared" si="79"/>
        <v>1066</v>
      </c>
      <c r="FU33" s="421">
        <f t="shared" si="79"/>
        <v>1107</v>
      </c>
      <c r="FV33" s="421">
        <f t="shared" si="79"/>
        <v>1686</v>
      </c>
      <c r="FW33" s="421">
        <f t="shared" si="79"/>
        <v>1388</v>
      </c>
      <c r="FX33" s="421">
        <f t="shared" si="79"/>
        <v>5247</v>
      </c>
      <c r="FZ33" s="420" t="s">
        <v>13</v>
      </c>
      <c r="GA33" s="421">
        <f t="shared" si="79"/>
        <v>1255</v>
      </c>
      <c r="GB33" s="421">
        <f t="shared" si="79"/>
        <v>635</v>
      </c>
      <c r="GC33" s="421">
        <f t="shared" si="79"/>
        <v>1337</v>
      </c>
      <c r="GD33" s="421">
        <f t="shared" si="79"/>
        <v>1386</v>
      </c>
      <c r="GE33" s="421">
        <f t="shared" si="79"/>
        <v>4613</v>
      </c>
      <c r="GG33" s="420" t="s">
        <v>13</v>
      </c>
      <c r="GH33" s="421">
        <f t="shared" si="79"/>
        <v>1198.8945560104944</v>
      </c>
      <c r="GI33" s="421">
        <f t="shared" si="79"/>
        <v>1346.1629304980288</v>
      </c>
      <c r="GJ33" s="421">
        <f t="shared" si="79"/>
        <v>1469.6544187962704</v>
      </c>
      <c r="GK33" s="421">
        <f t="shared" si="79"/>
        <v>1356.528522429591</v>
      </c>
      <c r="GL33" s="421">
        <f t="shared" si="79"/>
        <v>5371.240427734384</v>
      </c>
      <c r="GN33" s="420" t="s">
        <v>13</v>
      </c>
      <c r="GO33" s="421">
        <f t="shared" ref="GO33:GS33" si="80">+GO12+GO11+GO10+GO9</f>
        <v>1444.6533481104461</v>
      </c>
      <c r="GP33" s="421">
        <f t="shared" si="80"/>
        <v>1482.8023229768198</v>
      </c>
      <c r="GQ33" s="421">
        <f t="shared" si="80"/>
        <v>1522.1104550961372</v>
      </c>
      <c r="GR33" s="421">
        <f t="shared" si="80"/>
        <v>1476.3179364345378</v>
      </c>
      <c r="GS33" s="421">
        <f t="shared" si="80"/>
        <v>5925.8840626179408</v>
      </c>
      <c r="GU33" s="420" t="s">
        <v>13</v>
      </c>
      <c r="GV33" s="421">
        <f t="shared" ref="GV33:GZ33" si="81">+GV12+GV11+GV10+GV9</f>
        <v>1424.6556078650174</v>
      </c>
      <c r="GW33" s="421">
        <f t="shared" si="81"/>
        <v>1581.5958632524412</v>
      </c>
      <c r="GX33" s="421">
        <f t="shared" si="81"/>
        <v>1617.8872371188181</v>
      </c>
      <c r="GY33" s="421">
        <f t="shared" si="81"/>
        <v>1572.1098838205107</v>
      </c>
      <c r="GZ33" s="421">
        <f t="shared" si="81"/>
        <v>6196.2485920567879</v>
      </c>
    </row>
    <row r="34" spans="1:208" ht="14.25" thickBot="1" x14ac:dyDescent="0.45">
      <c r="B34" s="423"/>
      <c r="C34" s="424"/>
      <c r="D34" s="424"/>
      <c r="E34" s="424"/>
      <c r="F34" s="424"/>
      <c r="G34" s="424"/>
      <c r="H34" s="424"/>
      <c r="I34" s="424"/>
      <c r="J34" s="424"/>
      <c r="K34" s="424"/>
      <c r="L34" s="424"/>
      <c r="M34" s="424"/>
      <c r="N34" s="424"/>
      <c r="O34" s="424"/>
      <c r="P34" s="424"/>
      <c r="Q34" s="424"/>
      <c r="R34" s="424"/>
      <c r="S34" s="424"/>
      <c r="T34" s="424"/>
      <c r="U34" s="424"/>
      <c r="V34" s="80"/>
      <c r="W34" s="80"/>
      <c r="X34" s="80"/>
      <c r="Y34" s="80"/>
      <c r="Z34" s="80"/>
      <c r="AA34" s="78"/>
      <c r="AB34" s="78"/>
      <c r="AC34" s="78"/>
      <c r="AD34" s="78"/>
      <c r="AE34" s="78"/>
      <c r="AF34" s="78"/>
      <c r="AG34" s="78"/>
      <c r="AH34" s="78"/>
      <c r="AI34" s="78"/>
      <c r="AJ34" s="78"/>
      <c r="AK34" s="78"/>
      <c r="AL34" s="78"/>
      <c r="AM34" s="78"/>
      <c r="AN34" s="78"/>
      <c r="AP34" s="423"/>
      <c r="AQ34" s="78"/>
      <c r="AR34" s="78"/>
      <c r="AS34" s="78"/>
      <c r="AT34" s="78"/>
      <c r="AU34" s="78"/>
      <c r="AW34" s="423"/>
      <c r="AX34" s="78"/>
      <c r="AY34" s="78"/>
      <c r="AZ34" s="78"/>
      <c r="BA34" s="78"/>
      <c r="BB34" s="78"/>
      <c r="BD34" s="423"/>
      <c r="BE34" s="78"/>
      <c r="BF34" s="78"/>
      <c r="BG34" s="78"/>
      <c r="BH34" s="78"/>
      <c r="BI34" s="78"/>
      <c r="BK34" s="423"/>
      <c r="BL34" s="78"/>
      <c r="BM34" s="78"/>
      <c r="BN34" s="78"/>
      <c r="BO34" s="78"/>
      <c r="BP34" s="78"/>
      <c r="BR34" s="423"/>
      <c r="BS34" s="78"/>
      <c r="BT34" s="78"/>
      <c r="BU34" s="78"/>
      <c r="BV34" s="78"/>
      <c r="BW34" s="78"/>
      <c r="BY34" s="423"/>
      <c r="BZ34" s="78"/>
      <c r="CA34" s="78"/>
      <c r="CB34" s="78"/>
      <c r="CC34" s="78"/>
      <c r="CD34" s="78"/>
      <c r="CF34" s="423"/>
      <c r="CG34" s="78"/>
      <c r="CH34" s="78"/>
      <c r="CI34" s="78"/>
      <c r="CJ34" s="78"/>
      <c r="CK34" s="78"/>
      <c r="CM34" s="423"/>
      <c r="CN34" s="78"/>
      <c r="CO34" s="78"/>
      <c r="CP34" s="78"/>
      <c r="CQ34" s="78"/>
      <c r="CR34" s="78"/>
      <c r="CT34" s="423"/>
      <c r="CU34" s="78"/>
      <c r="CV34" s="78"/>
      <c r="CW34" s="78"/>
      <c r="CX34" s="78"/>
      <c r="CY34" s="78"/>
      <c r="DA34" s="423"/>
      <c r="DB34" s="78"/>
      <c r="DC34" s="78"/>
      <c r="DD34" s="78"/>
      <c r="DE34" s="78"/>
      <c r="DF34" s="78"/>
      <c r="DH34" s="423"/>
      <c r="DI34" s="78"/>
      <c r="DJ34" s="78"/>
      <c r="DK34" s="78"/>
      <c r="DL34" s="78"/>
      <c r="DM34" s="78"/>
      <c r="DO34" s="423"/>
      <c r="DP34" s="78"/>
      <c r="DQ34" s="78"/>
      <c r="DR34" s="78"/>
      <c r="DS34" s="78"/>
      <c r="DT34" s="78"/>
      <c r="DV34" s="423"/>
      <c r="DW34" s="78"/>
      <c r="DX34" s="78"/>
      <c r="DY34" s="78"/>
      <c r="DZ34" s="78"/>
      <c r="EA34" s="78"/>
      <c r="EC34" s="423"/>
      <c r="ED34" s="78"/>
      <c r="EE34" s="78"/>
      <c r="EF34" s="78"/>
      <c r="EG34" s="78"/>
      <c r="EH34" s="78"/>
      <c r="EJ34" s="423"/>
      <c r="EK34" s="78"/>
      <c r="EL34" s="78"/>
      <c r="EM34" s="78"/>
      <c r="EN34" s="78"/>
      <c r="EO34" s="78"/>
      <c r="EQ34" s="423"/>
      <c r="ER34" s="78"/>
      <c r="ES34" s="78"/>
      <c r="ET34" s="78"/>
      <c r="EU34" s="78"/>
      <c r="EV34" s="78"/>
      <c r="EX34" s="423"/>
      <c r="EY34" s="78"/>
      <c r="EZ34" s="78"/>
      <c r="FA34" s="78"/>
      <c r="FB34" s="78"/>
      <c r="FC34" s="78"/>
      <c r="FE34" s="423"/>
      <c r="FF34" s="78"/>
      <c r="FG34" s="78"/>
      <c r="FH34" s="78"/>
      <c r="FI34" s="78"/>
      <c r="FJ34" s="78"/>
      <c r="FL34" s="423"/>
      <c r="FM34" s="78"/>
      <c r="FN34" s="78"/>
      <c r="FO34" s="78"/>
      <c r="FP34" s="78"/>
      <c r="FQ34" s="78"/>
      <c r="FS34" s="423"/>
      <c r="FT34" s="78"/>
      <c r="FU34" s="80"/>
      <c r="FV34" s="80"/>
      <c r="FW34" s="80"/>
      <c r="FX34" s="80"/>
      <c r="FZ34" s="423"/>
      <c r="GA34" s="80"/>
      <c r="GB34" s="80"/>
      <c r="GC34" s="80"/>
      <c r="GD34" s="80"/>
      <c r="GE34" s="80"/>
      <c r="GG34" s="423"/>
      <c r="GH34" s="80"/>
      <c r="GI34" s="80"/>
      <c r="GJ34" s="80"/>
      <c r="GK34" s="80"/>
      <c r="GL34" s="80"/>
      <c r="GN34" s="423"/>
      <c r="GO34" s="80"/>
      <c r="GP34" s="80"/>
      <c r="GQ34" s="80"/>
      <c r="GR34" s="80"/>
      <c r="GS34" s="80"/>
      <c r="GU34" s="423"/>
      <c r="GV34" s="80"/>
      <c r="GW34" s="80"/>
      <c r="GX34" s="80"/>
      <c r="GY34" s="80"/>
      <c r="GZ34" s="80"/>
    </row>
    <row r="35" spans="1:208" ht="14.25" thickBot="1" x14ac:dyDescent="0.45">
      <c r="A35" s="414"/>
      <c r="B35" s="415" t="s">
        <v>82</v>
      </c>
      <c r="C35" s="425"/>
      <c r="D35" s="425"/>
      <c r="E35" s="425"/>
      <c r="F35" s="425"/>
      <c r="G35" s="425"/>
      <c r="H35" s="425"/>
      <c r="I35" s="425"/>
      <c r="J35" s="425"/>
      <c r="K35" s="425"/>
      <c r="L35" s="425"/>
      <c r="M35" s="425"/>
      <c r="N35" s="425"/>
      <c r="O35" s="425"/>
      <c r="P35" s="425"/>
      <c r="Q35" s="425"/>
      <c r="R35" s="425"/>
      <c r="S35" s="425"/>
      <c r="T35" s="425"/>
      <c r="U35" s="425"/>
      <c r="V35" s="425"/>
      <c r="W35" s="425"/>
      <c r="X35" s="425"/>
      <c r="Y35" s="425"/>
      <c r="Z35" s="425"/>
      <c r="AA35" s="426"/>
      <c r="AB35" s="426"/>
      <c r="AC35" s="426"/>
      <c r="AD35" s="426"/>
      <c r="AE35" s="426"/>
      <c r="AF35" s="426"/>
      <c r="AG35" s="426"/>
      <c r="AH35" s="426"/>
      <c r="AI35" s="426"/>
      <c r="AJ35" s="426"/>
      <c r="AK35" s="426"/>
      <c r="AL35" s="426"/>
      <c r="AM35" s="426"/>
      <c r="AN35" s="426"/>
      <c r="AP35" s="415" t="s">
        <v>82</v>
      </c>
      <c r="AQ35" s="426"/>
      <c r="AR35" s="426"/>
      <c r="AS35" s="426"/>
      <c r="AT35" s="426"/>
      <c r="AU35" s="426"/>
      <c r="AW35" s="415" t="s">
        <v>82</v>
      </c>
      <c r="AX35" s="426"/>
      <c r="AY35" s="426"/>
      <c r="AZ35" s="426"/>
      <c r="BA35" s="426"/>
      <c r="BB35" s="426"/>
      <c r="BD35" s="415" t="s">
        <v>82</v>
      </c>
      <c r="BE35" s="426"/>
      <c r="BF35" s="426"/>
      <c r="BG35" s="426"/>
      <c r="BH35" s="426"/>
      <c r="BI35" s="426"/>
      <c r="BK35" s="415" t="s">
        <v>82</v>
      </c>
      <c r="BL35" s="426"/>
      <c r="BM35" s="426"/>
      <c r="BN35" s="426"/>
      <c r="BO35" s="426"/>
      <c r="BP35" s="426"/>
      <c r="BR35" s="415" t="s">
        <v>82</v>
      </c>
      <c r="BS35" s="426"/>
      <c r="BT35" s="426"/>
      <c r="BU35" s="426"/>
      <c r="BV35" s="426"/>
      <c r="BW35" s="426"/>
      <c r="BY35" s="415" t="s">
        <v>82</v>
      </c>
      <c r="BZ35" s="426"/>
      <c r="CA35" s="426"/>
      <c r="CB35" s="426"/>
      <c r="CC35" s="426"/>
      <c r="CD35" s="426"/>
      <c r="CF35" s="415" t="s">
        <v>82</v>
      </c>
      <c r="CG35" s="426"/>
      <c r="CH35" s="426"/>
      <c r="CI35" s="426"/>
      <c r="CJ35" s="426"/>
      <c r="CK35" s="426"/>
      <c r="CM35" s="415" t="s">
        <v>82</v>
      </c>
      <c r="CN35" s="426"/>
      <c r="CO35" s="426"/>
      <c r="CP35" s="426"/>
      <c r="CQ35" s="426"/>
      <c r="CR35" s="426"/>
      <c r="CT35" s="415" t="s">
        <v>82</v>
      </c>
      <c r="CU35" s="426"/>
      <c r="CV35" s="426"/>
      <c r="CW35" s="426"/>
      <c r="CX35" s="426"/>
      <c r="CY35" s="426"/>
      <c r="DA35" s="415" t="s">
        <v>82</v>
      </c>
      <c r="DB35" s="426"/>
      <c r="DC35" s="426"/>
      <c r="DD35" s="426"/>
      <c r="DE35" s="426"/>
      <c r="DF35" s="426"/>
      <c r="DH35" s="415" t="s">
        <v>82</v>
      </c>
      <c r="DI35" s="426"/>
      <c r="DJ35" s="426"/>
      <c r="DK35" s="426"/>
      <c r="DL35" s="426"/>
      <c r="DM35" s="426"/>
      <c r="DO35" s="415" t="s">
        <v>82</v>
      </c>
      <c r="DP35" s="426"/>
      <c r="DQ35" s="426"/>
      <c r="DR35" s="426"/>
      <c r="DS35" s="426"/>
      <c r="DT35" s="426"/>
      <c r="DV35" s="415" t="s">
        <v>82</v>
      </c>
      <c r="DW35" s="426"/>
      <c r="DX35" s="426"/>
      <c r="DY35" s="426"/>
      <c r="DZ35" s="426"/>
      <c r="EA35" s="426"/>
      <c r="EC35" s="415" t="s">
        <v>82</v>
      </c>
      <c r="ED35" s="426"/>
      <c r="EE35" s="426"/>
      <c r="EF35" s="426"/>
      <c r="EG35" s="426"/>
      <c r="EH35" s="426"/>
      <c r="EJ35" s="415" t="s">
        <v>82</v>
      </c>
      <c r="EK35" s="426"/>
      <c r="EL35" s="426"/>
      <c r="EM35" s="426"/>
      <c r="EN35" s="426"/>
      <c r="EO35" s="426"/>
      <c r="EQ35" s="415" t="s">
        <v>82</v>
      </c>
      <c r="ER35" s="426"/>
      <c r="ES35" s="426"/>
      <c r="ET35" s="426"/>
      <c r="EU35" s="426"/>
      <c r="EV35" s="426"/>
      <c r="EX35" s="415" t="s">
        <v>82</v>
      </c>
      <c r="EY35" s="426"/>
      <c r="EZ35" s="426"/>
      <c r="FA35" s="426"/>
      <c r="FB35" s="426"/>
      <c r="FC35" s="426"/>
      <c r="FE35" s="415" t="s">
        <v>82</v>
      </c>
      <c r="FF35" s="426"/>
      <c r="FG35" s="426"/>
      <c r="FH35" s="426"/>
      <c r="FI35" s="426"/>
      <c r="FJ35" s="426"/>
      <c r="FL35" s="415" t="s">
        <v>82</v>
      </c>
      <c r="FM35" s="426"/>
      <c r="FN35" s="426"/>
      <c r="FO35" s="426"/>
      <c r="FP35" s="426"/>
      <c r="FQ35" s="426"/>
      <c r="FS35" s="415" t="s">
        <v>82</v>
      </c>
      <c r="FT35" s="426"/>
      <c r="FU35" s="425"/>
      <c r="FV35" s="425"/>
      <c r="FW35" s="425"/>
      <c r="FX35" s="425"/>
      <c r="FZ35" s="415" t="s">
        <v>82</v>
      </c>
      <c r="GA35" s="425"/>
      <c r="GB35" s="425"/>
      <c r="GC35" s="425"/>
      <c r="GD35" s="425"/>
      <c r="GE35" s="425"/>
      <c r="GG35" s="415" t="s">
        <v>82</v>
      </c>
      <c r="GH35" s="425"/>
      <c r="GI35" s="425"/>
      <c r="GJ35" s="425"/>
      <c r="GK35" s="425"/>
      <c r="GL35" s="425"/>
      <c r="GN35" s="415" t="s">
        <v>82</v>
      </c>
      <c r="GO35" s="425"/>
      <c r="GP35" s="425"/>
      <c r="GQ35" s="425"/>
      <c r="GR35" s="425"/>
      <c r="GS35" s="425"/>
      <c r="GU35" s="415" t="s">
        <v>82</v>
      </c>
      <c r="GV35" s="425"/>
      <c r="GW35" s="425"/>
      <c r="GX35" s="425"/>
      <c r="GY35" s="425"/>
      <c r="GZ35" s="425"/>
    </row>
    <row r="36" spans="1:208" x14ac:dyDescent="0.4">
      <c r="B36" s="82"/>
      <c r="C36" s="80"/>
      <c r="D36" s="80"/>
      <c r="E36" s="80"/>
      <c r="F36" s="80"/>
      <c r="G36" s="80"/>
      <c r="H36" s="80"/>
      <c r="I36" s="80"/>
      <c r="J36" s="80"/>
      <c r="K36" s="80"/>
      <c r="L36" s="80"/>
      <c r="M36" s="80"/>
      <c r="N36" s="80"/>
      <c r="O36" s="80"/>
      <c r="P36" s="80"/>
      <c r="Q36" s="80"/>
      <c r="R36" s="80"/>
      <c r="S36" s="80"/>
      <c r="T36" s="80"/>
      <c r="U36" s="80"/>
      <c r="V36" s="80"/>
      <c r="W36" s="80"/>
      <c r="X36" s="80"/>
      <c r="Y36" s="80"/>
      <c r="Z36" s="80"/>
      <c r="AA36" s="78"/>
      <c r="AB36" s="78"/>
      <c r="AC36" s="78"/>
      <c r="AD36" s="78"/>
      <c r="AE36" s="78"/>
      <c r="AF36" s="78"/>
      <c r="AG36" s="78"/>
      <c r="AH36" s="78"/>
      <c r="AI36" s="78"/>
      <c r="AJ36" s="78"/>
      <c r="AK36" s="78"/>
      <c r="AL36" s="78"/>
      <c r="AM36" s="78"/>
      <c r="AN36" s="78"/>
      <c r="AP36" s="82"/>
      <c r="AQ36" s="78"/>
      <c r="AR36" s="78"/>
      <c r="AS36" s="78"/>
      <c r="AT36" s="78"/>
      <c r="AU36" s="78"/>
      <c r="AW36" s="82"/>
      <c r="AX36" s="78"/>
      <c r="AY36" s="78"/>
      <c r="AZ36" s="78"/>
      <c r="BA36" s="78"/>
      <c r="BB36" s="78"/>
      <c r="BD36" s="82"/>
      <c r="BE36" s="78"/>
      <c r="BF36" s="78"/>
      <c r="BG36" s="78"/>
      <c r="BH36" s="78"/>
      <c r="BI36" s="78"/>
      <c r="BK36" s="82"/>
      <c r="BL36" s="78"/>
      <c r="BM36" s="78"/>
      <c r="BN36" s="78"/>
      <c r="BO36" s="78"/>
      <c r="BP36" s="78"/>
      <c r="BR36" s="82"/>
      <c r="BS36" s="78"/>
      <c r="BT36" s="78"/>
      <c r="BU36" s="78"/>
      <c r="BV36" s="78"/>
      <c r="BW36" s="78"/>
      <c r="BY36" s="82"/>
      <c r="BZ36" s="78"/>
      <c r="CA36" s="78"/>
      <c r="CB36" s="78"/>
      <c r="CC36" s="78"/>
      <c r="CD36" s="78"/>
      <c r="CF36" s="82"/>
      <c r="CG36" s="78"/>
      <c r="CH36" s="78"/>
      <c r="CI36" s="78"/>
      <c r="CJ36" s="78"/>
      <c r="CK36" s="78"/>
      <c r="CM36" s="82"/>
      <c r="CN36" s="78"/>
      <c r="CO36" s="78"/>
      <c r="CP36" s="78"/>
      <c r="CQ36" s="78"/>
      <c r="CR36" s="78"/>
      <c r="CT36" s="82"/>
      <c r="CU36" s="78"/>
      <c r="CV36" s="78"/>
      <c r="CW36" s="78"/>
      <c r="CX36" s="78"/>
      <c r="CY36" s="78"/>
      <c r="DA36" s="82"/>
      <c r="DB36" s="78"/>
      <c r="DC36" s="78"/>
      <c r="DD36" s="78"/>
      <c r="DE36" s="78"/>
      <c r="DF36" s="78"/>
      <c r="DH36" s="82"/>
      <c r="DI36" s="78"/>
      <c r="DJ36" s="78"/>
      <c r="DK36" s="78"/>
      <c r="DL36" s="78"/>
      <c r="DM36" s="78"/>
      <c r="DO36" s="82"/>
      <c r="DP36" s="78"/>
      <c r="DQ36" s="78"/>
      <c r="DR36" s="78"/>
      <c r="DS36" s="78"/>
      <c r="DT36" s="78"/>
      <c r="DV36" s="82"/>
      <c r="DW36" s="78"/>
      <c r="DX36" s="78"/>
      <c r="DY36" s="78"/>
      <c r="DZ36" s="78"/>
      <c r="EA36" s="78"/>
      <c r="EC36" s="82"/>
      <c r="ED36" s="78"/>
      <c r="EE36" s="78"/>
      <c r="EF36" s="78"/>
      <c r="EG36" s="78"/>
      <c r="EH36" s="78"/>
      <c r="EJ36" s="82"/>
      <c r="EK36" s="78"/>
      <c r="EL36" s="78"/>
      <c r="EM36" s="78"/>
      <c r="EN36" s="78"/>
      <c r="EO36" s="78"/>
      <c r="EQ36" s="82"/>
      <c r="ER36" s="78"/>
      <c r="ES36" s="78"/>
      <c r="ET36" s="78"/>
      <c r="EU36" s="78"/>
      <c r="EV36" s="78"/>
      <c r="EX36" s="82"/>
      <c r="EY36" s="78"/>
      <c r="EZ36" s="78"/>
      <c r="FA36" s="78"/>
      <c r="FB36" s="78"/>
      <c r="FC36" s="78"/>
      <c r="FE36" s="82"/>
      <c r="FF36" s="78"/>
      <c r="FG36" s="78"/>
      <c r="FH36" s="78"/>
      <c r="FI36" s="78"/>
      <c r="FJ36" s="78"/>
      <c r="FL36" s="82"/>
      <c r="FM36" s="78"/>
      <c r="FN36" s="78"/>
      <c r="FO36" s="78"/>
      <c r="FP36" s="78"/>
      <c r="FQ36" s="78"/>
      <c r="FS36" s="82"/>
      <c r="FT36" s="78"/>
      <c r="FU36" s="80"/>
      <c r="FV36" s="80"/>
      <c r="FW36" s="80"/>
      <c r="FX36" s="80"/>
      <c r="FZ36" s="82"/>
      <c r="GA36" s="80"/>
      <c r="GB36" s="80"/>
      <c r="GC36" s="80"/>
      <c r="GD36" s="80"/>
      <c r="GE36" s="80"/>
      <c r="GG36" s="82"/>
      <c r="GH36" s="80"/>
      <c r="GI36" s="80"/>
      <c r="GJ36" s="80"/>
      <c r="GK36" s="80"/>
      <c r="GL36" s="80"/>
      <c r="GN36" s="82"/>
      <c r="GO36" s="80"/>
      <c r="GP36" s="80"/>
      <c r="GQ36" s="80"/>
      <c r="GR36" s="80"/>
      <c r="GS36" s="80"/>
      <c r="GU36" s="82"/>
      <c r="GV36" s="80"/>
      <c r="GW36" s="80"/>
      <c r="GX36" s="80"/>
      <c r="GY36" s="80"/>
      <c r="GZ36" s="80"/>
    </row>
    <row r="37" spans="1:208" x14ac:dyDescent="0.4">
      <c r="A37" s="417"/>
      <c r="B37" s="318" t="s">
        <v>173</v>
      </c>
      <c r="C37" s="319">
        <f t="shared" ref="C37:C45" si="82">AU37</f>
        <v>-1136</v>
      </c>
      <c r="D37" s="319">
        <f t="shared" ref="D37:D45" si="83">BB37</f>
        <v>-1639</v>
      </c>
      <c r="E37" s="319">
        <f t="shared" ref="E37:E45" si="84">BI37</f>
        <v>-1773</v>
      </c>
      <c r="F37" s="319">
        <f t="shared" ref="F37:F45" si="85">BP37</f>
        <v>-1719</v>
      </c>
      <c r="G37" s="319">
        <f t="shared" ref="G37:G45" si="86">BW37</f>
        <v>-1426</v>
      </c>
      <c r="H37" s="319">
        <f t="shared" ref="H37:H45" si="87">CD37</f>
        <v>-1840</v>
      </c>
      <c r="I37" s="319">
        <f t="shared" ref="I37:I45" si="88">CK37</f>
        <v>-2297</v>
      </c>
      <c r="J37" s="319">
        <f t="shared" ref="J37:J45" si="89">CR37</f>
        <v>-2341</v>
      </c>
      <c r="K37" s="319">
        <f t="shared" ref="K37:K45" si="90">CY37</f>
        <v>-2313</v>
      </c>
      <c r="L37" s="319">
        <f t="shared" ref="L37:L45" si="91">DF37</f>
        <v>-2449</v>
      </c>
      <c r="M37" s="319">
        <f t="shared" ref="M37:M45" si="92">DM37</f>
        <v>-2562</v>
      </c>
      <c r="N37" s="319">
        <f t="shared" ref="N37:N45" si="93">DT37</f>
        <v>-2398</v>
      </c>
      <c r="O37" s="319">
        <f t="shared" ref="O37:O45" si="94">EA37</f>
        <v>-2040</v>
      </c>
      <c r="P37" s="319">
        <f t="shared" ref="P37:P45" si="95">EH37</f>
        <v>-1745</v>
      </c>
      <c r="Q37" s="319">
        <f t="shared" ref="Q37:Q45" si="96">EO37</f>
        <v>-1657</v>
      </c>
      <c r="R37" s="319">
        <f t="shared" ref="R37:R45" si="97">EV37</f>
        <v>-1626</v>
      </c>
      <c r="S37" s="319">
        <f t="shared" ref="S37:S45" si="98">FC37</f>
        <v>-1791</v>
      </c>
      <c r="T37" s="319">
        <f t="shared" ref="T37:T45" si="99">FJ37</f>
        <v>-2133</v>
      </c>
      <c r="U37" s="319">
        <f t="shared" ref="U37:U45" si="100">FQ37</f>
        <v>-2281</v>
      </c>
      <c r="V37" s="319">
        <f t="shared" ref="V37:V45" si="101">FX37</f>
        <v>-2529</v>
      </c>
      <c r="W37" s="319">
        <f t="shared" ref="W37:W45" si="102">GE37</f>
        <v>-2902</v>
      </c>
      <c r="X37" s="319">
        <f t="shared" ref="X37:X45" si="103">GL37</f>
        <v>-2499.2170678124999</v>
      </c>
      <c r="Y37" s="319">
        <f t="shared" ref="Y37:Y45" si="104">GS37</f>
        <v>-2536.6442563482342</v>
      </c>
      <c r="Z37" s="319">
        <f t="shared" ref="Z37:Z45" si="105">GZ37</f>
        <v>-2651.4157868192756</v>
      </c>
      <c r="AA37" s="320"/>
      <c r="AB37" s="320"/>
      <c r="AC37" s="320"/>
      <c r="AD37" s="320"/>
      <c r="AE37" s="320"/>
      <c r="AF37" s="320"/>
      <c r="AG37" s="320"/>
      <c r="AH37" s="320"/>
      <c r="AI37" s="320"/>
      <c r="AJ37" s="320"/>
      <c r="AK37" s="320"/>
      <c r="AL37" s="320"/>
      <c r="AM37" s="320"/>
      <c r="AN37" s="320"/>
      <c r="AP37" s="318" t="s">
        <v>173</v>
      </c>
      <c r="AQ37" s="319">
        <v>-167</v>
      </c>
      <c r="AR37" s="319">
        <f>-381-AQ37</f>
        <v>-214</v>
      </c>
      <c r="AS37" s="319">
        <f>-726-AR37-AQ37</f>
        <v>-345</v>
      </c>
      <c r="AT37" s="319">
        <f t="shared" ref="AT37:AT45" si="106">AU37-SUM(AQ37:AS37)</f>
        <v>-410</v>
      </c>
      <c r="AU37" s="319">
        <v>-1136</v>
      </c>
      <c r="AW37" s="318" t="s">
        <v>173</v>
      </c>
      <c r="AX37" s="319">
        <v>-367</v>
      </c>
      <c r="AY37" s="319">
        <f>-879-AX37</f>
        <v>-512</v>
      </c>
      <c r="AZ37" s="319">
        <f>-1204-AY37-AX37</f>
        <v>-325</v>
      </c>
      <c r="BA37" s="319">
        <f t="shared" ref="BA37:BA45" si="107">BB37-SUM(AX37:AZ37)</f>
        <v>-435</v>
      </c>
      <c r="BB37" s="319">
        <v>-1639</v>
      </c>
      <c r="BD37" s="318" t="s">
        <v>173</v>
      </c>
      <c r="BE37" s="319">
        <v>-428</v>
      </c>
      <c r="BF37" s="319">
        <f>-824-BE37</f>
        <v>-396</v>
      </c>
      <c r="BG37" s="319">
        <f>-1195-BF37-BE37</f>
        <v>-371</v>
      </c>
      <c r="BH37" s="319">
        <f t="shared" ref="BH37:BH45" si="108">BI37-SUM(BE37:BG37)</f>
        <v>-578</v>
      </c>
      <c r="BI37" s="319">
        <v>-1773</v>
      </c>
      <c r="BK37" s="318" t="s">
        <v>173</v>
      </c>
      <c r="BL37" s="319">
        <v>-446</v>
      </c>
      <c r="BM37" s="319">
        <f>-912-BL37</f>
        <v>-466</v>
      </c>
      <c r="BN37" s="319">
        <f>-1308-BM37-BL37</f>
        <v>-396</v>
      </c>
      <c r="BO37" s="319">
        <f t="shared" ref="BO37:BO45" si="109">BP37-SUM(BL37:BN37)</f>
        <v>-411</v>
      </c>
      <c r="BP37" s="319">
        <v>-1719</v>
      </c>
      <c r="BR37" s="318" t="s">
        <v>173</v>
      </c>
      <c r="BS37" s="319">
        <v>-309</v>
      </c>
      <c r="BT37" s="319">
        <f>-657-BS37</f>
        <v>-348</v>
      </c>
      <c r="BU37" s="319">
        <f>-1031-BT37-BS37</f>
        <v>-374</v>
      </c>
      <c r="BV37" s="319">
        <f t="shared" ref="BV37:BV45" si="110">BW37-SUM(BS37:BU37)</f>
        <v>-395</v>
      </c>
      <c r="BW37" s="319">
        <v>-1426</v>
      </c>
      <c r="BY37" s="318" t="s">
        <v>173</v>
      </c>
      <c r="BZ37" s="319">
        <v>-328</v>
      </c>
      <c r="CA37" s="319">
        <f>-687-BZ37</f>
        <v>-359</v>
      </c>
      <c r="CB37" s="319">
        <f>-1103-CA37-BZ37</f>
        <v>-416</v>
      </c>
      <c r="CC37" s="319">
        <f t="shared" ref="CC37:CC45" si="111">CD37-SUM(BZ37:CB37)</f>
        <v>-737</v>
      </c>
      <c r="CD37" s="319">
        <v>-1840</v>
      </c>
      <c r="CF37" s="318" t="s">
        <v>173</v>
      </c>
      <c r="CG37" s="319">
        <v>-379</v>
      </c>
      <c r="CH37" s="319">
        <f>-945-CG37</f>
        <v>-566</v>
      </c>
      <c r="CI37" s="319">
        <f>-1436-CH37-CG37</f>
        <v>-491</v>
      </c>
      <c r="CJ37" s="319">
        <f t="shared" ref="CJ37:CJ45" si="112">CK37-SUM(CG37:CI37)</f>
        <v>-861</v>
      </c>
      <c r="CK37" s="319">
        <v>-2297</v>
      </c>
      <c r="CM37" s="318" t="s">
        <v>173</v>
      </c>
      <c r="CN37" s="319">
        <v>-469</v>
      </c>
      <c r="CO37" s="319">
        <f>-1223-CN37</f>
        <v>-754</v>
      </c>
      <c r="CP37" s="319">
        <f>-1830-CO37-CN37</f>
        <v>-607</v>
      </c>
      <c r="CQ37" s="319">
        <f t="shared" ref="CQ37:CQ45" si="113">CR37-SUM(CN37:CP37)</f>
        <v>-511</v>
      </c>
      <c r="CR37" s="319">
        <v>-2341</v>
      </c>
      <c r="CT37" s="318" t="s">
        <v>173</v>
      </c>
      <c r="CU37" s="319">
        <v>-491</v>
      </c>
      <c r="CV37" s="319">
        <f>-1085-CU37</f>
        <v>-594</v>
      </c>
      <c r="CW37" s="319">
        <f>-1687-CV37-CU37</f>
        <v>-602</v>
      </c>
      <c r="CX37" s="319">
        <f t="shared" ref="CX37:CX45" si="114">CY37-SUM(CU37:CW37)</f>
        <v>-626</v>
      </c>
      <c r="CY37" s="319">
        <v>-2313</v>
      </c>
      <c r="DA37" s="318" t="s">
        <v>173</v>
      </c>
      <c r="DB37" s="319">
        <v>-475</v>
      </c>
      <c r="DC37" s="319">
        <f>-956-DB37</f>
        <v>-481</v>
      </c>
      <c r="DD37" s="319">
        <f>-1557-DC37-DB37</f>
        <v>-601</v>
      </c>
      <c r="DE37" s="319">
        <f t="shared" ref="DE37:DE45" si="115">DF37-SUM(DB37:DD37)</f>
        <v>-892</v>
      </c>
      <c r="DF37" s="319">
        <v>-2449</v>
      </c>
      <c r="DH37" s="318" t="s">
        <v>173</v>
      </c>
      <c r="DI37" s="319">
        <v>-598</v>
      </c>
      <c r="DJ37" s="319">
        <f>-1288-DI37</f>
        <v>-690</v>
      </c>
      <c r="DK37" s="319">
        <f>-1909-DJ37-DI37</f>
        <v>-621</v>
      </c>
      <c r="DL37" s="319">
        <f t="shared" ref="DL37:DL45" si="116">DM37-SUM(DI37:DK37)</f>
        <v>-653</v>
      </c>
      <c r="DM37" s="319">
        <v>-2562</v>
      </c>
      <c r="DO37" s="318" t="s">
        <v>173</v>
      </c>
      <c r="DP37" s="319">
        <v>-425</v>
      </c>
      <c r="DQ37" s="319">
        <f>-1066-DP37</f>
        <v>-641</v>
      </c>
      <c r="DR37" s="319">
        <f>-1590-DQ37-DP37</f>
        <v>-524</v>
      </c>
      <c r="DS37" s="319">
        <f t="shared" ref="DS37:DS45" si="117">DT37-SUM(DP37:DR37)</f>
        <v>-808</v>
      </c>
      <c r="DT37" s="319">
        <v>-2398</v>
      </c>
      <c r="DV37" s="318" t="s">
        <v>173</v>
      </c>
      <c r="DW37" s="319">
        <v>-441</v>
      </c>
      <c r="DX37" s="319">
        <f>-955-DW37</f>
        <v>-514</v>
      </c>
      <c r="DY37" s="319">
        <f>-1462-DX37-DW37</f>
        <v>-507</v>
      </c>
      <c r="DZ37" s="319">
        <f t="shared" ref="DZ37:DZ45" si="118">EA37-SUM(DW37:DY37)</f>
        <v>-578</v>
      </c>
      <c r="EA37" s="319">
        <v>-2040</v>
      </c>
      <c r="EC37" s="318" t="s">
        <v>173</v>
      </c>
      <c r="ED37" s="319">
        <v>-368</v>
      </c>
      <c r="EE37" s="319">
        <f>-823-ED37</f>
        <v>-455</v>
      </c>
      <c r="EF37" s="319">
        <f>-1240-EE37-ED37</f>
        <v>-417</v>
      </c>
      <c r="EG37" s="319">
        <f t="shared" ref="EG37:EG45" si="119">EH37-SUM(ED37:EF37)</f>
        <v>-505</v>
      </c>
      <c r="EH37" s="319">
        <v>-1745</v>
      </c>
      <c r="EJ37" s="318" t="s">
        <v>173</v>
      </c>
      <c r="EK37" s="319">
        <v>-353</v>
      </c>
      <c r="EL37" s="319">
        <f>-769-EK37</f>
        <v>-416</v>
      </c>
      <c r="EM37" s="319">
        <f>-1191-EL37-EK37</f>
        <v>-422</v>
      </c>
      <c r="EN37" s="319">
        <f t="shared" ref="EN37:EN45" si="120">EO37-SUM(EK37:EM37)</f>
        <v>-466</v>
      </c>
      <c r="EO37" s="319">
        <v>-1657</v>
      </c>
      <c r="EQ37" s="318" t="s">
        <v>173</v>
      </c>
      <c r="ER37" s="319">
        <v>-381</v>
      </c>
      <c r="ES37" s="319">
        <f>-801-ER37</f>
        <v>-420</v>
      </c>
      <c r="ET37" s="319">
        <f>-1209-SUM(ER37:ES37)</f>
        <v>-408</v>
      </c>
      <c r="EU37" s="319">
        <f t="shared" ref="EU37:EU45" si="121">EV37-SUM(ER37:ET37)</f>
        <v>-417</v>
      </c>
      <c r="EV37" s="319">
        <v>-1626</v>
      </c>
      <c r="EX37" s="318" t="s">
        <v>173</v>
      </c>
      <c r="EY37" s="319">
        <v>-306</v>
      </c>
      <c r="EZ37" s="319">
        <f>-754-EY37</f>
        <v>-448</v>
      </c>
      <c r="FA37" s="319">
        <f>-1220-EZ37-EY37+1</f>
        <v>-465</v>
      </c>
      <c r="FB37" s="319">
        <f>FC37-SUM(EY37:FA37)</f>
        <v>-572</v>
      </c>
      <c r="FC37" s="319">
        <v>-1791</v>
      </c>
      <c r="FE37" s="318" t="s">
        <v>173</v>
      </c>
      <c r="FF37" s="319">
        <v>-331</v>
      </c>
      <c r="FG37" s="319">
        <f>-811-FF37</f>
        <v>-480</v>
      </c>
      <c r="FH37" s="319">
        <f>-1437-FG37-FF37</f>
        <v>-626</v>
      </c>
      <c r="FI37" s="319">
        <f>FJ37-SUM(FF37:FH37)</f>
        <v>-696</v>
      </c>
      <c r="FJ37" s="319">
        <v>-2133</v>
      </c>
      <c r="FL37" s="318" t="s">
        <v>173</v>
      </c>
      <c r="FM37" s="319">
        <v>-443</v>
      </c>
      <c r="FN37" s="319">
        <f>-1015-FM37</f>
        <v>-572</v>
      </c>
      <c r="FO37" s="319">
        <f>-1590-SUM(FM37:FN37)</f>
        <v>-575</v>
      </c>
      <c r="FP37" s="319">
        <f>FQ37-SUM(FM37:FO37)</f>
        <v>-691</v>
      </c>
      <c r="FQ37" s="319">
        <v>-2281</v>
      </c>
      <c r="FS37" s="318" t="s">
        <v>173</v>
      </c>
      <c r="FT37" s="319">
        <v>-517</v>
      </c>
      <c r="FU37" s="319">
        <f>-1066-FT37</f>
        <v>-549</v>
      </c>
      <c r="FV37" s="319">
        <f>-1691-FU37-FT37</f>
        <v>-625</v>
      </c>
      <c r="FW37" s="319">
        <f>FX37-SUM(FT37:FV37)</f>
        <v>-838</v>
      </c>
      <c r="FX37" s="319">
        <v>-2529</v>
      </c>
      <c r="FZ37" s="318" t="s">
        <v>173</v>
      </c>
      <c r="GA37" s="319">
        <v>-719</v>
      </c>
      <c r="GB37" s="319">
        <f>-1495-GA37</f>
        <v>-776</v>
      </c>
      <c r="GC37" s="319">
        <f>-2225-GB37-GA37</f>
        <v>-730</v>
      </c>
      <c r="GD37" s="319">
        <f>-2902-SUM(GA37:GC37)</f>
        <v>-677</v>
      </c>
      <c r="GE37" s="319">
        <f t="shared" ref="GE37:GE45" si="122">+SUM(GA37:GD37)</f>
        <v>-2902</v>
      </c>
      <c r="GG37" s="318" t="s">
        <v>173</v>
      </c>
      <c r="GH37" s="319">
        <f>-CF!GH122</f>
        <v>-618.17951234374993</v>
      </c>
      <c r="GI37" s="319">
        <f>-CF!GI122</f>
        <v>-620.88719656249998</v>
      </c>
      <c r="GJ37" s="319">
        <f>-CF!GJ122</f>
        <v>-626.00306562499998</v>
      </c>
      <c r="GK37" s="319">
        <f>-CF!GK122</f>
        <v>-634.14729328124997</v>
      </c>
      <c r="GL37" s="319">
        <f t="shared" ref="GL37:GL45" si="123">+SUM(GH37:GK37)</f>
        <v>-2499.2170678124999</v>
      </c>
      <c r="GN37" s="318" t="s">
        <v>173</v>
      </c>
      <c r="GO37" s="319">
        <f>-CF!GO122</f>
        <v>-623.14403896730278</v>
      </c>
      <c r="GP37" s="319">
        <f>-CF!GP122</f>
        <v>-630.49921775430903</v>
      </c>
      <c r="GQ37" s="319">
        <f>-CF!GQ122</f>
        <v>-637.81250056879333</v>
      </c>
      <c r="GR37" s="319">
        <f>-CF!GR122</f>
        <v>-645.1884990578294</v>
      </c>
      <c r="GS37" s="319">
        <f t="shared" ref="GS37:GS45" si="124">+SUM(GO37:GR37)</f>
        <v>-2536.6442563482342</v>
      </c>
      <c r="GU37" s="318" t="s">
        <v>173</v>
      </c>
      <c r="GV37" s="319">
        <f>-CF!GV122</f>
        <v>-652.10493518444252</v>
      </c>
      <c r="GW37" s="319">
        <f>-CF!GW122</f>
        <v>-659.25734521485992</v>
      </c>
      <c r="GX37" s="319">
        <f>-CF!GX122</f>
        <v>-666.48641738639105</v>
      </c>
      <c r="GY37" s="319">
        <f>-CF!GY122</f>
        <v>-673.56708903358185</v>
      </c>
      <c r="GZ37" s="319">
        <f t="shared" ref="GZ37:GZ45" si="125">+SUM(GV37:GY37)</f>
        <v>-2651.4157868192756</v>
      </c>
    </row>
    <row r="38" spans="1:208" x14ac:dyDescent="0.4">
      <c r="A38" s="417"/>
      <c r="B38" s="318" t="s">
        <v>183</v>
      </c>
      <c r="C38" s="319">
        <f t="shared" si="82"/>
        <v>0</v>
      </c>
      <c r="D38" s="319">
        <f t="shared" si="83"/>
        <v>0</v>
      </c>
      <c r="E38" s="319">
        <f t="shared" si="84"/>
        <v>0</v>
      </c>
      <c r="F38" s="319">
        <f t="shared" si="85"/>
        <v>0</v>
      </c>
      <c r="G38" s="319">
        <f t="shared" si="86"/>
        <v>45</v>
      </c>
      <c r="H38" s="319">
        <f t="shared" si="87"/>
        <v>108</v>
      </c>
      <c r="I38" s="319">
        <f t="shared" si="88"/>
        <v>240</v>
      </c>
      <c r="J38" s="319">
        <f t="shared" si="89"/>
        <v>186</v>
      </c>
      <c r="K38" s="319">
        <f t="shared" si="90"/>
        <v>53</v>
      </c>
      <c r="L38" s="319">
        <f t="shared" si="91"/>
        <v>62</v>
      </c>
      <c r="M38" s="319">
        <f t="shared" si="92"/>
        <v>147</v>
      </c>
      <c r="N38" s="319">
        <f t="shared" si="93"/>
        <v>195</v>
      </c>
      <c r="O38" s="319">
        <f t="shared" si="94"/>
        <v>97</v>
      </c>
      <c r="P38" s="319">
        <f t="shared" si="95"/>
        <v>319</v>
      </c>
      <c r="Q38" s="319">
        <f t="shared" si="96"/>
        <v>254</v>
      </c>
      <c r="R38" s="319">
        <f t="shared" si="97"/>
        <v>56</v>
      </c>
      <c r="S38" s="319">
        <f t="shared" si="98"/>
        <v>529</v>
      </c>
      <c r="T38" s="319">
        <f t="shared" si="99"/>
        <v>246</v>
      </c>
      <c r="U38" s="319">
        <f t="shared" si="100"/>
        <v>52</v>
      </c>
      <c r="V38" s="319">
        <f t="shared" si="101"/>
        <v>66</v>
      </c>
      <c r="W38" s="319">
        <f t="shared" si="102"/>
        <v>78</v>
      </c>
      <c r="X38" s="319">
        <f t="shared" si="103"/>
        <v>200</v>
      </c>
      <c r="Y38" s="319">
        <f t="shared" si="104"/>
        <v>200</v>
      </c>
      <c r="Z38" s="319">
        <f t="shared" si="105"/>
        <v>200</v>
      </c>
      <c r="AA38" s="320"/>
      <c r="AB38" s="320"/>
      <c r="AC38" s="320"/>
      <c r="AD38" s="320"/>
      <c r="AE38" s="320"/>
      <c r="AF38" s="320"/>
      <c r="AG38" s="320"/>
      <c r="AH38" s="320"/>
      <c r="AI38" s="320"/>
      <c r="AJ38" s="320"/>
      <c r="AK38" s="320"/>
      <c r="AL38" s="320"/>
      <c r="AM38" s="320"/>
      <c r="AN38" s="320"/>
      <c r="AP38" s="318" t="s">
        <v>183</v>
      </c>
      <c r="AQ38" s="319">
        <v>0</v>
      </c>
      <c r="AR38" s="319">
        <v>0</v>
      </c>
      <c r="AS38" s="319">
        <v>0</v>
      </c>
      <c r="AT38" s="319">
        <f t="shared" si="106"/>
        <v>0</v>
      </c>
      <c r="AU38" s="319">
        <v>0</v>
      </c>
      <c r="AW38" s="318" t="s">
        <v>183</v>
      </c>
      <c r="AX38" s="319">
        <v>0</v>
      </c>
      <c r="AY38" s="319">
        <v>0</v>
      </c>
      <c r="AZ38" s="319">
        <v>0</v>
      </c>
      <c r="BA38" s="319">
        <f t="shared" si="107"/>
        <v>0</v>
      </c>
      <c r="BB38" s="319">
        <v>0</v>
      </c>
      <c r="BD38" s="318" t="s">
        <v>183</v>
      </c>
      <c r="BE38" s="319">
        <v>0</v>
      </c>
      <c r="BF38" s="319">
        <v>0</v>
      </c>
      <c r="BG38" s="319">
        <v>0</v>
      </c>
      <c r="BH38" s="319">
        <f t="shared" si="108"/>
        <v>0</v>
      </c>
      <c r="BI38" s="319">
        <v>0</v>
      </c>
      <c r="BK38" s="318" t="s">
        <v>183</v>
      </c>
      <c r="BL38" s="319">
        <v>0</v>
      </c>
      <c r="BM38" s="319">
        <v>0</v>
      </c>
      <c r="BN38" s="319">
        <v>0</v>
      </c>
      <c r="BO38" s="319">
        <f t="shared" si="109"/>
        <v>0</v>
      </c>
      <c r="BP38" s="319">
        <v>0</v>
      </c>
      <c r="BR38" s="318" t="s">
        <v>183</v>
      </c>
      <c r="BS38" s="319">
        <v>0</v>
      </c>
      <c r="BT38" s="319">
        <v>0</v>
      </c>
      <c r="BU38" s="319">
        <v>0</v>
      </c>
      <c r="BV38" s="319">
        <f t="shared" si="110"/>
        <v>45</v>
      </c>
      <c r="BW38" s="319">
        <v>45</v>
      </c>
      <c r="BY38" s="318" t="s">
        <v>183</v>
      </c>
      <c r="BZ38" s="319">
        <v>0</v>
      </c>
      <c r="CA38" s="319">
        <v>0</v>
      </c>
      <c r="CB38" s="319">
        <v>0</v>
      </c>
      <c r="CC38" s="319">
        <f t="shared" si="111"/>
        <v>108</v>
      </c>
      <c r="CD38" s="319">
        <v>108</v>
      </c>
      <c r="CF38" s="318" t="s">
        <v>183</v>
      </c>
      <c r="CG38" s="319">
        <v>0</v>
      </c>
      <c r="CH38" s="319">
        <v>0</v>
      </c>
      <c r="CI38" s="319">
        <v>0</v>
      </c>
      <c r="CJ38" s="319">
        <f t="shared" si="112"/>
        <v>240</v>
      </c>
      <c r="CK38" s="319">
        <v>240</v>
      </c>
      <c r="CM38" s="318" t="s">
        <v>183</v>
      </c>
      <c r="CN38" s="319">
        <v>0</v>
      </c>
      <c r="CO38" s="319">
        <v>0</v>
      </c>
      <c r="CP38" s="319">
        <v>0</v>
      </c>
      <c r="CQ38" s="319">
        <f t="shared" si="113"/>
        <v>186</v>
      </c>
      <c r="CR38" s="319">
        <v>186</v>
      </c>
      <c r="CT38" s="318" t="s">
        <v>183</v>
      </c>
      <c r="CU38" s="319">
        <v>0</v>
      </c>
      <c r="CV38" s="319">
        <v>0</v>
      </c>
      <c r="CW38" s="319">
        <v>0</v>
      </c>
      <c r="CX38" s="319">
        <f t="shared" si="114"/>
        <v>53</v>
      </c>
      <c r="CY38" s="319">
        <v>53</v>
      </c>
      <c r="DA38" s="318" t="s">
        <v>183</v>
      </c>
      <c r="DB38" s="319">
        <v>0</v>
      </c>
      <c r="DC38" s="319">
        <f>37-DB38</f>
        <v>37</v>
      </c>
      <c r="DD38" s="319">
        <f>57-DC38-DB38</f>
        <v>20</v>
      </c>
      <c r="DE38" s="319">
        <f t="shared" si="115"/>
        <v>5</v>
      </c>
      <c r="DF38" s="319">
        <v>62</v>
      </c>
      <c r="DH38" s="318" t="s">
        <v>183</v>
      </c>
      <c r="DI38" s="319">
        <v>0</v>
      </c>
      <c r="DJ38" s="319">
        <f>47-DI38</f>
        <v>47</v>
      </c>
      <c r="DK38" s="319">
        <f>46-DJ38-DI38</f>
        <v>-1</v>
      </c>
      <c r="DL38" s="319">
        <f t="shared" si="116"/>
        <v>101</v>
      </c>
      <c r="DM38" s="319">
        <v>147</v>
      </c>
      <c r="DO38" s="318" t="s">
        <v>183</v>
      </c>
      <c r="DP38" s="319">
        <v>0</v>
      </c>
      <c r="DQ38" s="319">
        <v>0</v>
      </c>
      <c r="DR38" s="319">
        <v>0</v>
      </c>
      <c r="DS38" s="319">
        <f t="shared" si="117"/>
        <v>195</v>
      </c>
      <c r="DT38" s="319">
        <v>195</v>
      </c>
      <c r="DV38" s="318" t="s">
        <v>183</v>
      </c>
      <c r="DW38" s="319">
        <v>13</v>
      </c>
      <c r="DX38" s="319">
        <f>16-DW38</f>
        <v>3</v>
      </c>
      <c r="DY38" s="319">
        <f>38-DX38-DW38</f>
        <v>22</v>
      </c>
      <c r="DZ38" s="319">
        <f t="shared" si="118"/>
        <v>59</v>
      </c>
      <c r="EA38" s="319">
        <v>97</v>
      </c>
      <c r="EC38" s="318" t="s">
        <v>183</v>
      </c>
      <c r="ED38" s="319">
        <v>52</v>
      </c>
      <c r="EE38" s="319">
        <f>141-ED38</f>
        <v>89</v>
      </c>
      <c r="EF38" s="319">
        <f>257-EE38-ED38</f>
        <v>116</v>
      </c>
      <c r="EG38" s="319">
        <f t="shared" si="119"/>
        <v>62</v>
      </c>
      <c r="EH38" s="319">
        <v>319</v>
      </c>
      <c r="EJ38" s="318" t="s">
        <v>183</v>
      </c>
      <c r="EK38" s="319">
        <v>48</v>
      </c>
      <c r="EL38" s="319">
        <f>146-EK38</f>
        <v>98</v>
      </c>
      <c r="EM38" s="319">
        <f>218-EL38-EK38</f>
        <v>72</v>
      </c>
      <c r="EN38" s="319">
        <f t="shared" si="120"/>
        <v>36</v>
      </c>
      <c r="EO38" s="319">
        <v>254</v>
      </c>
      <c r="EQ38" s="318" t="s">
        <v>183</v>
      </c>
      <c r="ER38" s="319">
        <v>35</v>
      </c>
      <c r="ES38" s="319">
        <f>45-ER38</f>
        <v>10</v>
      </c>
      <c r="ET38" s="319">
        <f>51-SUM(ER38:ES38)</f>
        <v>6</v>
      </c>
      <c r="EU38" s="319">
        <f t="shared" si="121"/>
        <v>5</v>
      </c>
      <c r="EV38" s="319">
        <v>56</v>
      </c>
      <c r="EX38" s="318" t="s">
        <v>183</v>
      </c>
      <c r="EY38" s="319">
        <v>0</v>
      </c>
      <c r="EZ38" s="319">
        <f>227-EY38</f>
        <v>227</v>
      </c>
      <c r="FA38" s="319">
        <f>297-EZ38-EY38</f>
        <v>70</v>
      </c>
      <c r="FB38" s="319">
        <f t="shared" ref="FB38:FB45" si="126">FC38-SUM(EY38:FA38)</f>
        <v>232</v>
      </c>
      <c r="FC38" s="319">
        <v>529</v>
      </c>
      <c r="FE38" s="318" t="s">
        <v>183</v>
      </c>
      <c r="FF38" s="319">
        <v>0</v>
      </c>
      <c r="FG38" s="319">
        <f>29-FF38</f>
        <v>29</v>
      </c>
      <c r="FH38" s="319">
        <f>51-FG38-FF38</f>
        <v>22</v>
      </c>
      <c r="FI38" s="319">
        <f t="shared" ref="FI38:FI45" si="127">FJ38-SUM(FF38:FH38)</f>
        <v>195</v>
      </c>
      <c r="FJ38" s="319">
        <v>246</v>
      </c>
      <c r="FL38" s="318" t="s">
        <v>183</v>
      </c>
      <c r="FM38" s="319">
        <v>8</v>
      </c>
      <c r="FN38" s="319">
        <f>35-FM38</f>
        <v>27</v>
      </c>
      <c r="FO38" s="319">
        <f>35-SUM(FM38:FN38)</f>
        <v>0</v>
      </c>
      <c r="FP38" s="319">
        <f t="shared" ref="FP38:FP45" si="128">FQ38-SUM(FM38:FO38)</f>
        <v>17</v>
      </c>
      <c r="FQ38" s="319">
        <v>52</v>
      </c>
      <c r="FS38" s="318" t="s">
        <v>183</v>
      </c>
      <c r="FT38" s="319">
        <v>11</v>
      </c>
      <c r="FU38" s="319">
        <f>43-FT38</f>
        <v>32</v>
      </c>
      <c r="FV38" s="319">
        <f>81-FU38-FT38</f>
        <v>38</v>
      </c>
      <c r="FW38" s="319">
        <f t="shared" ref="FW38:FW45" si="129">FX38-SUM(FT38:FV38)</f>
        <v>-15</v>
      </c>
      <c r="FX38" s="319">
        <v>66</v>
      </c>
      <c r="FZ38" s="318" t="s">
        <v>183</v>
      </c>
      <c r="GA38" s="319">
        <v>23</v>
      </c>
      <c r="GB38" s="319">
        <f>49-GA38</f>
        <v>26</v>
      </c>
      <c r="GC38" s="319">
        <f>72-GB38-GA38</f>
        <v>23</v>
      </c>
      <c r="GD38" s="319">
        <f>78-SUM(GA38:GC38)</f>
        <v>6</v>
      </c>
      <c r="GE38" s="319">
        <f t="shared" si="122"/>
        <v>78</v>
      </c>
      <c r="GG38" s="318" t="s">
        <v>183</v>
      </c>
      <c r="GH38" s="319">
        <f>+CF!GH127</f>
        <v>50</v>
      </c>
      <c r="GI38" s="319">
        <f>+CF!GI127</f>
        <v>50</v>
      </c>
      <c r="GJ38" s="319">
        <f>+CF!GJ127</f>
        <v>50</v>
      </c>
      <c r="GK38" s="319">
        <f>+CF!GK127</f>
        <v>50</v>
      </c>
      <c r="GL38" s="319">
        <f t="shared" si="123"/>
        <v>200</v>
      </c>
      <c r="GN38" s="318" t="s">
        <v>183</v>
      </c>
      <c r="GO38" s="319">
        <f>+CF!GO127</f>
        <v>50</v>
      </c>
      <c r="GP38" s="319">
        <f>+CF!GP127</f>
        <v>50</v>
      </c>
      <c r="GQ38" s="319">
        <f>+CF!GQ127</f>
        <v>50</v>
      </c>
      <c r="GR38" s="319">
        <f>+CF!GR127</f>
        <v>50</v>
      </c>
      <c r="GS38" s="319">
        <f t="shared" si="124"/>
        <v>200</v>
      </c>
      <c r="GU38" s="318" t="s">
        <v>183</v>
      </c>
      <c r="GV38" s="319">
        <f>+CF!GV127</f>
        <v>50</v>
      </c>
      <c r="GW38" s="319">
        <f>+CF!GW127</f>
        <v>50</v>
      </c>
      <c r="GX38" s="319">
        <f>+CF!GX127</f>
        <v>50</v>
      </c>
      <c r="GY38" s="319">
        <f>+CF!GY127</f>
        <v>50</v>
      </c>
      <c r="GZ38" s="319">
        <f t="shared" si="125"/>
        <v>200</v>
      </c>
    </row>
    <row r="39" spans="1:208" x14ac:dyDescent="0.4">
      <c r="A39" s="414"/>
      <c r="B39" s="318" t="s">
        <v>174</v>
      </c>
      <c r="C39" s="319">
        <f t="shared" si="82"/>
        <v>1108</v>
      </c>
      <c r="D39" s="319">
        <f t="shared" si="83"/>
        <v>0</v>
      </c>
      <c r="E39" s="319">
        <f t="shared" si="84"/>
        <v>0</v>
      </c>
      <c r="F39" s="319">
        <f t="shared" si="85"/>
        <v>0</v>
      </c>
      <c r="G39" s="319">
        <f t="shared" si="86"/>
        <v>0</v>
      </c>
      <c r="H39" s="319">
        <f t="shared" si="87"/>
        <v>0</v>
      </c>
      <c r="I39" s="319">
        <f t="shared" si="88"/>
        <v>0</v>
      </c>
      <c r="J39" s="319">
        <f t="shared" si="89"/>
        <v>0</v>
      </c>
      <c r="K39" s="319">
        <f t="shared" si="90"/>
        <v>0</v>
      </c>
      <c r="L39" s="319">
        <f t="shared" si="91"/>
        <v>0</v>
      </c>
      <c r="M39" s="319">
        <f t="shared" si="92"/>
        <v>0</v>
      </c>
      <c r="N39" s="319">
        <f t="shared" si="93"/>
        <v>0</v>
      </c>
      <c r="O39" s="319">
        <f t="shared" si="94"/>
        <v>0</v>
      </c>
      <c r="P39" s="319">
        <f t="shared" si="95"/>
        <v>0</v>
      </c>
      <c r="Q39" s="319">
        <f t="shared" si="96"/>
        <v>0</v>
      </c>
      <c r="R39" s="319">
        <f t="shared" si="97"/>
        <v>0</v>
      </c>
      <c r="S39" s="319">
        <f t="shared" si="98"/>
        <v>0</v>
      </c>
      <c r="T39" s="319">
        <f t="shared" si="99"/>
        <v>0</v>
      </c>
      <c r="U39" s="319">
        <f t="shared" si="100"/>
        <v>0</v>
      </c>
      <c r="V39" s="319">
        <f t="shared" si="101"/>
        <v>0</v>
      </c>
      <c r="W39" s="319">
        <f t="shared" si="102"/>
        <v>0</v>
      </c>
      <c r="X39" s="319">
        <f t="shared" si="103"/>
        <v>0</v>
      </c>
      <c r="Y39" s="319">
        <f t="shared" si="104"/>
        <v>0</v>
      </c>
      <c r="Z39" s="319">
        <f t="shared" si="105"/>
        <v>0</v>
      </c>
      <c r="AA39" s="320"/>
      <c r="AB39" s="320"/>
      <c r="AC39" s="320"/>
      <c r="AD39" s="320"/>
      <c r="AE39" s="320"/>
      <c r="AF39" s="320"/>
      <c r="AG39" s="320"/>
      <c r="AH39" s="320"/>
      <c r="AI39" s="320"/>
      <c r="AJ39" s="320"/>
      <c r="AK39" s="320"/>
      <c r="AL39" s="320"/>
      <c r="AM39" s="320"/>
      <c r="AN39" s="320"/>
      <c r="AP39" s="318" t="s">
        <v>174</v>
      </c>
      <c r="AQ39" s="319">
        <v>1108</v>
      </c>
      <c r="AR39" s="319">
        <f>1108-AQ39</f>
        <v>0</v>
      </c>
      <c r="AS39" s="319">
        <f>1108-AR39-AQ39</f>
        <v>0</v>
      </c>
      <c r="AT39" s="319">
        <f t="shared" si="106"/>
        <v>0</v>
      </c>
      <c r="AU39" s="319">
        <v>1108</v>
      </c>
      <c r="AW39" s="318" t="s">
        <v>174</v>
      </c>
      <c r="AX39" s="319">
        <v>0</v>
      </c>
      <c r="AY39" s="319">
        <v>0</v>
      </c>
      <c r="AZ39" s="319">
        <v>0</v>
      </c>
      <c r="BA39" s="319">
        <f t="shared" si="107"/>
        <v>0</v>
      </c>
      <c r="BB39" s="319">
        <v>0</v>
      </c>
      <c r="BD39" s="318" t="s">
        <v>174</v>
      </c>
      <c r="BE39" s="319">
        <v>0</v>
      </c>
      <c r="BF39" s="319">
        <v>0</v>
      </c>
      <c r="BG39" s="319">
        <v>0</v>
      </c>
      <c r="BH39" s="319">
        <f t="shared" si="108"/>
        <v>0</v>
      </c>
      <c r="BI39" s="319">
        <v>0</v>
      </c>
      <c r="BK39" s="318" t="s">
        <v>174</v>
      </c>
      <c r="BL39" s="319">
        <v>0</v>
      </c>
      <c r="BM39" s="319">
        <v>0</v>
      </c>
      <c r="BN39" s="319">
        <v>0</v>
      </c>
      <c r="BO39" s="319">
        <f t="shared" si="109"/>
        <v>0</v>
      </c>
      <c r="BP39" s="319">
        <v>0</v>
      </c>
      <c r="BR39" s="318" t="s">
        <v>174</v>
      </c>
      <c r="BS39" s="319">
        <v>0</v>
      </c>
      <c r="BT39" s="319">
        <v>0</v>
      </c>
      <c r="BU39" s="319">
        <v>0</v>
      </c>
      <c r="BV39" s="319">
        <f t="shared" si="110"/>
        <v>0</v>
      </c>
      <c r="BW39" s="319">
        <v>0</v>
      </c>
      <c r="BY39" s="318" t="s">
        <v>174</v>
      </c>
      <c r="BZ39" s="319">
        <v>0</v>
      </c>
      <c r="CA39" s="319">
        <v>0</v>
      </c>
      <c r="CB39" s="319">
        <v>0</v>
      </c>
      <c r="CC39" s="319">
        <f t="shared" si="111"/>
        <v>0</v>
      </c>
      <c r="CD39" s="319">
        <v>0</v>
      </c>
      <c r="CF39" s="318" t="s">
        <v>174</v>
      </c>
      <c r="CG39" s="319">
        <v>0</v>
      </c>
      <c r="CH39" s="319">
        <v>0</v>
      </c>
      <c r="CI39" s="319">
        <v>0</v>
      </c>
      <c r="CJ39" s="319">
        <f t="shared" si="112"/>
        <v>0</v>
      </c>
      <c r="CK39" s="319">
        <v>0</v>
      </c>
      <c r="CM39" s="318" t="s">
        <v>174</v>
      </c>
      <c r="CN39" s="319">
        <v>0</v>
      </c>
      <c r="CO39" s="319">
        <v>0</v>
      </c>
      <c r="CP39" s="319">
        <v>0</v>
      </c>
      <c r="CQ39" s="319">
        <f t="shared" si="113"/>
        <v>0</v>
      </c>
      <c r="CR39" s="319">
        <v>0</v>
      </c>
      <c r="CT39" s="318" t="s">
        <v>174</v>
      </c>
      <c r="CU39" s="319">
        <v>0</v>
      </c>
      <c r="CV39" s="319">
        <v>0</v>
      </c>
      <c r="CW39" s="319">
        <v>0</v>
      </c>
      <c r="CX39" s="319">
        <f t="shared" si="114"/>
        <v>0</v>
      </c>
      <c r="CY39" s="319">
        <v>0</v>
      </c>
      <c r="DA39" s="318" t="s">
        <v>174</v>
      </c>
      <c r="DB39" s="319">
        <v>0</v>
      </c>
      <c r="DC39" s="319">
        <v>0</v>
      </c>
      <c r="DD39" s="319">
        <v>0</v>
      </c>
      <c r="DE39" s="319">
        <f t="shared" si="115"/>
        <v>0</v>
      </c>
      <c r="DF39" s="319">
        <v>0</v>
      </c>
      <c r="DH39" s="318" t="s">
        <v>174</v>
      </c>
      <c r="DI39" s="319">
        <v>0</v>
      </c>
      <c r="DJ39" s="319">
        <v>0</v>
      </c>
      <c r="DK39" s="319">
        <v>0</v>
      </c>
      <c r="DL39" s="319">
        <f t="shared" si="116"/>
        <v>0</v>
      </c>
      <c r="DM39" s="319">
        <v>0</v>
      </c>
      <c r="DO39" s="318" t="s">
        <v>174</v>
      </c>
      <c r="DP39" s="319">
        <v>0</v>
      </c>
      <c r="DQ39" s="319">
        <v>0</v>
      </c>
      <c r="DR39" s="319">
        <v>0</v>
      </c>
      <c r="DS39" s="319">
        <f t="shared" si="117"/>
        <v>0</v>
      </c>
      <c r="DT39" s="319">
        <v>0</v>
      </c>
      <c r="DV39" s="318" t="s">
        <v>174</v>
      </c>
      <c r="DW39" s="319">
        <v>0</v>
      </c>
      <c r="DX39" s="319">
        <v>0</v>
      </c>
      <c r="DY39" s="319">
        <v>0</v>
      </c>
      <c r="DZ39" s="319">
        <f t="shared" si="118"/>
        <v>0</v>
      </c>
      <c r="EA39" s="319">
        <v>0</v>
      </c>
      <c r="EC39" s="318" t="s">
        <v>174</v>
      </c>
      <c r="ED39" s="319">
        <v>0</v>
      </c>
      <c r="EE39" s="319">
        <v>0</v>
      </c>
      <c r="EF39" s="319">
        <v>0</v>
      </c>
      <c r="EG39" s="319">
        <f t="shared" si="119"/>
        <v>0</v>
      </c>
      <c r="EH39" s="319">
        <v>0</v>
      </c>
      <c r="EJ39" s="318" t="s">
        <v>174</v>
      </c>
      <c r="EK39" s="319">
        <v>0</v>
      </c>
      <c r="EL39" s="319">
        <v>0</v>
      </c>
      <c r="EM39" s="319">
        <v>0</v>
      </c>
      <c r="EN39" s="319">
        <f t="shared" si="120"/>
        <v>0</v>
      </c>
      <c r="EO39" s="319">
        <v>0</v>
      </c>
      <c r="EQ39" s="318" t="s">
        <v>174</v>
      </c>
      <c r="ER39" s="319">
        <v>0</v>
      </c>
      <c r="ES39" s="319">
        <v>0</v>
      </c>
      <c r="ET39" s="319">
        <v>0</v>
      </c>
      <c r="EU39" s="319">
        <f t="shared" si="121"/>
        <v>0</v>
      </c>
      <c r="EV39" s="319">
        <v>0</v>
      </c>
      <c r="EX39" s="318" t="s">
        <v>174</v>
      </c>
      <c r="EY39" s="319">
        <v>0</v>
      </c>
      <c r="EZ39" s="319">
        <v>0</v>
      </c>
      <c r="FA39" s="319">
        <v>0</v>
      </c>
      <c r="FB39" s="319">
        <f t="shared" si="126"/>
        <v>0</v>
      </c>
      <c r="FC39" s="319">
        <v>0</v>
      </c>
      <c r="FE39" s="318" t="s">
        <v>174</v>
      </c>
      <c r="FF39" s="319">
        <v>0</v>
      </c>
      <c r="FG39" s="319">
        <v>0</v>
      </c>
      <c r="FH39" s="319">
        <v>0</v>
      </c>
      <c r="FI39" s="319">
        <f t="shared" si="127"/>
        <v>0</v>
      </c>
      <c r="FJ39" s="319">
        <v>0</v>
      </c>
      <c r="FL39" s="318" t="s">
        <v>174</v>
      </c>
      <c r="FM39" s="319">
        <v>0</v>
      </c>
      <c r="FN39" s="319">
        <v>0</v>
      </c>
      <c r="FO39" s="319">
        <v>0</v>
      </c>
      <c r="FP39" s="319">
        <f t="shared" si="128"/>
        <v>0</v>
      </c>
      <c r="FQ39" s="319">
        <v>0</v>
      </c>
      <c r="FS39" s="318" t="s">
        <v>174</v>
      </c>
      <c r="FT39" s="319">
        <v>0</v>
      </c>
      <c r="FU39" s="319">
        <f>0-FT39</f>
        <v>0</v>
      </c>
      <c r="FV39" s="319">
        <f>0-FU39-FT39</f>
        <v>0</v>
      </c>
      <c r="FW39" s="319">
        <f t="shared" si="129"/>
        <v>0</v>
      </c>
      <c r="FX39" s="319">
        <v>0</v>
      </c>
      <c r="FZ39" s="318" t="s">
        <v>174</v>
      </c>
      <c r="GA39" s="319">
        <v>0</v>
      </c>
      <c r="GB39" s="319">
        <f>0-GA39</f>
        <v>0</v>
      </c>
      <c r="GC39" s="319">
        <f>0-GB39-GA39</f>
        <v>0</v>
      </c>
      <c r="GD39" s="319">
        <v>0</v>
      </c>
      <c r="GE39" s="319">
        <f t="shared" si="122"/>
        <v>0</v>
      </c>
      <c r="GG39" s="318" t="s">
        <v>174</v>
      </c>
      <c r="GH39" s="319">
        <v>0</v>
      </c>
      <c r="GI39" s="319">
        <v>0</v>
      </c>
      <c r="GJ39" s="319">
        <v>0</v>
      </c>
      <c r="GK39" s="319">
        <v>0</v>
      </c>
      <c r="GL39" s="319">
        <f t="shared" si="123"/>
        <v>0</v>
      </c>
      <c r="GN39" s="318" t="s">
        <v>174</v>
      </c>
      <c r="GO39" s="319">
        <v>0</v>
      </c>
      <c r="GP39" s="319">
        <v>0</v>
      </c>
      <c r="GQ39" s="319">
        <v>0</v>
      </c>
      <c r="GR39" s="319">
        <v>0</v>
      </c>
      <c r="GS39" s="319">
        <f t="shared" si="124"/>
        <v>0</v>
      </c>
      <c r="GU39" s="318" t="s">
        <v>174</v>
      </c>
      <c r="GV39" s="319">
        <v>0</v>
      </c>
      <c r="GW39" s="319">
        <v>0</v>
      </c>
      <c r="GX39" s="319">
        <v>0</v>
      </c>
      <c r="GY39" s="319">
        <v>0</v>
      </c>
      <c r="GZ39" s="319">
        <f t="shared" si="125"/>
        <v>0</v>
      </c>
    </row>
    <row r="40" spans="1:208" x14ac:dyDescent="0.4">
      <c r="A40" s="414"/>
      <c r="B40" s="318" t="s">
        <v>175</v>
      </c>
      <c r="C40" s="319">
        <f t="shared" si="82"/>
        <v>-110</v>
      </c>
      <c r="D40" s="319">
        <f t="shared" si="83"/>
        <v>0</v>
      </c>
      <c r="E40" s="319">
        <f t="shared" si="84"/>
        <v>0</v>
      </c>
      <c r="F40" s="319">
        <f t="shared" si="85"/>
        <v>0</v>
      </c>
      <c r="G40" s="319">
        <f t="shared" si="86"/>
        <v>0</v>
      </c>
      <c r="H40" s="319">
        <f t="shared" si="87"/>
        <v>0</v>
      </c>
      <c r="I40" s="319">
        <f t="shared" si="88"/>
        <v>0</v>
      </c>
      <c r="J40" s="319">
        <f t="shared" si="89"/>
        <v>0</v>
      </c>
      <c r="K40" s="319">
        <f t="shared" si="90"/>
        <v>0</v>
      </c>
      <c r="L40" s="319">
        <f t="shared" si="91"/>
        <v>0</v>
      </c>
      <c r="M40" s="319">
        <f t="shared" si="92"/>
        <v>0</v>
      </c>
      <c r="N40" s="319">
        <f t="shared" si="93"/>
        <v>0</v>
      </c>
      <c r="O40" s="319">
        <f t="shared" si="94"/>
        <v>0</v>
      </c>
      <c r="P40" s="319">
        <f t="shared" si="95"/>
        <v>0</v>
      </c>
      <c r="Q40" s="319">
        <f t="shared" si="96"/>
        <v>0</v>
      </c>
      <c r="R40" s="319">
        <f t="shared" si="97"/>
        <v>0</v>
      </c>
      <c r="S40" s="319">
        <f t="shared" si="98"/>
        <v>0</v>
      </c>
      <c r="T40" s="319">
        <f t="shared" si="99"/>
        <v>0</v>
      </c>
      <c r="U40" s="319">
        <f t="shared" si="100"/>
        <v>0</v>
      </c>
      <c r="V40" s="319">
        <f t="shared" si="101"/>
        <v>0</v>
      </c>
      <c r="W40" s="319">
        <f t="shared" si="102"/>
        <v>0</v>
      </c>
      <c r="X40" s="319">
        <f t="shared" si="103"/>
        <v>0</v>
      </c>
      <c r="Y40" s="319">
        <f t="shared" si="104"/>
        <v>0</v>
      </c>
      <c r="Z40" s="319">
        <f t="shared" si="105"/>
        <v>0</v>
      </c>
      <c r="AA40" s="320"/>
      <c r="AB40" s="320"/>
      <c r="AC40" s="320"/>
      <c r="AD40" s="320"/>
      <c r="AE40" s="320"/>
      <c r="AF40" s="320"/>
      <c r="AG40" s="320"/>
      <c r="AH40" s="320"/>
      <c r="AI40" s="320"/>
      <c r="AJ40" s="320"/>
      <c r="AK40" s="320"/>
      <c r="AL40" s="320"/>
      <c r="AM40" s="320"/>
      <c r="AN40" s="320"/>
      <c r="AP40" s="318" t="s">
        <v>175</v>
      </c>
      <c r="AQ40" s="319">
        <v>-110</v>
      </c>
      <c r="AR40" s="319">
        <f>-110-AQ40</f>
        <v>0</v>
      </c>
      <c r="AS40" s="319">
        <f>-110-AR40-AQ40</f>
        <v>0</v>
      </c>
      <c r="AT40" s="319">
        <f t="shared" si="106"/>
        <v>0</v>
      </c>
      <c r="AU40" s="319">
        <v>-110</v>
      </c>
      <c r="AW40" s="318" t="s">
        <v>175</v>
      </c>
      <c r="AX40" s="319">
        <v>0</v>
      </c>
      <c r="AY40" s="319">
        <v>0</v>
      </c>
      <c r="AZ40" s="319">
        <v>0</v>
      </c>
      <c r="BA40" s="319">
        <f t="shared" si="107"/>
        <v>0</v>
      </c>
      <c r="BB40" s="319">
        <v>0</v>
      </c>
      <c r="BD40" s="318" t="s">
        <v>175</v>
      </c>
      <c r="BE40" s="319">
        <v>0</v>
      </c>
      <c r="BF40" s="319">
        <v>0</v>
      </c>
      <c r="BG40" s="319">
        <v>0</v>
      </c>
      <c r="BH40" s="319">
        <f t="shared" si="108"/>
        <v>0</v>
      </c>
      <c r="BI40" s="319">
        <v>0</v>
      </c>
      <c r="BK40" s="318" t="s">
        <v>175</v>
      </c>
      <c r="BL40" s="319">
        <v>0</v>
      </c>
      <c r="BM40" s="319">
        <v>0</v>
      </c>
      <c r="BN40" s="319">
        <v>0</v>
      </c>
      <c r="BO40" s="319">
        <f t="shared" si="109"/>
        <v>0</v>
      </c>
      <c r="BP40" s="319">
        <v>0</v>
      </c>
      <c r="BR40" s="318" t="s">
        <v>175</v>
      </c>
      <c r="BS40" s="319">
        <v>0</v>
      </c>
      <c r="BT40" s="319">
        <v>0</v>
      </c>
      <c r="BU40" s="319">
        <v>0</v>
      </c>
      <c r="BV40" s="319">
        <f t="shared" si="110"/>
        <v>0</v>
      </c>
      <c r="BW40" s="319">
        <v>0</v>
      </c>
      <c r="BY40" s="318" t="s">
        <v>175</v>
      </c>
      <c r="BZ40" s="319">
        <v>0</v>
      </c>
      <c r="CA40" s="319">
        <v>0</v>
      </c>
      <c r="CB40" s="319">
        <v>0</v>
      </c>
      <c r="CC40" s="319">
        <f t="shared" si="111"/>
        <v>0</v>
      </c>
      <c r="CD40" s="319">
        <v>0</v>
      </c>
      <c r="CF40" s="318" t="s">
        <v>175</v>
      </c>
      <c r="CG40" s="319">
        <v>0</v>
      </c>
      <c r="CH40" s="319">
        <v>0</v>
      </c>
      <c r="CI40" s="319">
        <v>0</v>
      </c>
      <c r="CJ40" s="319">
        <f t="shared" si="112"/>
        <v>0</v>
      </c>
      <c r="CK40" s="319">
        <v>0</v>
      </c>
      <c r="CM40" s="318" t="s">
        <v>175</v>
      </c>
      <c r="CN40" s="319">
        <v>0</v>
      </c>
      <c r="CO40" s="319">
        <v>0</v>
      </c>
      <c r="CP40" s="319">
        <v>0</v>
      </c>
      <c r="CQ40" s="319">
        <f t="shared" si="113"/>
        <v>0</v>
      </c>
      <c r="CR40" s="319">
        <v>0</v>
      </c>
      <c r="CT40" s="318" t="s">
        <v>175</v>
      </c>
      <c r="CU40" s="319">
        <v>0</v>
      </c>
      <c r="CV40" s="319">
        <v>0</v>
      </c>
      <c r="CW40" s="319">
        <v>0</v>
      </c>
      <c r="CX40" s="319">
        <f t="shared" si="114"/>
        <v>0</v>
      </c>
      <c r="CY40" s="319">
        <v>0</v>
      </c>
      <c r="DA40" s="318" t="s">
        <v>175</v>
      </c>
      <c r="DB40" s="319">
        <v>0</v>
      </c>
      <c r="DC40" s="319">
        <v>0</v>
      </c>
      <c r="DD40" s="319">
        <v>0</v>
      </c>
      <c r="DE40" s="319">
        <f t="shared" si="115"/>
        <v>0</v>
      </c>
      <c r="DF40" s="319">
        <v>0</v>
      </c>
      <c r="DH40" s="318" t="s">
        <v>175</v>
      </c>
      <c r="DI40" s="319">
        <v>0</v>
      </c>
      <c r="DJ40" s="319">
        <v>0</v>
      </c>
      <c r="DK40" s="319">
        <v>0</v>
      </c>
      <c r="DL40" s="319">
        <f t="shared" si="116"/>
        <v>0</v>
      </c>
      <c r="DM40" s="319">
        <v>0</v>
      </c>
      <c r="DO40" s="318" t="s">
        <v>175</v>
      </c>
      <c r="DP40" s="319">
        <v>0</v>
      </c>
      <c r="DQ40" s="319">
        <v>0</v>
      </c>
      <c r="DR40" s="319">
        <v>0</v>
      </c>
      <c r="DS40" s="319">
        <f t="shared" si="117"/>
        <v>0</v>
      </c>
      <c r="DT40" s="319">
        <v>0</v>
      </c>
      <c r="DV40" s="318" t="s">
        <v>175</v>
      </c>
      <c r="DW40" s="319">
        <v>0</v>
      </c>
      <c r="DX40" s="319">
        <v>0</v>
      </c>
      <c r="DY40" s="319">
        <v>0</v>
      </c>
      <c r="DZ40" s="319">
        <f t="shared" si="118"/>
        <v>0</v>
      </c>
      <c r="EA40" s="319">
        <v>0</v>
      </c>
      <c r="EC40" s="318" t="s">
        <v>175</v>
      </c>
      <c r="ED40" s="319">
        <v>0</v>
      </c>
      <c r="EE40" s="319">
        <v>0</v>
      </c>
      <c r="EF40" s="319">
        <v>0</v>
      </c>
      <c r="EG40" s="319">
        <f t="shared" si="119"/>
        <v>0</v>
      </c>
      <c r="EH40" s="319">
        <v>0</v>
      </c>
      <c r="EJ40" s="318" t="s">
        <v>175</v>
      </c>
      <c r="EK40" s="319">
        <v>0</v>
      </c>
      <c r="EL40" s="319">
        <v>0</v>
      </c>
      <c r="EM40" s="319">
        <v>0</v>
      </c>
      <c r="EN40" s="319">
        <f t="shared" si="120"/>
        <v>0</v>
      </c>
      <c r="EO40" s="319">
        <v>0</v>
      </c>
      <c r="EQ40" s="318" t="s">
        <v>175</v>
      </c>
      <c r="ER40" s="319">
        <v>0</v>
      </c>
      <c r="ES40" s="319">
        <v>0</v>
      </c>
      <c r="ET40" s="319">
        <v>0</v>
      </c>
      <c r="EU40" s="319">
        <f t="shared" si="121"/>
        <v>0</v>
      </c>
      <c r="EV40" s="319">
        <v>0</v>
      </c>
      <c r="EX40" s="318" t="s">
        <v>175</v>
      </c>
      <c r="EY40" s="319">
        <v>0</v>
      </c>
      <c r="EZ40" s="319">
        <v>0</v>
      </c>
      <c r="FA40" s="319">
        <v>0</v>
      </c>
      <c r="FB40" s="319">
        <f t="shared" si="126"/>
        <v>0</v>
      </c>
      <c r="FC40" s="319">
        <v>0</v>
      </c>
      <c r="FE40" s="318" t="s">
        <v>175</v>
      </c>
      <c r="FF40" s="319">
        <v>0</v>
      </c>
      <c r="FG40" s="319">
        <v>0</v>
      </c>
      <c r="FH40" s="319">
        <v>0</v>
      </c>
      <c r="FI40" s="319">
        <f t="shared" si="127"/>
        <v>0</v>
      </c>
      <c r="FJ40" s="319">
        <v>0</v>
      </c>
      <c r="FL40" s="318" t="s">
        <v>175</v>
      </c>
      <c r="FM40" s="319">
        <v>0</v>
      </c>
      <c r="FN40" s="319">
        <v>0</v>
      </c>
      <c r="FO40" s="319">
        <v>0</v>
      </c>
      <c r="FP40" s="319">
        <f t="shared" si="128"/>
        <v>0</v>
      </c>
      <c r="FQ40" s="319">
        <v>0</v>
      </c>
      <c r="FS40" s="318" t="s">
        <v>175</v>
      </c>
      <c r="FT40" s="319">
        <v>0</v>
      </c>
      <c r="FU40" s="319">
        <f t="shared" ref="FU40:FU41" si="130">0-FT40</f>
        <v>0</v>
      </c>
      <c r="FV40" s="319">
        <f t="shared" ref="FV40:FV44" si="131">0-FU40-FT40</f>
        <v>0</v>
      </c>
      <c r="FW40" s="319">
        <f t="shared" si="129"/>
        <v>0</v>
      </c>
      <c r="FX40" s="319">
        <v>0</v>
      </c>
      <c r="FZ40" s="318" t="s">
        <v>175</v>
      </c>
      <c r="GA40" s="319">
        <v>0</v>
      </c>
      <c r="GB40" s="319">
        <f t="shared" ref="GB40:GB42" si="132">0-GA40</f>
        <v>0</v>
      </c>
      <c r="GC40" s="319">
        <f t="shared" ref="GC40:GC41" si="133">0-GB40-GA40</f>
        <v>0</v>
      </c>
      <c r="GD40" s="319">
        <v>0</v>
      </c>
      <c r="GE40" s="319">
        <f t="shared" si="122"/>
        <v>0</v>
      </c>
      <c r="GG40" s="318" t="s">
        <v>175</v>
      </c>
      <c r="GH40" s="319">
        <v>0</v>
      </c>
      <c r="GI40" s="319">
        <v>0</v>
      </c>
      <c r="GJ40" s="319">
        <v>0</v>
      </c>
      <c r="GK40" s="319">
        <v>0</v>
      </c>
      <c r="GL40" s="319">
        <f t="shared" si="123"/>
        <v>0</v>
      </c>
      <c r="GN40" s="318" t="s">
        <v>175</v>
      </c>
      <c r="GO40" s="319">
        <v>0</v>
      </c>
      <c r="GP40" s="319">
        <v>0</v>
      </c>
      <c r="GQ40" s="319">
        <v>0</v>
      </c>
      <c r="GR40" s="319">
        <v>0</v>
      </c>
      <c r="GS40" s="319">
        <f t="shared" si="124"/>
        <v>0</v>
      </c>
      <c r="GU40" s="318" t="s">
        <v>175</v>
      </c>
      <c r="GV40" s="319">
        <v>0</v>
      </c>
      <c r="GW40" s="319">
        <v>0</v>
      </c>
      <c r="GX40" s="319">
        <v>0</v>
      </c>
      <c r="GY40" s="319">
        <v>0</v>
      </c>
      <c r="GZ40" s="319">
        <f t="shared" si="125"/>
        <v>0</v>
      </c>
    </row>
    <row r="41" spans="1:208" x14ac:dyDescent="0.4">
      <c r="A41" s="414"/>
      <c r="B41" s="318" t="s">
        <v>176</v>
      </c>
      <c r="C41" s="319">
        <f t="shared" si="82"/>
        <v>0</v>
      </c>
      <c r="D41" s="319">
        <f t="shared" si="83"/>
        <v>0</v>
      </c>
      <c r="E41" s="319">
        <f t="shared" si="84"/>
        <v>0</v>
      </c>
      <c r="F41" s="319">
        <f t="shared" si="85"/>
        <v>0</v>
      </c>
      <c r="G41" s="319">
        <f t="shared" si="86"/>
        <v>0</v>
      </c>
      <c r="H41" s="319">
        <f t="shared" si="87"/>
        <v>0</v>
      </c>
      <c r="I41" s="319">
        <f t="shared" si="88"/>
        <v>0</v>
      </c>
      <c r="J41" s="319">
        <f t="shared" si="89"/>
        <v>0</v>
      </c>
      <c r="K41" s="319">
        <f t="shared" si="90"/>
        <v>0</v>
      </c>
      <c r="L41" s="319">
        <f t="shared" si="91"/>
        <v>0</v>
      </c>
      <c r="M41" s="319">
        <f t="shared" si="92"/>
        <v>0</v>
      </c>
      <c r="N41" s="319">
        <f t="shared" si="93"/>
        <v>0</v>
      </c>
      <c r="O41" s="319">
        <f t="shared" si="94"/>
        <v>0</v>
      </c>
      <c r="P41" s="319">
        <f t="shared" si="95"/>
        <v>0</v>
      </c>
      <c r="Q41" s="319">
        <f t="shared" si="96"/>
        <v>0</v>
      </c>
      <c r="R41" s="319">
        <f t="shared" si="97"/>
        <v>0</v>
      </c>
      <c r="S41" s="319">
        <f t="shared" si="98"/>
        <v>0</v>
      </c>
      <c r="T41" s="319">
        <f t="shared" si="99"/>
        <v>0</v>
      </c>
      <c r="U41" s="319">
        <f t="shared" si="100"/>
        <v>0</v>
      </c>
      <c r="V41" s="319">
        <f t="shared" si="101"/>
        <v>0</v>
      </c>
      <c r="W41" s="319">
        <f t="shared" si="102"/>
        <v>0</v>
      </c>
      <c r="X41" s="319">
        <f t="shared" si="103"/>
        <v>0</v>
      </c>
      <c r="Y41" s="319">
        <f t="shared" si="104"/>
        <v>0</v>
      </c>
      <c r="Z41" s="319">
        <f t="shared" si="105"/>
        <v>0</v>
      </c>
      <c r="AA41" s="320"/>
      <c r="AB41" s="320"/>
      <c r="AC41" s="320"/>
      <c r="AD41" s="320"/>
      <c r="AE41" s="320"/>
      <c r="AF41" s="320"/>
      <c r="AG41" s="320"/>
      <c r="AH41" s="320"/>
      <c r="AI41" s="320"/>
      <c r="AJ41" s="320"/>
      <c r="AK41" s="320"/>
      <c r="AL41" s="320"/>
      <c r="AM41" s="320"/>
      <c r="AN41" s="320"/>
      <c r="AP41" s="318" t="s">
        <v>176</v>
      </c>
      <c r="AQ41" s="319">
        <v>0</v>
      </c>
      <c r="AR41" s="319">
        <v>0</v>
      </c>
      <c r="AS41" s="319">
        <v>0</v>
      </c>
      <c r="AT41" s="319">
        <f t="shared" si="106"/>
        <v>0</v>
      </c>
      <c r="AU41" s="319">
        <v>0</v>
      </c>
      <c r="AW41" s="318" t="s">
        <v>176</v>
      </c>
      <c r="AX41" s="319">
        <v>0</v>
      </c>
      <c r="AY41" s="319">
        <v>0</v>
      </c>
      <c r="AZ41" s="319">
        <v>0</v>
      </c>
      <c r="BA41" s="319">
        <f t="shared" si="107"/>
        <v>0</v>
      </c>
      <c r="BB41" s="319">
        <v>0</v>
      </c>
      <c r="BD41" s="318" t="s">
        <v>176</v>
      </c>
      <c r="BE41" s="319">
        <v>0</v>
      </c>
      <c r="BF41" s="319">
        <v>0</v>
      </c>
      <c r="BG41" s="319">
        <v>0</v>
      </c>
      <c r="BH41" s="319">
        <f t="shared" si="108"/>
        <v>0</v>
      </c>
      <c r="BI41" s="319">
        <v>0</v>
      </c>
      <c r="BK41" s="318" t="s">
        <v>176</v>
      </c>
      <c r="BL41" s="319">
        <v>0</v>
      </c>
      <c r="BM41" s="319">
        <v>0</v>
      </c>
      <c r="BN41" s="319">
        <v>0</v>
      </c>
      <c r="BO41" s="319">
        <f t="shared" si="109"/>
        <v>0</v>
      </c>
      <c r="BP41" s="319">
        <v>0</v>
      </c>
      <c r="BR41" s="318" t="s">
        <v>176</v>
      </c>
      <c r="BS41" s="319">
        <v>0</v>
      </c>
      <c r="BT41" s="319">
        <v>0</v>
      </c>
      <c r="BU41" s="319">
        <v>0</v>
      </c>
      <c r="BV41" s="319">
        <f t="shared" si="110"/>
        <v>0</v>
      </c>
      <c r="BW41" s="319">
        <v>0</v>
      </c>
      <c r="BY41" s="318" t="s">
        <v>176</v>
      </c>
      <c r="BZ41" s="319">
        <v>0</v>
      </c>
      <c r="CA41" s="319">
        <v>0</v>
      </c>
      <c r="CB41" s="319">
        <v>0</v>
      </c>
      <c r="CC41" s="319">
        <f t="shared" si="111"/>
        <v>0</v>
      </c>
      <c r="CD41" s="319">
        <v>0</v>
      </c>
      <c r="CF41" s="318" t="s">
        <v>176</v>
      </c>
      <c r="CG41" s="319">
        <v>0</v>
      </c>
      <c r="CH41" s="319">
        <v>0</v>
      </c>
      <c r="CI41" s="319">
        <v>0</v>
      </c>
      <c r="CJ41" s="319">
        <f t="shared" si="112"/>
        <v>0</v>
      </c>
      <c r="CK41" s="319">
        <v>0</v>
      </c>
      <c r="CM41" s="318" t="s">
        <v>176</v>
      </c>
      <c r="CN41" s="319">
        <v>0</v>
      </c>
      <c r="CO41" s="319">
        <v>0</v>
      </c>
      <c r="CP41" s="319">
        <v>0</v>
      </c>
      <c r="CQ41" s="319">
        <f t="shared" si="113"/>
        <v>0</v>
      </c>
      <c r="CR41" s="319">
        <v>0</v>
      </c>
      <c r="CT41" s="318" t="s">
        <v>176</v>
      </c>
      <c r="CU41" s="319">
        <v>0</v>
      </c>
      <c r="CV41" s="319">
        <v>0</v>
      </c>
      <c r="CW41" s="319">
        <v>0</v>
      </c>
      <c r="CX41" s="319">
        <f t="shared" si="114"/>
        <v>0</v>
      </c>
      <c r="CY41" s="319">
        <v>0</v>
      </c>
      <c r="DA41" s="318" t="s">
        <v>176</v>
      </c>
      <c r="DB41" s="319">
        <v>0</v>
      </c>
      <c r="DC41" s="319">
        <v>0</v>
      </c>
      <c r="DD41" s="319">
        <v>0</v>
      </c>
      <c r="DE41" s="319">
        <f t="shared" si="115"/>
        <v>0</v>
      </c>
      <c r="DF41" s="319">
        <v>0</v>
      </c>
      <c r="DH41" s="318" t="s">
        <v>176</v>
      </c>
      <c r="DI41" s="319">
        <v>0</v>
      </c>
      <c r="DJ41" s="319">
        <v>0</v>
      </c>
      <c r="DK41" s="319">
        <v>0</v>
      </c>
      <c r="DL41" s="319">
        <f t="shared" si="116"/>
        <v>0</v>
      </c>
      <c r="DM41" s="319">
        <v>0</v>
      </c>
      <c r="DO41" s="318" t="s">
        <v>176</v>
      </c>
      <c r="DP41" s="319">
        <v>0</v>
      </c>
      <c r="DQ41" s="319">
        <v>0</v>
      </c>
      <c r="DR41" s="319">
        <v>0</v>
      </c>
      <c r="DS41" s="319">
        <f t="shared" si="117"/>
        <v>0</v>
      </c>
      <c r="DT41" s="319">
        <v>0</v>
      </c>
      <c r="DV41" s="318" t="s">
        <v>176</v>
      </c>
      <c r="DW41" s="319">
        <v>0</v>
      </c>
      <c r="DX41" s="319">
        <v>0</v>
      </c>
      <c r="DY41" s="319">
        <v>0</v>
      </c>
      <c r="DZ41" s="319">
        <f t="shared" si="118"/>
        <v>0</v>
      </c>
      <c r="EA41" s="319">
        <v>0</v>
      </c>
      <c r="EC41" s="318" t="s">
        <v>176</v>
      </c>
      <c r="ED41" s="319">
        <v>0</v>
      </c>
      <c r="EE41" s="319">
        <v>0</v>
      </c>
      <c r="EF41" s="319">
        <v>0</v>
      </c>
      <c r="EG41" s="319">
        <f t="shared" si="119"/>
        <v>0</v>
      </c>
      <c r="EH41" s="319">
        <v>0</v>
      </c>
      <c r="EJ41" s="318" t="s">
        <v>176</v>
      </c>
      <c r="EK41" s="319">
        <v>0</v>
      </c>
      <c r="EL41" s="319">
        <v>0</v>
      </c>
      <c r="EM41" s="319">
        <v>0</v>
      </c>
      <c r="EN41" s="319">
        <f t="shared" si="120"/>
        <v>0</v>
      </c>
      <c r="EO41" s="319">
        <v>0</v>
      </c>
      <c r="EQ41" s="318" t="s">
        <v>176</v>
      </c>
      <c r="ER41" s="319">
        <v>0</v>
      </c>
      <c r="ES41" s="319">
        <v>0</v>
      </c>
      <c r="ET41" s="319">
        <v>0</v>
      </c>
      <c r="EU41" s="319">
        <f t="shared" si="121"/>
        <v>0</v>
      </c>
      <c r="EV41" s="319">
        <v>0</v>
      </c>
      <c r="EX41" s="318" t="s">
        <v>176</v>
      </c>
      <c r="EY41" s="319">
        <v>0</v>
      </c>
      <c r="EZ41" s="319">
        <v>0</v>
      </c>
      <c r="FA41" s="319">
        <v>0</v>
      </c>
      <c r="FB41" s="319">
        <f t="shared" si="126"/>
        <v>0</v>
      </c>
      <c r="FC41" s="319">
        <v>0</v>
      </c>
      <c r="FE41" s="318" t="s">
        <v>176</v>
      </c>
      <c r="FF41" s="319">
        <v>0</v>
      </c>
      <c r="FG41" s="319">
        <v>0</v>
      </c>
      <c r="FH41" s="319">
        <v>0</v>
      </c>
      <c r="FI41" s="319">
        <f t="shared" si="127"/>
        <v>0</v>
      </c>
      <c r="FJ41" s="319">
        <v>0</v>
      </c>
      <c r="FL41" s="318" t="s">
        <v>176</v>
      </c>
      <c r="FM41" s="319">
        <v>0</v>
      </c>
      <c r="FN41" s="319">
        <v>0</v>
      </c>
      <c r="FO41" s="319">
        <v>0</v>
      </c>
      <c r="FP41" s="319">
        <f t="shared" si="128"/>
        <v>0</v>
      </c>
      <c r="FQ41" s="319">
        <v>0</v>
      </c>
      <c r="FS41" s="318" t="s">
        <v>176</v>
      </c>
      <c r="FT41" s="319">
        <v>0</v>
      </c>
      <c r="FU41" s="319">
        <f t="shared" si="130"/>
        <v>0</v>
      </c>
      <c r="FV41" s="319">
        <f t="shared" si="131"/>
        <v>0</v>
      </c>
      <c r="FW41" s="319">
        <f t="shared" si="129"/>
        <v>0</v>
      </c>
      <c r="FX41" s="319">
        <v>0</v>
      </c>
      <c r="FZ41" s="318" t="s">
        <v>176</v>
      </c>
      <c r="GA41" s="319">
        <v>0</v>
      </c>
      <c r="GB41" s="319">
        <f t="shared" si="132"/>
        <v>0</v>
      </c>
      <c r="GC41" s="319">
        <f t="shared" si="133"/>
        <v>0</v>
      </c>
      <c r="GD41" s="319">
        <v>0</v>
      </c>
      <c r="GE41" s="319">
        <f t="shared" si="122"/>
        <v>0</v>
      </c>
      <c r="GG41" s="318" t="s">
        <v>176</v>
      </c>
      <c r="GH41" s="319">
        <v>0</v>
      </c>
      <c r="GI41" s="319">
        <v>0</v>
      </c>
      <c r="GJ41" s="319">
        <v>0</v>
      </c>
      <c r="GK41" s="319">
        <v>0</v>
      </c>
      <c r="GL41" s="319">
        <f t="shared" si="123"/>
        <v>0</v>
      </c>
      <c r="GN41" s="318" t="s">
        <v>176</v>
      </c>
      <c r="GO41" s="319">
        <v>0</v>
      </c>
      <c r="GP41" s="319">
        <v>0</v>
      </c>
      <c r="GQ41" s="319">
        <v>0</v>
      </c>
      <c r="GR41" s="319">
        <v>0</v>
      </c>
      <c r="GS41" s="319">
        <f t="shared" si="124"/>
        <v>0</v>
      </c>
      <c r="GU41" s="318" t="s">
        <v>176</v>
      </c>
      <c r="GV41" s="319">
        <v>0</v>
      </c>
      <c r="GW41" s="319">
        <v>0</v>
      </c>
      <c r="GX41" s="319">
        <v>0</v>
      </c>
      <c r="GY41" s="319">
        <v>0</v>
      </c>
      <c r="GZ41" s="319">
        <f t="shared" si="125"/>
        <v>0</v>
      </c>
    </row>
    <row r="42" spans="1:208" x14ac:dyDescent="0.4">
      <c r="A42" s="414"/>
      <c r="B42" s="318" t="s">
        <v>283</v>
      </c>
      <c r="C42" s="319">
        <f t="shared" si="82"/>
        <v>0</v>
      </c>
      <c r="D42" s="319">
        <f t="shared" si="83"/>
        <v>0</v>
      </c>
      <c r="E42" s="319">
        <f t="shared" si="84"/>
        <v>0</v>
      </c>
      <c r="F42" s="319">
        <f t="shared" si="85"/>
        <v>0</v>
      </c>
      <c r="G42" s="319">
        <f t="shared" si="86"/>
        <v>0</v>
      </c>
      <c r="H42" s="319">
        <f t="shared" si="87"/>
        <v>0</v>
      </c>
      <c r="I42" s="319">
        <f t="shared" si="88"/>
        <v>0</v>
      </c>
      <c r="J42" s="319">
        <f t="shared" si="89"/>
        <v>0</v>
      </c>
      <c r="K42" s="319">
        <f t="shared" si="90"/>
        <v>0</v>
      </c>
      <c r="L42" s="319">
        <f t="shared" si="91"/>
        <v>0</v>
      </c>
      <c r="M42" s="319">
        <f t="shared" si="92"/>
        <v>0</v>
      </c>
      <c r="N42" s="319">
        <f t="shared" si="93"/>
        <v>0</v>
      </c>
      <c r="O42" s="319">
        <f t="shared" si="94"/>
        <v>0</v>
      </c>
      <c r="P42" s="319">
        <f t="shared" si="95"/>
        <v>0</v>
      </c>
      <c r="Q42" s="319">
        <f t="shared" si="96"/>
        <v>0</v>
      </c>
      <c r="R42" s="319">
        <f t="shared" si="97"/>
        <v>0</v>
      </c>
      <c r="S42" s="319">
        <f t="shared" si="98"/>
        <v>-541</v>
      </c>
      <c r="T42" s="319">
        <f t="shared" si="99"/>
        <v>-227</v>
      </c>
      <c r="U42" s="319">
        <f t="shared" si="100"/>
        <v>-31</v>
      </c>
      <c r="V42" s="319">
        <f t="shared" si="101"/>
        <v>-70</v>
      </c>
      <c r="W42" s="319">
        <f t="shared" si="102"/>
        <v>-16</v>
      </c>
      <c r="X42" s="319">
        <f t="shared" si="103"/>
        <v>0</v>
      </c>
      <c r="Y42" s="319">
        <f t="shared" si="104"/>
        <v>0</v>
      </c>
      <c r="Z42" s="319">
        <f t="shared" si="105"/>
        <v>0</v>
      </c>
      <c r="AA42" s="320"/>
      <c r="AB42" s="320"/>
      <c r="AC42" s="320"/>
      <c r="AD42" s="320"/>
      <c r="AE42" s="320"/>
      <c r="AF42" s="320"/>
      <c r="AG42" s="320"/>
      <c r="AH42" s="320"/>
      <c r="AI42" s="320"/>
      <c r="AJ42" s="320"/>
      <c r="AK42" s="320"/>
      <c r="AL42" s="320"/>
      <c r="AM42" s="320"/>
      <c r="AN42" s="320"/>
      <c r="AP42" s="318" t="s">
        <v>283</v>
      </c>
      <c r="AQ42" s="319"/>
      <c r="AR42" s="319"/>
      <c r="AS42" s="319"/>
      <c r="AT42" s="319"/>
      <c r="AU42" s="319"/>
      <c r="AW42" s="318" t="s">
        <v>283</v>
      </c>
      <c r="AX42" s="319"/>
      <c r="AY42" s="319"/>
      <c r="AZ42" s="319"/>
      <c r="BA42" s="319"/>
      <c r="BB42" s="319"/>
      <c r="BD42" s="318" t="s">
        <v>283</v>
      </c>
      <c r="BE42" s="319"/>
      <c r="BF42" s="319"/>
      <c r="BG42" s="319"/>
      <c r="BH42" s="319"/>
      <c r="BI42" s="319"/>
      <c r="BK42" s="318" t="s">
        <v>283</v>
      </c>
      <c r="BL42" s="319"/>
      <c r="BM42" s="319"/>
      <c r="BN42" s="319"/>
      <c r="BO42" s="319"/>
      <c r="BP42" s="319"/>
      <c r="BR42" s="318" t="s">
        <v>283</v>
      </c>
      <c r="BS42" s="319"/>
      <c r="BT42" s="319"/>
      <c r="BU42" s="319"/>
      <c r="BV42" s="319"/>
      <c r="BW42" s="319"/>
      <c r="BY42" s="318" t="s">
        <v>283</v>
      </c>
      <c r="BZ42" s="319"/>
      <c r="CA42" s="319"/>
      <c r="CB42" s="319"/>
      <c r="CC42" s="319"/>
      <c r="CD42" s="319"/>
      <c r="CF42" s="318" t="s">
        <v>283</v>
      </c>
      <c r="CG42" s="319"/>
      <c r="CH42" s="319"/>
      <c r="CI42" s="319"/>
      <c r="CJ42" s="319"/>
      <c r="CK42" s="319"/>
      <c r="CM42" s="318" t="s">
        <v>283</v>
      </c>
      <c r="CN42" s="319"/>
      <c r="CO42" s="319"/>
      <c r="CP42" s="319"/>
      <c r="CQ42" s="319"/>
      <c r="CR42" s="319"/>
      <c r="CT42" s="318" t="s">
        <v>283</v>
      </c>
      <c r="CU42" s="319"/>
      <c r="CV42" s="319"/>
      <c r="CW42" s="319"/>
      <c r="CX42" s="319"/>
      <c r="CY42" s="319"/>
      <c r="DA42" s="318" t="s">
        <v>283</v>
      </c>
      <c r="DB42" s="319"/>
      <c r="DC42" s="319"/>
      <c r="DD42" s="319"/>
      <c r="DE42" s="319"/>
      <c r="DF42" s="319"/>
      <c r="DH42" s="318" t="s">
        <v>283</v>
      </c>
      <c r="DI42" s="319"/>
      <c r="DJ42" s="319"/>
      <c r="DK42" s="319"/>
      <c r="DL42" s="319"/>
      <c r="DM42" s="319"/>
      <c r="DO42" s="318" t="s">
        <v>283</v>
      </c>
      <c r="DP42" s="319"/>
      <c r="DQ42" s="319"/>
      <c r="DR42" s="319"/>
      <c r="DS42" s="319"/>
      <c r="DT42" s="319"/>
      <c r="DV42" s="318" t="s">
        <v>283</v>
      </c>
      <c r="DW42" s="319"/>
      <c r="DX42" s="319"/>
      <c r="DY42" s="319"/>
      <c r="DZ42" s="319"/>
      <c r="EA42" s="319"/>
      <c r="EC42" s="318" t="s">
        <v>283</v>
      </c>
      <c r="ED42" s="319"/>
      <c r="EE42" s="319"/>
      <c r="EF42" s="319"/>
      <c r="EG42" s="319"/>
      <c r="EH42" s="319"/>
      <c r="EJ42" s="318" t="s">
        <v>283</v>
      </c>
      <c r="EK42" s="319"/>
      <c r="EL42" s="319"/>
      <c r="EM42" s="319"/>
      <c r="EN42" s="319"/>
      <c r="EO42" s="319"/>
      <c r="EQ42" s="318" t="s">
        <v>283</v>
      </c>
      <c r="ER42" s="319">
        <v>0</v>
      </c>
      <c r="ES42" s="319">
        <v>0</v>
      </c>
      <c r="ET42" s="319">
        <v>0</v>
      </c>
      <c r="EU42" s="319">
        <f>EV42-SUM(ER42:ET42)</f>
        <v>0</v>
      </c>
      <c r="EV42" s="319">
        <v>0</v>
      </c>
      <c r="EX42" s="318" t="s">
        <v>283</v>
      </c>
      <c r="EY42" s="319">
        <v>0</v>
      </c>
      <c r="EZ42" s="319">
        <v>0</v>
      </c>
      <c r="FA42" s="319">
        <f>-543-EZ42-EY42</f>
        <v>-543</v>
      </c>
      <c r="FB42" s="319">
        <f t="shared" si="126"/>
        <v>2</v>
      </c>
      <c r="FC42" s="319">
        <v>-541</v>
      </c>
      <c r="FE42" s="318" t="s">
        <v>283</v>
      </c>
      <c r="FF42" s="319">
        <v>-9</v>
      </c>
      <c r="FG42" s="319">
        <f>-208-FF42</f>
        <v>-199</v>
      </c>
      <c r="FH42" s="319">
        <f>-223-FG42-FF42</f>
        <v>-15</v>
      </c>
      <c r="FI42" s="319">
        <f t="shared" si="127"/>
        <v>-4</v>
      </c>
      <c r="FJ42" s="319">
        <v>-227</v>
      </c>
      <c r="FL42" s="318" t="s">
        <v>283</v>
      </c>
      <c r="FM42" s="319">
        <v>-2</v>
      </c>
      <c r="FN42" s="319">
        <f>-31-FM42</f>
        <v>-29</v>
      </c>
      <c r="FO42" s="319">
        <f>-31-SUM(FM42:FN42)</f>
        <v>0</v>
      </c>
      <c r="FP42" s="319">
        <f t="shared" si="128"/>
        <v>0</v>
      </c>
      <c r="FQ42" s="319">
        <v>-31</v>
      </c>
      <c r="FS42" s="318" t="s">
        <v>283</v>
      </c>
      <c r="FT42" s="319">
        <v>-26</v>
      </c>
      <c r="FU42" s="319">
        <f>-50-FT42</f>
        <v>-24</v>
      </c>
      <c r="FV42" s="319">
        <f>-68-FU42-FT42</f>
        <v>-18</v>
      </c>
      <c r="FW42" s="319">
        <f t="shared" si="129"/>
        <v>-2</v>
      </c>
      <c r="FX42" s="319">
        <v>-70</v>
      </c>
      <c r="FZ42" s="318" t="s">
        <v>283</v>
      </c>
      <c r="GA42" s="319">
        <v>0</v>
      </c>
      <c r="GB42" s="319">
        <f t="shared" si="132"/>
        <v>0</v>
      </c>
      <c r="GC42" s="319">
        <f>-15-GB42-GA42</f>
        <v>-15</v>
      </c>
      <c r="GD42" s="319">
        <f>-16-SUM(GA42:GC42)</f>
        <v>-1</v>
      </c>
      <c r="GE42" s="319">
        <f t="shared" si="122"/>
        <v>-16</v>
      </c>
      <c r="GG42" s="318" t="s">
        <v>283</v>
      </c>
      <c r="GH42" s="319">
        <v>0</v>
      </c>
      <c r="GI42" s="319">
        <v>0</v>
      </c>
      <c r="GJ42" s="319">
        <v>0</v>
      </c>
      <c r="GK42" s="319">
        <v>0</v>
      </c>
      <c r="GL42" s="319">
        <f t="shared" si="123"/>
        <v>0</v>
      </c>
      <c r="GN42" s="318" t="s">
        <v>283</v>
      </c>
      <c r="GO42" s="319">
        <v>0</v>
      </c>
      <c r="GP42" s="319">
        <v>0</v>
      </c>
      <c r="GQ42" s="319">
        <v>0</v>
      </c>
      <c r="GR42" s="319">
        <v>0</v>
      </c>
      <c r="GS42" s="319">
        <f t="shared" si="124"/>
        <v>0</v>
      </c>
      <c r="GU42" s="318" t="s">
        <v>283</v>
      </c>
      <c r="GV42" s="319">
        <v>0</v>
      </c>
      <c r="GW42" s="319">
        <v>0</v>
      </c>
      <c r="GX42" s="319">
        <v>0</v>
      </c>
      <c r="GY42" s="319">
        <v>0</v>
      </c>
      <c r="GZ42" s="319">
        <f t="shared" si="125"/>
        <v>0</v>
      </c>
    </row>
    <row r="43" spans="1:208" x14ac:dyDescent="0.4">
      <c r="A43" s="414"/>
      <c r="B43" s="318" t="s">
        <v>177</v>
      </c>
      <c r="C43" s="319">
        <f t="shared" si="82"/>
        <v>69</v>
      </c>
      <c r="D43" s="319">
        <f t="shared" si="83"/>
        <v>151</v>
      </c>
      <c r="E43" s="319">
        <f t="shared" si="84"/>
        <v>-41</v>
      </c>
      <c r="F43" s="319">
        <f t="shared" si="85"/>
        <v>36</v>
      </c>
      <c r="G43" s="319">
        <f t="shared" si="86"/>
        <v>9</v>
      </c>
      <c r="H43" s="319">
        <f t="shared" si="87"/>
        <v>-80</v>
      </c>
      <c r="I43" s="319">
        <f t="shared" si="88"/>
        <v>-112</v>
      </c>
      <c r="J43" s="319">
        <f t="shared" si="89"/>
        <v>-70</v>
      </c>
      <c r="K43" s="319">
        <f t="shared" si="90"/>
        <v>-112</v>
      </c>
      <c r="L43" s="319">
        <f t="shared" si="91"/>
        <v>-37</v>
      </c>
      <c r="M43" s="319">
        <f t="shared" si="92"/>
        <v>37</v>
      </c>
      <c r="N43" s="319">
        <f t="shared" si="93"/>
        <v>9</v>
      </c>
      <c r="O43" s="319">
        <f t="shared" si="94"/>
        <v>37</v>
      </c>
      <c r="P43" s="319">
        <f t="shared" si="95"/>
        <v>-27</v>
      </c>
      <c r="Q43" s="319">
        <f t="shared" si="96"/>
        <v>31</v>
      </c>
      <c r="R43" s="319">
        <f t="shared" si="97"/>
        <v>-77</v>
      </c>
      <c r="S43" s="319">
        <f t="shared" si="98"/>
        <v>-4</v>
      </c>
      <c r="T43" s="319">
        <f t="shared" si="99"/>
        <v>33</v>
      </c>
      <c r="U43" s="319">
        <f t="shared" si="100"/>
        <v>-76</v>
      </c>
      <c r="V43" s="319">
        <f t="shared" si="101"/>
        <v>-97</v>
      </c>
      <c r="W43" s="319">
        <f t="shared" si="102"/>
        <v>-91</v>
      </c>
      <c r="X43" s="319">
        <f t="shared" si="103"/>
        <v>0</v>
      </c>
      <c r="Y43" s="319">
        <f t="shared" si="104"/>
        <v>0</v>
      </c>
      <c r="Z43" s="319">
        <f t="shared" si="105"/>
        <v>0</v>
      </c>
      <c r="AA43" s="320"/>
      <c r="AB43" s="320"/>
      <c r="AC43" s="320"/>
      <c r="AD43" s="320"/>
      <c r="AE43" s="320"/>
      <c r="AF43" s="320"/>
      <c r="AG43" s="320"/>
      <c r="AH43" s="320"/>
      <c r="AI43" s="320"/>
      <c r="AJ43" s="320"/>
      <c r="AK43" s="320"/>
      <c r="AL43" s="320"/>
      <c r="AM43" s="320"/>
      <c r="AN43" s="320"/>
      <c r="AP43" s="318" t="s">
        <v>177</v>
      </c>
      <c r="AQ43" s="319">
        <v>0</v>
      </c>
      <c r="AR43" s="319">
        <f>3-AQ43</f>
        <v>3</v>
      </c>
      <c r="AS43" s="319">
        <f>26-AR43-AQ43</f>
        <v>23</v>
      </c>
      <c r="AT43" s="319">
        <f t="shared" si="106"/>
        <v>43</v>
      </c>
      <c r="AU43" s="319">
        <f>28+41</f>
        <v>69</v>
      </c>
      <c r="AW43" s="318" t="s">
        <v>177</v>
      </c>
      <c r="AX43" s="319">
        <v>-15</v>
      </c>
      <c r="AY43" s="319">
        <f>-15+115-AX43</f>
        <v>115</v>
      </c>
      <c r="AZ43" s="319">
        <f>130-9-AY43-AX43</f>
        <v>21</v>
      </c>
      <c r="BA43" s="319">
        <f t="shared" si="107"/>
        <v>30</v>
      </c>
      <c r="BB43" s="319">
        <v>151</v>
      </c>
      <c r="BD43" s="318" t="s">
        <v>177</v>
      </c>
      <c r="BE43" s="319">
        <f>10-12</f>
        <v>-2</v>
      </c>
      <c r="BF43" s="319">
        <f>-2-BE43</f>
        <v>0</v>
      </c>
      <c r="BG43" s="319">
        <f>3-BF43-BE43</f>
        <v>5</v>
      </c>
      <c r="BH43" s="319">
        <f t="shared" si="108"/>
        <v>-44</v>
      </c>
      <c r="BI43" s="319">
        <v>-41</v>
      </c>
      <c r="BK43" s="318" t="s">
        <v>177</v>
      </c>
      <c r="BL43" s="319">
        <v>12</v>
      </c>
      <c r="BM43" s="319">
        <f>-1-BL43</f>
        <v>-13</v>
      </c>
      <c r="BN43" s="319">
        <f>27-BM43-BL43</f>
        <v>28</v>
      </c>
      <c r="BO43" s="319">
        <f t="shared" si="109"/>
        <v>9</v>
      </c>
      <c r="BP43" s="319">
        <v>36</v>
      </c>
      <c r="BR43" s="318" t="s">
        <v>177</v>
      </c>
      <c r="BS43" s="319">
        <v>37</v>
      </c>
      <c r="BT43" s="319">
        <f>49-BS43</f>
        <v>12</v>
      </c>
      <c r="BU43" s="319">
        <f>51-BT43-BS43</f>
        <v>2</v>
      </c>
      <c r="BV43" s="319">
        <f t="shared" si="110"/>
        <v>-42</v>
      </c>
      <c r="BW43" s="319">
        <v>9</v>
      </c>
      <c r="BY43" s="318" t="s">
        <v>177</v>
      </c>
      <c r="BZ43" s="319">
        <v>18</v>
      </c>
      <c r="CA43" s="319">
        <f>68-BZ43</f>
        <v>50</v>
      </c>
      <c r="CB43" s="319">
        <f>41-CA43-BZ43</f>
        <v>-27</v>
      </c>
      <c r="CC43" s="319">
        <f t="shared" si="111"/>
        <v>-121</v>
      </c>
      <c r="CD43" s="319">
        <v>-80</v>
      </c>
      <c r="CF43" s="318" t="s">
        <v>177</v>
      </c>
      <c r="CG43" s="319">
        <v>2</v>
      </c>
      <c r="CH43" s="319">
        <f>-18-CG43</f>
        <v>-20</v>
      </c>
      <c r="CI43" s="319">
        <f>-17-CH43-CG43</f>
        <v>1</v>
      </c>
      <c r="CJ43" s="319">
        <f t="shared" si="112"/>
        <v>-95</v>
      </c>
      <c r="CK43" s="319">
        <v>-112</v>
      </c>
      <c r="CM43" s="318" t="s">
        <v>177</v>
      </c>
      <c r="CN43" s="319">
        <v>8</v>
      </c>
      <c r="CO43" s="319">
        <f>6-CN43</f>
        <v>-2</v>
      </c>
      <c r="CP43" s="319">
        <f>10-CO43-CN43</f>
        <v>4</v>
      </c>
      <c r="CQ43" s="319">
        <f t="shared" si="113"/>
        <v>-80</v>
      </c>
      <c r="CR43" s="319">
        <v>-70</v>
      </c>
      <c r="CT43" s="318" t="s">
        <v>177</v>
      </c>
      <c r="CU43" s="319">
        <v>-18</v>
      </c>
      <c r="CV43" s="319">
        <f>-50-CU43</f>
        <v>-32</v>
      </c>
      <c r="CW43" s="319">
        <f>-54-CV43-CU43</f>
        <v>-4</v>
      </c>
      <c r="CX43" s="319">
        <f t="shared" si="114"/>
        <v>-58</v>
      </c>
      <c r="CY43" s="319">
        <v>-112</v>
      </c>
      <c r="DA43" s="318" t="s">
        <v>177</v>
      </c>
      <c r="DB43" s="319">
        <v>4</v>
      </c>
      <c r="DC43" s="319">
        <f>-17-DB43</f>
        <v>-21</v>
      </c>
      <c r="DD43" s="319">
        <f>-52-DC43-DB43</f>
        <v>-35</v>
      </c>
      <c r="DE43" s="319">
        <f t="shared" si="115"/>
        <v>15</v>
      </c>
      <c r="DF43" s="319">
        <v>-37</v>
      </c>
      <c r="DH43" s="318" t="s">
        <v>177</v>
      </c>
      <c r="DI43" s="319">
        <v>63</v>
      </c>
      <c r="DJ43" s="319">
        <f>52-DI43</f>
        <v>-11</v>
      </c>
      <c r="DK43" s="319">
        <f>42-DJ43-DI43</f>
        <v>-10</v>
      </c>
      <c r="DL43" s="319">
        <f t="shared" si="116"/>
        <v>-5</v>
      </c>
      <c r="DM43" s="319">
        <v>37</v>
      </c>
      <c r="DO43" s="318" t="s">
        <v>177</v>
      </c>
      <c r="DP43" s="319">
        <v>31</v>
      </c>
      <c r="DQ43" s="319">
        <f>35-DP43</f>
        <v>4</v>
      </c>
      <c r="DR43" s="319">
        <f>37-DQ43-DP43</f>
        <v>2</v>
      </c>
      <c r="DS43" s="319">
        <f t="shared" si="117"/>
        <v>-28</v>
      </c>
      <c r="DT43" s="319">
        <v>9</v>
      </c>
      <c r="DV43" s="318" t="s">
        <v>177</v>
      </c>
      <c r="DW43" s="319">
        <v>12</v>
      </c>
      <c r="DX43" s="319">
        <f>25-DW43</f>
        <v>13</v>
      </c>
      <c r="DY43" s="319">
        <f>33-DX43-DW43</f>
        <v>8</v>
      </c>
      <c r="DZ43" s="319">
        <f t="shared" si="118"/>
        <v>4</v>
      </c>
      <c r="EA43" s="319">
        <v>37</v>
      </c>
      <c r="EC43" s="318" t="s">
        <v>177</v>
      </c>
      <c r="ED43" s="319">
        <v>-8</v>
      </c>
      <c r="EE43" s="319">
        <f>-8-ED43</f>
        <v>0</v>
      </c>
      <c r="EF43" s="319">
        <f>-8-EE43-ED43</f>
        <v>0</v>
      </c>
      <c r="EG43" s="319">
        <f t="shared" si="119"/>
        <v>-19</v>
      </c>
      <c r="EH43" s="319">
        <v>-27</v>
      </c>
      <c r="EJ43" s="318" t="s">
        <v>177</v>
      </c>
      <c r="EK43" s="319">
        <v>-2</v>
      </c>
      <c r="EL43" s="319">
        <f>-16-EK43</f>
        <v>-14</v>
      </c>
      <c r="EM43" s="319">
        <f>19-EL43-EK43</f>
        <v>35</v>
      </c>
      <c r="EN43" s="319">
        <f t="shared" si="120"/>
        <v>12</v>
      </c>
      <c r="EO43" s="319">
        <v>31</v>
      </c>
      <c r="EQ43" s="318" t="s">
        <v>177</v>
      </c>
      <c r="ER43" s="319">
        <v>-20</v>
      </c>
      <c r="ES43" s="319">
        <f>-42-ER43</f>
        <v>-22</v>
      </c>
      <c r="ET43" s="319">
        <f>-32-SUM(ER43:ES43)</f>
        <v>10</v>
      </c>
      <c r="EU43" s="319">
        <f t="shared" si="121"/>
        <v>-45</v>
      </c>
      <c r="EV43" s="319">
        <v>-77</v>
      </c>
      <c r="EX43" s="318" t="s">
        <v>177</v>
      </c>
      <c r="EY43" s="319">
        <v>8</v>
      </c>
      <c r="EZ43" s="319">
        <f>0-EY43</f>
        <v>-8</v>
      </c>
      <c r="FA43" s="319">
        <f>0-EZ43-EY43</f>
        <v>0</v>
      </c>
      <c r="FB43" s="319">
        <f t="shared" si="126"/>
        <v>-4</v>
      </c>
      <c r="FC43" s="319">
        <v>-4</v>
      </c>
      <c r="FE43" s="318" t="s">
        <v>177</v>
      </c>
      <c r="FF43" s="319">
        <v>-17</v>
      </c>
      <c r="FG43" s="319">
        <f>-19-FF43</f>
        <v>-2</v>
      </c>
      <c r="FH43" s="319">
        <f>-25-FG43-FF43</f>
        <v>-6</v>
      </c>
      <c r="FI43" s="319">
        <f t="shared" si="127"/>
        <v>58</v>
      </c>
      <c r="FJ43" s="319">
        <v>33</v>
      </c>
      <c r="FL43" s="318" t="s">
        <v>177</v>
      </c>
      <c r="FM43" s="319">
        <v>5</v>
      </c>
      <c r="FN43" s="319">
        <f>-20-FM43</f>
        <v>-25</v>
      </c>
      <c r="FO43" s="319">
        <f>-19-SUM(FM43:FN43)</f>
        <v>1</v>
      </c>
      <c r="FP43" s="319">
        <f t="shared" si="128"/>
        <v>-57</v>
      </c>
      <c r="FQ43" s="319">
        <v>-76</v>
      </c>
      <c r="FS43" s="318" t="s">
        <v>177</v>
      </c>
      <c r="FT43" s="319">
        <v>-35</v>
      </c>
      <c r="FU43" s="319">
        <f>-56-FT43</f>
        <v>-21</v>
      </c>
      <c r="FV43" s="319">
        <f>-94-FU43-FT43</f>
        <v>-38</v>
      </c>
      <c r="FW43" s="319">
        <f t="shared" si="129"/>
        <v>-3</v>
      </c>
      <c r="FX43" s="319">
        <v>-97</v>
      </c>
      <c r="FZ43" s="318" t="s">
        <v>177</v>
      </c>
      <c r="GA43" s="319">
        <v>-18</v>
      </c>
      <c r="GB43" s="319">
        <f>-14-GA43</f>
        <v>4</v>
      </c>
      <c r="GC43" s="319">
        <f>-41-GB43-GA43</f>
        <v>-27</v>
      </c>
      <c r="GD43" s="319">
        <f>-91-SUM(GA43:GC43)</f>
        <v>-50</v>
      </c>
      <c r="GE43" s="319">
        <f t="shared" si="122"/>
        <v>-91</v>
      </c>
      <c r="GG43" s="318" t="s">
        <v>177</v>
      </c>
      <c r="GH43" s="319">
        <f>+CF!GH133</f>
        <v>0</v>
      </c>
      <c r="GI43" s="319">
        <f>+CF!GI133</f>
        <v>0</v>
      </c>
      <c r="GJ43" s="319">
        <f>+CF!GJ133</f>
        <v>0</v>
      </c>
      <c r="GK43" s="319">
        <f>+CF!GK133</f>
        <v>0</v>
      </c>
      <c r="GL43" s="319">
        <f t="shared" si="123"/>
        <v>0</v>
      </c>
      <c r="GN43" s="318" t="s">
        <v>177</v>
      </c>
      <c r="GO43" s="319">
        <f>+CF!GO133</f>
        <v>0</v>
      </c>
      <c r="GP43" s="319">
        <f>+CF!GP133</f>
        <v>0</v>
      </c>
      <c r="GQ43" s="319">
        <f>+CF!GQ133</f>
        <v>0</v>
      </c>
      <c r="GR43" s="319">
        <f>+CF!GR133</f>
        <v>0</v>
      </c>
      <c r="GS43" s="319">
        <f t="shared" si="124"/>
        <v>0</v>
      </c>
      <c r="GU43" s="318" t="s">
        <v>177</v>
      </c>
      <c r="GV43" s="319">
        <f>+CF!GV133</f>
        <v>0</v>
      </c>
      <c r="GW43" s="319">
        <f>+CF!GW133</f>
        <v>0</v>
      </c>
      <c r="GX43" s="319">
        <f>+CF!GX133</f>
        <v>0</v>
      </c>
      <c r="GY43" s="319">
        <f>+CF!GY133</f>
        <v>0</v>
      </c>
      <c r="GZ43" s="319">
        <f t="shared" si="125"/>
        <v>0</v>
      </c>
    </row>
    <row r="44" spans="1:208" x14ac:dyDescent="0.4">
      <c r="A44" s="414"/>
      <c r="B44" s="318" t="s">
        <v>178</v>
      </c>
      <c r="C44" s="319">
        <f t="shared" si="82"/>
        <v>-2601</v>
      </c>
      <c r="D44" s="319">
        <f t="shared" si="83"/>
        <v>-1412</v>
      </c>
      <c r="E44" s="319">
        <f t="shared" si="84"/>
        <v>-2338</v>
      </c>
      <c r="F44" s="319">
        <f t="shared" si="85"/>
        <v>-25</v>
      </c>
      <c r="G44" s="319">
        <f t="shared" si="86"/>
        <v>0</v>
      </c>
      <c r="H44" s="319">
        <f t="shared" si="87"/>
        <v>0</v>
      </c>
      <c r="I44" s="319">
        <f t="shared" si="88"/>
        <v>-492</v>
      </c>
      <c r="J44" s="319">
        <f t="shared" si="89"/>
        <v>-633</v>
      </c>
      <c r="K44" s="319">
        <f t="shared" si="90"/>
        <v>-1256</v>
      </c>
      <c r="L44" s="319">
        <f t="shared" si="91"/>
        <v>-1433</v>
      </c>
      <c r="M44" s="319">
        <f t="shared" si="92"/>
        <v>-1739</v>
      </c>
      <c r="N44" s="319">
        <f t="shared" si="93"/>
        <v>-929</v>
      </c>
      <c r="O44" s="319">
        <f t="shared" si="94"/>
        <v>-782</v>
      </c>
      <c r="P44" s="319">
        <f t="shared" si="95"/>
        <v>-736</v>
      </c>
      <c r="Q44" s="319">
        <f t="shared" si="96"/>
        <v>-2838</v>
      </c>
      <c r="R44" s="319">
        <f t="shared" si="97"/>
        <v>-426</v>
      </c>
      <c r="S44" s="319">
        <f t="shared" si="98"/>
        <v>-75</v>
      </c>
      <c r="T44" s="319">
        <f t="shared" si="99"/>
        <v>-59</v>
      </c>
      <c r="U44" s="319">
        <f t="shared" si="100"/>
        <v>-104</v>
      </c>
      <c r="V44" s="319">
        <f t="shared" si="101"/>
        <v>-66</v>
      </c>
      <c r="W44" s="319">
        <f t="shared" si="102"/>
        <v>0</v>
      </c>
      <c r="X44" s="319">
        <f t="shared" si="103"/>
        <v>-400</v>
      </c>
      <c r="Y44" s="319">
        <f t="shared" si="104"/>
        <v>-400</v>
      </c>
      <c r="Z44" s="319">
        <f t="shared" si="105"/>
        <v>-400</v>
      </c>
      <c r="AA44" s="320"/>
      <c r="AB44" s="320"/>
      <c r="AC44" s="320"/>
      <c r="AD44" s="320"/>
      <c r="AE44" s="320"/>
      <c r="AF44" s="320"/>
      <c r="AG44" s="320"/>
      <c r="AH44" s="320"/>
      <c r="AI44" s="320"/>
      <c r="AJ44" s="320"/>
      <c r="AK44" s="320"/>
      <c r="AL44" s="320"/>
      <c r="AM44" s="320"/>
      <c r="AN44" s="320"/>
      <c r="AP44" s="318" t="s">
        <v>178</v>
      </c>
      <c r="AQ44" s="319">
        <v>-1093</v>
      </c>
      <c r="AR44" s="319">
        <f>-1576-AQ44</f>
        <v>-483</v>
      </c>
      <c r="AS44" s="319">
        <f>-2041-AR44-AQ44</f>
        <v>-465</v>
      </c>
      <c r="AT44" s="319">
        <f t="shared" si="106"/>
        <v>-560</v>
      </c>
      <c r="AU44" s="319">
        <v>-2601</v>
      </c>
      <c r="AW44" s="318" t="s">
        <v>178</v>
      </c>
      <c r="AX44" s="319">
        <v>-416</v>
      </c>
      <c r="AY44" s="319">
        <f>-761-AX44</f>
        <v>-345</v>
      </c>
      <c r="AZ44" s="319">
        <f>-1023-AY44-AX44</f>
        <v>-262</v>
      </c>
      <c r="BA44" s="319">
        <f t="shared" si="107"/>
        <v>-389</v>
      </c>
      <c r="BB44" s="319">
        <v>-1412</v>
      </c>
      <c r="BD44" s="318" t="s">
        <v>178</v>
      </c>
      <c r="BE44" s="319">
        <v>-530</v>
      </c>
      <c r="BF44" s="319">
        <f>-1445-BE44</f>
        <v>-915</v>
      </c>
      <c r="BG44" s="319">
        <f>-2035-BF44-BE44</f>
        <v>-590</v>
      </c>
      <c r="BH44" s="319">
        <f t="shared" si="108"/>
        <v>-303</v>
      </c>
      <c r="BI44" s="319">
        <v>-2338</v>
      </c>
      <c r="BK44" s="318" t="s">
        <v>178</v>
      </c>
      <c r="BL44" s="319">
        <v>-50</v>
      </c>
      <c r="BM44" s="319">
        <f>-25-BL44</f>
        <v>25</v>
      </c>
      <c r="BN44" s="319">
        <f>-25-BM44-BL44</f>
        <v>0</v>
      </c>
      <c r="BO44" s="319">
        <f t="shared" si="109"/>
        <v>0</v>
      </c>
      <c r="BP44" s="319">
        <v>-25</v>
      </c>
      <c r="BR44" s="318" t="s">
        <v>178</v>
      </c>
      <c r="BS44" s="319">
        <v>0</v>
      </c>
      <c r="BT44" s="319">
        <v>0</v>
      </c>
      <c r="BU44" s="319">
        <v>0</v>
      </c>
      <c r="BV44" s="319">
        <f t="shared" si="110"/>
        <v>0</v>
      </c>
      <c r="BW44" s="319">
        <v>0</v>
      </c>
      <c r="BY44" s="318" t="s">
        <v>178</v>
      </c>
      <c r="BZ44" s="319">
        <v>0</v>
      </c>
      <c r="CA44" s="319">
        <v>0</v>
      </c>
      <c r="CB44" s="319">
        <v>0</v>
      </c>
      <c r="CC44" s="319">
        <f t="shared" si="111"/>
        <v>0</v>
      </c>
      <c r="CD44" s="319">
        <v>0</v>
      </c>
      <c r="CF44" s="318" t="s">
        <v>178</v>
      </c>
      <c r="CG44" s="319">
        <v>-8</v>
      </c>
      <c r="CH44" s="319">
        <f>-8-CG44</f>
        <v>0</v>
      </c>
      <c r="CI44" s="319">
        <f>-14-CH44-CG44</f>
        <v>-6</v>
      </c>
      <c r="CJ44" s="319">
        <f t="shared" si="112"/>
        <v>-478</v>
      </c>
      <c r="CK44" s="319">
        <v>-492</v>
      </c>
      <c r="CM44" s="318" t="s">
        <v>178</v>
      </c>
      <c r="CN44" s="319">
        <v>-53</v>
      </c>
      <c r="CO44" s="319">
        <f>-58-CN44</f>
        <v>-5</v>
      </c>
      <c r="CP44" s="319">
        <f>-78-CO44-CN44</f>
        <v>-20</v>
      </c>
      <c r="CQ44" s="319">
        <f t="shared" si="113"/>
        <v>-555</v>
      </c>
      <c r="CR44" s="319">
        <v>-633</v>
      </c>
      <c r="CT44" s="318" t="s">
        <v>178</v>
      </c>
      <c r="CU44" s="319">
        <v>-290</v>
      </c>
      <c r="CV44" s="319">
        <f>-690-CU44</f>
        <v>-400</v>
      </c>
      <c r="CW44" s="319">
        <f>-809-CV44-CU44</f>
        <v>-119</v>
      </c>
      <c r="CX44" s="319">
        <f t="shared" si="114"/>
        <v>-447</v>
      </c>
      <c r="CY44" s="319">
        <v>-1256</v>
      </c>
      <c r="DA44" s="318" t="s">
        <v>178</v>
      </c>
      <c r="DB44" s="319">
        <v>-165</v>
      </c>
      <c r="DC44" s="319">
        <f>-360-DB44</f>
        <v>-195</v>
      </c>
      <c r="DD44" s="319">
        <f>-1170-DC44-DB44</f>
        <v>-810</v>
      </c>
      <c r="DE44" s="319">
        <f t="shared" si="115"/>
        <v>-263</v>
      </c>
      <c r="DF44" s="319">
        <v>-1433</v>
      </c>
      <c r="DH44" s="318" t="s">
        <v>178</v>
      </c>
      <c r="DI44" s="319">
        <v>-105</v>
      </c>
      <c r="DJ44" s="319">
        <f>-775-DI44</f>
        <v>-670</v>
      </c>
      <c r="DK44" s="319">
        <f>-1170-DJ44-DI44</f>
        <v>-395</v>
      </c>
      <c r="DL44" s="319">
        <f t="shared" si="116"/>
        <v>-569</v>
      </c>
      <c r="DM44" s="319">
        <v>-1739</v>
      </c>
      <c r="DO44" s="318" t="s">
        <v>178</v>
      </c>
      <c r="DP44" s="319">
        <v>-235</v>
      </c>
      <c r="DQ44" s="319">
        <f>-260-DP44</f>
        <v>-25</v>
      </c>
      <c r="DR44" s="319">
        <f>-410-DQ44-DP44</f>
        <v>-150</v>
      </c>
      <c r="DS44" s="319">
        <f t="shared" si="117"/>
        <v>-519</v>
      </c>
      <c r="DT44" s="319">
        <v>-929</v>
      </c>
      <c r="DV44" s="318" t="s">
        <v>178</v>
      </c>
      <c r="DW44" s="319">
        <v>205</v>
      </c>
      <c r="DX44" s="319">
        <f>-545-DW44</f>
        <v>-750</v>
      </c>
      <c r="DY44" s="319">
        <f>-645-DX44-DW44</f>
        <v>-100</v>
      </c>
      <c r="DZ44" s="319">
        <f t="shared" si="118"/>
        <v>-137</v>
      </c>
      <c r="EA44" s="319">
        <v>-782</v>
      </c>
      <c r="EC44" s="318" t="s">
        <v>178</v>
      </c>
      <c r="ED44" s="319">
        <v>0</v>
      </c>
      <c r="EE44" s="319">
        <f>-77-ED44</f>
        <v>-77</v>
      </c>
      <c r="EF44" s="319">
        <f>-611-EE44-ED44</f>
        <v>-534</v>
      </c>
      <c r="EG44" s="319">
        <f t="shared" si="119"/>
        <v>-125</v>
      </c>
      <c r="EH44" s="319">
        <v>-736</v>
      </c>
      <c r="EJ44" s="318" t="s">
        <v>178</v>
      </c>
      <c r="EK44" s="319">
        <v>-813</v>
      </c>
      <c r="EL44" s="319">
        <f>-1427-EK44</f>
        <v>-614</v>
      </c>
      <c r="EM44" s="319">
        <f>-2255-EL44-EK44</f>
        <v>-828</v>
      </c>
      <c r="EN44" s="319">
        <f t="shared" si="120"/>
        <v>-583</v>
      </c>
      <c r="EO44" s="319">
        <v>-2838</v>
      </c>
      <c r="EQ44" s="318" t="s">
        <v>178</v>
      </c>
      <c r="ER44" s="319">
        <v>-426</v>
      </c>
      <c r="ES44" s="319">
        <f>-426-ER44</f>
        <v>0</v>
      </c>
      <c r="ET44" s="319">
        <f>-426-SUM(ER44:ES44)</f>
        <v>0</v>
      </c>
      <c r="EU44" s="319">
        <f t="shared" si="121"/>
        <v>0</v>
      </c>
      <c r="EV44" s="319">
        <v>-426</v>
      </c>
      <c r="EX44" s="318" t="s">
        <v>178</v>
      </c>
      <c r="EY44" s="319">
        <v>0</v>
      </c>
      <c r="EZ44" s="319">
        <f>1-EY44</f>
        <v>1</v>
      </c>
      <c r="FA44" s="319">
        <f>3-EZ44-EY44</f>
        <v>2</v>
      </c>
      <c r="FB44" s="319">
        <f t="shared" si="126"/>
        <v>-78</v>
      </c>
      <c r="FC44" s="319">
        <v>-75</v>
      </c>
      <c r="FE44" s="318" t="s">
        <v>178</v>
      </c>
      <c r="FF44" s="319">
        <v>-19</v>
      </c>
      <c r="FG44" s="319">
        <f>-19-FF44</f>
        <v>0</v>
      </c>
      <c r="FH44" s="319">
        <v>0</v>
      </c>
      <c r="FI44" s="319">
        <f t="shared" si="127"/>
        <v>-40</v>
      </c>
      <c r="FJ44" s="319">
        <v>-59</v>
      </c>
      <c r="FL44" s="318" t="s">
        <v>178</v>
      </c>
      <c r="FM44" s="319">
        <v>-101</v>
      </c>
      <c r="FN44" s="319">
        <f>-102-FM44</f>
        <v>-1</v>
      </c>
      <c r="FO44" s="319">
        <f>-103-SUM(FM44:FN44)</f>
        <v>-1</v>
      </c>
      <c r="FP44" s="319">
        <f t="shared" si="128"/>
        <v>-1</v>
      </c>
      <c r="FQ44" s="319">
        <v>-104</v>
      </c>
      <c r="FS44" s="318" t="s">
        <v>178</v>
      </c>
      <c r="FT44" s="319">
        <v>0</v>
      </c>
      <c r="FU44" s="319">
        <f>0-FT44</f>
        <v>0</v>
      </c>
      <c r="FV44" s="319">
        <f t="shared" si="131"/>
        <v>0</v>
      </c>
      <c r="FW44" s="319">
        <f t="shared" si="129"/>
        <v>-66</v>
      </c>
      <c r="FX44" s="319">
        <v>-66</v>
      </c>
      <c r="FZ44" s="318" t="s">
        <v>178</v>
      </c>
      <c r="GA44" s="319">
        <v>0</v>
      </c>
      <c r="GB44" s="319">
        <f>-63-GA44</f>
        <v>-63</v>
      </c>
      <c r="GC44" s="319">
        <f>0-GB44-GA44</f>
        <v>63</v>
      </c>
      <c r="GD44" s="319">
        <f>0-SUM(GA44:GC44)</f>
        <v>0</v>
      </c>
      <c r="GE44" s="319">
        <f t="shared" si="122"/>
        <v>0</v>
      </c>
      <c r="GG44" s="318" t="s">
        <v>178</v>
      </c>
      <c r="GH44" s="319">
        <f>+CF!GH130</f>
        <v>-100</v>
      </c>
      <c r="GI44" s="319">
        <f>+CF!GI130</f>
        <v>-100</v>
      </c>
      <c r="GJ44" s="319">
        <f>+CF!GJ130</f>
        <v>-100</v>
      </c>
      <c r="GK44" s="319">
        <f>+CF!GK130</f>
        <v>-100</v>
      </c>
      <c r="GL44" s="319">
        <f t="shared" si="123"/>
        <v>-400</v>
      </c>
      <c r="GN44" s="318" t="s">
        <v>178</v>
      </c>
      <c r="GO44" s="319">
        <f>+CF!GO130</f>
        <v>-100</v>
      </c>
      <c r="GP44" s="319">
        <f>+CF!GP130</f>
        <v>-100</v>
      </c>
      <c r="GQ44" s="319">
        <f>+CF!GQ130</f>
        <v>-100</v>
      </c>
      <c r="GR44" s="319">
        <f>+CF!GR130</f>
        <v>-100</v>
      </c>
      <c r="GS44" s="319">
        <f t="shared" si="124"/>
        <v>-400</v>
      </c>
      <c r="GU44" s="318" t="s">
        <v>178</v>
      </c>
      <c r="GV44" s="319">
        <f>+CF!GV130</f>
        <v>-100</v>
      </c>
      <c r="GW44" s="319">
        <f>+CF!GW130</f>
        <v>-100</v>
      </c>
      <c r="GX44" s="319">
        <f>+CF!GX130</f>
        <v>-100</v>
      </c>
      <c r="GY44" s="319">
        <f>+CF!GY130</f>
        <v>-100</v>
      </c>
      <c r="GZ44" s="319">
        <f t="shared" si="125"/>
        <v>-400</v>
      </c>
    </row>
    <row r="45" spans="1:208" x14ac:dyDescent="0.4">
      <c r="A45" s="414"/>
      <c r="B45" s="318" t="s">
        <v>179</v>
      </c>
      <c r="C45" s="319">
        <f t="shared" si="82"/>
        <v>2634</v>
      </c>
      <c r="D45" s="319">
        <f t="shared" si="83"/>
        <v>1290</v>
      </c>
      <c r="E45" s="319">
        <f t="shared" si="84"/>
        <v>2459</v>
      </c>
      <c r="F45" s="319">
        <f t="shared" si="85"/>
        <v>280</v>
      </c>
      <c r="G45" s="319">
        <f t="shared" si="86"/>
        <v>0</v>
      </c>
      <c r="H45" s="319">
        <f t="shared" si="87"/>
        <v>41</v>
      </c>
      <c r="I45" s="319">
        <f t="shared" si="88"/>
        <v>74</v>
      </c>
      <c r="J45" s="319">
        <f t="shared" si="89"/>
        <v>581</v>
      </c>
      <c r="K45" s="319">
        <f t="shared" si="90"/>
        <v>1401</v>
      </c>
      <c r="L45" s="319">
        <f t="shared" si="91"/>
        <v>1674</v>
      </c>
      <c r="M45" s="319">
        <f t="shared" si="92"/>
        <v>1225</v>
      </c>
      <c r="N45" s="319">
        <f t="shared" si="93"/>
        <v>1325</v>
      </c>
      <c r="O45" s="319">
        <f t="shared" si="94"/>
        <v>1193</v>
      </c>
      <c r="P45" s="319">
        <f t="shared" si="95"/>
        <v>505</v>
      </c>
      <c r="Q45" s="319">
        <f t="shared" si="96"/>
        <v>2108</v>
      </c>
      <c r="R45" s="319">
        <f t="shared" si="97"/>
        <v>1424</v>
      </c>
      <c r="S45" s="319">
        <f t="shared" si="98"/>
        <v>5</v>
      </c>
      <c r="T45" s="319">
        <f t="shared" si="99"/>
        <v>9</v>
      </c>
      <c r="U45" s="319">
        <f t="shared" si="100"/>
        <v>153</v>
      </c>
      <c r="V45" s="319">
        <f t="shared" si="101"/>
        <v>91</v>
      </c>
      <c r="W45" s="319">
        <f t="shared" si="102"/>
        <v>80</v>
      </c>
      <c r="X45" s="319">
        <f t="shared" si="103"/>
        <v>0</v>
      </c>
      <c r="Y45" s="319">
        <f t="shared" si="104"/>
        <v>0</v>
      </c>
      <c r="Z45" s="319">
        <f t="shared" si="105"/>
        <v>0</v>
      </c>
      <c r="AA45" s="320"/>
      <c r="AB45" s="320"/>
      <c r="AC45" s="320"/>
      <c r="AD45" s="320"/>
      <c r="AE45" s="320"/>
      <c r="AF45" s="320"/>
      <c r="AG45" s="320"/>
      <c r="AH45" s="320"/>
      <c r="AI45" s="320"/>
      <c r="AJ45" s="320"/>
      <c r="AK45" s="320"/>
      <c r="AL45" s="320"/>
      <c r="AM45" s="320"/>
      <c r="AN45" s="320"/>
      <c r="AP45" s="318" t="s">
        <v>179</v>
      </c>
      <c r="AQ45" s="319">
        <v>305</v>
      </c>
      <c r="AR45" s="319">
        <f>1679-AQ45</f>
        <v>1374</v>
      </c>
      <c r="AS45" s="319">
        <f>2050-AR45-AQ45</f>
        <v>371</v>
      </c>
      <c r="AT45" s="319">
        <f t="shared" si="106"/>
        <v>584</v>
      </c>
      <c r="AU45" s="319">
        <v>2634</v>
      </c>
      <c r="AW45" s="318" t="s">
        <v>179</v>
      </c>
      <c r="AX45" s="319">
        <v>378</v>
      </c>
      <c r="AY45" s="319">
        <f>718-AX45</f>
        <v>340</v>
      </c>
      <c r="AZ45" s="319">
        <f>1072-AY45-AX45</f>
        <v>354</v>
      </c>
      <c r="BA45" s="319">
        <f t="shared" si="107"/>
        <v>218</v>
      </c>
      <c r="BB45" s="319">
        <v>1290</v>
      </c>
      <c r="BD45" s="318" t="s">
        <v>179</v>
      </c>
      <c r="BE45" s="319">
        <v>558</v>
      </c>
      <c r="BF45" s="319">
        <f>1504-BE45</f>
        <v>946</v>
      </c>
      <c r="BG45" s="319">
        <f>1914-BF45-BE45</f>
        <v>410</v>
      </c>
      <c r="BH45" s="319">
        <f t="shared" si="108"/>
        <v>545</v>
      </c>
      <c r="BI45" s="319">
        <v>2459</v>
      </c>
      <c r="BK45" s="318" t="s">
        <v>179</v>
      </c>
      <c r="BL45" s="319">
        <v>295</v>
      </c>
      <c r="BM45" s="319">
        <f>280-BL45</f>
        <v>-15</v>
      </c>
      <c r="BN45" s="319">
        <f>280-BM45-BL45</f>
        <v>0</v>
      </c>
      <c r="BO45" s="319">
        <f t="shared" si="109"/>
        <v>0</v>
      </c>
      <c r="BP45" s="319">
        <v>280</v>
      </c>
      <c r="BR45" s="318" t="s">
        <v>179</v>
      </c>
      <c r="BS45" s="319">
        <v>0</v>
      </c>
      <c r="BT45" s="319">
        <v>0</v>
      </c>
      <c r="BU45" s="319">
        <v>0</v>
      </c>
      <c r="BV45" s="319">
        <f t="shared" si="110"/>
        <v>0</v>
      </c>
      <c r="BW45" s="319">
        <v>0</v>
      </c>
      <c r="BY45" s="318" t="s">
        <v>179</v>
      </c>
      <c r="BZ45" s="319">
        <v>0</v>
      </c>
      <c r="CA45" s="319">
        <v>0</v>
      </c>
      <c r="CB45" s="319">
        <v>0</v>
      </c>
      <c r="CC45" s="319">
        <f t="shared" si="111"/>
        <v>41</v>
      </c>
      <c r="CD45" s="319">
        <v>41</v>
      </c>
      <c r="CF45" s="318" t="s">
        <v>179</v>
      </c>
      <c r="CG45" s="319">
        <v>20</v>
      </c>
      <c r="CH45" s="319">
        <f>42-CG45</f>
        <v>22</v>
      </c>
      <c r="CI45" s="319">
        <f>66-CH45-CG45</f>
        <v>24</v>
      </c>
      <c r="CJ45" s="319">
        <f t="shared" si="112"/>
        <v>8</v>
      </c>
      <c r="CK45" s="319">
        <v>74</v>
      </c>
      <c r="CM45" s="318" t="s">
        <v>179</v>
      </c>
      <c r="CN45" s="319">
        <v>437</v>
      </c>
      <c r="CO45" s="319">
        <f>546-CN45</f>
        <v>109</v>
      </c>
      <c r="CP45" s="319">
        <f>573-CO45-CN45</f>
        <v>27</v>
      </c>
      <c r="CQ45" s="319">
        <f t="shared" si="113"/>
        <v>8</v>
      </c>
      <c r="CR45" s="319">
        <v>581</v>
      </c>
      <c r="CT45" s="318" t="s">
        <v>179</v>
      </c>
      <c r="CU45" s="319">
        <v>534</v>
      </c>
      <c r="CV45" s="319">
        <f>904-CU45</f>
        <v>370</v>
      </c>
      <c r="CW45" s="319">
        <f>1307-CV45-CU45</f>
        <v>403</v>
      </c>
      <c r="CX45" s="319">
        <f t="shared" si="114"/>
        <v>94</v>
      </c>
      <c r="CY45" s="319">
        <v>1401</v>
      </c>
      <c r="DA45" s="318" t="s">
        <v>179</v>
      </c>
      <c r="DB45" s="319">
        <v>409</v>
      </c>
      <c r="DC45" s="319">
        <f>646-DB45</f>
        <v>237</v>
      </c>
      <c r="DD45" s="319">
        <f>1102-DC45-DB45</f>
        <v>456</v>
      </c>
      <c r="DE45" s="319">
        <f t="shared" si="115"/>
        <v>572</v>
      </c>
      <c r="DF45" s="319">
        <v>1674</v>
      </c>
      <c r="DH45" s="318" t="s">
        <v>179</v>
      </c>
      <c r="DI45" s="319">
        <v>140</v>
      </c>
      <c r="DJ45" s="319">
        <f>390-DI45</f>
        <v>250</v>
      </c>
      <c r="DK45" s="319">
        <f>1040-DJ45-DI45</f>
        <v>650</v>
      </c>
      <c r="DL45" s="319">
        <f t="shared" si="116"/>
        <v>185</v>
      </c>
      <c r="DM45" s="319">
        <v>1225</v>
      </c>
      <c r="DO45" s="318" t="s">
        <v>179</v>
      </c>
      <c r="DP45" s="319">
        <v>670</v>
      </c>
      <c r="DQ45" s="319">
        <f>810-DP45</f>
        <v>140</v>
      </c>
      <c r="DR45" s="319">
        <f>1070-DQ45-DP45</f>
        <v>260</v>
      </c>
      <c r="DS45" s="319">
        <f t="shared" si="117"/>
        <v>255</v>
      </c>
      <c r="DT45" s="319">
        <v>1325</v>
      </c>
      <c r="DV45" s="318" t="s">
        <v>179</v>
      </c>
      <c r="DW45" s="319">
        <v>-75</v>
      </c>
      <c r="DX45" s="319">
        <f>492-DW45</f>
        <v>567</v>
      </c>
      <c r="DY45" s="319">
        <f>957-DX45-DW45</f>
        <v>465</v>
      </c>
      <c r="DZ45" s="319">
        <f t="shared" si="118"/>
        <v>236</v>
      </c>
      <c r="EA45" s="319">
        <v>1193</v>
      </c>
      <c r="EC45" s="318" t="s">
        <v>179</v>
      </c>
      <c r="ED45" s="319">
        <v>8</v>
      </c>
      <c r="EE45" s="319">
        <f>12-ED45</f>
        <v>4</v>
      </c>
      <c r="EF45" s="319">
        <f>15-EE45-ED45</f>
        <v>3</v>
      </c>
      <c r="EG45" s="319">
        <f t="shared" si="119"/>
        <v>490</v>
      </c>
      <c r="EH45" s="319">
        <v>505</v>
      </c>
      <c r="EJ45" s="318" t="s">
        <v>179</v>
      </c>
      <c r="EK45" s="319">
        <v>250</v>
      </c>
      <c r="EL45" s="319">
        <f>810-EK45</f>
        <v>560</v>
      </c>
      <c r="EM45" s="319">
        <f>1480-EL45-EK45</f>
        <v>670</v>
      </c>
      <c r="EN45" s="319">
        <f t="shared" si="120"/>
        <v>628</v>
      </c>
      <c r="EO45" s="319">
        <v>2108</v>
      </c>
      <c r="EQ45" s="318" t="s">
        <v>179</v>
      </c>
      <c r="ER45" s="319">
        <v>936</v>
      </c>
      <c r="ES45" s="319">
        <f>1221-ER45</f>
        <v>285</v>
      </c>
      <c r="ET45" s="319">
        <f>1423-SUM(ER45:ES45)</f>
        <v>202</v>
      </c>
      <c r="EU45" s="319">
        <f t="shared" si="121"/>
        <v>1</v>
      </c>
      <c r="EV45" s="319">
        <v>1424</v>
      </c>
      <c r="EX45" s="318" t="s">
        <v>179</v>
      </c>
      <c r="EY45" s="319">
        <v>1</v>
      </c>
      <c r="EZ45" s="319">
        <f>-1-EY45</f>
        <v>-2</v>
      </c>
      <c r="FA45" s="319">
        <v>0</v>
      </c>
      <c r="FB45" s="319">
        <f t="shared" si="126"/>
        <v>6</v>
      </c>
      <c r="FC45" s="319">
        <v>5</v>
      </c>
      <c r="FE45" s="318" t="s">
        <v>179</v>
      </c>
      <c r="FF45" s="319">
        <v>12</v>
      </c>
      <c r="FG45" s="319">
        <f>9-FF45</f>
        <v>-3</v>
      </c>
      <c r="FH45" s="319">
        <f>9-FG45-FF45</f>
        <v>0</v>
      </c>
      <c r="FI45" s="319">
        <f t="shared" si="127"/>
        <v>0</v>
      </c>
      <c r="FJ45" s="319">
        <v>9</v>
      </c>
      <c r="FL45" s="318" t="s">
        <v>179</v>
      </c>
      <c r="FM45" s="319">
        <v>53</v>
      </c>
      <c r="FN45" s="319">
        <f>153-FM45</f>
        <v>100</v>
      </c>
      <c r="FO45" s="319">
        <f>153-SUM(FM45:FN45)</f>
        <v>0</v>
      </c>
      <c r="FP45" s="319">
        <f t="shared" si="128"/>
        <v>0</v>
      </c>
      <c r="FQ45" s="319">
        <v>153</v>
      </c>
      <c r="FS45" s="318" t="s">
        <v>179</v>
      </c>
      <c r="FT45" s="319">
        <v>81</v>
      </c>
      <c r="FU45" s="319">
        <f>81-FT45</f>
        <v>0</v>
      </c>
      <c r="FV45" s="319">
        <f>50-FU45-FT45</f>
        <v>-31</v>
      </c>
      <c r="FW45" s="319">
        <f t="shared" si="129"/>
        <v>41</v>
      </c>
      <c r="FX45" s="319">
        <v>91</v>
      </c>
      <c r="FZ45" s="318" t="s">
        <v>179</v>
      </c>
      <c r="GA45" s="319">
        <v>67</v>
      </c>
      <c r="GB45" s="319">
        <f>69-GA45</f>
        <v>2</v>
      </c>
      <c r="GC45" s="319">
        <f>64-GB45-GA45</f>
        <v>-5</v>
      </c>
      <c r="GD45" s="319">
        <f>80-SUM(GA45:GC45)</f>
        <v>16</v>
      </c>
      <c r="GE45" s="319">
        <f t="shared" si="122"/>
        <v>80</v>
      </c>
      <c r="GG45" s="318" t="s">
        <v>179</v>
      </c>
      <c r="GH45" s="319">
        <v>0</v>
      </c>
      <c r="GI45" s="319">
        <v>0</v>
      </c>
      <c r="GJ45" s="319">
        <v>0</v>
      </c>
      <c r="GK45" s="319">
        <v>0</v>
      </c>
      <c r="GL45" s="319">
        <f t="shared" si="123"/>
        <v>0</v>
      </c>
      <c r="GN45" s="318" t="s">
        <v>179</v>
      </c>
      <c r="GO45" s="319">
        <v>0</v>
      </c>
      <c r="GP45" s="319">
        <v>0</v>
      </c>
      <c r="GQ45" s="319">
        <v>0</v>
      </c>
      <c r="GR45" s="319">
        <v>0</v>
      </c>
      <c r="GS45" s="319">
        <f t="shared" si="124"/>
        <v>0</v>
      </c>
      <c r="GU45" s="318" t="s">
        <v>179</v>
      </c>
      <c r="GV45" s="319">
        <v>0</v>
      </c>
      <c r="GW45" s="319">
        <v>0</v>
      </c>
      <c r="GX45" s="319">
        <v>0</v>
      </c>
      <c r="GY45" s="319">
        <v>0</v>
      </c>
      <c r="GZ45" s="319">
        <f t="shared" si="125"/>
        <v>0</v>
      </c>
    </row>
    <row r="46" spans="1:208" x14ac:dyDescent="0.4">
      <c r="A46" s="417"/>
      <c r="B46" s="82"/>
      <c r="C46" s="80"/>
      <c r="D46" s="80"/>
      <c r="E46" s="80"/>
      <c r="F46" s="80"/>
      <c r="G46" s="80"/>
      <c r="H46" s="80"/>
      <c r="I46" s="80"/>
      <c r="J46" s="80"/>
      <c r="K46" s="80"/>
      <c r="L46" s="80"/>
      <c r="M46" s="80"/>
      <c r="N46" s="80"/>
      <c r="O46" s="80"/>
      <c r="P46" s="80"/>
      <c r="Q46" s="80"/>
      <c r="R46" s="80"/>
      <c r="S46" s="80"/>
      <c r="T46" s="80"/>
      <c r="U46" s="80"/>
      <c r="V46" s="80"/>
      <c r="W46" s="80"/>
      <c r="X46" s="80"/>
      <c r="Y46" s="80"/>
      <c r="Z46" s="80"/>
      <c r="AA46" s="78"/>
      <c r="AB46" s="78"/>
      <c r="AC46" s="78"/>
      <c r="AD46" s="78"/>
      <c r="AE46" s="78"/>
      <c r="AF46" s="78"/>
      <c r="AG46" s="78"/>
      <c r="AH46" s="78"/>
      <c r="AI46" s="78"/>
      <c r="AJ46" s="78"/>
      <c r="AK46" s="78"/>
      <c r="AL46" s="78"/>
      <c r="AM46" s="78"/>
      <c r="AN46" s="78"/>
      <c r="AP46" s="82"/>
      <c r="AQ46" s="80"/>
      <c r="AR46" s="80"/>
      <c r="AS46" s="80"/>
      <c r="AT46" s="80"/>
      <c r="AU46" s="80"/>
      <c r="AW46" s="82"/>
      <c r="AX46" s="80"/>
      <c r="AY46" s="80"/>
      <c r="AZ46" s="80"/>
      <c r="BA46" s="80"/>
      <c r="BB46" s="80"/>
      <c r="BD46" s="82"/>
      <c r="BE46" s="80"/>
      <c r="BF46" s="80"/>
      <c r="BG46" s="80"/>
      <c r="BH46" s="80"/>
      <c r="BI46" s="80"/>
      <c r="BK46" s="82"/>
      <c r="BL46" s="80"/>
      <c r="BM46" s="80"/>
      <c r="BN46" s="80"/>
      <c r="BO46" s="80"/>
      <c r="BP46" s="80"/>
      <c r="BR46" s="82"/>
      <c r="BS46" s="80"/>
      <c r="BT46" s="80"/>
      <c r="BU46" s="80"/>
      <c r="BV46" s="80"/>
      <c r="BW46" s="80"/>
      <c r="BY46" s="82"/>
      <c r="BZ46" s="80"/>
      <c r="CA46" s="80"/>
      <c r="CB46" s="80"/>
      <c r="CC46" s="80"/>
      <c r="CD46" s="80"/>
      <c r="CF46" s="82"/>
      <c r="CG46" s="80"/>
      <c r="CH46" s="80"/>
      <c r="CI46" s="80"/>
      <c r="CJ46" s="80"/>
      <c r="CK46" s="80"/>
      <c r="CM46" s="82"/>
      <c r="CN46" s="80"/>
      <c r="CO46" s="80"/>
      <c r="CP46" s="80"/>
      <c r="CQ46" s="80"/>
      <c r="CR46" s="80"/>
      <c r="CT46" s="82"/>
      <c r="CU46" s="80"/>
      <c r="CV46" s="80"/>
      <c r="CW46" s="80"/>
      <c r="CX46" s="80"/>
      <c r="CY46" s="80"/>
      <c r="DA46" s="82"/>
      <c r="DB46" s="80"/>
      <c r="DC46" s="80"/>
      <c r="DD46" s="80"/>
      <c r="DE46" s="80"/>
      <c r="DF46" s="80"/>
      <c r="DH46" s="82"/>
      <c r="DI46" s="80"/>
      <c r="DJ46" s="80"/>
      <c r="DK46" s="80"/>
      <c r="DL46" s="80"/>
      <c r="DM46" s="80"/>
      <c r="DO46" s="82"/>
      <c r="DP46" s="80"/>
      <c r="DQ46" s="80"/>
      <c r="DR46" s="80"/>
      <c r="DS46" s="80"/>
      <c r="DT46" s="80"/>
      <c r="DV46" s="82"/>
      <c r="DW46" s="80"/>
      <c r="DX46" s="80"/>
      <c r="DY46" s="80"/>
      <c r="DZ46" s="80"/>
      <c r="EA46" s="80"/>
      <c r="EC46" s="82"/>
      <c r="ED46" s="80"/>
      <c r="EE46" s="80"/>
      <c r="EF46" s="80"/>
      <c r="EG46" s="80"/>
      <c r="EH46" s="80"/>
      <c r="EJ46" s="82"/>
      <c r="EK46" s="80"/>
      <c r="EL46" s="80"/>
      <c r="EM46" s="80"/>
      <c r="EN46" s="80"/>
      <c r="EO46" s="80"/>
      <c r="EQ46" s="82"/>
      <c r="ER46" s="80"/>
      <c r="ES46" s="80"/>
      <c r="ET46" s="80"/>
      <c r="EU46" s="80"/>
      <c r="EV46" s="80"/>
      <c r="EX46" s="82"/>
      <c r="EY46" s="80"/>
      <c r="EZ46" s="80"/>
      <c r="FA46" s="80"/>
      <c r="FB46" s="80"/>
      <c r="FC46" s="80"/>
      <c r="FE46" s="82"/>
      <c r="FF46" s="80"/>
      <c r="FG46" s="80"/>
      <c r="FH46" s="80"/>
      <c r="FI46" s="80"/>
      <c r="FJ46" s="80"/>
      <c r="FL46" s="82"/>
      <c r="FM46" s="80"/>
      <c r="FN46" s="80"/>
      <c r="FO46" s="80"/>
      <c r="FP46" s="80"/>
      <c r="FQ46" s="80"/>
      <c r="FS46" s="82"/>
      <c r="FT46" s="80"/>
      <c r="FU46" s="80"/>
      <c r="FV46" s="80"/>
      <c r="FW46" s="80"/>
      <c r="FX46" s="80"/>
      <c r="FZ46" s="82"/>
      <c r="GA46" s="80"/>
      <c r="GB46" s="80"/>
      <c r="GC46" s="80"/>
      <c r="GD46" s="80"/>
      <c r="GE46" s="80"/>
      <c r="GG46" s="82"/>
      <c r="GH46" s="80"/>
      <c r="GI46" s="80"/>
      <c r="GJ46" s="80"/>
      <c r="GK46" s="80"/>
      <c r="GL46" s="80"/>
      <c r="GN46" s="82"/>
      <c r="GO46" s="80"/>
      <c r="GP46" s="80"/>
      <c r="GQ46" s="80"/>
      <c r="GR46" s="80"/>
      <c r="GS46" s="80"/>
      <c r="GU46" s="82"/>
      <c r="GV46" s="80"/>
      <c r="GW46" s="80"/>
      <c r="GX46" s="80"/>
      <c r="GY46" s="80"/>
      <c r="GZ46" s="80"/>
    </row>
    <row r="47" spans="1:208" ht="14.25" thickBot="1" x14ac:dyDescent="0.45">
      <c r="A47" s="419"/>
      <c r="B47" s="420" t="s">
        <v>13</v>
      </c>
      <c r="C47" s="421">
        <f>AU47</f>
        <v>-36</v>
      </c>
      <c r="D47" s="421">
        <f>BB47</f>
        <v>-1610</v>
      </c>
      <c r="E47" s="421">
        <f>BI47</f>
        <v>-1693</v>
      </c>
      <c r="F47" s="421">
        <f>BP47</f>
        <v>-1428</v>
      </c>
      <c r="G47" s="421">
        <f>BW47</f>
        <v>-1372</v>
      </c>
      <c r="H47" s="421">
        <f>CD47</f>
        <v>-1771</v>
      </c>
      <c r="I47" s="421">
        <f>CK47</f>
        <v>-2587</v>
      </c>
      <c r="J47" s="421">
        <f>CR47</f>
        <v>-2277</v>
      </c>
      <c r="K47" s="421">
        <f>CY47</f>
        <v>-2227</v>
      </c>
      <c r="L47" s="421">
        <f>DF47</f>
        <v>-2183</v>
      </c>
      <c r="M47" s="421">
        <f>DM47</f>
        <v>-2892</v>
      </c>
      <c r="N47" s="421">
        <f>DT47</f>
        <v>-1798</v>
      </c>
      <c r="O47" s="421">
        <f>EA47</f>
        <v>-1495</v>
      </c>
      <c r="P47" s="421">
        <f>EH47</f>
        <v>-1684</v>
      </c>
      <c r="Q47" s="421">
        <f>EO47</f>
        <v>-2102</v>
      </c>
      <c r="R47" s="421">
        <f>EV47</f>
        <v>-649</v>
      </c>
      <c r="S47" s="421">
        <f>FC47</f>
        <v>-1877</v>
      </c>
      <c r="T47" s="421">
        <f>FJ47</f>
        <v>-2131</v>
      </c>
      <c r="U47" s="421">
        <f>FQ47</f>
        <v>-2287</v>
      </c>
      <c r="V47" s="421">
        <f>FX47</f>
        <v>-2605</v>
      </c>
      <c r="W47" s="421">
        <f>GE47</f>
        <v>-2851</v>
      </c>
      <c r="X47" s="421">
        <f>GL47</f>
        <v>-2699.2170678124999</v>
      </c>
      <c r="Y47" s="421">
        <f>GS47</f>
        <v>-2736.6442563482342</v>
      </c>
      <c r="Z47" s="421">
        <f>GZ47</f>
        <v>-2851.4157868192756</v>
      </c>
      <c r="AA47" s="422"/>
      <c r="AB47" s="422"/>
      <c r="AC47" s="422"/>
      <c r="AD47" s="422"/>
      <c r="AE47" s="422"/>
      <c r="AF47" s="422"/>
      <c r="AG47" s="422"/>
      <c r="AH47" s="422"/>
      <c r="AI47" s="422"/>
      <c r="AJ47" s="422"/>
      <c r="AK47" s="422"/>
      <c r="AL47" s="422"/>
      <c r="AM47" s="422"/>
      <c r="AN47" s="422"/>
      <c r="AP47" s="420" t="s">
        <v>13</v>
      </c>
      <c r="AQ47" s="421">
        <f t="shared" ref="AQ47:BN47" si="134">SUM(AQ37:AQ46)</f>
        <v>43</v>
      </c>
      <c r="AR47" s="421">
        <f t="shared" si="134"/>
        <v>680</v>
      </c>
      <c r="AS47" s="421">
        <f t="shared" si="134"/>
        <v>-416</v>
      </c>
      <c r="AT47" s="421">
        <f t="shared" si="134"/>
        <v>-343</v>
      </c>
      <c r="AU47" s="421">
        <f t="shared" si="134"/>
        <v>-36</v>
      </c>
      <c r="AW47" s="420" t="s">
        <v>13</v>
      </c>
      <c r="AX47" s="421">
        <f t="shared" si="134"/>
        <v>-420</v>
      </c>
      <c r="AY47" s="421">
        <f t="shared" si="134"/>
        <v>-402</v>
      </c>
      <c r="AZ47" s="421">
        <f t="shared" si="134"/>
        <v>-212</v>
      </c>
      <c r="BA47" s="421">
        <f t="shared" si="134"/>
        <v>-576</v>
      </c>
      <c r="BB47" s="421">
        <f t="shared" si="134"/>
        <v>-1610</v>
      </c>
      <c r="BD47" s="420" t="s">
        <v>13</v>
      </c>
      <c r="BE47" s="421">
        <f t="shared" si="134"/>
        <v>-402</v>
      </c>
      <c r="BF47" s="421">
        <f t="shared" si="134"/>
        <v>-365</v>
      </c>
      <c r="BG47" s="421">
        <f t="shared" si="134"/>
        <v>-546</v>
      </c>
      <c r="BH47" s="421">
        <f t="shared" si="134"/>
        <v>-380</v>
      </c>
      <c r="BI47" s="421">
        <f t="shared" si="134"/>
        <v>-1693</v>
      </c>
      <c r="BK47" s="420" t="s">
        <v>13</v>
      </c>
      <c r="BL47" s="421">
        <f t="shared" si="134"/>
        <v>-189</v>
      </c>
      <c r="BM47" s="421">
        <f t="shared" si="134"/>
        <v>-469</v>
      </c>
      <c r="BN47" s="421">
        <f t="shared" si="134"/>
        <v>-368</v>
      </c>
      <c r="BO47" s="421">
        <f t="shared" ref="BO47:DJ47" si="135">SUM(BO37:BO46)</f>
        <v>-402</v>
      </c>
      <c r="BP47" s="421">
        <f>SUM(BP37:BP46)</f>
        <v>-1428</v>
      </c>
      <c r="BR47" s="420" t="s">
        <v>13</v>
      </c>
      <c r="BS47" s="421">
        <f t="shared" si="135"/>
        <v>-272</v>
      </c>
      <c r="BT47" s="421">
        <f t="shared" si="135"/>
        <v>-336</v>
      </c>
      <c r="BU47" s="421">
        <f t="shared" si="135"/>
        <v>-372</v>
      </c>
      <c r="BV47" s="421">
        <f t="shared" si="135"/>
        <v>-392</v>
      </c>
      <c r="BW47" s="421">
        <f t="shared" si="135"/>
        <v>-1372</v>
      </c>
      <c r="BY47" s="420" t="s">
        <v>13</v>
      </c>
      <c r="BZ47" s="421">
        <f t="shared" si="135"/>
        <v>-310</v>
      </c>
      <c r="CA47" s="421">
        <f t="shared" si="135"/>
        <v>-309</v>
      </c>
      <c r="CB47" s="421">
        <f t="shared" si="135"/>
        <v>-443</v>
      </c>
      <c r="CC47" s="421">
        <f t="shared" si="135"/>
        <v>-709</v>
      </c>
      <c r="CD47" s="421">
        <f t="shared" si="135"/>
        <v>-1771</v>
      </c>
      <c r="CF47" s="420" t="s">
        <v>13</v>
      </c>
      <c r="CG47" s="421">
        <f t="shared" si="135"/>
        <v>-365</v>
      </c>
      <c r="CH47" s="421">
        <f t="shared" si="135"/>
        <v>-564</v>
      </c>
      <c r="CI47" s="421">
        <f t="shared" si="135"/>
        <v>-472</v>
      </c>
      <c r="CJ47" s="421">
        <f t="shared" si="135"/>
        <v>-1186</v>
      </c>
      <c r="CK47" s="421">
        <f t="shared" si="135"/>
        <v>-2587</v>
      </c>
      <c r="CM47" s="420" t="s">
        <v>13</v>
      </c>
      <c r="CN47" s="421">
        <f t="shared" si="135"/>
        <v>-77</v>
      </c>
      <c r="CO47" s="421">
        <f t="shared" si="135"/>
        <v>-652</v>
      </c>
      <c r="CP47" s="421">
        <f t="shared" si="135"/>
        <v>-596</v>
      </c>
      <c r="CQ47" s="421">
        <f t="shared" si="135"/>
        <v>-952</v>
      </c>
      <c r="CR47" s="421">
        <f t="shared" si="135"/>
        <v>-2277</v>
      </c>
      <c r="CT47" s="420" t="s">
        <v>13</v>
      </c>
      <c r="CU47" s="421">
        <f t="shared" si="135"/>
        <v>-265</v>
      </c>
      <c r="CV47" s="421">
        <f t="shared" si="135"/>
        <v>-656</v>
      </c>
      <c r="CW47" s="421">
        <f t="shared" si="135"/>
        <v>-322</v>
      </c>
      <c r="CX47" s="421">
        <f t="shared" si="135"/>
        <v>-984</v>
      </c>
      <c r="CY47" s="421">
        <f t="shared" si="135"/>
        <v>-2227</v>
      </c>
      <c r="DA47" s="420" t="s">
        <v>13</v>
      </c>
      <c r="DB47" s="421">
        <f t="shared" si="135"/>
        <v>-227</v>
      </c>
      <c r="DC47" s="421">
        <f t="shared" si="135"/>
        <v>-423</v>
      </c>
      <c r="DD47" s="421">
        <f t="shared" si="135"/>
        <v>-970</v>
      </c>
      <c r="DE47" s="421">
        <f t="shared" si="135"/>
        <v>-563</v>
      </c>
      <c r="DF47" s="421">
        <f t="shared" si="135"/>
        <v>-2183</v>
      </c>
      <c r="DH47" s="420" t="s">
        <v>13</v>
      </c>
      <c r="DI47" s="421">
        <f t="shared" si="135"/>
        <v>-500</v>
      </c>
      <c r="DJ47" s="421">
        <f t="shared" si="135"/>
        <v>-1074</v>
      </c>
      <c r="DK47" s="421">
        <f t="shared" ref="DK47:EV47" si="136">SUM(DK37:DK46)</f>
        <v>-377</v>
      </c>
      <c r="DL47" s="421">
        <f t="shared" si="136"/>
        <v>-941</v>
      </c>
      <c r="DM47" s="421">
        <f t="shared" si="136"/>
        <v>-2892</v>
      </c>
      <c r="DO47" s="420" t="s">
        <v>13</v>
      </c>
      <c r="DP47" s="421">
        <f t="shared" si="136"/>
        <v>41</v>
      </c>
      <c r="DQ47" s="421">
        <f t="shared" si="136"/>
        <v>-522</v>
      </c>
      <c r="DR47" s="421">
        <f t="shared" si="136"/>
        <v>-412</v>
      </c>
      <c r="DS47" s="421">
        <f t="shared" si="136"/>
        <v>-905</v>
      </c>
      <c r="DT47" s="421">
        <f t="shared" si="136"/>
        <v>-1798</v>
      </c>
      <c r="DV47" s="420" t="s">
        <v>13</v>
      </c>
      <c r="DW47" s="421">
        <f t="shared" si="136"/>
        <v>-286</v>
      </c>
      <c r="DX47" s="421">
        <f t="shared" si="136"/>
        <v>-681</v>
      </c>
      <c r="DY47" s="421">
        <f t="shared" si="136"/>
        <v>-112</v>
      </c>
      <c r="DZ47" s="421">
        <f t="shared" si="136"/>
        <v>-416</v>
      </c>
      <c r="EA47" s="421">
        <f t="shared" si="136"/>
        <v>-1495</v>
      </c>
      <c r="EC47" s="420" t="s">
        <v>13</v>
      </c>
      <c r="ED47" s="421">
        <f t="shared" si="136"/>
        <v>-316</v>
      </c>
      <c r="EE47" s="421">
        <f t="shared" si="136"/>
        <v>-439</v>
      </c>
      <c r="EF47" s="421">
        <f t="shared" si="136"/>
        <v>-832</v>
      </c>
      <c r="EG47" s="421">
        <f t="shared" si="136"/>
        <v>-97</v>
      </c>
      <c r="EH47" s="421">
        <f t="shared" si="136"/>
        <v>-1684</v>
      </c>
      <c r="EJ47" s="420" t="s">
        <v>13</v>
      </c>
      <c r="EK47" s="421">
        <f t="shared" si="136"/>
        <v>-870</v>
      </c>
      <c r="EL47" s="421">
        <f>SUM(EL37:EL46)</f>
        <v>-386</v>
      </c>
      <c r="EM47" s="421">
        <f>SUM(EM37:EM46)</f>
        <v>-473</v>
      </c>
      <c r="EN47" s="421">
        <f>SUM(EN37:EN46)</f>
        <v>-373</v>
      </c>
      <c r="EO47" s="421">
        <f>SUM(EO37:EO46)</f>
        <v>-2102</v>
      </c>
      <c r="EQ47" s="420" t="s">
        <v>13</v>
      </c>
      <c r="ER47" s="421">
        <f>SUM(ER37:ER46)</f>
        <v>144</v>
      </c>
      <c r="ES47" s="421">
        <f t="shared" si="136"/>
        <v>-147</v>
      </c>
      <c r="ET47" s="421">
        <f t="shared" si="136"/>
        <v>-190</v>
      </c>
      <c r="EU47" s="421">
        <f t="shared" si="136"/>
        <v>-456</v>
      </c>
      <c r="EV47" s="421">
        <f t="shared" si="136"/>
        <v>-649</v>
      </c>
      <c r="EX47" s="420" t="s">
        <v>13</v>
      </c>
      <c r="EY47" s="421">
        <f t="shared" ref="EY47:GL47" si="137">SUM(EY37:EY46)</f>
        <v>-297</v>
      </c>
      <c r="EZ47" s="421">
        <f t="shared" si="137"/>
        <v>-230</v>
      </c>
      <c r="FA47" s="421">
        <f t="shared" si="137"/>
        <v>-936</v>
      </c>
      <c r="FB47" s="421">
        <f t="shared" si="137"/>
        <v>-414</v>
      </c>
      <c r="FC47" s="421">
        <f t="shared" si="137"/>
        <v>-1877</v>
      </c>
      <c r="FE47" s="420" t="s">
        <v>13</v>
      </c>
      <c r="FF47" s="421">
        <f t="shared" si="137"/>
        <v>-364</v>
      </c>
      <c r="FG47" s="421">
        <f t="shared" si="137"/>
        <v>-655</v>
      </c>
      <c r="FH47" s="421">
        <f t="shared" si="137"/>
        <v>-625</v>
      </c>
      <c r="FI47" s="421">
        <f t="shared" si="137"/>
        <v>-487</v>
      </c>
      <c r="FJ47" s="421">
        <f t="shared" si="137"/>
        <v>-2131</v>
      </c>
      <c r="FL47" s="420" t="s">
        <v>13</v>
      </c>
      <c r="FM47" s="421">
        <f t="shared" si="137"/>
        <v>-480</v>
      </c>
      <c r="FN47" s="421">
        <f t="shared" si="137"/>
        <v>-500</v>
      </c>
      <c r="FO47" s="421">
        <f t="shared" si="137"/>
        <v>-575</v>
      </c>
      <c r="FP47" s="421">
        <f t="shared" si="137"/>
        <v>-732</v>
      </c>
      <c r="FQ47" s="421">
        <f t="shared" si="137"/>
        <v>-2287</v>
      </c>
      <c r="FS47" s="420" t="s">
        <v>13</v>
      </c>
      <c r="FT47" s="421">
        <f t="shared" si="137"/>
        <v>-486</v>
      </c>
      <c r="FU47" s="421">
        <f t="shared" si="137"/>
        <v>-562</v>
      </c>
      <c r="FV47" s="421">
        <f t="shared" si="137"/>
        <v>-674</v>
      </c>
      <c r="FW47" s="421">
        <f t="shared" si="137"/>
        <v>-883</v>
      </c>
      <c r="FX47" s="421">
        <f t="shared" si="137"/>
        <v>-2605</v>
      </c>
      <c r="FZ47" s="420" t="s">
        <v>13</v>
      </c>
      <c r="GA47" s="421">
        <f t="shared" si="137"/>
        <v>-647</v>
      </c>
      <c r="GB47" s="421">
        <f t="shared" si="137"/>
        <v>-807</v>
      </c>
      <c r="GC47" s="421">
        <f t="shared" si="137"/>
        <v>-691</v>
      </c>
      <c r="GD47" s="421">
        <f t="shared" si="137"/>
        <v>-706</v>
      </c>
      <c r="GE47" s="421">
        <f t="shared" si="137"/>
        <v>-2851</v>
      </c>
      <c r="GG47" s="420" t="s">
        <v>13</v>
      </c>
      <c r="GH47" s="421">
        <f t="shared" si="137"/>
        <v>-668.17951234374993</v>
      </c>
      <c r="GI47" s="421">
        <f t="shared" si="137"/>
        <v>-670.88719656249998</v>
      </c>
      <c r="GJ47" s="421">
        <f t="shared" si="137"/>
        <v>-676.00306562499998</v>
      </c>
      <c r="GK47" s="421">
        <f t="shared" si="137"/>
        <v>-684.14729328124997</v>
      </c>
      <c r="GL47" s="421">
        <f t="shared" si="137"/>
        <v>-2699.2170678124999</v>
      </c>
      <c r="GN47" s="420" t="s">
        <v>13</v>
      </c>
      <c r="GO47" s="421">
        <f t="shared" ref="GO47:GS47" si="138">SUM(GO37:GO46)</f>
        <v>-673.14403896730278</v>
      </c>
      <c r="GP47" s="421">
        <f t="shared" si="138"/>
        <v>-680.49921775430903</v>
      </c>
      <c r="GQ47" s="421">
        <f t="shared" si="138"/>
        <v>-687.81250056879333</v>
      </c>
      <c r="GR47" s="421">
        <f t="shared" si="138"/>
        <v>-695.1884990578294</v>
      </c>
      <c r="GS47" s="421">
        <f t="shared" si="138"/>
        <v>-2736.6442563482342</v>
      </c>
      <c r="GU47" s="420" t="s">
        <v>13</v>
      </c>
      <c r="GV47" s="421">
        <f t="shared" ref="GV47:GZ47" si="139">SUM(GV37:GV46)</f>
        <v>-702.10493518444252</v>
      </c>
      <c r="GW47" s="421">
        <f t="shared" si="139"/>
        <v>-709.25734521485992</v>
      </c>
      <c r="GX47" s="421">
        <f t="shared" si="139"/>
        <v>-716.48641738639105</v>
      </c>
      <c r="GY47" s="421">
        <f t="shared" si="139"/>
        <v>-723.56708903358185</v>
      </c>
      <c r="GZ47" s="421">
        <f t="shared" si="139"/>
        <v>-2851.4157868192756</v>
      </c>
    </row>
    <row r="48" spans="1:208" ht="14.25" thickBot="1" x14ac:dyDescent="0.45">
      <c r="B48" s="82"/>
      <c r="C48" s="80"/>
      <c r="D48" s="80"/>
      <c r="E48" s="80"/>
      <c r="F48" s="80"/>
      <c r="G48" s="80"/>
      <c r="H48" s="80"/>
      <c r="I48" s="80"/>
      <c r="J48" s="80"/>
      <c r="K48" s="80"/>
      <c r="L48" s="80"/>
      <c r="M48" s="80"/>
      <c r="N48" s="80"/>
      <c r="O48" s="80"/>
      <c r="P48" s="80"/>
      <c r="Q48" s="80"/>
      <c r="R48" s="80"/>
      <c r="S48" s="80"/>
      <c r="T48" s="80"/>
      <c r="U48" s="80"/>
      <c r="V48" s="80"/>
      <c r="W48" s="80"/>
      <c r="X48" s="80"/>
      <c r="Y48" s="80"/>
      <c r="Z48" s="80"/>
      <c r="AA48" s="78"/>
      <c r="AB48" s="78"/>
      <c r="AC48" s="78"/>
      <c r="AD48" s="78"/>
      <c r="AE48" s="78"/>
      <c r="AF48" s="78"/>
      <c r="AG48" s="78"/>
      <c r="AH48" s="78"/>
      <c r="AI48" s="78"/>
      <c r="AJ48" s="78"/>
      <c r="AK48" s="78"/>
      <c r="AL48" s="78"/>
      <c r="AM48" s="78"/>
      <c r="AN48" s="78"/>
      <c r="AP48" s="82"/>
      <c r="AQ48" s="78"/>
      <c r="AR48" s="78"/>
      <c r="AS48" s="78"/>
      <c r="AT48" s="78"/>
      <c r="AU48" s="78"/>
      <c r="AW48" s="82"/>
      <c r="AX48" s="78"/>
      <c r="AY48" s="78"/>
      <c r="AZ48" s="78"/>
      <c r="BA48" s="78"/>
      <c r="BB48" s="78"/>
      <c r="BD48" s="82"/>
      <c r="BE48" s="78"/>
      <c r="BF48" s="78"/>
      <c r="BG48" s="78"/>
      <c r="BH48" s="78"/>
      <c r="BI48" s="78"/>
      <c r="BK48" s="82"/>
      <c r="BL48" s="78"/>
      <c r="BM48" s="78"/>
      <c r="BN48" s="78"/>
      <c r="BO48" s="78"/>
      <c r="BP48" s="78"/>
      <c r="BR48" s="82"/>
      <c r="BS48" s="78"/>
      <c r="BT48" s="78"/>
      <c r="BU48" s="78"/>
      <c r="BV48" s="78"/>
      <c r="BW48" s="78"/>
      <c r="BY48" s="82"/>
      <c r="BZ48" s="78"/>
      <c r="CA48" s="78"/>
      <c r="CB48" s="78"/>
      <c r="CC48" s="78"/>
      <c r="CD48" s="78"/>
      <c r="CF48" s="82"/>
      <c r="CG48" s="78"/>
      <c r="CH48" s="78"/>
      <c r="CI48" s="78"/>
      <c r="CJ48" s="78"/>
      <c r="CK48" s="78"/>
      <c r="CM48" s="82"/>
      <c r="CN48" s="78"/>
      <c r="CO48" s="78"/>
      <c r="CP48" s="78"/>
      <c r="CQ48" s="78"/>
      <c r="CR48" s="78"/>
      <c r="CT48" s="82"/>
      <c r="CU48" s="78"/>
      <c r="CV48" s="78"/>
      <c r="CW48" s="78"/>
      <c r="CX48" s="78"/>
      <c r="CY48" s="78"/>
      <c r="DA48" s="82"/>
      <c r="DB48" s="78"/>
      <c r="DC48" s="78"/>
      <c r="DD48" s="78"/>
      <c r="DE48" s="78"/>
      <c r="DF48" s="78"/>
      <c r="DH48" s="82"/>
      <c r="DI48" s="78"/>
      <c r="DJ48" s="78"/>
      <c r="DK48" s="78"/>
      <c r="DL48" s="78"/>
      <c r="DM48" s="78"/>
      <c r="DO48" s="82"/>
      <c r="DP48" s="78"/>
      <c r="DQ48" s="78"/>
      <c r="DR48" s="78"/>
      <c r="DS48" s="78"/>
      <c r="DT48" s="78"/>
      <c r="DV48" s="82"/>
      <c r="DW48" s="78"/>
      <c r="DX48" s="78"/>
      <c r="DY48" s="78"/>
      <c r="DZ48" s="78"/>
      <c r="EA48" s="78"/>
      <c r="EC48" s="82"/>
      <c r="ED48" s="78"/>
      <c r="EE48" s="78"/>
      <c r="EF48" s="78"/>
      <c r="EG48" s="78"/>
      <c r="EH48" s="78"/>
      <c r="EJ48" s="82"/>
      <c r="EK48" s="78"/>
      <c r="EL48" s="78"/>
      <c r="EM48" s="78"/>
      <c r="EN48" s="78"/>
      <c r="EO48" s="78"/>
      <c r="EQ48" s="82"/>
      <c r="ER48" s="78"/>
      <c r="ES48" s="78"/>
      <c r="ET48" s="78"/>
      <c r="EU48" s="78"/>
      <c r="EV48" s="78"/>
      <c r="EX48" s="82"/>
      <c r="EY48" s="78"/>
      <c r="EZ48" s="78"/>
      <c r="FA48" s="78"/>
      <c r="FB48" s="78"/>
      <c r="FC48" s="78"/>
      <c r="FE48" s="82"/>
      <c r="FF48" s="78"/>
      <c r="FG48" s="78"/>
      <c r="FH48" s="78"/>
      <c r="FI48" s="78"/>
      <c r="FJ48" s="78"/>
      <c r="FL48" s="82"/>
      <c r="FM48" s="78"/>
      <c r="FN48" s="78"/>
      <c r="FO48" s="78"/>
      <c r="FP48" s="78"/>
      <c r="FQ48" s="78"/>
      <c r="FS48" s="82"/>
      <c r="FT48" s="78"/>
      <c r="FU48" s="80"/>
      <c r="FV48" s="80"/>
      <c r="FW48" s="80"/>
      <c r="FX48" s="80"/>
      <c r="FZ48" s="82"/>
      <c r="GA48" s="80"/>
      <c r="GB48" s="80"/>
      <c r="GC48" s="80"/>
      <c r="GD48" s="80"/>
      <c r="GE48" s="80"/>
      <c r="GG48" s="82"/>
      <c r="GH48" s="80"/>
      <c r="GI48" s="80"/>
      <c r="GJ48" s="80"/>
      <c r="GK48" s="80"/>
      <c r="GL48" s="80"/>
      <c r="GN48" s="82"/>
      <c r="GO48" s="80"/>
      <c r="GP48" s="80"/>
      <c r="GQ48" s="80"/>
      <c r="GR48" s="80"/>
      <c r="GS48" s="80"/>
      <c r="GU48" s="82"/>
      <c r="GV48" s="80"/>
      <c r="GW48" s="80"/>
      <c r="GX48" s="80"/>
      <c r="GY48" s="80"/>
      <c r="GZ48" s="80"/>
    </row>
    <row r="49" spans="1:208" ht="14.25" thickBot="1" x14ac:dyDescent="0.45">
      <c r="A49" s="414"/>
      <c r="B49" s="415" t="s">
        <v>83</v>
      </c>
      <c r="C49" s="425"/>
      <c r="D49" s="425"/>
      <c r="E49" s="425"/>
      <c r="F49" s="425"/>
      <c r="G49" s="425"/>
      <c r="H49" s="425"/>
      <c r="I49" s="425"/>
      <c r="J49" s="425"/>
      <c r="K49" s="425"/>
      <c r="L49" s="425"/>
      <c r="M49" s="425"/>
      <c r="N49" s="425"/>
      <c r="O49" s="425"/>
      <c r="P49" s="425"/>
      <c r="Q49" s="425"/>
      <c r="R49" s="425"/>
      <c r="S49" s="425"/>
      <c r="T49" s="425"/>
      <c r="U49" s="425"/>
      <c r="V49" s="425"/>
      <c r="W49" s="425"/>
      <c r="X49" s="425"/>
      <c r="Y49" s="425"/>
      <c r="Z49" s="425"/>
      <c r="AA49" s="426"/>
      <c r="AB49" s="426"/>
      <c r="AC49" s="426"/>
      <c r="AD49" s="426"/>
      <c r="AE49" s="426"/>
      <c r="AF49" s="426"/>
      <c r="AG49" s="426"/>
      <c r="AH49" s="426"/>
      <c r="AI49" s="426"/>
      <c r="AJ49" s="426"/>
      <c r="AK49" s="426"/>
      <c r="AL49" s="426"/>
      <c r="AM49" s="426"/>
      <c r="AN49" s="426"/>
      <c r="AP49" s="415" t="s">
        <v>83</v>
      </c>
      <c r="AQ49" s="426"/>
      <c r="AR49" s="426"/>
      <c r="AS49" s="426"/>
      <c r="AT49" s="426"/>
      <c r="AU49" s="426"/>
      <c r="AW49" s="415" t="s">
        <v>83</v>
      </c>
      <c r="AX49" s="426"/>
      <c r="AY49" s="426"/>
      <c r="AZ49" s="426"/>
      <c r="BA49" s="426"/>
      <c r="BB49" s="426"/>
      <c r="BD49" s="415" t="s">
        <v>83</v>
      </c>
      <c r="BE49" s="426"/>
      <c r="BF49" s="426"/>
      <c r="BG49" s="426"/>
      <c r="BH49" s="426"/>
      <c r="BI49" s="426"/>
      <c r="BK49" s="415" t="s">
        <v>83</v>
      </c>
      <c r="BL49" s="426"/>
      <c r="BM49" s="426"/>
      <c r="BN49" s="426"/>
      <c r="BO49" s="426"/>
      <c r="BP49" s="426"/>
      <c r="BR49" s="415" t="s">
        <v>83</v>
      </c>
      <c r="BS49" s="426"/>
      <c r="BT49" s="426"/>
      <c r="BU49" s="426"/>
      <c r="BV49" s="426"/>
      <c r="BW49" s="426"/>
      <c r="BY49" s="415" t="s">
        <v>83</v>
      </c>
      <c r="BZ49" s="426"/>
      <c r="CA49" s="426"/>
      <c r="CB49" s="426"/>
      <c r="CC49" s="426"/>
      <c r="CD49" s="426"/>
      <c r="CF49" s="415" t="s">
        <v>83</v>
      </c>
      <c r="CG49" s="426"/>
      <c r="CH49" s="426"/>
      <c r="CI49" s="426"/>
      <c r="CJ49" s="426"/>
      <c r="CK49" s="426"/>
      <c r="CM49" s="415" t="s">
        <v>83</v>
      </c>
      <c r="CN49" s="426"/>
      <c r="CO49" s="426"/>
      <c r="CP49" s="426"/>
      <c r="CQ49" s="426"/>
      <c r="CR49" s="426"/>
      <c r="CT49" s="415" t="s">
        <v>83</v>
      </c>
      <c r="CU49" s="426"/>
      <c r="CV49" s="426"/>
      <c r="CW49" s="426"/>
      <c r="CX49" s="426"/>
      <c r="CY49" s="426"/>
      <c r="DA49" s="415" t="s">
        <v>83</v>
      </c>
      <c r="DB49" s="426"/>
      <c r="DC49" s="426"/>
      <c r="DD49" s="426"/>
      <c r="DE49" s="426"/>
      <c r="DF49" s="426"/>
      <c r="DH49" s="415" t="s">
        <v>83</v>
      </c>
      <c r="DI49" s="426"/>
      <c r="DJ49" s="426"/>
      <c r="DK49" s="426"/>
      <c r="DL49" s="426"/>
      <c r="DM49" s="426"/>
      <c r="DO49" s="415" t="s">
        <v>83</v>
      </c>
      <c r="DP49" s="426"/>
      <c r="DQ49" s="426"/>
      <c r="DR49" s="426"/>
      <c r="DS49" s="426"/>
      <c r="DT49" s="426"/>
      <c r="DV49" s="415" t="s">
        <v>83</v>
      </c>
      <c r="DW49" s="426"/>
      <c r="DX49" s="426"/>
      <c r="DY49" s="426"/>
      <c r="DZ49" s="426"/>
      <c r="EA49" s="426"/>
      <c r="EC49" s="415" t="s">
        <v>83</v>
      </c>
      <c r="ED49" s="426"/>
      <c r="EE49" s="426"/>
      <c r="EF49" s="426"/>
      <c r="EG49" s="426"/>
      <c r="EH49" s="426"/>
      <c r="EJ49" s="415" t="s">
        <v>83</v>
      </c>
      <c r="EK49" s="426"/>
      <c r="EL49" s="426"/>
      <c r="EM49" s="426"/>
      <c r="EN49" s="426"/>
      <c r="EO49" s="426"/>
      <c r="EQ49" s="415" t="s">
        <v>83</v>
      </c>
      <c r="ER49" s="426"/>
      <c r="ES49" s="426"/>
      <c r="ET49" s="426"/>
      <c r="EU49" s="426"/>
      <c r="EV49" s="426"/>
      <c r="EX49" s="415" t="s">
        <v>83</v>
      </c>
      <c r="EY49" s="426"/>
      <c r="EZ49" s="426"/>
      <c r="FA49" s="426"/>
      <c r="FB49" s="426"/>
      <c r="FC49" s="426"/>
      <c r="FE49" s="415" t="s">
        <v>83</v>
      </c>
      <c r="FF49" s="426"/>
      <c r="FG49" s="426"/>
      <c r="FH49" s="426"/>
      <c r="FI49" s="426"/>
      <c r="FJ49" s="426"/>
      <c r="FL49" s="415" t="s">
        <v>83</v>
      </c>
      <c r="FM49" s="426"/>
      <c r="FN49" s="426"/>
      <c r="FO49" s="426"/>
      <c r="FP49" s="426"/>
      <c r="FQ49" s="426"/>
      <c r="FS49" s="415" t="s">
        <v>83</v>
      </c>
      <c r="FT49" s="426"/>
      <c r="FU49" s="425"/>
      <c r="FV49" s="425"/>
      <c r="FW49" s="425"/>
      <c r="FX49" s="425"/>
      <c r="FZ49" s="415" t="s">
        <v>83</v>
      </c>
      <c r="GA49" s="425"/>
      <c r="GB49" s="425"/>
      <c r="GC49" s="425"/>
      <c r="GD49" s="425"/>
      <c r="GE49" s="425"/>
      <c r="GG49" s="415" t="s">
        <v>83</v>
      </c>
      <c r="GH49" s="425"/>
      <c r="GI49" s="425"/>
      <c r="GJ49" s="425"/>
      <c r="GK49" s="425"/>
      <c r="GL49" s="425"/>
      <c r="GN49" s="415" t="s">
        <v>83</v>
      </c>
      <c r="GO49" s="425"/>
      <c r="GP49" s="425"/>
      <c r="GQ49" s="425"/>
      <c r="GR49" s="425"/>
      <c r="GS49" s="425"/>
      <c r="GU49" s="415" t="s">
        <v>83</v>
      </c>
      <c r="GV49" s="425"/>
      <c r="GW49" s="425"/>
      <c r="GX49" s="425"/>
      <c r="GY49" s="425"/>
      <c r="GZ49" s="425"/>
    </row>
    <row r="50" spans="1:208" x14ac:dyDescent="0.4">
      <c r="B50" s="345"/>
      <c r="C50" s="78"/>
      <c r="D50" s="78"/>
      <c r="E50" s="78"/>
      <c r="F50" s="78"/>
      <c r="G50" s="78"/>
      <c r="H50" s="78"/>
      <c r="I50" s="78"/>
      <c r="J50" s="78"/>
      <c r="K50" s="78"/>
      <c r="L50" s="78"/>
      <c r="M50" s="78"/>
      <c r="N50" s="78"/>
      <c r="O50" s="78"/>
      <c r="P50" s="78"/>
      <c r="Q50" s="78"/>
      <c r="R50" s="78"/>
      <c r="S50" s="78"/>
      <c r="T50" s="78"/>
      <c r="U50" s="78"/>
      <c r="V50" s="80"/>
      <c r="W50" s="80"/>
      <c r="X50" s="80"/>
      <c r="Y50" s="80"/>
      <c r="Z50" s="80"/>
      <c r="AA50" s="78"/>
      <c r="AB50" s="78"/>
      <c r="AC50" s="78"/>
      <c r="AD50" s="78"/>
      <c r="AE50" s="78"/>
      <c r="AF50" s="78"/>
      <c r="AG50" s="78"/>
      <c r="AH50" s="78"/>
      <c r="AI50" s="78"/>
      <c r="AJ50" s="78"/>
      <c r="AK50" s="78"/>
      <c r="AL50" s="78"/>
      <c r="AM50" s="78"/>
      <c r="AN50" s="78"/>
      <c r="AP50" s="345"/>
      <c r="AQ50" s="78"/>
      <c r="AR50" s="78"/>
      <c r="AS50" s="78"/>
      <c r="AT50" s="78"/>
      <c r="AU50" s="78"/>
      <c r="AW50" s="345"/>
      <c r="AX50" s="78"/>
      <c r="AY50" s="78"/>
      <c r="AZ50" s="78"/>
      <c r="BA50" s="78"/>
      <c r="BB50" s="78"/>
      <c r="BD50" s="345"/>
      <c r="BE50" s="78"/>
      <c r="BF50" s="78"/>
      <c r="BG50" s="78"/>
      <c r="BH50" s="78"/>
      <c r="BI50" s="78"/>
      <c r="BK50" s="345"/>
      <c r="BL50" s="78"/>
      <c r="BM50" s="78"/>
      <c r="BN50" s="78"/>
      <c r="BO50" s="78"/>
      <c r="BP50" s="78"/>
      <c r="BR50" s="345"/>
      <c r="BS50" s="78"/>
      <c r="BT50" s="78"/>
      <c r="BU50" s="78"/>
      <c r="BV50" s="78"/>
      <c r="BW50" s="78"/>
      <c r="BY50" s="345"/>
      <c r="BZ50" s="78"/>
      <c r="CA50" s="78"/>
      <c r="CB50" s="78"/>
      <c r="CC50" s="78"/>
      <c r="CD50" s="78"/>
      <c r="CF50" s="345"/>
      <c r="CG50" s="78"/>
      <c r="CH50" s="78"/>
      <c r="CI50" s="78"/>
      <c r="CJ50" s="78"/>
      <c r="CK50" s="78"/>
      <c r="CM50" s="345"/>
      <c r="CN50" s="78"/>
      <c r="CO50" s="78"/>
      <c r="CP50" s="78"/>
      <c r="CQ50" s="78"/>
      <c r="CR50" s="78"/>
      <c r="CT50" s="345"/>
      <c r="CU50" s="78"/>
      <c r="CV50" s="78"/>
      <c r="CW50" s="78"/>
      <c r="CX50" s="78"/>
      <c r="CY50" s="78"/>
      <c r="DA50" s="345"/>
      <c r="DB50" s="78"/>
      <c r="DC50" s="78"/>
      <c r="DD50" s="78"/>
      <c r="DE50" s="78"/>
      <c r="DF50" s="78"/>
      <c r="DH50" s="345"/>
      <c r="DI50" s="78"/>
      <c r="DJ50" s="78"/>
      <c r="DK50" s="78"/>
      <c r="DL50" s="78"/>
      <c r="DM50" s="78"/>
      <c r="DO50" s="345"/>
      <c r="DP50" s="78"/>
      <c r="DQ50" s="78"/>
      <c r="DR50" s="78"/>
      <c r="DS50" s="78"/>
      <c r="DT50" s="78"/>
      <c r="DV50" s="345"/>
      <c r="DW50" s="78"/>
      <c r="DX50" s="78"/>
      <c r="DY50" s="78"/>
      <c r="DZ50" s="78"/>
      <c r="EA50" s="78"/>
      <c r="EC50" s="345"/>
      <c r="ED50" s="78"/>
      <c r="EE50" s="78"/>
      <c r="EF50" s="78"/>
      <c r="EG50" s="78"/>
      <c r="EH50" s="78"/>
      <c r="EJ50" s="345"/>
      <c r="EK50" s="78"/>
      <c r="EL50" s="78"/>
      <c r="EM50" s="78"/>
      <c r="EN50" s="78"/>
      <c r="EO50" s="78"/>
      <c r="EQ50" s="345"/>
      <c r="ER50" s="78"/>
      <c r="ES50" s="78"/>
      <c r="ET50" s="78"/>
      <c r="EU50" s="78"/>
      <c r="EV50" s="78"/>
      <c r="EX50" s="345"/>
      <c r="EY50" s="78"/>
      <c r="EZ50" s="78"/>
      <c r="FA50" s="78"/>
      <c r="FB50" s="78"/>
      <c r="FC50" s="78"/>
      <c r="FE50" s="345"/>
      <c r="FF50" s="78"/>
      <c r="FG50" s="78"/>
      <c r="FH50" s="78"/>
      <c r="FI50" s="78"/>
      <c r="FJ50" s="78"/>
      <c r="FL50" s="345"/>
      <c r="FM50" s="78"/>
      <c r="FN50" s="78"/>
      <c r="FO50" s="78"/>
      <c r="FP50" s="78"/>
      <c r="FQ50" s="78"/>
      <c r="FS50" s="345"/>
      <c r="FT50" s="78"/>
      <c r="FU50" s="80"/>
      <c r="FV50" s="80"/>
      <c r="FW50" s="80"/>
      <c r="FX50" s="80"/>
      <c r="FZ50" s="345"/>
      <c r="GA50" s="80"/>
      <c r="GB50" s="80"/>
      <c r="GC50" s="80"/>
      <c r="GD50" s="80"/>
      <c r="GE50" s="80"/>
      <c r="GG50" s="345"/>
      <c r="GH50" s="80"/>
      <c r="GI50" s="80"/>
      <c r="GJ50" s="80"/>
      <c r="GK50" s="80"/>
      <c r="GL50" s="80"/>
      <c r="GN50" s="345"/>
      <c r="GO50" s="80"/>
      <c r="GP50" s="80"/>
      <c r="GQ50" s="80"/>
      <c r="GR50" s="80"/>
      <c r="GS50" s="80"/>
      <c r="GU50" s="345"/>
      <c r="GV50" s="80"/>
      <c r="GW50" s="80"/>
      <c r="GX50" s="80"/>
      <c r="GY50" s="80"/>
      <c r="GZ50" s="80"/>
    </row>
    <row r="51" spans="1:208" x14ac:dyDescent="0.4">
      <c r="A51" s="417"/>
      <c r="B51" s="318" t="s">
        <v>184</v>
      </c>
      <c r="C51" s="319">
        <f t="shared" ref="C51:C57" si="140">AU51</f>
        <v>-99</v>
      </c>
      <c r="D51" s="319">
        <f t="shared" ref="D51:D57" si="141">BB51</f>
        <v>7</v>
      </c>
      <c r="E51" s="319">
        <f t="shared" ref="E51:E57" si="142">BI51</f>
        <v>-6</v>
      </c>
      <c r="F51" s="319">
        <f t="shared" ref="F51:F57" si="143">BP51</f>
        <v>0</v>
      </c>
      <c r="G51" s="319">
        <f t="shared" ref="G51:G57" si="144">BW51</f>
        <v>0</v>
      </c>
      <c r="H51" s="319">
        <f t="shared" ref="H51:H57" si="145">CD51</f>
        <v>0</v>
      </c>
      <c r="I51" s="319">
        <f t="shared" ref="I51:I57" si="146">CK51</f>
        <v>0</v>
      </c>
      <c r="J51" s="319">
        <f t="shared" ref="J51:J57" si="147">CR51</f>
        <v>0</v>
      </c>
      <c r="K51" s="319">
        <f t="shared" ref="K51:K57" si="148">CY51</f>
        <v>0</v>
      </c>
      <c r="L51" s="319">
        <f t="shared" ref="L51:L57" si="149">DF51</f>
        <v>0</v>
      </c>
      <c r="M51" s="319">
        <f t="shared" ref="M51:M57" si="150">DM51</f>
        <v>0</v>
      </c>
      <c r="N51" s="319">
        <f t="shared" ref="N51:N57" si="151">DT51</f>
        <v>0</v>
      </c>
      <c r="O51" s="319">
        <f t="shared" ref="O51:O57" si="152">EA51</f>
        <v>0</v>
      </c>
      <c r="P51" s="319">
        <f t="shared" ref="P51:P57" si="153">EH51</f>
        <v>0</v>
      </c>
      <c r="Q51" s="319">
        <f t="shared" ref="Q51:Q57" si="154">EO51</f>
        <v>0</v>
      </c>
      <c r="R51" s="319">
        <f t="shared" ref="R51:R57" si="155">EV51</f>
        <v>0</v>
      </c>
      <c r="S51" s="319">
        <f t="shared" ref="S51:S57" si="156">FC51</f>
        <v>0</v>
      </c>
      <c r="T51" s="319">
        <f t="shared" ref="T51:T57" si="157">FJ51</f>
        <v>0</v>
      </c>
      <c r="U51" s="319">
        <f t="shared" ref="U51:U57" si="158">FQ51</f>
        <v>0</v>
      </c>
      <c r="V51" s="319">
        <f t="shared" ref="V51:V57" si="159">FX51</f>
        <v>0</v>
      </c>
      <c r="W51" s="319">
        <f t="shared" ref="W51:W57" si="160">GE51</f>
        <v>0</v>
      </c>
      <c r="X51" s="319">
        <f t="shared" ref="X51:X57" si="161">GL51</f>
        <v>0</v>
      </c>
      <c r="Y51" s="319">
        <f t="shared" ref="Y51:Y57" si="162">GS51</f>
        <v>0</v>
      </c>
      <c r="Z51" s="319">
        <f t="shared" ref="Z51:Z57" si="163">GZ51</f>
        <v>0</v>
      </c>
      <c r="AA51" s="320"/>
      <c r="AB51" s="320"/>
      <c r="AC51" s="320"/>
      <c r="AD51" s="320"/>
      <c r="AE51" s="320"/>
      <c r="AF51" s="320"/>
      <c r="AG51" s="320"/>
      <c r="AH51" s="320"/>
      <c r="AI51" s="320"/>
      <c r="AJ51" s="320"/>
      <c r="AK51" s="320"/>
      <c r="AL51" s="320"/>
      <c r="AM51" s="320"/>
      <c r="AN51" s="320"/>
      <c r="AP51" s="318" t="s">
        <v>184</v>
      </c>
      <c r="AQ51" s="319">
        <v>-97</v>
      </c>
      <c r="AR51" s="319">
        <f>-98-AQ51</f>
        <v>-1</v>
      </c>
      <c r="AS51" s="319">
        <f>-98-AR51-AQ51</f>
        <v>0</v>
      </c>
      <c r="AT51" s="319">
        <f>AU51-SUM(AQ51:AS51)</f>
        <v>-1</v>
      </c>
      <c r="AU51" s="319">
        <v>-99</v>
      </c>
      <c r="AW51" s="318" t="s">
        <v>184</v>
      </c>
      <c r="AX51" s="319">
        <v>2</v>
      </c>
      <c r="AY51" s="319">
        <f>2-AX51</f>
        <v>0</v>
      </c>
      <c r="AZ51" s="319">
        <f>12-AY51-AX51</f>
        <v>10</v>
      </c>
      <c r="BA51" s="319">
        <f t="shared" ref="BA51:BA57" si="164">BB51-SUM(AX51:AZ51)</f>
        <v>-5</v>
      </c>
      <c r="BB51" s="319">
        <v>7</v>
      </c>
      <c r="BD51" s="318" t="s">
        <v>184</v>
      </c>
      <c r="BE51" s="319">
        <v>1</v>
      </c>
      <c r="BF51" s="319">
        <f>0-BE51</f>
        <v>-1</v>
      </c>
      <c r="BG51" s="319">
        <f>-1-BF51-BE51</f>
        <v>-1</v>
      </c>
      <c r="BH51" s="319">
        <f t="shared" ref="BH51:BH57" si="165">BI51-SUM(BE51:BG51)</f>
        <v>-5</v>
      </c>
      <c r="BI51" s="319">
        <v>-6</v>
      </c>
      <c r="BK51" s="318" t="s">
        <v>184</v>
      </c>
      <c r="BL51" s="319">
        <v>0</v>
      </c>
      <c r="BM51" s="319">
        <v>0</v>
      </c>
      <c r="BN51" s="319">
        <v>0</v>
      </c>
      <c r="BO51" s="319">
        <v>0</v>
      </c>
      <c r="BP51" s="319">
        <v>0</v>
      </c>
      <c r="BR51" s="318" t="s">
        <v>184</v>
      </c>
      <c r="BS51" s="319">
        <v>0</v>
      </c>
      <c r="BT51" s="319">
        <v>0</v>
      </c>
      <c r="BU51" s="319">
        <v>0</v>
      </c>
      <c r="BV51" s="319">
        <v>0</v>
      </c>
      <c r="BW51" s="319">
        <v>0</v>
      </c>
      <c r="BY51" s="318" t="s">
        <v>184</v>
      </c>
      <c r="BZ51" s="319">
        <v>0</v>
      </c>
      <c r="CA51" s="319">
        <v>0</v>
      </c>
      <c r="CB51" s="319">
        <v>0</v>
      </c>
      <c r="CC51" s="319">
        <v>0</v>
      </c>
      <c r="CD51" s="319">
        <v>0</v>
      </c>
      <c r="CF51" s="318" t="s">
        <v>184</v>
      </c>
      <c r="CG51" s="319">
        <v>0</v>
      </c>
      <c r="CH51" s="319">
        <v>0</v>
      </c>
      <c r="CI51" s="319">
        <v>0</v>
      </c>
      <c r="CJ51" s="319">
        <v>0</v>
      </c>
      <c r="CK51" s="319">
        <v>0</v>
      </c>
      <c r="CM51" s="318" t="s">
        <v>184</v>
      </c>
      <c r="CN51" s="319">
        <v>0</v>
      </c>
      <c r="CO51" s="319">
        <v>0</v>
      </c>
      <c r="CP51" s="319">
        <v>0</v>
      </c>
      <c r="CQ51" s="319">
        <v>0</v>
      </c>
      <c r="CR51" s="319">
        <v>0</v>
      </c>
      <c r="CT51" s="318" t="s">
        <v>184</v>
      </c>
      <c r="CU51" s="319">
        <v>0</v>
      </c>
      <c r="CV51" s="319">
        <v>0</v>
      </c>
      <c r="CW51" s="319">
        <v>0</v>
      </c>
      <c r="CX51" s="319">
        <v>0</v>
      </c>
      <c r="CY51" s="319">
        <v>0</v>
      </c>
      <c r="DA51" s="318" t="s">
        <v>184</v>
      </c>
      <c r="DB51" s="319">
        <v>0</v>
      </c>
      <c r="DC51" s="319">
        <v>0</v>
      </c>
      <c r="DD51" s="319">
        <v>0</v>
      </c>
      <c r="DE51" s="319">
        <v>0</v>
      </c>
      <c r="DF51" s="319">
        <v>0</v>
      </c>
      <c r="DH51" s="318" t="s">
        <v>184</v>
      </c>
      <c r="DI51" s="319">
        <v>0</v>
      </c>
      <c r="DJ51" s="319">
        <v>0</v>
      </c>
      <c r="DK51" s="319">
        <v>0</v>
      </c>
      <c r="DL51" s="319">
        <v>0</v>
      </c>
      <c r="DM51" s="319">
        <v>0</v>
      </c>
      <c r="DO51" s="318" t="s">
        <v>184</v>
      </c>
      <c r="DP51" s="319">
        <v>0</v>
      </c>
      <c r="DQ51" s="319">
        <v>0</v>
      </c>
      <c r="DR51" s="319">
        <v>0</v>
      </c>
      <c r="DS51" s="319">
        <v>0</v>
      </c>
      <c r="DT51" s="319">
        <v>0</v>
      </c>
      <c r="DV51" s="318" t="s">
        <v>184</v>
      </c>
      <c r="DW51" s="319">
        <v>0</v>
      </c>
      <c r="DX51" s="319">
        <v>0</v>
      </c>
      <c r="DY51" s="319">
        <v>0</v>
      </c>
      <c r="DZ51" s="319">
        <v>0</v>
      </c>
      <c r="EA51" s="319">
        <v>0</v>
      </c>
      <c r="EC51" s="318" t="s">
        <v>184</v>
      </c>
      <c r="ED51" s="319">
        <v>0</v>
      </c>
      <c r="EE51" s="319">
        <v>0</v>
      </c>
      <c r="EF51" s="319">
        <v>0</v>
      </c>
      <c r="EG51" s="319">
        <v>0</v>
      </c>
      <c r="EH51" s="319">
        <v>0</v>
      </c>
      <c r="EJ51" s="318" t="s">
        <v>184</v>
      </c>
      <c r="EK51" s="319">
        <v>0</v>
      </c>
      <c r="EL51" s="319">
        <v>0</v>
      </c>
      <c r="EM51" s="319">
        <v>0</v>
      </c>
      <c r="EN51" s="319">
        <v>0</v>
      </c>
      <c r="EO51" s="319">
        <v>0</v>
      </c>
      <c r="EQ51" s="318" t="s">
        <v>184</v>
      </c>
      <c r="ER51" s="319">
        <v>0</v>
      </c>
      <c r="ES51" s="319">
        <v>0</v>
      </c>
      <c r="ET51" s="319">
        <v>0</v>
      </c>
      <c r="EU51" s="319">
        <v>0</v>
      </c>
      <c r="EV51" s="319">
        <v>0</v>
      </c>
      <c r="EX51" s="318" t="s">
        <v>184</v>
      </c>
      <c r="EY51" s="319">
        <v>0</v>
      </c>
      <c r="EZ51" s="319">
        <v>0</v>
      </c>
      <c r="FA51" s="319">
        <v>0</v>
      </c>
      <c r="FB51" s="319">
        <f>FC51-SUM(EY51:FA51)</f>
        <v>0</v>
      </c>
      <c r="FC51" s="319">
        <v>0</v>
      </c>
      <c r="FE51" s="318" t="s">
        <v>184</v>
      </c>
      <c r="FF51" s="319">
        <v>0</v>
      </c>
      <c r="FG51" s="319">
        <v>0</v>
      </c>
      <c r="FH51" s="319">
        <v>0</v>
      </c>
      <c r="FI51" s="319">
        <f t="shared" ref="FI51:FI57" si="166">FJ51-SUM(FF51:FH51)</f>
        <v>0</v>
      </c>
      <c r="FJ51" s="319">
        <v>0</v>
      </c>
      <c r="FL51" s="318" t="s">
        <v>184</v>
      </c>
      <c r="FM51" s="319">
        <v>0</v>
      </c>
      <c r="FN51" s="319">
        <v>0</v>
      </c>
      <c r="FO51" s="319">
        <v>0</v>
      </c>
      <c r="FP51" s="319">
        <f t="shared" ref="FP51:FP57" si="167">FQ51-SUM(FM51:FO51)</f>
        <v>0</v>
      </c>
      <c r="FQ51" s="319">
        <v>0</v>
      </c>
      <c r="FS51" s="318" t="s">
        <v>184</v>
      </c>
      <c r="FT51" s="319">
        <v>0</v>
      </c>
      <c r="FU51" s="319">
        <f>0-FT51</f>
        <v>0</v>
      </c>
      <c r="FV51" s="319">
        <f t="shared" ref="FV51:FV56" si="168">0-FU51-FT51</f>
        <v>0</v>
      </c>
      <c r="FW51" s="319">
        <f t="shared" ref="FW51:FW57" si="169">FX51-SUM(FT51:FV51)</f>
        <v>0</v>
      </c>
      <c r="FX51" s="319">
        <v>0</v>
      </c>
      <c r="FZ51" s="318" t="s">
        <v>184</v>
      </c>
      <c r="GA51" s="319">
        <v>0</v>
      </c>
      <c r="GB51" s="319">
        <f>0-GA51</f>
        <v>0</v>
      </c>
      <c r="GC51" s="319">
        <f>0-GB51-GA51</f>
        <v>0</v>
      </c>
      <c r="GD51" s="319">
        <v>0</v>
      </c>
      <c r="GE51" s="319">
        <f t="shared" ref="GE51:GE57" si="170">+SUM(GA51:GD51)</f>
        <v>0</v>
      </c>
      <c r="GG51" s="318" t="s">
        <v>184</v>
      </c>
      <c r="GH51" s="319">
        <f>+CF!GH139</f>
        <v>0</v>
      </c>
      <c r="GI51" s="319">
        <f>+CF!GI139</f>
        <v>0</v>
      </c>
      <c r="GJ51" s="319">
        <f>+CF!GJ139</f>
        <v>0</v>
      </c>
      <c r="GK51" s="319">
        <f>+CF!GK139</f>
        <v>0</v>
      </c>
      <c r="GL51" s="319">
        <f t="shared" ref="GL51:GL57" si="171">+SUM(GH51:GK51)</f>
        <v>0</v>
      </c>
      <c r="GN51" s="318" t="s">
        <v>184</v>
      </c>
      <c r="GO51" s="319">
        <f>+CF!GO139</f>
        <v>0</v>
      </c>
      <c r="GP51" s="319">
        <f>+CF!GP139</f>
        <v>0</v>
      </c>
      <c r="GQ51" s="319">
        <f>+CF!GQ139</f>
        <v>0</v>
      </c>
      <c r="GR51" s="319">
        <f>+CF!GR139</f>
        <v>0</v>
      </c>
      <c r="GS51" s="319">
        <f t="shared" ref="GS51:GS57" si="172">+SUM(GO51:GR51)</f>
        <v>0</v>
      </c>
      <c r="GU51" s="318" t="s">
        <v>184</v>
      </c>
      <c r="GV51" s="319">
        <f>+CF!GV139</f>
        <v>0</v>
      </c>
      <c r="GW51" s="319">
        <f>+CF!GW139</f>
        <v>0</v>
      </c>
      <c r="GX51" s="319">
        <f>+CF!GX139</f>
        <v>0</v>
      </c>
      <c r="GY51" s="319">
        <f>+CF!GY139</f>
        <v>0</v>
      </c>
      <c r="GZ51" s="319">
        <f t="shared" ref="GZ51:GZ57" si="173">+SUM(GV51:GY51)</f>
        <v>0</v>
      </c>
    </row>
    <row r="52" spans="1:208" x14ac:dyDescent="0.4">
      <c r="A52" s="417"/>
      <c r="B52" s="318" t="s">
        <v>180</v>
      </c>
      <c r="C52" s="319">
        <f t="shared" si="140"/>
        <v>105</v>
      </c>
      <c r="D52" s="319">
        <f t="shared" si="141"/>
        <v>471</v>
      </c>
      <c r="E52" s="319">
        <f t="shared" si="142"/>
        <v>2381</v>
      </c>
      <c r="F52" s="319">
        <f t="shared" si="143"/>
        <v>1351</v>
      </c>
      <c r="G52" s="319">
        <f t="shared" si="144"/>
        <v>500</v>
      </c>
      <c r="H52" s="319">
        <f t="shared" si="145"/>
        <v>800</v>
      </c>
      <c r="I52" s="319">
        <f t="shared" si="146"/>
        <v>1200</v>
      </c>
      <c r="J52" s="319">
        <f t="shared" si="147"/>
        <v>1100</v>
      </c>
      <c r="K52" s="319">
        <f t="shared" si="148"/>
        <v>500</v>
      </c>
      <c r="L52" s="319">
        <f t="shared" si="149"/>
        <v>1000</v>
      </c>
      <c r="M52" s="319">
        <f t="shared" si="150"/>
        <v>1200</v>
      </c>
      <c r="N52" s="319">
        <f t="shared" si="151"/>
        <v>2200</v>
      </c>
      <c r="O52" s="319">
        <f t="shared" si="152"/>
        <v>850</v>
      </c>
      <c r="P52" s="319">
        <f t="shared" si="153"/>
        <v>3000</v>
      </c>
      <c r="Q52" s="319">
        <f t="shared" si="154"/>
        <v>2000</v>
      </c>
      <c r="R52" s="319">
        <f t="shared" si="155"/>
        <v>1000</v>
      </c>
      <c r="S52" s="319">
        <f t="shared" si="156"/>
        <v>0</v>
      </c>
      <c r="T52" s="319">
        <f t="shared" si="157"/>
        <v>2000</v>
      </c>
      <c r="U52" s="319">
        <f t="shared" si="158"/>
        <v>600</v>
      </c>
      <c r="V52" s="319">
        <f t="shared" si="159"/>
        <v>550</v>
      </c>
      <c r="W52" s="319">
        <f t="shared" si="160"/>
        <v>900</v>
      </c>
      <c r="X52" s="319">
        <f t="shared" si="161"/>
        <v>600</v>
      </c>
      <c r="Y52" s="319">
        <f t="shared" si="162"/>
        <v>500</v>
      </c>
      <c r="Z52" s="319">
        <f t="shared" si="163"/>
        <v>500</v>
      </c>
      <c r="AA52" s="320"/>
      <c r="AB52" s="320"/>
      <c r="AC52" s="320"/>
      <c r="AD52" s="320"/>
      <c r="AE52" s="320"/>
      <c r="AF52" s="320"/>
      <c r="AG52" s="320"/>
      <c r="AH52" s="320"/>
      <c r="AI52" s="320"/>
      <c r="AJ52" s="320"/>
      <c r="AK52" s="320"/>
      <c r="AL52" s="320"/>
      <c r="AM52" s="320"/>
      <c r="AN52" s="320"/>
      <c r="AP52" s="318" t="s">
        <v>180</v>
      </c>
      <c r="AQ52" s="319">
        <v>26</v>
      </c>
      <c r="AR52" s="319">
        <f>27-AQ52</f>
        <v>1</v>
      </c>
      <c r="AS52" s="319">
        <f>29-AR52-AQ52</f>
        <v>2</v>
      </c>
      <c r="AT52" s="319">
        <f t="shared" ref="AT52:AT57" si="174">AU52-SUM(AQ52:AS52)</f>
        <v>76</v>
      </c>
      <c r="AU52" s="319">
        <v>105</v>
      </c>
      <c r="AW52" s="318" t="s">
        <v>180</v>
      </c>
      <c r="AX52" s="319">
        <v>3</v>
      </c>
      <c r="AY52" s="319">
        <f>63-AX52</f>
        <v>60</v>
      </c>
      <c r="AZ52" s="319">
        <f>473-AY52-AX52</f>
        <v>410</v>
      </c>
      <c r="BA52" s="319">
        <f t="shared" si="164"/>
        <v>-2</v>
      </c>
      <c r="BB52" s="319">
        <v>471</v>
      </c>
      <c r="BD52" s="318" t="s">
        <v>180</v>
      </c>
      <c r="BE52" s="319">
        <v>0</v>
      </c>
      <c r="BF52" s="319">
        <f>1000-BE52</f>
        <v>1000</v>
      </c>
      <c r="BG52" s="319">
        <f>2000-BF52-BE52</f>
        <v>1000</v>
      </c>
      <c r="BH52" s="319">
        <f t="shared" si="165"/>
        <v>381</v>
      </c>
      <c r="BI52" s="319">
        <v>2381</v>
      </c>
      <c r="BK52" s="318" t="s">
        <v>180</v>
      </c>
      <c r="BL52" s="319">
        <v>1000</v>
      </c>
      <c r="BM52" s="319">
        <f>1000-BL52</f>
        <v>0</v>
      </c>
      <c r="BN52" s="319">
        <f>1000-BM52-BL52</f>
        <v>0</v>
      </c>
      <c r="BO52" s="319">
        <f t="shared" ref="BO52:BO57" si="175">BP52-SUM(BL52:BN52)</f>
        <v>351</v>
      </c>
      <c r="BP52" s="319">
        <v>1351</v>
      </c>
      <c r="BR52" s="318" t="s">
        <v>180</v>
      </c>
      <c r="BS52" s="319">
        <v>500</v>
      </c>
      <c r="BT52" s="319">
        <f>500-BS52</f>
        <v>0</v>
      </c>
      <c r="BU52" s="319">
        <f>500-BT52-BS52</f>
        <v>0</v>
      </c>
      <c r="BV52" s="319">
        <f t="shared" ref="BV52:BV57" si="176">BW52-SUM(BS52:BU52)</f>
        <v>0</v>
      </c>
      <c r="BW52" s="319">
        <v>500</v>
      </c>
      <c r="BY52" s="318" t="s">
        <v>180</v>
      </c>
      <c r="BZ52" s="319">
        <v>0</v>
      </c>
      <c r="CA52" s="319">
        <v>0</v>
      </c>
      <c r="CB52" s="319">
        <v>0</v>
      </c>
      <c r="CC52" s="319">
        <f t="shared" ref="CC52:CC57" si="177">CD52-SUM(BZ52:CB52)</f>
        <v>800</v>
      </c>
      <c r="CD52" s="319">
        <v>800</v>
      </c>
      <c r="CF52" s="318" t="s">
        <v>180</v>
      </c>
      <c r="CG52" s="319">
        <v>0</v>
      </c>
      <c r="CH52" s="319">
        <f>600-CG52</f>
        <v>600</v>
      </c>
      <c r="CI52" s="319">
        <f>600-CH52-CG52</f>
        <v>0</v>
      </c>
      <c r="CJ52" s="319">
        <f t="shared" ref="CJ52:CJ57" si="178">CK52-SUM(CG52:CI52)</f>
        <v>600</v>
      </c>
      <c r="CK52" s="319">
        <v>1200</v>
      </c>
      <c r="CM52" s="318" t="s">
        <v>180</v>
      </c>
      <c r="CN52" s="319">
        <v>300</v>
      </c>
      <c r="CO52" s="319">
        <f>300-CN52</f>
        <v>0</v>
      </c>
      <c r="CP52" s="319">
        <f>300-CO52-CN52</f>
        <v>0</v>
      </c>
      <c r="CQ52" s="319">
        <f t="shared" ref="CQ52:CQ57" si="179">CR52-SUM(CN52:CP52)</f>
        <v>800</v>
      </c>
      <c r="CR52" s="319">
        <v>1100</v>
      </c>
      <c r="CT52" s="318" t="s">
        <v>180</v>
      </c>
      <c r="CU52" s="319">
        <v>0</v>
      </c>
      <c r="CV52" s="319">
        <v>0</v>
      </c>
      <c r="CW52" s="319">
        <v>0</v>
      </c>
      <c r="CX52" s="319">
        <f t="shared" ref="CX52:CX57" si="180">CY52-SUM(CU52:CW52)</f>
        <v>500</v>
      </c>
      <c r="CY52" s="319">
        <v>500</v>
      </c>
      <c r="DA52" s="318" t="s">
        <v>180</v>
      </c>
      <c r="DB52" s="319">
        <v>0</v>
      </c>
      <c r="DC52" s="319">
        <v>0</v>
      </c>
      <c r="DD52" s="319">
        <f>1000-DC52-DB52</f>
        <v>1000</v>
      </c>
      <c r="DE52" s="319">
        <f t="shared" ref="DE52:DE57" si="181">DF52-SUM(DB52:DD52)</f>
        <v>0</v>
      </c>
      <c r="DF52" s="319">
        <v>1000</v>
      </c>
      <c r="DH52" s="318" t="s">
        <v>180</v>
      </c>
      <c r="DI52" s="319">
        <v>0</v>
      </c>
      <c r="DJ52" s="319">
        <f>600-DI52</f>
        <v>600</v>
      </c>
      <c r="DK52" s="319">
        <f>600-DJ52-DI52</f>
        <v>0</v>
      </c>
      <c r="DL52" s="319">
        <f t="shared" ref="DL52:DL57" si="182">DM52-SUM(DI52:DK52)</f>
        <v>600</v>
      </c>
      <c r="DM52" s="319">
        <v>1200</v>
      </c>
      <c r="DO52" s="318" t="s">
        <v>180</v>
      </c>
      <c r="DP52" s="319">
        <v>0</v>
      </c>
      <c r="DQ52" s="319">
        <v>0</v>
      </c>
      <c r="DR52" s="319">
        <v>0</v>
      </c>
      <c r="DS52" s="319">
        <f t="shared" ref="DS52:DS57" si="183">DT52-SUM(DP52:DR52)</f>
        <v>2200</v>
      </c>
      <c r="DT52" s="319">
        <v>2200</v>
      </c>
      <c r="DV52" s="318" t="s">
        <v>180</v>
      </c>
      <c r="DW52" s="319">
        <v>0</v>
      </c>
      <c r="DX52" s="319">
        <f>850-DW52</f>
        <v>850</v>
      </c>
      <c r="DY52" s="319">
        <f>850-DX52-DW52</f>
        <v>0</v>
      </c>
      <c r="DZ52" s="319">
        <f t="shared" ref="DZ52:DZ57" si="184">EA52-SUM(DW52:DY52)</f>
        <v>0</v>
      </c>
      <c r="EA52" s="319">
        <v>850</v>
      </c>
      <c r="EC52" s="318" t="s">
        <v>180</v>
      </c>
      <c r="ED52" s="319">
        <v>2000</v>
      </c>
      <c r="EE52" s="319">
        <f>2000-ED52</f>
        <v>0</v>
      </c>
      <c r="EF52" s="319">
        <f>2000-EE52-ED52</f>
        <v>0</v>
      </c>
      <c r="EG52" s="319">
        <f t="shared" ref="EG52:EG57" si="185">EH52-SUM(ED52:EF52)</f>
        <v>1000</v>
      </c>
      <c r="EH52" s="319">
        <v>3000</v>
      </c>
      <c r="EJ52" s="318" t="s">
        <v>180</v>
      </c>
      <c r="EK52" s="319">
        <v>1000</v>
      </c>
      <c r="EL52" s="319">
        <f>1000-EK52</f>
        <v>0</v>
      </c>
      <c r="EM52" s="319">
        <f>2000-EL52-EK52</f>
        <v>1000</v>
      </c>
      <c r="EN52" s="319">
        <f t="shared" ref="EN52:EN57" si="186">EO52-SUM(EK52:EM52)</f>
        <v>0</v>
      </c>
      <c r="EO52" s="319">
        <v>2000</v>
      </c>
      <c r="EQ52" s="318" t="s">
        <v>180</v>
      </c>
      <c r="ER52" s="319">
        <v>500</v>
      </c>
      <c r="ES52" s="319">
        <f>500-ER52</f>
        <v>0</v>
      </c>
      <c r="ET52" s="319">
        <f>500-SUM(ER52:ES52)</f>
        <v>0</v>
      </c>
      <c r="EU52" s="319">
        <f t="shared" ref="EU52:EU57" si="187">EV52-SUM(ER52:ET52)</f>
        <v>500</v>
      </c>
      <c r="EV52" s="319">
        <v>1000</v>
      </c>
      <c r="EX52" s="318" t="s">
        <v>180</v>
      </c>
      <c r="EY52" s="319">
        <v>0</v>
      </c>
      <c r="EZ52" s="319">
        <v>0</v>
      </c>
      <c r="FA52" s="319">
        <v>0</v>
      </c>
      <c r="FB52" s="319">
        <f t="shared" ref="FB52:FB57" si="188">FC52-SUM(EY52:FA52)</f>
        <v>0</v>
      </c>
      <c r="FC52" s="319">
        <v>0</v>
      </c>
      <c r="FE52" s="318" t="s">
        <v>180</v>
      </c>
      <c r="FF52" s="319">
        <v>0</v>
      </c>
      <c r="FG52" s="319">
        <v>0</v>
      </c>
      <c r="FH52" s="319">
        <f>2000-FG52-FF52</f>
        <v>2000</v>
      </c>
      <c r="FI52" s="319">
        <f t="shared" si="166"/>
        <v>0</v>
      </c>
      <c r="FJ52" s="319">
        <v>2000</v>
      </c>
      <c r="FL52" s="318" t="s">
        <v>180</v>
      </c>
      <c r="FM52" s="319">
        <v>0</v>
      </c>
      <c r="FN52" s="319">
        <v>0</v>
      </c>
      <c r="FO52" s="319">
        <f>600-SUM(FM52:FN52)</f>
        <v>600</v>
      </c>
      <c r="FP52" s="319">
        <f t="shared" si="167"/>
        <v>0</v>
      </c>
      <c r="FQ52" s="319">
        <v>600</v>
      </c>
      <c r="FS52" s="318" t="s">
        <v>180</v>
      </c>
      <c r="FT52" s="319">
        <v>0</v>
      </c>
      <c r="FU52" s="319">
        <f>0-FT52</f>
        <v>0</v>
      </c>
      <c r="FV52" s="319">
        <f>550-FU52-FT52</f>
        <v>550</v>
      </c>
      <c r="FW52" s="319">
        <f t="shared" si="169"/>
        <v>0</v>
      </c>
      <c r="FX52" s="319">
        <v>550</v>
      </c>
      <c r="FZ52" s="318" t="s">
        <v>180</v>
      </c>
      <c r="GA52" s="319">
        <v>600</v>
      </c>
      <c r="GB52" s="319">
        <f>600-GA52</f>
        <v>0</v>
      </c>
      <c r="GC52" s="319">
        <f>600-GB52-GA52</f>
        <v>0</v>
      </c>
      <c r="GD52" s="319">
        <f>900-SUM(GA52:GC52)</f>
        <v>300</v>
      </c>
      <c r="GE52" s="319">
        <f t="shared" si="170"/>
        <v>900</v>
      </c>
      <c r="GG52" s="318" t="s">
        <v>180</v>
      </c>
      <c r="GH52" s="319">
        <f>+CF!GH142</f>
        <v>150</v>
      </c>
      <c r="GI52" s="319">
        <f>+CF!GI142</f>
        <v>150</v>
      </c>
      <c r="GJ52" s="319">
        <f>+CF!GJ142</f>
        <v>150</v>
      </c>
      <c r="GK52" s="319">
        <f>+CF!GK142</f>
        <v>150</v>
      </c>
      <c r="GL52" s="319">
        <f t="shared" si="171"/>
        <v>600</v>
      </c>
      <c r="GN52" s="318" t="s">
        <v>180</v>
      </c>
      <c r="GO52" s="319">
        <f>+CF!GO142</f>
        <v>125</v>
      </c>
      <c r="GP52" s="319">
        <f>+CF!GP142</f>
        <v>125</v>
      </c>
      <c r="GQ52" s="319">
        <f>+CF!GQ142</f>
        <v>125</v>
      </c>
      <c r="GR52" s="319">
        <f>+CF!GR142</f>
        <v>125</v>
      </c>
      <c r="GS52" s="319">
        <f t="shared" si="172"/>
        <v>500</v>
      </c>
      <c r="GU52" s="318" t="s">
        <v>180</v>
      </c>
      <c r="GV52" s="319">
        <f>+CF!GV142</f>
        <v>125</v>
      </c>
      <c r="GW52" s="319">
        <f>+CF!GW142</f>
        <v>125</v>
      </c>
      <c r="GX52" s="319">
        <f>+CF!GX142</f>
        <v>125</v>
      </c>
      <c r="GY52" s="319">
        <f>+CF!GY142</f>
        <v>125</v>
      </c>
      <c r="GZ52" s="319">
        <f t="shared" si="173"/>
        <v>500</v>
      </c>
    </row>
    <row r="53" spans="1:208" x14ac:dyDescent="0.4">
      <c r="A53" s="417"/>
      <c r="B53" s="318" t="s">
        <v>181</v>
      </c>
      <c r="C53" s="319">
        <f t="shared" si="140"/>
        <v>-1283</v>
      </c>
      <c r="D53" s="319">
        <f t="shared" si="141"/>
        <v>-546</v>
      </c>
      <c r="E53" s="319">
        <f t="shared" si="142"/>
        <v>-785</v>
      </c>
      <c r="F53" s="319">
        <f t="shared" si="143"/>
        <v>-642</v>
      </c>
      <c r="G53" s="319">
        <f t="shared" si="144"/>
        <v>-323</v>
      </c>
      <c r="H53" s="319">
        <f t="shared" si="145"/>
        <v>-113</v>
      </c>
      <c r="I53" s="319">
        <f t="shared" si="146"/>
        <v>-605</v>
      </c>
      <c r="J53" s="319">
        <f t="shared" si="147"/>
        <v>-508</v>
      </c>
      <c r="K53" s="319">
        <f t="shared" si="148"/>
        <v>-780</v>
      </c>
      <c r="L53" s="319">
        <f t="shared" si="149"/>
        <v>-933</v>
      </c>
      <c r="M53" s="319">
        <f t="shared" si="150"/>
        <v>-229</v>
      </c>
      <c r="N53" s="319">
        <f t="shared" si="151"/>
        <v>-1419</v>
      </c>
      <c r="O53" s="319">
        <f t="shared" si="152"/>
        <v>-333</v>
      </c>
      <c r="P53" s="319">
        <f t="shared" si="153"/>
        <v>-19</v>
      </c>
      <c r="Q53" s="319">
        <f t="shared" si="154"/>
        <v>-518</v>
      </c>
      <c r="R53" s="319">
        <f t="shared" si="155"/>
        <v>-745</v>
      </c>
      <c r="S53" s="319">
        <f t="shared" si="156"/>
        <v>-426</v>
      </c>
      <c r="T53" s="319">
        <f t="shared" si="157"/>
        <v>-186</v>
      </c>
      <c r="U53" s="319">
        <f t="shared" si="158"/>
        <v>-153</v>
      </c>
      <c r="V53" s="319">
        <f t="shared" si="159"/>
        <v>-558</v>
      </c>
      <c r="W53" s="319">
        <f t="shared" si="160"/>
        <v>-613</v>
      </c>
      <c r="X53" s="319">
        <f t="shared" si="161"/>
        <v>0</v>
      </c>
      <c r="Y53" s="319">
        <f t="shared" si="162"/>
        <v>0</v>
      </c>
      <c r="Z53" s="319">
        <f t="shared" si="163"/>
        <v>0</v>
      </c>
      <c r="AA53" s="320"/>
      <c r="AB53" s="320"/>
      <c r="AC53" s="320"/>
      <c r="AD53" s="320"/>
      <c r="AE53" s="320"/>
      <c r="AF53" s="320"/>
      <c r="AG53" s="320"/>
      <c r="AH53" s="320"/>
      <c r="AI53" s="320"/>
      <c r="AJ53" s="320"/>
      <c r="AK53" s="320"/>
      <c r="AL53" s="320"/>
      <c r="AM53" s="320"/>
      <c r="AN53" s="320"/>
      <c r="AP53" s="318" t="s">
        <v>181</v>
      </c>
      <c r="AQ53" s="319">
        <v>-112</v>
      </c>
      <c r="AR53" s="319">
        <f>-1213-AQ53</f>
        <v>-1101</v>
      </c>
      <c r="AS53" s="319">
        <f>-1239-AR53-AQ53</f>
        <v>-26</v>
      </c>
      <c r="AT53" s="319">
        <f t="shared" si="174"/>
        <v>-44</v>
      </c>
      <c r="AU53" s="319">
        <v>-1283</v>
      </c>
      <c r="AW53" s="318" t="s">
        <v>181</v>
      </c>
      <c r="AX53" s="319">
        <v>-71</v>
      </c>
      <c r="AY53" s="319">
        <f>-143-AX53</f>
        <v>-72</v>
      </c>
      <c r="AZ53" s="319">
        <f>-499-AY53-AX53</f>
        <v>-356</v>
      </c>
      <c r="BA53" s="319">
        <f t="shared" si="164"/>
        <v>-47</v>
      </c>
      <c r="BB53" s="319">
        <v>-546</v>
      </c>
      <c r="BD53" s="318" t="s">
        <v>181</v>
      </c>
      <c r="BE53" s="319">
        <v>-29</v>
      </c>
      <c r="BF53" s="319">
        <f>-675-BE53</f>
        <v>-646</v>
      </c>
      <c r="BG53" s="319">
        <f>-714-BF53-BE53</f>
        <v>-39</v>
      </c>
      <c r="BH53" s="319">
        <f t="shared" si="165"/>
        <v>-71</v>
      </c>
      <c r="BI53" s="319">
        <v>-785</v>
      </c>
      <c r="BK53" s="318" t="s">
        <v>181</v>
      </c>
      <c r="BL53" s="319">
        <v>-44</v>
      </c>
      <c r="BM53" s="319">
        <f>-176-BL53</f>
        <v>-132</v>
      </c>
      <c r="BN53" s="319">
        <f>-220-BM53-BL53</f>
        <v>-44</v>
      </c>
      <c r="BO53" s="319">
        <f t="shared" si="175"/>
        <v>-422</v>
      </c>
      <c r="BP53" s="319">
        <v>-642</v>
      </c>
      <c r="BR53" s="318" t="s">
        <v>181</v>
      </c>
      <c r="BS53" s="319">
        <v>-26</v>
      </c>
      <c r="BT53" s="319">
        <f>-83-BS53</f>
        <v>-57</v>
      </c>
      <c r="BU53" s="319">
        <f>-110-BT53-BS53</f>
        <v>-27</v>
      </c>
      <c r="BV53" s="319">
        <f t="shared" si="176"/>
        <v>-213</v>
      </c>
      <c r="BW53" s="319">
        <v>-323</v>
      </c>
      <c r="BY53" s="318" t="s">
        <v>181</v>
      </c>
      <c r="BZ53" s="319">
        <v>-17</v>
      </c>
      <c r="CA53" s="319">
        <f>-71-BZ53</f>
        <v>-54</v>
      </c>
      <c r="CB53" s="319">
        <f>-103-CA53-BZ53</f>
        <v>-32</v>
      </c>
      <c r="CC53" s="319">
        <f t="shared" si="177"/>
        <v>-10</v>
      </c>
      <c r="CD53" s="319">
        <v>-113</v>
      </c>
      <c r="CF53" s="318" t="s">
        <v>181</v>
      </c>
      <c r="CG53" s="319">
        <v>-524</v>
      </c>
      <c r="CH53" s="319">
        <f>-570-CG53</f>
        <v>-46</v>
      </c>
      <c r="CI53" s="319">
        <f>-595-CH53-CG53</f>
        <v>-25</v>
      </c>
      <c r="CJ53" s="319">
        <f t="shared" si="178"/>
        <v>-10</v>
      </c>
      <c r="CK53" s="319">
        <v>-605</v>
      </c>
      <c r="CM53" s="318" t="s">
        <v>181</v>
      </c>
      <c r="CN53" s="319">
        <v>-413</v>
      </c>
      <c r="CO53" s="319">
        <f>-455-CN53</f>
        <v>-42</v>
      </c>
      <c r="CP53" s="319">
        <f>-481-CO53-CN53</f>
        <v>-26</v>
      </c>
      <c r="CQ53" s="319">
        <f t="shared" si="179"/>
        <v>-27</v>
      </c>
      <c r="CR53" s="319">
        <v>-508</v>
      </c>
      <c r="CT53" s="318" t="s">
        <v>181</v>
      </c>
      <c r="CU53" s="319">
        <v>-413</v>
      </c>
      <c r="CV53" s="319">
        <f>-455-CU53</f>
        <v>-42</v>
      </c>
      <c r="CW53" s="319">
        <f>-779-CV53-CU53</f>
        <v>-324</v>
      </c>
      <c r="CX53" s="319">
        <f t="shared" si="180"/>
        <v>-1</v>
      </c>
      <c r="CY53" s="319">
        <v>-780</v>
      </c>
      <c r="DA53" s="318" t="s">
        <v>181</v>
      </c>
      <c r="DB53" s="319">
        <v>-209</v>
      </c>
      <c r="DC53" s="319">
        <f>-244-DB53</f>
        <v>-35</v>
      </c>
      <c r="DD53" s="319">
        <f>-932-DC53-DB53</f>
        <v>-688</v>
      </c>
      <c r="DE53" s="319">
        <f t="shared" si="181"/>
        <v>-1</v>
      </c>
      <c r="DF53" s="319">
        <v>-933</v>
      </c>
      <c r="DH53" s="318" t="s">
        <v>181</v>
      </c>
      <c r="DI53" s="319">
        <v>0</v>
      </c>
      <c r="DJ53" s="319">
        <f>-210-DI53</f>
        <v>-210</v>
      </c>
      <c r="DK53" s="319">
        <f>-228-DJ53-DI53</f>
        <v>-18</v>
      </c>
      <c r="DL53" s="319">
        <f t="shared" si="182"/>
        <v>-1</v>
      </c>
      <c r="DM53" s="319">
        <v>-229</v>
      </c>
      <c r="DO53" s="318" t="s">
        <v>181</v>
      </c>
      <c r="DP53" s="319">
        <v>0</v>
      </c>
      <c r="DQ53" s="319">
        <v>0</v>
      </c>
      <c r="DR53" s="319">
        <f>-19-DQ53-DP53</f>
        <v>-19</v>
      </c>
      <c r="DS53" s="319">
        <f t="shared" si="183"/>
        <v>-1400</v>
      </c>
      <c r="DT53" s="319">
        <v>-1419</v>
      </c>
      <c r="DV53" s="318" t="s">
        <v>181</v>
      </c>
      <c r="DW53" s="319">
        <v>0</v>
      </c>
      <c r="DX53" s="319">
        <f>-313-DW53</f>
        <v>-313</v>
      </c>
      <c r="DY53" s="319">
        <f>-332-DX53-DW53</f>
        <v>-19</v>
      </c>
      <c r="DZ53" s="319">
        <f t="shared" si="184"/>
        <v>-1</v>
      </c>
      <c r="EA53" s="319">
        <v>-333</v>
      </c>
      <c r="EC53" s="318" t="s">
        <v>181</v>
      </c>
      <c r="ED53" s="319">
        <v>0</v>
      </c>
      <c r="EE53" s="319">
        <v>0</v>
      </c>
      <c r="EF53" s="319">
        <f>-19-EE53-ED53</f>
        <v>-19</v>
      </c>
      <c r="EG53" s="319">
        <f t="shared" si="185"/>
        <v>0</v>
      </c>
      <c r="EH53" s="319">
        <v>-19</v>
      </c>
      <c r="EJ53" s="318" t="s">
        <v>181</v>
      </c>
      <c r="EK53" s="319">
        <v>0</v>
      </c>
      <c r="EL53" s="319">
        <v>0</v>
      </c>
      <c r="EM53" s="319">
        <f>-18-EL53-EK53</f>
        <v>-18</v>
      </c>
      <c r="EN53" s="319">
        <f t="shared" si="186"/>
        <v>-500</v>
      </c>
      <c r="EO53" s="319">
        <v>-518</v>
      </c>
      <c r="EQ53" s="318" t="s">
        <v>181</v>
      </c>
      <c r="ER53" s="319">
        <v>0</v>
      </c>
      <c r="ES53" s="319">
        <f>-227-ER53</f>
        <v>-227</v>
      </c>
      <c r="ET53" s="319">
        <f>-245-ES53-ER53</f>
        <v>-18</v>
      </c>
      <c r="EU53" s="319">
        <f t="shared" si="187"/>
        <v>-500</v>
      </c>
      <c r="EV53" s="319">
        <v>-745</v>
      </c>
      <c r="EX53" s="318" t="s">
        <v>181</v>
      </c>
      <c r="EY53" s="319">
        <v>-360</v>
      </c>
      <c r="EZ53" s="319">
        <f>-360-EY53</f>
        <v>0</v>
      </c>
      <c r="FA53" s="319">
        <f>-390-EZ53-EY53</f>
        <v>-30</v>
      </c>
      <c r="FB53" s="319">
        <f t="shared" si="188"/>
        <v>-36</v>
      </c>
      <c r="FC53" s="319">
        <v>-426</v>
      </c>
      <c r="FE53" s="318" t="s">
        <v>181</v>
      </c>
      <c r="FF53" s="319">
        <v>-6</v>
      </c>
      <c r="FG53" s="319">
        <f>-93-FF53</f>
        <v>-87</v>
      </c>
      <c r="FH53" s="319">
        <f>-178-FG53-FF53</f>
        <v>-85</v>
      </c>
      <c r="FI53" s="319">
        <f t="shared" si="166"/>
        <v>-8</v>
      </c>
      <c r="FJ53" s="319">
        <v>-186</v>
      </c>
      <c r="FL53" s="318" t="s">
        <v>181</v>
      </c>
      <c r="FM53" s="319">
        <v>-142</v>
      </c>
      <c r="FN53" s="319">
        <f>-146-FM53</f>
        <v>-4</v>
      </c>
      <c r="FO53" s="319">
        <f>-150-SUM(FM53:FN53)</f>
        <v>-4</v>
      </c>
      <c r="FP53" s="319">
        <f t="shared" si="167"/>
        <v>-3</v>
      </c>
      <c r="FQ53" s="319">
        <v>-153</v>
      </c>
      <c r="FS53" s="318" t="s">
        <v>181</v>
      </c>
      <c r="FT53" s="319">
        <v>-2</v>
      </c>
      <c r="FU53" s="319">
        <f>-4-FT53</f>
        <v>-2</v>
      </c>
      <c r="FV53" s="319">
        <f>-556-FU53-FT53</f>
        <v>-552</v>
      </c>
      <c r="FW53" s="319">
        <f t="shared" si="169"/>
        <v>-2</v>
      </c>
      <c r="FX53" s="319">
        <v>-558</v>
      </c>
      <c r="FZ53" s="318" t="s">
        <v>181</v>
      </c>
      <c r="GA53" s="319">
        <v>-2</v>
      </c>
      <c r="GB53" s="319">
        <f>-3-GA53</f>
        <v>-1</v>
      </c>
      <c r="GC53" s="319">
        <f>-12-GB53-GA53</f>
        <v>-9</v>
      </c>
      <c r="GD53" s="319">
        <f>-613-SUM(GA53:GC53)</f>
        <v>-601</v>
      </c>
      <c r="GE53" s="319">
        <f t="shared" si="170"/>
        <v>-613</v>
      </c>
      <c r="GG53" s="318" t="s">
        <v>181</v>
      </c>
      <c r="GH53" s="319">
        <v>0</v>
      </c>
      <c r="GI53" s="319">
        <v>0</v>
      </c>
      <c r="GJ53" s="319">
        <v>0</v>
      </c>
      <c r="GK53" s="319">
        <v>0</v>
      </c>
      <c r="GL53" s="319">
        <f t="shared" si="171"/>
        <v>0</v>
      </c>
      <c r="GN53" s="318" t="s">
        <v>181</v>
      </c>
      <c r="GO53" s="319">
        <v>0</v>
      </c>
      <c r="GP53" s="319">
        <v>0</v>
      </c>
      <c r="GQ53" s="319">
        <v>0</v>
      </c>
      <c r="GR53" s="319">
        <v>0</v>
      </c>
      <c r="GS53" s="319">
        <f t="shared" si="172"/>
        <v>0</v>
      </c>
      <c r="GU53" s="318" t="s">
        <v>181</v>
      </c>
      <c r="GV53" s="319">
        <v>0</v>
      </c>
      <c r="GW53" s="319">
        <v>0</v>
      </c>
      <c r="GX53" s="319">
        <v>0</v>
      </c>
      <c r="GY53" s="319">
        <v>0</v>
      </c>
      <c r="GZ53" s="319">
        <f t="shared" si="173"/>
        <v>0</v>
      </c>
    </row>
    <row r="54" spans="1:208" x14ac:dyDescent="0.4">
      <c r="A54" s="414"/>
      <c r="B54" s="318" t="s">
        <v>103</v>
      </c>
      <c r="C54" s="319">
        <f t="shared" si="140"/>
        <v>-93</v>
      </c>
      <c r="D54" s="319">
        <f t="shared" si="141"/>
        <v>-145</v>
      </c>
      <c r="E54" s="319">
        <f t="shared" si="142"/>
        <v>-231</v>
      </c>
      <c r="F54" s="319">
        <f t="shared" si="143"/>
        <v>-308</v>
      </c>
      <c r="G54" s="319">
        <f t="shared" si="144"/>
        <v>-345</v>
      </c>
      <c r="H54" s="319">
        <f t="shared" si="145"/>
        <v>-372</v>
      </c>
      <c r="I54" s="319">
        <f t="shared" si="146"/>
        <v>-480</v>
      </c>
      <c r="J54" s="319">
        <f t="shared" si="147"/>
        <v>-558</v>
      </c>
      <c r="K54" s="319">
        <f t="shared" si="148"/>
        <v>-600</v>
      </c>
      <c r="L54" s="319">
        <f t="shared" si="149"/>
        <v>-629</v>
      </c>
      <c r="M54" s="319">
        <f t="shared" si="150"/>
        <v>-686</v>
      </c>
      <c r="N54" s="319">
        <f t="shared" si="151"/>
        <v>-680</v>
      </c>
      <c r="O54" s="319">
        <f t="shared" si="152"/>
        <v>-708</v>
      </c>
      <c r="P54" s="319">
        <f t="shared" si="153"/>
        <v>-751</v>
      </c>
      <c r="Q54" s="319">
        <f t="shared" si="154"/>
        <v>-763</v>
      </c>
      <c r="R54" s="319">
        <f t="shared" si="155"/>
        <v>-797</v>
      </c>
      <c r="S54" s="319">
        <f t="shared" si="156"/>
        <v>-839</v>
      </c>
      <c r="T54" s="319">
        <f t="shared" si="157"/>
        <v>-852</v>
      </c>
      <c r="U54" s="319">
        <f t="shared" si="158"/>
        <v>-882</v>
      </c>
      <c r="V54" s="319">
        <f t="shared" si="159"/>
        <v>-930</v>
      </c>
      <c r="W54" s="319">
        <f t="shared" si="160"/>
        <v>-972</v>
      </c>
      <c r="X54" s="319">
        <f t="shared" si="161"/>
        <v>-1098.1538274</v>
      </c>
      <c r="Y54" s="319">
        <f t="shared" si="162"/>
        <v>-1057.4288274</v>
      </c>
      <c r="Z54" s="319">
        <f t="shared" si="163"/>
        <v>-1016.0288274</v>
      </c>
      <c r="AA54" s="320"/>
      <c r="AB54" s="320"/>
      <c r="AC54" s="320"/>
      <c r="AD54" s="320"/>
      <c r="AE54" s="320"/>
      <c r="AF54" s="320"/>
      <c r="AG54" s="320"/>
      <c r="AH54" s="320"/>
      <c r="AI54" s="320"/>
      <c r="AJ54" s="320"/>
      <c r="AK54" s="320"/>
      <c r="AL54" s="320"/>
      <c r="AM54" s="320"/>
      <c r="AN54" s="320"/>
      <c r="AP54" s="318" t="s">
        <v>103</v>
      </c>
      <c r="AQ54" s="319">
        <v>-22</v>
      </c>
      <c r="AR54" s="319">
        <f>-44-AQ54</f>
        <v>-22</v>
      </c>
      <c r="AS54" s="319">
        <f>-65-AR54-AQ54</f>
        <v>-21</v>
      </c>
      <c r="AT54" s="319">
        <f t="shared" si="174"/>
        <v>-28</v>
      </c>
      <c r="AU54" s="319">
        <v>-93</v>
      </c>
      <c r="AW54" s="318" t="s">
        <v>103</v>
      </c>
      <c r="AX54" s="319">
        <v>-29</v>
      </c>
      <c r="AY54" s="319">
        <f>-57-AX54</f>
        <v>-28</v>
      </c>
      <c r="AZ54" s="319">
        <f>-101-AY54-AX54</f>
        <v>-44</v>
      </c>
      <c r="BA54" s="319">
        <f t="shared" si="164"/>
        <v>-44</v>
      </c>
      <c r="BB54" s="319">
        <v>-145</v>
      </c>
      <c r="BD54" s="318" t="s">
        <v>103</v>
      </c>
      <c r="BE54" s="319">
        <v>-53</v>
      </c>
      <c r="BF54" s="319">
        <f>-106-BE54</f>
        <v>-53</v>
      </c>
      <c r="BG54" s="319">
        <f>-170-BF54-BE54</f>
        <v>-64</v>
      </c>
      <c r="BH54" s="319">
        <f t="shared" si="165"/>
        <v>-61</v>
      </c>
      <c r="BI54" s="319">
        <v>-231</v>
      </c>
      <c r="BK54" s="318" t="s">
        <v>103</v>
      </c>
      <c r="BL54" s="319">
        <v>-61</v>
      </c>
      <c r="BM54" s="319">
        <f>-134-BL54</f>
        <v>-73</v>
      </c>
      <c r="BN54" s="319">
        <f>-222-BM54-BL54</f>
        <v>-88</v>
      </c>
      <c r="BO54" s="319">
        <f t="shared" si="175"/>
        <v>-86</v>
      </c>
      <c r="BP54" s="319">
        <v>-308</v>
      </c>
      <c r="BR54" s="318" t="s">
        <v>103</v>
      </c>
      <c r="BS54" s="319">
        <v>-86</v>
      </c>
      <c r="BT54" s="319">
        <f>-176-BS54</f>
        <v>-90</v>
      </c>
      <c r="BU54" s="319">
        <f>-259-BT54-BS54</f>
        <v>-83</v>
      </c>
      <c r="BV54" s="319">
        <f t="shared" si="176"/>
        <v>-86</v>
      </c>
      <c r="BW54" s="319">
        <v>-345</v>
      </c>
      <c r="BY54" s="318" t="s">
        <v>103</v>
      </c>
      <c r="BZ54" s="319">
        <v>-93</v>
      </c>
      <c r="CA54" s="319">
        <f>-184-BZ54</f>
        <v>-91</v>
      </c>
      <c r="CB54" s="319">
        <f>-275-CA54-BZ54</f>
        <v>-91</v>
      </c>
      <c r="CC54" s="319">
        <f t="shared" si="177"/>
        <v>-97</v>
      </c>
      <c r="CD54" s="319">
        <v>-372</v>
      </c>
      <c r="CF54" s="318" t="s">
        <v>103</v>
      </c>
      <c r="CG54" s="319">
        <v>-96</v>
      </c>
      <c r="CH54" s="319">
        <f>-228-CG54</f>
        <v>-132</v>
      </c>
      <c r="CI54" s="319">
        <f>-354-CH54-CG54</f>
        <v>-126</v>
      </c>
      <c r="CJ54" s="319">
        <f t="shared" si="178"/>
        <v>-126</v>
      </c>
      <c r="CK54" s="319">
        <v>-480</v>
      </c>
      <c r="CM54" s="318" t="s">
        <v>103</v>
      </c>
      <c r="CN54" s="319">
        <v>-125</v>
      </c>
      <c r="CO54" s="319">
        <f>-270-CN54</f>
        <v>-145</v>
      </c>
      <c r="CP54" s="319">
        <f>-415-CO54-CN54</f>
        <v>-145</v>
      </c>
      <c r="CQ54" s="319">
        <f t="shared" si="179"/>
        <v>-143</v>
      </c>
      <c r="CR54" s="319">
        <v>-558</v>
      </c>
      <c r="CT54" s="318" t="s">
        <v>103</v>
      </c>
      <c r="CU54" s="319">
        <v>-143</v>
      </c>
      <c r="CV54" s="319">
        <f>-296-CU54</f>
        <v>-153</v>
      </c>
      <c r="CW54" s="319">
        <f>-448-CV54-CU54</f>
        <v>-152</v>
      </c>
      <c r="CX54" s="319">
        <f t="shared" si="180"/>
        <v>-152</v>
      </c>
      <c r="CY54" s="319">
        <v>-600</v>
      </c>
      <c r="DA54" s="318" t="s">
        <v>103</v>
      </c>
      <c r="DB54" s="319">
        <v>-151</v>
      </c>
      <c r="DC54" s="319">
        <f>-311-DB54</f>
        <v>-160</v>
      </c>
      <c r="DD54" s="319">
        <f>-470-DC54-DB54</f>
        <v>-159</v>
      </c>
      <c r="DE54" s="319">
        <f t="shared" si="181"/>
        <v>-159</v>
      </c>
      <c r="DF54" s="319">
        <v>-629</v>
      </c>
      <c r="DH54" s="318" t="s">
        <v>103</v>
      </c>
      <c r="DI54" s="319">
        <v>-158</v>
      </c>
      <c r="DJ54" s="319">
        <f>-336-DI54</f>
        <v>-178</v>
      </c>
      <c r="DK54" s="319">
        <f>-512-DJ54-DI54</f>
        <v>-176</v>
      </c>
      <c r="DL54" s="319">
        <f t="shared" si="182"/>
        <v>-174</v>
      </c>
      <c r="DM54" s="319">
        <v>-686</v>
      </c>
      <c r="DO54" s="318" t="s">
        <v>103</v>
      </c>
      <c r="DP54" s="319">
        <v>-173</v>
      </c>
      <c r="DQ54" s="319">
        <f>-344-DP54</f>
        <v>-171</v>
      </c>
      <c r="DR54" s="319">
        <f>-513-DQ54-DP54</f>
        <v>-169</v>
      </c>
      <c r="DS54" s="319">
        <f t="shared" si="183"/>
        <v>-167</v>
      </c>
      <c r="DT54" s="319">
        <v>-680</v>
      </c>
      <c r="DV54" s="318" t="s">
        <v>103</v>
      </c>
      <c r="DW54" s="319">
        <v>-166</v>
      </c>
      <c r="DX54" s="319">
        <f>-350-DW54</f>
        <v>-184</v>
      </c>
      <c r="DY54" s="319">
        <f>-530-DX54-DW54</f>
        <v>-180</v>
      </c>
      <c r="DZ54" s="319">
        <f t="shared" si="184"/>
        <v>-178</v>
      </c>
      <c r="EA54" s="319">
        <v>-708</v>
      </c>
      <c r="EC54" s="318" t="s">
        <v>103</v>
      </c>
      <c r="ED54" s="319">
        <v>-194</v>
      </c>
      <c r="EE54" s="319">
        <f>-384-ED54</f>
        <v>-190</v>
      </c>
      <c r="EF54" s="319">
        <f>-570-EE54-ED54</f>
        <v>-186</v>
      </c>
      <c r="EG54" s="319">
        <f t="shared" si="185"/>
        <v>-181</v>
      </c>
      <c r="EH54" s="319">
        <v>-751</v>
      </c>
      <c r="EJ54" s="318" t="s">
        <v>103</v>
      </c>
      <c r="EK54" s="319">
        <v>-195</v>
      </c>
      <c r="EL54" s="319">
        <f>-388-EK54</f>
        <v>-193</v>
      </c>
      <c r="EM54" s="319">
        <f>-577-EL54-EK54</f>
        <v>-189</v>
      </c>
      <c r="EN54" s="319">
        <f t="shared" si="186"/>
        <v>-186</v>
      </c>
      <c r="EO54" s="319">
        <v>-763</v>
      </c>
      <c r="EQ54" s="318" t="s">
        <v>103</v>
      </c>
      <c r="ER54" s="319">
        <v>-201</v>
      </c>
      <c r="ES54" s="319">
        <f>-400-ER54</f>
        <v>-199</v>
      </c>
      <c r="ET54" s="319">
        <f>-599-ES54-ER54</f>
        <v>-199</v>
      </c>
      <c r="EU54" s="319">
        <f t="shared" si="187"/>
        <v>-198</v>
      </c>
      <c r="EV54" s="319">
        <v>-797</v>
      </c>
      <c r="EX54" s="318" t="s">
        <v>103</v>
      </c>
      <c r="EY54" s="319">
        <v>-213</v>
      </c>
      <c r="EZ54" s="319">
        <f>-425-EY54</f>
        <v>-212</v>
      </c>
      <c r="FA54" s="319">
        <f>-633-EZ54-EY54</f>
        <v>-208</v>
      </c>
      <c r="FB54" s="319">
        <f t="shared" si="188"/>
        <v>-206</v>
      </c>
      <c r="FC54" s="319">
        <v>-839</v>
      </c>
      <c r="FE54" s="318" t="s">
        <v>103</v>
      </c>
      <c r="FF54" s="319">
        <v>-218</v>
      </c>
      <c r="FG54" s="319">
        <f>-433-FF54</f>
        <v>-215</v>
      </c>
      <c r="FH54" s="319">
        <f>-645-FG54-FF54</f>
        <v>-212</v>
      </c>
      <c r="FI54" s="319">
        <f t="shared" si="166"/>
        <v>-207</v>
      </c>
      <c r="FJ54" s="319">
        <v>-852</v>
      </c>
      <c r="FL54" s="318" t="s">
        <v>103</v>
      </c>
      <c r="FM54" s="319">
        <v>-226</v>
      </c>
      <c r="FN54" s="319">
        <f>-448-FM54</f>
        <v>-222</v>
      </c>
      <c r="FO54" s="319">
        <f>-666-SUM(FM54:FN54)</f>
        <v>-218</v>
      </c>
      <c r="FP54" s="319">
        <f t="shared" si="167"/>
        <v>-216</v>
      </c>
      <c r="FQ54" s="319">
        <v>-882</v>
      </c>
      <c r="FS54" s="318" t="s">
        <v>103</v>
      </c>
      <c r="FT54" s="319">
        <v>-235</v>
      </c>
      <c r="FU54" s="319">
        <f>-468-FT54</f>
        <v>-233</v>
      </c>
      <c r="FV54" s="319">
        <f>-700-FU54-FT54</f>
        <v>-232</v>
      </c>
      <c r="FW54" s="319">
        <f t="shared" si="169"/>
        <v>-230</v>
      </c>
      <c r="FX54" s="319">
        <v>-930</v>
      </c>
      <c r="FZ54" s="318" t="s">
        <v>103</v>
      </c>
      <c r="GA54" s="319">
        <v>-245</v>
      </c>
      <c r="GB54" s="319">
        <f>-488-GA54</f>
        <v>-243</v>
      </c>
      <c r="GC54" s="319">
        <f>-730-GB54-GA54</f>
        <v>-242</v>
      </c>
      <c r="GD54" s="319">
        <f>-972-SUM(GA54:GC54)</f>
        <v>-242</v>
      </c>
      <c r="GE54" s="319">
        <f t="shared" si="170"/>
        <v>-972</v>
      </c>
      <c r="GG54" s="318" t="s">
        <v>103</v>
      </c>
      <c r="GH54" s="319">
        <f>-CSX!LQ70*CSX!LQ61</f>
        <v>-278.30720685</v>
      </c>
      <c r="GI54" s="319">
        <f>-CSX!LR70*CSX!LR61</f>
        <v>-275.83220685000003</v>
      </c>
      <c r="GJ54" s="319">
        <f>-CSX!LS70*CSX!LS61</f>
        <v>-273.28220685000002</v>
      </c>
      <c r="GK54" s="319">
        <f>-CSX!LT70*CSX!LT61</f>
        <v>-270.73220685000001</v>
      </c>
      <c r="GL54" s="319">
        <f t="shared" si="171"/>
        <v>-1098.1538274</v>
      </c>
      <c r="GN54" s="318" t="s">
        <v>103</v>
      </c>
      <c r="GO54" s="319">
        <f>-CSX!LX70*CSX!LX61</f>
        <v>-268.18220685</v>
      </c>
      <c r="GP54" s="319">
        <f>-CSX!LY70*CSX!LY61</f>
        <v>-265.63220684999999</v>
      </c>
      <c r="GQ54" s="319">
        <f>-CSX!LZ70*CSX!LZ61</f>
        <v>-263.08220685000003</v>
      </c>
      <c r="GR54" s="319">
        <f>-CSX!MA70*CSX!MA61</f>
        <v>-260.53220685000002</v>
      </c>
      <c r="GS54" s="319">
        <f t="shared" si="172"/>
        <v>-1057.4288274</v>
      </c>
      <c r="GU54" s="318" t="s">
        <v>103</v>
      </c>
      <c r="GV54" s="319">
        <f>-CSX!ME70*CSX!ME61</f>
        <v>-257.94470684999999</v>
      </c>
      <c r="GW54" s="319">
        <f>-CSX!MF70*CSX!MF61</f>
        <v>-255.31970685000002</v>
      </c>
      <c r="GX54" s="319">
        <f>-CSX!MG70*CSX!MG61</f>
        <v>-252.69470685000002</v>
      </c>
      <c r="GY54" s="319">
        <f>-CSX!MH70*CSX!MH61</f>
        <v>-250.06970685000002</v>
      </c>
      <c r="GZ54" s="319">
        <f t="shared" si="173"/>
        <v>-1016.0288274</v>
      </c>
    </row>
    <row r="55" spans="1:208" x14ac:dyDescent="0.4">
      <c r="A55" s="414"/>
      <c r="B55" s="318" t="s">
        <v>104</v>
      </c>
      <c r="C55" s="319">
        <f t="shared" si="140"/>
        <v>0</v>
      </c>
      <c r="D55" s="319">
        <f t="shared" si="141"/>
        <v>-465</v>
      </c>
      <c r="E55" s="319">
        <f t="shared" si="142"/>
        <v>-2174</v>
      </c>
      <c r="F55" s="319">
        <f t="shared" si="143"/>
        <v>-1570</v>
      </c>
      <c r="G55" s="319">
        <f t="shared" si="144"/>
        <v>0</v>
      </c>
      <c r="H55" s="319">
        <f t="shared" si="145"/>
        <v>-1452</v>
      </c>
      <c r="I55" s="319">
        <f t="shared" si="146"/>
        <v>-1564</v>
      </c>
      <c r="J55" s="319">
        <f t="shared" si="147"/>
        <v>-734</v>
      </c>
      <c r="K55" s="319">
        <f t="shared" si="148"/>
        <v>-353</v>
      </c>
      <c r="L55" s="319">
        <f t="shared" si="149"/>
        <v>-517</v>
      </c>
      <c r="M55" s="319">
        <f t="shared" si="150"/>
        <v>-804</v>
      </c>
      <c r="N55" s="319">
        <f t="shared" si="151"/>
        <v>-1056</v>
      </c>
      <c r="O55" s="319">
        <f t="shared" si="152"/>
        <v>-1970</v>
      </c>
      <c r="P55" s="319">
        <f t="shared" si="153"/>
        <v>-4671</v>
      </c>
      <c r="Q55" s="319">
        <f t="shared" si="154"/>
        <v>-3373</v>
      </c>
      <c r="R55" s="319">
        <f t="shared" si="155"/>
        <v>-867</v>
      </c>
      <c r="S55" s="319">
        <f t="shared" si="156"/>
        <v>-2886</v>
      </c>
      <c r="T55" s="319">
        <f t="shared" si="157"/>
        <v>-4731</v>
      </c>
      <c r="U55" s="319">
        <f t="shared" si="158"/>
        <v>-3482</v>
      </c>
      <c r="V55" s="319">
        <f t="shared" si="159"/>
        <v>-2237</v>
      </c>
      <c r="W55" s="319">
        <f t="shared" si="160"/>
        <v>-1396</v>
      </c>
      <c r="X55" s="319">
        <f t="shared" si="161"/>
        <v>-2590</v>
      </c>
      <c r="Y55" s="319">
        <f t="shared" si="162"/>
        <v>-2880</v>
      </c>
      <c r="Z55" s="319">
        <f t="shared" si="163"/>
        <v>-2960</v>
      </c>
      <c r="AA55" s="320"/>
      <c r="AB55" s="320"/>
      <c r="AC55" s="320"/>
      <c r="AD55" s="320"/>
      <c r="AE55" s="320"/>
      <c r="AF55" s="320"/>
      <c r="AG55" s="320"/>
      <c r="AH55" s="320"/>
      <c r="AI55" s="320"/>
      <c r="AJ55" s="320"/>
      <c r="AK55" s="320"/>
      <c r="AL55" s="320"/>
      <c r="AM55" s="320"/>
      <c r="AN55" s="320"/>
      <c r="AP55" s="318" t="s">
        <v>104</v>
      </c>
      <c r="AQ55" s="319">
        <v>0</v>
      </c>
      <c r="AR55" s="319">
        <v>0</v>
      </c>
      <c r="AS55" s="319">
        <v>0</v>
      </c>
      <c r="AT55" s="319">
        <f t="shared" si="174"/>
        <v>0</v>
      </c>
      <c r="AU55" s="319">
        <v>0</v>
      </c>
      <c r="AW55" s="318" t="s">
        <v>104</v>
      </c>
      <c r="AX55" s="319">
        <v>0</v>
      </c>
      <c r="AY55" s="319">
        <f>-149-AX55</f>
        <v>-149</v>
      </c>
      <c r="AZ55" s="319">
        <f>-422-AY55-AX55</f>
        <v>-273</v>
      </c>
      <c r="BA55" s="319">
        <f t="shared" si="164"/>
        <v>-43</v>
      </c>
      <c r="BB55" s="319">
        <v>-465</v>
      </c>
      <c r="BD55" s="318" t="s">
        <v>104</v>
      </c>
      <c r="BE55" s="319">
        <v>-179</v>
      </c>
      <c r="BF55" s="319">
        <f>-727-BE55</f>
        <v>-548</v>
      </c>
      <c r="BG55" s="319">
        <f>-1609-BF55-BE55</f>
        <v>-882</v>
      </c>
      <c r="BH55" s="319">
        <f t="shared" si="165"/>
        <v>-565</v>
      </c>
      <c r="BI55" s="319">
        <v>-2174</v>
      </c>
      <c r="BK55" s="318" t="s">
        <v>104</v>
      </c>
      <c r="BL55" s="319">
        <v>-300</v>
      </c>
      <c r="BM55" s="319">
        <f>-453-BL55</f>
        <v>-153</v>
      </c>
      <c r="BN55" s="319">
        <f>-1307-BM55-BL55</f>
        <v>-854</v>
      </c>
      <c r="BO55" s="319">
        <f t="shared" si="175"/>
        <v>-263</v>
      </c>
      <c r="BP55" s="319">
        <v>-1570</v>
      </c>
      <c r="BR55" s="318" t="s">
        <v>104</v>
      </c>
      <c r="BS55" s="319">
        <v>0</v>
      </c>
      <c r="BT55" s="319">
        <v>0</v>
      </c>
      <c r="BU55" s="319">
        <v>0</v>
      </c>
      <c r="BV55" s="319">
        <f t="shared" si="176"/>
        <v>0</v>
      </c>
      <c r="BW55" s="319">
        <v>0</v>
      </c>
      <c r="BY55" s="318" t="s">
        <v>104</v>
      </c>
      <c r="BZ55" s="319">
        <v>-229</v>
      </c>
      <c r="CA55" s="319">
        <f>-823-BZ55</f>
        <v>-594</v>
      </c>
      <c r="CB55" s="319">
        <f>-1123-CA55-BZ55</f>
        <v>-300</v>
      </c>
      <c r="CC55" s="319">
        <f t="shared" si="177"/>
        <v>-329</v>
      </c>
      <c r="CD55" s="319">
        <v>-1452</v>
      </c>
      <c r="CF55" s="318" t="s">
        <v>104</v>
      </c>
      <c r="CG55" s="319">
        <v>-300</v>
      </c>
      <c r="CH55" s="319">
        <f>-528-CG55</f>
        <v>-228</v>
      </c>
      <c r="CI55" s="319">
        <f>-1564-CH55-CG55</f>
        <v>-1036</v>
      </c>
      <c r="CJ55" s="319">
        <f t="shared" si="178"/>
        <v>0</v>
      </c>
      <c r="CK55" s="319">
        <v>-1564</v>
      </c>
      <c r="CM55" s="318" t="s">
        <v>104</v>
      </c>
      <c r="CN55" s="319">
        <v>-300</v>
      </c>
      <c r="CO55" s="319">
        <f>-300-CN55</f>
        <v>0</v>
      </c>
      <c r="CP55" s="319">
        <f>-500-CO55-CN55</f>
        <v>-200</v>
      </c>
      <c r="CQ55" s="319">
        <f t="shared" si="179"/>
        <v>-234</v>
      </c>
      <c r="CR55" s="319">
        <v>-734</v>
      </c>
      <c r="CT55" s="318" t="s">
        <v>104</v>
      </c>
      <c r="CU55" s="319">
        <v>0</v>
      </c>
      <c r="CV55" s="319">
        <f>-95-CU55</f>
        <v>-95</v>
      </c>
      <c r="CW55" s="319">
        <f>-224-CV55-CU55</f>
        <v>-129</v>
      </c>
      <c r="CX55" s="319">
        <f t="shared" si="180"/>
        <v>-129</v>
      </c>
      <c r="CY55" s="319">
        <v>-353</v>
      </c>
      <c r="DA55" s="318" t="s">
        <v>104</v>
      </c>
      <c r="DB55" s="319">
        <v>-127</v>
      </c>
      <c r="DC55" s="319">
        <f>-257-DB55</f>
        <v>-130</v>
      </c>
      <c r="DD55" s="319">
        <f>-388-DC55-DB55</f>
        <v>-131</v>
      </c>
      <c r="DE55" s="319">
        <f t="shared" si="181"/>
        <v>-129</v>
      </c>
      <c r="DF55" s="319">
        <v>-517</v>
      </c>
      <c r="DH55" s="318" t="s">
        <v>104</v>
      </c>
      <c r="DI55" s="319">
        <v>-127</v>
      </c>
      <c r="DJ55" s="319">
        <f>-284-DI55</f>
        <v>-157</v>
      </c>
      <c r="DK55" s="319">
        <f>-546-DJ55-DI55</f>
        <v>-262</v>
      </c>
      <c r="DL55" s="319">
        <f t="shared" si="182"/>
        <v>-258</v>
      </c>
      <c r="DM55" s="319">
        <v>-804</v>
      </c>
      <c r="DO55" s="318" t="s">
        <v>104</v>
      </c>
      <c r="DP55" s="319">
        <v>-249</v>
      </c>
      <c r="DQ55" s="319">
        <f>-515-DP55</f>
        <v>-266</v>
      </c>
      <c r="DR55" s="319">
        <f>-778-DQ55-DP55</f>
        <v>-263</v>
      </c>
      <c r="DS55" s="319">
        <f t="shared" si="183"/>
        <v>-278</v>
      </c>
      <c r="DT55" s="319">
        <v>-1056</v>
      </c>
      <c r="DV55" s="318" t="s">
        <v>104</v>
      </c>
      <c r="DW55" s="319">
        <v>-258</v>
      </c>
      <c r="DX55" s="319">
        <f>-757-DW55</f>
        <v>-499</v>
      </c>
      <c r="DY55" s="319">
        <f>-1763-DX55-DW55</f>
        <v>-1006</v>
      </c>
      <c r="DZ55" s="319">
        <f t="shared" si="184"/>
        <v>-207</v>
      </c>
      <c r="EA55" s="319">
        <v>-1970</v>
      </c>
      <c r="EC55" s="318" t="s">
        <v>104</v>
      </c>
      <c r="ED55" s="319">
        <v>-836</v>
      </c>
      <c r="EE55" s="319">
        <f>-1810-ED55</f>
        <v>-974</v>
      </c>
      <c r="EF55" s="319">
        <f>-2816-EE55-ED55</f>
        <v>-1006</v>
      </c>
      <c r="EG55" s="319">
        <f t="shared" si="185"/>
        <v>-1855</v>
      </c>
      <c r="EH55" s="319">
        <v>-4671</v>
      </c>
      <c r="EJ55" s="318" t="s">
        <v>104</v>
      </c>
      <c r="EK55" s="319">
        <v>-796</v>
      </c>
      <c r="EL55" s="319">
        <f>-1656-EK55</f>
        <v>-860</v>
      </c>
      <c r="EM55" s="319">
        <f>-2767-EL55-EK55</f>
        <v>-1111</v>
      </c>
      <c r="EN55" s="319">
        <f t="shared" si="186"/>
        <v>-606</v>
      </c>
      <c r="EO55" s="319">
        <v>-3373</v>
      </c>
      <c r="EQ55" s="318" t="s">
        <v>104</v>
      </c>
      <c r="ER55" s="319">
        <v>-577</v>
      </c>
      <c r="ES55" s="319">
        <f>-616-ER55</f>
        <v>-39</v>
      </c>
      <c r="ET55" s="319">
        <f>-664-ES55-ER55</f>
        <v>-48</v>
      </c>
      <c r="EU55" s="319">
        <f t="shared" si="187"/>
        <v>-203</v>
      </c>
      <c r="EV55" s="319">
        <v>-867</v>
      </c>
      <c r="EX55" s="318" t="s">
        <v>104</v>
      </c>
      <c r="EY55" s="319">
        <v>-551</v>
      </c>
      <c r="EZ55" s="319">
        <f>-1252-EY55</f>
        <v>-701</v>
      </c>
      <c r="FA55" s="319">
        <f>-2316-EZ55-EY55</f>
        <v>-1064</v>
      </c>
      <c r="FB55" s="319">
        <f t="shared" si="188"/>
        <v>-570</v>
      </c>
      <c r="FC55" s="319">
        <v>-2886</v>
      </c>
      <c r="FE55" s="318" t="s">
        <v>104</v>
      </c>
      <c r="FF55" s="319">
        <v>-1016</v>
      </c>
      <c r="FG55" s="319">
        <f>-2515-FF55</f>
        <v>-1499</v>
      </c>
      <c r="FH55" s="319">
        <f>-3710-FG55-FF55</f>
        <v>-1195</v>
      </c>
      <c r="FI55" s="319">
        <f t="shared" si="166"/>
        <v>-1021</v>
      </c>
      <c r="FJ55" s="319">
        <v>-4731</v>
      </c>
      <c r="FL55" s="318" t="s">
        <v>104</v>
      </c>
      <c r="FM55" s="319">
        <v>-1067</v>
      </c>
      <c r="FN55" s="319">
        <f>-1930-FM55</f>
        <v>-863</v>
      </c>
      <c r="FO55" s="319">
        <f>-2901-SUM(FM55:FN55)</f>
        <v>-971</v>
      </c>
      <c r="FP55" s="319">
        <f t="shared" si="167"/>
        <v>-581</v>
      </c>
      <c r="FQ55" s="319">
        <v>-3482</v>
      </c>
      <c r="FS55" s="318" t="s">
        <v>104</v>
      </c>
      <c r="FT55" s="319">
        <v>-247</v>
      </c>
      <c r="FU55" s="319">
        <f>-810-FT55</f>
        <v>-563</v>
      </c>
      <c r="FV55" s="319">
        <f>-1212-FU55-FT55</f>
        <v>-402</v>
      </c>
      <c r="FW55" s="319">
        <f t="shared" si="169"/>
        <v>-1025</v>
      </c>
      <c r="FX55" s="319">
        <v>-2237</v>
      </c>
      <c r="FZ55" s="318" t="s">
        <v>104</v>
      </c>
      <c r="GA55" s="319">
        <v>-751</v>
      </c>
      <c r="GB55" s="319">
        <f>-1172-GA55</f>
        <v>-421</v>
      </c>
      <c r="GC55" s="319">
        <f>-1284-GB55-GA55</f>
        <v>-112</v>
      </c>
      <c r="GD55" s="319">
        <f>-1396-SUM(GA55:GC55)</f>
        <v>-112</v>
      </c>
      <c r="GE55" s="319">
        <f t="shared" si="170"/>
        <v>-1396</v>
      </c>
      <c r="GG55" s="318" t="s">
        <v>104</v>
      </c>
      <c r="GH55" s="319">
        <f>+CF!GH149</f>
        <v>-629</v>
      </c>
      <c r="GI55" s="319">
        <f>+CF!GI149</f>
        <v>-629</v>
      </c>
      <c r="GJ55" s="319">
        <f>+CF!GJ149</f>
        <v>-666</v>
      </c>
      <c r="GK55" s="319">
        <f>+CF!GK149</f>
        <v>-666</v>
      </c>
      <c r="GL55" s="319">
        <f t="shared" si="171"/>
        <v>-2590</v>
      </c>
      <c r="GN55" s="318" t="s">
        <v>104</v>
      </c>
      <c r="GO55" s="319">
        <f>+CF!GO149</f>
        <v>-720</v>
      </c>
      <c r="GP55" s="319">
        <f>+CF!GP149</f>
        <v>-720</v>
      </c>
      <c r="GQ55" s="319">
        <f>+CF!GQ149</f>
        <v>-720</v>
      </c>
      <c r="GR55" s="319">
        <f>+CF!GR149</f>
        <v>-720</v>
      </c>
      <c r="GS55" s="319">
        <f t="shared" si="172"/>
        <v>-2880</v>
      </c>
      <c r="GU55" s="318" t="s">
        <v>104</v>
      </c>
      <c r="GV55" s="319">
        <f>+CF!GV149</f>
        <v>-740</v>
      </c>
      <c r="GW55" s="319">
        <f>+CF!GW149</f>
        <v>-740</v>
      </c>
      <c r="GX55" s="319">
        <f>+CF!GX149</f>
        <v>-740</v>
      </c>
      <c r="GY55" s="319">
        <f>+CF!GY149</f>
        <v>-740</v>
      </c>
      <c r="GZ55" s="319">
        <f t="shared" si="173"/>
        <v>-2960</v>
      </c>
    </row>
    <row r="56" spans="1:208" x14ac:dyDescent="0.4">
      <c r="A56" s="417"/>
      <c r="B56" s="318" t="s">
        <v>182</v>
      </c>
      <c r="C56" s="319">
        <f t="shared" si="140"/>
        <v>0</v>
      </c>
      <c r="D56" s="319">
        <f t="shared" si="141"/>
        <v>0</v>
      </c>
      <c r="E56" s="319">
        <f t="shared" si="142"/>
        <v>0</v>
      </c>
      <c r="F56" s="319">
        <f t="shared" si="143"/>
        <v>0</v>
      </c>
      <c r="G56" s="319">
        <f t="shared" si="144"/>
        <v>0</v>
      </c>
      <c r="H56" s="319">
        <f t="shared" si="145"/>
        <v>0</v>
      </c>
      <c r="I56" s="319">
        <f t="shared" si="146"/>
        <v>0</v>
      </c>
      <c r="J56" s="319">
        <f t="shared" si="147"/>
        <v>0</v>
      </c>
      <c r="K56" s="319">
        <f t="shared" si="148"/>
        <v>0</v>
      </c>
      <c r="L56" s="319">
        <f t="shared" si="149"/>
        <v>0</v>
      </c>
      <c r="M56" s="319">
        <f t="shared" si="150"/>
        <v>0</v>
      </c>
      <c r="N56" s="319">
        <f t="shared" si="151"/>
        <v>0</v>
      </c>
      <c r="O56" s="319">
        <f t="shared" si="152"/>
        <v>0</v>
      </c>
      <c r="P56" s="319">
        <f t="shared" si="153"/>
        <v>0</v>
      </c>
      <c r="Q56" s="319">
        <f t="shared" si="154"/>
        <v>0</v>
      </c>
      <c r="R56" s="319">
        <f t="shared" si="155"/>
        <v>0</v>
      </c>
      <c r="S56" s="319">
        <f t="shared" si="156"/>
        <v>0</v>
      </c>
      <c r="T56" s="319">
        <f t="shared" si="157"/>
        <v>0</v>
      </c>
      <c r="U56" s="319">
        <f t="shared" si="158"/>
        <v>0</v>
      </c>
      <c r="V56" s="319">
        <f t="shared" si="159"/>
        <v>0</v>
      </c>
      <c r="W56" s="319">
        <f t="shared" si="160"/>
        <v>0</v>
      </c>
      <c r="X56" s="319">
        <f t="shared" si="161"/>
        <v>0</v>
      </c>
      <c r="Y56" s="319">
        <f t="shared" si="162"/>
        <v>0</v>
      </c>
      <c r="Z56" s="319">
        <f t="shared" si="163"/>
        <v>0</v>
      </c>
      <c r="AA56" s="320"/>
      <c r="AB56" s="320"/>
      <c r="AC56" s="320"/>
      <c r="AD56" s="320"/>
      <c r="AE56" s="320"/>
      <c r="AF56" s="320"/>
      <c r="AG56" s="320"/>
      <c r="AH56" s="320"/>
      <c r="AI56" s="320"/>
      <c r="AJ56" s="320"/>
      <c r="AK56" s="320"/>
      <c r="AL56" s="320"/>
      <c r="AM56" s="320"/>
      <c r="AN56" s="320"/>
      <c r="AP56" s="318" t="s">
        <v>182</v>
      </c>
      <c r="AQ56" s="319">
        <v>0</v>
      </c>
      <c r="AR56" s="319">
        <v>0</v>
      </c>
      <c r="AS56" s="319">
        <v>0</v>
      </c>
      <c r="AT56" s="319">
        <f t="shared" si="174"/>
        <v>0</v>
      </c>
      <c r="AU56" s="319">
        <v>0</v>
      </c>
      <c r="AW56" s="318" t="s">
        <v>182</v>
      </c>
      <c r="AX56" s="319">
        <v>0</v>
      </c>
      <c r="AY56" s="319">
        <v>0</v>
      </c>
      <c r="AZ56" s="319">
        <v>0</v>
      </c>
      <c r="BA56" s="319">
        <f t="shared" si="164"/>
        <v>0</v>
      </c>
      <c r="BB56" s="319">
        <v>0</v>
      </c>
      <c r="BD56" s="318" t="s">
        <v>182</v>
      </c>
      <c r="BE56" s="319">
        <v>0</v>
      </c>
      <c r="BF56" s="319">
        <v>0</v>
      </c>
      <c r="BG56" s="319">
        <v>0</v>
      </c>
      <c r="BH56" s="319">
        <f t="shared" si="165"/>
        <v>0</v>
      </c>
      <c r="BI56" s="319">
        <v>0</v>
      </c>
      <c r="BK56" s="318" t="s">
        <v>182</v>
      </c>
      <c r="BL56" s="319">
        <v>0</v>
      </c>
      <c r="BM56" s="319">
        <v>0</v>
      </c>
      <c r="BN56" s="319">
        <v>0</v>
      </c>
      <c r="BO56" s="319">
        <f t="shared" si="175"/>
        <v>0</v>
      </c>
      <c r="BP56" s="319">
        <v>0</v>
      </c>
      <c r="BR56" s="318" t="s">
        <v>182</v>
      </c>
      <c r="BS56" s="319">
        <v>0</v>
      </c>
      <c r="BT56" s="319">
        <v>0</v>
      </c>
      <c r="BU56" s="319">
        <v>0</v>
      </c>
      <c r="BV56" s="319">
        <f t="shared" si="176"/>
        <v>0</v>
      </c>
      <c r="BW56" s="319">
        <v>0</v>
      </c>
      <c r="BY56" s="318" t="s">
        <v>182</v>
      </c>
      <c r="BZ56" s="319">
        <v>0</v>
      </c>
      <c r="CA56" s="319">
        <v>0</v>
      </c>
      <c r="CB56" s="319">
        <v>0</v>
      </c>
      <c r="CC56" s="319">
        <f t="shared" si="177"/>
        <v>0</v>
      </c>
      <c r="CD56" s="319">
        <v>0</v>
      </c>
      <c r="CF56" s="318" t="s">
        <v>182</v>
      </c>
      <c r="CG56" s="319">
        <v>0</v>
      </c>
      <c r="CH56" s="319">
        <v>0</v>
      </c>
      <c r="CI56" s="319">
        <v>0</v>
      </c>
      <c r="CJ56" s="319">
        <f t="shared" si="178"/>
        <v>0</v>
      </c>
      <c r="CK56" s="319">
        <v>0</v>
      </c>
      <c r="CM56" s="318" t="s">
        <v>182</v>
      </c>
      <c r="CN56" s="319">
        <v>0</v>
      </c>
      <c r="CO56" s="319">
        <v>0</v>
      </c>
      <c r="CP56" s="319">
        <v>0</v>
      </c>
      <c r="CQ56" s="319">
        <f t="shared" si="179"/>
        <v>0</v>
      </c>
      <c r="CR56" s="319">
        <v>0</v>
      </c>
      <c r="CT56" s="318" t="s">
        <v>182</v>
      </c>
      <c r="CU56" s="319">
        <v>0</v>
      </c>
      <c r="CV56" s="319">
        <v>0</v>
      </c>
      <c r="CW56" s="319">
        <v>0</v>
      </c>
      <c r="CX56" s="319">
        <f t="shared" si="180"/>
        <v>0</v>
      </c>
      <c r="CY56" s="319">
        <v>0</v>
      </c>
      <c r="DA56" s="318" t="s">
        <v>182</v>
      </c>
      <c r="DB56" s="319">
        <v>0</v>
      </c>
      <c r="DC56" s="319">
        <v>0</v>
      </c>
      <c r="DD56" s="319">
        <v>0</v>
      </c>
      <c r="DE56" s="319">
        <f t="shared" si="181"/>
        <v>0</v>
      </c>
      <c r="DF56" s="319">
        <v>0</v>
      </c>
      <c r="DH56" s="318" t="s">
        <v>182</v>
      </c>
      <c r="DI56" s="319">
        <v>0</v>
      </c>
      <c r="DJ56" s="319">
        <v>0</v>
      </c>
      <c r="DK56" s="319">
        <v>0</v>
      </c>
      <c r="DL56" s="319">
        <f t="shared" si="182"/>
        <v>0</v>
      </c>
      <c r="DM56" s="319">
        <v>0</v>
      </c>
      <c r="DO56" s="318" t="s">
        <v>182</v>
      </c>
      <c r="DP56" s="319">
        <v>0</v>
      </c>
      <c r="DQ56" s="319">
        <v>0</v>
      </c>
      <c r="DR56" s="319">
        <v>0</v>
      </c>
      <c r="DS56" s="319">
        <f t="shared" si="183"/>
        <v>0</v>
      </c>
      <c r="DT56" s="319">
        <v>0</v>
      </c>
      <c r="DV56" s="318" t="s">
        <v>182</v>
      </c>
      <c r="DW56" s="319">
        <v>0</v>
      </c>
      <c r="DX56" s="319">
        <v>0</v>
      </c>
      <c r="DY56" s="319">
        <v>0</v>
      </c>
      <c r="DZ56" s="319">
        <f t="shared" si="184"/>
        <v>0</v>
      </c>
      <c r="EA56" s="319">
        <v>0</v>
      </c>
      <c r="EC56" s="318" t="s">
        <v>182</v>
      </c>
      <c r="ED56" s="319">
        <v>0</v>
      </c>
      <c r="EE56" s="319">
        <f>-90-ED56</f>
        <v>-90</v>
      </c>
      <c r="EF56" s="319">
        <f>-100-EE56-ED56</f>
        <v>-10</v>
      </c>
      <c r="EG56" s="319">
        <f t="shared" si="185"/>
        <v>100</v>
      </c>
      <c r="EH56" s="319">
        <v>0</v>
      </c>
      <c r="EJ56" s="318" t="s">
        <v>182</v>
      </c>
      <c r="EK56" s="319">
        <v>0</v>
      </c>
      <c r="EL56" s="319">
        <f>0-EK56</f>
        <v>0</v>
      </c>
      <c r="EM56" s="319">
        <v>0</v>
      </c>
      <c r="EN56" s="319">
        <f t="shared" si="186"/>
        <v>0</v>
      </c>
      <c r="EO56" s="319">
        <v>0</v>
      </c>
      <c r="EQ56" s="318" t="s">
        <v>182</v>
      </c>
      <c r="ER56" s="319">
        <v>0</v>
      </c>
      <c r="ES56" s="319">
        <v>0</v>
      </c>
      <c r="ET56" s="319">
        <v>0</v>
      </c>
      <c r="EU56" s="319">
        <f t="shared" si="187"/>
        <v>0</v>
      </c>
      <c r="EV56" s="319">
        <v>0</v>
      </c>
      <c r="EX56" s="318" t="s">
        <v>182</v>
      </c>
      <c r="EY56" s="319">
        <v>0</v>
      </c>
      <c r="EZ56" s="319">
        <v>0</v>
      </c>
      <c r="FA56" s="319">
        <v>0</v>
      </c>
      <c r="FB56" s="319">
        <f t="shared" si="188"/>
        <v>0</v>
      </c>
      <c r="FC56" s="319">
        <v>0</v>
      </c>
      <c r="FE56" s="318" t="s">
        <v>182</v>
      </c>
      <c r="FF56" s="319">
        <v>0</v>
      </c>
      <c r="FG56" s="319">
        <v>0</v>
      </c>
      <c r="FH56" s="319">
        <v>0</v>
      </c>
      <c r="FI56" s="319">
        <f t="shared" si="166"/>
        <v>0</v>
      </c>
      <c r="FJ56" s="319">
        <v>0</v>
      </c>
      <c r="FL56" s="318" t="s">
        <v>182</v>
      </c>
      <c r="FM56" s="319">
        <v>0</v>
      </c>
      <c r="FN56" s="319">
        <v>0</v>
      </c>
      <c r="FO56" s="319">
        <v>0</v>
      </c>
      <c r="FP56" s="319">
        <f t="shared" si="167"/>
        <v>0</v>
      </c>
      <c r="FQ56" s="319">
        <v>0</v>
      </c>
      <c r="FS56" s="318" t="s">
        <v>182</v>
      </c>
      <c r="FT56" s="319">
        <v>0</v>
      </c>
      <c r="FU56" s="319">
        <f>0-FT56</f>
        <v>0</v>
      </c>
      <c r="FV56" s="319">
        <f t="shared" si="168"/>
        <v>0</v>
      </c>
      <c r="FW56" s="319">
        <f t="shared" si="169"/>
        <v>0</v>
      </c>
      <c r="FX56" s="319">
        <v>0</v>
      </c>
      <c r="FZ56" s="318" t="s">
        <v>182</v>
      </c>
      <c r="GA56" s="319">
        <v>0</v>
      </c>
      <c r="GB56" s="319">
        <f>0-GA56</f>
        <v>0</v>
      </c>
      <c r="GC56" s="319">
        <f>0-GB56-GA56</f>
        <v>0</v>
      </c>
      <c r="GD56" s="319">
        <f>0-SUM(GA56:GC56)</f>
        <v>0</v>
      </c>
      <c r="GE56" s="319">
        <f t="shared" si="170"/>
        <v>0</v>
      </c>
      <c r="GG56" s="318" t="s">
        <v>182</v>
      </c>
      <c r="GH56" s="319">
        <v>0</v>
      </c>
      <c r="GI56" s="319">
        <v>0</v>
      </c>
      <c r="GJ56" s="319">
        <v>0</v>
      </c>
      <c r="GK56" s="319">
        <v>0</v>
      </c>
      <c r="GL56" s="319">
        <f t="shared" si="171"/>
        <v>0</v>
      </c>
      <c r="GN56" s="318" t="s">
        <v>182</v>
      </c>
      <c r="GO56" s="319">
        <v>0</v>
      </c>
      <c r="GP56" s="319">
        <v>0</v>
      </c>
      <c r="GQ56" s="319">
        <v>0</v>
      </c>
      <c r="GR56" s="319">
        <v>0</v>
      </c>
      <c r="GS56" s="319">
        <f t="shared" si="172"/>
        <v>0</v>
      </c>
      <c r="GU56" s="318" t="s">
        <v>182</v>
      </c>
      <c r="GV56" s="319">
        <v>0</v>
      </c>
      <c r="GW56" s="319">
        <v>0</v>
      </c>
      <c r="GX56" s="319">
        <v>0</v>
      </c>
      <c r="GY56" s="319">
        <v>0</v>
      </c>
      <c r="GZ56" s="319">
        <f t="shared" si="173"/>
        <v>0</v>
      </c>
    </row>
    <row r="57" spans="1:208" x14ac:dyDescent="0.4">
      <c r="A57" s="414"/>
      <c r="B57" s="318" t="s">
        <v>105</v>
      </c>
      <c r="C57" s="319">
        <f t="shared" si="140"/>
        <v>83</v>
      </c>
      <c r="D57" s="319">
        <f t="shared" si="141"/>
        <v>382</v>
      </c>
      <c r="E57" s="319">
        <f t="shared" si="142"/>
        <v>231</v>
      </c>
      <c r="F57" s="319">
        <f t="shared" si="143"/>
        <v>5</v>
      </c>
      <c r="G57" s="319">
        <f t="shared" si="144"/>
        <v>-139</v>
      </c>
      <c r="H57" s="319">
        <f t="shared" si="145"/>
        <v>-90</v>
      </c>
      <c r="I57" s="319">
        <f t="shared" si="146"/>
        <v>36</v>
      </c>
      <c r="J57" s="319">
        <f t="shared" si="147"/>
        <v>32</v>
      </c>
      <c r="K57" s="319">
        <f t="shared" si="148"/>
        <v>1</v>
      </c>
      <c r="L57" s="319">
        <f t="shared" si="149"/>
        <v>-4</v>
      </c>
      <c r="M57" s="319">
        <f t="shared" si="150"/>
        <v>0</v>
      </c>
      <c r="N57" s="319">
        <f t="shared" si="151"/>
        <v>-313</v>
      </c>
      <c r="O57" s="319">
        <f t="shared" si="152"/>
        <v>-18</v>
      </c>
      <c r="P57" s="319">
        <f t="shared" si="153"/>
        <v>-59</v>
      </c>
      <c r="Q57" s="319">
        <f t="shared" si="154"/>
        <v>6</v>
      </c>
      <c r="R57" s="319">
        <f t="shared" si="155"/>
        <v>-34</v>
      </c>
      <c r="S57" s="319">
        <f t="shared" si="156"/>
        <v>39</v>
      </c>
      <c r="T57" s="319">
        <f t="shared" si="157"/>
        <v>0</v>
      </c>
      <c r="U57" s="319">
        <f t="shared" si="158"/>
        <v>50</v>
      </c>
      <c r="V57" s="319">
        <f t="shared" si="159"/>
        <v>113</v>
      </c>
      <c r="W57" s="319">
        <f t="shared" si="160"/>
        <v>56</v>
      </c>
      <c r="X57" s="319">
        <f t="shared" si="161"/>
        <v>-100</v>
      </c>
      <c r="Y57" s="319">
        <f t="shared" si="162"/>
        <v>-100</v>
      </c>
      <c r="Z57" s="319">
        <f t="shared" si="163"/>
        <v>-100</v>
      </c>
      <c r="AA57" s="320"/>
      <c r="AB57" s="320"/>
      <c r="AC57" s="320"/>
      <c r="AD57" s="320"/>
      <c r="AE57" s="320"/>
      <c r="AF57" s="320"/>
      <c r="AG57" s="320"/>
      <c r="AH57" s="320"/>
      <c r="AI57" s="320"/>
      <c r="AJ57" s="320"/>
      <c r="AK57" s="320"/>
      <c r="AL57" s="320"/>
      <c r="AM57" s="320"/>
      <c r="AN57" s="320"/>
      <c r="AP57" s="318" t="s">
        <v>105</v>
      </c>
      <c r="AQ57" s="319">
        <f>38+3</f>
        <v>41</v>
      </c>
      <c r="AR57" s="319">
        <f>52+3-AQ57</f>
        <v>14</v>
      </c>
      <c r="AS57" s="319">
        <f>-18+62-AR57-AQ57</f>
        <v>-11</v>
      </c>
      <c r="AT57" s="319">
        <f t="shared" si="174"/>
        <v>39</v>
      </c>
      <c r="AU57" s="319">
        <f>-15+98</f>
        <v>83</v>
      </c>
      <c r="AW57" s="318" t="s">
        <v>105</v>
      </c>
      <c r="AX57" s="319">
        <f>129+8</f>
        <v>137</v>
      </c>
      <c r="AY57" s="319">
        <f>39+224-AX57</f>
        <v>126</v>
      </c>
      <c r="AZ57" s="319">
        <f>46+237-AY57-AX57</f>
        <v>20</v>
      </c>
      <c r="BA57" s="319">
        <f t="shared" si="164"/>
        <v>99</v>
      </c>
      <c r="BB57" s="319">
        <f>63+319</f>
        <v>382</v>
      </c>
      <c r="BD57" s="318" t="s">
        <v>105</v>
      </c>
      <c r="BE57" s="319">
        <f>89+27</f>
        <v>116</v>
      </c>
      <c r="BF57" s="319">
        <f>37+130-BE57</f>
        <v>51</v>
      </c>
      <c r="BG57" s="319">
        <f>44+144-BF57-BE57</f>
        <v>21</v>
      </c>
      <c r="BH57" s="319">
        <f t="shared" si="165"/>
        <v>43</v>
      </c>
      <c r="BI57" s="319">
        <f>153+78</f>
        <v>231</v>
      </c>
      <c r="BK57" s="318" t="s">
        <v>105</v>
      </c>
      <c r="BL57" s="319">
        <f>26+36</f>
        <v>62</v>
      </c>
      <c r="BM57" s="319">
        <f>43+65-BL57</f>
        <v>46</v>
      </c>
      <c r="BN57" s="319">
        <f>75+36-BM57-BL57</f>
        <v>3</v>
      </c>
      <c r="BO57" s="319">
        <f t="shared" si="175"/>
        <v>-106</v>
      </c>
      <c r="BP57" s="319">
        <f>-78+83</f>
        <v>5</v>
      </c>
      <c r="BR57" s="318" t="s">
        <v>105</v>
      </c>
      <c r="BS57" s="319">
        <f>-180+2</f>
        <v>-178</v>
      </c>
      <c r="BT57" s="319">
        <f>12-177-BS57</f>
        <v>13</v>
      </c>
      <c r="BU57" s="319">
        <f>-188+19-BT57-BS57</f>
        <v>-4</v>
      </c>
      <c r="BV57" s="319">
        <f t="shared" si="176"/>
        <v>30</v>
      </c>
      <c r="BW57" s="319">
        <f>34-173</f>
        <v>-139</v>
      </c>
      <c r="BY57" s="318" t="s">
        <v>105</v>
      </c>
      <c r="BZ57" s="319">
        <f>-137+6</f>
        <v>-131</v>
      </c>
      <c r="CA57" s="319">
        <f>-137+16-BZ57</f>
        <v>10</v>
      </c>
      <c r="CB57" s="319">
        <f>-128+21-CA57-BZ57</f>
        <v>14</v>
      </c>
      <c r="CC57" s="319">
        <f t="shared" si="177"/>
        <v>17</v>
      </c>
      <c r="CD57" s="319">
        <f>42-132</f>
        <v>-90</v>
      </c>
      <c r="CF57" s="318" t="s">
        <v>105</v>
      </c>
      <c r="CG57" s="319">
        <f>19+13</f>
        <v>32</v>
      </c>
      <c r="CH57" s="319">
        <f>6+24-CG57</f>
        <v>-2</v>
      </c>
      <c r="CI57" s="319">
        <f>+-10+27-CH57-CG57</f>
        <v>-13</v>
      </c>
      <c r="CJ57" s="319">
        <f t="shared" si="178"/>
        <v>19</v>
      </c>
      <c r="CK57" s="319">
        <f>29+7</f>
        <v>36</v>
      </c>
      <c r="CM57" s="318" t="s">
        <v>105</v>
      </c>
      <c r="CN57" s="319">
        <f>8+7</f>
        <v>15</v>
      </c>
      <c r="CO57" s="319">
        <f>10+12-CN57</f>
        <v>7</v>
      </c>
      <c r="CP57" s="319">
        <f>16+11-CO57-CN57</f>
        <v>5</v>
      </c>
      <c r="CQ57" s="319">
        <f t="shared" si="179"/>
        <v>5</v>
      </c>
      <c r="CR57" s="319">
        <f>14+18</f>
        <v>32</v>
      </c>
      <c r="CT57" s="318" t="s">
        <v>105</v>
      </c>
      <c r="CU57" s="319">
        <f>6+5</f>
        <v>11</v>
      </c>
      <c r="CV57" s="319">
        <f>9+9-CU57</f>
        <v>7</v>
      </c>
      <c r="CW57" s="319">
        <f>9-7-CV57-CU57</f>
        <v>-16</v>
      </c>
      <c r="CX57" s="319">
        <f t="shared" si="180"/>
        <v>-1</v>
      </c>
      <c r="CY57" s="319">
        <f>-8+9</f>
        <v>1</v>
      </c>
      <c r="DA57" s="318" t="s">
        <v>105</v>
      </c>
      <c r="DB57" s="319">
        <v>-2</v>
      </c>
      <c r="DC57" s="319">
        <f>-2-DB57</f>
        <v>0</v>
      </c>
      <c r="DD57" s="319">
        <f>-5-DC57-DB57</f>
        <v>-3</v>
      </c>
      <c r="DE57" s="319">
        <f t="shared" si="181"/>
        <v>1</v>
      </c>
      <c r="DF57" s="319">
        <v>-4</v>
      </c>
      <c r="DH57" s="318" t="s">
        <v>105</v>
      </c>
      <c r="DI57" s="319">
        <v>-13</v>
      </c>
      <c r="DJ57" s="319">
        <f>-9-DI57</f>
        <v>4</v>
      </c>
      <c r="DK57" s="319">
        <f>-3-DJ57-DI57</f>
        <v>6</v>
      </c>
      <c r="DL57" s="319">
        <f t="shared" si="182"/>
        <v>3</v>
      </c>
      <c r="DM57" s="319">
        <v>0</v>
      </c>
      <c r="DO57" s="318" t="s">
        <v>105</v>
      </c>
      <c r="DP57" s="319">
        <v>-270</v>
      </c>
      <c r="DQ57" s="319">
        <f>-314-DP57</f>
        <v>-44</v>
      </c>
      <c r="DR57" s="319">
        <f>-310-DQ57-DP57</f>
        <v>4</v>
      </c>
      <c r="DS57" s="319">
        <f t="shared" si="183"/>
        <v>-3</v>
      </c>
      <c r="DT57" s="319">
        <v>-313</v>
      </c>
      <c r="DV57" s="318" t="s">
        <v>105</v>
      </c>
      <c r="DW57" s="319">
        <v>-6</v>
      </c>
      <c r="DX57" s="319">
        <f>-12-DW57</f>
        <v>-6</v>
      </c>
      <c r="DY57" s="319">
        <f>-19-DX57-DW57</f>
        <v>-7</v>
      </c>
      <c r="DZ57" s="319">
        <f t="shared" si="184"/>
        <v>1</v>
      </c>
      <c r="EA57" s="319">
        <v>-18</v>
      </c>
      <c r="EC57" s="318" t="s">
        <v>105</v>
      </c>
      <c r="ED57" s="319">
        <v>-41</v>
      </c>
      <c r="EE57" s="319">
        <f>-51-ED57</f>
        <v>-10</v>
      </c>
      <c r="EF57" s="319">
        <f>-52-EE57-ED57</f>
        <v>-1</v>
      </c>
      <c r="EG57" s="319">
        <f t="shared" si="185"/>
        <v>-7</v>
      </c>
      <c r="EH57" s="319">
        <v>-59</v>
      </c>
      <c r="EJ57" s="318" t="s">
        <v>105</v>
      </c>
      <c r="EK57" s="319">
        <v>18</v>
      </c>
      <c r="EL57" s="319">
        <f>28-EK57</f>
        <v>10</v>
      </c>
      <c r="EM57" s="319">
        <f>17-EL57-EK57</f>
        <v>-11</v>
      </c>
      <c r="EN57" s="319">
        <f t="shared" si="186"/>
        <v>-11</v>
      </c>
      <c r="EO57" s="319">
        <v>6</v>
      </c>
      <c r="EQ57" s="318" t="s">
        <v>105</v>
      </c>
      <c r="ER57" s="319">
        <v>-7</v>
      </c>
      <c r="ES57" s="319">
        <f>-5-ER57</f>
        <v>2</v>
      </c>
      <c r="ET57" s="319">
        <f>13-ES57-ER57</f>
        <v>18</v>
      </c>
      <c r="EU57" s="319">
        <f t="shared" si="187"/>
        <v>-47</v>
      </c>
      <c r="EV57" s="319">
        <v>-34</v>
      </c>
      <c r="EX57" s="318" t="s">
        <v>105</v>
      </c>
      <c r="EY57" s="319">
        <v>15</v>
      </c>
      <c r="EZ57" s="319">
        <f>22-EY57</f>
        <v>7</v>
      </c>
      <c r="FA57" s="319">
        <f>33-EZ57-EY57</f>
        <v>11</v>
      </c>
      <c r="FB57" s="319">
        <f t="shared" si="188"/>
        <v>6</v>
      </c>
      <c r="FC57" s="319">
        <v>39</v>
      </c>
      <c r="FE57" s="318" t="s">
        <v>105</v>
      </c>
      <c r="FF57" s="319">
        <v>6</v>
      </c>
      <c r="FG57" s="319">
        <f>15-FF57</f>
        <v>9</v>
      </c>
      <c r="FH57" s="319">
        <f>-6-FG57-FF57</f>
        <v>-21</v>
      </c>
      <c r="FI57" s="319">
        <f t="shared" si="166"/>
        <v>6</v>
      </c>
      <c r="FJ57" s="319">
        <v>0</v>
      </c>
      <c r="FL57" s="318" t="s">
        <v>105</v>
      </c>
      <c r="FM57" s="319">
        <v>-3</v>
      </c>
      <c r="FN57" s="319">
        <f>19-FM57</f>
        <v>22</v>
      </c>
      <c r="FO57" s="319">
        <f>25-SUM(FM57:FN57)</f>
        <v>6</v>
      </c>
      <c r="FP57" s="319">
        <f t="shared" si="167"/>
        <v>25</v>
      </c>
      <c r="FQ57" s="319">
        <v>50</v>
      </c>
      <c r="FS57" s="318" t="s">
        <v>105</v>
      </c>
      <c r="FT57" s="319">
        <v>34</v>
      </c>
      <c r="FU57" s="319">
        <f>42-FT57</f>
        <v>8</v>
      </c>
      <c r="FV57" s="319">
        <f>72-FU57-FT57</f>
        <v>30</v>
      </c>
      <c r="FW57" s="319">
        <f t="shared" si="169"/>
        <v>41</v>
      </c>
      <c r="FX57" s="319">
        <v>113</v>
      </c>
      <c r="FZ57" s="318" t="s">
        <v>105</v>
      </c>
      <c r="GA57" s="319">
        <v>-4</v>
      </c>
      <c r="GB57" s="319">
        <f>81-GA57</f>
        <v>85</v>
      </c>
      <c r="GC57" s="319">
        <f>23-GB57-GA57</f>
        <v>-58</v>
      </c>
      <c r="GD57" s="319">
        <f>56-SUM(GA57:GC57)</f>
        <v>33</v>
      </c>
      <c r="GE57" s="319">
        <f t="shared" si="170"/>
        <v>56</v>
      </c>
      <c r="GG57" s="318" t="s">
        <v>105</v>
      </c>
      <c r="GH57" s="319">
        <f>+CF!GH152</f>
        <v>-25</v>
      </c>
      <c r="GI57" s="319">
        <f>+CF!GI152</f>
        <v>-25</v>
      </c>
      <c r="GJ57" s="319">
        <f>+CF!GJ152</f>
        <v>-25</v>
      </c>
      <c r="GK57" s="319">
        <f>+CF!GK152</f>
        <v>-25</v>
      </c>
      <c r="GL57" s="319">
        <f t="shared" si="171"/>
        <v>-100</v>
      </c>
      <c r="GN57" s="318" t="s">
        <v>105</v>
      </c>
      <c r="GO57" s="319">
        <f>+CF!GO152</f>
        <v>-25</v>
      </c>
      <c r="GP57" s="319">
        <f>+CF!GP152</f>
        <v>-25</v>
      </c>
      <c r="GQ57" s="319">
        <f>+CF!GQ152</f>
        <v>-25</v>
      </c>
      <c r="GR57" s="319">
        <f>+CF!GR152</f>
        <v>-25</v>
      </c>
      <c r="GS57" s="319">
        <f t="shared" si="172"/>
        <v>-100</v>
      </c>
      <c r="GU57" s="318" t="s">
        <v>105</v>
      </c>
      <c r="GV57" s="319">
        <f>+CF!GV152</f>
        <v>-25</v>
      </c>
      <c r="GW57" s="319">
        <f>+CF!GW152</f>
        <v>-25</v>
      </c>
      <c r="GX57" s="319">
        <f>+CF!GX152</f>
        <v>-25</v>
      </c>
      <c r="GY57" s="319">
        <f>+CF!GY152</f>
        <v>-25</v>
      </c>
      <c r="GZ57" s="319">
        <f t="shared" si="173"/>
        <v>-100</v>
      </c>
    </row>
    <row r="58" spans="1:208" x14ac:dyDescent="0.4">
      <c r="A58" s="417"/>
      <c r="B58" s="82"/>
      <c r="C58" s="80"/>
      <c r="D58" s="80"/>
      <c r="E58" s="80"/>
      <c r="F58" s="80"/>
      <c r="G58" s="80"/>
      <c r="H58" s="80"/>
      <c r="I58" s="80"/>
      <c r="J58" s="80"/>
      <c r="K58" s="80"/>
      <c r="L58" s="80"/>
      <c r="M58" s="80"/>
      <c r="N58" s="80"/>
      <c r="O58" s="80"/>
      <c r="P58" s="80"/>
      <c r="Q58" s="80"/>
      <c r="R58" s="80"/>
      <c r="S58" s="80"/>
      <c r="T58" s="80"/>
      <c r="U58" s="80"/>
      <c r="V58" s="80"/>
      <c r="W58" s="80"/>
      <c r="X58" s="80"/>
      <c r="Y58" s="80"/>
      <c r="Z58" s="80"/>
      <c r="AA58" s="78"/>
      <c r="AB58" s="78"/>
      <c r="AC58" s="78"/>
      <c r="AD58" s="78"/>
      <c r="AE58" s="78"/>
      <c r="AF58" s="78"/>
      <c r="AG58" s="78"/>
      <c r="AH58" s="78"/>
      <c r="AI58" s="78"/>
      <c r="AJ58" s="78"/>
      <c r="AK58" s="78"/>
      <c r="AL58" s="78"/>
      <c r="AM58" s="78"/>
      <c r="AN58" s="78"/>
      <c r="AP58" s="82"/>
      <c r="AQ58" s="78"/>
      <c r="AR58" s="78"/>
      <c r="AS58" s="78"/>
      <c r="AT58" s="78"/>
      <c r="AU58" s="78"/>
      <c r="AW58" s="82"/>
      <c r="AX58" s="78"/>
      <c r="AY58" s="78"/>
      <c r="AZ58" s="78"/>
      <c r="BA58" s="78"/>
      <c r="BB58" s="78"/>
      <c r="BD58" s="82"/>
      <c r="BE58" s="78"/>
      <c r="BF58" s="78"/>
      <c r="BG58" s="78"/>
      <c r="BH58" s="78"/>
      <c r="BI58" s="78"/>
      <c r="BK58" s="82"/>
      <c r="BL58" s="78"/>
      <c r="BM58" s="78"/>
      <c r="BN58" s="78"/>
      <c r="BO58" s="78"/>
      <c r="BP58" s="78"/>
      <c r="BR58" s="82"/>
      <c r="BS58" s="78"/>
      <c r="BT58" s="78"/>
      <c r="BU58" s="78"/>
      <c r="BV58" s="78"/>
      <c r="BW58" s="78"/>
      <c r="BY58" s="82"/>
      <c r="BZ58" s="78"/>
      <c r="CA58" s="78"/>
      <c r="CB58" s="78"/>
      <c r="CC58" s="78"/>
      <c r="CD58" s="78"/>
      <c r="CF58" s="82"/>
      <c r="CG58" s="78"/>
      <c r="CH58" s="78"/>
      <c r="CI58" s="78"/>
      <c r="CJ58" s="78"/>
      <c r="CK58" s="78"/>
      <c r="CM58" s="82"/>
      <c r="CN58" s="78"/>
      <c r="CO58" s="78"/>
      <c r="CP58" s="78"/>
      <c r="CQ58" s="78"/>
      <c r="CR58" s="78"/>
      <c r="CT58" s="82"/>
      <c r="CU58" s="78"/>
      <c r="CV58" s="78"/>
      <c r="CW58" s="78"/>
      <c r="CX58" s="78"/>
      <c r="CY58" s="78"/>
      <c r="DA58" s="82"/>
      <c r="DB58" s="78"/>
      <c r="DC58" s="78"/>
      <c r="DD58" s="78"/>
      <c r="DE58" s="78"/>
      <c r="DF58" s="78"/>
      <c r="DH58" s="82"/>
      <c r="DI58" s="78"/>
      <c r="DJ58" s="78"/>
      <c r="DK58" s="78"/>
      <c r="DL58" s="78"/>
      <c r="DM58" s="78"/>
      <c r="DO58" s="82"/>
      <c r="DP58" s="78"/>
      <c r="DQ58" s="78"/>
      <c r="DR58" s="78"/>
      <c r="DS58" s="78"/>
      <c r="DT58" s="78"/>
      <c r="DV58" s="82"/>
      <c r="DW58" s="78"/>
      <c r="DX58" s="78"/>
      <c r="DY58" s="78"/>
      <c r="DZ58" s="78"/>
      <c r="EA58" s="78"/>
      <c r="EC58" s="82"/>
      <c r="ED58" s="78"/>
      <c r="EE58" s="78"/>
      <c r="EF58" s="78"/>
      <c r="EG58" s="78"/>
      <c r="EH58" s="78"/>
      <c r="EJ58" s="82"/>
      <c r="EK58" s="78"/>
      <c r="EL58" s="78"/>
      <c r="EM58" s="78"/>
      <c r="EN58" s="78"/>
      <c r="EO58" s="78"/>
      <c r="EQ58" s="82"/>
      <c r="ER58" s="78"/>
      <c r="ES58" s="78"/>
      <c r="ET58" s="78"/>
      <c r="EU58" s="78"/>
      <c r="EV58" s="78"/>
      <c r="EX58" s="82"/>
      <c r="EY58" s="78"/>
      <c r="EZ58" s="78"/>
      <c r="FA58" s="78"/>
      <c r="FB58" s="78"/>
      <c r="FC58" s="78"/>
      <c r="FE58" s="82"/>
      <c r="FF58" s="78"/>
      <c r="FG58" s="78"/>
      <c r="FH58" s="78"/>
      <c r="FI58" s="78"/>
      <c r="FJ58" s="78"/>
      <c r="FL58" s="82"/>
      <c r="FM58" s="78"/>
      <c r="FN58" s="78"/>
      <c r="FO58" s="78"/>
      <c r="FP58" s="78"/>
      <c r="FQ58" s="80"/>
      <c r="FS58" s="82"/>
      <c r="FT58" s="78"/>
      <c r="FU58" s="80"/>
      <c r="FV58" s="80"/>
      <c r="FW58" s="80"/>
      <c r="FX58" s="80"/>
      <c r="FZ58" s="82"/>
      <c r="GA58" s="80"/>
      <c r="GB58" s="80"/>
      <c r="GC58" s="80"/>
      <c r="GD58" s="80"/>
      <c r="GE58" s="80"/>
      <c r="GG58" s="82"/>
      <c r="GH58" s="80"/>
      <c r="GI58" s="80"/>
      <c r="GJ58" s="80"/>
      <c r="GK58" s="80"/>
      <c r="GL58" s="80"/>
      <c r="GN58" s="82"/>
      <c r="GO58" s="80"/>
      <c r="GP58" s="80"/>
      <c r="GQ58" s="80"/>
      <c r="GR58" s="80"/>
      <c r="GS58" s="80"/>
      <c r="GU58" s="82"/>
      <c r="GV58" s="80"/>
      <c r="GW58" s="80"/>
      <c r="GX58" s="80"/>
      <c r="GY58" s="80"/>
      <c r="GZ58" s="80"/>
    </row>
    <row r="59" spans="1:208" ht="14.25" thickBot="1" x14ac:dyDescent="0.45">
      <c r="A59" s="419"/>
      <c r="B59" s="420" t="s">
        <v>13</v>
      </c>
      <c r="C59" s="421">
        <f>AU59</f>
        <v>-1287</v>
      </c>
      <c r="D59" s="421">
        <f>BB59</f>
        <v>-296</v>
      </c>
      <c r="E59" s="421">
        <f>BI59</f>
        <v>-584</v>
      </c>
      <c r="F59" s="421">
        <f>BP59</f>
        <v>-1164</v>
      </c>
      <c r="G59" s="421">
        <f>BW59</f>
        <v>-307</v>
      </c>
      <c r="H59" s="421">
        <f>CD59</f>
        <v>-1227</v>
      </c>
      <c r="I59" s="421">
        <f>CK59</f>
        <v>-1413</v>
      </c>
      <c r="J59" s="421">
        <f>CR59</f>
        <v>-668</v>
      </c>
      <c r="K59" s="421">
        <f>CY59</f>
        <v>-1232</v>
      </c>
      <c r="L59" s="421">
        <f>DF59</f>
        <v>-1083</v>
      </c>
      <c r="M59" s="421">
        <f>DM59</f>
        <v>-519</v>
      </c>
      <c r="N59" s="421">
        <f>DT59</f>
        <v>-1268</v>
      </c>
      <c r="O59" s="421">
        <f>EA59</f>
        <v>-2179</v>
      </c>
      <c r="P59" s="421">
        <f>EH59</f>
        <v>-2500</v>
      </c>
      <c r="Q59" s="421">
        <f>EO59</f>
        <v>-2648</v>
      </c>
      <c r="R59" s="421">
        <f>EV59</f>
        <v>-1443</v>
      </c>
      <c r="S59" s="421">
        <f>FC59</f>
        <v>-4112</v>
      </c>
      <c r="T59" s="421">
        <f>FJ59</f>
        <v>-3769</v>
      </c>
      <c r="U59" s="421">
        <f>FQ59</f>
        <v>-3867</v>
      </c>
      <c r="V59" s="421">
        <f>FX59</f>
        <v>-3062</v>
      </c>
      <c r="W59" s="421">
        <f>GE59</f>
        <v>-2025</v>
      </c>
      <c r="X59" s="421">
        <f>GL59</f>
        <v>-3188.1538274</v>
      </c>
      <c r="Y59" s="421">
        <f>GS59</f>
        <v>-3537.4288274</v>
      </c>
      <c r="Z59" s="421">
        <f>GZ59</f>
        <v>-3576.0288274</v>
      </c>
      <c r="AA59" s="422"/>
      <c r="AB59" s="422"/>
      <c r="AC59" s="422"/>
      <c r="AD59" s="422"/>
      <c r="AE59" s="422"/>
      <c r="AF59" s="422"/>
      <c r="AG59" s="422"/>
      <c r="AH59" s="422"/>
      <c r="AI59" s="422"/>
      <c r="AJ59" s="422"/>
      <c r="AK59" s="422"/>
      <c r="AL59" s="422"/>
      <c r="AM59" s="422"/>
      <c r="AN59" s="422"/>
      <c r="AP59" s="420" t="s">
        <v>13</v>
      </c>
      <c r="AQ59" s="421">
        <f t="shared" ref="AQ59:DZ59" si="189">SUM(AQ51:AQ57)</f>
        <v>-164</v>
      </c>
      <c r="AR59" s="421">
        <f t="shared" si="189"/>
        <v>-1109</v>
      </c>
      <c r="AS59" s="421">
        <f t="shared" si="189"/>
        <v>-56</v>
      </c>
      <c r="AT59" s="421">
        <f t="shared" si="189"/>
        <v>42</v>
      </c>
      <c r="AU59" s="421">
        <f t="shared" si="189"/>
        <v>-1287</v>
      </c>
      <c r="AW59" s="420" t="s">
        <v>13</v>
      </c>
      <c r="AX59" s="421">
        <f t="shared" si="189"/>
        <v>42</v>
      </c>
      <c r="AY59" s="421">
        <f t="shared" si="189"/>
        <v>-63</v>
      </c>
      <c r="AZ59" s="421">
        <f t="shared" si="189"/>
        <v>-233</v>
      </c>
      <c r="BA59" s="421">
        <f t="shared" si="189"/>
        <v>-42</v>
      </c>
      <c r="BB59" s="421">
        <f t="shared" si="189"/>
        <v>-296</v>
      </c>
      <c r="BD59" s="420" t="s">
        <v>13</v>
      </c>
      <c r="BE59" s="421">
        <f t="shared" si="189"/>
        <v>-144</v>
      </c>
      <c r="BF59" s="421">
        <f t="shared" si="189"/>
        <v>-197</v>
      </c>
      <c r="BG59" s="421">
        <f t="shared" si="189"/>
        <v>35</v>
      </c>
      <c r="BH59" s="421">
        <f t="shared" si="189"/>
        <v>-278</v>
      </c>
      <c r="BI59" s="421">
        <f t="shared" si="189"/>
        <v>-584</v>
      </c>
      <c r="BK59" s="420" t="s">
        <v>13</v>
      </c>
      <c r="BL59" s="421">
        <f t="shared" si="189"/>
        <v>657</v>
      </c>
      <c r="BM59" s="421">
        <f t="shared" si="189"/>
        <v>-312</v>
      </c>
      <c r="BN59" s="421">
        <f t="shared" si="189"/>
        <v>-983</v>
      </c>
      <c r="BO59" s="421">
        <f t="shared" si="189"/>
        <v>-526</v>
      </c>
      <c r="BP59" s="421">
        <f t="shared" si="189"/>
        <v>-1164</v>
      </c>
      <c r="BR59" s="420" t="s">
        <v>13</v>
      </c>
      <c r="BS59" s="421">
        <f t="shared" si="189"/>
        <v>210</v>
      </c>
      <c r="BT59" s="421">
        <f t="shared" si="189"/>
        <v>-134</v>
      </c>
      <c r="BU59" s="421">
        <f t="shared" si="189"/>
        <v>-114</v>
      </c>
      <c r="BV59" s="421">
        <f t="shared" si="189"/>
        <v>-269</v>
      </c>
      <c r="BW59" s="421">
        <f t="shared" si="189"/>
        <v>-307</v>
      </c>
      <c r="BY59" s="420" t="s">
        <v>13</v>
      </c>
      <c r="BZ59" s="421">
        <f t="shared" si="189"/>
        <v>-470</v>
      </c>
      <c r="CA59" s="421">
        <f t="shared" si="189"/>
        <v>-729</v>
      </c>
      <c r="CB59" s="421">
        <f t="shared" si="189"/>
        <v>-409</v>
      </c>
      <c r="CC59" s="421">
        <f t="shared" si="189"/>
        <v>381</v>
      </c>
      <c r="CD59" s="421">
        <f t="shared" si="189"/>
        <v>-1227</v>
      </c>
      <c r="CF59" s="420" t="s">
        <v>13</v>
      </c>
      <c r="CG59" s="421">
        <f t="shared" si="189"/>
        <v>-888</v>
      </c>
      <c r="CH59" s="421">
        <f t="shared" si="189"/>
        <v>192</v>
      </c>
      <c r="CI59" s="421">
        <f t="shared" si="189"/>
        <v>-1200</v>
      </c>
      <c r="CJ59" s="421">
        <f t="shared" si="189"/>
        <v>483</v>
      </c>
      <c r="CK59" s="421">
        <f t="shared" si="189"/>
        <v>-1413</v>
      </c>
      <c r="CM59" s="420" t="s">
        <v>13</v>
      </c>
      <c r="CN59" s="421">
        <f t="shared" si="189"/>
        <v>-523</v>
      </c>
      <c r="CO59" s="421">
        <f t="shared" si="189"/>
        <v>-180</v>
      </c>
      <c r="CP59" s="421">
        <f t="shared" si="189"/>
        <v>-366</v>
      </c>
      <c r="CQ59" s="421">
        <f t="shared" si="189"/>
        <v>401</v>
      </c>
      <c r="CR59" s="421">
        <f t="shared" si="189"/>
        <v>-668</v>
      </c>
      <c r="CT59" s="420" t="s">
        <v>13</v>
      </c>
      <c r="CU59" s="421">
        <f t="shared" si="189"/>
        <v>-545</v>
      </c>
      <c r="CV59" s="421">
        <f t="shared" si="189"/>
        <v>-283</v>
      </c>
      <c r="CW59" s="421">
        <f t="shared" si="189"/>
        <v>-621</v>
      </c>
      <c r="CX59" s="421">
        <f t="shared" si="189"/>
        <v>217</v>
      </c>
      <c r="CY59" s="421">
        <f t="shared" si="189"/>
        <v>-1232</v>
      </c>
      <c r="DA59" s="420" t="s">
        <v>13</v>
      </c>
      <c r="DB59" s="421">
        <f t="shared" si="189"/>
        <v>-489</v>
      </c>
      <c r="DC59" s="421">
        <f t="shared" si="189"/>
        <v>-325</v>
      </c>
      <c r="DD59" s="421">
        <f t="shared" si="189"/>
        <v>19</v>
      </c>
      <c r="DE59" s="421">
        <f t="shared" si="189"/>
        <v>-288</v>
      </c>
      <c r="DF59" s="421">
        <f t="shared" si="189"/>
        <v>-1083</v>
      </c>
      <c r="DH59" s="420" t="s">
        <v>13</v>
      </c>
      <c r="DI59" s="421">
        <f t="shared" si="189"/>
        <v>-298</v>
      </c>
      <c r="DJ59" s="421">
        <f t="shared" si="189"/>
        <v>59</v>
      </c>
      <c r="DK59" s="421">
        <f t="shared" si="189"/>
        <v>-450</v>
      </c>
      <c r="DL59" s="421">
        <f t="shared" si="189"/>
        <v>170</v>
      </c>
      <c r="DM59" s="421">
        <f t="shared" si="189"/>
        <v>-519</v>
      </c>
      <c r="DO59" s="420" t="s">
        <v>13</v>
      </c>
      <c r="DP59" s="421">
        <f t="shared" si="189"/>
        <v>-692</v>
      </c>
      <c r="DQ59" s="421">
        <f t="shared" si="189"/>
        <v>-481</v>
      </c>
      <c r="DR59" s="421">
        <f t="shared" si="189"/>
        <v>-447</v>
      </c>
      <c r="DS59" s="421">
        <f t="shared" si="189"/>
        <v>352</v>
      </c>
      <c r="DT59" s="421">
        <f t="shared" si="189"/>
        <v>-1268</v>
      </c>
      <c r="DV59" s="420" t="s">
        <v>13</v>
      </c>
      <c r="DW59" s="421">
        <f t="shared" si="189"/>
        <v>-430</v>
      </c>
      <c r="DX59" s="421">
        <f t="shared" si="189"/>
        <v>-152</v>
      </c>
      <c r="DY59" s="421">
        <f t="shared" si="189"/>
        <v>-1212</v>
      </c>
      <c r="DZ59" s="421">
        <f t="shared" si="189"/>
        <v>-385</v>
      </c>
      <c r="EA59" s="421">
        <f t="shared" ref="EA59:EH59" si="190">SUM(EA51:EA57)</f>
        <v>-2179</v>
      </c>
      <c r="EC59" s="420" t="s">
        <v>13</v>
      </c>
      <c r="ED59" s="421">
        <f t="shared" si="190"/>
        <v>929</v>
      </c>
      <c r="EE59" s="421">
        <f t="shared" si="190"/>
        <v>-1264</v>
      </c>
      <c r="EF59" s="421">
        <f t="shared" si="190"/>
        <v>-1222</v>
      </c>
      <c r="EG59" s="421">
        <f t="shared" si="190"/>
        <v>-943</v>
      </c>
      <c r="EH59" s="421">
        <f t="shared" si="190"/>
        <v>-2500</v>
      </c>
      <c r="EJ59" s="420" t="s">
        <v>13</v>
      </c>
      <c r="EK59" s="421">
        <f t="shared" ref="EK59:GL59" si="191">SUM(EK51:EK57)</f>
        <v>27</v>
      </c>
      <c r="EL59" s="421">
        <f t="shared" si="191"/>
        <v>-1043</v>
      </c>
      <c r="EM59" s="421">
        <f t="shared" si="191"/>
        <v>-329</v>
      </c>
      <c r="EN59" s="421">
        <f t="shared" si="191"/>
        <v>-1303</v>
      </c>
      <c r="EO59" s="421">
        <f t="shared" si="191"/>
        <v>-2648</v>
      </c>
      <c r="EQ59" s="420" t="s">
        <v>13</v>
      </c>
      <c r="ER59" s="421">
        <f t="shared" si="191"/>
        <v>-285</v>
      </c>
      <c r="ES59" s="421">
        <f t="shared" si="191"/>
        <v>-463</v>
      </c>
      <c r="ET59" s="421">
        <f t="shared" si="191"/>
        <v>-247</v>
      </c>
      <c r="EU59" s="421">
        <f t="shared" si="191"/>
        <v>-448</v>
      </c>
      <c r="EV59" s="421">
        <f t="shared" si="191"/>
        <v>-1443</v>
      </c>
      <c r="EX59" s="420" t="s">
        <v>13</v>
      </c>
      <c r="EY59" s="421">
        <f t="shared" si="191"/>
        <v>-1109</v>
      </c>
      <c r="EZ59" s="421">
        <f t="shared" si="191"/>
        <v>-906</v>
      </c>
      <c r="FA59" s="421">
        <f t="shared" si="191"/>
        <v>-1291</v>
      </c>
      <c r="FB59" s="421">
        <f t="shared" si="191"/>
        <v>-806</v>
      </c>
      <c r="FC59" s="421">
        <f t="shared" si="191"/>
        <v>-4112</v>
      </c>
      <c r="FE59" s="420" t="s">
        <v>13</v>
      </c>
      <c r="FF59" s="421">
        <f t="shared" si="191"/>
        <v>-1234</v>
      </c>
      <c r="FG59" s="421">
        <f t="shared" si="191"/>
        <v>-1792</v>
      </c>
      <c r="FH59" s="421">
        <f t="shared" si="191"/>
        <v>487</v>
      </c>
      <c r="FI59" s="421">
        <f t="shared" si="191"/>
        <v>-1230</v>
      </c>
      <c r="FJ59" s="421">
        <f t="shared" si="191"/>
        <v>-3769</v>
      </c>
      <c r="FL59" s="420" t="s">
        <v>13</v>
      </c>
      <c r="FM59" s="421">
        <f t="shared" si="191"/>
        <v>-1438</v>
      </c>
      <c r="FN59" s="421">
        <f t="shared" si="191"/>
        <v>-1067</v>
      </c>
      <c r="FO59" s="421">
        <f t="shared" si="191"/>
        <v>-587</v>
      </c>
      <c r="FP59" s="421">
        <f t="shared" si="191"/>
        <v>-775</v>
      </c>
      <c r="FQ59" s="421">
        <f t="shared" si="191"/>
        <v>-3867</v>
      </c>
      <c r="FS59" s="420" t="s">
        <v>13</v>
      </c>
      <c r="FT59" s="421">
        <f t="shared" si="191"/>
        <v>-450</v>
      </c>
      <c r="FU59" s="421">
        <f t="shared" si="191"/>
        <v>-790</v>
      </c>
      <c r="FV59" s="421">
        <f t="shared" si="191"/>
        <v>-606</v>
      </c>
      <c r="FW59" s="421">
        <f t="shared" si="191"/>
        <v>-1216</v>
      </c>
      <c r="FX59" s="421">
        <f t="shared" si="191"/>
        <v>-3062</v>
      </c>
      <c r="FZ59" s="420" t="s">
        <v>13</v>
      </c>
      <c r="GA59" s="421">
        <f t="shared" si="191"/>
        <v>-402</v>
      </c>
      <c r="GB59" s="421">
        <f t="shared" si="191"/>
        <v>-580</v>
      </c>
      <c r="GC59" s="421">
        <f t="shared" si="191"/>
        <v>-421</v>
      </c>
      <c r="GD59" s="421">
        <f t="shared" si="191"/>
        <v>-622</v>
      </c>
      <c r="GE59" s="421">
        <f t="shared" si="191"/>
        <v>-2025</v>
      </c>
      <c r="GG59" s="420" t="s">
        <v>13</v>
      </c>
      <c r="GH59" s="421">
        <f t="shared" si="191"/>
        <v>-782.30720685000006</v>
      </c>
      <c r="GI59" s="421">
        <f t="shared" si="191"/>
        <v>-779.83220685000003</v>
      </c>
      <c r="GJ59" s="421">
        <f t="shared" si="191"/>
        <v>-814.28220684999997</v>
      </c>
      <c r="GK59" s="421">
        <f t="shared" si="191"/>
        <v>-811.73220685000001</v>
      </c>
      <c r="GL59" s="421">
        <f t="shared" si="191"/>
        <v>-3188.1538274</v>
      </c>
      <c r="GN59" s="420" t="s">
        <v>13</v>
      </c>
      <c r="GO59" s="421">
        <f t="shared" ref="GO59:GS59" si="192">SUM(GO51:GO57)</f>
        <v>-888.18220685000006</v>
      </c>
      <c r="GP59" s="421">
        <f t="shared" si="192"/>
        <v>-885.63220684999999</v>
      </c>
      <c r="GQ59" s="421">
        <f t="shared" si="192"/>
        <v>-883.08220685000003</v>
      </c>
      <c r="GR59" s="421">
        <f t="shared" si="192"/>
        <v>-880.53220684999997</v>
      </c>
      <c r="GS59" s="421">
        <f t="shared" si="192"/>
        <v>-3537.4288274</v>
      </c>
      <c r="GU59" s="420" t="s">
        <v>13</v>
      </c>
      <c r="GV59" s="421">
        <f t="shared" ref="GV59:GZ59" si="193">SUM(GV51:GV57)</f>
        <v>-897.94470684999999</v>
      </c>
      <c r="GW59" s="421">
        <f t="shared" si="193"/>
        <v>-895.31970684999999</v>
      </c>
      <c r="GX59" s="421">
        <f t="shared" si="193"/>
        <v>-892.69470684999999</v>
      </c>
      <c r="GY59" s="421">
        <f t="shared" si="193"/>
        <v>-890.06970684999999</v>
      </c>
      <c r="GZ59" s="421">
        <f t="shared" si="193"/>
        <v>-3576.0288274</v>
      </c>
    </row>
    <row r="60" spans="1:208" x14ac:dyDescent="0.4">
      <c r="B60" s="345"/>
      <c r="C60" s="78"/>
      <c r="D60" s="78"/>
      <c r="E60" s="78"/>
      <c r="F60" s="78"/>
      <c r="G60" s="78"/>
      <c r="H60" s="78"/>
      <c r="I60" s="78"/>
      <c r="J60" s="78"/>
      <c r="K60" s="78"/>
      <c r="L60" s="78"/>
      <c r="M60" s="78"/>
      <c r="N60" s="78"/>
      <c r="O60" s="78"/>
      <c r="P60" s="78"/>
      <c r="Q60" s="78"/>
      <c r="R60" s="78"/>
      <c r="S60" s="78"/>
      <c r="T60" s="78"/>
      <c r="U60" s="78"/>
      <c r="V60" s="80"/>
      <c r="W60" s="80"/>
      <c r="X60" s="80"/>
      <c r="Y60" s="80"/>
      <c r="Z60" s="80"/>
      <c r="AA60" s="78"/>
      <c r="AB60" s="78"/>
      <c r="AC60" s="78"/>
      <c r="AD60" s="78"/>
      <c r="AE60" s="78"/>
      <c r="AF60" s="78"/>
      <c r="AG60" s="78"/>
      <c r="AH60" s="78"/>
      <c r="AI60" s="78"/>
      <c r="AJ60" s="78"/>
      <c r="AK60" s="78"/>
      <c r="AL60" s="78"/>
      <c r="AM60" s="78"/>
      <c r="AN60" s="78"/>
      <c r="AP60" s="345"/>
      <c r="AQ60" s="78"/>
      <c r="AR60" s="78"/>
      <c r="AS60" s="78"/>
      <c r="AT60" s="78"/>
      <c r="AU60" s="78"/>
      <c r="AW60" s="345"/>
      <c r="AX60" s="78"/>
      <c r="AY60" s="78"/>
      <c r="AZ60" s="78"/>
      <c r="BA60" s="78"/>
      <c r="BB60" s="78"/>
      <c r="BD60" s="345"/>
      <c r="BE60" s="78"/>
      <c r="BF60" s="78"/>
      <c r="BG60" s="78"/>
      <c r="BH60" s="78"/>
      <c r="BI60" s="78"/>
      <c r="BK60" s="345"/>
      <c r="BL60" s="78"/>
      <c r="BM60" s="78"/>
      <c r="BN60" s="78"/>
      <c r="BO60" s="78"/>
      <c r="BP60" s="78"/>
      <c r="BR60" s="345"/>
      <c r="BS60" s="78"/>
      <c r="BT60" s="78"/>
      <c r="BU60" s="78"/>
      <c r="BV60" s="78"/>
      <c r="BW60" s="78"/>
      <c r="BY60" s="345"/>
      <c r="BZ60" s="78"/>
      <c r="CA60" s="78"/>
      <c r="CB60" s="78"/>
      <c r="CC60" s="78"/>
      <c r="CD60" s="78"/>
      <c r="CF60" s="345"/>
      <c r="CG60" s="78"/>
      <c r="CH60" s="78"/>
      <c r="CI60" s="78"/>
      <c r="CJ60" s="78"/>
      <c r="CK60" s="78"/>
      <c r="CM60" s="345"/>
      <c r="CN60" s="78"/>
      <c r="CO60" s="78"/>
      <c r="CP60" s="78"/>
      <c r="CQ60" s="78"/>
      <c r="CR60" s="78"/>
      <c r="CT60" s="345"/>
      <c r="CU60" s="78"/>
      <c r="CV60" s="78"/>
      <c r="CW60" s="78"/>
      <c r="CX60" s="78"/>
      <c r="CY60" s="78"/>
      <c r="DA60" s="345"/>
      <c r="DB60" s="78"/>
      <c r="DC60" s="78"/>
      <c r="DD60" s="78"/>
      <c r="DE60" s="78"/>
      <c r="DF60" s="78"/>
      <c r="DH60" s="345"/>
      <c r="DI60" s="78"/>
      <c r="DJ60" s="78"/>
      <c r="DK60" s="78"/>
      <c r="DL60" s="78"/>
      <c r="DM60" s="78"/>
      <c r="DO60" s="345"/>
      <c r="DP60" s="78"/>
      <c r="DQ60" s="78"/>
      <c r="DR60" s="78"/>
      <c r="DS60" s="78"/>
      <c r="DT60" s="78"/>
      <c r="DV60" s="345"/>
      <c r="DW60" s="78"/>
      <c r="DX60" s="78"/>
      <c r="DY60" s="78"/>
      <c r="DZ60" s="78"/>
      <c r="EA60" s="78"/>
      <c r="EC60" s="345"/>
      <c r="ED60" s="78"/>
      <c r="EE60" s="78"/>
      <c r="EF60" s="78"/>
      <c r="EG60" s="78"/>
      <c r="EH60" s="78"/>
      <c r="EJ60" s="345"/>
      <c r="EK60" s="78"/>
      <c r="EL60" s="78"/>
      <c r="EM60" s="78"/>
      <c r="EN60" s="78"/>
      <c r="EO60" s="78"/>
      <c r="EQ60" s="345"/>
      <c r="ER60" s="78"/>
      <c r="ES60" s="78"/>
      <c r="ET60" s="78"/>
      <c r="EU60" s="78"/>
      <c r="EV60" s="78"/>
      <c r="EX60" s="345"/>
      <c r="EY60" s="78"/>
      <c r="EZ60" s="78"/>
      <c r="FA60" s="78"/>
      <c r="FB60" s="78"/>
      <c r="FC60" s="78"/>
      <c r="FE60" s="345"/>
      <c r="FF60" s="78"/>
      <c r="FG60" s="78"/>
      <c r="FH60" s="78"/>
      <c r="FI60" s="78"/>
      <c r="FJ60" s="78"/>
      <c r="FL60" s="345"/>
      <c r="FM60" s="78"/>
      <c r="FN60" s="78"/>
      <c r="FO60" s="78"/>
      <c r="FP60" s="78"/>
      <c r="FQ60" s="80"/>
      <c r="FS60" s="345"/>
      <c r="FT60" s="78"/>
      <c r="FU60" s="80"/>
      <c r="FV60" s="80"/>
      <c r="FW60" s="80"/>
      <c r="FX60" s="80"/>
      <c r="FZ60" s="345"/>
      <c r="GA60" s="80"/>
      <c r="GB60" s="80"/>
      <c r="GC60" s="80"/>
      <c r="GD60" s="80"/>
      <c r="GE60" s="80"/>
      <c r="GG60" s="345"/>
      <c r="GH60" s="80"/>
      <c r="GI60" s="80"/>
      <c r="GJ60" s="80"/>
      <c r="GK60" s="80"/>
      <c r="GL60" s="80"/>
      <c r="GN60" s="345"/>
      <c r="GO60" s="80"/>
      <c r="GP60" s="80"/>
      <c r="GQ60" s="80"/>
      <c r="GR60" s="80"/>
      <c r="GS60" s="80"/>
      <c r="GU60" s="345"/>
      <c r="GV60" s="80"/>
      <c r="GW60" s="80"/>
      <c r="GX60" s="80"/>
      <c r="GY60" s="80"/>
      <c r="GZ60" s="80"/>
    </row>
    <row r="61" spans="1:208" x14ac:dyDescent="0.4">
      <c r="B61" s="345"/>
      <c r="C61" s="78"/>
      <c r="D61" s="78"/>
      <c r="E61" s="78"/>
      <c r="F61" s="78"/>
      <c r="G61" s="78"/>
      <c r="H61" s="78"/>
      <c r="I61" s="78"/>
      <c r="J61" s="78"/>
      <c r="K61" s="78"/>
      <c r="L61" s="78"/>
      <c r="M61" s="78"/>
      <c r="N61" s="78"/>
      <c r="O61" s="78"/>
      <c r="P61" s="78"/>
      <c r="Q61" s="78"/>
      <c r="R61" s="78"/>
      <c r="S61" s="78"/>
      <c r="T61" s="78"/>
      <c r="U61" s="78"/>
      <c r="V61" s="80"/>
      <c r="W61" s="80"/>
      <c r="X61" s="80"/>
      <c r="Y61" s="80"/>
      <c r="Z61" s="80"/>
      <c r="AA61" s="78"/>
      <c r="AB61" s="78"/>
      <c r="AC61" s="78"/>
      <c r="AD61" s="78"/>
      <c r="AE61" s="78"/>
      <c r="AF61" s="78"/>
      <c r="AG61" s="78"/>
      <c r="AH61" s="78"/>
      <c r="AI61" s="78"/>
      <c r="AJ61" s="78"/>
      <c r="AK61" s="78"/>
      <c r="AL61" s="78"/>
      <c r="AM61" s="78"/>
      <c r="AN61" s="78"/>
      <c r="AP61" s="345"/>
      <c r="AQ61" s="78"/>
      <c r="AR61" s="78"/>
      <c r="AS61" s="78"/>
      <c r="AT61" s="78"/>
      <c r="AU61" s="78"/>
      <c r="AW61" s="345"/>
      <c r="AX61" s="78"/>
      <c r="AY61" s="78"/>
      <c r="AZ61" s="78"/>
      <c r="BA61" s="78"/>
      <c r="BB61" s="78"/>
      <c r="BD61" s="345"/>
      <c r="BE61" s="78"/>
      <c r="BF61" s="78"/>
      <c r="BG61" s="78"/>
      <c r="BH61" s="78"/>
      <c r="BI61" s="78"/>
      <c r="BK61" s="345"/>
      <c r="BL61" s="78"/>
      <c r="BM61" s="78"/>
      <c r="BN61" s="78"/>
      <c r="BO61" s="78"/>
      <c r="BP61" s="78"/>
      <c r="BR61" s="345"/>
      <c r="BS61" s="78"/>
      <c r="BT61" s="78"/>
      <c r="BU61" s="78"/>
      <c r="BV61" s="78"/>
      <c r="BW61" s="78"/>
      <c r="BY61" s="345"/>
      <c r="BZ61" s="78"/>
      <c r="CA61" s="78"/>
      <c r="CB61" s="78"/>
      <c r="CC61" s="78"/>
      <c r="CD61" s="78"/>
      <c r="CF61" s="345"/>
      <c r="CG61" s="78"/>
      <c r="CH61" s="78"/>
      <c r="CI61" s="78"/>
      <c r="CJ61" s="78"/>
      <c r="CK61" s="78"/>
      <c r="CM61" s="345"/>
      <c r="CN61" s="78"/>
      <c r="CO61" s="78"/>
      <c r="CP61" s="78"/>
      <c r="CQ61" s="78"/>
      <c r="CR61" s="78"/>
      <c r="CT61" s="345"/>
      <c r="CU61" s="78"/>
      <c r="CV61" s="78"/>
      <c r="CW61" s="78"/>
      <c r="CX61" s="78"/>
      <c r="CY61" s="78"/>
      <c r="DA61" s="345"/>
      <c r="DB61" s="78"/>
      <c r="DC61" s="78"/>
      <c r="DD61" s="78"/>
      <c r="DE61" s="78"/>
      <c r="DF61" s="78"/>
      <c r="DH61" s="345"/>
      <c r="DI61" s="78"/>
      <c r="DJ61" s="78"/>
      <c r="DK61" s="78"/>
      <c r="DL61" s="78"/>
      <c r="DM61" s="78"/>
      <c r="DO61" s="345"/>
      <c r="DP61" s="78"/>
      <c r="DQ61" s="78"/>
      <c r="DR61" s="78"/>
      <c r="DS61" s="78"/>
      <c r="DT61" s="78"/>
      <c r="DV61" s="345"/>
      <c r="DW61" s="78"/>
      <c r="DX61" s="78"/>
      <c r="DY61" s="78"/>
      <c r="DZ61" s="78"/>
      <c r="EA61" s="78"/>
      <c r="EC61" s="345"/>
      <c r="ED61" s="78"/>
      <c r="EE61" s="78"/>
      <c r="EF61" s="78"/>
      <c r="EG61" s="78"/>
      <c r="EH61" s="78"/>
      <c r="EJ61" s="345"/>
      <c r="EK61" s="78"/>
      <c r="EL61" s="78"/>
      <c r="EM61" s="78"/>
      <c r="EN61" s="78"/>
      <c r="EO61" s="78"/>
      <c r="EQ61" s="345"/>
      <c r="ER61" s="78"/>
      <c r="ES61" s="78"/>
      <c r="ET61" s="78"/>
      <c r="EU61" s="78"/>
      <c r="EV61" s="78"/>
      <c r="EX61" s="345"/>
      <c r="EY61" s="78"/>
      <c r="EZ61" s="78"/>
      <c r="FA61" s="78"/>
      <c r="FB61" s="78"/>
      <c r="FC61" s="78"/>
      <c r="FE61" s="345"/>
      <c r="FF61" s="78"/>
      <c r="FG61" s="78"/>
      <c r="FH61" s="78"/>
      <c r="FI61" s="78"/>
      <c r="FJ61" s="78"/>
      <c r="FL61" s="345"/>
      <c r="FM61" s="78"/>
      <c r="FN61" s="78"/>
      <c r="FO61" s="78"/>
      <c r="FP61" s="78"/>
      <c r="FQ61" s="80"/>
      <c r="FS61" s="345"/>
      <c r="FT61" s="78"/>
      <c r="FU61" s="80"/>
      <c r="FV61" s="80"/>
      <c r="FW61" s="80"/>
      <c r="FX61" s="80"/>
      <c r="FZ61" s="345"/>
      <c r="GA61" s="80"/>
      <c r="GB61" s="80"/>
      <c r="GC61" s="80"/>
      <c r="GD61" s="80"/>
      <c r="GE61" s="80"/>
      <c r="GG61" s="345"/>
      <c r="GH61" s="80"/>
      <c r="GI61" s="80"/>
      <c r="GJ61" s="80"/>
      <c r="GK61" s="80"/>
      <c r="GL61" s="80"/>
      <c r="GN61" s="345"/>
      <c r="GO61" s="80"/>
      <c r="GP61" s="80"/>
      <c r="GQ61" s="80"/>
      <c r="GR61" s="80"/>
      <c r="GS61" s="80"/>
      <c r="GU61" s="345"/>
      <c r="GV61" s="80"/>
      <c r="GW61" s="80"/>
      <c r="GX61" s="80"/>
      <c r="GY61" s="80"/>
      <c r="GZ61" s="80"/>
    </row>
    <row r="62" spans="1:208" x14ac:dyDescent="0.4">
      <c r="B62" s="318" t="s">
        <v>84</v>
      </c>
      <c r="C62" s="319">
        <f>AU62</f>
        <v>522</v>
      </c>
      <c r="D62" s="319">
        <f>BB62</f>
        <v>309</v>
      </c>
      <c r="E62" s="319">
        <f>BI62</f>
        <v>461</v>
      </c>
      <c r="F62" s="319">
        <f>BP62</f>
        <v>368</v>
      </c>
      <c r="G62" s="319">
        <f>BW62</f>
        <v>669</v>
      </c>
      <c r="H62" s="319">
        <f>CD62</f>
        <v>1029</v>
      </c>
      <c r="I62" s="319">
        <f>CK62</f>
        <v>1292</v>
      </c>
      <c r="J62" s="319">
        <f>CR62</f>
        <v>783</v>
      </c>
      <c r="K62" s="319">
        <f>CY62</f>
        <v>784</v>
      </c>
      <c r="L62" s="319">
        <f>DF62</f>
        <v>592</v>
      </c>
      <c r="M62" s="319">
        <f>DM62</f>
        <v>669</v>
      </c>
      <c r="N62" s="319">
        <f>DT62</f>
        <v>628</v>
      </c>
      <c r="O62" s="319">
        <f>EA62</f>
        <v>603</v>
      </c>
      <c r="P62" s="319">
        <f>EH62</f>
        <v>401</v>
      </c>
      <c r="Q62" s="319">
        <f>EO62</f>
        <v>858</v>
      </c>
      <c r="R62" s="319">
        <f>EV62</f>
        <v>958</v>
      </c>
      <c r="S62" s="319">
        <f>FC62</f>
        <v>3129</v>
      </c>
      <c r="T62" s="319">
        <f>FJ62</f>
        <v>2239</v>
      </c>
      <c r="U62" s="319">
        <f>FQ62</f>
        <v>1958</v>
      </c>
      <c r="V62" s="319">
        <f>FX62</f>
        <v>1353</v>
      </c>
      <c r="W62" s="319">
        <f>GE62</f>
        <v>933</v>
      </c>
      <c r="X62" s="319">
        <f>GL62</f>
        <v>670</v>
      </c>
      <c r="Y62" s="319">
        <f>GS62</f>
        <v>153.86953252188414</v>
      </c>
      <c r="Z62" s="319">
        <f>GZ62</f>
        <v>-194.3194886084093</v>
      </c>
      <c r="AA62" s="320"/>
      <c r="AB62" s="320"/>
      <c r="AC62" s="320"/>
      <c r="AD62" s="320"/>
      <c r="AE62" s="320"/>
      <c r="AF62" s="320"/>
      <c r="AG62" s="320"/>
      <c r="AH62" s="320"/>
      <c r="AI62" s="320"/>
      <c r="AJ62" s="320"/>
      <c r="AK62" s="320"/>
      <c r="AL62" s="320"/>
      <c r="AM62" s="320"/>
      <c r="AN62" s="320"/>
      <c r="AP62" s="318" t="s">
        <v>84</v>
      </c>
      <c r="AQ62" s="319">
        <v>522</v>
      </c>
      <c r="AR62" s="319">
        <f>AQ65</f>
        <v>710</v>
      </c>
      <c r="AS62" s="319">
        <f>AR65</f>
        <v>301</v>
      </c>
      <c r="AT62" s="319">
        <f>AS65</f>
        <v>278</v>
      </c>
      <c r="AU62" s="319">
        <f>AQ62</f>
        <v>522</v>
      </c>
      <c r="AW62" s="318" t="s">
        <v>84</v>
      </c>
      <c r="AX62" s="319">
        <f>AU65</f>
        <v>309</v>
      </c>
      <c r="AY62" s="319">
        <f>AX65</f>
        <v>376</v>
      </c>
      <c r="AZ62" s="319">
        <f>AY65</f>
        <v>320</v>
      </c>
      <c r="BA62" s="319">
        <f>AZ65</f>
        <v>388</v>
      </c>
      <c r="BB62" s="319">
        <f>AU65</f>
        <v>309</v>
      </c>
      <c r="BD62" s="318" t="s">
        <v>84</v>
      </c>
      <c r="BE62" s="319">
        <f>BB65</f>
        <v>461</v>
      </c>
      <c r="BF62" s="319">
        <f>BE65</f>
        <v>512</v>
      </c>
      <c r="BG62" s="319">
        <f>BF65</f>
        <v>428</v>
      </c>
      <c r="BH62" s="319">
        <f>BG65</f>
        <v>660</v>
      </c>
      <c r="BI62" s="319">
        <f>BB65</f>
        <v>461</v>
      </c>
      <c r="BK62" s="318" t="s">
        <v>84</v>
      </c>
      <c r="BL62" s="319">
        <f>BI65</f>
        <v>368</v>
      </c>
      <c r="BM62" s="319">
        <f>BL65</f>
        <v>1570</v>
      </c>
      <c r="BN62" s="319">
        <f>BM65</f>
        <v>1398</v>
      </c>
      <c r="BO62" s="319">
        <f>BN65</f>
        <v>895</v>
      </c>
      <c r="BP62" s="319">
        <f>BI65</f>
        <v>368</v>
      </c>
      <c r="BR62" s="318" t="s">
        <v>84</v>
      </c>
      <c r="BS62" s="319">
        <f>BP65</f>
        <v>669</v>
      </c>
      <c r="BT62" s="319">
        <f>BS65</f>
        <v>1056</v>
      </c>
      <c r="BU62" s="319">
        <f>BT65</f>
        <v>1108</v>
      </c>
      <c r="BV62" s="319">
        <f>BU65</f>
        <v>1240</v>
      </c>
      <c r="BW62" s="319">
        <f>BP65</f>
        <v>669</v>
      </c>
      <c r="BY62" s="318" t="s">
        <v>84</v>
      </c>
      <c r="BZ62" s="319">
        <f>BW65</f>
        <v>1029</v>
      </c>
      <c r="CA62" s="319">
        <f>BZ65</f>
        <v>993</v>
      </c>
      <c r="CB62" s="319">
        <f>CA65</f>
        <v>633</v>
      </c>
      <c r="CC62" s="319">
        <f>CB65</f>
        <v>636</v>
      </c>
      <c r="CD62" s="319">
        <f>BW65</f>
        <v>1029</v>
      </c>
      <c r="CF62" s="318" t="s">
        <v>84</v>
      </c>
      <c r="CG62" s="319">
        <f>CD65</f>
        <v>1292</v>
      </c>
      <c r="CH62" s="319">
        <f>CG65</f>
        <v>534</v>
      </c>
      <c r="CI62" s="319">
        <f>CH65</f>
        <v>1252</v>
      </c>
      <c r="CJ62" s="319">
        <f>CI65</f>
        <v>580</v>
      </c>
      <c r="CK62" s="319">
        <f>CD65</f>
        <v>1292</v>
      </c>
      <c r="CM62" s="318" t="s">
        <v>84</v>
      </c>
      <c r="CN62" s="319">
        <f>CK65</f>
        <v>783</v>
      </c>
      <c r="CO62" s="319">
        <f>CN65</f>
        <v>627</v>
      </c>
      <c r="CP62" s="319">
        <f>CO65</f>
        <v>642</v>
      </c>
      <c r="CQ62" s="319">
        <f>CP65</f>
        <v>693</v>
      </c>
      <c r="CR62" s="319">
        <f>CK65</f>
        <v>783</v>
      </c>
      <c r="CT62" s="318" t="s">
        <v>84</v>
      </c>
      <c r="CU62" s="319">
        <f>CR65</f>
        <v>784</v>
      </c>
      <c r="CV62" s="319">
        <f>CU65</f>
        <v>705</v>
      </c>
      <c r="CW62" s="319">
        <f>CV65</f>
        <v>614</v>
      </c>
      <c r="CX62" s="319">
        <f>CW65</f>
        <v>591</v>
      </c>
      <c r="CY62" s="319">
        <f>CR65</f>
        <v>784</v>
      </c>
      <c r="DA62" s="318" t="s">
        <v>84</v>
      </c>
      <c r="DB62" s="319">
        <f>CY65</f>
        <v>592</v>
      </c>
      <c r="DC62" s="319">
        <f>DB65</f>
        <v>475</v>
      </c>
      <c r="DD62" s="319">
        <f>DC65</f>
        <v>573</v>
      </c>
      <c r="DE62" s="319">
        <f>DD65</f>
        <v>479</v>
      </c>
      <c r="DF62" s="319">
        <f>CY65</f>
        <v>592</v>
      </c>
      <c r="DH62" s="318" t="s">
        <v>84</v>
      </c>
      <c r="DI62" s="319">
        <f>DF65</f>
        <v>669</v>
      </c>
      <c r="DJ62" s="319">
        <f>DI65</f>
        <v>561</v>
      </c>
      <c r="DK62" s="319">
        <f>DJ65</f>
        <v>438</v>
      </c>
      <c r="DL62" s="319">
        <f>DK65</f>
        <v>541</v>
      </c>
      <c r="DM62" s="319">
        <f>DF65</f>
        <v>669</v>
      </c>
      <c r="DO62" s="318" t="s">
        <v>84</v>
      </c>
      <c r="DP62" s="319">
        <f>DM65</f>
        <v>628</v>
      </c>
      <c r="DQ62" s="319">
        <f>DP65</f>
        <v>731</v>
      </c>
      <c r="DR62" s="319">
        <f>DQ65</f>
        <v>566</v>
      </c>
      <c r="DS62" s="319">
        <f>DR65</f>
        <v>603</v>
      </c>
      <c r="DT62" s="319">
        <f>DM65</f>
        <v>628</v>
      </c>
      <c r="DV62" s="318" t="s">
        <v>84</v>
      </c>
      <c r="DW62" s="319">
        <f>DT65</f>
        <v>603</v>
      </c>
      <c r="DX62" s="319">
        <f>DW65</f>
        <v>930</v>
      </c>
      <c r="DY62" s="319">
        <f>DX65</f>
        <v>620</v>
      </c>
      <c r="DZ62" s="319">
        <f>DY65</f>
        <v>591</v>
      </c>
      <c r="EA62" s="319">
        <f>DT65</f>
        <v>603</v>
      </c>
      <c r="EC62" s="318" t="s">
        <v>84</v>
      </c>
      <c r="ED62" s="319">
        <f>EA65</f>
        <v>401</v>
      </c>
      <c r="EE62" s="319">
        <f>ED65</f>
        <v>1980</v>
      </c>
      <c r="EF62" s="319">
        <f>EE65</f>
        <v>1320</v>
      </c>
      <c r="EG62" s="319">
        <f>EF65</f>
        <v>663</v>
      </c>
      <c r="EH62" s="319">
        <f>EA65</f>
        <v>401</v>
      </c>
      <c r="EJ62" s="318" t="s">
        <v>84</v>
      </c>
      <c r="EK62" s="319">
        <f>EH65</f>
        <v>858</v>
      </c>
      <c r="EL62" s="319">
        <f>EK65</f>
        <v>1188</v>
      </c>
      <c r="EM62" s="319">
        <f>EL65</f>
        <v>853</v>
      </c>
      <c r="EN62" s="319">
        <f>EM65</f>
        <v>1521</v>
      </c>
      <c r="EO62" s="319">
        <f>EH65</f>
        <v>858</v>
      </c>
      <c r="EQ62" s="318" t="s">
        <v>84</v>
      </c>
      <c r="ER62" s="319">
        <f>EO65</f>
        <v>958</v>
      </c>
      <c r="ES62" s="319">
        <f>ER65</f>
        <v>1995</v>
      </c>
      <c r="ET62" s="319">
        <f>ES65</f>
        <v>2391</v>
      </c>
      <c r="EU62" s="319">
        <f>ET65</f>
        <v>2898</v>
      </c>
      <c r="EV62" s="319">
        <f>EO65</f>
        <v>958</v>
      </c>
      <c r="EX62" s="318" t="s">
        <v>84</v>
      </c>
      <c r="EY62" s="319">
        <f>EV65</f>
        <v>3129</v>
      </c>
      <c r="EZ62" s="319">
        <f>EY65</f>
        <v>2955</v>
      </c>
      <c r="FA62" s="319">
        <f>EZ65</f>
        <v>2986</v>
      </c>
      <c r="FB62" s="319">
        <f>FA65</f>
        <v>2179</v>
      </c>
      <c r="FC62" s="319">
        <f>EV65</f>
        <v>3129</v>
      </c>
      <c r="FE62" s="318" t="s">
        <v>84</v>
      </c>
      <c r="FF62" s="319">
        <f>FC65</f>
        <v>2239</v>
      </c>
      <c r="FG62" s="319">
        <f>FF65</f>
        <v>1936</v>
      </c>
      <c r="FH62" s="319">
        <f>FG65</f>
        <v>724</v>
      </c>
      <c r="FI62" s="319">
        <f>FH65</f>
        <v>2311</v>
      </c>
      <c r="FJ62" s="319">
        <f>FC65</f>
        <v>2239</v>
      </c>
      <c r="FL62" s="318" t="s">
        <v>84</v>
      </c>
      <c r="FM62" s="319">
        <f>FJ65</f>
        <v>1958</v>
      </c>
      <c r="FN62" s="319">
        <f>FM65</f>
        <v>1291</v>
      </c>
      <c r="FO62" s="319">
        <f>FN65</f>
        <v>956</v>
      </c>
      <c r="FP62" s="319">
        <f>FO65</f>
        <v>1360</v>
      </c>
      <c r="FQ62" s="319">
        <f>FJ65</f>
        <v>1958</v>
      </c>
      <c r="FS62" s="318" t="s">
        <v>84</v>
      </c>
      <c r="FT62" s="319">
        <f>FQ65</f>
        <v>1353</v>
      </c>
      <c r="FU62" s="319">
        <f>FT65</f>
        <v>1483</v>
      </c>
      <c r="FV62" s="319">
        <f>FU65</f>
        <v>1238</v>
      </c>
      <c r="FW62" s="319">
        <f>FV65</f>
        <v>1644</v>
      </c>
      <c r="FX62" s="319">
        <f>FQ65</f>
        <v>1353</v>
      </c>
      <c r="FZ62" s="318" t="s">
        <v>84</v>
      </c>
      <c r="GA62" s="319">
        <f>FX65</f>
        <v>933</v>
      </c>
      <c r="GB62" s="319">
        <f>GA65</f>
        <v>1139</v>
      </c>
      <c r="GC62" s="319">
        <f>GB65</f>
        <v>387</v>
      </c>
      <c r="GD62" s="319">
        <f>GC65</f>
        <v>612</v>
      </c>
      <c r="GE62" s="319">
        <f>FX65</f>
        <v>933</v>
      </c>
      <c r="GG62" s="318" t="s">
        <v>84</v>
      </c>
      <c r="GH62" s="319">
        <f>GE65</f>
        <v>670</v>
      </c>
      <c r="GI62" s="319">
        <f>GH65</f>
        <v>418.40783681674429</v>
      </c>
      <c r="GJ62" s="319">
        <f>GI65</f>
        <v>313.85136390227308</v>
      </c>
      <c r="GK62" s="319">
        <f>GJ65</f>
        <v>293.22051022354344</v>
      </c>
      <c r="GL62" s="319">
        <f>GE65</f>
        <v>670</v>
      </c>
      <c r="GN62" s="318" t="s">
        <v>84</v>
      </c>
      <c r="GO62" s="319">
        <f>GL65</f>
        <v>153.86953252188414</v>
      </c>
      <c r="GP62" s="319">
        <f>GO65</f>
        <v>37.196634815027437</v>
      </c>
      <c r="GQ62" s="319">
        <f>GP65</f>
        <v>-46.132466812461644</v>
      </c>
      <c r="GR62" s="319">
        <f>GQ65</f>
        <v>-94.916719135117773</v>
      </c>
      <c r="GS62" s="319">
        <f>GL65</f>
        <v>153.86953252188414</v>
      </c>
      <c r="GU62" s="318" t="s">
        <v>84</v>
      </c>
      <c r="GV62" s="319">
        <f>GS65</f>
        <v>-194.3194886084093</v>
      </c>
      <c r="GW62" s="319">
        <f>GV65</f>
        <v>-369.71352277783444</v>
      </c>
      <c r="GX62" s="319">
        <f>GW65</f>
        <v>-392.69471159025306</v>
      </c>
      <c r="GY62" s="319">
        <f>GX65</f>
        <v>-383.98859870782599</v>
      </c>
      <c r="GZ62" s="319">
        <f>GS65</f>
        <v>-194.3194886084093</v>
      </c>
    </row>
    <row r="63" spans="1:208" x14ac:dyDescent="0.4">
      <c r="B63" s="318" t="s">
        <v>85</v>
      </c>
      <c r="C63" s="319">
        <f>AU63</f>
        <v>-213</v>
      </c>
      <c r="D63" s="319">
        <f>BB63</f>
        <v>152</v>
      </c>
      <c r="E63" s="319">
        <f>BI63</f>
        <v>-93</v>
      </c>
      <c r="F63" s="319">
        <f>BP63</f>
        <v>301</v>
      </c>
      <c r="G63" s="319">
        <f>BW63</f>
        <v>360</v>
      </c>
      <c r="H63" s="319">
        <f>CD63</f>
        <v>263</v>
      </c>
      <c r="I63" s="319">
        <f>CK63</f>
        <v>-509</v>
      </c>
      <c r="J63" s="319">
        <f>CR63</f>
        <v>1</v>
      </c>
      <c r="K63" s="319">
        <f>CY63</f>
        <v>-192</v>
      </c>
      <c r="L63" s="319">
        <f>DF63</f>
        <v>77</v>
      </c>
      <c r="M63" s="319">
        <f>DM63</f>
        <v>-41</v>
      </c>
      <c r="N63" s="319">
        <f>DT63</f>
        <v>-25</v>
      </c>
      <c r="O63" s="319">
        <f>EA63</f>
        <v>-202</v>
      </c>
      <c r="P63" s="319">
        <f>EH63</f>
        <v>457</v>
      </c>
      <c r="Q63" s="319">
        <f>EO63</f>
        <v>100</v>
      </c>
      <c r="R63" s="319">
        <f>EV63</f>
        <v>2171</v>
      </c>
      <c r="S63" s="319">
        <f>FC63</f>
        <v>-890</v>
      </c>
      <c r="T63" s="319">
        <f>FJ63</f>
        <v>-281</v>
      </c>
      <c r="U63" s="319">
        <f>FQ63</f>
        <v>-605</v>
      </c>
      <c r="V63" s="319">
        <f>FX63</f>
        <v>-420</v>
      </c>
      <c r="W63" s="319">
        <f>GE63</f>
        <v>-263</v>
      </c>
      <c r="X63" s="319">
        <f>GL63</f>
        <v>-516.13046747811586</v>
      </c>
      <c r="Y63" s="319">
        <f>GS63</f>
        <v>-348.18902113029344</v>
      </c>
      <c r="Z63" s="319">
        <f>GZ63</f>
        <v>-231.19602216248768</v>
      </c>
      <c r="AA63" s="320"/>
      <c r="AB63" s="320"/>
      <c r="AC63" s="320"/>
      <c r="AD63" s="320"/>
      <c r="AE63" s="320"/>
      <c r="AF63" s="320"/>
      <c r="AG63" s="320"/>
      <c r="AH63" s="320"/>
      <c r="AI63" s="320"/>
      <c r="AJ63" s="320"/>
      <c r="AK63" s="320"/>
      <c r="AL63" s="320"/>
      <c r="AM63" s="320"/>
      <c r="AN63" s="320"/>
      <c r="AP63" s="318" t="s">
        <v>85</v>
      </c>
      <c r="AQ63" s="319">
        <f t="shared" ref="AQ63:CH63" si="194">AQ59+AQ47+AQ33</f>
        <v>188</v>
      </c>
      <c r="AR63" s="319">
        <f t="shared" si="194"/>
        <v>-409</v>
      </c>
      <c r="AS63" s="319">
        <f t="shared" si="194"/>
        <v>-23</v>
      </c>
      <c r="AT63" s="319">
        <f t="shared" si="194"/>
        <v>31</v>
      </c>
      <c r="AU63" s="319">
        <f t="shared" si="194"/>
        <v>-213</v>
      </c>
      <c r="AW63" s="318" t="s">
        <v>85</v>
      </c>
      <c r="AX63" s="319">
        <f t="shared" si="194"/>
        <v>67</v>
      </c>
      <c r="AY63" s="319">
        <f t="shared" si="194"/>
        <v>-56</v>
      </c>
      <c r="AZ63" s="319">
        <f t="shared" si="194"/>
        <v>68</v>
      </c>
      <c r="BA63" s="319">
        <f t="shared" si="194"/>
        <v>73</v>
      </c>
      <c r="BB63" s="319">
        <f t="shared" si="194"/>
        <v>152</v>
      </c>
      <c r="BD63" s="318" t="s">
        <v>85</v>
      </c>
      <c r="BE63" s="319">
        <f t="shared" si="194"/>
        <v>51</v>
      </c>
      <c r="BF63" s="319">
        <f t="shared" si="194"/>
        <v>-84</v>
      </c>
      <c r="BG63" s="319">
        <f t="shared" si="194"/>
        <v>232</v>
      </c>
      <c r="BH63" s="319">
        <f t="shared" si="194"/>
        <v>-292</v>
      </c>
      <c r="BI63" s="319">
        <f t="shared" si="194"/>
        <v>-93</v>
      </c>
      <c r="BK63" s="318" t="s">
        <v>85</v>
      </c>
      <c r="BL63" s="319">
        <f t="shared" si="194"/>
        <v>1202</v>
      </c>
      <c r="BM63" s="319">
        <f t="shared" si="194"/>
        <v>-172</v>
      </c>
      <c r="BN63" s="319">
        <f t="shared" si="194"/>
        <v>-503</v>
      </c>
      <c r="BO63" s="319">
        <f t="shared" si="194"/>
        <v>-226</v>
      </c>
      <c r="BP63" s="319">
        <f t="shared" si="194"/>
        <v>301</v>
      </c>
      <c r="BR63" s="318" t="s">
        <v>85</v>
      </c>
      <c r="BS63" s="319">
        <f t="shared" si="194"/>
        <v>387</v>
      </c>
      <c r="BT63" s="319">
        <f t="shared" si="194"/>
        <v>52</v>
      </c>
      <c r="BU63" s="319">
        <f t="shared" si="194"/>
        <v>132</v>
      </c>
      <c r="BV63" s="319">
        <f t="shared" si="194"/>
        <v>-211</v>
      </c>
      <c r="BW63" s="319">
        <f t="shared" si="194"/>
        <v>360</v>
      </c>
      <c r="BY63" s="318" t="s">
        <v>85</v>
      </c>
      <c r="BZ63" s="319">
        <f t="shared" si="194"/>
        <v>-36</v>
      </c>
      <c r="CA63" s="319">
        <f t="shared" si="194"/>
        <v>-360</v>
      </c>
      <c r="CB63" s="319">
        <f t="shared" si="194"/>
        <v>3</v>
      </c>
      <c r="CC63" s="319">
        <f t="shared" si="194"/>
        <v>656</v>
      </c>
      <c r="CD63" s="319">
        <f t="shared" si="194"/>
        <v>263</v>
      </c>
      <c r="CF63" s="318" t="s">
        <v>85</v>
      </c>
      <c r="CG63" s="319">
        <f t="shared" si="194"/>
        <v>-758</v>
      </c>
      <c r="CH63" s="319">
        <f t="shared" si="194"/>
        <v>718</v>
      </c>
      <c r="CI63" s="319">
        <f t="shared" ref="CI63:DZ63" si="195">CI59+CI47+CI33</f>
        <v>-672</v>
      </c>
      <c r="CJ63" s="319">
        <f t="shared" si="195"/>
        <v>203</v>
      </c>
      <c r="CK63" s="319">
        <f t="shared" si="195"/>
        <v>-509</v>
      </c>
      <c r="CM63" s="318" t="s">
        <v>85</v>
      </c>
      <c r="CN63" s="319">
        <f t="shared" si="195"/>
        <v>-156</v>
      </c>
      <c r="CO63" s="319">
        <f t="shared" si="195"/>
        <v>15</v>
      </c>
      <c r="CP63" s="319">
        <f t="shared" si="195"/>
        <v>51</v>
      </c>
      <c r="CQ63" s="319">
        <f t="shared" si="195"/>
        <v>91</v>
      </c>
      <c r="CR63" s="319">
        <f t="shared" si="195"/>
        <v>1</v>
      </c>
      <c r="CT63" s="318" t="s">
        <v>85</v>
      </c>
      <c r="CU63" s="319">
        <f t="shared" si="195"/>
        <v>-79</v>
      </c>
      <c r="CV63" s="319">
        <f t="shared" si="195"/>
        <v>-91</v>
      </c>
      <c r="CW63" s="319">
        <f t="shared" si="195"/>
        <v>-23</v>
      </c>
      <c r="CX63" s="319">
        <f t="shared" si="195"/>
        <v>1</v>
      </c>
      <c r="CY63" s="319">
        <f t="shared" si="195"/>
        <v>-192</v>
      </c>
      <c r="DA63" s="318" t="s">
        <v>85</v>
      </c>
      <c r="DB63" s="319">
        <f t="shared" si="195"/>
        <v>-117</v>
      </c>
      <c r="DC63" s="319">
        <f t="shared" si="195"/>
        <v>98</v>
      </c>
      <c r="DD63" s="319">
        <f t="shared" si="195"/>
        <v>-94</v>
      </c>
      <c r="DE63" s="319">
        <f t="shared" si="195"/>
        <v>190</v>
      </c>
      <c r="DF63" s="319">
        <f t="shared" si="195"/>
        <v>77</v>
      </c>
      <c r="DH63" s="318" t="s">
        <v>85</v>
      </c>
      <c r="DI63" s="319">
        <f t="shared" si="195"/>
        <v>-108</v>
      </c>
      <c r="DJ63" s="319">
        <f t="shared" si="195"/>
        <v>-123</v>
      </c>
      <c r="DK63" s="319">
        <f t="shared" si="195"/>
        <v>103</v>
      </c>
      <c r="DL63" s="319">
        <f t="shared" si="195"/>
        <v>87</v>
      </c>
      <c r="DM63" s="319">
        <f t="shared" si="195"/>
        <v>-41</v>
      </c>
      <c r="DO63" s="318" t="s">
        <v>85</v>
      </c>
      <c r="DP63" s="319">
        <f t="shared" si="195"/>
        <v>103</v>
      </c>
      <c r="DQ63" s="319">
        <f t="shared" si="195"/>
        <v>-165</v>
      </c>
      <c r="DR63" s="319">
        <f t="shared" si="195"/>
        <v>37</v>
      </c>
      <c r="DS63" s="319">
        <f t="shared" si="195"/>
        <v>0</v>
      </c>
      <c r="DT63" s="319">
        <f t="shared" si="195"/>
        <v>-25</v>
      </c>
      <c r="DV63" s="318" t="s">
        <v>85</v>
      </c>
      <c r="DW63" s="319">
        <f t="shared" si="195"/>
        <v>327</v>
      </c>
      <c r="DX63" s="319">
        <f t="shared" si="195"/>
        <v>-310</v>
      </c>
      <c r="DY63" s="319">
        <f t="shared" si="195"/>
        <v>-29</v>
      </c>
      <c r="DZ63" s="319">
        <f t="shared" si="195"/>
        <v>-190</v>
      </c>
      <c r="EA63" s="319">
        <f t="shared" ref="EA63:EH63" si="196">EA59+EA47+EA33</f>
        <v>-202</v>
      </c>
      <c r="EC63" s="318" t="s">
        <v>85</v>
      </c>
      <c r="ED63" s="319">
        <f t="shared" si="196"/>
        <v>1579</v>
      </c>
      <c r="EE63" s="319">
        <f t="shared" si="196"/>
        <v>-660</v>
      </c>
      <c r="EF63" s="319">
        <f t="shared" si="196"/>
        <v>-657</v>
      </c>
      <c r="EG63" s="319">
        <f t="shared" si="196"/>
        <v>195</v>
      </c>
      <c r="EH63" s="319">
        <f t="shared" si="196"/>
        <v>457</v>
      </c>
      <c r="EJ63" s="318" t="s">
        <v>85</v>
      </c>
      <c r="EK63" s="319">
        <f t="shared" ref="EK63:EV63" si="197">EK59+EK47+EK33</f>
        <v>330</v>
      </c>
      <c r="EL63" s="319">
        <f t="shared" si="197"/>
        <v>-335</v>
      </c>
      <c r="EM63" s="319">
        <f t="shared" si="197"/>
        <v>668</v>
      </c>
      <c r="EN63" s="319">
        <f t="shared" si="197"/>
        <v>-563</v>
      </c>
      <c r="EO63" s="319">
        <f t="shared" si="197"/>
        <v>100</v>
      </c>
      <c r="EQ63" s="318" t="s">
        <v>85</v>
      </c>
      <c r="ER63" s="319">
        <f>ER59+ER47+ER33</f>
        <v>1037</v>
      </c>
      <c r="ES63" s="319">
        <f t="shared" si="197"/>
        <v>396</v>
      </c>
      <c r="ET63" s="319">
        <f t="shared" si="197"/>
        <v>507</v>
      </c>
      <c r="EU63" s="319">
        <f>EU59+EU47+EU33</f>
        <v>231</v>
      </c>
      <c r="EV63" s="319">
        <f t="shared" si="197"/>
        <v>2171</v>
      </c>
      <c r="EX63" s="318" t="s">
        <v>85</v>
      </c>
      <c r="EY63" s="319">
        <f t="shared" ref="EY63:GL63" si="198">EY59+EY47+EY33</f>
        <v>-174</v>
      </c>
      <c r="EZ63" s="319">
        <f t="shared" si="198"/>
        <v>31</v>
      </c>
      <c r="FA63" s="319">
        <f t="shared" si="198"/>
        <v>-807</v>
      </c>
      <c r="FB63" s="319">
        <f t="shared" si="198"/>
        <v>60</v>
      </c>
      <c r="FC63" s="319">
        <f t="shared" si="198"/>
        <v>-890</v>
      </c>
      <c r="FE63" s="318" t="s">
        <v>85</v>
      </c>
      <c r="FF63" s="319">
        <f t="shared" si="198"/>
        <v>-303</v>
      </c>
      <c r="FG63" s="319">
        <f t="shared" si="198"/>
        <v>-1212</v>
      </c>
      <c r="FH63" s="319">
        <f t="shared" si="198"/>
        <v>1587</v>
      </c>
      <c r="FI63" s="319">
        <f t="shared" si="198"/>
        <v>-353</v>
      </c>
      <c r="FJ63" s="319">
        <f t="shared" si="198"/>
        <v>-281</v>
      </c>
      <c r="FL63" s="318" t="s">
        <v>85</v>
      </c>
      <c r="FM63" s="319">
        <f t="shared" si="198"/>
        <v>-667</v>
      </c>
      <c r="FN63" s="319">
        <f t="shared" si="198"/>
        <v>-335</v>
      </c>
      <c r="FO63" s="319">
        <f t="shared" si="198"/>
        <v>404</v>
      </c>
      <c r="FP63" s="319">
        <f t="shared" si="198"/>
        <v>-7</v>
      </c>
      <c r="FQ63" s="319">
        <f t="shared" si="198"/>
        <v>-605</v>
      </c>
      <c r="FS63" s="318" t="s">
        <v>85</v>
      </c>
      <c r="FT63" s="319">
        <f t="shared" si="198"/>
        <v>130</v>
      </c>
      <c r="FU63" s="319">
        <f t="shared" si="198"/>
        <v>-245</v>
      </c>
      <c r="FV63" s="319">
        <f t="shared" si="198"/>
        <v>406</v>
      </c>
      <c r="FW63" s="319">
        <f t="shared" si="198"/>
        <v>-711</v>
      </c>
      <c r="FX63" s="319">
        <f t="shared" si="198"/>
        <v>-420</v>
      </c>
      <c r="FZ63" s="318" t="s">
        <v>85</v>
      </c>
      <c r="GA63" s="319">
        <f t="shared" si="198"/>
        <v>206</v>
      </c>
      <c r="GB63" s="319">
        <f t="shared" si="198"/>
        <v>-752</v>
      </c>
      <c r="GC63" s="319">
        <f t="shared" si="198"/>
        <v>225</v>
      </c>
      <c r="GD63" s="319">
        <f t="shared" si="198"/>
        <v>58</v>
      </c>
      <c r="GE63" s="319">
        <f t="shared" si="198"/>
        <v>-263</v>
      </c>
      <c r="GG63" s="318" t="s">
        <v>85</v>
      </c>
      <c r="GH63" s="319">
        <f t="shared" si="198"/>
        <v>-251.59216318325571</v>
      </c>
      <c r="GI63" s="319">
        <f t="shared" si="198"/>
        <v>-104.55647291447121</v>
      </c>
      <c r="GJ63" s="319">
        <f t="shared" si="198"/>
        <v>-20.630853678729636</v>
      </c>
      <c r="GK63" s="319">
        <f t="shared" si="198"/>
        <v>-139.35097770165908</v>
      </c>
      <c r="GL63" s="319">
        <f t="shared" si="198"/>
        <v>-516.13046747811586</v>
      </c>
      <c r="GN63" s="318" t="s">
        <v>85</v>
      </c>
      <c r="GO63" s="319">
        <f t="shared" ref="GO63:GS63" si="199">GO59+GO47+GO33</f>
        <v>-116.6728977068567</v>
      </c>
      <c r="GP63" s="319">
        <f t="shared" si="199"/>
        <v>-83.329101627489081</v>
      </c>
      <c r="GQ63" s="319">
        <f t="shared" si="199"/>
        <v>-48.78425232265613</v>
      </c>
      <c r="GR63" s="319">
        <f t="shared" si="199"/>
        <v>-99.402769473291528</v>
      </c>
      <c r="GS63" s="319">
        <f t="shared" si="199"/>
        <v>-348.18902113029344</v>
      </c>
      <c r="GU63" s="318" t="s">
        <v>85</v>
      </c>
      <c r="GV63" s="319">
        <f t="shared" ref="GV63:GZ63" si="200">GV59+GV47+GV33</f>
        <v>-175.39403416942514</v>
      </c>
      <c r="GW63" s="319">
        <f t="shared" si="200"/>
        <v>-22.981188812418623</v>
      </c>
      <c r="GX63" s="319">
        <f t="shared" si="200"/>
        <v>8.7061128824270781</v>
      </c>
      <c r="GY63" s="319">
        <f t="shared" si="200"/>
        <v>-41.526912063070995</v>
      </c>
      <c r="GZ63" s="319">
        <f t="shared" si="200"/>
        <v>-231.19602216248768</v>
      </c>
    </row>
    <row r="64" spans="1:208" x14ac:dyDescent="0.4">
      <c r="B64" s="82"/>
      <c r="C64" s="80"/>
      <c r="D64" s="80"/>
      <c r="E64" s="80"/>
      <c r="F64" s="80"/>
      <c r="G64" s="80"/>
      <c r="H64" s="80"/>
      <c r="I64" s="80"/>
      <c r="J64" s="80"/>
      <c r="K64" s="80"/>
      <c r="L64" s="80"/>
      <c r="M64" s="80"/>
      <c r="N64" s="80"/>
      <c r="O64" s="80"/>
      <c r="P64" s="80"/>
      <c r="Q64" s="80"/>
      <c r="R64" s="80"/>
      <c r="S64" s="80"/>
      <c r="T64" s="80"/>
      <c r="U64" s="80"/>
      <c r="V64" s="80"/>
      <c r="W64" s="80"/>
      <c r="X64" s="80"/>
      <c r="Y64" s="80"/>
      <c r="Z64" s="80"/>
      <c r="AA64" s="78"/>
      <c r="AB64" s="78"/>
      <c r="AC64" s="78"/>
      <c r="AD64" s="78"/>
      <c r="AE64" s="78"/>
      <c r="AF64" s="78"/>
      <c r="AG64" s="78"/>
      <c r="AH64" s="78"/>
      <c r="AI64" s="78"/>
      <c r="AJ64" s="78"/>
      <c r="AK64" s="78"/>
      <c r="AL64" s="78"/>
      <c r="AM64" s="78"/>
      <c r="AN64" s="78"/>
      <c r="AP64" s="82"/>
      <c r="AQ64" s="80"/>
      <c r="AR64" s="80"/>
      <c r="AS64" s="80"/>
      <c r="AT64" s="80"/>
      <c r="AU64" s="80"/>
      <c r="AW64" s="82"/>
      <c r="AX64" s="80"/>
      <c r="AY64" s="80"/>
      <c r="AZ64" s="80"/>
      <c r="BA64" s="80"/>
      <c r="BB64" s="80"/>
      <c r="BD64" s="82"/>
      <c r="BE64" s="80"/>
      <c r="BF64" s="80"/>
      <c r="BG64" s="80"/>
      <c r="BH64" s="80"/>
      <c r="BI64" s="80"/>
      <c r="BK64" s="82"/>
      <c r="BL64" s="80"/>
      <c r="BM64" s="80"/>
      <c r="BN64" s="80"/>
      <c r="BO64" s="80"/>
      <c r="BP64" s="80"/>
      <c r="BR64" s="82"/>
      <c r="BS64" s="80"/>
      <c r="BT64" s="80"/>
      <c r="BU64" s="80"/>
      <c r="BV64" s="80"/>
      <c r="BW64" s="80"/>
      <c r="BY64" s="82"/>
      <c r="BZ64" s="80"/>
      <c r="CA64" s="80"/>
      <c r="CB64" s="80"/>
      <c r="CC64" s="80"/>
      <c r="CD64" s="80"/>
      <c r="CF64" s="82"/>
      <c r="CG64" s="80"/>
      <c r="CH64" s="80"/>
      <c r="CI64" s="80"/>
      <c r="CJ64" s="80"/>
      <c r="CK64" s="80"/>
      <c r="CM64" s="82"/>
      <c r="CN64" s="80"/>
      <c r="CO64" s="80"/>
      <c r="CP64" s="80"/>
      <c r="CQ64" s="80"/>
      <c r="CR64" s="80"/>
      <c r="CT64" s="82"/>
      <c r="CU64" s="80"/>
      <c r="CV64" s="80"/>
      <c r="CW64" s="80"/>
      <c r="CX64" s="80"/>
      <c r="CY64" s="80"/>
      <c r="DA64" s="82"/>
      <c r="DB64" s="80"/>
      <c r="DC64" s="80"/>
      <c r="DD64" s="80"/>
      <c r="DE64" s="80"/>
      <c r="DF64" s="80"/>
      <c r="DH64" s="82"/>
      <c r="DI64" s="80"/>
      <c r="DJ64" s="80"/>
      <c r="DK64" s="80"/>
      <c r="DL64" s="80"/>
      <c r="DM64" s="80"/>
      <c r="DO64" s="82"/>
      <c r="DP64" s="80"/>
      <c r="DQ64" s="80"/>
      <c r="DR64" s="80"/>
      <c r="DS64" s="80"/>
      <c r="DT64" s="80"/>
      <c r="DV64" s="82"/>
      <c r="DW64" s="80"/>
      <c r="DX64" s="80"/>
      <c r="DY64" s="80"/>
      <c r="DZ64" s="80"/>
      <c r="EA64" s="80"/>
      <c r="EC64" s="82"/>
      <c r="ED64" s="80"/>
      <c r="EE64" s="80"/>
      <c r="EF64" s="80"/>
      <c r="EG64" s="80"/>
      <c r="EH64" s="80"/>
      <c r="EJ64" s="82"/>
      <c r="EK64" s="80"/>
      <c r="EL64" s="80"/>
      <c r="EM64" s="80"/>
      <c r="EN64" s="80"/>
      <c r="EO64" s="80"/>
      <c r="EQ64" s="82"/>
      <c r="ER64" s="80"/>
      <c r="ES64" s="80"/>
      <c r="ET64" s="80"/>
      <c r="EU64" s="80"/>
      <c r="EV64" s="80"/>
      <c r="EX64" s="82"/>
      <c r="EY64" s="80"/>
      <c r="EZ64" s="80"/>
      <c r="FA64" s="80"/>
      <c r="FB64" s="80"/>
      <c r="FC64" s="80"/>
      <c r="FE64" s="82"/>
      <c r="FF64" s="80"/>
      <c r="FG64" s="80"/>
      <c r="FH64" s="80"/>
      <c r="FI64" s="80"/>
      <c r="FJ64" s="80"/>
      <c r="FL64" s="82"/>
      <c r="FM64" s="80"/>
      <c r="FN64" s="80"/>
      <c r="FO64" s="80"/>
      <c r="FP64" s="80"/>
      <c r="FQ64" s="80"/>
      <c r="FS64" s="82"/>
      <c r="FT64" s="80"/>
      <c r="FU64" s="80"/>
      <c r="FV64" s="80"/>
      <c r="FW64" s="80"/>
      <c r="FX64" s="80"/>
      <c r="FZ64" s="82"/>
      <c r="GA64" s="80"/>
      <c r="GB64" s="80"/>
      <c r="GC64" s="80"/>
      <c r="GD64" s="80"/>
      <c r="GE64" s="80"/>
      <c r="GG64" s="82"/>
      <c r="GH64" s="80"/>
      <c r="GI64" s="80"/>
      <c r="GJ64" s="80"/>
      <c r="GK64" s="80"/>
      <c r="GL64" s="80"/>
      <c r="GN64" s="82"/>
      <c r="GO64" s="80"/>
      <c r="GP64" s="80"/>
      <c r="GQ64" s="80"/>
      <c r="GR64" s="80"/>
      <c r="GS64" s="80"/>
      <c r="GU64" s="82"/>
      <c r="GV64" s="80"/>
      <c r="GW64" s="80"/>
      <c r="GX64" s="80"/>
      <c r="GY64" s="80"/>
      <c r="GZ64" s="80"/>
    </row>
    <row r="65" spans="1:208" ht="14.25" thickBot="1" x14ac:dyDescent="0.45">
      <c r="A65" s="419"/>
      <c r="B65" s="420" t="s">
        <v>86</v>
      </c>
      <c r="C65" s="421">
        <f>AU65</f>
        <v>309</v>
      </c>
      <c r="D65" s="421">
        <f>BB65</f>
        <v>461</v>
      </c>
      <c r="E65" s="421">
        <f>BI65</f>
        <v>368</v>
      </c>
      <c r="F65" s="421">
        <f>BP65</f>
        <v>669</v>
      </c>
      <c r="G65" s="421">
        <f>BW65</f>
        <v>1029</v>
      </c>
      <c r="H65" s="421">
        <f>CD65</f>
        <v>1292</v>
      </c>
      <c r="I65" s="421">
        <f>CK65</f>
        <v>783</v>
      </c>
      <c r="J65" s="421">
        <f>CR65</f>
        <v>784</v>
      </c>
      <c r="K65" s="421">
        <f>CY65</f>
        <v>592</v>
      </c>
      <c r="L65" s="421">
        <f>DF65</f>
        <v>669</v>
      </c>
      <c r="M65" s="421">
        <f>DM65</f>
        <v>628</v>
      </c>
      <c r="N65" s="421">
        <f>DT65</f>
        <v>603</v>
      </c>
      <c r="O65" s="421">
        <f>EA65</f>
        <v>401</v>
      </c>
      <c r="P65" s="421">
        <f>EH65</f>
        <v>858</v>
      </c>
      <c r="Q65" s="421">
        <f>EO65</f>
        <v>958</v>
      </c>
      <c r="R65" s="421">
        <f>EV65</f>
        <v>3129</v>
      </c>
      <c r="S65" s="421">
        <f>FC65</f>
        <v>2239</v>
      </c>
      <c r="T65" s="421">
        <f>FJ65</f>
        <v>1958</v>
      </c>
      <c r="U65" s="421">
        <f>FQ65</f>
        <v>1353</v>
      </c>
      <c r="V65" s="421">
        <f>FX65</f>
        <v>933</v>
      </c>
      <c r="W65" s="421">
        <f>GE65</f>
        <v>670</v>
      </c>
      <c r="X65" s="421">
        <f>GL65</f>
        <v>153.86953252188414</v>
      </c>
      <c r="Y65" s="421">
        <f>GS65</f>
        <v>-194.3194886084093</v>
      </c>
      <c r="Z65" s="421">
        <f>GZ65</f>
        <v>-425.51551077089698</v>
      </c>
      <c r="AA65" s="422"/>
      <c r="AB65" s="422"/>
      <c r="AC65" s="422"/>
      <c r="AD65" s="422"/>
      <c r="AE65" s="422"/>
      <c r="AF65" s="422"/>
      <c r="AG65" s="422"/>
      <c r="AH65" s="422"/>
      <c r="AI65" s="422"/>
      <c r="AJ65" s="422"/>
      <c r="AK65" s="422"/>
      <c r="AL65" s="422"/>
      <c r="AM65" s="422"/>
      <c r="AN65" s="422"/>
      <c r="AP65" s="420" t="s">
        <v>86</v>
      </c>
      <c r="AQ65" s="421">
        <f>AQ62+AQ63</f>
        <v>710</v>
      </c>
      <c r="AR65" s="421">
        <f>AR62+AR63</f>
        <v>301</v>
      </c>
      <c r="AS65" s="421">
        <f>AS62+AS63</f>
        <v>278</v>
      </c>
      <c r="AT65" s="421">
        <f>AT62+AT63</f>
        <v>309</v>
      </c>
      <c r="AU65" s="421">
        <f>AU62+AU63</f>
        <v>309</v>
      </c>
      <c r="AW65" s="420" t="s">
        <v>86</v>
      </c>
      <c r="AX65" s="421">
        <f t="shared" ref="AX65:EG65" si="201">AX62+AX63</f>
        <v>376</v>
      </c>
      <c r="AY65" s="421">
        <f t="shared" si="201"/>
        <v>320</v>
      </c>
      <c r="AZ65" s="421">
        <f t="shared" si="201"/>
        <v>388</v>
      </c>
      <c r="BA65" s="421">
        <f t="shared" si="201"/>
        <v>461</v>
      </c>
      <c r="BB65" s="421">
        <f t="shared" si="201"/>
        <v>461</v>
      </c>
      <c r="BD65" s="420" t="s">
        <v>86</v>
      </c>
      <c r="BE65" s="421">
        <f t="shared" si="201"/>
        <v>512</v>
      </c>
      <c r="BF65" s="421">
        <f t="shared" si="201"/>
        <v>428</v>
      </c>
      <c r="BG65" s="421">
        <f t="shared" si="201"/>
        <v>660</v>
      </c>
      <c r="BH65" s="421">
        <f t="shared" si="201"/>
        <v>368</v>
      </c>
      <c r="BI65" s="421">
        <f t="shared" si="201"/>
        <v>368</v>
      </c>
      <c r="BK65" s="420" t="s">
        <v>86</v>
      </c>
      <c r="BL65" s="421">
        <f t="shared" si="201"/>
        <v>1570</v>
      </c>
      <c r="BM65" s="421">
        <f t="shared" si="201"/>
        <v>1398</v>
      </c>
      <c r="BN65" s="421">
        <f t="shared" si="201"/>
        <v>895</v>
      </c>
      <c r="BO65" s="421">
        <f t="shared" si="201"/>
        <v>669</v>
      </c>
      <c r="BP65" s="421">
        <f t="shared" si="201"/>
        <v>669</v>
      </c>
      <c r="BR65" s="420" t="s">
        <v>86</v>
      </c>
      <c r="BS65" s="421">
        <f t="shared" si="201"/>
        <v>1056</v>
      </c>
      <c r="BT65" s="421">
        <f t="shared" si="201"/>
        <v>1108</v>
      </c>
      <c r="BU65" s="421">
        <f t="shared" si="201"/>
        <v>1240</v>
      </c>
      <c r="BV65" s="421">
        <f t="shared" si="201"/>
        <v>1029</v>
      </c>
      <c r="BW65" s="421">
        <f t="shared" si="201"/>
        <v>1029</v>
      </c>
      <c r="BY65" s="420" t="s">
        <v>86</v>
      </c>
      <c r="BZ65" s="421">
        <f t="shared" si="201"/>
        <v>993</v>
      </c>
      <c r="CA65" s="421">
        <f t="shared" si="201"/>
        <v>633</v>
      </c>
      <c r="CB65" s="421">
        <f t="shared" si="201"/>
        <v>636</v>
      </c>
      <c r="CC65" s="421">
        <f t="shared" si="201"/>
        <v>1292</v>
      </c>
      <c r="CD65" s="421">
        <f t="shared" si="201"/>
        <v>1292</v>
      </c>
      <c r="CF65" s="420" t="s">
        <v>86</v>
      </c>
      <c r="CG65" s="421">
        <f t="shared" si="201"/>
        <v>534</v>
      </c>
      <c r="CH65" s="421">
        <f t="shared" si="201"/>
        <v>1252</v>
      </c>
      <c r="CI65" s="421">
        <f t="shared" si="201"/>
        <v>580</v>
      </c>
      <c r="CJ65" s="421">
        <f t="shared" si="201"/>
        <v>783</v>
      </c>
      <c r="CK65" s="421">
        <f t="shared" si="201"/>
        <v>783</v>
      </c>
      <c r="CM65" s="420" t="s">
        <v>86</v>
      </c>
      <c r="CN65" s="421">
        <f t="shared" si="201"/>
        <v>627</v>
      </c>
      <c r="CO65" s="421">
        <f t="shared" si="201"/>
        <v>642</v>
      </c>
      <c r="CP65" s="421">
        <f t="shared" si="201"/>
        <v>693</v>
      </c>
      <c r="CQ65" s="421">
        <f t="shared" si="201"/>
        <v>784</v>
      </c>
      <c r="CR65" s="421">
        <f t="shared" si="201"/>
        <v>784</v>
      </c>
      <c r="CT65" s="420" t="s">
        <v>86</v>
      </c>
      <c r="CU65" s="421">
        <f t="shared" si="201"/>
        <v>705</v>
      </c>
      <c r="CV65" s="421">
        <f t="shared" si="201"/>
        <v>614</v>
      </c>
      <c r="CW65" s="421">
        <f t="shared" si="201"/>
        <v>591</v>
      </c>
      <c r="CX65" s="421">
        <f t="shared" si="201"/>
        <v>592</v>
      </c>
      <c r="CY65" s="421">
        <f t="shared" si="201"/>
        <v>592</v>
      </c>
      <c r="DA65" s="420" t="s">
        <v>86</v>
      </c>
      <c r="DB65" s="421">
        <f t="shared" si="201"/>
        <v>475</v>
      </c>
      <c r="DC65" s="421">
        <f t="shared" si="201"/>
        <v>573</v>
      </c>
      <c r="DD65" s="421">
        <f t="shared" si="201"/>
        <v>479</v>
      </c>
      <c r="DE65" s="421">
        <f t="shared" si="201"/>
        <v>669</v>
      </c>
      <c r="DF65" s="421">
        <f t="shared" si="201"/>
        <v>669</v>
      </c>
      <c r="DH65" s="420" t="s">
        <v>86</v>
      </c>
      <c r="DI65" s="421">
        <f t="shared" si="201"/>
        <v>561</v>
      </c>
      <c r="DJ65" s="421">
        <f t="shared" si="201"/>
        <v>438</v>
      </c>
      <c r="DK65" s="421">
        <f t="shared" si="201"/>
        <v>541</v>
      </c>
      <c r="DL65" s="421">
        <f t="shared" si="201"/>
        <v>628</v>
      </c>
      <c r="DM65" s="421">
        <f t="shared" si="201"/>
        <v>628</v>
      </c>
      <c r="DO65" s="420" t="s">
        <v>86</v>
      </c>
      <c r="DP65" s="421">
        <f t="shared" si="201"/>
        <v>731</v>
      </c>
      <c r="DQ65" s="421">
        <f t="shared" si="201"/>
        <v>566</v>
      </c>
      <c r="DR65" s="421">
        <f t="shared" si="201"/>
        <v>603</v>
      </c>
      <c r="DS65" s="421">
        <f t="shared" si="201"/>
        <v>603</v>
      </c>
      <c r="DT65" s="421">
        <f t="shared" si="201"/>
        <v>603</v>
      </c>
      <c r="DV65" s="420" t="s">
        <v>86</v>
      </c>
      <c r="DW65" s="421">
        <f t="shared" si="201"/>
        <v>930</v>
      </c>
      <c r="DX65" s="421">
        <f t="shared" si="201"/>
        <v>620</v>
      </c>
      <c r="DY65" s="421">
        <f t="shared" si="201"/>
        <v>591</v>
      </c>
      <c r="DZ65" s="421">
        <f t="shared" si="201"/>
        <v>401</v>
      </c>
      <c r="EA65" s="421">
        <f t="shared" si="201"/>
        <v>401</v>
      </c>
      <c r="EC65" s="420" t="s">
        <v>86</v>
      </c>
      <c r="ED65" s="421">
        <f t="shared" si="201"/>
        <v>1980</v>
      </c>
      <c r="EE65" s="421">
        <f t="shared" si="201"/>
        <v>1320</v>
      </c>
      <c r="EF65" s="421">
        <f t="shared" si="201"/>
        <v>663</v>
      </c>
      <c r="EG65" s="421">
        <f t="shared" si="201"/>
        <v>858</v>
      </c>
      <c r="EH65" s="421">
        <f t="shared" ref="EH65:GL65" si="202">EH62+EH63</f>
        <v>858</v>
      </c>
      <c r="EJ65" s="420" t="s">
        <v>86</v>
      </c>
      <c r="EK65" s="421">
        <f t="shared" si="202"/>
        <v>1188</v>
      </c>
      <c r="EL65" s="421">
        <f t="shared" si="202"/>
        <v>853</v>
      </c>
      <c r="EM65" s="421">
        <f t="shared" si="202"/>
        <v>1521</v>
      </c>
      <c r="EN65" s="421">
        <f t="shared" si="202"/>
        <v>958</v>
      </c>
      <c r="EO65" s="421">
        <f t="shared" si="202"/>
        <v>958</v>
      </c>
      <c r="EQ65" s="420" t="s">
        <v>86</v>
      </c>
      <c r="ER65" s="421">
        <f t="shared" si="202"/>
        <v>1995</v>
      </c>
      <c r="ES65" s="421">
        <f t="shared" si="202"/>
        <v>2391</v>
      </c>
      <c r="ET65" s="421">
        <f t="shared" si="202"/>
        <v>2898</v>
      </c>
      <c r="EU65" s="421">
        <f t="shared" si="202"/>
        <v>3129</v>
      </c>
      <c r="EV65" s="421">
        <f t="shared" si="202"/>
        <v>3129</v>
      </c>
      <c r="EX65" s="420" t="s">
        <v>86</v>
      </c>
      <c r="EY65" s="421">
        <f t="shared" si="202"/>
        <v>2955</v>
      </c>
      <c r="EZ65" s="421">
        <f t="shared" si="202"/>
        <v>2986</v>
      </c>
      <c r="FA65" s="421">
        <f t="shared" si="202"/>
        <v>2179</v>
      </c>
      <c r="FB65" s="421">
        <f t="shared" si="202"/>
        <v>2239</v>
      </c>
      <c r="FC65" s="421">
        <f t="shared" si="202"/>
        <v>2239</v>
      </c>
      <c r="FE65" s="420" t="s">
        <v>86</v>
      </c>
      <c r="FF65" s="421">
        <f t="shared" si="202"/>
        <v>1936</v>
      </c>
      <c r="FG65" s="421">
        <f t="shared" si="202"/>
        <v>724</v>
      </c>
      <c r="FH65" s="421">
        <f t="shared" si="202"/>
        <v>2311</v>
      </c>
      <c r="FI65" s="421">
        <f t="shared" si="202"/>
        <v>1958</v>
      </c>
      <c r="FJ65" s="421">
        <f t="shared" si="202"/>
        <v>1958</v>
      </c>
      <c r="FL65" s="420" t="s">
        <v>86</v>
      </c>
      <c r="FM65" s="421">
        <f t="shared" si="202"/>
        <v>1291</v>
      </c>
      <c r="FN65" s="421">
        <f t="shared" si="202"/>
        <v>956</v>
      </c>
      <c r="FO65" s="421">
        <f t="shared" si="202"/>
        <v>1360</v>
      </c>
      <c r="FP65" s="421">
        <f t="shared" si="202"/>
        <v>1353</v>
      </c>
      <c r="FQ65" s="421">
        <f t="shared" si="202"/>
        <v>1353</v>
      </c>
      <c r="FS65" s="420" t="s">
        <v>86</v>
      </c>
      <c r="FT65" s="421">
        <f t="shared" si="202"/>
        <v>1483</v>
      </c>
      <c r="FU65" s="421">
        <f t="shared" si="202"/>
        <v>1238</v>
      </c>
      <c r="FV65" s="421">
        <f t="shared" si="202"/>
        <v>1644</v>
      </c>
      <c r="FW65" s="421">
        <f t="shared" si="202"/>
        <v>933</v>
      </c>
      <c r="FX65" s="421">
        <f t="shared" si="202"/>
        <v>933</v>
      </c>
      <c r="FZ65" s="420" t="s">
        <v>86</v>
      </c>
      <c r="GA65" s="421">
        <f t="shared" si="202"/>
        <v>1139</v>
      </c>
      <c r="GB65" s="421">
        <f t="shared" si="202"/>
        <v>387</v>
      </c>
      <c r="GC65" s="421">
        <f t="shared" si="202"/>
        <v>612</v>
      </c>
      <c r="GD65" s="421">
        <f t="shared" si="202"/>
        <v>670</v>
      </c>
      <c r="GE65" s="421">
        <f t="shared" si="202"/>
        <v>670</v>
      </c>
      <c r="GG65" s="420" t="s">
        <v>86</v>
      </c>
      <c r="GH65" s="421">
        <f t="shared" si="202"/>
        <v>418.40783681674429</v>
      </c>
      <c r="GI65" s="421">
        <f t="shared" si="202"/>
        <v>313.85136390227308</v>
      </c>
      <c r="GJ65" s="421">
        <f t="shared" si="202"/>
        <v>293.22051022354344</v>
      </c>
      <c r="GK65" s="421">
        <f t="shared" si="202"/>
        <v>153.86953252188437</v>
      </c>
      <c r="GL65" s="421">
        <f t="shared" si="202"/>
        <v>153.86953252188414</v>
      </c>
      <c r="GN65" s="420" t="s">
        <v>86</v>
      </c>
      <c r="GO65" s="421">
        <f t="shared" ref="GO65:GS65" si="203">GO62+GO63</f>
        <v>37.196634815027437</v>
      </c>
      <c r="GP65" s="421">
        <f t="shared" si="203"/>
        <v>-46.132466812461644</v>
      </c>
      <c r="GQ65" s="421">
        <f t="shared" si="203"/>
        <v>-94.916719135117773</v>
      </c>
      <c r="GR65" s="421">
        <f t="shared" si="203"/>
        <v>-194.3194886084093</v>
      </c>
      <c r="GS65" s="421">
        <f t="shared" si="203"/>
        <v>-194.3194886084093</v>
      </c>
      <c r="GU65" s="420" t="s">
        <v>86</v>
      </c>
      <c r="GV65" s="421">
        <f t="shared" ref="GV65:GZ65" si="204">GV62+GV63</f>
        <v>-369.71352277783444</v>
      </c>
      <c r="GW65" s="421">
        <f t="shared" si="204"/>
        <v>-392.69471159025306</v>
      </c>
      <c r="GX65" s="421">
        <f t="shared" si="204"/>
        <v>-383.98859870782599</v>
      </c>
      <c r="GY65" s="421">
        <f t="shared" si="204"/>
        <v>-425.51551077089698</v>
      </c>
      <c r="GZ65" s="421">
        <f t="shared" si="204"/>
        <v>-425.51551077089698</v>
      </c>
    </row>
    <row r="66" spans="1:208" outlineLevel="1" x14ac:dyDescent="0.4">
      <c r="A66" s="414"/>
      <c r="B66" s="427" t="s">
        <v>87</v>
      </c>
      <c r="C66" s="428">
        <f>AU66</f>
        <v>309</v>
      </c>
      <c r="D66" s="429">
        <f>BB66</f>
        <v>461</v>
      </c>
      <c r="E66" s="429">
        <f>BI66</f>
        <v>368</v>
      </c>
      <c r="F66" s="429">
        <f>BP66</f>
        <v>669</v>
      </c>
      <c r="G66" s="429">
        <f>BW66</f>
        <v>1029</v>
      </c>
      <c r="H66" s="429">
        <f>CD66</f>
        <v>1292</v>
      </c>
      <c r="I66" s="429">
        <f>CK66</f>
        <v>783</v>
      </c>
      <c r="J66" s="429">
        <f>CR66</f>
        <v>784</v>
      </c>
      <c r="K66" s="429">
        <f>CY66</f>
        <v>592</v>
      </c>
      <c r="L66" s="429">
        <f>DF66</f>
        <v>669</v>
      </c>
      <c r="M66" s="429">
        <f>DM66</f>
        <v>628</v>
      </c>
      <c r="N66" s="429">
        <f>DT66</f>
        <v>603</v>
      </c>
      <c r="O66" s="429">
        <f>EA66</f>
        <v>401</v>
      </c>
      <c r="P66" s="429">
        <f>EH66</f>
        <v>858</v>
      </c>
      <c r="Q66" s="429">
        <f>EO66</f>
        <v>958</v>
      </c>
      <c r="R66" s="429">
        <f>EV66</f>
        <v>3129</v>
      </c>
      <c r="S66" s="429">
        <f>FC66</f>
        <v>2239</v>
      </c>
      <c r="T66" s="429">
        <f>FJ66</f>
        <v>1933</v>
      </c>
      <c r="U66" s="429">
        <f>FQ66</f>
        <v>1353</v>
      </c>
      <c r="V66" s="428">
        <f>FX66</f>
        <v>933</v>
      </c>
      <c r="W66" s="428">
        <f>GE66</f>
        <v>670</v>
      </c>
      <c r="X66" s="428">
        <f>GL66</f>
        <v>153.86953252188437</v>
      </c>
      <c r="Y66" s="428">
        <f>GS66</f>
        <v>-194.3194886084093</v>
      </c>
      <c r="Z66" s="428">
        <f>GZ66</f>
        <v>-425.51551077089698</v>
      </c>
      <c r="AA66" s="428"/>
      <c r="AB66" s="428"/>
      <c r="AC66" s="428"/>
      <c r="AD66" s="428"/>
      <c r="AE66" s="428"/>
      <c r="AF66" s="428"/>
      <c r="AG66" s="428"/>
      <c r="AH66" s="428"/>
      <c r="AI66" s="428"/>
      <c r="AJ66" s="428"/>
      <c r="AK66" s="428"/>
      <c r="AL66" s="428"/>
      <c r="AM66" s="428"/>
      <c r="AN66" s="428"/>
      <c r="AP66" s="427" t="s">
        <v>87</v>
      </c>
      <c r="AQ66" s="428">
        <f>BS!CK9</f>
        <v>710</v>
      </c>
      <c r="AR66" s="428">
        <f>BS!CL9</f>
        <v>301</v>
      </c>
      <c r="AS66" s="428">
        <f>BS!CM9</f>
        <v>278</v>
      </c>
      <c r="AT66" s="428">
        <f>BS!CN9</f>
        <v>309</v>
      </c>
      <c r="AU66" s="428">
        <f>BS!CO9</f>
        <v>309</v>
      </c>
      <c r="AW66" s="427" t="s">
        <v>87</v>
      </c>
      <c r="AX66" s="428">
        <f>BS!CR9</f>
        <v>376</v>
      </c>
      <c r="AY66" s="428">
        <f>BS!CS9</f>
        <v>320</v>
      </c>
      <c r="AZ66" s="428">
        <f>BS!CT9</f>
        <v>388</v>
      </c>
      <c r="BA66" s="428">
        <f>BS!CU9</f>
        <v>461</v>
      </c>
      <c r="BB66" s="428">
        <f>BS!CV9</f>
        <v>461</v>
      </c>
      <c r="BD66" s="427" t="s">
        <v>87</v>
      </c>
      <c r="BE66" s="428">
        <f>BS!CY9</f>
        <v>512</v>
      </c>
      <c r="BF66" s="428">
        <f>BS!CZ9</f>
        <v>428</v>
      </c>
      <c r="BG66" s="428">
        <f>BS!DA9</f>
        <v>660</v>
      </c>
      <c r="BH66" s="428">
        <f>BS!DB9</f>
        <v>368</v>
      </c>
      <c r="BI66" s="428">
        <f>BS!DC9</f>
        <v>368</v>
      </c>
      <c r="BK66" s="427" t="s">
        <v>87</v>
      </c>
      <c r="BL66" s="428">
        <f>BS!DF9</f>
        <v>1570</v>
      </c>
      <c r="BM66" s="428">
        <f>BS!DG9</f>
        <v>1398</v>
      </c>
      <c r="BN66" s="428">
        <f>BS!DH9</f>
        <v>895</v>
      </c>
      <c r="BO66" s="428">
        <f>BS!DI9</f>
        <v>669</v>
      </c>
      <c r="BP66" s="428">
        <f>BS!DJ9</f>
        <v>669</v>
      </c>
      <c r="BR66" s="427" t="s">
        <v>87</v>
      </c>
      <c r="BS66" s="428">
        <f>BS!DM9</f>
        <v>1056</v>
      </c>
      <c r="BT66" s="428">
        <f>BS!DN9</f>
        <v>1108</v>
      </c>
      <c r="BU66" s="428">
        <f>BS!DO9</f>
        <v>1240</v>
      </c>
      <c r="BV66" s="428">
        <f>BS!DP9</f>
        <v>1029</v>
      </c>
      <c r="BW66" s="428">
        <f>BS!DQ9</f>
        <v>1029</v>
      </c>
      <c r="BY66" s="427" t="s">
        <v>87</v>
      </c>
      <c r="BZ66" s="428">
        <f>BS!DT9</f>
        <v>993</v>
      </c>
      <c r="CA66" s="428">
        <f>BS!DU9</f>
        <v>633</v>
      </c>
      <c r="CB66" s="428">
        <f>BS!DV9</f>
        <v>636</v>
      </c>
      <c r="CC66" s="428">
        <f>BS!DW9</f>
        <v>1292</v>
      </c>
      <c r="CD66" s="428">
        <f>BS!DX9</f>
        <v>1292</v>
      </c>
      <c r="CF66" s="427" t="s">
        <v>87</v>
      </c>
      <c r="CG66" s="428">
        <f>BS!EA9</f>
        <v>534</v>
      </c>
      <c r="CH66" s="428">
        <f>BS!EB9</f>
        <v>1252</v>
      </c>
      <c r="CI66" s="428">
        <f>BS!EC9</f>
        <v>580</v>
      </c>
      <c r="CJ66" s="428">
        <f>BS!ED9</f>
        <v>783</v>
      </c>
      <c r="CK66" s="428">
        <f>BS!EE9</f>
        <v>783</v>
      </c>
      <c r="CM66" s="427" t="s">
        <v>87</v>
      </c>
      <c r="CN66" s="428">
        <f>BS!EH9</f>
        <v>627</v>
      </c>
      <c r="CO66" s="428">
        <f>BS!EI9</f>
        <v>642</v>
      </c>
      <c r="CP66" s="428">
        <f>BS!EJ9</f>
        <v>693</v>
      </c>
      <c r="CQ66" s="428">
        <f>BS!EK9</f>
        <v>784</v>
      </c>
      <c r="CR66" s="428">
        <f>BS!EL9</f>
        <v>784</v>
      </c>
      <c r="CT66" s="427" t="s">
        <v>87</v>
      </c>
      <c r="CU66" s="428">
        <f>BS!EO9</f>
        <v>705</v>
      </c>
      <c r="CV66" s="428">
        <f>BS!EP9</f>
        <v>614</v>
      </c>
      <c r="CW66" s="428">
        <f>BS!EQ9</f>
        <v>591</v>
      </c>
      <c r="CX66" s="428">
        <f>BS!ER9</f>
        <v>592</v>
      </c>
      <c r="CY66" s="428">
        <f>BS!ES9</f>
        <v>592</v>
      </c>
      <c r="DA66" s="427" t="s">
        <v>87</v>
      </c>
      <c r="DB66" s="428">
        <f>BS!EV9</f>
        <v>475</v>
      </c>
      <c r="DC66" s="428">
        <f>BS!EW9</f>
        <v>573</v>
      </c>
      <c r="DD66" s="428">
        <f>BS!EX9</f>
        <v>479</v>
      </c>
      <c r="DE66" s="428">
        <f>BS!EY9</f>
        <v>669</v>
      </c>
      <c r="DF66" s="428">
        <f>BS!EZ9</f>
        <v>669</v>
      </c>
      <c r="DH66" s="427" t="s">
        <v>87</v>
      </c>
      <c r="DI66" s="428">
        <f>BS!FC9</f>
        <v>561</v>
      </c>
      <c r="DJ66" s="428">
        <f>BS!FD9</f>
        <v>438</v>
      </c>
      <c r="DK66" s="428">
        <f>BS!FE9</f>
        <v>541</v>
      </c>
      <c r="DL66" s="428">
        <f>BS!FF9</f>
        <v>628</v>
      </c>
      <c r="DM66" s="428">
        <f>BS!FG9</f>
        <v>628</v>
      </c>
      <c r="DO66" s="427" t="s">
        <v>87</v>
      </c>
      <c r="DP66" s="428">
        <f>BS!FJ9</f>
        <v>731</v>
      </c>
      <c r="DQ66" s="428">
        <f>BS!FK9</f>
        <v>566</v>
      </c>
      <c r="DR66" s="428">
        <f>BS!FL9</f>
        <v>603</v>
      </c>
      <c r="DS66" s="428">
        <f>BS!FM9</f>
        <v>603</v>
      </c>
      <c r="DT66" s="428">
        <f>BS!FN9</f>
        <v>603</v>
      </c>
      <c r="DV66" s="427" t="s">
        <v>87</v>
      </c>
      <c r="DW66" s="428">
        <f>BS!FQ9</f>
        <v>930</v>
      </c>
      <c r="DX66" s="428">
        <f>BS!FR9</f>
        <v>620</v>
      </c>
      <c r="DY66" s="428">
        <f>BS!FS9</f>
        <v>591</v>
      </c>
      <c r="DZ66" s="428">
        <f>BS!FT9</f>
        <v>401</v>
      </c>
      <c r="EA66" s="428">
        <f>BS!FU9</f>
        <v>401</v>
      </c>
      <c r="EC66" s="427" t="s">
        <v>87</v>
      </c>
      <c r="ED66" s="428">
        <f>BS!FX9</f>
        <v>1980</v>
      </c>
      <c r="EE66" s="428">
        <f>BS!FY9</f>
        <v>1320</v>
      </c>
      <c r="EF66" s="428">
        <f>BS!FZ9</f>
        <v>663</v>
      </c>
      <c r="EG66" s="428">
        <f>BS!GA9</f>
        <v>858</v>
      </c>
      <c r="EH66" s="428">
        <f>BS!GB9</f>
        <v>858</v>
      </c>
      <c r="EJ66" s="427" t="s">
        <v>87</v>
      </c>
      <c r="EK66" s="428">
        <f>BS!GE9</f>
        <v>1188</v>
      </c>
      <c r="EL66" s="428">
        <f>BS!GF9</f>
        <v>853</v>
      </c>
      <c r="EM66" s="428">
        <f>BS!GG9</f>
        <v>1521</v>
      </c>
      <c r="EN66" s="428">
        <f>BS!GH9</f>
        <v>958</v>
      </c>
      <c r="EO66" s="428">
        <f>BS!GI9</f>
        <v>958</v>
      </c>
      <c r="EQ66" s="427" t="s">
        <v>87</v>
      </c>
      <c r="ER66" s="428">
        <f>BS!GL9</f>
        <v>1995</v>
      </c>
      <c r="ES66" s="428">
        <f>BS!GM9</f>
        <v>2391</v>
      </c>
      <c r="ET66" s="428">
        <f>BS!GN9</f>
        <v>2898</v>
      </c>
      <c r="EU66" s="428">
        <f>BS!GO9</f>
        <v>3129</v>
      </c>
      <c r="EV66" s="428">
        <f>BS!GP9</f>
        <v>3129</v>
      </c>
      <c r="EX66" s="427" t="s">
        <v>87</v>
      </c>
      <c r="EY66" s="428">
        <f>BS!GS9</f>
        <v>2955</v>
      </c>
      <c r="EZ66" s="428">
        <f>BS!GT9</f>
        <v>2986</v>
      </c>
      <c r="FA66" s="428">
        <f>BS!GU9</f>
        <v>2179</v>
      </c>
      <c r="FB66" s="428">
        <f>BS!GV9</f>
        <v>2239</v>
      </c>
      <c r="FC66" s="428">
        <f>BS!GW9</f>
        <v>2239</v>
      </c>
      <c r="FE66" s="427" t="s">
        <v>87</v>
      </c>
      <c r="FF66" s="428">
        <f>BS!GZ9</f>
        <v>1936</v>
      </c>
      <c r="FG66" s="428">
        <f>BS!HA9</f>
        <v>724</v>
      </c>
      <c r="FH66" s="428">
        <f>BS!HB9</f>
        <v>2311</v>
      </c>
      <c r="FI66" s="428">
        <f>BS!HC9</f>
        <v>1933</v>
      </c>
      <c r="FJ66" s="428">
        <f>BS!HD9</f>
        <v>1933</v>
      </c>
      <c r="FL66" s="427" t="s">
        <v>87</v>
      </c>
      <c r="FM66" s="428">
        <f>BS!HG9</f>
        <v>1291</v>
      </c>
      <c r="FN66" s="428">
        <f>BS!HH9</f>
        <v>956</v>
      </c>
      <c r="FO66" s="428">
        <f>BS!HI9</f>
        <v>1360</v>
      </c>
      <c r="FP66" s="428">
        <f>BS!HJ9</f>
        <v>1353</v>
      </c>
      <c r="FQ66" s="428">
        <f>BS!HK9</f>
        <v>1353</v>
      </c>
      <c r="FS66" s="427" t="s">
        <v>87</v>
      </c>
      <c r="FT66" s="428">
        <f>BS!HN9</f>
        <v>1483</v>
      </c>
      <c r="FU66" s="428">
        <f>BS!HO9</f>
        <v>1238</v>
      </c>
      <c r="FV66" s="428">
        <f>BS!HP9</f>
        <v>1644</v>
      </c>
      <c r="FW66" s="428">
        <f>BS!HQ9</f>
        <v>933</v>
      </c>
      <c r="FX66" s="428">
        <f>BS!HR9</f>
        <v>933</v>
      </c>
      <c r="FZ66" s="427" t="s">
        <v>87</v>
      </c>
      <c r="GA66" s="428">
        <f>BS!HU9</f>
        <v>1139</v>
      </c>
      <c r="GB66" s="428">
        <f>BS!HV9</f>
        <v>387</v>
      </c>
      <c r="GC66" s="428">
        <f>BS!HW9</f>
        <v>612</v>
      </c>
      <c r="GD66" s="428">
        <f>BS!HX9</f>
        <v>670</v>
      </c>
      <c r="GE66" s="428">
        <f>BS!HY9</f>
        <v>670</v>
      </c>
      <c r="GG66" s="427" t="s">
        <v>87</v>
      </c>
      <c r="GH66" s="428">
        <f>BS!IB9</f>
        <v>418.40783681674429</v>
      </c>
      <c r="GI66" s="428">
        <f>BS!IC9</f>
        <v>313.85136390227308</v>
      </c>
      <c r="GJ66" s="428">
        <f>BS!ID9</f>
        <v>293.22051022354344</v>
      </c>
      <c r="GK66" s="428">
        <f>BS!IE9</f>
        <v>153.86953252188437</v>
      </c>
      <c r="GL66" s="428">
        <f>BS!IF9</f>
        <v>153.86953252188437</v>
      </c>
      <c r="GN66" s="427" t="s">
        <v>87</v>
      </c>
      <c r="GO66" s="428">
        <f>BS!II9</f>
        <v>37.196634815027437</v>
      </c>
      <c r="GP66" s="428">
        <f>BS!IJ9</f>
        <v>-46.132466812461644</v>
      </c>
      <c r="GQ66" s="428">
        <f>BS!IK9</f>
        <v>-94.916719135117773</v>
      </c>
      <c r="GR66" s="428">
        <f>BS!IL9</f>
        <v>-194.3194886084093</v>
      </c>
      <c r="GS66" s="428">
        <f>BS!IM9</f>
        <v>-194.3194886084093</v>
      </c>
      <c r="GU66" s="427" t="s">
        <v>87</v>
      </c>
      <c r="GV66" s="428">
        <f>BS!IP9</f>
        <v>-369.71352277783444</v>
      </c>
      <c r="GW66" s="428">
        <f>BS!IQ9</f>
        <v>-392.69471159025306</v>
      </c>
      <c r="GX66" s="428">
        <f>BS!IR9</f>
        <v>-383.98859870782599</v>
      </c>
      <c r="GY66" s="428">
        <f>BS!IS9</f>
        <v>-425.51551077089698</v>
      </c>
      <c r="GZ66" s="428">
        <f>BS!IT9</f>
        <v>-425.51551077089698</v>
      </c>
    </row>
    <row r="67" spans="1:208" outlineLevel="1" x14ac:dyDescent="0.4">
      <c r="A67" s="414"/>
      <c r="B67" s="430" t="s">
        <v>88</v>
      </c>
      <c r="C67" s="429">
        <f>AU67</f>
        <v>0</v>
      </c>
      <c r="D67" s="429">
        <f>BB67</f>
        <v>0</v>
      </c>
      <c r="E67" s="429">
        <f>BI67</f>
        <v>0</v>
      </c>
      <c r="F67" s="429">
        <f>BP67</f>
        <v>0</v>
      </c>
      <c r="G67" s="429">
        <f>BW67</f>
        <v>0</v>
      </c>
      <c r="H67" s="429">
        <f>CD67</f>
        <v>0</v>
      </c>
      <c r="I67" s="429">
        <f>CK67</f>
        <v>0</v>
      </c>
      <c r="J67" s="429">
        <f>CR67</f>
        <v>0</v>
      </c>
      <c r="K67" s="429">
        <f>CY67</f>
        <v>0</v>
      </c>
      <c r="L67" s="429">
        <f>DF67</f>
        <v>0</v>
      </c>
      <c r="M67" s="429">
        <f>DM67</f>
        <v>0</v>
      </c>
      <c r="N67" s="429">
        <f>DT67</f>
        <v>0</v>
      </c>
      <c r="O67" s="429">
        <f>EA67</f>
        <v>0</v>
      </c>
      <c r="P67" s="429">
        <f>EH67</f>
        <v>0</v>
      </c>
      <c r="Q67" s="429">
        <f>EO67</f>
        <v>0</v>
      </c>
      <c r="R67" s="429">
        <f>EV67</f>
        <v>0</v>
      </c>
      <c r="S67" s="429">
        <f>FC67</f>
        <v>0</v>
      </c>
      <c r="T67" s="429">
        <f>FJ67</f>
        <v>-25</v>
      </c>
      <c r="U67" s="429">
        <f>FQ67</f>
        <v>0</v>
      </c>
      <c r="V67" s="429">
        <f>FX67</f>
        <v>0</v>
      </c>
      <c r="W67" s="429">
        <f>GE67</f>
        <v>0</v>
      </c>
      <c r="X67" s="429">
        <f>GL67</f>
        <v>2.2737367544323206E-13</v>
      </c>
      <c r="Y67" s="429">
        <f>GS67</f>
        <v>0</v>
      </c>
      <c r="Z67" s="429">
        <f>GZ67</f>
        <v>0</v>
      </c>
      <c r="AA67" s="429"/>
      <c r="AB67" s="429"/>
      <c r="AC67" s="429"/>
      <c r="AD67" s="429"/>
      <c r="AE67" s="429"/>
      <c r="AF67" s="429"/>
      <c r="AG67" s="429"/>
      <c r="AH67" s="429"/>
      <c r="AI67" s="429"/>
      <c r="AJ67" s="429"/>
      <c r="AK67" s="429"/>
      <c r="AL67" s="429"/>
      <c r="AM67" s="429"/>
      <c r="AN67" s="429"/>
      <c r="AP67" s="430" t="s">
        <v>88</v>
      </c>
      <c r="AQ67" s="429">
        <f>AQ66-AQ65</f>
        <v>0</v>
      </c>
      <c r="AR67" s="429">
        <f>AR66-AR65</f>
        <v>0</v>
      </c>
      <c r="AS67" s="429">
        <f>AS66-AS65</f>
        <v>0</v>
      </c>
      <c r="AT67" s="429">
        <f>AT66-AT65</f>
        <v>0</v>
      </c>
      <c r="AU67" s="429">
        <f>AU66-AU65</f>
        <v>0</v>
      </c>
      <c r="AW67" s="430" t="s">
        <v>88</v>
      </c>
      <c r="AX67" s="429">
        <f t="shared" ref="AX67:BI67" si="205">AX66-AX65</f>
        <v>0</v>
      </c>
      <c r="AY67" s="429">
        <f t="shared" si="205"/>
        <v>0</v>
      </c>
      <c r="AZ67" s="429">
        <f t="shared" si="205"/>
        <v>0</v>
      </c>
      <c r="BA67" s="429">
        <f t="shared" si="205"/>
        <v>0</v>
      </c>
      <c r="BB67" s="429">
        <f t="shared" si="205"/>
        <v>0</v>
      </c>
      <c r="BD67" s="430" t="s">
        <v>88</v>
      </c>
      <c r="BE67" s="429">
        <f t="shared" si="205"/>
        <v>0</v>
      </c>
      <c r="BF67" s="429">
        <f t="shared" si="205"/>
        <v>0</v>
      </c>
      <c r="BG67" s="429">
        <f t="shared" si="205"/>
        <v>0</v>
      </c>
      <c r="BH67" s="429">
        <f t="shared" si="205"/>
        <v>0</v>
      </c>
      <c r="BI67" s="429">
        <f t="shared" si="205"/>
        <v>0</v>
      </c>
      <c r="BK67" s="430" t="s">
        <v>88</v>
      </c>
      <c r="BL67" s="429">
        <f>BL66-BL65</f>
        <v>0</v>
      </c>
      <c r="BM67" s="429">
        <f>BM66-BM65</f>
        <v>0</v>
      </c>
      <c r="BN67" s="429">
        <f>BN66-BN65</f>
        <v>0</v>
      </c>
      <c r="BO67" s="429">
        <f>BO66-BO65</f>
        <v>0</v>
      </c>
      <c r="BP67" s="429">
        <f>BP66-BP65</f>
        <v>0</v>
      </c>
      <c r="BR67" s="430" t="s">
        <v>88</v>
      </c>
      <c r="BS67" s="429">
        <f t="shared" ref="BS67:EH67" si="206">BS66-BS65</f>
        <v>0</v>
      </c>
      <c r="BT67" s="429">
        <f t="shared" si="206"/>
        <v>0</v>
      </c>
      <c r="BU67" s="429">
        <f t="shared" si="206"/>
        <v>0</v>
      </c>
      <c r="BV67" s="429">
        <f t="shared" si="206"/>
        <v>0</v>
      </c>
      <c r="BW67" s="429">
        <f t="shared" si="206"/>
        <v>0</v>
      </c>
      <c r="BY67" s="430" t="s">
        <v>88</v>
      </c>
      <c r="BZ67" s="429">
        <f t="shared" si="206"/>
        <v>0</v>
      </c>
      <c r="CA67" s="429">
        <f t="shared" si="206"/>
        <v>0</v>
      </c>
      <c r="CB67" s="429">
        <f t="shared" si="206"/>
        <v>0</v>
      </c>
      <c r="CC67" s="429">
        <f t="shared" si="206"/>
        <v>0</v>
      </c>
      <c r="CD67" s="429">
        <f t="shared" si="206"/>
        <v>0</v>
      </c>
      <c r="CF67" s="430" t="s">
        <v>88</v>
      </c>
      <c r="CG67" s="429">
        <f t="shared" si="206"/>
        <v>0</v>
      </c>
      <c r="CH67" s="429">
        <f t="shared" si="206"/>
        <v>0</v>
      </c>
      <c r="CI67" s="429">
        <f t="shared" si="206"/>
        <v>0</v>
      </c>
      <c r="CJ67" s="429">
        <f t="shared" si="206"/>
        <v>0</v>
      </c>
      <c r="CK67" s="429">
        <f t="shared" si="206"/>
        <v>0</v>
      </c>
      <c r="CM67" s="430" t="s">
        <v>88</v>
      </c>
      <c r="CN67" s="429">
        <f t="shared" si="206"/>
        <v>0</v>
      </c>
      <c r="CO67" s="429">
        <f t="shared" si="206"/>
        <v>0</v>
      </c>
      <c r="CP67" s="429">
        <f t="shared" si="206"/>
        <v>0</v>
      </c>
      <c r="CQ67" s="429">
        <f t="shared" si="206"/>
        <v>0</v>
      </c>
      <c r="CR67" s="429">
        <f t="shared" si="206"/>
        <v>0</v>
      </c>
      <c r="CT67" s="430" t="s">
        <v>88</v>
      </c>
      <c r="CU67" s="429">
        <f t="shared" si="206"/>
        <v>0</v>
      </c>
      <c r="CV67" s="429">
        <f t="shared" si="206"/>
        <v>0</v>
      </c>
      <c r="CW67" s="429">
        <f t="shared" si="206"/>
        <v>0</v>
      </c>
      <c r="CX67" s="429">
        <f t="shared" si="206"/>
        <v>0</v>
      </c>
      <c r="CY67" s="429">
        <f t="shared" si="206"/>
        <v>0</v>
      </c>
      <c r="DA67" s="430" t="s">
        <v>88</v>
      </c>
      <c r="DB67" s="429">
        <f t="shared" si="206"/>
        <v>0</v>
      </c>
      <c r="DC67" s="429">
        <f t="shared" si="206"/>
        <v>0</v>
      </c>
      <c r="DD67" s="429">
        <f t="shared" si="206"/>
        <v>0</v>
      </c>
      <c r="DE67" s="429">
        <f t="shared" si="206"/>
        <v>0</v>
      </c>
      <c r="DF67" s="429">
        <f t="shared" si="206"/>
        <v>0</v>
      </c>
      <c r="DH67" s="430" t="s">
        <v>88</v>
      </c>
      <c r="DI67" s="429">
        <f t="shared" si="206"/>
        <v>0</v>
      </c>
      <c r="DJ67" s="429">
        <f t="shared" si="206"/>
        <v>0</v>
      </c>
      <c r="DK67" s="429">
        <f t="shared" si="206"/>
        <v>0</v>
      </c>
      <c r="DL67" s="429">
        <f t="shared" si="206"/>
        <v>0</v>
      </c>
      <c r="DM67" s="429">
        <f t="shared" si="206"/>
        <v>0</v>
      </c>
      <c r="DO67" s="430" t="s">
        <v>88</v>
      </c>
      <c r="DP67" s="429">
        <f t="shared" si="206"/>
        <v>0</v>
      </c>
      <c r="DQ67" s="429">
        <f t="shared" si="206"/>
        <v>0</v>
      </c>
      <c r="DR67" s="429">
        <f t="shared" si="206"/>
        <v>0</v>
      </c>
      <c r="DS67" s="429">
        <f t="shared" si="206"/>
        <v>0</v>
      </c>
      <c r="DT67" s="429">
        <f t="shared" si="206"/>
        <v>0</v>
      </c>
      <c r="DV67" s="430" t="s">
        <v>88</v>
      </c>
      <c r="DW67" s="429">
        <f t="shared" si="206"/>
        <v>0</v>
      </c>
      <c r="DX67" s="429">
        <f t="shared" si="206"/>
        <v>0</v>
      </c>
      <c r="DY67" s="429">
        <f t="shared" si="206"/>
        <v>0</v>
      </c>
      <c r="DZ67" s="429">
        <f t="shared" si="206"/>
        <v>0</v>
      </c>
      <c r="EA67" s="429">
        <f t="shared" si="206"/>
        <v>0</v>
      </c>
      <c r="EC67" s="430" t="s">
        <v>88</v>
      </c>
      <c r="ED67" s="429">
        <f t="shared" si="206"/>
        <v>0</v>
      </c>
      <c r="EE67" s="429">
        <f t="shared" si="206"/>
        <v>0</v>
      </c>
      <c r="EF67" s="429">
        <f t="shared" si="206"/>
        <v>0</v>
      </c>
      <c r="EG67" s="429">
        <f t="shared" si="206"/>
        <v>0</v>
      </c>
      <c r="EH67" s="429">
        <f t="shared" si="206"/>
        <v>0</v>
      </c>
      <c r="EJ67" s="430" t="s">
        <v>88</v>
      </c>
      <c r="EK67" s="429">
        <f t="shared" ref="EK67:EV67" si="207">EK66-EK65</f>
        <v>0</v>
      </c>
      <c r="EL67" s="429">
        <f t="shared" si="207"/>
        <v>0</v>
      </c>
      <c r="EM67" s="429">
        <f t="shared" si="207"/>
        <v>0</v>
      </c>
      <c r="EN67" s="429">
        <f t="shared" si="207"/>
        <v>0</v>
      </c>
      <c r="EO67" s="429">
        <f t="shared" si="207"/>
        <v>0</v>
      </c>
      <c r="EQ67" s="430" t="s">
        <v>88</v>
      </c>
      <c r="ER67" s="429">
        <f>ER66-ER65</f>
        <v>0</v>
      </c>
      <c r="ES67" s="429">
        <f t="shared" si="207"/>
        <v>0</v>
      </c>
      <c r="ET67" s="429">
        <f t="shared" si="207"/>
        <v>0</v>
      </c>
      <c r="EU67" s="429">
        <f t="shared" si="207"/>
        <v>0</v>
      </c>
      <c r="EV67" s="429">
        <f t="shared" si="207"/>
        <v>0</v>
      </c>
      <c r="EX67" s="430" t="s">
        <v>88</v>
      </c>
      <c r="EY67" s="429">
        <f t="shared" ref="EY67:GL67" si="208">EY66-EY65</f>
        <v>0</v>
      </c>
      <c r="EZ67" s="429">
        <f t="shared" si="208"/>
        <v>0</v>
      </c>
      <c r="FA67" s="429">
        <f t="shared" si="208"/>
        <v>0</v>
      </c>
      <c r="FB67" s="429">
        <f t="shared" si="208"/>
        <v>0</v>
      </c>
      <c r="FC67" s="429">
        <f t="shared" si="208"/>
        <v>0</v>
      </c>
      <c r="FE67" s="430" t="s">
        <v>88</v>
      </c>
      <c r="FF67" s="429">
        <f t="shared" si="208"/>
        <v>0</v>
      </c>
      <c r="FG67" s="429">
        <f t="shared" si="208"/>
        <v>0</v>
      </c>
      <c r="FH67" s="429">
        <f t="shared" si="208"/>
        <v>0</v>
      </c>
      <c r="FI67" s="429">
        <f t="shared" si="208"/>
        <v>-25</v>
      </c>
      <c r="FJ67" s="429">
        <f t="shared" si="208"/>
        <v>-25</v>
      </c>
      <c r="FL67" s="430" t="s">
        <v>88</v>
      </c>
      <c r="FM67" s="429">
        <f t="shared" si="208"/>
        <v>0</v>
      </c>
      <c r="FN67" s="429">
        <f t="shared" si="208"/>
        <v>0</v>
      </c>
      <c r="FO67" s="429">
        <f t="shared" si="208"/>
        <v>0</v>
      </c>
      <c r="FP67" s="429">
        <f t="shared" si="208"/>
        <v>0</v>
      </c>
      <c r="FQ67" s="429">
        <f t="shared" si="208"/>
        <v>0</v>
      </c>
      <c r="FS67" s="430" t="s">
        <v>88</v>
      </c>
      <c r="FT67" s="429">
        <f t="shared" si="208"/>
        <v>0</v>
      </c>
      <c r="FU67" s="429">
        <f t="shared" si="208"/>
        <v>0</v>
      </c>
      <c r="FV67" s="429">
        <f t="shared" si="208"/>
        <v>0</v>
      </c>
      <c r="FW67" s="429">
        <f t="shared" si="208"/>
        <v>0</v>
      </c>
      <c r="FX67" s="429">
        <f t="shared" si="208"/>
        <v>0</v>
      </c>
      <c r="FZ67" s="430" t="s">
        <v>88</v>
      </c>
      <c r="GA67" s="429">
        <f t="shared" si="208"/>
        <v>0</v>
      </c>
      <c r="GB67" s="429">
        <f t="shared" si="208"/>
        <v>0</v>
      </c>
      <c r="GC67" s="429">
        <f t="shared" si="208"/>
        <v>0</v>
      </c>
      <c r="GD67" s="429">
        <f t="shared" si="208"/>
        <v>0</v>
      </c>
      <c r="GE67" s="429">
        <f t="shared" si="208"/>
        <v>0</v>
      </c>
      <c r="GG67" s="430" t="s">
        <v>88</v>
      </c>
      <c r="GH67" s="429">
        <f t="shared" si="208"/>
        <v>0</v>
      </c>
      <c r="GI67" s="429">
        <f t="shared" si="208"/>
        <v>0</v>
      </c>
      <c r="GJ67" s="429">
        <f t="shared" si="208"/>
        <v>0</v>
      </c>
      <c r="GK67" s="429">
        <f t="shared" si="208"/>
        <v>0</v>
      </c>
      <c r="GL67" s="429">
        <f t="shared" si="208"/>
        <v>2.2737367544323206E-13</v>
      </c>
      <c r="GN67" s="430" t="s">
        <v>88</v>
      </c>
      <c r="GO67" s="429">
        <f t="shared" ref="GO67:GS67" si="209">GO66-GO65</f>
        <v>0</v>
      </c>
      <c r="GP67" s="429">
        <f t="shared" si="209"/>
        <v>0</v>
      </c>
      <c r="GQ67" s="429">
        <f t="shared" si="209"/>
        <v>0</v>
      </c>
      <c r="GR67" s="429">
        <f t="shared" si="209"/>
        <v>0</v>
      </c>
      <c r="GS67" s="429">
        <f t="shared" si="209"/>
        <v>0</v>
      </c>
      <c r="GU67" s="430" t="s">
        <v>88</v>
      </c>
      <c r="GV67" s="429">
        <f t="shared" ref="GV67:GZ67" si="210">GV66-GV65</f>
        <v>0</v>
      </c>
      <c r="GW67" s="429">
        <f t="shared" si="210"/>
        <v>0</v>
      </c>
      <c r="GX67" s="429">
        <f t="shared" si="210"/>
        <v>0</v>
      </c>
      <c r="GY67" s="429">
        <f t="shared" si="210"/>
        <v>0</v>
      </c>
      <c r="GZ67" s="429">
        <f t="shared" si="210"/>
        <v>0</v>
      </c>
    </row>
    <row r="68" spans="1:208" x14ac:dyDescent="0.4">
      <c r="B68" s="83"/>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P68" s="83"/>
      <c r="AQ68" s="84"/>
      <c r="AR68" s="84"/>
      <c r="AS68" s="84"/>
      <c r="AT68" s="84"/>
      <c r="AU68" s="84"/>
      <c r="AW68" s="83"/>
      <c r="AX68" s="84"/>
      <c r="AY68" s="84"/>
      <c r="AZ68" s="84"/>
      <c r="BA68" s="84"/>
      <c r="BB68" s="84"/>
      <c r="BD68" s="83"/>
      <c r="BE68" s="84"/>
      <c r="BF68" s="84"/>
      <c r="BG68" s="84"/>
      <c r="BH68" s="84"/>
      <c r="BI68" s="84"/>
      <c r="BK68" s="83"/>
      <c r="BL68" s="84"/>
      <c r="BM68" s="84"/>
      <c r="BN68" s="84"/>
      <c r="BO68" s="84"/>
      <c r="BP68" s="84"/>
      <c r="BR68" s="83"/>
      <c r="BS68" s="84"/>
      <c r="BT68" s="84"/>
      <c r="BU68" s="84"/>
      <c r="BV68" s="84"/>
      <c r="BW68" s="84"/>
      <c r="BY68" s="83"/>
      <c r="BZ68" s="84"/>
      <c r="CA68" s="84"/>
      <c r="CB68" s="84"/>
      <c r="CC68" s="84"/>
      <c r="CD68" s="84"/>
      <c r="CF68" s="83"/>
      <c r="CG68" s="84"/>
      <c r="CH68" s="84"/>
      <c r="CI68" s="84"/>
      <c r="CJ68" s="84"/>
      <c r="CK68" s="84"/>
      <c r="CM68" s="83"/>
      <c r="CN68" s="84"/>
      <c r="CO68" s="84"/>
      <c r="CP68" s="84"/>
      <c r="CQ68" s="84"/>
      <c r="CR68" s="84"/>
      <c r="CT68" s="83"/>
      <c r="CU68" s="84"/>
      <c r="CV68" s="84"/>
      <c r="CW68" s="84"/>
      <c r="CX68" s="84"/>
      <c r="CY68" s="84"/>
      <c r="DA68" s="83"/>
      <c r="DB68" s="84"/>
      <c r="DC68" s="84"/>
      <c r="DD68" s="84"/>
      <c r="DE68" s="84"/>
      <c r="DF68" s="84"/>
      <c r="DH68" s="83"/>
      <c r="DI68" s="84"/>
      <c r="DJ68" s="84"/>
      <c r="DK68" s="84"/>
      <c r="DL68" s="84"/>
      <c r="DM68" s="84"/>
      <c r="DO68" s="83"/>
      <c r="DP68" s="84"/>
      <c r="DQ68" s="84"/>
      <c r="DR68" s="84"/>
      <c r="DS68" s="84"/>
      <c r="DT68" s="84"/>
      <c r="DV68" s="83"/>
      <c r="DW68" s="84"/>
      <c r="DX68" s="84"/>
      <c r="DY68" s="84"/>
      <c r="DZ68" s="84"/>
      <c r="EA68" s="84"/>
      <c r="EC68" s="83"/>
      <c r="ED68" s="84"/>
      <c r="EE68" s="84"/>
      <c r="EF68" s="84"/>
      <c r="EG68" s="84"/>
      <c r="EH68" s="84"/>
      <c r="EJ68" s="83"/>
      <c r="EK68" s="84"/>
      <c r="EL68" s="84"/>
      <c r="EM68" s="84"/>
      <c r="EN68" s="84"/>
      <c r="EO68" s="84"/>
      <c r="EQ68" s="83"/>
      <c r="ER68" s="84"/>
      <c r="ES68" s="84"/>
      <c r="ET68" s="84"/>
      <c r="EU68" s="84"/>
      <c r="EV68" s="84"/>
      <c r="EX68" s="83"/>
      <c r="EY68" s="84"/>
      <c r="EZ68" s="84"/>
      <c r="FA68" s="84"/>
      <c r="FB68" s="84"/>
      <c r="FC68" s="84"/>
      <c r="FE68" s="83"/>
      <c r="FF68" s="84"/>
      <c r="FG68" s="84"/>
      <c r="FH68" s="84"/>
      <c r="FI68" s="84"/>
      <c r="FJ68" s="84"/>
      <c r="FL68" s="83"/>
      <c r="FM68" s="84"/>
      <c r="FN68" s="84"/>
      <c r="FO68" s="84"/>
      <c r="FP68" s="84"/>
      <c r="FQ68" s="84"/>
      <c r="FS68" s="83"/>
      <c r="FT68" s="84"/>
      <c r="FU68" s="85"/>
      <c r="FV68" s="85"/>
      <c r="FW68" s="85"/>
      <c r="FX68" s="85"/>
      <c r="FZ68" s="83"/>
      <c r="GA68" s="85"/>
      <c r="GB68" s="85"/>
      <c r="GC68" s="85"/>
      <c r="GD68" s="85"/>
      <c r="GE68" s="85"/>
      <c r="GG68" s="83"/>
      <c r="GH68" s="85"/>
      <c r="GI68" s="85"/>
      <c r="GJ68" s="85"/>
      <c r="GK68" s="85"/>
      <c r="GL68" s="85"/>
      <c r="GN68" s="83"/>
      <c r="GO68" s="85"/>
      <c r="GP68" s="85"/>
      <c r="GQ68" s="85"/>
      <c r="GR68" s="85"/>
      <c r="GS68" s="85"/>
      <c r="GU68" s="83"/>
      <c r="GV68" s="85"/>
      <c r="GW68" s="85"/>
      <c r="GX68" s="85"/>
      <c r="GY68" s="85"/>
      <c r="GZ68" s="85"/>
    </row>
    <row r="69" spans="1:208" x14ac:dyDescent="0.4">
      <c r="B69" s="76" t="str">
        <f>+B180</f>
        <v>Source: Company data and Wells Fargo Securities, LLC estimates</v>
      </c>
      <c r="AP69" s="76">
        <f>+AP180</f>
        <v>0</v>
      </c>
      <c r="AW69" s="76">
        <f>+AW180</f>
        <v>0</v>
      </c>
      <c r="BD69" s="76">
        <f>+BD180</f>
        <v>0</v>
      </c>
      <c r="BK69" s="76">
        <f>+BK180</f>
        <v>0</v>
      </c>
      <c r="BR69" s="76">
        <f>+BR180</f>
        <v>0</v>
      </c>
      <c r="BY69" s="76">
        <f>+BY180</f>
        <v>0</v>
      </c>
      <c r="CF69" s="76">
        <f>+CF180</f>
        <v>0</v>
      </c>
      <c r="CM69" s="76">
        <f>+CM180</f>
        <v>0</v>
      </c>
      <c r="CT69" s="76">
        <f>+CT180</f>
        <v>0</v>
      </c>
      <c r="DA69" s="76">
        <f>+DA180</f>
        <v>0</v>
      </c>
      <c r="DH69" s="76">
        <f>+DH180</f>
        <v>0</v>
      </c>
      <c r="DO69" s="76">
        <f>+DO180</f>
        <v>0</v>
      </c>
      <c r="DV69" s="76">
        <f>+DV180</f>
        <v>0</v>
      </c>
      <c r="EC69" s="76">
        <f>+EC180</f>
        <v>0</v>
      </c>
      <c r="EJ69" s="76">
        <f>+EJ180</f>
        <v>0</v>
      </c>
      <c r="EQ69" s="76">
        <f>+EQ180</f>
        <v>0</v>
      </c>
      <c r="EX69" s="76">
        <f>+EX180</f>
        <v>0</v>
      </c>
      <c r="FE69" s="76">
        <f>+FE180</f>
        <v>0</v>
      </c>
      <c r="FL69" s="76">
        <f>+FL180</f>
        <v>0</v>
      </c>
      <c r="FS69" s="76">
        <f>+FS180</f>
        <v>0</v>
      </c>
      <c r="FZ69" s="76">
        <f>+FZ180</f>
        <v>0</v>
      </c>
      <c r="GG69" s="76">
        <f>+GG180</f>
        <v>0</v>
      </c>
      <c r="GN69" s="76">
        <f>+GN180</f>
        <v>0</v>
      </c>
      <c r="GU69" s="76">
        <f>+GU180</f>
        <v>0</v>
      </c>
    </row>
    <row r="70" spans="1:208" x14ac:dyDescent="0.4">
      <c r="B70" s="76"/>
      <c r="AP70" s="76"/>
      <c r="AW70" s="76"/>
      <c r="BD70" s="76"/>
      <c r="BK70" s="76"/>
      <c r="BR70" s="76"/>
      <c r="BY70" s="76"/>
      <c r="CF70" s="76"/>
      <c r="CM70" s="76"/>
      <c r="CT70" s="76"/>
      <c r="DA70" s="76"/>
      <c r="DH70" s="76"/>
      <c r="DO70" s="76"/>
      <c r="DV70" s="76"/>
      <c r="EC70" s="76"/>
      <c r="EJ70" s="76"/>
      <c r="EQ70" s="76"/>
      <c r="EX70" s="76"/>
      <c r="FE70" s="76"/>
      <c r="FL70" s="76"/>
      <c r="FS70" s="76"/>
      <c r="FZ70" s="76"/>
      <c r="GG70" s="76"/>
      <c r="GN70" s="76"/>
      <c r="GU70" s="76"/>
    </row>
    <row r="71" spans="1:208" x14ac:dyDescent="0.4">
      <c r="A71" s="38"/>
      <c r="B71" s="39" t="s">
        <v>205</v>
      </c>
      <c r="C71" s="40">
        <f>AU71</f>
        <v>2005</v>
      </c>
      <c r="D71" s="40">
        <f>BB71</f>
        <v>2006</v>
      </c>
      <c r="E71" s="40">
        <f>BI71</f>
        <v>2007</v>
      </c>
      <c r="F71" s="40">
        <f>BP71</f>
        <v>2008</v>
      </c>
      <c r="G71" s="40">
        <f>BW71</f>
        <v>2009</v>
      </c>
      <c r="H71" s="40">
        <f>CD71</f>
        <v>2010</v>
      </c>
      <c r="I71" s="40">
        <f>CK71</f>
        <v>2011</v>
      </c>
      <c r="J71" s="40">
        <f>CR71</f>
        <v>2012</v>
      </c>
      <c r="K71" s="40">
        <f>CY71</f>
        <v>2013</v>
      </c>
      <c r="L71" s="40">
        <f>DF71</f>
        <v>2014</v>
      </c>
      <c r="M71" s="40">
        <f>DM71</f>
        <v>2015</v>
      </c>
      <c r="N71" s="40">
        <f>DT71</f>
        <v>2016</v>
      </c>
      <c r="O71" s="40">
        <f>EA71</f>
        <v>2017</v>
      </c>
      <c r="P71" s="40">
        <f>EH71</f>
        <v>2018</v>
      </c>
      <c r="Q71" s="40">
        <f>EO71</f>
        <v>2019</v>
      </c>
      <c r="R71" s="40">
        <f>EV71</f>
        <v>2020</v>
      </c>
      <c r="S71" s="40">
        <f>FC71</f>
        <v>2021</v>
      </c>
      <c r="T71" s="40">
        <f>FJ71</f>
        <v>2022</v>
      </c>
      <c r="U71" s="40">
        <f>FQ71</f>
        <v>2023</v>
      </c>
      <c r="V71" s="311">
        <f>FX71</f>
        <v>2024</v>
      </c>
      <c r="W71" s="311">
        <f>GE71</f>
        <v>2025</v>
      </c>
      <c r="X71" s="311" t="str">
        <f>GL71</f>
        <v>2026E</v>
      </c>
      <c r="Y71" s="311" t="str">
        <f>GS71</f>
        <v>2027E</v>
      </c>
      <c r="Z71" s="311" t="str">
        <f>GZ71</f>
        <v>2028E</v>
      </c>
      <c r="AA71" s="311"/>
      <c r="AB71" s="311"/>
      <c r="AC71" s="311"/>
      <c r="AD71" s="311"/>
      <c r="AE71" s="311"/>
      <c r="AF71" s="311"/>
      <c r="AG71" s="311"/>
      <c r="AH71" s="311"/>
      <c r="AI71" s="311"/>
      <c r="AJ71" s="311"/>
      <c r="AK71" s="311"/>
      <c r="AL71" s="311"/>
      <c r="AM71" s="311"/>
      <c r="AN71" s="311"/>
      <c r="AP71" s="39" t="s">
        <v>205</v>
      </c>
      <c r="AQ71" s="210" t="str">
        <f>AQ4</f>
        <v>1Q05</v>
      </c>
      <c r="AR71" s="210" t="str">
        <f t="shared" ref="AR71:AU71" si="211">AR4</f>
        <v>2Q05</v>
      </c>
      <c r="AS71" s="210" t="str">
        <f t="shared" si="211"/>
        <v>3Q05</v>
      </c>
      <c r="AT71" s="210" t="str">
        <f t="shared" si="211"/>
        <v>4Q05</v>
      </c>
      <c r="AU71" s="210">
        <f t="shared" si="211"/>
        <v>2005</v>
      </c>
      <c r="AW71" s="39" t="s">
        <v>205</v>
      </c>
      <c r="AX71" s="210" t="str">
        <f>AX4</f>
        <v>1Q06</v>
      </c>
      <c r="AY71" s="210" t="str">
        <f t="shared" ref="AY71:BB71" si="212">AY4</f>
        <v>2Q06</v>
      </c>
      <c r="AZ71" s="210" t="str">
        <f t="shared" si="212"/>
        <v>3Q06</v>
      </c>
      <c r="BA71" s="210" t="str">
        <f t="shared" si="212"/>
        <v>4Q06</v>
      </c>
      <c r="BB71" s="210">
        <f t="shared" si="212"/>
        <v>2006</v>
      </c>
      <c r="BD71" s="39" t="s">
        <v>205</v>
      </c>
      <c r="BE71" s="210" t="str">
        <f>BE4</f>
        <v>1Q07</v>
      </c>
      <c r="BF71" s="210" t="str">
        <f t="shared" ref="BF71:BI71" si="213">BF4</f>
        <v>2Q07</v>
      </c>
      <c r="BG71" s="210" t="str">
        <f t="shared" si="213"/>
        <v>3Q07</v>
      </c>
      <c r="BH71" s="210" t="str">
        <f t="shared" si="213"/>
        <v>4Q07</v>
      </c>
      <c r="BI71" s="210">
        <f t="shared" si="213"/>
        <v>2007</v>
      </c>
      <c r="BK71" s="39" t="s">
        <v>205</v>
      </c>
      <c r="BL71" s="210" t="str">
        <f>BL4</f>
        <v>1Q08</v>
      </c>
      <c r="BM71" s="210" t="str">
        <f t="shared" ref="BM71:BP71" si="214">BM4</f>
        <v>2Q08</v>
      </c>
      <c r="BN71" s="210" t="str">
        <f t="shared" si="214"/>
        <v>3Q08</v>
      </c>
      <c r="BO71" s="210" t="str">
        <f t="shared" si="214"/>
        <v>4Q08</v>
      </c>
      <c r="BP71" s="210">
        <f t="shared" si="214"/>
        <v>2008</v>
      </c>
      <c r="BR71" s="39" t="s">
        <v>205</v>
      </c>
      <c r="BS71" s="210" t="str">
        <f>BS4</f>
        <v>1Q09</v>
      </c>
      <c r="BT71" s="210" t="str">
        <f t="shared" ref="BT71:BW71" si="215">BT4</f>
        <v>2Q09</v>
      </c>
      <c r="BU71" s="210" t="str">
        <f t="shared" si="215"/>
        <v>3Q09</v>
      </c>
      <c r="BV71" s="210" t="str">
        <f t="shared" si="215"/>
        <v>4Q09</v>
      </c>
      <c r="BW71" s="210">
        <f t="shared" si="215"/>
        <v>2009</v>
      </c>
      <c r="BY71" s="39" t="s">
        <v>205</v>
      </c>
      <c r="BZ71" s="210" t="str">
        <f>BZ4</f>
        <v>1Q10</v>
      </c>
      <c r="CA71" s="210" t="str">
        <f t="shared" ref="CA71:CD71" si="216">CA4</f>
        <v>2Q10</v>
      </c>
      <c r="CB71" s="210" t="str">
        <f t="shared" si="216"/>
        <v>3Q10</v>
      </c>
      <c r="CC71" s="210" t="str">
        <f t="shared" si="216"/>
        <v>4Q10</v>
      </c>
      <c r="CD71" s="210">
        <f t="shared" si="216"/>
        <v>2010</v>
      </c>
      <c r="CF71" s="39" t="s">
        <v>205</v>
      </c>
      <c r="CG71" s="210" t="str">
        <f>CG4</f>
        <v>1Q11</v>
      </c>
      <c r="CH71" s="210" t="str">
        <f t="shared" ref="CH71:CK71" si="217">CH4</f>
        <v>2Q11</v>
      </c>
      <c r="CI71" s="210" t="str">
        <f t="shared" si="217"/>
        <v>3Q11</v>
      </c>
      <c r="CJ71" s="210" t="str">
        <f t="shared" si="217"/>
        <v>4Q11</v>
      </c>
      <c r="CK71" s="210">
        <f t="shared" si="217"/>
        <v>2011</v>
      </c>
      <c r="CM71" s="39" t="s">
        <v>205</v>
      </c>
      <c r="CN71" s="210" t="str">
        <f>CN4</f>
        <v>1Q12</v>
      </c>
      <c r="CO71" s="210" t="str">
        <f t="shared" ref="CO71:CR71" si="218">CO4</f>
        <v>2Q12</v>
      </c>
      <c r="CP71" s="210" t="str">
        <f t="shared" si="218"/>
        <v>3Q12</v>
      </c>
      <c r="CQ71" s="210" t="str">
        <f t="shared" si="218"/>
        <v>4Q12</v>
      </c>
      <c r="CR71" s="210">
        <f t="shared" si="218"/>
        <v>2012</v>
      </c>
      <c r="CT71" s="39" t="s">
        <v>205</v>
      </c>
      <c r="CU71" s="210" t="str">
        <f>CU4</f>
        <v>1Q13</v>
      </c>
      <c r="CV71" s="210" t="str">
        <f t="shared" ref="CV71:CY71" si="219">CV4</f>
        <v>2Q13</v>
      </c>
      <c r="CW71" s="210" t="str">
        <f t="shared" si="219"/>
        <v>3Q13</v>
      </c>
      <c r="CX71" s="210" t="str">
        <f t="shared" si="219"/>
        <v>4Q13</v>
      </c>
      <c r="CY71" s="210">
        <f t="shared" si="219"/>
        <v>2013</v>
      </c>
      <c r="DA71" s="39" t="s">
        <v>205</v>
      </c>
      <c r="DB71" s="210" t="str">
        <f>DB4</f>
        <v>1Q14</v>
      </c>
      <c r="DC71" s="210" t="str">
        <f t="shared" ref="DC71:DF71" si="220">DC4</f>
        <v>2Q14</v>
      </c>
      <c r="DD71" s="210" t="str">
        <f t="shared" si="220"/>
        <v>3Q14</v>
      </c>
      <c r="DE71" s="210" t="str">
        <f t="shared" si="220"/>
        <v>4Q14</v>
      </c>
      <c r="DF71" s="210">
        <f t="shared" si="220"/>
        <v>2014</v>
      </c>
      <c r="DH71" s="39" t="s">
        <v>205</v>
      </c>
      <c r="DI71" s="210" t="str">
        <f>DI4</f>
        <v>1Q15</v>
      </c>
      <c r="DJ71" s="210" t="str">
        <f t="shared" ref="DJ71:DM71" si="221">DJ4</f>
        <v>2Q15</v>
      </c>
      <c r="DK71" s="210" t="str">
        <f t="shared" si="221"/>
        <v>3Q15</v>
      </c>
      <c r="DL71" s="210" t="str">
        <f t="shared" si="221"/>
        <v>4Q15</v>
      </c>
      <c r="DM71" s="210">
        <f t="shared" si="221"/>
        <v>2015</v>
      </c>
      <c r="DO71" s="39" t="s">
        <v>205</v>
      </c>
      <c r="DP71" s="210" t="str">
        <f>DP4</f>
        <v>1Q16</v>
      </c>
      <c r="DQ71" s="210" t="str">
        <f t="shared" ref="DQ71:DT71" si="222">DQ4</f>
        <v>2Q16</v>
      </c>
      <c r="DR71" s="210" t="str">
        <f t="shared" si="222"/>
        <v>3Q16</v>
      </c>
      <c r="DS71" s="210" t="str">
        <f t="shared" si="222"/>
        <v>4Q16</v>
      </c>
      <c r="DT71" s="210">
        <f t="shared" si="222"/>
        <v>2016</v>
      </c>
      <c r="DV71" s="39" t="s">
        <v>205</v>
      </c>
      <c r="DW71" s="210" t="str">
        <f>DW4</f>
        <v>1Q17</v>
      </c>
      <c r="DX71" s="210" t="str">
        <f t="shared" ref="DX71:EA71" si="223">DX4</f>
        <v>2Q17</v>
      </c>
      <c r="DY71" s="210" t="str">
        <f t="shared" si="223"/>
        <v>3Q17</v>
      </c>
      <c r="DZ71" s="210" t="str">
        <f t="shared" si="223"/>
        <v>4Q17</v>
      </c>
      <c r="EA71" s="210">
        <f t="shared" si="223"/>
        <v>2017</v>
      </c>
      <c r="EC71" s="39" t="s">
        <v>205</v>
      </c>
      <c r="ED71" s="210" t="str">
        <f>ED4</f>
        <v>1Q18</v>
      </c>
      <c r="EE71" s="210" t="str">
        <f t="shared" ref="EE71:EH71" si="224">EE4</f>
        <v>2Q18</v>
      </c>
      <c r="EF71" s="210" t="str">
        <f t="shared" si="224"/>
        <v>3Q18</v>
      </c>
      <c r="EG71" s="210" t="str">
        <f t="shared" si="224"/>
        <v>4Q18</v>
      </c>
      <c r="EH71" s="210">
        <f t="shared" si="224"/>
        <v>2018</v>
      </c>
      <c r="EJ71" s="39" t="s">
        <v>205</v>
      </c>
      <c r="EK71" s="210" t="str">
        <f>EK4</f>
        <v>1Q19</v>
      </c>
      <c r="EL71" s="210" t="str">
        <f t="shared" ref="EL71:EO71" si="225">EL4</f>
        <v>2Q19</v>
      </c>
      <c r="EM71" s="210" t="str">
        <f t="shared" si="225"/>
        <v>3Q19</v>
      </c>
      <c r="EN71" s="210" t="str">
        <f t="shared" si="225"/>
        <v>4Q19</v>
      </c>
      <c r="EO71" s="210">
        <f t="shared" si="225"/>
        <v>2019</v>
      </c>
      <c r="EQ71" s="39" t="s">
        <v>205</v>
      </c>
      <c r="ER71" s="210" t="str">
        <f>ER4</f>
        <v>1Q20</v>
      </c>
      <c r="ES71" s="210" t="str">
        <f t="shared" ref="ES71:EV71" si="226">ES4</f>
        <v>2Q20</v>
      </c>
      <c r="ET71" s="210" t="str">
        <f t="shared" si="226"/>
        <v>3Q20</v>
      </c>
      <c r="EU71" s="210" t="str">
        <f t="shared" si="226"/>
        <v>4Q20</v>
      </c>
      <c r="EV71" s="210">
        <f t="shared" si="226"/>
        <v>2020</v>
      </c>
      <c r="EX71" s="39" t="s">
        <v>205</v>
      </c>
      <c r="EY71" s="210" t="str">
        <f>EY4</f>
        <v>1Q21</v>
      </c>
      <c r="EZ71" s="210" t="str">
        <f t="shared" ref="EZ71:FC71" si="227">EZ4</f>
        <v>2Q21</v>
      </c>
      <c r="FA71" s="210" t="str">
        <f t="shared" si="227"/>
        <v>3Q21</v>
      </c>
      <c r="FB71" s="210" t="str">
        <f t="shared" si="227"/>
        <v>4Q21</v>
      </c>
      <c r="FC71" s="210">
        <f t="shared" si="227"/>
        <v>2021</v>
      </c>
      <c r="FE71" s="39" t="s">
        <v>205</v>
      </c>
      <c r="FF71" s="210" t="str">
        <f>FF4</f>
        <v>1Q22</v>
      </c>
      <c r="FG71" s="210" t="str">
        <f t="shared" ref="FG71:FJ71" si="228">FG4</f>
        <v>2Q22</v>
      </c>
      <c r="FH71" s="210" t="str">
        <f t="shared" si="228"/>
        <v>3Q22</v>
      </c>
      <c r="FI71" s="210" t="str">
        <f t="shared" si="228"/>
        <v>4Q22</v>
      </c>
      <c r="FJ71" s="210">
        <f t="shared" si="228"/>
        <v>2022</v>
      </c>
      <c r="FL71" s="39" t="s">
        <v>205</v>
      </c>
      <c r="FM71" s="210" t="str">
        <f>FM4</f>
        <v>1Q23</v>
      </c>
      <c r="FN71" s="210" t="str">
        <f t="shared" ref="FN71:FQ71" si="229">FN4</f>
        <v>2Q23</v>
      </c>
      <c r="FO71" s="210" t="str">
        <f t="shared" si="229"/>
        <v>3Q23</v>
      </c>
      <c r="FP71" s="210" t="str">
        <f t="shared" si="229"/>
        <v>4Q23</v>
      </c>
      <c r="FQ71" s="210">
        <f t="shared" si="229"/>
        <v>2023</v>
      </c>
      <c r="FS71" s="39" t="s">
        <v>205</v>
      </c>
      <c r="FT71" s="210" t="str">
        <f>FT4</f>
        <v>1Q24</v>
      </c>
      <c r="FU71" s="210" t="str">
        <f t="shared" ref="FU71:FX71" si="230">FU4</f>
        <v>2Q24</v>
      </c>
      <c r="FV71" s="210" t="str">
        <f t="shared" si="230"/>
        <v>3Q24</v>
      </c>
      <c r="FW71" s="210" t="str">
        <f t="shared" si="230"/>
        <v>4Q24</v>
      </c>
      <c r="FX71" s="210">
        <f t="shared" si="230"/>
        <v>2024</v>
      </c>
      <c r="FZ71" s="39" t="s">
        <v>205</v>
      </c>
      <c r="GA71" s="210" t="str">
        <f>GA4</f>
        <v>1Q25</v>
      </c>
      <c r="GB71" s="210" t="str">
        <f t="shared" ref="GB71:GE71" si="231">GB4</f>
        <v>2Q25</v>
      </c>
      <c r="GC71" s="210" t="str">
        <f t="shared" si="231"/>
        <v>3Q25</v>
      </c>
      <c r="GD71" s="210" t="str">
        <f t="shared" si="231"/>
        <v>4Q25</v>
      </c>
      <c r="GE71" s="210">
        <f t="shared" si="231"/>
        <v>2025</v>
      </c>
      <c r="GG71" s="39" t="s">
        <v>205</v>
      </c>
      <c r="GH71" s="210" t="str">
        <f>GH4</f>
        <v>1Q26E</v>
      </c>
      <c r="GI71" s="210" t="str">
        <f t="shared" ref="GI71:GL71" si="232">GI4</f>
        <v>2Q26E</v>
      </c>
      <c r="GJ71" s="210" t="str">
        <f t="shared" si="232"/>
        <v>3Q26E</v>
      </c>
      <c r="GK71" s="210" t="str">
        <f t="shared" si="232"/>
        <v>4Q26E</v>
      </c>
      <c r="GL71" s="210" t="str">
        <f t="shared" si="232"/>
        <v>2026E</v>
      </c>
      <c r="GN71" s="39" t="s">
        <v>205</v>
      </c>
      <c r="GO71" s="210" t="str">
        <f>GO4</f>
        <v>1Q27E</v>
      </c>
      <c r="GP71" s="210" t="str">
        <f t="shared" ref="GP71:GS71" si="233">GP4</f>
        <v>2Q27E</v>
      </c>
      <c r="GQ71" s="210" t="str">
        <f t="shared" si="233"/>
        <v>3Q27E</v>
      </c>
      <c r="GR71" s="210" t="str">
        <f t="shared" si="233"/>
        <v>4Q27E</v>
      </c>
      <c r="GS71" s="210" t="str">
        <f t="shared" si="233"/>
        <v>2027E</v>
      </c>
      <c r="GU71" s="39" t="s">
        <v>205</v>
      </c>
      <c r="GV71" s="210" t="str">
        <f>GV4</f>
        <v>1Q28E</v>
      </c>
      <c r="GW71" s="210" t="str">
        <f t="shared" ref="GW71:GZ71" si="234">GW4</f>
        <v>2Q28E</v>
      </c>
      <c r="GX71" s="210" t="str">
        <f t="shared" si="234"/>
        <v>3Q28E</v>
      </c>
      <c r="GY71" s="210" t="str">
        <f t="shared" si="234"/>
        <v>4Q28E</v>
      </c>
      <c r="GZ71" s="210" t="str">
        <f t="shared" si="234"/>
        <v>2028E</v>
      </c>
    </row>
    <row r="72" spans="1:208" x14ac:dyDescent="0.4">
      <c r="A72" s="366"/>
      <c r="B72" s="42" t="s">
        <v>1</v>
      </c>
      <c r="C72" s="43" t="str">
        <f>AU72</f>
        <v>FY</v>
      </c>
      <c r="D72" s="43" t="str">
        <f>BB72</f>
        <v>FY</v>
      </c>
      <c r="E72" s="43" t="str">
        <f>BI72</f>
        <v>FY</v>
      </c>
      <c r="F72" s="43" t="str">
        <f>BP72</f>
        <v>FY</v>
      </c>
      <c r="G72" s="43" t="str">
        <f>BW72</f>
        <v>FY</v>
      </c>
      <c r="H72" s="43" t="str">
        <f>CD72</f>
        <v>FY</v>
      </c>
      <c r="I72" s="43" t="str">
        <f>CK72</f>
        <v>FY</v>
      </c>
      <c r="J72" s="43" t="str">
        <f>CR72</f>
        <v>FY</v>
      </c>
      <c r="K72" s="43" t="str">
        <f>CY72</f>
        <v>FY</v>
      </c>
      <c r="L72" s="43" t="str">
        <f>DF72</f>
        <v>FY</v>
      </c>
      <c r="M72" s="43" t="str">
        <f>DM72</f>
        <v>FY</v>
      </c>
      <c r="N72" s="43" t="str">
        <f>DT72</f>
        <v>FY</v>
      </c>
      <c r="O72" s="43" t="str">
        <f>EA72</f>
        <v>FY</v>
      </c>
      <c r="P72" s="43" t="str">
        <f>EH72</f>
        <v>FY</v>
      </c>
      <c r="Q72" s="43" t="str">
        <f>EO72</f>
        <v>FY</v>
      </c>
      <c r="R72" s="43" t="str">
        <f>EV72</f>
        <v>FY</v>
      </c>
      <c r="S72" s="43" t="str">
        <f>FC72</f>
        <v>FY</v>
      </c>
      <c r="T72" s="43" t="str">
        <f>FJ72</f>
        <v>FY</v>
      </c>
      <c r="U72" s="43" t="str">
        <f>FQ72</f>
        <v>FY</v>
      </c>
      <c r="V72" s="313" t="str">
        <f>FX72</f>
        <v>FY</v>
      </c>
      <c r="W72" s="313" t="str">
        <f>GE72</f>
        <v>FY</v>
      </c>
      <c r="X72" s="313" t="str">
        <f>GL72</f>
        <v>FY</v>
      </c>
      <c r="Y72" s="313" t="str">
        <f>GS72</f>
        <v>FY</v>
      </c>
      <c r="Z72" s="313" t="str">
        <f>GZ72</f>
        <v>FY</v>
      </c>
      <c r="AA72" s="313"/>
      <c r="AB72" s="313"/>
      <c r="AC72" s="313"/>
      <c r="AD72" s="313"/>
      <c r="AE72" s="313"/>
      <c r="AF72" s="313"/>
      <c r="AG72" s="313"/>
      <c r="AH72" s="313"/>
      <c r="AI72" s="313"/>
      <c r="AJ72" s="313"/>
      <c r="AK72" s="313"/>
      <c r="AL72" s="313"/>
      <c r="AM72" s="313"/>
      <c r="AN72" s="313"/>
      <c r="AP72" s="42" t="s">
        <v>1</v>
      </c>
      <c r="AQ72" s="413">
        <f t="shared" ref="AQ72:AU72" si="235">AQ5</f>
        <v>38442</v>
      </c>
      <c r="AR72" s="413">
        <f t="shared" si="235"/>
        <v>38533</v>
      </c>
      <c r="AS72" s="413">
        <f t="shared" si="235"/>
        <v>38625</v>
      </c>
      <c r="AT72" s="413">
        <f t="shared" si="235"/>
        <v>38717</v>
      </c>
      <c r="AU72" s="210" t="str">
        <f t="shared" si="235"/>
        <v>FY</v>
      </c>
      <c r="AW72" s="42" t="s">
        <v>1</v>
      </c>
      <c r="AX72" s="413">
        <f t="shared" ref="AX72:BB72" si="236">AX5</f>
        <v>38807</v>
      </c>
      <c r="AY72" s="413">
        <f t="shared" si="236"/>
        <v>38898</v>
      </c>
      <c r="AZ72" s="413">
        <f t="shared" si="236"/>
        <v>38990</v>
      </c>
      <c r="BA72" s="413">
        <f t="shared" si="236"/>
        <v>39082</v>
      </c>
      <c r="BB72" s="210" t="str">
        <f t="shared" si="236"/>
        <v>FY</v>
      </c>
      <c r="BD72" s="42" t="s">
        <v>1</v>
      </c>
      <c r="BE72" s="413">
        <f t="shared" ref="BE72:BI72" si="237">BE5</f>
        <v>39172</v>
      </c>
      <c r="BF72" s="413">
        <f t="shared" si="237"/>
        <v>39263</v>
      </c>
      <c r="BG72" s="413">
        <f t="shared" si="237"/>
        <v>39355</v>
      </c>
      <c r="BH72" s="413">
        <f t="shared" si="237"/>
        <v>39447</v>
      </c>
      <c r="BI72" s="210" t="str">
        <f t="shared" si="237"/>
        <v>FY</v>
      </c>
      <c r="BK72" s="42" t="s">
        <v>1</v>
      </c>
      <c r="BL72" s="413">
        <f t="shared" ref="BL72:BP72" si="238">BL5</f>
        <v>39538</v>
      </c>
      <c r="BM72" s="413">
        <f t="shared" si="238"/>
        <v>39629</v>
      </c>
      <c r="BN72" s="413">
        <f t="shared" si="238"/>
        <v>39721</v>
      </c>
      <c r="BO72" s="413">
        <f t="shared" si="238"/>
        <v>39813</v>
      </c>
      <c r="BP72" s="210" t="str">
        <f t="shared" si="238"/>
        <v>FY</v>
      </c>
      <c r="BR72" s="42" t="s">
        <v>1</v>
      </c>
      <c r="BS72" s="413">
        <f t="shared" ref="BS72:BW72" si="239">BS5</f>
        <v>39903</v>
      </c>
      <c r="BT72" s="413">
        <f t="shared" si="239"/>
        <v>39994</v>
      </c>
      <c r="BU72" s="413">
        <f t="shared" si="239"/>
        <v>40086</v>
      </c>
      <c r="BV72" s="413">
        <f t="shared" si="239"/>
        <v>40178</v>
      </c>
      <c r="BW72" s="210" t="str">
        <f t="shared" si="239"/>
        <v>FY</v>
      </c>
      <c r="BY72" s="42" t="s">
        <v>1</v>
      </c>
      <c r="BZ72" s="413">
        <f t="shared" ref="BZ72:CD72" si="240">BZ5</f>
        <v>40268</v>
      </c>
      <c r="CA72" s="413">
        <f t="shared" si="240"/>
        <v>40359</v>
      </c>
      <c r="CB72" s="413">
        <f t="shared" si="240"/>
        <v>40451</v>
      </c>
      <c r="CC72" s="413">
        <f t="shared" si="240"/>
        <v>40543</v>
      </c>
      <c r="CD72" s="210" t="str">
        <f t="shared" si="240"/>
        <v>FY</v>
      </c>
      <c r="CF72" s="42" t="s">
        <v>1</v>
      </c>
      <c r="CG72" s="413">
        <f t="shared" ref="CG72:CK72" si="241">CG5</f>
        <v>40633</v>
      </c>
      <c r="CH72" s="413">
        <f t="shared" si="241"/>
        <v>40724</v>
      </c>
      <c r="CI72" s="413">
        <f t="shared" si="241"/>
        <v>40816</v>
      </c>
      <c r="CJ72" s="413">
        <f t="shared" si="241"/>
        <v>40908</v>
      </c>
      <c r="CK72" s="210" t="str">
        <f t="shared" si="241"/>
        <v>FY</v>
      </c>
      <c r="CM72" s="42" t="s">
        <v>1</v>
      </c>
      <c r="CN72" s="413">
        <f t="shared" ref="CN72:CR72" si="242">CN5</f>
        <v>40999</v>
      </c>
      <c r="CO72" s="413">
        <f t="shared" si="242"/>
        <v>41090</v>
      </c>
      <c r="CP72" s="413">
        <f t="shared" si="242"/>
        <v>41182</v>
      </c>
      <c r="CQ72" s="413">
        <f t="shared" si="242"/>
        <v>41274</v>
      </c>
      <c r="CR72" s="210" t="str">
        <f t="shared" si="242"/>
        <v>FY</v>
      </c>
      <c r="CT72" s="42" t="s">
        <v>1</v>
      </c>
      <c r="CU72" s="413">
        <f t="shared" ref="CU72:CY72" si="243">CU5</f>
        <v>41364</v>
      </c>
      <c r="CV72" s="413">
        <f t="shared" si="243"/>
        <v>41455</v>
      </c>
      <c r="CW72" s="413">
        <f t="shared" si="243"/>
        <v>41547</v>
      </c>
      <c r="CX72" s="413">
        <f t="shared" si="243"/>
        <v>41639</v>
      </c>
      <c r="CY72" s="210" t="str">
        <f t="shared" si="243"/>
        <v>FY</v>
      </c>
      <c r="DA72" s="42" t="s">
        <v>1</v>
      </c>
      <c r="DB72" s="413">
        <f t="shared" ref="DB72:DF72" si="244">DB5</f>
        <v>41729</v>
      </c>
      <c r="DC72" s="413">
        <f t="shared" si="244"/>
        <v>41820</v>
      </c>
      <c r="DD72" s="413">
        <f t="shared" si="244"/>
        <v>41912</v>
      </c>
      <c r="DE72" s="413">
        <f t="shared" si="244"/>
        <v>42004</v>
      </c>
      <c r="DF72" s="210" t="str">
        <f t="shared" si="244"/>
        <v>FY</v>
      </c>
      <c r="DH72" s="42" t="s">
        <v>1</v>
      </c>
      <c r="DI72" s="413">
        <f t="shared" ref="DI72:DM72" si="245">DI5</f>
        <v>42094</v>
      </c>
      <c r="DJ72" s="413">
        <f t="shared" si="245"/>
        <v>42185</v>
      </c>
      <c r="DK72" s="413">
        <f t="shared" si="245"/>
        <v>42277</v>
      </c>
      <c r="DL72" s="413">
        <f t="shared" si="245"/>
        <v>42369</v>
      </c>
      <c r="DM72" s="210" t="str">
        <f t="shared" si="245"/>
        <v>FY</v>
      </c>
      <c r="DO72" s="42" t="s">
        <v>1</v>
      </c>
      <c r="DP72" s="413">
        <f t="shared" ref="DP72:DT72" si="246">DP5</f>
        <v>42460</v>
      </c>
      <c r="DQ72" s="413">
        <f t="shared" si="246"/>
        <v>42551</v>
      </c>
      <c r="DR72" s="413">
        <f t="shared" si="246"/>
        <v>42643</v>
      </c>
      <c r="DS72" s="413">
        <f t="shared" si="246"/>
        <v>42735</v>
      </c>
      <c r="DT72" s="210" t="str">
        <f t="shared" si="246"/>
        <v>FY</v>
      </c>
      <c r="DV72" s="42" t="s">
        <v>1</v>
      </c>
      <c r="DW72" s="413">
        <f t="shared" ref="DW72:EA72" si="247">DW5</f>
        <v>42825</v>
      </c>
      <c r="DX72" s="413">
        <f t="shared" si="247"/>
        <v>42916</v>
      </c>
      <c r="DY72" s="413">
        <f t="shared" si="247"/>
        <v>43008</v>
      </c>
      <c r="DZ72" s="413">
        <f t="shared" si="247"/>
        <v>43100</v>
      </c>
      <c r="EA72" s="210" t="str">
        <f t="shared" si="247"/>
        <v>FY</v>
      </c>
      <c r="EC72" s="42" t="s">
        <v>1</v>
      </c>
      <c r="ED72" s="413">
        <f t="shared" ref="ED72:EH72" si="248">ED5</f>
        <v>43190</v>
      </c>
      <c r="EE72" s="413">
        <f t="shared" si="248"/>
        <v>43281</v>
      </c>
      <c r="EF72" s="413">
        <f t="shared" si="248"/>
        <v>43373</v>
      </c>
      <c r="EG72" s="413">
        <f t="shared" si="248"/>
        <v>43465</v>
      </c>
      <c r="EH72" s="210" t="str">
        <f t="shared" si="248"/>
        <v>FY</v>
      </c>
      <c r="EJ72" s="42" t="s">
        <v>1</v>
      </c>
      <c r="EK72" s="413">
        <f t="shared" ref="EK72:EO72" si="249">EK5</f>
        <v>43555</v>
      </c>
      <c r="EL72" s="413">
        <f t="shared" si="249"/>
        <v>43646</v>
      </c>
      <c r="EM72" s="413">
        <f t="shared" si="249"/>
        <v>43738</v>
      </c>
      <c r="EN72" s="413">
        <f t="shared" si="249"/>
        <v>43830</v>
      </c>
      <c r="EO72" s="210" t="str">
        <f t="shared" si="249"/>
        <v>FY</v>
      </c>
      <c r="EQ72" s="42" t="s">
        <v>1</v>
      </c>
      <c r="ER72" s="413">
        <f t="shared" ref="ER72:EV72" si="250">ER5</f>
        <v>43921</v>
      </c>
      <c r="ES72" s="413">
        <f t="shared" si="250"/>
        <v>44012</v>
      </c>
      <c r="ET72" s="413">
        <f t="shared" si="250"/>
        <v>44104</v>
      </c>
      <c r="EU72" s="413">
        <f t="shared" si="250"/>
        <v>44196</v>
      </c>
      <c r="EV72" s="210" t="str">
        <f t="shared" si="250"/>
        <v>FY</v>
      </c>
      <c r="EX72" s="42" t="s">
        <v>1</v>
      </c>
      <c r="EY72" s="413">
        <f t="shared" ref="EY72:FC72" si="251">EY5</f>
        <v>44286</v>
      </c>
      <c r="EZ72" s="413">
        <f t="shared" si="251"/>
        <v>44377</v>
      </c>
      <c r="FA72" s="413">
        <f t="shared" si="251"/>
        <v>44469</v>
      </c>
      <c r="FB72" s="413">
        <f t="shared" si="251"/>
        <v>44561</v>
      </c>
      <c r="FC72" s="210" t="str">
        <f t="shared" si="251"/>
        <v>FY</v>
      </c>
      <c r="FE72" s="42" t="s">
        <v>1</v>
      </c>
      <c r="FF72" s="413">
        <f t="shared" ref="FF72:FJ72" si="252">FF5</f>
        <v>44651</v>
      </c>
      <c r="FG72" s="413">
        <f t="shared" si="252"/>
        <v>44742</v>
      </c>
      <c r="FH72" s="413">
        <f t="shared" si="252"/>
        <v>44834</v>
      </c>
      <c r="FI72" s="413">
        <f t="shared" si="252"/>
        <v>44926</v>
      </c>
      <c r="FJ72" s="210" t="str">
        <f t="shared" si="252"/>
        <v>FY</v>
      </c>
      <c r="FL72" s="42" t="s">
        <v>1</v>
      </c>
      <c r="FM72" s="413">
        <f t="shared" ref="FM72:FQ72" si="253">FM5</f>
        <v>45016</v>
      </c>
      <c r="FN72" s="413">
        <f t="shared" si="253"/>
        <v>45107</v>
      </c>
      <c r="FO72" s="413">
        <f t="shared" si="253"/>
        <v>45199</v>
      </c>
      <c r="FP72" s="413">
        <f t="shared" si="253"/>
        <v>45291</v>
      </c>
      <c r="FQ72" s="210" t="str">
        <f t="shared" si="253"/>
        <v>FY</v>
      </c>
      <c r="FS72" s="42" t="s">
        <v>1</v>
      </c>
      <c r="FT72" s="413">
        <f t="shared" ref="FT72:FX72" si="254">FT5</f>
        <v>45382</v>
      </c>
      <c r="FU72" s="413">
        <f t="shared" si="254"/>
        <v>45473</v>
      </c>
      <c r="FV72" s="413">
        <f t="shared" si="254"/>
        <v>45565</v>
      </c>
      <c r="FW72" s="413">
        <f t="shared" si="254"/>
        <v>45657</v>
      </c>
      <c r="FX72" s="210" t="str">
        <f t="shared" si="254"/>
        <v>FY</v>
      </c>
      <c r="FZ72" s="42" t="s">
        <v>1</v>
      </c>
      <c r="GA72" s="413">
        <f t="shared" ref="GA72:GE72" si="255">GA5</f>
        <v>45747</v>
      </c>
      <c r="GB72" s="413">
        <f t="shared" si="255"/>
        <v>45838</v>
      </c>
      <c r="GC72" s="413">
        <f t="shared" si="255"/>
        <v>45930</v>
      </c>
      <c r="GD72" s="413">
        <f t="shared" si="255"/>
        <v>46022</v>
      </c>
      <c r="GE72" s="210" t="str">
        <f t="shared" si="255"/>
        <v>FY</v>
      </c>
      <c r="GG72" s="42" t="s">
        <v>1</v>
      </c>
      <c r="GH72" s="413">
        <f t="shared" ref="GH72:GL72" si="256">GH5</f>
        <v>46112</v>
      </c>
      <c r="GI72" s="413">
        <f t="shared" si="256"/>
        <v>46203</v>
      </c>
      <c r="GJ72" s="413">
        <f t="shared" si="256"/>
        <v>46295</v>
      </c>
      <c r="GK72" s="413">
        <f t="shared" si="256"/>
        <v>46387</v>
      </c>
      <c r="GL72" s="210" t="str">
        <f t="shared" si="256"/>
        <v>FY</v>
      </c>
      <c r="GN72" s="42" t="s">
        <v>1</v>
      </c>
      <c r="GO72" s="413">
        <f t="shared" ref="GO72:GS72" si="257">GO5</f>
        <v>46477</v>
      </c>
      <c r="GP72" s="413">
        <f t="shared" si="257"/>
        <v>46568</v>
      </c>
      <c r="GQ72" s="413">
        <f t="shared" si="257"/>
        <v>46660</v>
      </c>
      <c r="GR72" s="413">
        <f t="shared" si="257"/>
        <v>46752</v>
      </c>
      <c r="GS72" s="210" t="str">
        <f t="shared" si="257"/>
        <v>FY</v>
      </c>
      <c r="GU72" s="42" t="s">
        <v>1</v>
      </c>
      <c r="GV72" s="413">
        <f t="shared" ref="GV72:GZ72" si="258">GV5</f>
        <v>46843</v>
      </c>
      <c r="GW72" s="413">
        <f t="shared" si="258"/>
        <v>46934</v>
      </c>
      <c r="GX72" s="413">
        <f t="shared" si="258"/>
        <v>47026</v>
      </c>
      <c r="GY72" s="413">
        <f t="shared" si="258"/>
        <v>47118</v>
      </c>
      <c r="GZ72" s="210" t="str">
        <f t="shared" si="258"/>
        <v>FY</v>
      </c>
    </row>
    <row r="73" spans="1:208" ht="14.25" thickBot="1" x14ac:dyDescent="0.45">
      <c r="A73" s="366"/>
      <c r="B73" s="345"/>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P73" s="345"/>
      <c r="AQ73" s="78"/>
      <c r="AR73" s="78"/>
      <c r="AS73" s="78"/>
      <c r="AT73" s="78"/>
      <c r="AU73" s="78"/>
      <c r="AW73" s="345"/>
      <c r="AX73" s="78"/>
      <c r="AY73" s="78"/>
      <c r="AZ73" s="78"/>
      <c r="BA73" s="78"/>
      <c r="BB73" s="78"/>
      <c r="BD73" s="345"/>
      <c r="BE73" s="78"/>
      <c r="BF73" s="78"/>
      <c r="BG73" s="78"/>
      <c r="BH73" s="78"/>
      <c r="BI73" s="78"/>
      <c r="BK73" s="345"/>
      <c r="BL73" s="78"/>
      <c r="BM73" s="78"/>
      <c r="BN73" s="78"/>
      <c r="BO73" s="78"/>
      <c r="BP73" s="78"/>
      <c r="BR73" s="345"/>
      <c r="BS73" s="78"/>
      <c r="BT73" s="78"/>
      <c r="BU73" s="78"/>
      <c r="BV73" s="78"/>
      <c r="BW73" s="78"/>
      <c r="BY73" s="345"/>
      <c r="BZ73" s="78"/>
      <c r="CA73" s="78"/>
      <c r="CB73" s="78"/>
      <c r="CC73" s="78"/>
      <c r="CD73" s="78"/>
      <c r="CF73" s="345"/>
      <c r="CG73" s="78"/>
      <c r="CH73" s="78"/>
      <c r="CI73" s="78"/>
      <c r="CJ73" s="78"/>
      <c r="CK73" s="78"/>
      <c r="CM73" s="345"/>
      <c r="CN73" s="78"/>
      <c r="CO73" s="78"/>
      <c r="CP73" s="78"/>
      <c r="CQ73" s="78"/>
      <c r="CR73" s="78"/>
      <c r="CT73" s="345"/>
      <c r="CU73" s="78"/>
      <c r="CV73" s="78"/>
      <c r="CW73" s="78"/>
      <c r="CX73" s="78"/>
      <c r="CY73" s="78"/>
      <c r="DA73" s="345"/>
      <c r="DB73" s="78"/>
      <c r="DC73" s="78"/>
      <c r="DD73" s="78"/>
      <c r="DE73" s="78"/>
      <c r="DF73" s="78"/>
      <c r="DH73" s="345"/>
      <c r="DI73" s="78"/>
      <c r="DJ73" s="78"/>
      <c r="DK73" s="78"/>
      <c r="DL73" s="78"/>
      <c r="DM73" s="78"/>
      <c r="DO73" s="345"/>
      <c r="DP73" s="78"/>
      <c r="DQ73" s="78"/>
      <c r="DR73" s="78"/>
      <c r="DS73" s="78"/>
      <c r="DT73" s="78"/>
      <c r="DV73" s="345"/>
      <c r="DW73" s="78"/>
      <c r="DX73" s="78"/>
      <c r="DY73" s="78"/>
      <c r="DZ73" s="78"/>
      <c r="EA73" s="78"/>
      <c r="EC73" s="345"/>
      <c r="ED73" s="78"/>
      <c r="EE73" s="78"/>
      <c r="EF73" s="78"/>
      <c r="EG73" s="78"/>
      <c r="EH73" s="78"/>
      <c r="EJ73" s="345"/>
      <c r="EK73" s="78"/>
      <c r="EL73" s="78"/>
      <c r="EM73" s="78"/>
      <c r="EN73" s="78"/>
      <c r="EO73" s="78"/>
      <c r="EQ73" s="345"/>
      <c r="ER73" s="78"/>
      <c r="ES73" s="78"/>
      <c r="ET73" s="78"/>
      <c r="EU73" s="78"/>
      <c r="EV73" s="78"/>
      <c r="EX73" s="345"/>
      <c r="EY73" s="78"/>
      <c r="EZ73" s="78"/>
      <c r="FA73" s="78"/>
      <c r="FB73" s="78"/>
      <c r="FC73" s="78"/>
      <c r="FE73" s="345"/>
      <c r="FF73" s="78"/>
      <c r="FG73" s="78"/>
      <c r="FH73" s="78"/>
      <c r="FI73" s="78"/>
      <c r="FJ73" s="78"/>
      <c r="FL73" s="345"/>
      <c r="FM73" s="78"/>
      <c r="FN73" s="78"/>
      <c r="FO73" s="78"/>
      <c r="FP73" s="78"/>
      <c r="FQ73" s="78"/>
      <c r="FS73" s="345"/>
      <c r="FT73" s="78"/>
      <c r="FU73" s="78"/>
      <c r="FV73" s="78"/>
      <c r="FW73" s="78"/>
      <c r="FX73" s="78"/>
      <c r="FZ73" s="345"/>
      <c r="GA73" s="78"/>
      <c r="GB73" s="78"/>
      <c r="GC73" s="78"/>
      <c r="GD73" s="78"/>
      <c r="GE73" s="78"/>
      <c r="GG73" s="345"/>
      <c r="GH73" s="78"/>
      <c r="GI73" s="78"/>
      <c r="GJ73" s="78"/>
      <c r="GK73" s="78"/>
      <c r="GL73" s="78"/>
      <c r="GN73" s="345"/>
      <c r="GO73" s="78"/>
      <c r="GP73" s="78"/>
      <c r="GQ73" s="78"/>
      <c r="GR73" s="78"/>
      <c r="GS73" s="78"/>
      <c r="GU73" s="345"/>
      <c r="GV73" s="78"/>
      <c r="GW73" s="78"/>
      <c r="GX73" s="78"/>
      <c r="GY73" s="78"/>
      <c r="GZ73" s="78"/>
    </row>
    <row r="74" spans="1:208" ht="14.25" thickBot="1" x14ac:dyDescent="0.45">
      <c r="A74" s="431"/>
      <c r="B74" s="432" t="s">
        <v>118</v>
      </c>
      <c r="C74" s="433"/>
      <c r="D74" s="433"/>
      <c r="E74" s="433"/>
      <c r="F74" s="433"/>
      <c r="G74" s="433"/>
      <c r="H74" s="433"/>
      <c r="I74" s="433"/>
      <c r="J74" s="433"/>
      <c r="K74" s="433"/>
      <c r="L74" s="433"/>
      <c r="M74" s="433"/>
      <c r="N74" s="433"/>
      <c r="O74" s="433"/>
      <c r="P74" s="433"/>
      <c r="Q74" s="433"/>
      <c r="R74" s="433"/>
      <c r="S74" s="433"/>
      <c r="T74" s="433"/>
      <c r="U74" s="433"/>
      <c r="V74" s="433"/>
      <c r="W74" s="433"/>
      <c r="X74" s="433"/>
      <c r="Y74" s="433"/>
      <c r="Z74" s="433"/>
      <c r="AA74" s="433"/>
      <c r="AB74" s="433"/>
      <c r="AC74" s="433"/>
      <c r="AD74" s="433"/>
      <c r="AE74" s="433"/>
      <c r="AF74" s="433"/>
      <c r="AG74" s="433"/>
      <c r="AH74" s="433"/>
      <c r="AI74" s="433"/>
      <c r="AJ74" s="433"/>
      <c r="AK74" s="433"/>
      <c r="AL74" s="433"/>
      <c r="AM74" s="433"/>
      <c r="AN74" s="433"/>
      <c r="AP74" s="432" t="s">
        <v>118</v>
      </c>
      <c r="AQ74" s="433"/>
      <c r="AR74" s="433"/>
      <c r="AS74" s="433"/>
      <c r="AT74" s="433"/>
      <c r="AU74" s="433"/>
      <c r="AW74" s="432" t="s">
        <v>118</v>
      </c>
      <c r="AX74" s="433"/>
      <c r="AY74" s="433"/>
      <c r="AZ74" s="433"/>
      <c r="BA74" s="433"/>
      <c r="BB74" s="433"/>
      <c r="BD74" s="432" t="s">
        <v>118</v>
      </c>
      <c r="BE74" s="433"/>
      <c r="BF74" s="433"/>
      <c r="BG74" s="433"/>
      <c r="BH74" s="433"/>
      <c r="BI74" s="433"/>
      <c r="BK74" s="432" t="s">
        <v>118</v>
      </c>
      <c r="BL74" s="433"/>
      <c r="BM74" s="433"/>
      <c r="BN74" s="433"/>
      <c r="BO74" s="433"/>
      <c r="BP74" s="433"/>
      <c r="BR74" s="432" t="s">
        <v>118</v>
      </c>
      <c r="BS74" s="433"/>
      <c r="BT74" s="433"/>
      <c r="BU74" s="433"/>
      <c r="BV74" s="433"/>
      <c r="BW74" s="433"/>
      <c r="BY74" s="432" t="s">
        <v>118</v>
      </c>
      <c r="BZ74" s="433"/>
      <c r="CA74" s="433"/>
      <c r="CB74" s="433"/>
      <c r="CC74" s="433"/>
      <c r="CD74" s="433"/>
      <c r="CF74" s="432" t="s">
        <v>118</v>
      </c>
      <c r="CG74" s="433"/>
      <c r="CH74" s="433"/>
      <c r="CI74" s="433"/>
      <c r="CJ74" s="433"/>
      <c r="CK74" s="433"/>
      <c r="CM74" s="432" t="s">
        <v>118</v>
      </c>
      <c r="CN74" s="433"/>
      <c r="CO74" s="433"/>
      <c r="CP74" s="433"/>
      <c r="CQ74" s="433"/>
      <c r="CR74" s="433"/>
      <c r="CT74" s="432" t="s">
        <v>118</v>
      </c>
      <c r="CU74" s="433"/>
      <c r="CV74" s="433"/>
      <c r="CW74" s="433"/>
      <c r="CX74" s="433"/>
      <c r="CY74" s="433"/>
      <c r="DA74" s="432" t="s">
        <v>118</v>
      </c>
      <c r="DB74" s="433"/>
      <c r="DC74" s="433"/>
      <c r="DD74" s="433"/>
      <c r="DE74" s="433"/>
      <c r="DF74" s="433"/>
      <c r="DH74" s="432" t="s">
        <v>118</v>
      </c>
      <c r="DI74" s="433"/>
      <c r="DJ74" s="433"/>
      <c r="DK74" s="433"/>
      <c r="DL74" s="433"/>
      <c r="DM74" s="433"/>
      <c r="DO74" s="432" t="s">
        <v>118</v>
      </c>
      <c r="DP74" s="433"/>
      <c r="DQ74" s="433"/>
      <c r="DR74" s="433"/>
      <c r="DS74" s="433"/>
      <c r="DT74" s="433"/>
      <c r="DV74" s="432" t="s">
        <v>118</v>
      </c>
      <c r="DW74" s="433"/>
      <c r="DX74" s="433"/>
      <c r="DY74" s="433"/>
      <c r="DZ74" s="433"/>
      <c r="EA74" s="433"/>
      <c r="EC74" s="432" t="s">
        <v>118</v>
      </c>
      <c r="ED74" s="433"/>
      <c r="EE74" s="433"/>
      <c r="EF74" s="433"/>
      <c r="EG74" s="433"/>
      <c r="EH74" s="433"/>
      <c r="EJ74" s="432" t="s">
        <v>118</v>
      </c>
      <c r="EK74" s="433"/>
      <c r="EL74" s="433"/>
      <c r="EM74" s="433"/>
      <c r="EN74" s="433"/>
      <c r="EO74" s="433"/>
      <c r="EQ74" s="432" t="s">
        <v>118</v>
      </c>
      <c r="ER74" s="433"/>
      <c r="ES74" s="433"/>
      <c r="ET74" s="433"/>
      <c r="EU74" s="433"/>
      <c r="EV74" s="433"/>
      <c r="EX74" s="432" t="s">
        <v>118</v>
      </c>
      <c r="EY74" s="433"/>
      <c r="EZ74" s="433"/>
      <c r="FA74" s="433"/>
      <c r="FB74" s="433"/>
      <c r="FC74" s="433"/>
      <c r="FE74" s="432" t="s">
        <v>118</v>
      </c>
      <c r="FF74" s="433"/>
      <c r="FG74" s="433"/>
      <c r="FH74" s="433"/>
      <c r="FI74" s="433"/>
      <c r="FJ74" s="433"/>
      <c r="FL74" s="432" t="s">
        <v>118</v>
      </c>
      <c r="FM74" s="433"/>
      <c r="FN74" s="433"/>
      <c r="FO74" s="433"/>
      <c r="FP74" s="433"/>
      <c r="FQ74" s="433"/>
      <c r="FS74" s="432" t="s">
        <v>118</v>
      </c>
      <c r="FT74" s="433"/>
      <c r="FU74" s="433"/>
      <c r="FV74" s="433"/>
      <c r="FW74" s="433"/>
      <c r="FX74" s="433"/>
      <c r="FZ74" s="432" t="s">
        <v>118</v>
      </c>
      <c r="GA74" s="433"/>
      <c r="GB74" s="433"/>
      <c r="GC74" s="433"/>
      <c r="GD74" s="433"/>
      <c r="GE74" s="433"/>
      <c r="GG74" s="432" t="s">
        <v>118</v>
      </c>
      <c r="GH74" s="433"/>
      <c r="GI74" s="433"/>
      <c r="GJ74" s="433"/>
      <c r="GK74" s="433"/>
      <c r="GL74" s="433"/>
      <c r="GN74" s="432" t="s">
        <v>118</v>
      </c>
      <c r="GO74" s="433"/>
      <c r="GP74" s="433"/>
      <c r="GQ74" s="433"/>
      <c r="GR74" s="433"/>
      <c r="GS74" s="433"/>
      <c r="GU74" s="432" t="s">
        <v>118</v>
      </c>
      <c r="GV74" s="433"/>
      <c r="GW74" s="433"/>
      <c r="GX74" s="433"/>
      <c r="GY74" s="433"/>
      <c r="GZ74" s="433"/>
    </row>
    <row r="75" spans="1:208" x14ac:dyDescent="0.4">
      <c r="A75" s="366"/>
      <c r="B75" s="434"/>
      <c r="C75" s="435"/>
      <c r="D75" s="435"/>
      <c r="E75" s="435"/>
      <c r="F75" s="435"/>
      <c r="G75" s="435"/>
      <c r="H75" s="435"/>
      <c r="I75" s="435"/>
      <c r="J75" s="435"/>
      <c r="K75" s="435"/>
      <c r="L75" s="435"/>
      <c r="M75" s="435"/>
      <c r="N75" s="435"/>
      <c r="O75" s="435"/>
      <c r="P75" s="435"/>
      <c r="Q75" s="435"/>
      <c r="R75" s="435"/>
      <c r="S75" s="435"/>
      <c r="T75" s="435"/>
      <c r="U75" s="435"/>
      <c r="V75" s="435"/>
      <c r="W75" s="435"/>
      <c r="X75" s="435"/>
      <c r="Y75" s="435"/>
      <c r="Z75" s="435"/>
      <c r="AA75" s="435"/>
      <c r="AB75" s="435"/>
      <c r="AC75" s="435"/>
      <c r="AD75" s="435"/>
      <c r="AE75" s="435"/>
      <c r="AF75" s="435"/>
      <c r="AG75" s="435"/>
      <c r="AH75" s="435"/>
      <c r="AI75" s="435"/>
      <c r="AJ75" s="435"/>
      <c r="AK75" s="435"/>
      <c r="AL75" s="435"/>
      <c r="AM75" s="435"/>
      <c r="AN75" s="435"/>
      <c r="AP75" s="434"/>
      <c r="AQ75" s="435"/>
      <c r="AR75" s="435"/>
      <c r="AS75" s="435"/>
      <c r="AT75" s="435"/>
      <c r="AU75" s="435"/>
      <c r="AW75" s="434"/>
      <c r="AX75" s="435"/>
      <c r="AY75" s="435"/>
      <c r="AZ75" s="435"/>
      <c r="BA75" s="435"/>
      <c r="BB75" s="435"/>
      <c r="BD75" s="434"/>
      <c r="BE75" s="435"/>
      <c r="BF75" s="435"/>
      <c r="BG75" s="435"/>
      <c r="BH75" s="435"/>
      <c r="BI75" s="435"/>
      <c r="BK75" s="434"/>
      <c r="BL75" s="435"/>
      <c r="BM75" s="435"/>
      <c r="BN75" s="435"/>
      <c r="BO75" s="435"/>
      <c r="BP75" s="435"/>
      <c r="BR75" s="434"/>
      <c r="BS75" s="435"/>
      <c r="BT75" s="435"/>
      <c r="BU75" s="435"/>
      <c r="BV75" s="435"/>
      <c r="BW75" s="435"/>
      <c r="BY75" s="434"/>
      <c r="BZ75" s="435"/>
      <c r="CA75" s="435"/>
      <c r="CB75" s="435"/>
      <c r="CC75" s="435"/>
      <c r="CD75" s="435"/>
      <c r="CF75" s="434"/>
      <c r="CG75" s="435"/>
      <c r="CH75" s="435"/>
      <c r="CI75" s="435"/>
      <c r="CJ75" s="435"/>
      <c r="CK75" s="435"/>
      <c r="CM75" s="434"/>
      <c r="CN75" s="435"/>
      <c r="CO75" s="435"/>
      <c r="CP75" s="435"/>
      <c r="CQ75" s="435"/>
      <c r="CR75" s="435"/>
      <c r="CT75" s="434"/>
      <c r="CU75" s="435"/>
      <c r="CV75" s="435"/>
      <c r="CW75" s="435"/>
      <c r="CX75" s="435"/>
      <c r="CY75" s="435"/>
      <c r="DA75" s="434"/>
      <c r="DB75" s="435"/>
      <c r="DC75" s="435"/>
      <c r="DD75" s="435"/>
      <c r="DE75" s="435"/>
      <c r="DF75" s="435"/>
      <c r="DH75" s="434"/>
      <c r="DI75" s="435"/>
      <c r="DJ75" s="435"/>
      <c r="DK75" s="435"/>
      <c r="DL75" s="435"/>
      <c r="DM75" s="435"/>
      <c r="DO75" s="434"/>
      <c r="DP75" s="435"/>
      <c r="DQ75" s="435"/>
      <c r="DR75" s="435"/>
      <c r="DS75" s="435"/>
      <c r="DT75" s="435"/>
      <c r="DV75" s="434"/>
      <c r="DW75" s="435"/>
      <c r="DX75" s="435"/>
      <c r="DY75" s="435"/>
      <c r="DZ75" s="435"/>
      <c r="EA75" s="435"/>
      <c r="EC75" s="434"/>
      <c r="ED75" s="435"/>
      <c r="EE75" s="435"/>
      <c r="EF75" s="435"/>
      <c r="EG75" s="435"/>
      <c r="EH75" s="435"/>
      <c r="EJ75" s="434"/>
      <c r="EK75" s="435"/>
      <c r="EL75" s="435"/>
      <c r="EM75" s="435"/>
      <c r="EN75" s="435"/>
      <c r="EO75" s="435"/>
      <c r="EQ75" s="434"/>
      <c r="ER75" s="435"/>
      <c r="ES75" s="435"/>
      <c r="ET75" s="435"/>
      <c r="EU75" s="435"/>
      <c r="EV75" s="435"/>
      <c r="EX75" s="434"/>
      <c r="EY75" s="435"/>
      <c r="EZ75" s="435"/>
      <c r="FA75" s="435"/>
      <c r="FB75" s="435"/>
      <c r="FC75" s="435"/>
      <c r="FE75" s="434"/>
      <c r="FF75" s="435"/>
      <c r="FG75" s="435"/>
      <c r="FH75" s="435"/>
      <c r="FI75" s="435"/>
      <c r="FJ75" s="435"/>
      <c r="FL75" s="434"/>
      <c r="FM75" s="435"/>
      <c r="FN75" s="435"/>
      <c r="FO75" s="435"/>
      <c r="FP75" s="435"/>
      <c r="FQ75" s="435"/>
      <c r="FS75" s="434"/>
      <c r="FT75" s="435"/>
      <c r="FU75" s="435"/>
      <c r="FV75" s="435"/>
      <c r="FW75" s="435"/>
      <c r="FX75" s="435"/>
      <c r="FZ75" s="434"/>
      <c r="GA75" s="435"/>
      <c r="GB75" s="435"/>
      <c r="GC75" s="435"/>
      <c r="GD75" s="435"/>
      <c r="GE75" s="435"/>
      <c r="GF75" s="758">
        <f>+GE76+1000+600</f>
        <v>3298</v>
      </c>
      <c r="GG75" s="434"/>
      <c r="GH75" s="435"/>
      <c r="GI75" s="435"/>
      <c r="GJ75" s="435"/>
      <c r="GK75" s="435"/>
      <c r="GL75" s="435"/>
      <c r="GN75" s="434"/>
      <c r="GO75" s="435"/>
      <c r="GP75" s="435"/>
      <c r="GQ75" s="435"/>
      <c r="GR75" s="435"/>
      <c r="GS75" s="435"/>
      <c r="GU75" s="434"/>
      <c r="GV75" s="435"/>
      <c r="GW75" s="435"/>
      <c r="GX75" s="435"/>
      <c r="GY75" s="435"/>
      <c r="GZ75" s="435"/>
    </row>
    <row r="76" spans="1:208" x14ac:dyDescent="0.4">
      <c r="A76" s="436"/>
      <c r="B76" s="321" t="s">
        <v>96</v>
      </c>
      <c r="C76" s="322">
        <f>AU76</f>
        <v>43</v>
      </c>
      <c r="D76" s="322">
        <f>BB76</f>
        <v>502</v>
      </c>
      <c r="E76" s="322">
        <f>BI76</f>
        <v>370</v>
      </c>
      <c r="F76" s="322">
        <f>BP76</f>
        <v>1210</v>
      </c>
      <c r="G76" s="322">
        <f>BW76</f>
        <v>667</v>
      </c>
      <c r="H76" s="322">
        <f>CD76</f>
        <v>1449</v>
      </c>
      <c r="I76" s="322">
        <f>CK76</f>
        <v>1322</v>
      </c>
      <c r="J76" s="322">
        <f>CR76</f>
        <v>721</v>
      </c>
      <c r="K76" s="322">
        <f>CY76</f>
        <v>895</v>
      </c>
      <c r="L76" s="322">
        <f>DF76</f>
        <v>919</v>
      </c>
      <c r="M76" s="322">
        <f>DM76</f>
        <v>992</v>
      </c>
      <c r="N76" s="322">
        <f>DT76</f>
        <v>847</v>
      </c>
      <c r="O76" s="322">
        <f>EA76</f>
        <v>1566</v>
      </c>
      <c r="P76" s="322">
        <f>EH76</f>
        <v>3188</v>
      </c>
      <c r="Q76" s="322">
        <f>EO76</f>
        <v>3478</v>
      </c>
      <c r="R76" s="322">
        <f>EV76</f>
        <v>2616</v>
      </c>
      <c r="S76" s="322">
        <f>FC76</f>
        <v>3833</v>
      </c>
      <c r="T76" s="322">
        <f>FJ76</f>
        <v>3765</v>
      </c>
      <c r="U76" s="322">
        <f>FQ76</f>
        <v>3244</v>
      </c>
      <c r="V76" s="319">
        <f>FX76</f>
        <v>2687</v>
      </c>
      <c r="W76" s="319">
        <f>GE76</f>
        <v>1698</v>
      </c>
      <c r="X76" s="319">
        <f>GL76</f>
        <v>3072.0233599218841</v>
      </c>
      <c r="Y76" s="319">
        <f>GS76</f>
        <v>3589.2398062697066</v>
      </c>
      <c r="Z76" s="319">
        <f>GZ76</f>
        <v>3744.8328052375123</v>
      </c>
      <c r="AA76" s="320"/>
      <c r="AB76" s="320"/>
      <c r="AC76" s="320"/>
      <c r="AD76" s="320"/>
      <c r="AE76" s="320"/>
      <c r="AF76" s="320"/>
      <c r="AG76" s="320"/>
      <c r="AH76" s="320"/>
      <c r="AI76" s="320"/>
      <c r="AJ76" s="320"/>
      <c r="AK76" s="320"/>
      <c r="AL76" s="320"/>
      <c r="AM76" s="320"/>
      <c r="AN76" s="320"/>
      <c r="AP76" s="321" t="s">
        <v>96</v>
      </c>
      <c r="AQ76" s="322" t="str">
        <f>+CF!AQ173</f>
        <v>-</v>
      </c>
      <c r="AR76" s="322" t="str">
        <f>+CF!AR173</f>
        <v>-</v>
      </c>
      <c r="AS76" s="322" t="str">
        <f>+CF!AS173</f>
        <v>-</v>
      </c>
      <c r="AT76" s="322" t="str">
        <f>+CF!AT173</f>
        <v>-</v>
      </c>
      <c r="AU76" s="322">
        <f>+CF!AU173</f>
        <v>43</v>
      </c>
      <c r="AW76" s="321" t="s">
        <v>96</v>
      </c>
      <c r="AX76" s="322">
        <f>+CF!AX173</f>
        <v>64</v>
      </c>
      <c r="AY76" s="322">
        <f>+CF!AY173</f>
        <v>107</v>
      </c>
      <c r="AZ76" s="322">
        <f>+CF!AZ173</f>
        <v>149</v>
      </c>
      <c r="BA76" s="322">
        <f>+CF!BA173</f>
        <v>502</v>
      </c>
      <c r="BB76" s="322">
        <f>+CF!BB173</f>
        <v>502</v>
      </c>
      <c r="BD76" s="321" t="s">
        <v>96</v>
      </c>
      <c r="BE76" s="322">
        <f>+CF!BE173</f>
        <v>506</v>
      </c>
      <c r="BF76" s="322">
        <f>+CF!BF173</f>
        <v>736</v>
      </c>
      <c r="BG76" s="322">
        <f>+CF!BG173</f>
        <v>944</v>
      </c>
      <c r="BH76" s="322">
        <f>+CF!BH173</f>
        <v>370</v>
      </c>
      <c r="BI76" s="322">
        <f>+CF!BI173</f>
        <v>370</v>
      </c>
      <c r="BK76" s="321" t="s">
        <v>96</v>
      </c>
      <c r="BL76" s="322">
        <f>+CF!BL173</f>
        <v>503</v>
      </c>
      <c r="BM76" s="322">
        <f>+CF!BM173</f>
        <v>551</v>
      </c>
      <c r="BN76" s="322">
        <f>+CF!BN173</f>
        <v>654</v>
      </c>
      <c r="BO76" s="322">
        <f>+CF!BO173</f>
        <v>1210</v>
      </c>
      <c r="BP76" s="322">
        <f>+CF!BP173</f>
        <v>1210</v>
      </c>
      <c r="BR76" s="321" t="s">
        <v>96</v>
      </c>
      <c r="BS76" s="322">
        <f>+CF!BS173</f>
        <v>1087</v>
      </c>
      <c r="BT76" s="322">
        <f>+CF!BT173</f>
        <v>1143</v>
      </c>
      <c r="BU76" s="322">
        <f>+CF!BU173</f>
        <v>909</v>
      </c>
      <c r="BV76" s="322">
        <f>+CF!BV173</f>
        <v>667</v>
      </c>
      <c r="BW76" s="322">
        <f>+CF!BW173</f>
        <v>667</v>
      </c>
      <c r="BY76" s="321" t="s">
        <v>96</v>
      </c>
      <c r="BZ76" s="322">
        <f>+CF!BZ173</f>
        <v>924</v>
      </c>
      <c r="CA76" s="322">
        <f>+CF!CA173</f>
        <v>1107</v>
      </c>
      <c r="CB76" s="322">
        <f>+CF!CB173</f>
        <v>1273</v>
      </c>
      <c r="CC76" s="322">
        <f>+CF!CC173</f>
        <v>1449</v>
      </c>
      <c r="CD76" s="322">
        <f>+CF!CD173</f>
        <v>1449</v>
      </c>
      <c r="CF76" s="321" t="s">
        <v>96</v>
      </c>
      <c r="CG76" s="322">
        <f>+CF!CG173</f>
        <v>1133</v>
      </c>
      <c r="CH76" s="322">
        <f>+CF!CH173</f>
        <v>1268</v>
      </c>
      <c r="CI76" s="322">
        <f>+CF!CI173</f>
        <v>1366</v>
      </c>
      <c r="CJ76" s="322">
        <f>+CF!CJ173</f>
        <v>1322</v>
      </c>
      <c r="CK76" s="322">
        <f>+CF!CK173</f>
        <v>1322</v>
      </c>
      <c r="CM76" s="321" t="s">
        <v>96</v>
      </c>
      <c r="CN76" s="322">
        <f>+CF!CN173</f>
        <v>1187</v>
      </c>
      <c r="CO76" s="322">
        <f>+CF!CO173</f>
        <v>774</v>
      </c>
      <c r="CP76" s="322">
        <f>+CF!CP173</f>
        <v>674</v>
      </c>
      <c r="CQ76" s="322">
        <f>+CF!CQ173</f>
        <v>721</v>
      </c>
      <c r="CR76" s="322">
        <f>+CF!CR173</f>
        <v>721</v>
      </c>
      <c r="CT76" s="321" t="s">
        <v>96</v>
      </c>
      <c r="CU76" s="322">
        <f>+CF!CU173</f>
        <v>960</v>
      </c>
      <c r="CV76" s="322">
        <f>+CF!CV173</f>
        <v>1091</v>
      </c>
      <c r="CW76" s="322">
        <f>+CF!CW173</f>
        <v>995</v>
      </c>
      <c r="CX76" s="322">
        <f>+CF!CX173</f>
        <v>895</v>
      </c>
      <c r="CY76" s="322">
        <f>+CF!CY173</f>
        <v>895</v>
      </c>
      <c r="DA76" s="321" t="s">
        <v>96</v>
      </c>
      <c r="DB76" s="322">
        <f>+CF!DB173</f>
        <v>801</v>
      </c>
      <c r="DC76" s="322">
        <f>+CF!DC173</f>
        <v>960</v>
      </c>
      <c r="DD76" s="322">
        <f>+CF!DD173</f>
        <v>887</v>
      </c>
      <c r="DE76" s="322">
        <f>+CF!DE173</f>
        <v>919</v>
      </c>
      <c r="DF76" s="322">
        <f>+CF!DF173</f>
        <v>919</v>
      </c>
      <c r="DH76" s="321" t="s">
        <v>96</v>
      </c>
      <c r="DI76" s="322">
        <f>+CF!DI173</f>
        <v>946</v>
      </c>
      <c r="DJ76" s="322">
        <f>+CF!DJ173</f>
        <v>803</v>
      </c>
      <c r="DK76" s="322">
        <f>+CF!DK173</f>
        <v>860</v>
      </c>
      <c r="DL76" s="322">
        <f>+CF!DL173</f>
        <v>992</v>
      </c>
      <c r="DM76" s="322">
        <f>+CF!DM173</f>
        <v>992</v>
      </c>
      <c r="DO76" s="321" t="s">
        <v>96</v>
      </c>
      <c r="DP76" s="322">
        <f>+CF!DP173</f>
        <v>1197</v>
      </c>
      <c r="DQ76" s="322">
        <f>+CF!DQ173</f>
        <v>1160</v>
      </c>
      <c r="DR76" s="322">
        <f>+CF!DR173</f>
        <v>1236</v>
      </c>
      <c r="DS76" s="322">
        <f>+CF!DS173</f>
        <v>847</v>
      </c>
      <c r="DT76" s="322">
        <f>+CF!DT173</f>
        <v>847</v>
      </c>
      <c r="DV76" s="321" t="s">
        <v>96</v>
      </c>
      <c r="DW76" s="322">
        <f>+CF!DW173</f>
        <v>1114</v>
      </c>
      <c r="DX76" s="322">
        <f>+CF!DX173</f>
        <v>938</v>
      </c>
      <c r="DY76" s="322">
        <f>+CF!DY173</f>
        <v>1382</v>
      </c>
      <c r="DZ76" s="322">
        <f>+CF!DZ173</f>
        <v>1566</v>
      </c>
      <c r="EA76" s="322">
        <f>+CF!EA173</f>
        <v>1566</v>
      </c>
      <c r="EC76" s="321" t="s">
        <v>96</v>
      </c>
      <c r="ED76" s="322">
        <f>+CF!ED173</f>
        <v>1581</v>
      </c>
      <c r="EE76" s="322">
        <f>+CF!EE173</f>
        <v>2233</v>
      </c>
      <c r="EF76" s="322">
        <f>+CF!EF173</f>
        <v>2511</v>
      </c>
      <c r="EG76" s="322">
        <f>+CF!EG173</f>
        <v>3188</v>
      </c>
      <c r="EH76" s="322">
        <f>+CF!EH173</f>
        <v>3188</v>
      </c>
      <c r="EJ76" s="321" t="s">
        <v>96</v>
      </c>
      <c r="EK76" s="322">
        <f>+CF!EK173</f>
        <v>3412</v>
      </c>
      <c r="EL76" s="322">
        <f>+CF!EL173</f>
        <v>3497</v>
      </c>
      <c r="EM76" s="322">
        <f>+CF!EM173</f>
        <v>3556</v>
      </c>
      <c r="EN76" s="322">
        <f>+CF!EN173</f>
        <v>3478</v>
      </c>
      <c r="EO76" s="322">
        <f>+CF!EO173</f>
        <v>3478</v>
      </c>
      <c r="EQ76" s="321" t="s">
        <v>96</v>
      </c>
      <c r="ER76" s="322">
        <f>+CF!ER173</f>
        <v>3424</v>
      </c>
      <c r="ES76" s="322">
        <f>+CF!ES173</f>
        <v>3236</v>
      </c>
      <c r="ET76" s="322">
        <f>+CF!ET173</f>
        <v>2633</v>
      </c>
      <c r="EU76" s="322">
        <f>+CF!EU173</f>
        <v>2616</v>
      </c>
      <c r="EV76" s="322">
        <f>+CF!EV173</f>
        <v>2616</v>
      </c>
      <c r="EX76" s="321" t="s">
        <v>96</v>
      </c>
      <c r="EY76" s="322">
        <f>+CF!EY173</f>
        <v>2738</v>
      </c>
      <c r="EZ76" s="322">
        <f>+CF!EZ173</f>
        <v>3102</v>
      </c>
      <c r="FA76" s="322">
        <f>+CF!FA173</f>
        <v>3575</v>
      </c>
      <c r="FB76" s="322">
        <f>+CF!FB173</f>
        <v>3833</v>
      </c>
      <c r="FC76" s="322">
        <f>+CF!FC173</f>
        <v>3833</v>
      </c>
      <c r="FE76" s="321" t="s">
        <v>96</v>
      </c>
      <c r="FF76" s="322">
        <f>+CF!FF173</f>
        <v>3846</v>
      </c>
      <c r="FG76" s="322">
        <f>+CF!FG173</f>
        <v>3690</v>
      </c>
      <c r="FH76" s="322">
        <f>+CF!FH173</f>
        <v>3780</v>
      </c>
      <c r="FI76" s="322">
        <f>+CF!FI173</f>
        <v>3765</v>
      </c>
      <c r="FJ76" s="322">
        <f>+CF!FJ173</f>
        <v>3765</v>
      </c>
      <c r="FL76" s="321" t="s">
        <v>96</v>
      </c>
      <c r="FM76" s="322">
        <f>+CF!FM173</f>
        <v>3639</v>
      </c>
      <c r="FN76" s="322">
        <f>+CF!FN173</f>
        <v>3519</v>
      </c>
      <c r="FO76" s="322">
        <f>+CF!FO173</f>
        <v>3396</v>
      </c>
      <c r="FP76" s="322">
        <f>+CF!FP173</f>
        <v>3244</v>
      </c>
      <c r="FQ76" s="322">
        <f>+CF!FQ173</f>
        <v>3244</v>
      </c>
      <c r="FS76" s="321" t="s">
        <v>96</v>
      </c>
      <c r="FT76" s="322">
        <f>+CF!FT173</f>
        <v>2948</v>
      </c>
      <c r="FU76" s="322">
        <f>+CF!FU173</f>
        <v>2855</v>
      </c>
      <c r="FV76" s="319">
        <f>+CF!FV173</f>
        <v>2924</v>
      </c>
      <c r="FW76" s="322">
        <f>+CF!FW173</f>
        <v>2687</v>
      </c>
      <c r="FX76" s="322">
        <f>+CF!FX173</f>
        <v>2687</v>
      </c>
      <c r="FZ76" s="321" t="s">
        <v>96</v>
      </c>
      <c r="GA76" s="319">
        <f>+CF!GA173</f>
        <v>2703</v>
      </c>
      <c r="GB76" s="322">
        <f>+CF!GB173</f>
        <v>2023</v>
      </c>
      <c r="GC76" s="319">
        <f>+CF!GC173</f>
        <v>1565</v>
      </c>
      <c r="GD76" s="319">
        <f>+CF!GD173</f>
        <v>1698</v>
      </c>
      <c r="GE76" s="319">
        <f>+CF!GE173</f>
        <v>1698</v>
      </c>
      <c r="GF76" s="77">
        <f>+GE76*1.5</f>
        <v>2547</v>
      </c>
      <c r="GG76" s="321" t="s">
        <v>96</v>
      </c>
      <c r="GH76" s="319">
        <f>+CF!GH173</f>
        <v>1787.7150436667444</v>
      </c>
      <c r="GI76" s="319">
        <f>+CF!GI173</f>
        <v>2673.9907776022733</v>
      </c>
      <c r="GJ76" s="319">
        <f>+CF!GJ173</f>
        <v>2964.6421307735436</v>
      </c>
      <c r="GK76" s="319">
        <f>+CF!GK173</f>
        <v>3072.0233599218845</v>
      </c>
      <c r="GL76" s="319">
        <f>+CF!GL173</f>
        <v>3072.0233599218841</v>
      </c>
      <c r="GN76" s="321" t="s">
        <v>96</v>
      </c>
      <c r="GO76" s="319">
        <f>+CF!GO173</f>
        <v>3312.8176253982833</v>
      </c>
      <c r="GP76" s="319">
        <f>+CF!GP173</f>
        <v>3439.8449966852654</v>
      </c>
      <c r="GQ76" s="319">
        <f>+CF!GQ173</f>
        <v>3480.4915980413389</v>
      </c>
      <c r="GR76" s="319">
        <f>+CF!GR173</f>
        <v>3589.2398062697066</v>
      </c>
      <c r="GS76" s="319">
        <f>+CF!GS173</f>
        <v>3589.2398062697066</v>
      </c>
      <c r="GU76" s="321" t="s">
        <v>96</v>
      </c>
      <c r="GV76" s="319">
        <f>+CF!GV173</f>
        <v>3540.2811698071382</v>
      </c>
      <c r="GW76" s="319">
        <f>+CF!GW173</f>
        <v>3610.3165826222084</v>
      </c>
      <c r="GX76" s="319">
        <f>+CF!GX173</f>
        <v>3677.4194478272912</v>
      </c>
      <c r="GY76" s="319">
        <f>+CF!GY173</f>
        <v>3744.8328052375118</v>
      </c>
      <c r="GZ76" s="319">
        <f>+CF!GZ173</f>
        <v>3744.8328052375123</v>
      </c>
    </row>
    <row r="77" spans="1:208" x14ac:dyDescent="0.4">
      <c r="A77" s="437"/>
      <c r="B77" s="321" t="s">
        <v>97</v>
      </c>
      <c r="C77" s="322">
        <f>AU77</f>
        <v>-93</v>
      </c>
      <c r="D77" s="322">
        <f>BB77</f>
        <v>-145</v>
      </c>
      <c r="E77" s="322">
        <f>BI77</f>
        <v>-231</v>
      </c>
      <c r="F77" s="322">
        <f>BP77</f>
        <v>-308</v>
      </c>
      <c r="G77" s="322">
        <f>BW77</f>
        <v>-345</v>
      </c>
      <c r="H77" s="322">
        <f>CD77</f>
        <v>-372</v>
      </c>
      <c r="I77" s="322">
        <f>CK77</f>
        <v>-480</v>
      </c>
      <c r="J77" s="322">
        <f>CR77</f>
        <v>-558</v>
      </c>
      <c r="K77" s="322">
        <f>CY77</f>
        <v>-600</v>
      </c>
      <c r="L77" s="322">
        <f>DF77</f>
        <v>-629</v>
      </c>
      <c r="M77" s="322">
        <f>DM77</f>
        <v>-686</v>
      </c>
      <c r="N77" s="322">
        <f>DT77</f>
        <v>-680</v>
      </c>
      <c r="O77" s="322">
        <f>EA77</f>
        <v>-708</v>
      </c>
      <c r="P77" s="322">
        <f>EH77</f>
        <v>-751</v>
      </c>
      <c r="Q77" s="322">
        <f>EO77</f>
        <v>-763</v>
      </c>
      <c r="R77" s="322">
        <f>EV77</f>
        <v>-797</v>
      </c>
      <c r="S77" s="322">
        <f>FC77</f>
        <v>-839</v>
      </c>
      <c r="T77" s="322">
        <f>FJ77</f>
        <v>-852</v>
      </c>
      <c r="U77" s="322">
        <f>FQ77</f>
        <v>-882</v>
      </c>
      <c r="V77" s="319">
        <f>FX77</f>
        <v>-930</v>
      </c>
      <c r="W77" s="319">
        <f>GE77</f>
        <v>-972</v>
      </c>
      <c r="X77" s="319">
        <f>GL77</f>
        <v>-1098.1538274</v>
      </c>
      <c r="Y77" s="319">
        <f>GS77</f>
        <v>-1057.4288274</v>
      </c>
      <c r="Z77" s="319">
        <f>GZ77</f>
        <v>-1016.0288274</v>
      </c>
      <c r="AA77" s="320"/>
      <c r="AB77" s="320"/>
      <c r="AC77" s="320"/>
      <c r="AD77" s="320"/>
      <c r="AE77" s="320"/>
      <c r="AF77" s="320"/>
      <c r="AG77" s="320"/>
      <c r="AH77" s="320"/>
      <c r="AI77" s="320"/>
      <c r="AJ77" s="320"/>
      <c r="AK77" s="320"/>
      <c r="AL77" s="320"/>
      <c r="AM77" s="320"/>
      <c r="AN77" s="320"/>
      <c r="AP77" s="321" t="s">
        <v>97</v>
      </c>
      <c r="AQ77" s="322" t="str">
        <f>+CF!AQ174</f>
        <v>-</v>
      </c>
      <c r="AR77" s="322" t="str">
        <f>+CF!AR174</f>
        <v>-</v>
      </c>
      <c r="AS77" s="322" t="str">
        <f>+CF!AS174</f>
        <v>-</v>
      </c>
      <c r="AT77" s="322" t="str">
        <f>+CF!AT174</f>
        <v>-</v>
      </c>
      <c r="AU77" s="322">
        <f>+CF!AU174</f>
        <v>-93</v>
      </c>
      <c r="AW77" s="321" t="s">
        <v>97</v>
      </c>
      <c r="AX77" s="322">
        <f>+CF!AX174</f>
        <v>-100</v>
      </c>
      <c r="AY77" s="322">
        <f>+CF!AY174</f>
        <v>-106</v>
      </c>
      <c r="AZ77" s="322">
        <f>+CF!AZ174</f>
        <v>-129</v>
      </c>
      <c r="BA77" s="322">
        <f>+CF!BA174</f>
        <v>-145</v>
      </c>
      <c r="BB77" s="322">
        <f>+CF!BB174</f>
        <v>-145</v>
      </c>
      <c r="BD77" s="321" t="s">
        <v>97</v>
      </c>
      <c r="BE77" s="322">
        <f>+CF!BE174</f>
        <v>-169</v>
      </c>
      <c r="BF77" s="322">
        <f>+CF!BF174</f>
        <v>-194</v>
      </c>
      <c r="BG77" s="322">
        <f>+CF!BG174</f>
        <v>-214</v>
      </c>
      <c r="BH77" s="322">
        <f>+CF!BH174</f>
        <v>-231</v>
      </c>
      <c r="BI77" s="322">
        <f>+CF!BI174</f>
        <v>-231</v>
      </c>
      <c r="BK77" s="321" t="s">
        <v>97</v>
      </c>
      <c r="BL77" s="322">
        <f>+CF!BL174</f>
        <v>-239</v>
      </c>
      <c r="BM77" s="322">
        <f>+CF!BM174</f>
        <v>-259</v>
      </c>
      <c r="BN77" s="322">
        <f>+CF!BN174</f>
        <v>-283</v>
      </c>
      <c r="BO77" s="322">
        <f>+CF!BO174</f>
        <v>-308</v>
      </c>
      <c r="BP77" s="322">
        <f>+CF!BP174</f>
        <v>-308</v>
      </c>
      <c r="BR77" s="321" t="s">
        <v>97</v>
      </c>
      <c r="BS77" s="322">
        <f>+CF!BS174</f>
        <v>-333</v>
      </c>
      <c r="BT77" s="322">
        <f>+CF!BT174</f>
        <v>-350</v>
      </c>
      <c r="BU77" s="322">
        <f>+CF!BU174</f>
        <v>-345</v>
      </c>
      <c r="BV77" s="322">
        <f>+CF!BV174</f>
        <v>-345</v>
      </c>
      <c r="BW77" s="322">
        <f>+CF!BW174</f>
        <v>-345</v>
      </c>
      <c r="BY77" s="321" t="s">
        <v>97</v>
      </c>
      <c r="BZ77" s="322">
        <f>+CF!BZ174</f>
        <v>-352</v>
      </c>
      <c r="CA77" s="322">
        <f>+CF!CA174</f>
        <v>-353</v>
      </c>
      <c r="CB77" s="322">
        <f>+CF!CB174</f>
        <v>-361</v>
      </c>
      <c r="CC77" s="322">
        <f>+CF!CC174</f>
        <v>-372</v>
      </c>
      <c r="CD77" s="322">
        <f>+CF!CD174</f>
        <v>-372</v>
      </c>
      <c r="CF77" s="321" t="s">
        <v>97</v>
      </c>
      <c r="CG77" s="322">
        <f>+CF!CG174</f>
        <v>-375</v>
      </c>
      <c r="CH77" s="322">
        <f>+CF!CH174</f>
        <v>-416</v>
      </c>
      <c r="CI77" s="322">
        <f>+CF!CI174</f>
        <v>-451</v>
      </c>
      <c r="CJ77" s="322">
        <f>+CF!CJ174</f>
        <v>-480</v>
      </c>
      <c r="CK77" s="322">
        <f>+CF!CK174</f>
        <v>-480</v>
      </c>
      <c r="CM77" s="321" t="s">
        <v>97</v>
      </c>
      <c r="CN77" s="322">
        <f>+CF!CN174</f>
        <v>-509</v>
      </c>
      <c r="CO77" s="322">
        <f>+CF!CO174</f>
        <v>-522</v>
      </c>
      <c r="CP77" s="322">
        <f>+CF!CP174</f>
        <v>-541</v>
      </c>
      <c r="CQ77" s="322">
        <f>+CF!CQ174</f>
        <v>-558</v>
      </c>
      <c r="CR77" s="322">
        <f>+CF!CR174</f>
        <v>-558</v>
      </c>
      <c r="CT77" s="321" t="s">
        <v>97</v>
      </c>
      <c r="CU77" s="322">
        <f>+CF!CU174</f>
        <v>-576</v>
      </c>
      <c r="CV77" s="322">
        <f>+CF!CV174</f>
        <v>-584</v>
      </c>
      <c r="CW77" s="322">
        <f>+CF!CW174</f>
        <v>-591</v>
      </c>
      <c r="CX77" s="322">
        <f>+CF!CX174</f>
        <v>-600</v>
      </c>
      <c r="CY77" s="322">
        <f>+CF!CY174</f>
        <v>-600</v>
      </c>
      <c r="DA77" s="321" t="s">
        <v>97</v>
      </c>
      <c r="DB77" s="322">
        <f>+CF!DB174</f>
        <v>-608</v>
      </c>
      <c r="DC77" s="322">
        <f>+CF!DC174</f>
        <v>-615</v>
      </c>
      <c r="DD77" s="322">
        <f>+CF!DD174</f>
        <v>-622</v>
      </c>
      <c r="DE77" s="322">
        <f>+CF!DE174</f>
        <v>-629</v>
      </c>
      <c r="DF77" s="322">
        <f>+CF!DF174</f>
        <v>-629</v>
      </c>
      <c r="DH77" s="321" t="s">
        <v>97</v>
      </c>
      <c r="DI77" s="322">
        <f>+CF!DI174</f>
        <v>-636</v>
      </c>
      <c r="DJ77" s="322">
        <f>+CF!DJ174</f>
        <v>-654</v>
      </c>
      <c r="DK77" s="322">
        <f>+CF!DK174</f>
        <v>-671</v>
      </c>
      <c r="DL77" s="322">
        <f>+CF!DL174</f>
        <v>-686</v>
      </c>
      <c r="DM77" s="322">
        <f>+CF!DM174</f>
        <v>-686</v>
      </c>
      <c r="DO77" s="321" t="s">
        <v>97</v>
      </c>
      <c r="DP77" s="322">
        <f>+CF!DP174</f>
        <v>-701</v>
      </c>
      <c r="DQ77" s="322">
        <f>+CF!DQ174</f>
        <v>-694</v>
      </c>
      <c r="DR77" s="322">
        <f>+CF!DR174</f>
        <v>-687</v>
      </c>
      <c r="DS77" s="322">
        <f>+CF!DS174</f>
        <v>-680</v>
      </c>
      <c r="DT77" s="322">
        <f>+CF!DT174</f>
        <v>-680</v>
      </c>
      <c r="DV77" s="321" t="s">
        <v>97</v>
      </c>
      <c r="DW77" s="322">
        <f>+CF!DW174</f>
        <v>-673</v>
      </c>
      <c r="DX77" s="322">
        <f>+CF!DX174</f>
        <v>-686</v>
      </c>
      <c r="DY77" s="322">
        <f>+CF!DY174</f>
        <v>-697</v>
      </c>
      <c r="DZ77" s="322">
        <f>+CF!DZ174</f>
        <v>-708</v>
      </c>
      <c r="EA77" s="322">
        <f>+CF!EA174</f>
        <v>-708</v>
      </c>
      <c r="EC77" s="321" t="s">
        <v>97</v>
      </c>
      <c r="ED77" s="322">
        <f>+CF!ED174</f>
        <v>-736</v>
      </c>
      <c r="EE77" s="322">
        <f>+CF!EE174</f>
        <v>-742</v>
      </c>
      <c r="EF77" s="322">
        <f>+CF!EF174</f>
        <v>-748</v>
      </c>
      <c r="EG77" s="322">
        <f>+CF!EG174</f>
        <v>-751</v>
      </c>
      <c r="EH77" s="322">
        <f>+CF!EH174</f>
        <v>-751</v>
      </c>
      <c r="EJ77" s="321" t="s">
        <v>97</v>
      </c>
      <c r="EK77" s="322">
        <f>+CF!EK174</f>
        <v>-752</v>
      </c>
      <c r="EL77" s="322">
        <f>+CF!EL174</f>
        <v>-755</v>
      </c>
      <c r="EM77" s="322">
        <f>+CF!EM174</f>
        <v>-758</v>
      </c>
      <c r="EN77" s="322">
        <f>+CF!EN174</f>
        <v>-763</v>
      </c>
      <c r="EO77" s="322">
        <f>+CF!EO174</f>
        <v>-763</v>
      </c>
      <c r="EQ77" s="321" t="s">
        <v>97</v>
      </c>
      <c r="ER77" s="322">
        <f>+CF!ER174</f>
        <v>-769</v>
      </c>
      <c r="ES77" s="322">
        <f>+CF!ES174</f>
        <v>-775</v>
      </c>
      <c r="ET77" s="322">
        <f>+CF!ET174</f>
        <v>-785</v>
      </c>
      <c r="EU77" s="322">
        <f>+CF!EU174</f>
        <v>-797</v>
      </c>
      <c r="EV77" s="322">
        <f>+CF!EV174</f>
        <v>-797</v>
      </c>
      <c r="EX77" s="321" t="s">
        <v>97</v>
      </c>
      <c r="EY77" s="322">
        <f>+CF!EY174</f>
        <v>-809</v>
      </c>
      <c r="EZ77" s="322">
        <f>+CF!EZ174</f>
        <v>-822</v>
      </c>
      <c r="FA77" s="322">
        <f>+CF!FA174</f>
        <v>-831</v>
      </c>
      <c r="FB77" s="322">
        <f>+CF!FB174</f>
        <v>-839</v>
      </c>
      <c r="FC77" s="322">
        <f>+CF!FC174</f>
        <v>-839</v>
      </c>
      <c r="FE77" s="321" t="s">
        <v>97</v>
      </c>
      <c r="FF77" s="322">
        <f>+CF!FF174</f>
        <v>-844</v>
      </c>
      <c r="FG77" s="322">
        <f>+CF!FG174</f>
        <v>-847</v>
      </c>
      <c r="FH77" s="322">
        <f>+CF!FH174</f>
        <v>-851</v>
      </c>
      <c r="FI77" s="322">
        <f>+CF!FI174</f>
        <v>-852</v>
      </c>
      <c r="FJ77" s="322">
        <f>+CF!FJ174</f>
        <v>-852</v>
      </c>
      <c r="FL77" s="321" t="s">
        <v>97</v>
      </c>
      <c r="FM77" s="322">
        <f>+CF!FM174</f>
        <v>-860</v>
      </c>
      <c r="FN77" s="322">
        <f>+CF!FN174</f>
        <v>-867</v>
      </c>
      <c r="FO77" s="322">
        <f>+CF!FO174</f>
        <v>-873</v>
      </c>
      <c r="FP77" s="322">
        <f>+CF!FP174</f>
        <v>-882</v>
      </c>
      <c r="FQ77" s="322">
        <f>+CF!FQ174</f>
        <v>-882</v>
      </c>
      <c r="FS77" s="321" t="s">
        <v>97</v>
      </c>
      <c r="FT77" s="322">
        <f>+CF!FT174</f>
        <v>-891</v>
      </c>
      <c r="FU77" s="322">
        <f>+CF!FU174</f>
        <v>-902</v>
      </c>
      <c r="FV77" s="319">
        <f>+CF!FV174</f>
        <v>-916</v>
      </c>
      <c r="FW77" s="322">
        <f>+CF!FW174</f>
        <v>-930</v>
      </c>
      <c r="FX77" s="322">
        <f>+CF!FX174</f>
        <v>-930</v>
      </c>
      <c r="FZ77" s="321" t="s">
        <v>97</v>
      </c>
      <c r="GA77" s="319">
        <f>+CF!GA174</f>
        <v>-940</v>
      </c>
      <c r="GB77" s="322">
        <f>+CF!GB174</f>
        <v>-950</v>
      </c>
      <c r="GC77" s="319">
        <f>+CF!GC174</f>
        <v>-960</v>
      </c>
      <c r="GD77" s="319">
        <f>+CF!GD174</f>
        <v>-972</v>
      </c>
      <c r="GE77" s="319">
        <f>+CF!GE174</f>
        <v>-972</v>
      </c>
      <c r="GG77" s="321" t="s">
        <v>97</v>
      </c>
      <c r="GH77" s="319">
        <f>+CF!GH174</f>
        <v>-1005.3072068500001</v>
      </c>
      <c r="GI77" s="319">
        <f>+CF!GI174</f>
        <v>-1038.1394137</v>
      </c>
      <c r="GJ77" s="319">
        <f>+CF!GJ174</f>
        <v>-1069.4216205499999</v>
      </c>
      <c r="GK77" s="319">
        <f>+CF!GK174</f>
        <v>-1098.1538274</v>
      </c>
      <c r="GL77" s="319">
        <f>+CF!GL174</f>
        <v>-1098.1538274</v>
      </c>
      <c r="GN77" s="321" t="s">
        <v>97</v>
      </c>
      <c r="GO77" s="319">
        <f>+CF!GO174</f>
        <v>-1088.0288274</v>
      </c>
      <c r="GP77" s="319">
        <f>+CF!GP174</f>
        <v>-1077.8288273999999</v>
      </c>
      <c r="GQ77" s="319">
        <f>+CF!GQ174</f>
        <v>-1067.6288273999999</v>
      </c>
      <c r="GR77" s="319">
        <f>+CF!GR174</f>
        <v>-1057.4288274</v>
      </c>
      <c r="GS77" s="319">
        <f>+CF!GS174</f>
        <v>-1057.4288274</v>
      </c>
      <c r="GU77" s="321" t="s">
        <v>97</v>
      </c>
      <c r="GV77" s="319">
        <f>+CF!GV174</f>
        <v>-1047.1913274000001</v>
      </c>
      <c r="GW77" s="319">
        <f>+CF!GW174</f>
        <v>-1036.8788274000001</v>
      </c>
      <c r="GX77" s="319">
        <f>+CF!GX174</f>
        <v>-1026.4913274</v>
      </c>
      <c r="GY77" s="319">
        <f>+CF!GY174</f>
        <v>-1016.0288274</v>
      </c>
      <c r="GZ77" s="319">
        <f>+CF!GZ174</f>
        <v>-1016.0288274</v>
      </c>
    </row>
    <row r="78" spans="1:208" x14ac:dyDescent="0.4">
      <c r="A78" s="438"/>
      <c r="B78" s="439" t="s">
        <v>98</v>
      </c>
      <c r="C78" s="440">
        <f>AU78</f>
        <v>-50</v>
      </c>
      <c r="D78" s="440">
        <f>BB78</f>
        <v>357</v>
      </c>
      <c r="E78" s="440">
        <f>BI78</f>
        <v>139</v>
      </c>
      <c r="F78" s="440">
        <f>BP78</f>
        <v>902</v>
      </c>
      <c r="G78" s="440">
        <f>BW78</f>
        <v>322</v>
      </c>
      <c r="H78" s="440">
        <f>CD78</f>
        <v>1077</v>
      </c>
      <c r="I78" s="440">
        <f>CK78</f>
        <v>842</v>
      </c>
      <c r="J78" s="440">
        <f>CR78</f>
        <v>163</v>
      </c>
      <c r="K78" s="440">
        <f>CY78</f>
        <v>295</v>
      </c>
      <c r="L78" s="440">
        <f>DF78</f>
        <v>290</v>
      </c>
      <c r="M78" s="440">
        <f>DM78</f>
        <v>306</v>
      </c>
      <c r="N78" s="440">
        <f>DT78</f>
        <v>167</v>
      </c>
      <c r="O78" s="440">
        <f>EA78</f>
        <v>858</v>
      </c>
      <c r="P78" s="440">
        <f>EH78</f>
        <v>2437</v>
      </c>
      <c r="Q78" s="440">
        <f>EO78</f>
        <v>2715</v>
      </c>
      <c r="R78" s="440">
        <f>EV78</f>
        <v>1819</v>
      </c>
      <c r="S78" s="440">
        <f>FC78</f>
        <v>2994</v>
      </c>
      <c r="T78" s="440">
        <f>FJ78</f>
        <v>2913</v>
      </c>
      <c r="U78" s="440">
        <f>FQ78</f>
        <v>2362</v>
      </c>
      <c r="V78" s="493">
        <f>FX78</f>
        <v>1757</v>
      </c>
      <c r="W78" s="493">
        <f>GE78</f>
        <v>726</v>
      </c>
      <c r="X78" s="493">
        <f>GL78</f>
        <v>1973.8695325218841</v>
      </c>
      <c r="Y78" s="493">
        <f>GS78</f>
        <v>2531.8109788697066</v>
      </c>
      <c r="Z78" s="493">
        <f>GZ78</f>
        <v>2728.8039778375123</v>
      </c>
      <c r="AA78" s="441"/>
      <c r="AB78" s="441"/>
      <c r="AC78" s="441"/>
      <c r="AD78" s="441"/>
      <c r="AE78" s="441"/>
      <c r="AF78" s="441"/>
      <c r="AG78" s="441"/>
      <c r="AH78" s="441"/>
      <c r="AI78" s="441"/>
      <c r="AJ78" s="441"/>
      <c r="AK78" s="441"/>
      <c r="AL78" s="441"/>
      <c r="AM78" s="441"/>
      <c r="AN78" s="441"/>
      <c r="AP78" s="439" t="s">
        <v>98</v>
      </c>
      <c r="AQ78" s="440" t="str">
        <f>+CF!AQ175</f>
        <v>-</v>
      </c>
      <c r="AR78" s="440" t="str">
        <f>+CF!AR175</f>
        <v>-</v>
      </c>
      <c r="AS78" s="440" t="str">
        <f>+CF!AS175</f>
        <v>-</v>
      </c>
      <c r="AT78" s="440" t="str">
        <f>+CF!AT175</f>
        <v>-</v>
      </c>
      <c r="AU78" s="440">
        <f>+CF!AU175</f>
        <v>-50</v>
      </c>
      <c r="AW78" s="439" t="s">
        <v>98</v>
      </c>
      <c r="AX78" s="440">
        <f>+CF!AX175</f>
        <v>-36</v>
      </c>
      <c r="AY78" s="440">
        <f>+CF!AY175</f>
        <v>1</v>
      </c>
      <c r="AZ78" s="440">
        <f>+CF!AZ175</f>
        <v>20</v>
      </c>
      <c r="BA78" s="440">
        <f>+CF!BA175</f>
        <v>357</v>
      </c>
      <c r="BB78" s="440">
        <f>+CF!BB175</f>
        <v>357</v>
      </c>
      <c r="BD78" s="439" t="s">
        <v>98</v>
      </c>
      <c r="BE78" s="440">
        <f>+CF!BE175</f>
        <v>337</v>
      </c>
      <c r="BF78" s="440">
        <f>+CF!BF175</f>
        <v>542</v>
      </c>
      <c r="BG78" s="440">
        <f>+CF!BG175</f>
        <v>730</v>
      </c>
      <c r="BH78" s="440">
        <f>+CF!BH175</f>
        <v>139</v>
      </c>
      <c r="BI78" s="440">
        <f>+CF!BI175</f>
        <v>139</v>
      </c>
      <c r="BK78" s="439" t="s">
        <v>98</v>
      </c>
      <c r="BL78" s="440">
        <f>+CF!BL175</f>
        <v>264</v>
      </c>
      <c r="BM78" s="440">
        <f>+CF!BM175</f>
        <v>292</v>
      </c>
      <c r="BN78" s="440">
        <f>+CF!BN175</f>
        <v>371</v>
      </c>
      <c r="BO78" s="440">
        <f>+CF!BO175</f>
        <v>902</v>
      </c>
      <c r="BP78" s="440">
        <f>+CF!BP175</f>
        <v>902</v>
      </c>
      <c r="BR78" s="439" t="s">
        <v>98</v>
      </c>
      <c r="BS78" s="440">
        <f>+CF!BS175</f>
        <v>754</v>
      </c>
      <c r="BT78" s="440">
        <f>+CF!BT175</f>
        <v>793</v>
      </c>
      <c r="BU78" s="440">
        <f>+CF!BU175</f>
        <v>564</v>
      </c>
      <c r="BV78" s="440">
        <f>+CF!BV175</f>
        <v>322</v>
      </c>
      <c r="BW78" s="440">
        <f>+CF!BW175</f>
        <v>322</v>
      </c>
      <c r="BY78" s="439" t="s">
        <v>98</v>
      </c>
      <c r="BZ78" s="440">
        <f>+CF!BZ175</f>
        <v>572</v>
      </c>
      <c r="CA78" s="440">
        <f>+CF!CA175</f>
        <v>754</v>
      </c>
      <c r="CB78" s="440">
        <f>+CF!CB175</f>
        <v>912</v>
      </c>
      <c r="CC78" s="440">
        <f>+CF!CC175</f>
        <v>1077</v>
      </c>
      <c r="CD78" s="440">
        <f>+CF!CD175</f>
        <v>1077</v>
      </c>
      <c r="CF78" s="439" t="s">
        <v>98</v>
      </c>
      <c r="CG78" s="440">
        <f>+CF!CG175</f>
        <v>758</v>
      </c>
      <c r="CH78" s="440">
        <f>+CF!CH175</f>
        <v>852</v>
      </c>
      <c r="CI78" s="440">
        <f>+CF!CI175</f>
        <v>915</v>
      </c>
      <c r="CJ78" s="440">
        <f>+CF!CJ175</f>
        <v>842</v>
      </c>
      <c r="CK78" s="440">
        <f>+CF!CK175</f>
        <v>842</v>
      </c>
      <c r="CM78" s="439" t="s">
        <v>98</v>
      </c>
      <c r="CN78" s="440">
        <f>+CF!CN175</f>
        <v>678</v>
      </c>
      <c r="CO78" s="440">
        <f>+CF!CO175</f>
        <v>252</v>
      </c>
      <c r="CP78" s="440">
        <f>+CF!CP175</f>
        <v>133</v>
      </c>
      <c r="CQ78" s="440">
        <f>+CF!CQ175</f>
        <v>163</v>
      </c>
      <c r="CR78" s="440">
        <f>+CF!CR175</f>
        <v>163</v>
      </c>
      <c r="CT78" s="439" t="s">
        <v>98</v>
      </c>
      <c r="CU78" s="440">
        <f>+CF!CU175</f>
        <v>384</v>
      </c>
      <c r="CV78" s="440">
        <f>+CF!CV175</f>
        <v>507</v>
      </c>
      <c r="CW78" s="440">
        <f>+CF!CW175</f>
        <v>404</v>
      </c>
      <c r="CX78" s="440">
        <f>+CF!CX175</f>
        <v>295</v>
      </c>
      <c r="CY78" s="440">
        <f>+CF!CY175</f>
        <v>295</v>
      </c>
      <c r="DA78" s="439" t="s">
        <v>98</v>
      </c>
      <c r="DB78" s="440">
        <f>+CF!DB175</f>
        <v>193</v>
      </c>
      <c r="DC78" s="440">
        <f>+CF!DC175</f>
        <v>345</v>
      </c>
      <c r="DD78" s="440">
        <f>+CF!DD175</f>
        <v>265</v>
      </c>
      <c r="DE78" s="440">
        <f>+CF!DE175</f>
        <v>290</v>
      </c>
      <c r="DF78" s="440">
        <f>+CF!DF175</f>
        <v>290</v>
      </c>
      <c r="DH78" s="439" t="s">
        <v>98</v>
      </c>
      <c r="DI78" s="440">
        <f>+CF!DI175</f>
        <v>310</v>
      </c>
      <c r="DJ78" s="440">
        <f>+CF!DJ175</f>
        <v>149</v>
      </c>
      <c r="DK78" s="440">
        <f>+CF!DK175</f>
        <v>189</v>
      </c>
      <c r="DL78" s="440">
        <f>+CF!DL175</f>
        <v>306</v>
      </c>
      <c r="DM78" s="440">
        <f>+CF!DM175</f>
        <v>306</v>
      </c>
      <c r="DO78" s="439" t="s">
        <v>98</v>
      </c>
      <c r="DP78" s="440">
        <f>+CF!DP175</f>
        <v>496</v>
      </c>
      <c r="DQ78" s="440">
        <f>+CF!DQ175</f>
        <v>466</v>
      </c>
      <c r="DR78" s="440">
        <f>+CF!DR175</f>
        <v>549</v>
      </c>
      <c r="DS78" s="440">
        <f>+CF!DS175</f>
        <v>167</v>
      </c>
      <c r="DT78" s="440">
        <f>+CF!DT175</f>
        <v>167</v>
      </c>
      <c r="DV78" s="439" t="s">
        <v>98</v>
      </c>
      <c r="DW78" s="440">
        <f>+CF!DW175</f>
        <v>441</v>
      </c>
      <c r="DX78" s="440">
        <f>+CF!DX175</f>
        <v>252</v>
      </c>
      <c r="DY78" s="440">
        <f>+CF!DY175</f>
        <v>685</v>
      </c>
      <c r="DZ78" s="440">
        <f>+CF!DZ175</f>
        <v>858</v>
      </c>
      <c r="EA78" s="440">
        <f>+CF!EA175</f>
        <v>858</v>
      </c>
      <c r="EC78" s="439" t="s">
        <v>98</v>
      </c>
      <c r="ED78" s="440">
        <f>+CF!ED175</f>
        <v>845</v>
      </c>
      <c r="EE78" s="440">
        <f>+CF!EE175</f>
        <v>1491</v>
      </c>
      <c r="EF78" s="440">
        <f>+CF!EF175</f>
        <v>1763</v>
      </c>
      <c r="EG78" s="440">
        <f>+CF!EG175</f>
        <v>2437</v>
      </c>
      <c r="EH78" s="440">
        <f>+CF!EH175</f>
        <v>2437</v>
      </c>
      <c r="EJ78" s="439" t="s">
        <v>98</v>
      </c>
      <c r="EK78" s="440">
        <f>+CF!EK175</f>
        <v>2660</v>
      </c>
      <c r="EL78" s="440">
        <f>+CF!EL175</f>
        <v>2742</v>
      </c>
      <c r="EM78" s="440">
        <f>+CF!EM175</f>
        <v>2798</v>
      </c>
      <c r="EN78" s="440">
        <f>+CF!EN175</f>
        <v>2715</v>
      </c>
      <c r="EO78" s="440">
        <f>+CF!EO175</f>
        <v>2715</v>
      </c>
      <c r="EQ78" s="439" t="s">
        <v>98</v>
      </c>
      <c r="ER78" s="440">
        <f>+CF!ER175</f>
        <v>2655</v>
      </c>
      <c r="ES78" s="440">
        <f>+CF!ES175</f>
        <v>2461</v>
      </c>
      <c r="ET78" s="440">
        <f>+CF!ET175</f>
        <v>1848</v>
      </c>
      <c r="EU78" s="440">
        <f>+CF!EU175</f>
        <v>1819</v>
      </c>
      <c r="EV78" s="440">
        <f>+CF!EV175</f>
        <v>1819</v>
      </c>
      <c r="EX78" s="439" t="s">
        <v>98</v>
      </c>
      <c r="EY78" s="440">
        <f>+CF!EY175</f>
        <v>1929</v>
      </c>
      <c r="EZ78" s="440">
        <f>+CF!EZ175</f>
        <v>2280</v>
      </c>
      <c r="FA78" s="440">
        <f>+CF!FA175</f>
        <v>2744</v>
      </c>
      <c r="FB78" s="440">
        <f>+CF!FB175</f>
        <v>2994</v>
      </c>
      <c r="FC78" s="440">
        <f>+CF!FC175</f>
        <v>2994</v>
      </c>
      <c r="FE78" s="439" t="s">
        <v>98</v>
      </c>
      <c r="FF78" s="440">
        <f>+CF!FF175</f>
        <v>3002</v>
      </c>
      <c r="FG78" s="440">
        <f>+CF!FG175</f>
        <v>2843</v>
      </c>
      <c r="FH78" s="440">
        <f>+CF!FH175</f>
        <v>2929</v>
      </c>
      <c r="FI78" s="440">
        <f>+CF!FI175</f>
        <v>2913</v>
      </c>
      <c r="FJ78" s="440">
        <f>+CF!FJ175</f>
        <v>2913</v>
      </c>
      <c r="FL78" s="439" t="s">
        <v>98</v>
      </c>
      <c r="FM78" s="440">
        <f>+CF!FM175</f>
        <v>2779</v>
      </c>
      <c r="FN78" s="440">
        <f>+CF!FN175</f>
        <v>2652</v>
      </c>
      <c r="FO78" s="440">
        <f>+CF!FO175</f>
        <v>2523</v>
      </c>
      <c r="FP78" s="440">
        <f>+CF!FP175</f>
        <v>2362</v>
      </c>
      <c r="FQ78" s="440">
        <f>+CF!FQ175</f>
        <v>2362</v>
      </c>
      <c r="FS78" s="439" t="s">
        <v>98</v>
      </c>
      <c r="FT78" s="440">
        <f>+CF!FT175</f>
        <v>2057</v>
      </c>
      <c r="FU78" s="440">
        <f>+CF!FU175</f>
        <v>1953</v>
      </c>
      <c r="FV78" s="493">
        <f>+CF!FV175</f>
        <v>2008</v>
      </c>
      <c r="FW78" s="440">
        <f>+CF!FW175</f>
        <v>1757</v>
      </c>
      <c r="FX78" s="440">
        <f>+CF!FX175</f>
        <v>1757</v>
      </c>
      <c r="FZ78" s="439" t="s">
        <v>98</v>
      </c>
      <c r="GA78" s="493">
        <f>+CF!GA175</f>
        <v>1763</v>
      </c>
      <c r="GB78" s="440">
        <f>+CF!GB175</f>
        <v>1073</v>
      </c>
      <c r="GC78" s="493">
        <f>+CF!GC175</f>
        <v>605</v>
      </c>
      <c r="GD78" s="493">
        <f>+CF!GD175</f>
        <v>726</v>
      </c>
      <c r="GE78" s="493">
        <f>+CF!GE175</f>
        <v>726</v>
      </c>
      <c r="GG78" s="439" t="s">
        <v>98</v>
      </c>
      <c r="GH78" s="493">
        <f>+CF!GH175</f>
        <v>782.40783681674429</v>
      </c>
      <c r="GI78" s="493">
        <f>+CF!GI175</f>
        <v>1635.8513639022733</v>
      </c>
      <c r="GJ78" s="493">
        <f>+CF!GJ175</f>
        <v>1895.2205102235437</v>
      </c>
      <c r="GK78" s="493">
        <f>+CF!GK175</f>
        <v>1973.8695325218846</v>
      </c>
      <c r="GL78" s="493">
        <f>+CF!GL175</f>
        <v>1973.8695325218841</v>
      </c>
      <c r="GN78" s="439" t="s">
        <v>98</v>
      </c>
      <c r="GO78" s="493">
        <f>+CF!GO175</f>
        <v>2224.7887979982834</v>
      </c>
      <c r="GP78" s="493">
        <f>+CF!GP175</f>
        <v>2362.0161692852653</v>
      </c>
      <c r="GQ78" s="493">
        <f>+CF!GQ175</f>
        <v>2412.862770641339</v>
      </c>
      <c r="GR78" s="493">
        <f>+CF!GR175</f>
        <v>2531.8109788697066</v>
      </c>
      <c r="GS78" s="493">
        <f>+CF!GS175</f>
        <v>2531.8109788697066</v>
      </c>
      <c r="GU78" s="439" t="s">
        <v>98</v>
      </c>
      <c r="GV78" s="493">
        <f>+CF!GV175</f>
        <v>2493.0898424071383</v>
      </c>
      <c r="GW78" s="493">
        <f>+CF!GW175</f>
        <v>2573.4377552222086</v>
      </c>
      <c r="GX78" s="493">
        <f>+CF!GX175</f>
        <v>2650.9281204272911</v>
      </c>
      <c r="GY78" s="493">
        <f>+CF!GY175</f>
        <v>2728.8039778375119</v>
      </c>
      <c r="GZ78" s="493">
        <f>+CF!GZ175</f>
        <v>2728.8039778375123</v>
      </c>
    </row>
    <row r="79" spans="1:208" x14ac:dyDescent="0.4">
      <c r="A79" s="366"/>
      <c r="B79" s="76"/>
      <c r="V79" s="80"/>
      <c r="W79" s="80"/>
      <c r="X79" s="80"/>
      <c r="Y79" s="80"/>
      <c r="Z79" s="80"/>
      <c r="AA79" s="78"/>
      <c r="AB79" s="78"/>
      <c r="AC79" s="78"/>
      <c r="AD79" s="78"/>
      <c r="AE79" s="78"/>
      <c r="AF79" s="78"/>
      <c r="AG79" s="78"/>
      <c r="AH79" s="78"/>
      <c r="AI79" s="78"/>
      <c r="AJ79" s="78"/>
      <c r="AK79" s="78"/>
      <c r="AL79" s="78"/>
      <c r="AM79" s="78"/>
      <c r="AN79" s="78"/>
      <c r="AP79" s="76"/>
      <c r="AW79" s="76"/>
      <c r="BD79" s="76"/>
      <c r="BK79" s="76"/>
      <c r="BR79" s="76"/>
      <c r="BY79" s="76"/>
      <c r="CF79" s="76"/>
      <c r="CM79" s="76"/>
      <c r="CT79" s="76"/>
      <c r="DA79" s="76"/>
      <c r="DH79" s="76"/>
      <c r="DO79" s="76"/>
      <c r="DV79" s="76"/>
      <c r="EC79" s="76"/>
      <c r="EJ79" s="76"/>
      <c r="EQ79" s="76"/>
      <c r="EX79" s="76"/>
      <c r="FE79" s="76"/>
      <c r="FL79" s="76"/>
      <c r="FS79" s="76"/>
      <c r="FV79" s="80"/>
      <c r="FZ79" s="76"/>
      <c r="GA79" s="80"/>
      <c r="GC79" s="80"/>
      <c r="GD79" s="80"/>
      <c r="GE79" s="80"/>
      <c r="GG79" s="76"/>
      <c r="GH79" s="80"/>
      <c r="GI79" s="80"/>
      <c r="GJ79" s="80"/>
      <c r="GK79" s="80"/>
      <c r="GL79" s="80"/>
      <c r="GN79" s="76"/>
      <c r="GO79" s="80"/>
      <c r="GP79" s="80"/>
      <c r="GQ79" s="80"/>
      <c r="GR79" s="80"/>
      <c r="GS79" s="80"/>
      <c r="GU79" s="76"/>
      <c r="GV79" s="80"/>
      <c r="GW79" s="80"/>
      <c r="GX79" s="80"/>
      <c r="GY79" s="80"/>
      <c r="GZ79" s="80"/>
    </row>
    <row r="80" spans="1:208" x14ac:dyDescent="0.4">
      <c r="A80" s="436"/>
      <c r="B80" s="396" t="s">
        <v>99</v>
      </c>
      <c r="C80" s="397">
        <f>AU80</f>
        <v>-2.1132713440405747E-2</v>
      </c>
      <c r="D80" s="397">
        <f>BB80</f>
        <v>0.119358074222668</v>
      </c>
      <c r="E80" s="397">
        <f>BI80</f>
        <v>4.4126984126984126E-2</v>
      </c>
      <c r="F80" s="397">
        <f>BP80</f>
        <v>0.24510869565217391</v>
      </c>
      <c r="G80" s="397">
        <f>BW80</f>
        <v>0.10128971374646115</v>
      </c>
      <c r="H80" s="397">
        <f>CD80</f>
        <v>0.26605731225296442</v>
      </c>
      <c r="I80" s="397">
        <f>CK80</f>
        <v>0.19162494310423306</v>
      </c>
      <c r="J80" s="397">
        <f>CR80</f>
        <v>3.6093888396811338E-2</v>
      </c>
      <c r="K80" s="397">
        <f>CY80</f>
        <v>6.4005207203297901E-2</v>
      </c>
      <c r="L80" s="397">
        <f>DF80</f>
        <v>6.0873215785054578E-2</v>
      </c>
      <c r="M80" s="397">
        <f>DM80</f>
        <v>6.3856427378964936E-2</v>
      </c>
      <c r="N80" s="397">
        <f>DT80</f>
        <v>3.560767590618337E-2</v>
      </c>
      <c r="O80" s="397">
        <f>EA80</f>
        <v>0.16715371127995324</v>
      </c>
      <c r="P80" s="397">
        <f>EH80</f>
        <v>0.39306451612903226</v>
      </c>
      <c r="Q80" s="397">
        <f>EO80</f>
        <v>0.42999683243585685</v>
      </c>
      <c r="R80" s="397">
        <f>EV80</f>
        <v>0.31662315056570933</v>
      </c>
      <c r="S80" s="397">
        <f>FC80</f>
        <v>0.44921230307576893</v>
      </c>
      <c r="T80" s="397">
        <f>FJ80</f>
        <v>0.39359546007296309</v>
      </c>
      <c r="U80" s="397">
        <f>FQ80</f>
        <v>0.33220815752461325</v>
      </c>
      <c r="V80" s="397">
        <f>FX80</f>
        <v>0.25060619027242903</v>
      </c>
      <c r="W80" s="397">
        <f>GE80</f>
        <v>0.1125232486050837</v>
      </c>
      <c r="X80" s="397">
        <f>GL80</f>
        <v>0.28359597690958438</v>
      </c>
      <c r="Y80" s="397">
        <f>GS80</f>
        <v>0.33401248010242762</v>
      </c>
      <c r="Z80" s="397">
        <f>GZ80</f>
        <v>0.33973098971193449</v>
      </c>
      <c r="AA80" s="398"/>
      <c r="AB80" s="398"/>
      <c r="AC80" s="398"/>
      <c r="AD80" s="398"/>
      <c r="AE80" s="398"/>
      <c r="AF80" s="398"/>
      <c r="AG80" s="398"/>
      <c r="AH80" s="398"/>
      <c r="AI80" s="398"/>
      <c r="AJ80" s="398"/>
      <c r="AK80" s="398"/>
      <c r="AL80" s="398"/>
      <c r="AM80" s="398"/>
      <c r="AN80" s="398"/>
      <c r="AP80" s="396" t="s">
        <v>99</v>
      </c>
      <c r="AQ80" s="397" t="str">
        <f>+CF!AQ177</f>
        <v>-</v>
      </c>
      <c r="AR80" s="397" t="str">
        <f>+CF!AR177</f>
        <v>-</v>
      </c>
      <c r="AS80" s="397" t="str">
        <f>+CF!AS177</f>
        <v>-</v>
      </c>
      <c r="AT80" s="397" t="str">
        <f>+CF!AT177</f>
        <v>-</v>
      </c>
      <c r="AU80" s="397">
        <f>+CF!AU177</f>
        <v>-2.1132713440405747E-2</v>
      </c>
      <c r="AW80" s="396" t="s">
        <v>99</v>
      </c>
      <c r="AX80" s="397">
        <f>+CF!AX177</f>
        <v>-1.5625E-2</v>
      </c>
      <c r="AY80" s="397">
        <f>+CF!AY177</f>
        <v>3.6469730123997083E-4</v>
      </c>
      <c r="AZ80" s="397">
        <f>+CF!AZ177</f>
        <v>6.9108500345542506E-3</v>
      </c>
      <c r="BA80" s="397">
        <f>+CF!BA177</f>
        <v>0.119358074222668</v>
      </c>
      <c r="BB80" s="397">
        <f>+CF!BB177</f>
        <v>0.119358074222668</v>
      </c>
      <c r="BD80" s="396" t="s">
        <v>99</v>
      </c>
      <c r="BE80" s="397">
        <f>+CF!BE177</f>
        <v>0.11841180604356992</v>
      </c>
      <c r="BF80" s="397">
        <f>+CF!BF177</f>
        <v>0.18224613315400134</v>
      </c>
      <c r="BG80" s="397">
        <f>+CF!BG177</f>
        <v>0.23989484061781138</v>
      </c>
      <c r="BH80" s="397">
        <f>+CF!BH177</f>
        <v>4.4126984126984126E-2</v>
      </c>
      <c r="BI80" s="397">
        <f>+CF!BI177</f>
        <v>4.4126984126984126E-2</v>
      </c>
      <c r="BK80" s="396" t="s">
        <v>99</v>
      </c>
      <c r="BL80" s="397">
        <f>+CF!BL177</f>
        <v>9.6632503660322111E-2</v>
      </c>
      <c r="BM80" s="397">
        <f>+CF!BM177</f>
        <v>8.5831863609641387E-2</v>
      </c>
      <c r="BN80" s="397">
        <f>+CF!BN177</f>
        <v>0.10337141264976317</v>
      </c>
      <c r="BO80" s="397">
        <f>+CF!BO177</f>
        <v>0.24510869565217391</v>
      </c>
      <c r="BP80" s="397">
        <f>+CF!BP177</f>
        <v>0.24510869565217391</v>
      </c>
      <c r="BR80" s="396" t="s">
        <v>99</v>
      </c>
      <c r="BS80" s="397">
        <f>+CF!BS177</f>
        <v>0.1606990622335891</v>
      </c>
      <c r="BT80" s="397">
        <f>+CF!BT177</f>
        <v>0.23099330032041945</v>
      </c>
      <c r="BU80" s="397">
        <f>+CF!BU177</f>
        <v>0.17153284671532848</v>
      </c>
      <c r="BV80" s="397">
        <f>+CF!BV177</f>
        <v>0.10128971374646115</v>
      </c>
      <c r="BW80" s="397">
        <f>+CF!BW177</f>
        <v>0.10128971374646115</v>
      </c>
      <c r="BY80" s="396" t="s">
        <v>99</v>
      </c>
      <c r="BZ80" s="397">
        <f>+CF!BZ177</f>
        <v>0.19792387543252596</v>
      </c>
      <c r="CA80" s="397">
        <f>+CF!CA177</f>
        <v>0.2143872618709127</v>
      </c>
      <c r="CB80" s="397">
        <f>+CF!CB177</f>
        <v>0.24281150159744408</v>
      </c>
      <c r="CC80" s="397">
        <f>+CF!CC177</f>
        <v>0.26605731225296442</v>
      </c>
      <c r="CD80" s="397">
        <f>+CF!CD177</f>
        <v>0.26605731225296442</v>
      </c>
      <c r="CF80" s="396" t="s">
        <v>99</v>
      </c>
      <c r="CG80" s="397">
        <f>+CF!CG177</f>
        <v>0.20310825294748125</v>
      </c>
      <c r="CH80" s="397">
        <f>+CF!CH177</f>
        <v>0.19595216191352346</v>
      </c>
      <c r="CI80" s="397">
        <f>+CF!CI177</f>
        <v>0.20701357466063347</v>
      </c>
      <c r="CJ80" s="397">
        <f>+CF!CJ177</f>
        <v>0.19162494310423306</v>
      </c>
      <c r="CK80" s="397">
        <f>+CF!CK177</f>
        <v>0.19162494310423306</v>
      </c>
      <c r="CM80" s="396" t="s">
        <v>99</v>
      </c>
      <c r="CN80" s="397">
        <f>+CF!CN177</f>
        <v>0.14868421052631578</v>
      </c>
      <c r="CO80" s="397">
        <f>+CF!CO177</f>
        <v>5.5690607734806628E-2</v>
      </c>
      <c r="CP80" s="397">
        <f>+CF!CP177</f>
        <v>2.9437804338202745E-2</v>
      </c>
      <c r="CQ80" s="397">
        <f>+CF!CQ177</f>
        <v>3.6093888396811338E-2</v>
      </c>
      <c r="CR80" s="397">
        <f>+CF!CR177</f>
        <v>3.6093888396811338E-2</v>
      </c>
      <c r="CT80" s="396" t="s">
        <v>99</v>
      </c>
      <c r="CU80" s="397">
        <f>+CF!CU177</f>
        <v>8.7153881071266454E-2</v>
      </c>
      <c r="CV80" s="397">
        <f>+CF!CV177</f>
        <v>0.11067452521283562</v>
      </c>
      <c r="CW80" s="397">
        <f>+CF!CW177</f>
        <v>8.8017429193899779E-2</v>
      </c>
      <c r="CX80" s="397">
        <f>+CF!CX177</f>
        <v>6.4005207203297901E-2</v>
      </c>
      <c r="CY80" s="397">
        <f>+CF!CY177</f>
        <v>6.4005207203297901E-2</v>
      </c>
      <c r="DA80" s="396" t="s">
        <v>99</v>
      </c>
      <c r="DB80" s="397">
        <f>+CF!DB177</f>
        <v>4.546525323910483E-2</v>
      </c>
      <c r="DC80" s="397">
        <f>+CF!DC177</f>
        <v>7.6142131979695438E-2</v>
      </c>
      <c r="DD80" s="397">
        <f>+CF!DD177</f>
        <v>5.6781658452967648E-2</v>
      </c>
      <c r="DE80" s="397">
        <f>+CF!DE177</f>
        <v>6.0873215785054578E-2</v>
      </c>
      <c r="DF80" s="397">
        <f>+CF!DF177</f>
        <v>6.0873215785054578E-2</v>
      </c>
      <c r="DH80" s="396" t="s">
        <v>99</v>
      </c>
      <c r="DI80" s="397">
        <f>+CF!DI177</f>
        <v>5.8281631885692797E-2</v>
      </c>
      <c r="DJ80" s="397">
        <f>+CF!DJ177</f>
        <v>3.0333876221498371E-2</v>
      </c>
      <c r="DK80" s="397">
        <f>+CF!DK177</f>
        <v>3.8729508196721309E-2</v>
      </c>
      <c r="DL80" s="397">
        <f>+CF!DL177</f>
        <v>6.3856427378964936E-2</v>
      </c>
      <c r="DM80" s="397">
        <f>+CF!DM177</f>
        <v>6.3856427378964936E-2</v>
      </c>
      <c r="DO80" s="396" t="s">
        <v>99</v>
      </c>
      <c r="DP80" s="397">
        <f>+CF!DP177</f>
        <v>9.9378881987577633E-2</v>
      </c>
      <c r="DQ80" s="397">
        <f>+CF!DQ177</f>
        <v>0.10323438192290652</v>
      </c>
      <c r="DR80" s="397">
        <f>+CF!DR177</f>
        <v>0.12362080612474668</v>
      </c>
      <c r="DS80" s="397">
        <f>+CF!DS177</f>
        <v>3.560767590618337E-2</v>
      </c>
      <c r="DT80" s="397">
        <f>+CF!DT177</f>
        <v>3.560767590618337E-2</v>
      </c>
      <c r="DV80" s="396" t="s">
        <v>99</v>
      </c>
      <c r="DW80" s="397">
        <f>+CF!DW177</f>
        <v>9.0554414784394244E-2</v>
      </c>
      <c r="DX80" s="397">
        <f>+CF!DX177</f>
        <v>4.9295774647887321E-2</v>
      </c>
      <c r="DY80" s="397">
        <f>+CF!DY177</f>
        <v>0.13300970873786408</v>
      </c>
      <c r="DZ80" s="397">
        <f>+CF!DZ177</f>
        <v>0.16715371127995324</v>
      </c>
      <c r="EA80" s="397">
        <f>+CF!EA177</f>
        <v>0.16715371127995324</v>
      </c>
      <c r="EC80" s="396" t="s">
        <v>99</v>
      </c>
      <c r="ED80" s="397">
        <f>+CF!ED177</f>
        <v>0.15703400854859692</v>
      </c>
      <c r="EE80" s="397">
        <f>+CF!EE177</f>
        <v>0.27040261153427636</v>
      </c>
      <c r="EF80" s="397">
        <f>+CF!EF177</f>
        <v>0.29675138865510858</v>
      </c>
      <c r="EG80" s="397">
        <f>+CF!EG177</f>
        <v>0.39306451612903226</v>
      </c>
      <c r="EH80" s="397">
        <f>+CF!EH177</f>
        <v>0.39306451612903226</v>
      </c>
      <c r="EJ80" s="396" t="s">
        <v>99</v>
      </c>
      <c r="EK80" s="397">
        <f>+CF!EK177</f>
        <v>0.40364188163884673</v>
      </c>
      <c r="EL80" s="397">
        <f>+CF!EL177</f>
        <v>0.42763568309419836</v>
      </c>
      <c r="EM80" s="397">
        <f>+CF!EM177</f>
        <v>0.43650546021840875</v>
      </c>
      <c r="EN80" s="397">
        <f>+CF!EN177</f>
        <v>0.42999683243585685</v>
      </c>
      <c r="EO80" s="397">
        <f>+CF!EO177</f>
        <v>0.42999683243585685</v>
      </c>
      <c r="EQ80" s="396" t="s">
        <v>99</v>
      </c>
      <c r="ER80" s="397">
        <f>+CF!ER177</f>
        <v>0.39044117647058824</v>
      </c>
      <c r="ES80" s="397">
        <f>+CF!ES177</f>
        <v>0.42307031115695376</v>
      </c>
      <c r="ET80" s="397">
        <f>+CF!ET177</f>
        <v>0.32529484245731383</v>
      </c>
      <c r="EU80" s="397">
        <f>+CF!EU177</f>
        <v>0.31662315056570933</v>
      </c>
      <c r="EV80" s="397">
        <f>+CF!EV177</f>
        <v>0.31662315056570933</v>
      </c>
      <c r="EX80" s="396" t="s">
        <v>99</v>
      </c>
      <c r="EY80" s="397">
        <f>+CF!EY177</f>
        <v>0.37830947244557755</v>
      </c>
      <c r="EZ80" s="397">
        <f>+CF!EZ177</f>
        <v>0.36851462744464197</v>
      </c>
      <c r="FA80" s="397">
        <f>+CF!FA177</f>
        <v>0.42208890939855409</v>
      </c>
      <c r="FB80" s="397">
        <f>+CF!FB177</f>
        <v>0.44921230307576893</v>
      </c>
      <c r="FC80" s="397">
        <f>+CF!FC177</f>
        <v>0.44921230307576893</v>
      </c>
      <c r="FE80" s="396" t="s">
        <v>99</v>
      </c>
      <c r="FF80" s="397">
        <f>+CF!FF177</f>
        <v>0.51625107480653487</v>
      </c>
      <c r="FG80" s="397">
        <f>+CF!FG177</f>
        <v>0.39924167953939055</v>
      </c>
      <c r="FH80" s="397">
        <f>+CF!FH177</f>
        <v>0.40261168384879725</v>
      </c>
      <c r="FI80" s="397">
        <f>+CF!FI177</f>
        <v>0.39359546007296309</v>
      </c>
      <c r="FJ80" s="397">
        <f>+CF!FJ177</f>
        <v>0.39359546007296309</v>
      </c>
      <c r="FL80" s="396" t="s">
        <v>99</v>
      </c>
      <c r="FM80" s="397">
        <f>+CF!FM177</f>
        <v>0.3649376231122784</v>
      </c>
      <c r="FN80" s="397">
        <f>+CF!FN177</f>
        <v>0.35280031927630706</v>
      </c>
      <c r="FO80" s="397">
        <f>+CF!FO177</f>
        <v>0.34896265560165973</v>
      </c>
      <c r="FP80" s="397">
        <f>+CF!FP177</f>
        <v>0.33220815752461325</v>
      </c>
      <c r="FQ80" s="397">
        <f>+CF!FQ177</f>
        <v>0.33220815752461325</v>
      </c>
      <c r="FS80" s="396" t="s">
        <v>99</v>
      </c>
      <c r="FT80" s="397">
        <f>+CF!FT177</f>
        <v>0.29247831650789136</v>
      </c>
      <c r="FU80" s="397">
        <f>+CF!FU177</f>
        <v>0.27872127872127872</v>
      </c>
      <c r="FV80" s="397">
        <f>+CF!FV177</f>
        <v>0.28253834247924581</v>
      </c>
      <c r="FW80" s="397">
        <f>+CF!FW177</f>
        <v>0.25060619027242903</v>
      </c>
      <c r="FX80" s="397">
        <f>+CF!FX177</f>
        <v>0.25060619027242903</v>
      </c>
      <c r="FZ80" s="396" t="s">
        <v>99</v>
      </c>
      <c r="GA80" s="397">
        <f>+CF!GA177</f>
        <v>0.26487379807692307</v>
      </c>
      <c r="GB80" s="397">
        <f>+CF!GB177</f>
        <v>0.16302035855363112</v>
      </c>
      <c r="GC80" s="397">
        <f>+CF!GC177</f>
        <v>9.2762956148420728E-2</v>
      </c>
      <c r="GD80" s="397">
        <f>+CF!GD177</f>
        <v>0.1125232486050837</v>
      </c>
      <c r="GE80" s="397">
        <f>+CF!GE177</f>
        <v>0.1125232486050837</v>
      </c>
      <c r="GG80" s="396" t="s">
        <v>99</v>
      </c>
      <c r="GH80" s="397">
        <f>+CF!GH177</f>
        <v>0.11855289955644711</v>
      </c>
      <c r="GI80" s="397">
        <f>+CF!GI177</f>
        <v>0.2459725372450961</v>
      </c>
      <c r="GJ80" s="397">
        <f>+CF!GJ177</f>
        <v>0.28000699016788072</v>
      </c>
      <c r="GK80" s="397">
        <f>+CF!GK177</f>
        <v>0.28359597690958427</v>
      </c>
      <c r="GL80" s="397">
        <f>+CF!GL177</f>
        <v>0.28359597690958438</v>
      </c>
      <c r="GN80" s="396" t="s">
        <v>99</v>
      </c>
      <c r="GO80" s="397">
        <f>+CF!GO177</f>
        <v>0.31555033767520563</v>
      </c>
      <c r="GP80" s="397">
        <f>+CF!GP177</f>
        <v>0.32552441788843683</v>
      </c>
      <c r="GQ80" s="397">
        <f>+CF!GQ177</f>
        <v>0.325286951696522</v>
      </c>
      <c r="GR80" s="397">
        <f>+CF!GR177</f>
        <v>0.33401248010242762</v>
      </c>
      <c r="GS80" s="397">
        <f>+CF!GS177</f>
        <v>0.33401248010242762</v>
      </c>
      <c r="GU80" s="396" t="s">
        <v>99</v>
      </c>
      <c r="GV80" s="397">
        <f>+CF!GV177</f>
        <v>0.33032294132595302</v>
      </c>
      <c r="GW80" s="397">
        <f>+CF!GW177</f>
        <v>0.32953036126176816</v>
      </c>
      <c r="GX80" s="397">
        <f>+CF!GX177</f>
        <v>0.33497454813503186</v>
      </c>
      <c r="GY80" s="397">
        <f>+CF!GY177</f>
        <v>0.33973098971193449</v>
      </c>
      <c r="GZ80" s="397">
        <f>+CF!GZ177</f>
        <v>0.33973098971193449</v>
      </c>
    </row>
    <row r="81" spans="1:208" x14ac:dyDescent="0.4">
      <c r="A81" s="437"/>
      <c r="B81" s="396" t="s">
        <v>100</v>
      </c>
      <c r="C81" s="397">
        <f>AU81</f>
        <v>-6.5660742170565181E-2</v>
      </c>
      <c r="D81" s="397">
        <f>BB81</f>
        <v>0.29895741740987308</v>
      </c>
      <c r="E81" s="397">
        <f>BI81</f>
        <v>0.1122887517368404</v>
      </c>
      <c r="F81" s="397">
        <f>BP81</f>
        <v>0.62865904655701133</v>
      </c>
      <c r="G81" s="397">
        <f>BW81</f>
        <v>0.29140271493212672</v>
      </c>
      <c r="H81" s="397">
        <f>CD81</f>
        <v>0.6782115869017632</v>
      </c>
      <c r="I81" s="397">
        <f>CK81</f>
        <v>0.46960401561628556</v>
      </c>
      <c r="J81" s="397">
        <f>CR81</f>
        <v>8.9823989066822443E-2</v>
      </c>
      <c r="K81" s="397">
        <f>CY81</f>
        <v>0.15902964959568733</v>
      </c>
      <c r="L81" s="397">
        <f>DF81</f>
        <v>0.15049299429164503</v>
      </c>
      <c r="M81" s="397">
        <f>DM81</f>
        <v>0.15548780487804878</v>
      </c>
      <c r="N81" s="397">
        <f>DT81</f>
        <v>9.360199534792478E-2</v>
      </c>
      <c r="O81" s="397">
        <f>EA81</f>
        <v>0.40915593705293274</v>
      </c>
      <c r="P81" s="397">
        <f>EH81</f>
        <v>0.73647627682079175</v>
      </c>
      <c r="Q81" s="397">
        <f>EO81</f>
        <v>0.81507054938456924</v>
      </c>
      <c r="R81" s="397">
        <f>EV81</f>
        <v>0.6578661844484629</v>
      </c>
      <c r="S81" s="397">
        <f>FC81</f>
        <v>0.85215819037713203</v>
      </c>
      <c r="T81" s="397">
        <f>FJ81</f>
        <v>0.71506490085257202</v>
      </c>
      <c r="U81" s="397">
        <f>FQ81</f>
        <v>0.64394765539803711</v>
      </c>
      <c r="V81" s="397">
        <f>FX81</f>
        <v>0.49465090090090091</v>
      </c>
      <c r="W81" s="397">
        <f>GE81</f>
        <v>0.23566488391408635</v>
      </c>
      <c r="X81" s="397">
        <f>GL81</f>
        <v>0.56901152732925797</v>
      </c>
      <c r="Y81" s="397">
        <f>GS81</f>
        <v>0.65160463601724827</v>
      </c>
      <c r="Z81" s="397">
        <f>GZ81</f>
        <v>0.65526152684769279</v>
      </c>
      <c r="AA81" s="398"/>
      <c r="AB81" s="398"/>
      <c r="AC81" s="398"/>
      <c r="AD81" s="398"/>
      <c r="AE81" s="398"/>
      <c r="AF81" s="398"/>
      <c r="AG81" s="398"/>
      <c r="AH81" s="398"/>
      <c r="AI81" s="398"/>
      <c r="AJ81" s="398"/>
      <c r="AK81" s="398"/>
      <c r="AL81" s="398"/>
      <c r="AM81" s="398"/>
      <c r="AN81" s="398"/>
      <c r="AP81" s="396" t="s">
        <v>100</v>
      </c>
      <c r="AQ81" s="397" t="str">
        <f>+CF!AQ178</f>
        <v>-</v>
      </c>
      <c r="AR81" s="397" t="str">
        <f>+CF!AR178</f>
        <v>-</v>
      </c>
      <c r="AS81" s="397" t="str">
        <f>+CF!AS178</f>
        <v>-</v>
      </c>
      <c r="AT81" s="397" t="str">
        <f>+CF!AT178</f>
        <v>-</v>
      </c>
      <c r="AU81" s="397">
        <f>+CF!AU178</f>
        <v>-6.5660742170565181E-2</v>
      </c>
      <c r="AW81" s="396" t="s">
        <v>100</v>
      </c>
      <c r="AX81" s="397">
        <f>+CF!AX178</f>
        <v>-4.2229233270720909E-2</v>
      </c>
      <c r="AY81" s="397">
        <f>+CF!AY178</f>
        <v>9.5877277085330771E-4</v>
      </c>
      <c r="AZ81" s="397">
        <f>+CF!AZ178</f>
        <v>1.7487103261344759E-2</v>
      </c>
      <c r="BA81" s="397">
        <f>+CF!BA178</f>
        <v>0.29895741740987308</v>
      </c>
      <c r="BB81" s="397">
        <f>+CF!BB178</f>
        <v>0.29895741740987308</v>
      </c>
      <c r="BD81" s="396" t="s">
        <v>100</v>
      </c>
      <c r="BE81" s="397">
        <f>+CF!BE178</f>
        <v>0.28126695321954676</v>
      </c>
      <c r="BF81" s="397">
        <f>+CF!BF178</f>
        <v>0.48171354930453714</v>
      </c>
      <c r="BG81" s="397">
        <f>+CF!BG178</f>
        <v>0.63069679035811477</v>
      </c>
      <c r="BH81" s="397">
        <f>+CF!BH178</f>
        <v>0.1122887517368404</v>
      </c>
      <c r="BI81" s="397">
        <f>+CF!BI178</f>
        <v>0.1122887517368404</v>
      </c>
      <c r="BK81" s="396" t="s">
        <v>100</v>
      </c>
      <c r="BL81" s="397">
        <f>+CF!BL178</f>
        <v>0.20001818347122463</v>
      </c>
      <c r="BM81" s="397">
        <f>+CF!BM178</f>
        <v>0.21418930813919371</v>
      </c>
      <c r="BN81" s="397">
        <f>+CF!BN178</f>
        <v>0.25616593476399585</v>
      </c>
      <c r="BO81" s="397">
        <f>+CF!BO178</f>
        <v>0.62865904655701133</v>
      </c>
      <c r="BP81" s="397">
        <f>+CF!BP178</f>
        <v>0.62865904655701133</v>
      </c>
      <c r="BR81" s="396" t="s">
        <v>100</v>
      </c>
      <c r="BS81" s="397">
        <f>+CF!BS178</f>
        <v>0.55860127426285378</v>
      </c>
      <c r="BT81" s="397">
        <f>+CF!BT178</f>
        <v>0.62816856780735109</v>
      </c>
      <c r="BU81" s="397">
        <f>+CF!BU178</f>
        <v>0.48229861467419188</v>
      </c>
      <c r="BV81" s="397">
        <f>+CF!BV178</f>
        <v>0.29140271493212672</v>
      </c>
      <c r="BW81" s="397">
        <f>+CF!BW178</f>
        <v>0.29140271493212672</v>
      </c>
      <c r="BY81" s="396" t="s">
        <v>100</v>
      </c>
      <c r="BZ81" s="397">
        <f>+CF!BZ178</f>
        <v>0.49183147033533964</v>
      </c>
      <c r="CA81" s="397">
        <f>+CF!CA178</f>
        <v>0.57955418908531897</v>
      </c>
      <c r="CB81" s="397">
        <f>+CF!CB178</f>
        <v>0.62983425414364635</v>
      </c>
      <c r="CC81" s="397">
        <f>+CF!CC178</f>
        <v>0.6782115869017632</v>
      </c>
      <c r="CD81" s="397">
        <f>+CF!CD178</f>
        <v>0.6782115869017632</v>
      </c>
      <c r="CF81" s="396" t="s">
        <v>100</v>
      </c>
      <c r="CG81" s="397">
        <f>+CF!CG178</f>
        <v>0.45145920190589639</v>
      </c>
      <c r="CH81" s="397">
        <f>+CF!CH178</f>
        <v>0.48602395892755279</v>
      </c>
      <c r="CI81" s="397">
        <f>+CF!CI178</f>
        <v>0.51375631667602473</v>
      </c>
      <c r="CJ81" s="397">
        <f>+CF!CJ178</f>
        <v>0.46960401561628556</v>
      </c>
      <c r="CK81" s="397">
        <f>+CF!CK178</f>
        <v>0.46960401561628556</v>
      </c>
      <c r="CM81" s="396" t="s">
        <v>100</v>
      </c>
      <c r="CN81" s="397">
        <f>+CF!CN178</f>
        <v>0.36708175419599348</v>
      </c>
      <c r="CO81" s="397">
        <f>+CF!CO178</f>
        <v>0.13562970936490851</v>
      </c>
      <c r="CP81" s="397">
        <f>+CF!CP178</f>
        <v>7.1930773391022176E-2</v>
      </c>
      <c r="CQ81" s="397">
        <f>+CF!CQ178</f>
        <v>8.9823989066822443E-2</v>
      </c>
      <c r="CR81" s="397">
        <f>+CF!CR178</f>
        <v>8.9823989066822443E-2</v>
      </c>
      <c r="CT81" s="396" t="s">
        <v>100</v>
      </c>
      <c r="CU81" s="397">
        <f>+CF!CU178</f>
        <v>0.21045016605833416</v>
      </c>
      <c r="CV81" s="397">
        <f>+CF!CV178</f>
        <v>0.27559440331365581</v>
      </c>
      <c r="CW81" s="397">
        <f>+CF!CW178</f>
        <v>0.21996450077858723</v>
      </c>
      <c r="CX81" s="397">
        <f>+CF!CX178</f>
        <v>0.15902964959568733</v>
      </c>
      <c r="CY81" s="397">
        <f>+CF!CY178</f>
        <v>0.15902964959568733</v>
      </c>
      <c r="DA81" s="396" t="s">
        <v>100</v>
      </c>
      <c r="DB81" s="397">
        <f>+CF!DB178</f>
        <v>0.10758082497212931</v>
      </c>
      <c r="DC81" s="397">
        <f>+CF!DC178</f>
        <v>0.19113573407202217</v>
      </c>
      <c r="DD81" s="397">
        <f>+CF!DD178</f>
        <v>0.1423200859291085</v>
      </c>
      <c r="DE81" s="397">
        <f>+CF!DE178</f>
        <v>0.15049299429164503</v>
      </c>
      <c r="DF81" s="397">
        <f>+CF!DF178</f>
        <v>0.15049299429164503</v>
      </c>
      <c r="DH81" s="396" t="s">
        <v>100</v>
      </c>
      <c r="DI81" s="397">
        <f>+CF!DI178</f>
        <v>0.15728056823947234</v>
      </c>
      <c r="DJ81" s="397">
        <f>+CF!DJ178</f>
        <v>7.4686716791979954E-2</v>
      </c>
      <c r="DK81" s="397">
        <f>+CF!DK178</f>
        <v>9.4831911690918216E-2</v>
      </c>
      <c r="DL81" s="397">
        <f>+CF!DL178</f>
        <v>0.15548780487804878</v>
      </c>
      <c r="DM81" s="397">
        <f>+CF!DM178</f>
        <v>0.15548780487804878</v>
      </c>
      <c r="DO81" s="396" t="s">
        <v>100</v>
      </c>
      <c r="DP81" s="397">
        <f>+CF!DP178</f>
        <v>0.26354941551540911</v>
      </c>
      <c r="DQ81" s="397">
        <f>+CF!DQ178</f>
        <v>0.26268320180383314</v>
      </c>
      <c r="DR81" s="397">
        <f>+CF!DR178</f>
        <v>0.31881533101045295</v>
      </c>
      <c r="DS81" s="397">
        <f>+CF!DS178</f>
        <v>9.360199534792478E-2</v>
      </c>
      <c r="DT81" s="397">
        <f>+CF!DT178</f>
        <v>9.360199534792478E-2</v>
      </c>
      <c r="DV81" s="396" t="s">
        <v>100</v>
      </c>
      <c r="DW81" s="397">
        <f>+CF!DW178</f>
        <v>0.23233148065221398</v>
      </c>
      <c r="DX81" s="397">
        <f>+CF!DX178</f>
        <v>0.12327862436709634</v>
      </c>
      <c r="DY81" s="397">
        <f>+CF!DY178</f>
        <v>0.33379626245644811</v>
      </c>
      <c r="DZ81" s="397">
        <f>+CF!DZ178</f>
        <v>0.40915593705293274</v>
      </c>
      <c r="EA81" s="397">
        <f>+CF!EA178</f>
        <v>0.40915593705293274</v>
      </c>
      <c r="EC81" s="396" t="s">
        <v>100</v>
      </c>
      <c r="ED81" s="397">
        <f>+CF!ED178</f>
        <v>0.36391042204995694</v>
      </c>
      <c r="EE81" s="397">
        <f>+CF!EE178</f>
        <v>0.57170245398773001</v>
      </c>
      <c r="EF81" s="397">
        <f>+CF!EF178</f>
        <v>0.58012504113195129</v>
      </c>
      <c r="EG81" s="397">
        <f>+CF!EG178</f>
        <v>0.73647627682079175</v>
      </c>
      <c r="EH81" s="397">
        <f>+CF!EH178</f>
        <v>0.73647627682079175</v>
      </c>
      <c r="EJ81" s="396" t="s">
        <v>100</v>
      </c>
      <c r="EK81" s="397">
        <f>+CF!EK178</f>
        <v>0.77146171693735499</v>
      </c>
      <c r="EL81" s="397">
        <f>+CF!EL178</f>
        <v>0.79686137750653885</v>
      </c>
      <c r="EM81" s="397">
        <f>+CF!EM178</f>
        <v>0.82221569203643841</v>
      </c>
      <c r="EN81" s="397">
        <f>+CF!EN178</f>
        <v>0.81507054938456924</v>
      </c>
      <c r="EO81" s="397">
        <f>+CF!EO178</f>
        <v>0.81507054938456924</v>
      </c>
      <c r="EQ81" s="396" t="s">
        <v>100</v>
      </c>
      <c r="ER81" s="397">
        <f>+CF!ER178</f>
        <v>0.81267217630853994</v>
      </c>
      <c r="ES81" s="397">
        <f>+CF!ES178</f>
        <v>0.84979281767955805</v>
      </c>
      <c r="ET81" s="397">
        <f>+CF!ET178</f>
        <v>0.66570605187319887</v>
      </c>
      <c r="EU81" s="397">
        <f>+CF!EU178</f>
        <v>0.6578661844484629</v>
      </c>
      <c r="EV81" s="397">
        <f>+CF!EV178</f>
        <v>0.6578661844484629</v>
      </c>
      <c r="EX81" s="396" t="s">
        <v>100</v>
      </c>
      <c r="EY81" s="397">
        <f>+CF!EY178</f>
        <v>0.71417993335801555</v>
      </c>
      <c r="EZ81" s="397">
        <f>+CF!EZ178</f>
        <v>0.73372478473118208</v>
      </c>
      <c r="FA81" s="397">
        <f>+CF!FA178</f>
        <v>0.82169658202699769</v>
      </c>
      <c r="FB81" s="397">
        <f>+CF!FB178</f>
        <v>0.85215819037713203</v>
      </c>
      <c r="FC81" s="397">
        <f>+CF!FC178</f>
        <v>0.85215819037713203</v>
      </c>
      <c r="FE81" s="396" t="s">
        <v>100</v>
      </c>
      <c r="FF81" s="397">
        <f>+CF!FF178</f>
        <v>0.81877963666241782</v>
      </c>
      <c r="FG81" s="397">
        <f>+CF!FG178</f>
        <v>0.73906427335036806</v>
      </c>
      <c r="FH81" s="397">
        <f>+CF!FH178</f>
        <v>0.73413008925296486</v>
      </c>
      <c r="FI81" s="397">
        <f>+CF!FI178</f>
        <v>0.71506490085257202</v>
      </c>
      <c r="FJ81" s="397">
        <f>+CF!FJ178</f>
        <v>0.71506490085257202</v>
      </c>
      <c r="FL81" s="396" t="s">
        <v>100</v>
      </c>
      <c r="FM81" s="397">
        <f>+CF!FM178</f>
        <v>0.66344278236160681</v>
      </c>
      <c r="FN81" s="397">
        <f>+CF!FN178</f>
        <v>0.64888671397112796</v>
      </c>
      <c r="FO81" s="397">
        <f>+CF!FO178</f>
        <v>0.66324921135646686</v>
      </c>
      <c r="FP81" s="397">
        <f>+CF!FP178</f>
        <v>0.64394765539803711</v>
      </c>
      <c r="FQ81" s="397">
        <f>+CF!FQ178</f>
        <v>0.64394765539803711</v>
      </c>
      <c r="FS81" s="396" t="s">
        <v>100</v>
      </c>
      <c r="FT81" s="397">
        <f>+CF!FT178</f>
        <v>0.57554560716284275</v>
      </c>
      <c r="FU81" s="397">
        <f>+CF!FU178</f>
        <v>0.54967632986208836</v>
      </c>
      <c r="FV81" s="397">
        <f>+CF!FV178</f>
        <v>0.55484940591323573</v>
      </c>
      <c r="FW81" s="397">
        <f>+CF!FW178</f>
        <v>0.49465090090090091</v>
      </c>
      <c r="FX81" s="397">
        <f>+CF!FX178</f>
        <v>0.49465090090090091</v>
      </c>
      <c r="FZ81" s="396" t="s">
        <v>100</v>
      </c>
      <c r="GA81" s="397">
        <f>+CF!GA178</f>
        <v>0.53134418324291743</v>
      </c>
      <c r="GB81" s="397">
        <f>+CF!GB178</f>
        <v>0.33699748743718594</v>
      </c>
      <c r="GC81" s="397">
        <f>+CF!GC178</f>
        <v>0.1929855340595544</v>
      </c>
      <c r="GD81" s="397">
        <f>+CF!GD178</f>
        <v>0.23566488391408635</v>
      </c>
      <c r="GE81" s="397">
        <f>+CF!GE178</f>
        <v>0.23566488391408635</v>
      </c>
      <c r="GG81" s="396" t="s">
        <v>100</v>
      </c>
      <c r="GH81" s="397">
        <f>+CF!GH178</f>
        <v>0.24589710078527419</v>
      </c>
      <c r="GI81" s="397">
        <f>+CF!GI178</f>
        <v>0.50334822721353212</v>
      </c>
      <c r="GJ81" s="397">
        <f>+CF!GJ178</f>
        <v>0.56864055602949115</v>
      </c>
      <c r="GK81" s="397">
        <f>+CF!GK178</f>
        <v>0.56901152732925808</v>
      </c>
      <c r="GL81" s="397">
        <f>+CF!GL178</f>
        <v>0.56901152732925797</v>
      </c>
      <c r="GN81" s="396" t="s">
        <v>100</v>
      </c>
      <c r="GO81" s="397">
        <f>+CF!GO178</f>
        <v>0.62297998286478995</v>
      </c>
      <c r="GP81" s="397">
        <f>+CF!GP178</f>
        <v>0.64203960745169175</v>
      </c>
      <c r="GQ81" s="397">
        <f>+CF!GQ178</f>
        <v>0.63624932501033238</v>
      </c>
      <c r="GR81" s="397">
        <f>+CF!GR178</f>
        <v>0.65160463601724827</v>
      </c>
      <c r="GS81" s="397">
        <f>+CF!GS178</f>
        <v>0.65160463601724827</v>
      </c>
      <c r="GU81" s="396" t="s">
        <v>100</v>
      </c>
      <c r="GV81" s="397">
        <f>+CF!GV178</f>
        <v>0.62944514682547226</v>
      </c>
      <c r="GW81" s="397">
        <f>+CF!GW178</f>
        <v>0.63830521677319629</v>
      </c>
      <c r="GX81" s="397">
        <f>+CF!GX178</f>
        <v>0.64715486486036711</v>
      </c>
      <c r="GY81" s="397">
        <f>+CF!GY178</f>
        <v>0.65526152684769268</v>
      </c>
      <c r="GZ81" s="397">
        <f>+CF!GZ178</f>
        <v>0.65526152684769279</v>
      </c>
    </row>
    <row r="82" spans="1:208" ht="14.25" thickBot="1" x14ac:dyDescent="0.45">
      <c r="A82" s="366"/>
      <c r="B82" s="83"/>
      <c r="C82" s="84"/>
      <c r="V82" s="85"/>
      <c r="W82" s="85"/>
      <c r="X82" s="85"/>
      <c r="Y82" s="85"/>
      <c r="Z82" s="85"/>
      <c r="AA82" s="86"/>
      <c r="AB82" s="86"/>
      <c r="AC82" s="86"/>
      <c r="AD82" s="86"/>
      <c r="AE82" s="86"/>
      <c r="AF82" s="86"/>
      <c r="AG82" s="86"/>
      <c r="AH82" s="86"/>
      <c r="AI82" s="86"/>
      <c r="AJ82" s="86"/>
      <c r="AK82" s="86"/>
      <c r="AL82" s="86"/>
      <c r="AM82" s="86"/>
      <c r="AN82" s="86"/>
      <c r="AP82" s="83"/>
      <c r="AQ82" s="84"/>
      <c r="AR82" s="84"/>
      <c r="AS82" s="84"/>
      <c r="AT82" s="84"/>
      <c r="AU82" s="84"/>
      <c r="AW82" s="83"/>
      <c r="AX82" s="84"/>
      <c r="AY82" s="84"/>
      <c r="AZ82" s="84"/>
      <c r="BA82" s="84"/>
      <c r="BB82" s="84"/>
      <c r="BD82" s="83"/>
      <c r="BE82" s="84"/>
      <c r="BF82" s="84"/>
      <c r="BG82" s="84"/>
      <c r="BH82" s="84"/>
      <c r="BI82" s="84"/>
      <c r="BK82" s="83"/>
      <c r="BL82" s="84"/>
      <c r="BM82" s="84"/>
      <c r="BN82" s="84"/>
      <c r="BO82" s="84"/>
      <c r="BP82" s="84"/>
      <c r="BR82" s="83"/>
      <c r="BS82" s="84"/>
      <c r="BT82" s="84"/>
      <c r="BU82" s="84"/>
      <c r="BV82" s="84"/>
      <c r="BW82" s="84"/>
      <c r="BY82" s="83"/>
      <c r="BZ82" s="84"/>
      <c r="CA82" s="84"/>
      <c r="CB82" s="84"/>
      <c r="CC82" s="84"/>
      <c r="CD82" s="84"/>
      <c r="CF82" s="83"/>
      <c r="CG82" s="84"/>
      <c r="CH82" s="84"/>
      <c r="CI82" s="84"/>
      <c r="CJ82" s="84"/>
      <c r="CK82" s="84"/>
      <c r="CM82" s="83"/>
      <c r="CN82" s="84"/>
      <c r="CO82" s="84"/>
      <c r="CP82" s="84"/>
      <c r="CQ82" s="84"/>
      <c r="CR82" s="84"/>
      <c r="CT82" s="83"/>
      <c r="CU82" s="84"/>
      <c r="CV82" s="84"/>
      <c r="CW82" s="84"/>
      <c r="CX82" s="84"/>
      <c r="CY82" s="84"/>
      <c r="DA82" s="83"/>
      <c r="DB82" s="84"/>
      <c r="DC82" s="84"/>
      <c r="DD82" s="84"/>
      <c r="DE82" s="84"/>
      <c r="DF82" s="84"/>
      <c r="DH82" s="83"/>
      <c r="DI82" s="84"/>
      <c r="DJ82" s="84"/>
      <c r="DK82" s="84"/>
      <c r="DL82" s="84"/>
      <c r="DM82" s="84"/>
      <c r="DO82" s="83"/>
      <c r="DP82" s="84"/>
      <c r="DQ82" s="84"/>
      <c r="DR82" s="84"/>
      <c r="DS82" s="84"/>
      <c r="DT82" s="84"/>
      <c r="DV82" s="83"/>
      <c r="DW82" s="84"/>
      <c r="DX82" s="84"/>
      <c r="DY82" s="84"/>
      <c r="DZ82" s="84"/>
      <c r="EA82" s="84"/>
      <c r="EC82" s="83"/>
      <c r="ED82" s="84"/>
      <c r="EE82" s="84"/>
      <c r="EF82" s="84"/>
      <c r="EG82" s="84"/>
      <c r="EH82" s="84"/>
      <c r="EJ82" s="83"/>
      <c r="EK82" s="84"/>
      <c r="EL82" s="84"/>
      <c r="EM82" s="84"/>
      <c r="EN82" s="84"/>
      <c r="EO82" s="84"/>
      <c r="EQ82" s="83"/>
      <c r="ER82" s="84"/>
      <c r="ES82" s="84"/>
      <c r="ET82" s="84"/>
      <c r="EU82" s="84"/>
      <c r="EV82" s="84"/>
      <c r="EX82" s="83"/>
      <c r="EY82" s="84"/>
      <c r="EZ82" s="84"/>
      <c r="FA82" s="84"/>
      <c r="FB82" s="84"/>
      <c r="FC82" s="84"/>
      <c r="FE82" s="83"/>
      <c r="FF82" s="84"/>
      <c r="FG82" s="84"/>
      <c r="FH82" s="84"/>
      <c r="FI82" s="84"/>
      <c r="FJ82" s="84"/>
      <c r="FL82" s="83"/>
      <c r="FM82" s="84"/>
      <c r="FN82" s="84"/>
      <c r="FO82" s="84"/>
      <c r="FP82" s="84"/>
      <c r="FQ82" s="84"/>
      <c r="FS82" s="83"/>
      <c r="FT82" s="84"/>
      <c r="FU82" s="85"/>
      <c r="FV82" s="85"/>
      <c r="FW82" s="84"/>
      <c r="FX82" s="84"/>
      <c r="FZ82" s="83"/>
      <c r="GA82" s="85"/>
      <c r="GB82" s="85"/>
      <c r="GC82" s="85"/>
      <c r="GD82" s="85"/>
      <c r="GE82" s="85"/>
      <c r="GG82" s="83"/>
      <c r="GH82" s="85"/>
      <c r="GI82" s="85"/>
      <c r="GJ82" s="85"/>
      <c r="GK82" s="85"/>
      <c r="GL82" s="85"/>
      <c r="GN82" s="83"/>
      <c r="GO82" s="85"/>
      <c r="GP82" s="85"/>
      <c r="GQ82" s="85"/>
      <c r="GR82" s="85"/>
      <c r="GS82" s="85"/>
      <c r="GU82" s="83"/>
      <c r="GV82" s="85"/>
      <c r="GW82" s="85"/>
      <c r="GX82" s="85"/>
      <c r="GY82" s="85"/>
      <c r="GZ82" s="85"/>
    </row>
    <row r="83" spans="1:208" ht="14.25" thickBot="1" x14ac:dyDescent="0.45">
      <c r="A83" s="431"/>
      <c r="B83" s="432" t="s">
        <v>81</v>
      </c>
      <c r="C83" s="442"/>
      <c r="D83" s="442"/>
      <c r="E83" s="442"/>
      <c r="F83" s="442"/>
      <c r="G83" s="442"/>
      <c r="H83" s="442"/>
      <c r="I83" s="442"/>
      <c r="J83" s="442"/>
      <c r="K83" s="442"/>
      <c r="L83" s="442"/>
      <c r="M83" s="442"/>
      <c r="N83" s="442"/>
      <c r="O83" s="442"/>
      <c r="P83" s="442"/>
      <c r="Q83" s="442"/>
      <c r="R83" s="442"/>
      <c r="S83" s="442"/>
      <c r="T83" s="442"/>
      <c r="U83" s="442"/>
      <c r="V83" s="495"/>
      <c r="W83" s="495"/>
      <c r="X83" s="495"/>
      <c r="Y83" s="495"/>
      <c r="Z83" s="495"/>
      <c r="AA83" s="433"/>
      <c r="AB83" s="433"/>
      <c r="AC83" s="433"/>
      <c r="AD83" s="433"/>
      <c r="AE83" s="433"/>
      <c r="AF83" s="433"/>
      <c r="AG83" s="433"/>
      <c r="AH83" s="433"/>
      <c r="AI83" s="433"/>
      <c r="AJ83" s="433"/>
      <c r="AK83" s="433"/>
      <c r="AL83" s="433"/>
      <c r="AM83" s="433"/>
      <c r="AN83" s="433"/>
      <c r="AP83" s="432" t="s">
        <v>81</v>
      </c>
      <c r="AQ83" s="442"/>
      <c r="AR83" s="442"/>
      <c r="AS83" s="442"/>
      <c r="AT83" s="442"/>
      <c r="AU83" s="442"/>
      <c r="AW83" s="432" t="s">
        <v>81</v>
      </c>
      <c r="AX83" s="442"/>
      <c r="AY83" s="442"/>
      <c r="AZ83" s="442"/>
      <c r="BA83" s="442"/>
      <c r="BB83" s="442"/>
      <c r="BD83" s="432" t="s">
        <v>81</v>
      </c>
      <c r="BE83" s="442"/>
      <c r="BF83" s="442"/>
      <c r="BG83" s="442"/>
      <c r="BH83" s="442"/>
      <c r="BI83" s="442"/>
      <c r="BK83" s="432" t="s">
        <v>81</v>
      </c>
      <c r="BL83" s="442"/>
      <c r="BM83" s="442"/>
      <c r="BN83" s="442"/>
      <c r="BO83" s="442"/>
      <c r="BP83" s="442"/>
      <c r="BR83" s="432" t="s">
        <v>81</v>
      </c>
      <c r="BS83" s="442"/>
      <c r="BT83" s="442"/>
      <c r="BU83" s="442"/>
      <c r="BV83" s="442"/>
      <c r="BW83" s="442"/>
      <c r="BY83" s="432" t="s">
        <v>81</v>
      </c>
      <c r="BZ83" s="442"/>
      <c r="CA83" s="442"/>
      <c r="CB83" s="442"/>
      <c r="CC83" s="442"/>
      <c r="CD83" s="442"/>
      <c r="CF83" s="432" t="s">
        <v>81</v>
      </c>
      <c r="CG83" s="442"/>
      <c r="CH83" s="442"/>
      <c r="CI83" s="442"/>
      <c r="CJ83" s="442"/>
      <c r="CK83" s="442"/>
      <c r="CM83" s="432" t="s">
        <v>81</v>
      </c>
      <c r="CN83" s="442"/>
      <c r="CO83" s="442"/>
      <c r="CP83" s="442"/>
      <c r="CQ83" s="442"/>
      <c r="CR83" s="442"/>
      <c r="CT83" s="432" t="s">
        <v>81</v>
      </c>
      <c r="CU83" s="442"/>
      <c r="CV83" s="442"/>
      <c r="CW83" s="442"/>
      <c r="CX83" s="442"/>
      <c r="CY83" s="442"/>
      <c r="DA83" s="432" t="s">
        <v>81</v>
      </c>
      <c r="DB83" s="442"/>
      <c r="DC83" s="442"/>
      <c r="DD83" s="442"/>
      <c r="DE83" s="442"/>
      <c r="DF83" s="442"/>
      <c r="DH83" s="432" t="s">
        <v>81</v>
      </c>
      <c r="DI83" s="442"/>
      <c r="DJ83" s="442"/>
      <c r="DK83" s="442"/>
      <c r="DL83" s="442"/>
      <c r="DM83" s="442"/>
      <c r="DO83" s="432" t="s">
        <v>81</v>
      </c>
      <c r="DP83" s="442"/>
      <c r="DQ83" s="442"/>
      <c r="DR83" s="442"/>
      <c r="DS83" s="442"/>
      <c r="DT83" s="442"/>
      <c r="DV83" s="432" t="s">
        <v>81</v>
      </c>
      <c r="DW83" s="442"/>
      <c r="DX83" s="442"/>
      <c r="DY83" s="442"/>
      <c r="DZ83" s="442"/>
      <c r="EA83" s="442"/>
      <c r="EC83" s="432" t="s">
        <v>81</v>
      </c>
      <c r="ED83" s="442"/>
      <c r="EE83" s="442"/>
      <c r="EF83" s="442"/>
      <c r="EG83" s="442"/>
      <c r="EH83" s="442"/>
      <c r="EJ83" s="432" t="s">
        <v>81</v>
      </c>
      <c r="EK83" s="442"/>
      <c r="EL83" s="442"/>
      <c r="EM83" s="442"/>
      <c r="EN83" s="442"/>
      <c r="EO83" s="442"/>
      <c r="EQ83" s="432" t="s">
        <v>81</v>
      </c>
      <c r="ER83" s="442"/>
      <c r="ES83" s="442"/>
      <c r="ET83" s="442"/>
      <c r="EU83" s="442"/>
      <c r="EV83" s="442"/>
      <c r="EX83" s="432" t="s">
        <v>81</v>
      </c>
      <c r="EY83" s="442"/>
      <c r="EZ83" s="442"/>
      <c r="FA83" s="442"/>
      <c r="FB83" s="442"/>
      <c r="FC83" s="442"/>
      <c r="FE83" s="432" t="s">
        <v>81</v>
      </c>
      <c r="FF83" s="442"/>
      <c r="FG83" s="442"/>
      <c r="FH83" s="442"/>
      <c r="FI83" s="442"/>
      <c r="FJ83" s="442"/>
      <c r="FL83" s="432" t="s">
        <v>81</v>
      </c>
      <c r="FM83" s="442"/>
      <c r="FN83" s="442"/>
      <c r="FO83" s="442"/>
      <c r="FP83" s="442"/>
      <c r="FQ83" s="442"/>
      <c r="FS83" s="432" t="s">
        <v>81</v>
      </c>
      <c r="FT83" s="442"/>
      <c r="FU83" s="495"/>
      <c r="FV83" s="495"/>
      <c r="FW83" s="442"/>
      <c r="FX83" s="442"/>
      <c r="FZ83" s="432" t="s">
        <v>81</v>
      </c>
      <c r="GA83" s="495"/>
      <c r="GB83" s="495"/>
      <c r="GC83" s="495"/>
      <c r="GD83" s="495"/>
      <c r="GE83" s="495"/>
      <c r="GG83" s="432" t="s">
        <v>81</v>
      </c>
      <c r="GH83" s="495"/>
      <c r="GI83" s="495"/>
      <c r="GJ83" s="495"/>
      <c r="GK83" s="495"/>
      <c r="GL83" s="495"/>
      <c r="GN83" s="432" t="s">
        <v>81</v>
      </c>
      <c r="GO83" s="495"/>
      <c r="GP83" s="495"/>
      <c r="GQ83" s="495"/>
      <c r="GR83" s="495"/>
      <c r="GS83" s="495"/>
      <c r="GU83" s="432" t="s">
        <v>81</v>
      </c>
      <c r="GV83" s="495"/>
      <c r="GW83" s="495"/>
      <c r="GX83" s="495"/>
      <c r="GY83" s="495"/>
      <c r="GZ83" s="495"/>
    </row>
    <row r="84" spans="1:208" x14ac:dyDescent="0.4">
      <c r="A84" s="366"/>
      <c r="B84" s="76"/>
      <c r="V84" s="80"/>
      <c r="W84" s="80"/>
      <c r="X84" s="80"/>
      <c r="Y84" s="80"/>
      <c r="Z84" s="80"/>
      <c r="AA84" s="78"/>
      <c r="AB84" s="78"/>
      <c r="AC84" s="78"/>
      <c r="AD84" s="78"/>
      <c r="AE84" s="78"/>
      <c r="AF84" s="78"/>
      <c r="AG84" s="78"/>
      <c r="AH84" s="78"/>
      <c r="AI84" s="78"/>
      <c r="AJ84" s="78"/>
      <c r="AK84" s="78"/>
      <c r="AL84" s="78"/>
      <c r="AM84" s="78"/>
      <c r="AN84" s="78"/>
      <c r="AP84" s="76"/>
      <c r="AW84" s="76"/>
      <c r="BD84" s="76"/>
      <c r="BK84" s="76"/>
      <c r="BR84" s="76"/>
      <c r="BY84" s="76"/>
      <c r="CF84" s="76"/>
      <c r="CM84" s="76"/>
      <c r="CT84" s="76"/>
      <c r="DA84" s="76"/>
      <c r="DH84" s="76"/>
      <c r="DO84" s="76"/>
      <c r="DV84" s="76"/>
      <c r="EC84" s="76"/>
      <c r="EJ84" s="76"/>
      <c r="EQ84" s="76"/>
      <c r="EX84" s="76"/>
      <c r="FE84" s="76"/>
      <c r="FL84" s="76"/>
      <c r="FS84" s="76"/>
      <c r="FU84" s="80"/>
      <c r="FV84" s="80"/>
      <c r="FZ84" s="76"/>
      <c r="GA84" s="80"/>
      <c r="GB84" s="80"/>
      <c r="GC84" s="80"/>
      <c r="GD84" s="80"/>
      <c r="GE84" s="80"/>
      <c r="GG84" s="76"/>
      <c r="GH84" s="80"/>
      <c r="GI84" s="80"/>
      <c r="GJ84" s="80"/>
      <c r="GK84" s="80"/>
      <c r="GL84" s="80"/>
      <c r="GN84" s="76"/>
      <c r="GO84" s="80"/>
      <c r="GP84" s="80"/>
      <c r="GQ84" s="80"/>
      <c r="GR84" s="80"/>
      <c r="GS84" s="80"/>
      <c r="GU84" s="76"/>
      <c r="GV84" s="80"/>
      <c r="GW84" s="80"/>
      <c r="GX84" s="80"/>
      <c r="GY84" s="80"/>
      <c r="GZ84" s="80"/>
    </row>
    <row r="85" spans="1:208" x14ac:dyDescent="0.4">
      <c r="A85" s="366"/>
      <c r="B85" s="443" t="s">
        <v>200</v>
      </c>
      <c r="C85" s="444">
        <f>AU85</f>
        <v>833</v>
      </c>
      <c r="D85" s="444">
        <f>BB85</f>
        <v>867</v>
      </c>
      <c r="E85" s="444">
        <f>BI85</f>
        <v>890</v>
      </c>
      <c r="F85" s="444">
        <f>BP85</f>
        <v>914</v>
      </c>
      <c r="G85" s="444">
        <f>BW85</f>
        <v>903</v>
      </c>
      <c r="H85" s="444">
        <f>CD85</f>
        <v>947</v>
      </c>
      <c r="I85" s="444">
        <f>CK85</f>
        <v>976</v>
      </c>
      <c r="J85" s="444">
        <f>CR85</f>
        <v>1059</v>
      </c>
      <c r="K85" s="444">
        <f>CY85</f>
        <v>1104</v>
      </c>
      <c r="L85" s="444">
        <f>DF85</f>
        <v>1151</v>
      </c>
      <c r="M85" s="444">
        <f>DM85</f>
        <v>1208</v>
      </c>
      <c r="N85" s="444">
        <f>DT85</f>
        <v>1301</v>
      </c>
      <c r="O85" s="444">
        <f>EA85</f>
        <v>1315</v>
      </c>
      <c r="P85" s="444">
        <f>EH85</f>
        <v>1331</v>
      </c>
      <c r="Q85" s="444">
        <f>EO85</f>
        <v>1349</v>
      </c>
      <c r="R85" s="444">
        <f>EV85</f>
        <v>1383</v>
      </c>
      <c r="S85" s="444">
        <f>FC85</f>
        <v>1420</v>
      </c>
      <c r="T85" s="444">
        <f>FJ85</f>
        <v>1500</v>
      </c>
      <c r="U85" s="444">
        <f>FQ85</f>
        <v>1611</v>
      </c>
      <c r="V85" s="496">
        <f>FX85</f>
        <v>1658</v>
      </c>
      <c r="W85" s="496">
        <f>GE85</f>
        <v>1680</v>
      </c>
      <c r="X85" s="496">
        <f>GL85</f>
        <v>1682</v>
      </c>
      <c r="Y85" s="496">
        <f>GS85</f>
        <v>1726</v>
      </c>
      <c r="Z85" s="496">
        <f>GZ85</f>
        <v>1782</v>
      </c>
      <c r="AA85" s="445"/>
      <c r="AB85" s="445"/>
      <c r="AC85" s="445"/>
      <c r="AD85" s="445"/>
      <c r="AE85" s="445"/>
      <c r="AF85" s="445"/>
      <c r="AG85" s="445"/>
      <c r="AH85" s="445"/>
      <c r="AI85" s="445"/>
      <c r="AJ85" s="445"/>
      <c r="AK85" s="445"/>
      <c r="AL85" s="445"/>
      <c r="AM85" s="445"/>
      <c r="AN85" s="445"/>
      <c r="AP85" s="443" t="s">
        <v>200</v>
      </c>
      <c r="AQ85" s="444">
        <f>+CF!AQ10</f>
        <v>209</v>
      </c>
      <c r="AR85" s="444">
        <f>+CF!AR10</f>
        <v>209</v>
      </c>
      <c r="AS85" s="444">
        <f>+CF!AS10</f>
        <v>202</v>
      </c>
      <c r="AT85" s="444">
        <f>+CF!AT10</f>
        <v>213</v>
      </c>
      <c r="AU85" s="444">
        <f>+CF!AU10</f>
        <v>833</v>
      </c>
      <c r="AW85" s="443" t="s">
        <v>200</v>
      </c>
      <c r="AX85" s="444">
        <f>+CF!AX10</f>
        <v>212</v>
      </c>
      <c r="AY85" s="444">
        <f>+CF!AY10</f>
        <v>218</v>
      </c>
      <c r="AZ85" s="444">
        <f>+CF!AZ10</f>
        <v>218</v>
      </c>
      <c r="BA85" s="444">
        <f>+CF!BA10</f>
        <v>219</v>
      </c>
      <c r="BB85" s="444">
        <f>+CF!BB10</f>
        <v>867</v>
      </c>
      <c r="BD85" s="443" t="s">
        <v>200</v>
      </c>
      <c r="BE85" s="444">
        <f>+CF!BE10</f>
        <v>225</v>
      </c>
      <c r="BF85" s="444">
        <f>+CF!BF10</f>
        <v>223</v>
      </c>
      <c r="BG85" s="444">
        <f>+CF!BG10</f>
        <v>218</v>
      </c>
      <c r="BH85" s="444">
        <f>+CF!BH10</f>
        <v>224</v>
      </c>
      <c r="BI85" s="444">
        <f>+CF!BI10</f>
        <v>890</v>
      </c>
      <c r="BK85" s="443" t="s">
        <v>200</v>
      </c>
      <c r="BL85" s="444">
        <f>+CF!BL10</f>
        <v>225</v>
      </c>
      <c r="BM85" s="444">
        <f>+CF!BM10</f>
        <v>231</v>
      </c>
      <c r="BN85" s="444">
        <f>+CF!BN10</f>
        <v>230</v>
      </c>
      <c r="BO85" s="444">
        <f>+CF!BO10</f>
        <v>228</v>
      </c>
      <c r="BP85" s="444">
        <f>+CF!BP10</f>
        <v>914</v>
      </c>
      <c r="BR85" s="443" t="s">
        <v>200</v>
      </c>
      <c r="BS85" s="444">
        <f>+CF!BS10</f>
        <v>224</v>
      </c>
      <c r="BT85" s="444">
        <f>+CF!BT10</f>
        <v>227</v>
      </c>
      <c r="BU85" s="444">
        <f>+CF!BU10</f>
        <v>224</v>
      </c>
      <c r="BV85" s="444">
        <f>+CF!BV10</f>
        <v>228</v>
      </c>
      <c r="BW85" s="444">
        <f>+CF!BW10</f>
        <v>903</v>
      </c>
      <c r="BY85" s="443" t="s">
        <v>200</v>
      </c>
      <c r="BZ85" s="444">
        <f>+CF!BZ10</f>
        <v>228</v>
      </c>
      <c r="CA85" s="444">
        <f>+CF!CA10</f>
        <v>230</v>
      </c>
      <c r="CB85" s="444">
        <f>+CF!CB10</f>
        <v>232</v>
      </c>
      <c r="CC85" s="444">
        <f>+CF!CC10</f>
        <v>257</v>
      </c>
      <c r="CD85" s="444">
        <f>+CF!CD10</f>
        <v>947</v>
      </c>
      <c r="CF85" s="443" t="s">
        <v>200</v>
      </c>
      <c r="CG85" s="444">
        <f>+CF!CG10</f>
        <v>243</v>
      </c>
      <c r="CH85" s="444">
        <f>+CF!CH10</f>
        <v>246</v>
      </c>
      <c r="CI85" s="444">
        <f>+CF!CI10</f>
        <v>251</v>
      </c>
      <c r="CJ85" s="444">
        <f>+CF!CJ10</f>
        <v>236</v>
      </c>
      <c r="CK85" s="444">
        <f>+CF!CK10</f>
        <v>976</v>
      </c>
      <c r="CM85" s="443" t="s">
        <v>200</v>
      </c>
      <c r="CN85" s="444">
        <f>+CF!CN10</f>
        <v>257</v>
      </c>
      <c r="CO85" s="444">
        <f>+CF!CO10</f>
        <v>263</v>
      </c>
      <c r="CP85" s="444">
        <f>+CF!CP10</f>
        <v>268</v>
      </c>
      <c r="CQ85" s="444">
        <f>+CF!CQ10</f>
        <v>271</v>
      </c>
      <c r="CR85" s="444">
        <f>+CF!CR10</f>
        <v>1059</v>
      </c>
      <c r="CT85" s="443" t="s">
        <v>200</v>
      </c>
      <c r="CU85" s="444">
        <f>+CF!CU10</f>
        <v>270</v>
      </c>
      <c r="CV85" s="444">
        <f>+CF!CV10</f>
        <v>276</v>
      </c>
      <c r="CW85" s="444">
        <f>+CF!CW10</f>
        <v>277</v>
      </c>
      <c r="CX85" s="444">
        <f>+CF!CX10</f>
        <v>281</v>
      </c>
      <c r="CY85" s="444">
        <f>+CF!CY10</f>
        <v>1104</v>
      </c>
      <c r="DA85" s="443" t="s">
        <v>200</v>
      </c>
      <c r="DB85" s="444">
        <f>+CF!DB10</f>
        <v>283</v>
      </c>
      <c r="DC85" s="444">
        <f>+CF!DC10</f>
        <v>287</v>
      </c>
      <c r="DD85" s="444">
        <f>+CF!DD10</f>
        <v>291</v>
      </c>
      <c r="DE85" s="444">
        <f>+CF!DE10</f>
        <v>290</v>
      </c>
      <c r="DF85" s="444">
        <f>+CF!DF10</f>
        <v>1151</v>
      </c>
      <c r="DH85" s="443" t="s">
        <v>200</v>
      </c>
      <c r="DI85" s="444">
        <f>+CF!DI10</f>
        <v>295</v>
      </c>
      <c r="DJ85" s="444">
        <f>+CF!DJ10</f>
        <v>299</v>
      </c>
      <c r="DK85" s="444">
        <f>+CF!DK10</f>
        <v>302</v>
      </c>
      <c r="DL85" s="444">
        <f>+CF!DL10</f>
        <v>312</v>
      </c>
      <c r="DM85" s="444">
        <f>+CF!DM10</f>
        <v>1208</v>
      </c>
      <c r="DO85" s="443" t="s">
        <v>200</v>
      </c>
      <c r="DP85" s="444">
        <f>+CF!DP10</f>
        <v>313</v>
      </c>
      <c r="DQ85" s="444">
        <f>+CF!DQ10</f>
        <v>319</v>
      </c>
      <c r="DR85" s="444">
        <f>+CF!DR10</f>
        <v>321</v>
      </c>
      <c r="DS85" s="444">
        <f>+CF!DS10</f>
        <v>348</v>
      </c>
      <c r="DT85" s="444">
        <f>+CF!DT10</f>
        <v>1301</v>
      </c>
      <c r="DV85" s="443" t="s">
        <v>200</v>
      </c>
      <c r="DW85" s="444">
        <f>+CF!DW10</f>
        <v>320</v>
      </c>
      <c r="DX85" s="444">
        <f>+CF!DX10</f>
        <v>327</v>
      </c>
      <c r="DY85" s="444">
        <f>+CF!DY10</f>
        <v>331</v>
      </c>
      <c r="DZ85" s="444">
        <f>+CF!DZ10</f>
        <v>337</v>
      </c>
      <c r="EA85" s="444">
        <f>+CF!EA10</f>
        <v>1315</v>
      </c>
      <c r="EC85" s="443" t="s">
        <v>200</v>
      </c>
      <c r="ED85" s="444">
        <f>+CF!ED10</f>
        <v>323</v>
      </c>
      <c r="EE85" s="444">
        <f>+CF!EE10</f>
        <v>329</v>
      </c>
      <c r="EF85" s="444">
        <f>+CF!EF10</f>
        <v>334</v>
      </c>
      <c r="EG85" s="444">
        <f>+CF!EG10</f>
        <v>345</v>
      </c>
      <c r="EH85" s="444">
        <f>+CF!EH10</f>
        <v>1331</v>
      </c>
      <c r="EJ85" s="443" t="s">
        <v>200</v>
      </c>
      <c r="EK85" s="444">
        <f>+CF!EK10</f>
        <v>330</v>
      </c>
      <c r="EL85" s="444">
        <f>+CF!EL10</f>
        <v>337</v>
      </c>
      <c r="EM85" s="444">
        <f>+CF!EM10</f>
        <v>338</v>
      </c>
      <c r="EN85" s="444">
        <f>+CF!EN10</f>
        <v>344</v>
      </c>
      <c r="EO85" s="444">
        <f>+CF!EO10</f>
        <v>1349</v>
      </c>
      <c r="EQ85" s="443" t="s">
        <v>200</v>
      </c>
      <c r="ER85" s="444">
        <f>+CF!ER10</f>
        <v>344</v>
      </c>
      <c r="ES85" s="444">
        <f>+CF!ES10</f>
        <v>344</v>
      </c>
      <c r="ET85" s="444">
        <f>+CF!ET10</f>
        <v>348</v>
      </c>
      <c r="EU85" s="444">
        <f>+CF!EU10</f>
        <v>347</v>
      </c>
      <c r="EV85" s="444">
        <f>+CF!EV10</f>
        <v>1383</v>
      </c>
      <c r="EX85" s="443" t="s">
        <v>200</v>
      </c>
      <c r="EY85" s="444">
        <f>+CF!EY10</f>
        <v>345</v>
      </c>
      <c r="EZ85" s="444">
        <f>+CF!EZ10</f>
        <v>348</v>
      </c>
      <c r="FA85" s="444">
        <f>+CF!FA10</f>
        <v>367</v>
      </c>
      <c r="FB85" s="444">
        <f>+CF!FB10</f>
        <v>360</v>
      </c>
      <c r="FC85" s="444">
        <f>+CF!FC10</f>
        <v>1420</v>
      </c>
      <c r="FE85" s="443" t="s">
        <v>200</v>
      </c>
      <c r="FF85" s="444">
        <f>+CF!FF10</f>
        <v>360</v>
      </c>
      <c r="FG85" s="444">
        <f>+CF!FG10</f>
        <v>369</v>
      </c>
      <c r="FH85" s="444">
        <f>+CF!FH10</f>
        <v>378</v>
      </c>
      <c r="FI85" s="444">
        <f>+CF!FI10</f>
        <v>393</v>
      </c>
      <c r="FJ85" s="444">
        <f>+CF!FJ10</f>
        <v>1500</v>
      </c>
      <c r="FL85" s="443" t="s">
        <v>200</v>
      </c>
      <c r="FM85" s="444">
        <f>+CF!FM10</f>
        <v>393</v>
      </c>
      <c r="FN85" s="444">
        <f>+CF!FN10</f>
        <v>402</v>
      </c>
      <c r="FO85" s="444">
        <f>+CF!FO10</f>
        <v>399</v>
      </c>
      <c r="FP85" s="444">
        <f>+CF!FP10</f>
        <v>417</v>
      </c>
      <c r="FQ85" s="444">
        <f>+CF!FQ10</f>
        <v>1611</v>
      </c>
      <c r="FS85" s="443" t="s">
        <v>200</v>
      </c>
      <c r="FT85" s="444">
        <f>+CF!FT10</f>
        <v>410</v>
      </c>
      <c r="FU85" s="444">
        <f>+CF!FU10</f>
        <v>410</v>
      </c>
      <c r="FV85" s="444">
        <f>+CF!FV10</f>
        <v>416</v>
      </c>
      <c r="FW85" s="444">
        <f>+CF!FW10</f>
        <v>422</v>
      </c>
      <c r="FX85" s="444">
        <f>+CF!FX10</f>
        <v>1658</v>
      </c>
      <c r="FZ85" s="443" t="s">
        <v>200</v>
      </c>
      <c r="GA85" s="444">
        <f>+CF!GA10</f>
        <v>425</v>
      </c>
      <c r="GB85" s="444">
        <f>+CF!GB10</f>
        <v>427</v>
      </c>
      <c r="GC85" s="444">
        <f>+CF!GC10</f>
        <v>424</v>
      </c>
      <c r="GD85" s="496">
        <f>Expense!LK9</f>
        <v>404</v>
      </c>
      <c r="GE85" s="496">
        <f>Expense!LL9</f>
        <v>1680</v>
      </c>
      <c r="GG85" s="443" t="s">
        <v>200</v>
      </c>
      <c r="GH85" s="496">
        <f>Expense!LO9</f>
        <v>419</v>
      </c>
      <c r="GI85" s="496">
        <f>Expense!LP9</f>
        <v>420</v>
      </c>
      <c r="GJ85" s="496">
        <f>Expense!LQ9</f>
        <v>421</v>
      </c>
      <c r="GK85" s="496">
        <f>Expense!LR9</f>
        <v>422</v>
      </c>
      <c r="GL85" s="496">
        <f>Expense!LS9</f>
        <v>1682</v>
      </c>
      <c r="GN85" s="443" t="s">
        <v>200</v>
      </c>
      <c r="GO85" s="496">
        <f>Expense!LV9</f>
        <v>427</v>
      </c>
      <c r="GP85" s="496">
        <f>Expense!LW9</f>
        <v>430</v>
      </c>
      <c r="GQ85" s="496">
        <f>Expense!LX9</f>
        <v>433</v>
      </c>
      <c r="GR85" s="496">
        <f>Expense!LY9</f>
        <v>436</v>
      </c>
      <c r="GS85" s="496">
        <f>Expense!LZ9</f>
        <v>1726</v>
      </c>
      <c r="GU85" s="443" t="s">
        <v>200</v>
      </c>
      <c r="GV85" s="496">
        <f>Expense!MC9</f>
        <v>441</v>
      </c>
      <c r="GW85" s="496">
        <f>Expense!MD9</f>
        <v>444</v>
      </c>
      <c r="GX85" s="496">
        <f>Expense!ME9</f>
        <v>447</v>
      </c>
      <c r="GY85" s="496">
        <f>Expense!MF9</f>
        <v>450</v>
      </c>
      <c r="GZ85" s="496">
        <f>Expense!MG9</f>
        <v>1782</v>
      </c>
    </row>
    <row r="86" spans="1:208" x14ac:dyDescent="0.4">
      <c r="A86" s="366"/>
      <c r="B86" s="443" t="s">
        <v>201</v>
      </c>
      <c r="C86" s="444">
        <f>AU86</f>
        <v>833</v>
      </c>
      <c r="D86" s="444">
        <f>BB86</f>
        <v>867</v>
      </c>
      <c r="E86" s="444">
        <f>BI86</f>
        <v>890</v>
      </c>
      <c r="F86" s="444">
        <f>BP86</f>
        <v>914</v>
      </c>
      <c r="G86" s="444">
        <f>BW86</f>
        <v>903</v>
      </c>
      <c r="H86" s="444">
        <f>CD86</f>
        <v>947</v>
      </c>
      <c r="I86" s="444">
        <f>CK86</f>
        <v>976</v>
      </c>
      <c r="J86" s="444">
        <f>CR86</f>
        <v>1059</v>
      </c>
      <c r="K86" s="444">
        <f>CY86</f>
        <v>1104</v>
      </c>
      <c r="L86" s="444">
        <f>DF86</f>
        <v>1151</v>
      </c>
      <c r="M86" s="444">
        <f>DM86</f>
        <v>1208</v>
      </c>
      <c r="N86" s="444">
        <f>DT86</f>
        <v>1301</v>
      </c>
      <c r="O86" s="444">
        <f>EA86</f>
        <v>1315</v>
      </c>
      <c r="P86" s="444">
        <f>EH86</f>
        <v>1331</v>
      </c>
      <c r="Q86" s="444">
        <f>EO86</f>
        <v>1349</v>
      </c>
      <c r="R86" s="444">
        <f>EV86</f>
        <v>1383</v>
      </c>
      <c r="S86" s="444">
        <f>FC86</f>
        <v>1420</v>
      </c>
      <c r="T86" s="444">
        <f>FJ86</f>
        <v>1500</v>
      </c>
      <c r="U86" s="444">
        <f>FQ86</f>
        <v>1611</v>
      </c>
      <c r="V86" s="496">
        <f>FX86</f>
        <v>1658</v>
      </c>
      <c r="W86" s="496">
        <f>GE86</f>
        <v>1680</v>
      </c>
      <c r="X86" s="496">
        <f>GL86</f>
        <v>1682</v>
      </c>
      <c r="Y86" s="496">
        <f>GS86</f>
        <v>1726</v>
      </c>
      <c r="Z86" s="496">
        <f>GZ86</f>
        <v>1782</v>
      </c>
      <c r="AA86" s="445"/>
      <c r="AB86" s="445"/>
      <c r="AC86" s="445"/>
      <c r="AD86" s="445"/>
      <c r="AE86" s="445"/>
      <c r="AF86" s="445"/>
      <c r="AG86" s="445"/>
      <c r="AH86" s="445"/>
      <c r="AI86" s="445"/>
      <c r="AJ86" s="445"/>
      <c r="AK86" s="445"/>
      <c r="AL86" s="445"/>
      <c r="AM86" s="445"/>
      <c r="AN86" s="445"/>
      <c r="AP86" s="443" t="s">
        <v>201</v>
      </c>
      <c r="AQ86" s="444">
        <f>+AQ85</f>
        <v>209</v>
      </c>
      <c r="AR86" s="444">
        <f>+SUM(AQ85:AR85)</f>
        <v>418</v>
      </c>
      <c r="AS86" s="444">
        <f>+SUM(AQ85:AS85)</f>
        <v>620</v>
      </c>
      <c r="AT86" s="444">
        <f>+SUM(AQ85:AT85)</f>
        <v>833</v>
      </c>
      <c r="AU86" s="444">
        <f>+AT86</f>
        <v>833</v>
      </c>
      <c r="AW86" s="443" t="s">
        <v>201</v>
      </c>
      <c r="AX86" s="444">
        <f>+AX85</f>
        <v>212</v>
      </c>
      <c r="AY86" s="444">
        <f>+SUM(AX85:AY85)</f>
        <v>430</v>
      </c>
      <c r="AZ86" s="444">
        <f>+SUM(AX85:AZ85)</f>
        <v>648</v>
      </c>
      <c r="BA86" s="444">
        <f>+SUM(AX85:BA85)</f>
        <v>867</v>
      </c>
      <c r="BB86" s="444">
        <f>+BA86</f>
        <v>867</v>
      </c>
      <c r="BD86" s="443" t="s">
        <v>201</v>
      </c>
      <c r="BE86" s="444">
        <f>+BE85</f>
        <v>225</v>
      </c>
      <c r="BF86" s="444">
        <f>+SUM(BE85:BF85)</f>
        <v>448</v>
      </c>
      <c r="BG86" s="444">
        <f>+SUM(BE85:BG85)</f>
        <v>666</v>
      </c>
      <c r="BH86" s="444">
        <f>+SUM(BE85:BH85)</f>
        <v>890</v>
      </c>
      <c r="BI86" s="444">
        <f>+BH86</f>
        <v>890</v>
      </c>
      <c r="BK86" s="443" t="s">
        <v>201</v>
      </c>
      <c r="BL86" s="444">
        <f>+BL85</f>
        <v>225</v>
      </c>
      <c r="BM86" s="444">
        <f>+SUM(BL85:BM85)</f>
        <v>456</v>
      </c>
      <c r="BN86" s="444">
        <f>+SUM(BL85:BN85)</f>
        <v>686</v>
      </c>
      <c r="BO86" s="444">
        <f>+SUM(BL85:BO85)</f>
        <v>914</v>
      </c>
      <c r="BP86" s="444">
        <f>+BO86</f>
        <v>914</v>
      </c>
      <c r="BR86" s="443" t="s">
        <v>201</v>
      </c>
      <c r="BS86" s="444">
        <f>+BS85</f>
        <v>224</v>
      </c>
      <c r="BT86" s="444">
        <f>+SUM(BS85:BT85)</f>
        <v>451</v>
      </c>
      <c r="BU86" s="444">
        <f>+SUM(BS85:BU85)</f>
        <v>675</v>
      </c>
      <c r="BV86" s="444">
        <f>+SUM(BS85:BV85)</f>
        <v>903</v>
      </c>
      <c r="BW86" s="444">
        <f>+BV86</f>
        <v>903</v>
      </c>
      <c r="BY86" s="443" t="s">
        <v>201</v>
      </c>
      <c r="BZ86" s="444">
        <f>+BZ85</f>
        <v>228</v>
      </c>
      <c r="CA86" s="444">
        <f>+SUM(BZ85:CA85)</f>
        <v>458</v>
      </c>
      <c r="CB86" s="444">
        <f>+SUM(BZ85:CB85)</f>
        <v>690</v>
      </c>
      <c r="CC86" s="444">
        <f>+SUM(BZ85:CC85)</f>
        <v>947</v>
      </c>
      <c r="CD86" s="444">
        <f>+CC86</f>
        <v>947</v>
      </c>
      <c r="CF86" s="443" t="s">
        <v>201</v>
      </c>
      <c r="CG86" s="444">
        <f>+CG85</f>
        <v>243</v>
      </c>
      <c r="CH86" s="444">
        <f>+SUM(CG85:CH85)</f>
        <v>489</v>
      </c>
      <c r="CI86" s="444">
        <f>+SUM(CG85:CI85)</f>
        <v>740</v>
      </c>
      <c r="CJ86" s="444">
        <f>+SUM(CG85:CJ85)</f>
        <v>976</v>
      </c>
      <c r="CK86" s="444">
        <f>+CJ86</f>
        <v>976</v>
      </c>
      <c r="CM86" s="443" t="s">
        <v>201</v>
      </c>
      <c r="CN86" s="444">
        <f>+CN85</f>
        <v>257</v>
      </c>
      <c r="CO86" s="444">
        <f>+SUM(CN85:CO85)</f>
        <v>520</v>
      </c>
      <c r="CP86" s="444">
        <f>+SUM(CN85:CP85)</f>
        <v>788</v>
      </c>
      <c r="CQ86" s="444">
        <f>+SUM(CN85:CQ85)</f>
        <v>1059</v>
      </c>
      <c r="CR86" s="444">
        <f>+CQ86</f>
        <v>1059</v>
      </c>
      <c r="CT86" s="443" t="s">
        <v>201</v>
      </c>
      <c r="CU86" s="444">
        <f>+CU85</f>
        <v>270</v>
      </c>
      <c r="CV86" s="444">
        <f>+SUM(CU85:CV85)</f>
        <v>546</v>
      </c>
      <c r="CW86" s="444">
        <f>+SUM(CU85:CW85)</f>
        <v>823</v>
      </c>
      <c r="CX86" s="444">
        <f>+SUM(CU85:CX85)</f>
        <v>1104</v>
      </c>
      <c r="CY86" s="444">
        <f>+CX86</f>
        <v>1104</v>
      </c>
      <c r="DA86" s="443" t="s">
        <v>201</v>
      </c>
      <c r="DB86" s="444">
        <f>+DB85</f>
        <v>283</v>
      </c>
      <c r="DC86" s="444">
        <f>+SUM(DB85:DC85)</f>
        <v>570</v>
      </c>
      <c r="DD86" s="444">
        <f>+SUM(DB85:DD85)</f>
        <v>861</v>
      </c>
      <c r="DE86" s="444">
        <f>+SUM(DB85:DE85)</f>
        <v>1151</v>
      </c>
      <c r="DF86" s="444">
        <f>+DE86</f>
        <v>1151</v>
      </c>
      <c r="DH86" s="443" t="s">
        <v>201</v>
      </c>
      <c r="DI86" s="444">
        <f>+DI85</f>
        <v>295</v>
      </c>
      <c r="DJ86" s="444">
        <f>+SUM(DI85:DJ85)</f>
        <v>594</v>
      </c>
      <c r="DK86" s="444">
        <f>+SUM(DI85:DK85)</f>
        <v>896</v>
      </c>
      <c r="DL86" s="444">
        <f>+SUM(DI85:DL85)</f>
        <v>1208</v>
      </c>
      <c r="DM86" s="444">
        <f>+DL86</f>
        <v>1208</v>
      </c>
      <c r="DO86" s="443" t="s">
        <v>201</v>
      </c>
      <c r="DP86" s="444">
        <f>+DP85</f>
        <v>313</v>
      </c>
      <c r="DQ86" s="444">
        <f>+SUM(DP85:DQ85)</f>
        <v>632</v>
      </c>
      <c r="DR86" s="444">
        <f>+SUM(DP85:DR85)</f>
        <v>953</v>
      </c>
      <c r="DS86" s="444">
        <f>+SUM(DP85:DS85)</f>
        <v>1301</v>
      </c>
      <c r="DT86" s="444">
        <f>+DS86</f>
        <v>1301</v>
      </c>
      <c r="DV86" s="443" t="s">
        <v>201</v>
      </c>
      <c r="DW86" s="444">
        <f>+DW85</f>
        <v>320</v>
      </c>
      <c r="DX86" s="444">
        <f>+SUM(DW85:DX85)</f>
        <v>647</v>
      </c>
      <c r="DY86" s="444">
        <f>+SUM(DW85:DY85)</f>
        <v>978</v>
      </c>
      <c r="DZ86" s="444">
        <f>+SUM(DW85:DZ85)</f>
        <v>1315</v>
      </c>
      <c r="EA86" s="444">
        <f>+DZ86</f>
        <v>1315</v>
      </c>
      <c r="EC86" s="443" t="s">
        <v>201</v>
      </c>
      <c r="ED86" s="444">
        <f>+ED85</f>
        <v>323</v>
      </c>
      <c r="EE86" s="444">
        <f>+SUM(ED85:EE85)</f>
        <v>652</v>
      </c>
      <c r="EF86" s="444">
        <f>+SUM(ED85:EF85)</f>
        <v>986</v>
      </c>
      <c r="EG86" s="444">
        <f>+SUM(ED85:EG85)</f>
        <v>1331</v>
      </c>
      <c r="EH86" s="444">
        <f>+EG86</f>
        <v>1331</v>
      </c>
      <c r="EJ86" s="443" t="s">
        <v>201</v>
      </c>
      <c r="EK86" s="444">
        <f>+EK85</f>
        <v>330</v>
      </c>
      <c r="EL86" s="444">
        <f>+SUM(EK85:EL85)</f>
        <v>667</v>
      </c>
      <c r="EM86" s="444">
        <f>+SUM(EK85:EM85)</f>
        <v>1005</v>
      </c>
      <c r="EN86" s="444">
        <f>+SUM(EK85:EN85)</f>
        <v>1349</v>
      </c>
      <c r="EO86" s="444">
        <f>+EN86</f>
        <v>1349</v>
      </c>
      <c r="EQ86" s="443" t="s">
        <v>201</v>
      </c>
      <c r="ER86" s="444">
        <f>+ER85</f>
        <v>344</v>
      </c>
      <c r="ES86" s="444">
        <f>+SUM(ER85:ES85)</f>
        <v>688</v>
      </c>
      <c r="ET86" s="444">
        <f>+SUM(ER85:ET85)</f>
        <v>1036</v>
      </c>
      <c r="EU86" s="444">
        <f>+SUM(ER85:EU85)</f>
        <v>1383</v>
      </c>
      <c r="EV86" s="444">
        <f>+EU86</f>
        <v>1383</v>
      </c>
      <c r="EX86" s="443" t="s">
        <v>201</v>
      </c>
      <c r="EY86" s="444">
        <f>+EY85</f>
        <v>345</v>
      </c>
      <c r="EZ86" s="444">
        <f>+SUM(EY85:EZ85)</f>
        <v>693</v>
      </c>
      <c r="FA86" s="444">
        <f>+SUM(EY85:FA85)</f>
        <v>1060</v>
      </c>
      <c r="FB86" s="444">
        <f>+SUM(EY85:FB85)</f>
        <v>1420</v>
      </c>
      <c r="FC86" s="444">
        <f>+FB86</f>
        <v>1420</v>
      </c>
      <c r="FE86" s="443" t="s">
        <v>201</v>
      </c>
      <c r="FF86" s="444">
        <f>+FF85</f>
        <v>360</v>
      </c>
      <c r="FG86" s="444">
        <f>+SUM(FF85:FG85)</f>
        <v>729</v>
      </c>
      <c r="FH86" s="444">
        <f>+SUM(FF85:FH85)</f>
        <v>1107</v>
      </c>
      <c r="FI86" s="444">
        <f>+SUM(FF85:FI85)</f>
        <v>1500</v>
      </c>
      <c r="FJ86" s="444">
        <f>+FI86</f>
        <v>1500</v>
      </c>
      <c r="FL86" s="443" t="s">
        <v>201</v>
      </c>
      <c r="FM86" s="444">
        <f>+FM85</f>
        <v>393</v>
      </c>
      <c r="FN86" s="444">
        <f>+SUM(FM85:FN85)</f>
        <v>795</v>
      </c>
      <c r="FO86" s="444">
        <f>+SUM(FM85:FO85)</f>
        <v>1194</v>
      </c>
      <c r="FP86" s="444">
        <f>+SUM(FM85:FP85)</f>
        <v>1611</v>
      </c>
      <c r="FQ86" s="444">
        <f>+FP86</f>
        <v>1611</v>
      </c>
      <c r="FS86" s="443" t="s">
        <v>201</v>
      </c>
      <c r="FT86" s="444">
        <f>+FT85</f>
        <v>410</v>
      </c>
      <c r="FU86" s="444">
        <f>+SUM(FT85:FU85)</f>
        <v>820</v>
      </c>
      <c r="FV86" s="444">
        <f>+SUM(FT85:FV85)</f>
        <v>1236</v>
      </c>
      <c r="FW86" s="444">
        <f>+SUM(FT85:FW85)</f>
        <v>1658</v>
      </c>
      <c r="FX86" s="444">
        <f>+FW86</f>
        <v>1658</v>
      </c>
      <c r="FZ86" s="443" t="s">
        <v>201</v>
      </c>
      <c r="GA86" s="444">
        <f>+GA85</f>
        <v>425</v>
      </c>
      <c r="GB86" s="444">
        <f>+SUM(GA85:GB85)</f>
        <v>852</v>
      </c>
      <c r="GC86" s="444">
        <f>+SUM(GA85:GC85)</f>
        <v>1276</v>
      </c>
      <c r="GD86" s="496">
        <f>+SUM(GA85:GD85)</f>
        <v>1680</v>
      </c>
      <c r="GE86" s="496">
        <f>+GD86</f>
        <v>1680</v>
      </c>
      <c r="GG86" s="443" t="s">
        <v>201</v>
      </c>
      <c r="GH86" s="496">
        <f>+GH85</f>
        <v>419</v>
      </c>
      <c r="GI86" s="496">
        <f>+SUM(GH85:GI85)</f>
        <v>839</v>
      </c>
      <c r="GJ86" s="496">
        <f>+SUM(GH85:GJ85)</f>
        <v>1260</v>
      </c>
      <c r="GK86" s="496">
        <f>+SUM(GH85:GK85)</f>
        <v>1682</v>
      </c>
      <c r="GL86" s="496">
        <f>+GK86</f>
        <v>1682</v>
      </c>
      <c r="GN86" s="443" t="s">
        <v>201</v>
      </c>
      <c r="GO86" s="496">
        <f>+GO85</f>
        <v>427</v>
      </c>
      <c r="GP86" s="496">
        <f>+SUM(GO85:GP85)</f>
        <v>857</v>
      </c>
      <c r="GQ86" s="496">
        <f>+SUM(GO85:GQ85)</f>
        <v>1290</v>
      </c>
      <c r="GR86" s="496">
        <f>+SUM(GO85:GR85)</f>
        <v>1726</v>
      </c>
      <c r="GS86" s="496">
        <f>+GR86</f>
        <v>1726</v>
      </c>
      <c r="GU86" s="443" t="s">
        <v>201</v>
      </c>
      <c r="GV86" s="496">
        <f>+GV85</f>
        <v>441</v>
      </c>
      <c r="GW86" s="496">
        <f>+SUM(GV85:GW85)</f>
        <v>885</v>
      </c>
      <c r="GX86" s="496">
        <f>+SUM(GV85:GX85)</f>
        <v>1332</v>
      </c>
      <c r="GY86" s="496">
        <f>+SUM(GV85:GY85)</f>
        <v>1782</v>
      </c>
      <c r="GZ86" s="496">
        <f>+GY86</f>
        <v>1782</v>
      </c>
    </row>
    <row r="87" spans="1:208" x14ac:dyDescent="0.4">
      <c r="A87" s="366"/>
      <c r="B87" s="76"/>
      <c r="V87" s="80"/>
      <c r="W87" s="80"/>
      <c r="X87" s="80"/>
      <c r="Y87" s="80"/>
      <c r="Z87" s="80"/>
      <c r="AA87" s="78"/>
      <c r="AB87" s="78"/>
      <c r="AC87" s="78"/>
      <c r="AD87" s="78"/>
      <c r="AE87" s="78"/>
      <c r="AF87" s="78"/>
      <c r="AG87" s="78"/>
      <c r="AH87" s="78"/>
      <c r="AI87" s="78"/>
      <c r="AJ87" s="78"/>
      <c r="AK87" s="78"/>
      <c r="AL87" s="78"/>
      <c r="AM87" s="78"/>
      <c r="AN87" s="78"/>
      <c r="AP87" s="76"/>
      <c r="AW87" s="76"/>
      <c r="BD87" s="76"/>
      <c r="BK87" s="76"/>
      <c r="BR87" s="76"/>
      <c r="BY87" s="76"/>
      <c r="CF87" s="76"/>
      <c r="CM87" s="76"/>
      <c r="CT87" s="76"/>
      <c r="DA87" s="76"/>
      <c r="DH87" s="76"/>
      <c r="DO87" s="76"/>
      <c r="DV87" s="76"/>
      <c r="EC87" s="76"/>
      <c r="EJ87" s="76"/>
      <c r="EQ87" s="76"/>
      <c r="EX87" s="76"/>
      <c r="FE87" s="76"/>
      <c r="FL87" s="76"/>
      <c r="FS87" s="76"/>
      <c r="FZ87" s="76"/>
      <c r="GD87" s="80"/>
      <c r="GE87" s="80"/>
      <c r="GG87" s="76"/>
      <c r="GH87" s="80"/>
      <c r="GI87" s="80"/>
      <c r="GJ87" s="80"/>
      <c r="GK87" s="80"/>
      <c r="GL87" s="80"/>
      <c r="GN87" s="76"/>
      <c r="GO87" s="80"/>
      <c r="GP87" s="80"/>
      <c r="GQ87" s="80"/>
      <c r="GR87" s="80"/>
      <c r="GS87" s="80"/>
      <c r="GU87" s="76"/>
      <c r="GV87" s="80"/>
      <c r="GW87" s="80"/>
      <c r="GX87" s="80"/>
      <c r="GY87" s="80"/>
      <c r="GZ87" s="80"/>
    </row>
    <row r="88" spans="1:208" x14ac:dyDescent="0.4">
      <c r="A88" s="446"/>
      <c r="B88" s="443" t="s">
        <v>202</v>
      </c>
      <c r="C88" s="444">
        <f>AU88</f>
        <v>833</v>
      </c>
      <c r="D88" s="444">
        <f>BB88</f>
        <v>867</v>
      </c>
      <c r="E88" s="444">
        <f>BI88</f>
        <v>890</v>
      </c>
      <c r="F88" s="444">
        <f>BP88</f>
        <v>914</v>
      </c>
      <c r="G88" s="444">
        <f>BW88</f>
        <v>903</v>
      </c>
      <c r="H88" s="444">
        <f>CD88</f>
        <v>947</v>
      </c>
      <c r="I88" s="444">
        <f>CK88</f>
        <v>976</v>
      </c>
      <c r="J88" s="444">
        <f>CR88</f>
        <v>1059</v>
      </c>
      <c r="K88" s="444">
        <f>CY88</f>
        <v>1104</v>
      </c>
      <c r="L88" s="444">
        <f>DF88</f>
        <v>1151</v>
      </c>
      <c r="M88" s="444">
        <f>DM88</f>
        <v>1208</v>
      </c>
      <c r="N88" s="444">
        <f>DT88</f>
        <v>1301</v>
      </c>
      <c r="O88" s="444">
        <f>EA88</f>
        <v>1315</v>
      </c>
      <c r="P88" s="444">
        <f>EH88</f>
        <v>1331</v>
      </c>
      <c r="Q88" s="444">
        <f>EO88</f>
        <v>1349</v>
      </c>
      <c r="R88" s="444">
        <f>EV88</f>
        <v>1383</v>
      </c>
      <c r="S88" s="444">
        <f>FC88</f>
        <v>1420</v>
      </c>
      <c r="T88" s="444">
        <f>FJ88</f>
        <v>1500</v>
      </c>
      <c r="U88" s="444">
        <f>FQ88</f>
        <v>1611</v>
      </c>
      <c r="V88" s="496">
        <f>FX88</f>
        <v>1658</v>
      </c>
      <c r="W88" s="496">
        <f>GE88</f>
        <v>1680</v>
      </c>
      <c r="X88" s="496">
        <f>GL88</f>
        <v>1682</v>
      </c>
      <c r="Y88" s="496">
        <f>GS88</f>
        <v>1726</v>
      </c>
      <c r="Z88" s="496">
        <f>GZ88</f>
        <v>1782</v>
      </c>
      <c r="AA88" s="445"/>
      <c r="AB88" s="445"/>
      <c r="AC88" s="445"/>
      <c r="AD88" s="445"/>
      <c r="AE88" s="445"/>
      <c r="AF88" s="445"/>
      <c r="AG88" s="445"/>
      <c r="AH88" s="445"/>
      <c r="AI88" s="445"/>
      <c r="AJ88" s="445"/>
      <c r="AK88" s="445"/>
      <c r="AL88" s="445"/>
      <c r="AM88" s="445"/>
      <c r="AN88" s="445"/>
      <c r="AP88" s="443" t="s">
        <v>202</v>
      </c>
      <c r="AQ88" s="444" t="s">
        <v>80</v>
      </c>
      <c r="AR88" s="444" t="s">
        <v>80</v>
      </c>
      <c r="AS88" s="444" t="s">
        <v>80</v>
      </c>
      <c r="AT88" s="444" t="s">
        <v>80</v>
      </c>
      <c r="AU88" s="444">
        <f>+AU85</f>
        <v>833</v>
      </c>
      <c r="AW88" s="443" t="s">
        <v>202</v>
      </c>
      <c r="AX88" s="444">
        <f>+SUM(AX85,AR85:AT85)</f>
        <v>836</v>
      </c>
      <c r="AY88" s="444">
        <f>+SUM(AX85:AY85,AS85:AT85)</f>
        <v>845</v>
      </c>
      <c r="AZ88" s="444">
        <f>+SUM(AX85:AZ85,AT85)</f>
        <v>861</v>
      </c>
      <c r="BA88" s="444">
        <f>+SUM(AX85:BA85)</f>
        <v>867</v>
      </c>
      <c r="BB88" s="444">
        <f>+BB85</f>
        <v>867</v>
      </c>
      <c r="BD88" s="443" t="s">
        <v>202</v>
      </c>
      <c r="BE88" s="444">
        <f>+SUM(BE85,AY85:BA85)</f>
        <v>880</v>
      </c>
      <c r="BF88" s="444">
        <f>+SUM(BE85:BF85,AZ85:BA85)</f>
        <v>885</v>
      </c>
      <c r="BG88" s="444">
        <f>+SUM(BE85:BG85,BA85)</f>
        <v>885</v>
      </c>
      <c r="BH88" s="444">
        <f>+SUM(BE85:BH85)</f>
        <v>890</v>
      </c>
      <c r="BI88" s="444">
        <f>+BI85</f>
        <v>890</v>
      </c>
      <c r="BK88" s="443" t="s">
        <v>202</v>
      </c>
      <c r="BL88" s="444">
        <f>+SUM(BL85,BF85:BH85)</f>
        <v>890</v>
      </c>
      <c r="BM88" s="444">
        <f>+SUM(BL85:BM85,BG85:BH85)</f>
        <v>898</v>
      </c>
      <c r="BN88" s="444">
        <f>+SUM(BL85:BN85,BH85)</f>
        <v>910</v>
      </c>
      <c r="BO88" s="444">
        <f>+SUM(BL85:BO85)</f>
        <v>914</v>
      </c>
      <c r="BP88" s="444">
        <f>+BP85</f>
        <v>914</v>
      </c>
      <c r="BR88" s="443" t="s">
        <v>202</v>
      </c>
      <c r="BS88" s="444">
        <f>+SUM(BS85,BM85:BO85)</f>
        <v>913</v>
      </c>
      <c r="BT88" s="444">
        <f>+SUM(BS85:BT85,BN85:BO85)</f>
        <v>909</v>
      </c>
      <c r="BU88" s="444">
        <f>+SUM(BS85:BU85,BO85)</f>
        <v>903</v>
      </c>
      <c r="BV88" s="444">
        <f>+SUM(BS85:BV85)</f>
        <v>903</v>
      </c>
      <c r="BW88" s="444">
        <f>+BW85</f>
        <v>903</v>
      </c>
      <c r="BY88" s="443" t="s">
        <v>202</v>
      </c>
      <c r="BZ88" s="444">
        <f>+SUM(BZ85,BT85:BV85)</f>
        <v>907</v>
      </c>
      <c r="CA88" s="444">
        <f>+SUM(BZ85:CA85,BU85:BV85)</f>
        <v>910</v>
      </c>
      <c r="CB88" s="444">
        <f>+SUM(BZ85:CB85,BV85)</f>
        <v>918</v>
      </c>
      <c r="CC88" s="444">
        <f>+SUM(BZ85:CC85)</f>
        <v>947</v>
      </c>
      <c r="CD88" s="444">
        <f>+CD85</f>
        <v>947</v>
      </c>
      <c r="CF88" s="443" t="s">
        <v>202</v>
      </c>
      <c r="CG88" s="444">
        <f>+SUM(CG85,CA85:CC85)</f>
        <v>962</v>
      </c>
      <c r="CH88" s="444">
        <f>+SUM(CG85:CH85,CB85:CC85)</f>
        <v>978</v>
      </c>
      <c r="CI88" s="444">
        <f>+SUM(CG85:CI85,CC85)</f>
        <v>997</v>
      </c>
      <c r="CJ88" s="444">
        <f>+SUM(CG85:CJ85)</f>
        <v>976</v>
      </c>
      <c r="CK88" s="444">
        <f>+CK85</f>
        <v>976</v>
      </c>
      <c r="CM88" s="443" t="s">
        <v>202</v>
      </c>
      <c r="CN88" s="444">
        <f>+SUM(CN85,CH85:CJ85)</f>
        <v>990</v>
      </c>
      <c r="CO88" s="444">
        <f>+SUM(CN85:CO85,CI85:CJ85)</f>
        <v>1007</v>
      </c>
      <c r="CP88" s="444">
        <f>+SUM(CN85:CP85,CJ85)</f>
        <v>1024</v>
      </c>
      <c r="CQ88" s="444">
        <f>+SUM(CN85:CQ85)</f>
        <v>1059</v>
      </c>
      <c r="CR88" s="444">
        <f>+CR85</f>
        <v>1059</v>
      </c>
      <c r="CT88" s="443" t="s">
        <v>202</v>
      </c>
      <c r="CU88" s="444">
        <f>+SUM(CU85,CO85:CQ85)</f>
        <v>1072</v>
      </c>
      <c r="CV88" s="444">
        <f>+SUM(CU85:CV85,CP85:CQ85)</f>
        <v>1085</v>
      </c>
      <c r="CW88" s="444">
        <f>+SUM(CU85:CW85,CQ85)</f>
        <v>1094</v>
      </c>
      <c r="CX88" s="444">
        <f>+SUM(CU85:CX85)</f>
        <v>1104</v>
      </c>
      <c r="CY88" s="444">
        <f>+CY85</f>
        <v>1104</v>
      </c>
      <c r="DA88" s="443" t="s">
        <v>202</v>
      </c>
      <c r="DB88" s="444">
        <f>+SUM(DB85,CV85:CX85)</f>
        <v>1117</v>
      </c>
      <c r="DC88" s="444">
        <f>+SUM(DB85:DC85,CW85:CX85)</f>
        <v>1128</v>
      </c>
      <c r="DD88" s="444">
        <f>+SUM(DB85:DD85,CX85)</f>
        <v>1142</v>
      </c>
      <c r="DE88" s="444">
        <f>+SUM(DB85:DE85)</f>
        <v>1151</v>
      </c>
      <c r="DF88" s="444">
        <f>+DF85</f>
        <v>1151</v>
      </c>
      <c r="DH88" s="443" t="s">
        <v>202</v>
      </c>
      <c r="DI88" s="444">
        <f>+SUM(DI85,DC85:DE85)</f>
        <v>1163</v>
      </c>
      <c r="DJ88" s="444">
        <f>+SUM(DI85:DJ85,DD85:DE85)</f>
        <v>1175</v>
      </c>
      <c r="DK88" s="444">
        <f>+SUM(DI85:DK85,DE85)</f>
        <v>1186</v>
      </c>
      <c r="DL88" s="444">
        <f>+SUM(DI85:DL85)</f>
        <v>1208</v>
      </c>
      <c r="DM88" s="444">
        <f>+DM85</f>
        <v>1208</v>
      </c>
      <c r="DO88" s="443" t="s">
        <v>202</v>
      </c>
      <c r="DP88" s="444">
        <f>+SUM(DP85,DJ85:DL85)</f>
        <v>1226</v>
      </c>
      <c r="DQ88" s="444">
        <f>+SUM(DP85:DQ85,DK85:DL85)</f>
        <v>1246</v>
      </c>
      <c r="DR88" s="444">
        <f>+SUM(DP85:DR85,DL85)</f>
        <v>1265</v>
      </c>
      <c r="DS88" s="444">
        <f>+SUM(DP85:DS85)</f>
        <v>1301</v>
      </c>
      <c r="DT88" s="444">
        <f>+DT85</f>
        <v>1301</v>
      </c>
      <c r="DV88" s="443" t="s">
        <v>202</v>
      </c>
      <c r="DW88" s="444">
        <f>+SUM(DW85,DQ85:DS85)</f>
        <v>1308</v>
      </c>
      <c r="DX88" s="444">
        <f>+SUM(DW85:DX85,DR85:DS85)</f>
        <v>1316</v>
      </c>
      <c r="DY88" s="444">
        <f>+SUM(DW85:DY85,DS85)</f>
        <v>1326</v>
      </c>
      <c r="DZ88" s="444">
        <f>+SUM(DW85:DZ85)</f>
        <v>1315</v>
      </c>
      <c r="EA88" s="444">
        <f>+EA85</f>
        <v>1315</v>
      </c>
      <c r="EC88" s="443" t="s">
        <v>202</v>
      </c>
      <c r="ED88" s="444">
        <f>+SUM(ED85,DX85:DZ85)</f>
        <v>1318</v>
      </c>
      <c r="EE88" s="444">
        <f>+SUM(ED85:EE85,DY85:DZ85)</f>
        <v>1320</v>
      </c>
      <c r="EF88" s="444">
        <f>+SUM(ED85:EF85,DZ85)</f>
        <v>1323</v>
      </c>
      <c r="EG88" s="444">
        <f>+SUM(ED85:EG85)</f>
        <v>1331</v>
      </c>
      <c r="EH88" s="444">
        <f>+EH85</f>
        <v>1331</v>
      </c>
      <c r="EJ88" s="443" t="s">
        <v>202</v>
      </c>
      <c r="EK88" s="444">
        <f>+SUM(EK85,EE85:EG85)</f>
        <v>1338</v>
      </c>
      <c r="EL88" s="444">
        <f>+SUM(EK85:EL85,EF85:EG85)</f>
        <v>1346</v>
      </c>
      <c r="EM88" s="444">
        <f>+SUM(EK85:EM85,EG85)</f>
        <v>1350</v>
      </c>
      <c r="EN88" s="444">
        <f>+SUM(EK85:EN85)</f>
        <v>1349</v>
      </c>
      <c r="EO88" s="444">
        <f>+EO85</f>
        <v>1349</v>
      </c>
      <c r="EQ88" s="443" t="s">
        <v>202</v>
      </c>
      <c r="ER88" s="444">
        <f>+SUM(ER85,EL85:EN85)</f>
        <v>1363</v>
      </c>
      <c r="ES88" s="444">
        <f>+SUM(ER85:ES85,EM85:EN85)</f>
        <v>1370</v>
      </c>
      <c r="ET88" s="444">
        <f>+SUM(ER85:ET85,EN85)</f>
        <v>1380</v>
      </c>
      <c r="EU88" s="444">
        <f>+SUM(ER85:EU85)</f>
        <v>1383</v>
      </c>
      <c r="EV88" s="444">
        <f>+EV85</f>
        <v>1383</v>
      </c>
      <c r="EX88" s="443" t="s">
        <v>202</v>
      </c>
      <c r="EY88" s="444">
        <f>+SUM(EY85,ES85:EU85)</f>
        <v>1384</v>
      </c>
      <c r="EZ88" s="444">
        <f>+SUM(EY85:EZ85,ET85:EU85)</f>
        <v>1388</v>
      </c>
      <c r="FA88" s="444">
        <f>+SUM(EY85:FA85,EU85)</f>
        <v>1407</v>
      </c>
      <c r="FB88" s="444">
        <f>+SUM(EY85:FB85)</f>
        <v>1420</v>
      </c>
      <c r="FC88" s="444">
        <f>+FC85</f>
        <v>1420</v>
      </c>
      <c r="FE88" s="443" t="s">
        <v>202</v>
      </c>
      <c r="FF88" s="444">
        <f>+SUM(FF85,EZ85:FB85)</f>
        <v>1435</v>
      </c>
      <c r="FG88" s="444">
        <f>+SUM(FF85:FG85,FA85:FB85)</f>
        <v>1456</v>
      </c>
      <c r="FH88" s="444">
        <f>+SUM(FF85:FH85,FB85)</f>
        <v>1467</v>
      </c>
      <c r="FI88" s="444">
        <f>+SUM(FF85:FI85)</f>
        <v>1500</v>
      </c>
      <c r="FJ88" s="444">
        <f>+FJ85</f>
        <v>1500</v>
      </c>
      <c r="FL88" s="443" t="s">
        <v>202</v>
      </c>
      <c r="FM88" s="444">
        <f>+SUM(FM85,FG85:FI85)</f>
        <v>1533</v>
      </c>
      <c r="FN88" s="444">
        <f>+SUM(FM85:FN85,FH85:FI85)</f>
        <v>1566</v>
      </c>
      <c r="FO88" s="444">
        <f>+SUM(FM85:FO85,FI85)</f>
        <v>1587</v>
      </c>
      <c r="FP88" s="444">
        <f>+SUM(FM85:FP85)</f>
        <v>1611</v>
      </c>
      <c r="FQ88" s="444">
        <f>+FQ85</f>
        <v>1611</v>
      </c>
      <c r="FS88" s="443" t="s">
        <v>202</v>
      </c>
      <c r="FT88" s="444">
        <f>+SUM(FT85,FN85:FP85)</f>
        <v>1628</v>
      </c>
      <c r="FU88" s="444">
        <f>+SUM(FT85:FU85,FO85:FP85)</f>
        <v>1636</v>
      </c>
      <c r="FV88" s="444">
        <f>+SUM(FT85:FV85,FP85)</f>
        <v>1653</v>
      </c>
      <c r="FW88" s="444">
        <f>+SUM(FT85:FW85)</f>
        <v>1658</v>
      </c>
      <c r="FX88" s="444">
        <f>+FX85</f>
        <v>1658</v>
      </c>
      <c r="FZ88" s="443" t="s">
        <v>202</v>
      </c>
      <c r="GA88" s="444">
        <f>+SUM(GA85,FU85:FW85)</f>
        <v>1673</v>
      </c>
      <c r="GB88" s="444">
        <f>+SUM(GA85:GB85,FV85:FW85)</f>
        <v>1690</v>
      </c>
      <c r="GC88" s="444">
        <f>+SUM(GA85:GC85,FW85)</f>
        <v>1698</v>
      </c>
      <c r="GD88" s="496">
        <f>+SUM(GA85:GD85)</f>
        <v>1680</v>
      </c>
      <c r="GE88" s="496">
        <f>+GE85</f>
        <v>1680</v>
      </c>
      <c r="GG88" s="443" t="s">
        <v>202</v>
      </c>
      <c r="GH88" s="496">
        <f>+SUM(GH85,GB85:GD85)</f>
        <v>1674</v>
      </c>
      <c r="GI88" s="496">
        <f>+SUM(GH85:GI85,GC85:GD85)</f>
        <v>1667</v>
      </c>
      <c r="GJ88" s="496">
        <f>+SUM(GH85:GJ85,GD85)</f>
        <v>1664</v>
      </c>
      <c r="GK88" s="496">
        <f>+SUM(GH85:GK85)</f>
        <v>1682</v>
      </c>
      <c r="GL88" s="496">
        <f>+GL85</f>
        <v>1682</v>
      </c>
      <c r="GN88" s="443" t="s">
        <v>202</v>
      </c>
      <c r="GO88" s="496">
        <f>+SUM(GO85,GI85:GK85)</f>
        <v>1690</v>
      </c>
      <c r="GP88" s="496">
        <f>+SUM(GO85:GP85,GJ85:GK85)</f>
        <v>1700</v>
      </c>
      <c r="GQ88" s="496">
        <f>+SUM(GO85:GQ85,GK85)</f>
        <v>1712</v>
      </c>
      <c r="GR88" s="496">
        <f>+SUM(GO85:GR85)</f>
        <v>1726</v>
      </c>
      <c r="GS88" s="496">
        <f>+GS85</f>
        <v>1726</v>
      </c>
      <c r="GU88" s="443" t="s">
        <v>202</v>
      </c>
      <c r="GV88" s="496">
        <f>+SUM(GV85,GP85:GR85)</f>
        <v>1740</v>
      </c>
      <c r="GW88" s="496">
        <f>+SUM(GV85:GW85,GQ85:GR85)</f>
        <v>1754</v>
      </c>
      <c r="GX88" s="496">
        <f>+SUM(GV85:GX85,GR85)</f>
        <v>1768</v>
      </c>
      <c r="GY88" s="496">
        <f>+SUM(GV85:GY85)</f>
        <v>1782</v>
      </c>
      <c r="GZ88" s="496">
        <f>+GZ85</f>
        <v>1782</v>
      </c>
    </row>
    <row r="89" spans="1:208" x14ac:dyDescent="0.4">
      <c r="A89" s="438"/>
      <c r="B89" s="447" t="s">
        <v>6</v>
      </c>
      <c r="C89" s="448">
        <f>AU89</f>
        <v>9.6849203580978954E-2</v>
      </c>
      <c r="D89" s="448">
        <f>BB89</f>
        <v>9.0633493623249003E-2</v>
      </c>
      <c r="E89" s="448">
        <f>BI89</f>
        <v>8.8733798604187439E-2</v>
      </c>
      <c r="F89" s="448">
        <f>BP89</f>
        <v>8.1208351843625057E-2</v>
      </c>
      <c r="G89" s="448">
        <f>BW89</f>
        <v>9.9878332042915602E-2</v>
      </c>
      <c r="H89" s="448">
        <f>CD89</f>
        <v>8.9037232042121092E-2</v>
      </c>
      <c r="I89" s="448">
        <f>CK89</f>
        <v>8.311334411990122E-2</v>
      </c>
      <c r="J89" s="448">
        <f>CR89</f>
        <v>9.008166042871725E-2</v>
      </c>
      <c r="K89" s="448">
        <f>CY89</f>
        <v>9.1557472217614858E-2</v>
      </c>
      <c r="L89" s="448">
        <f>DF89</f>
        <v>9.0851685215881287E-2</v>
      </c>
      <c r="M89" s="448">
        <f>DM89</f>
        <v>0.10227753788840911</v>
      </c>
      <c r="N89" s="448">
        <f>DT89</f>
        <v>0.11753545939109224</v>
      </c>
      <c r="O89" s="448">
        <f>EA89</f>
        <v>0.11526998597475456</v>
      </c>
      <c r="P89" s="448">
        <f>EH89</f>
        <v>0.1086530612244898</v>
      </c>
      <c r="Q89" s="448">
        <f>EO89</f>
        <v>0.11300996900393734</v>
      </c>
      <c r="R89" s="448">
        <f>EV89</f>
        <v>0.13068128130019843</v>
      </c>
      <c r="S89" s="448">
        <f>FC89</f>
        <v>0.11340041526912634</v>
      </c>
      <c r="T89" s="448">
        <f>FJ89</f>
        <v>0.10098969905069682</v>
      </c>
      <c r="U89" s="448">
        <f>FQ89</f>
        <v>0.10991335198198812</v>
      </c>
      <c r="V89" s="497">
        <f>FX89</f>
        <v>0.11403026134800551</v>
      </c>
      <c r="W89" s="497">
        <f>GE89</f>
        <v>0.11921657678115243</v>
      </c>
      <c r="X89" s="497">
        <f>GL89</f>
        <v>0.1160416527511114</v>
      </c>
      <c r="Y89" s="497">
        <f>GS89</f>
        <v>0.11369545506021965</v>
      </c>
      <c r="Z89" s="497">
        <f>GZ89</f>
        <v>0.11243868834010698</v>
      </c>
      <c r="AA89" s="449"/>
      <c r="AB89" s="449"/>
      <c r="AC89" s="449"/>
      <c r="AD89" s="449"/>
      <c r="AE89" s="449"/>
      <c r="AF89" s="449"/>
      <c r="AG89" s="449"/>
      <c r="AH89" s="449"/>
      <c r="AI89" s="449"/>
      <c r="AJ89" s="449"/>
      <c r="AK89" s="449"/>
      <c r="AL89" s="449"/>
      <c r="AM89" s="449"/>
      <c r="AN89" s="449"/>
      <c r="AP89" s="447" t="s">
        <v>6</v>
      </c>
      <c r="AQ89" s="448" t="s">
        <v>80</v>
      </c>
      <c r="AR89" s="448" t="s">
        <v>80</v>
      </c>
      <c r="AS89" s="448" t="s">
        <v>80</v>
      </c>
      <c r="AT89" s="448" t="s">
        <v>80</v>
      </c>
      <c r="AU89" s="448">
        <f>+AU88/BS!CO69</f>
        <v>9.6849203580978954E-2</v>
      </c>
      <c r="AW89" s="447" t="s">
        <v>6</v>
      </c>
      <c r="AX89" s="448">
        <f>+AX88/BS!CR69</f>
        <v>9.4741613780598366E-2</v>
      </c>
      <c r="AY89" s="448">
        <f>+AY88/BS!CS69</f>
        <v>9.2897977132805634E-2</v>
      </c>
      <c r="AZ89" s="448">
        <f>+AZ88/BS!CT69</f>
        <v>9.1703056768558958E-2</v>
      </c>
      <c r="BA89" s="448">
        <f>+BA88/BS!CU69</f>
        <v>9.0633493623249003E-2</v>
      </c>
      <c r="BB89" s="448">
        <f>+BB88/BS!CV69</f>
        <v>9.0633493623249003E-2</v>
      </c>
      <c r="BD89" s="447" t="s">
        <v>6</v>
      </c>
      <c r="BE89" s="448">
        <f>+BE88/BS!CY69</f>
        <v>9.1125608366987673E-2</v>
      </c>
      <c r="BF89" s="448">
        <f>+BF88/BS!CZ69</f>
        <v>9.062052017202539E-2</v>
      </c>
      <c r="BG89" s="448">
        <f>+BG88/BS!DA69</f>
        <v>8.9856838257691141E-2</v>
      </c>
      <c r="BH89" s="448">
        <f>+BH88/BS!DB69</f>
        <v>8.8733798604187439E-2</v>
      </c>
      <c r="BI89" s="448">
        <f>+BI88/BS!DC69</f>
        <v>8.8733798604187439E-2</v>
      </c>
      <c r="BK89" s="447" t="s">
        <v>6</v>
      </c>
      <c r="BL89" s="448">
        <f>+BL88/BS!DF69</f>
        <v>8.6231954267997291E-2</v>
      </c>
      <c r="BM89" s="448">
        <f>+BM88/BS!DG69</f>
        <v>8.3940923537109746E-2</v>
      </c>
      <c r="BN89" s="448">
        <f>+BN88/BS!DH69</f>
        <v>8.1555834378920958E-2</v>
      </c>
      <c r="BO89" s="448">
        <f>+BO88/BS!DI69</f>
        <v>8.1208351843625057E-2</v>
      </c>
      <c r="BP89" s="448">
        <f>+BP88/BS!DJ69</f>
        <v>8.1208351843625057E-2</v>
      </c>
      <c r="BR89" s="447" t="s">
        <v>6</v>
      </c>
      <c r="BS89" s="448">
        <f>+BS88/BS!DM69</f>
        <v>8.4623227361201217E-2</v>
      </c>
      <c r="BT89" s="448">
        <f>+BT88/BS!DN69</f>
        <v>9.0295023343597888E-2</v>
      </c>
      <c r="BU89" s="448">
        <f>+BU88/BS!DO69</f>
        <v>9.6114954763171903E-2</v>
      </c>
      <c r="BV89" s="448">
        <f>+BV88/BS!DP69</f>
        <v>9.9878332042915602E-2</v>
      </c>
      <c r="BW89" s="448">
        <f>+BW88/BS!DQ69</f>
        <v>9.9878332042915602E-2</v>
      </c>
      <c r="BY89" s="447" t="s">
        <v>6</v>
      </c>
      <c r="BZ89" s="448">
        <f>+BZ88/BS!DT69</f>
        <v>9.7684437264404955E-2</v>
      </c>
      <c r="CA89" s="448">
        <f>+CA88/BS!DU69</f>
        <v>9.3209054593874838E-2</v>
      </c>
      <c r="CB89" s="448">
        <f>+CB88/BS!DV69</f>
        <v>9.0532544378698218E-2</v>
      </c>
      <c r="CC89" s="448">
        <f>+CC88/BS!DW69</f>
        <v>8.9037232042121092E-2</v>
      </c>
      <c r="CD89" s="448">
        <f>+CD88/BS!DX69</f>
        <v>8.9037232042121092E-2</v>
      </c>
      <c r="CF89" s="447" t="s">
        <v>6</v>
      </c>
      <c r="CG89" s="448">
        <f>+CG88/BS!EA69</f>
        <v>8.7813783660429023E-2</v>
      </c>
      <c r="CH89" s="448">
        <f>+CH88/BS!EB69</f>
        <v>8.6464503580585272E-2</v>
      </c>
      <c r="CI89" s="448">
        <f>+CI88/BS!EC69</f>
        <v>8.5889042039972427E-2</v>
      </c>
      <c r="CJ89" s="448">
        <f>+CJ88/BS!ED69</f>
        <v>8.311334411990122E-2</v>
      </c>
      <c r="CK89" s="448">
        <f>+CK88/BS!EE69</f>
        <v>8.311334411990122E-2</v>
      </c>
      <c r="CM89" s="447" t="s">
        <v>6</v>
      </c>
      <c r="CN89" s="448">
        <f>+CN88/BS!EH69</f>
        <v>8.3200268930162205E-2</v>
      </c>
      <c r="CO89" s="448">
        <f>+CO88/BS!EI69</f>
        <v>8.4678775647494112E-2</v>
      </c>
      <c r="CP89" s="448">
        <f>+CP88/BS!EJ69</f>
        <v>8.6610843271589272E-2</v>
      </c>
      <c r="CQ89" s="448">
        <f>+CQ88/BS!EK69</f>
        <v>9.008166042871725E-2</v>
      </c>
      <c r="CR89" s="448">
        <f>+CR88/BS!EL69</f>
        <v>9.008166042871725E-2</v>
      </c>
      <c r="CT89" s="447" t="s">
        <v>6</v>
      </c>
      <c r="CU89" s="448">
        <f>+CU88/BS!EO69</f>
        <v>9.1249574395641811E-2</v>
      </c>
      <c r="CV89" s="448">
        <f>+CV88/BS!EP69</f>
        <v>9.1910207539178321E-2</v>
      </c>
      <c r="CW89" s="448">
        <f>+CW88/BS!EQ69</f>
        <v>9.1855583543240971E-2</v>
      </c>
      <c r="CX89" s="448">
        <f>+CX88/BS!ER69</f>
        <v>9.1557472217614858E-2</v>
      </c>
      <c r="CY89" s="448">
        <f>+CY88/BS!ES69</f>
        <v>9.1557472217614858E-2</v>
      </c>
      <c r="DA89" s="447" t="s">
        <v>6</v>
      </c>
      <c r="DB89" s="448">
        <f>+DB88/BS!EV69</f>
        <v>9.2222589167767502E-2</v>
      </c>
      <c r="DC89" s="448">
        <f>+DC88/BS!EW69</f>
        <v>9.1804346056808012E-2</v>
      </c>
      <c r="DD89" s="448">
        <f>+DD88/BS!EX69</f>
        <v>9.1294268126948602E-2</v>
      </c>
      <c r="DE89" s="448">
        <f>+DE88/BS!EY69</f>
        <v>9.0851685215881287E-2</v>
      </c>
      <c r="DF89" s="448">
        <f>+DF88/BS!EZ69</f>
        <v>9.0851685215881287E-2</v>
      </c>
      <c r="DH89" s="447" t="s">
        <v>6</v>
      </c>
      <c r="DI89" s="448">
        <f>+DI88/BS!FC69</f>
        <v>9.1690318511510563E-2</v>
      </c>
      <c r="DJ89" s="448">
        <f>+DJ88/BS!FD69</f>
        <v>9.3969929622520793E-2</v>
      </c>
      <c r="DK89" s="448">
        <f>+DK88/BS!FE69</f>
        <v>9.703812796596302E-2</v>
      </c>
      <c r="DL89" s="448">
        <f>+DL88/BS!FF69</f>
        <v>0.10227753788840911</v>
      </c>
      <c r="DM89" s="448">
        <f>+DM88/BS!FG69</f>
        <v>0.10227753788840911</v>
      </c>
      <c r="DO89" s="447" t="s">
        <v>6</v>
      </c>
      <c r="DP89" s="448">
        <f>+DP88/BS!FJ69</f>
        <v>0.10752499561480441</v>
      </c>
      <c r="DQ89" s="448">
        <f>+DQ88/BS!FK69</f>
        <v>0.11284187647165368</v>
      </c>
      <c r="DR89" s="448">
        <f>+DR88/BS!FL69</f>
        <v>0.11698880976602238</v>
      </c>
      <c r="DS89" s="448">
        <f>+DS88/BS!FM69</f>
        <v>0.11753545939109224</v>
      </c>
      <c r="DT89" s="448">
        <f>+DT88/BS!FN69</f>
        <v>0.11753545939109224</v>
      </c>
      <c r="DV89" s="447" t="s">
        <v>6</v>
      </c>
      <c r="DW89" s="448">
        <f>+DW88/BS!FQ69</f>
        <v>0.11554770318021201</v>
      </c>
      <c r="DX89" s="448">
        <f>+DX88/BS!FR69</f>
        <v>0.11394925967616244</v>
      </c>
      <c r="DY89" s="448">
        <f>+DY88/BS!FS69</f>
        <v>0.11448799861854601</v>
      </c>
      <c r="DZ89" s="448">
        <f>+DZ88/BS!FT69</f>
        <v>0.11526998597475456</v>
      </c>
      <c r="EA89" s="448">
        <f>+EA88/BS!FU69</f>
        <v>0.11526998597475456</v>
      </c>
      <c r="EC89" s="447" t="s">
        <v>6</v>
      </c>
      <c r="ED89" s="448">
        <f>+ED88/BS!FX69</f>
        <v>0.11546211125711783</v>
      </c>
      <c r="EE89" s="448">
        <f>+EE88/BS!FY69</f>
        <v>0.11395027624309392</v>
      </c>
      <c r="EF89" s="448">
        <f>+EF88/BS!FZ69</f>
        <v>0.11052631578947368</v>
      </c>
      <c r="EG89" s="448">
        <f>+EG88/BS!GA69</f>
        <v>0.1086530612244898</v>
      </c>
      <c r="EH89" s="448">
        <f>+EH88/BS!GB69</f>
        <v>0.1086530612244898</v>
      </c>
      <c r="EJ89" s="447" t="s">
        <v>6</v>
      </c>
      <c r="EK89" s="448">
        <f>+EK88/BS!GE69</f>
        <v>0.10801646887866312</v>
      </c>
      <c r="EL89" s="448">
        <f>+EL88/BS!GF69</f>
        <v>0.10902316539769966</v>
      </c>
      <c r="EM89" s="448">
        <f>+EM88/BS!GG69</f>
        <v>0.11070110701107011</v>
      </c>
      <c r="EN89" s="448">
        <f>+EN88/BS!GH69</f>
        <v>0.11300996900393734</v>
      </c>
      <c r="EO89" s="448">
        <f>+EO88/BS!GI69</f>
        <v>0.11300996900393734</v>
      </c>
      <c r="EQ89" s="447" t="s">
        <v>6</v>
      </c>
      <c r="ER89" s="448">
        <f>+ER88/BS!GL69</f>
        <v>0.11571440699550047</v>
      </c>
      <c r="ES89" s="448">
        <f>+ES88/BS!GM69</f>
        <v>0.12485190923175066</v>
      </c>
      <c r="ET89" s="448">
        <f>+ET88/BS!GN69</f>
        <v>0.12966268909142159</v>
      </c>
      <c r="EU89" s="448">
        <f>+EU88/BS!GO69</f>
        <v>0.13068128130019843</v>
      </c>
      <c r="EV89" s="448">
        <f>+EV88/BS!GP69</f>
        <v>0.13068128130019843</v>
      </c>
      <c r="EX89" s="447" t="s">
        <v>6</v>
      </c>
      <c r="EY89" s="448">
        <f>+EY88/BS!GS69</f>
        <v>0.13129684090693483</v>
      </c>
      <c r="EZ89" s="448">
        <f>+EZ88/BS!GT69</f>
        <v>0.12309329549485633</v>
      </c>
      <c r="FA89" s="448">
        <f>+FA88/BS!GU69</f>
        <v>0.11803691275167785</v>
      </c>
      <c r="FB89" s="448">
        <f>+FB88/BS!GV69</f>
        <v>0.11340041526912634</v>
      </c>
      <c r="FC89" s="448">
        <f>+FC88/BS!GW69</f>
        <v>0.11340041526912634</v>
      </c>
      <c r="FE89" s="447" t="s">
        <v>6</v>
      </c>
      <c r="FF89" s="448">
        <f>+FF88/BS!GZ69</f>
        <v>0.10935832952293857</v>
      </c>
      <c r="FG89" s="448">
        <f>+FG88/BS!HA69</f>
        <v>0.10439521043952105</v>
      </c>
      <c r="FH89" s="448">
        <f>+FH88/BS!HB69</f>
        <v>0.10082474226804124</v>
      </c>
      <c r="FI89" s="448">
        <f>+FI88/BS!HC69</f>
        <v>0.10098969905069682</v>
      </c>
      <c r="FJ89" s="448">
        <f>+FJ88/BS!HD69</f>
        <v>0.10098969905069682</v>
      </c>
      <c r="FL89" s="447" t="s">
        <v>6</v>
      </c>
      <c r="FM89" s="448">
        <f>+FM88/BS!HG69</f>
        <v>0.10121484220256173</v>
      </c>
      <c r="FN89" s="448">
        <f>+FN88/BS!HH69</f>
        <v>0.10419161676646707</v>
      </c>
      <c r="FO89" s="448">
        <f>+FO88/BS!HI69</f>
        <v>0.10790779900727544</v>
      </c>
      <c r="FP89" s="448">
        <f>+FP88/BS!HJ69</f>
        <v>0.10991335198198812</v>
      </c>
      <c r="FQ89" s="448">
        <f>+FQ88/BS!HK69</f>
        <v>0.10991335198198812</v>
      </c>
      <c r="FS89" s="447" t="s">
        <v>6</v>
      </c>
      <c r="FT89" s="448">
        <f>+FT88/BS!HN69</f>
        <v>0.11126298523783489</v>
      </c>
      <c r="FU89" s="448">
        <f>+FU88/BS!HO69</f>
        <v>0.11179445127784611</v>
      </c>
      <c r="FV89" s="448">
        <f>+FV88/BS!HP69</f>
        <v>0.11259450991076903</v>
      </c>
      <c r="FW89" s="448">
        <f>+FW88/BS!HQ69</f>
        <v>0.11403026134800551</v>
      </c>
      <c r="FX89" s="448">
        <f>+FX88/BS!HR69</f>
        <v>0.11403026134800551</v>
      </c>
      <c r="FZ89" s="447" t="s">
        <v>6</v>
      </c>
      <c r="GA89" s="448">
        <f>+GA88/BS!HU69</f>
        <v>0.11714045651869485</v>
      </c>
      <c r="GB89" s="448">
        <f>+GB88/BS!HV69</f>
        <v>0.1193924408336277</v>
      </c>
      <c r="GC89" s="448">
        <f>+GC88/BS!HW69</f>
        <v>0.12022941301423211</v>
      </c>
      <c r="GD89" s="497">
        <f>+GD88/BS!HX69</f>
        <v>0.11921657678115243</v>
      </c>
      <c r="GE89" s="497">
        <f>+GE88/BS!HY69</f>
        <v>0.11921657678115243</v>
      </c>
      <c r="GG89" s="447" t="s">
        <v>6</v>
      </c>
      <c r="GH89" s="497">
        <f>+GH88/BS!IB69</f>
        <v>0.11847286837819845</v>
      </c>
      <c r="GI89" s="497">
        <f>+GI88/BS!IC69</f>
        <v>0.11746296332696009</v>
      </c>
      <c r="GJ89" s="497">
        <f>+GJ88/BS!ID69</f>
        <v>0.11629336020474061</v>
      </c>
      <c r="GK89" s="497">
        <f>+GK88/BS!IE69</f>
        <v>0.11604165275111138</v>
      </c>
      <c r="GL89" s="497">
        <f>+GL88/BS!IF69</f>
        <v>0.1160416527511114</v>
      </c>
      <c r="GN89" s="447" t="s">
        <v>6</v>
      </c>
      <c r="GO89" s="497">
        <f>+GO88/BS!II69</f>
        <v>0.11526227566748619</v>
      </c>
      <c r="GP89" s="497">
        <f>+GP88/BS!IJ69</f>
        <v>0.11459173614415832</v>
      </c>
      <c r="GQ89" s="497">
        <f>+GQ88/BS!IK69</f>
        <v>0.11407741293109422</v>
      </c>
      <c r="GR89" s="497">
        <f>+GR88/BS!IL69</f>
        <v>0.11369545506021965</v>
      </c>
      <c r="GS89" s="497">
        <f>+GS88/BS!IM69</f>
        <v>0.11369545506021965</v>
      </c>
      <c r="GU89" s="447" t="s">
        <v>6</v>
      </c>
      <c r="GV89" s="497">
        <f>+GV88/BS!IP69</f>
        <v>0.11340199408103523</v>
      </c>
      <c r="GW89" s="497">
        <f>+GW88/BS!IQ69</f>
        <v>0.11307420469574729</v>
      </c>
      <c r="GX89" s="497">
        <f>+GX88/BS!IR69</f>
        <v>0.11274048208613094</v>
      </c>
      <c r="GY89" s="497">
        <f>+GY88/BS!IS69</f>
        <v>0.11243868834010699</v>
      </c>
      <c r="GZ89" s="497">
        <f>+GZ88/BS!IT69</f>
        <v>0.11243868834010698</v>
      </c>
    </row>
    <row r="90" spans="1:208" x14ac:dyDescent="0.4">
      <c r="A90" s="438"/>
      <c r="B90" s="447" t="s">
        <v>119</v>
      </c>
      <c r="C90" s="448">
        <f>AU90</f>
        <v>3.1388951691913483E-2</v>
      </c>
      <c r="D90" s="448">
        <f>BB90</f>
        <v>3.1282698899512899E-2</v>
      </c>
      <c r="E90" s="448">
        <f>BI90</f>
        <v>3.0690713472878377E-2</v>
      </c>
      <c r="F90" s="448">
        <f>BP90</f>
        <v>3.0256885593220338E-2</v>
      </c>
      <c r="G90" s="448">
        <f>BW90</f>
        <v>2.9053119269006788E-2</v>
      </c>
      <c r="H90" s="448">
        <f>CD90</f>
        <v>2.9533759550912208E-2</v>
      </c>
      <c r="I90" s="448">
        <f>CK90</f>
        <v>2.8957987182530263E-2</v>
      </c>
      <c r="J90" s="448">
        <f>CR90</f>
        <v>3.0017857649026335E-2</v>
      </c>
      <c r="K90" s="448">
        <f>CY90</f>
        <v>2.9690189328743545E-2</v>
      </c>
      <c r="L90" s="448">
        <f>DF90</f>
        <v>2.9255521947995831E-2</v>
      </c>
      <c r="M90" s="448">
        <f>DM90</f>
        <v>2.9056621927166019E-2</v>
      </c>
      <c r="N90" s="448">
        <f>DT90</f>
        <v>3.0096930159391123E-2</v>
      </c>
      <c r="O90" s="448">
        <f>EA90</f>
        <v>2.9667900009024455E-2</v>
      </c>
      <c r="P90" s="448">
        <f>EH90</f>
        <v>2.9706505970315811E-2</v>
      </c>
      <c r="Q90" s="448">
        <f>EO90</f>
        <v>2.9911308203991131E-2</v>
      </c>
      <c r="R90" s="448">
        <f>EV90</f>
        <v>3.0190897997644357E-2</v>
      </c>
      <c r="S90" s="448">
        <f>FC90</f>
        <v>3.0534351145038167E-2</v>
      </c>
      <c r="T90" s="448">
        <f>FJ90</f>
        <v>3.0951447496027899E-2</v>
      </c>
      <c r="U90" s="448">
        <f>FQ90</f>
        <v>3.203993556214077E-2</v>
      </c>
      <c r="V90" s="497">
        <f>FX90</f>
        <v>3.1767929336475639E-2</v>
      </c>
      <c r="W90" s="497">
        <f>GE90</f>
        <v>3.0800256668805575E-2</v>
      </c>
      <c r="X90" s="497">
        <f>GL90</f>
        <v>2.9485898596881215E-2</v>
      </c>
      <c r="Y90" s="497">
        <f>GS90</f>
        <v>2.8969034042817487E-2</v>
      </c>
      <c r="Z90" s="497">
        <f>GZ90</f>
        <v>2.863465845580623E-2</v>
      </c>
      <c r="AA90" s="449"/>
      <c r="AB90" s="449"/>
      <c r="AC90" s="449"/>
      <c r="AD90" s="449"/>
      <c r="AE90" s="449"/>
      <c r="AF90" s="449"/>
      <c r="AG90" s="449"/>
      <c r="AH90" s="449"/>
      <c r="AI90" s="449"/>
      <c r="AJ90" s="449"/>
      <c r="AK90" s="449"/>
      <c r="AL90" s="449"/>
      <c r="AM90" s="449"/>
      <c r="AN90" s="449"/>
      <c r="AP90" s="447" t="s">
        <v>119</v>
      </c>
      <c r="AQ90" s="448" t="s">
        <v>80</v>
      </c>
      <c r="AR90" s="448" t="s">
        <v>80</v>
      </c>
      <c r="AS90" s="448" t="s">
        <v>80</v>
      </c>
      <c r="AT90" s="448" t="s">
        <v>80</v>
      </c>
      <c r="AU90" s="448">
        <f>+AU88/BS!CO20</f>
        <v>3.1388951691913483E-2</v>
      </c>
      <c r="AW90" s="447" t="s">
        <v>119</v>
      </c>
      <c r="AX90" s="448">
        <f>+AX88/BS!CR20</f>
        <v>3.1135940409683427E-2</v>
      </c>
      <c r="AY90" s="448">
        <f>+AY88/BS!CS20</f>
        <v>3.1033089720518565E-2</v>
      </c>
      <c r="AZ90" s="448">
        <f>+AZ88/BS!CT20</f>
        <v>3.1531531531531529E-2</v>
      </c>
      <c r="BA90" s="448">
        <f>+BA88/BS!CU20</f>
        <v>3.1282698899512899E-2</v>
      </c>
      <c r="BB90" s="448">
        <f>+BB88/BS!CV20</f>
        <v>3.1282698899512899E-2</v>
      </c>
      <c r="BD90" s="447" t="s">
        <v>119</v>
      </c>
      <c r="BE90" s="448">
        <f>+BE88/BS!CY20</f>
        <v>3.1371430608534458E-2</v>
      </c>
      <c r="BF90" s="448">
        <f>+BF88/BS!CZ20</f>
        <v>3.1237866647841585E-2</v>
      </c>
      <c r="BG90" s="448">
        <f>+BG88/BS!DA20</f>
        <v>3.0977633098813399E-2</v>
      </c>
      <c r="BH90" s="448">
        <f>+BH88/BS!DB20</f>
        <v>3.0690713472878377E-2</v>
      </c>
      <c r="BI90" s="448">
        <f>+BI88/BS!DC20</f>
        <v>3.0690713472878377E-2</v>
      </c>
      <c r="BK90" s="447" t="s">
        <v>119</v>
      </c>
      <c r="BL90" s="448">
        <f>+BL88/BS!DF20</f>
        <v>3.0370243985667976E-2</v>
      </c>
      <c r="BM90" s="448">
        <f>+BM88/BS!DG20</f>
        <v>3.0284635100499124E-2</v>
      </c>
      <c r="BN90" s="448">
        <f>+BN88/BS!DH20</f>
        <v>3.0169412856811326E-2</v>
      </c>
      <c r="BO90" s="448">
        <f>+BO88/BS!DI20</f>
        <v>3.0256885593220338E-2</v>
      </c>
      <c r="BP90" s="448">
        <f>+BP88/BS!DJ20</f>
        <v>3.0256885593220338E-2</v>
      </c>
      <c r="BR90" s="447" t="s">
        <v>119</v>
      </c>
      <c r="BS90" s="448">
        <f>+BS88/BS!DM20</f>
        <v>3.0033882693509654E-2</v>
      </c>
      <c r="BT90" s="448">
        <f>+BT88/BS!DN20</f>
        <v>2.9721422966256867E-2</v>
      </c>
      <c r="BU90" s="448">
        <f>+BU88/BS!DO20</f>
        <v>2.9313423145593247E-2</v>
      </c>
      <c r="BV90" s="448">
        <f>+BV88/BS!DP20</f>
        <v>2.9053119269006788E-2</v>
      </c>
      <c r="BW90" s="448">
        <f>+BW88/BS!DQ20</f>
        <v>2.9053119269006788E-2</v>
      </c>
      <c r="BY90" s="447" t="s">
        <v>119</v>
      </c>
      <c r="BZ90" s="448">
        <f>+BZ88/BS!DT20</f>
        <v>2.8999872106407469E-2</v>
      </c>
      <c r="CA90" s="448">
        <f>+CA88/BS!DU20</f>
        <v>2.9175082555865473E-2</v>
      </c>
      <c r="CB90" s="448">
        <f>+CB88/BS!DV20</f>
        <v>2.9182693836030137E-2</v>
      </c>
      <c r="CC90" s="448">
        <f>+CC88/BS!DW20</f>
        <v>2.9533759550912208E-2</v>
      </c>
      <c r="CD90" s="448">
        <f>+CD88/BS!DX20</f>
        <v>2.9533759550912208E-2</v>
      </c>
      <c r="CF90" s="447" t="s">
        <v>119</v>
      </c>
      <c r="CG90" s="448">
        <f>+CG88/BS!EA20</f>
        <v>2.9728059332509271E-2</v>
      </c>
      <c r="CH90" s="448">
        <f>+CH88/BS!EB20</f>
        <v>2.9837996155840985E-2</v>
      </c>
      <c r="CI90" s="448">
        <f>+CI88/BS!EC20</f>
        <v>3.0083582269696148E-2</v>
      </c>
      <c r="CJ90" s="448">
        <f>+CJ88/BS!ED20</f>
        <v>2.8957987182530263E-2</v>
      </c>
      <c r="CK90" s="448">
        <f>+CK88/BS!EE20</f>
        <v>2.8957987182530263E-2</v>
      </c>
      <c r="CM90" s="447" t="s">
        <v>119</v>
      </c>
      <c r="CN90" s="448">
        <f>+CN88/BS!EH20</f>
        <v>2.9115934356802542E-2</v>
      </c>
      <c r="CO90" s="448">
        <f>+CO88/BS!EI20</f>
        <v>2.9090593944996534E-2</v>
      </c>
      <c r="CP90" s="448">
        <f>+CP88/BS!EJ20</f>
        <v>2.9240434037692747E-2</v>
      </c>
      <c r="CQ90" s="448">
        <f>+CQ88/BS!EK20</f>
        <v>3.0017857649026335E-2</v>
      </c>
      <c r="CR90" s="448">
        <f>+CR88/BS!EL20</f>
        <v>3.0017857649026335E-2</v>
      </c>
      <c r="CT90" s="447" t="s">
        <v>119</v>
      </c>
      <c r="CU90" s="448">
        <f>+CU88/BS!EO20</f>
        <v>3.0049896283007232E-2</v>
      </c>
      <c r="CV90" s="448">
        <f>+CV88/BS!EP20</f>
        <v>3.0014661539738304E-2</v>
      </c>
      <c r="CW90" s="448">
        <f>+CW88/BS!EQ20</f>
        <v>2.9860523514479896E-2</v>
      </c>
      <c r="CX90" s="448">
        <f>+CX88/BS!ER20</f>
        <v>2.9690189328743545E-2</v>
      </c>
      <c r="CY90" s="448">
        <f>+CY88/BS!ES20</f>
        <v>2.9690189328743545E-2</v>
      </c>
      <c r="DA90" s="447" t="s">
        <v>119</v>
      </c>
      <c r="DB90" s="448">
        <f>+DB88/BS!EV20</f>
        <v>2.970428677800234E-2</v>
      </c>
      <c r="DC90" s="448">
        <f>+DC88/BS!EW20</f>
        <v>2.967640094711918E-2</v>
      </c>
      <c r="DD90" s="448">
        <f>+DD88/BS!EX20</f>
        <v>2.9636934575558611E-2</v>
      </c>
      <c r="DE90" s="448">
        <f>+DE88/BS!EY20</f>
        <v>2.9255521947995831E-2</v>
      </c>
      <c r="DF90" s="448">
        <f>+DF88/BS!EZ20</f>
        <v>2.9255521947995831E-2</v>
      </c>
      <c r="DH90" s="447" t="s">
        <v>119</v>
      </c>
      <c r="DI90" s="448">
        <f>+DI88/BS!FC20</f>
        <v>2.9203495379670551E-2</v>
      </c>
      <c r="DJ90" s="448">
        <f>+DJ88/BS!FD20</f>
        <v>2.9146925309453526E-2</v>
      </c>
      <c r="DK90" s="448">
        <f>+DK88/BS!FE20</f>
        <v>2.9038023651543718E-2</v>
      </c>
      <c r="DL90" s="448">
        <f>+DL88/BS!FF20</f>
        <v>2.9056621927166019E-2</v>
      </c>
      <c r="DM90" s="448">
        <f>+DM88/BS!FG20</f>
        <v>2.9056621927166019E-2</v>
      </c>
      <c r="DO90" s="447" t="s">
        <v>119</v>
      </c>
      <c r="DP90" s="448">
        <f>+DP88/BS!FJ20</f>
        <v>2.9284605278872566E-2</v>
      </c>
      <c r="DQ90" s="448">
        <f>+DQ88/BS!FK20</f>
        <v>2.9424961624749085E-2</v>
      </c>
      <c r="DR90" s="448">
        <f>+DR88/BS!FL20</f>
        <v>2.9611423220973782E-2</v>
      </c>
      <c r="DS90" s="448">
        <f>+DS88/BS!FM20</f>
        <v>3.0096930159391123E-2</v>
      </c>
      <c r="DT90" s="448">
        <f>+DT88/BS!FN20</f>
        <v>3.0096930159391123E-2</v>
      </c>
      <c r="DV90" s="447" t="s">
        <v>119</v>
      </c>
      <c r="DW90" s="448">
        <f>+DW88/BS!FQ20</f>
        <v>3.0138943293624276E-2</v>
      </c>
      <c r="DX90" s="448">
        <f>+DX88/BS!FR20</f>
        <v>3.0079312472857764E-2</v>
      </c>
      <c r="DY90" s="448">
        <f>+DY88/BS!FS20</f>
        <v>3.0064618523976874E-2</v>
      </c>
      <c r="DZ90" s="448">
        <f>+DZ88/BS!FT20</f>
        <v>2.9667900009024455E-2</v>
      </c>
      <c r="EA90" s="448">
        <f>+EA88/BS!FU20</f>
        <v>2.9667900009024455E-2</v>
      </c>
      <c r="EC90" s="447" t="s">
        <v>119</v>
      </c>
      <c r="ED90" s="448">
        <f>+ED88/BS!FX20</f>
        <v>2.9884588349998867E-2</v>
      </c>
      <c r="EE90" s="448">
        <f>+EE88/BS!FY20</f>
        <v>2.9792804586286283E-2</v>
      </c>
      <c r="EF90" s="448">
        <f>+EF88/BS!FZ20</f>
        <v>2.9740361919748229E-2</v>
      </c>
      <c r="EG90" s="448">
        <f>+EG88/BS!GA20</f>
        <v>2.9706505970315811E-2</v>
      </c>
      <c r="EH90" s="448">
        <f>+EH88/BS!GB20</f>
        <v>2.9706505970315811E-2</v>
      </c>
      <c r="EJ90" s="447" t="s">
        <v>119</v>
      </c>
      <c r="EK90" s="448">
        <f>+EK88/BS!GE20</f>
        <v>2.9848748494177485E-2</v>
      </c>
      <c r="EL90" s="448">
        <f>+EL88/BS!GF20</f>
        <v>3.0074179998212529E-2</v>
      </c>
      <c r="EM90" s="448">
        <f>+EM88/BS!GG20</f>
        <v>2.9992002132764595E-2</v>
      </c>
      <c r="EN90" s="448">
        <f>+EN88/BS!GH20</f>
        <v>2.9911308203991131E-2</v>
      </c>
      <c r="EO90" s="448">
        <f>+EO88/BS!GI20</f>
        <v>2.9911308203991131E-2</v>
      </c>
      <c r="EQ90" s="447" t="s">
        <v>119</v>
      </c>
      <c r="ER90" s="448">
        <f>+ER88/BS!GL20</f>
        <v>3.0245201375790527E-2</v>
      </c>
      <c r="ES90" s="448">
        <f>+ES88/BS!GM20</f>
        <v>3.0224810819158558E-2</v>
      </c>
      <c r="ET90" s="448">
        <f>+ET88/BS!GN20</f>
        <v>3.0390451232134599E-2</v>
      </c>
      <c r="EU90" s="448">
        <f>+EU88/BS!GO20</f>
        <v>3.0190897997644357E-2</v>
      </c>
      <c r="EV90" s="448">
        <f>+EV88/BS!GP20</f>
        <v>3.0190897997644357E-2</v>
      </c>
      <c r="EX90" s="447" t="s">
        <v>119</v>
      </c>
      <c r="EY90" s="448">
        <f>+EY88/BS!GS20</f>
        <v>3.0355537034193844E-2</v>
      </c>
      <c r="EZ90" s="448">
        <f>+EZ88/BS!GT20</f>
        <v>3.0362689766811043E-2</v>
      </c>
      <c r="FA90" s="448">
        <f>+FA88/BS!GU20</f>
        <v>3.0437416172716652E-2</v>
      </c>
      <c r="FB90" s="448">
        <f>+FB88/BS!GV20</f>
        <v>3.0534351145038167E-2</v>
      </c>
      <c r="FC90" s="448">
        <f>+FC88/BS!GW20</f>
        <v>3.0534351145038167E-2</v>
      </c>
      <c r="FE90" s="447" t="s">
        <v>119</v>
      </c>
      <c r="FF90" s="448">
        <f>+FF88/BS!GZ20</f>
        <v>3.0795973989741827E-2</v>
      </c>
      <c r="FG90" s="448">
        <f>+FG88/BS!HA20</f>
        <v>3.0687518442018294E-2</v>
      </c>
      <c r="FH90" s="448">
        <f>+FH88/BS!HB20</f>
        <v>3.0732810994259858E-2</v>
      </c>
      <c r="FI90" s="448">
        <f>+FI88/BS!HC20</f>
        <v>3.0951447496027899E-2</v>
      </c>
      <c r="FJ90" s="448">
        <f>+FJ88/BS!HD20</f>
        <v>3.0951447496027899E-2</v>
      </c>
      <c r="FL90" s="447" t="s">
        <v>119</v>
      </c>
      <c r="FM90" s="448">
        <f>+FM88/BS!HG20</f>
        <v>3.1426814268142679E-2</v>
      </c>
      <c r="FN90" s="448">
        <f>+FN88/BS!HH20</f>
        <v>3.1802765987693181E-2</v>
      </c>
      <c r="FO90" s="448">
        <f>+FO88/BS!HI20</f>
        <v>3.1937372964923223E-2</v>
      </c>
      <c r="FP90" s="448">
        <f>+FP88/BS!HJ20</f>
        <v>3.203993556214077E-2</v>
      </c>
      <c r="FQ90" s="448">
        <f>+FQ88/BS!HK20</f>
        <v>3.203993556214077E-2</v>
      </c>
      <c r="FS90" s="447" t="s">
        <v>119</v>
      </c>
      <c r="FT90" s="448">
        <f>+FT88/BS!HN20</f>
        <v>3.2163107256455339E-2</v>
      </c>
      <c r="FU90" s="448">
        <f>+FU88/BS!HO20</f>
        <v>3.2037599138353079E-2</v>
      </c>
      <c r="FV90" s="448">
        <f>+FV88/BS!HP20</f>
        <v>3.2095217754305572E-2</v>
      </c>
      <c r="FW90" s="448">
        <f>+FW88/BS!HQ20</f>
        <v>3.1767929336475639E-2</v>
      </c>
      <c r="FX90" s="448">
        <f>+FX88/BS!HR20</f>
        <v>3.1767929336475639E-2</v>
      </c>
      <c r="FZ90" s="447" t="s">
        <v>119</v>
      </c>
      <c r="GA90" s="448">
        <f>+GA88/BS!HU20</f>
        <v>3.1761400311349053E-2</v>
      </c>
      <c r="GB90" s="448">
        <f>+GB88/BS!HV20</f>
        <v>3.1688886388779508E-2</v>
      </c>
      <c r="GC90" s="448">
        <f>+GC88/BS!HW20</f>
        <v>3.1523837813753154E-2</v>
      </c>
      <c r="GD90" s="497">
        <f>+GD88/BS!HX20</f>
        <v>3.0800256668805575E-2</v>
      </c>
      <c r="GE90" s="497">
        <f>+GE88/BS!HY20</f>
        <v>3.0800256668805575E-2</v>
      </c>
      <c r="GG90" s="447" t="s">
        <v>119</v>
      </c>
      <c r="GH90" s="497">
        <f>+GH88/BS!IB20</f>
        <v>3.0346329105729167E-2</v>
      </c>
      <c r="GI90" s="497">
        <f>+GI88/BS!IC20</f>
        <v>2.9883084872581615E-2</v>
      </c>
      <c r="GJ90" s="497">
        <f>+GJ88/BS!ID20</f>
        <v>2.9498279414490004E-2</v>
      </c>
      <c r="GK90" s="497">
        <f>+GK88/BS!IE20</f>
        <v>2.9485898596881215E-2</v>
      </c>
      <c r="GL90" s="497">
        <f>+GL88/BS!IF20</f>
        <v>2.9485898596881215E-2</v>
      </c>
      <c r="GN90" s="447" t="s">
        <v>119</v>
      </c>
      <c r="GO90" s="497">
        <f>+GO88/BS!II20</f>
        <v>2.9306005469379996E-2</v>
      </c>
      <c r="GP90" s="497">
        <f>+GP88/BS!IJ20</f>
        <v>2.9160589951953537E-2</v>
      </c>
      <c r="GQ90" s="497">
        <f>+GQ88/BS!IK20</f>
        <v>2.9048620605053914E-2</v>
      </c>
      <c r="GR90" s="497">
        <f>+GR88/BS!IL20</f>
        <v>2.8969034042817487E-2</v>
      </c>
      <c r="GS90" s="497">
        <f>+GS88/BS!IM20</f>
        <v>2.8969034042817487E-2</v>
      </c>
      <c r="GU90" s="447" t="s">
        <v>119</v>
      </c>
      <c r="GV90" s="497">
        <f>+GV88/BS!IP20</f>
        <v>2.8887835151735337E-2</v>
      </c>
      <c r="GW90" s="497">
        <f>+GW88/BS!IQ20</f>
        <v>2.8804991773508634E-2</v>
      </c>
      <c r="GX90" s="497">
        <f>+GX88/BS!IR20</f>
        <v>2.8720549851835538E-2</v>
      </c>
      <c r="GY90" s="497">
        <f>+GY88/BS!IS20</f>
        <v>2.863465845580623E-2</v>
      </c>
      <c r="GZ90" s="497">
        <f>+GZ88/BS!IT20</f>
        <v>2.863465845580623E-2</v>
      </c>
    </row>
    <row r="91" spans="1:208" x14ac:dyDescent="0.4">
      <c r="A91" s="438"/>
      <c r="B91" s="76"/>
      <c r="V91" s="80"/>
      <c r="W91" s="80"/>
      <c r="X91" s="80"/>
      <c r="Y91" s="80"/>
      <c r="Z91" s="80"/>
      <c r="AA91" s="78"/>
      <c r="AB91" s="78"/>
      <c r="AC91" s="78"/>
      <c r="AD91" s="78"/>
      <c r="AE91" s="78"/>
      <c r="AF91" s="78"/>
      <c r="AG91" s="78"/>
      <c r="AH91" s="78"/>
      <c r="AI91" s="78"/>
      <c r="AJ91" s="78"/>
      <c r="AK91" s="78"/>
      <c r="AL91" s="78"/>
      <c r="AM91" s="78"/>
      <c r="AN91" s="78"/>
      <c r="AP91" s="76"/>
      <c r="AW91" s="76"/>
      <c r="BD91" s="76"/>
      <c r="BK91" s="76"/>
      <c r="BR91" s="76"/>
      <c r="BY91" s="76"/>
      <c r="CF91" s="76"/>
      <c r="CM91" s="76"/>
      <c r="CT91" s="76"/>
      <c r="DA91" s="76"/>
      <c r="DH91" s="76"/>
      <c r="DO91" s="76"/>
      <c r="DV91" s="76"/>
      <c r="EC91" s="76"/>
      <c r="EJ91" s="76"/>
      <c r="EQ91" s="76"/>
      <c r="EX91" s="76"/>
      <c r="FE91" s="76"/>
      <c r="FL91" s="76"/>
      <c r="FS91" s="76"/>
      <c r="FZ91" s="76"/>
      <c r="GD91" s="80"/>
      <c r="GE91" s="80"/>
      <c r="GG91" s="76"/>
      <c r="GH91" s="80"/>
      <c r="GI91" s="80"/>
      <c r="GJ91" s="80"/>
      <c r="GK91" s="80"/>
      <c r="GL91" s="80"/>
      <c r="GN91" s="76"/>
      <c r="GO91" s="80"/>
      <c r="GP91" s="80"/>
      <c r="GQ91" s="80"/>
      <c r="GR91" s="80"/>
      <c r="GS91" s="80"/>
      <c r="GU91" s="76"/>
      <c r="GV91" s="80"/>
      <c r="GW91" s="80"/>
      <c r="GX91" s="80"/>
      <c r="GY91" s="80"/>
      <c r="GZ91" s="80"/>
    </row>
    <row r="92" spans="1:208" x14ac:dyDescent="0.4">
      <c r="A92" s="366"/>
      <c r="B92" s="443" t="s">
        <v>222</v>
      </c>
      <c r="C92" s="444">
        <f>AU92</f>
        <v>-46</v>
      </c>
      <c r="D92" s="444">
        <f>BB92</f>
        <v>42</v>
      </c>
      <c r="E92" s="444">
        <f>BI92</f>
        <v>272</v>
      </c>
      <c r="F92" s="444">
        <f>BP92</f>
        <v>428</v>
      </c>
      <c r="G92" s="444">
        <f>BW92</f>
        <v>430</v>
      </c>
      <c r="H92" s="444">
        <f>CD92</f>
        <v>474</v>
      </c>
      <c r="I92" s="444">
        <f>CK92</f>
        <v>609</v>
      </c>
      <c r="J92" s="444">
        <f>CR92</f>
        <v>592</v>
      </c>
      <c r="K92" s="444">
        <f>CY92</f>
        <v>300</v>
      </c>
      <c r="L92" s="444">
        <f>DF92</f>
        <v>298</v>
      </c>
      <c r="M92" s="444">
        <f>DM92</f>
        <v>456</v>
      </c>
      <c r="N92" s="444">
        <f>DT92</f>
        <v>405</v>
      </c>
      <c r="O92" s="444">
        <f>EA92</f>
        <v>-3233</v>
      </c>
      <c r="P92" s="444">
        <f>EH92</f>
        <v>279</v>
      </c>
      <c r="Q92" s="444">
        <f>EO92</f>
        <v>273</v>
      </c>
      <c r="R92" s="444">
        <f>EV92</f>
        <v>180</v>
      </c>
      <c r="S92" s="444">
        <f>FC92</f>
        <v>167</v>
      </c>
      <c r="T92" s="444">
        <f>FJ92</f>
        <v>117</v>
      </c>
      <c r="U92" s="444">
        <f>FQ92</f>
        <v>140</v>
      </c>
      <c r="V92" s="496">
        <f>FX92</f>
        <v>12</v>
      </c>
      <c r="W92" s="496">
        <f>GE92</f>
        <v>194</v>
      </c>
      <c r="X92" s="496">
        <f>GL92</f>
        <v>177.41097088783889</v>
      </c>
      <c r="Y92" s="496">
        <f>GS92</f>
        <v>229.27384836430514</v>
      </c>
      <c r="Z92" s="496">
        <f>GZ92</f>
        <v>257.26409505322619</v>
      </c>
      <c r="AA92" s="445"/>
      <c r="AB92" s="445"/>
      <c r="AC92" s="445"/>
      <c r="AD92" s="445"/>
      <c r="AE92" s="445"/>
      <c r="AF92" s="445"/>
      <c r="AG92" s="445"/>
      <c r="AH92" s="445"/>
      <c r="AI92" s="445"/>
      <c r="AJ92" s="445"/>
      <c r="AK92" s="445"/>
      <c r="AL92" s="445"/>
      <c r="AM92" s="445"/>
      <c r="AN92" s="445"/>
      <c r="AP92" s="443" t="s">
        <v>222</v>
      </c>
      <c r="AQ92" s="444">
        <f>+CF!AQ11</f>
        <v>8</v>
      </c>
      <c r="AR92" s="444">
        <f>+CF!AR11</f>
        <v>-59</v>
      </c>
      <c r="AS92" s="444">
        <f>+CF!AS11</f>
        <v>-81</v>
      </c>
      <c r="AT92" s="444">
        <f>+CF!AT11</f>
        <v>86</v>
      </c>
      <c r="AU92" s="444">
        <f>+CF!AU11</f>
        <v>-46</v>
      </c>
      <c r="AW92" s="443" t="s">
        <v>222</v>
      </c>
      <c r="AX92" s="444">
        <f>+CF!AX11</f>
        <v>26</v>
      </c>
      <c r="AY92" s="444">
        <f>+CF!AY11</f>
        <v>-20</v>
      </c>
      <c r="AZ92" s="444">
        <f>+CF!AZ11</f>
        <v>40</v>
      </c>
      <c r="BA92" s="444">
        <f>+CF!BA11</f>
        <v>-4</v>
      </c>
      <c r="BB92" s="444">
        <f>+CF!BB11</f>
        <v>42</v>
      </c>
      <c r="BD92" s="443" t="s">
        <v>222</v>
      </c>
      <c r="BE92" s="444">
        <f>+CF!BE11</f>
        <v>14</v>
      </c>
      <c r="BF92" s="444">
        <f>+CF!BF11</f>
        <v>37</v>
      </c>
      <c r="BG92" s="444">
        <f>+CF!BG11</f>
        <v>103</v>
      </c>
      <c r="BH92" s="444">
        <f>+CF!BH11</f>
        <v>118</v>
      </c>
      <c r="BI92" s="444">
        <f>+CF!BI11</f>
        <v>272</v>
      </c>
      <c r="BK92" s="443" t="s">
        <v>222</v>
      </c>
      <c r="BL92" s="444">
        <f>+CF!BL11</f>
        <v>89</v>
      </c>
      <c r="BM92" s="444">
        <f>+CF!BM11</f>
        <v>112</v>
      </c>
      <c r="BN92" s="444">
        <f>+CF!BN11</f>
        <v>155</v>
      </c>
      <c r="BO92" s="444">
        <f>+CF!BO11</f>
        <v>72</v>
      </c>
      <c r="BP92" s="444">
        <f>+CF!BP11</f>
        <v>428</v>
      </c>
      <c r="BR92" s="443" t="s">
        <v>222</v>
      </c>
      <c r="BS92" s="444">
        <f>+CF!BS11</f>
        <v>79</v>
      </c>
      <c r="BT92" s="444">
        <f>+CF!BT11</f>
        <v>130</v>
      </c>
      <c r="BU92" s="444">
        <f>+CF!BU11</f>
        <v>117</v>
      </c>
      <c r="BV92" s="444">
        <f>+CF!BV11</f>
        <v>104</v>
      </c>
      <c r="BW92" s="444">
        <f>+CF!BW11</f>
        <v>430</v>
      </c>
      <c r="BY92" s="443" t="s">
        <v>222</v>
      </c>
      <c r="BZ92" s="444">
        <f>+CF!BZ11</f>
        <v>46</v>
      </c>
      <c r="CA92" s="444">
        <f>+CF!CA11</f>
        <v>33</v>
      </c>
      <c r="CB92" s="444">
        <f>+CF!CB11</f>
        <v>60</v>
      </c>
      <c r="CC92" s="444">
        <f>+CF!CC11</f>
        <v>335</v>
      </c>
      <c r="CD92" s="444">
        <f>+CF!CD11</f>
        <v>474</v>
      </c>
      <c r="CF92" s="443" t="s">
        <v>222</v>
      </c>
      <c r="CG92" s="444">
        <f>+CF!CG11</f>
        <v>137</v>
      </c>
      <c r="CH92" s="444">
        <f>+CF!CH11</f>
        <v>143</v>
      </c>
      <c r="CI92" s="444">
        <f>+CF!CI11</f>
        <v>206</v>
      </c>
      <c r="CJ92" s="444">
        <f>+CF!CJ11</f>
        <v>123</v>
      </c>
      <c r="CK92" s="444">
        <f>+CF!CK11</f>
        <v>609</v>
      </c>
      <c r="CM92" s="443" t="s">
        <v>222</v>
      </c>
      <c r="CN92" s="444">
        <f>+CF!CN11</f>
        <v>195</v>
      </c>
      <c r="CO92" s="444">
        <f>+CF!CO11</f>
        <v>105</v>
      </c>
      <c r="CP92" s="444">
        <f>+CF!CP11</f>
        <v>156</v>
      </c>
      <c r="CQ92" s="444">
        <f>+CF!CQ11</f>
        <v>136</v>
      </c>
      <c r="CR92" s="444">
        <f>+CF!CR11</f>
        <v>592</v>
      </c>
      <c r="CT92" s="443" t="s">
        <v>222</v>
      </c>
      <c r="CU92" s="444">
        <f>+CF!CU11</f>
        <v>82</v>
      </c>
      <c r="CV92" s="444">
        <f>+CF!CV11</f>
        <v>90</v>
      </c>
      <c r="CW92" s="444">
        <f>+CF!CW11</f>
        <v>57</v>
      </c>
      <c r="CX92" s="444">
        <f>+CF!CX11</f>
        <v>71</v>
      </c>
      <c r="CY92" s="444">
        <f>+CF!CY11</f>
        <v>300</v>
      </c>
      <c r="DA92" s="443" t="s">
        <v>222</v>
      </c>
      <c r="DB92" s="444">
        <f>+CF!DB11</f>
        <v>-1</v>
      </c>
      <c r="DC92" s="444">
        <f>+CF!DC11</f>
        <v>87</v>
      </c>
      <c r="DD92" s="444">
        <f>+CF!DD11</f>
        <v>4</v>
      </c>
      <c r="DE92" s="444">
        <f>+CF!DE11</f>
        <v>208</v>
      </c>
      <c r="DF92" s="444">
        <f>+CF!DF11</f>
        <v>298</v>
      </c>
      <c r="DH92" s="443" t="s">
        <v>222</v>
      </c>
      <c r="DI92" s="444">
        <f>+CF!DI11</f>
        <v>6</v>
      </c>
      <c r="DJ92" s="444">
        <f>+CF!DJ11</f>
        <v>27</v>
      </c>
      <c r="DK92" s="444">
        <f>+CF!DK11</f>
        <v>49</v>
      </c>
      <c r="DL92" s="444">
        <f>+CF!DL11</f>
        <v>374</v>
      </c>
      <c r="DM92" s="444">
        <f>+CF!DM11</f>
        <v>456</v>
      </c>
      <c r="DO92" s="443" t="s">
        <v>222</v>
      </c>
      <c r="DP92" s="444">
        <f>+CF!DP11</f>
        <v>80</v>
      </c>
      <c r="DQ92" s="444">
        <f>+CF!DQ11</f>
        <v>85</v>
      </c>
      <c r="DR92" s="444">
        <f>+CF!DR11</f>
        <v>147</v>
      </c>
      <c r="DS92" s="444">
        <f>+CF!DS11</f>
        <v>93</v>
      </c>
      <c r="DT92" s="444">
        <f>+CF!DT11</f>
        <v>405</v>
      </c>
      <c r="DV92" s="443" t="s">
        <v>222</v>
      </c>
      <c r="DW92" s="444">
        <f>+CF!DW11</f>
        <v>59</v>
      </c>
      <c r="DX92" s="444">
        <f>+CF!DX11</f>
        <v>53</v>
      </c>
      <c r="DY92" s="444">
        <f>+CF!DY11</f>
        <v>49</v>
      </c>
      <c r="DZ92" s="444">
        <f>+CF!DZ11</f>
        <v>-3394</v>
      </c>
      <c r="EA92" s="444">
        <f>+CF!EA11</f>
        <v>-3233</v>
      </c>
      <c r="EC92" s="443" t="s">
        <v>222</v>
      </c>
      <c r="ED92" s="444">
        <f>+CF!ED11</f>
        <v>54</v>
      </c>
      <c r="EE92" s="444">
        <f>+CF!EE11</f>
        <v>44</v>
      </c>
      <c r="EF92" s="444">
        <f>+CF!EF11</f>
        <v>50</v>
      </c>
      <c r="EG92" s="444">
        <f>+CF!EG11</f>
        <v>131</v>
      </c>
      <c r="EH92" s="444">
        <f>+CF!EH11</f>
        <v>279</v>
      </c>
      <c r="EJ92" s="443" t="s">
        <v>222</v>
      </c>
      <c r="EK92" s="444">
        <f>+CF!EK11</f>
        <v>51</v>
      </c>
      <c r="EL92" s="444">
        <f>+CF!EL11</f>
        <v>46</v>
      </c>
      <c r="EM92" s="444">
        <f>+CF!EM11</f>
        <v>89</v>
      </c>
      <c r="EN92" s="444">
        <f>+CF!EN11</f>
        <v>87</v>
      </c>
      <c r="EO92" s="444">
        <f>+CF!EO11</f>
        <v>273</v>
      </c>
      <c r="EQ92" s="443" t="s">
        <v>222</v>
      </c>
      <c r="ER92" s="444">
        <f>+CF!ER11</f>
        <v>28</v>
      </c>
      <c r="ES92" s="444">
        <f>+CF!ES11</f>
        <v>33</v>
      </c>
      <c r="ET92" s="444">
        <f>+CF!ET11</f>
        <v>56</v>
      </c>
      <c r="EU92" s="444">
        <f>+CF!EU11</f>
        <v>63</v>
      </c>
      <c r="EV92" s="444">
        <f>+CF!EV11</f>
        <v>180</v>
      </c>
      <c r="EX92" s="443" t="s">
        <v>222</v>
      </c>
      <c r="EY92" s="444">
        <f>+CF!EY11</f>
        <v>40</v>
      </c>
      <c r="EZ92" s="444">
        <f>+CF!EZ11</f>
        <v>26</v>
      </c>
      <c r="FA92" s="444">
        <f>+CF!FA11</f>
        <v>43</v>
      </c>
      <c r="FB92" s="444">
        <f>+CF!FB11</f>
        <v>58</v>
      </c>
      <c r="FC92" s="444">
        <f>+CF!FC11</f>
        <v>167</v>
      </c>
      <c r="FE92" s="443" t="s">
        <v>222</v>
      </c>
      <c r="FF92" s="444">
        <f>+CF!FF11</f>
        <v>37</v>
      </c>
      <c r="FG92" s="444">
        <f>+CF!FG11</f>
        <v>69</v>
      </c>
      <c r="FH92" s="444">
        <f>+CF!FH11</f>
        <v>19</v>
      </c>
      <c r="FI92" s="444">
        <f>+CF!FI11</f>
        <v>-8</v>
      </c>
      <c r="FJ92" s="444">
        <f>+CF!FJ11</f>
        <v>117</v>
      </c>
      <c r="FL92" s="443" t="s">
        <v>222</v>
      </c>
      <c r="FM92" s="444">
        <f>+CF!FM11</f>
        <v>35</v>
      </c>
      <c r="FN92" s="444">
        <f>+CF!FN11</f>
        <v>43</v>
      </c>
      <c r="FO92" s="444">
        <f>+CF!FO11</f>
        <v>33</v>
      </c>
      <c r="FP92" s="444">
        <f>+CF!FP11</f>
        <v>29</v>
      </c>
      <c r="FQ92" s="444">
        <f>+CF!FQ11</f>
        <v>140</v>
      </c>
      <c r="FS92" s="443" t="s">
        <v>222</v>
      </c>
      <c r="FT92" s="444">
        <f>+CF!FT11</f>
        <v>7</v>
      </c>
      <c r="FU92" s="444">
        <f>+CF!FU11</f>
        <v>7</v>
      </c>
      <c r="FV92" s="444">
        <f>+CF!FV11</f>
        <v>5</v>
      </c>
      <c r="FW92" s="444">
        <f>+CF!FW11</f>
        <v>-7</v>
      </c>
      <c r="FX92" s="444">
        <f>+CF!FX11</f>
        <v>12</v>
      </c>
      <c r="FZ92" s="443" t="s">
        <v>222</v>
      </c>
      <c r="GA92" s="444">
        <f>+CF!GA11</f>
        <v>13</v>
      </c>
      <c r="GB92" s="444">
        <f>+CF!GB11</f>
        <v>-14</v>
      </c>
      <c r="GC92" s="444">
        <f>+CF!GC11</f>
        <v>144</v>
      </c>
      <c r="GD92" s="496">
        <f>+GD94*BS!HX95/4</f>
        <v>23.483858695652174</v>
      </c>
      <c r="GE92" s="496">
        <f>+CF!GE11</f>
        <v>194</v>
      </c>
      <c r="GG92" s="443" t="s">
        <v>222</v>
      </c>
      <c r="GH92" s="496">
        <f>+GH94*BS!IB95/4</f>
        <v>36.12426764760464</v>
      </c>
      <c r="GI92" s="496">
        <f>+GI94*BS!IC95/4</f>
        <v>36.847690708690244</v>
      </c>
      <c r="GJ92" s="496">
        <f>+GJ94*BS!ID95/4</f>
        <v>51.178925853107273</v>
      </c>
      <c r="GK92" s="496">
        <f>+GK94*BS!IE95/4</f>
        <v>53.260086678436721</v>
      </c>
      <c r="GL92" s="496">
        <f>+CF!GL11</f>
        <v>177.41097088783889</v>
      </c>
      <c r="GN92" s="443" t="s">
        <v>222</v>
      </c>
      <c r="GO92" s="496">
        <f>+GO94*BS!II95/4</f>
        <v>54.728029805537098</v>
      </c>
      <c r="GP92" s="496">
        <f>+GP94*BS!IJ95/4</f>
        <v>56.255391291836133</v>
      </c>
      <c r="GQ92" s="496">
        <f>+GQ94*BS!IK95/4</f>
        <v>57.866058651395271</v>
      </c>
      <c r="GR92" s="496">
        <f>+GR94*BS!IL95/4</f>
        <v>60.42436861553665</v>
      </c>
      <c r="GS92" s="496">
        <f>+CF!GS11</f>
        <v>229.27384836430514</v>
      </c>
      <c r="GU92" s="443" t="s">
        <v>222</v>
      </c>
      <c r="GV92" s="496">
        <f>+GV94*BS!IP95/4</f>
        <v>61.960341164614988</v>
      </c>
      <c r="GW92" s="496">
        <f>+GW94*BS!IQ95/4</f>
        <v>63.486870585235707</v>
      </c>
      <c r="GX92" s="496">
        <f>+GX94*BS!IR95/4</f>
        <v>64.926930771712009</v>
      </c>
      <c r="GY92" s="496">
        <f>+GY94*BS!IS95/4</f>
        <v>66.889952531663468</v>
      </c>
      <c r="GZ92" s="496">
        <f>+CF!GZ11</f>
        <v>257.26409505322619</v>
      </c>
    </row>
    <row r="93" spans="1:208" x14ac:dyDescent="0.4">
      <c r="A93" s="366"/>
      <c r="B93" s="443" t="s">
        <v>223</v>
      </c>
      <c r="C93" s="444">
        <f>AU93</f>
        <v>-46</v>
      </c>
      <c r="D93" s="444">
        <f>BB93</f>
        <v>42</v>
      </c>
      <c r="E93" s="444">
        <f>BI93</f>
        <v>272</v>
      </c>
      <c r="F93" s="444">
        <f>BP93</f>
        <v>428</v>
      </c>
      <c r="G93" s="444">
        <f>BW93</f>
        <v>430</v>
      </c>
      <c r="H93" s="444">
        <f>CD93</f>
        <v>474</v>
      </c>
      <c r="I93" s="444">
        <f>CK93</f>
        <v>609</v>
      </c>
      <c r="J93" s="444">
        <f>CR93</f>
        <v>592</v>
      </c>
      <c r="K93" s="444">
        <f>CY93</f>
        <v>300</v>
      </c>
      <c r="L93" s="444">
        <f>DF93</f>
        <v>298</v>
      </c>
      <c r="M93" s="444">
        <f>DM93</f>
        <v>456</v>
      </c>
      <c r="N93" s="444">
        <f>DT93</f>
        <v>405</v>
      </c>
      <c r="O93" s="444">
        <f>EA93</f>
        <v>-3233</v>
      </c>
      <c r="P93" s="444">
        <f>EH93</f>
        <v>279</v>
      </c>
      <c r="Q93" s="444">
        <f>EO93</f>
        <v>273</v>
      </c>
      <c r="R93" s="444">
        <f>EV93</f>
        <v>180</v>
      </c>
      <c r="S93" s="444">
        <f>FC93</f>
        <v>167</v>
      </c>
      <c r="T93" s="444">
        <f>FJ93</f>
        <v>117</v>
      </c>
      <c r="U93" s="444">
        <f>FQ93</f>
        <v>140</v>
      </c>
      <c r="V93" s="496">
        <f>FX93</f>
        <v>12</v>
      </c>
      <c r="W93" s="496">
        <f>GE93</f>
        <v>194</v>
      </c>
      <c r="X93" s="496">
        <f>GL93</f>
        <v>177.41097088783889</v>
      </c>
      <c r="Y93" s="496">
        <f>GS93</f>
        <v>229.27384836430514</v>
      </c>
      <c r="Z93" s="496">
        <f>GZ93</f>
        <v>257.26409505322619</v>
      </c>
      <c r="AA93" s="445"/>
      <c r="AB93" s="445"/>
      <c r="AC93" s="445"/>
      <c r="AD93" s="445"/>
      <c r="AE93" s="445"/>
      <c r="AF93" s="445"/>
      <c r="AG93" s="445"/>
      <c r="AH93" s="445"/>
      <c r="AI93" s="445"/>
      <c r="AJ93" s="445"/>
      <c r="AK93" s="445"/>
      <c r="AL93" s="445"/>
      <c r="AM93" s="445"/>
      <c r="AN93" s="445"/>
      <c r="AP93" s="443" t="s">
        <v>223</v>
      </c>
      <c r="AQ93" s="444" t="s">
        <v>80</v>
      </c>
      <c r="AR93" s="444" t="s">
        <v>80</v>
      </c>
      <c r="AS93" s="444" t="s">
        <v>80</v>
      </c>
      <c r="AT93" s="444" t="s">
        <v>80</v>
      </c>
      <c r="AU93" s="444">
        <f>+AU92</f>
        <v>-46</v>
      </c>
      <c r="AW93" s="443" t="s">
        <v>223</v>
      </c>
      <c r="AX93" s="444">
        <f>+SUM(AX92,AR92:AT92)</f>
        <v>-28</v>
      </c>
      <c r="AY93" s="444">
        <f>+SUM(AX92:AY92,AS92:AT92)</f>
        <v>11</v>
      </c>
      <c r="AZ93" s="444">
        <f>+SUM(AX92:AZ92,AT92)</f>
        <v>132</v>
      </c>
      <c r="BA93" s="444">
        <f>+SUM(AX92:BA92)</f>
        <v>42</v>
      </c>
      <c r="BB93" s="444">
        <f>+BB92</f>
        <v>42</v>
      </c>
      <c r="BD93" s="443" t="s">
        <v>223</v>
      </c>
      <c r="BE93" s="444">
        <f>+SUM(BE92,AY92:BA92)</f>
        <v>30</v>
      </c>
      <c r="BF93" s="444">
        <f>+SUM(BE92:BF92,AZ92:BA92)</f>
        <v>87</v>
      </c>
      <c r="BG93" s="444">
        <f>+SUM(BE92:BG92,BA92)</f>
        <v>150</v>
      </c>
      <c r="BH93" s="444">
        <f>+SUM(BE92:BH92)</f>
        <v>272</v>
      </c>
      <c r="BI93" s="444">
        <f>+BI92</f>
        <v>272</v>
      </c>
      <c r="BK93" s="443" t="s">
        <v>223</v>
      </c>
      <c r="BL93" s="444">
        <f>+SUM(BL92,BF92:BH92)</f>
        <v>347</v>
      </c>
      <c r="BM93" s="444">
        <f>+SUM(BL92:BM92,BG92:BH92)</f>
        <v>422</v>
      </c>
      <c r="BN93" s="444">
        <f>+SUM(BL92:BN92,BH92)</f>
        <v>474</v>
      </c>
      <c r="BO93" s="444">
        <f>+SUM(BL92:BO92)</f>
        <v>428</v>
      </c>
      <c r="BP93" s="444">
        <f>+BP92</f>
        <v>428</v>
      </c>
      <c r="BR93" s="443" t="s">
        <v>223</v>
      </c>
      <c r="BS93" s="444">
        <f>+SUM(BS92,BM92:BO92)</f>
        <v>418</v>
      </c>
      <c r="BT93" s="444">
        <f>+SUM(BS92:BT92,BN92:BO92)</f>
        <v>436</v>
      </c>
      <c r="BU93" s="444">
        <f>+SUM(BS92:BU92,BO92)</f>
        <v>398</v>
      </c>
      <c r="BV93" s="444">
        <f>+SUM(BS92:BV92)</f>
        <v>430</v>
      </c>
      <c r="BW93" s="444">
        <f>+BW92</f>
        <v>430</v>
      </c>
      <c r="BY93" s="443" t="s">
        <v>223</v>
      </c>
      <c r="BZ93" s="444">
        <f>+SUM(BZ92,BT92:BV92)</f>
        <v>397</v>
      </c>
      <c r="CA93" s="444">
        <f>+SUM(BZ92:CA92,BU92:BV92)</f>
        <v>300</v>
      </c>
      <c r="CB93" s="444">
        <f>+SUM(BZ92:CB92,BV92)</f>
        <v>243</v>
      </c>
      <c r="CC93" s="444">
        <f>+SUM(BZ92:CC92)</f>
        <v>474</v>
      </c>
      <c r="CD93" s="444">
        <f>+CD92</f>
        <v>474</v>
      </c>
      <c r="CF93" s="443" t="s">
        <v>223</v>
      </c>
      <c r="CG93" s="444">
        <f>+SUM(CG92,CA92:CC92)</f>
        <v>565</v>
      </c>
      <c r="CH93" s="444">
        <f>+SUM(CG92:CH92,CB92:CC92)</f>
        <v>675</v>
      </c>
      <c r="CI93" s="444">
        <f>+SUM(CG92:CI92,CC92)</f>
        <v>821</v>
      </c>
      <c r="CJ93" s="444">
        <f>+SUM(CG92:CJ92)</f>
        <v>609</v>
      </c>
      <c r="CK93" s="444">
        <f>+CK92</f>
        <v>609</v>
      </c>
      <c r="CM93" s="443" t="s">
        <v>223</v>
      </c>
      <c r="CN93" s="444">
        <f>+SUM(CN92,CH92:CJ92)</f>
        <v>667</v>
      </c>
      <c r="CO93" s="444">
        <f>+SUM(CN92:CO92,CI92:CJ92)</f>
        <v>629</v>
      </c>
      <c r="CP93" s="444">
        <f>+SUM(CN92:CP92,CJ92)</f>
        <v>579</v>
      </c>
      <c r="CQ93" s="444">
        <f>+SUM(CN92:CQ92)</f>
        <v>592</v>
      </c>
      <c r="CR93" s="444">
        <f>+CR92</f>
        <v>592</v>
      </c>
      <c r="CT93" s="443" t="s">
        <v>223</v>
      </c>
      <c r="CU93" s="444">
        <f>+SUM(CU92,CO92:CQ92)</f>
        <v>479</v>
      </c>
      <c r="CV93" s="444">
        <f>+SUM(CU92:CV92,CP92:CQ92)</f>
        <v>464</v>
      </c>
      <c r="CW93" s="444">
        <f>+SUM(CU92:CW92,CQ92)</f>
        <v>365</v>
      </c>
      <c r="CX93" s="444">
        <f>+SUM(CU92:CX92)</f>
        <v>300</v>
      </c>
      <c r="CY93" s="444">
        <f>+CY92</f>
        <v>300</v>
      </c>
      <c r="DA93" s="443" t="s">
        <v>223</v>
      </c>
      <c r="DB93" s="444">
        <f>+SUM(DB92,CV92:CX92)</f>
        <v>217</v>
      </c>
      <c r="DC93" s="444">
        <f>+SUM(DB92:DC92,CW92:CX92)</f>
        <v>214</v>
      </c>
      <c r="DD93" s="444">
        <f>+SUM(DB92:DD92,CX92)</f>
        <v>161</v>
      </c>
      <c r="DE93" s="444">
        <f>+SUM(DB92:DE92)</f>
        <v>298</v>
      </c>
      <c r="DF93" s="444">
        <f>+DF92</f>
        <v>298</v>
      </c>
      <c r="DH93" s="443" t="s">
        <v>223</v>
      </c>
      <c r="DI93" s="444">
        <f>+SUM(DI92,DC92:DE92)</f>
        <v>305</v>
      </c>
      <c r="DJ93" s="444">
        <f>+SUM(DI92:DJ92,DD92:DE92)</f>
        <v>245</v>
      </c>
      <c r="DK93" s="444">
        <f>+SUM(DI92:DK92,DE92)</f>
        <v>290</v>
      </c>
      <c r="DL93" s="444">
        <f>+SUM(DI92:DL92)</f>
        <v>456</v>
      </c>
      <c r="DM93" s="444">
        <f>+DM92</f>
        <v>456</v>
      </c>
      <c r="DO93" s="443" t="s">
        <v>223</v>
      </c>
      <c r="DP93" s="444">
        <f>+SUM(DP92,DJ92:DL92)</f>
        <v>530</v>
      </c>
      <c r="DQ93" s="444">
        <f>+SUM(DP92:DQ92,DK92:DL92)</f>
        <v>588</v>
      </c>
      <c r="DR93" s="444">
        <f>+SUM(DP92:DR92,DL92)</f>
        <v>686</v>
      </c>
      <c r="DS93" s="444">
        <f>+SUM(DP92:DS92)</f>
        <v>405</v>
      </c>
      <c r="DT93" s="444">
        <f>+DT92</f>
        <v>405</v>
      </c>
      <c r="DV93" s="443" t="s">
        <v>223</v>
      </c>
      <c r="DW93" s="444">
        <f>+SUM(DW92,DQ92:DS92)</f>
        <v>384</v>
      </c>
      <c r="DX93" s="444">
        <f>+SUM(DW92:DX92,DR92:DS92)</f>
        <v>352</v>
      </c>
      <c r="DY93" s="444">
        <f>+SUM(DW92:DY92,DS92)</f>
        <v>254</v>
      </c>
      <c r="DZ93" s="444">
        <f>+SUM(DW92:DZ92)</f>
        <v>-3233</v>
      </c>
      <c r="EA93" s="444">
        <f>+EA92</f>
        <v>-3233</v>
      </c>
      <c r="EC93" s="443" t="s">
        <v>223</v>
      </c>
      <c r="ED93" s="444">
        <f>+SUM(ED92,DX92:DZ92)</f>
        <v>-3238</v>
      </c>
      <c r="EE93" s="444">
        <f>+SUM(ED92:EE92,DY92:DZ92)</f>
        <v>-3247</v>
      </c>
      <c r="EF93" s="444">
        <f>+SUM(ED92:EF92,DZ92)</f>
        <v>-3246</v>
      </c>
      <c r="EG93" s="444">
        <f>+SUM(ED92:EG92)</f>
        <v>279</v>
      </c>
      <c r="EH93" s="444">
        <f>+EH92</f>
        <v>279</v>
      </c>
      <c r="EJ93" s="443" t="s">
        <v>223</v>
      </c>
      <c r="EK93" s="444">
        <f>+SUM(EK92,EE92:EG92)</f>
        <v>276</v>
      </c>
      <c r="EL93" s="444">
        <f>+SUM(EK92:EL92,EF92:EG92)</f>
        <v>278</v>
      </c>
      <c r="EM93" s="444">
        <f>+SUM(EK92:EM92,EG92)</f>
        <v>317</v>
      </c>
      <c r="EN93" s="444">
        <f>+SUM(EK92:EN92)</f>
        <v>273</v>
      </c>
      <c r="EO93" s="444">
        <f>+EO92</f>
        <v>273</v>
      </c>
      <c r="EQ93" s="443" t="s">
        <v>223</v>
      </c>
      <c r="ER93" s="444">
        <f>+SUM(ER92,EL92:EN92)</f>
        <v>250</v>
      </c>
      <c r="ES93" s="444">
        <f>+SUM(ER92:ES92,EM92:EN92)</f>
        <v>237</v>
      </c>
      <c r="ET93" s="444">
        <f>+SUM(ER92:ET92,EN92)</f>
        <v>204</v>
      </c>
      <c r="EU93" s="444">
        <f>+SUM(ER92:EU92)</f>
        <v>180</v>
      </c>
      <c r="EV93" s="444">
        <f>+EV92</f>
        <v>180</v>
      </c>
      <c r="EX93" s="443" t="s">
        <v>223</v>
      </c>
      <c r="EY93" s="444">
        <f>+SUM(EY92,ES92:EU92)</f>
        <v>192</v>
      </c>
      <c r="EZ93" s="444">
        <f>+SUM(EY92:EZ92,ET92:EU92)</f>
        <v>185</v>
      </c>
      <c r="FA93" s="444">
        <f>+SUM(EY92:FA92,EU92)</f>
        <v>172</v>
      </c>
      <c r="FB93" s="444">
        <f>+SUM(EY92:FB92)</f>
        <v>167</v>
      </c>
      <c r="FC93" s="444">
        <f>+FC92</f>
        <v>167</v>
      </c>
      <c r="FE93" s="443" t="s">
        <v>223</v>
      </c>
      <c r="FF93" s="444">
        <f>+SUM(FF92,EZ92:FB92)</f>
        <v>164</v>
      </c>
      <c r="FG93" s="444">
        <f>+SUM(FF92:FG92,FA92:FB92)</f>
        <v>207</v>
      </c>
      <c r="FH93" s="444">
        <f>+SUM(FF92:FH92,FB92)</f>
        <v>183</v>
      </c>
      <c r="FI93" s="444">
        <f>+SUM(FF92:FI92)</f>
        <v>117</v>
      </c>
      <c r="FJ93" s="444">
        <f>+FJ92</f>
        <v>117</v>
      </c>
      <c r="FL93" s="443" t="s">
        <v>223</v>
      </c>
      <c r="FM93" s="444">
        <f>+SUM(FM92,FG92:FI92)</f>
        <v>115</v>
      </c>
      <c r="FN93" s="444">
        <f>+SUM(FM92:FN92,FH92:FI92)</f>
        <v>89</v>
      </c>
      <c r="FO93" s="444">
        <f>+SUM(FM92:FO92,FI92)</f>
        <v>103</v>
      </c>
      <c r="FP93" s="444">
        <f>+SUM(FM92:FP92)</f>
        <v>140</v>
      </c>
      <c r="FQ93" s="444">
        <f>+FQ92</f>
        <v>140</v>
      </c>
      <c r="FS93" s="443" t="s">
        <v>223</v>
      </c>
      <c r="FT93" s="444">
        <f>+SUM(FT92,FN92:FP92)</f>
        <v>112</v>
      </c>
      <c r="FU93" s="444">
        <f>+SUM(FT92:FU92,FO92:FP92)</f>
        <v>76</v>
      </c>
      <c r="FV93" s="444">
        <f>+SUM(FT92:FV92,FP92)</f>
        <v>48</v>
      </c>
      <c r="FW93" s="444">
        <f>+SUM(FT92:FW92)</f>
        <v>12</v>
      </c>
      <c r="FX93" s="444">
        <f>+FX92</f>
        <v>12</v>
      </c>
      <c r="FZ93" s="443" t="s">
        <v>223</v>
      </c>
      <c r="GA93" s="444">
        <f>+SUM(GA92,FU92:FW92)</f>
        <v>18</v>
      </c>
      <c r="GB93" s="444">
        <f>+SUM(GA92:GB92,FV92:FW92)</f>
        <v>-3</v>
      </c>
      <c r="GC93" s="444">
        <f>+SUM(GA92:GC92,FW92)</f>
        <v>136</v>
      </c>
      <c r="GD93" s="496">
        <f>+SUM(GA92:GD92)</f>
        <v>166.48385869565217</v>
      </c>
      <c r="GE93" s="496">
        <f>+GE92</f>
        <v>194</v>
      </c>
      <c r="GG93" s="443" t="s">
        <v>223</v>
      </c>
      <c r="GH93" s="496">
        <f>+SUM(GH92,GB92:GD92)</f>
        <v>189.60812634325683</v>
      </c>
      <c r="GI93" s="496">
        <f>+SUM(GH92:GI92,GC92:GD92)</f>
        <v>240.45581705194707</v>
      </c>
      <c r="GJ93" s="496">
        <f>+SUM(GH92:GJ92,GD92)</f>
        <v>147.63474290505434</v>
      </c>
      <c r="GK93" s="496">
        <f>+SUM(GH92:GK92)</f>
        <v>177.41097088783889</v>
      </c>
      <c r="GL93" s="496">
        <f>+GL92</f>
        <v>177.41097088783889</v>
      </c>
      <c r="GN93" s="443" t="s">
        <v>223</v>
      </c>
      <c r="GO93" s="496">
        <f>+SUM(GO92,GI92:GK92)</f>
        <v>196.01473304577132</v>
      </c>
      <c r="GP93" s="496">
        <f>+SUM(GO92:GP92,GJ92:GK92)</f>
        <v>215.42243362891722</v>
      </c>
      <c r="GQ93" s="496">
        <f>+SUM(GO92:GQ92,GK92)</f>
        <v>222.10956642720521</v>
      </c>
      <c r="GR93" s="496">
        <f>+SUM(GO92:GR92)</f>
        <v>229.27384836430514</v>
      </c>
      <c r="GS93" s="496">
        <f>+GS92</f>
        <v>229.27384836430514</v>
      </c>
      <c r="GU93" s="443" t="s">
        <v>223</v>
      </c>
      <c r="GV93" s="496">
        <f>+SUM(GV92,GP92:GR92)</f>
        <v>236.50615972338304</v>
      </c>
      <c r="GW93" s="496">
        <f>+SUM(GV92:GW92,GQ92:GR92)</f>
        <v>243.73763901678262</v>
      </c>
      <c r="GX93" s="496">
        <f>+SUM(GV92:GX92,GR92)</f>
        <v>250.79851113709935</v>
      </c>
      <c r="GY93" s="496">
        <f>+SUM(GV92:GY92)</f>
        <v>257.26409505322619</v>
      </c>
      <c r="GZ93" s="496">
        <f>+GZ92</f>
        <v>257.26409505322619</v>
      </c>
    </row>
    <row r="94" spans="1:208" x14ac:dyDescent="0.4">
      <c r="A94" s="438"/>
      <c r="B94" s="447" t="s">
        <v>203</v>
      </c>
      <c r="C94" s="448">
        <f>AU94</f>
        <v>-0.10233365720749363</v>
      </c>
      <c r="D94" s="448">
        <f>BB94</f>
        <v>6.9438703810862201E-2</v>
      </c>
      <c r="E94" s="448">
        <f>BI94</f>
        <v>0.3918630784302426</v>
      </c>
      <c r="F94" s="448">
        <f>BP94</f>
        <v>0.49871824749475646</v>
      </c>
      <c r="G94" s="448">
        <f>BW94</f>
        <v>0.67716535433070868</v>
      </c>
      <c r="H94" s="448">
        <f>CD94</f>
        <v>0.47975708502024289</v>
      </c>
      <c r="I94" s="448">
        <f>CK94</f>
        <v>0.55616438356164388</v>
      </c>
      <c r="J94" s="448">
        <f>CR94</f>
        <v>0.54195580130728527</v>
      </c>
      <c r="K94" s="448">
        <f>CY94</f>
        <v>0.27297543221110099</v>
      </c>
      <c r="L94" s="448">
        <f>DF94</f>
        <v>0.26678603401969564</v>
      </c>
      <c r="M94" s="448">
        <f>DM94</f>
        <v>0.38974358974358975</v>
      </c>
      <c r="N94" s="448">
        <f>DT94</f>
        <v>0.37785137845780664</v>
      </c>
      <c r="O94" s="448">
        <f>EA94</f>
        <v>-2.6327361563517915</v>
      </c>
      <c r="P94" s="448">
        <f>EH94</f>
        <v>0.28040201005025128</v>
      </c>
      <c r="Q94" s="448">
        <f>EO94</f>
        <v>0.27715736040609135</v>
      </c>
      <c r="R94" s="448">
        <f>EV94</f>
        <v>0.20881670533642691</v>
      </c>
      <c r="S94" s="448">
        <f>FC94</f>
        <v>0.15341258063817667</v>
      </c>
      <c r="T94" s="448">
        <f>FJ94</f>
        <v>9.6039881476735811E-2</v>
      </c>
      <c r="U94" s="448">
        <f>FQ94</f>
        <v>0.12058570198105081</v>
      </c>
      <c r="V94" s="497">
        <f>FX94</f>
        <v>1.0801080108010801E-2</v>
      </c>
      <c r="W94" s="497">
        <f>GE94</f>
        <v>0.2065248331994918</v>
      </c>
      <c r="X94" s="497">
        <f>GL94</f>
        <v>0.16655152286831221</v>
      </c>
      <c r="Y94" s="497">
        <f>GS94</f>
        <v>0.18971968894131974</v>
      </c>
      <c r="Z94" s="497">
        <f>GZ94</f>
        <v>0.19230398984918246</v>
      </c>
      <c r="AA94" s="449"/>
      <c r="AB94" s="449"/>
      <c r="AC94" s="449"/>
      <c r="AD94" s="449"/>
      <c r="AE94" s="449"/>
      <c r="AF94" s="449"/>
      <c r="AG94" s="449"/>
      <c r="AH94" s="449"/>
      <c r="AI94" s="449"/>
      <c r="AJ94" s="449"/>
      <c r="AK94" s="449"/>
      <c r="AL94" s="449"/>
      <c r="AM94" s="449"/>
      <c r="AN94" s="449"/>
      <c r="AP94" s="447" t="s">
        <v>203</v>
      </c>
      <c r="AQ94" s="448" t="s">
        <v>80</v>
      </c>
      <c r="AR94" s="448" t="s">
        <v>80</v>
      </c>
      <c r="AS94" s="448" t="s">
        <v>80</v>
      </c>
      <c r="AT94" s="448" t="s">
        <v>80</v>
      </c>
      <c r="AU94" s="448">
        <f>AU93/BS!CO95</f>
        <v>-0.10233365720749363</v>
      </c>
      <c r="AW94" s="447" t="s">
        <v>203</v>
      </c>
      <c r="AX94" s="448">
        <f>AX93/BS!CR95</f>
        <v>-5.4315146544069409E-2</v>
      </c>
      <c r="AY94" s="448">
        <f>AY93/BS!CS95</f>
        <v>0.02</v>
      </c>
      <c r="AZ94" s="448">
        <f>AZ93/BS!CT95</f>
        <v>0.21915988709945211</v>
      </c>
      <c r="BA94" s="448">
        <f>BA93/BS!CU95</f>
        <v>6.9438703810862201E-2</v>
      </c>
      <c r="BB94" s="448">
        <f>BB93/BS!CV95</f>
        <v>6.9438703810862201E-2</v>
      </c>
      <c r="BD94" s="447" t="s">
        <v>203</v>
      </c>
      <c r="BE94" s="448">
        <f>BE93/BS!CY95</f>
        <v>5.1383060717650079E-2</v>
      </c>
      <c r="BF94" s="448">
        <f>BF93/BS!CZ95</f>
        <v>0.14219171365530767</v>
      </c>
      <c r="BG94" s="448">
        <f>BG93/BS!DA95</f>
        <v>0.23713540431586438</v>
      </c>
      <c r="BH94" s="448">
        <f>BH93/BS!DB95</f>
        <v>0.3918630784302426</v>
      </c>
      <c r="BI94" s="448">
        <f>BI93/BS!DC95</f>
        <v>0.3918630784302426</v>
      </c>
      <c r="BK94" s="447" t="s">
        <v>203</v>
      </c>
      <c r="BL94" s="448">
        <f>BL93/BS!DF95</f>
        <v>0.45411715437365857</v>
      </c>
      <c r="BM94" s="448">
        <f>BM93/BS!DG95</f>
        <v>0.52967165378050007</v>
      </c>
      <c r="BN94" s="448">
        <f>BN93/BS!DH95</f>
        <v>0.55652092236885364</v>
      </c>
      <c r="BO94" s="448">
        <f>BO93/BS!DI95</f>
        <v>0.49871824749475646</v>
      </c>
      <c r="BP94" s="448">
        <f>BP93/BS!DJ95</f>
        <v>0.49871824749475646</v>
      </c>
      <c r="BR94" s="447" t="s">
        <v>203</v>
      </c>
      <c r="BS94" s="448">
        <f>BS93/BS!DM95</f>
        <v>0.53234844625573097</v>
      </c>
      <c r="BT94" s="448">
        <f>BT93/BS!DN95</f>
        <v>0.59676977826444022</v>
      </c>
      <c r="BU94" s="448">
        <f>BU93/BS!DO95</f>
        <v>0.59085510688836107</v>
      </c>
      <c r="BV94" s="448">
        <f>BV93/BS!DP95</f>
        <v>0.67716535433070868</v>
      </c>
      <c r="BW94" s="448">
        <f>BW93/BS!DQ95</f>
        <v>0.67716535433070868</v>
      </c>
      <c r="BY94" s="447" t="s">
        <v>203</v>
      </c>
      <c r="BZ94" s="448">
        <f>BZ93/BS!DT95</f>
        <v>0.56232294617563738</v>
      </c>
      <c r="CA94" s="448">
        <f>CA93/BS!DU95</f>
        <v>0.37878787878787878</v>
      </c>
      <c r="CB94" s="448">
        <f>CB93/BS!DV95</f>
        <v>0.27395715896279593</v>
      </c>
      <c r="CC94" s="448">
        <f>CC93/BS!DW95</f>
        <v>0.47975708502024289</v>
      </c>
      <c r="CD94" s="448">
        <f>CD93/BS!DX95</f>
        <v>0.47975708502024289</v>
      </c>
      <c r="CF94" s="447" t="s">
        <v>203</v>
      </c>
      <c r="CG94" s="448">
        <f>CG93/BS!EA95</f>
        <v>0.54642166344294008</v>
      </c>
      <c r="CH94" s="448">
        <f>CH93/BS!EB95</f>
        <v>0.625</v>
      </c>
      <c r="CI94" s="448">
        <f>CI93/BS!EC95</f>
        <v>0.74908759124087587</v>
      </c>
      <c r="CJ94" s="448">
        <f>CJ93/BS!ED95</f>
        <v>0.55616438356164388</v>
      </c>
      <c r="CK94" s="448">
        <f>CK93/BS!EE95</f>
        <v>0.55616438356164388</v>
      </c>
      <c r="CM94" s="447" t="s">
        <v>203</v>
      </c>
      <c r="CN94" s="448">
        <f>CN93/BS!EH95</f>
        <v>0.59606791778373547</v>
      </c>
      <c r="CO94" s="448">
        <f>CO93/BS!EI95</f>
        <v>0.55911111111111111</v>
      </c>
      <c r="CP94" s="448">
        <f>CP93/BS!EJ95</f>
        <v>0.52209197475202884</v>
      </c>
      <c r="CQ94" s="448">
        <f>CQ93/BS!EK95</f>
        <v>0.54195580130728527</v>
      </c>
      <c r="CR94" s="448">
        <f>CR93/BS!EL95</f>
        <v>0.54195580130728527</v>
      </c>
      <c r="CT94" s="447" t="s">
        <v>203</v>
      </c>
      <c r="CU94" s="448">
        <f>CU93/BS!EO95</f>
        <v>0.43890996389759379</v>
      </c>
      <c r="CV94" s="448">
        <f>CV93/BS!EP95</f>
        <v>0.42207142467298564</v>
      </c>
      <c r="CW94" s="448">
        <f>CW93/BS!EQ95</f>
        <v>0.33051415324990496</v>
      </c>
      <c r="CX94" s="448">
        <f>CX93/BS!ER95</f>
        <v>0.27297543221110099</v>
      </c>
      <c r="CY94" s="448">
        <f>CY93/BS!ES95</f>
        <v>0.27297543221110099</v>
      </c>
      <c r="DA94" s="447" t="s">
        <v>203</v>
      </c>
      <c r="DB94" s="448">
        <f>DB93/BS!EV95</f>
        <v>0.20845341018251681</v>
      </c>
      <c r="DC94" s="448">
        <f>DC93/BS!EW95</f>
        <v>0.20419847328244276</v>
      </c>
      <c r="DD94" s="448">
        <f>DD93/BS!EX95</f>
        <v>0.14893617021276595</v>
      </c>
      <c r="DE94" s="448">
        <f>DE93/BS!EY95</f>
        <v>0.26678603401969564</v>
      </c>
      <c r="DF94" s="448">
        <f>DF93/BS!EZ95</f>
        <v>0.26678603401969564</v>
      </c>
      <c r="DH94" s="447" t="s">
        <v>203</v>
      </c>
      <c r="DI94" s="448">
        <f>DI93/BS!FC95</f>
        <v>0.25891341256366723</v>
      </c>
      <c r="DJ94" s="448">
        <f>DJ93/BS!FD95</f>
        <v>0.20570948782535683</v>
      </c>
      <c r="DK94" s="448">
        <f>DK93/BS!FE95</f>
        <v>0.24597116200169636</v>
      </c>
      <c r="DL94" s="448">
        <f>DL93/BS!FF95</f>
        <v>0.38974358974358975</v>
      </c>
      <c r="DM94" s="448">
        <f>DM93/BS!FG95</f>
        <v>0.38974358974358975</v>
      </c>
      <c r="DO94" s="447" t="s">
        <v>203</v>
      </c>
      <c r="DP94" s="448">
        <f>DP93/BS!FJ95</f>
        <v>0.47619047619047616</v>
      </c>
      <c r="DQ94" s="448">
        <f>DQ93/BS!FK95</f>
        <v>0.56484149855907784</v>
      </c>
      <c r="DR94" s="448">
        <f>DR93/BS!FL95</f>
        <v>0.67988107036669976</v>
      </c>
      <c r="DS94" s="448">
        <f>DS93/BS!FM95</f>
        <v>0.37785137845780664</v>
      </c>
      <c r="DT94" s="448">
        <f>DT93/BS!FN95</f>
        <v>0.37785137845780664</v>
      </c>
      <c r="DV94" s="447" t="s">
        <v>203</v>
      </c>
      <c r="DW94" s="448">
        <f>DW93/BS!FQ95</f>
        <v>0.33541511988470107</v>
      </c>
      <c r="DX94" s="448">
        <f>DX93/BS!FR95</f>
        <v>0.28367651206834027</v>
      </c>
      <c r="DY94" s="448">
        <f>DY93/BS!FS95</f>
        <v>0.2001812665011625</v>
      </c>
      <c r="DZ94" s="448">
        <f>DZ93/BS!FT95</f>
        <v>-2.6327361563517915</v>
      </c>
      <c r="EA94" s="448">
        <f>EA93/BS!FU95</f>
        <v>-2.6327361563517915</v>
      </c>
      <c r="EC94" s="447" t="s">
        <v>203</v>
      </c>
      <c r="ED94" s="448">
        <f>ED93/BS!FX95</f>
        <v>-2.7913793103448277</v>
      </c>
      <c r="EE94" s="448">
        <f>EE93/BS!FY95</f>
        <v>-3.037418147801684</v>
      </c>
      <c r="EF94" s="448">
        <f>EF93/BS!FZ95</f>
        <v>-3.1301832208293154</v>
      </c>
      <c r="EG94" s="448">
        <f>EG93/BS!GA95</f>
        <v>0.28040201005025128</v>
      </c>
      <c r="EH94" s="448">
        <f>EH93/BS!GB95</f>
        <v>0.28040201005025128</v>
      </c>
      <c r="EJ94" s="447" t="s">
        <v>203</v>
      </c>
      <c r="EK94" s="448">
        <f>EK93/BS!GE95</f>
        <v>0.27380952380952384</v>
      </c>
      <c r="EL94" s="448">
        <f>EL93/BS!GF95</f>
        <v>0.27335299901671584</v>
      </c>
      <c r="EM94" s="448">
        <f>EM93/BS!GG95</f>
        <v>0.30776699029126214</v>
      </c>
      <c r="EN94" s="448">
        <f>EN93/BS!GH95</f>
        <v>0.27715736040609135</v>
      </c>
      <c r="EO94" s="448">
        <f>EO93/BS!GI95</f>
        <v>0.27715736040609135</v>
      </c>
      <c r="EQ94" s="447" t="s">
        <v>203</v>
      </c>
      <c r="ER94" s="448">
        <f>ER93/BS!GL95</f>
        <v>0.25050100200400799</v>
      </c>
      <c r="ES94" s="448">
        <f>ES93/BS!GM95</f>
        <v>0.27085714285714285</v>
      </c>
      <c r="ET94" s="448">
        <f>ET93/BS!GN95</f>
        <v>0.24343675417661098</v>
      </c>
      <c r="EU94" s="448">
        <f>EU93/BS!GO95</f>
        <v>0.20881670533642691</v>
      </c>
      <c r="EV94" s="448">
        <f>EV93/BS!GP95</f>
        <v>0.20881670533642691</v>
      </c>
      <c r="EX94" s="447" t="s">
        <v>203</v>
      </c>
      <c r="EY94" s="448">
        <f>EY93/BS!GS95</f>
        <v>0.22588235294117648</v>
      </c>
      <c r="EZ94" s="448">
        <f>EZ93/BS!GT95</f>
        <v>0.19021809512247595</v>
      </c>
      <c r="FA94" s="448">
        <f>FA93/BS!GU95</f>
        <v>0.16356529278762741</v>
      </c>
      <c r="FB94" s="448">
        <f>FB93/BS!GV95</f>
        <v>0.15341258063817667</v>
      </c>
      <c r="FC94" s="448">
        <f>FC93/BS!GW95</f>
        <v>0.15341258063817667</v>
      </c>
      <c r="FE94" s="447" t="s">
        <v>203</v>
      </c>
      <c r="FF94" s="448">
        <f>FF93/BS!GZ95</f>
        <v>0.14544579548708836</v>
      </c>
      <c r="FG94" s="448">
        <f>FG93/BS!HA95</f>
        <v>0.17217804106142984</v>
      </c>
      <c r="FH94" s="448">
        <f>FH93/BS!HB95</f>
        <v>0.1520888654653072</v>
      </c>
      <c r="FI94" s="448">
        <f>FI93/BS!HC95</f>
        <v>9.6039881476735811E-2</v>
      </c>
      <c r="FJ94" s="448">
        <f>FJ93/BS!HD95</f>
        <v>9.6039881476735811E-2</v>
      </c>
      <c r="FL94" s="447" t="s">
        <v>203</v>
      </c>
      <c r="FM94" s="448">
        <f>FM93/BS!HG95</f>
        <v>9.1179826342557682E-2</v>
      </c>
      <c r="FN94" s="448">
        <f>FN93/BS!HH95</f>
        <v>7.2771872444807845E-2</v>
      </c>
      <c r="FO94" s="448">
        <f>FO93/BS!HI95</f>
        <v>8.6919831223628688E-2</v>
      </c>
      <c r="FP94" s="448">
        <f>FP93/BS!HJ95</f>
        <v>0.12058570198105081</v>
      </c>
      <c r="FQ94" s="448">
        <f>FQ93/BS!HK95</f>
        <v>0.12058570198105081</v>
      </c>
      <c r="FS94" s="447" t="s">
        <v>203</v>
      </c>
      <c r="FT94" s="448">
        <f>FT93/BS!HN95</f>
        <v>9.8591549295774641E-2</v>
      </c>
      <c r="FU94" s="448">
        <f>FU93/BS!HO95</f>
        <v>6.7375886524822695E-2</v>
      </c>
      <c r="FV94" s="448">
        <f>FV93/BS!HP95</f>
        <v>4.195804195804196E-2</v>
      </c>
      <c r="FW94" s="448">
        <f>FW93/BS!HQ95</f>
        <v>1.0801080108010801E-2</v>
      </c>
      <c r="FX94" s="448">
        <f>FX93/BS!HR95</f>
        <v>1.0801080108010801E-2</v>
      </c>
      <c r="FZ94" s="447" t="s">
        <v>203</v>
      </c>
      <c r="GA94" s="448">
        <f>GA93/BS!HU95</f>
        <v>1.7391304347826087E-2</v>
      </c>
      <c r="GB94" s="448">
        <f>GB93/BS!HV95</f>
        <v>-3.015075376884422E-3</v>
      </c>
      <c r="GC94" s="448">
        <f>GC93/BS!HW95</f>
        <v>0.14210333838357453</v>
      </c>
      <c r="GD94" s="502">
        <v>0.1</v>
      </c>
      <c r="GE94" s="497">
        <f>GE93/BS!HY95</f>
        <v>0.2065248331994918</v>
      </c>
      <c r="GG94" s="447" t="s">
        <v>203</v>
      </c>
      <c r="GH94" s="502">
        <v>0.15</v>
      </c>
      <c r="GI94" s="502">
        <v>0.15</v>
      </c>
      <c r="GJ94" s="502">
        <v>0.2</v>
      </c>
      <c r="GK94" s="502">
        <v>0.2</v>
      </c>
      <c r="GL94" s="497">
        <f>GL93/BS!IF95</f>
        <v>0.16655152286831221</v>
      </c>
      <c r="GN94" s="447" t="s">
        <v>203</v>
      </c>
      <c r="GO94" s="502">
        <v>0.2</v>
      </c>
      <c r="GP94" s="502">
        <v>0.2</v>
      </c>
      <c r="GQ94" s="502">
        <v>0.2</v>
      </c>
      <c r="GR94" s="502">
        <v>0.2</v>
      </c>
      <c r="GS94" s="497">
        <f>GS93/BS!IM95</f>
        <v>0.18971968894131974</v>
      </c>
      <c r="GU94" s="447" t="s">
        <v>203</v>
      </c>
      <c r="GV94" s="502">
        <v>0.2</v>
      </c>
      <c r="GW94" s="502">
        <v>0.2</v>
      </c>
      <c r="GX94" s="502">
        <v>0.2</v>
      </c>
      <c r="GY94" s="502">
        <v>0.2</v>
      </c>
      <c r="GZ94" s="497">
        <f>GZ93/BS!IT95</f>
        <v>0.19230398984918246</v>
      </c>
    </row>
    <row r="95" spans="1:208" ht="14.25" thickBot="1" x14ac:dyDescent="0.45">
      <c r="A95" s="58"/>
      <c r="B95" s="76"/>
      <c r="V95" s="80"/>
      <c r="W95" s="80"/>
      <c r="X95" s="80"/>
      <c r="Y95" s="80"/>
      <c r="Z95" s="80"/>
      <c r="AA95" s="78"/>
      <c r="AB95" s="78"/>
      <c r="AC95" s="78"/>
      <c r="AD95" s="78"/>
      <c r="AE95" s="78"/>
      <c r="AF95" s="78"/>
      <c r="AG95" s="78"/>
      <c r="AH95" s="78"/>
      <c r="AI95" s="78"/>
      <c r="AJ95" s="78"/>
      <c r="AK95" s="78"/>
      <c r="AL95" s="78"/>
      <c r="AM95" s="78"/>
      <c r="AN95" s="78"/>
      <c r="AP95" s="76"/>
      <c r="AW95" s="76"/>
      <c r="BD95" s="76"/>
      <c r="BK95" s="76"/>
      <c r="BR95" s="76"/>
      <c r="BY95" s="76"/>
      <c r="CF95" s="76"/>
      <c r="CM95" s="76"/>
      <c r="CT95" s="76"/>
      <c r="DA95" s="76"/>
      <c r="DH95" s="76"/>
      <c r="DO95" s="76"/>
      <c r="DV95" s="76"/>
      <c r="EC95" s="76"/>
      <c r="EJ95" s="76"/>
      <c r="EQ95" s="76"/>
      <c r="EX95" s="76"/>
      <c r="FE95" s="76"/>
      <c r="FL95" s="76"/>
      <c r="FS95" s="76"/>
      <c r="FU95" s="80"/>
      <c r="FV95" s="80"/>
      <c r="FZ95" s="76"/>
      <c r="GA95" s="80"/>
      <c r="GB95" s="80"/>
      <c r="GC95" s="80"/>
      <c r="GD95" s="80"/>
      <c r="GE95" s="80"/>
      <c r="GG95" s="76"/>
      <c r="GH95" s="80"/>
      <c r="GI95" s="80"/>
      <c r="GJ95" s="80"/>
      <c r="GK95" s="80"/>
      <c r="GL95" s="80"/>
      <c r="GN95" s="76"/>
      <c r="GO95" s="80"/>
      <c r="GP95" s="80"/>
      <c r="GQ95" s="80"/>
      <c r="GR95" s="80"/>
      <c r="GS95" s="80"/>
      <c r="GU95" s="76"/>
      <c r="GV95" s="80"/>
      <c r="GW95" s="80"/>
      <c r="GX95" s="80"/>
      <c r="GY95" s="80"/>
      <c r="GZ95" s="80"/>
    </row>
    <row r="96" spans="1:208" ht="14.25" thickBot="1" x14ac:dyDescent="0.45">
      <c r="A96" s="431"/>
      <c r="B96" s="432" t="s">
        <v>43</v>
      </c>
      <c r="C96" s="442"/>
      <c r="D96" s="442"/>
      <c r="E96" s="442"/>
      <c r="F96" s="442"/>
      <c r="G96" s="442"/>
      <c r="H96" s="442"/>
      <c r="I96" s="442"/>
      <c r="J96" s="442"/>
      <c r="K96" s="442"/>
      <c r="L96" s="442"/>
      <c r="M96" s="442"/>
      <c r="N96" s="442"/>
      <c r="O96" s="442"/>
      <c r="P96" s="442"/>
      <c r="Q96" s="442"/>
      <c r="R96" s="442"/>
      <c r="S96" s="442"/>
      <c r="T96" s="442"/>
      <c r="U96" s="442"/>
      <c r="V96" s="495"/>
      <c r="W96" s="495"/>
      <c r="X96" s="495"/>
      <c r="Y96" s="495"/>
      <c r="Z96" s="495"/>
      <c r="AA96" s="442"/>
      <c r="AB96" s="442"/>
      <c r="AC96" s="442"/>
      <c r="AD96" s="442"/>
      <c r="AE96" s="442"/>
      <c r="AF96" s="442"/>
      <c r="AG96" s="442"/>
      <c r="AH96" s="442"/>
      <c r="AI96" s="442"/>
      <c r="AJ96" s="442"/>
      <c r="AK96" s="442"/>
      <c r="AL96" s="442"/>
      <c r="AM96" s="442"/>
      <c r="AN96" s="442"/>
      <c r="AP96" s="432" t="s">
        <v>43</v>
      </c>
      <c r="AQ96" s="442"/>
      <c r="AR96" s="442"/>
      <c r="AS96" s="442"/>
      <c r="AT96" s="442"/>
      <c r="AU96" s="442"/>
      <c r="AW96" s="432" t="s">
        <v>43</v>
      </c>
      <c r="AX96" s="442"/>
      <c r="AY96" s="442"/>
      <c r="AZ96" s="442"/>
      <c r="BA96" s="442"/>
      <c r="BB96" s="442"/>
      <c r="BD96" s="432" t="s">
        <v>43</v>
      </c>
      <c r="BE96" s="442"/>
      <c r="BF96" s="442"/>
      <c r="BG96" s="442"/>
      <c r="BH96" s="442"/>
      <c r="BI96" s="442"/>
      <c r="BK96" s="432" t="s">
        <v>43</v>
      </c>
      <c r="BL96" s="442"/>
      <c r="BM96" s="442"/>
      <c r="BN96" s="442"/>
      <c r="BO96" s="442"/>
      <c r="BP96" s="442"/>
      <c r="BR96" s="432" t="s">
        <v>43</v>
      </c>
      <c r="BS96" s="442"/>
      <c r="BT96" s="442"/>
      <c r="BU96" s="442"/>
      <c r="BV96" s="442"/>
      <c r="BW96" s="442"/>
      <c r="BY96" s="432" t="s">
        <v>43</v>
      </c>
      <c r="BZ96" s="442"/>
      <c r="CA96" s="442"/>
      <c r="CB96" s="442"/>
      <c r="CC96" s="442"/>
      <c r="CD96" s="442"/>
      <c r="CF96" s="432" t="s">
        <v>43</v>
      </c>
      <c r="CG96" s="442"/>
      <c r="CH96" s="442"/>
      <c r="CI96" s="442"/>
      <c r="CJ96" s="442"/>
      <c r="CK96" s="442"/>
      <c r="CM96" s="432" t="s">
        <v>43</v>
      </c>
      <c r="CN96" s="442"/>
      <c r="CO96" s="442"/>
      <c r="CP96" s="442"/>
      <c r="CQ96" s="442"/>
      <c r="CR96" s="442"/>
      <c r="CT96" s="432" t="s">
        <v>43</v>
      </c>
      <c r="CU96" s="442"/>
      <c r="CV96" s="442"/>
      <c r="CW96" s="442"/>
      <c r="CX96" s="442"/>
      <c r="CY96" s="442"/>
      <c r="DA96" s="432" t="s">
        <v>43</v>
      </c>
      <c r="DB96" s="442"/>
      <c r="DC96" s="442"/>
      <c r="DD96" s="442"/>
      <c r="DE96" s="442"/>
      <c r="DF96" s="442"/>
      <c r="DH96" s="432" t="s">
        <v>43</v>
      </c>
      <c r="DI96" s="442"/>
      <c r="DJ96" s="442"/>
      <c r="DK96" s="442"/>
      <c r="DL96" s="442"/>
      <c r="DM96" s="442"/>
      <c r="DO96" s="432" t="s">
        <v>43</v>
      </c>
      <c r="DP96" s="442"/>
      <c r="DQ96" s="442"/>
      <c r="DR96" s="442"/>
      <c r="DS96" s="442"/>
      <c r="DT96" s="442"/>
      <c r="DV96" s="432" t="s">
        <v>43</v>
      </c>
      <c r="DW96" s="442"/>
      <c r="DX96" s="442"/>
      <c r="DY96" s="442"/>
      <c r="DZ96" s="442"/>
      <c r="EA96" s="442"/>
      <c r="EC96" s="432" t="s">
        <v>43</v>
      </c>
      <c r="ED96" s="442"/>
      <c r="EE96" s="442"/>
      <c r="EF96" s="442"/>
      <c r="EG96" s="442"/>
      <c r="EH96" s="442"/>
      <c r="EJ96" s="432" t="s">
        <v>43</v>
      </c>
      <c r="EK96" s="442"/>
      <c r="EL96" s="442"/>
      <c r="EM96" s="442"/>
      <c r="EN96" s="442"/>
      <c r="EO96" s="442"/>
      <c r="EQ96" s="432" t="s">
        <v>43</v>
      </c>
      <c r="ER96" s="442"/>
      <c r="ES96" s="442"/>
      <c r="ET96" s="442"/>
      <c r="EU96" s="442"/>
      <c r="EV96" s="442"/>
      <c r="EX96" s="432" t="s">
        <v>43</v>
      </c>
      <c r="EY96" s="442"/>
      <c r="EZ96" s="442"/>
      <c r="FA96" s="442"/>
      <c r="FB96" s="442"/>
      <c r="FC96" s="442"/>
      <c r="FE96" s="432" t="s">
        <v>43</v>
      </c>
      <c r="FF96" s="442"/>
      <c r="FG96" s="442"/>
      <c r="FH96" s="442"/>
      <c r="FI96" s="442"/>
      <c r="FJ96" s="442"/>
      <c r="FL96" s="432" t="s">
        <v>43</v>
      </c>
      <c r="FM96" s="442"/>
      <c r="FN96" s="442"/>
      <c r="FO96" s="442"/>
      <c r="FP96" s="442"/>
      <c r="FQ96" s="442"/>
      <c r="FS96" s="432" t="s">
        <v>43</v>
      </c>
      <c r="FT96" s="442"/>
      <c r="FU96" s="495"/>
      <c r="FV96" s="495"/>
      <c r="FW96" s="442"/>
      <c r="FX96" s="442"/>
      <c r="FZ96" s="432" t="s">
        <v>43</v>
      </c>
      <c r="GA96" s="495"/>
      <c r="GB96" s="495"/>
      <c r="GC96" s="495"/>
      <c r="GD96" s="495"/>
      <c r="GE96" s="495"/>
      <c r="GG96" s="432" t="s">
        <v>43</v>
      </c>
      <c r="GH96" s="495"/>
      <c r="GI96" s="495"/>
      <c r="GJ96" s="495"/>
      <c r="GK96" s="495"/>
      <c r="GL96" s="495"/>
      <c r="GN96" s="432" t="s">
        <v>43</v>
      </c>
      <c r="GO96" s="495"/>
      <c r="GP96" s="495"/>
      <c r="GQ96" s="495"/>
      <c r="GR96" s="495"/>
      <c r="GS96" s="495"/>
      <c r="GU96" s="432" t="s">
        <v>43</v>
      </c>
      <c r="GV96" s="495"/>
      <c r="GW96" s="495"/>
      <c r="GX96" s="495"/>
      <c r="GY96" s="495"/>
      <c r="GZ96" s="495"/>
    </row>
    <row r="97" spans="1:208" x14ac:dyDescent="0.4">
      <c r="A97" s="366"/>
      <c r="B97" s="76"/>
      <c r="V97" s="80"/>
      <c r="W97" s="80"/>
      <c r="X97" s="80"/>
      <c r="Y97" s="80"/>
      <c r="Z97" s="80"/>
      <c r="AP97" s="76"/>
      <c r="AW97" s="76"/>
      <c r="BD97" s="76"/>
      <c r="BK97" s="76"/>
      <c r="BR97" s="76"/>
      <c r="BY97" s="76"/>
      <c r="CF97" s="76"/>
      <c r="CM97" s="76"/>
      <c r="CT97" s="76"/>
      <c r="DA97" s="76"/>
      <c r="DH97" s="76"/>
      <c r="DO97" s="76"/>
      <c r="DV97" s="76"/>
      <c r="EC97" s="76"/>
      <c r="EJ97" s="76"/>
      <c r="EQ97" s="76"/>
      <c r="EX97" s="76"/>
      <c r="FE97" s="76"/>
      <c r="FL97" s="76"/>
      <c r="FS97" s="76"/>
      <c r="FU97" s="80"/>
      <c r="FV97" s="80"/>
      <c r="FZ97" s="76"/>
      <c r="GA97" s="80"/>
      <c r="GB97" s="80"/>
      <c r="GC97" s="80"/>
      <c r="GD97" s="80"/>
      <c r="GE97" s="80"/>
      <c r="GG97" s="76"/>
      <c r="GH97" s="80"/>
      <c r="GI97" s="80"/>
      <c r="GJ97" s="80"/>
      <c r="GK97" s="80"/>
      <c r="GL97" s="80"/>
      <c r="GN97" s="76"/>
      <c r="GO97" s="80"/>
      <c r="GP97" s="80"/>
      <c r="GQ97" s="80"/>
      <c r="GR97" s="80"/>
      <c r="GS97" s="80"/>
      <c r="GU97" s="76"/>
      <c r="GV97" s="80"/>
      <c r="GW97" s="80"/>
      <c r="GX97" s="80"/>
      <c r="GY97" s="80"/>
      <c r="GZ97" s="80"/>
    </row>
    <row r="98" spans="1:208" x14ac:dyDescent="0.4">
      <c r="A98" s="450"/>
      <c r="B98" s="443" t="s">
        <v>87</v>
      </c>
      <c r="C98" s="444">
        <f>AU98</f>
        <v>309</v>
      </c>
      <c r="D98" s="444">
        <f>BB98</f>
        <v>461</v>
      </c>
      <c r="E98" s="444">
        <f>BI98</f>
        <v>368</v>
      </c>
      <c r="F98" s="444">
        <f>BP98</f>
        <v>669</v>
      </c>
      <c r="G98" s="444">
        <f>BW98</f>
        <v>1029</v>
      </c>
      <c r="H98" s="444">
        <f>CD98</f>
        <v>1292</v>
      </c>
      <c r="I98" s="444">
        <f>CK98</f>
        <v>783</v>
      </c>
      <c r="J98" s="444">
        <f>CR98</f>
        <v>784</v>
      </c>
      <c r="K98" s="444">
        <f>CY98</f>
        <v>592</v>
      </c>
      <c r="L98" s="444">
        <f>DF98</f>
        <v>669</v>
      </c>
      <c r="M98" s="444">
        <f>DM98</f>
        <v>628</v>
      </c>
      <c r="N98" s="444">
        <f>DT98</f>
        <v>603</v>
      </c>
      <c r="O98" s="444">
        <f>EA98</f>
        <v>401</v>
      </c>
      <c r="P98" s="444">
        <f>EH98</f>
        <v>858</v>
      </c>
      <c r="Q98" s="444">
        <f>EO98</f>
        <v>958</v>
      </c>
      <c r="R98" s="444">
        <f>EV98</f>
        <v>3129</v>
      </c>
      <c r="S98" s="444">
        <f>FC98</f>
        <v>2239</v>
      </c>
      <c r="T98" s="444">
        <f>FJ98</f>
        <v>1933</v>
      </c>
      <c r="U98" s="444">
        <f>FQ98</f>
        <v>1353</v>
      </c>
      <c r="V98" s="103">
        <f>FX98</f>
        <v>933</v>
      </c>
      <c r="W98" s="103">
        <f>GE98</f>
        <v>670</v>
      </c>
      <c r="X98" s="103">
        <f>GL98</f>
        <v>153.86953252188437</v>
      </c>
      <c r="Y98" s="103">
        <f>GS98</f>
        <v>-194.3194886084093</v>
      </c>
      <c r="Z98" s="103">
        <f>GZ98</f>
        <v>-425.51551077089698</v>
      </c>
      <c r="AA98" s="104"/>
      <c r="AB98" s="104"/>
      <c r="AC98" s="104"/>
      <c r="AD98" s="104"/>
      <c r="AE98" s="104"/>
      <c r="AF98" s="104"/>
      <c r="AG98" s="104"/>
      <c r="AH98" s="104"/>
      <c r="AI98" s="104"/>
      <c r="AJ98" s="104"/>
      <c r="AK98" s="104"/>
      <c r="AL98" s="104"/>
      <c r="AM98" s="104"/>
      <c r="AN98" s="104"/>
      <c r="AP98" s="443" t="s">
        <v>87</v>
      </c>
      <c r="AQ98" s="444">
        <f>BS!CK9</f>
        <v>710</v>
      </c>
      <c r="AR98" s="444">
        <f>BS!CL9</f>
        <v>301</v>
      </c>
      <c r="AS98" s="444">
        <f>BS!CM9</f>
        <v>278</v>
      </c>
      <c r="AT98" s="444">
        <f>BS!CN9</f>
        <v>309</v>
      </c>
      <c r="AU98" s="444">
        <f>BS!CO9</f>
        <v>309</v>
      </c>
      <c r="AW98" s="443" t="s">
        <v>87</v>
      </c>
      <c r="AX98" s="444">
        <f>BS!CR9</f>
        <v>376</v>
      </c>
      <c r="AY98" s="444">
        <f>BS!CS9</f>
        <v>320</v>
      </c>
      <c r="AZ98" s="444">
        <f>BS!CT9</f>
        <v>388</v>
      </c>
      <c r="BA98" s="444">
        <f>BS!CU9</f>
        <v>461</v>
      </c>
      <c r="BB98" s="444">
        <f>BS!CV9</f>
        <v>461</v>
      </c>
      <c r="BD98" s="443" t="s">
        <v>87</v>
      </c>
      <c r="BE98" s="444">
        <f>BS!CY9</f>
        <v>512</v>
      </c>
      <c r="BF98" s="444">
        <f>BS!CZ9</f>
        <v>428</v>
      </c>
      <c r="BG98" s="444">
        <f>BS!DA9</f>
        <v>660</v>
      </c>
      <c r="BH98" s="444">
        <f>BS!DB9</f>
        <v>368</v>
      </c>
      <c r="BI98" s="444">
        <f>BS!DC9</f>
        <v>368</v>
      </c>
      <c r="BK98" s="443" t="s">
        <v>87</v>
      </c>
      <c r="BL98" s="444">
        <f>BS!DF9</f>
        <v>1570</v>
      </c>
      <c r="BM98" s="444">
        <f>BS!DG9</f>
        <v>1398</v>
      </c>
      <c r="BN98" s="444">
        <f>BS!DH9</f>
        <v>895</v>
      </c>
      <c r="BO98" s="444">
        <f>BS!DI9</f>
        <v>669</v>
      </c>
      <c r="BP98" s="444">
        <f>BS!DJ9</f>
        <v>669</v>
      </c>
      <c r="BR98" s="443" t="s">
        <v>87</v>
      </c>
      <c r="BS98" s="444">
        <f>BS!DM9</f>
        <v>1056</v>
      </c>
      <c r="BT98" s="444">
        <f>BS!DN9</f>
        <v>1108</v>
      </c>
      <c r="BU98" s="444">
        <f>BS!DO9</f>
        <v>1240</v>
      </c>
      <c r="BV98" s="444">
        <f>BS!DP9</f>
        <v>1029</v>
      </c>
      <c r="BW98" s="444">
        <f>BS!DQ9</f>
        <v>1029</v>
      </c>
      <c r="BY98" s="443" t="s">
        <v>87</v>
      </c>
      <c r="BZ98" s="444">
        <f>BS!DT9</f>
        <v>993</v>
      </c>
      <c r="CA98" s="444">
        <f>BS!DU9</f>
        <v>633</v>
      </c>
      <c r="CB98" s="444">
        <f>BS!DV9</f>
        <v>636</v>
      </c>
      <c r="CC98" s="444">
        <f>BS!DW9</f>
        <v>1292</v>
      </c>
      <c r="CD98" s="444">
        <f>BS!DX9</f>
        <v>1292</v>
      </c>
      <c r="CF98" s="443" t="s">
        <v>87</v>
      </c>
      <c r="CG98" s="444">
        <f>BS!EA9</f>
        <v>534</v>
      </c>
      <c r="CH98" s="444">
        <f>BS!EB9</f>
        <v>1252</v>
      </c>
      <c r="CI98" s="444">
        <f>BS!EC9</f>
        <v>580</v>
      </c>
      <c r="CJ98" s="444">
        <f>BS!ED9</f>
        <v>783</v>
      </c>
      <c r="CK98" s="444">
        <f>BS!EE9</f>
        <v>783</v>
      </c>
      <c r="CM98" s="443" t="s">
        <v>87</v>
      </c>
      <c r="CN98" s="444">
        <f>BS!EH9</f>
        <v>627</v>
      </c>
      <c r="CO98" s="444">
        <f>BS!EI9</f>
        <v>642</v>
      </c>
      <c r="CP98" s="444">
        <f>BS!EJ9</f>
        <v>693</v>
      </c>
      <c r="CQ98" s="444">
        <f>BS!EK9</f>
        <v>784</v>
      </c>
      <c r="CR98" s="444">
        <f>BS!EL9</f>
        <v>784</v>
      </c>
      <c r="CT98" s="443" t="s">
        <v>87</v>
      </c>
      <c r="CU98" s="444">
        <f>BS!EO9</f>
        <v>705</v>
      </c>
      <c r="CV98" s="444">
        <f>BS!EP9</f>
        <v>614</v>
      </c>
      <c r="CW98" s="444">
        <f>BS!EQ9</f>
        <v>591</v>
      </c>
      <c r="CX98" s="444">
        <f>BS!ER9</f>
        <v>592</v>
      </c>
      <c r="CY98" s="444">
        <f>BS!ES9</f>
        <v>592</v>
      </c>
      <c r="DA98" s="443" t="s">
        <v>87</v>
      </c>
      <c r="DB98" s="444">
        <f>BS!EV9</f>
        <v>475</v>
      </c>
      <c r="DC98" s="444">
        <f>BS!EW9</f>
        <v>573</v>
      </c>
      <c r="DD98" s="444">
        <f>BS!EX9</f>
        <v>479</v>
      </c>
      <c r="DE98" s="444">
        <f>BS!EY9</f>
        <v>669</v>
      </c>
      <c r="DF98" s="444">
        <f>BS!EZ9</f>
        <v>669</v>
      </c>
      <c r="DH98" s="443" t="s">
        <v>87</v>
      </c>
      <c r="DI98" s="444">
        <f>BS!FC9</f>
        <v>561</v>
      </c>
      <c r="DJ98" s="444">
        <f>BS!FD9</f>
        <v>438</v>
      </c>
      <c r="DK98" s="444">
        <f>BS!FE9</f>
        <v>541</v>
      </c>
      <c r="DL98" s="444">
        <f>BS!FF9</f>
        <v>628</v>
      </c>
      <c r="DM98" s="444">
        <f>BS!FG9</f>
        <v>628</v>
      </c>
      <c r="DO98" s="443" t="s">
        <v>87</v>
      </c>
      <c r="DP98" s="444">
        <f>BS!FJ9</f>
        <v>731</v>
      </c>
      <c r="DQ98" s="444">
        <f>BS!FK9</f>
        <v>566</v>
      </c>
      <c r="DR98" s="444">
        <f>BS!FL9</f>
        <v>603</v>
      </c>
      <c r="DS98" s="444">
        <f>BS!FM9</f>
        <v>603</v>
      </c>
      <c r="DT98" s="444">
        <f>BS!FN9</f>
        <v>603</v>
      </c>
      <c r="DV98" s="443" t="s">
        <v>87</v>
      </c>
      <c r="DW98" s="444">
        <f>BS!FQ9</f>
        <v>930</v>
      </c>
      <c r="DX98" s="444">
        <f>BS!FR9</f>
        <v>620</v>
      </c>
      <c r="DY98" s="444">
        <f>BS!FS9</f>
        <v>591</v>
      </c>
      <c r="DZ98" s="444">
        <f>BS!FT9</f>
        <v>401</v>
      </c>
      <c r="EA98" s="444">
        <f>BS!FU9</f>
        <v>401</v>
      </c>
      <c r="EC98" s="443" t="s">
        <v>87</v>
      </c>
      <c r="ED98" s="444">
        <f>BS!FX9</f>
        <v>1980</v>
      </c>
      <c r="EE98" s="444">
        <f>BS!FY9</f>
        <v>1320</v>
      </c>
      <c r="EF98" s="444">
        <f>BS!FZ9</f>
        <v>663</v>
      </c>
      <c r="EG98" s="444">
        <f>BS!GA9</f>
        <v>858</v>
      </c>
      <c r="EH98" s="444">
        <f>BS!GB9</f>
        <v>858</v>
      </c>
      <c r="EJ98" s="443" t="s">
        <v>87</v>
      </c>
      <c r="EK98" s="444">
        <f>BS!GE9</f>
        <v>1188</v>
      </c>
      <c r="EL98" s="444">
        <f>BS!GF9</f>
        <v>853</v>
      </c>
      <c r="EM98" s="444">
        <f>BS!GG9</f>
        <v>1521</v>
      </c>
      <c r="EN98" s="444">
        <f>BS!GH9</f>
        <v>958</v>
      </c>
      <c r="EO98" s="444">
        <f>BS!GI9</f>
        <v>958</v>
      </c>
      <c r="EQ98" s="443" t="s">
        <v>87</v>
      </c>
      <c r="ER98" s="444">
        <f>BS!GL9</f>
        <v>1995</v>
      </c>
      <c r="ES98" s="444">
        <f>BS!GM9</f>
        <v>2391</v>
      </c>
      <c r="ET98" s="444">
        <f>BS!GN9</f>
        <v>2898</v>
      </c>
      <c r="EU98" s="444">
        <f>BS!GO9</f>
        <v>3129</v>
      </c>
      <c r="EV98" s="444">
        <f>BS!GP9</f>
        <v>3129</v>
      </c>
      <c r="EX98" s="443" t="s">
        <v>87</v>
      </c>
      <c r="EY98" s="444">
        <f>BS!GS9</f>
        <v>2955</v>
      </c>
      <c r="EZ98" s="444">
        <f>BS!GT9</f>
        <v>2986</v>
      </c>
      <c r="FA98" s="444">
        <f>BS!GU9</f>
        <v>2179</v>
      </c>
      <c r="FB98" s="444">
        <f>BS!GV9</f>
        <v>2239</v>
      </c>
      <c r="FC98" s="444">
        <f>BS!GW9</f>
        <v>2239</v>
      </c>
      <c r="FE98" s="443" t="s">
        <v>87</v>
      </c>
      <c r="FF98" s="444">
        <f>BS!GZ9</f>
        <v>1936</v>
      </c>
      <c r="FG98" s="444">
        <f>BS!HA9</f>
        <v>724</v>
      </c>
      <c r="FH98" s="444">
        <f>BS!HB9</f>
        <v>2311</v>
      </c>
      <c r="FI98" s="444">
        <f>BS!HC9</f>
        <v>1933</v>
      </c>
      <c r="FJ98" s="444">
        <f>BS!HD9</f>
        <v>1933</v>
      </c>
      <c r="FL98" s="443" t="s">
        <v>87</v>
      </c>
      <c r="FM98" s="444">
        <f>BS!HG9</f>
        <v>1291</v>
      </c>
      <c r="FN98" s="444">
        <f>BS!HH9</f>
        <v>956</v>
      </c>
      <c r="FO98" s="444">
        <f>BS!HI9</f>
        <v>1360</v>
      </c>
      <c r="FP98" s="444">
        <f>BS!HJ9</f>
        <v>1353</v>
      </c>
      <c r="FQ98" s="444">
        <f>BS!HK9</f>
        <v>1353</v>
      </c>
      <c r="FS98" s="443" t="s">
        <v>87</v>
      </c>
      <c r="FT98" s="444">
        <f>BS!HN9</f>
        <v>1483</v>
      </c>
      <c r="FU98" s="444">
        <f>BS!HO9</f>
        <v>1238</v>
      </c>
      <c r="FV98" s="444">
        <f>BS!HP9</f>
        <v>1644</v>
      </c>
      <c r="FW98" s="444">
        <f>BS!HQ9</f>
        <v>933</v>
      </c>
      <c r="FX98" s="444">
        <f>BS!HR9</f>
        <v>933</v>
      </c>
      <c r="FZ98" s="443" t="s">
        <v>87</v>
      </c>
      <c r="GA98" s="444">
        <f>BS!HU9</f>
        <v>1139</v>
      </c>
      <c r="GB98" s="444">
        <f>BS!HV9</f>
        <v>387</v>
      </c>
      <c r="GC98" s="444">
        <f>BS!HW9</f>
        <v>612</v>
      </c>
      <c r="GD98" s="103">
        <f>BS!HX9</f>
        <v>670</v>
      </c>
      <c r="GE98" s="103">
        <f>BS!HY9</f>
        <v>670</v>
      </c>
      <c r="GG98" s="443" t="s">
        <v>87</v>
      </c>
      <c r="GH98" s="103">
        <f>BS!IB9</f>
        <v>418.40783681674429</v>
      </c>
      <c r="GI98" s="103">
        <f>BS!IC9</f>
        <v>313.85136390227308</v>
      </c>
      <c r="GJ98" s="103">
        <f>BS!ID9</f>
        <v>293.22051022354344</v>
      </c>
      <c r="GK98" s="103">
        <f>BS!IE9</f>
        <v>153.86953252188437</v>
      </c>
      <c r="GL98" s="103">
        <f>BS!IF9</f>
        <v>153.86953252188437</v>
      </c>
      <c r="GN98" s="443" t="s">
        <v>87</v>
      </c>
      <c r="GO98" s="103">
        <f>BS!II9</f>
        <v>37.196634815027437</v>
      </c>
      <c r="GP98" s="103">
        <f>BS!IJ9</f>
        <v>-46.132466812461644</v>
      </c>
      <c r="GQ98" s="103">
        <f>BS!IK9</f>
        <v>-94.916719135117773</v>
      </c>
      <c r="GR98" s="103">
        <f>BS!IL9</f>
        <v>-194.3194886084093</v>
      </c>
      <c r="GS98" s="103">
        <f>BS!IM9</f>
        <v>-194.3194886084093</v>
      </c>
      <c r="GU98" s="443" t="s">
        <v>87</v>
      </c>
      <c r="GV98" s="103">
        <f>BS!IP9</f>
        <v>-369.71352277783444</v>
      </c>
      <c r="GW98" s="103">
        <f>BS!IQ9</f>
        <v>-392.69471159025306</v>
      </c>
      <c r="GX98" s="103">
        <f>BS!IR9</f>
        <v>-383.98859870782599</v>
      </c>
      <c r="GY98" s="103">
        <f>BS!IS9</f>
        <v>-425.51551077089698</v>
      </c>
      <c r="GZ98" s="103">
        <f>BS!IT9</f>
        <v>-425.51551077089698</v>
      </c>
    </row>
    <row r="99" spans="1:208" x14ac:dyDescent="0.4">
      <c r="A99" s="451"/>
      <c r="B99" s="76"/>
      <c r="V99" s="80"/>
      <c r="W99" s="80"/>
      <c r="X99" s="80"/>
      <c r="Y99" s="80"/>
      <c r="Z99" s="80"/>
      <c r="AP99" s="76"/>
      <c r="AW99" s="76"/>
      <c r="BD99" s="76"/>
      <c r="BK99" s="76"/>
      <c r="BR99" s="76"/>
      <c r="BY99" s="76"/>
      <c r="CF99" s="76"/>
      <c r="CM99" s="76"/>
      <c r="CT99" s="76"/>
      <c r="DA99" s="76"/>
      <c r="DH99" s="76"/>
      <c r="DO99" s="76"/>
      <c r="DV99" s="76"/>
      <c r="EC99" s="76"/>
      <c r="EJ99" s="76"/>
      <c r="EQ99" s="76"/>
      <c r="EX99" s="76"/>
      <c r="FE99" s="76"/>
      <c r="FL99" s="76"/>
      <c r="FS99" s="76"/>
      <c r="FZ99" s="76"/>
      <c r="GD99" s="80"/>
      <c r="GE99" s="80"/>
      <c r="GG99" s="76"/>
      <c r="GH99" s="80"/>
      <c r="GI99" s="80"/>
      <c r="GJ99" s="80"/>
      <c r="GK99" s="80"/>
      <c r="GL99" s="80"/>
      <c r="GN99" s="76"/>
      <c r="GO99" s="80"/>
      <c r="GP99" s="80"/>
      <c r="GQ99" s="80"/>
      <c r="GR99" s="80"/>
      <c r="GS99" s="80"/>
      <c r="GU99" s="76"/>
      <c r="GV99" s="80"/>
      <c r="GW99" s="80"/>
      <c r="GX99" s="80"/>
      <c r="GY99" s="80"/>
      <c r="GZ99" s="80"/>
    </row>
    <row r="100" spans="1:208" x14ac:dyDescent="0.4">
      <c r="A100" s="452"/>
      <c r="B100" s="453" t="s">
        <v>53</v>
      </c>
      <c r="C100" s="454">
        <f>AU100</f>
        <v>50.310429019881411</v>
      </c>
      <c r="D100" s="454">
        <f>BB100</f>
        <v>44.181476061049551</v>
      </c>
      <c r="E100" s="454">
        <f>BI100</f>
        <v>42.137587238285143</v>
      </c>
      <c r="F100" s="454">
        <f>BP100</f>
        <v>35.408262994224792</v>
      </c>
      <c r="G100" s="454">
        <f>BW100</f>
        <v>39.619511116026992</v>
      </c>
      <c r="H100" s="454">
        <f>CD100</f>
        <v>33.61037984204588</v>
      </c>
      <c r="I100" s="454">
        <f>CK100</f>
        <v>34.611257770586732</v>
      </c>
      <c r="J100" s="454">
        <f>CR100</f>
        <v>29.458999659748212</v>
      </c>
      <c r="K100" s="454">
        <f>CY100</f>
        <v>31.408193730303534</v>
      </c>
      <c r="L100" s="454">
        <f>DF100</f>
        <v>32.081458678664454</v>
      </c>
      <c r="M100" s="454">
        <f>DM100</f>
        <v>29.931419862839725</v>
      </c>
      <c r="N100" s="454">
        <f>DT100</f>
        <v>30.506820851025385</v>
      </c>
      <c r="O100" s="454">
        <f>EA100</f>
        <v>30.610098176718093</v>
      </c>
      <c r="P100" s="454">
        <f>EH100</f>
        <v>29.681632653061225</v>
      </c>
      <c r="Q100" s="454">
        <f>EO100</f>
        <v>29.736114601658709</v>
      </c>
      <c r="R100" s="454">
        <f>EV100</f>
        <v>31.02333931777379</v>
      </c>
      <c r="S100" s="454">
        <f>FC100</f>
        <v>33.004312410158121</v>
      </c>
      <c r="T100" s="454">
        <f>FJ100</f>
        <v>31.823873964855586</v>
      </c>
      <c r="U100" s="454">
        <f>FQ100</f>
        <v>34.214368561097089</v>
      </c>
      <c r="V100" s="58">
        <f>FX100</f>
        <v>32.830811554332875</v>
      </c>
      <c r="W100" s="58">
        <f>GE100</f>
        <v>35.105645756457562</v>
      </c>
      <c r="X100" s="58">
        <f>GL100</f>
        <v>28.000000000000007</v>
      </c>
      <c r="Y100" s="58">
        <f>GS100</f>
        <v>25</v>
      </c>
      <c r="Z100" s="58">
        <f>GZ100</f>
        <v>25</v>
      </c>
      <c r="AA100" s="59"/>
      <c r="AB100" s="59"/>
      <c r="AC100" s="59"/>
      <c r="AD100" s="59"/>
      <c r="AE100" s="59"/>
      <c r="AF100" s="59"/>
      <c r="AG100" s="59"/>
      <c r="AH100" s="59"/>
      <c r="AI100" s="59"/>
      <c r="AJ100" s="59"/>
      <c r="AK100" s="59"/>
      <c r="AL100" s="59"/>
      <c r="AM100" s="59"/>
      <c r="AN100" s="59"/>
      <c r="AP100" s="453" t="s">
        <v>53</v>
      </c>
      <c r="AQ100" s="454" t="str">
        <f>BS!CK105</f>
        <v>-</v>
      </c>
      <c r="AR100" s="454" t="str">
        <f>BS!CL105</f>
        <v>-</v>
      </c>
      <c r="AS100" s="454" t="str">
        <f>BS!CM105</f>
        <v>-</v>
      </c>
      <c r="AT100" s="454" t="str">
        <f>BS!CN105</f>
        <v>-</v>
      </c>
      <c r="AU100" s="454">
        <f>BS!CO105</f>
        <v>50.310429019881411</v>
      </c>
      <c r="AW100" s="453" t="s">
        <v>53</v>
      </c>
      <c r="AX100" s="454">
        <f>BS!CR105</f>
        <v>49.03898458748867</v>
      </c>
      <c r="AY100" s="454">
        <f>BS!CS105</f>
        <v>47.651715039577837</v>
      </c>
      <c r="AZ100" s="454">
        <f>BS!CT105</f>
        <v>48.886995420172539</v>
      </c>
      <c r="BA100" s="454">
        <f>BS!CU105</f>
        <v>44.181476061049551</v>
      </c>
      <c r="BB100" s="454">
        <f>BS!CV105</f>
        <v>44.181476061049551</v>
      </c>
      <c r="BD100" s="453" t="s">
        <v>53</v>
      </c>
      <c r="BE100" s="454">
        <f>BS!CY105</f>
        <v>41.45386766076421</v>
      </c>
      <c r="BF100" s="454">
        <f>BS!CZ105</f>
        <v>43.166086422281381</v>
      </c>
      <c r="BG100" s="454">
        <f>BS!DA105</f>
        <v>42.875418824246118</v>
      </c>
      <c r="BH100" s="454">
        <f>BS!DB105</f>
        <v>42.137587238285143</v>
      </c>
      <c r="BI100" s="454">
        <f>BS!DC105</f>
        <v>42.137587238285143</v>
      </c>
      <c r="BK100" s="453" t="s">
        <v>53</v>
      </c>
      <c r="BL100" s="454">
        <f>BS!DF105</f>
        <v>40.80999903110164</v>
      </c>
      <c r="BM100" s="454">
        <f>BS!DG105</f>
        <v>40.987100392596744</v>
      </c>
      <c r="BN100" s="454">
        <f>BS!DH105</f>
        <v>40.297544362789033</v>
      </c>
      <c r="BO100" s="454">
        <f>BS!DI105</f>
        <v>35.408262994224792</v>
      </c>
      <c r="BP100" s="454">
        <f>BS!DJ105</f>
        <v>35.408262994224792</v>
      </c>
      <c r="BR100" s="453" t="s">
        <v>53</v>
      </c>
      <c r="BS100" s="454">
        <f>BS!DM105</f>
        <v>31.965891185466678</v>
      </c>
      <c r="BT100" s="454">
        <f>BS!DN105</f>
        <v>31.647958676865006</v>
      </c>
      <c r="BU100" s="454">
        <f>BS!DO105</f>
        <v>35.559340074507716</v>
      </c>
      <c r="BV100" s="454">
        <f>BS!DP105</f>
        <v>39.619511116026992</v>
      </c>
      <c r="BW100" s="454">
        <f>BS!DQ105</f>
        <v>39.619511116026992</v>
      </c>
      <c r="BY100" s="453" t="s">
        <v>53</v>
      </c>
      <c r="BZ100" s="454">
        <f>BS!DT105</f>
        <v>37.647819063004846</v>
      </c>
      <c r="CA100" s="454">
        <f>BS!DU105</f>
        <v>34.587729181604018</v>
      </c>
      <c r="CB100" s="454">
        <f>BS!DV105</f>
        <v>35.53846153846154</v>
      </c>
      <c r="CC100" s="454">
        <f>BS!DW105</f>
        <v>33.61037984204588</v>
      </c>
      <c r="CD100" s="454">
        <f>BS!DX105</f>
        <v>33.61037984204588</v>
      </c>
      <c r="CF100" s="453" t="s">
        <v>53</v>
      </c>
      <c r="CG100" s="454">
        <f>BS!EA105</f>
        <v>35.096303057964398</v>
      </c>
      <c r="CH100" s="454">
        <f>BS!EB105</f>
        <v>35.392096189549996</v>
      </c>
      <c r="CI100" s="454">
        <f>BS!EC105</f>
        <v>35.603032391454171</v>
      </c>
      <c r="CJ100" s="454">
        <f>BS!ED105</f>
        <v>34.611257770586732</v>
      </c>
      <c r="CK100" s="454">
        <f>BS!EE105</f>
        <v>34.611257770586732</v>
      </c>
      <c r="CM100" s="453" t="s">
        <v>53</v>
      </c>
      <c r="CN100" s="454">
        <f>BS!EH105</f>
        <v>35.125640810152113</v>
      </c>
      <c r="CO100" s="454">
        <f>BS!EI105</f>
        <v>34.389505549949547</v>
      </c>
      <c r="CP100" s="454">
        <f>BS!EJ105</f>
        <v>35.412331895458003</v>
      </c>
      <c r="CQ100" s="454">
        <f>BS!EK105</f>
        <v>29.458999659748212</v>
      </c>
      <c r="CR100" s="454">
        <f>BS!EL105</f>
        <v>29.458999659748212</v>
      </c>
      <c r="CT100" s="453" t="s">
        <v>53</v>
      </c>
      <c r="CU100" s="454">
        <f>BS!EO105</f>
        <v>29.908069458631257</v>
      </c>
      <c r="CV100" s="454">
        <f>BS!EP105</f>
        <v>28.848792884371029</v>
      </c>
      <c r="CW100" s="454">
        <f>BS!EQ105</f>
        <v>29.652392947103273</v>
      </c>
      <c r="CX100" s="454">
        <f>BS!ER105</f>
        <v>31.408193730303534</v>
      </c>
      <c r="CY100" s="454">
        <f>BS!ES105</f>
        <v>31.408193730303534</v>
      </c>
      <c r="DA100" s="453" t="s">
        <v>53</v>
      </c>
      <c r="DB100" s="454">
        <f>BS!EV105</f>
        <v>31.89233817701453</v>
      </c>
      <c r="DC100" s="454">
        <f>BS!EW105</f>
        <v>31.115813461381947</v>
      </c>
      <c r="DD100" s="454">
        <f>BS!EX105</f>
        <v>32.319130226237107</v>
      </c>
      <c r="DE100" s="454">
        <f>BS!EY105</f>
        <v>32.081458678664454</v>
      </c>
      <c r="DF100" s="454">
        <f>BS!EZ105</f>
        <v>32.081458678664454</v>
      </c>
      <c r="DH100" s="453" t="s">
        <v>53</v>
      </c>
      <c r="DI100" s="454">
        <f>BS!FC105</f>
        <v>31.305581835383158</v>
      </c>
      <c r="DJ100" s="454">
        <f>BS!FD105</f>
        <v>29.424184261036469</v>
      </c>
      <c r="DK100" s="454">
        <f>BS!FE105</f>
        <v>29.543446244477174</v>
      </c>
      <c r="DL100" s="454">
        <f>BS!FF105</f>
        <v>29.931419862839725</v>
      </c>
      <c r="DM100" s="454">
        <f>BS!FG105</f>
        <v>29.931419862839725</v>
      </c>
      <c r="DO100" s="453" t="s">
        <v>53</v>
      </c>
      <c r="DP100" s="454">
        <f>BS!FJ105</f>
        <v>28.952815295562182</v>
      </c>
      <c r="DQ100" s="454">
        <f>BS!FK105</f>
        <v>29.733743886976995</v>
      </c>
      <c r="DR100" s="454">
        <f>BS!FL105</f>
        <v>30.79626375658929</v>
      </c>
      <c r="DS100" s="454">
        <f>BS!FM105</f>
        <v>30.506820851025385</v>
      </c>
      <c r="DT100" s="454">
        <f>BS!FN105</f>
        <v>30.506820851025385</v>
      </c>
      <c r="DV100" s="453" t="s">
        <v>53</v>
      </c>
      <c r="DW100" s="454">
        <f>BS!FQ105</f>
        <v>29.989399293286219</v>
      </c>
      <c r="DX100" s="454">
        <f>BS!FR105</f>
        <v>31.639102952636591</v>
      </c>
      <c r="DY100" s="454">
        <f>BS!FS105</f>
        <v>30.492142980486964</v>
      </c>
      <c r="DZ100" s="454">
        <f>BS!FT105</f>
        <v>30.610098176718093</v>
      </c>
      <c r="EA100" s="454">
        <f>BS!FU105</f>
        <v>30.610098176718093</v>
      </c>
      <c r="EC100" s="453" t="s">
        <v>53</v>
      </c>
      <c r="ED100" s="454">
        <f>BS!FX105</f>
        <v>32.956636005256243</v>
      </c>
      <c r="EE100" s="454">
        <f>BS!FY105</f>
        <v>32.196132596685082</v>
      </c>
      <c r="EF100" s="454">
        <f>BS!FZ105</f>
        <v>32.781954887218042</v>
      </c>
      <c r="EG100" s="454">
        <f>BS!GA105</f>
        <v>29.681632653061225</v>
      </c>
      <c r="EH100" s="454">
        <f>BS!GB105</f>
        <v>29.681632653061225</v>
      </c>
      <c r="EJ100" s="453" t="s">
        <v>53</v>
      </c>
      <c r="EK100" s="454">
        <f>BS!GE105</f>
        <v>32.143376120125936</v>
      </c>
      <c r="EL100" s="454">
        <f>BS!GF105</f>
        <v>32.395917706139642</v>
      </c>
      <c r="EM100" s="454">
        <f>BS!GG105</f>
        <v>32.501845018450183</v>
      </c>
      <c r="EN100" s="454">
        <f>BS!GH105</f>
        <v>29.736114601658709</v>
      </c>
      <c r="EO100" s="454">
        <f>BS!GI105</f>
        <v>29.736114601658709</v>
      </c>
      <c r="EQ100" s="453" t="s">
        <v>53</v>
      </c>
      <c r="ER100" s="454">
        <f>BS!GL105</f>
        <v>30.807369046608372</v>
      </c>
      <c r="ES100" s="454">
        <f>BS!GM105</f>
        <v>28.214708830766426</v>
      </c>
      <c r="ET100" s="454">
        <f>BS!GN105</f>
        <v>33.148548341632996</v>
      </c>
      <c r="EU100" s="454">
        <f>BS!GO105</f>
        <v>31.02333931777379</v>
      </c>
      <c r="EV100" s="454">
        <f>BS!GP105</f>
        <v>31.02333931777379</v>
      </c>
      <c r="EX100" s="453" t="s">
        <v>53</v>
      </c>
      <c r="EY100" s="454">
        <f>BS!GS105</f>
        <v>32.683806090503744</v>
      </c>
      <c r="EZ100" s="454">
        <f>BS!GT105</f>
        <v>38.056048244058175</v>
      </c>
      <c r="FA100" s="454">
        <f>BS!GU105</f>
        <v>40.04697986577181</v>
      </c>
      <c r="FB100" s="454">
        <f>BS!GV105</f>
        <v>33.004312410158121</v>
      </c>
      <c r="FC100" s="454">
        <f>BS!GW105</f>
        <v>33.004312410158121</v>
      </c>
      <c r="FE100" s="453" t="s">
        <v>53</v>
      </c>
      <c r="FF100" s="454">
        <f>BS!GZ105</f>
        <v>35.034293552812073</v>
      </c>
      <c r="FG100" s="454">
        <f>BS!HA105</f>
        <v>38.434071843407182</v>
      </c>
      <c r="FH100" s="454">
        <f>BS!HB105</f>
        <v>36.296907216494844</v>
      </c>
      <c r="FI100" s="454">
        <f>BS!HC105</f>
        <v>31.823873964855586</v>
      </c>
      <c r="FJ100" s="454">
        <f>BS!HD105</f>
        <v>31.823873964855586</v>
      </c>
      <c r="FL100" s="453" t="s">
        <v>53</v>
      </c>
      <c r="FM100" s="454">
        <f>BS!HG105</f>
        <v>32.729433513799023</v>
      </c>
      <c r="FN100" s="454">
        <f>BS!HH105</f>
        <v>31.78443113772455</v>
      </c>
      <c r="FO100" s="454">
        <f>BS!HI105</f>
        <v>34.244917386278644</v>
      </c>
      <c r="FP100" s="454">
        <f>BS!HJ105</f>
        <v>34.214368561097089</v>
      </c>
      <c r="FQ100" s="454">
        <f>BS!HK105</f>
        <v>34.214368561097089</v>
      </c>
      <c r="FS100" s="453" t="s">
        <v>53</v>
      </c>
      <c r="FT100" s="454">
        <f>BS!HN105</f>
        <v>34.445051940951338</v>
      </c>
      <c r="FU100" s="454">
        <f>BS!HO105</f>
        <v>35.178351783517833</v>
      </c>
      <c r="FV100" s="454">
        <f>BS!HP105</f>
        <v>34.648865881070769</v>
      </c>
      <c r="FW100" s="454">
        <f>BS!HQ105</f>
        <v>32.830811554332875</v>
      </c>
      <c r="FX100" s="454">
        <f>BS!HR105</f>
        <v>32.830811554332875</v>
      </c>
      <c r="FZ100" s="453" t="s">
        <v>53</v>
      </c>
      <c r="GA100" s="454">
        <f>BS!HU105</f>
        <v>33.978434392942162</v>
      </c>
      <c r="GB100" s="454">
        <f>BS!HV105</f>
        <v>35.834687389614977</v>
      </c>
      <c r="GC100" s="454">
        <f>BS!HW105</f>
        <v>34.921758833109109</v>
      </c>
      <c r="GD100" s="503">
        <v>30</v>
      </c>
      <c r="GE100" s="58">
        <f>BS!HY105</f>
        <v>35.105645756457562</v>
      </c>
      <c r="GG100" s="453" t="s">
        <v>53</v>
      </c>
      <c r="GH100" s="503">
        <v>30</v>
      </c>
      <c r="GI100" s="503">
        <v>30</v>
      </c>
      <c r="GJ100" s="503">
        <v>28</v>
      </c>
      <c r="GK100" s="503">
        <v>28</v>
      </c>
      <c r="GL100" s="58">
        <f>BS!IF105</f>
        <v>28.000000000000007</v>
      </c>
      <c r="GN100" s="453" t="s">
        <v>53</v>
      </c>
      <c r="GO100" s="503">
        <v>25</v>
      </c>
      <c r="GP100" s="503">
        <v>25</v>
      </c>
      <c r="GQ100" s="503">
        <v>25</v>
      </c>
      <c r="GR100" s="503">
        <v>25</v>
      </c>
      <c r="GS100" s="58">
        <f>BS!IM105</f>
        <v>25</v>
      </c>
      <c r="GU100" s="453" t="s">
        <v>53</v>
      </c>
      <c r="GV100" s="503">
        <v>25</v>
      </c>
      <c r="GW100" s="503">
        <v>25</v>
      </c>
      <c r="GX100" s="503">
        <v>25</v>
      </c>
      <c r="GY100" s="503">
        <v>25</v>
      </c>
      <c r="GZ100" s="58">
        <f>BS!IT105</f>
        <v>25</v>
      </c>
    </row>
    <row r="101" spans="1:208" x14ac:dyDescent="0.4">
      <c r="A101" s="58"/>
      <c r="B101" s="76"/>
      <c r="V101" s="80"/>
      <c r="W101" s="80"/>
      <c r="X101" s="80"/>
      <c r="Y101" s="80"/>
      <c r="Z101" s="80"/>
      <c r="AP101" s="76"/>
      <c r="AW101" s="76"/>
      <c r="BD101" s="76"/>
      <c r="BK101" s="76"/>
      <c r="BR101" s="76"/>
      <c r="BY101" s="76"/>
      <c r="CF101" s="76"/>
      <c r="CM101" s="76"/>
      <c r="CT101" s="76"/>
      <c r="DA101" s="76"/>
      <c r="DH101" s="76"/>
      <c r="DO101" s="76"/>
      <c r="DV101" s="76"/>
      <c r="EC101" s="76"/>
      <c r="EJ101" s="76"/>
      <c r="EQ101" s="76"/>
      <c r="EX101" s="76"/>
      <c r="FE101" s="76"/>
      <c r="FL101" s="76"/>
      <c r="FS101" s="76"/>
      <c r="FZ101" s="76"/>
      <c r="GD101" s="80"/>
      <c r="GE101" s="80"/>
      <c r="GG101" s="76"/>
      <c r="GH101" s="80"/>
      <c r="GI101" s="80"/>
      <c r="GJ101" s="80"/>
      <c r="GK101" s="80"/>
      <c r="GL101" s="80"/>
      <c r="GN101" s="76"/>
      <c r="GO101" s="80"/>
      <c r="GP101" s="80"/>
      <c r="GQ101" s="80"/>
      <c r="GR101" s="80"/>
      <c r="GS101" s="80"/>
      <c r="GU101" s="76"/>
      <c r="GV101" s="80"/>
      <c r="GW101" s="80"/>
      <c r="GX101" s="80"/>
      <c r="GY101" s="80"/>
      <c r="GZ101" s="80"/>
    </row>
    <row r="102" spans="1:208" x14ac:dyDescent="0.4">
      <c r="A102" s="452"/>
      <c r="B102" s="443" t="s">
        <v>206</v>
      </c>
      <c r="C102" s="444">
        <f>AU102</f>
        <v>144</v>
      </c>
      <c r="D102" s="444">
        <f>BB102</f>
        <v>143</v>
      </c>
      <c r="E102" s="444">
        <f>BI102</f>
        <v>109</v>
      </c>
      <c r="F102" s="444">
        <f>BP102</f>
        <v>119</v>
      </c>
      <c r="G102" s="444">
        <f>BW102</f>
        <v>124</v>
      </c>
      <c r="H102" s="444">
        <f>CD102</f>
        <v>106</v>
      </c>
      <c r="I102" s="444">
        <f>CK102</f>
        <v>78</v>
      </c>
      <c r="J102" s="444">
        <f>CR102</f>
        <v>75</v>
      </c>
      <c r="K102" s="444">
        <f>CY102</f>
        <v>64</v>
      </c>
      <c r="L102" s="444">
        <f>DF102</f>
        <v>68</v>
      </c>
      <c r="M102" s="444">
        <f>DM102</f>
        <v>70</v>
      </c>
      <c r="N102" s="444">
        <f>DT102</f>
        <v>122</v>
      </c>
      <c r="O102" s="444">
        <f>EA102</f>
        <v>154</v>
      </c>
      <c r="P102" s="444">
        <f>EH102</f>
        <v>181</v>
      </c>
      <c r="Q102" s="444">
        <f>EO102</f>
        <v>77</v>
      </c>
      <c r="R102" s="444">
        <f>EV102</f>
        <v>96</v>
      </c>
      <c r="S102" s="444">
        <f>FC102</f>
        <v>70</v>
      </c>
      <c r="T102" s="444">
        <f>FJ102</f>
        <v>91</v>
      </c>
      <c r="U102" s="444">
        <f>FQ102</f>
        <v>90</v>
      </c>
      <c r="V102" s="496">
        <f>FX102</f>
        <v>75</v>
      </c>
      <c r="W102" s="496">
        <f>GE102</f>
        <v>98.644000000000005</v>
      </c>
      <c r="X102" s="496">
        <f>GL102</f>
        <v>101.46356692500001</v>
      </c>
      <c r="Y102" s="496">
        <f>GS102</f>
        <v>106.26634102128953</v>
      </c>
      <c r="Z102" s="496">
        <f>GZ102</f>
        <v>110.94046172317819</v>
      </c>
      <c r="AA102" s="445"/>
      <c r="AB102" s="445"/>
      <c r="AC102" s="445"/>
      <c r="AD102" s="445"/>
      <c r="AE102" s="445"/>
      <c r="AF102" s="445"/>
      <c r="AG102" s="445"/>
      <c r="AH102" s="445"/>
      <c r="AI102" s="445"/>
      <c r="AJ102" s="445"/>
      <c r="AK102" s="445"/>
      <c r="AL102" s="445"/>
      <c r="AM102" s="445"/>
      <c r="AN102" s="445"/>
      <c r="AP102" s="443" t="s">
        <v>206</v>
      </c>
      <c r="AQ102" s="444">
        <f>BS!CK15</f>
        <v>288</v>
      </c>
      <c r="AR102" s="444">
        <f>BS!CL15</f>
        <v>252</v>
      </c>
      <c r="AS102" s="444">
        <f>BS!CM15</f>
        <v>239</v>
      </c>
      <c r="AT102" s="444">
        <f>BS!CN15</f>
        <v>144</v>
      </c>
      <c r="AU102" s="444">
        <f>BS!CO15</f>
        <v>144</v>
      </c>
      <c r="AW102" s="443" t="s">
        <v>206</v>
      </c>
      <c r="AX102" s="444">
        <f>BS!CR15</f>
        <v>107</v>
      </c>
      <c r="AY102" s="444">
        <f>BS!CS15</f>
        <v>66</v>
      </c>
      <c r="AZ102" s="444">
        <f>BS!CT15</f>
        <v>153</v>
      </c>
      <c r="BA102" s="444">
        <f>BS!CU15</f>
        <v>143</v>
      </c>
      <c r="BB102" s="444">
        <f>BS!CV15</f>
        <v>143</v>
      </c>
      <c r="BD102" s="443" t="s">
        <v>206</v>
      </c>
      <c r="BE102" s="444">
        <f>BS!CY15</f>
        <v>103</v>
      </c>
      <c r="BF102" s="444">
        <f>BS!CZ15</f>
        <v>99</v>
      </c>
      <c r="BG102" s="444">
        <f>BS!DA15</f>
        <v>98</v>
      </c>
      <c r="BH102" s="444">
        <f>BS!DB15</f>
        <v>109</v>
      </c>
      <c r="BI102" s="444">
        <f>BS!DC15</f>
        <v>109</v>
      </c>
      <c r="BK102" s="443" t="s">
        <v>206</v>
      </c>
      <c r="BL102" s="444">
        <f>BS!DF15</f>
        <v>109</v>
      </c>
      <c r="BM102" s="444">
        <f>BS!DG15</f>
        <v>113</v>
      </c>
      <c r="BN102" s="444">
        <f>BS!DH15</f>
        <v>75</v>
      </c>
      <c r="BO102" s="444">
        <f>BS!DI15</f>
        <v>119</v>
      </c>
      <c r="BP102" s="444">
        <f>BS!DJ15</f>
        <v>119</v>
      </c>
      <c r="BR102" s="443" t="s">
        <v>206</v>
      </c>
      <c r="BS102" s="444">
        <f>BS!DM15</f>
        <v>112</v>
      </c>
      <c r="BT102" s="444">
        <f>BS!DN15</f>
        <v>160</v>
      </c>
      <c r="BU102" s="444">
        <f>BS!DO15</f>
        <v>111</v>
      </c>
      <c r="BV102" s="444">
        <f>BS!DP15</f>
        <v>124</v>
      </c>
      <c r="BW102" s="444">
        <f>BS!DQ15</f>
        <v>124</v>
      </c>
      <c r="BY102" s="443" t="s">
        <v>206</v>
      </c>
      <c r="BZ102" s="444">
        <f>BS!DT15</f>
        <v>78</v>
      </c>
      <c r="CA102" s="444">
        <f>BS!DU15</f>
        <v>108</v>
      </c>
      <c r="CB102" s="444">
        <f>BS!DV15</f>
        <v>97</v>
      </c>
      <c r="CC102" s="444">
        <f>BS!DW15</f>
        <v>106</v>
      </c>
      <c r="CD102" s="444">
        <f>BS!DX15</f>
        <v>106</v>
      </c>
      <c r="CF102" s="443" t="s">
        <v>206</v>
      </c>
      <c r="CG102" s="444">
        <f>BS!EA15</f>
        <v>102</v>
      </c>
      <c r="CH102" s="444">
        <f>BS!EB15</f>
        <v>123</v>
      </c>
      <c r="CI102" s="444">
        <f>BS!EC15</f>
        <v>112</v>
      </c>
      <c r="CJ102" s="444">
        <f>BS!ED15</f>
        <v>78</v>
      </c>
      <c r="CK102" s="444">
        <f>BS!EE15</f>
        <v>78</v>
      </c>
      <c r="CM102" s="443" t="s">
        <v>206</v>
      </c>
      <c r="CN102" s="444">
        <f>BS!EH15</f>
        <v>112</v>
      </c>
      <c r="CO102" s="444">
        <f>BS!EI15</f>
        <v>125</v>
      </c>
      <c r="CP102" s="444">
        <f>BS!EJ15</f>
        <v>104</v>
      </c>
      <c r="CQ102" s="444">
        <f>BS!EK15</f>
        <v>75</v>
      </c>
      <c r="CR102" s="444">
        <f>BS!EL15</f>
        <v>75</v>
      </c>
      <c r="CT102" s="443" t="s">
        <v>206</v>
      </c>
      <c r="CU102" s="444">
        <f>BS!EO15</f>
        <v>103</v>
      </c>
      <c r="CV102" s="444">
        <f>BS!EP15</f>
        <v>118</v>
      </c>
      <c r="CW102" s="444">
        <f>BS!EQ15</f>
        <v>85</v>
      </c>
      <c r="CX102" s="444">
        <f>BS!ER15</f>
        <v>64</v>
      </c>
      <c r="CY102" s="444">
        <f>BS!ES15</f>
        <v>64</v>
      </c>
      <c r="DA102" s="443" t="s">
        <v>206</v>
      </c>
      <c r="DB102" s="444">
        <f>BS!EV15</f>
        <v>91</v>
      </c>
      <c r="DC102" s="444">
        <f>BS!EW15</f>
        <v>123</v>
      </c>
      <c r="DD102" s="444">
        <f>BS!EX15</f>
        <v>95</v>
      </c>
      <c r="DE102" s="444">
        <f>BS!EY15</f>
        <v>68</v>
      </c>
      <c r="DF102" s="444">
        <f>BS!EZ15</f>
        <v>68</v>
      </c>
      <c r="DH102" s="443" t="s">
        <v>206</v>
      </c>
      <c r="DI102" s="444">
        <f>BS!FC15</f>
        <v>99</v>
      </c>
      <c r="DJ102" s="444">
        <f>BS!FD15</f>
        <v>102</v>
      </c>
      <c r="DK102" s="444">
        <f>BS!FE15</f>
        <v>87</v>
      </c>
      <c r="DL102" s="444">
        <f>BS!FF15</f>
        <v>70</v>
      </c>
      <c r="DM102" s="444">
        <f>BS!FG15</f>
        <v>70</v>
      </c>
      <c r="DO102" s="443" t="s">
        <v>206</v>
      </c>
      <c r="DP102" s="444">
        <f>BS!FJ15</f>
        <v>83</v>
      </c>
      <c r="DQ102" s="444">
        <f>BS!FK15</f>
        <v>89</v>
      </c>
      <c r="DR102" s="444">
        <f>BS!FL15</f>
        <v>86</v>
      </c>
      <c r="DS102" s="444">
        <f>BS!FM15</f>
        <v>122</v>
      </c>
      <c r="DT102" s="444">
        <f>BS!FN15</f>
        <v>122</v>
      </c>
      <c r="DV102" s="443" t="s">
        <v>206</v>
      </c>
      <c r="DW102" s="444">
        <f>BS!FQ15</f>
        <v>85</v>
      </c>
      <c r="DX102" s="444">
        <f>BS!FR15</f>
        <v>90</v>
      </c>
      <c r="DY102" s="444">
        <f>BS!FS15</f>
        <v>95</v>
      </c>
      <c r="DZ102" s="444">
        <f>BS!FT15</f>
        <v>154</v>
      </c>
      <c r="EA102" s="444">
        <f>BS!FU15</f>
        <v>154</v>
      </c>
      <c r="EC102" s="443" t="s">
        <v>206</v>
      </c>
      <c r="ED102" s="444">
        <f>BS!FX15</f>
        <v>138</v>
      </c>
      <c r="EE102" s="444">
        <f>BS!FY15</f>
        <v>116</v>
      </c>
      <c r="EF102" s="444">
        <f>BS!FZ15</f>
        <v>133</v>
      </c>
      <c r="EG102" s="444">
        <f>BS!GA15</f>
        <v>181</v>
      </c>
      <c r="EH102" s="444">
        <f>BS!GB15</f>
        <v>181</v>
      </c>
      <c r="EJ102" s="443" t="s">
        <v>206</v>
      </c>
      <c r="EK102" s="444">
        <f>BS!GE15</f>
        <v>122</v>
      </c>
      <c r="EL102" s="444">
        <f>BS!GF15</f>
        <v>122</v>
      </c>
      <c r="EM102" s="444">
        <f>BS!GG15</f>
        <v>66</v>
      </c>
      <c r="EN102" s="444">
        <f>BS!GH15</f>
        <v>77</v>
      </c>
      <c r="EO102" s="444">
        <f>BS!GI15</f>
        <v>77</v>
      </c>
      <c r="EQ102" s="443" t="s">
        <v>206</v>
      </c>
      <c r="ER102" s="444">
        <f>BS!GL15</f>
        <v>74</v>
      </c>
      <c r="ES102" s="444">
        <f>BS!GM15</f>
        <v>91</v>
      </c>
      <c r="ET102" s="444">
        <f>BS!GN15</f>
        <v>96</v>
      </c>
      <c r="EU102" s="444">
        <f>BS!GO15</f>
        <v>96</v>
      </c>
      <c r="EV102" s="444">
        <f>BS!GP15</f>
        <v>96</v>
      </c>
      <c r="EX102" s="443" t="s">
        <v>206</v>
      </c>
      <c r="EY102" s="444">
        <f>BS!GS15</f>
        <v>93</v>
      </c>
      <c r="EZ102" s="444">
        <f>BS!GT15</f>
        <v>102</v>
      </c>
      <c r="FA102" s="444">
        <f>BS!GU15</f>
        <v>89</v>
      </c>
      <c r="FB102" s="444">
        <f>BS!GV15</f>
        <v>70</v>
      </c>
      <c r="FC102" s="444">
        <f>BS!GW15</f>
        <v>70</v>
      </c>
      <c r="FE102" s="443" t="s">
        <v>206</v>
      </c>
      <c r="FF102" s="444">
        <f>BS!GZ15</f>
        <v>97</v>
      </c>
      <c r="FG102" s="444">
        <f>BS!HA15</f>
        <v>104</v>
      </c>
      <c r="FH102" s="444">
        <f>BS!HB15</f>
        <v>79</v>
      </c>
      <c r="FI102" s="444">
        <f>BS!HC15</f>
        <v>91</v>
      </c>
      <c r="FJ102" s="444">
        <f>BS!HD15</f>
        <v>91</v>
      </c>
      <c r="FL102" s="443" t="s">
        <v>206</v>
      </c>
      <c r="FM102" s="444">
        <f>BS!HG15</f>
        <v>99</v>
      </c>
      <c r="FN102" s="444">
        <f>BS!HH15</f>
        <v>107</v>
      </c>
      <c r="FO102" s="444">
        <f>BS!HI15</f>
        <v>75</v>
      </c>
      <c r="FP102" s="444">
        <f>BS!HJ15</f>
        <v>90</v>
      </c>
      <c r="FQ102" s="444">
        <f>BS!HK15</f>
        <v>90</v>
      </c>
      <c r="FS102" s="443" t="s">
        <v>206</v>
      </c>
      <c r="FT102" s="444">
        <f>BS!HN15</f>
        <v>117</v>
      </c>
      <c r="FU102" s="444">
        <f>BS!HO15</f>
        <v>91</v>
      </c>
      <c r="FV102" s="444">
        <f>BS!HP15</f>
        <v>93</v>
      </c>
      <c r="FW102" s="444">
        <f>BS!HQ15</f>
        <v>75</v>
      </c>
      <c r="FX102" s="444">
        <f>BS!HR15</f>
        <v>75</v>
      </c>
      <c r="FZ102" s="443" t="s">
        <v>206</v>
      </c>
      <c r="GA102" s="444">
        <f>BS!HU15</f>
        <v>87</v>
      </c>
      <c r="GB102" s="444">
        <f>BS!HV15</f>
        <v>83</v>
      </c>
      <c r="GC102" s="444">
        <f>BS!HW15</f>
        <v>109</v>
      </c>
      <c r="GD102" s="496">
        <f>+GD103*BS!HX69</f>
        <v>98.644000000000005</v>
      </c>
      <c r="GE102" s="496">
        <f>BS!HY15</f>
        <v>98.644000000000005</v>
      </c>
      <c r="GG102" s="443" t="s">
        <v>206</v>
      </c>
      <c r="GH102" s="496">
        <f>+GH103*BS!IB69</f>
        <v>98.908721974999992</v>
      </c>
      <c r="GI102" s="496">
        <f>+GI103*BS!IC69</f>
        <v>99.34195145000001</v>
      </c>
      <c r="GJ102" s="496">
        <f>+GJ103*BS!ID69</f>
        <v>100.16049049999999</v>
      </c>
      <c r="GK102" s="496">
        <f>+GK103*BS!IE69</f>
        <v>101.46356692500001</v>
      </c>
      <c r="GL102" s="496">
        <f>BS!IF15</f>
        <v>101.46356692500001</v>
      </c>
      <c r="GN102" s="443" t="s">
        <v>206</v>
      </c>
      <c r="GO102" s="496">
        <f>+GO103*BS!II69</f>
        <v>102.63548877108515</v>
      </c>
      <c r="GP102" s="496">
        <f>+GP103*BS!IJ69</f>
        <v>103.84692998306267</v>
      </c>
      <c r="GQ102" s="496">
        <f>+GQ103*BS!IK69</f>
        <v>105.0514706819189</v>
      </c>
      <c r="GR102" s="496">
        <f>+GR103*BS!IL69</f>
        <v>106.26634102128953</v>
      </c>
      <c r="GS102" s="496">
        <f>BS!IM15</f>
        <v>106.26634102128953</v>
      </c>
      <c r="GU102" s="443" t="s">
        <v>206</v>
      </c>
      <c r="GV102" s="496">
        <f>+GV103*BS!IP69</f>
        <v>107.40551873626112</v>
      </c>
      <c r="GW102" s="496">
        <f>+GW103*BS!IQ69</f>
        <v>108.58356274127104</v>
      </c>
      <c r="GX102" s="496">
        <f>+GX103*BS!IR69</f>
        <v>109.77423345187616</v>
      </c>
      <c r="GY102" s="496">
        <f>+GY103*BS!IS69</f>
        <v>110.94046172317819</v>
      </c>
      <c r="GZ102" s="496">
        <f>BS!IT15</f>
        <v>110.94046172317819</v>
      </c>
    </row>
    <row r="103" spans="1:208" x14ac:dyDescent="0.4">
      <c r="A103" s="438"/>
      <c r="B103" s="447" t="s">
        <v>6</v>
      </c>
      <c r="C103" s="448">
        <f>AU103</f>
        <v>1.6742239274502965E-2</v>
      </c>
      <c r="D103" s="448">
        <f>BB103</f>
        <v>1.4948776918252143E-2</v>
      </c>
      <c r="E103" s="448">
        <f>BI103</f>
        <v>1.086739780658026E-2</v>
      </c>
      <c r="F103" s="448">
        <f>BP103</f>
        <v>1.0573078631719236E-2</v>
      </c>
      <c r="G103" s="448">
        <f>BW103</f>
        <v>1.3715296980422519E-2</v>
      </c>
      <c r="H103" s="448">
        <f>CD103</f>
        <v>9.9661526889808193E-3</v>
      </c>
      <c r="I103" s="448">
        <f>CK103</f>
        <v>6.6422549604019413E-3</v>
      </c>
      <c r="J103" s="448">
        <f>CR103</f>
        <v>6.3797209935352161E-3</v>
      </c>
      <c r="K103" s="448">
        <f>CY103</f>
        <v>5.3076795488472385E-3</v>
      </c>
      <c r="L103" s="448">
        <f>DF103</f>
        <v>5.36743231509985E-3</v>
      </c>
      <c r="M103" s="448">
        <f>DM103</f>
        <v>5.9266785200237067E-3</v>
      </c>
      <c r="N103" s="448">
        <f>DT103</f>
        <v>1.1021772517842624E-2</v>
      </c>
      <c r="O103" s="448">
        <f>EA103</f>
        <v>1.349929873772791E-2</v>
      </c>
      <c r="P103" s="448">
        <f>EH103</f>
        <v>1.4775510204081632E-2</v>
      </c>
      <c r="Q103" s="448">
        <f>EO103</f>
        <v>6.4505319594537992E-3</v>
      </c>
      <c r="R103" s="448">
        <f>EV103</f>
        <v>9.0711518473022765E-3</v>
      </c>
      <c r="S103" s="448">
        <f>FC103</f>
        <v>5.5901613160836928E-3</v>
      </c>
      <c r="T103" s="448">
        <f>FJ103</f>
        <v>6.1267084090756074E-3</v>
      </c>
      <c r="U103" s="448">
        <f>FQ103</f>
        <v>6.1404107252507334E-3</v>
      </c>
      <c r="V103" s="497">
        <f>FX103</f>
        <v>5.1581843191196696E-3</v>
      </c>
      <c r="W103" s="497">
        <f>GE103</f>
        <v>7.0000000000000001E-3</v>
      </c>
      <c r="X103" s="497">
        <f>GL103</f>
        <v>7.0000000000000019E-3</v>
      </c>
      <c r="Y103" s="497">
        <f>GS103</f>
        <v>7.0000000000000001E-3</v>
      </c>
      <c r="Z103" s="497">
        <f>GZ103</f>
        <v>6.9999999999999993E-3</v>
      </c>
      <c r="AA103" s="449"/>
      <c r="AB103" s="449"/>
      <c r="AC103" s="449"/>
      <c r="AD103" s="449"/>
      <c r="AE103" s="449"/>
      <c r="AF103" s="449"/>
      <c r="AG103" s="449"/>
      <c r="AH103" s="449"/>
      <c r="AI103" s="449"/>
      <c r="AJ103" s="449"/>
      <c r="AK103" s="449"/>
      <c r="AL103" s="449"/>
      <c r="AM103" s="449"/>
      <c r="AN103" s="449"/>
      <c r="AP103" s="447" t="s">
        <v>6</v>
      </c>
      <c r="AQ103" s="448" t="s">
        <v>80</v>
      </c>
      <c r="AR103" s="448" t="s">
        <v>80</v>
      </c>
      <c r="AS103" s="448" t="s">
        <v>80</v>
      </c>
      <c r="AT103" s="448" t="s">
        <v>80</v>
      </c>
      <c r="AU103" s="448">
        <f>+AU102/BS!CO69</f>
        <v>1.6742239274502965E-2</v>
      </c>
      <c r="AW103" s="447" t="s">
        <v>6</v>
      </c>
      <c r="AX103" s="448">
        <f>+AX102/BS!CR69</f>
        <v>1.2126019945602902E-2</v>
      </c>
      <c r="AY103" s="448">
        <f>+AY102/BS!CS69</f>
        <v>7.2559366754617414E-3</v>
      </c>
      <c r="AZ103" s="448">
        <f>+AZ102/BS!CT69</f>
        <v>1.6295665140057515E-2</v>
      </c>
      <c r="BA103" s="448">
        <f>+BA102/BS!CU69</f>
        <v>1.4948776918252143E-2</v>
      </c>
      <c r="BB103" s="448">
        <f>+BB102/BS!CV69</f>
        <v>1.4948776918252143E-2</v>
      </c>
      <c r="BD103" s="447" t="s">
        <v>6</v>
      </c>
      <c r="BE103" s="448">
        <f>+BE102/BS!CY69</f>
        <v>1.0665838252045149E-2</v>
      </c>
      <c r="BF103" s="448">
        <f>+BF102/BS!CZ69</f>
        <v>1.0137210731107925E-2</v>
      </c>
      <c r="BG103" s="448">
        <f>+BG102/BS!DA69</f>
        <v>9.9502487562189053E-3</v>
      </c>
      <c r="BH103" s="448">
        <f>+BH102/BS!DB69</f>
        <v>1.086739780658026E-2</v>
      </c>
      <c r="BI103" s="448">
        <f>+BI102/BS!DC69</f>
        <v>1.086739780658026E-2</v>
      </c>
      <c r="BK103" s="447" t="s">
        <v>6</v>
      </c>
      <c r="BL103" s="448">
        <f>+BL102/BS!DF69</f>
        <v>1.0560992151923264E-2</v>
      </c>
      <c r="BM103" s="448">
        <f>+BM102/BS!DG69</f>
        <v>1.0562722004112918E-2</v>
      </c>
      <c r="BN103" s="448">
        <f>+BN102/BS!DH69</f>
        <v>6.7216347015594188E-3</v>
      </c>
      <c r="BO103" s="448">
        <f>+BO102/BS!DI69</f>
        <v>1.0573078631719236E-2</v>
      </c>
      <c r="BP103" s="448">
        <f>+BP102/BS!DJ69</f>
        <v>1.0573078631719236E-2</v>
      </c>
      <c r="BR103" s="447" t="s">
        <v>6</v>
      </c>
      <c r="BS103" s="448">
        <f>+BS102/BS!DM69</f>
        <v>1.0380943553619426E-2</v>
      </c>
      <c r="BT103" s="448">
        <f>+BT102/BS!DN69</f>
        <v>1.5893513459819212E-2</v>
      </c>
      <c r="BU103" s="448">
        <f>+BU102/BS!DO69</f>
        <v>1.1814795103778605E-2</v>
      </c>
      <c r="BV103" s="448">
        <f>+BV102/BS!DP69</f>
        <v>1.3715296980422519E-2</v>
      </c>
      <c r="BW103" s="448">
        <f>+BW102/BS!DQ69</f>
        <v>1.3715296980422519E-2</v>
      </c>
      <c r="BY103" s="447" t="s">
        <v>6</v>
      </c>
      <c r="BZ103" s="448">
        <f>+BZ102/BS!DT69</f>
        <v>8.4006462035541192E-3</v>
      </c>
      <c r="CA103" s="448">
        <f>+CA102/BS!DU69</f>
        <v>1.106217351224009E-2</v>
      </c>
      <c r="CB103" s="448">
        <f>+CB102/BS!DV69</f>
        <v>9.5660749506903345E-3</v>
      </c>
      <c r="CC103" s="448">
        <f>+CC102/BS!DW69</f>
        <v>9.9661526889808193E-3</v>
      </c>
      <c r="CD103" s="448">
        <f>+CD102/BS!DX69</f>
        <v>9.9661526889808193E-3</v>
      </c>
      <c r="CF103" s="447" t="s">
        <v>6</v>
      </c>
      <c r="CG103" s="448">
        <f>+CG102/BS!EA69</f>
        <v>9.310816978548608E-3</v>
      </c>
      <c r="CH103" s="448">
        <f>+CH102/BS!EB69</f>
        <v>1.0874370082220848E-2</v>
      </c>
      <c r="CI103" s="448">
        <f>+CI102/BS!EC69</f>
        <v>9.6485182632667123E-3</v>
      </c>
      <c r="CJ103" s="448">
        <f>+CJ102/BS!ED69</f>
        <v>6.6422549604019413E-3</v>
      </c>
      <c r="CK103" s="448">
        <f>+CK102/BS!EE69</f>
        <v>6.6422549604019413E-3</v>
      </c>
      <c r="CM103" s="447" t="s">
        <v>6</v>
      </c>
      <c r="CN103" s="448">
        <f>+CN102/BS!EH69</f>
        <v>9.4125556769476433E-3</v>
      </c>
      <c r="CO103" s="448">
        <f>+CO102/BS!EI69</f>
        <v>1.0511268079381096E-2</v>
      </c>
      <c r="CP103" s="448">
        <f>+CP102/BS!EJ69</f>
        <v>8.7964137697707865E-3</v>
      </c>
      <c r="CQ103" s="448">
        <f>+CQ102/BS!EK69</f>
        <v>6.3797209935352161E-3</v>
      </c>
      <c r="CR103" s="448">
        <f>+CR102/BS!EL69</f>
        <v>6.3797209935352161E-3</v>
      </c>
      <c r="CT103" s="447" t="s">
        <v>6</v>
      </c>
      <c r="CU103" s="448">
        <f>+CU102/BS!EO69</f>
        <v>8.767449778685734E-3</v>
      </c>
      <c r="CV103" s="448">
        <f>+CV102/BS!EP69</f>
        <v>9.9957645065650146E-3</v>
      </c>
      <c r="CW103" s="448">
        <f>+CW102/BS!EQ69</f>
        <v>7.136859781696054E-3</v>
      </c>
      <c r="CX103" s="448">
        <f>+CX102/BS!ER69</f>
        <v>5.3076795488472385E-3</v>
      </c>
      <c r="CY103" s="448">
        <f>+CY102/BS!ES69</f>
        <v>5.3076795488472385E-3</v>
      </c>
      <c r="DA103" s="447" t="s">
        <v>6</v>
      </c>
      <c r="DB103" s="448">
        <f>+DB102/BS!EV69</f>
        <v>7.5132100396301188E-3</v>
      </c>
      <c r="DC103" s="448">
        <f>+DC102/BS!EW69</f>
        <v>1.0010580288109383E-2</v>
      </c>
      <c r="DD103" s="448">
        <f>+DD102/BS!EX69</f>
        <v>7.594531937005356E-3</v>
      </c>
      <c r="DE103" s="448">
        <f>+DE102/BS!EY69</f>
        <v>5.36743231509985E-3</v>
      </c>
      <c r="DF103" s="448">
        <f>+DF102/BS!EZ69</f>
        <v>5.36743231509985E-3</v>
      </c>
      <c r="DH103" s="447" t="s">
        <v>6</v>
      </c>
      <c r="DI103" s="448">
        <f>+DI102/BS!FC69</f>
        <v>7.8051087984862821E-3</v>
      </c>
      <c r="DJ103" s="448">
        <f>+DJ102/BS!FD69</f>
        <v>8.1573896353166978E-3</v>
      </c>
      <c r="DK103" s="448">
        <f>+DK102/BS!FE69</f>
        <v>7.1183112420225821E-3</v>
      </c>
      <c r="DL103" s="448">
        <f>+DL102/BS!FF69</f>
        <v>5.9266785200237067E-3</v>
      </c>
      <c r="DM103" s="448">
        <f>+DM102/BS!FG69</f>
        <v>5.9266785200237067E-3</v>
      </c>
      <c r="DO103" s="447" t="s">
        <v>6</v>
      </c>
      <c r="DP103" s="448">
        <f>+DP102/BS!FJ69</f>
        <v>7.2794246623399403E-3</v>
      </c>
      <c r="DQ103" s="448">
        <f>+DQ102/BS!FK69</f>
        <v>8.0601340336895495E-3</v>
      </c>
      <c r="DR103" s="448">
        <f>+DR102/BS!FL69</f>
        <v>7.9533894386386757E-3</v>
      </c>
      <c r="DS103" s="448">
        <f>+DS102/BS!FM69</f>
        <v>1.1021772517842624E-2</v>
      </c>
      <c r="DT103" s="448">
        <f>+DT102/BS!FN69</f>
        <v>1.1021772517842624E-2</v>
      </c>
      <c r="DV103" s="447" t="s">
        <v>6</v>
      </c>
      <c r="DW103" s="448">
        <f>+DW102/BS!FQ69</f>
        <v>7.5088339222614837E-3</v>
      </c>
      <c r="DX103" s="448">
        <f>+DX102/BS!FR69</f>
        <v>7.7928825006494066E-3</v>
      </c>
      <c r="DY103" s="448">
        <f>+DY102/BS!FS69</f>
        <v>8.2023830081160414E-3</v>
      </c>
      <c r="DZ103" s="448">
        <f>+DZ102/BS!FT69</f>
        <v>1.349929873772791E-2</v>
      </c>
      <c r="EA103" s="448">
        <f>+EA102/BS!FU69</f>
        <v>1.349929873772791E-2</v>
      </c>
      <c r="EC103" s="447" t="s">
        <v>6</v>
      </c>
      <c r="ED103" s="448">
        <f>+ED102/BS!FX69</f>
        <v>1.2089356110381078E-2</v>
      </c>
      <c r="EE103" s="448">
        <f>+EE102/BS!FY69</f>
        <v>1.0013812154696133E-2</v>
      </c>
      <c r="EF103" s="448">
        <f>+EF102/BS!FZ69</f>
        <v>1.1111111111111112E-2</v>
      </c>
      <c r="EG103" s="448">
        <f>+EG102/BS!GA69</f>
        <v>1.4775510204081632E-2</v>
      </c>
      <c r="EH103" s="448">
        <f>+EH102/BS!GB69</f>
        <v>1.4775510204081632E-2</v>
      </c>
      <c r="EJ103" s="447" t="s">
        <v>6</v>
      </c>
      <c r="EK103" s="448">
        <f>+EK102/BS!GE69</f>
        <v>9.8490352789214492E-3</v>
      </c>
      <c r="EL103" s="448">
        <f>+EL102/BS!GF69</f>
        <v>9.8817430746800591E-3</v>
      </c>
      <c r="EM103" s="448">
        <f>+EM102/BS!GG69</f>
        <v>5.4120541205412058E-3</v>
      </c>
      <c r="EN103" s="448">
        <f>+EN102/BS!GH69</f>
        <v>6.4505319594537992E-3</v>
      </c>
      <c r="EO103" s="448">
        <f>+EO102/BS!GI69</f>
        <v>6.4505319594537992E-3</v>
      </c>
      <c r="EQ103" s="447" t="s">
        <v>6</v>
      </c>
      <c r="ER103" s="448">
        <f>+ER102/BS!GL69</f>
        <v>6.2823669241871124E-3</v>
      </c>
      <c r="ES103" s="448">
        <f>+ES102/BS!GM69</f>
        <v>8.2930830219630006E-3</v>
      </c>
      <c r="ET103" s="448">
        <f>+ET102/BS!GN69</f>
        <v>9.0200131541858502E-3</v>
      </c>
      <c r="EU103" s="448">
        <f>+EU102/BS!GO69</f>
        <v>9.0711518473022765E-3</v>
      </c>
      <c r="EV103" s="448">
        <f>+EV102/BS!GP69</f>
        <v>9.0711518473022765E-3</v>
      </c>
      <c r="EX103" s="447" t="s">
        <v>6</v>
      </c>
      <c r="EY103" s="448">
        <f>+EY102/BS!GS69</f>
        <v>8.8226923441798687E-3</v>
      </c>
      <c r="EZ103" s="448">
        <f>+EZ102/BS!GT69</f>
        <v>9.0457609081234479E-3</v>
      </c>
      <c r="FA103" s="448">
        <f>+FA102/BS!GU69</f>
        <v>7.4664429530201344E-3</v>
      </c>
      <c r="FB103" s="448">
        <f>+FB102/BS!GV69</f>
        <v>5.5901613160836928E-3</v>
      </c>
      <c r="FC103" s="448">
        <f>+FC102/BS!GW69</f>
        <v>5.5901613160836928E-3</v>
      </c>
      <c r="FE103" s="447" t="s">
        <v>6</v>
      </c>
      <c r="FF103" s="448">
        <f>+FF102/BS!GZ69</f>
        <v>7.3921658283798205E-3</v>
      </c>
      <c r="FG103" s="448">
        <f>+FG102/BS!HA69</f>
        <v>7.4568007456800745E-3</v>
      </c>
      <c r="FH103" s="448">
        <f>+FH102/BS!HB69</f>
        <v>5.4295532646048113E-3</v>
      </c>
      <c r="FI103" s="448">
        <f>+FI102/BS!HC69</f>
        <v>6.1267084090756074E-3</v>
      </c>
      <c r="FJ103" s="448">
        <f>+FJ102/BS!HD69</f>
        <v>6.1267084090756074E-3</v>
      </c>
      <c r="FL103" s="447" t="s">
        <v>6</v>
      </c>
      <c r="FM103" s="448">
        <f>+FM102/BS!HG69</f>
        <v>6.5363792420441037E-3</v>
      </c>
      <c r="FN103" s="448">
        <f>+FN102/BS!HH69</f>
        <v>7.1190951430472387E-3</v>
      </c>
      <c r="FO103" s="448">
        <f>+FO102/BS!HI69</f>
        <v>5.0996124294553618E-3</v>
      </c>
      <c r="FP103" s="448">
        <f>+FP102/BS!HJ69</f>
        <v>6.1404107252507334E-3</v>
      </c>
      <c r="FQ103" s="448">
        <f>+FQ102/BS!HK69</f>
        <v>6.1404107252507334E-3</v>
      </c>
      <c r="FS103" s="447" t="s">
        <v>6</v>
      </c>
      <c r="FT103" s="448">
        <f>+FT102/BS!HN69</f>
        <v>7.9961727720065604E-3</v>
      </c>
      <c r="FU103" s="448">
        <f>+FU102/BS!HO69</f>
        <v>6.2183955172885061E-3</v>
      </c>
      <c r="FV103" s="448">
        <f>+FV102/BS!HP69</f>
        <v>6.3347183434370952E-3</v>
      </c>
      <c r="FW103" s="448">
        <f>+FW102/BS!HQ69</f>
        <v>5.1581843191196696E-3</v>
      </c>
      <c r="FX103" s="448">
        <f>+FX102/BS!HR69</f>
        <v>5.1581843191196696E-3</v>
      </c>
      <c r="FZ103" s="447" t="s">
        <v>6</v>
      </c>
      <c r="GA103" s="448">
        <f>+GA102/BS!HU69</f>
        <v>6.091583811791066E-3</v>
      </c>
      <c r="GB103" s="448">
        <f>+GB102/BS!HV69</f>
        <v>5.8636524196397036E-3</v>
      </c>
      <c r="GC103" s="448">
        <f>+GC102/BS!HW69</f>
        <v>7.7179069602775615E-3</v>
      </c>
      <c r="GD103" s="504">
        <v>7.0000000000000001E-3</v>
      </c>
      <c r="GE103" s="497">
        <f>+GE102/BS!HY69</f>
        <v>7.0000000000000001E-3</v>
      </c>
      <c r="GG103" s="447" t="s">
        <v>6</v>
      </c>
      <c r="GH103" s="504">
        <v>7.0000000000000001E-3</v>
      </c>
      <c r="GI103" s="504">
        <v>7.0000000000000001E-3</v>
      </c>
      <c r="GJ103" s="504">
        <v>7.0000000000000001E-3</v>
      </c>
      <c r="GK103" s="504">
        <v>7.0000000000000001E-3</v>
      </c>
      <c r="GL103" s="497">
        <f>+GL102/BS!IF69</f>
        <v>7.0000000000000019E-3</v>
      </c>
      <c r="GN103" s="447" t="s">
        <v>6</v>
      </c>
      <c r="GO103" s="504">
        <v>7.0000000000000001E-3</v>
      </c>
      <c r="GP103" s="504">
        <v>7.0000000000000001E-3</v>
      </c>
      <c r="GQ103" s="504">
        <v>7.0000000000000001E-3</v>
      </c>
      <c r="GR103" s="504">
        <v>7.0000000000000001E-3</v>
      </c>
      <c r="GS103" s="497">
        <f>+GS102/BS!IM69</f>
        <v>7.0000000000000001E-3</v>
      </c>
      <c r="GU103" s="447" t="s">
        <v>6</v>
      </c>
      <c r="GV103" s="504">
        <v>7.0000000000000001E-3</v>
      </c>
      <c r="GW103" s="504">
        <v>7.0000000000000001E-3</v>
      </c>
      <c r="GX103" s="504">
        <v>7.0000000000000001E-3</v>
      </c>
      <c r="GY103" s="504">
        <v>7.0000000000000001E-3</v>
      </c>
      <c r="GZ103" s="497">
        <f>+GZ102/BS!IT69</f>
        <v>6.9999999999999993E-3</v>
      </c>
    </row>
    <row r="104" spans="1:208" x14ac:dyDescent="0.4">
      <c r="A104" s="452"/>
      <c r="B104" s="76"/>
      <c r="V104" s="80"/>
      <c r="W104" s="80"/>
      <c r="X104" s="80"/>
      <c r="Y104" s="80"/>
      <c r="Z104" s="80"/>
      <c r="AP104" s="76"/>
      <c r="AW104" s="76"/>
      <c r="BD104" s="76"/>
      <c r="BK104" s="76"/>
      <c r="BR104" s="76"/>
      <c r="BY104" s="76"/>
      <c r="CF104" s="76"/>
      <c r="CM104" s="76"/>
      <c r="CT104" s="76"/>
      <c r="DA104" s="76"/>
      <c r="DH104" s="76"/>
      <c r="DO104" s="76"/>
      <c r="DV104" s="76"/>
      <c r="EC104" s="76"/>
      <c r="EJ104" s="76"/>
      <c r="EQ104" s="76"/>
      <c r="EX104" s="76"/>
      <c r="FE104" s="76"/>
      <c r="FL104" s="76"/>
      <c r="FS104" s="76"/>
      <c r="FZ104" s="76"/>
      <c r="GD104" s="80"/>
      <c r="GE104" s="80"/>
      <c r="GG104" s="76"/>
      <c r="GH104" s="80"/>
      <c r="GI104" s="80"/>
      <c r="GJ104" s="80"/>
      <c r="GK104" s="80"/>
      <c r="GL104" s="80"/>
      <c r="GN104" s="76"/>
      <c r="GO104" s="80"/>
      <c r="GP104" s="80"/>
      <c r="GQ104" s="80"/>
      <c r="GR104" s="80"/>
      <c r="GS104" s="80"/>
      <c r="GU104" s="76"/>
      <c r="GV104" s="80"/>
      <c r="GW104" s="80"/>
      <c r="GX104" s="80"/>
      <c r="GY104" s="80"/>
      <c r="GZ104" s="80"/>
    </row>
    <row r="105" spans="1:208" x14ac:dyDescent="0.4">
      <c r="A105" s="452"/>
      <c r="B105" s="443" t="s">
        <v>74</v>
      </c>
      <c r="C105" s="444">
        <f>AU105</f>
        <v>199</v>
      </c>
      <c r="D105" s="444">
        <f>BB105</f>
        <v>204</v>
      </c>
      <c r="E105" s="444">
        <f>BI105</f>
        <v>240</v>
      </c>
      <c r="F105" s="444">
        <f>BP105</f>
        <v>217</v>
      </c>
      <c r="G105" s="444">
        <f>BW105</f>
        <v>203</v>
      </c>
      <c r="H105" s="444">
        <f>CD105</f>
        <v>218</v>
      </c>
      <c r="I105" s="444">
        <f>CK105</f>
        <v>240</v>
      </c>
      <c r="J105" s="444">
        <f>CR105</f>
        <v>274</v>
      </c>
      <c r="K105" s="444">
        <f>CY105</f>
        <v>252</v>
      </c>
      <c r="L105" s="444">
        <f>DF105</f>
        <v>273</v>
      </c>
      <c r="M105" s="444">
        <f>DM105</f>
        <v>350</v>
      </c>
      <c r="N105" s="444">
        <f>DT105</f>
        <v>407</v>
      </c>
      <c r="O105" s="444">
        <f>EA105</f>
        <v>372</v>
      </c>
      <c r="P105" s="444">
        <f>EH105</f>
        <v>263</v>
      </c>
      <c r="Q105" s="444">
        <f>EO105</f>
        <v>261</v>
      </c>
      <c r="R105" s="444">
        <f>EV105</f>
        <v>302</v>
      </c>
      <c r="S105" s="444">
        <f>FC105</f>
        <v>339</v>
      </c>
      <c r="T105" s="444">
        <f>FJ105</f>
        <v>341</v>
      </c>
      <c r="U105" s="444">
        <f>FQ105</f>
        <v>440</v>
      </c>
      <c r="V105" s="496">
        <f>FX105</f>
        <v>414</v>
      </c>
      <c r="W105" s="496">
        <f>GE105</f>
        <v>402.16500000000002</v>
      </c>
      <c r="X105" s="496">
        <f>GL105</f>
        <v>396.21135449362498</v>
      </c>
      <c r="Y105" s="496">
        <f>GS105</f>
        <v>389.26264489958169</v>
      </c>
      <c r="Z105" s="496">
        <f>GZ105</f>
        <v>398.94477763714445</v>
      </c>
      <c r="AA105" s="445"/>
      <c r="AB105" s="445"/>
      <c r="AC105" s="445"/>
      <c r="AD105" s="445"/>
      <c r="AE105" s="445"/>
      <c r="AF105" s="445"/>
      <c r="AG105" s="445"/>
      <c r="AH105" s="445"/>
      <c r="AI105" s="445"/>
      <c r="AJ105" s="445"/>
      <c r="AK105" s="445"/>
      <c r="AL105" s="445"/>
      <c r="AM105" s="445"/>
      <c r="AN105" s="445"/>
      <c r="AP105" s="443" t="s">
        <v>74</v>
      </c>
      <c r="AQ105" s="444">
        <f>BS!CK13</f>
        <v>190</v>
      </c>
      <c r="AR105" s="444">
        <f>BS!CL13</f>
        <v>196</v>
      </c>
      <c r="AS105" s="444">
        <f>BS!CM13</f>
        <v>203</v>
      </c>
      <c r="AT105" s="444">
        <f>BS!CN13</f>
        <v>199</v>
      </c>
      <c r="AU105" s="444">
        <f>BS!CO13</f>
        <v>199</v>
      </c>
      <c r="AW105" s="443" t="s">
        <v>74</v>
      </c>
      <c r="AX105" s="444">
        <f>BS!CR13</f>
        <v>208</v>
      </c>
      <c r="AY105" s="444">
        <f>BS!CS13</f>
        <v>202</v>
      </c>
      <c r="AZ105" s="444">
        <f>BS!CT13</f>
        <v>197</v>
      </c>
      <c r="BA105" s="444">
        <f>BS!CU13</f>
        <v>204</v>
      </c>
      <c r="BB105" s="444">
        <f>BS!CV13</f>
        <v>204</v>
      </c>
      <c r="BD105" s="443" t="s">
        <v>74</v>
      </c>
      <c r="BE105" s="444">
        <f>BS!CY13</f>
        <v>217</v>
      </c>
      <c r="BF105" s="444">
        <f>BS!CZ13</f>
        <v>238</v>
      </c>
      <c r="BG105" s="444">
        <f>BS!DA13</f>
        <v>244</v>
      </c>
      <c r="BH105" s="444">
        <f>BS!DB13</f>
        <v>240</v>
      </c>
      <c r="BI105" s="444">
        <f>BS!DC13</f>
        <v>240</v>
      </c>
      <c r="BK105" s="443" t="s">
        <v>74</v>
      </c>
      <c r="BL105" s="444">
        <f>BS!DF13</f>
        <v>247</v>
      </c>
      <c r="BM105" s="444">
        <f>BS!DG13</f>
        <v>247</v>
      </c>
      <c r="BN105" s="444">
        <f>BS!DH13</f>
        <v>251</v>
      </c>
      <c r="BO105" s="444">
        <f>BS!DI13</f>
        <v>217</v>
      </c>
      <c r="BP105" s="444">
        <f>BS!DJ13</f>
        <v>217</v>
      </c>
      <c r="BR105" s="443" t="s">
        <v>74</v>
      </c>
      <c r="BS105" s="444">
        <f>BS!DM13</f>
        <v>250</v>
      </c>
      <c r="BT105" s="444">
        <f>BS!DN13</f>
        <v>254</v>
      </c>
      <c r="BU105" s="444">
        <f>BS!DO13</f>
        <v>239</v>
      </c>
      <c r="BV105" s="444">
        <f>BS!DP13</f>
        <v>203</v>
      </c>
      <c r="BW105" s="444">
        <f>BS!DQ13</f>
        <v>203</v>
      </c>
      <c r="BY105" s="443" t="s">
        <v>74</v>
      </c>
      <c r="BZ105" s="444">
        <f>BS!DT13</f>
        <v>218</v>
      </c>
      <c r="CA105" s="444">
        <f>BS!DU13</f>
        <v>223</v>
      </c>
      <c r="CB105" s="444">
        <f>BS!DV13</f>
        <v>225</v>
      </c>
      <c r="CC105" s="444">
        <f>BS!DW13</f>
        <v>218</v>
      </c>
      <c r="CD105" s="444">
        <f>BS!DX13</f>
        <v>218</v>
      </c>
      <c r="CF105" s="443" t="s">
        <v>74</v>
      </c>
      <c r="CG105" s="444">
        <f>BS!EA13</f>
        <v>237</v>
      </c>
      <c r="CH105" s="444">
        <f>BS!EB13</f>
        <v>251</v>
      </c>
      <c r="CI105" s="444">
        <f>BS!EC13</f>
        <v>236</v>
      </c>
      <c r="CJ105" s="444">
        <f>BS!ED13</f>
        <v>240</v>
      </c>
      <c r="CK105" s="444">
        <f>BS!EE13</f>
        <v>240</v>
      </c>
      <c r="CM105" s="443" t="s">
        <v>74</v>
      </c>
      <c r="CN105" s="444">
        <f>BS!EH13</f>
        <v>251</v>
      </c>
      <c r="CO105" s="444">
        <f>BS!EI13</f>
        <v>256</v>
      </c>
      <c r="CP105" s="444">
        <f>BS!EJ13</f>
        <v>264</v>
      </c>
      <c r="CQ105" s="444">
        <f>BS!EK13</f>
        <v>274</v>
      </c>
      <c r="CR105" s="444">
        <f>BS!EL13</f>
        <v>274</v>
      </c>
      <c r="CT105" s="443" t="s">
        <v>74</v>
      </c>
      <c r="CU105" s="444">
        <f>BS!EO13</f>
        <v>283</v>
      </c>
      <c r="CV105" s="444">
        <f>BS!EP13</f>
        <v>264</v>
      </c>
      <c r="CW105" s="444">
        <f>BS!EQ13</f>
        <v>267</v>
      </c>
      <c r="CX105" s="444">
        <f>BS!ER13</f>
        <v>252</v>
      </c>
      <c r="CY105" s="444">
        <f>BS!ES13</f>
        <v>252</v>
      </c>
      <c r="DA105" s="443" t="s">
        <v>74</v>
      </c>
      <c r="DB105" s="444">
        <f>BS!EV13</f>
        <v>259</v>
      </c>
      <c r="DC105" s="444">
        <f>BS!EW13</f>
        <v>275</v>
      </c>
      <c r="DD105" s="444">
        <f>BS!EX13</f>
        <v>276</v>
      </c>
      <c r="DE105" s="444">
        <f>BS!EY13</f>
        <v>273</v>
      </c>
      <c r="DF105" s="444">
        <f>BS!EZ13</f>
        <v>273</v>
      </c>
      <c r="DH105" s="443" t="s">
        <v>74</v>
      </c>
      <c r="DI105" s="444">
        <f>BS!FC13</f>
        <v>291</v>
      </c>
      <c r="DJ105" s="444">
        <f>BS!FD13</f>
        <v>295</v>
      </c>
      <c r="DK105" s="444">
        <f>BS!FE13</f>
        <v>309</v>
      </c>
      <c r="DL105" s="444">
        <f>BS!FF13</f>
        <v>350</v>
      </c>
      <c r="DM105" s="444">
        <f>BS!FG13</f>
        <v>350</v>
      </c>
      <c r="DO105" s="443" t="s">
        <v>74</v>
      </c>
      <c r="DP105" s="444">
        <f>BS!FJ13</f>
        <v>370</v>
      </c>
      <c r="DQ105" s="444">
        <f>BS!FK13</f>
        <v>399</v>
      </c>
      <c r="DR105" s="444">
        <f>BS!FL13</f>
        <v>397</v>
      </c>
      <c r="DS105" s="444">
        <f>BS!FM13</f>
        <v>407</v>
      </c>
      <c r="DT105" s="444">
        <f>BS!FN13</f>
        <v>407</v>
      </c>
      <c r="DV105" s="443" t="s">
        <v>74</v>
      </c>
      <c r="DW105" s="444">
        <f>BS!FQ13</f>
        <v>415</v>
      </c>
      <c r="DX105" s="444">
        <f>BS!FR13</f>
        <v>428</v>
      </c>
      <c r="DY105" s="444">
        <f>BS!FS13</f>
        <v>392</v>
      </c>
      <c r="DZ105" s="444">
        <f>BS!FT13</f>
        <v>372</v>
      </c>
      <c r="EA105" s="444">
        <f>BS!FU13</f>
        <v>372</v>
      </c>
      <c r="EC105" s="443" t="s">
        <v>74</v>
      </c>
      <c r="ED105" s="444">
        <f>BS!FX13</f>
        <v>369</v>
      </c>
      <c r="EE105" s="444">
        <f>BS!FY13</f>
        <v>326</v>
      </c>
      <c r="EF105" s="444">
        <f>BS!FZ13</f>
        <v>283</v>
      </c>
      <c r="EG105" s="444">
        <f>BS!GA13</f>
        <v>263</v>
      </c>
      <c r="EH105" s="444">
        <f>BS!GB13</f>
        <v>263</v>
      </c>
      <c r="EJ105" s="443" t="s">
        <v>74</v>
      </c>
      <c r="EK105" s="444">
        <f>BS!GE13</f>
        <v>241</v>
      </c>
      <c r="EL105" s="444">
        <f>BS!GF13</f>
        <v>222</v>
      </c>
      <c r="EM105" s="444">
        <f>BS!GG13</f>
        <v>235</v>
      </c>
      <c r="EN105" s="444">
        <f>BS!GH13</f>
        <v>261</v>
      </c>
      <c r="EO105" s="444">
        <f>BS!GI13</f>
        <v>261</v>
      </c>
      <c r="EQ105" s="443" t="s">
        <v>74</v>
      </c>
      <c r="ER105" s="444">
        <f>BS!GL13</f>
        <v>257</v>
      </c>
      <c r="ES105" s="444">
        <f>BS!GM13</f>
        <v>246</v>
      </c>
      <c r="ET105" s="444">
        <f>BS!GN13</f>
        <v>253</v>
      </c>
      <c r="EU105" s="444">
        <f>BS!GO13</f>
        <v>302</v>
      </c>
      <c r="EV105" s="444">
        <f>BS!GP13</f>
        <v>302</v>
      </c>
      <c r="EX105" s="443" t="s">
        <v>74</v>
      </c>
      <c r="EY105" s="444">
        <f>BS!GS13</f>
        <v>298</v>
      </c>
      <c r="EZ105" s="444">
        <f>BS!GT13</f>
        <v>289</v>
      </c>
      <c r="FA105" s="444">
        <f>BS!GU13</f>
        <v>303</v>
      </c>
      <c r="FB105" s="444">
        <f>BS!GV13</f>
        <v>339</v>
      </c>
      <c r="FC105" s="444">
        <f>BS!GW13</f>
        <v>339</v>
      </c>
      <c r="FE105" s="443" t="s">
        <v>74</v>
      </c>
      <c r="FF105" s="444">
        <f>BS!GZ13</f>
        <v>351</v>
      </c>
      <c r="FG105" s="444">
        <f>BS!HA13</f>
        <v>379</v>
      </c>
      <c r="FH105" s="444">
        <f>BS!HB13</f>
        <v>365</v>
      </c>
      <c r="FI105" s="444">
        <f>BS!HC13</f>
        <v>341</v>
      </c>
      <c r="FJ105" s="444">
        <f>BS!HD13</f>
        <v>341</v>
      </c>
      <c r="FL105" s="443" t="s">
        <v>74</v>
      </c>
      <c r="FM105" s="444">
        <f>BS!HG13</f>
        <v>394</v>
      </c>
      <c r="FN105" s="444">
        <f>BS!HH13</f>
        <v>427</v>
      </c>
      <c r="FO105" s="444">
        <f>BS!HI13</f>
        <v>427</v>
      </c>
      <c r="FP105" s="444">
        <f>BS!HJ13</f>
        <v>440</v>
      </c>
      <c r="FQ105" s="444">
        <f>BS!HK13</f>
        <v>440</v>
      </c>
      <c r="FS105" s="443" t="s">
        <v>74</v>
      </c>
      <c r="FT105" s="444">
        <f>BS!HN13</f>
        <v>445</v>
      </c>
      <c r="FU105" s="444">
        <f>BS!HO13</f>
        <v>417</v>
      </c>
      <c r="FV105" s="444">
        <f>BS!HP13</f>
        <v>415</v>
      </c>
      <c r="FW105" s="444">
        <f>BS!HQ13</f>
        <v>414</v>
      </c>
      <c r="FX105" s="444">
        <f>BS!HR13</f>
        <v>414</v>
      </c>
      <c r="FZ105" s="443" t="s">
        <v>74</v>
      </c>
      <c r="GA105" s="444">
        <f>BS!HU13</f>
        <v>438</v>
      </c>
      <c r="GB105" s="444">
        <f>BS!HV13</f>
        <v>420</v>
      </c>
      <c r="GC105" s="444">
        <f>BS!HW13</f>
        <v>414</v>
      </c>
      <c r="GD105" s="496">
        <f>+GD106*BS!HX80</f>
        <v>402.16500000000002</v>
      </c>
      <c r="GE105" s="496">
        <f>BS!HY13</f>
        <v>402.16500000000002</v>
      </c>
      <c r="GG105" s="443" t="s">
        <v>74</v>
      </c>
      <c r="GH105" s="496">
        <f>+GH106*BS!IB80</f>
        <v>393.45312223687506</v>
      </c>
      <c r="GI105" s="496">
        <f>+GI106*BS!IC80</f>
        <v>394.29961479225005</v>
      </c>
      <c r="GJ105" s="496">
        <f>+GJ106*BS!ID80</f>
        <v>397.01080573199999</v>
      </c>
      <c r="GK105" s="496">
        <f>+GK106*BS!IE80</f>
        <v>396.21135449362498</v>
      </c>
      <c r="GL105" s="496">
        <f>BS!IF13</f>
        <v>396.21135449362498</v>
      </c>
      <c r="GN105" s="443" t="s">
        <v>74</v>
      </c>
      <c r="GO105" s="496">
        <f>+GO106*BS!II80</f>
        <v>395.9465141981882</v>
      </c>
      <c r="GP105" s="496">
        <f>+GP106*BS!IJ80</f>
        <v>394.37862170099356</v>
      </c>
      <c r="GQ105" s="496">
        <f>+GQ106*BS!IK80</f>
        <v>391.67581529376997</v>
      </c>
      <c r="GR105" s="496">
        <f>+GR106*BS!IL80</f>
        <v>389.26264489958169</v>
      </c>
      <c r="GS105" s="496">
        <f>BS!IM13</f>
        <v>389.26264489958169</v>
      </c>
      <c r="GU105" s="443" t="s">
        <v>74</v>
      </c>
      <c r="GV105" s="496">
        <f>+GV106*BS!IP80</f>
        <v>390.98785901526571</v>
      </c>
      <c r="GW105" s="496">
        <f>+GW106*BS!IQ80</f>
        <v>393.5801675259612</v>
      </c>
      <c r="GX105" s="496">
        <f>+GX106*BS!IR80</f>
        <v>397.28208605243771</v>
      </c>
      <c r="GY105" s="496">
        <f>+GY106*BS!IS80</f>
        <v>398.94477763714445</v>
      </c>
      <c r="GZ105" s="496">
        <f>BS!IT13</f>
        <v>398.94477763714445</v>
      </c>
    </row>
    <row r="106" spans="1:208" x14ac:dyDescent="0.4">
      <c r="A106" s="438"/>
      <c r="B106" s="447" t="s">
        <v>199</v>
      </c>
      <c r="C106" s="448">
        <f>AU106</f>
        <v>0.11204954954954954</v>
      </c>
      <c r="D106" s="448">
        <f>BB106</f>
        <v>0.10386965376782077</v>
      </c>
      <c r="E106" s="448">
        <f>BI106</f>
        <v>0.12474012474012475</v>
      </c>
      <c r="F106" s="448">
        <f>BP106</f>
        <v>0.10163934426229508</v>
      </c>
      <c r="G106" s="448">
        <f>BW106</f>
        <v>0.10896403650026838</v>
      </c>
      <c r="H106" s="448">
        <f>CD106</f>
        <v>0.10506024096385543</v>
      </c>
      <c r="I106" s="448">
        <f>CK106</f>
        <v>0.10767160161507403</v>
      </c>
      <c r="J106" s="448">
        <f>CR106</f>
        <v>0.12708719851576994</v>
      </c>
      <c r="K106" s="448">
        <f>CY106</f>
        <v>0.11076923076923077</v>
      </c>
      <c r="L106" s="448">
        <f>DF106</f>
        <v>0.10990338164251208</v>
      </c>
      <c r="M106" s="448">
        <f>DM106</f>
        <v>0.14982876712328766</v>
      </c>
      <c r="N106" s="448">
        <f>DT106</f>
        <v>0.19633381572600098</v>
      </c>
      <c r="O106" s="448">
        <f>EA106</f>
        <v>0.17596972563859981</v>
      </c>
      <c r="P106" s="448">
        <f>EH106</f>
        <v>0.1337061514997458</v>
      </c>
      <c r="Q106" s="448">
        <f>EO106</f>
        <v>0.14630044843049328</v>
      </c>
      <c r="R106" s="448">
        <f>EV106</f>
        <v>0.17933491686460806</v>
      </c>
      <c r="S106" s="448">
        <f>FC106</f>
        <v>0.15900562851782363</v>
      </c>
      <c r="T106" s="448">
        <f>FJ106</f>
        <v>0.12700186219739293</v>
      </c>
      <c r="U106" s="448">
        <f>FQ106</f>
        <v>0.15759312320916904</v>
      </c>
      <c r="V106" s="497">
        <f>FX106</f>
        <v>0.14516129032258066</v>
      </c>
      <c r="W106" s="497">
        <f>GE106</f>
        <v>0.13500000000000001</v>
      </c>
      <c r="X106" s="497">
        <f>GL106</f>
        <v>0.13500000000000001</v>
      </c>
      <c r="Y106" s="497">
        <f>GS106</f>
        <v>0.13500000000000001</v>
      </c>
      <c r="Z106" s="497">
        <f>GZ106</f>
        <v>0.13500000000000001</v>
      </c>
      <c r="AA106" s="449"/>
      <c r="AB106" s="449"/>
      <c r="AC106" s="449"/>
      <c r="AD106" s="449"/>
      <c r="AE106" s="449"/>
      <c r="AF106" s="449"/>
      <c r="AG106" s="449"/>
      <c r="AH106" s="449"/>
      <c r="AI106" s="449"/>
      <c r="AJ106" s="449"/>
      <c r="AK106" s="449"/>
      <c r="AL106" s="449"/>
      <c r="AM106" s="449"/>
      <c r="AN106" s="449"/>
      <c r="AP106" s="447" t="s">
        <v>199</v>
      </c>
      <c r="AQ106" s="448" t="s">
        <v>80</v>
      </c>
      <c r="AR106" s="448" t="s">
        <v>80</v>
      </c>
      <c r="AS106" s="448" t="s">
        <v>80</v>
      </c>
      <c r="AT106" s="448" t="s">
        <v>80</v>
      </c>
      <c r="AU106" s="448">
        <f>+AU105/BS!CO80</f>
        <v>0.11204954954954954</v>
      </c>
      <c r="AW106" s="447" t="s">
        <v>199</v>
      </c>
      <c r="AX106" s="448">
        <f>+AX105/BS!CR80</f>
        <v>0.11581291759465479</v>
      </c>
      <c r="AY106" s="448">
        <f>+AY105/BS!CS80</f>
        <v>0.10942578548212351</v>
      </c>
      <c r="AZ106" s="448">
        <f>+AZ105/BS!CT80</f>
        <v>0.10428798305982001</v>
      </c>
      <c r="BA106" s="448">
        <f>+BA105/BS!CU80</f>
        <v>0.10386965376782077</v>
      </c>
      <c r="BB106" s="448">
        <f>+BB105/BS!CV80</f>
        <v>0.10386965376782077</v>
      </c>
      <c r="BD106" s="447" t="s">
        <v>199</v>
      </c>
      <c r="BE106" s="448">
        <f>+BE105/BS!CY80</f>
        <v>0.10737258782780802</v>
      </c>
      <c r="BF106" s="448">
        <f>+BF105/BS!CZ80</f>
        <v>0.11888111888111888</v>
      </c>
      <c r="BG106" s="448">
        <f>+BG105/BS!DA80</f>
        <v>0.12348178137651822</v>
      </c>
      <c r="BH106" s="448">
        <f>+BH105/BS!DB80</f>
        <v>0.12474012474012475</v>
      </c>
      <c r="BI106" s="448">
        <f>+BI105/BS!DC80</f>
        <v>0.12474012474012475</v>
      </c>
      <c r="BK106" s="447" t="s">
        <v>199</v>
      </c>
      <c r="BL106" s="448">
        <f>+BL105/BS!DF80</f>
        <v>0.13054968287526428</v>
      </c>
      <c r="BM106" s="448">
        <f>+BM105/BS!DG80</f>
        <v>0.12764857881136951</v>
      </c>
      <c r="BN106" s="448">
        <f>+BN105/BS!DH80</f>
        <v>0.1235236220472441</v>
      </c>
      <c r="BO106" s="448">
        <f>+BO105/BS!DI80</f>
        <v>0.10163934426229508</v>
      </c>
      <c r="BP106" s="448">
        <f>+BP105/BS!DJ80</f>
        <v>0.10163934426229508</v>
      </c>
      <c r="BR106" s="447" t="s">
        <v>199</v>
      </c>
      <c r="BS106" s="448">
        <f>+BS105/BS!DM80</f>
        <v>0.11876484560570071</v>
      </c>
      <c r="BT106" s="448">
        <f>+BT105/BS!DN80</f>
        <v>0.12475442043222004</v>
      </c>
      <c r="BU106" s="448">
        <f>+BU105/BS!DO80</f>
        <v>0.12144308943089431</v>
      </c>
      <c r="BV106" s="448">
        <f>+BV105/BS!DP80</f>
        <v>0.10896403650026838</v>
      </c>
      <c r="BW106" s="448">
        <f>+BW105/BS!DQ80</f>
        <v>0.10896403650026838</v>
      </c>
      <c r="BY106" s="447" t="s">
        <v>199</v>
      </c>
      <c r="BZ106" s="448">
        <f>+BZ105/BS!DT80</f>
        <v>0.11443569553805774</v>
      </c>
      <c r="CA106" s="448">
        <f>+CA105/BS!DU80</f>
        <v>0.11083499005964215</v>
      </c>
      <c r="CB106" s="448">
        <f>+CB105/BS!DV80</f>
        <v>0.11133102424542306</v>
      </c>
      <c r="CC106" s="448">
        <f>+CC105/BS!DW80</f>
        <v>0.10506024096385543</v>
      </c>
      <c r="CD106" s="448">
        <f>+CD105/BS!DX80</f>
        <v>0.10506024096385543</v>
      </c>
      <c r="CF106" s="447" t="s">
        <v>199</v>
      </c>
      <c r="CG106" s="448">
        <f>+CG105/BS!EA80</f>
        <v>0.11361457334611696</v>
      </c>
      <c r="CH106" s="448">
        <f>+CH105/BS!EB80</f>
        <v>0.11998087954110899</v>
      </c>
      <c r="CI106" s="448">
        <f>+CI105/BS!EC80</f>
        <v>0.11002331002331002</v>
      </c>
      <c r="CJ106" s="448">
        <f>+CJ105/BS!ED80</f>
        <v>0.10767160161507403</v>
      </c>
      <c r="CK106" s="448">
        <f>+CK105/BS!EE80</f>
        <v>0.10767160161507403</v>
      </c>
      <c r="CM106" s="447" t="s">
        <v>199</v>
      </c>
      <c r="CN106" s="448">
        <f>+CN105/BS!EH80</f>
        <v>0.11200356983489514</v>
      </c>
      <c r="CO106" s="448">
        <f>+CO105/BS!EI80</f>
        <v>0.11459265890778872</v>
      </c>
      <c r="CP106" s="448">
        <f>+CP105/BS!EJ80</f>
        <v>0.12016385980883022</v>
      </c>
      <c r="CQ106" s="448">
        <f>+CQ105/BS!EK80</f>
        <v>0.12708719851576994</v>
      </c>
      <c r="CR106" s="448">
        <f>+CR105/BS!EL80</f>
        <v>0.12708719851576994</v>
      </c>
      <c r="CT106" s="447" t="s">
        <v>199</v>
      </c>
      <c r="CU106" s="448">
        <f>+CU105/BS!EO80</f>
        <v>0.13342762847713344</v>
      </c>
      <c r="CV106" s="448">
        <f>+CV105/BS!EP80</f>
        <v>0.12388549976536838</v>
      </c>
      <c r="CW106" s="448">
        <f>+CW105/BS!EQ80</f>
        <v>0.12236480293308891</v>
      </c>
      <c r="CX106" s="448">
        <f>+CX105/BS!ER80</f>
        <v>0.11076923076923077</v>
      </c>
      <c r="CY106" s="448">
        <f>+CY105/BS!ES80</f>
        <v>0.11076923076923077</v>
      </c>
      <c r="DA106" s="447" t="s">
        <v>199</v>
      </c>
      <c r="DB106" s="448">
        <f>+DB105/BS!EV80</f>
        <v>0.10805173133083021</v>
      </c>
      <c r="DC106" s="448">
        <f>+DC105/BS!EW80</f>
        <v>0.11187957689178193</v>
      </c>
      <c r="DD106" s="448">
        <f>+DD105/BS!EX80</f>
        <v>0.11075441412520064</v>
      </c>
      <c r="DE106" s="448">
        <f>+DE105/BS!EY80</f>
        <v>0.10990338164251208</v>
      </c>
      <c r="DF106" s="448">
        <f>+DF105/BS!EZ80</f>
        <v>0.10990338164251208</v>
      </c>
      <c r="DH106" s="447" t="s">
        <v>199</v>
      </c>
      <c r="DI106" s="448">
        <f>+DI105/BS!FC80</f>
        <v>0.11724415793714746</v>
      </c>
      <c r="DJ106" s="448">
        <f>+DJ105/BS!FD80</f>
        <v>0.12190082644628099</v>
      </c>
      <c r="DK106" s="448">
        <f>+DK105/BS!FE80</f>
        <v>0.12928870292887029</v>
      </c>
      <c r="DL106" s="448">
        <f>+DL105/BS!FF80</f>
        <v>0.14982876712328766</v>
      </c>
      <c r="DM106" s="448">
        <f>+DM105/BS!FG80</f>
        <v>0.14982876712328766</v>
      </c>
      <c r="DO106" s="447" t="s">
        <v>199</v>
      </c>
      <c r="DP106" s="448">
        <f>+DP105/BS!FJ80</f>
        <v>0.1637892872952634</v>
      </c>
      <c r="DQ106" s="448">
        <f>+DQ105/BS!FK80</f>
        <v>0.17981072555205047</v>
      </c>
      <c r="DR106" s="448">
        <f>+DR105/BS!FL80</f>
        <v>0.18499534016775396</v>
      </c>
      <c r="DS106" s="448">
        <f>+DS105/BS!FM80</f>
        <v>0.19633381572600098</v>
      </c>
      <c r="DT106" s="448">
        <f>+DT105/BS!FN80</f>
        <v>0.19633381572600098</v>
      </c>
      <c r="DV106" s="447" t="s">
        <v>199</v>
      </c>
      <c r="DW106" s="448">
        <f>+DW105/BS!FQ80</f>
        <v>0.19818529130850049</v>
      </c>
      <c r="DX106" s="448">
        <f>+DX105/BS!FR80</f>
        <v>0.20666344760985031</v>
      </c>
      <c r="DY106" s="448">
        <f>+DY105/BS!FS80</f>
        <v>0.18782942022041207</v>
      </c>
      <c r="DZ106" s="448">
        <f>+DZ105/BS!FT80</f>
        <v>0.17596972563859981</v>
      </c>
      <c r="EA106" s="448">
        <f>+EA105/BS!FU80</f>
        <v>0.17596972563859981</v>
      </c>
      <c r="EC106" s="447" t="s">
        <v>199</v>
      </c>
      <c r="ED106" s="448">
        <f>+ED105/BS!FX80</f>
        <v>0.18222222222222223</v>
      </c>
      <c r="EE106" s="448">
        <f>+EE105/BS!FY80</f>
        <v>0.16316316316316315</v>
      </c>
      <c r="EF106" s="448">
        <f>+EF105/BS!FZ80</f>
        <v>0.14520266803488968</v>
      </c>
      <c r="EG106" s="448">
        <f>+EG105/BS!GA80</f>
        <v>0.1337061514997458</v>
      </c>
      <c r="EH106" s="448">
        <f>+EH105/BS!GB80</f>
        <v>0.1337061514997458</v>
      </c>
      <c r="EJ106" s="447" t="s">
        <v>199</v>
      </c>
      <c r="EK106" s="448">
        <f>+EK105/BS!GE80</f>
        <v>0.12277126846663271</v>
      </c>
      <c r="EL106" s="448">
        <f>+EL105/BS!GF80</f>
        <v>0.11390456644433043</v>
      </c>
      <c r="EM106" s="448">
        <f>+EM105/BS!GG80</f>
        <v>0.12433862433862433</v>
      </c>
      <c r="EN106" s="448">
        <f>+EN105/BS!GH80</f>
        <v>0.14630044843049328</v>
      </c>
      <c r="EO106" s="448">
        <f>+EO105/BS!GI80</f>
        <v>0.14630044843049328</v>
      </c>
      <c r="EQ106" s="447" t="s">
        <v>199</v>
      </c>
      <c r="ER106" s="448">
        <f>+ER105/BS!GL80</f>
        <v>0.14602272727272728</v>
      </c>
      <c r="ES106" s="448">
        <f>+ES105/BS!GM80</f>
        <v>0.14369158878504673</v>
      </c>
      <c r="ET106" s="448">
        <f>+ET105/BS!GN80</f>
        <v>0.15104477611940298</v>
      </c>
      <c r="EU106" s="448">
        <f>+EU105/BS!GO80</f>
        <v>0.17933491686460806</v>
      </c>
      <c r="EV106" s="448">
        <f>+EV105/BS!GP80</f>
        <v>0.17933491686460806</v>
      </c>
      <c r="EX106" s="447" t="s">
        <v>199</v>
      </c>
      <c r="EY106" s="448">
        <f>+EY105/BS!GS80</f>
        <v>0.17539729252501471</v>
      </c>
      <c r="EZ106" s="448">
        <f>+EZ105/BS!GT80</f>
        <v>0.16676283900750144</v>
      </c>
      <c r="FA106" s="448">
        <f>+FA105/BS!GU80</f>
        <v>0.15683229813664595</v>
      </c>
      <c r="FB106" s="448">
        <f>+FB105/BS!GV80</f>
        <v>0.15900562851782363</v>
      </c>
      <c r="FC106" s="448">
        <f>+FC105/BS!GW80</f>
        <v>0.15900562851782363</v>
      </c>
      <c r="FE106" s="447" t="s">
        <v>199</v>
      </c>
      <c r="FF106" s="448">
        <f>+FF105/BS!GZ80</f>
        <v>0.15012831479897348</v>
      </c>
      <c r="FG106" s="448">
        <f>+FG105/BS!HA80</f>
        <v>0.14897798742138366</v>
      </c>
      <c r="FH106" s="448">
        <f>+FH105/BS!HB80</f>
        <v>0.13873052071455722</v>
      </c>
      <c r="FI106" s="448">
        <f>+FI105/BS!HC80</f>
        <v>0.12700186219739293</v>
      </c>
      <c r="FJ106" s="448">
        <f>+FJ105/BS!HD80</f>
        <v>0.12700186219739293</v>
      </c>
      <c r="FL106" s="447" t="s">
        <v>199</v>
      </c>
      <c r="FM106" s="448">
        <f>+FM105/BS!HG80</f>
        <v>0.14549483013293943</v>
      </c>
      <c r="FN106" s="448">
        <f>+FN105/BS!HH80</f>
        <v>0.15515988372093023</v>
      </c>
      <c r="FO106" s="448">
        <f>+FO105/BS!HI80</f>
        <v>0.15315638450502153</v>
      </c>
      <c r="FP106" s="448">
        <f>+FP105/BS!HJ80</f>
        <v>0.15759312320916904</v>
      </c>
      <c r="FQ106" s="448">
        <f>+FQ105/BS!HK80</f>
        <v>0.15759312320916904</v>
      </c>
      <c r="FS106" s="447" t="s">
        <v>199</v>
      </c>
      <c r="FT106" s="448">
        <f>+FT105/BS!HN80</f>
        <v>0.15808170515097691</v>
      </c>
      <c r="FU106" s="448">
        <f>+FU105/BS!HO80</f>
        <v>0.14771519659936239</v>
      </c>
      <c r="FV106" s="448">
        <f>+FV105/BS!HP80</f>
        <v>0.14832022873481057</v>
      </c>
      <c r="FW106" s="448">
        <f>+FW105/BS!HQ80</f>
        <v>0.14516129032258066</v>
      </c>
      <c r="FX106" s="448">
        <f>+FX105/BS!HR80</f>
        <v>0.14516129032258066</v>
      </c>
      <c r="FZ106" s="447" t="s">
        <v>199</v>
      </c>
      <c r="GA106" s="448">
        <f>+GA105/BS!HU80</f>
        <v>0.15077452667814115</v>
      </c>
      <c r="GB106" s="448">
        <f>+GB105/BS!HV80</f>
        <v>0.1440329218106996</v>
      </c>
      <c r="GC106" s="448">
        <f>+GC105/BS!HW80</f>
        <v>0.13995943204868155</v>
      </c>
      <c r="GD106" s="504">
        <v>0.13500000000000001</v>
      </c>
      <c r="GE106" s="497">
        <f>+GE105/BS!HY80</f>
        <v>0.13500000000000001</v>
      </c>
      <c r="GG106" s="447" t="s">
        <v>199</v>
      </c>
      <c r="GH106" s="504">
        <v>0.13500000000000001</v>
      </c>
      <c r="GI106" s="504">
        <v>0.13500000000000001</v>
      </c>
      <c r="GJ106" s="504">
        <v>0.13500000000000001</v>
      </c>
      <c r="GK106" s="504">
        <v>0.13500000000000001</v>
      </c>
      <c r="GL106" s="497">
        <f>+GL105/BS!IF80</f>
        <v>0.13500000000000001</v>
      </c>
      <c r="GN106" s="447" t="s">
        <v>199</v>
      </c>
      <c r="GO106" s="504">
        <v>0.13500000000000001</v>
      </c>
      <c r="GP106" s="504">
        <v>0.13500000000000001</v>
      </c>
      <c r="GQ106" s="504">
        <v>0.13500000000000001</v>
      </c>
      <c r="GR106" s="504">
        <v>0.13500000000000001</v>
      </c>
      <c r="GS106" s="497">
        <f>+GS105/BS!IM80</f>
        <v>0.13500000000000001</v>
      </c>
      <c r="GU106" s="447" t="s">
        <v>199</v>
      </c>
      <c r="GV106" s="504">
        <v>0.13500000000000001</v>
      </c>
      <c r="GW106" s="504">
        <v>0.13500000000000001</v>
      </c>
      <c r="GX106" s="504">
        <v>0.13500000000000001</v>
      </c>
      <c r="GY106" s="504">
        <v>0.13500000000000001</v>
      </c>
      <c r="GZ106" s="497">
        <f>+GZ105/BS!IT80</f>
        <v>0.13500000000000001</v>
      </c>
    </row>
    <row r="107" spans="1:208" ht="14.25" thickBot="1" x14ac:dyDescent="0.45">
      <c r="A107" s="452"/>
      <c r="B107" s="76"/>
      <c r="V107" s="80"/>
      <c r="W107" s="80"/>
      <c r="X107" s="80"/>
      <c r="Y107" s="80"/>
      <c r="Z107" s="80"/>
      <c r="AP107" s="76"/>
      <c r="AW107" s="76"/>
      <c r="BD107" s="76"/>
      <c r="BK107" s="76"/>
      <c r="BR107" s="76"/>
      <c r="BY107" s="76"/>
      <c r="CF107" s="76"/>
      <c r="CM107" s="76"/>
      <c r="CT107" s="76"/>
      <c r="DA107" s="76"/>
      <c r="DH107" s="76"/>
      <c r="DO107" s="76"/>
      <c r="DV107" s="76"/>
      <c r="EC107" s="76"/>
      <c r="EJ107" s="76"/>
      <c r="EQ107" s="76"/>
      <c r="EX107" s="76"/>
      <c r="FE107" s="76"/>
      <c r="FL107" s="76"/>
      <c r="FS107" s="76"/>
      <c r="FU107" s="80"/>
      <c r="FV107" s="80"/>
      <c r="FZ107" s="76"/>
      <c r="GB107" s="80"/>
      <c r="GC107" s="80"/>
      <c r="GD107" s="80"/>
      <c r="GE107" s="80"/>
      <c r="GG107" s="76"/>
      <c r="GH107" s="80"/>
      <c r="GI107" s="80"/>
      <c r="GJ107" s="80"/>
      <c r="GK107" s="80"/>
      <c r="GL107" s="80"/>
      <c r="GN107" s="76"/>
      <c r="GO107" s="80"/>
      <c r="GP107" s="80"/>
      <c r="GQ107" s="80"/>
      <c r="GR107" s="80"/>
      <c r="GS107" s="80"/>
      <c r="GU107" s="76"/>
      <c r="GV107" s="80"/>
      <c r="GW107" s="80"/>
      <c r="GX107" s="80"/>
      <c r="GY107" s="80"/>
      <c r="GZ107" s="80"/>
    </row>
    <row r="108" spans="1:208" ht="14.25" thickBot="1" x14ac:dyDescent="0.45">
      <c r="A108" s="431"/>
      <c r="B108" s="432" t="s">
        <v>107</v>
      </c>
      <c r="C108" s="442"/>
      <c r="D108" s="442"/>
      <c r="E108" s="442"/>
      <c r="F108" s="442"/>
      <c r="G108" s="442"/>
      <c r="H108" s="442"/>
      <c r="I108" s="442"/>
      <c r="J108" s="442"/>
      <c r="K108" s="442"/>
      <c r="L108" s="442"/>
      <c r="M108" s="442"/>
      <c r="N108" s="442"/>
      <c r="O108" s="442"/>
      <c r="P108" s="442"/>
      <c r="Q108" s="442"/>
      <c r="R108" s="442"/>
      <c r="S108" s="442"/>
      <c r="T108" s="442"/>
      <c r="U108" s="442"/>
      <c r="V108" s="495"/>
      <c r="W108" s="495"/>
      <c r="X108" s="495"/>
      <c r="Y108" s="495"/>
      <c r="Z108" s="495"/>
      <c r="AA108" s="442"/>
      <c r="AB108" s="442"/>
      <c r="AC108" s="442"/>
      <c r="AD108" s="442"/>
      <c r="AE108" s="442"/>
      <c r="AF108" s="442"/>
      <c r="AG108" s="442"/>
      <c r="AH108" s="442"/>
      <c r="AI108" s="442"/>
      <c r="AJ108" s="442"/>
      <c r="AK108" s="442"/>
      <c r="AL108" s="442"/>
      <c r="AM108" s="442"/>
      <c r="AN108" s="442"/>
      <c r="AP108" s="432" t="s">
        <v>107</v>
      </c>
      <c r="AQ108" s="442"/>
      <c r="AR108" s="442"/>
      <c r="AS108" s="442"/>
      <c r="AT108" s="442"/>
      <c r="AU108" s="442"/>
      <c r="AW108" s="432" t="s">
        <v>107</v>
      </c>
      <c r="AX108" s="442"/>
      <c r="AY108" s="442"/>
      <c r="AZ108" s="442"/>
      <c r="BA108" s="442"/>
      <c r="BB108" s="442"/>
      <c r="BD108" s="432" t="s">
        <v>107</v>
      </c>
      <c r="BE108" s="442"/>
      <c r="BF108" s="442"/>
      <c r="BG108" s="442"/>
      <c r="BH108" s="442"/>
      <c r="BI108" s="442"/>
      <c r="BK108" s="432" t="s">
        <v>107</v>
      </c>
      <c r="BL108" s="442"/>
      <c r="BM108" s="442"/>
      <c r="BN108" s="442"/>
      <c r="BO108" s="442"/>
      <c r="BP108" s="442"/>
      <c r="BR108" s="432" t="s">
        <v>107</v>
      </c>
      <c r="BS108" s="442"/>
      <c r="BT108" s="442"/>
      <c r="BU108" s="442"/>
      <c r="BV108" s="442"/>
      <c r="BW108" s="442"/>
      <c r="BY108" s="432" t="s">
        <v>107</v>
      </c>
      <c r="BZ108" s="442"/>
      <c r="CA108" s="442"/>
      <c r="CB108" s="442"/>
      <c r="CC108" s="442"/>
      <c r="CD108" s="442"/>
      <c r="CF108" s="432" t="s">
        <v>107</v>
      </c>
      <c r="CG108" s="442"/>
      <c r="CH108" s="442"/>
      <c r="CI108" s="442"/>
      <c r="CJ108" s="442"/>
      <c r="CK108" s="442"/>
      <c r="CM108" s="432" t="s">
        <v>107</v>
      </c>
      <c r="CN108" s="442"/>
      <c r="CO108" s="442"/>
      <c r="CP108" s="442"/>
      <c r="CQ108" s="442"/>
      <c r="CR108" s="442"/>
      <c r="CT108" s="432" t="s">
        <v>107</v>
      </c>
      <c r="CU108" s="442"/>
      <c r="CV108" s="442"/>
      <c r="CW108" s="442"/>
      <c r="CX108" s="442"/>
      <c r="CY108" s="442"/>
      <c r="DA108" s="432" t="s">
        <v>107</v>
      </c>
      <c r="DB108" s="442"/>
      <c r="DC108" s="442"/>
      <c r="DD108" s="442"/>
      <c r="DE108" s="442"/>
      <c r="DF108" s="442"/>
      <c r="DH108" s="432" t="s">
        <v>107</v>
      </c>
      <c r="DI108" s="442"/>
      <c r="DJ108" s="442"/>
      <c r="DK108" s="442"/>
      <c r="DL108" s="442"/>
      <c r="DM108" s="442"/>
      <c r="DO108" s="432" t="s">
        <v>107</v>
      </c>
      <c r="DP108" s="442"/>
      <c r="DQ108" s="442"/>
      <c r="DR108" s="442"/>
      <c r="DS108" s="442"/>
      <c r="DT108" s="442"/>
      <c r="DV108" s="432" t="s">
        <v>107</v>
      </c>
      <c r="DW108" s="442"/>
      <c r="DX108" s="442"/>
      <c r="DY108" s="442"/>
      <c r="DZ108" s="442"/>
      <c r="EA108" s="442"/>
      <c r="EC108" s="432" t="s">
        <v>107</v>
      </c>
      <c r="ED108" s="442"/>
      <c r="EE108" s="442"/>
      <c r="EF108" s="442"/>
      <c r="EG108" s="442"/>
      <c r="EH108" s="442"/>
      <c r="EJ108" s="432" t="s">
        <v>107</v>
      </c>
      <c r="EK108" s="442"/>
      <c r="EL108" s="442"/>
      <c r="EM108" s="442"/>
      <c r="EN108" s="442"/>
      <c r="EO108" s="442"/>
      <c r="EQ108" s="432" t="s">
        <v>107</v>
      </c>
      <c r="ER108" s="442"/>
      <c r="ES108" s="442"/>
      <c r="ET108" s="442"/>
      <c r="EU108" s="442"/>
      <c r="EV108" s="442"/>
      <c r="EX108" s="432" t="s">
        <v>107</v>
      </c>
      <c r="EY108" s="442"/>
      <c r="EZ108" s="442"/>
      <c r="FA108" s="442"/>
      <c r="FB108" s="442"/>
      <c r="FC108" s="442"/>
      <c r="FE108" s="432" t="s">
        <v>107</v>
      </c>
      <c r="FF108" s="442"/>
      <c r="FG108" s="442"/>
      <c r="FH108" s="442"/>
      <c r="FI108" s="442"/>
      <c r="FJ108" s="442"/>
      <c r="FL108" s="432" t="s">
        <v>107</v>
      </c>
      <c r="FM108" s="442"/>
      <c r="FN108" s="442"/>
      <c r="FO108" s="442"/>
      <c r="FP108" s="442"/>
      <c r="FQ108" s="442"/>
      <c r="FS108" s="432" t="s">
        <v>107</v>
      </c>
      <c r="FT108" s="442"/>
      <c r="FU108" s="495"/>
      <c r="FV108" s="495"/>
      <c r="FW108" s="442"/>
      <c r="FX108" s="442"/>
      <c r="FZ108" s="432" t="s">
        <v>107</v>
      </c>
      <c r="GA108" s="442"/>
      <c r="GB108" s="495"/>
      <c r="GC108" s="495"/>
      <c r="GD108" s="495"/>
      <c r="GE108" s="495"/>
      <c r="GG108" s="432" t="s">
        <v>107</v>
      </c>
      <c r="GH108" s="495"/>
      <c r="GI108" s="495"/>
      <c r="GJ108" s="495"/>
      <c r="GK108" s="495"/>
      <c r="GL108" s="495"/>
      <c r="GN108" s="432" t="s">
        <v>107</v>
      </c>
      <c r="GO108" s="495"/>
      <c r="GP108" s="495"/>
      <c r="GQ108" s="495"/>
      <c r="GR108" s="495"/>
      <c r="GS108" s="495"/>
      <c r="GU108" s="432" t="s">
        <v>107</v>
      </c>
      <c r="GV108" s="495"/>
      <c r="GW108" s="495"/>
      <c r="GX108" s="495"/>
      <c r="GY108" s="495"/>
      <c r="GZ108" s="495"/>
    </row>
    <row r="109" spans="1:208" x14ac:dyDescent="0.4">
      <c r="A109" s="58"/>
      <c r="B109" s="76"/>
      <c r="V109" s="80"/>
      <c r="W109" s="80"/>
      <c r="X109" s="80"/>
      <c r="Y109" s="80"/>
      <c r="Z109" s="80"/>
      <c r="AP109" s="76"/>
      <c r="AW109" s="76"/>
      <c r="BD109" s="76"/>
      <c r="BK109" s="76"/>
      <c r="BR109" s="76"/>
      <c r="BY109" s="76"/>
      <c r="CF109" s="76"/>
      <c r="CM109" s="76"/>
      <c r="CT109" s="76"/>
      <c r="DA109" s="76"/>
      <c r="DH109" s="76"/>
      <c r="DO109" s="76"/>
      <c r="DV109" s="76"/>
      <c r="EC109" s="76"/>
      <c r="EJ109" s="76"/>
      <c r="EQ109" s="76"/>
      <c r="EX109" s="76"/>
      <c r="FE109" s="76"/>
      <c r="FL109" s="76"/>
      <c r="FS109" s="76"/>
      <c r="FU109" s="80"/>
      <c r="FV109" s="80"/>
      <c r="FZ109" s="76"/>
      <c r="GB109" s="80"/>
      <c r="GC109" s="80"/>
      <c r="GD109" s="80"/>
      <c r="GE109" s="80"/>
      <c r="GG109" s="76"/>
      <c r="GH109" s="80"/>
      <c r="GI109" s="80"/>
      <c r="GJ109" s="80"/>
      <c r="GK109" s="80"/>
      <c r="GL109" s="80"/>
      <c r="GN109" s="76"/>
      <c r="GO109" s="80"/>
      <c r="GP109" s="80"/>
      <c r="GQ109" s="80"/>
      <c r="GR109" s="80"/>
      <c r="GS109" s="80"/>
      <c r="GU109" s="76"/>
      <c r="GV109" s="80"/>
      <c r="GW109" s="80"/>
      <c r="GX109" s="80"/>
      <c r="GY109" s="80"/>
      <c r="GZ109" s="80"/>
    </row>
    <row r="110" spans="1:208" x14ac:dyDescent="0.4">
      <c r="A110" s="452"/>
      <c r="B110" s="453" t="s">
        <v>54</v>
      </c>
      <c r="C110" s="454">
        <f>AU110</f>
        <v>54.950400000000002</v>
      </c>
      <c r="D110" s="454">
        <f>BB110</f>
        <v>53.240206498633462</v>
      </c>
      <c r="E110" s="454">
        <f>BI110</f>
        <v>51.017859735733992</v>
      </c>
      <c r="F110" s="454">
        <f>BP110</f>
        <v>46.18061964403428</v>
      </c>
      <c r="G110" s="454">
        <f>BW110</f>
        <v>59.406143344709896</v>
      </c>
      <c r="H110" s="454">
        <f>CD110</f>
        <v>57.158469945355193</v>
      </c>
      <c r="I110" s="454">
        <f>CK110</f>
        <v>56.18723635868826</v>
      </c>
      <c r="J110" s="454">
        <f>CR110</f>
        <v>50.41988950276243</v>
      </c>
      <c r="K110" s="454">
        <f>CY110</f>
        <v>46.250503423278289</v>
      </c>
      <c r="L110" s="454">
        <f>DF110</f>
        <v>38.481973434535107</v>
      </c>
      <c r="M110" s="454">
        <f>DM110</f>
        <v>39.185069098162131</v>
      </c>
      <c r="N110" s="454">
        <f>DT110</f>
        <v>45.486753409625337</v>
      </c>
      <c r="O110" s="454">
        <f>EA110</f>
        <v>48.592828685258965</v>
      </c>
      <c r="P110" s="454">
        <f>EH110</f>
        <v>56.469421487603306</v>
      </c>
      <c r="Q110" s="454">
        <f>EO110</f>
        <v>66.775742486217325</v>
      </c>
      <c r="R110" s="454">
        <f>EV110</f>
        <v>60.198429102935094</v>
      </c>
      <c r="S110" s="454">
        <f>FC110</f>
        <v>59.190711968584601</v>
      </c>
      <c r="T110" s="454">
        <f>FJ110</f>
        <v>54.589371980676326</v>
      </c>
      <c r="U110" s="454">
        <f>FQ110</f>
        <v>59.05317597135658</v>
      </c>
      <c r="V110" s="58">
        <f>FX110</f>
        <v>61.681498206933192</v>
      </c>
      <c r="W110" s="58">
        <f>GE110</f>
        <v>73.713109947643986</v>
      </c>
      <c r="X110" s="58">
        <f>GL110</f>
        <v>64.999999999999986</v>
      </c>
      <c r="Y110" s="58">
        <f>GS110</f>
        <v>65</v>
      </c>
      <c r="Z110" s="58">
        <f>GZ110</f>
        <v>65</v>
      </c>
      <c r="AA110" s="59"/>
      <c r="AB110" s="59"/>
      <c r="AC110" s="59"/>
      <c r="AD110" s="59"/>
      <c r="AE110" s="59"/>
      <c r="AF110" s="59"/>
      <c r="AG110" s="59"/>
      <c r="AH110" s="59"/>
      <c r="AI110" s="59"/>
      <c r="AJ110" s="59"/>
      <c r="AK110" s="59"/>
      <c r="AL110" s="59"/>
      <c r="AM110" s="59"/>
      <c r="AN110" s="59"/>
      <c r="AP110" s="453" t="s">
        <v>54</v>
      </c>
      <c r="AQ110" s="454" t="s">
        <v>80</v>
      </c>
      <c r="AR110" s="454" t="s">
        <v>80</v>
      </c>
      <c r="AS110" s="454" t="s">
        <v>80</v>
      </c>
      <c r="AT110" s="454" t="s">
        <v>80</v>
      </c>
      <c r="AU110" s="454">
        <f>+BS!CO106</f>
        <v>54.950400000000002</v>
      </c>
      <c r="AW110" s="453" t="s">
        <v>54</v>
      </c>
      <c r="AX110" s="454">
        <f>+BS!CR106</f>
        <v>54.864181933038537</v>
      </c>
      <c r="AY110" s="454">
        <f>+BS!CS106</f>
        <v>51.905660377358494</v>
      </c>
      <c r="AZ110" s="454">
        <f>+BS!CT106</f>
        <v>53.712354025814385</v>
      </c>
      <c r="BA110" s="454">
        <f>+BS!CU106</f>
        <v>53.240206498633462</v>
      </c>
      <c r="BB110" s="454">
        <f>+BS!CV106</f>
        <v>53.240206498633462</v>
      </c>
      <c r="BD110" s="453" t="s">
        <v>54</v>
      </c>
      <c r="BE110" s="454">
        <f>+BS!CY106</f>
        <v>52.739541160593795</v>
      </c>
      <c r="BF110" s="454">
        <f>+BS!CZ106</f>
        <v>50.680382072005877</v>
      </c>
      <c r="BG110" s="454">
        <f>+BS!DA106</f>
        <v>52.953611274221963</v>
      </c>
      <c r="BH110" s="454">
        <f>+BS!DB106</f>
        <v>51.017859735733992</v>
      </c>
      <c r="BI110" s="454">
        <f>+BS!DC106</f>
        <v>51.017859735733992</v>
      </c>
      <c r="BK110" s="453" t="s">
        <v>54</v>
      </c>
      <c r="BL110" s="454">
        <f>+BS!DF106</f>
        <v>50.076726342710998</v>
      </c>
      <c r="BM110" s="454">
        <f>+BS!DG106</f>
        <v>49.675564681724843</v>
      </c>
      <c r="BN110" s="454">
        <f>+BS!DH106</f>
        <v>51.604905710141104</v>
      </c>
      <c r="BO110" s="454">
        <f>+BS!DI106</f>
        <v>46.18061964403428</v>
      </c>
      <c r="BP110" s="454">
        <f>+BS!DJ106</f>
        <v>46.18061964403428</v>
      </c>
      <c r="BR110" s="453" t="s">
        <v>54</v>
      </c>
      <c r="BS110" s="454">
        <f>+BS!DM106</f>
        <v>46.577088239368337</v>
      </c>
      <c r="BT110" s="454">
        <f>+BS!DN106</f>
        <v>49.034202199789064</v>
      </c>
      <c r="BU110" s="454">
        <f>+BS!DO106</f>
        <v>56.795543905635647</v>
      </c>
      <c r="BV110" s="454">
        <f>+BS!DP106</f>
        <v>59.406143344709896</v>
      </c>
      <c r="BW110" s="454">
        <f>+BS!DQ106</f>
        <v>59.406143344709896</v>
      </c>
      <c r="BY110" s="453" t="s">
        <v>54</v>
      </c>
      <c r="BZ110" s="454">
        <f>+BS!DT106</f>
        <v>55.953255425709514</v>
      </c>
      <c r="CA110" s="454">
        <f>+BS!DU106</f>
        <v>53.158231902626518</v>
      </c>
      <c r="CB110" s="454">
        <f>+BS!DV106</f>
        <v>55.310884886452627</v>
      </c>
      <c r="CC110" s="454">
        <f>+BS!DW106</f>
        <v>57.158469945355193</v>
      </c>
      <c r="CD110" s="454">
        <f>+BS!DX106</f>
        <v>57.158469945355193</v>
      </c>
      <c r="CF110" s="453" t="s">
        <v>54</v>
      </c>
      <c r="CG110" s="454">
        <f>+BS!EA106</f>
        <v>54.605243667604796</v>
      </c>
      <c r="CH110" s="454">
        <f>+BS!EB106</f>
        <v>55.631193451098667</v>
      </c>
      <c r="CI110" s="454">
        <f>+BS!EC106</f>
        <v>58.597662771285478</v>
      </c>
      <c r="CJ110" s="454">
        <f>+BS!ED106</f>
        <v>56.18723635868826</v>
      </c>
      <c r="CK110" s="454">
        <f>+BS!EE106</f>
        <v>56.18723635868826</v>
      </c>
      <c r="CM110" s="453" t="s">
        <v>54</v>
      </c>
      <c r="CN110" s="454">
        <f>+BS!EH106</f>
        <v>58.558315334773219</v>
      </c>
      <c r="CO110" s="454">
        <f>+BS!EI106</f>
        <v>51.55422831546084</v>
      </c>
      <c r="CP110" s="454">
        <f>+BS!EJ106</f>
        <v>58.989733059548257</v>
      </c>
      <c r="CQ110" s="454">
        <f>+BS!EK106</f>
        <v>50.41988950276243</v>
      </c>
      <c r="CR110" s="454">
        <f>+BS!EL106</f>
        <v>50.41988950276243</v>
      </c>
      <c r="CT110" s="453" t="s">
        <v>54</v>
      </c>
      <c r="CU110" s="454">
        <f>+BS!EO106</f>
        <v>52.15</v>
      </c>
      <c r="CV110" s="454">
        <f>+BS!EP106</f>
        <v>50.930232558139537</v>
      </c>
      <c r="CW110" s="454">
        <f>+BS!EQ106</f>
        <v>53.016393442622949</v>
      </c>
      <c r="CX110" s="454">
        <f>+BS!ER106</f>
        <v>46.250503423278289</v>
      </c>
      <c r="CY110" s="454">
        <f>+BS!ES106</f>
        <v>46.250503423278289</v>
      </c>
      <c r="DA110" s="453" t="s">
        <v>54</v>
      </c>
      <c r="DB110" s="454">
        <f>+BS!EV106</f>
        <v>46.026750590086543</v>
      </c>
      <c r="DC110" s="454">
        <f>+BS!EW106</f>
        <v>41.774110366168131</v>
      </c>
      <c r="DD110" s="454">
        <f>+BS!EX106</f>
        <v>45.263963274674829</v>
      </c>
      <c r="DE110" s="454">
        <f>+BS!EY106</f>
        <v>38.481973434535107</v>
      </c>
      <c r="DF110" s="454">
        <f>+BS!EZ106</f>
        <v>38.481973434535107</v>
      </c>
      <c r="DH110" s="453" t="s">
        <v>54</v>
      </c>
      <c r="DI110" s="454">
        <f>+BS!FC106</f>
        <v>39.579702716555616</v>
      </c>
      <c r="DJ110" s="454">
        <f>+BS!FD106</f>
        <v>36.60695468914647</v>
      </c>
      <c r="DK110" s="454">
        <f>+BS!FE106</f>
        <v>41.285753200762734</v>
      </c>
      <c r="DL110" s="454">
        <f>+BS!FF106</f>
        <v>39.185069098162131</v>
      </c>
      <c r="DM110" s="454">
        <f>+BS!FG106</f>
        <v>39.185069098162131</v>
      </c>
      <c r="DO110" s="453" t="s">
        <v>54</v>
      </c>
      <c r="DP110" s="454">
        <f>+BS!FJ106</f>
        <v>43.589362650423411</v>
      </c>
      <c r="DQ110" s="454">
        <f>+BS!FK106</f>
        <v>42.242647058823529</v>
      </c>
      <c r="DR110" s="454">
        <f>+BS!FL106</f>
        <v>48.531073446327682</v>
      </c>
      <c r="DS110" s="454">
        <f>+BS!FM106</f>
        <v>45.486753409625337</v>
      </c>
      <c r="DT110" s="454">
        <f>+BS!FN106</f>
        <v>45.486753409625337</v>
      </c>
      <c r="DV110" s="453" t="s">
        <v>54</v>
      </c>
      <c r="DW110" s="454">
        <f>+BS!FQ106</f>
        <v>50.136476426799007</v>
      </c>
      <c r="DX110" s="454">
        <f>+BS!FR106</f>
        <v>45.300605872300764</v>
      </c>
      <c r="DY110" s="454">
        <f>+BS!FS106</f>
        <v>50.652985074626862</v>
      </c>
      <c r="DZ110" s="454">
        <f>+BS!FT106</f>
        <v>48.592828685258965</v>
      </c>
      <c r="EA110" s="454">
        <f>+BS!FU106</f>
        <v>48.592828685258965</v>
      </c>
      <c r="EC110" s="453" t="s">
        <v>54</v>
      </c>
      <c r="ED110" s="454">
        <f>+BS!FX106</f>
        <v>53.287536800785084</v>
      </c>
      <c r="EE110" s="454">
        <f>+BS!FY106</f>
        <v>50.530477759472817</v>
      </c>
      <c r="EF110" s="454">
        <f>+BS!FZ106</f>
        <v>58.636589815889863</v>
      </c>
      <c r="EG110" s="454">
        <f>+BS!GA106</f>
        <v>56.469421487603306</v>
      </c>
      <c r="EH110" s="454">
        <f>+BS!GB106</f>
        <v>56.469421487603306</v>
      </c>
      <c r="EJ110" s="453" t="s">
        <v>54</v>
      </c>
      <c r="EK110" s="454">
        <f>+BS!GE106</f>
        <v>61.089092422980848</v>
      </c>
      <c r="EL110" s="454">
        <f>+BS!GF106</f>
        <v>60</v>
      </c>
      <c r="EM110" s="454">
        <f>+BS!GG106</f>
        <v>68.515125324114095</v>
      </c>
      <c r="EN110" s="454">
        <f>+BS!GH106</f>
        <v>66.775742486217325</v>
      </c>
      <c r="EO110" s="454">
        <f>+BS!GI106</f>
        <v>66.775742486217325</v>
      </c>
      <c r="EQ110" s="453" t="s">
        <v>54</v>
      </c>
      <c r="ER110" s="454">
        <f>+BS!GL106</f>
        <v>69.351784413692641</v>
      </c>
      <c r="ES110" s="454">
        <f>+BS!GM106</f>
        <v>67.02870442203259</v>
      </c>
      <c r="ET110" s="454">
        <f>+BS!GN106</f>
        <v>75.598548972188638</v>
      </c>
      <c r="EU110" s="454">
        <f>+BS!GO106</f>
        <v>60.198429102935094</v>
      </c>
      <c r="EV110" s="454">
        <f>+BS!GP106</f>
        <v>60.198429102935094</v>
      </c>
      <c r="EX110" s="453" t="s">
        <v>54</v>
      </c>
      <c r="EY110" s="454">
        <f>+BS!GS106</f>
        <v>63.47290640394089</v>
      </c>
      <c r="EZ110" s="454">
        <f>+BS!GT106</f>
        <v>62.181175083513459</v>
      </c>
      <c r="FA110" s="454">
        <f>+BS!GU106</f>
        <v>64.572799409485143</v>
      </c>
      <c r="FB110" s="454">
        <f>+BS!GV106</f>
        <v>59.190711968584601</v>
      </c>
      <c r="FC110" s="454">
        <f>+BS!GW106</f>
        <v>59.190711968584601</v>
      </c>
      <c r="FE110" s="453" t="s">
        <v>54</v>
      </c>
      <c r="FF110" s="454">
        <f>+BS!GZ106</f>
        <v>60.373742213703878</v>
      </c>
      <c r="FG110" s="454">
        <f>+BS!HA106</f>
        <v>55.640199238206854</v>
      </c>
      <c r="FH110" s="454">
        <f>+BS!HB106</f>
        <v>57.006185567010313</v>
      </c>
      <c r="FI110" s="454">
        <f>+BS!HC106</f>
        <v>54.589371980676326</v>
      </c>
      <c r="FJ110" s="454">
        <f>+BS!HD106</f>
        <v>54.589371980676326</v>
      </c>
      <c r="FL110" s="453" t="s">
        <v>54</v>
      </c>
      <c r="FM110" s="454">
        <f>+BS!HG106</f>
        <v>57.384391148800852</v>
      </c>
      <c r="FN110" s="454">
        <f>+BS!HH106</f>
        <v>53.68126747437092</v>
      </c>
      <c r="FO110" s="454">
        <f>+BS!HI106</f>
        <v>57.871770847276132</v>
      </c>
      <c r="FP110" s="454">
        <f>+BS!HJ106</f>
        <v>59.05317597135658</v>
      </c>
      <c r="FQ110" s="454">
        <f>+BS!HK106</f>
        <v>59.05317597135658</v>
      </c>
      <c r="FS110" s="453" t="s">
        <v>54</v>
      </c>
      <c r="FT110" s="454">
        <f>+BS!HN106</f>
        <v>61.789985543435407</v>
      </c>
      <c r="FU110" s="454">
        <f>+BS!HO106</f>
        <v>56.29279811097993</v>
      </c>
      <c r="FV110" s="454">
        <f>+BS!HP106</f>
        <v>61.83786638500132</v>
      </c>
      <c r="FW110" s="454">
        <f>+BS!HQ106</f>
        <v>61.681498206933192</v>
      </c>
      <c r="FX110" s="454">
        <f>+BS!HR106</f>
        <v>61.681498206933192</v>
      </c>
      <c r="FZ110" s="453" t="s">
        <v>54</v>
      </c>
      <c r="GA110" s="454">
        <f>+BS!HU106</f>
        <v>62.685381355932201</v>
      </c>
      <c r="GB110" s="454">
        <f>+BS!HV106</f>
        <v>60.514987455433776</v>
      </c>
      <c r="GC110" s="454">
        <f>+BS!HW106</f>
        <v>63.654782265491384</v>
      </c>
      <c r="GD110" s="503">
        <v>65</v>
      </c>
      <c r="GE110" s="58">
        <f>+BS!HY106</f>
        <v>73.713109947643986</v>
      </c>
      <c r="GG110" s="453" t="s">
        <v>54</v>
      </c>
      <c r="GH110" s="503">
        <v>65</v>
      </c>
      <c r="GI110" s="503">
        <v>65</v>
      </c>
      <c r="GJ110" s="503">
        <v>65</v>
      </c>
      <c r="GK110" s="503">
        <v>65</v>
      </c>
      <c r="GL110" s="58">
        <f>+BS!IF106</f>
        <v>64.999999999999986</v>
      </c>
      <c r="GN110" s="453" t="s">
        <v>54</v>
      </c>
      <c r="GO110" s="503">
        <v>65</v>
      </c>
      <c r="GP110" s="503">
        <v>65</v>
      </c>
      <c r="GQ110" s="503">
        <v>65</v>
      </c>
      <c r="GR110" s="503">
        <v>65</v>
      </c>
      <c r="GS110" s="58">
        <f>+BS!IM106</f>
        <v>65</v>
      </c>
      <c r="GU110" s="453" t="s">
        <v>54</v>
      </c>
      <c r="GV110" s="503">
        <v>65</v>
      </c>
      <c r="GW110" s="503">
        <v>65</v>
      </c>
      <c r="GX110" s="503">
        <v>65</v>
      </c>
      <c r="GY110" s="503">
        <v>65</v>
      </c>
      <c r="GZ110" s="58">
        <f>+BS!IT106</f>
        <v>65</v>
      </c>
    </row>
    <row r="111" spans="1:208" x14ac:dyDescent="0.4">
      <c r="A111" s="58"/>
      <c r="B111" s="76"/>
      <c r="V111" s="80"/>
      <c r="W111" s="80"/>
      <c r="X111" s="80"/>
      <c r="Y111" s="80"/>
      <c r="Z111" s="80"/>
      <c r="AP111" s="76"/>
      <c r="AW111" s="76"/>
      <c r="BD111" s="76"/>
      <c r="BK111" s="76"/>
      <c r="BR111" s="76"/>
      <c r="BY111" s="76"/>
      <c r="CF111" s="76"/>
      <c r="CM111" s="76"/>
      <c r="CT111" s="76"/>
      <c r="DA111" s="76"/>
      <c r="DH111" s="76"/>
      <c r="DO111" s="76"/>
      <c r="DV111" s="76"/>
      <c r="EC111" s="76"/>
      <c r="EJ111" s="76"/>
      <c r="EQ111" s="76"/>
      <c r="EX111" s="76"/>
      <c r="FE111" s="76"/>
      <c r="FL111" s="76"/>
      <c r="FS111" s="76"/>
      <c r="FZ111" s="76"/>
      <c r="GD111" s="80"/>
      <c r="GE111" s="80"/>
      <c r="GG111" s="76"/>
      <c r="GH111" s="80"/>
      <c r="GI111" s="80"/>
      <c r="GJ111" s="80"/>
      <c r="GK111" s="80"/>
      <c r="GL111" s="80"/>
      <c r="GN111" s="76"/>
      <c r="GO111" s="80"/>
      <c r="GP111" s="80"/>
      <c r="GQ111" s="80"/>
      <c r="GR111" s="80"/>
      <c r="GS111" s="80"/>
      <c r="GU111" s="76"/>
      <c r="GV111" s="80"/>
      <c r="GW111" s="80"/>
      <c r="GX111" s="80"/>
      <c r="GY111" s="80"/>
      <c r="GZ111" s="80"/>
    </row>
    <row r="112" spans="1:208" x14ac:dyDescent="0.4">
      <c r="A112" s="452"/>
      <c r="B112" s="443" t="s">
        <v>108</v>
      </c>
      <c r="C112" s="444">
        <f>AU112</f>
        <v>2124</v>
      </c>
      <c r="D112" s="444">
        <f>BB112</f>
        <v>2193</v>
      </c>
      <c r="E112" s="444">
        <f>BI112</f>
        <v>1612</v>
      </c>
      <c r="F112" s="444">
        <f>BP112</f>
        <v>2089</v>
      </c>
      <c r="G112" s="444">
        <f>BW112</f>
        <v>1831</v>
      </c>
      <c r="H112" s="444">
        <f>CD112</f>
        <v>1800</v>
      </c>
      <c r="I112" s="444">
        <f>CK112</f>
        <v>1983</v>
      </c>
      <c r="J112" s="444">
        <f>CR112</f>
        <v>1794</v>
      </c>
      <c r="K112" s="444">
        <f>CY112</f>
        <v>1170</v>
      </c>
      <c r="L112" s="444">
        <f>DF112</f>
        <v>1398</v>
      </c>
      <c r="M112" s="444">
        <f>DM112</f>
        <v>1431</v>
      </c>
      <c r="N112" s="444">
        <f>DT112</f>
        <v>1122</v>
      </c>
      <c r="O112" s="444">
        <f>EA112</f>
        <v>916</v>
      </c>
      <c r="P112" s="444">
        <f>EH112</f>
        <v>805</v>
      </c>
      <c r="Q112" s="444">
        <f>EO112</f>
        <v>1289</v>
      </c>
      <c r="R112" s="444">
        <f>EV112</f>
        <v>1192</v>
      </c>
      <c r="S112" s="444">
        <f>FC112</f>
        <v>1230</v>
      </c>
      <c r="T112" s="444">
        <f>FJ112</f>
        <v>1351</v>
      </c>
      <c r="U112" s="444">
        <f>FQ112</f>
        <v>1330</v>
      </c>
      <c r="V112" s="496">
        <f>FX112</f>
        <v>1359</v>
      </c>
      <c r="W112" s="496">
        <f>GE112</f>
        <v>1310</v>
      </c>
      <c r="X112" s="496">
        <f>GL112</f>
        <v>1319.026370025</v>
      </c>
      <c r="Y112" s="496">
        <f>GS112</f>
        <v>1381.4624332767639</v>
      </c>
      <c r="Z112" s="496">
        <f>GZ112</f>
        <v>1442.2260024013162</v>
      </c>
      <c r="AA112" s="445"/>
      <c r="AB112" s="445"/>
      <c r="AC112" s="445"/>
      <c r="AD112" s="445"/>
      <c r="AE112" s="445"/>
      <c r="AF112" s="445"/>
      <c r="AG112" s="445"/>
      <c r="AH112" s="445"/>
      <c r="AI112" s="445"/>
      <c r="AJ112" s="445"/>
      <c r="AK112" s="445"/>
      <c r="AL112" s="445"/>
      <c r="AM112" s="445"/>
      <c r="AN112" s="445"/>
      <c r="AP112" s="443" t="s">
        <v>108</v>
      </c>
      <c r="AQ112" s="444">
        <f>+BS!CK43</f>
        <v>2254</v>
      </c>
      <c r="AR112" s="444">
        <f>+BS!CL43</f>
        <v>2219</v>
      </c>
      <c r="AS112" s="444">
        <f>+BS!CM43</f>
        <v>2050</v>
      </c>
      <c r="AT112" s="444">
        <f>+BS!CN43</f>
        <v>2124</v>
      </c>
      <c r="AU112" s="444">
        <f>+BS!CO43</f>
        <v>2124</v>
      </c>
      <c r="AW112" s="443" t="s">
        <v>108</v>
      </c>
      <c r="AX112" s="444">
        <f>+BS!CR43</f>
        <v>2064</v>
      </c>
      <c r="AY112" s="444">
        <f>+BS!CS43</f>
        <v>2089</v>
      </c>
      <c r="AZ112" s="444">
        <f>+BS!CT43</f>
        <v>2140</v>
      </c>
      <c r="BA112" s="444">
        <f>+BS!CU43</f>
        <v>2193</v>
      </c>
      <c r="BB112" s="444">
        <f>+BS!CV43</f>
        <v>2193</v>
      </c>
      <c r="BD112" s="443" t="s">
        <v>108</v>
      </c>
      <c r="BE112" s="444">
        <f>+BS!CY43</f>
        <v>2142</v>
      </c>
      <c r="BF112" s="444">
        <f>+BS!CZ43</f>
        <v>2058</v>
      </c>
      <c r="BG112" s="444">
        <f>+BS!DA43</f>
        <v>2051</v>
      </c>
      <c r="BH112" s="444">
        <f>+BS!DB43</f>
        <v>1612</v>
      </c>
      <c r="BI112" s="444">
        <f>+BS!DC43</f>
        <v>1612</v>
      </c>
      <c r="BK112" s="443" t="s">
        <v>108</v>
      </c>
      <c r="BL112" s="444">
        <f>+BS!DF43</f>
        <v>1596</v>
      </c>
      <c r="BM112" s="444">
        <f>+BS!DG43</f>
        <v>1566</v>
      </c>
      <c r="BN112" s="444">
        <f>+BS!DH43</f>
        <v>1485</v>
      </c>
      <c r="BO112" s="444">
        <f>+BS!DI43</f>
        <v>2089</v>
      </c>
      <c r="BP112" s="444">
        <f>+BS!DJ43</f>
        <v>2089</v>
      </c>
      <c r="BR112" s="443" t="s">
        <v>108</v>
      </c>
      <c r="BS112" s="444">
        <f>+BS!DM43</f>
        <v>2031</v>
      </c>
      <c r="BT112" s="444">
        <f>+BS!DN43</f>
        <v>1968</v>
      </c>
      <c r="BU112" s="444">
        <f>+BS!DO43</f>
        <v>1798</v>
      </c>
      <c r="BV112" s="444">
        <f>+BS!DP43</f>
        <v>1831</v>
      </c>
      <c r="BW112" s="444">
        <f>+BS!DQ43</f>
        <v>1831</v>
      </c>
      <c r="BY112" s="443" t="s">
        <v>108</v>
      </c>
      <c r="BZ112" s="444">
        <f>+BS!DT43</f>
        <v>1880</v>
      </c>
      <c r="CA112" s="444">
        <f>+BS!DU43</f>
        <v>1843</v>
      </c>
      <c r="CB112" s="444">
        <f>+BS!DV43</f>
        <v>1822</v>
      </c>
      <c r="CC112" s="444">
        <f>+BS!DW43</f>
        <v>1800</v>
      </c>
      <c r="CD112" s="444">
        <f>+BS!DX43</f>
        <v>1800</v>
      </c>
      <c r="CF112" s="443" t="s">
        <v>108</v>
      </c>
      <c r="CG112" s="444">
        <f>+BS!EA43</f>
        <v>1780</v>
      </c>
      <c r="CH112" s="444">
        <f>+BS!EB43</f>
        <v>1753</v>
      </c>
      <c r="CI112" s="444">
        <f>+BS!EC43</f>
        <v>1717</v>
      </c>
      <c r="CJ112" s="444">
        <f>+BS!ED43</f>
        <v>1983</v>
      </c>
      <c r="CK112" s="444">
        <f>+BS!EE43</f>
        <v>1983</v>
      </c>
      <c r="CM112" s="443" t="s">
        <v>108</v>
      </c>
      <c r="CN112" s="444">
        <f>+BS!EH43</f>
        <v>1667</v>
      </c>
      <c r="CO112" s="444">
        <f>+BS!EI43</f>
        <v>1642</v>
      </c>
      <c r="CP112" s="444">
        <f>+BS!EJ43</f>
        <v>1603</v>
      </c>
      <c r="CQ112" s="444">
        <f>+BS!EK43</f>
        <v>1794</v>
      </c>
      <c r="CR112" s="444">
        <f>+BS!EL43</f>
        <v>1794</v>
      </c>
      <c r="CT112" s="443" t="s">
        <v>108</v>
      </c>
      <c r="CU112" s="444">
        <f>+BS!EO43</f>
        <v>1716</v>
      </c>
      <c r="CV112" s="444">
        <f>+BS!EP43</f>
        <v>1677</v>
      </c>
      <c r="CW112" s="444">
        <f>+BS!EQ43</f>
        <v>1650</v>
      </c>
      <c r="CX112" s="444">
        <f>+BS!ER43</f>
        <v>1170</v>
      </c>
      <c r="CY112" s="444">
        <f>+BS!ES43</f>
        <v>1170</v>
      </c>
      <c r="DA112" s="443" t="s">
        <v>108</v>
      </c>
      <c r="DB112" s="444">
        <f>+BS!EV43</f>
        <v>1144</v>
      </c>
      <c r="DC112" s="444">
        <f>+BS!EW43</f>
        <v>1136</v>
      </c>
      <c r="DD112" s="444">
        <f>+BS!EX43</f>
        <v>1121</v>
      </c>
      <c r="DE112" s="444">
        <f>+BS!EY43</f>
        <v>1398</v>
      </c>
      <c r="DF112" s="444">
        <f>+BS!EZ43</f>
        <v>1398</v>
      </c>
      <c r="DH112" s="443" t="s">
        <v>108</v>
      </c>
      <c r="DI112" s="444">
        <f>+BS!FC43</f>
        <v>1386</v>
      </c>
      <c r="DJ112" s="444">
        <f>+BS!FD43</f>
        <v>1418</v>
      </c>
      <c r="DK112" s="444">
        <f>+BS!FE43</f>
        <v>1388</v>
      </c>
      <c r="DL112" s="444">
        <f>+BS!FF43</f>
        <v>1431</v>
      </c>
      <c r="DM112" s="444">
        <f>+BS!FG43</f>
        <v>1431</v>
      </c>
      <c r="DO112" s="443" t="s">
        <v>108</v>
      </c>
      <c r="DP112" s="444">
        <f>+BS!FJ43</f>
        <v>1400</v>
      </c>
      <c r="DQ112" s="444">
        <f>+BS!FK43</f>
        <v>1383</v>
      </c>
      <c r="DR112" s="444">
        <f>+BS!FL43</f>
        <v>1355</v>
      </c>
      <c r="DS112" s="444">
        <f>+BS!FM43</f>
        <v>1122</v>
      </c>
      <c r="DT112" s="444">
        <f>+BS!FN43</f>
        <v>1122</v>
      </c>
      <c r="DV112" s="443" t="s">
        <v>108</v>
      </c>
      <c r="DW112" s="444">
        <f>+BS!FQ43</f>
        <v>1155</v>
      </c>
      <c r="DX112" s="444">
        <f>+BS!FR43</f>
        <v>1045</v>
      </c>
      <c r="DY112" s="444">
        <f>+BS!FS43</f>
        <v>1019</v>
      </c>
      <c r="DZ112" s="444">
        <f>+BS!FT43</f>
        <v>916</v>
      </c>
      <c r="EA112" s="444">
        <f>+BS!FU43</f>
        <v>916</v>
      </c>
      <c r="EC112" s="443" t="s">
        <v>108</v>
      </c>
      <c r="ED112" s="444">
        <f>+BS!FX43</f>
        <v>904</v>
      </c>
      <c r="EE112" s="444">
        <f>+BS!FY43</f>
        <v>868</v>
      </c>
      <c r="EF112" s="444">
        <f>+BS!FZ43</f>
        <v>844</v>
      </c>
      <c r="EG112" s="444">
        <f>+BS!GA43</f>
        <v>805</v>
      </c>
      <c r="EH112" s="444">
        <f>+BS!GB43</f>
        <v>805</v>
      </c>
      <c r="EJ112" s="443" t="s">
        <v>108</v>
      </c>
      <c r="EK112" s="444">
        <f>+BS!GE43</f>
        <v>1292</v>
      </c>
      <c r="EL112" s="444">
        <f>+BS!GF43</f>
        <v>1268</v>
      </c>
      <c r="EM112" s="444">
        <f>+BS!GG43</f>
        <v>1237</v>
      </c>
      <c r="EN112" s="444">
        <f>+BS!GH43</f>
        <v>1289</v>
      </c>
      <c r="EO112" s="444">
        <f>+BS!GI43</f>
        <v>1289</v>
      </c>
      <c r="EQ112" s="443" t="s">
        <v>108</v>
      </c>
      <c r="ER112" s="444">
        <f>+BS!GL43</f>
        <v>1267</v>
      </c>
      <c r="ES112" s="444">
        <f>+BS!GM43</f>
        <v>1238</v>
      </c>
      <c r="ET112" s="444">
        <f>+BS!GN43</f>
        <v>1214</v>
      </c>
      <c r="EU112" s="444">
        <f>+BS!GO43</f>
        <v>1192</v>
      </c>
      <c r="EV112" s="444">
        <f>+BS!GP43</f>
        <v>1192</v>
      </c>
      <c r="EX112" s="443" t="s">
        <v>108</v>
      </c>
      <c r="EY112" s="444">
        <f>+BS!GS43</f>
        <v>1200</v>
      </c>
      <c r="EZ112" s="444">
        <f>+BS!GT43</f>
        <v>1153</v>
      </c>
      <c r="FA112" s="444">
        <f>+BS!GU43</f>
        <v>1209</v>
      </c>
      <c r="FB112" s="444">
        <f>+BS!GV43</f>
        <v>1230</v>
      </c>
      <c r="FC112" s="444">
        <f>+BS!GW43</f>
        <v>1230</v>
      </c>
      <c r="FE112" s="443" t="s">
        <v>108</v>
      </c>
      <c r="FF112" s="444">
        <f>+BS!GZ43</f>
        <v>1235</v>
      </c>
      <c r="FG112" s="444">
        <f>+BS!HA43</f>
        <v>1266</v>
      </c>
      <c r="FH112" s="444">
        <f>+BS!HB43</f>
        <v>1324</v>
      </c>
      <c r="FI112" s="444">
        <f>+BS!HC43</f>
        <v>1351</v>
      </c>
      <c r="FJ112" s="444">
        <f>+BS!HD43</f>
        <v>1351</v>
      </c>
      <c r="FL112" s="443" t="s">
        <v>108</v>
      </c>
      <c r="FM112" s="444">
        <f>+BS!HG43</f>
        <v>1307</v>
      </c>
      <c r="FN112" s="444">
        <f>+BS!HH43</f>
        <v>1328</v>
      </c>
      <c r="FO112" s="444">
        <f>+BS!HI43</f>
        <v>1359</v>
      </c>
      <c r="FP112" s="444">
        <f>+BS!HJ43</f>
        <v>1330</v>
      </c>
      <c r="FQ112" s="444">
        <f>+BS!HK43</f>
        <v>1330</v>
      </c>
      <c r="FS112" s="443" t="s">
        <v>108</v>
      </c>
      <c r="FT112" s="444">
        <f>+FT113*BS!HN69</f>
        <v>1331.5119999999999</v>
      </c>
      <c r="FU112" s="444">
        <f>+BS!HO43</f>
        <v>1336</v>
      </c>
      <c r="FV112" s="444">
        <f>+BS!HP43</f>
        <v>1308</v>
      </c>
      <c r="FW112" s="444">
        <f>+BS!HQ43</f>
        <v>1359</v>
      </c>
      <c r="FX112" s="444">
        <f>+BS!HR43</f>
        <v>1359</v>
      </c>
      <c r="FZ112" s="443" t="s">
        <v>108</v>
      </c>
      <c r="GA112" s="444">
        <f>+GA113*BS!HU69</f>
        <v>1299.662</v>
      </c>
      <c r="GB112" s="444">
        <f>+BS!HV43</f>
        <v>1301</v>
      </c>
      <c r="GC112" s="444">
        <f>+BS!HW43</f>
        <v>1292</v>
      </c>
      <c r="GD112" s="496">
        <f>+GD113*BS!HX69</f>
        <v>1282.3720000000001</v>
      </c>
      <c r="GE112" s="496">
        <f>+BS!HY43</f>
        <v>1310</v>
      </c>
      <c r="GG112" s="443" t="s">
        <v>108</v>
      </c>
      <c r="GH112" s="496">
        <f>+GH113*BS!IB69</f>
        <v>1285.8133856749998</v>
      </c>
      <c r="GI112" s="496">
        <f>+GI113*BS!IC69</f>
        <v>1291.44536885</v>
      </c>
      <c r="GJ112" s="496">
        <f>+GJ113*BS!ID69</f>
        <v>1302.0863764999999</v>
      </c>
      <c r="GK112" s="496">
        <f>+GK113*BS!IE69</f>
        <v>1319.026370025</v>
      </c>
      <c r="GL112" s="496">
        <f>+BS!IF43</f>
        <v>1319.026370025</v>
      </c>
      <c r="GN112" s="443" t="s">
        <v>108</v>
      </c>
      <c r="GO112" s="496">
        <f>+GO113*BS!II69</f>
        <v>1334.2613540241068</v>
      </c>
      <c r="GP112" s="496">
        <f>+GP113*BS!IJ69</f>
        <v>1350.0100897798145</v>
      </c>
      <c r="GQ112" s="496">
        <f>+GQ113*BS!IK69</f>
        <v>1365.6691188649456</v>
      </c>
      <c r="GR112" s="496">
        <f>+GR113*BS!IL69</f>
        <v>1381.4624332767639</v>
      </c>
      <c r="GS112" s="496">
        <f>+BS!IM43</f>
        <v>1381.4624332767639</v>
      </c>
      <c r="GU112" s="443" t="s">
        <v>108</v>
      </c>
      <c r="GV112" s="496">
        <f>+GV113*BS!IP69</f>
        <v>1396.2717435713944</v>
      </c>
      <c r="GW112" s="496">
        <f>+GW113*BS!IQ69</f>
        <v>1411.5863156365235</v>
      </c>
      <c r="GX112" s="496">
        <f>+GX113*BS!IR69</f>
        <v>1427.06503487439</v>
      </c>
      <c r="GY112" s="496">
        <f>+GY113*BS!IS69</f>
        <v>1442.2260024013162</v>
      </c>
      <c r="GZ112" s="496">
        <f>+BS!IT43</f>
        <v>1442.2260024013162</v>
      </c>
    </row>
    <row r="113" spans="1:208" x14ac:dyDescent="0.4">
      <c r="A113" s="438"/>
      <c r="B113" s="447" t="s">
        <v>6</v>
      </c>
      <c r="C113" s="448">
        <f>AU113</f>
        <v>0.24694802929891874</v>
      </c>
      <c r="D113" s="448">
        <f>BB113</f>
        <v>0.2292494250470416</v>
      </c>
      <c r="E113" s="448">
        <f>BI113</f>
        <v>0.16071784646061815</v>
      </c>
      <c r="F113" s="448">
        <f>BP113</f>
        <v>0.1856063971568192</v>
      </c>
      <c r="G113" s="448">
        <f>BW113</f>
        <v>0.20252184492865832</v>
      </c>
      <c r="H113" s="448">
        <f>CD113</f>
        <v>0.16923655509590071</v>
      </c>
      <c r="I113" s="448">
        <f>CK113</f>
        <v>0.16886655880098783</v>
      </c>
      <c r="J113" s="448">
        <f>CR113</f>
        <v>0.15260292616536236</v>
      </c>
      <c r="K113" s="448">
        <f>CY113</f>
        <v>9.7031016752363572E-2</v>
      </c>
      <c r="L113" s="448">
        <f>DF113</f>
        <v>0.11034809377219985</v>
      </c>
      <c r="M113" s="448">
        <f>DM113</f>
        <v>0.12115824231648463</v>
      </c>
      <c r="N113" s="448">
        <f>DT113</f>
        <v>0.10136417020507724</v>
      </c>
      <c r="O113" s="448">
        <f>EA113</f>
        <v>8.0294530154277705E-2</v>
      </c>
      <c r="P113" s="448">
        <f>EH113</f>
        <v>6.5714285714285711E-2</v>
      </c>
      <c r="Q113" s="448">
        <f>EO113</f>
        <v>0.10798358046410321</v>
      </c>
      <c r="R113" s="448">
        <f>EV113</f>
        <v>0.11263346877066995</v>
      </c>
      <c r="S113" s="448">
        <f>FC113</f>
        <v>9.822712026832775E-2</v>
      </c>
      <c r="T113" s="448">
        <f>FJ113</f>
        <v>9.095805561166094E-2</v>
      </c>
      <c r="U113" s="448">
        <f>FQ113</f>
        <v>9.0741625162038611E-2</v>
      </c>
      <c r="V113" s="497">
        <f>FX113</f>
        <v>9.3466299862448421E-2</v>
      </c>
      <c r="W113" s="497">
        <f>GE113</f>
        <v>9.2960544990065286E-2</v>
      </c>
      <c r="X113" s="497">
        <f>GL113</f>
        <v>9.1000000000000025E-2</v>
      </c>
      <c r="Y113" s="497">
        <f>GS113</f>
        <v>9.0999999999999998E-2</v>
      </c>
      <c r="Z113" s="497">
        <f>GZ113</f>
        <v>9.0999999999999984E-2</v>
      </c>
      <c r="AA113" s="449"/>
      <c r="AB113" s="449"/>
      <c r="AC113" s="449"/>
      <c r="AD113" s="449"/>
      <c r="AE113" s="449"/>
      <c r="AF113" s="449"/>
      <c r="AG113" s="449"/>
      <c r="AH113" s="449"/>
      <c r="AI113" s="449"/>
      <c r="AJ113" s="449"/>
      <c r="AK113" s="449"/>
      <c r="AL113" s="449"/>
      <c r="AM113" s="449"/>
      <c r="AN113" s="449"/>
      <c r="AP113" s="447" t="s">
        <v>6</v>
      </c>
      <c r="AQ113" s="448" t="s">
        <v>80</v>
      </c>
      <c r="AR113" s="448" t="s">
        <v>80</v>
      </c>
      <c r="AS113" s="448" t="s">
        <v>80</v>
      </c>
      <c r="AT113" s="448" t="s">
        <v>80</v>
      </c>
      <c r="AU113" s="448">
        <f>+AU112/BS!CO69</f>
        <v>0.24694802929891874</v>
      </c>
      <c r="AW113" s="447" t="s">
        <v>6</v>
      </c>
      <c r="AX113" s="448">
        <f>+AX112/BS!CR69</f>
        <v>0.23390752493200362</v>
      </c>
      <c r="AY113" s="448">
        <f>+AY112/BS!CS69</f>
        <v>0.22966138962181179</v>
      </c>
      <c r="AZ113" s="448">
        <f>+AZ112/BS!CT69</f>
        <v>0.22792629673021622</v>
      </c>
      <c r="BA113" s="448">
        <f>+BA112/BS!CU69</f>
        <v>0.2292494250470416</v>
      </c>
      <c r="BB113" s="448">
        <f>+BB112/BS!CV69</f>
        <v>0.2292494250470416</v>
      </c>
      <c r="BD113" s="447" t="s">
        <v>6</v>
      </c>
      <c r="BE113" s="448">
        <f>+BE112/BS!CY69</f>
        <v>0.22180801491146318</v>
      </c>
      <c r="BF113" s="448">
        <f>+BF112/BS!CZ69</f>
        <v>0.21073110792545566</v>
      </c>
      <c r="BG113" s="448">
        <f>+BG112/BS!DA69</f>
        <v>0.20824449182658139</v>
      </c>
      <c r="BH113" s="448">
        <f>+BH112/BS!DB69</f>
        <v>0.16071784646061815</v>
      </c>
      <c r="BI113" s="448">
        <f>+BI112/BS!DC69</f>
        <v>0.16071784646061815</v>
      </c>
      <c r="BK113" s="447" t="s">
        <v>6</v>
      </c>
      <c r="BL113" s="448">
        <f>+BL112/BS!DF69</f>
        <v>0.15463617866485804</v>
      </c>
      <c r="BM113" s="448">
        <f>+BM112/BS!DG69</f>
        <v>0.14638250140213124</v>
      </c>
      <c r="BN113" s="448">
        <f>+BN112/BS!DH69</f>
        <v>0.13308836709087651</v>
      </c>
      <c r="BO113" s="448">
        <f>+BO112/BS!DI69</f>
        <v>0.1856063971568192</v>
      </c>
      <c r="BP113" s="448">
        <f>+BP112/BS!DJ69</f>
        <v>0.1856063971568192</v>
      </c>
      <c r="BR113" s="447" t="s">
        <v>6</v>
      </c>
      <c r="BS113" s="448">
        <f>+BS112/BS!DM69</f>
        <v>0.18824728890536657</v>
      </c>
      <c r="BT113" s="448">
        <f>+BT112/BS!DN69</f>
        <v>0.19549021555577631</v>
      </c>
      <c r="BU113" s="448">
        <f>+BU112/BS!DO69</f>
        <v>0.1913783927621075</v>
      </c>
      <c r="BV113" s="448">
        <f>+BV112/BS!DP69</f>
        <v>0.20252184492865832</v>
      </c>
      <c r="BW113" s="448">
        <f>+BW112/BS!DQ69</f>
        <v>0.20252184492865832</v>
      </c>
      <c r="BY113" s="447" t="s">
        <v>6</v>
      </c>
      <c r="BZ113" s="448">
        <f>+BZ112/BS!DT69</f>
        <v>0.20247711362412493</v>
      </c>
      <c r="CA113" s="448">
        <f>+CA112/BS!DU69</f>
        <v>0.18877394243572673</v>
      </c>
      <c r="CB113" s="448">
        <f>+CB112/BS!DV69</f>
        <v>0.17968441814595662</v>
      </c>
      <c r="CC113" s="448">
        <f>+CC112/BS!DW69</f>
        <v>0.16923655509590071</v>
      </c>
      <c r="CD113" s="448">
        <f>+CD112/BS!DX69</f>
        <v>0.16923655509590071</v>
      </c>
      <c r="CF113" s="447" t="s">
        <v>6</v>
      </c>
      <c r="CG113" s="448">
        <f>+CG112/BS!EA69</f>
        <v>0.16248288452761298</v>
      </c>
      <c r="CH113" s="448">
        <f>+CH112/BS!EB69</f>
        <v>0.15498187604986297</v>
      </c>
      <c r="CI113" s="448">
        <f>+CI112/BS!EC69</f>
        <v>0.14791523087525843</v>
      </c>
      <c r="CJ113" s="448">
        <f>+CJ112/BS!ED69</f>
        <v>0.16886655880098783</v>
      </c>
      <c r="CK113" s="448">
        <f>+CK112/BS!EE69</f>
        <v>0.16886655880098783</v>
      </c>
      <c r="CM113" s="447" t="s">
        <v>6</v>
      </c>
      <c r="CN113" s="448">
        <f>+CN112/BS!EH69</f>
        <v>0.14009580637028321</v>
      </c>
      <c r="CO113" s="448">
        <f>+CO112/BS!EI69</f>
        <v>0.13807601749075007</v>
      </c>
      <c r="CP113" s="448">
        <f>+CP112/BS!EJ69</f>
        <v>0.13558318531675548</v>
      </c>
      <c r="CQ113" s="448">
        <f>+CQ112/BS!EK69</f>
        <v>0.15260292616536236</v>
      </c>
      <c r="CR113" s="448">
        <f>+CR112/BS!EL69</f>
        <v>0.15260292616536236</v>
      </c>
      <c r="CT113" s="447" t="s">
        <v>6</v>
      </c>
      <c r="CU113" s="448">
        <f>+CU112/BS!EO69</f>
        <v>0.14606741573033707</v>
      </c>
      <c r="CV113" s="448">
        <f>+CV112/BS!EP69</f>
        <v>0.1420584498094028</v>
      </c>
      <c r="CW113" s="448">
        <f>+CW112/BS!EQ69</f>
        <v>0.1385390428211587</v>
      </c>
      <c r="CX113" s="448">
        <f>+CX112/BS!ER69</f>
        <v>9.7031016752363572E-2</v>
      </c>
      <c r="CY113" s="448">
        <f>+CY112/BS!ES69</f>
        <v>9.7031016752363572E-2</v>
      </c>
      <c r="DA113" s="447" t="s">
        <v>6</v>
      </c>
      <c r="DB113" s="448">
        <f>+DB112/BS!EV69</f>
        <v>9.4451783355350066E-2</v>
      </c>
      <c r="DC113" s="448">
        <f>+DC112/BS!EW69</f>
        <v>9.2455440709693165E-2</v>
      </c>
      <c r="DD113" s="448">
        <f>+DD112/BS!EX69</f>
        <v>8.9615476856663198E-2</v>
      </c>
      <c r="DE113" s="448">
        <f>+DE112/BS!EY69</f>
        <v>0.11034809377219985</v>
      </c>
      <c r="DF113" s="448">
        <f>+DF112/BS!EZ69</f>
        <v>0.11034809377219985</v>
      </c>
      <c r="DH113" s="447" t="s">
        <v>6</v>
      </c>
      <c r="DI113" s="448">
        <f>+DI112/BS!FC69</f>
        <v>0.10927152317880795</v>
      </c>
      <c r="DJ113" s="448">
        <f>+DJ112/BS!FD69</f>
        <v>0.11340371081253998</v>
      </c>
      <c r="DK113" s="448">
        <f>+DK112/BS!FE69</f>
        <v>0.11356570119456717</v>
      </c>
      <c r="DL113" s="448">
        <f>+DL112/BS!FF69</f>
        <v>0.12115824231648463</v>
      </c>
      <c r="DM113" s="448">
        <f>+DM112/BS!FG69</f>
        <v>0.12115824231648463</v>
      </c>
      <c r="DO113" s="447" t="s">
        <v>6</v>
      </c>
      <c r="DP113" s="448">
        <f>+DP112/BS!FJ69</f>
        <v>0.12278547623223995</v>
      </c>
      <c r="DQ113" s="448">
        <f>+DQ112/BS!FK69</f>
        <v>0.12524904908531062</v>
      </c>
      <c r="DR113" s="448">
        <f>+DR112/BS!FL69</f>
        <v>0.1253121242948303</v>
      </c>
      <c r="DS113" s="448">
        <f>+DS112/BS!FM69</f>
        <v>0.10136417020507724</v>
      </c>
      <c r="DT113" s="448">
        <f>+DT112/BS!FN69</f>
        <v>0.10136417020507724</v>
      </c>
      <c r="DV113" s="447" t="s">
        <v>6</v>
      </c>
      <c r="DW113" s="448">
        <f>+DW112/BS!FQ69</f>
        <v>0.10203180212014135</v>
      </c>
      <c r="DX113" s="448">
        <f>+DX112/BS!FR69</f>
        <v>9.0484024590873666E-2</v>
      </c>
      <c r="DY113" s="448">
        <f>+DY112/BS!FS69</f>
        <v>8.7981350371265754E-2</v>
      </c>
      <c r="DZ113" s="448">
        <f>+DZ112/BS!FT69</f>
        <v>8.0294530154277705E-2</v>
      </c>
      <c r="EA113" s="448">
        <f>+EA112/BS!FU69</f>
        <v>8.0294530154277705E-2</v>
      </c>
      <c r="EC113" s="447" t="s">
        <v>6</v>
      </c>
      <c r="ED113" s="448">
        <f>+ED112/BS!FX69</f>
        <v>7.9194042925974595E-2</v>
      </c>
      <c r="EE113" s="448">
        <f>+EE112/BS!FY69</f>
        <v>7.4930939226519333E-2</v>
      </c>
      <c r="EF113" s="448">
        <f>+EF112/BS!FZ69</f>
        <v>7.0509607351712619E-2</v>
      </c>
      <c r="EG113" s="448">
        <f>+EG112/BS!GA69</f>
        <v>6.5714285714285711E-2</v>
      </c>
      <c r="EH113" s="448">
        <f>+EH112/BS!GB69</f>
        <v>6.5714285714285711E-2</v>
      </c>
      <c r="EJ113" s="447" t="s">
        <v>6</v>
      </c>
      <c r="EK113" s="448">
        <f>+EK112/BS!GE69</f>
        <v>0.10430289819972552</v>
      </c>
      <c r="EL113" s="448">
        <f>+EL112/BS!GF69</f>
        <v>0.1027053296614288</v>
      </c>
      <c r="EM113" s="448">
        <f>+EM112/BS!GG69</f>
        <v>0.1014350143501435</v>
      </c>
      <c r="EN113" s="448">
        <f>+EN112/BS!GH69</f>
        <v>0.10798358046410321</v>
      </c>
      <c r="EO113" s="448">
        <f>+EO112/BS!GI69</f>
        <v>0.10798358046410321</v>
      </c>
      <c r="EQ113" s="447" t="s">
        <v>6</v>
      </c>
      <c r="ER113" s="448">
        <f>+ER112/BS!GL69</f>
        <v>0.10756430936412259</v>
      </c>
      <c r="ES113" s="448">
        <f>+ES112/BS!GM69</f>
        <v>0.11282238221088126</v>
      </c>
      <c r="ET113" s="448">
        <f>+ET112/BS!GN69</f>
        <v>0.11406558301230856</v>
      </c>
      <c r="EU113" s="448">
        <f>+EU112/BS!GO69</f>
        <v>0.11263346877066995</v>
      </c>
      <c r="EV113" s="448">
        <f>+EV112/BS!GP69</f>
        <v>0.11263346877066995</v>
      </c>
      <c r="EX113" s="447" t="s">
        <v>6</v>
      </c>
      <c r="EY113" s="448">
        <f>+EY112/BS!GS69</f>
        <v>0.11384119153780477</v>
      </c>
      <c r="EZ113" s="448">
        <f>+EZ112/BS!GT69</f>
        <v>0.10225257183398369</v>
      </c>
      <c r="FA113" s="448">
        <f>+FA112/BS!GU69</f>
        <v>0.10142617449664429</v>
      </c>
      <c r="FB113" s="448">
        <f>+FB112/BS!GV69</f>
        <v>9.822712026832775E-2</v>
      </c>
      <c r="FC113" s="448">
        <f>+FC112/BS!GW69</f>
        <v>9.822712026832775E-2</v>
      </c>
      <c r="FE113" s="447" t="s">
        <v>6</v>
      </c>
      <c r="FF113" s="448">
        <f>+FF112/BS!GZ69</f>
        <v>9.4116750495351315E-2</v>
      </c>
      <c r="FG113" s="448">
        <f>+FG112/BS!HA69</f>
        <v>9.0772209077220903E-2</v>
      </c>
      <c r="FH113" s="448">
        <f>+FH112/BS!HB69</f>
        <v>9.0996563573883166E-2</v>
      </c>
      <c r="FI113" s="448">
        <f>+FI112/BS!HC69</f>
        <v>9.095805561166094E-2</v>
      </c>
      <c r="FJ113" s="448">
        <f>+FJ112/BS!HD69</f>
        <v>9.095805561166094E-2</v>
      </c>
      <c r="FL113" s="447" t="s">
        <v>6</v>
      </c>
      <c r="FM113" s="448">
        <f>+FM112/BS!HG69</f>
        <v>8.6293410801531759E-2</v>
      </c>
      <c r="FN113" s="448">
        <f>+FN112/BS!HH69</f>
        <v>8.8356620093147042E-2</v>
      </c>
      <c r="FO113" s="448">
        <f>+FO112/BS!HI69</f>
        <v>9.2404977221731147E-2</v>
      </c>
      <c r="FP113" s="448">
        <f>+FP112/BS!HJ69</f>
        <v>9.0741625162038611E-2</v>
      </c>
      <c r="FQ113" s="448">
        <f>+FQ112/BS!HK69</f>
        <v>9.0741625162038611E-2</v>
      </c>
      <c r="FS113" s="447" t="s">
        <v>6</v>
      </c>
      <c r="FT113" s="448">
        <v>9.0999999999999998E-2</v>
      </c>
      <c r="FU113" s="448">
        <f>+FU112/BS!HO69</f>
        <v>9.129424627579609E-2</v>
      </c>
      <c r="FV113" s="448">
        <f>+FV112/BS!HP69</f>
        <v>8.9094748314147543E-2</v>
      </c>
      <c r="FW113" s="448">
        <f>+FW112/BS!HQ69</f>
        <v>9.3466299862448421E-2</v>
      </c>
      <c r="FX113" s="448">
        <f>+FX112/BS!HR69</f>
        <v>9.3466299862448421E-2</v>
      </c>
      <c r="FZ113" s="447" t="s">
        <v>6</v>
      </c>
      <c r="GA113" s="448">
        <v>9.0999999999999998E-2</v>
      </c>
      <c r="GB113" s="448">
        <f>+GB112/BS!HV69</f>
        <v>9.1910985517484986E-2</v>
      </c>
      <c r="GC113" s="448">
        <f>+GC112/BS!HW69</f>
        <v>9.1481979749345035E-2</v>
      </c>
      <c r="GD113" s="504">
        <v>9.0999999999999998E-2</v>
      </c>
      <c r="GE113" s="497">
        <f>+GE112/BS!HY69</f>
        <v>9.2960544990065286E-2</v>
      </c>
      <c r="GG113" s="447" t="s">
        <v>6</v>
      </c>
      <c r="GH113" s="504">
        <v>9.0999999999999998E-2</v>
      </c>
      <c r="GI113" s="504">
        <v>9.0999999999999998E-2</v>
      </c>
      <c r="GJ113" s="504">
        <v>9.0999999999999998E-2</v>
      </c>
      <c r="GK113" s="504">
        <v>9.0999999999999998E-2</v>
      </c>
      <c r="GL113" s="497">
        <f>+GL112/BS!IF69</f>
        <v>9.1000000000000025E-2</v>
      </c>
      <c r="GN113" s="447" t="s">
        <v>6</v>
      </c>
      <c r="GO113" s="504">
        <v>9.0999999999999998E-2</v>
      </c>
      <c r="GP113" s="504">
        <v>9.0999999999999998E-2</v>
      </c>
      <c r="GQ113" s="504">
        <v>9.0999999999999998E-2</v>
      </c>
      <c r="GR113" s="504">
        <v>9.0999999999999998E-2</v>
      </c>
      <c r="GS113" s="497">
        <f>+GS112/BS!IM69</f>
        <v>9.0999999999999998E-2</v>
      </c>
      <c r="GU113" s="447" t="s">
        <v>6</v>
      </c>
      <c r="GV113" s="504">
        <v>9.0999999999999998E-2</v>
      </c>
      <c r="GW113" s="504">
        <v>9.0999999999999998E-2</v>
      </c>
      <c r="GX113" s="504">
        <v>9.0999999999999998E-2</v>
      </c>
      <c r="GY113" s="504">
        <v>9.0999999999999998E-2</v>
      </c>
      <c r="GZ113" s="497">
        <f>+GZ112/BS!IT69</f>
        <v>9.0999999999999984E-2</v>
      </c>
    </row>
    <row r="114" spans="1:208" x14ac:dyDescent="0.4">
      <c r="A114" s="455"/>
      <c r="B114" s="76"/>
      <c r="V114" s="80"/>
      <c r="W114" s="80"/>
      <c r="X114" s="80"/>
      <c r="Y114" s="80"/>
      <c r="Z114" s="80"/>
      <c r="AP114" s="76"/>
      <c r="AW114" s="76"/>
      <c r="BD114" s="76"/>
      <c r="BK114" s="76"/>
      <c r="BR114" s="76"/>
      <c r="BY114" s="76"/>
      <c r="CF114" s="76"/>
      <c r="CM114" s="76"/>
      <c r="CT114" s="76"/>
      <c r="DA114" s="76"/>
      <c r="DH114" s="76"/>
      <c r="DO114" s="76"/>
      <c r="DV114" s="76"/>
      <c r="EC114" s="76"/>
      <c r="EJ114" s="76"/>
      <c r="EQ114" s="76"/>
      <c r="EX114" s="76"/>
      <c r="FE114" s="76"/>
      <c r="FL114" s="76"/>
      <c r="FS114" s="76"/>
      <c r="FZ114" s="76"/>
      <c r="GD114" s="80"/>
      <c r="GE114" s="80"/>
      <c r="GG114" s="76"/>
      <c r="GH114" s="80"/>
      <c r="GI114" s="80"/>
      <c r="GJ114" s="80"/>
      <c r="GK114" s="80"/>
      <c r="GL114" s="80"/>
      <c r="GN114" s="76"/>
      <c r="GO114" s="80"/>
      <c r="GP114" s="80"/>
      <c r="GQ114" s="80"/>
      <c r="GR114" s="80"/>
      <c r="GS114" s="80"/>
      <c r="GU114" s="76"/>
      <c r="GV114" s="80"/>
      <c r="GW114" s="80"/>
      <c r="GX114" s="80"/>
      <c r="GY114" s="80"/>
      <c r="GZ114" s="80"/>
    </row>
    <row r="115" spans="1:208" x14ac:dyDescent="0.4">
      <c r="A115" s="452"/>
      <c r="B115" s="443" t="s">
        <v>109</v>
      </c>
      <c r="C115" s="444">
        <f>AU115</f>
        <v>6082</v>
      </c>
      <c r="D115" s="444">
        <f>BB115</f>
        <v>6110</v>
      </c>
      <c r="E115" s="444">
        <f>BI115</f>
        <v>6096</v>
      </c>
      <c r="F115" s="444">
        <f>BP115</f>
        <v>6235</v>
      </c>
      <c r="G115" s="444">
        <f>BW115</f>
        <v>6585</v>
      </c>
      <c r="H115" s="444">
        <f>CD115</f>
        <v>7053</v>
      </c>
      <c r="I115" s="444">
        <f>CK115</f>
        <v>7601</v>
      </c>
      <c r="J115" s="444">
        <f>CR115</f>
        <v>8096</v>
      </c>
      <c r="K115" s="444">
        <f>CY115</f>
        <v>8662</v>
      </c>
      <c r="L115" s="444">
        <f>DF115</f>
        <v>8858</v>
      </c>
      <c r="M115" s="444">
        <f>DM115</f>
        <v>9305</v>
      </c>
      <c r="N115" s="444">
        <f>DT115</f>
        <v>9596</v>
      </c>
      <c r="O115" s="444">
        <f>EA115</f>
        <v>6418</v>
      </c>
      <c r="P115" s="444">
        <f>EH115</f>
        <v>6690</v>
      </c>
      <c r="Q115" s="444">
        <f>EO115</f>
        <v>6961</v>
      </c>
      <c r="R115" s="444">
        <f>EV115</f>
        <v>7168</v>
      </c>
      <c r="S115" s="444">
        <f>FC115</f>
        <v>7383</v>
      </c>
      <c r="T115" s="444">
        <f>FJ115</f>
        <v>7520</v>
      </c>
      <c r="U115" s="444">
        <f>FQ115</f>
        <v>7699</v>
      </c>
      <c r="V115" s="496">
        <f>FX115</f>
        <v>7725</v>
      </c>
      <c r="W115" s="496">
        <f>GE115</f>
        <v>7914</v>
      </c>
      <c r="X115" s="496">
        <f>GL115</f>
        <v>7464.8195666250003</v>
      </c>
      <c r="Y115" s="496">
        <f>GS115</f>
        <v>7818.1665179948732</v>
      </c>
      <c r="Z115" s="496">
        <f>GZ115</f>
        <v>8162.0482553481097</v>
      </c>
      <c r="AA115" s="445"/>
      <c r="AB115" s="445"/>
      <c r="AC115" s="445"/>
      <c r="AD115" s="445"/>
      <c r="AE115" s="445"/>
      <c r="AF115" s="445"/>
      <c r="AG115" s="445"/>
      <c r="AH115" s="445"/>
      <c r="AI115" s="445"/>
      <c r="AJ115" s="445"/>
      <c r="AK115" s="445"/>
      <c r="AL115" s="445"/>
      <c r="AM115" s="445"/>
      <c r="AN115" s="445"/>
      <c r="AP115" s="443" t="s">
        <v>109</v>
      </c>
      <c r="AQ115" s="444">
        <f>+BS!CK46</f>
        <v>6080</v>
      </c>
      <c r="AR115" s="444">
        <f>+BS!CL46</f>
        <v>6006</v>
      </c>
      <c r="AS115" s="444">
        <f>+BS!CM46</f>
        <v>6011</v>
      </c>
      <c r="AT115" s="444">
        <f>+BS!CN46</f>
        <v>6082</v>
      </c>
      <c r="AU115" s="444">
        <f>+BS!CO46</f>
        <v>6082</v>
      </c>
      <c r="AW115" s="443" t="s">
        <v>109</v>
      </c>
      <c r="AX115" s="444">
        <f>+BS!CR46</f>
        <v>6081</v>
      </c>
      <c r="AY115" s="444">
        <f>+BS!CS46</f>
        <v>6079</v>
      </c>
      <c r="AZ115" s="444">
        <f>+BS!CT46</f>
        <v>6139</v>
      </c>
      <c r="BA115" s="444">
        <f>+BS!CU46</f>
        <v>6110</v>
      </c>
      <c r="BB115" s="444">
        <f>+BS!CV46</f>
        <v>6110</v>
      </c>
      <c r="BD115" s="443" t="s">
        <v>109</v>
      </c>
      <c r="BE115" s="444">
        <f>+BS!CY46</f>
        <v>5828</v>
      </c>
      <c r="BF115" s="444">
        <f>+BS!CZ46</f>
        <v>5832</v>
      </c>
      <c r="BG115" s="444">
        <f>+BS!DA46</f>
        <v>5931</v>
      </c>
      <c r="BH115" s="444">
        <f>+BS!DB46</f>
        <v>6096</v>
      </c>
      <c r="BI115" s="444">
        <f>+BS!DC46</f>
        <v>6096</v>
      </c>
      <c r="BK115" s="443" t="s">
        <v>109</v>
      </c>
      <c r="BL115" s="444">
        <f>+BS!DF46</f>
        <v>6179</v>
      </c>
      <c r="BM115" s="444">
        <f>+BS!DG46</f>
        <v>6263</v>
      </c>
      <c r="BN115" s="444">
        <f>+BS!DH46</f>
        <v>6383</v>
      </c>
      <c r="BO115" s="444">
        <f>+BS!DI46</f>
        <v>6235</v>
      </c>
      <c r="BP115" s="444">
        <f>+BS!DJ46</f>
        <v>6235</v>
      </c>
      <c r="BR115" s="443" t="s">
        <v>109</v>
      </c>
      <c r="BS115" s="444">
        <f>+BS!DM46</f>
        <v>6266</v>
      </c>
      <c r="BT115" s="444">
        <f>+BS!DN46</f>
        <v>6417</v>
      </c>
      <c r="BU115" s="444">
        <f>+BS!DO46</f>
        <v>6551</v>
      </c>
      <c r="BV115" s="444">
        <f>+BS!DP46</f>
        <v>6585</v>
      </c>
      <c r="BW115" s="444">
        <f>+BS!DQ46</f>
        <v>6585</v>
      </c>
      <c r="BY115" s="443" t="s">
        <v>109</v>
      </c>
      <c r="BZ115" s="444">
        <f>+BS!DT46</f>
        <v>6668</v>
      </c>
      <c r="CA115" s="444">
        <f>+BS!DU46</f>
        <v>6650</v>
      </c>
      <c r="CB115" s="444">
        <f>+BS!DV46</f>
        <v>6732</v>
      </c>
      <c r="CC115" s="444">
        <f>+BS!DW46</f>
        <v>7053</v>
      </c>
      <c r="CD115" s="444">
        <f>+BS!DX46</f>
        <v>7053</v>
      </c>
      <c r="CF115" s="443" t="s">
        <v>109</v>
      </c>
      <c r="CG115" s="444">
        <f>+BS!EA46</f>
        <v>7182</v>
      </c>
      <c r="CH115" s="444">
        <f>+BS!EB46</f>
        <v>7340</v>
      </c>
      <c r="CI115" s="444">
        <f>+BS!EC46</f>
        <v>7535</v>
      </c>
      <c r="CJ115" s="444">
        <f>+BS!ED46</f>
        <v>7601</v>
      </c>
      <c r="CK115" s="444">
        <f>+BS!EE46</f>
        <v>7601</v>
      </c>
      <c r="CM115" s="443" t="s">
        <v>109</v>
      </c>
      <c r="CN115" s="444">
        <f>+BS!EH46</f>
        <v>7799</v>
      </c>
      <c r="CO115" s="444">
        <f>+BS!EI46</f>
        <v>7896</v>
      </c>
      <c r="CP115" s="444">
        <f>+BS!EJ46</f>
        <v>8018</v>
      </c>
      <c r="CQ115" s="444">
        <f>+BS!EK46</f>
        <v>8096</v>
      </c>
      <c r="CR115" s="444">
        <f>+BS!EL46</f>
        <v>8096</v>
      </c>
      <c r="CT115" s="443" t="s">
        <v>109</v>
      </c>
      <c r="CU115" s="444">
        <f>+BS!EO46</f>
        <v>8202</v>
      </c>
      <c r="CV115" s="444">
        <f>+BS!EP46</f>
        <v>8313</v>
      </c>
      <c r="CW115" s="444">
        <f>+BS!EQ46</f>
        <v>8387</v>
      </c>
      <c r="CX115" s="444">
        <f>+BS!ER46</f>
        <v>8662</v>
      </c>
      <c r="CY115" s="444">
        <f>+BS!ES46</f>
        <v>8662</v>
      </c>
      <c r="DA115" s="443" t="s">
        <v>109</v>
      </c>
      <c r="DB115" s="444">
        <f>+BS!EV46</f>
        <v>8658</v>
      </c>
      <c r="DC115" s="444">
        <f>+BS!EW46</f>
        <v>8728</v>
      </c>
      <c r="DD115" s="444">
        <f>+BS!EX46</f>
        <v>8742</v>
      </c>
      <c r="DE115" s="444">
        <f>+BS!EY46</f>
        <v>8858</v>
      </c>
      <c r="DF115" s="444">
        <f>+BS!EZ46</f>
        <v>8858</v>
      </c>
      <c r="DH115" s="443" t="s">
        <v>109</v>
      </c>
      <c r="DI115" s="444">
        <f>+BS!FC46</f>
        <v>8886</v>
      </c>
      <c r="DJ115" s="444">
        <f>+BS!FD46</f>
        <v>8897</v>
      </c>
      <c r="DK115" s="444">
        <f>+BS!FE46</f>
        <v>8957</v>
      </c>
      <c r="DL115" s="444">
        <f>+BS!FF46</f>
        <v>9305</v>
      </c>
      <c r="DM115" s="444">
        <f>+BS!FG46</f>
        <v>9305</v>
      </c>
      <c r="DO115" s="443" t="s">
        <v>109</v>
      </c>
      <c r="DP115" s="444">
        <f>+BS!FJ46</f>
        <v>9396</v>
      </c>
      <c r="DQ115" s="444">
        <f>+BS!FK46</f>
        <v>9355</v>
      </c>
      <c r="DR115" s="444">
        <f>+BS!FL46</f>
        <v>9505</v>
      </c>
      <c r="DS115" s="444">
        <f>+BS!FM46</f>
        <v>9596</v>
      </c>
      <c r="DT115" s="444">
        <f>+BS!FN46</f>
        <v>9596</v>
      </c>
      <c r="DV115" s="443" t="s">
        <v>109</v>
      </c>
      <c r="DW115" s="444">
        <f>+BS!FQ46</f>
        <v>9648</v>
      </c>
      <c r="DX115" s="444">
        <f>+BS!FR46</f>
        <v>9737</v>
      </c>
      <c r="DY115" s="444">
        <f>+BS!FS46</f>
        <v>9789</v>
      </c>
      <c r="DZ115" s="444">
        <f>+BS!FT46</f>
        <v>6418</v>
      </c>
      <c r="EA115" s="444">
        <f>+BS!FU46</f>
        <v>6418</v>
      </c>
      <c r="EC115" s="443" t="s">
        <v>109</v>
      </c>
      <c r="ED115" s="444">
        <f>+BS!FX46</f>
        <v>6485</v>
      </c>
      <c r="EE115" s="444">
        <f>+BS!FY46</f>
        <v>6532</v>
      </c>
      <c r="EF115" s="444">
        <f>+BS!FZ46</f>
        <v>6584</v>
      </c>
      <c r="EG115" s="444">
        <f>+BS!GA46</f>
        <v>6690</v>
      </c>
      <c r="EH115" s="444">
        <f>+BS!GB46</f>
        <v>6690</v>
      </c>
      <c r="EJ115" s="443" t="s">
        <v>109</v>
      </c>
      <c r="EK115" s="444">
        <f>+BS!GE46</f>
        <v>6743</v>
      </c>
      <c r="EL115" s="444">
        <f>+BS!GF46</f>
        <v>6791</v>
      </c>
      <c r="EM115" s="444">
        <f>+BS!GG46</f>
        <v>6882</v>
      </c>
      <c r="EN115" s="444">
        <f>+BS!GH46</f>
        <v>6961</v>
      </c>
      <c r="EO115" s="444">
        <f>+BS!GI46</f>
        <v>6961</v>
      </c>
      <c r="EQ115" s="443" t="s">
        <v>109</v>
      </c>
      <c r="ER115" s="444">
        <f>+BS!GL46</f>
        <v>6991</v>
      </c>
      <c r="ES115" s="444">
        <f>+BS!GM46</f>
        <v>7028</v>
      </c>
      <c r="ET115" s="444">
        <f>+BS!GN46</f>
        <v>7087</v>
      </c>
      <c r="EU115" s="444">
        <f>+BS!GO46</f>
        <v>7168</v>
      </c>
      <c r="EV115" s="444">
        <f>+BS!GP46</f>
        <v>7168</v>
      </c>
      <c r="EX115" s="443" t="s">
        <v>109</v>
      </c>
      <c r="EY115" s="444">
        <f>+BS!GS46</f>
        <v>7226</v>
      </c>
      <c r="EZ115" s="444">
        <f>+BS!GT46</f>
        <v>7248</v>
      </c>
      <c r="FA115" s="444">
        <f>+BS!GU46</f>
        <v>7298</v>
      </c>
      <c r="FB115" s="444">
        <f>+BS!GV46</f>
        <v>7383</v>
      </c>
      <c r="FC115" s="444">
        <f>+BS!GW46</f>
        <v>7383</v>
      </c>
      <c r="FE115" s="443" t="s">
        <v>109</v>
      </c>
      <c r="FF115" s="444">
        <f>+BS!GZ46</f>
        <v>7428</v>
      </c>
      <c r="FG115" s="444">
        <f>+BS!HA46</f>
        <v>7592</v>
      </c>
      <c r="FH115" s="444">
        <f>+BS!HB46</f>
        <v>7632</v>
      </c>
      <c r="FI115" s="444">
        <f>+BS!HC46</f>
        <v>7520</v>
      </c>
      <c r="FJ115" s="444">
        <f>+BS!HD46</f>
        <v>7520</v>
      </c>
      <c r="FL115" s="443" t="s">
        <v>109</v>
      </c>
      <c r="FM115" s="444">
        <f>+BS!HG46</f>
        <v>7552</v>
      </c>
      <c r="FN115" s="444">
        <f>+BS!HH46</f>
        <v>7605</v>
      </c>
      <c r="FO115" s="444">
        <f>+BS!HI46</f>
        <v>7637</v>
      </c>
      <c r="FP115" s="444">
        <f>+BS!HJ46</f>
        <v>7699</v>
      </c>
      <c r="FQ115" s="444">
        <f>+BS!HK46</f>
        <v>7699</v>
      </c>
      <c r="FS115" s="443" t="s">
        <v>109</v>
      </c>
      <c r="FT115" s="444">
        <f>+FT116*BS!HN69</f>
        <v>7608.64</v>
      </c>
      <c r="FU115" s="444">
        <f>+BS!HO46</f>
        <v>7716</v>
      </c>
      <c r="FV115" s="444">
        <f>+BS!HP46</f>
        <v>7721</v>
      </c>
      <c r="FW115" s="444">
        <f>+BS!HQ46</f>
        <v>7725</v>
      </c>
      <c r="FX115" s="444">
        <f>+BS!HR46</f>
        <v>7725</v>
      </c>
      <c r="FZ115" s="443" t="s">
        <v>109</v>
      </c>
      <c r="GA115" s="444">
        <f>+GA116*BS!HU69</f>
        <v>7426.64</v>
      </c>
      <c r="GB115" s="444">
        <f>+BS!HV46</f>
        <v>7718</v>
      </c>
      <c r="GC115" s="444">
        <f>+BS!HW46</f>
        <v>7709</v>
      </c>
      <c r="GD115" s="496">
        <f>+GD116*BS!HX69</f>
        <v>7257.38</v>
      </c>
      <c r="GE115" s="496">
        <f>+BS!HY46</f>
        <v>7914</v>
      </c>
      <c r="GG115" s="443" t="s">
        <v>109</v>
      </c>
      <c r="GH115" s="496">
        <f>+GH116*BS!IB69</f>
        <v>7347.5050609999998</v>
      </c>
      <c r="GI115" s="496">
        <f>+GI116*BS!IC69</f>
        <v>7308.7292852500004</v>
      </c>
      <c r="GJ115" s="496">
        <f>+GJ116*BS!ID69</f>
        <v>7368.9503725000004</v>
      </c>
      <c r="GK115" s="496">
        <f>+GK116*BS!IE69</f>
        <v>7464.8195666250003</v>
      </c>
      <c r="GL115" s="496">
        <f>+BS!IF46</f>
        <v>7464.8195666250003</v>
      </c>
      <c r="GN115" s="443" t="s">
        <v>109</v>
      </c>
      <c r="GO115" s="496">
        <f>+GO116*BS!II69</f>
        <v>7624.3505944234685</v>
      </c>
      <c r="GP115" s="496">
        <f>+GP116*BS!IJ69</f>
        <v>7640.1669916110386</v>
      </c>
      <c r="GQ115" s="496">
        <f>+GQ116*BS!IK69</f>
        <v>7728.7867715983193</v>
      </c>
      <c r="GR115" s="496">
        <f>+GR116*BS!IL69</f>
        <v>7818.1665179948732</v>
      </c>
      <c r="GS115" s="496">
        <f>+BS!IM46</f>
        <v>7818.1665179948732</v>
      </c>
      <c r="GU115" s="443" t="s">
        <v>109</v>
      </c>
      <c r="GV115" s="496">
        <f>+GV116*BS!IP69</f>
        <v>7978.6956775508252</v>
      </c>
      <c r="GW115" s="496">
        <f>+GW116*BS!IQ69</f>
        <v>7988.6478302506557</v>
      </c>
      <c r="GX115" s="496">
        <f>+GX116*BS!IR69</f>
        <v>8076.2471753880318</v>
      </c>
      <c r="GY115" s="496">
        <f>+GY116*BS!IS69</f>
        <v>8162.0482553481097</v>
      </c>
      <c r="GZ115" s="496">
        <f>+BS!IT46</f>
        <v>8162.0482553481097</v>
      </c>
    </row>
    <row r="116" spans="1:208" x14ac:dyDescent="0.4">
      <c r="A116" s="438"/>
      <c r="B116" s="447" t="s">
        <v>6</v>
      </c>
      <c r="C116" s="448">
        <f>AU116</f>
        <v>0.7071270782467155</v>
      </c>
      <c r="D116" s="448">
        <f>BB116</f>
        <v>0.63872046832531881</v>
      </c>
      <c r="E116" s="448">
        <f>BI116</f>
        <v>0.60777666999002988</v>
      </c>
      <c r="F116" s="448">
        <f>BP116</f>
        <v>0.55397601066192803</v>
      </c>
      <c r="G116" s="448">
        <f>BW116</f>
        <v>0.72834863400066363</v>
      </c>
      <c r="H116" s="448">
        <f>CD116</f>
        <v>0.66312523505077092</v>
      </c>
      <c r="I116" s="448">
        <f>CK116</f>
        <v>0.64727923017968148</v>
      </c>
      <c r="J116" s="448">
        <f>CR116</f>
        <v>0.68866961551548145</v>
      </c>
      <c r="K116" s="448">
        <f>CY116</f>
        <v>0.7183612539392934</v>
      </c>
      <c r="L116" s="448">
        <f>DF116</f>
        <v>0.69918699186991873</v>
      </c>
      <c r="M116" s="448">
        <f>DM116</f>
        <v>0.78782490898315127</v>
      </c>
      <c r="N116" s="448">
        <f>DT116</f>
        <v>0.86692564820670337</v>
      </c>
      <c r="O116" s="448">
        <f>EA116</f>
        <v>0.56258765778401121</v>
      </c>
      <c r="P116" s="448">
        <f>EH116</f>
        <v>0.54612244897959183</v>
      </c>
      <c r="Q116" s="448">
        <f>EO116</f>
        <v>0.5831448437630895</v>
      </c>
      <c r="R116" s="448">
        <f>EV116</f>
        <v>0.67731267126523675</v>
      </c>
      <c r="S116" s="448">
        <f>FC116</f>
        <v>0.58960229995208435</v>
      </c>
      <c r="T116" s="448">
        <f>FJ116</f>
        <v>0.50629502457416009</v>
      </c>
      <c r="U116" s="448">
        <f>FQ116</f>
        <v>0.5252780241522822</v>
      </c>
      <c r="V116" s="497">
        <f>FX116</f>
        <v>0.53129298486932597</v>
      </c>
      <c r="W116" s="497">
        <f>GE116</f>
        <v>0.56159523133692879</v>
      </c>
      <c r="X116" s="497">
        <f>GL116</f>
        <v>0.51500000000000012</v>
      </c>
      <c r="Y116" s="497">
        <f>GS116</f>
        <v>0.51500000000000001</v>
      </c>
      <c r="Z116" s="497">
        <f>GZ116</f>
        <v>0.51500000000000001</v>
      </c>
      <c r="AA116" s="449"/>
      <c r="AB116" s="449"/>
      <c r="AC116" s="449"/>
      <c r="AD116" s="449"/>
      <c r="AE116" s="449"/>
      <c r="AF116" s="449"/>
      <c r="AG116" s="449"/>
      <c r="AH116" s="449"/>
      <c r="AI116" s="449"/>
      <c r="AJ116" s="449"/>
      <c r="AK116" s="449"/>
      <c r="AL116" s="449"/>
      <c r="AM116" s="449"/>
      <c r="AN116" s="449"/>
      <c r="AP116" s="447" t="s">
        <v>6</v>
      </c>
      <c r="AQ116" s="448" t="s">
        <v>80</v>
      </c>
      <c r="AR116" s="448" t="s">
        <v>80</v>
      </c>
      <c r="AS116" s="448" t="s">
        <v>80</v>
      </c>
      <c r="AT116" s="448" t="s">
        <v>80</v>
      </c>
      <c r="AU116" s="448">
        <f>+AU115/BS!CO69</f>
        <v>0.7071270782467155</v>
      </c>
      <c r="AW116" s="447" t="s">
        <v>6</v>
      </c>
      <c r="AX116" s="448">
        <f>+AX115/BS!CR69</f>
        <v>0.689143245693563</v>
      </c>
      <c r="AY116" s="448">
        <f>+AY115/BS!CS69</f>
        <v>0.66831574318381703</v>
      </c>
      <c r="AZ116" s="448">
        <f>+AZ115/BS!CT69</f>
        <v>0.6538502502928959</v>
      </c>
      <c r="BA116" s="448">
        <f>+BA115/BS!CU69</f>
        <v>0.63872046832531881</v>
      </c>
      <c r="BB116" s="448">
        <f>+BB115/BS!CV69</f>
        <v>0.63872046832531881</v>
      </c>
      <c r="BD116" s="447" t="s">
        <v>6</v>
      </c>
      <c r="BE116" s="448">
        <f>+BE115/BS!CY69</f>
        <v>0.60350005177591381</v>
      </c>
      <c r="BF116" s="448">
        <f>+BF115/BS!CZ69</f>
        <v>0.59717386852344867</v>
      </c>
      <c r="BG116" s="448">
        <f>+BG115/BS!DA69</f>
        <v>0.60219311605239112</v>
      </c>
      <c r="BH116" s="448">
        <f>+BH115/BS!DB69</f>
        <v>0.60777666999002988</v>
      </c>
      <c r="BI116" s="448">
        <f>+BI115/BS!DC69</f>
        <v>0.60777666999002988</v>
      </c>
      <c r="BK116" s="447" t="s">
        <v>6</v>
      </c>
      <c r="BL116" s="448">
        <f>+BL115/BS!DF69</f>
        <v>0.59868229822691599</v>
      </c>
      <c r="BM116" s="448">
        <f>+BM115/BS!DG69</f>
        <v>0.58543653019255937</v>
      </c>
      <c r="BN116" s="448">
        <f>+BN115/BS!DH69</f>
        <v>0.57205592400071692</v>
      </c>
      <c r="BO116" s="448">
        <f>+BO115/BS!DI69</f>
        <v>0.55397601066192803</v>
      </c>
      <c r="BP116" s="448">
        <f>+BP115/BS!DJ69</f>
        <v>0.55397601066192803</v>
      </c>
      <c r="BR116" s="447" t="s">
        <v>6</v>
      </c>
      <c r="BS116" s="448">
        <f>+BS115/BS!DM69</f>
        <v>0.58077671702660116</v>
      </c>
      <c r="BT116" s="448">
        <f>+BT115/BS!DN69</f>
        <v>0.63742922419787429</v>
      </c>
      <c r="BU116" s="448">
        <f>+BU115/BS!DO69</f>
        <v>0.69728579031399684</v>
      </c>
      <c r="BV116" s="448">
        <f>+BV115/BS!DP69</f>
        <v>0.72834863400066363</v>
      </c>
      <c r="BW116" s="448">
        <f>+BW115/BS!DQ69</f>
        <v>0.72834863400066363</v>
      </c>
      <c r="BY116" s="447" t="s">
        <v>6</v>
      </c>
      <c r="BZ116" s="448">
        <f>+BZ115/BS!DT69</f>
        <v>0.71814754981152396</v>
      </c>
      <c r="CA116" s="448">
        <f>+CA115/BS!DU69</f>
        <v>0.68114309126293149</v>
      </c>
      <c r="CB116" s="448">
        <f>+CB115/BS!DV69</f>
        <v>0.663905325443787</v>
      </c>
      <c r="CC116" s="448">
        <f>+CC115/BS!DW69</f>
        <v>0.66312523505077092</v>
      </c>
      <c r="CD116" s="448">
        <f>+CD115/BS!DX69</f>
        <v>0.66312523505077092</v>
      </c>
      <c r="CF116" s="447" t="s">
        <v>6</v>
      </c>
      <c r="CG116" s="448">
        <f>+CG115/BS!EA69</f>
        <v>0.65559105431309905</v>
      </c>
      <c r="CH116" s="448">
        <f>+CH115/BS!EB69</f>
        <v>0.6489258244187075</v>
      </c>
      <c r="CI116" s="448">
        <f>+CI115/BS!EC69</f>
        <v>0.64912129565816679</v>
      </c>
      <c r="CJ116" s="448">
        <f>+CJ115/BS!ED69</f>
        <v>0.64727923017968148</v>
      </c>
      <c r="CK116" s="448">
        <f>+CK115/BS!EE69</f>
        <v>0.64727923017968148</v>
      </c>
      <c r="CM116" s="447" t="s">
        <v>6</v>
      </c>
      <c r="CN116" s="448">
        <f>+CN115/BS!EH69</f>
        <v>0.65543322968316664</v>
      </c>
      <c r="CO116" s="448">
        <f>+CO115/BS!EI69</f>
        <v>0.66397578203834506</v>
      </c>
      <c r="CP116" s="448">
        <f>+CP115/BS!EJ69</f>
        <v>0.67816966928867461</v>
      </c>
      <c r="CQ116" s="448">
        <f>+CQ115/BS!EK69</f>
        <v>0.68866961551548145</v>
      </c>
      <c r="CR116" s="448">
        <f>+CR115/BS!EL69</f>
        <v>0.68866961551548145</v>
      </c>
      <c r="CT116" s="447" t="s">
        <v>6</v>
      </c>
      <c r="CU116" s="448">
        <f>+CU115/BS!EO69</f>
        <v>0.69816138917262516</v>
      </c>
      <c r="CV116" s="448">
        <f>+CV115/BS!EP69</f>
        <v>0.70419313850063536</v>
      </c>
      <c r="CW116" s="448">
        <f>+CW115/BS!EQ69</f>
        <v>0.70419815281276243</v>
      </c>
      <c r="CX116" s="448">
        <f>+CX115/BS!ER69</f>
        <v>0.7183612539392934</v>
      </c>
      <c r="CY116" s="448">
        <f>+CY115/BS!ES69</f>
        <v>0.7183612539392934</v>
      </c>
      <c r="DA116" s="447" t="s">
        <v>6</v>
      </c>
      <c r="DB116" s="448">
        <f>+DB115/BS!EV69</f>
        <v>0.71482826948480849</v>
      </c>
      <c r="DC116" s="448">
        <f>+DC115/BS!EW69</f>
        <v>0.71034426629771308</v>
      </c>
      <c r="DD116" s="448">
        <f>+DD115/BS!EX69</f>
        <v>0.69885682308737707</v>
      </c>
      <c r="DE116" s="448">
        <f>+DE115/BS!EY69</f>
        <v>0.69918699186991873</v>
      </c>
      <c r="DF116" s="448">
        <f>+DF115/BS!EZ69</f>
        <v>0.69918699186991873</v>
      </c>
      <c r="DH116" s="447" t="s">
        <v>6</v>
      </c>
      <c r="DI116" s="448">
        <f>+DI115/BS!FC69</f>
        <v>0.70056764427625351</v>
      </c>
      <c r="DJ116" s="448">
        <f>+DJ115/BS!FD69</f>
        <v>0.71153230966090852</v>
      </c>
      <c r="DK116" s="448">
        <f>+DK115/BS!FE69</f>
        <v>0.73285877925053178</v>
      </c>
      <c r="DL116" s="448">
        <f>+DL115/BS!FF69</f>
        <v>0.78782490898315127</v>
      </c>
      <c r="DM116" s="448">
        <f>+DM115/BS!FG69</f>
        <v>0.78782490898315127</v>
      </c>
      <c r="DO116" s="447" t="s">
        <v>6</v>
      </c>
      <c r="DP116" s="448">
        <f>+DP115/BS!FJ69</f>
        <v>0.824065953341519</v>
      </c>
      <c r="DQ116" s="448">
        <f>+DQ115/BS!FK69</f>
        <v>0.84721970657489587</v>
      </c>
      <c r="DR116" s="448">
        <f>+DR115/BS!FL69</f>
        <v>0.87903449551465829</v>
      </c>
      <c r="DS116" s="448">
        <f>+DS115/BS!FM69</f>
        <v>0.86692564820670337</v>
      </c>
      <c r="DT116" s="448">
        <f>+DT115/BS!FN69</f>
        <v>0.86692564820670337</v>
      </c>
      <c r="DV116" s="447" t="s">
        <v>6</v>
      </c>
      <c r="DW116" s="448">
        <f>+DW115/BS!FQ69</f>
        <v>0.85229681978798588</v>
      </c>
      <c r="DX116" s="448">
        <f>+DX115/BS!FR69</f>
        <v>0.84310329898692526</v>
      </c>
      <c r="DY116" s="448">
        <f>+DY115/BS!FS69</f>
        <v>0.84519081333103085</v>
      </c>
      <c r="DZ116" s="448">
        <f>+DZ115/BS!FT69</f>
        <v>0.56258765778401121</v>
      </c>
      <c r="EA116" s="448">
        <f>+EA115/BS!FU69</f>
        <v>0.56258765778401121</v>
      </c>
      <c r="EC116" s="447" t="s">
        <v>6</v>
      </c>
      <c r="ED116" s="448">
        <f>+ED115/BS!FX69</f>
        <v>0.56811213315812525</v>
      </c>
      <c r="EE116" s="448">
        <f>+EE115/BS!FY69</f>
        <v>0.56388121546961323</v>
      </c>
      <c r="EF116" s="448">
        <f>+EF115/BS!FZ69</f>
        <v>0.55004177109440267</v>
      </c>
      <c r="EG116" s="448">
        <f>+EG115/BS!GA69</f>
        <v>0.54612244897959183</v>
      </c>
      <c r="EH116" s="448">
        <f>+EH115/BS!GB69</f>
        <v>0.54612244897959183</v>
      </c>
      <c r="EJ116" s="447" t="s">
        <v>6</v>
      </c>
      <c r="EK116" s="448">
        <f>+EK115/BS!GE69</f>
        <v>0.54436102365383066</v>
      </c>
      <c r="EL116" s="448">
        <f>+EL115/BS!GF69</f>
        <v>0.55005669852583838</v>
      </c>
      <c r="EM116" s="448">
        <f>+EM115/BS!GG69</f>
        <v>0.56432964329643298</v>
      </c>
      <c r="EN116" s="448">
        <f>+EN115/BS!GH69</f>
        <v>0.5831448437630895</v>
      </c>
      <c r="EO116" s="448">
        <f>+EO115/BS!GI69</f>
        <v>0.5831448437630895</v>
      </c>
      <c r="EQ116" s="447" t="s">
        <v>6</v>
      </c>
      <c r="ER116" s="448">
        <f>+ER115/BS!GL69</f>
        <v>0.59351388063502841</v>
      </c>
      <c r="ES116" s="448">
        <f>+ES115/BS!GM69</f>
        <v>0.64048118108083474</v>
      </c>
      <c r="ET116" s="448">
        <f>+ET115/BS!GN69</f>
        <v>0.66588367941369919</v>
      </c>
      <c r="EU116" s="448">
        <f>+EU115/BS!GO69</f>
        <v>0.67731267126523675</v>
      </c>
      <c r="EV116" s="448">
        <f>+EV115/BS!GP69</f>
        <v>0.67731267126523675</v>
      </c>
      <c r="EX116" s="447" t="s">
        <v>6</v>
      </c>
      <c r="EY116" s="448">
        <f>+EY115/BS!GS69</f>
        <v>0.68551370837681436</v>
      </c>
      <c r="EZ116" s="448">
        <f>+EZ115/BS!GT69</f>
        <v>0.64278112805959564</v>
      </c>
      <c r="FA116" s="448">
        <f>+FA115/BS!GU69</f>
        <v>0.61224832214765101</v>
      </c>
      <c r="FB116" s="448">
        <f>+FB115/BS!GV69</f>
        <v>0.58960229995208435</v>
      </c>
      <c r="FC116" s="448">
        <f>+FC115/BS!GW69</f>
        <v>0.58960229995208435</v>
      </c>
      <c r="FE116" s="447" t="s">
        <v>6</v>
      </c>
      <c r="FF116" s="448">
        <f>+FF115/BS!GZ69</f>
        <v>0.56607224508459075</v>
      </c>
      <c r="FG116" s="448">
        <f>+FG115/BS!HA69</f>
        <v>0.54434645443464547</v>
      </c>
      <c r="FH116" s="448">
        <f>+FH115/BS!HB69</f>
        <v>0.52453608247422678</v>
      </c>
      <c r="FI116" s="448">
        <f>+FI115/BS!HC69</f>
        <v>0.50629502457416009</v>
      </c>
      <c r="FJ116" s="448">
        <f>+FJ115/BS!HD69</f>
        <v>0.50629502457416009</v>
      </c>
      <c r="FL116" s="447" t="s">
        <v>6</v>
      </c>
      <c r="FM116" s="448">
        <f>+FM115/BS!HG69</f>
        <v>0.49861349531229365</v>
      </c>
      <c r="FN116" s="448">
        <f>+FN115/BS!HH69</f>
        <v>0.50598802395209586</v>
      </c>
      <c r="FO116" s="448">
        <f>+FO115/BS!HI69</f>
        <v>0.51927653498334125</v>
      </c>
      <c r="FP116" s="448">
        <f>+FP115/BS!HJ69</f>
        <v>0.5252780241522822</v>
      </c>
      <c r="FQ116" s="448">
        <f>+FQ115/BS!HK69</f>
        <v>0.5252780241522822</v>
      </c>
      <c r="FS116" s="447" t="s">
        <v>6</v>
      </c>
      <c r="FT116" s="448">
        <v>0.52</v>
      </c>
      <c r="FU116" s="448">
        <f>+FU115/BS!HO69</f>
        <v>0.52726527265272649</v>
      </c>
      <c r="FV116" s="448">
        <f>+FV115/BS!HP69</f>
        <v>0.52591785300728833</v>
      </c>
      <c r="FW116" s="448">
        <f>+FW115/BS!HQ69</f>
        <v>0.53129298486932597</v>
      </c>
      <c r="FX116" s="448">
        <f>+FX115/BS!HR69</f>
        <v>0.53129298486932597</v>
      </c>
      <c r="FZ116" s="447" t="s">
        <v>6</v>
      </c>
      <c r="GA116" s="448">
        <v>0.52</v>
      </c>
      <c r="GB116" s="448">
        <f>+GB115/BS!HV69</f>
        <v>0.54524902861179791</v>
      </c>
      <c r="GC116" s="448">
        <f>+GC115/BS!HW69</f>
        <v>0.54584719960348371</v>
      </c>
      <c r="GD116" s="504">
        <v>0.51500000000000001</v>
      </c>
      <c r="GE116" s="497">
        <f>+GE115/BS!HY69</f>
        <v>0.56159523133692879</v>
      </c>
      <c r="GG116" s="447" t="s">
        <v>6</v>
      </c>
      <c r="GH116" s="504">
        <v>0.52</v>
      </c>
      <c r="GI116" s="504">
        <v>0.51500000000000001</v>
      </c>
      <c r="GJ116" s="504">
        <v>0.51500000000000001</v>
      </c>
      <c r="GK116" s="504">
        <v>0.51500000000000001</v>
      </c>
      <c r="GL116" s="497">
        <f>+GL115/BS!IF69</f>
        <v>0.51500000000000012</v>
      </c>
      <c r="GN116" s="447" t="s">
        <v>6</v>
      </c>
      <c r="GO116" s="504">
        <v>0.52</v>
      </c>
      <c r="GP116" s="504">
        <v>0.51500000000000001</v>
      </c>
      <c r="GQ116" s="504">
        <v>0.51500000000000001</v>
      </c>
      <c r="GR116" s="504">
        <v>0.51500000000000001</v>
      </c>
      <c r="GS116" s="497">
        <f>+GS115/BS!IM69</f>
        <v>0.51500000000000001</v>
      </c>
      <c r="GU116" s="447" t="s">
        <v>6</v>
      </c>
      <c r="GV116" s="504">
        <v>0.52</v>
      </c>
      <c r="GW116" s="504">
        <v>0.51500000000000001</v>
      </c>
      <c r="GX116" s="504">
        <v>0.51500000000000001</v>
      </c>
      <c r="GY116" s="504">
        <v>0.51500000000000001</v>
      </c>
      <c r="GZ116" s="497">
        <f>+GZ115/BS!IT69</f>
        <v>0.51500000000000001</v>
      </c>
    </row>
    <row r="117" spans="1:208" x14ac:dyDescent="0.4">
      <c r="A117" s="438"/>
      <c r="B117" s="447" t="s">
        <v>110</v>
      </c>
      <c r="C117" s="448">
        <f>AU117</f>
        <v>3.9673842139595563</v>
      </c>
      <c r="D117" s="448">
        <f>BB117</f>
        <v>2.8766478342749529</v>
      </c>
      <c r="E117" s="448">
        <f>BI117</f>
        <v>2.6973451327433628</v>
      </c>
      <c r="F117" s="448">
        <f>BP117</f>
        <v>2.2541576283441791</v>
      </c>
      <c r="G117" s="448">
        <f>BW117</f>
        <v>2.8932337434094904</v>
      </c>
      <c r="H117" s="448">
        <f>CD117</f>
        <v>2.2744276039987099</v>
      </c>
      <c r="I117" s="448">
        <f>CK117</f>
        <v>2.2238150965476886</v>
      </c>
      <c r="J117" s="448">
        <f>CR117</f>
        <v>2.3419149551634364</v>
      </c>
      <c r="K117" s="448">
        <f>CY117</f>
        <v>2.4713266761768899</v>
      </c>
      <c r="L117" s="448">
        <f>DF117</f>
        <v>2.4517021865485744</v>
      </c>
      <c r="M117" s="448">
        <f>DM117</f>
        <v>2.5962611607142856</v>
      </c>
      <c r="N117" s="448">
        <f>DT117</f>
        <v>2.831513720861611</v>
      </c>
      <c r="O117" s="448">
        <f>EA117</f>
        <v>1.6809848088004191</v>
      </c>
      <c r="P117" s="448">
        <f>EH117</f>
        <v>1.3739987677141097</v>
      </c>
      <c r="Q117" s="448">
        <f>EO117</f>
        <v>1.4020140986908358</v>
      </c>
      <c r="R117" s="448">
        <f>EV117</f>
        <v>1.6432828977533243</v>
      </c>
      <c r="S117" s="448">
        <f>FC117</f>
        <v>1.407626310772164</v>
      </c>
      <c r="T117" s="448">
        <f>FJ117</f>
        <v>1.2743602779189969</v>
      </c>
      <c r="U117" s="448">
        <f>FQ117</f>
        <v>1.4000727404982725</v>
      </c>
      <c r="V117" s="497">
        <f>FX117</f>
        <v>1.4431160097141789</v>
      </c>
      <c r="W117" s="497">
        <f>GE117</f>
        <v>1.6584241408214586</v>
      </c>
      <c r="X117" s="497">
        <f>GL117</f>
        <v>1.4142880714556574</v>
      </c>
      <c r="Y117" s="497">
        <f>GS117</f>
        <v>1.3355280139331729</v>
      </c>
      <c r="Z117" s="497">
        <f>GZ117</f>
        <v>1.3058756483639231</v>
      </c>
      <c r="AA117" s="449"/>
      <c r="AB117" s="449"/>
      <c r="AC117" s="449"/>
      <c r="AD117" s="449"/>
      <c r="AE117" s="449"/>
      <c r="AF117" s="449"/>
      <c r="AG117" s="449"/>
      <c r="AH117" s="449"/>
      <c r="AI117" s="449"/>
      <c r="AJ117" s="449"/>
      <c r="AK117" s="449"/>
      <c r="AL117" s="449"/>
      <c r="AM117" s="449"/>
      <c r="AN117" s="449"/>
      <c r="AP117" s="447" t="s">
        <v>110</v>
      </c>
      <c r="AQ117" s="448" t="s">
        <v>80</v>
      </c>
      <c r="AR117" s="448" t="s">
        <v>80</v>
      </c>
      <c r="AS117" s="448" t="s">
        <v>80</v>
      </c>
      <c r="AT117" s="448" t="s">
        <v>80</v>
      </c>
      <c r="AU117" s="448">
        <f>+AU115/BS!CO74</f>
        <v>3.9673842139595563</v>
      </c>
      <c r="AW117" s="447" t="s">
        <v>110</v>
      </c>
      <c r="AX117" s="448">
        <f>+AX115/BS!CR74</f>
        <v>4.142370572207084</v>
      </c>
      <c r="AY117" s="448">
        <f>+AY115/BS!CS74</f>
        <v>3.2045334739061677</v>
      </c>
      <c r="AZ117" s="448">
        <f>+AZ115/BS!CT74</f>
        <v>3.0196753566158385</v>
      </c>
      <c r="BA117" s="448">
        <f>+BA115/BS!CU74</f>
        <v>2.8766478342749529</v>
      </c>
      <c r="BB117" s="448">
        <f>+BB115/BS!CV74</f>
        <v>2.8766478342749529</v>
      </c>
      <c r="BD117" s="447" t="s">
        <v>110</v>
      </c>
      <c r="BE117" s="448">
        <f>+BE115/BS!CY74</f>
        <v>2.9643947100712107</v>
      </c>
      <c r="BF117" s="448">
        <f>+BF115/BS!CZ74</f>
        <v>2.7917663954044998</v>
      </c>
      <c r="BG117" s="448">
        <f>+BG115/BS!DA74</f>
        <v>2.7483781278962001</v>
      </c>
      <c r="BH117" s="448">
        <f>+BH115/BS!DB74</f>
        <v>2.6973451327433628</v>
      </c>
      <c r="BI117" s="448">
        <f>+BI115/BS!DC74</f>
        <v>2.6973451327433628</v>
      </c>
      <c r="BK117" s="447" t="s">
        <v>110</v>
      </c>
      <c r="BL117" s="448">
        <f>+BL115/BS!DF74</f>
        <v>3.3545059717698154</v>
      </c>
      <c r="BM117" s="448">
        <f>+BM115/BS!DG74</f>
        <v>2.5011980830670928</v>
      </c>
      <c r="BN117" s="448">
        <f>+BN115/BS!DH74</f>
        <v>2.3826054497946996</v>
      </c>
      <c r="BO117" s="448">
        <f>+BO115/BS!DI74</f>
        <v>2.2541576283441791</v>
      </c>
      <c r="BP117" s="448">
        <f>+BP115/BS!DJ74</f>
        <v>2.2541576283441791</v>
      </c>
      <c r="BR117" s="447" t="s">
        <v>110</v>
      </c>
      <c r="BS117" s="448">
        <f>+BS115/BS!DM74</f>
        <v>1.6581106112728234</v>
      </c>
      <c r="BT117" s="448">
        <f>+BT115/BS!DN74</f>
        <v>2.542393026941363</v>
      </c>
      <c r="BU117" s="448">
        <f>+BU115/BS!DO74</f>
        <v>2.7467505241090149</v>
      </c>
      <c r="BV117" s="448">
        <f>+BV115/BS!DP74</f>
        <v>2.8932337434094904</v>
      </c>
      <c r="BW117" s="448">
        <f>+BW115/BS!DQ74</f>
        <v>2.8932337434094904</v>
      </c>
      <c r="BY117" s="447" t="s">
        <v>110</v>
      </c>
      <c r="BZ117" s="448">
        <f>+BZ115/BS!DT74</f>
        <v>3.3625819465456379</v>
      </c>
      <c r="CA117" s="448">
        <f>+CA115/BS!DU74</f>
        <v>2.5508247027234368</v>
      </c>
      <c r="CB117" s="448">
        <f>+CB115/BS!DV74</f>
        <v>2.3720930232558142</v>
      </c>
      <c r="CC117" s="448">
        <f>+CC115/BS!DW74</f>
        <v>2.2744276039987099</v>
      </c>
      <c r="CD117" s="448">
        <f>+CD115/BS!DX74</f>
        <v>2.2744276039987099</v>
      </c>
      <c r="CF117" s="447" t="s">
        <v>110</v>
      </c>
      <c r="CG117" s="448">
        <f>+CG115/BS!EA74</f>
        <v>2.5927797833935018</v>
      </c>
      <c r="CH117" s="448">
        <f>+CH115/BS!EB74</f>
        <v>2.1780415430267062</v>
      </c>
      <c r="CI117" s="448">
        <f>+CI115/BS!EC74</f>
        <v>2.2012854221443177</v>
      </c>
      <c r="CJ117" s="448">
        <f>+CJ115/BS!ED74</f>
        <v>2.2238150965476886</v>
      </c>
      <c r="CK117" s="448">
        <f>+CK115/BS!EE74</f>
        <v>2.2238150965476886</v>
      </c>
      <c r="CM117" s="447" t="s">
        <v>110</v>
      </c>
      <c r="CN117" s="448">
        <f>+CN115/BS!EH74</f>
        <v>2.1845938375350138</v>
      </c>
      <c r="CO117" s="448">
        <f>+CO115/BS!EI74</f>
        <v>2.244457077885162</v>
      </c>
      <c r="CP117" s="448">
        <f>+CP115/BS!EJ74</f>
        <v>2.2947910704064109</v>
      </c>
      <c r="CQ117" s="448">
        <f>+CQ115/BS!EK74</f>
        <v>2.3419149551634364</v>
      </c>
      <c r="CR117" s="448">
        <f>+CR115/BS!EL74</f>
        <v>2.3419149551634364</v>
      </c>
      <c r="CT117" s="447" t="s">
        <v>110</v>
      </c>
      <c r="CU117" s="448">
        <f>+CU115/BS!EO74</f>
        <v>2.4601079784043192</v>
      </c>
      <c r="CV117" s="448">
        <f>+CV115/BS!EP74</f>
        <v>2.3778604118993134</v>
      </c>
      <c r="CW117" s="448">
        <f>+CW115/BS!EQ74</f>
        <v>2.3990274599542336</v>
      </c>
      <c r="CX117" s="448">
        <f>+CX115/BS!ER74</f>
        <v>2.4713266761768899</v>
      </c>
      <c r="CY117" s="448">
        <f>+CY115/BS!ES74</f>
        <v>2.4713266761768899</v>
      </c>
      <c r="DA117" s="447" t="s">
        <v>110</v>
      </c>
      <c r="DB117" s="448">
        <f>+DB115/BS!EV74</f>
        <v>2.7679028132992327</v>
      </c>
      <c r="DC117" s="448">
        <f>+DC115/BS!EW74</f>
        <v>2.5647957684396121</v>
      </c>
      <c r="DD117" s="448">
        <f>+DD115/BS!EX74</f>
        <v>2.48</v>
      </c>
      <c r="DE117" s="448">
        <f>+DE115/BS!EY74</f>
        <v>2.4517021865485744</v>
      </c>
      <c r="DF117" s="448">
        <f>+DF115/BS!EZ74</f>
        <v>2.4517021865485744</v>
      </c>
      <c r="DH117" s="447" t="s">
        <v>110</v>
      </c>
      <c r="DI117" s="448">
        <f>+DI115/BS!FC74</f>
        <v>2.1381135707410972</v>
      </c>
      <c r="DJ117" s="448">
        <f>+DJ115/BS!FD74</f>
        <v>2.380786727321381</v>
      </c>
      <c r="DK117" s="448">
        <f>+DK115/BS!FE74</f>
        <v>2.4247428262046564</v>
      </c>
      <c r="DL117" s="448">
        <f>+DL115/BS!FF74</f>
        <v>2.5962611607142856</v>
      </c>
      <c r="DM117" s="448">
        <f>+DM115/BS!FG74</f>
        <v>2.5962611607142856</v>
      </c>
      <c r="DO117" s="447" t="s">
        <v>110</v>
      </c>
      <c r="DP117" s="448">
        <f>+DP115/BS!FJ74</f>
        <v>2.4956175298804779</v>
      </c>
      <c r="DQ117" s="448">
        <f>+DQ115/BS!FK74</f>
        <v>2.8626070991432067</v>
      </c>
      <c r="DR117" s="448">
        <f>+DR115/BS!FL74</f>
        <v>2.9927581863979849</v>
      </c>
      <c r="DS117" s="448">
        <f>+DS115/BS!FM74</f>
        <v>2.831513720861611</v>
      </c>
      <c r="DT117" s="448">
        <f>+DT115/BS!FN74</f>
        <v>2.831513720861611</v>
      </c>
      <c r="DV117" s="447" t="s">
        <v>110</v>
      </c>
      <c r="DW117" s="448">
        <f>+DW115/BS!FQ74</f>
        <v>2.7085906793935992</v>
      </c>
      <c r="DX117" s="448">
        <f>+DX115/BS!FR74</f>
        <v>2.5650684931506849</v>
      </c>
      <c r="DY117" s="448">
        <f>+DY115/BS!FS74</f>
        <v>2.5598849372384938</v>
      </c>
      <c r="DZ117" s="448">
        <f>+DZ115/BS!FT74</f>
        <v>1.6809848088004191</v>
      </c>
      <c r="EA117" s="448">
        <f>+EA115/BS!FU74</f>
        <v>1.6809848088004191</v>
      </c>
      <c r="EC117" s="447" t="s">
        <v>110</v>
      </c>
      <c r="ED117" s="448">
        <f>+ED115/BS!FX74</f>
        <v>1.596111247846419</v>
      </c>
      <c r="EE117" s="448">
        <f>+EE115/BS!FY74</f>
        <v>1.5574630424415832</v>
      </c>
      <c r="EF117" s="448">
        <f>+EF115/BS!FZ74</f>
        <v>1.425725422260719</v>
      </c>
      <c r="EG117" s="448">
        <f>+EG115/BS!GA74</f>
        <v>1.3739987677141097</v>
      </c>
      <c r="EH117" s="448">
        <f>+EH115/BS!GB74</f>
        <v>1.3739987677141097</v>
      </c>
      <c r="EJ117" s="447" t="s">
        <v>110</v>
      </c>
      <c r="EK117" s="448">
        <f>+EK115/BS!GE74</f>
        <v>1.283891850723534</v>
      </c>
      <c r="EL117" s="448">
        <f>+EL115/BS!GF74</f>
        <v>1.340505329648638</v>
      </c>
      <c r="EM117" s="448">
        <f>+EM115/BS!GG74</f>
        <v>1.3600790513833991</v>
      </c>
      <c r="EN117" s="448">
        <f>+EN115/BS!GH74</f>
        <v>1.4020140986908358</v>
      </c>
      <c r="EO117" s="448">
        <f>+EO115/BS!GI74</f>
        <v>1.4020140986908358</v>
      </c>
      <c r="EQ117" s="447" t="s">
        <v>110</v>
      </c>
      <c r="ER117" s="448">
        <f>+ER115/BS!GL74</f>
        <v>1.2858193856906381</v>
      </c>
      <c r="ES117" s="448">
        <f>+ES115/BS!GM74</f>
        <v>1.5803912750168654</v>
      </c>
      <c r="ET117" s="448">
        <f>+ET115/BS!GN74</f>
        <v>1.6477563357358753</v>
      </c>
      <c r="EU117" s="448">
        <f>+EU115/BS!GO74</f>
        <v>1.6432828977533243</v>
      </c>
      <c r="EV117" s="448">
        <f>+EV115/BS!GP74</f>
        <v>1.6432828977533243</v>
      </c>
      <c r="EX117" s="447" t="s">
        <v>110</v>
      </c>
      <c r="EY117" s="448">
        <f>+EY115/BS!GS74</f>
        <v>1.9450874831763123</v>
      </c>
      <c r="EZ117" s="448">
        <f>+EZ115/BS!GT74</f>
        <v>1.5103146488851844</v>
      </c>
      <c r="FA117" s="448">
        <f>+FA115/BS!GU74</f>
        <v>1.4326658814291322</v>
      </c>
      <c r="FB117" s="448">
        <f>+FB115/BS!GV74</f>
        <v>1.407626310772164</v>
      </c>
      <c r="FC117" s="448">
        <f>+FC115/BS!GW74</f>
        <v>1.407626310772164</v>
      </c>
      <c r="FE117" s="447" t="s">
        <v>110</v>
      </c>
      <c r="FF117" s="448">
        <f>+FF115/BS!GZ74</f>
        <v>1.6958904109589041</v>
      </c>
      <c r="FG117" s="448">
        <f>+FG115/BS!HA74</f>
        <v>1.3401588702559577</v>
      </c>
      <c r="FH117" s="448">
        <f>+FH115/BS!HB74</f>
        <v>1.3140495867768596</v>
      </c>
      <c r="FI117" s="448">
        <f>+FI115/BS!HC74</f>
        <v>1.2743602779189969</v>
      </c>
      <c r="FJ117" s="448">
        <f>+FJ115/BS!HD74</f>
        <v>1.2743602779189969</v>
      </c>
      <c r="FL117" s="447" t="s">
        <v>110</v>
      </c>
      <c r="FM117" s="448">
        <f>+FM115/BS!HG74</f>
        <v>1.241696810259783</v>
      </c>
      <c r="FN117" s="448">
        <f>+FN115/BS!HH74</f>
        <v>1.2779364812636531</v>
      </c>
      <c r="FO117" s="448">
        <f>+FO115/BS!HI74</f>
        <v>1.3533581428318271</v>
      </c>
      <c r="FP117" s="448">
        <f>+FP115/BS!HJ74</f>
        <v>1.4000727404982725</v>
      </c>
      <c r="FQ117" s="448">
        <f>+FQ115/BS!HK74</f>
        <v>1.4000727404982725</v>
      </c>
      <c r="FS117" s="447" t="s">
        <v>110</v>
      </c>
      <c r="FT117" s="448">
        <f>+FT115/BS!HN74</f>
        <v>1.4077039777983349</v>
      </c>
      <c r="FU117" s="448">
        <f>+FU115/BS!HO74</f>
        <v>1.4366039843604543</v>
      </c>
      <c r="FV117" s="448">
        <f>+FV115/BS!HP74</f>
        <v>1.4156582324899156</v>
      </c>
      <c r="FW117" s="448">
        <f>+FW115/BS!HQ74</f>
        <v>1.4431160097141789</v>
      </c>
      <c r="FX117" s="448">
        <f>+FX115/BS!HR74</f>
        <v>1.4431160097141789</v>
      </c>
      <c r="FZ117" s="447" t="s">
        <v>110</v>
      </c>
      <c r="GA117" s="448">
        <f>+GA115/BS!HU74</f>
        <v>1.4903953441701787</v>
      </c>
      <c r="GB117" s="448">
        <f>+GB115/BS!HV74</f>
        <v>1.5776778413736714</v>
      </c>
      <c r="GC117" s="448">
        <f>+GC115/BS!HW74</f>
        <v>1.5980514096185738</v>
      </c>
      <c r="GD117" s="501">
        <f>+GD115/BS!HX74</f>
        <v>1.5208256496227996</v>
      </c>
      <c r="GE117" s="497">
        <f>+GE115/BS!HY74</f>
        <v>1.6584241408214586</v>
      </c>
      <c r="GG117" s="447" t="s">
        <v>110</v>
      </c>
      <c r="GH117" s="501">
        <f>+GH115/BS!IB74</f>
        <v>1.4916818347496257</v>
      </c>
      <c r="GI117" s="501">
        <f>+GI115/BS!IC74</f>
        <v>1.4665724229859511</v>
      </c>
      <c r="GJ117" s="501">
        <f>+GJ115/BS!ID74</f>
        <v>1.4436253198472426</v>
      </c>
      <c r="GK117" s="501">
        <f>+GK115/BS!IE74</f>
        <v>1.4142880714556558</v>
      </c>
      <c r="GL117" s="497">
        <f>+GL115/BS!IF74</f>
        <v>1.4142880714556574</v>
      </c>
      <c r="GN117" s="447" t="s">
        <v>110</v>
      </c>
      <c r="GO117" s="501">
        <f>+GO115/BS!II74</f>
        <v>1.4223198294850519</v>
      </c>
      <c r="GP117" s="501">
        <f>+GP115/BS!IJ74</f>
        <v>1.3751116907041065</v>
      </c>
      <c r="GQ117" s="501">
        <f>+GQ115/BS!IK74</f>
        <v>1.35458625124254</v>
      </c>
      <c r="GR117" s="501">
        <f>+GR115/BS!IL74</f>
        <v>1.3355280139331729</v>
      </c>
      <c r="GS117" s="497">
        <f>+GS115/BS!IM74</f>
        <v>1.3355280139331729</v>
      </c>
      <c r="GU117" s="447" t="s">
        <v>110</v>
      </c>
      <c r="GV117" s="501">
        <f>+GV115/BS!IP74</f>
        <v>1.3738767968152381</v>
      </c>
      <c r="GW117" s="501">
        <f>+GW115/BS!IQ74</f>
        <v>1.3192579203276742</v>
      </c>
      <c r="GX117" s="501">
        <f>+GX115/BS!IR74</f>
        <v>1.3141041871699841</v>
      </c>
      <c r="GY117" s="501">
        <f>+GY115/BS!IS74</f>
        <v>1.3058756483639236</v>
      </c>
      <c r="GZ117" s="497">
        <f>+GZ115/BS!IT74</f>
        <v>1.3058756483639231</v>
      </c>
    </row>
    <row r="118" spans="1:208" x14ac:dyDescent="0.4">
      <c r="A118" s="456"/>
      <c r="B118" s="457" t="s">
        <v>88</v>
      </c>
      <c r="C118" s="457">
        <f>AU118</f>
        <v>0</v>
      </c>
      <c r="D118" s="457">
        <f>BB118</f>
        <v>0</v>
      </c>
      <c r="E118" s="457">
        <f>BI118</f>
        <v>0</v>
      </c>
      <c r="F118" s="457">
        <f>BP118</f>
        <v>0</v>
      </c>
      <c r="G118" s="457">
        <f>BW118</f>
        <v>0</v>
      </c>
      <c r="H118" s="457">
        <f>CD118</f>
        <v>0</v>
      </c>
      <c r="I118" s="457">
        <f>CK118</f>
        <v>0</v>
      </c>
      <c r="J118" s="457">
        <f>CR118</f>
        <v>0</v>
      </c>
      <c r="K118" s="457">
        <f>CY118</f>
        <v>0</v>
      </c>
      <c r="L118" s="457">
        <f>DF118</f>
        <v>0</v>
      </c>
      <c r="M118" s="457">
        <f>DM118</f>
        <v>0</v>
      </c>
      <c r="N118" s="457">
        <f>DT118</f>
        <v>0</v>
      </c>
      <c r="O118" s="457">
        <f>EA118</f>
        <v>0</v>
      </c>
      <c r="P118" s="457">
        <f>EH118</f>
        <v>0</v>
      </c>
      <c r="Q118" s="457">
        <f>EO118</f>
        <v>0</v>
      </c>
      <c r="R118" s="457">
        <f>EV118</f>
        <v>0</v>
      </c>
      <c r="S118" s="457">
        <f>FC118</f>
        <v>0</v>
      </c>
      <c r="T118" s="457">
        <f>FJ118</f>
        <v>0</v>
      </c>
      <c r="U118" s="457">
        <f>FQ118</f>
        <v>0</v>
      </c>
      <c r="V118" s="457">
        <f>FX118</f>
        <v>0</v>
      </c>
      <c r="W118" s="457">
        <f>GE118</f>
        <v>0</v>
      </c>
      <c r="X118" s="457">
        <f>GL118</f>
        <v>0</v>
      </c>
      <c r="Y118" s="457">
        <f>GS118</f>
        <v>0</v>
      </c>
      <c r="Z118" s="457">
        <f>GZ118</f>
        <v>0</v>
      </c>
      <c r="AA118" s="457"/>
      <c r="AB118" s="457"/>
      <c r="AC118" s="457"/>
      <c r="AD118" s="457"/>
      <c r="AE118" s="457"/>
      <c r="AF118" s="457"/>
      <c r="AG118" s="457"/>
      <c r="AH118" s="457"/>
      <c r="AI118" s="457"/>
      <c r="AJ118" s="457"/>
      <c r="AK118" s="457"/>
      <c r="AL118" s="457"/>
      <c r="AM118" s="457"/>
      <c r="AN118" s="457"/>
      <c r="AP118" s="457" t="s">
        <v>88</v>
      </c>
      <c r="AQ118" s="457"/>
      <c r="AR118" s="457"/>
      <c r="AS118" s="457"/>
      <c r="AT118" s="457"/>
      <c r="AU118" s="457"/>
      <c r="AW118" s="457" t="s">
        <v>88</v>
      </c>
      <c r="AX118" s="457"/>
      <c r="AY118" s="457"/>
      <c r="AZ118" s="457"/>
      <c r="BA118" s="457"/>
      <c r="BB118" s="457"/>
      <c r="BD118" s="457" t="s">
        <v>88</v>
      </c>
      <c r="BE118" s="457"/>
      <c r="BF118" s="457"/>
      <c r="BG118" s="457"/>
      <c r="BH118" s="457"/>
      <c r="BI118" s="457"/>
      <c r="BK118" s="457" t="s">
        <v>88</v>
      </c>
      <c r="BL118" s="457"/>
      <c r="BM118" s="457"/>
      <c r="BN118" s="457"/>
      <c r="BO118" s="457"/>
      <c r="BP118" s="457"/>
      <c r="BR118" s="457" t="s">
        <v>88</v>
      </c>
      <c r="BS118" s="457"/>
      <c r="BT118" s="457"/>
      <c r="BU118" s="457"/>
      <c r="BV118" s="457"/>
      <c r="BW118" s="457"/>
      <c r="BY118" s="457" t="s">
        <v>88</v>
      </c>
      <c r="BZ118" s="457"/>
      <c r="CA118" s="457"/>
      <c r="CB118" s="457"/>
      <c r="CC118" s="457"/>
      <c r="CD118" s="457"/>
      <c r="CF118" s="457" t="s">
        <v>88</v>
      </c>
      <c r="CG118" s="457"/>
      <c r="CH118" s="457"/>
      <c r="CI118" s="457"/>
      <c r="CJ118" s="457"/>
      <c r="CK118" s="457"/>
      <c r="CM118" s="457" t="s">
        <v>88</v>
      </c>
      <c r="CN118" s="457"/>
      <c r="CO118" s="457"/>
      <c r="CP118" s="457"/>
      <c r="CQ118" s="457"/>
      <c r="CR118" s="457"/>
      <c r="CT118" s="457" t="s">
        <v>88</v>
      </c>
      <c r="CU118" s="457"/>
      <c r="CV118" s="457"/>
      <c r="CW118" s="457"/>
      <c r="CX118" s="457"/>
      <c r="CY118" s="457"/>
      <c r="DA118" s="457" t="s">
        <v>88</v>
      </c>
      <c r="DB118" s="457"/>
      <c r="DC118" s="457"/>
      <c r="DD118" s="457"/>
      <c r="DE118" s="457"/>
      <c r="DF118" s="457"/>
      <c r="DH118" s="457" t="s">
        <v>88</v>
      </c>
      <c r="DI118" s="457"/>
      <c r="DJ118" s="457"/>
      <c r="DK118" s="457"/>
      <c r="DL118" s="457"/>
      <c r="DM118" s="457"/>
      <c r="DO118" s="457" t="s">
        <v>88</v>
      </c>
      <c r="DP118" s="457"/>
      <c r="DQ118" s="457"/>
      <c r="DR118" s="457"/>
      <c r="DS118" s="457"/>
      <c r="DT118" s="457"/>
      <c r="DV118" s="457" t="s">
        <v>88</v>
      </c>
      <c r="DW118" s="457"/>
      <c r="DX118" s="457"/>
      <c r="DY118" s="457"/>
      <c r="DZ118" s="457"/>
      <c r="EA118" s="457"/>
      <c r="EC118" s="457" t="s">
        <v>88</v>
      </c>
      <c r="ED118" s="457"/>
      <c r="EE118" s="457"/>
      <c r="EF118" s="457"/>
      <c r="EG118" s="457"/>
      <c r="EH118" s="457"/>
      <c r="EJ118" s="457" t="s">
        <v>88</v>
      </c>
      <c r="EK118" s="457"/>
      <c r="EL118" s="457"/>
      <c r="EM118" s="457"/>
      <c r="EN118" s="457"/>
      <c r="EO118" s="457"/>
      <c r="EQ118" s="457" t="s">
        <v>88</v>
      </c>
      <c r="ER118" s="457"/>
      <c r="ES118" s="457"/>
      <c r="ET118" s="457"/>
      <c r="EU118" s="457"/>
      <c r="EV118" s="457"/>
      <c r="EX118" s="457" t="s">
        <v>88</v>
      </c>
      <c r="EY118" s="457"/>
      <c r="EZ118" s="457"/>
      <c r="FA118" s="457"/>
      <c r="FB118" s="457"/>
      <c r="FC118" s="457"/>
      <c r="FE118" s="457" t="s">
        <v>88</v>
      </c>
      <c r="FF118" s="457"/>
      <c r="FG118" s="457"/>
      <c r="FH118" s="457"/>
      <c r="FI118" s="457"/>
      <c r="FJ118" s="457"/>
      <c r="FL118" s="457" t="s">
        <v>88</v>
      </c>
      <c r="FM118" s="457"/>
      <c r="FN118" s="457"/>
      <c r="FO118" s="457"/>
      <c r="FP118" s="457"/>
      <c r="FQ118" s="457"/>
      <c r="FS118" s="457" t="s">
        <v>88</v>
      </c>
      <c r="FT118" s="457"/>
      <c r="FU118" s="457"/>
      <c r="FV118" s="457"/>
      <c r="FW118" s="457"/>
      <c r="FX118" s="457"/>
      <c r="FZ118" s="457" t="s">
        <v>88</v>
      </c>
      <c r="GA118" s="457"/>
      <c r="GB118" s="457"/>
      <c r="GC118" s="457"/>
      <c r="GD118" s="457"/>
      <c r="GE118" s="457"/>
      <c r="GG118" s="457" t="s">
        <v>88</v>
      </c>
      <c r="GH118" s="457"/>
      <c r="GI118" s="457"/>
      <c r="GJ118" s="457"/>
      <c r="GK118" s="457"/>
      <c r="GL118" s="457"/>
      <c r="GN118" s="457" t="s">
        <v>88</v>
      </c>
      <c r="GO118" s="457"/>
      <c r="GP118" s="457"/>
      <c r="GQ118" s="457"/>
      <c r="GR118" s="457"/>
      <c r="GS118" s="457"/>
      <c r="GU118" s="457" t="s">
        <v>88</v>
      </c>
      <c r="GV118" s="457"/>
      <c r="GW118" s="457"/>
      <c r="GX118" s="457"/>
      <c r="GY118" s="457"/>
      <c r="GZ118" s="457"/>
    </row>
    <row r="119" spans="1:208" ht="14.25" thickBot="1" x14ac:dyDescent="0.45">
      <c r="A119" s="452"/>
      <c r="B119" s="76"/>
      <c r="V119" s="458"/>
      <c r="W119" s="458"/>
      <c r="X119" s="458"/>
      <c r="Y119" s="458"/>
      <c r="Z119" s="458"/>
      <c r="AA119" s="458"/>
      <c r="AB119" s="458"/>
      <c r="AC119" s="458"/>
      <c r="AD119" s="458"/>
      <c r="AE119" s="458"/>
      <c r="AF119" s="458"/>
      <c r="AG119" s="458"/>
      <c r="AH119" s="458"/>
      <c r="AI119" s="458"/>
      <c r="AJ119" s="458"/>
      <c r="AK119" s="458"/>
      <c r="AL119" s="458"/>
      <c r="AM119" s="458"/>
      <c r="AN119" s="458"/>
      <c r="AP119" s="76"/>
      <c r="AW119" s="76"/>
      <c r="BD119" s="76"/>
      <c r="BK119" s="76"/>
      <c r="BR119" s="76"/>
      <c r="BY119" s="76"/>
      <c r="CF119" s="76"/>
      <c r="CM119" s="76"/>
      <c r="CT119" s="76"/>
      <c r="DA119" s="76"/>
      <c r="DH119" s="76"/>
      <c r="DO119" s="76"/>
      <c r="DV119" s="76"/>
      <c r="EC119" s="76"/>
      <c r="EJ119" s="76"/>
      <c r="EQ119" s="76"/>
      <c r="EX119" s="76"/>
      <c r="FE119" s="76"/>
      <c r="FL119" s="76"/>
      <c r="FS119" s="76"/>
      <c r="FX119" s="458"/>
      <c r="FZ119" s="76"/>
      <c r="GE119" s="458"/>
      <c r="GG119" s="76"/>
      <c r="GL119" s="458"/>
      <c r="GN119" s="76"/>
      <c r="GS119" s="458"/>
      <c r="GU119" s="76"/>
      <c r="GZ119" s="458"/>
    </row>
    <row r="120" spans="1:208" ht="14.25" thickBot="1" x14ac:dyDescent="0.45">
      <c r="A120" s="431"/>
      <c r="B120" s="432" t="s">
        <v>82</v>
      </c>
      <c r="C120" s="442"/>
      <c r="D120" s="442"/>
      <c r="E120" s="442"/>
      <c r="F120" s="442"/>
      <c r="G120" s="442"/>
      <c r="H120" s="442"/>
      <c r="I120" s="442"/>
      <c r="J120" s="442"/>
      <c r="K120" s="442"/>
      <c r="L120" s="442"/>
      <c r="M120" s="442"/>
      <c r="N120" s="442"/>
      <c r="O120" s="442"/>
      <c r="P120" s="442"/>
      <c r="Q120" s="442"/>
      <c r="R120" s="442"/>
      <c r="S120" s="442"/>
      <c r="T120" s="442"/>
      <c r="U120" s="442"/>
      <c r="V120" s="442"/>
      <c r="W120" s="442"/>
      <c r="X120" s="442"/>
      <c r="Y120" s="442"/>
      <c r="Z120" s="442"/>
      <c r="AA120" s="442"/>
      <c r="AB120" s="442"/>
      <c r="AC120" s="442"/>
      <c r="AD120" s="442"/>
      <c r="AE120" s="442"/>
      <c r="AF120" s="442"/>
      <c r="AG120" s="442"/>
      <c r="AH120" s="442"/>
      <c r="AI120" s="442"/>
      <c r="AJ120" s="442"/>
      <c r="AK120" s="442"/>
      <c r="AL120" s="442"/>
      <c r="AM120" s="442"/>
      <c r="AN120" s="442"/>
      <c r="AP120" s="432" t="s">
        <v>82</v>
      </c>
      <c r="AQ120" s="442"/>
      <c r="AR120" s="442"/>
      <c r="AS120" s="442"/>
      <c r="AT120" s="442"/>
      <c r="AU120" s="442"/>
      <c r="AW120" s="432" t="s">
        <v>82</v>
      </c>
      <c r="AX120" s="442"/>
      <c r="AY120" s="442"/>
      <c r="AZ120" s="442"/>
      <c r="BA120" s="442"/>
      <c r="BB120" s="442"/>
      <c r="BD120" s="432" t="s">
        <v>82</v>
      </c>
      <c r="BE120" s="442"/>
      <c r="BF120" s="442"/>
      <c r="BG120" s="442"/>
      <c r="BH120" s="442"/>
      <c r="BI120" s="442"/>
      <c r="BK120" s="432" t="s">
        <v>82</v>
      </c>
      <c r="BL120" s="442"/>
      <c r="BM120" s="442"/>
      <c r="BN120" s="442"/>
      <c r="BO120" s="442"/>
      <c r="BP120" s="442"/>
      <c r="BR120" s="432" t="s">
        <v>82</v>
      </c>
      <c r="BS120" s="442"/>
      <c r="BT120" s="442"/>
      <c r="BU120" s="442"/>
      <c r="BV120" s="442"/>
      <c r="BW120" s="442"/>
      <c r="BY120" s="432" t="s">
        <v>82</v>
      </c>
      <c r="BZ120" s="442"/>
      <c r="CA120" s="442"/>
      <c r="CB120" s="442"/>
      <c r="CC120" s="442"/>
      <c r="CD120" s="442"/>
      <c r="CF120" s="432" t="s">
        <v>82</v>
      </c>
      <c r="CG120" s="442"/>
      <c r="CH120" s="442"/>
      <c r="CI120" s="442"/>
      <c r="CJ120" s="442"/>
      <c r="CK120" s="442"/>
      <c r="CM120" s="432" t="s">
        <v>82</v>
      </c>
      <c r="CN120" s="442"/>
      <c r="CO120" s="442"/>
      <c r="CP120" s="442"/>
      <c r="CQ120" s="442"/>
      <c r="CR120" s="442"/>
      <c r="CT120" s="432" t="s">
        <v>82</v>
      </c>
      <c r="CU120" s="442"/>
      <c r="CV120" s="442"/>
      <c r="CW120" s="442"/>
      <c r="CX120" s="442"/>
      <c r="CY120" s="442"/>
      <c r="DA120" s="432" t="s">
        <v>82</v>
      </c>
      <c r="DB120" s="442"/>
      <c r="DC120" s="442"/>
      <c r="DD120" s="442"/>
      <c r="DE120" s="442"/>
      <c r="DF120" s="442"/>
      <c r="DH120" s="432" t="s">
        <v>82</v>
      </c>
      <c r="DI120" s="442"/>
      <c r="DJ120" s="442"/>
      <c r="DK120" s="442"/>
      <c r="DL120" s="442"/>
      <c r="DM120" s="442"/>
      <c r="DO120" s="432" t="s">
        <v>82</v>
      </c>
      <c r="DP120" s="442"/>
      <c r="DQ120" s="442"/>
      <c r="DR120" s="442"/>
      <c r="DS120" s="442"/>
      <c r="DT120" s="442"/>
      <c r="DV120" s="432" t="s">
        <v>82</v>
      </c>
      <c r="DW120" s="442"/>
      <c r="DX120" s="442"/>
      <c r="DY120" s="442"/>
      <c r="DZ120" s="442"/>
      <c r="EA120" s="442"/>
      <c r="EC120" s="432" t="s">
        <v>82</v>
      </c>
      <c r="ED120" s="442"/>
      <c r="EE120" s="442"/>
      <c r="EF120" s="442"/>
      <c r="EG120" s="442"/>
      <c r="EH120" s="442"/>
      <c r="EJ120" s="432" t="s">
        <v>82</v>
      </c>
      <c r="EK120" s="442"/>
      <c r="EL120" s="442"/>
      <c r="EM120" s="442"/>
      <c r="EN120" s="442"/>
      <c r="EO120" s="442"/>
      <c r="EQ120" s="432" t="s">
        <v>82</v>
      </c>
      <c r="ER120" s="442"/>
      <c r="ES120" s="442"/>
      <c r="ET120" s="442"/>
      <c r="EU120" s="442"/>
      <c r="EV120" s="442"/>
      <c r="EX120" s="432" t="s">
        <v>82</v>
      </c>
      <c r="EY120" s="442"/>
      <c r="EZ120" s="442"/>
      <c r="FA120" s="442"/>
      <c r="FB120" s="442"/>
      <c r="FC120" s="442"/>
      <c r="FE120" s="432" t="s">
        <v>82</v>
      </c>
      <c r="FF120" s="442"/>
      <c r="FG120" s="442"/>
      <c r="FH120" s="442"/>
      <c r="FI120" s="442"/>
      <c r="FJ120" s="442"/>
      <c r="FL120" s="432" t="s">
        <v>82</v>
      </c>
      <c r="FM120" s="442"/>
      <c r="FN120" s="442"/>
      <c r="FO120" s="442"/>
      <c r="FP120" s="442"/>
      <c r="FQ120" s="442"/>
      <c r="FS120" s="432" t="s">
        <v>82</v>
      </c>
      <c r="FT120" s="442"/>
      <c r="FU120" s="442"/>
      <c r="FV120" s="442"/>
      <c r="FW120" s="442"/>
      <c r="FX120" s="442"/>
      <c r="FZ120" s="432" t="s">
        <v>82</v>
      </c>
      <c r="GA120" s="442"/>
      <c r="GB120" s="442"/>
      <c r="GC120" s="442"/>
      <c r="GD120" s="442"/>
      <c r="GE120" s="442"/>
      <c r="GG120" s="432" t="s">
        <v>82</v>
      </c>
      <c r="GH120" s="442"/>
      <c r="GI120" s="442"/>
      <c r="GJ120" s="442"/>
      <c r="GK120" s="442"/>
      <c r="GL120" s="442"/>
      <c r="GN120" s="432" t="s">
        <v>82</v>
      </c>
      <c r="GO120" s="442"/>
      <c r="GP120" s="442"/>
      <c r="GQ120" s="442"/>
      <c r="GR120" s="442"/>
      <c r="GS120" s="442"/>
      <c r="GU120" s="432" t="s">
        <v>82</v>
      </c>
      <c r="GV120" s="442"/>
      <c r="GW120" s="442"/>
      <c r="GX120" s="442"/>
      <c r="GY120" s="442"/>
      <c r="GZ120" s="442"/>
    </row>
    <row r="121" spans="1:208" x14ac:dyDescent="0.4">
      <c r="A121" s="58"/>
      <c r="B121" s="459"/>
      <c r="C121" s="460"/>
      <c r="D121" s="460"/>
      <c r="E121" s="460"/>
      <c r="F121" s="460"/>
      <c r="G121" s="460"/>
      <c r="H121" s="460"/>
      <c r="I121" s="460"/>
      <c r="J121" s="460"/>
      <c r="K121" s="460"/>
      <c r="L121" s="460"/>
      <c r="M121" s="460"/>
      <c r="N121" s="460"/>
      <c r="O121" s="460"/>
      <c r="P121" s="460"/>
      <c r="Q121" s="460"/>
      <c r="R121" s="460"/>
      <c r="S121" s="460"/>
      <c r="T121" s="460"/>
      <c r="U121" s="460"/>
      <c r="V121" s="461"/>
      <c r="W121" s="461"/>
      <c r="X121" s="461"/>
      <c r="Y121" s="461"/>
      <c r="Z121" s="461"/>
      <c r="AA121" s="461"/>
      <c r="AB121" s="461"/>
      <c r="AC121" s="461"/>
      <c r="AD121" s="461"/>
      <c r="AE121" s="461"/>
      <c r="AF121" s="461"/>
      <c r="AG121" s="461"/>
      <c r="AH121" s="461"/>
      <c r="AI121" s="461"/>
      <c r="AJ121" s="461"/>
      <c r="AK121" s="461"/>
      <c r="AL121" s="461"/>
      <c r="AM121" s="461"/>
      <c r="AN121" s="461"/>
      <c r="AP121" s="459"/>
      <c r="AQ121" s="460"/>
      <c r="AR121" s="460"/>
      <c r="AS121" s="460"/>
      <c r="AT121" s="460"/>
      <c r="AU121" s="460"/>
      <c r="AW121" s="459"/>
      <c r="AX121" s="460"/>
      <c r="AY121" s="460"/>
      <c r="AZ121" s="460"/>
      <c r="BA121" s="460"/>
      <c r="BB121" s="460"/>
      <c r="BD121" s="459"/>
      <c r="BE121" s="460"/>
      <c r="BF121" s="460"/>
      <c r="BG121" s="460"/>
      <c r="BH121" s="460"/>
      <c r="BI121" s="460"/>
      <c r="BK121" s="459"/>
      <c r="BL121" s="460"/>
      <c r="BM121" s="460"/>
      <c r="BN121" s="460"/>
      <c r="BO121" s="460"/>
      <c r="BP121" s="460"/>
      <c r="BR121" s="459"/>
      <c r="BS121" s="460"/>
      <c r="BT121" s="460"/>
      <c r="BU121" s="460"/>
      <c r="BV121" s="460"/>
      <c r="BW121" s="460"/>
      <c r="BY121" s="459"/>
      <c r="BZ121" s="460"/>
      <c r="CA121" s="460"/>
      <c r="CB121" s="460"/>
      <c r="CC121" s="460"/>
      <c r="CD121" s="460"/>
      <c r="CF121" s="459"/>
      <c r="CG121" s="460"/>
      <c r="CH121" s="460"/>
      <c r="CI121" s="460"/>
      <c r="CJ121" s="460"/>
      <c r="CK121" s="460"/>
      <c r="CM121" s="459"/>
      <c r="CN121" s="460"/>
      <c r="CO121" s="460"/>
      <c r="CP121" s="460"/>
      <c r="CQ121" s="460"/>
      <c r="CR121" s="460"/>
      <c r="CT121" s="459"/>
      <c r="CU121" s="460"/>
      <c r="CV121" s="460"/>
      <c r="CW121" s="460"/>
      <c r="CX121" s="460"/>
      <c r="CY121" s="460"/>
      <c r="DA121" s="459"/>
      <c r="DB121" s="460"/>
      <c r="DC121" s="460"/>
      <c r="DD121" s="460"/>
      <c r="DE121" s="460"/>
      <c r="DF121" s="460"/>
      <c r="DH121" s="459"/>
      <c r="DI121" s="460"/>
      <c r="DJ121" s="460"/>
      <c r="DK121" s="460"/>
      <c r="DL121" s="460"/>
      <c r="DM121" s="460"/>
      <c r="DO121" s="459"/>
      <c r="DP121" s="460"/>
      <c r="DQ121" s="460"/>
      <c r="DR121" s="460"/>
      <c r="DS121" s="460"/>
      <c r="DT121" s="460"/>
      <c r="DV121" s="459"/>
      <c r="DW121" s="460"/>
      <c r="DX121" s="460"/>
      <c r="DY121" s="460"/>
      <c r="DZ121" s="460"/>
      <c r="EA121" s="460"/>
      <c r="EC121" s="459"/>
      <c r="ED121" s="460"/>
      <c r="EE121" s="460"/>
      <c r="EF121" s="460"/>
      <c r="EG121" s="460"/>
      <c r="EH121" s="460"/>
      <c r="EJ121" s="459"/>
      <c r="EK121" s="460"/>
      <c r="EL121" s="460"/>
      <c r="EM121" s="460"/>
      <c r="EN121" s="460"/>
      <c r="EO121" s="460"/>
      <c r="EQ121" s="459"/>
      <c r="ER121" s="460"/>
      <c r="ES121" s="460"/>
      <c r="ET121" s="460"/>
      <c r="EU121" s="460"/>
      <c r="EV121" s="460"/>
      <c r="EX121" s="459"/>
      <c r="EY121" s="460"/>
      <c r="EZ121" s="460"/>
      <c r="FA121" s="460"/>
      <c r="FB121" s="460"/>
      <c r="FC121" s="460"/>
      <c r="FE121" s="459"/>
      <c r="FF121" s="460"/>
      <c r="FG121" s="460"/>
      <c r="FH121" s="460"/>
      <c r="FI121" s="460"/>
      <c r="FJ121" s="460"/>
      <c r="FL121" s="459"/>
      <c r="FM121" s="460"/>
      <c r="FN121" s="460"/>
      <c r="FO121" s="460"/>
      <c r="FP121" s="460"/>
      <c r="FQ121" s="460"/>
      <c r="FS121" s="459"/>
      <c r="FT121" s="460"/>
      <c r="FU121" s="461"/>
      <c r="FV121" s="461"/>
      <c r="FW121" s="461"/>
      <c r="FX121" s="461"/>
      <c r="FZ121" s="459"/>
      <c r="GA121" s="461"/>
      <c r="GB121" s="461"/>
      <c r="GC121" s="461"/>
      <c r="GD121" s="461"/>
      <c r="GE121" s="461"/>
      <c r="GG121" s="459"/>
      <c r="GH121" s="461"/>
      <c r="GI121" s="461"/>
      <c r="GJ121" s="461"/>
      <c r="GK121" s="461"/>
      <c r="GL121" s="461"/>
      <c r="GN121" s="459"/>
      <c r="GO121" s="461"/>
      <c r="GP121" s="461"/>
      <c r="GQ121" s="461"/>
      <c r="GR121" s="461"/>
      <c r="GS121" s="461"/>
      <c r="GU121" s="459"/>
      <c r="GV121" s="461"/>
      <c r="GW121" s="461"/>
      <c r="GX121" s="461"/>
      <c r="GY121" s="461"/>
      <c r="GZ121" s="461"/>
    </row>
    <row r="122" spans="1:208" x14ac:dyDescent="0.4">
      <c r="A122" s="366"/>
      <c r="B122" s="443" t="s">
        <v>204</v>
      </c>
      <c r="C122" s="444">
        <f>AU122</f>
        <v>1136</v>
      </c>
      <c r="D122" s="444">
        <f>BB122</f>
        <v>1639</v>
      </c>
      <c r="E122" s="444">
        <f>BI122</f>
        <v>1773</v>
      </c>
      <c r="F122" s="444">
        <f>BP122</f>
        <v>1719</v>
      </c>
      <c r="G122" s="444">
        <f>BW122</f>
        <v>1426</v>
      </c>
      <c r="H122" s="444">
        <f>CD122</f>
        <v>1840</v>
      </c>
      <c r="I122" s="444">
        <f>CK122</f>
        <v>2297</v>
      </c>
      <c r="J122" s="444">
        <f>CR122</f>
        <v>2341</v>
      </c>
      <c r="K122" s="444">
        <f>CY122</f>
        <v>2313</v>
      </c>
      <c r="L122" s="444">
        <f>DF122</f>
        <v>2449</v>
      </c>
      <c r="M122" s="444">
        <f>DM122</f>
        <v>2562</v>
      </c>
      <c r="N122" s="444">
        <f>DT122</f>
        <v>2398</v>
      </c>
      <c r="O122" s="444">
        <f>EA122</f>
        <v>2040</v>
      </c>
      <c r="P122" s="444">
        <f>EH122</f>
        <v>1745</v>
      </c>
      <c r="Q122" s="444">
        <f>EO122</f>
        <v>1657</v>
      </c>
      <c r="R122" s="444">
        <f>EV122</f>
        <v>1626</v>
      </c>
      <c r="S122" s="444">
        <f>FC122</f>
        <v>1791</v>
      </c>
      <c r="T122" s="444">
        <f>FJ122</f>
        <v>2133</v>
      </c>
      <c r="U122" s="444">
        <f>FQ122</f>
        <v>2281</v>
      </c>
      <c r="V122" s="496">
        <f>FX122</f>
        <v>2529</v>
      </c>
      <c r="W122" s="496">
        <f>GE122</f>
        <v>2902</v>
      </c>
      <c r="X122" s="496">
        <f>GL122</f>
        <v>2499.2170678124999</v>
      </c>
      <c r="Y122" s="496">
        <f>GS122</f>
        <v>2536.6442563482342</v>
      </c>
      <c r="Z122" s="496">
        <f>GZ122</f>
        <v>2651.4157868192756</v>
      </c>
      <c r="AA122" s="445"/>
      <c r="AB122" s="445"/>
      <c r="AC122" s="445"/>
      <c r="AD122" s="445"/>
      <c r="AE122" s="445"/>
      <c r="AF122" s="445"/>
      <c r="AG122" s="445"/>
      <c r="AH122" s="445"/>
      <c r="AI122" s="445"/>
      <c r="AJ122" s="445"/>
      <c r="AK122" s="445"/>
      <c r="AL122" s="445"/>
      <c r="AM122" s="445"/>
      <c r="AN122" s="445"/>
      <c r="AP122" s="443" t="s">
        <v>204</v>
      </c>
      <c r="AQ122" s="444">
        <f>-CF!AQ37</f>
        <v>167</v>
      </c>
      <c r="AR122" s="444">
        <f>-CF!AR37</f>
        <v>214</v>
      </c>
      <c r="AS122" s="444">
        <f>-CF!AS37</f>
        <v>345</v>
      </c>
      <c r="AT122" s="444">
        <f>-CF!AT37</f>
        <v>410</v>
      </c>
      <c r="AU122" s="444">
        <f>-CF!AU37</f>
        <v>1136</v>
      </c>
      <c r="AW122" s="443" t="s">
        <v>204</v>
      </c>
      <c r="AX122" s="444">
        <f>-CF!AX37</f>
        <v>367</v>
      </c>
      <c r="AY122" s="444">
        <f>-CF!AY37</f>
        <v>512</v>
      </c>
      <c r="AZ122" s="444">
        <f>-CF!AZ37</f>
        <v>325</v>
      </c>
      <c r="BA122" s="444">
        <f>-CF!BA37</f>
        <v>435</v>
      </c>
      <c r="BB122" s="444">
        <f>-CF!BB37</f>
        <v>1639</v>
      </c>
      <c r="BD122" s="443" t="s">
        <v>204</v>
      </c>
      <c r="BE122" s="444">
        <f>-CF!BE37</f>
        <v>428</v>
      </c>
      <c r="BF122" s="444">
        <f>-CF!BF37</f>
        <v>396</v>
      </c>
      <c r="BG122" s="444">
        <f>-CF!BG37</f>
        <v>371</v>
      </c>
      <c r="BH122" s="444">
        <f>-CF!BH37</f>
        <v>578</v>
      </c>
      <c r="BI122" s="444">
        <f>-CF!BI37</f>
        <v>1773</v>
      </c>
      <c r="BK122" s="443" t="s">
        <v>204</v>
      </c>
      <c r="BL122" s="444">
        <f>-CF!BL37</f>
        <v>446</v>
      </c>
      <c r="BM122" s="444">
        <f>-CF!BM37</f>
        <v>466</v>
      </c>
      <c r="BN122" s="444">
        <f>-CF!BN37</f>
        <v>396</v>
      </c>
      <c r="BO122" s="444">
        <f>-CF!BO37</f>
        <v>411</v>
      </c>
      <c r="BP122" s="444">
        <f>-CF!BP37</f>
        <v>1719</v>
      </c>
      <c r="BR122" s="443" t="s">
        <v>204</v>
      </c>
      <c r="BS122" s="444">
        <f>-CF!BS37</f>
        <v>309</v>
      </c>
      <c r="BT122" s="444">
        <f>-CF!BT37</f>
        <v>348</v>
      </c>
      <c r="BU122" s="444">
        <f>-CF!BU37</f>
        <v>374</v>
      </c>
      <c r="BV122" s="444">
        <f>-CF!BV37</f>
        <v>395</v>
      </c>
      <c r="BW122" s="444">
        <f>-CF!BW37</f>
        <v>1426</v>
      </c>
      <c r="BY122" s="443" t="s">
        <v>204</v>
      </c>
      <c r="BZ122" s="444">
        <f>-CF!BZ37</f>
        <v>328</v>
      </c>
      <c r="CA122" s="444">
        <f>-CF!CA37</f>
        <v>359</v>
      </c>
      <c r="CB122" s="444">
        <f>-CF!CB37</f>
        <v>416</v>
      </c>
      <c r="CC122" s="444">
        <f>-CF!CC37</f>
        <v>737</v>
      </c>
      <c r="CD122" s="444">
        <f>-CF!CD37</f>
        <v>1840</v>
      </c>
      <c r="CF122" s="443" t="s">
        <v>204</v>
      </c>
      <c r="CG122" s="444">
        <f>-CF!CG37</f>
        <v>379</v>
      </c>
      <c r="CH122" s="444">
        <f>-CF!CH37</f>
        <v>566</v>
      </c>
      <c r="CI122" s="444">
        <f>-CF!CI37</f>
        <v>491</v>
      </c>
      <c r="CJ122" s="444">
        <f>-CF!CJ37</f>
        <v>861</v>
      </c>
      <c r="CK122" s="444">
        <f>-CF!CK37</f>
        <v>2297</v>
      </c>
      <c r="CM122" s="443" t="s">
        <v>204</v>
      </c>
      <c r="CN122" s="444">
        <f>-CF!CN37</f>
        <v>469</v>
      </c>
      <c r="CO122" s="444">
        <f>-CF!CO37</f>
        <v>754</v>
      </c>
      <c r="CP122" s="444">
        <f>-CF!CP37</f>
        <v>607</v>
      </c>
      <c r="CQ122" s="444">
        <f>-CF!CQ37</f>
        <v>511</v>
      </c>
      <c r="CR122" s="444">
        <f>-CF!CR37</f>
        <v>2341</v>
      </c>
      <c r="CT122" s="443" t="s">
        <v>204</v>
      </c>
      <c r="CU122" s="444">
        <f>-CF!CU37</f>
        <v>491</v>
      </c>
      <c r="CV122" s="444">
        <f>-CF!CV37</f>
        <v>594</v>
      </c>
      <c r="CW122" s="444">
        <f>-CF!CW37</f>
        <v>602</v>
      </c>
      <c r="CX122" s="444">
        <f>-CF!CX37</f>
        <v>626</v>
      </c>
      <c r="CY122" s="444">
        <f>-CF!CY37</f>
        <v>2313</v>
      </c>
      <c r="DA122" s="443" t="s">
        <v>204</v>
      </c>
      <c r="DB122" s="444">
        <f>-CF!DB37</f>
        <v>475</v>
      </c>
      <c r="DC122" s="444">
        <f>-CF!DC37</f>
        <v>481</v>
      </c>
      <c r="DD122" s="444">
        <f>-CF!DD37</f>
        <v>601</v>
      </c>
      <c r="DE122" s="444">
        <f>-CF!DE37</f>
        <v>892</v>
      </c>
      <c r="DF122" s="444">
        <f>-CF!DF37</f>
        <v>2449</v>
      </c>
      <c r="DH122" s="443" t="s">
        <v>204</v>
      </c>
      <c r="DI122" s="444">
        <f>-CF!DI37</f>
        <v>598</v>
      </c>
      <c r="DJ122" s="444">
        <f>-CF!DJ37</f>
        <v>690</v>
      </c>
      <c r="DK122" s="444">
        <f>-CF!DK37</f>
        <v>621</v>
      </c>
      <c r="DL122" s="444">
        <f>-CF!DL37</f>
        <v>653</v>
      </c>
      <c r="DM122" s="444">
        <f>-CF!DM37</f>
        <v>2562</v>
      </c>
      <c r="DO122" s="443" t="s">
        <v>204</v>
      </c>
      <c r="DP122" s="444">
        <f>-CF!DP37</f>
        <v>425</v>
      </c>
      <c r="DQ122" s="444">
        <f>-CF!DQ37</f>
        <v>641</v>
      </c>
      <c r="DR122" s="444">
        <f>-CF!DR37</f>
        <v>524</v>
      </c>
      <c r="DS122" s="444">
        <f>-CF!DS37</f>
        <v>808</v>
      </c>
      <c r="DT122" s="444">
        <f>-CF!DT37</f>
        <v>2398</v>
      </c>
      <c r="DV122" s="443" t="s">
        <v>204</v>
      </c>
      <c r="DW122" s="444">
        <f>-CF!DW37</f>
        <v>441</v>
      </c>
      <c r="DX122" s="444">
        <f>-CF!DX37</f>
        <v>514</v>
      </c>
      <c r="DY122" s="444">
        <f>-CF!DY37</f>
        <v>507</v>
      </c>
      <c r="DZ122" s="444">
        <f>-CF!DZ37</f>
        <v>578</v>
      </c>
      <c r="EA122" s="444">
        <f>-CF!EA37</f>
        <v>2040</v>
      </c>
      <c r="EC122" s="443" t="s">
        <v>204</v>
      </c>
      <c r="ED122" s="444">
        <f>-CF!ED37</f>
        <v>368</v>
      </c>
      <c r="EE122" s="444">
        <f>-CF!EE37</f>
        <v>455</v>
      </c>
      <c r="EF122" s="444">
        <f>-CF!EF37</f>
        <v>417</v>
      </c>
      <c r="EG122" s="444">
        <f>-CF!EG37</f>
        <v>505</v>
      </c>
      <c r="EH122" s="444">
        <f>-CF!EH37</f>
        <v>1745</v>
      </c>
      <c r="EJ122" s="443" t="s">
        <v>204</v>
      </c>
      <c r="EK122" s="444">
        <f>-CF!EK37</f>
        <v>353</v>
      </c>
      <c r="EL122" s="444">
        <f>-CF!EL37</f>
        <v>416</v>
      </c>
      <c r="EM122" s="444">
        <f>-CF!EM37</f>
        <v>422</v>
      </c>
      <c r="EN122" s="444">
        <f>-CF!EN37</f>
        <v>466</v>
      </c>
      <c r="EO122" s="444">
        <f>-CF!EO37</f>
        <v>1657</v>
      </c>
      <c r="EQ122" s="443" t="s">
        <v>204</v>
      </c>
      <c r="ER122" s="444">
        <f>-CF!ER37</f>
        <v>381</v>
      </c>
      <c r="ES122" s="444">
        <f>-CF!ES37</f>
        <v>420</v>
      </c>
      <c r="ET122" s="444">
        <f>-CF!ET37</f>
        <v>408</v>
      </c>
      <c r="EU122" s="444">
        <f>-CF!EU37</f>
        <v>417</v>
      </c>
      <c r="EV122" s="444">
        <f>-CF!EV37</f>
        <v>1626</v>
      </c>
      <c r="EX122" s="443" t="s">
        <v>204</v>
      </c>
      <c r="EY122" s="444">
        <f>-CF!EY37</f>
        <v>306</v>
      </c>
      <c r="EZ122" s="444">
        <f>-CF!EZ37</f>
        <v>448</v>
      </c>
      <c r="FA122" s="444">
        <f>-CF!FA37</f>
        <v>465</v>
      </c>
      <c r="FB122" s="444">
        <f>-CF!FB37</f>
        <v>572</v>
      </c>
      <c r="FC122" s="444">
        <f>-CF!FC37</f>
        <v>1791</v>
      </c>
      <c r="FE122" s="443" t="s">
        <v>204</v>
      </c>
      <c r="FF122" s="444">
        <f>-CF!FF37</f>
        <v>331</v>
      </c>
      <c r="FG122" s="444">
        <f>-CF!FG37</f>
        <v>480</v>
      </c>
      <c r="FH122" s="444">
        <f>-CF!FH37</f>
        <v>626</v>
      </c>
      <c r="FI122" s="444">
        <f>-CF!FI37</f>
        <v>696</v>
      </c>
      <c r="FJ122" s="444">
        <f>-CF!FJ37</f>
        <v>2133</v>
      </c>
      <c r="FL122" s="443" t="s">
        <v>204</v>
      </c>
      <c r="FM122" s="444">
        <f>-CF!FM37</f>
        <v>443</v>
      </c>
      <c r="FN122" s="444">
        <f>-CF!FN37</f>
        <v>572</v>
      </c>
      <c r="FO122" s="444">
        <f>-CF!FO37</f>
        <v>575</v>
      </c>
      <c r="FP122" s="444">
        <f>-CF!FP37</f>
        <v>691</v>
      </c>
      <c r="FQ122" s="444">
        <f>-CF!FQ37</f>
        <v>2281</v>
      </c>
      <c r="FS122" s="443" t="s">
        <v>204</v>
      </c>
      <c r="FT122" s="444">
        <f>-CF!FT37</f>
        <v>517</v>
      </c>
      <c r="FU122" s="444">
        <f>-CF!FU37</f>
        <v>549</v>
      </c>
      <c r="FV122" s="444">
        <f>-CF!FV37</f>
        <v>625</v>
      </c>
      <c r="FW122" s="444">
        <f>-CF!FW37</f>
        <v>838</v>
      </c>
      <c r="FX122" s="444">
        <f>-CF!FX37</f>
        <v>2529</v>
      </c>
      <c r="FZ122" s="443" t="s">
        <v>204</v>
      </c>
      <c r="GA122" s="444">
        <f>-CF!GA37</f>
        <v>719</v>
      </c>
      <c r="GB122" s="444">
        <f>-CF!GB37</f>
        <v>776</v>
      </c>
      <c r="GC122" s="444">
        <f>-CF!GC37</f>
        <v>730</v>
      </c>
      <c r="GD122" s="496">
        <f>+GD124*BS!HX69/4</f>
        <v>528.44999999999993</v>
      </c>
      <c r="GE122" s="496">
        <f>-CF!GE37</f>
        <v>2902</v>
      </c>
      <c r="GG122" s="443" t="s">
        <v>204</v>
      </c>
      <c r="GH122" s="496">
        <f>+GH124*BS!IB69/4</f>
        <v>618.17951234374993</v>
      </c>
      <c r="GI122" s="496">
        <f>+GI124*BS!IC69/4</f>
        <v>620.88719656249998</v>
      </c>
      <c r="GJ122" s="496">
        <f>+GJ124*BS!ID69/4</f>
        <v>626.00306562499998</v>
      </c>
      <c r="GK122" s="496">
        <f>+GK124*BS!IE69/4</f>
        <v>634.14729328124997</v>
      </c>
      <c r="GL122" s="496">
        <f>-CF!GL37</f>
        <v>2499.2170678124999</v>
      </c>
      <c r="GN122" s="443" t="s">
        <v>204</v>
      </c>
      <c r="GO122" s="496">
        <f>+GO124*BS!II69/4</f>
        <v>623.14403896730278</v>
      </c>
      <c r="GP122" s="496">
        <f>+GP124*BS!IJ69/4</f>
        <v>630.49921775430903</v>
      </c>
      <c r="GQ122" s="496">
        <f>+GQ124*BS!IK69/4</f>
        <v>637.81250056879333</v>
      </c>
      <c r="GR122" s="496">
        <f>+GR124*BS!IL69/4</f>
        <v>645.1884990578294</v>
      </c>
      <c r="GS122" s="496">
        <f>-CF!GS37</f>
        <v>2536.6442563482342</v>
      </c>
      <c r="GU122" s="443" t="s">
        <v>204</v>
      </c>
      <c r="GV122" s="496">
        <f>+GV124*BS!IP69/4</f>
        <v>652.10493518444252</v>
      </c>
      <c r="GW122" s="496">
        <f>+GW124*BS!IQ69/4</f>
        <v>659.25734521485992</v>
      </c>
      <c r="GX122" s="496">
        <f>+GX124*BS!IR69/4</f>
        <v>666.48641738639105</v>
      </c>
      <c r="GY122" s="496">
        <f>+GY124*BS!IS69/4</f>
        <v>673.56708903358185</v>
      </c>
      <c r="GZ122" s="496">
        <f>-CF!GZ37</f>
        <v>2651.4157868192756</v>
      </c>
    </row>
    <row r="123" spans="1:208" x14ac:dyDescent="0.4">
      <c r="A123" s="446"/>
      <c r="B123" s="443" t="s">
        <v>120</v>
      </c>
      <c r="C123" s="444">
        <f>AU123</f>
        <v>1136</v>
      </c>
      <c r="D123" s="444">
        <f>BB123</f>
        <v>1639</v>
      </c>
      <c r="E123" s="444">
        <f>BI123</f>
        <v>1773</v>
      </c>
      <c r="F123" s="444">
        <f>BP123</f>
        <v>1719</v>
      </c>
      <c r="G123" s="444">
        <f>BW123</f>
        <v>1426</v>
      </c>
      <c r="H123" s="444">
        <f>CD123</f>
        <v>1840</v>
      </c>
      <c r="I123" s="444">
        <f>CK123</f>
        <v>2297</v>
      </c>
      <c r="J123" s="444">
        <f>CR123</f>
        <v>2341</v>
      </c>
      <c r="K123" s="444">
        <f>CY123</f>
        <v>2313</v>
      </c>
      <c r="L123" s="444">
        <f>DF123</f>
        <v>2449</v>
      </c>
      <c r="M123" s="444">
        <f>DM123</f>
        <v>2562</v>
      </c>
      <c r="N123" s="444">
        <f>DT123</f>
        <v>2398</v>
      </c>
      <c r="O123" s="444">
        <f>EA123</f>
        <v>2040</v>
      </c>
      <c r="P123" s="444">
        <f>EH123</f>
        <v>1745</v>
      </c>
      <c r="Q123" s="444">
        <f>EO123</f>
        <v>1657</v>
      </c>
      <c r="R123" s="444">
        <f>EV123</f>
        <v>1626</v>
      </c>
      <c r="S123" s="444">
        <f>FC123</f>
        <v>1791</v>
      </c>
      <c r="T123" s="444">
        <f>FJ123</f>
        <v>2133</v>
      </c>
      <c r="U123" s="444">
        <f>FQ123</f>
        <v>2281</v>
      </c>
      <c r="V123" s="496">
        <f>FX123</f>
        <v>2529</v>
      </c>
      <c r="W123" s="496">
        <f>GE123</f>
        <v>2902</v>
      </c>
      <c r="X123" s="496">
        <f>GL123</f>
        <v>2499.2170678124999</v>
      </c>
      <c r="Y123" s="496">
        <f>GS123</f>
        <v>2536.6442563482342</v>
      </c>
      <c r="Z123" s="496">
        <f>GZ123</f>
        <v>2651.4157868192756</v>
      </c>
      <c r="AA123" s="445"/>
      <c r="AB123" s="445"/>
      <c r="AC123" s="445"/>
      <c r="AD123" s="445"/>
      <c r="AE123" s="445"/>
      <c r="AF123" s="445"/>
      <c r="AG123" s="445"/>
      <c r="AH123" s="445"/>
      <c r="AI123" s="445"/>
      <c r="AJ123" s="445"/>
      <c r="AK123" s="445"/>
      <c r="AL123" s="445"/>
      <c r="AM123" s="445"/>
      <c r="AN123" s="445"/>
      <c r="AP123" s="443" t="s">
        <v>120</v>
      </c>
      <c r="AQ123" s="444" t="s">
        <v>80</v>
      </c>
      <c r="AR123" s="444" t="s">
        <v>80</v>
      </c>
      <c r="AS123" s="444" t="s">
        <v>80</v>
      </c>
      <c r="AT123" s="444" t="s">
        <v>80</v>
      </c>
      <c r="AU123" s="444">
        <f>+AU122</f>
        <v>1136</v>
      </c>
      <c r="AW123" s="443" t="s">
        <v>120</v>
      </c>
      <c r="AX123" s="444">
        <f>+SUM(AX122,AR122:AT122)</f>
        <v>1336</v>
      </c>
      <c r="AY123" s="444">
        <f>+SUM(AX122:AY122,AS122:AT122)</f>
        <v>1634</v>
      </c>
      <c r="AZ123" s="444">
        <f>+SUM(AX122:AZ122,AT122)</f>
        <v>1614</v>
      </c>
      <c r="BA123" s="444">
        <f>+SUM(AX122:BA122)</f>
        <v>1639</v>
      </c>
      <c r="BB123" s="444">
        <f>+BB122</f>
        <v>1639</v>
      </c>
      <c r="BD123" s="443" t="s">
        <v>120</v>
      </c>
      <c r="BE123" s="444">
        <f>+SUM(BE122,AY122:BA122)</f>
        <v>1700</v>
      </c>
      <c r="BF123" s="444">
        <f>+SUM(BE122:BF122,AZ122:BA122)</f>
        <v>1584</v>
      </c>
      <c r="BG123" s="444">
        <f>+SUM(BE122:BG122,BA122)</f>
        <v>1630</v>
      </c>
      <c r="BH123" s="444">
        <f>+SUM(BE122:BH122)</f>
        <v>1773</v>
      </c>
      <c r="BI123" s="444">
        <f>+BI122</f>
        <v>1773</v>
      </c>
      <c r="BK123" s="443" t="s">
        <v>120</v>
      </c>
      <c r="BL123" s="444">
        <f>+SUM(BL122,BF122:BH122)</f>
        <v>1791</v>
      </c>
      <c r="BM123" s="444">
        <f>+SUM(BL122:BM122,BG122:BH122)</f>
        <v>1861</v>
      </c>
      <c r="BN123" s="444">
        <f>+SUM(BL122:BN122,BH122)</f>
        <v>1886</v>
      </c>
      <c r="BO123" s="444">
        <f>+SUM(BL122:BO122)</f>
        <v>1719</v>
      </c>
      <c r="BP123" s="444">
        <f>+BP122</f>
        <v>1719</v>
      </c>
      <c r="BR123" s="443" t="s">
        <v>120</v>
      </c>
      <c r="BS123" s="444">
        <f>+SUM(BS122,BM122:BO122)</f>
        <v>1582</v>
      </c>
      <c r="BT123" s="444">
        <f>+SUM(BS122:BT122,BN122:BO122)</f>
        <v>1464</v>
      </c>
      <c r="BU123" s="444">
        <f>+SUM(BS122:BU122,BO122)</f>
        <v>1442</v>
      </c>
      <c r="BV123" s="444">
        <f>+SUM(BS122:BV122)</f>
        <v>1426</v>
      </c>
      <c r="BW123" s="444">
        <f>+BW122</f>
        <v>1426</v>
      </c>
      <c r="BY123" s="443" t="s">
        <v>120</v>
      </c>
      <c r="BZ123" s="444">
        <f>+SUM(BZ122,BT122:BV122)</f>
        <v>1445</v>
      </c>
      <c r="CA123" s="444">
        <f>+SUM(BZ122:CA122,BU122:BV122)</f>
        <v>1456</v>
      </c>
      <c r="CB123" s="444">
        <f>+SUM(BZ122:CB122,BV122)</f>
        <v>1498</v>
      </c>
      <c r="CC123" s="444">
        <f>+SUM(BZ122:CC122)</f>
        <v>1840</v>
      </c>
      <c r="CD123" s="444">
        <f>+CD122</f>
        <v>1840</v>
      </c>
      <c r="CF123" s="443" t="s">
        <v>120</v>
      </c>
      <c r="CG123" s="444">
        <f>+SUM(CG122,CA122:CC122)</f>
        <v>1891</v>
      </c>
      <c r="CH123" s="444">
        <f>+SUM(CG122:CH122,CB122:CC122)</f>
        <v>2098</v>
      </c>
      <c r="CI123" s="444">
        <f>+SUM(CG122:CI122,CC122)</f>
        <v>2173</v>
      </c>
      <c r="CJ123" s="444">
        <f>+SUM(CG122:CJ122)</f>
        <v>2297</v>
      </c>
      <c r="CK123" s="444">
        <f>+CK122</f>
        <v>2297</v>
      </c>
      <c r="CM123" s="443" t="s">
        <v>120</v>
      </c>
      <c r="CN123" s="444">
        <f>+SUM(CN122,CH122:CJ122)</f>
        <v>2387</v>
      </c>
      <c r="CO123" s="444">
        <f>+SUM(CN122:CO122,CI122:CJ122)</f>
        <v>2575</v>
      </c>
      <c r="CP123" s="444">
        <f>+SUM(CN122:CP122,CJ122)</f>
        <v>2691</v>
      </c>
      <c r="CQ123" s="444">
        <f>+SUM(CN122:CQ122)</f>
        <v>2341</v>
      </c>
      <c r="CR123" s="444">
        <f>+CR122</f>
        <v>2341</v>
      </c>
      <c r="CT123" s="443" t="s">
        <v>120</v>
      </c>
      <c r="CU123" s="444">
        <f>+SUM(CU122,CO122:CQ122)</f>
        <v>2363</v>
      </c>
      <c r="CV123" s="444">
        <f>+SUM(CU122:CV122,CP122:CQ122)</f>
        <v>2203</v>
      </c>
      <c r="CW123" s="444">
        <f>+SUM(CU122:CW122,CQ122)</f>
        <v>2198</v>
      </c>
      <c r="CX123" s="444">
        <f>+SUM(CU122:CX122)</f>
        <v>2313</v>
      </c>
      <c r="CY123" s="444">
        <f>+CY122</f>
        <v>2313</v>
      </c>
      <c r="DA123" s="443" t="s">
        <v>120</v>
      </c>
      <c r="DB123" s="444">
        <f>+SUM(DB122,CV122:CX122)</f>
        <v>2297</v>
      </c>
      <c r="DC123" s="444">
        <f>+SUM(DB122:DC122,CW122:CX122)</f>
        <v>2184</v>
      </c>
      <c r="DD123" s="444">
        <f>+SUM(DB122:DD122,CX122)</f>
        <v>2183</v>
      </c>
      <c r="DE123" s="444">
        <f>+SUM(DB122:DE122)</f>
        <v>2449</v>
      </c>
      <c r="DF123" s="444">
        <f>+DF122</f>
        <v>2449</v>
      </c>
      <c r="DH123" s="443" t="s">
        <v>120</v>
      </c>
      <c r="DI123" s="444">
        <f>+SUM(DI122,DC122:DE122)</f>
        <v>2572</v>
      </c>
      <c r="DJ123" s="444">
        <f>+SUM(DI122:DJ122,DD122:DE122)</f>
        <v>2781</v>
      </c>
      <c r="DK123" s="444">
        <f>+SUM(DI122:DK122,DE122)</f>
        <v>2801</v>
      </c>
      <c r="DL123" s="444">
        <f>+SUM(DI122:DL122)</f>
        <v>2562</v>
      </c>
      <c r="DM123" s="444">
        <f>+DM122</f>
        <v>2562</v>
      </c>
      <c r="DO123" s="443" t="s">
        <v>120</v>
      </c>
      <c r="DP123" s="444">
        <f>+SUM(DP122,DJ122:DL122)</f>
        <v>2389</v>
      </c>
      <c r="DQ123" s="444">
        <f>+SUM(DP122:DQ122,DK122:DL122)</f>
        <v>2340</v>
      </c>
      <c r="DR123" s="444">
        <f>+SUM(DP122:DR122,DL122)</f>
        <v>2243</v>
      </c>
      <c r="DS123" s="444">
        <f>+SUM(DP122:DS122)</f>
        <v>2398</v>
      </c>
      <c r="DT123" s="444">
        <f>+DT122</f>
        <v>2398</v>
      </c>
      <c r="DV123" s="443" t="s">
        <v>120</v>
      </c>
      <c r="DW123" s="444">
        <f>+SUM(DW122,DQ122:DS122)</f>
        <v>2414</v>
      </c>
      <c r="DX123" s="444">
        <f>+SUM(DW122:DX122,DR122:DS122)</f>
        <v>2287</v>
      </c>
      <c r="DY123" s="444">
        <f>+SUM(DW122:DY122,DS122)</f>
        <v>2270</v>
      </c>
      <c r="DZ123" s="444">
        <f>+SUM(DW122:DZ122)</f>
        <v>2040</v>
      </c>
      <c r="EA123" s="444">
        <f>+EA122</f>
        <v>2040</v>
      </c>
      <c r="EC123" s="443" t="s">
        <v>120</v>
      </c>
      <c r="ED123" s="444">
        <f>+SUM(ED122,DX122:DZ122)</f>
        <v>1967</v>
      </c>
      <c r="EE123" s="444">
        <f>+SUM(ED122:EE122,DY122:DZ122)</f>
        <v>1908</v>
      </c>
      <c r="EF123" s="444">
        <f>+SUM(ED122:EF122,DZ122)</f>
        <v>1818</v>
      </c>
      <c r="EG123" s="444">
        <f>+SUM(ED122:EG122)</f>
        <v>1745</v>
      </c>
      <c r="EH123" s="444">
        <f>+EH122</f>
        <v>1745</v>
      </c>
      <c r="EJ123" s="443" t="s">
        <v>120</v>
      </c>
      <c r="EK123" s="444">
        <f>+SUM(EK122,EE122:EG122)</f>
        <v>1730</v>
      </c>
      <c r="EL123" s="444">
        <f>+SUM(EK122:EL122,EF122:EG122)</f>
        <v>1691</v>
      </c>
      <c r="EM123" s="444">
        <f>+SUM(EK122:EM122,EG122)</f>
        <v>1696</v>
      </c>
      <c r="EN123" s="444">
        <f>+SUM(EK122:EN122)</f>
        <v>1657</v>
      </c>
      <c r="EO123" s="444">
        <f>+EO122</f>
        <v>1657</v>
      </c>
      <c r="EQ123" s="443" t="s">
        <v>120</v>
      </c>
      <c r="ER123" s="444">
        <f>+SUM(ER122,EL122:EN122)</f>
        <v>1685</v>
      </c>
      <c r="ES123" s="444">
        <f>+SUM(ER122:ES122,EM122:EN122)</f>
        <v>1689</v>
      </c>
      <c r="ET123" s="444">
        <f>+SUM(ER122:ET122,EN122)</f>
        <v>1675</v>
      </c>
      <c r="EU123" s="444">
        <f>+SUM(ER122:EU122)</f>
        <v>1626</v>
      </c>
      <c r="EV123" s="444">
        <f>+EV122</f>
        <v>1626</v>
      </c>
      <c r="EX123" s="443" t="s">
        <v>120</v>
      </c>
      <c r="EY123" s="444">
        <f>+SUM(EY122,ES122:EU122)</f>
        <v>1551</v>
      </c>
      <c r="EZ123" s="444">
        <f>+SUM(EY122:EZ122,ET122:EU122)</f>
        <v>1579</v>
      </c>
      <c r="FA123" s="444">
        <f>+SUM(EY122:FA122,EU122)</f>
        <v>1636</v>
      </c>
      <c r="FB123" s="444">
        <f>+SUM(EY122:FB122)</f>
        <v>1791</v>
      </c>
      <c r="FC123" s="444">
        <f>+FC122</f>
        <v>1791</v>
      </c>
      <c r="FE123" s="443" t="s">
        <v>120</v>
      </c>
      <c r="FF123" s="444">
        <f>+SUM(FF122,EZ122:FB122)</f>
        <v>1816</v>
      </c>
      <c r="FG123" s="444">
        <f>+SUM(FF122:FG122,FA122:FB122)</f>
        <v>1848</v>
      </c>
      <c r="FH123" s="444">
        <f>+SUM(FF122:FH122,FB122)</f>
        <v>2009</v>
      </c>
      <c r="FI123" s="444">
        <f>+SUM(FF122:FI122)</f>
        <v>2133</v>
      </c>
      <c r="FJ123" s="444">
        <f>+FJ122</f>
        <v>2133</v>
      </c>
      <c r="FL123" s="443" t="s">
        <v>120</v>
      </c>
      <c r="FM123" s="444">
        <f>+SUM(FM122,FG122:FI122)</f>
        <v>2245</v>
      </c>
      <c r="FN123" s="444">
        <f>+SUM(FM122:FN122,FH122:FI122)</f>
        <v>2337</v>
      </c>
      <c r="FO123" s="444">
        <f>+SUM(FM122:FO122,FI122)</f>
        <v>2286</v>
      </c>
      <c r="FP123" s="444">
        <f>+SUM(FM122:FP122)</f>
        <v>2281</v>
      </c>
      <c r="FQ123" s="444">
        <f>+FQ122</f>
        <v>2281</v>
      </c>
      <c r="FS123" s="443" t="s">
        <v>120</v>
      </c>
      <c r="FT123" s="444">
        <f>+SUM(FT122,FN122:FP122)</f>
        <v>2355</v>
      </c>
      <c r="FU123" s="496">
        <f>+SUM(FT122:FU122,FO122:FP122)</f>
        <v>2332</v>
      </c>
      <c r="FV123" s="444">
        <f>+SUM(FT122:FV122,FP122)</f>
        <v>2382</v>
      </c>
      <c r="FW123" s="444">
        <f>+SUM(FT122:FW122)</f>
        <v>2529</v>
      </c>
      <c r="FX123" s="444">
        <f>+FX122</f>
        <v>2529</v>
      </c>
      <c r="FZ123" s="443" t="s">
        <v>120</v>
      </c>
      <c r="GA123" s="444">
        <f>+SUM(GA122,FU122:FW122)</f>
        <v>2731</v>
      </c>
      <c r="GB123" s="496">
        <f>+SUM(GA122:GB122,FV122:FW122)</f>
        <v>2958</v>
      </c>
      <c r="GC123" s="444">
        <f>+SUM(GA122:GC122,FW122)</f>
        <v>3063</v>
      </c>
      <c r="GD123" s="496">
        <f>+SUM(GA122:GD122)</f>
        <v>2753.45</v>
      </c>
      <c r="GE123" s="496">
        <f>+GE122</f>
        <v>2902</v>
      </c>
      <c r="GG123" s="443" t="s">
        <v>120</v>
      </c>
      <c r="GH123" s="496">
        <f>+SUM(GH122,GB122:GD122)</f>
        <v>2652.6295123437499</v>
      </c>
      <c r="GI123" s="496">
        <f>+SUM(GH122:GI122,GC122:GD122)</f>
        <v>2497.5167089062497</v>
      </c>
      <c r="GJ123" s="496">
        <f>+SUM(GH122:GJ122,GD122)</f>
        <v>2393.5197745312498</v>
      </c>
      <c r="GK123" s="496">
        <f>+SUM(GH122:GK122)</f>
        <v>2499.2170678124999</v>
      </c>
      <c r="GL123" s="496">
        <f>+GL122</f>
        <v>2499.2170678124999</v>
      </c>
      <c r="GN123" s="443" t="s">
        <v>120</v>
      </c>
      <c r="GO123" s="496">
        <f>+SUM(GO122,GI122:GK122)</f>
        <v>2504.1815944360528</v>
      </c>
      <c r="GP123" s="496">
        <f>+SUM(GO122:GP122,GJ122:GK122)</f>
        <v>2513.7936156278615</v>
      </c>
      <c r="GQ123" s="496">
        <f>+SUM(GO122:GQ122,GK122)</f>
        <v>2525.6030505716549</v>
      </c>
      <c r="GR123" s="496">
        <f>+SUM(GO122:GR122)</f>
        <v>2536.6442563482342</v>
      </c>
      <c r="GS123" s="496">
        <f>+GS122</f>
        <v>2536.6442563482342</v>
      </c>
      <c r="GU123" s="443" t="s">
        <v>120</v>
      </c>
      <c r="GV123" s="496">
        <f>+SUM(GV122,GP122:GR122)</f>
        <v>2565.6051525653747</v>
      </c>
      <c r="GW123" s="496">
        <f>+SUM(GV122:GW122,GQ122:GR122)</f>
        <v>2594.3632800259256</v>
      </c>
      <c r="GX123" s="496">
        <f>+SUM(GV122:GX122,GR122)</f>
        <v>2623.0371968435229</v>
      </c>
      <c r="GY123" s="496">
        <f>+SUM(GV122:GY122)</f>
        <v>2651.4157868192756</v>
      </c>
      <c r="GZ123" s="496">
        <f>+GZ122</f>
        <v>2651.4157868192756</v>
      </c>
    </row>
    <row r="124" spans="1:208" x14ac:dyDescent="0.4">
      <c r="A124" s="431"/>
      <c r="B124" s="447" t="s">
        <v>6</v>
      </c>
      <c r="C124" s="448">
        <f>AU124</f>
        <v>0.13207766538774562</v>
      </c>
      <c r="D124" s="448">
        <f>BB124</f>
        <v>0.17133598160150534</v>
      </c>
      <c r="E124" s="448">
        <f>BI124</f>
        <v>0.17676969092721834</v>
      </c>
      <c r="F124" s="448">
        <f>BP124</f>
        <v>0.15273211905819636</v>
      </c>
      <c r="G124" s="448">
        <f>BW124</f>
        <v>0.15772591527485896</v>
      </c>
      <c r="H124" s="448">
        <f>CD124</f>
        <v>0.17299736743136518</v>
      </c>
      <c r="I124" s="448">
        <f>CK124</f>
        <v>0.19560589287234947</v>
      </c>
      <c r="J124" s="448">
        <f>CR124</f>
        <v>0.19913235794487921</v>
      </c>
      <c r="K124" s="448">
        <f>CY124</f>
        <v>0.19182285619505723</v>
      </c>
      <c r="L124" s="448">
        <f>DF124</f>
        <v>0.19330649617175782</v>
      </c>
      <c r="M124" s="448">
        <f>DM124</f>
        <v>0.21691643383286766</v>
      </c>
      <c r="N124" s="448">
        <f>DT124</f>
        <v>0.2166410696539886</v>
      </c>
      <c r="O124" s="448">
        <f>EA124</f>
        <v>0.17882187938288921</v>
      </c>
      <c r="P124" s="448">
        <f>EH124</f>
        <v>0.14244897959183672</v>
      </c>
      <c r="Q124" s="448">
        <f>EO124</f>
        <v>0.13881209684175252</v>
      </c>
      <c r="R124" s="448">
        <f>EV124</f>
        <v>0.15364263441368231</v>
      </c>
      <c r="S124" s="448">
        <f>FC124</f>
        <v>0.1430282702443699</v>
      </c>
      <c r="T124" s="448">
        <f>FJ124</f>
        <v>0.1436073520500909</v>
      </c>
      <c r="U124" s="448">
        <f>FQ124</f>
        <v>0.15562529849218804</v>
      </c>
      <c r="V124" s="497">
        <f>FX124</f>
        <v>0.17393397524071527</v>
      </c>
      <c r="W124" s="497">
        <f>GE124</f>
        <v>0.20593244393982402</v>
      </c>
      <c r="X124" s="497">
        <f>GL124</f>
        <v>0.17242168795050472</v>
      </c>
      <c r="Y124" s="497">
        <f>GS124</f>
        <v>0.16709439342491597</v>
      </c>
      <c r="Z124" s="497">
        <f>GZ124</f>
        <v>0.16729613541762742</v>
      </c>
      <c r="AA124" s="449"/>
      <c r="AB124" s="449"/>
      <c r="AC124" s="449"/>
      <c r="AD124" s="449"/>
      <c r="AE124" s="449"/>
      <c r="AF124" s="449"/>
      <c r="AG124" s="449"/>
      <c r="AH124" s="449"/>
      <c r="AI124" s="449"/>
      <c r="AJ124" s="449"/>
      <c r="AK124" s="449"/>
      <c r="AL124" s="449"/>
      <c r="AM124" s="449"/>
      <c r="AN124" s="449"/>
      <c r="AP124" s="447" t="s">
        <v>6</v>
      </c>
      <c r="AQ124" s="448" t="s">
        <v>80</v>
      </c>
      <c r="AR124" s="448" t="s">
        <v>80</v>
      </c>
      <c r="AS124" s="448" t="s">
        <v>80</v>
      </c>
      <c r="AT124" s="448" t="s">
        <v>80</v>
      </c>
      <c r="AU124" s="448">
        <f>+AU123/BS!CO69</f>
        <v>0.13207766538774562</v>
      </c>
      <c r="AW124" s="447" t="s">
        <v>6</v>
      </c>
      <c r="AX124" s="448">
        <f>+AX123/BS!CR69</f>
        <v>0.1514052583862194</v>
      </c>
      <c r="AY124" s="448">
        <f>+AY123/BS!CS69</f>
        <v>0.17963940193491645</v>
      </c>
      <c r="AZ124" s="448">
        <f>+AZ123/BS!CT69</f>
        <v>0.1719032910853126</v>
      </c>
      <c r="BA124" s="448">
        <f>+BA123/BS!CU69</f>
        <v>0.17133598160150534</v>
      </c>
      <c r="BB124" s="448">
        <f>+BB123/BS!CV69</f>
        <v>0.17133598160150534</v>
      </c>
      <c r="BD124" s="447" t="s">
        <v>6</v>
      </c>
      <c r="BE124" s="448">
        <f>+BE123/BS!CY69</f>
        <v>0.17603810707258982</v>
      </c>
      <c r="BF124" s="448">
        <f>+BF123/BS!CZ69</f>
        <v>0.1621953716977268</v>
      </c>
      <c r="BG124" s="448">
        <f>+BG123/BS!DA69</f>
        <v>0.16549903543506955</v>
      </c>
      <c r="BH124" s="448">
        <f>+BH123/BS!DB69</f>
        <v>0.17676969092721834</v>
      </c>
      <c r="BI124" s="448">
        <f>+BI123/BS!DC69</f>
        <v>0.17676969092721834</v>
      </c>
      <c r="BK124" s="447" t="s">
        <v>6</v>
      </c>
      <c r="BL124" s="448">
        <f>+BL123/BS!DF69</f>
        <v>0.17352969673481253</v>
      </c>
      <c r="BM124" s="448">
        <f>+BM123/BS!DG69</f>
        <v>0.17395774911198356</v>
      </c>
      <c r="BN124" s="448">
        <f>+BN123/BS!DH69</f>
        <v>0.16902670729521418</v>
      </c>
      <c r="BO124" s="448">
        <f>+BO123/BS!DI69</f>
        <v>0.15273211905819636</v>
      </c>
      <c r="BP124" s="448">
        <f>+BP123/BS!DJ69</f>
        <v>0.15273211905819636</v>
      </c>
      <c r="BR124" s="447" t="s">
        <v>6</v>
      </c>
      <c r="BS124" s="448">
        <f>+BS123/BS!DM69</f>
        <v>0.1466308276948744</v>
      </c>
      <c r="BT124" s="448">
        <f>+BT123/BS!DN69</f>
        <v>0.14542564815734579</v>
      </c>
      <c r="BU124" s="448">
        <f>+BU123/BS!DO69</f>
        <v>0.15348589675359234</v>
      </c>
      <c r="BV124" s="448">
        <f>+BV123/BS!DP69</f>
        <v>0.15772591527485896</v>
      </c>
      <c r="BW124" s="448">
        <f>+BW123/BS!DQ69</f>
        <v>0.15772591527485896</v>
      </c>
      <c r="BY124" s="447" t="s">
        <v>6</v>
      </c>
      <c r="BZ124" s="448">
        <f>+BZ123/BS!DT69</f>
        <v>0.15562735595045774</v>
      </c>
      <c r="CA124" s="448">
        <f>+CA123/BS!DU69</f>
        <v>0.14913448735019974</v>
      </c>
      <c r="CB124" s="448">
        <f>+CB123/BS!DV69</f>
        <v>0.14773175542406311</v>
      </c>
      <c r="CC124" s="448">
        <f>+CC123/BS!DW69</f>
        <v>0.17299736743136518</v>
      </c>
      <c r="CD124" s="448">
        <f>+CD123/BS!DX69</f>
        <v>0.17299736743136518</v>
      </c>
      <c r="CF124" s="447" t="s">
        <v>6</v>
      </c>
      <c r="CG124" s="448">
        <f>+CG123/BS!EA69</f>
        <v>0.1726152441807394</v>
      </c>
      <c r="CH124" s="448">
        <f>+CH123/BS!EB69</f>
        <v>0.18548315798779949</v>
      </c>
      <c r="CI124" s="448">
        <f>+CI123/BS!EC69</f>
        <v>0.18719848380427292</v>
      </c>
      <c r="CJ124" s="448">
        <f>+CJ123/BS!ED69</f>
        <v>0.19560589287234947</v>
      </c>
      <c r="CK124" s="448">
        <f>+CK123/BS!EE69</f>
        <v>0.19560589287234947</v>
      </c>
      <c r="CM124" s="447" t="s">
        <v>6</v>
      </c>
      <c r="CN124" s="448">
        <f>+CN123/BS!EH69</f>
        <v>0.20060509286494663</v>
      </c>
      <c r="CO124" s="448">
        <f>+CO123/BS!EI69</f>
        <v>0.21653212243525058</v>
      </c>
      <c r="CP124" s="448">
        <f>+CP123/BS!EJ69</f>
        <v>0.22760720629281908</v>
      </c>
      <c r="CQ124" s="448">
        <f>+CQ123/BS!EK69</f>
        <v>0.19913235794487921</v>
      </c>
      <c r="CR124" s="448">
        <f>+CR123/BS!EL69</f>
        <v>0.19913235794487921</v>
      </c>
      <c r="CT124" s="447" t="s">
        <v>6</v>
      </c>
      <c r="CU124" s="448">
        <f>+CU123/BS!EO69</f>
        <v>0.20114061967994551</v>
      </c>
      <c r="CV124" s="448">
        <f>+CV123/BS!EP69</f>
        <v>0.18661584074544685</v>
      </c>
      <c r="CW124" s="448">
        <f>+CW123/BS!EQ69</f>
        <v>0.18455079764903443</v>
      </c>
      <c r="CX124" s="448">
        <f>+CX123/BS!ER69</f>
        <v>0.19182285619505723</v>
      </c>
      <c r="CY124" s="448">
        <f>+CY123/BS!ES69</f>
        <v>0.19182285619505723</v>
      </c>
      <c r="DA124" s="447" t="s">
        <v>6</v>
      </c>
      <c r="DB124" s="448">
        <f>+DB123/BS!EV69</f>
        <v>0.18964663143989433</v>
      </c>
      <c r="DC124" s="448">
        <f>+DC123/BS!EW69</f>
        <v>0.17774884023764956</v>
      </c>
      <c r="DD124" s="448">
        <f>+DD123/BS!EX69</f>
        <v>0.17451434966823887</v>
      </c>
      <c r="DE124" s="448">
        <f>+DE123/BS!EY69</f>
        <v>0.19330649617175782</v>
      </c>
      <c r="DF124" s="448">
        <f>+DF123/BS!EZ69</f>
        <v>0.19330649617175782</v>
      </c>
      <c r="DH124" s="447" t="s">
        <v>6</v>
      </c>
      <c r="DI124" s="448">
        <f>+DI123/BS!FC69</f>
        <v>0.20277514979501735</v>
      </c>
      <c r="DJ124" s="448">
        <f>+DJ123/BS!FD69</f>
        <v>0.22240882917466412</v>
      </c>
      <c r="DK124" s="448">
        <f>+DK123/BS!FE69</f>
        <v>0.22917689412534772</v>
      </c>
      <c r="DL124" s="448">
        <f>+DL123/BS!FF69</f>
        <v>0.21691643383286766</v>
      </c>
      <c r="DM124" s="448">
        <f>+DM123/BS!FG69</f>
        <v>0.21691643383286766</v>
      </c>
      <c r="DO124" s="447" t="s">
        <v>6</v>
      </c>
      <c r="DP124" s="448">
        <f>+DP123/BS!FJ69</f>
        <v>0.20952464479915806</v>
      </c>
      <c r="DQ124" s="448">
        <f>+DQ123/BS!FK69</f>
        <v>0.21191813077341062</v>
      </c>
      <c r="DR124" s="448">
        <f>+DR123/BS!FL69</f>
        <v>0.20743549431240174</v>
      </c>
      <c r="DS124" s="448">
        <f>+DS123/BS!FM69</f>
        <v>0.2166410696539886</v>
      </c>
      <c r="DT124" s="448">
        <f>+DT123/BS!FN69</f>
        <v>0.2166410696539886</v>
      </c>
      <c r="DV124" s="447" t="s">
        <v>6</v>
      </c>
      <c r="DW124" s="448">
        <f>+DW123/BS!FQ69</f>
        <v>0.21325088339222614</v>
      </c>
      <c r="DX124" s="448">
        <f>+DX123/BS!FR69</f>
        <v>0.19802580309983547</v>
      </c>
      <c r="DY124" s="448">
        <f>+DY123/BS!FS69</f>
        <v>0.19599378345708859</v>
      </c>
      <c r="DZ124" s="448">
        <f>+DZ123/BS!FT69</f>
        <v>0.17882187938288921</v>
      </c>
      <c r="EA124" s="448">
        <f>+EA123/BS!FU69</f>
        <v>0.17882187938288921</v>
      </c>
      <c r="EC124" s="447" t="s">
        <v>6</v>
      </c>
      <c r="ED124" s="448">
        <f>+ED123/BS!FX69</f>
        <v>0.17231712658782303</v>
      </c>
      <c r="EE124" s="448">
        <f>+EE123/BS!FY69</f>
        <v>0.1647099447513812</v>
      </c>
      <c r="EF124" s="448">
        <f>+EF123/BS!FZ69</f>
        <v>0.15187969924812031</v>
      </c>
      <c r="EG124" s="448">
        <f>+EG123/BS!GA69</f>
        <v>0.14244897959183672</v>
      </c>
      <c r="EH124" s="448">
        <f>+EH123/BS!GB69</f>
        <v>0.14244897959183672</v>
      </c>
      <c r="EJ124" s="447" t="s">
        <v>6</v>
      </c>
      <c r="EK124" s="448">
        <f>+EK123/BS!GE69</f>
        <v>0.13966254944700088</v>
      </c>
      <c r="EL124" s="448">
        <f>+EL123/BS!GF69</f>
        <v>0.13696743884658999</v>
      </c>
      <c r="EM124" s="448">
        <f>+EM123/BS!GG69</f>
        <v>0.13907339073390734</v>
      </c>
      <c r="EN124" s="448">
        <f>+EN123/BS!GH69</f>
        <v>0.13881209684175252</v>
      </c>
      <c r="EO124" s="448">
        <f>+EO123/BS!GI69</f>
        <v>0.13881209684175252</v>
      </c>
      <c r="EQ124" s="447" t="s">
        <v>6</v>
      </c>
      <c r="ER124" s="448">
        <f>+ER123/BS!GL69</f>
        <v>0.1430511928007471</v>
      </c>
      <c r="ES124" s="448">
        <f>+ES123/BS!GM69</f>
        <v>0.15392326619885172</v>
      </c>
      <c r="ET124" s="448">
        <f>+ET123/BS!GN69</f>
        <v>0.15738043784647185</v>
      </c>
      <c r="EU124" s="448">
        <f>+EU123/BS!GO69</f>
        <v>0.15364263441368231</v>
      </c>
      <c r="EV124" s="448">
        <f>+EV123/BS!GP69</f>
        <v>0.15364263441368231</v>
      </c>
      <c r="EX124" s="447" t="s">
        <v>6</v>
      </c>
      <c r="EY124" s="448">
        <f>+EY123/BS!GS69</f>
        <v>0.14713974006261266</v>
      </c>
      <c r="EZ124" s="448">
        <f>+EZ123/BS!GT69</f>
        <v>0.14003192621496985</v>
      </c>
      <c r="FA124" s="448">
        <f>+FA123/BS!GU69</f>
        <v>0.13724832214765101</v>
      </c>
      <c r="FB124" s="448">
        <f>+FB123/BS!GV69</f>
        <v>0.1430282702443699</v>
      </c>
      <c r="FC124" s="448">
        <f>+FC123/BS!GW69</f>
        <v>0.1430282702443699</v>
      </c>
      <c r="FE124" s="447" t="s">
        <v>6</v>
      </c>
      <c r="FF124" s="448">
        <f>+FF123/BS!GZ69</f>
        <v>0.1383935375704923</v>
      </c>
      <c r="FG124" s="448">
        <f>+FG123/BS!HA69</f>
        <v>0.13250161325016133</v>
      </c>
      <c r="FH124" s="448">
        <f>+FH123/BS!HB69</f>
        <v>0.13807560137457045</v>
      </c>
      <c r="FI124" s="448">
        <f>+FI123/BS!HC69</f>
        <v>0.1436073520500909</v>
      </c>
      <c r="FJ124" s="448">
        <f>+FJ123/BS!HD69</f>
        <v>0.1436073520500909</v>
      </c>
      <c r="FL124" s="447" t="s">
        <v>6</v>
      </c>
      <c r="FM124" s="448">
        <f>+FM123/BS!HG69</f>
        <v>0.14822395351908094</v>
      </c>
      <c r="FN124" s="448">
        <f>+FN123/BS!HH69</f>
        <v>0.15548902195608783</v>
      </c>
      <c r="FO124" s="448">
        <f>+FO123/BS!HI69</f>
        <v>0.1554361868497994</v>
      </c>
      <c r="FP124" s="448">
        <f>+FP123/BS!HJ69</f>
        <v>0.15562529849218804</v>
      </c>
      <c r="FQ124" s="448">
        <f>+FQ123/BS!HK69</f>
        <v>0.15562529849218804</v>
      </c>
      <c r="FS124" s="447" t="s">
        <v>6</v>
      </c>
      <c r="FT124" s="448">
        <f>+FT123/BS!HN69</f>
        <v>0.16094860579551667</v>
      </c>
      <c r="FU124" s="448">
        <f>+FU123/BS!HO69</f>
        <v>0.15935492688260217</v>
      </c>
      <c r="FV124" s="448">
        <f>+FV123/BS!HP69</f>
        <v>0.16225052789319527</v>
      </c>
      <c r="FW124" s="448">
        <f>+FW123/BS!HQ69</f>
        <v>0.17393397524071527</v>
      </c>
      <c r="FX124" s="448">
        <f>+FX123/BS!HR69</f>
        <v>0.17393397524071527</v>
      </c>
      <c r="FZ124" s="447" t="s">
        <v>6</v>
      </c>
      <c r="GA124" s="448">
        <f>+GA123/BS!HU69</f>
        <v>0.19121971712645289</v>
      </c>
      <c r="GB124" s="448">
        <f>+GB123/BS!HV69</f>
        <v>0.20897209466619568</v>
      </c>
      <c r="GC124" s="448">
        <f>+GC123/BS!HW69</f>
        <v>0.21688026623238688</v>
      </c>
      <c r="GD124" s="502">
        <v>0.15</v>
      </c>
      <c r="GE124" s="497">
        <f>+GE123/BS!HY69</f>
        <v>0.20593244393982402</v>
      </c>
      <c r="GG124" s="447" t="s">
        <v>6</v>
      </c>
      <c r="GH124" s="502">
        <v>0.17499999999999999</v>
      </c>
      <c r="GI124" s="502">
        <v>0.17499999999999999</v>
      </c>
      <c r="GJ124" s="502">
        <v>0.17499999999999999</v>
      </c>
      <c r="GK124" s="502">
        <v>0.17499999999999999</v>
      </c>
      <c r="GL124" s="497">
        <f>+GL123/BS!IF69</f>
        <v>0.17242168795050472</v>
      </c>
      <c r="GN124" s="447" t="s">
        <v>6</v>
      </c>
      <c r="GO124" s="502">
        <v>0.17</v>
      </c>
      <c r="GP124" s="502">
        <v>0.17</v>
      </c>
      <c r="GQ124" s="502">
        <v>0.17</v>
      </c>
      <c r="GR124" s="502">
        <v>0.17</v>
      </c>
      <c r="GS124" s="497">
        <f>+GS123/BS!IM69</f>
        <v>0.16709439342491597</v>
      </c>
      <c r="GU124" s="447" t="s">
        <v>6</v>
      </c>
      <c r="GV124" s="502">
        <v>0.17</v>
      </c>
      <c r="GW124" s="502">
        <v>0.17</v>
      </c>
      <c r="GX124" s="502">
        <v>0.17</v>
      </c>
      <c r="GY124" s="502">
        <v>0.17</v>
      </c>
      <c r="GZ124" s="497">
        <f>+GZ123/BS!IT69</f>
        <v>0.16729613541762742</v>
      </c>
    </row>
    <row r="125" spans="1:208" x14ac:dyDescent="0.4">
      <c r="A125" s="431"/>
      <c r="B125" s="447" t="s">
        <v>119</v>
      </c>
      <c r="C125" s="448">
        <f>AU125</f>
        <v>4.2806541563041679E-2</v>
      </c>
      <c r="D125" s="448">
        <f>BB125</f>
        <v>5.9137651091466716E-2</v>
      </c>
      <c r="E125" s="448">
        <f>BI125</f>
        <v>6.1140039311700402E-2</v>
      </c>
      <c r="F125" s="448">
        <f>BP125</f>
        <v>5.6905455508474576E-2</v>
      </c>
      <c r="G125" s="448">
        <f>BW125</f>
        <v>4.5880119687268753E-2</v>
      </c>
      <c r="H125" s="448">
        <f>CD125</f>
        <v>5.7383439887728052E-2</v>
      </c>
      <c r="I125" s="448">
        <f>CK125</f>
        <v>6.8152148112983618E-2</v>
      </c>
      <c r="J125" s="448">
        <f>CR125</f>
        <v>6.6356756143881632E-2</v>
      </c>
      <c r="K125" s="448">
        <f>CY125</f>
        <v>6.2204173838209982E-2</v>
      </c>
      <c r="L125" s="448">
        <f>DF125</f>
        <v>6.2247413771191827E-2</v>
      </c>
      <c r="M125" s="448">
        <f>DM125</f>
        <v>6.162505412036369E-2</v>
      </c>
      <c r="N125" s="448">
        <f>DT125</f>
        <v>5.5474587641983021E-2</v>
      </c>
      <c r="O125" s="448">
        <f>EA125</f>
        <v>4.6024727010197636E-2</v>
      </c>
      <c r="P125" s="448">
        <f>EH125</f>
        <v>3.8946546144403529E-2</v>
      </c>
      <c r="Q125" s="448">
        <f>EO125</f>
        <v>3.674057649667406E-2</v>
      </c>
      <c r="R125" s="448">
        <f>EV125</f>
        <v>3.549558940287037E-2</v>
      </c>
      <c r="S125" s="448">
        <f>FC125</f>
        <v>3.8511987958284054E-2</v>
      </c>
      <c r="T125" s="448">
        <f>FJ125</f>
        <v>4.401295833935167E-2</v>
      </c>
      <c r="U125" s="448">
        <f>FQ125</f>
        <v>4.5365048427835564E-2</v>
      </c>
      <c r="V125" s="497">
        <f>FX125</f>
        <v>4.8456630453526467E-2</v>
      </c>
      <c r="W125" s="497">
        <f>GE125</f>
        <v>5.3203776698139152E-2</v>
      </c>
      <c r="X125" s="497">
        <f>GL125</f>
        <v>4.3811926892457893E-2</v>
      </c>
      <c r="Y125" s="497">
        <f>GS125</f>
        <v>4.2574816811511845E-2</v>
      </c>
      <c r="Z125" s="497">
        <f>GZ125</f>
        <v>4.260515459029332E-2</v>
      </c>
      <c r="AA125" s="449"/>
      <c r="AB125" s="449"/>
      <c r="AC125" s="449"/>
      <c r="AD125" s="449"/>
      <c r="AE125" s="449"/>
      <c r="AF125" s="449"/>
      <c r="AG125" s="449"/>
      <c r="AH125" s="449"/>
      <c r="AI125" s="449"/>
      <c r="AJ125" s="449"/>
      <c r="AK125" s="449"/>
      <c r="AL125" s="449"/>
      <c r="AM125" s="449"/>
      <c r="AN125" s="449"/>
      <c r="AP125" s="447" t="s">
        <v>119</v>
      </c>
      <c r="AQ125" s="448" t="s">
        <v>80</v>
      </c>
      <c r="AR125" s="448" t="s">
        <v>80</v>
      </c>
      <c r="AS125" s="448" t="s">
        <v>80</v>
      </c>
      <c r="AT125" s="448" t="s">
        <v>80</v>
      </c>
      <c r="AU125" s="448">
        <f>+AU123/BS!CO20</f>
        <v>4.2806541563041679E-2</v>
      </c>
      <c r="AW125" s="447" t="s">
        <v>119</v>
      </c>
      <c r="AX125" s="448">
        <f>+AX123/BS!CR20</f>
        <v>4.9757914338919927E-2</v>
      </c>
      <c r="AY125" s="448">
        <f>+AY123/BS!CS20</f>
        <v>6.0009548642990927E-2</v>
      </c>
      <c r="AZ125" s="448">
        <f>+AZ123/BS!CT20</f>
        <v>5.9107888376181056E-2</v>
      </c>
      <c r="BA125" s="448">
        <f>+BA123/BS!CU20</f>
        <v>5.9137651091466716E-2</v>
      </c>
      <c r="BB125" s="448">
        <f>+BB123/BS!CV20</f>
        <v>5.9137651091466716E-2</v>
      </c>
      <c r="BD125" s="447" t="s">
        <v>119</v>
      </c>
      <c r="BE125" s="448">
        <f>+BE123/BS!CY20</f>
        <v>6.0603900039214287E-2</v>
      </c>
      <c r="BF125" s="448">
        <f>+BF123/BS!CZ20</f>
        <v>5.5910486745967318E-2</v>
      </c>
      <c r="BG125" s="448">
        <f>+BG123/BS!DA20</f>
        <v>5.7054849662221289E-2</v>
      </c>
      <c r="BH125" s="448">
        <f>+BH123/BS!DB20</f>
        <v>6.1140039311700402E-2</v>
      </c>
      <c r="BI125" s="448">
        <f>+BI123/BS!DC20</f>
        <v>6.1140039311700402E-2</v>
      </c>
      <c r="BK125" s="447" t="s">
        <v>119</v>
      </c>
      <c r="BL125" s="448">
        <f>+BL123/BS!DF20</f>
        <v>6.1115850537450944E-2</v>
      </c>
      <c r="BM125" s="448">
        <f>+BM123/BS!DG20</f>
        <v>6.2761365169297187E-2</v>
      </c>
      <c r="BN125" s="448">
        <f>+BN123/BS!DH20</f>
        <v>6.2526936975765016E-2</v>
      </c>
      <c r="BO125" s="448">
        <f>+BO123/BS!DI20</f>
        <v>5.6905455508474576E-2</v>
      </c>
      <c r="BP125" s="448">
        <f>+BP123/BS!DJ20</f>
        <v>5.6905455508474576E-2</v>
      </c>
      <c r="BR125" s="447" t="s">
        <v>119</v>
      </c>
      <c r="BS125" s="448">
        <f>+BS123/BS!DM20</f>
        <v>5.2041185565314646E-2</v>
      </c>
      <c r="BT125" s="448">
        <f>+BT123/BS!DN20</f>
        <v>4.7868166361496205E-2</v>
      </c>
      <c r="BU125" s="448">
        <f>+BU123/BS!DO20</f>
        <v>4.6810582697614025E-2</v>
      </c>
      <c r="BV125" s="448">
        <f>+BV123/BS!DP20</f>
        <v>4.5880119687268753E-2</v>
      </c>
      <c r="BW125" s="448">
        <f>+BW123/BS!DQ20</f>
        <v>4.5880119687268753E-2</v>
      </c>
      <c r="BY125" s="447" t="s">
        <v>119</v>
      </c>
      <c r="BZ125" s="448">
        <f>+BZ123/BS!DT20</f>
        <v>4.6201560301828877E-2</v>
      </c>
      <c r="CA125" s="448">
        <f>+CA123/BS!DU20</f>
        <v>4.6680132089384756E-2</v>
      </c>
      <c r="CB125" s="448">
        <f>+CB123/BS!DV20</f>
        <v>4.7620561401277933E-2</v>
      </c>
      <c r="CC125" s="448">
        <f>+CC123/BS!DW20</f>
        <v>5.7383439887728052E-2</v>
      </c>
      <c r="CD125" s="448">
        <f>+CD123/BS!DX20</f>
        <v>5.7383439887728052E-2</v>
      </c>
      <c r="CF125" s="447" t="s">
        <v>119</v>
      </c>
      <c r="CG125" s="448">
        <f>+CG123/BS!EA20</f>
        <v>5.8436341161928307E-2</v>
      </c>
      <c r="CH125" s="448">
        <f>+CH123/BS!EB20</f>
        <v>6.4008298501998351E-2</v>
      </c>
      <c r="CI125" s="448">
        <f>+CI123/BS!EC20</f>
        <v>6.5568329259829208E-2</v>
      </c>
      <c r="CJ125" s="448">
        <f>+CJ123/BS!ED20</f>
        <v>6.8152148112983618E-2</v>
      </c>
      <c r="CK125" s="448">
        <f>+CK123/BS!EE20</f>
        <v>6.8152148112983618E-2</v>
      </c>
      <c r="CM125" s="447" t="s">
        <v>119</v>
      </c>
      <c r="CN125" s="448">
        <f>+CN123/BS!EH20</f>
        <v>7.0201752838068343E-2</v>
      </c>
      <c r="CO125" s="448">
        <f>+CO123/BS!EI20</f>
        <v>7.4387566443263234E-2</v>
      </c>
      <c r="CP125" s="448">
        <f>+CP123/BS!EJ20</f>
        <v>7.6841804683038265E-2</v>
      </c>
      <c r="CQ125" s="448">
        <f>+CQ123/BS!EK20</f>
        <v>6.6356756143881632E-2</v>
      </c>
      <c r="CR125" s="448">
        <f>+CR123/BS!EL20</f>
        <v>6.6356756143881632E-2</v>
      </c>
      <c r="CT125" s="447" t="s">
        <v>119</v>
      </c>
      <c r="CU125" s="448">
        <f>+CU123/BS!EO20</f>
        <v>6.6238717273084044E-2</v>
      </c>
      <c r="CV125" s="448">
        <f>+CV123/BS!EP20</f>
        <v>6.0942211402805056E-2</v>
      </c>
      <c r="CW125" s="448">
        <f>+CW123/BS!EQ20</f>
        <v>5.99939951415236E-2</v>
      </c>
      <c r="CX125" s="448">
        <f>+CX123/BS!ER20</f>
        <v>6.2204173838209982E-2</v>
      </c>
      <c r="CY125" s="448">
        <f>+CY123/BS!ES20</f>
        <v>6.2204173838209982E-2</v>
      </c>
      <c r="DA125" s="447" t="s">
        <v>119</v>
      </c>
      <c r="DB125" s="448">
        <f>+DB123/BS!EV20</f>
        <v>6.1083927241782791E-2</v>
      </c>
      <c r="DC125" s="448">
        <f>+DC123/BS!EW20</f>
        <v>5.7458563535911604E-2</v>
      </c>
      <c r="DD125" s="448">
        <f>+DD123/BS!EX20</f>
        <v>5.6652739210546803E-2</v>
      </c>
      <c r="DE125" s="448">
        <f>+DE123/BS!EY20</f>
        <v>6.2247413771191827E-2</v>
      </c>
      <c r="DF125" s="448">
        <f>+DF123/BS!EZ20</f>
        <v>6.2247413771191827E-2</v>
      </c>
      <c r="DH125" s="447" t="s">
        <v>119</v>
      </c>
      <c r="DI125" s="448">
        <f>+DI123/BS!FC20</f>
        <v>6.4584170349537964E-2</v>
      </c>
      <c r="DJ125" s="448">
        <f>+DJ123/BS!FD20</f>
        <v>6.8985190881353409E-2</v>
      </c>
      <c r="DK125" s="448">
        <f>+DK123/BS!FE20</f>
        <v>6.8579683177043799E-2</v>
      </c>
      <c r="DL125" s="448">
        <f>+DL123/BS!FF20</f>
        <v>6.162505412036369E-2</v>
      </c>
      <c r="DM125" s="448">
        <f>+DM123/BS!FG20</f>
        <v>6.162505412036369E-2</v>
      </c>
      <c r="DO125" s="447" t="s">
        <v>119</v>
      </c>
      <c r="DP125" s="448">
        <f>+DP123/BS!FJ20</f>
        <v>5.7064373581750864E-2</v>
      </c>
      <c r="DQ125" s="448">
        <f>+DQ123/BS!FK20</f>
        <v>5.526036131774708E-2</v>
      </c>
      <c r="DR125" s="448">
        <f>+DR123/BS!FL20</f>
        <v>5.2504681647940074E-2</v>
      </c>
      <c r="DS125" s="448">
        <f>+DS123/BS!FM20</f>
        <v>5.5474587641983021E-2</v>
      </c>
      <c r="DT125" s="448">
        <f>+DT123/BS!FN20</f>
        <v>5.5474587641983021E-2</v>
      </c>
      <c r="DV125" s="447" t="s">
        <v>119</v>
      </c>
      <c r="DW125" s="448">
        <f>+DW123/BS!FQ20</f>
        <v>5.5623401460863156E-2</v>
      </c>
      <c r="DX125" s="448">
        <f>+DX123/BS!FR20</f>
        <v>5.2273090900779411E-2</v>
      </c>
      <c r="DY125" s="448">
        <f>+DY123/BS!FS20</f>
        <v>5.1468087518421947E-2</v>
      </c>
      <c r="DZ125" s="448">
        <f>+DZ123/BS!FT20</f>
        <v>4.6024727010197636E-2</v>
      </c>
      <c r="EA125" s="448">
        <f>+EA123/BS!FU20</f>
        <v>4.6024727010197636E-2</v>
      </c>
      <c r="EC125" s="447" t="s">
        <v>119</v>
      </c>
      <c r="ED125" s="448">
        <f>+ED123/BS!FX20</f>
        <v>4.4600140580005894E-2</v>
      </c>
      <c r="EE125" s="448">
        <f>+EE123/BS!FY20</f>
        <v>4.3064144811086537E-2</v>
      </c>
      <c r="EF125" s="448">
        <f>+EF123/BS!FZ20</f>
        <v>4.0867708216252671E-2</v>
      </c>
      <c r="EG125" s="448">
        <f>+EG123/BS!GA20</f>
        <v>3.8946546144403529E-2</v>
      </c>
      <c r="EH125" s="448">
        <f>+EH123/BS!GB20</f>
        <v>3.8946546144403529E-2</v>
      </c>
      <c r="EJ125" s="447" t="s">
        <v>119</v>
      </c>
      <c r="EK125" s="448">
        <f>+EK123/BS!GE20</f>
        <v>3.8593673314594207E-2</v>
      </c>
      <c r="EL125" s="448">
        <f>+EL123/BS!GF20</f>
        <v>3.7782643667888104E-2</v>
      </c>
      <c r="EM125" s="448">
        <f>+EM123/BS!GG20</f>
        <v>3.7678841197902782E-2</v>
      </c>
      <c r="EN125" s="448">
        <f>+EN123/BS!GH20</f>
        <v>3.674057649667406E-2</v>
      </c>
      <c r="EO125" s="448">
        <f>+EO123/BS!GI20</f>
        <v>3.674057649667406E-2</v>
      </c>
      <c r="EQ125" s="447" t="s">
        <v>119</v>
      </c>
      <c r="ER125" s="448">
        <f>+ER123/BS!GL20</f>
        <v>3.7390436036835679E-2</v>
      </c>
      <c r="ES125" s="448">
        <f>+ES123/BS!GM20</f>
        <v>3.7262558739823946E-2</v>
      </c>
      <c r="ET125" s="448">
        <f>+ET123/BS!GN20</f>
        <v>3.6886960734656124E-2</v>
      </c>
      <c r="EU125" s="448">
        <f>+EU123/BS!GO20</f>
        <v>3.549558940287037E-2</v>
      </c>
      <c r="EV125" s="448">
        <f>+EV123/BS!GP20</f>
        <v>3.549558940287037E-2</v>
      </c>
      <c r="EX125" s="447" t="s">
        <v>119</v>
      </c>
      <c r="EY125" s="448">
        <f>+EY123/BS!GS20</f>
        <v>3.4018380014475907E-2</v>
      </c>
      <c r="EZ125" s="448">
        <f>+EZ123/BS!GT20</f>
        <v>3.4540840880255504E-2</v>
      </c>
      <c r="FA125" s="448">
        <f>+FA123/BS!GU20</f>
        <v>3.5391338207934928E-2</v>
      </c>
      <c r="FB125" s="448">
        <f>+FB123/BS!GV20</f>
        <v>3.8511987958284054E-2</v>
      </c>
      <c r="FC125" s="448">
        <f>+FC123/BS!GW20</f>
        <v>3.8511987958284054E-2</v>
      </c>
      <c r="FE125" s="447" t="s">
        <v>119</v>
      </c>
      <c r="FF125" s="448">
        <f>+FF123/BS!GZ20</f>
        <v>3.8972466038586173E-2</v>
      </c>
      <c r="FG125" s="448">
        <f>+FG123/BS!HA20</f>
        <v>3.8949542637946297E-2</v>
      </c>
      <c r="FH125" s="448">
        <f>+FH123/BS!HB20</f>
        <v>4.2087401013952322E-2</v>
      </c>
      <c r="FI125" s="448">
        <f>+FI123/BS!HC20</f>
        <v>4.401295833935167E-2</v>
      </c>
      <c r="FJ125" s="448">
        <f>+FJ123/BS!HD20</f>
        <v>4.401295833935167E-2</v>
      </c>
      <c r="FL125" s="447" t="s">
        <v>119</v>
      </c>
      <c r="FM125" s="448">
        <f>+FM123/BS!HG20</f>
        <v>4.6022960229602297E-2</v>
      </c>
      <c r="FN125" s="448">
        <f>+FN123/BS!HH20</f>
        <v>4.7460449625312241E-2</v>
      </c>
      <c r="FO125" s="448">
        <f>+FO123/BS!HI20</f>
        <v>4.6004306614879961E-2</v>
      </c>
      <c r="FP125" s="448">
        <f>+FP123/BS!HJ20</f>
        <v>4.5365048427835564E-2</v>
      </c>
      <c r="FQ125" s="448">
        <f>+FQ123/BS!HK20</f>
        <v>4.5365048427835564E-2</v>
      </c>
      <c r="FS125" s="447" t="s">
        <v>119</v>
      </c>
      <c r="FT125" s="448">
        <f>+FT123/BS!HN20</f>
        <v>4.6525870754884721E-2</v>
      </c>
      <c r="FU125" s="448">
        <f>+FU123/BS!HO20</f>
        <v>4.5667286791344366E-2</v>
      </c>
      <c r="FV125" s="448">
        <f>+FV123/BS!HP20</f>
        <v>4.6249733025260663E-2</v>
      </c>
      <c r="FW125" s="448">
        <f>+FW123/BS!HQ20</f>
        <v>4.8456630453526467E-2</v>
      </c>
      <c r="FX125" s="448">
        <f>+FX123/BS!HR20</f>
        <v>4.8456630453526467E-2</v>
      </c>
      <c r="FZ125" s="447" t="s">
        <v>119</v>
      </c>
      <c r="GA125" s="448">
        <f>+GA123/BS!HU20</f>
        <v>5.1847211147814862E-2</v>
      </c>
      <c r="GB125" s="448">
        <f>+GB123/BS!HV20</f>
        <v>5.5464926590538338E-2</v>
      </c>
      <c r="GC125" s="448">
        <f>+GC123/BS!HW20</f>
        <v>5.6865438883113024E-2</v>
      </c>
      <c r="GD125" s="497">
        <f>+GD123/BS!HX20</f>
        <v>5.0480337336144467E-2</v>
      </c>
      <c r="GE125" s="497">
        <f>+GE123/BS!HY20</f>
        <v>5.3203776698139152E-2</v>
      </c>
      <c r="GG125" s="447" t="s">
        <v>119</v>
      </c>
      <c r="GH125" s="497">
        <f>+GH123/BS!IB20</f>
        <v>4.8086958289816788E-2</v>
      </c>
      <c r="GI125" s="497">
        <f>+GI123/BS!IC20</f>
        <v>4.4771148040153676E-2</v>
      </c>
      <c r="GJ125" s="497">
        <f>+GJ123/BS!ID20</f>
        <v>4.2430718205066061E-2</v>
      </c>
      <c r="GK125" s="497">
        <f>+GK123/BS!IE20</f>
        <v>4.3811926892457893E-2</v>
      </c>
      <c r="GL125" s="497">
        <f>+GL123/BS!IF20</f>
        <v>4.3811926892457893E-2</v>
      </c>
      <c r="GN125" s="447" t="s">
        <v>119</v>
      </c>
      <c r="GO125" s="497">
        <f>+GO123/BS!II20</f>
        <v>4.3424591421812833E-2</v>
      </c>
      <c r="GP125" s="497">
        <f>+GP123/BS!IJ20</f>
        <v>4.3119826381860453E-2</v>
      </c>
      <c r="GQ125" s="497">
        <f>+GQ123/BS!IK20</f>
        <v>4.2853554214382472E-2</v>
      </c>
      <c r="GR125" s="497">
        <f>+GR123/BS!IL20</f>
        <v>4.2574816811511845E-2</v>
      </c>
      <c r="GS125" s="497">
        <f>+GS123/BS!IM20</f>
        <v>4.2574816811511845E-2</v>
      </c>
      <c r="GU125" s="447" t="s">
        <v>119</v>
      </c>
      <c r="GV125" s="497">
        <f>+GV123/BS!IP20</f>
        <v>4.2594700409052492E-2</v>
      </c>
      <c r="GW125" s="497">
        <f>+GW123/BS!IQ20</f>
        <v>4.2605822656008936E-2</v>
      </c>
      <c r="GX125" s="497">
        <f>+GX123/BS!IR20</f>
        <v>4.2610334035725873E-2</v>
      </c>
      <c r="GY125" s="497">
        <f>+GY123/BS!IS20</f>
        <v>4.260515459029332E-2</v>
      </c>
      <c r="GZ125" s="497">
        <f>+GZ123/BS!IT20</f>
        <v>4.260515459029332E-2</v>
      </c>
    </row>
    <row r="126" spans="1:208" x14ac:dyDescent="0.4">
      <c r="A126" s="366"/>
      <c r="B126" s="459"/>
      <c r="C126" s="460"/>
      <c r="D126" s="460"/>
      <c r="E126" s="460"/>
      <c r="F126" s="460"/>
      <c r="G126" s="460"/>
      <c r="H126" s="460"/>
      <c r="I126" s="460"/>
      <c r="J126" s="460"/>
      <c r="K126" s="460"/>
      <c r="L126" s="460"/>
      <c r="M126" s="460"/>
      <c r="N126" s="460"/>
      <c r="O126" s="460"/>
      <c r="P126" s="460"/>
      <c r="Q126" s="460"/>
      <c r="R126" s="460"/>
      <c r="S126" s="460"/>
      <c r="T126" s="460"/>
      <c r="U126" s="460"/>
      <c r="V126" s="460"/>
      <c r="W126" s="460"/>
      <c r="X126" s="460"/>
      <c r="Y126" s="460"/>
      <c r="Z126" s="460"/>
      <c r="AA126" s="461"/>
      <c r="AB126" s="461"/>
      <c r="AC126" s="461"/>
      <c r="AD126" s="461"/>
      <c r="AE126" s="461"/>
      <c r="AF126" s="461"/>
      <c r="AG126" s="461"/>
      <c r="AH126" s="461"/>
      <c r="AI126" s="461"/>
      <c r="AJ126" s="461"/>
      <c r="AK126" s="461"/>
      <c r="AL126" s="461"/>
      <c r="AM126" s="461"/>
      <c r="AN126" s="461"/>
      <c r="AP126" s="459"/>
      <c r="AQ126" s="460"/>
      <c r="AR126" s="460"/>
      <c r="AS126" s="460"/>
      <c r="AT126" s="460"/>
      <c r="AU126" s="460"/>
      <c r="AW126" s="459"/>
      <c r="AX126" s="460"/>
      <c r="AY126" s="460"/>
      <c r="AZ126" s="460"/>
      <c r="BA126" s="460"/>
      <c r="BB126" s="460"/>
      <c r="BD126" s="459"/>
      <c r="BE126" s="460"/>
      <c r="BF126" s="460"/>
      <c r="BG126" s="460"/>
      <c r="BH126" s="460"/>
      <c r="BI126" s="460"/>
      <c r="BK126" s="459"/>
      <c r="BL126" s="460"/>
      <c r="BM126" s="460"/>
      <c r="BN126" s="460"/>
      <c r="BO126" s="460"/>
      <c r="BP126" s="460"/>
      <c r="BR126" s="459"/>
      <c r="BS126" s="460"/>
      <c r="BT126" s="460"/>
      <c r="BU126" s="460"/>
      <c r="BV126" s="460"/>
      <c r="BW126" s="460"/>
      <c r="BY126" s="459"/>
      <c r="BZ126" s="460"/>
      <c r="CA126" s="460"/>
      <c r="CB126" s="460"/>
      <c r="CC126" s="460"/>
      <c r="CD126" s="460"/>
      <c r="CF126" s="459"/>
      <c r="CG126" s="460"/>
      <c r="CH126" s="460"/>
      <c r="CI126" s="460"/>
      <c r="CJ126" s="460"/>
      <c r="CK126" s="460"/>
      <c r="CM126" s="459"/>
      <c r="CN126" s="460"/>
      <c r="CO126" s="460"/>
      <c r="CP126" s="460"/>
      <c r="CQ126" s="460"/>
      <c r="CR126" s="460"/>
      <c r="CT126" s="459"/>
      <c r="CU126" s="460"/>
      <c r="CV126" s="460"/>
      <c r="CW126" s="460"/>
      <c r="CX126" s="460"/>
      <c r="CY126" s="460"/>
      <c r="DA126" s="459"/>
      <c r="DB126" s="460"/>
      <c r="DC126" s="460"/>
      <c r="DD126" s="460"/>
      <c r="DE126" s="460"/>
      <c r="DF126" s="460"/>
      <c r="DH126" s="459"/>
      <c r="DI126" s="460"/>
      <c r="DJ126" s="460"/>
      <c r="DK126" s="460"/>
      <c r="DL126" s="460"/>
      <c r="DM126" s="460"/>
      <c r="DO126" s="459"/>
      <c r="DP126" s="460"/>
      <c r="DQ126" s="460"/>
      <c r="DR126" s="460"/>
      <c r="DS126" s="460"/>
      <c r="DT126" s="460"/>
      <c r="DV126" s="459"/>
      <c r="DW126" s="460"/>
      <c r="DX126" s="460"/>
      <c r="DY126" s="460"/>
      <c r="DZ126" s="460"/>
      <c r="EA126" s="460"/>
      <c r="EC126" s="459"/>
      <c r="ED126" s="460"/>
      <c r="EE126" s="460"/>
      <c r="EF126" s="460"/>
      <c r="EG126" s="460"/>
      <c r="EH126" s="460"/>
      <c r="EJ126" s="459"/>
      <c r="EK126" s="460"/>
      <c r="EL126" s="460"/>
      <c r="EM126" s="460"/>
      <c r="EN126" s="460"/>
      <c r="EO126" s="460"/>
      <c r="EQ126" s="459"/>
      <c r="ER126" s="460"/>
      <c r="ES126" s="460"/>
      <c r="ET126" s="460"/>
      <c r="EU126" s="460"/>
      <c r="EV126" s="460"/>
      <c r="EX126" s="459"/>
      <c r="EY126" s="460"/>
      <c r="EZ126" s="460"/>
      <c r="FA126" s="460"/>
      <c r="FB126" s="460"/>
      <c r="FC126" s="460"/>
      <c r="FE126" s="459"/>
      <c r="FF126" s="460"/>
      <c r="FG126" s="460"/>
      <c r="FH126" s="460"/>
      <c r="FI126" s="460"/>
      <c r="FJ126" s="460"/>
      <c r="FL126" s="459"/>
      <c r="FM126" s="460"/>
      <c r="FN126" s="460"/>
      <c r="FO126" s="460"/>
      <c r="FP126" s="460"/>
      <c r="FQ126" s="460"/>
      <c r="FS126" s="459"/>
      <c r="FT126" s="460"/>
      <c r="FU126" s="460"/>
      <c r="FV126" s="460"/>
      <c r="FW126" s="460"/>
      <c r="FX126" s="460"/>
      <c r="FZ126" s="459"/>
      <c r="GA126" s="460"/>
      <c r="GB126" s="460"/>
      <c r="GC126" s="460"/>
      <c r="GD126" s="460"/>
      <c r="GE126" s="460"/>
      <c r="GG126" s="459"/>
      <c r="GH126" s="460"/>
      <c r="GI126" s="460"/>
      <c r="GJ126" s="460"/>
      <c r="GK126" s="460"/>
      <c r="GL126" s="460"/>
      <c r="GN126" s="459"/>
      <c r="GO126" s="460"/>
      <c r="GP126" s="460"/>
      <c r="GQ126" s="460"/>
      <c r="GR126" s="460"/>
      <c r="GS126" s="460"/>
      <c r="GU126" s="459"/>
      <c r="GV126" s="460"/>
      <c r="GW126" s="460"/>
      <c r="GX126" s="460"/>
      <c r="GY126" s="460"/>
      <c r="GZ126" s="460"/>
    </row>
    <row r="127" spans="1:208" x14ac:dyDescent="0.4">
      <c r="A127" s="452"/>
      <c r="B127" s="443" t="s">
        <v>121</v>
      </c>
      <c r="C127" s="444">
        <f>AU127</f>
        <v>1108</v>
      </c>
      <c r="D127" s="444">
        <f>BB127</f>
        <v>0</v>
      </c>
      <c r="E127" s="444">
        <f>BI127</f>
        <v>0</v>
      </c>
      <c r="F127" s="444">
        <f>BP127</f>
        <v>0</v>
      </c>
      <c r="G127" s="444">
        <f>BW127</f>
        <v>45</v>
      </c>
      <c r="H127" s="444">
        <f>CD127</f>
        <v>108</v>
      </c>
      <c r="I127" s="444">
        <f>CK127</f>
        <v>240</v>
      </c>
      <c r="J127" s="444">
        <f>CR127</f>
        <v>186</v>
      </c>
      <c r="K127" s="444">
        <f>CY127</f>
        <v>53</v>
      </c>
      <c r="L127" s="444">
        <f>DF127</f>
        <v>62</v>
      </c>
      <c r="M127" s="444">
        <f>DM127</f>
        <v>147</v>
      </c>
      <c r="N127" s="444">
        <f>DT127</f>
        <v>195</v>
      </c>
      <c r="O127" s="444">
        <f>EA127</f>
        <v>97</v>
      </c>
      <c r="P127" s="444">
        <f>EH127</f>
        <v>319</v>
      </c>
      <c r="Q127" s="444">
        <f>EO127</f>
        <v>254</v>
      </c>
      <c r="R127" s="444">
        <f>EV127</f>
        <v>56</v>
      </c>
      <c r="S127" s="444">
        <f>FC127</f>
        <v>529</v>
      </c>
      <c r="T127" s="444">
        <f>FJ127</f>
        <v>246</v>
      </c>
      <c r="U127" s="444">
        <f>FQ127</f>
        <v>52</v>
      </c>
      <c r="V127" s="496">
        <f>FX127</f>
        <v>66</v>
      </c>
      <c r="W127" s="496">
        <f>GE127</f>
        <v>78</v>
      </c>
      <c r="X127" s="496">
        <f>GL127</f>
        <v>200</v>
      </c>
      <c r="Y127" s="496">
        <f>GS127</f>
        <v>200</v>
      </c>
      <c r="Z127" s="496">
        <f>GZ127</f>
        <v>200</v>
      </c>
      <c r="AA127" s="445"/>
      <c r="AB127" s="445"/>
      <c r="AC127" s="445"/>
      <c r="AD127" s="445"/>
      <c r="AE127" s="445"/>
      <c r="AF127" s="445"/>
      <c r="AG127" s="445"/>
      <c r="AH127" s="445"/>
      <c r="AI127" s="445"/>
      <c r="AJ127" s="445"/>
      <c r="AK127" s="445"/>
      <c r="AL127" s="445"/>
      <c r="AM127" s="445"/>
      <c r="AN127" s="445"/>
      <c r="AP127" s="443" t="s">
        <v>121</v>
      </c>
      <c r="AQ127" s="444">
        <f>+CF!AQ38+CF!AQ39+CF!AQ41</f>
        <v>1108</v>
      </c>
      <c r="AR127" s="444">
        <f>+CF!AR38+CF!AR39+CF!AR41</f>
        <v>0</v>
      </c>
      <c r="AS127" s="444">
        <f>+CF!AS38+CF!AS39+CF!AS41</f>
        <v>0</v>
      </c>
      <c r="AT127" s="444">
        <f>+CF!AT38+CF!AT39+CF!AT41</f>
        <v>0</v>
      </c>
      <c r="AU127" s="444">
        <f>+CF!AU38+CF!AU39+CF!AU41</f>
        <v>1108</v>
      </c>
      <c r="AW127" s="443" t="s">
        <v>121</v>
      </c>
      <c r="AX127" s="444">
        <f>+CF!AX38+CF!AX39+CF!AX41</f>
        <v>0</v>
      </c>
      <c r="AY127" s="444">
        <f>+CF!AY38+CF!AY39+CF!AY41</f>
        <v>0</v>
      </c>
      <c r="AZ127" s="444">
        <f>+CF!AZ38+CF!AZ39+CF!AZ41</f>
        <v>0</v>
      </c>
      <c r="BA127" s="444">
        <f>+CF!BA38+CF!BA39+CF!BA41</f>
        <v>0</v>
      </c>
      <c r="BB127" s="444">
        <f>+CF!BB38+CF!BB39+CF!BB41</f>
        <v>0</v>
      </c>
      <c r="BD127" s="443" t="s">
        <v>121</v>
      </c>
      <c r="BE127" s="444">
        <f>+CF!BE38+CF!BE39+CF!BE41</f>
        <v>0</v>
      </c>
      <c r="BF127" s="444">
        <f>+CF!BF38+CF!BF39+CF!BF41</f>
        <v>0</v>
      </c>
      <c r="BG127" s="444">
        <f>+CF!BG38+CF!BG39+CF!BG41</f>
        <v>0</v>
      </c>
      <c r="BH127" s="444">
        <f>+CF!BH38+CF!BH39+CF!BH41</f>
        <v>0</v>
      </c>
      <c r="BI127" s="444">
        <f>+CF!BI38+CF!BI39+CF!BI41</f>
        <v>0</v>
      </c>
      <c r="BK127" s="443" t="s">
        <v>121</v>
      </c>
      <c r="BL127" s="444">
        <f>+CF!BL38+CF!BL39+CF!BL41</f>
        <v>0</v>
      </c>
      <c r="BM127" s="444">
        <f>+CF!BM38+CF!BM39+CF!BM41</f>
        <v>0</v>
      </c>
      <c r="BN127" s="444">
        <f>+CF!BN38+CF!BN39+CF!BN41</f>
        <v>0</v>
      </c>
      <c r="BO127" s="444">
        <f>+CF!BO38+CF!BO39+CF!BO41</f>
        <v>0</v>
      </c>
      <c r="BP127" s="444">
        <f>+CF!BP38+CF!BP39+CF!BP41</f>
        <v>0</v>
      </c>
      <c r="BR127" s="443" t="s">
        <v>121</v>
      </c>
      <c r="BS127" s="444">
        <f>+CF!BS38+CF!BS39+CF!BS41</f>
        <v>0</v>
      </c>
      <c r="BT127" s="444">
        <f>+CF!BT38+CF!BT39+CF!BT41</f>
        <v>0</v>
      </c>
      <c r="BU127" s="444">
        <f>+CF!BU38+CF!BU39+CF!BU41</f>
        <v>0</v>
      </c>
      <c r="BV127" s="444">
        <f>+CF!BV38+CF!BV39+CF!BV41</f>
        <v>45</v>
      </c>
      <c r="BW127" s="444">
        <f>+CF!BW38+CF!BW39+CF!BW41</f>
        <v>45</v>
      </c>
      <c r="BY127" s="443" t="s">
        <v>121</v>
      </c>
      <c r="BZ127" s="444">
        <f>+CF!BZ38+CF!BZ39+CF!BZ41</f>
        <v>0</v>
      </c>
      <c r="CA127" s="444">
        <f>+CF!CA38+CF!CA39+CF!CA41</f>
        <v>0</v>
      </c>
      <c r="CB127" s="444">
        <f>+CF!CB38+CF!CB39+CF!CB41</f>
        <v>0</v>
      </c>
      <c r="CC127" s="444">
        <f>+CF!CC38+CF!CC39+CF!CC41</f>
        <v>108</v>
      </c>
      <c r="CD127" s="444">
        <f>+CF!CD38+CF!CD39+CF!CD41</f>
        <v>108</v>
      </c>
      <c r="CF127" s="443" t="s">
        <v>121</v>
      </c>
      <c r="CG127" s="444">
        <f>+CF!CG38+CF!CG39+CF!CG41</f>
        <v>0</v>
      </c>
      <c r="CH127" s="444">
        <f>+CF!CH38+CF!CH39+CF!CH41</f>
        <v>0</v>
      </c>
      <c r="CI127" s="444">
        <f>+CF!CI38+CF!CI39+CF!CI41</f>
        <v>0</v>
      </c>
      <c r="CJ127" s="444">
        <f>+CF!CJ38+CF!CJ39+CF!CJ41</f>
        <v>240</v>
      </c>
      <c r="CK127" s="444">
        <f>+CF!CK38+CF!CK39+CF!CK41</f>
        <v>240</v>
      </c>
      <c r="CM127" s="443" t="s">
        <v>121</v>
      </c>
      <c r="CN127" s="444">
        <f>+CF!CN38+CF!CN39+CF!CN41</f>
        <v>0</v>
      </c>
      <c r="CO127" s="444">
        <f>+CF!CO38+CF!CO39+CF!CO41</f>
        <v>0</v>
      </c>
      <c r="CP127" s="444">
        <f>+CF!CP38+CF!CP39+CF!CP41</f>
        <v>0</v>
      </c>
      <c r="CQ127" s="444">
        <f>+CF!CQ38+CF!CQ39+CF!CQ41</f>
        <v>186</v>
      </c>
      <c r="CR127" s="444">
        <f>+CF!CR38+CF!CR39+CF!CR41</f>
        <v>186</v>
      </c>
      <c r="CT127" s="443" t="s">
        <v>121</v>
      </c>
      <c r="CU127" s="444">
        <f>+CF!CU38+CF!CU39+CF!CU41</f>
        <v>0</v>
      </c>
      <c r="CV127" s="444">
        <f>+CF!CV38+CF!CV39+CF!CV41</f>
        <v>0</v>
      </c>
      <c r="CW127" s="444">
        <f>+CF!CW38+CF!CW39+CF!CW41</f>
        <v>0</v>
      </c>
      <c r="CX127" s="444">
        <f>+CF!CX38+CF!CX39+CF!CX41</f>
        <v>53</v>
      </c>
      <c r="CY127" s="444">
        <f>+CF!CY38+CF!CY39+CF!CY41</f>
        <v>53</v>
      </c>
      <c r="DA127" s="443" t="s">
        <v>121</v>
      </c>
      <c r="DB127" s="444">
        <f>+CF!DB38+CF!DB39+CF!DB41</f>
        <v>0</v>
      </c>
      <c r="DC127" s="444">
        <f>+CF!DC38+CF!DC39+CF!DC41</f>
        <v>37</v>
      </c>
      <c r="DD127" s="444">
        <f>+CF!DD38+CF!DD39+CF!DD41</f>
        <v>20</v>
      </c>
      <c r="DE127" s="444">
        <f>+CF!DE38+CF!DE39+CF!DE41</f>
        <v>5</v>
      </c>
      <c r="DF127" s="444">
        <f>+CF!DF38+CF!DF39+CF!DF41</f>
        <v>62</v>
      </c>
      <c r="DH127" s="443" t="s">
        <v>121</v>
      </c>
      <c r="DI127" s="444">
        <f>+CF!DI38+CF!DI39+CF!DI41</f>
        <v>0</v>
      </c>
      <c r="DJ127" s="444">
        <f>+CF!DJ38+CF!DJ39+CF!DJ41</f>
        <v>47</v>
      </c>
      <c r="DK127" s="444">
        <f>+CF!DK38+CF!DK39+CF!DK41</f>
        <v>-1</v>
      </c>
      <c r="DL127" s="444">
        <f>+CF!DL38+CF!DL39+CF!DL41</f>
        <v>101</v>
      </c>
      <c r="DM127" s="444">
        <f>+CF!DM38+CF!DM39+CF!DM41</f>
        <v>147</v>
      </c>
      <c r="DO127" s="443" t="s">
        <v>121</v>
      </c>
      <c r="DP127" s="444">
        <f>+CF!DP38+CF!DP39+CF!DP41</f>
        <v>0</v>
      </c>
      <c r="DQ127" s="444">
        <f>+CF!DQ38+CF!DQ39+CF!DQ41</f>
        <v>0</v>
      </c>
      <c r="DR127" s="444">
        <f>+CF!DR38+CF!DR39+CF!DR41</f>
        <v>0</v>
      </c>
      <c r="DS127" s="444">
        <f>+CF!DS38+CF!DS39+CF!DS41</f>
        <v>195</v>
      </c>
      <c r="DT127" s="444">
        <f>+CF!DT38+CF!DT39+CF!DT41</f>
        <v>195</v>
      </c>
      <c r="DV127" s="443" t="s">
        <v>121</v>
      </c>
      <c r="DW127" s="444">
        <f>+CF!DW38+CF!DW39+CF!DW41</f>
        <v>13</v>
      </c>
      <c r="DX127" s="444">
        <f>+CF!DX38+CF!DX39+CF!DX41</f>
        <v>3</v>
      </c>
      <c r="DY127" s="444">
        <f>+CF!DY38+CF!DY39+CF!DY41</f>
        <v>22</v>
      </c>
      <c r="DZ127" s="444">
        <f>+CF!DZ38+CF!DZ39+CF!DZ41</f>
        <v>59</v>
      </c>
      <c r="EA127" s="444">
        <f>+CF!EA38+CF!EA39+CF!EA41</f>
        <v>97</v>
      </c>
      <c r="EC127" s="443" t="s">
        <v>121</v>
      </c>
      <c r="ED127" s="444">
        <f>+CF!ED38+CF!ED39+CF!ED41</f>
        <v>52</v>
      </c>
      <c r="EE127" s="444">
        <f>+CF!EE38+CF!EE39+CF!EE41</f>
        <v>89</v>
      </c>
      <c r="EF127" s="444">
        <f>+CF!EF38+CF!EF39+CF!EF41</f>
        <v>116</v>
      </c>
      <c r="EG127" s="444">
        <f>+CF!EG38+CF!EG39+CF!EG41</f>
        <v>62</v>
      </c>
      <c r="EH127" s="444">
        <f>+CF!EH38+CF!EH39+CF!EH41</f>
        <v>319</v>
      </c>
      <c r="EJ127" s="443" t="s">
        <v>121</v>
      </c>
      <c r="EK127" s="444">
        <f>+CF!EK38+CF!EK39+CF!EK41</f>
        <v>48</v>
      </c>
      <c r="EL127" s="444">
        <f>+CF!EL38+CF!EL39+CF!EL41</f>
        <v>98</v>
      </c>
      <c r="EM127" s="444">
        <f>+CF!EM38+CF!EM39+CF!EM41</f>
        <v>72</v>
      </c>
      <c r="EN127" s="444">
        <f>+CF!EN38+CF!EN39+CF!EN41</f>
        <v>36</v>
      </c>
      <c r="EO127" s="444">
        <f>+CF!EO38+CF!EO39+CF!EO41</f>
        <v>254</v>
      </c>
      <c r="EQ127" s="443" t="s">
        <v>121</v>
      </c>
      <c r="ER127" s="444">
        <f>+CF!ER38+CF!ER39+CF!ER41</f>
        <v>35</v>
      </c>
      <c r="ES127" s="444">
        <f>+CF!ES38+CF!ES39+CF!ES41</f>
        <v>10</v>
      </c>
      <c r="ET127" s="444">
        <f>+CF!ET38+CF!ET39+CF!ET41</f>
        <v>6</v>
      </c>
      <c r="EU127" s="444">
        <f>+CF!EU38+CF!EU39+CF!EU41</f>
        <v>5</v>
      </c>
      <c r="EV127" s="444">
        <f>+CF!EV38+CF!EV39+CF!EV41</f>
        <v>56</v>
      </c>
      <c r="EX127" s="443" t="s">
        <v>121</v>
      </c>
      <c r="EY127" s="444">
        <f>+CF!EY38+CF!EY39+CF!EY41</f>
        <v>0</v>
      </c>
      <c r="EZ127" s="444">
        <f>+CF!EZ38+CF!EZ39+CF!EZ41</f>
        <v>227</v>
      </c>
      <c r="FA127" s="444">
        <f>+CF!FA38+CF!FA39+CF!FA41</f>
        <v>70</v>
      </c>
      <c r="FB127" s="444">
        <f>+CF!FB38+CF!FB39+CF!FB41</f>
        <v>232</v>
      </c>
      <c r="FC127" s="444">
        <f>+CF!FC38+CF!FC39+CF!FC41</f>
        <v>529</v>
      </c>
      <c r="FE127" s="443" t="s">
        <v>121</v>
      </c>
      <c r="FF127" s="444">
        <f>+CF!FF38+CF!FF39+CF!FF41</f>
        <v>0</v>
      </c>
      <c r="FG127" s="444">
        <f>+CF!FG38+CF!FG39+CF!FG41</f>
        <v>29</v>
      </c>
      <c r="FH127" s="444">
        <f>+CF!FH38+CF!FH39+CF!FH41</f>
        <v>22</v>
      </c>
      <c r="FI127" s="444">
        <f>+CF!FI38+CF!FI39+CF!FI41</f>
        <v>195</v>
      </c>
      <c r="FJ127" s="444">
        <f>+CF!FJ38+CF!FJ39+CF!FJ41</f>
        <v>246</v>
      </c>
      <c r="FL127" s="443" t="s">
        <v>121</v>
      </c>
      <c r="FM127" s="444">
        <f>+CF!FM38+CF!FM39+CF!FM41</f>
        <v>8</v>
      </c>
      <c r="FN127" s="444">
        <f>+CF!FN38+CF!FN39+CF!FN41</f>
        <v>27</v>
      </c>
      <c r="FO127" s="444">
        <f>+CF!FO38+CF!FO39+CF!FO41</f>
        <v>0</v>
      </c>
      <c r="FP127" s="444">
        <f>+CF!FP38+CF!FP39+CF!FP41</f>
        <v>17</v>
      </c>
      <c r="FQ127" s="444">
        <f>+CF!FQ38+CF!FQ39+CF!FQ41</f>
        <v>52</v>
      </c>
      <c r="FS127" s="443" t="s">
        <v>121</v>
      </c>
      <c r="FT127" s="444">
        <f>+CF!FT38+CF!FT39+CF!FT41</f>
        <v>11</v>
      </c>
      <c r="FU127" s="444">
        <f>+CF!FU38+CF!FU39+CF!FU41</f>
        <v>32</v>
      </c>
      <c r="FV127" s="444">
        <f>+CF!FV38+CF!FV39+CF!FV41</f>
        <v>38</v>
      </c>
      <c r="FW127" s="444">
        <f>+CF!FW38+CF!FW39+CF!FW41</f>
        <v>-15</v>
      </c>
      <c r="FX127" s="444">
        <f>+CF!FX38+CF!FX39+CF!FX41</f>
        <v>66</v>
      </c>
      <c r="FZ127" s="443" t="s">
        <v>121</v>
      </c>
      <c r="GA127" s="444">
        <f>+CF!GA38+CF!GA39+CF!GA41</f>
        <v>23</v>
      </c>
      <c r="GB127" s="444">
        <f>+CF!GB38+CF!GB39+CF!GB41</f>
        <v>26</v>
      </c>
      <c r="GC127" s="444">
        <f>+CF!GC38+CF!GC39+CF!GC41</f>
        <v>23</v>
      </c>
      <c r="GD127" s="505">
        <v>25</v>
      </c>
      <c r="GE127" s="496">
        <f>+CF!GE38+CF!GE39+CF!GE41</f>
        <v>78</v>
      </c>
      <c r="GG127" s="443" t="s">
        <v>121</v>
      </c>
      <c r="GH127" s="505">
        <v>50</v>
      </c>
      <c r="GI127" s="505">
        <v>50</v>
      </c>
      <c r="GJ127" s="505">
        <v>50</v>
      </c>
      <c r="GK127" s="505">
        <v>50</v>
      </c>
      <c r="GL127" s="496">
        <f>+CF!GL38+CF!GL39+CF!GL41</f>
        <v>200</v>
      </c>
      <c r="GN127" s="443" t="s">
        <v>121</v>
      </c>
      <c r="GO127" s="505">
        <v>50</v>
      </c>
      <c r="GP127" s="505">
        <v>50</v>
      </c>
      <c r="GQ127" s="505">
        <v>50</v>
      </c>
      <c r="GR127" s="505">
        <v>50</v>
      </c>
      <c r="GS127" s="496">
        <f>+CF!GS38+CF!GS39+CF!GS41</f>
        <v>200</v>
      </c>
      <c r="GU127" s="443" t="s">
        <v>121</v>
      </c>
      <c r="GV127" s="505">
        <v>50</v>
      </c>
      <c r="GW127" s="505">
        <v>50</v>
      </c>
      <c r="GX127" s="505">
        <v>50</v>
      </c>
      <c r="GY127" s="505">
        <v>50</v>
      </c>
      <c r="GZ127" s="496">
        <f>+CF!GZ38+CF!GZ39+CF!GZ41</f>
        <v>200</v>
      </c>
    </row>
    <row r="128" spans="1:208" x14ac:dyDescent="0.4">
      <c r="A128" s="58"/>
      <c r="B128" s="443" t="s">
        <v>122</v>
      </c>
      <c r="C128" s="444">
        <f>AU128</f>
        <v>1108</v>
      </c>
      <c r="D128" s="444">
        <f>BB128</f>
        <v>0</v>
      </c>
      <c r="E128" s="444">
        <f>BI128</f>
        <v>0</v>
      </c>
      <c r="F128" s="444">
        <f>BP128</f>
        <v>0</v>
      </c>
      <c r="G128" s="444">
        <f>BW128</f>
        <v>45</v>
      </c>
      <c r="H128" s="444">
        <f>CD128</f>
        <v>108</v>
      </c>
      <c r="I128" s="444">
        <f>CK128</f>
        <v>240</v>
      </c>
      <c r="J128" s="444">
        <f>CR128</f>
        <v>186</v>
      </c>
      <c r="K128" s="444">
        <f>CY128</f>
        <v>53</v>
      </c>
      <c r="L128" s="444">
        <f>DF128</f>
        <v>62</v>
      </c>
      <c r="M128" s="444">
        <f>DM128</f>
        <v>147</v>
      </c>
      <c r="N128" s="444">
        <f>DT128</f>
        <v>195</v>
      </c>
      <c r="O128" s="444">
        <f>EA128</f>
        <v>97</v>
      </c>
      <c r="P128" s="444">
        <f>EH128</f>
        <v>319</v>
      </c>
      <c r="Q128" s="444">
        <f>EO128</f>
        <v>254</v>
      </c>
      <c r="R128" s="444">
        <f>EV128</f>
        <v>56</v>
      </c>
      <c r="S128" s="444">
        <f>FC128</f>
        <v>529</v>
      </c>
      <c r="T128" s="444">
        <f>FJ128</f>
        <v>246</v>
      </c>
      <c r="U128" s="444">
        <f>FQ128</f>
        <v>52</v>
      </c>
      <c r="V128" s="496">
        <f>FX128</f>
        <v>66</v>
      </c>
      <c r="W128" s="496">
        <f>GE128</f>
        <v>97</v>
      </c>
      <c r="X128" s="496">
        <f>GL128</f>
        <v>200</v>
      </c>
      <c r="Y128" s="496">
        <f>GS128</f>
        <v>200</v>
      </c>
      <c r="Z128" s="496">
        <f>GZ128</f>
        <v>200</v>
      </c>
      <c r="AA128" s="445"/>
      <c r="AB128" s="445"/>
      <c r="AC128" s="445"/>
      <c r="AD128" s="445"/>
      <c r="AE128" s="445"/>
      <c r="AF128" s="445"/>
      <c r="AG128" s="445"/>
      <c r="AH128" s="445"/>
      <c r="AI128" s="445"/>
      <c r="AJ128" s="445"/>
      <c r="AK128" s="445"/>
      <c r="AL128" s="445"/>
      <c r="AM128" s="445"/>
      <c r="AN128" s="445"/>
      <c r="AP128" s="443" t="s">
        <v>122</v>
      </c>
      <c r="AQ128" s="444">
        <f>+AQ127</f>
        <v>1108</v>
      </c>
      <c r="AR128" s="444">
        <f>+SUM(AQ127:AR127)</f>
        <v>1108</v>
      </c>
      <c r="AS128" s="444">
        <f>+SUM(AQ127:AS127)</f>
        <v>1108</v>
      </c>
      <c r="AT128" s="444">
        <f>+SUM(AQ127:AT127)</f>
        <v>1108</v>
      </c>
      <c r="AU128" s="444">
        <f>+AT128</f>
        <v>1108</v>
      </c>
      <c r="AW128" s="443" t="s">
        <v>122</v>
      </c>
      <c r="AX128" s="444">
        <f>+AX127</f>
        <v>0</v>
      </c>
      <c r="AY128" s="444">
        <f>+SUM(AX127:AY127)</f>
        <v>0</v>
      </c>
      <c r="AZ128" s="444">
        <f>+SUM(AX127:AZ127)</f>
        <v>0</v>
      </c>
      <c r="BA128" s="444">
        <f>+SUM(AX127:BA127)</f>
        <v>0</v>
      </c>
      <c r="BB128" s="444">
        <f>+BA128</f>
        <v>0</v>
      </c>
      <c r="BD128" s="443" t="s">
        <v>122</v>
      </c>
      <c r="BE128" s="444">
        <f>+BE127</f>
        <v>0</v>
      </c>
      <c r="BF128" s="444">
        <f>+SUM(BE127:BF127)</f>
        <v>0</v>
      </c>
      <c r="BG128" s="444">
        <f>+SUM(BE127:BG127)</f>
        <v>0</v>
      </c>
      <c r="BH128" s="444">
        <f>+SUM(BE127:BH127)</f>
        <v>0</v>
      </c>
      <c r="BI128" s="444">
        <f>+BH128</f>
        <v>0</v>
      </c>
      <c r="BK128" s="443" t="s">
        <v>122</v>
      </c>
      <c r="BL128" s="444">
        <f>+BL127</f>
        <v>0</v>
      </c>
      <c r="BM128" s="444">
        <f>+SUM(BL127:BM127)</f>
        <v>0</v>
      </c>
      <c r="BN128" s="444">
        <f>+SUM(BL127:BN127)</f>
        <v>0</v>
      </c>
      <c r="BO128" s="444">
        <f>+SUM(BL127:BO127)</f>
        <v>0</v>
      </c>
      <c r="BP128" s="444">
        <f>+BO128</f>
        <v>0</v>
      </c>
      <c r="BR128" s="443" t="s">
        <v>122</v>
      </c>
      <c r="BS128" s="444">
        <f>+BS127</f>
        <v>0</v>
      </c>
      <c r="BT128" s="444">
        <f>+SUM(BS127:BT127)</f>
        <v>0</v>
      </c>
      <c r="BU128" s="444">
        <f>+SUM(BS127:BU127)</f>
        <v>0</v>
      </c>
      <c r="BV128" s="444">
        <f>+SUM(BS127:BV127)</f>
        <v>45</v>
      </c>
      <c r="BW128" s="444">
        <f>+BV128</f>
        <v>45</v>
      </c>
      <c r="BY128" s="443" t="s">
        <v>122</v>
      </c>
      <c r="BZ128" s="444">
        <f>+BZ127</f>
        <v>0</v>
      </c>
      <c r="CA128" s="444">
        <f>+SUM(BZ127:CA127)</f>
        <v>0</v>
      </c>
      <c r="CB128" s="444">
        <f>+SUM(BZ127:CB127)</f>
        <v>0</v>
      </c>
      <c r="CC128" s="444">
        <f>+SUM(BZ127:CC127)</f>
        <v>108</v>
      </c>
      <c r="CD128" s="444">
        <f>+CC128</f>
        <v>108</v>
      </c>
      <c r="CF128" s="443" t="s">
        <v>122</v>
      </c>
      <c r="CG128" s="444">
        <f>+CG127</f>
        <v>0</v>
      </c>
      <c r="CH128" s="444">
        <f>+SUM(CG127:CH127)</f>
        <v>0</v>
      </c>
      <c r="CI128" s="444">
        <f>+SUM(CG127:CI127)</f>
        <v>0</v>
      </c>
      <c r="CJ128" s="444">
        <f>+SUM(CG127:CJ127)</f>
        <v>240</v>
      </c>
      <c r="CK128" s="444">
        <f>+CJ128</f>
        <v>240</v>
      </c>
      <c r="CM128" s="443" t="s">
        <v>122</v>
      </c>
      <c r="CN128" s="444">
        <f>+CN127</f>
        <v>0</v>
      </c>
      <c r="CO128" s="444">
        <f>+SUM(CN127:CO127)</f>
        <v>0</v>
      </c>
      <c r="CP128" s="444">
        <f>+SUM(CN127:CP127)</f>
        <v>0</v>
      </c>
      <c r="CQ128" s="444">
        <f>+SUM(CN127:CQ127)</f>
        <v>186</v>
      </c>
      <c r="CR128" s="444">
        <f>+CQ128</f>
        <v>186</v>
      </c>
      <c r="CT128" s="443" t="s">
        <v>122</v>
      </c>
      <c r="CU128" s="444">
        <f>+CU127</f>
        <v>0</v>
      </c>
      <c r="CV128" s="444">
        <f>+SUM(CU127:CV127)</f>
        <v>0</v>
      </c>
      <c r="CW128" s="444">
        <f>+SUM(CU127:CW127)</f>
        <v>0</v>
      </c>
      <c r="CX128" s="444">
        <f>+SUM(CU127:CX127)</f>
        <v>53</v>
      </c>
      <c r="CY128" s="444">
        <f>+CX128</f>
        <v>53</v>
      </c>
      <c r="DA128" s="443" t="s">
        <v>122</v>
      </c>
      <c r="DB128" s="444">
        <f>+DB127</f>
        <v>0</v>
      </c>
      <c r="DC128" s="444">
        <f>+SUM(DB127:DC127)</f>
        <v>37</v>
      </c>
      <c r="DD128" s="444">
        <f>+SUM(DB127:DD127)</f>
        <v>57</v>
      </c>
      <c r="DE128" s="444">
        <f>+SUM(DB127:DE127)</f>
        <v>62</v>
      </c>
      <c r="DF128" s="444">
        <f>+DE128</f>
        <v>62</v>
      </c>
      <c r="DH128" s="443" t="s">
        <v>122</v>
      </c>
      <c r="DI128" s="444">
        <f>+DI127</f>
        <v>0</v>
      </c>
      <c r="DJ128" s="444">
        <f>+SUM(DI127:DJ127)</f>
        <v>47</v>
      </c>
      <c r="DK128" s="444">
        <f>+SUM(DI127:DK127)</f>
        <v>46</v>
      </c>
      <c r="DL128" s="444">
        <f>+SUM(DI127:DL127)</f>
        <v>147</v>
      </c>
      <c r="DM128" s="444">
        <f>+DL128</f>
        <v>147</v>
      </c>
      <c r="DO128" s="443" t="s">
        <v>122</v>
      </c>
      <c r="DP128" s="444">
        <f>+DP127</f>
        <v>0</v>
      </c>
      <c r="DQ128" s="444">
        <f>+SUM(DP127:DQ127)</f>
        <v>0</v>
      </c>
      <c r="DR128" s="444">
        <f>+SUM(DP127:DR127)</f>
        <v>0</v>
      </c>
      <c r="DS128" s="444">
        <f>+SUM(DP127:DS127)</f>
        <v>195</v>
      </c>
      <c r="DT128" s="444">
        <f>+DS128</f>
        <v>195</v>
      </c>
      <c r="DV128" s="443" t="s">
        <v>122</v>
      </c>
      <c r="DW128" s="444">
        <f>+DW127</f>
        <v>13</v>
      </c>
      <c r="DX128" s="444">
        <f>+SUM(DW127:DX127)</f>
        <v>16</v>
      </c>
      <c r="DY128" s="444">
        <f>+SUM(DW127:DY127)</f>
        <v>38</v>
      </c>
      <c r="DZ128" s="444">
        <f>+SUM(DW127:DZ127)</f>
        <v>97</v>
      </c>
      <c r="EA128" s="444">
        <f>+DZ128</f>
        <v>97</v>
      </c>
      <c r="EC128" s="443" t="s">
        <v>122</v>
      </c>
      <c r="ED128" s="444">
        <f>+ED127</f>
        <v>52</v>
      </c>
      <c r="EE128" s="444">
        <f>+SUM(ED127:EE127)</f>
        <v>141</v>
      </c>
      <c r="EF128" s="444">
        <f>+SUM(ED127:EF127)</f>
        <v>257</v>
      </c>
      <c r="EG128" s="444">
        <f>+SUM(ED127:EG127)</f>
        <v>319</v>
      </c>
      <c r="EH128" s="444">
        <f>+EG128</f>
        <v>319</v>
      </c>
      <c r="EJ128" s="443" t="s">
        <v>122</v>
      </c>
      <c r="EK128" s="444">
        <f>+EK127</f>
        <v>48</v>
      </c>
      <c r="EL128" s="444">
        <f>+SUM(EK127:EL127)</f>
        <v>146</v>
      </c>
      <c r="EM128" s="444">
        <f>+SUM(EK127:EM127)</f>
        <v>218</v>
      </c>
      <c r="EN128" s="444">
        <f>+SUM(EK127:EN127)</f>
        <v>254</v>
      </c>
      <c r="EO128" s="444">
        <f>+EN128</f>
        <v>254</v>
      </c>
      <c r="EQ128" s="443" t="s">
        <v>122</v>
      </c>
      <c r="ER128" s="444">
        <f>+ER127</f>
        <v>35</v>
      </c>
      <c r="ES128" s="444">
        <f>+SUM(ER127:ES127)</f>
        <v>45</v>
      </c>
      <c r="ET128" s="444">
        <f>+SUM(ER127:ET127)</f>
        <v>51</v>
      </c>
      <c r="EU128" s="444">
        <f>+SUM(ER127:EU127)</f>
        <v>56</v>
      </c>
      <c r="EV128" s="444">
        <f>+EU128</f>
        <v>56</v>
      </c>
      <c r="EX128" s="443" t="s">
        <v>122</v>
      </c>
      <c r="EY128" s="444">
        <f>+EY127</f>
        <v>0</v>
      </c>
      <c r="EZ128" s="444">
        <f>+SUM(EY127:EZ127)</f>
        <v>227</v>
      </c>
      <c r="FA128" s="444">
        <f>+SUM(EY127:FA127)</f>
        <v>297</v>
      </c>
      <c r="FB128" s="444">
        <f>+SUM(EY127:FB127)</f>
        <v>529</v>
      </c>
      <c r="FC128" s="444">
        <f>+FB128</f>
        <v>529</v>
      </c>
      <c r="FE128" s="443" t="s">
        <v>122</v>
      </c>
      <c r="FF128" s="444">
        <f>+FF127</f>
        <v>0</v>
      </c>
      <c r="FG128" s="444">
        <f>+SUM(FF127:FG127)</f>
        <v>29</v>
      </c>
      <c r="FH128" s="444">
        <f>+SUM(FF127:FH127)</f>
        <v>51</v>
      </c>
      <c r="FI128" s="444">
        <f>+SUM(FF127:FI127)</f>
        <v>246</v>
      </c>
      <c r="FJ128" s="444">
        <f>+FI128</f>
        <v>246</v>
      </c>
      <c r="FL128" s="443" t="s">
        <v>122</v>
      </c>
      <c r="FM128" s="444">
        <f>+FM127</f>
        <v>8</v>
      </c>
      <c r="FN128" s="444">
        <f>+SUM(FM127:FN127)</f>
        <v>35</v>
      </c>
      <c r="FO128" s="444">
        <f>+SUM(FM127:FO127)</f>
        <v>35</v>
      </c>
      <c r="FP128" s="444">
        <f>+SUM(FM127:FP127)</f>
        <v>52</v>
      </c>
      <c r="FQ128" s="444">
        <f>+FP128</f>
        <v>52</v>
      </c>
      <c r="FS128" s="443" t="s">
        <v>122</v>
      </c>
      <c r="FT128" s="444">
        <f>+FT127</f>
        <v>11</v>
      </c>
      <c r="FU128" s="444">
        <f>+SUM(FT127:FU127)</f>
        <v>43</v>
      </c>
      <c r="FV128" s="444">
        <f>+SUM(FT127:FV127)</f>
        <v>81</v>
      </c>
      <c r="FW128" s="444">
        <f>+SUM(FT127:FW127)</f>
        <v>66</v>
      </c>
      <c r="FX128" s="444">
        <f>+FW128</f>
        <v>66</v>
      </c>
      <c r="FZ128" s="443" t="s">
        <v>122</v>
      </c>
      <c r="GA128" s="444">
        <f>+GA127</f>
        <v>23</v>
      </c>
      <c r="GB128" s="444">
        <f>+SUM(GA127:GB127)</f>
        <v>49</v>
      </c>
      <c r="GC128" s="444">
        <f>+SUM(GA127:GC127)</f>
        <v>72</v>
      </c>
      <c r="GD128" s="496">
        <f>+SUM(GA127:GD127)</f>
        <v>97</v>
      </c>
      <c r="GE128" s="496">
        <f>+GD128</f>
        <v>97</v>
      </c>
      <c r="GG128" s="443" t="s">
        <v>122</v>
      </c>
      <c r="GH128" s="496">
        <f>+GH127</f>
        <v>50</v>
      </c>
      <c r="GI128" s="496">
        <f>+SUM(GH127:GI127)</f>
        <v>100</v>
      </c>
      <c r="GJ128" s="496">
        <f>+SUM(GH127:GJ127)</f>
        <v>150</v>
      </c>
      <c r="GK128" s="496">
        <f>+SUM(GH127:GK127)</f>
        <v>200</v>
      </c>
      <c r="GL128" s="496">
        <f>+GK128</f>
        <v>200</v>
      </c>
      <c r="GN128" s="443" t="s">
        <v>122</v>
      </c>
      <c r="GO128" s="496">
        <f>+GO127</f>
        <v>50</v>
      </c>
      <c r="GP128" s="496">
        <f>+SUM(GO127:GP127)</f>
        <v>100</v>
      </c>
      <c r="GQ128" s="496">
        <f>+SUM(GO127:GQ127)</f>
        <v>150</v>
      </c>
      <c r="GR128" s="496">
        <f>+SUM(GO127:GR127)</f>
        <v>200</v>
      </c>
      <c r="GS128" s="496">
        <f>+GR128</f>
        <v>200</v>
      </c>
      <c r="GU128" s="443" t="s">
        <v>122</v>
      </c>
      <c r="GV128" s="496">
        <f>+GV127</f>
        <v>50</v>
      </c>
      <c r="GW128" s="496">
        <f>+SUM(GV127:GW127)</f>
        <v>100</v>
      </c>
      <c r="GX128" s="496">
        <f>+SUM(GV127:GX127)</f>
        <v>150</v>
      </c>
      <c r="GY128" s="496">
        <f>+SUM(GV127:GY127)</f>
        <v>200</v>
      </c>
      <c r="GZ128" s="496">
        <f>+GY128</f>
        <v>200</v>
      </c>
    </row>
    <row r="129" spans="1:208" x14ac:dyDescent="0.4">
      <c r="A129" s="58"/>
      <c r="B129" s="459"/>
      <c r="C129" s="460"/>
      <c r="D129" s="460"/>
      <c r="E129" s="460"/>
      <c r="F129" s="460"/>
      <c r="G129" s="460"/>
      <c r="H129" s="460"/>
      <c r="I129" s="460"/>
      <c r="J129" s="460"/>
      <c r="K129" s="460"/>
      <c r="L129" s="460"/>
      <c r="M129" s="460"/>
      <c r="N129" s="460"/>
      <c r="O129" s="460"/>
      <c r="P129" s="460"/>
      <c r="Q129" s="460"/>
      <c r="R129" s="460"/>
      <c r="S129" s="460"/>
      <c r="T129" s="460"/>
      <c r="U129" s="460"/>
      <c r="V129" s="460"/>
      <c r="W129" s="460"/>
      <c r="X129" s="460"/>
      <c r="Y129" s="460"/>
      <c r="Z129" s="460"/>
      <c r="AA129" s="461"/>
      <c r="AB129" s="461"/>
      <c r="AC129" s="461"/>
      <c r="AD129" s="461"/>
      <c r="AE129" s="461"/>
      <c r="AF129" s="461"/>
      <c r="AG129" s="461"/>
      <c r="AH129" s="461"/>
      <c r="AI129" s="461"/>
      <c r="AJ129" s="461"/>
      <c r="AK129" s="461"/>
      <c r="AL129" s="461"/>
      <c r="AM129" s="461"/>
      <c r="AN129" s="461"/>
      <c r="AP129" s="459"/>
      <c r="AQ129" s="460"/>
      <c r="AR129" s="460"/>
      <c r="AS129" s="460"/>
      <c r="AT129" s="460"/>
      <c r="AU129" s="460"/>
      <c r="AW129" s="459"/>
      <c r="AX129" s="460"/>
      <c r="AY129" s="460"/>
      <c r="AZ129" s="460"/>
      <c r="BA129" s="460"/>
      <c r="BB129" s="460"/>
      <c r="BD129" s="459"/>
      <c r="BE129" s="460"/>
      <c r="BF129" s="460"/>
      <c r="BG129" s="460"/>
      <c r="BH129" s="460"/>
      <c r="BI129" s="460"/>
      <c r="BK129" s="459"/>
      <c r="BL129" s="460"/>
      <c r="BM129" s="460"/>
      <c r="BN129" s="460"/>
      <c r="BO129" s="460"/>
      <c r="BP129" s="460"/>
      <c r="BR129" s="459"/>
      <c r="BS129" s="460"/>
      <c r="BT129" s="460"/>
      <c r="BU129" s="460"/>
      <c r="BV129" s="460"/>
      <c r="BW129" s="460"/>
      <c r="BY129" s="459"/>
      <c r="BZ129" s="460"/>
      <c r="CA129" s="460"/>
      <c r="CB129" s="460"/>
      <c r="CC129" s="460"/>
      <c r="CD129" s="460"/>
      <c r="CF129" s="459"/>
      <c r="CG129" s="460"/>
      <c r="CH129" s="460"/>
      <c r="CI129" s="460"/>
      <c r="CJ129" s="460"/>
      <c r="CK129" s="460"/>
      <c r="CM129" s="459"/>
      <c r="CN129" s="460"/>
      <c r="CO129" s="460"/>
      <c r="CP129" s="460"/>
      <c r="CQ129" s="460"/>
      <c r="CR129" s="460"/>
      <c r="CT129" s="459"/>
      <c r="CU129" s="460"/>
      <c r="CV129" s="460"/>
      <c r="CW129" s="460"/>
      <c r="CX129" s="460"/>
      <c r="CY129" s="460"/>
      <c r="DA129" s="459"/>
      <c r="DB129" s="460"/>
      <c r="DC129" s="460"/>
      <c r="DD129" s="460"/>
      <c r="DE129" s="460"/>
      <c r="DF129" s="460"/>
      <c r="DH129" s="459"/>
      <c r="DI129" s="460"/>
      <c r="DJ129" s="460"/>
      <c r="DK129" s="460"/>
      <c r="DL129" s="460"/>
      <c r="DM129" s="460"/>
      <c r="DO129" s="459"/>
      <c r="DP129" s="460"/>
      <c r="DQ129" s="460"/>
      <c r="DR129" s="460"/>
      <c r="DS129" s="460"/>
      <c r="DT129" s="460"/>
      <c r="DV129" s="459"/>
      <c r="DW129" s="460"/>
      <c r="DX129" s="460"/>
      <c r="DY129" s="460"/>
      <c r="DZ129" s="460"/>
      <c r="EA129" s="460"/>
      <c r="EC129" s="459"/>
      <c r="ED129" s="460"/>
      <c r="EE129" s="460"/>
      <c r="EF129" s="460"/>
      <c r="EG129" s="460"/>
      <c r="EH129" s="460"/>
      <c r="EJ129" s="459"/>
      <c r="EK129" s="460"/>
      <c r="EL129" s="460"/>
      <c r="EM129" s="460"/>
      <c r="EN129" s="460"/>
      <c r="EO129" s="460"/>
      <c r="EQ129" s="459"/>
      <c r="ER129" s="460"/>
      <c r="ES129" s="460"/>
      <c r="ET129" s="460"/>
      <c r="EU129" s="460"/>
      <c r="EV129" s="460"/>
      <c r="EX129" s="459"/>
      <c r="EY129" s="460"/>
      <c r="EZ129" s="460"/>
      <c r="FA129" s="460"/>
      <c r="FB129" s="460"/>
      <c r="FC129" s="460"/>
      <c r="FE129" s="459"/>
      <c r="FF129" s="460"/>
      <c r="FG129" s="460"/>
      <c r="FH129" s="460"/>
      <c r="FI129" s="460"/>
      <c r="FJ129" s="460"/>
      <c r="FL129" s="459"/>
      <c r="FM129" s="460"/>
      <c r="FN129" s="460"/>
      <c r="FO129" s="460"/>
      <c r="FP129" s="460"/>
      <c r="FQ129" s="460"/>
      <c r="FS129" s="459"/>
      <c r="FT129" s="460"/>
      <c r="FU129" s="460"/>
      <c r="FV129" s="460"/>
      <c r="FW129" s="460"/>
      <c r="FX129" s="460"/>
      <c r="FZ129" s="459"/>
      <c r="GA129" s="460"/>
      <c r="GB129" s="460"/>
      <c r="GC129" s="460"/>
      <c r="GD129" s="460"/>
      <c r="GE129" s="460"/>
      <c r="GG129" s="459"/>
      <c r="GH129" s="460"/>
      <c r="GI129" s="460"/>
      <c r="GJ129" s="460"/>
      <c r="GK129" s="460"/>
      <c r="GL129" s="460"/>
      <c r="GN129" s="459"/>
      <c r="GO129" s="460"/>
      <c r="GP129" s="460"/>
      <c r="GQ129" s="460"/>
      <c r="GR129" s="460"/>
      <c r="GS129" s="460"/>
      <c r="GU129" s="459"/>
      <c r="GV129" s="460"/>
      <c r="GW129" s="460"/>
      <c r="GX129" s="460"/>
      <c r="GY129" s="460"/>
      <c r="GZ129" s="460"/>
    </row>
    <row r="130" spans="1:208" x14ac:dyDescent="0.4">
      <c r="A130" s="452"/>
      <c r="B130" s="443" t="s">
        <v>123</v>
      </c>
      <c r="C130" s="444">
        <f>AU130</f>
        <v>33</v>
      </c>
      <c r="D130" s="444">
        <f>BB130</f>
        <v>-122</v>
      </c>
      <c r="E130" s="444">
        <f>BI130</f>
        <v>121</v>
      </c>
      <c r="F130" s="444">
        <f>BP130</f>
        <v>255</v>
      </c>
      <c r="G130" s="444">
        <f>BW130</f>
        <v>0</v>
      </c>
      <c r="H130" s="444">
        <f>CD130</f>
        <v>41</v>
      </c>
      <c r="I130" s="444">
        <f>CK130</f>
        <v>-418</v>
      </c>
      <c r="J130" s="444">
        <f>CR130</f>
        <v>-52</v>
      </c>
      <c r="K130" s="444">
        <f>CY130</f>
        <v>145</v>
      </c>
      <c r="L130" s="444">
        <f>DF130</f>
        <v>241</v>
      </c>
      <c r="M130" s="444">
        <f>DM130</f>
        <v>-514</v>
      </c>
      <c r="N130" s="444">
        <f>DT130</f>
        <v>396</v>
      </c>
      <c r="O130" s="444">
        <f>EA130</f>
        <v>411</v>
      </c>
      <c r="P130" s="444">
        <f>EH130</f>
        <v>-231</v>
      </c>
      <c r="Q130" s="444">
        <f>EO130</f>
        <v>-730</v>
      </c>
      <c r="R130" s="444">
        <f>EV130</f>
        <v>998</v>
      </c>
      <c r="S130" s="444">
        <f>FC130</f>
        <v>-70</v>
      </c>
      <c r="T130" s="444">
        <f>FJ130</f>
        <v>-50</v>
      </c>
      <c r="U130" s="444">
        <f>FQ130</f>
        <v>49</v>
      </c>
      <c r="V130" s="496">
        <f>FX130</f>
        <v>25</v>
      </c>
      <c r="W130" s="496">
        <f>GE130</f>
        <v>80</v>
      </c>
      <c r="X130" s="496">
        <f>GL130</f>
        <v>-400</v>
      </c>
      <c r="Y130" s="496">
        <f>GS130</f>
        <v>-400</v>
      </c>
      <c r="Z130" s="496">
        <f>GZ130</f>
        <v>-400</v>
      </c>
      <c r="AA130" s="445"/>
      <c r="AB130" s="445"/>
      <c r="AC130" s="445"/>
      <c r="AD130" s="445"/>
      <c r="AE130" s="445"/>
      <c r="AF130" s="445"/>
      <c r="AG130" s="445"/>
      <c r="AH130" s="445"/>
      <c r="AI130" s="445"/>
      <c r="AJ130" s="445"/>
      <c r="AK130" s="445"/>
      <c r="AL130" s="445"/>
      <c r="AM130" s="445"/>
      <c r="AN130" s="445"/>
      <c r="AP130" s="443" t="s">
        <v>123</v>
      </c>
      <c r="AQ130" s="444">
        <f>+CF!AQ44+CF!AQ45</f>
        <v>-788</v>
      </c>
      <c r="AR130" s="444">
        <f>+CF!AR44+CF!AR45</f>
        <v>891</v>
      </c>
      <c r="AS130" s="444">
        <f>+CF!AS44+CF!AS45</f>
        <v>-94</v>
      </c>
      <c r="AT130" s="444">
        <f>+CF!AT44+CF!AT45</f>
        <v>24</v>
      </c>
      <c r="AU130" s="444">
        <f>+CF!AU44+CF!AU45</f>
        <v>33</v>
      </c>
      <c r="AW130" s="443" t="s">
        <v>123</v>
      </c>
      <c r="AX130" s="444">
        <f>+CF!AX44+CF!AX45</f>
        <v>-38</v>
      </c>
      <c r="AY130" s="444">
        <f>+CF!AY44+CF!AY45</f>
        <v>-5</v>
      </c>
      <c r="AZ130" s="444">
        <f>+CF!AZ44+CF!AZ45</f>
        <v>92</v>
      </c>
      <c r="BA130" s="444">
        <f>+CF!BA44+CF!BA45</f>
        <v>-171</v>
      </c>
      <c r="BB130" s="444">
        <f>+CF!BB44+CF!BB45</f>
        <v>-122</v>
      </c>
      <c r="BD130" s="443" t="s">
        <v>123</v>
      </c>
      <c r="BE130" s="444">
        <f>+CF!BE44+CF!BE45</f>
        <v>28</v>
      </c>
      <c r="BF130" s="444">
        <f>+CF!BF44+CF!BF45</f>
        <v>31</v>
      </c>
      <c r="BG130" s="444">
        <f>+CF!BG44+CF!BG45</f>
        <v>-180</v>
      </c>
      <c r="BH130" s="444">
        <f>+CF!BH44+CF!BH45</f>
        <v>242</v>
      </c>
      <c r="BI130" s="444">
        <f>+CF!BI44+CF!BI45</f>
        <v>121</v>
      </c>
      <c r="BK130" s="443" t="s">
        <v>123</v>
      </c>
      <c r="BL130" s="444">
        <f>+CF!BL44+CF!BL45</f>
        <v>245</v>
      </c>
      <c r="BM130" s="444">
        <f>+CF!BM44+CF!BM45</f>
        <v>10</v>
      </c>
      <c r="BN130" s="444">
        <f>+CF!BN44+CF!BN45</f>
        <v>0</v>
      </c>
      <c r="BO130" s="444">
        <f>+CF!BO44+CF!BO45</f>
        <v>0</v>
      </c>
      <c r="BP130" s="444">
        <f>+CF!BP44+CF!BP45</f>
        <v>255</v>
      </c>
      <c r="BR130" s="443" t="s">
        <v>123</v>
      </c>
      <c r="BS130" s="444">
        <f>+CF!BS44+CF!BS45</f>
        <v>0</v>
      </c>
      <c r="BT130" s="444">
        <f>+CF!BT44+CF!BT45</f>
        <v>0</v>
      </c>
      <c r="BU130" s="444">
        <f>+CF!BU44+CF!BU45</f>
        <v>0</v>
      </c>
      <c r="BV130" s="444">
        <f>+CF!BV44+CF!BV45</f>
        <v>0</v>
      </c>
      <c r="BW130" s="444">
        <f>+CF!BW44+CF!BW45</f>
        <v>0</v>
      </c>
      <c r="BY130" s="443" t="s">
        <v>123</v>
      </c>
      <c r="BZ130" s="444">
        <f>+CF!BZ44+CF!BZ45</f>
        <v>0</v>
      </c>
      <c r="CA130" s="444">
        <f>+CF!CA44+CF!CA45</f>
        <v>0</v>
      </c>
      <c r="CB130" s="444">
        <f>+CF!CB44+CF!CB45</f>
        <v>0</v>
      </c>
      <c r="CC130" s="444">
        <f>+CF!CC44+CF!CC45</f>
        <v>41</v>
      </c>
      <c r="CD130" s="444">
        <f>+CF!CD44+CF!CD45</f>
        <v>41</v>
      </c>
      <c r="CF130" s="443" t="s">
        <v>123</v>
      </c>
      <c r="CG130" s="444">
        <f>+CF!CG44+CF!CG45</f>
        <v>12</v>
      </c>
      <c r="CH130" s="444">
        <f>+CF!CH44+CF!CH45</f>
        <v>22</v>
      </c>
      <c r="CI130" s="444">
        <f>+CF!CI44+CF!CI45</f>
        <v>18</v>
      </c>
      <c r="CJ130" s="444">
        <f>+CF!CJ44+CF!CJ45</f>
        <v>-470</v>
      </c>
      <c r="CK130" s="444">
        <f>+CF!CK44+CF!CK45</f>
        <v>-418</v>
      </c>
      <c r="CM130" s="443" t="s">
        <v>123</v>
      </c>
      <c r="CN130" s="444">
        <f>+CF!CN44+CF!CN45</f>
        <v>384</v>
      </c>
      <c r="CO130" s="444">
        <f>+CF!CO44+CF!CO45</f>
        <v>104</v>
      </c>
      <c r="CP130" s="444">
        <f>+CF!CP44+CF!CP45</f>
        <v>7</v>
      </c>
      <c r="CQ130" s="444">
        <f>+CF!CQ44+CF!CQ45</f>
        <v>-547</v>
      </c>
      <c r="CR130" s="444">
        <f>+CF!CR44+CF!CR45</f>
        <v>-52</v>
      </c>
      <c r="CT130" s="443" t="s">
        <v>123</v>
      </c>
      <c r="CU130" s="444">
        <f>+CF!CU44+CF!CU45</f>
        <v>244</v>
      </c>
      <c r="CV130" s="444">
        <f>+CF!CV44+CF!CV45</f>
        <v>-30</v>
      </c>
      <c r="CW130" s="444">
        <f>+CF!CW44+CF!CW45</f>
        <v>284</v>
      </c>
      <c r="CX130" s="444">
        <f>+CF!CX44+CF!CX45</f>
        <v>-353</v>
      </c>
      <c r="CY130" s="444">
        <f>+CF!CY44+CF!CY45</f>
        <v>145</v>
      </c>
      <c r="DA130" s="443" t="s">
        <v>123</v>
      </c>
      <c r="DB130" s="444">
        <f>+CF!DB44+CF!DB45</f>
        <v>244</v>
      </c>
      <c r="DC130" s="444">
        <f>+CF!DC44+CF!DC45</f>
        <v>42</v>
      </c>
      <c r="DD130" s="444">
        <f>+CF!DD44+CF!DD45</f>
        <v>-354</v>
      </c>
      <c r="DE130" s="444">
        <f>+CF!DE44+CF!DE45</f>
        <v>309</v>
      </c>
      <c r="DF130" s="444">
        <f>+CF!DF44+CF!DF45</f>
        <v>241</v>
      </c>
      <c r="DH130" s="443" t="s">
        <v>123</v>
      </c>
      <c r="DI130" s="444">
        <f>+CF!DI44+CF!DI45</f>
        <v>35</v>
      </c>
      <c r="DJ130" s="444">
        <f>+CF!DJ44+CF!DJ45</f>
        <v>-420</v>
      </c>
      <c r="DK130" s="444">
        <f>+CF!DK44+CF!DK45</f>
        <v>255</v>
      </c>
      <c r="DL130" s="444">
        <f>+CF!DL44+CF!DL45</f>
        <v>-384</v>
      </c>
      <c r="DM130" s="444">
        <f>+CF!DM44+CF!DM45</f>
        <v>-514</v>
      </c>
      <c r="DO130" s="443" t="s">
        <v>123</v>
      </c>
      <c r="DP130" s="444">
        <f>+CF!DP44+CF!DP45</f>
        <v>435</v>
      </c>
      <c r="DQ130" s="444">
        <f>+CF!DQ44+CF!DQ45</f>
        <v>115</v>
      </c>
      <c r="DR130" s="444">
        <f>+CF!DR44+CF!DR45</f>
        <v>110</v>
      </c>
      <c r="DS130" s="444">
        <f>+CF!DS44+CF!DS45</f>
        <v>-264</v>
      </c>
      <c r="DT130" s="444">
        <f>+CF!DT44+CF!DT45</f>
        <v>396</v>
      </c>
      <c r="DV130" s="443" t="s">
        <v>123</v>
      </c>
      <c r="DW130" s="444">
        <f>+CF!DW44+CF!DW45</f>
        <v>130</v>
      </c>
      <c r="DX130" s="444">
        <f>+CF!DX44+CF!DX45</f>
        <v>-183</v>
      </c>
      <c r="DY130" s="444">
        <f>+CF!DY44+CF!DY45</f>
        <v>365</v>
      </c>
      <c r="DZ130" s="444">
        <f>+CF!DZ44+CF!DZ45</f>
        <v>99</v>
      </c>
      <c r="EA130" s="444">
        <f>+CF!EA44+CF!EA45</f>
        <v>411</v>
      </c>
      <c r="EC130" s="443" t="s">
        <v>123</v>
      </c>
      <c r="ED130" s="444">
        <f>+CF!ED44+CF!ED45</f>
        <v>8</v>
      </c>
      <c r="EE130" s="444">
        <f>+CF!EE44+CF!EE45</f>
        <v>-73</v>
      </c>
      <c r="EF130" s="444">
        <f>+CF!EF44+CF!EF45</f>
        <v>-531</v>
      </c>
      <c r="EG130" s="444">
        <f>+CF!EG44+CF!EG45</f>
        <v>365</v>
      </c>
      <c r="EH130" s="444">
        <f>+CF!EH44+CF!EH45</f>
        <v>-231</v>
      </c>
      <c r="EJ130" s="443" t="s">
        <v>123</v>
      </c>
      <c r="EK130" s="444">
        <f>+CF!EK44+CF!EK45</f>
        <v>-563</v>
      </c>
      <c r="EL130" s="444">
        <f>+CF!EL44+CF!EL45</f>
        <v>-54</v>
      </c>
      <c r="EM130" s="444">
        <f>+CF!EM44+CF!EM45</f>
        <v>-158</v>
      </c>
      <c r="EN130" s="444">
        <f>+CF!EN44+CF!EN45</f>
        <v>45</v>
      </c>
      <c r="EO130" s="444">
        <f>+CF!EO44+CF!EO45</f>
        <v>-730</v>
      </c>
      <c r="EQ130" s="443" t="s">
        <v>123</v>
      </c>
      <c r="ER130" s="444">
        <f>+CF!ER44+CF!ER45</f>
        <v>510</v>
      </c>
      <c r="ES130" s="444">
        <f>+CF!ES44+CF!ES45</f>
        <v>285</v>
      </c>
      <c r="ET130" s="444">
        <f>+CF!ET44+CF!ET45</f>
        <v>202</v>
      </c>
      <c r="EU130" s="444">
        <f>+CF!EU44+CF!EU45</f>
        <v>1</v>
      </c>
      <c r="EV130" s="444">
        <f>+CF!EV44+CF!EV45</f>
        <v>998</v>
      </c>
      <c r="EX130" s="443" t="s">
        <v>123</v>
      </c>
      <c r="EY130" s="444">
        <f>+CF!EY44+CF!EY45</f>
        <v>1</v>
      </c>
      <c r="EZ130" s="444">
        <f>+CF!EZ44+CF!EZ45</f>
        <v>-1</v>
      </c>
      <c r="FA130" s="444">
        <f>+CF!FA44+CF!FA45</f>
        <v>2</v>
      </c>
      <c r="FB130" s="444">
        <f>+CF!FB44+CF!FB45</f>
        <v>-72</v>
      </c>
      <c r="FC130" s="444">
        <f>+CF!FC44+CF!FC45</f>
        <v>-70</v>
      </c>
      <c r="FE130" s="443" t="s">
        <v>123</v>
      </c>
      <c r="FF130" s="444">
        <f>+CF!FF44+CF!FF45</f>
        <v>-7</v>
      </c>
      <c r="FG130" s="444">
        <f>+CF!FG44+CF!FG45</f>
        <v>-3</v>
      </c>
      <c r="FH130" s="444">
        <f>+CF!FH44+CF!FH45</f>
        <v>0</v>
      </c>
      <c r="FI130" s="444">
        <f>+CF!FI44+CF!FI45</f>
        <v>-40</v>
      </c>
      <c r="FJ130" s="444">
        <f>+CF!FJ44+CF!FJ45</f>
        <v>-50</v>
      </c>
      <c r="FL130" s="443" t="s">
        <v>123</v>
      </c>
      <c r="FM130" s="444">
        <f>+CF!FM44+CF!FM45</f>
        <v>-48</v>
      </c>
      <c r="FN130" s="444">
        <f>+CF!FN44+CF!FN45</f>
        <v>99</v>
      </c>
      <c r="FO130" s="444">
        <f>+CF!FO44+CF!FO45</f>
        <v>-1</v>
      </c>
      <c r="FP130" s="444">
        <f>+CF!FP44+CF!FP45</f>
        <v>-1</v>
      </c>
      <c r="FQ130" s="444">
        <f>+CF!FQ44+CF!FQ45</f>
        <v>49</v>
      </c>
      <c r="FS130" s="443" t="s">
        <v>123</v>
      </c>
      <c r="FT130" s="444">
        <f>+CF!FT44+CF!FT45</f>
        <v>81</v>
      </c>
      <c r="FU130" s="444">
        <f>+CF!FU44+CF!FU45</f>
        <v>0</v>
      </c>
      <c r="FV130" s="444">
        <f>+CF!FV44+CF!FV45</f>
        <v>-31</v>
      </c>
      <c r="FW130" s="444">
        <f>+CF!FW44+CF!FW45</f>
        <v>-25</v>
      </c>
      <c r="FX130" s="444">
        <f>+CF!FX44+CF!FX45</f>
        <v>25</v>
      </c>
      <c r="FZ130" s="443" t="s">
        <v>123</v>
      </c>
      <c r="GA130" s="444">
        <f>+CF!GA44+CF!GA45</f>
        <v>67</v>
      </c>
      <c r="GB130" s="444">
        <f>+CF!GB44+CF!GB45</f>
        <v>-61</v>
      </c>
      <c r="GC130" s="444">
        <f>+CF!GC44+CF!GC45</f>
        <v>58</v>
      </c>
      <c r="GD130" s="505">
        <v>-50</v>
      </c>
      <c r="GE130" s="496">
        <f>+CF!GE44+CF!GE45</f>
        <v>80</v>
      </c>
      <c r="GG130" s="443" t="s">
        <v>123</v>
      </c>
      <c r="GH130" s="505">
        <v>-100</v>
      </c>
      <c r="GI130" s="505">
        <v>-100</v>
      </c>
      <c r="GJ130" s="505">
        <v>-100</v>
      </c>
      <c r="GK130" s="505">
        <v>-100</v>
      </c>
      <c r="GL130" s="496">
        <f>+CF!GL44+CF!GL45</f>
        <v>-400</v>
      </c>
      <c r="GN130" s="443" t="s">
        <v>123</v>
      </c>
      <c r="GO130" s="505">
        <v>-100</v>
      </c>
      <c r="GP130" s="505">
        <v>-100</v>
      </c>
      <c r="GQ130" s="505">
        <v>-100</v>
      </c>
      <c r="GR130" s="505">
        <v>-100</v>
      </c>
      <c r="GS130" s="496">
        <f>+CF!GS44+CF!GS45</f>
        <v>-400</v>
      </c>
      <c r="GU130" s="443" t="s">
        <v>123</v>
      </c>
      <c r="GV130" s="505">
        <v>-100</v>
      </c>
      <c r="GW130" s="505">
        <v>-100</v>
      </c>
      <c r="GX130" s="505">
        <v>-100</v>
      </c>
      <c r="GY130" s="505">
        <v>-100</v>
      </c>
      <c r="GZ130" s="496">
        <f>+CF!GZ44+CF!GZ45</f>
        <v>-400</v>
      </c>
    </row>
    <row r="131" spans="1:208" x14ac:dyDescent="0.4">
      <c r="A131" s="58"/>
      <c r="B131" s="443" t="s">
        <v>124</v>
      </c>
      <c r="C131" s="444">
        <f>AU131</f>
        <v>33</v>
      </c>
      <c r="D131" s="444">
        <f>BB131</f>
        <v>-122</v>
      </c>
      <c r="E131" s="444">
        <f>BI131</f>
        <v>121</v>
      </c>
      <c r="F131" s="444">
        <f>BP131</f>
        <v>255</v>
      </c>
      <c r="G131" s="444">
        <f>BW131</f>
        <v>0</v>
      </c>
      <c r="H131" s="444">
        <f>CD131</f>
        <v>41</v>
      </c>
      <c r="I131" s="444">
        <f>CK131</f>
        <v>-418</v>
      </c>
      <c r="J131" s="444">
        <f>CR131</f>
        <v>-52</v>
      </c>
      <c r="K131" s="444">
        <f>CY131</f>
        <v>145</v>
      </c>
      <c r="L131" s="444">
        <f>DF131</f>
        <v>241</v>
      </c>
      <c r="M131" s="444">
        <f>DM131</f>
        <v>-514</v>
      </c>
      <c r="N131" s="444">
        <f>DT131</f>
        <v>396</v>
      </c>
      <c r="O131" s="444">
        <f>EA131</f>
        <v>411</v>
      </c>
      <c r="P131" s="444">
        <f>EH131</f>
        <v>-231</v>
      </c>
      <c r="Q131" s="444">
        <f>EO131</f>
        <v>-730</v>
      </c>
      <c r="R131" s="444">
        <f>EV131</f>
        <v>998</v>
      </c>
      <c r="S131" s="444">
        <f>FC131</f>
        <v>-70</v>
      </c>
      <c r="T131" s="444">
        <f>FJ131</f>
        <v>-50</v>
      </c>
      <c r="U131" s="444">
        <f>FQ131</f>
        <v>49</v>
      </c>
      <c r="V131" s="496">
        <f>FX131</f>
        <v>25</v>
      </c>
      <c r="W131" s="496">
        <f>GE131</f>
        <v>14</v>
      </c>
      <c r="X131" s="496">
        <f>GL131</f>
        <v>-400</v>
      </c>
      <c r="Y131" s="496">
        <f>GS131</f>
        <v>-400</v>
      </c>
      <c r="Z131" s="496">
        <f>GZ131</f>
        <v>-400</v>
      </c>
      <c r="AA131" s="445"/>
      <c r="AB131" s="445"/>
      <c r="AC131" s="445"/>
      <c r="AD131" s="445"/>
      <c r="AE131" s="445"/>
      <c r="AF131" s="445"/>
      <c r="AG131" s="445"/>
      <c r="AH131" s="445"/>
      <c r="AI131" s="445"/>
      <c r="AJ131" s="445"/>
      <c r="AK131" s="445"/>
      <c r="AL131" s="445"/>
      <c r="AM131" s="445"/>
      <c r="AN131" s="445"/>
      <c r="AP131" s="443" t="s">
        <v>124</v>
      </c>
      <c r="AQ131" s="444">
        <f>+AQ130</f>
        <v>-788</v>
      </c>
      <c r="AR131" s="444">
        <f>+SUM(AQ130:AR130)</f>
        <v>103</v>
      </c>
      <c r="AS131" s="444">
        <f>+SUM(AQ130:AS130)</f>
        <v>9</v>
      </c>
      <c r="AT131" s="444">
        <f>+SUM(AQ130:AT130)</f>
        <v>33</v>
      </c>
      <c r="AU131" s="444">
        <f>+AT131</f>
        <v>33</v>
      </c>
      <c r="AW131" s="443" t="s">
        <v>124</v>
      </c>
      <c r="AX131" s="444">
        <f>+AX130</f>
        <v>-38</v>
      </c>
      <c r="AY131" s="444">
        <f>+SUM(AX130:AY130)</f>
        <v>-43</v>
      </c>
      <c r="AZ131" s="444">
        <f>+SUM(AX130:AZ130)</f>
        <v>49</v>
      </c>
      <c r="BA131" s="444">
        <f>+SUM(AX130:BA130)</f>
        <v>-122</v>
      </c>
      <c r="BB131" s="444">
        <f>+BA131</f>
        <v>-122</v>
      </c>
      <c r="BD131" s="443" t="s">
        <v>124</v>
      </c>
      <c r="BE131" s="444">
        <f>+BE130</f>
        <v>28</v>
      </c>
      <c r="BF131" s="444">
        <f>+SUM(BE130:BF130)</f>
        <v>59</v>
      </c>
      <c r="BG131" s="444">
        <f>+SUM(BE130:BG130)</f>
        <v>-121</v>
      </c>
      <c r="BH131" s="444">
        <f>+SUM(BE130:BH130)</f>
        <v>121</v>
      </c>
      <c r="BI131" s="444">
        <f>+BH131</f>
        <v>121</v>
      </c>
      <c r="BK131" s="443" t="s">
        <v>124</v>
      </c>
      <c r="BL131" s="444">
        <f>+BL130</f>
        <v>245</v>
      </c>
      <c r="BM131" s="444">
        <f>+SUM(BL130:BM130)</f>
        <v>255</v>
      </c>
      <c r="BN131" s="444">
        <f>+SUM(BL130:BN130)</f>
        <v>255</v>
      </c>
      <c r="BO131" s="444">
        <f>+SUM(BL130:BO130)</f>
        <v>255</v>
      </c>
      <c r="BP131" s="444">
        <f>+BO131</f>
        <v>255</v>
      </c>
      <c r="BR131" s="443" t="s">
        <v>124</v>
      </c>
      <c r="BS131" s="444">
        <f>+BS130</f>
        <v>0</v>
      </c>
      <c r="BT131" s="444">
        <f>+SUM(BS130:BT130)</f>
        <v>0</v>
      </c>
      <c r="BU131" s="444">
        <f>+SUM(BS130:BU130)</f>
        <v>0</v>
      </c>
      <c r="BV131" s="444">
        <f>+SUM(BS130:BV130)</f>
        <v>0</v>
      </c>
      <c r="BW131" s="444">
        <f>+BV131</f>
        <v>0</v>
      </c>
      <c r="BY131" s="443" t="s">
        <v>124</v>
      </c>
      <c r="BZ131" s="444">
        <f>+BZ130</f>
        <v>0</v>
      </c>
      <c r="CA131" s="444">
        <f>+SUM(BZ130:CA130)</f>
        <v>0</v>
      </c>
      <c r="CB131" s="444">
        <f>+SUM(BZ130:CB130)</f>
        <v>0</v>
      </c>
      <c r="CC131" s="444">
        <f>+SUM(BZ130:CC130)</f>
        <v>41</v>
      </c>
      <c r="CD131" s="444">
        <f>+CC131</f>
        <v>41</v>
      </c>
      <c r="CF131" s="443" t="s">
        <v>124</v>
      </c>
      <c r="CG131" s="444">
        <f>+CG130</f>
        <v>12</v>
      </c>
      <c r="CH131" s="444">
        <f>+SUM(CG130:CH130)</f>
        <v>34</v>
      </c>
      <c r="CI131" s="444">
        <f>+SUM(CG130:CI130)</f>
        <v>52</v>
      </c>
      <c r="CJ131" s="444">
        <f>+SUM(CG130:CJ130)</f>
        <v>-418</v>
      </c>
      <c r="CK131" s="444">
        <f>+CJ131</f>
        <v>-418</v>
      </c>
      <c r="CM131" s="443" t="s">
        <v>124</v>
      </c>
      <c r="CN131" s="444">
        <f>+CN130</f>
        <v>384</v>
      </c>
      <c r="CO131" s="444">
        <f>+SUM(CN130:CO130)</f>
        <v>488</v>
      </c>
      <c r="CP131" s="444">
        <f>+SUM(CN130:CP130)</f>
        <v>495</v>
      </c>
      <c r="CQ131" s="444">
        <f>+SUM(CN130:CQ130)</f>
        <v>-52</v>
      </c>
      <c r="CR131" s="444">
        <f>+CQ131</f>
        <v>-52</v>
      </c>
      <c r="CT131" s="443" t="s">
        <v>124</v>
      </c>
      <c r="CU131" s="444">
        <f>+CU130</f>
        <v>244</v>
      </c>
      <c r="CV131" s="444">
        <f>+SUM(CU130:CV130)</f>
        <v>214</v>
      </c>
      <c r="CW131" s="444">
        <f>+SUM(CU130:CW130)</f>
        <v>498</v>
      </c>
      <c r="CX131" s="444">
        <f>+SUM(CU130:CX130)</f>
        <v>145</v>
      </c>
      <c r="CY131" s="444">
        <f>+CX131</f>
        <v>145</v>
      </c>
      <c r="DA131" s="443" t="s">
        <v>124</v>
      </c>
      <c r="DB131" s="444">
        <f>+DB130</f>
        <v>244</v>
      </c>
      <c r="DC131" s="444">
        <f>+SUM(DB130:DC130)</f>
        <v>286</v>
      </c>
      <c r="DD131" s="444">
        <f>+SUM(DB130:DD130)</f>
        <v>-68</v>
      </c>
      <c r="DE131" s="444">
        <f>+SUM(DB130:DE130)</f>
        <v>241</v>
      </c>
      <c r="DF131" s="444">
        <f>+DE131</f>
        <v>241</v>
      </c>
      <c r="DH131" s="443" t="s">
        <v>124</v>
      </c>
      <c r="DI131" s="444">
        <f>+DI130</f>
        <v>35</v>
      </c>
      <c r="DJ131" s="444">
        <f>+SUM(DI130:DJ130)</f>
        <v>-385</v>
      </c>
      <c r="DK131" s="444">
        <f>+SUM(DI130:DK130)</f>
        <v>-130</v>
      </c>
      <c r="DL131" s="444">
        <f>+SUM(DI130:DL130)</f>
        <v>-514</v>
      </c>
      <c r="DM131" s="444">
        <f>+DL131</f>
        <v>-514</v>
      </c>
      <c r="DO131" s="443" t="s">
        <v>124</v>
      </c>
      <c r="DP131" s="444">
        <f>+DP130</f>
        <v>435</v>
      </c>
      <c r="DQ131" s="444">
        <f>+SUM(DP130:DQ130)</f>
        <v>550</v>
      </c>
      <c r="DR131" s="444">
        <f>+SUM(DP130:DR130)</f>
        <v>660</v>
      </c>
      <c r="DS131" s="444">
        <f>+SUM(DP130:DS130)</f>
        <v>396</v>
      </c>
      <c r="DT131" s="444">
        <f>+DS131</f>
        <v>396</v>
      </c>
      <c r="DV131" s="443" t="s">
        <v>124</v>
      </c>
      <c r="DW131" s="444">
        <f>+DW130</f>
        <v>130</v>
      </c>
      <c r="DX131" s="444">
        <f>+SUM(DW130:DX130)</f>
        <v>-53</v>
      </c>
      <c r="DY131" s="444">
        <f>+SUM(DW130:DY130)</f>
        <v>312</v>
      </c>
      <c r="DZ131" s="444">
        <f>+SUM(DW130:DZ130)</f>
        <v>411</v>
      </c>
      <c r="EA131" s="444">
        <f>+DZ131</f>
        <v>411</v>
      </c>
      <c r="EC131" s="443" t="s">
        <v>124</v>
      </c>
      <c r="ED131" s="444">
        <f>+ED130</f>
        <v>8</v>
      </c>
      <c r="EE131" s="444">
        <f>+SUM(ED130:EE130)</f>
        <v>-65</v>
      </c>
      <c r="EF131" s="444">
        <f>+SUM(ED130:EF130)</f>
        <v>-596</v>
      </c>
      <c r="EG131" s="444">
        <f>+SUM(ED130:EG130)</f>
        <v>-231</v>
      </c>
      <c r="EH131" s="444">
        <f>+EG131</f>
        <v>-231</v>
      </c>
      <c r="EJ131" s="443" t="s">
        <v>124</v>
      </c>
      <c r="EK131" s="444">
        <f>+EK130</f>
        <v>-563</v>
      </c>
      <c r="EL131" s="444">
        <f>+SUM(EK130:EL130)</f>
        <v>-617</v>
      </c>
      <c r="EM131" s="444">
        <f>+SUM(EK130:EM130)</f>
        <v>-775</v>
      </c>
      <c r="EN131" s="444">
        <f>+SUM(EK130:EN130)</f>
        <v>-730</v>
      </c>
      <c r="EO131" s="444">
        <f>+EN131</f>
        <v>-730</v>
      </c>
      <c r="EQ131" s="443" t="s">
        <v>124</v>
      </c>
      <c r="ER131" s="444">
        <f>+ER130</f>
        <v>510</v>
      </c>
      <c r="ES131" s="444">
        <f>+SUM(ER130:ES130)</f>
        <v>795</v>
      </c>
      <c r="ET131" s="444">
        <f>+SUM(ER130:ET130)</f>
        <v>997</v>
      </c>
      <c r="EU131" s="444">
        <f>+SUM(ER130:EU130)</f>
        <v>998</v>
      </c>
      <c r="EV131" s="444">
        <f>+EU131</f>
        <v>998</v>
      </c>
      <c r="EX131" s="443" t="s">
        <v>124</v>
      </c>
      <c r="EY131" s="444">
        <f>+EY130</f>
        <v>1</v>
      </c>
      <c r="EZ131" s="444">
        <f>+SUM(EY130:EZ130)</f>
        <v>0</v>
      </c>
      <c r="FA131" s="444">
        <f>+SUM(EY130:FA130)</f>
        <v>2</v>
      </c>
      <c r="FB131" s="444">
        <f>+SUM(EY130:FB130)</f>
        <v>-70</v>
      </c>
      <c r="FC131" s="444">
        <f>+FB131</f>
        <v>-70</v>
      </c>
      <c r="FE131" s="443" t="s">
        <v>124</v>
      </c>
      <c r="FF131" s="444">
        <f>+FF130</f>
        <v>-7</v>
      </c>
      <c r="FG131" s="444">
        <f>+SUM(FF130:FG130)</f>
        <v>-10</v>
      </c>
      <c r="FH131" s="444">
        <f>+SUM(FF130:FH130)</f>
        <v>-10</v>
      </c>
      <c r="FI131" s="444">
        <f>+SUM(FF130:FI130)</f>
        <v>-50</v>
      </c>
      <c r="FJ131" s="444">
        <f>+FI131</f>
        <v>-50</v>
      </c>
      <c r="FL131" s="443" t="s">
        <v>124</v>
      </c>
      <c r="FM131" s="444">
        <f>+FM130</f>
        <v>-48</v>
      </c>
      <c r="FN131" s="444">
        <f>+SUM(FM130:FN130)</f>
        <v>51</v>
      </c>
      <c r="FO131" s="444">
        <f>+SUM(FM130:FO130)</f>
        <v>50</v>
      </c>
      <c r="FP131" s="444">
        <f>+SUM(FM130:FP130)</f>
        <v>49</v>
      </c>
      <c r="FQ131" s="444">
        <f>+FP131</f>
        <v>49</v>
      </c>
      <c r="FS131" s="443" t="s">
        <v>124</v>
      </c>
      <c r="FT131" s="444">
        <f>+FT130</f>
        <v>81</v>
      </c>
      <c r="FU131" s="444">
        <f>+SUM(FT130:FU130)</f>
        <v>81</v>
      </c>
      <c r="FV131" s="444">
        <f>+SUM(FT130:FV130)</f>
        <v>50</v>
      </c>
      <c r="FW131" s="444">
        <f>+SUM(FT130:FW130)</f>
        <v>25</v>
      </c>
      <c r="FX131" s="444">
        <f>+FW131</f>
        <v>25</v>
      </c>
      <c r="FZ131" s="443" t="s">
        <v>124</v>
      </c>
      <c r="GA131" s="444">
        <f>+GA130</f>
        <v>67</v>
      </c>
      <c r="GB131" s="444">
        <f>+SUM(GA130:GB130)</f>
        <v>6</v>
      </c>
      <c r="GC131" s="444">
        <f>+SUM(GA130:GC130)</f>
        <v>64</v>
      </c>
      <c r="GD131" s="496">
        <f>+SUM(GA130:GD130)</f>
        <v>14</v>
      </c>
      <c r="GE131" s="496">
        <f>+GD131</f>
        <v>14</v>
      </c>
      <c r="GG131" s="443" t="s">
        <v>124</v>
      </c>
      <c r="GH131" s="496">
        <f>+GH130</f>
        <v>-100</v>
      </c>
      <c r="GI131" s="496">
        <f>+SUM(GH130:GI130)</f>
        <v>-200</v>
      </c>
      <c r="GJ131" s="496">
        <f>+SUM(GH130:GJ130)</f>
        <v>-300</v>
      </c>
      <c r="GK131" s="496">
        <f>+SUM(GH130:GK130)</f>
        <v>-400</v>
      </c>
      <c r="GL131" s="496">
        <f>+GK131</f>
        <v>-400</v>
      </c>
      <c r="GN131" s="443" t="s">
        <v>124</v>
      </c>
      <c r="GO131" s="496">
        <f>+GO130</f>
        <v>-100</v>
      </c>
      <c r="GP131" s="496">
        <f>+SUM(GO130:GP130)</f>
        <v>-200</v>
      </c>
      <c r="GQ131" s="496">
        <f>+SUM(GO130:GQ130)</f>
        <v>-300</v>
      </c>
      <c r="GR131" s="496">
        <f>+SUM(GO130:GR130)</f>
        <v>-400</v>
      </c>
      <c r="GS131" s="496">
        <f>+GR131</f>
        <v>-400</v>
      </c>
      <c r="GU131" s="443" t="s">
        <v>124</v>
      </c>
      <c r="GV131" s="496">
        <f>+GV130</f>
        <v>-100</v>
      </c>
      <c r="GW131" s="496">
        <f>+SUM(GV130:GW130)</f>
        <v>-200</v>
      </c>
      <c r="GX131" s="496">
        <f>+SUM(GV130:GX130)</f>
        <v>-300</v>
      </c>
      <c r="GY131" s="496">
        <f>+SUM(GV130:GY130)</f>
        <v>-400</v>
      </c>
      <c r="GZ131" s="496">
        <f>+GY131</f>
        <v>-400</v>
      </c>
    </row>
    <row r="132" spans="1:208" x14ac:dyDescent="0.4">
      <c r="A132" s="58"/>
      <c r="B132" s="459"/>
      <c r="C132" s="460"/>
      <c r="D132" s="460"/>
      <c r="E132" s="460"/>
      <c r="F132" s="460"/>
      <c r="G132" s="460"/>
      <c r="H132" s="460"/>
      <c r="I132" s="460"/>
      <c r="J132" s="460"/>
      <c r="K132" s="460"/>
      <c r="L132" s="460"/>
      <c r="M132" s="460"/>
      <c r="N132" s="460"/>
      <c r="O132" s="460"/>
      <c r="P132" s="460"/>
      <c r="Q132" s="460"/>
      <c r="R132" s="460"/>
      <c r="S132" s="460"/>
      <c r="T132" s="460"/>
      <c r="U132" s="460"/>
      <c r="V132" s="460"/>
      <c r="W132" s="460"/>
      <c r="X132" s="460"/>
      <c r="Y132" s="460"/>
      <c r="Z132" s="460"/>
      <c r="AA132" s="461"/>
      <c r="AB132" s="461"/>
      <c r="AC132" s="461"/>
      <c r="AD132" s="461"/>
      <c r="AE132" s="461"/>
      <c r="AF132" s="461"/>
      <c r="AG132" s="461"/>
      <c r="AH132" s="461"/>
      <c r="AI132" s="461"/>
      <c r="AJ132" s="461"/>
      <c r="AK132" s="461"/>
      <c r="AL132" s="461"/>
      <c r="AM132" s="461"/>
      <c r="AN132" s="461"/>
      <c r="AP132" s="459"/>
      <c r="AQ132" s="460"/>
      <c r="AR132" s="460"/>
      <c r="AS132" s="460"/>
      <c r="AT132" s="460"/>
      <c r="AU132" s="460"/>
      <c r="AW132" s="459"/>
      <c r="AX132" s="460"/>
      <c r="AY132" s="460"/>
      <c r="AZ132" s="460"/>
      <c r="BA132" s="460"/>
      <c r="BB132" s="460"/>
      <c r="BD132" s="459"/>
      <c r="BE132" s="460"/>
      <c r="BF132" s="460"/>
      <c r="BG132" s="460"/>
      <c r="BH132" s="460"/>
      <c r="BI132" s="460"/>
      <c r="BK132" s="459"/>
      <c r="BL132" s="460"/>
      <c r="BM132" s="460"/>
      <c r="BN132" s="460"/>
      <c r="BO132" s="460"/>
      <c r="BP132" s="460"/>
      <c r="BR132" s="459"/>
      <c r="BS132" s="460"/>
      <c r="BT132" s="460"/>
      <c r="BU132" s="460"/>
      <c r="BV132" s="460"/>
      <c r="BW132" s="460"/>
      <c r="BY132" s="459"/>
      <c r="BZ132" s="460"/>
      <c r="CA132" s="460"/>
      <c r="CB132" s="460"/>
      <c r="CC132" s="460"/>
      <c r="CD132" s="460"/>
      <c r="CF132" s="459"/>
      <c r="CG132" s="460"/>
      <c r="CH132" s="460"/>
      <c r="CI132" s="460"/>
      <c r="CJ132" s="460"/>
      <c r="CK132" s="460"/>
      <c r="CM132" s="459"/>
      <c r="CN132" s="460"/>
      <c r="CO132" s="460"/>
      <c r="CP132" s="460"/>
      <c r="CQ132" s="460"/>
      <c r="CR132" s="460"/>
      <c r="CT132" s="459"/>
      <c r="CU132" s="460"/>
      <c r="CV132" s="460"/>
      <c r="CW132" s="460"/>
      <c r="CX132" s="460"/>
      <c r="CY132" s="460"/>
      <c r="DA132" s="459"/>
      <c r="DB132" s="460"/>
      <c r="DC132" s="460"/>
      <c r="DD132" s="460"/>
      <c r="DE132" s="460"/>
      <c r="DF132" s="460"/>
      <c r="DH132" s="459"/>
      <c r="DI132" s="460"/>
      <c r="DJ132" s="460"/>
      <c r="DK132" s="460"/>
      <c r="DL132" s="460"/>
      <c r="DM132" s="460"/>
      <c r="DO132" s="459"/>
      <c r="DP132" s="460"/>
      <c r="DQ132" s="460"/>
      <c r="DR132" s="460"/>
      <c r="DS132" s="460"/>
      <c r="DT132" s="460"/>
      <c r="DV132" s="459"/>
      <c r="DW132" s="460"/>
      <c r="DX132" s="460"/>
      <c r="DY132" s="460"/>
      <c r="DZ132" s="460"/>
      <c r="EA132" s="460"/>
      <c r="EC132" s="459"/>
      <c r="ED132" s="460"/>
      <c r="EE132" s="460"/>
      <c r="EF132" s="460"/>
      <c r="EG132" s="460"/>
      <c r="EH132" s="460"/>
      <c r="EJ132" s="459"/>
      <c r="EK132" s="460"/>
      <c r="EL132" s="460"/>
      <c r="EM132" s="460"/>
      <c r="EN132" s="460"/>
      <c r="EO132" s="460"/>
      <c r="EQ132" s="459"/>
      <c r="ER132" s="460"/>
      <c r="ES132" s="460"/>
      <c r="ET132" s="460"/>
      <c r="EU132" s="460"/>
      <c r="EV132" s="460"/>
      <c r="EX132" s="459"/>
      <c r="EY132" s="460"/>
      <c r="EZ132" s="460"/>
      <c r="FA132" s="460"/>
      <c r="FB132" s="460"/>
      <c r="FC132" s="460"/>
      <c r="FE132" s="459"/>
      <c r="FF132" s="460"/>
      <c r="FG132" s="460"/>
      <c r="FH132" s="460"/>
      <c r="FI132" s="460"/>
      <c r="FJ132" s="460"/>
      <c r="FL132" s="459"/>
      <c r="FM132" s="460"/>
      <c r="FN132" s="460"/>
      <c r="FO132" s="460"/>
      <c r="FP132" s="460"/>
      <c r="FQ132" s="460"/>
      <c r="FS132" s="459"/>
      <c r="FT132" s="460"/>
      <c r="FU132" s="460"/>
      <c r="FV132" s="460"/>
      <c r="FW132" s="460"/>
      <c r="FX132" s="460"/>
      <c r="FZ132" s="459"/>
      <c r="GA132" s="460"/>
      <c r="GB132" s="460"/>
      <c r="GC132" s="460"/>
      <c r="GD132" s="460"/>
      <c r="GE132" s="460"/>
      <c r="GG132" s="459"/>
      <c r="GH132" s="460"/>
      <c r="GI132" s="460"/>
      <c r="GJ132" s="460"/>
      <c r="GK132" s="460"/>
      <c r="GL132" s="460"/>
      <c r="GN132" s="459"/>
      <c r="GO132" s="460"/>
      <c r="GP132" s="460"/>
      <c r="GQ132" s="460"/>
      <c r="GR132" s="460"/>
      <c r="GS132" s="460"/>
      <c r="GU132" s="459"/>
      <c r="GV132" s="460"/>
      <c r="GW132" s="460"/>
      <c r="GX132" s="460"/>
      <c r="GY132" s="460"/>
      <c r="GZ132" s="460"/>
    </row>
    <row r="133" spans="1:208" x14ac:dyDescent="0.4">
      <c r="A133" s="452"/>
      <c r="B133" s="443" t="s">
        <v>125</v>
      </c>
      <c r="C133" s="444">
        <f>AU133</f>
        <v>69</v>
      </c>
      <c r="D133" s="444">
        <f>BB133</f>
        <v>151</v>
      </c>
      <c r="E133" s="444">
        <f>BI133</f>
        <v>-41</v>
      </c>
      <c r="F133" s="444">
        <f>BP133</f>
        <v>36</v>
      </c>
      <c r="G133" s="444">
        <f>BW133</f>
        <v>9</v>
      </c>
      <c r="H133" s="444">
        <f>CD133</f>
        <v>-80</v>
      </c>
      <c r="I133" s="444">
        <f>CK133</f>
        <v>-112</v>
      </c>
      <c r="J133" s="444">
        <f>CR133</f>
        <v>-70</v>
      </c>
      <c r="K133" s="444">
        <f>CY133</f>
        <v>-112</v>
      </c>
      <c r="L133" s="444">
        <f>DF133</f>
        <v>-37</v>
      </c>
      <c r="M133" s="444">
        <f>DM133</f>
        <v>37</v>
      </c>
      <c r="N133" s="444">
        <f>DT133</f>
        <v>9</v>
      </c>
      <c r="O133" s="444">
        <f>EA133</f>
        <v>37</v>
      </c>
      <c r="P133" s="444">
        <f>EH133</f>
        <v>-27</v>
      </c>
      <c r="Q133" s="444">
        <f>EO133</f>
        <v>31</v>
      </c>
      <c r="R133" s="444">
        <f>EV133</f>
        <v>-77</v>
      </c>
      <c r="S133" s="444">
        <f>FC133</f>
        <v>-4</v>
      </c>
      <c r="T133" s="444">
        <f>FJ133</f>
        <v>33</v>
      </c>
      <c r="U133" s="444">
        <f>FQ133</f>
        <v>-76</v>
      </c>
      <c r="V133" s="496">
        <f>FX133</f>
        <v>-97</v>
      </c>
      <c r="W133" s="496">
        <f>GE133</f>
        <v>-91</v>
      </c>
      <c r="X133" s="496">
        <f>GL133</f>
        <v>0</v>
      </c>
      <c r="Y133" s="496">
        <f>GS133</f>
        <v>0</v>
      </c>
      <c r="Z133" s="496">
        <f>GZ133</f>
        <v>0</v>
      </c>
      <c r="AA133" s="445"/>
      <c r="AB133" s="445"/>
      <c r="AC133" s="445"/>
      <c r="AD133" s="445"/>
      <c r="AE133" s="445"/>
      <c r="AF133" s="445"/>
      <c r="AG133" s="445"/>
      <c r="AH133" s="445"/>
      <c r="AI133" s="445"/>
      <c r="AJ133" s="445"/>
      <c r="AK133" s="445"/>
      <c r="AL133" s="445"/>
      <c r="AM133" s="445"/>
      <c r="AN133" s="445"/>
      <c r="AP133" s="443" t="s">
        <v>125</v>
      </c>
      <c r="AQ133" s="444">
        <f>+CF!AQ43</f>
        <v>0</v>
      </c>
      <c r="AR133" s="444">
        <f>+CF!AR43</f>
        <v>3</v>
      </c>
      <c r="AS133" s="444">
        <f>+CF!AS43</f>
        <v>23</v>
      </c>
      <c r="AT133" s="444">
        <f>+CF!AT43</f>
        <v>43</v>
      </c>
      <c r="AU133" s="444">
        <f>+CF!AU43</f>
        <v>69</v>
      </c>
      <c r="AW133" s="443" t="s">
        <v>125</v>
      </c>
      <c r="AX133" s="444">
        <f>+CF!AX43</f>
        <v>-15</v>
      </c>
      <c r="AY133" s="444">
        <f>+CF!AY43</f>
        <v>115</v>
      </c>
      <c r="AZ133" s="444">
        <f>+CF!AZ43</f>
        <v>21</v>
      </c>
      <c r="BA133" s="444">
        <f>+CF!BA43</f>
        <v>30</v>
      </c>
      <c r="BB133" s="444">
        <f>+CF!BB43</f>
        <v>151</v>
      </c>
      <c r="BD133" s="443" t="s">
        <v>125</v>
      </c>
      <c r="BE133" s="444">
        <f>+CF!BE43</f>
        <v>-2</v>
      </c>
      <c r="BF133" s="444">
        <f>+CF!BF43</f>
        <v>0</v>
      </c>
      <c r="BG133" s="444">
        <f>+CF!BG43</f>
        <v>5</v>
      </c>
      <c r="BH133" s="444">
        <f>+CF!BH43</f>
        <v>-44</v>
      </c>
      <c r="BI133" s="444">
        <f>+CF!BI43</f>
        <v>-41</v>
      </c>
      <c r="BK133" s="443" t="s">
        <v>125</v>
      </c>
      <c r="BL133" s="444">
        <f>+CF!BL43</f>
        <v>12</v>
      </c>
      <c r="BM133" s="444">
        <f>+CF!BM43</f>
        <v>-13</v>
      </c>
      <c r="BN133" s="444">
        <f>+CF!BN43</f>
        <v>28</v>
      </c>
      <c r="BO133" s="444">
        <f>+CF!BO43</f>
        <v>9</v>
      </c>
      <c r="BP133" s="444">
        <f>+CF!BP43</f>
        <v>36</v>
      </c>
      <c r="BR133" s="443" t="s">
        <v>125</v>
      </c>
      <c r="BS133" s="444">
        <f>+CF!BS43</f>
        <v>37</v>
      </c>
      <c r="BT133" s="444">
        <f>+CF!BT43</f>
        <v>12</v>
      </c>
      <c r="BU133" s="444">
        <f>+CF!BU43</f>
        <v>2</v>
      </c>
      <c r="BV133" s="444">
        <f>+CF!BV43</f>
        <v>-42</v>
      </c>
      <c r="BW133" s="444">
        <f>+CF!BW43</f>
        <v>9</v>
      </c>
      <c r="BY133" s="443" t="s">
        <v>125</v>
      </c>
      <c r="BZ133" s="444">
        <f>+CF!BZ43</f>
        <v>18</v>
      </c>
      <c r="CA133" s="444">
        <f>+CF!CA43</f>
        <v>50</v>
      </c>
      <c r="CB133" s="444">
        <f>+CF!CB43</f>
        <v>-27</v>
      </c>
      <c r="CC133" s="444">
        <f>+CF!CC43</f>
        <v>-121</v>
      </c>
      <c r="CD133" s="444">
        <f>+CF!CD43</f>
        <v>-80</v>
      </c>
      <c r="CF133" s="443" t="s">
        <v>125</v>
      </c>
      <c r="CG133" s="444">
        <f>+CF!CG43</f>
        <v>2</v>
      </c>
      <c r="CH133" s="444">
        <f>+CF!CH43</f>
        <v>-20</v>
      </c>
      <c r="CI133" s="444">
        <f>+CF!CI43</f>
        <v>1</v>
      </c>
      <c r="CJ133" s="444">
        <f>+CF!CJ43</f>
        <v>-95</v>
      </c>
      <c r="CK133" s="444">
        <f>+CF!CK43</f>
        <v>-112</v>
      </c>
      <c r="CM133" s="443" t="s">
        <v>125</v>
      </c>
      <c r="CN133" s="444">
        <f>+CF!CN43</f>
        <v>8</v>
      </c>
      <c r="CO133" s="444">
        <f>+CF!CO43</f>
        <v>-2</v>
      </c>
      <c r="CP133" s="444">
        <f>+CF!CP43</f>
        <v>4</v>
      </c>
      <c r="CQ133" s="444">
        <f>+CF!CQ43</f>
        <v>-80</v>
      </c>
      <c r="CR133" s="444">
        <f>+CF!CR43</f>
        <v>-70</v>
      </c>
      <c r="CT133" s="443" t="s">
        <v>125</v>
      </c>
      <c r="CU133" s="444">
        <f>+CF!CU43</f>
        <v>-18</v>
      </c>
      <c r="CV133" s="444">
        <f>+CF!CV43</f>
        <v>-32</v>
      </c>
      <c r="CW133" s="444">
        <f>+CF!CW43</f>
        <v>-4</v>
      </c>
      <c r="CX133" s="444">
        <f>+CF!CX43</f>
        <v>-58</v>
      </c>
      <c r="CY133" s="444">
        <f>+CF!CY43</f>
        <v>-112</v>
      </c>
      <c r="DA133" s="443" t="s">
        <v>125</v>
      </c>
      <c r="DB133" s="444">
        <f>+CF!DB43</f>
        <v>4</v>
      </c>
      <c r="DC133" s="444">
        <f>+CF!DC43</f>
        <v>-21</v>
      </c>
      <c r="DD133" s="444">
        <f>+CF!DD43</f>
        <v>-35</v>
      </c>
      <c r="DE133" s="444">
        <f>+CF!DE43</f>
        <v>15</v>
      </c>
      <c r="DF133" s="444">
        <f>+CF!DF43</f>
        <v>-37</v>
      </c>
      <c r="DH133" s="443" t="s">
        <v>125</v>
      </c>
      <c r="DI133" s="444">
        <f>+CF!DI43</f>
        <v>63</v>
      </c>
      <c r="DJ133" s="444">
        <f>+CF!DJ43</f>
        <v>-11</v>
      </c>
      <c r="DK133" s="444">
        <f>+CF!DK43</f>
        <v>-10</v>
      </c>
      <c r="DL133" s="444">
        <f>+CF!DL43</f>
        <v>-5</v>
      </c>
      <c r="DM133" s="444">
        <f>+CF!DM43</f>
        <v>37</v>
      </c>
      <c r="DO133" s="443" t="s">
        <v>125</v>
      </c>
      <c r="DP133" s="444">
        <f>+CF!DP43</f>
        <v>31</v>
      </c>
      <c r="DQ133" s="444">
        <f>+CF!DQ43</f>
        <v>4</v>
      </c>
      <c r="DR133" s="444">
        <f>+CF!DR43</f>
        <v>2</v>
      </c>
      <c r="DS133" s="444">
        <f>+CF!DS43</f>
        <v>-28</v>
      </c>
      <c r="DT133" s="444">
        <f>+CF!DT43</f>
        <v>9</v>
      </c>
      <c r="DV133" s="443" t="s">
        <v>125</v>
      </c>
      <c r="DW133" s="444">
        <f>+CF!DW43</f>
        <v>12</v>
      </c>
      <c r="DX133" s="444">
        <f>+CF!DX43</f>
        <v>13</v>
      </c>
      <c r="DY133" s="444">
        <f>+CF!DY43</f>
        <v>8</v>
      </c>
      <c r="DZ133" s="444">
        <f>+CF!DZ43</f>
        <v>4</v>
      </c>
      <c r="EA133" s="444">
        <f>+CF!EA43</f>
        <v>37</v>
      </c>
      <c r="EC133" s="443" t="s">
        <v>125</v>
      </c>
      <c r="ED133" s="444">
        <f>+CF!ED43</f>
        <v>-8</v>
      </c>
      <c r="EE133" s="444">
        <f>+CF!EE43</f>
        <v>0</v>
      </c>
      <c r="EF133" s="444">
        <f>+CF!EF43</f>
        <v>0</v>
      </c>
      <c r="EG133" s="444">
        <f>+CF!EG43</f>
        <v>-19</v>
      </c>
      <c r="EH133" s="444">
        <f>+CF!EH43</f>
        <v>-27</v>
      </c>
      <c r="EJ133" s="443" t="s">
        <v>125</v>
      </c>
      <c r="EK133" s="444">
        <f>+CF!EK43</f>
        <v>-2</v>
      </c>
      <c r="EL133" s="444">
        <f>+CF!EL43</f>
        <v>-14</v>
      </c>
      <c r="EM133" s="444">
        <f>+CF!EM43</f>
        <v>35</v>
      </c>
      <c r="EN133" s="444">
        <f>+CF!EN43</f>
        <v>12</v>
      </c>
      <c r="EO133" s="444">
        <f>+CF!EO43</f>
        <v>31</v>
      </c>
      <c r="EQ133" s="443" t="s">
        <v>125</v>
      </c>
      <c r="ER133" s="444">
        <f>+CF!ER43</f>
        <v>-20</v>
      </c>
      <c r="ES133" s="444">
        <f>+CF!ES43</f>
        <v>-22</v>
      </c>
      <c r="ET133" s="444">
        <f>+CF!ET43</f>
        <v>10</v>
      </c>
      <c r="EU133" s="444">
        <f>+CF!EU43</f>
        <v>-45</v>
      </c>
      <c r="EV133" s="444">
        <f>+CF!EV43</f>
        <v>-77</v>
      </c>
      <c r="EX133" s="443" t="s">
        <v>125</v>
      </c>
      <c r="EY133" s="444">
        <f>+CF!EY43</f>
        <v>8</v>
      </c>
      <c r="EZ133" s="444">
        <f>+CF!EZ43</f>
        <v>-8</v>
      </c>
      <c r="FA133" s="444">
        <f>+CF!FA43</f>
        <v>0</v>
      </c>
      <c r="FB133" s="444">
        <f>+CF!FB43</f>
        <v>-4</v>
      </c>
      <c r="FC133" s="444">
        <f>+CF!FC43</f>
        <v>-4</v>
      </c>
      <c r="FE133" s="443" t="s">
        <v>125</v>
      </c>
      <c r="FF133" s="444">
        <f>+CF!FF43</f>
        <v>-17</v>
      </c>
      <c r="FG133" s="444">
        <f>+CF!FG43</f>
        <v>-2</v>
      </c>
      <c r="FH133" s="444">
        <f>+CF!FH43</f>
        <v>-6</v>
      </c>
      <c r="FI133" s="444">
        <f>+CF!FI43</f>
        <v>58</v>
      </c>
      <c r="FJ133" s="444">
        <f>+CF!FJ43</f>
        <v>33</v>
      </c>
      <c r="FL133" s="443" t="s">
        <v>125</v>
      </c>
      <c r="FM133" s="444">
        <f>+CF!FM43</f>
        <v>5</v>
      </c>
      <c r="FN133" s="444">
        <f>+CF!FN43</f>
        <v>-25</v>
      </c>
      <c r="FO133" s="444">
        <f>+CF!FO43</f>
        <v>1</v>
      </c>
      <c r="FP133" s="444">
        <f>+CF!FP43</f>
        <v>-57</v>
      </c>
      <c r="FQ133" s="444">
        <f>+CF!FQ43</f>
        <v>-76</v>
      </c>
      <c r="FS133" s="443" t="s">
        <v>125</v>
      </c>
      <c r="FT133" s="444">
        <v>0</v>
      </c>
      <c r="FU133" s="444">
        <f>+CF!FU43</f>
        <v>-21</v>
      </c>
      <c r="FV133" s="444">
        <f>+CF!FV43</f>
        <v>-38</v>
      </c>
      <c r="FW133" s="444">
        <f>+CF!FW43</f>
        <v>-3</v>
      </c>
      <c r="FX133" s="444">
        <f>+CF!FX43</f>
        <v>-97</v>
      </c>
      <c r="FZ133" s="443" t="s">
        <v>125</v>
      </c>
      <c r="GA133" s="444">
        <v>0</v>
      </c>
      <c r="GB133" s="444">
        <f>+CF!GB43</f>
        <v>4</v>
      </c>
      <c r="GC133" s="444">
        <f>+CF!GC43</f>
        <v>-27</v>
      </c>
      <c r="GD133" s="505">
        <v>0</v>
      </c>
      <c r="GE133" s="496">
        <f>+CF!GE43</f>
        <v>-91</v>
      </c>
      <c r="GG133" s="443" t="s">
        <v>125</v>
      </c>
      <c r="GH133" s="505">
        <v>0</v>
      </c>
      <c r="GI133" s="505">
        <v>0</v>
      </c>
      <c r="GJ133" s="505">
        <v>0</v>
      </c>
      <c r="GK133" s="505">
        <v>0</v>
      </c>
      <c r="GL133" s="496">
        <f>+CF!GL43</f>
        <v>0</v>
      </c>
      <c r="GN133" s="443" t="s">
        <v>125</v>
      </c>
      <c r="GO133" s="505">
        <v>0</v>
      </c>
      <c r="GP133" s="505">
        <v>0</v>
      </c>
      <c r="GQ133" s="505">
        <v>0</v>
      </c>
      <c r="GR133" s="505">
        <v>0</v>
      </c>
      <c r="GS133" s="496">
        <f>+CF!GS43</f>
        <v>0</v>
      </c>
      <c r="GU133" s="443" t="s">
        <v>125</v>
      </c>
      <c r="GV133" s="505">
        <v>0</v>
      </c>
      <c r="GW133" s="505">
        <v>0</v>
      </c>
      <c r="GX133" s="505">
        <v>0</v>
      </c>
      <c r="GY133" s="505">
        <v>0</v>
      </c>
      <c r="GZ133" s="496">
        <f>+CF!GZ43</f>
        <v>0</v>
      </c>
    </row>
    <row r="134" spans="1:208" x14ac:dyDescent="0.4">
      <c r="A134" s="58"/>
      <c r="B134" s="443" t="s">
        <v>126</v>
      </c>
      <c r="C134" s="444">
        <f>AU134</f>
        <v>69</v>
      </c>
      <c r="D134" s="444">
        <f>BB134</f>
        <v>151</v>
      </c>
      <c r="E134" s="444">
        <f>BI134</f>
        <v>-41</v>
      </c>
      <c r="F134" s="444">
        <f>BP134</f>
        <v>36</v>
      </c>
      <c r="G134" s="444">
        <f>BW134</f>
        <v>9</v>
      </c>
      <c r="H134" s="444">
        <f>CD134</f>
        <v>-80</v>
      </c>
      <c r="I134" s="444">
        <f>CK134</f>
        <v>-112</v>
      </c>
      <c r="J134" s="444">
        <f>CR134</f>
        <v>-70</v>
      </c>
      <c r="K134" s="444">
        <f>CY134</f>
        <v>-112</v>
      </c>
      <c r="L134" s="444">
        <f>DF134</f>
        <v>-37</v>
      </c>
      <c r="M134" s="444">
        <f>DM134</f>
        <v>37</v>
      </c>
      <c r="N134" s="444">
        <f>DT134</f>
        <v>9</v>
      </c>
      <c r="O134" s="444">
        <f>EA134</f>
        <v>37</v>
      </c>
      <c r="P134" s="444">
        <f>EH134</f>
        <v>-27</v>
      </c>
      <c r="Q134" s="444">
        <f>EO134</f>
        <v>31</v>
      </c>
      <c r="R134" s="444">
        <f>EV134</f>
        <v>-77</v>
      </c>
      <c r="S134" s="444">
        <f>FC134</f>
        <v>-4</v>
      </c>
      <c r="T134" s="444">
        <f>FJ134</f>
        <v>33</v>
      </c>
      <c r="U134" s="444">
        <f>FQ134</f>
        <v>-76</v>
      </c>
      <c r="V134" s="496">
        <f>FX134</f>
        <v>-62</v>
      </c>
      <c r="W134" s="496">
        <f>GE134</f>
        <v>-23</v>
      </c>
      <c r="X134" s="496">
        <f>GL134</f>
        <v>0</v>
      </c>
      <c r="Y134" s="496">
        <f>GS134</f>
        <v>0</v>
      </c>
      <c r="Z134" s="496">
        <f>GZ134</f>
        <v>0</v>
      </c>
      <c r="AA134" s="445"/>
      <c r="AB134" s="445"/>
      <c r="AC134" s="445"/>
      <c r="AD134" s="445"/>
      <c r="AE134" s="445"/>
      <c r="AF134" s="445"/>
      <c r="AG134" s="445"/>
      <c r="AH134" s="445"/>
      <c r="AI134" s="445"/>
      <c r="AJ134" s="445"/>
      <c r="AK134" s="445"/>
      <c r="AL134" s="445"/>
      <c r="AM134" s="445"/>
      <c r="AN134" s="445"/>
      <c r="AP134" s="443" t="s">
        <v>126</v>
      </c>
      <c r="AQ134" s="444">
        <f>+AQ133</f>
        <v>0</v>
      </c>
      <c r="AR134" s="444">
        <f>+SUM(AQ133:AR133)</f>
        <v>3</v>
      </c>
      <c r="AS134" s="444">
        <f>+SUM(AQ133:AS133)</f>
        <v>26</v>
      </c>
      <c r="AT134" s="444">
        <f>+SUM(AQ133:AT133)</f>
        <v>69</v>
      </c>
      <c r="AU134" s="444">
        <f>+AT134</f>
        <v>69</v>
      </c>
      <c r="AW134" s="443" t="s">
        <v>126</v>
      </c>
      <c r="AX134" s="444">
        <f>+AX133</f>
        <v>-15</v>
      </c>
      <c r="AY134" s="444">
        <f>+SUM(AX133:AY133)</f>
        <v>100</v>
      </c>
      <c r="AZ134" s="444">
        <f>+SUM(AX133:AZ133)</f>
        <v>121</v>
      </c>
      <c r="BA134" s="444">
        <f>+SUM(AX133:BA133)</f>
        <v>151</v>
      </c>
      <c r="BB134" s="444">
        <f>+BA134</f>
        <v>151</v>
      </c>
      <c r="BD134" s="443" t="s">
        <v>126</v>
      </c>
      <c r="BE134" s="444">
        <f>+BE133</f>
        <v>-2</v>
      </c>
      <c r="BF134" s="444">
        <f>+SUM(BE133:BF133)</f>
        <v>-2</v>
      </c>
      <c r="BG134" s="444">
        <f>+SUM(BE133:BG133)</f>
        <v>3</v>
      </c>
      <c r="BH134" s="444">
        <f>+SUM(BE133:BH133)</f>
        <v>-41</v>
      </c>
      <c r="BI134" s="444">
        <f>+BH134</f>
        <v>-41</v>
      </c>
      <c r="BK134" s="443" t="s">
        <v>126</v>
      </c>
      <c r="BL134" s="444">
        <f>+BL133</f>
        <v>12</v>
      </c>
      <c r="BM134" s="444">
        <f>+SUM(BL133:BM133)</f>
        <v>-1</v>
      </c>
      <c r="BN134" s="444">
        <f>+SUM(BL133:BN133)</f>
        <v>27</v>
      </c>
      <c r="BO134" s="444">
        <f>+SUM(BL133:BO133)</f>
        <v>36</v>
      </c>
      <c r="BP134" s="444">
        <f>+BO134</f>
        <v>36</v>
      </c>
      <c r="BR134" s="443" t="s">
        <v>126</v>
      </c>
      <c r="BS134" s="444">
        <f>+BS133</f>
        <v>37</v>
      </c>
      <c r="BT134" s="444">
        <f>+SUM(BS133:BT133)</f>
        <v>49</v>
      </c>
      <c r="BU134" s="444">
        <f>+SUM(BS133:BU133)</f>
        <v>51</v>
      </c>
      <c r="BV134" s="444">
        <f>+SUM(BS133:BV133)</f>
        <v>9</v>
      </c>
      <c r="BW134" s="444">
        <f>+BV134</f>
        <v>9</v>
      </c>
      <c r="BY134" s="443" t="s">
        <v>126</v>
      </c>
      <c r="BZ134" s="444">
        <f>+BZ133</f>
        <v>18</v>
      </c>
      <c r="CA134" s="444">
        <f>+SUM(BZ133:CA133)</f>
        <v>68</v>
      </c>
      <c r="CB134" s="444">
        <f>+SUM(BZ133:CB133)</f>
        <v>41</v>
      </c>
      <c r="CC134" s="444">
        <f>+SUM(BZ133:CC133)</f>
        <v>-80</v>
      </c>
      <c r="CD134" s="444">
        <f>+CC134</f>
        <v>-80</v>
      </c>
      <c r="CF134" s="443" t="s">
        <v>126</v>
      </c>
      <c r="CG134" s="444">
        <f>+CG133</f>
        <v>2</v>
      </c>
      <c r="CH134" s="444">
        <f>+SUM(CG133:CH133)</f>
        <v>-18</v>
      </c>
      <c r="CI134" s="444">
        <f>+SUM(CG133:CI133)</f>
        <v>-17</v>
      </c>
      <c r="CJ134" s="444">
        <f>+SUM(CG133:CJ133)</f>
        <v>-112</v>
      </c>
      <c r="CK134" s="444">
        <f>+CJ134</f>
        <v>-112</v>
      </c>
      <c r="CM134" s="443" t="s">
        <v>126</v>
      </c>
      <c r="CN134" s="444">
        <f>+CN133</f>
        <v>8</v>
      </c>
      <c r="CO134" s="444">
        <f>+SUM(CN133:CO133)</f>
        <v>6</v>
      </c>
      <c r="CP134" s="444">
        <f>+SUM(CN133:CP133)</f>
        <v>10</v>
      </c>
      <c r="CQ134" s="444">
        <f>+SUM(CN133:CQ133)</f>
        <v>-70</v>
      </c>
      <c r="CR134" s="444">
        <f>+CQ134</f>
        <v>-70</v>
      </c>
      <c r="CT134" s="443" t="s">
        <v>126</v>
      </c>
      <c r="CU134" s="444">
        <f>+CU133</f>
        <v>-18</v>
      </c>
      <c r="CV134" s="444">
        <f>+SUM(CU133:CV133)</f>
        <v>-50</v>
      </c>
      <c r="CW134" s="444">
        <f>+SUM(CU133:CW133)</f>
        <v>-54</v>
      </c>
      <c r="CX134" s="444">
        <f>+SUM(CU133:CX133)</f>
        <v>-112</v>
      </c>
      <c r="CY134" s="444">
        <f>+CX134</f>
        <v>-112</v>
      </c>
      <c r="DA134" s="443" t="s">
        <v>126</v>
      </c>
      <c r="DB134" s="444">
        <f>+DB133</f>
        <v>4</v>
      </c>
      <c r="DC134" s="444">
        <f>+SUM(DB133:DC133)</f>
        <v>-17</v>
      </c>
      <c r="DD134" s="444">
        <f>+SUM(DB133:DD133)</f>
        <v>-52</v>
      </c>
      <c r="DE134" s="444">
        <f>+SUM(DB133:DE133)</f>
        <v>-37</v>
      </c>
      <c r="DF134" s="444">
        <f>+DE134</f>
        <v>-37</v>
      </c>
      <c r="DH134" s="443" t="s">
        <v>126</v>
      </c>
      <c r="DI134" s="444">
        <f>+DI133</f>
        <v>63</v>
      </c>
      <c r="DJ134" s="444">
        <f>+SUM(DI133:DJ133)</f>
        <v>52</v>
      </c>
      <c r="DK134" s="444">
        <f>+SUM(DI133:DK133)</f>
        <v>42</v>
      </c>
      <c r="DL134" s="444">
        <f>+SUM(DI133:DL133)</f>
        <v>37</v>
      </c>
      <c r="DM134" s="444">
        <f>+DL134</f>
        <v>37</v>
      </c>
      <c r="DO134" s="443" t="s">
        <v>126</v>
      </c>
      <c r="DP134" s="444">
        <f>+DP133</f>
        <v>31</v>
      </c>
      <c r="DQ134" s="444">
        <f>+SUM(DP133:DQ133)</f>
        <v>35</v>
      </c>
      <c r="DR134" s="444">
        <f>+SUM(DP133:DR133)</f>
        <v>37</v>
      </c>
      <c r="DS134" s="444">
        <f>+SUM(DP133:DS133)</f>
        <v>9</v>
      </c>
      <c r="DT134" s="444">
        <f>+DS134</f>
        <v>9</v>
      </c>
      <c r="DV134" s="443" t="s">
        <v>126</v>
      </c>
      <c r="DW134" s="444">
        <f>+DW133</f>
        <v>12</v>
      </c>
      <c r="DX134" s="444">
        <f>+SUM(DW133:DX133)</f>
        <v>25</v>
      </c>
      <c r="DY134" s="444">
        <f>+SUM(DW133:DY133)</f>
        <v>33</v>
      </c>
      <c r="DZ134" s="444">
        <f>+SUM(DW133:DZ133)</f>
        <v>37</v>
      </c>
      <c r="EA134" s="444">
        <f>+DZ134</f>
        <v>37</v>
      </c>
      <c r="EC134" s="443" t="s">
        <v>126</v>
      </c>
      <c r="ED134" s="444">
        <f>+ED133</f>
        <v>-8</v>
      </c>
      <c r="EE134" s="444">
        <f>+SUM(ED133:EE133)</f>
        <v>-8</v>
      </c>
      <c r="EF134" s="444">
        <f>+SUM(ED133:EF133)</f>
        <v>-8</v>
      </c>
      <c r="EG134" s="444">
        <f>+SUM(ED133:EG133)</f>
        <v>-27</v>
      </c>
      <c r="EH134" s="444">
        <f>+EG134</f>
        <v>-27</v>
      </c>
      <c r="EJ134" s="443" t="s">
        <v>126</v>
      </c>
      <c r="EK134" s="444">
        <f>+EK133</f>
        <v>-2</v>
      </c>
      <c r="EL134" s="444">
        <f>+SUM(EK133:EL133)</f>
        <v>-16</v>
      </c>
      <c r="EM134" s="444">
        <f>+SUM(EK133:EM133)</f>
        <v>19</v>
      </c>
      <c r="EN134" s="444">
        <f>+SUM(EK133:EN133)</f>
        <v>31</v>
      </c>
      <c r="EO134" s="444">
        <f>+EN134</f>
        <v>31</v>
      </c>
      <c r="EQ134" s="443" t="s">
        <v>126</v>
      </c>
      <c r="ER134" s="444">
        <f>+ER133</f>
        <v>-20</v>
      </c>
      <c r="ES134" s="444">
        <f>+SUM(ER133:ES133)</f>
        <v>-42</v>
      </c>
      <c r="ET134" s="444">
        <f>+SUM(ER133:ET133)</f>
        <v>-32</v>
      </c>
      <c r="EU134" s="444">
        <f>+SUM(ER133:EU133)</f>
        <v>-77</v>
      </c>
      <c r="EV134" s="444">
        <f>+EU134</f>
        <v>-77</v>
      </c>
      <c r="EX134" s="443" t="s">
        <v>126</v>
      </c>
      <c r="EY134" s="444">
        <f>+EY133</f>
        <v>8</v>
      </c>
      <c r="EZ134" s="444">
        <f>+SUM(EY133:EZ133)</f>
        <v>0</v>
      </c>
      <c r="FA134" s="444">
        <f>+SUM(EY133:FA133)</f>
        <v>0</v>
      </c>
      <c r="FB134" s="444">
        <f>+SUM(EY133:FB133)</f>
        <v>-4</v>
      </c>
      <c r="FC134" s="444">
        <f>+FB134</f>
        <v>-4</v>
      </c>
      <c r="FE134" s="443" t="s">
        <v>126</v>
      </c>
      <c r="FF134" s="444">
        <f>+FF133</f>
        <v>-17</v>
      </c>
      <c r="FG134" s="444">
        <f>+SUM(FF133:FG133)</f>
        <v>-19</v>
      </c>
      <c r="FH134" s="444">
        <f>+SUM(FF133:FH133)</f>
        <v>-25</v>
      </c>
      <c r="FI134" s="444">
        <f>+SUM(FF133:FI133)</f>
        <v>33</v>
      </c>
      <c r="FJ134" s="444">
        <f>+FI134</f>
        <v>33</v>
      </c>
      <c r="FL134" s="443" t="s">
        <v>126</v>
      </c>
      <c r="FM134" s="444">
        <f>+FM133</f>
        <v>5</v>
      </c>
      <c r="FN134" s="444">
        <f>+SUM(FM133:FN133)</f>
        <v>-20</v>
      </c>
      <c r="FO134" s="444">
        <f>+SUM(FM133:FO133)</f>
        <v>-19</v>
      </c>
      <c r="FP134" s="444">
        <f>+SUM(FM133:FP133)</f>
        <v>-76</v>
      </c>
      <c r="FQ134" s="444">
        <f>+FP134</f>
        <v>-76</v>
      </c>
      <c r="FS134" s="443" t="s">
        <v>126</v>
      </c>
      <c r="FT134" s="444">
        <f>+FT133</f>
        <v>0</v>
      </c>
      <c r="FU134" s="444">
        <f>+SUM(FT133:FU133)</f>
        <v>-21</v>
      </c>
      <c r="FV134" s="444">
        <f>+SUM(FT133:FV133)</f>
        <v>-59</v>
      </c>
      <c r="FW134" s="444">
        <f>+SUM(FT133:FW133)</f>
        <v>-62</v>
      </c>
      <c r="FX134" s="444">
        <f>+FW134</f>
        <v>-62</v>
      </c>
      <c r="FZ134" s="443" t="s">
        <v>126</v>
      </c>
      <c r="GA134" s="444">
        <f>+GA133</f>
        <v>0</v>
      </c>
      <c r="GB134" s="444">
        <f>+SUM(GA133:GB133)</f>
        <v>4</v>
      </c>
      <c r="GC134" s="444">
        <f>+SUM(GA133:GC133)</f>
        <v>-23</v>
      </c>
      <c r="GD134" s="496">
        <f>+SUM(GA133:GD133)</f>
        <v>-23</v>
      </c>
      <c r="GE134" s="496">
        <f>+GD134</f>
        <v>-23</v>
      </c>
      <c r="GG134" s="443" t="s">
        <v>126</v>
      </c>
      <c r="GH134" s="496">
        <f>+GH133</f>
        <v>0</v>
      </c>
      <c r="GI134" s="496">
        <f>+SUM(GH133:GI133)</f>
        <v>0</v>
      </c>
      <c r="GJ134" s="496">
        <f>+SUM(GH133:GJ133)</f>
        <v>0</v>
      </c>
      <c r="GK134" s="496">
        <f>+SUM(GH133:GK133)</f>
        <v>0</v>
      </c>
      <c r="GL134" s="496">
        <f>+GK134</f>
        <v>0</v>
      </c>
      <c r="GN134" s="443" t="s">
        <v>126</v>
      </c>
      <c r="GO134" s="496">
        <f>+GO133</f>
        <v>0</v>
      </c>
      <c r="GP134" s="496">
        <f>+SUM(GO133:GP133)</f>
        <v>0</v>
      </c>
      <c r="GQ134" s="496">
        <f>+SUM(GO133:GQ133)</f>
        <v>0</v>
      </c>
      <c r="GR134" s="496">
        <f>+SUM(GO133:GR133)</f>
        <v>0</v>
      </c>
      <c r="GS134" s="496">
        <f>+GR134</f>
        <v>0</v>
      </c>
      <c r="GU134" s="443" t="s">
        <v>126</v>
      </c>
      <c r="GV134" s="496">
        <f>+GV133</f>
        <v>0</v>
      </c>
      <c r="GW134" s="496">
        <f>+SUM(GV133:GW133)</f>
        <v>0</v>
      </c>
      <c r="GX134" s="496">
        <f>+SUM(GV133:GX133)</f>
        <v>0</v>
      </c>
      <c r="GY134" s="496">
        <f>+SUM(GV133:GY133)</f>
        <v>0</v>
      </c>
      <c r="GZ134" s="496">
        <f>+GY134</f>
        <v>0</v>
      </c>
    </row>
    <row r="135" spans="1:208" ht="14.25" thickBot="1" x14ac:dyDescent="0.45">
      <c r="A135" s="460"/>
      <c r="B135" s="459"/>
      <c r="C135" s="460"/>
      <c r="D135" s="460"/>
      <c r="E135" s="460"/>
      <c r="F135" s="460"/>
      <c r="G135" s="460"/>
      <c r="H135" s="460"/>
      <c r="I135" s="460"/>
      <c r="J135" s="460"/>
      <c r="K135" s="460"/>
      <c r="L135" s="460"/>
      <c r="M135" s="460"/>
      <c r="N135" s="460"/>
      <c r="O135" s="460"/>
      <c r="P135" s="460"/>
      <c r="Q135" s="460"/>
      <c r="R135" s="460"/>
      <c r="S135" s="460"/>
      <c r="T135" s="460"/>
      <c r="U135" s="460"/>
      <c r="V135" s="460"/>
      <c r="W135" s="460"/>
      <c r="X135" s="460"/>
      <c r="Y135" s="460"/>
      <c r="Z135" s="460"/>
      <c r="AA135" s="461"/>
      <c r="AB135" s="461"/>
      <c r="AC135" s="461"/>
      <c r="AD135" s="461"/>
      <c r="AE135" s="461"/>
      <c r="AF135" s="461"/>
      <c r="AG135" s="461"/>
      <c r="AH135" s="461"/>
      <c r="AI135" s="461"/>
      <c r="AJ135" s="461"/>
      <c r="AK135" s="461"/>
      <c r="AL135" s="461"/>
      <c r="AM135" s="461"/>
      <c r="AN135" s="461"/>
      <c r="AP135" s="459"/>
      <c r="AQ135" s="460"/>
      <c r="AR135" s="460"/>
      <c r="AS135" s="460"/>
      <c r="AT135" s="460"/>
      <c r="AU135" s="460"/>
      <c r="AW135" s="459"/>
      <c r="AX135" s="460"/>
      <c r="AY135" s="460"/>
      <c r="AZ135" s="460"/>
      <c r="BA135" s="460"/>
      <c r="BB135" s="460"/>
      <c r="BD135" s="459"/>
      <c r="BE135" s="460"/>
      <c r="BF135" s="460"/>
      <c r="BG135" s="460"/>
      <c r="BH135" s="460"/>
      <c r="BI135" s="460"/>
      <c r="BK135" s="459"/>
      <c r="BL135" s="460"/>
      <c r="BM135" s="460"/>
      <c r="BN135" s="460"/>
      <c r="BO135" s="460"/>
      <c r="BP135" s="460"/>
      <c r="BR135" s="459"/>
      <c r="BS135" s="460"/>
      <c r="BT135" s="460"/>
      <c r="BU135" s="460"/>
      <c r="BV135" s="460"/>
      <c r="BW135" s="460"/>
      <c r="BY135" s="459"/>
      <c r="BZ135" s="460"/>
      <c r="CA135" s="460"/>
      <c r="CB135" s="460"/>
      <c r="CC135" s="460"/>
      <c r="CD135" s="460"/>
      <c r="CF135" s="459"/>
      <c r="CG135" s="460"/>
      <c r="CH135" s="460"/>
      <c r="CI135" s="460"/>
      <c r="CJ135" s="460"/>
      <c r="CK135" s="460"/>
      <c r="CM135" s="459"/>
      <c r="CN135" s="460"/>
      <c r="CO135" s="460"/>
      <c r="CP135" s="460"/>
      <c r="CQ135" s="460"/>
      <c r="CR135" s="460"/>
      <c r="CT135" s="459"/>
      <c r="CU135" s="460"/>
      <c r="CV135" s="460"/>
      <c r="CW135" s="460"/>
      <c r="CX135" s="460"/>
      <c r="CY135" s="460"/>
      <c r="DA135" s="459"/>
      <c r="DB135" s="460"/>
      <c r="DC135" s="460"/>
      <c r="DD135" s="460"/>
      <c r="DE135" s="460"/>
      <c r="DF135" s="460"/>
      <c r="DH135" s="459"/>
      <c r="DI135" s="460"/>
      <c r="DJ135" s="460"/>
      <c r="DK135" s="460"/>
      <c r="DL135" s="460"/>
      <c r="DM135" s="460"/>
      <c r="DO135" s="459"/>
      <c r="DP135" s="460"/>
      <c r="DQ135" s="460"/>
      <c r="DR135" s="460"/>
      <c r="DS135" s="460"/>
      <c r="DT135" s="460"/>
      <c r="DV135" s="459"/>
      <c r="DW135" s="460"/>
      <c r="DX135" s="460"/>
      <c r="DY135" s="460"/>
      <c r="DZ135" s="460"/>
      <c r="EA135" s="460"/>
      <c r="EC135" s="459"/>
      <c r="ED135" s="460"/>
      <c r="EE135" s="460"/>
      <c r="EF135" s="460"/>
      <c r="EG135" s="460"/>
      <c r="EH135" s="460"/>
      <c r="EJ135" s="459"/>
      <c r="EK135" s="460"/>
      <c r="EL135" s="460"/>
      <c r="EM135" s="460"/>
      <c r="EN135" s="460"/>
      <c r="EO135" s="460"/>
      <c r="EQ135" s="459"/>
      <c r="ER135" s="460"/>
      <c r="ES135" s="460"/>
      <c r="ET135" s="460"/>
      <c r="EU135" s="460"/>
      <c r="EV135" s="460"/>
      <c r="EX135" s="459"/>
      <c r="EY135" s="460"/>
      <c r="EZ135" s="460"/>
      <c r="FA135" s="460"/>
      <c r="FB135" s="460"/>
      <c r="FC135" s="460"/>
      <c r="FE135" s="459"/>
      <c r="FF135" s="460"/>
      <c r="FG135" s="460"/>
      <c r="FH135" s="460"/>
      <c r="FI135" s="460"/>
      <c r="FJ135" s="460"/>
      <c r="FL135" s="459"/>
      <c r="FM135" s="460"/>
      <c r="FN135" s="460"/>
      <c r="FO135" s="460"/>
      <c r="FP135" s="460"/>
      <c r="FQ135" s="460"/>
      <c r="FS135" s="459"/>
      <c r="FT135" s="460"/>
      <c r="FU135" s="460"/>
      <c r="FV135" s="460"/>
      <c r="FW135" s="460"/>
      <c r="FX135" s="460"/>
      <c r="FZ135" s="459"/>
      <c r="GA135" s="460"/>
      <c r="GB135" s="460"/>
      <c r="GC135" s="460"/>
      <c r="GD135" s="460"/>
      <c r="GE135" s="460"/>
      <c r="GG135" s="459"/>
      <c r="GH135" s="460"/>
      <c r="GI135" s="460"/>
      <c r="GJ135" s="460"/>
      <c r="GK135" s="460"/>
      <c r="GL135" s="460"/>
      <c r="GN135" s="459"/>
      <c r="GO135" s="460"/>
      <c r="GP135" s="460"/>
      <c r="GQ135" s="460"/>
      <c r="GR135" s="460"/>
      <c r="GS135" s="460"/>
      <c r="GU135" s="459"/>
      <c r="GV135" s="460"/>
      <c r="GW135" s="460"/>
      <c r="GX135" s="460"/>
      <c r="GY135" s="460"/>
      <c r="GZ135" s="460"/>
    </row>
    <row r="136" spans="1:208" ht="14.25" thickBot="1" x14ac:dyDescent="0.45">
      <c r="A136" s="431"/>
      <c r="B136" s="432" t="s">
        <v>83</v>
      </c>
      <c r="C136" s="442"/>
      <c r="D136" s="442"/>
      <c r="E136" s="442"/>
      <c r="F136" s="442"/>
      <c r="G136" s="442"/>
      <c r="H136" s="442"/>
      <c r="I136" s="442"/>
      <c r="J136" s="442"/>
      <c r="K136" s="442"/>
      <c r="L136" s="442"/>
      <c r="M136" s="442"/>
      <c r="N136" s="442"/>
      <c r="O136" s="442"/>
      <c r="P136" s="442"/>
      <c r="Q136" s="442"/>
      <c r="R136" s="442"/>
      <c r="S136" s="442"/>
      <c r="T136" s="442"/>
      <c r="U136" s="442"/>
      <c r="V136" s="495"/>
      <c r="W136" s="495"/>
      <c r="X136" s="495"/>
      <c r="Y136" s="495"/>
      <c r="Z136" s="495"/>
      <c r="AA136" s="433"/>
      <c r="AB136" s="433"/>
      <c r="AC136" s="433"/>
      <c r="AD136" s="433"/>
      <c r="AE136" s="433"/>
      <c r="AF136" s="433"/>
      <c r="AG136" s="433"/>
      <c r="AH136" s="433"/>
      <c r="AI136" s="433"/>
      <c r="AJ136" s="433"/>
      <c r="AK136" s="433"/>
      <c r="AL136" s="433"/>
      <c r="AM136" s="433"/>
      <c r="AN136" s="433"/>
      <c r="AP136" s="432" t="s">
        <v>83</v>
      </c>
      <c r="AQ136" s="442"/>
      <c r="AR136" s="442"/>
      <c r="AS136" s="442"/>
      <c r="AT136" s="442"/>
      <c r="AU136" s="442"/>
      <c r="AW136" s="432" t="s">
        <v>83</v>
      </c>
      <c r="AX136" s="442"/>
      <c r="AY136" s="442"/>
      <c r="AZ136" s="442"/>
      <c r="BA136" s="442"/>
      <c r="BB136" s="442"/>
      <c r="BD136" s="432" t="s">
        <v>83</v>
      </c>
      <c r="BE136" s="442"/>
      <c r="BF136" s="442"/>
      <c r="BG136" s="442"/>
      <c r="BH136" s="442"/>
      <c r="BI136" s="442"/>
      <c r="BK136" s="432" t="s">
        <v>83</v>
      </c>
      <c r="BL136" s="442"/>
      <c r="BM136" s="442"/>
      <c r="BN136" s="442"/>
      <c r="BO136" s="442"/>
      <c r="BP136" s="442"/>
      <c r="BR136" s="432" t="s">
        <v>83</v>
      </c>
      <c r="BS136" s="442"/>
      <c r="BT136" s="442"/>
      <c r="BU136" s="442"/>
      <c r="BV136" s="442"/>
      <c r="BW136" s="442"/>
      <c r="BY136" s="432" t="s">
        <v>83</v>
      </c>
      <c r="BZ136" s="442"/>
      <c r="CA136" s="442"/>
      <c r="CB136" s="442"/>
      <c r="CC136" s="442"/>
      <c r="CD136" s="442"/>
      <c r="CF136" s="432" t="s">
        <v>83</v>
      </c>
      <c r="CG136" s="442"/>
      <c r="CH136" s="442"/>
      <c r="CI136" s="442"/>
      <c r="CJ136" s="442"/>
      <c r="CK136" s="442"/>
      <c r="CM136" s="432" t="s">
        <v>83</v>
      </c>
      <c r="CN136" s="442"/>
      <c r="CO136" s="442"/>
      <c r="CP136" s="442"/>
      <c r="CQ136" s="442"/>
      <c r="CR136" s="442"/>
      <c r="CT136" s="432" t="s">
        <v>83</v>
      </c>
      <c r="CU136" s="442"/>
      <c r="CV136" s="442"/>
      <c r="CW136" s="442"/>
      <c r="CX136" s="442"/>
      <c r="CY136" s="442"/>
      <c r="DA136" s="432" t="s">
        <v>83</v>
      </c>
      <c r="DB136" s="442"/>
      <c r="DC136" s="442"/>
      <c r="DD136" s="442"/>
      <c r="DE136" s="442"/>
      <c r="DF136" s="442"/>
      <c r="DH136" s="432" t="s">
        <v>83</v>
      </c>
      <c r="DI136" s="442"/>
      <c r="DJ136" s="442"/>
      <c r="DK136" s="442"/>
      <c r="DL136" s="442"/>
      <c r="DM136" s="442"/>
      <c r="DO136" s="432" t="s">
        <v>83</v>
      </c>
      <c r="DP136" s="442"/>
      <c r="DQ136" s="442"/>
      <c r="DR136" s="442"/>
      <c r="DS136" s="442"/>
      <c r="DT136" s="442"/>
      <c r="DV136" s="432" t="s">
        <v>83</v>
      </c>
      <c r="DW136" s="442"/>
      <c r="DX136" s="442"/>
      <c r="DY136" s="442"/>
      <c r="DZ136" s="442"/>
      <c r="EA136" s="442"/>
      <c r="EC136" s="432" t="s">
        <v>83</v>
      </c>
      <c r="ED136" s="442"/>
      <c r="EE136" s="442"/>
      <c r="EF136" s="442"/>
      <c r="EG136" s="442"/>
      <c r="EH136" s="442"/>
      <c r="EJ136" s="432" t="s">
        <v>83</v>
      </c>
      <c r="EK136" s="442"/>
      <c r="EL136" s="442"/>
      <c r="EM136" s="442"/>
      <c r="EN136" s="442"/>
      <c r="EO136" s="442"/>
      <c r="EQ136" s="432" t="s">
        <v>83</v>
      </c>
      <c r="ER136" s="442"/>
      <c r="ES136" s="442"/>
      <c r="ET136" s="442"/>
      <c r="EU136" s="442"/>
      <c r="EV136" s="442"/>
      <c r="EX136" s="432" t="s">
        <v>83</v>
      </c>
      <c r="EY136" s="442"/>
      <c r="EZ136" s="442"/>
      <c r="FA136" s="442"/>
      <c r="FB136" s="442"/>
      <c r="FC136" s="442"/>
      <c r="FE136" s="432" t="s">
        <v>83</v>
      </c>
      <c r="FF136" s="442"/>
      <c r="FG136" s="442"/>
      <c r="FH136" s="442"/>
      <c r="FI136" s="442"/>
      <c r="FJ136" s="442"/>
      <c r="FL136" s="432" t="s">
        <v>83</v>
      </c>
      <c r="FM136" s="442"/>
      <c r="FN136" s="442"/>
      <c r="FO136" s="442"/>
      <c r="FP136" s="442"/>
      <c r="FQ136" s="442"/>
      <c r="FS136" s="432" t="s">
        <v>83</v>
      </c>
      <c r="FT136" s="442"/>
      <c r="FU136" s="495"/>
      <c r="FV136" s="495"/>
      <c r="FW136" s="495"/>
      <c r="FX136" s="495"/>
      <c r="FZ136" s="432" t="s">
        <v>83</v>
      </c>
      <c r="GA136" s="495"/>
      <c r="GB136" s="495"/>
      <c r="GC136" s="495"/>
      <c r="GD136" s="495"/>
      <c r="GE136" s="495"/>
      <c r="GG136" s="432" t="s">
        <v>83</v>
      </c>
      <c r="GH136" s="495"/>
      <c r="GI136" s="495"/>
      <c r="GJ136" s="495"/>
      <c r="GK136" s="495"/>
      <c r="GL136" s="495"/>
      <c r="GN136" s="432" t="s">
        <v>83</v>
      </c>
      <c r="GO136" s="495"/>
      <c r="GP136" s="495"/>
      <c r="GQ136" s="495"/>
      <c r="GR136" s="495"/>
      <c r="GS136" s="495"/>
      <c r="GU136" s="432" t="s">
        <v>83</v>
      </c>
      <c r="GV136" s="495"/>
      <c r="GW136" s="495"/>
      <c r="GX136" s="495"/>
      <c r="GY136" s="495"/>
      <c r="GZ136" s="495"/>
    </row>
    <row r="137" spans="1:208" x14ac:dyDescent="0.4">
      <c r="A137" s="366"/>
      <c r="B137" s="76"/>
      <c r="V137" s="80"/>
      <c r="W137" s="80"/>
      <c r="X137" s="80"/>
      <c r="Y137" s="80"/>
      <c r="Z137" s="80"/>
      <c r="AP137" s="76"/>
      <c r="AW137" s="76"/>
      <c r="BD137" s="76"/>
      <c r="BK137" s="76"/>
      <c r="BR137" s="76"/>
      <c r="BY137" s="76"/>
      <c r="CF137" s="76"/>
      <c r="CM137" s="76"/>
      <c r="CT137" s="76"/>
      <c r="DA137" s="76"/>
      <c r="DH137" s="76"/>
      <c r="DO137" s="76"/>
      <c r="DV137" s="76"/>
      <c r="EC137" s="76"/>
      <c r="EJ137" s="76"/>
      <c r="EQ137" s="76"/>
      <c r="EX137" s="76"/>
      <c r="FE137" s="76"/>
      <c r="FL137" s="76"/>
      <c r="FS137" s="76"/>
      <c r="FU137" s="80"/>
      <c r="FV137" s="80"/>
      <c r="FW137" s="80"/>
      <c r="FX137" s="80"/>
      <c r="FZ137" s="76"/>
      <c r="GA137" s="80"/>
      <c r="GB137" s="80"/>
      <c r="GC137" s="80"/>
      <c r="GD137" s="80"/>
      <c r="GE137" s="80"/>
      <c r="GG137" s="76"/>
      <c r="GH137" s="80"/>
      <c r="GI137" s="80"/>
      <c r="GJ137" s="80"/>
      <c r="GK137" s="80"/>
      <c r="GL137" s="80"/>
      <c r="GN137" s="76"/>
      <c r="GO137" s="80"/>
      <c r="GP137" s="80"/>
      <c r="GQ137" s="80"/>
      <c r="GR137" s="80"/>
      <c r="GS137" s="80"/>
      <c r="GU137" s="76"/>
      <c r="GV137" s="80"/>
      <c r="GW137" s="80"/>
      <c r="GX137" s="80"/>
      <c r="GY137" s="80"/>
      <c r="GZ137" s="80"/>
    </row>
    <row r="138" spans="1:208" s="466" customFormat="1" x14ac:dyDescent="0.4">
      <c r="A138" s="462"/>
      <c r="B138" s="463" t="s">
        <v>111</v>
      </c>
      <c r="C138" s="464">
        <f>AU138</f>
        <v>936</v>
      </c>
      <c r="D138" s="464">
        <f>BB138</f>
        <v>592</v>
      </c>
      <c r="E138" s="464">
        <f>BI138</f>
        <v>785</v>
      </c>
      <c r="F138" s="464">
        <f>BP138</f>
        <v>319</v>
      </c>
      <c r="G138" s="464">
        <f>BW138</f>
        <v>113</v>
      </c>
      <c r="H138" s="464">
        <f>CD138</f>
        <v>613</v>
      </c>
      <c r="I138" s="464">
        <f>CK138</f>
        <v>507</v>
      </c>
      <c r="J138" s="464">
        <f>CR138</f>
        <v>780</v>
      </c>
      <c r="K138" s="464">
        <f>CY138</f>
        <v>533</v>
      </c>
      <c r="L138" s="464">
        <f>DF138</f>
        <v>228</v>
      </c>
      <c r="M138" s="464">
        <f>DM138</f>
        <v>20</v>
      </c>
      <c r="N138" s="464">
        <f>DT138</f>
        <v>331</v>
      </c>
      <c r="O138" s="464">
        <f>EA138</f>
        <v>19</v>
      </c>
      <c r="P138" s="464">
        <f>EH138</f>
        <v>18</v>
      </c>
      <c r="Q138" s="464">
        <f>EO138</f>
        <v>245</v>
      </c>
      <c r="R138" s="464">
        <f>EV138</f>
        <v>401</v>
      </c>
      <c r="S138" s="464">
        <f>FC138</f>
        <v>181</v>
      </c>
      <c r="T138" s="464">
        <f>FJ138</f>
        <v>151</v>
      </c>
      <c r="U138" s="464">
        <f>FQ138</f>
        <v>558</v>
      </c>
      <c r="V138" s="498">
        <f>FX138</f>
        <v>606</v>
      </c>
      <c r="W138" s="498">
        <f>GE138</f>
        <v>708</v>
      </c>
      <c r="X138" s="498">
        <f>GL138</f>
        <v>708</v>
      </c>
      <c r="Y138" s="498">
        <f>GS138</f>
        <v>708</v>
      </c>
      <c r="Z138" s="498">
        <f>GZ138</f>
        <v>708</v>
      </c>
      <c r="AA138" s="465"/>
      <c r="AB138" s="465"/>
      <c r="AC138" s="465"/>
      <c r="AD138" s="465"/>
      <c r="AE138" s="465"/>
      <c r="AF138" s="465"/>
      <c r="AG138" s="465"/>
      <c r="AH138" s="465"/>
      <c r="AI138" s="465"/>
      <c r="AJ138" s="465"/>
      <c r="AK138" s="465"/>
      <c r="AL138" s="465"/>
      <c r="AM138" s="465"/>
      <c r="AN138" s="465"/>
      <c r="AP138" s="463" t="s">
        <v>111</v>
      </c>
      <c r="AQ138" s="464">
        <f>BS!CK39</f>
        <v>912</v>
      </c>
      <c r="AR138" s="464">
        <f>BS!CL39</f>
        <v>618</v>
      </c>
      <c r="AS138" s="464">
        <f>BS!CM39</f>
        <v>947</v>
      </c>
      <c r="AT138" s="464">
        <f>BS!CN39</f>
        <v>936</v>
      </c>
      <c r="AU138" s="464">
        <f>BS!CO39</f>
        <v>936</v>
      </c>
      <c r="AW138" s="463" t="s">
        <v>111</v>
      </c>
      <c r="AX138" s="464">
        <f>BS!CR39</f>
        <v>912</v>
      </c>
      <c r="AY138" s="464">
        <f>BS!CS39</f>
        <v>1375</v>
      </c>
      <c r="AZ138" s="464">
        <f>BS!CT39</f>
        <v>1057</v>
      </c>
      <c r="BA138" s="464">
        <f>BS!CU39</f>
        <v>592</v>
      </c>
      <c r="BB138" s="464">
        <f>BS!CV39</f>
        <v>592</v>
      </c>
      <c r="BD138" s="463" t="s">
        <v>111</v>
      </c>
      <c r="BE138" s="464">
        <f>BS!CY39</f>
        <v>742</v>
      </c>
      <c r="BF138" s="464">
        <f>BS!CZ39</f>
        <v>229</v>
      </c>
      <c r="BG138" s="464">
        <f>BS!DA39</f>
        <v>230</v>
      </c>
      <c r="BH138" s="464">
        <f>BS!DB39</f>
        <v>785</v>
      </c>
      <c r="BI138" s="464">
        <f>BS!DC39</f>
        <v>785</v>
      </c>
      <c r="BK138" s="463" t="s">
        <v>111</v>
      </c>
      <c r="BL138" s="464">
        <f>BS!DF39</f>
        <v>763</v>
      </c>
      <c r="BM138" s="464">
        <f>BS!DG39</f>
        <v>581</v>
      </c>
      <c r="BN138" s="464">
        <f>BS!DH39</f>
        <v>539</v>
      </c>
      <c r="BO138" s="464">
        <f>BS!DI39</f>
        <v>319</v>
      </c>
      <c r="BP138" s="464">
        <f>BS!DJ39</f>
        <v>319</v>
      </c>
      <c r="BR138" s="463" t="s">
        <v>111</v>
      </c>
      <c r="BS138" s="464">
        <f>BS!DM39</f>
        <v>314</v>
      </c>
      <c r="BT138" s="464">
        <f>BS!DN39</f>
        <v>318</v>
      </c>
      <c r="BU138" s="464">
        <f>BS!DO39</f>
        <v>316</v>
      </c>
      <c r="BV138" s="464">
        <f>BS!DP39</f>
        <v>113</v>
      </c>
      <c r="BW138" s="464">
        <f>BS!DQ39</f>
        <v>113</v>
      </c>
      <c r="BY138" s="463" t="s">
        <v>111</v>
      </c>
      <c r="BZ138" s="464">
        <f>BS!DT39</f>
        <v>617</v>
      </c>
      <c r="CA138" s="464">
        <f>BS!DU39</f>
        <v>614</v>
      </c>
      <c r="CB138" s="464">
        <f>BS!DV39</f>
        <v>605</v>
      </c>
      <c r="CC138" s="464">
        <f>BS!DW39</f>
        <v>613</v>
      </c>
      <c r="CD138" s="464">
        <f>BS!DX39</f>
        <v>613</v>
      </c>
      <c r="CF138" s="463" t="s">
        <v>111</v>
      </c>
      <c r="CG138" s="464">
        <f>BS!EA39</f>
        <v>503</v>
      </c>
      <c r="CH138" s="464">
        <f>BS!EB39</f>
        <v>494</v>
      </c>
      <c r="CI138" s="464">
        <f>BS!EC39</f>
        <v>494</v>
      </c>
      <c r="CJ138" s="464">
        <f>BS!ED39</f>
        <v>507</v>
      </c>
      <c r="CK138" s="464">
        <f>BS!EE39</f>
        <v>507</v>
      </c>
      <c r="CM138" s="463" t="s">
        <v>111</v>
      </c>
      <c r="CN138" s="464">
        <f>BS!EH39</f>
        <v>502</v>
      </c>
      <c r="CO138" s="464">
        <f>BS!EI39</f>
        <v>508</v>
      </c>
      <c r="CP138" s="464">
        <f>BS!EJ39</f>
        <v>806</v>
      </c>
      <c r="CQ138" s="464">
        <f>BS!EK39</f>
        <v>780</v>
      </c>
      <c r="CR138" s="464">
        <f>BS!EL39</f>
        <v>780</v>
      </c>
      <c r="CT138" s="463" t="s">
        <v>111</v>
      </c>
      <c r="CU138" s="464">
        <f>BS!EO39</f>
        <v>572</v>
      </c>
      <c r="CV138" s="464">
        <f>BS!EP39</f>
        <v>564</v>
      </c>
      <c r="CW138" s="464">
        <f>BS!EQ39</f>
        <v>264</v>
      </c>
      <c r="CX138" s="464">
        <f>BS!ER39</f>
        <v>533</v>
      </c>
      <c r="CY138" s="464">
        <f>BS!ES39</f>
        <v>533</v>
      </c>
      <c r="DA138" s="463" t="s">
        <v>111</v>
      </c>
      <c r="DB138" s="464">
        <f>BS!EV39</f>
        <v>325</v>
      </c>
      <c r="DC138" s="464">
        <f>BS!EW39</f>
        <v>899</v>
      </c>
      <c r="DD138" s="464">
        <f>BS!EX39</f>
        <v>230</v>
      </c>
      <c r="DE138" s="464">
        <f>BS!EY39</f>
        <v>228</v>
      </c>
      <c r="DF138" s="464">
        <f>BS!EZ39</f>
        <v>228</v>
      </c>
      <c r="DH138" s="463" t="s">
        <v>111</v>
      </c>
      <c r="DI138" s="464">
        <f>BS!FC39</f>
        <v>228</v>
      </c>
      <c r="DJ138" s="464">
        <f>BS!FD39</f>
        <v>18</v>
      </c>
      <c r="DK138" s="464">
        <f>BS!FE39</f>
        <v>18</v>
      </c>
      <c r="DL138" s="464">
        <f>BS!FF39</f>
        <v>20</v>
      </c>
      <c r="DM138" s="464">
        <f>BS!FG39</f>
        <v>20</v>
      </c>
      <c r="DO138" s="463" t="s">
        <v>111</v>
      </c>
      <c r="DP138" s="464">
        <f>BS!FJ39</f>
        <v>20</v>
      </c>
      <c r="DQ138" s="464">
        <f>BS!FK39</f>
        <v>632</v>
      </c>
      <c r="DR138" s="464">
        <f>BS!FL39</f>
        <v>631</v>
      </c>
      <c r="DS138" s="464">
        <f>BS!FM39</f>
        <v>331</v>
      </c>
      <c r="DT138" s="464">
        <f>BS!FN39</f>
        <v>331</v>
      </c>
      <c r="DV138" s="463" t="s">
        <v>111</v>
      </c>
      <c r="DW138" s="464">
        <f>BS!FQ39</f>
        <v>331</v>
      </c>
      <c r="DX138" s="464">
        <f>BS!FR39</f>
        <v>19</v>
      </c>
      <c r="DY138" s="464">
        <f>BS!FS39</f>
        <v>19</v>
      </c>
      <c r="DZ138" s="464">
        <f>BS!FT39</f>
        <v>19</v>
      </c>
      <c r="EA138" s="464">
        <f>BS!FU39</f>
        <v>19</v>
      </c>
      <c r="EC138" s="463" t="s">
        <v>111</v>
      </c>
      <c r="ED138" s="464">
        <f>BS!FX39</f>
        <v>19</v>
      </c>
      <c r="EE138" s="464">
        <f>BS!FY39</f>
        <v>19</v>
      </c>
      <c r="EF138" s="464">
        <f>BS!FZ39</f>
        <v>18</v>
      </c>
      <c r="EG138" s="464">
        <f>BS!GA39</f>
        <v>18</v>
      </c>
      <c r="EH138" s="464">
        <f>BS!GB39</f>
        <v>18</v>
      </c>
      <c r="EJ138" s="463" t="s">
        <v>111</v>
      </c>
      <c r="EK138" s="464">
        <f>BS!GE39</f>
        <v>18</v>
      </c>
      <c r="EL138" s="464">
        <f>BS!GF39</f>
        <v>245</v>
      </c>
      <c r="EM138" s="464">
        <f>BS!GG39</f>
        <v>745</v>
      </c>
      <c r="EN138" s="464">
        <f>BS!GH39</f>
        <v>245</v>
      </c>
      <c r="EO138" s="464">
        <f>BS!GI39</f>
        <v>245</v>
      </c>
      <c r="EQ138" s="463" t="s">
        <v>111</v>
      </c>
      <c r="ER138" s="464">
        <f>BS!GL39</f>
        <v>255</v>
      </c>
      <c r="ES138" s="464">
        <f>BS!GM39</f>
        <v>378</v>
      </c>
      <c r="ET138" s="464">
        <f>BS!GN39</f>
        <v>371</v>
      </c>
      <c r="EU138" s="464">
        <f>BS!GO39</f>
        <v>401</v>
      </c>
      <c r="EV138" s="464">
        <f>BS!GP39</f>
        <v>401</v>
      </c>
      <c r="EX138" s="463" t="s">
        <v>111</v>
      </c>
      <c r="EY138" s="464">
        <f>BS!GS39</f>
        <v>41</v>
      </c>
      <c r="EZ138" s="464">
        <f>BS!GT39</f>
        <v>122</v>
      </c>
      <c r="FA138" s="464">
        <f>BS!GU39</f>
        <v>211</v>
      </c>
      <c r="FB138" s="464">
        <f>BS!GV39</f>
        <v>181</v>
      </c>
      <c r="FC138" s="464">
        <f>BS!GW39</f>
        <v>181</v>
      </c>
      <c r="FE138" s="463" t="s">
        <v>111</v>
      </c>
      <c r="FF138" s="464">
        <f>BS!GZ39</f>
        <v>317</v>
      </c>
      <c r="FG138" s="464">
        <f>BS!HA39</f>
        <v>236</v>
      </c>
      <c r="FH138" s="464">
        <f>BS!HB39</f>
        <v>155</v>
      </c>
      <c r="FI138" s="464">
        <f>BS!HC39</f>
        <v>151</v>
      </c>
      <c r="FJ138" s="464">
        <f>BS!HD39</f>
        <v>151</v>
      </c>
      <c r="FL138" s="463" t="s">
        <v>111</v>
      </c>
      <c r="FM138" s="464">
        <f>BS!HG39</f>
        <v>11</v>
      </c>
      <c r="FN138" s="464">
        <f>BS!HH39</f>
        <v>10</v>
      </c>
      <c r="FO138" s="464">
        <f>BS!HI39</f>
        <v>559</v>
      </c>
      <c r="FP138" s="464">
        <f>BS!HJ39</f>
        <v>558</v>
      </c>
      <c r="FQ138" s="464">
        <f>BS!HK39</f>
        <v>558</v>
      </c>
      <c r="FS138" s="463" t="s">
        <v>111</v>
      </c>
      <c r="FT138" s="464">
        <f>BS!HN39</f>
        <v>557</v>
      </c>
      <c r="FU138" s="464">
        <f>BS!HO39</f>
        <v>557</v>
      </c>
      <c r="FV138" s="464">
        <f>BS!HP39</f>
        <v>6</v>
      </c>
      <c r="FW138" s="464">
        <f>BS!HQ39</f>
        <v>606</v>
      </c>
      <c r="FX138" s="464">
        <f>BS!HR39</f>
        <v>606</v>
      </c>
      <c r="FZ138" s="463" t="s">
        <v>111</v>
      </c>
      <c r="GA138" s="464">
        <f>BS!HU39</f>
        <v>605</v>
      </c>
      <c r="GB138" s="464">
        <f>BS!HV39</f>
        <v>616</v>
      </c>
      <c r="GC138" s="464">
        <f>BS!HW39</f>
        <v>608</v>
      </c>
      <c r="GD138" s="498">
        <f>+GC138+GD139</f>
        <v>608</v>
      </c>
      <c r="GE138" s="464">
        <f>BS!HY39</f>
        <v>708</v>
      </c>
      <c r="GG138" s="463" t="s">
        <v>111</v>
      </c>
      <c r="GH138" s="498">
        <f>+GE138+GH139</f>
        <v>708</v>
      </c>
      <c r="GI138" s="498">
        <f>+GH138+GI139</f>
        <v>708</v>
      </c>
      <c r="GJ138" s="498">
        <f>+GI138+GJ139</f>
        <v>708</v>
      </c>
      <c r="GK138" s="498">
        <f>+GJ138+GK139</f>
        <v>708</v>
      </c>
      <c r="GL138" s="464">
        <f>BS!IF39</f>
        <v>708</v>
      </c>
      <c r="GN138" s="463" t="s">
        <v>111</v>
      </c>
      <c r="GO138" s="498">
        <f>+GL138+GO139</f>
        <v>708</v>
      </c>
      <c r="GP138" s="498">
        <f>+GO138+GP139</f>
        <v>708</v>
      </c>
      <c r="GQ138" s="498">
        <f>+GP138+GQ139</f>
        <v>708</v>
      </c>
      <c r="GR138" s="498">
        <f>+GQ138+GR139</f>
        <v>708</v>
      </c>
      <c r="GS138" s="464">
        <f>BS!IM39</f>
        <v>708</v>
      </c>
      <c r="GU138" s="463" t="s">
        <v>111</v>
      </c>
      <c r="GV138" s="498">
        <f>+GS138+GV139</f>
        <v>708</v>
      </c>
      <c r="GW138" s="498">
        <f>+GV138+GW139</f>
        <v>708</v>
      </c>
      <c r="GX138" s="498">
        <f>+GW138+GX139</f>
        <v>708</v>
      </c>
      <c r="GY138" s="498">
        <f>+GX138+GY139</f>
        <v>708</v>
      </c>
      <c r="GZ138" s="464">
        <f>BS!IT39</f>
        <v>708</v>
      </c>
    </row>
    <row r="139" spans="1:208" x14ac:dyDescent="0.4">
      <c r="A139" s="456"/>
      <c r="B139" s="467" t="s">
        <v>112</v>
      </c>
      <c r="C139" s="468">
        <f>AU139</f>
        <v>0</v>
      </c>
      <c r="D139" s="468">
        <f>BB139</f>
        <v>-344</v>
      </c>
      <c r="E139" s="468">
        <f>BI139</f>
        <v>193</v>
      </c>
      <c r="F139" s="468">
        <f>BP139</f>
        <v>-466</v>
      </c>
      <c r="G139" s="468">
        <f>BW139</f>
        <v>-206</v>
      </c>
      <c r="H139" s="468">
        <f>CD139</f>
        <v>500</v>
      </c>
      <c r="I139" s="468">
        <f>CK139</f>
        <v>-106</v>
      </c>
      <c r="J139" s="468">
        <f>CR139</f>
        <v>273</v>
      </c>
      <c r="K139" s="468">
        <f>CY139</f>
        <v>-247</v>
      </c>
      <c r="L139" s="468">
        <f>DF139</f>
        <v>-305</v>
      </c>
      <c r="M139" s="468">
        <f>DM139</f>
        <v>-208</v>
      </c>
      <c r="N139" s="468">
        <f>DT139</f>
        <v>311</v>
      </c>
      <c r="O139" s="468">
        <f>EA139</f>
        <v>-312</v>
      </c>
      <c r="P139" s="468">
        <f>EH139</f>
        <v>-1</v>
      </c>
      <c r="Q139" s="468">
        <f>EO139</f>
        <v>227</v>
      </c>
      <c r="R139" s="468">
        <f>EV139</f>
        <v>156</v>
      </c>
      <c r="S139" s="468">
        <f>FC139</f>
        <v>-220</v>
      </c>
      <c r="T139" s="468">
        <f>FJ139</f>
        <v>-30</v>
      </c>
      <c r="U139" s="468">
        <f>FQ139</f>
        <v>407</v>
      </c>
      <c r="V139" s="468">
        <f>FX139</f>
        <v>48</v>
      </c>
      <c r="W139" s="468">
        <f>GE139</f>
        <v>102</v>
      </c>
      <c r="X139" s="468">
        <f>GL139</f>
        <v>0</v>
      </c>
      <c r="Y139" s="468">
        <f>GS139</f>
        <v>0</v>
      </c>
      <c r="Z139" s="468">
        <f>GZ139</f>
        <v>0</v>
      </c>
      <c r="AA139" s="469"/>
      <c r="AB139" s="469"/>
      <c r="AC139" s="469"/>
      <c r="AD139" s="469"/>
      <c r="AE139" s="469"/>
      <c r="AF139" s="469"/>
      <c r="AG139" s="469"/>
      <c r="AH139" s="469"/>
      <c r="AI139" s="469"/>
      <c r="AJ139" s="469"/>
      <c r="AK139" s="469"/>
      <c r="AL139" s="469"/>
      <c r="AM139" s="469"/>
      <c r="AN139" s="469"/>
      <c r="AP139" s="467" t="s">
        <v>112</v>
      </c>
      <c r="AQ139" s="468" t="s">
        <v>80</v>
      </c>
      <c r="AR139" s="468">
        <f>+AR138-AQ138</f>
        <v>-294</v>
      </c>
      <c r="AS139" s="468">
        <f>+AS138-AR138</f>
        <v>329</v>
      </c>
      <c r="AT139" s="468">
        <f>+AT138-AS138</f>
        <v>-11</v>
      </c>
      <c r="AU139" s="468">
        <f>+AU138-AT138</f>
        <v>0</v>
      </c>
      <c r="AW139" s="467" t="s">
        <v>112</v>
      </c>
      <c r="AX139" s="468">
        <f>+AX138-AT138</f>
        <v>-24</v>
      </c>
      <c r="AY139" s="468">
        <f>+AY138-AX138</f>
        <v>463</v>
      </c>
      <c r="AZ139" s="468">
        <f>+AZ138-AY138</f>
        <v>-318</v>
      </c>
      <c r="BA139" s="468">
        <f>+BA138-AZ138</f>
        <v>-465</v>
      </c>
      <c r="BB139" s="468">
        <f>+BB138-AU138</f>
        <v>-344</v>
      </c>
      <c r="BD139" s="467" t="s">
        <v>112</v>
      </c>
      <c r="BE139" s="468">
        <f>+BE138-BA138</f>
        <v>150</v>
      </c>
      <c r="BF139" s="468">
        <f>+BF138-BE138</f>
        <v>-513</v>
      </c>
      <c r="BG139" s="468">
        <f>+BG138-BF138</f>
        <v>1</v>
      </c>
      <c r="BH139" s="468">
        <f>+BH138-BG138</f>
        <v>555</v>
      </c>
      <c r="BI139" s="468">
        <f>+BI138-BB138</f>
        <v>193</v>
      </c>
      <c r="BK139" s="467" t="s">
        <v>112</v>
      </c>
      <c r="BL139" s="468">
        <f>+BL138-BH138</f>
        <v>-22</v>
      </c>
      <c r="BM139" s="468">
        <f>+BM138-BL138</f>
        <v>-182</v>
      </c>
      <c r="BN139" s="468">
        <f>+BN138-BM138</f>
        <v>-42</v>
      </c>
      <c r="BO139" s="468">
        <f>+BO138-BN138</f>
        <v>-220</v>
      </c>
      <c r="BP139" s="468">
        <f>+BP138-BI138</f>
        <v>-466</v>
      </c>
      <c r="BR139" s="467" t="s">
        <v>112</v>
      </c>
      <c r="BS139" s="468">
        <f>+BS138-BO138</f>
        <v>-5</v>
      </c>
      <c r="BT139" s="468">
        <f>+BT138-BS138</f>
        <v>4</v>
      </c>
      <c r="BU139" s="468">
        <f>+BU138-BT138</f>
        <v>-2</v>
      </c>
      <c r="BV139" s="468">
        <f>+BV138-BU138</f>
        <v>-203</v>
      </c>
      <c r="BW139" s="468">
        <f>+BW138-BP138</f>
        <v>-206</v>
      </c>
      <c r="BY139" s="467" t="s">
        <v>112</v>
      </c>
      <c r="BZ139" s="468">
        <f>+BZ138-BV138</f>
        <v>504</v>
      </c>
      <c r="CA139" s="468">
        <f>+CA138-BZ138</f>
        <v>-3</v>
      </c>
      <c r="CB139" s="468">
        <f>+CB138-CA138</f>
        <v>-9</v>
      </c>
      <c r="CC139" s="468">
        <f>+CC138-CB138</f>
        <v>8</v>
      </c>
      <c r="CD139" s="468">
        <f>+CD138-BW138</f>
        <v>500</v>
      </c>
      <c r="CF139" s="467" t="s">
        <v>112</v>
      </c>
      <c r="CG139" s="468">
        <f>+CG138-CC138</f>
        <v>-110</v>
      </c>
      <c r="CH139" s="468">
        <f>+CH138-CG138</f>
        <v>-9</v>
      </c>
      <c r="CI139" s="468">
        <f>+CI138-CH138</f>
        <v>0</v>
      </c>
      <c r="CJ139" s="468">
        <f>+CJ138-CI138</f>
        <v>13</v>
      </c>
      <c r="CK139" s="468">
        <f>+CK138-CD138</f>
        <v>-106</v>
      </c>
      <c r="CM139" s="467" t="s">
        <v>112</v>
      </c>
      <c r="CN139" s="468">
        <f>+CN138-CJ138</f>
        <v>-5</v>
      </c>
      <c r="CO139" s="468">
        <f>+CO138-CN138</f>
        <v>6</v>
      </c>
      <c r="CP139" s="468">
        <f>+CP138-CO138</f>
        <v>298</v>
      </c>
      <c r="CQ139" s="468">
        <f>+CQ138-CP138</f>
        <v>-26</v>
      </c>
      <c r="CR139" s="468">
        <f>+CR138-CK138</f>
        <v>273</v>
      </c>
      <c r="CT139" s="467" t="s">
        <v>112</v>
      </c>
      <c r="CU139" s="468">
        <f>+CU138-CQ138</f>
        <v>-208</v>
      </c>
      <c r="CV139" s="468">
        <f>+CV138-CU138</f>
        <v>-8</v>
      </c>
      <c r="CW139" s="468">
        <f>+CW138-CV138</f>
        <v>-300</v>
      </c>
      <c r="CX139" s="468">
        <f>+CX138-CW138</f>
        <v>269</v>
      </c>
      <c r="CY139" s="468">
        <f>+CY138-CR138</f>
        <v>-247</v>
      </c>
      <c r="DA139" s="467" t="s">
        <v>112</v>
      </c>
      <c r="DB139" s="468">
        <f>+DB138-CX138</f>
        <v>-208</v>
      </c>
      <c r="DC139" s="468">
        <f>+DC138-DB138</f>
        <v>574</v>
      </c>
      <c r="DD139" s="468">
        <f>+DD138-DC138</f>
        <v>-669</v>
      </c>
      <c r="DE139" s="468">
        <f>+DE138-DD138</f>
        <v>-2</v>
      </c>
      <c r="DF139" s="468">
        <f>+DF138-CY138</f>
        <v>-305</v>
      </c>
      <c r="DH139" s="467" t="s">
        <v>112</v>
      </c>
      <c r="DI139" s="468">
        <f>+DI138-DE138</f>
        <v>0</v>
      </c>
      <c r="DJ139" s="468">
        <f>+DJ138-DI138</f>
        <v>-210</v>
      </c>
      <c r="DK139" s="468">
        <f>+DK138-DJ138</f>
        <v>0</v>
      </c>
      <c r="DL139" s="468">
        <f>+DL138-DK138</f>
        <v>2</v>
      </c>
      <c r="DM139" s="468">
        <f>+DM138-DF138</f>
        <v>-208</v>
      </c>
      <c r="DO139" s="467" t="s">
        <v>112</v>
      </c>
      <c r="DP139" s="468">
        <f>+DP138-DL138</f>
        <v>0</v>
      </c>
      <c r="DQ139" s="468">
        <f>+DQ138-DP138</f>
        <v>612</v>
      </c>
      <c r="DR139" s="468">
        <f>+DR138-DQ138</f>
        <v>-1</v>
      </c>
      <c r="DS139" s="468">
        <f>+DS138-DR138</f>
        <v>-300</v>
      </c>
      <c r="DT139" s="468">
        <f>+DT138-DM138</f>
        <v>311</v>
      </c>
      <c r="DV139" s="467" t="s">
        <v>112</v>
      </c>
      <c r="DW139" s="468">
        <f>+DW138-DS138</f>
        <v>0</v>
      </c>
      <c r="DX139" s="468">
        <f>+DX138-DW138</f>
        <v>-312</v>
      </c>
      <c r="DY139" s="468">
        <f>+DY138-DX138</f>
        <v>0</v>
      </c>
      <c r="DZ139" s="468">
        <f>+DZ138-DY138</f>
        <v>0</v>
      </c>
      <c r="EA139" s="468">
        <f>+EA138-DT138</f>
        <v>-312</v>
      </c>
      <c r="EC139" s="467" t="s">
        <v>112</v>
      </c>
      <c r="ED139" s="468">
        <f>+ED138-DZ138</f>
        <v>0</v>
      </c>
      <c r="EE139" s="468">
        <f>+EE138-ED138</f>
        <v>0</v>
      </c>
      <c r="EF139" s="468">
        <f>+EF138-EE138</f>
        <v>-1</v>
      </c>
      <c r="EG139" s="468">
        <f>+EG138-EF138</f>
        <v>0</v>
      </c>
      <c r="EH139" s="468">
        <f>+EH138-EA138</f>
        <v>-1</v>
      </c>
      <c r="EJ139" s="467" t="s">
        <v>112</v>
      </c>
      <c r="EK139" s="468">
        <f>+EK138-EG138</f>
        <v>0</v>
      </c>
      <c r="EL139" s="468">
        <f>+EL138-EK138</f>
        <v>227</v>
      </c>
      <c r="EM139" s="468">
        <f>+EM138-EL138</f>
        <v>500</v>
      </c>
      <c r="EN139" s="468">
        <f>+EN138-EM138</f>
        <v>-500</v>
      </c>
      <c r="EO139" s="468">
        <f>+EO138-EH138</f>
        <v>227</v>
      </c>
      <c r="EQ139" s="467" t="s">
        <v>112</v>
      </c>
      <c r="ER139" s="468">
        <f>+ER138-EN138</f>
        <v>10</v>
      </c>
      <c r="ES139" s="468">
        <f>+ES138-ER138</f>
        <v>123</v>
      </c>
      <c r="ET139" s="468">
        <f>+ET138-ES138</f>
        <v>-7</v>
      </c>
      <c r="EU139" s="468">
        <f>+EU138-ET138</f>
        <v>30</v>
      </c>
      <c r="EV139" s="468">
        <f>+EV138-EO138</f>
        <v>156</v>
      </c>
      <c r="EX139" s="467" t="s">
        <v>112</v>
      </c>
      <c r="EY139" s="468">
        <f>+EY138-EU138</f>
        <v>-360</v>
      </c>
      <c r="EZ139" s="468">
        <f>+EZ138-EY138</f>
        <v>81</v>
      </c>
      <c r="FA139" s="468">
        <f>+FA138-EZ138</f>
        <v>89</v>
      </c>
      <c r="FB139" s="468">
        <f>+FB138-FA138</f>
        <v>-30</v>
      </c>
      <c r="FC139" s="468">
        <f>+FC138-EV138</f>
        <v>-220</v>
      </c>
      <c r="FE139" s="467" t="s">
        <v>112</v>
      </c>
      <c r="FF139" s="468">
        <f>+FF138-FB138</f>
        <v>136</v>
      </c>
      <c r="FG139" s="468">
        <f>+FG138-FF138</f>
        <v>-81</v>
      </c>
      <c r="FH139" s="468">
        <f>+FH138-FG138</f>
        <v>-81</v>
      </c>
      <c r="FI139" s="468">
        <f>+FI138-FH138</f>
        <v>-4</v>
      </c>
      <c r="FJ139" s="468">
        <f>+FJ138-FC138</f>
        <v>-30</v>
      </c>
      <c r="FL139" s="467" t="s">
        <v>112</v>
      </c>
      <c r="FM139" s="468">
        <f>+FM138-FI138</f>
        <v>-140</v>
      </c>
      <c r="FN139" s="468">
        <f>+FN138-FM138</f>
        <v>-1</v>
      </c>
      <c r="FO139" s="468">
        <f>+FO138-FN138</f>
        <v>549</v>
      </c>
      <c r="FP139" s="468">
        <f>+FP138-FO138</f>
        <v>-1</v>
      </c>
      <c r="FQ139" s="468">
        <f>+FQ138-FJ138</f>
        <v>407</v>
      </c>
      <c r="FS139" s="467" t="s">
        <v>112</v>
      </c>
      <c r="FT139" s="468">
        <f>+FT138-FQ138</f>
        <v>-1</v>
      </c>
      <c r="FU139" s="468">
        <f>+FU138-FT138</f>
        <v>0</v>
      </c>
      <c r="FV139" s="468">
        <f>+FV138-FU138</f>
        <v>-551</v>
      </c>
      <c r="FW139" s="468">
        <f>+FW138-FV138</f>
        <v>600</v>
      </c>
      <c r="FX139" s="468">
        <f>+FX138-FQ138</f>
        <v>48</v>
      </c>
      <c r="FZ139" s="467" t="s">
        <v>112</v>
      </c>
      <c r="GA139" s="468">
        <f>+GA138-FX138</f>
        <v>-1</v>
      </c>
      <c r="GB139" s="468">
        <f>+GB138-GA138</f>
        <v>11</v>
      </c>
      <c r="GC139" s="468">
        <f>+GC138-GB138</f>
        <v>-8</v>
      </c>
      <c r="GD139" s="506">
        <v>0</v>
      </c>
      <c r="GE139" s="468">
        <f>+GE138-FX138</f>
        <v>102</v>
      </c>
      <c r="GG139" s="467" t="s">
        <v>112</v>
      </c>
      <c r="GH139" s="506">
        <v>0</v>
      </c>
      <c r="GI139" s="506">
        <v>0</v>
      </c>
      <c r="GJ139" s="506">
        <v>0</v>
      </c>
      <c r="GK139" s="506">
        <v>0</v>
      </c>
      <c r="GL139" s="468">
        <f>+GL138-GE138</f>
        <v>0</v>
      </c>
      <c r="GN139" s="467" t="s">
        <v>112</v>
      </c>
      <c r="GO139" s="506">
        <v>0</v>
      </c>
      <c r="GP139" s="506">
        <v>0</v>
      </c>
      <c r="GQ139" s="506">
        <v>0</v>
      </c>
      <c r="GR139" s="506">
        <v>0</v>
      </c>
      <c r="GS139" s="468">
        <f>+GS138-GL138</f>
        <v>0</v>
      </c>
      <c r="GU139" s="467" t="s">
        <v>112</v>
      </c>
      <c r="GV139" s="506">
        <v>0</v>
      </c>
      <c r="GW139" s="506">
        <v>0</v>
      </c>
      <c r="GX139" s="506">
        <v>0</v>
      </c>
      <c r="GY139" s="506">
        <v>0</v>
      </c>
      <c r="GZ139" s="468">
        <f>+GZ138-GS138</f>
        <v>0</v>
      </c>
    </row>
    <row r="140" spans="1:208" x14ac:dyDescent="0.4">
      <c r="A140" s="452"/>
      <c r="B140" s="76"/>
      <c r="V140" s="80"/>
      <c r="W140" s="80"/>
      <c r="X140" s="80"/>
      <c r="Y140" s="80"/>
      <c r="Z140" s="80"/>
      <c r="AP140" s="76"/>
      <c r="AW140" s="76"/>
      <c r="BD140" s="76"/>
      <c r="BK140" s="76"/>
      <c r="BR140" s="76"/>
      <c r="BY140" s="76"/>
      <c r="CF140" s="76"/>
      <c r="CM140" s="76"/>
      <c r="CT140" s="76"/>
      <c r="DA140" s="76"/>
      <c r="DH140" s="76"/>
      <c r="DO140" s="76"/>
      <c r="DV140" s="76"/>
      <c r="EC140" s="76"/>
      <c r="EJ140" s="76"/>
      <c r="EQ140" s="76"/>
      <c r="EX140" s="76"/>
      <c r="FE140" s="76"/>
      <c r="FL140" s="76"/>
      <c r="FS140" s="76"/>
      <c r="FU140" s="80"/>
      <c r="FZ140" s="76"/>
      <c r="GB140" s="80"/>
      <c r="GD140" s="80"/>
      <c r="GG140" s="76"/>
      <c r="GH140" s="80"/>
      <c r="GI140" s="80"/>
      <c r="GJ140" s="80"/>
      <c r="GK140" s="80"/>
      <c r="GN140" s="76"/>
      <c r="GO140" s="80"/>
      <c r="GP140" s="80"/>
      <c r="GQ140" s="80"/>
      <c r="GR140" s="80"/>
      <c r="GU140" s="76"/>
      <c r="GV140" s="80"/>
      <c r="GW140" s="80"/>
      <c r="GX140" s="80"/>
      <c r="GY140" s="80"/>
    </row>
    <row r="141" spans="1:208" s="466" customFormat="1" x14ac:dyDescent="0.4">
      <c r="A141" s="462"/>
      <c r="B141" s="463" t="s">
        <v>113</v>
      </c>
      <c r="C141" s="464">
        <f>AU141</f>
        <v>5093</v>
      </c>
      <c r="D141" s="464">
        <f>BB141</f>
        <v>5362</v>
      </c>
      <c r="E141" s="464">
        <f>BI141</f>
        <v>6470</v>
      </c>
      <c r="F141" s="464">
        <f>BP141</f>
        <v>7512</v>
      </c>
      <c r="G141" s="464">
        <f>BW141</f>
        <v>7895</v>
      </c>
      <c r="H141" s="464">
        <f>CD141</f>
        <v>8051</v>
      </c>
      <c r="I141" s="464">
        <f>CK141</f>
        <v>8734</v>
      </c>
      <c r="J141" s="464">
        <f>CR141</f>
        <v>9052</v>
      </c>
      <c r="K141" s="464">
        <f>CY141</f>
        <v>9022</v>
      </c>
      <c r="L141" s="464">
        <f>DF141</f>
        <v>9514</v>
      </c>
      <c r="M141" s="464">
        <f>DM141</f>
        <v>10683</v>
      </c>
      <c r="N141" s="464">
        <f>DT141</f>
        <v>10962</v>
      </c>
      <c r="O141" s="464">
        <f>EA141</f>
        <v>11790</v>
      </c>
      <c r="P141" s="464">
        <f>EH141</f>
        <v>14739</v>
      </c>
      <c r="Q141" s="464">
        <f>EO141</f>
        <v>15993</v>
      </c>
      <c r="R141" s="464">
        <f>EV141</f>
        <v>16304</v>
      </c>
      <c r="S141" s="464">
        <f>FC141</f>
        <v>16185</v>
      </c>
      <c r="T141" s="464">
        <f>FJ141</f>
        <v>17896</v>
      </c>
      <c r="U141" s="464">
        <f>FQ141</f>
        <v>17975</v>
      </c>
      <c r="V141" s="462">
        <f>FX141</f>
        <v>17897</v>
      </c>
      <c r="W141" s="462">
        <f>GE141</f>
        <v>18165</v>
      </c>
      <c r="X141" s="462">
        <f>GL141</f>
        <v>18765</v>
      </c>
      <c r="Y141" s="462">
        <f>GS141</f>
        <v>19265</v>
      </c>
      <c r="Z141" s="462">
        <f>GZ141</f>
        <v>19765</v>
      </c>
      <c r="AA141" s="470"/>
      <c r="AB141" s="470"/>
      <c r="AC141" s="470"/>
      <c r="AD141" s="470"/>
      <c r="AE141" s="470"/>
      <c r="AF141" s="470"/>
      <c r="AG141" s="470"/>
      <c r="AH141" s="470"/>
      <c r="AI141" s="470"/>
      <c r="AJ141" s="470"/>
      <c r="AK141" s="470"/>
      <c r="AL141" s="470"/>
      <c r="AM141" s="470"/>
      <c r="AN141" s="470"/>
      <c r="AP141" s="463" t="s">
        <v>113</v>
      </c>
      <c r="AQ141" s="464">
        <f>BS!CK45</f>
        <v>6208</v>
      </c>
      <c r="AR141" s="464">
        <f>BS!CL45</f>
        <v>5399</v>
      </c>
      <c r="AS141" s="464">
        <f>BS!CM45</f>
        <v>5058</v>
      </c>
      <c r="AT141" s="464">
        <f>BS!CN45</f>
        <v>5093</v>
      </c>
      <c r="AU141" s="464">
        <f>BS!CO45</f>
        <v>5093</v>
      </c>
      <c r="AW141" s="463" t="s">
        <v>113</v>
      </c>
      <c r="AX141" s="464">
        <f>BS!CR45</f>
        <v>5045</v>
      </c>
      <c r="AY141" s="464">
        <f>BS!CS45</f>
        <v>4567</v>
      </c>
      <c r="AZ141" s="464">
        <f>BS!CT45</f>
        <v>4937</v>
      </c>
      <c r="BA141" s="464">
        <f>BS!CU45</f>
        <v>5362</v>
      </c>
      <c r="BB141" s="464">
        <f>BS!CV45</f>
        <v>5362</v>
      </c>
      <c r="BD141" s="463" t="s">
        <v>113</v>
      </c>
      <c r="BE141" s="464">
        <f>BS!CY45</f>
        <v>5182</v>
      </c>
      <c r="BF141" s="464">
        <f>BS!CZ45</f>
        <v>5751</v>
      </c>
      <c r="BG141" s="464">
        <f>BS!DA45</f>
        <v>6678</v>
      </c>
      <c r="BH141" s="464">
        <f>BS!DB45</f>
        <v>6470</v>
      </c>
      <c r="BI141" s="464">
        <f>BS!DC45</f>
        <v>6470</v>
      </c>
      <c r="BK141" s="463" t="s">
        <v>113</v>
      </c>
      <c r="BL141" s="464">
        <f>BS!DF45</f>
        <v>7440</v>
      </c>
      <c r="BM141" s="464">
        <f>BS!DG45</f>
        <v>7396</v>
      </c>
      <c r="BN141" s="464">
        <f>BS!DH45</f>
        <v>7367</v>
      </c>
      <c r="BO141" s="464">
        <f>BS!DI45</f>
        <v>7512</v>
      </c>
      <c r="BP141" s="464">
        <f>BS!DJ45</f>
        <v>7512</v>
      </c>
      <c r="BR141" s="463" t="s">
        <v>113</v>
      </c>
      <c r="BS141" s="464">
        <f>BS!DM45</f>
        <v>7995</v>
      </c>
      <c r="BT141" s="464">
        <f>BS!DN45</f>
        <v>7933</v>
      </c>
      <c r="BU141" s="464">
        <f>BS!DO45</f>
        <v>7906</v>
      </c>
      <c r="BV141" s="464">
        <f>BS!DP45</f>
        <v>7895</v>
      </c>
      <c r="BW141" s="464">
        <f>BS!DQ45</f>
        <v>7895</v>
      </c>
      <c r="BY141" s="463" t="s">
        <v>113</v>
      </c>
      <c r="BZ141" s="464">
        <f>BS!DT45</f>
        <v>7372</v>
      </c>
      <c r="CA141" s="464">
        <f>BS!DU45</f>
        <v>7320</v>
      </c>
      <c r="CB141" s="464">
        <f>BS!DV45</f>
        <v>7297</v>
      </c>
      <c r="CC141" s="464">
        <f>BS!DW45</f>
        <v>8051</v>
      </c>
      <c r="CD141" s="464">
        <f>BS!DX45</f>
        <v>8051</v>
      </c>
      <c r="CF141" s="463" t="s">
        <v>113</v>
      </c>
      <c r="CG141" s="464">
        <f>BS!EA45</f>
        <v>7637</v>
      </c>
      <c r="CH141" s="464">
        <f>BS!EB45</f>
        <v>8186</v>
      </c>
      <c r="CI141" s="464">
        <f>BS!EC45</f>
        <v>8160</v>
      </c>
      <c r="CJ141" s="464">
        <f>BS!ED45</f>
        <v>8734</v>
      </c>
      <c r="CK141" s="464">
        <f>BS!EE45</f>
        <v>8734</v>
      </c>
      <c r="CM141" s="463" t="s">
        <v>113</v>
      </c>
      <c r="CN141" s="464">
        <f>BS!EH45</f>
        <v>8623</v>
      </c>
      <c r="CO141" s="464">
        <f>BS!EI45</f>
        <v>8581</v>
      </c>
      <c r="CP141" s="464">
        <f>BS!EJ45</f>
        <v>8257</v>
      </c>
      <c r="CQ141" s="464">
        <f>BS!EK45</f>
        <v>9052</v>
      </c>
      <c r="CR141" s="464">
        <f>BS!EL45</f>
        <v>9052</v>
      </c>
      <c r="CT141" s="463" t="s">
        <v>113</v>
      </c>
      <c r="CU141" s="464">
        <f>BS!EO45</f>
        <v>8846</v>
      </c>
      <c r="CV141" s="464">
        <f>BS!EP45</f>
        <v>8811</v>
      </c>
      <c r="CW141" s="464">
        <f>BS!EQ45</f>
        <v>8787</v>
      </c>
      <c r="CX141" s="464">
        <f>BS!ER45</f>
        <v>9022</v>
      </c>
      <c r="CY141" s="464">
        <f>BS!ES45</f>
        <v>9022</v>
      </c>
      <c r="DA141" s="463" t="s">
        <v>113</v>
      </c>
      <c r="DB141" s="464">
        <f>BS!EV45</f>
        <v>9021</v>
      </c>
      <c r="DC141" s="464">
        <f>BS!EW45</f>
        <v>8410</v>
      </c>
      <c r="DD141" s="464">
        <f>BS!EX45</f>
        <v>9387</v>
      </c>
      <c r="DE141" s="464">
        <f>BS!EY45</f>
        <v>9514</v>
      </c>
      <c r="DF141" s="464">
        <f>BS!EZ45</f>
        <v>9514</v>
      </c>
      <c r="DH141" s="463" t="s">
        <v>113</v>
      </c>
      <c r="DI141" s="464">
        <f>BS!FC45</f>
        <v>9513</v>
      </c>
      <c r="DJ141" s="464">
        <f>BS!FD45</f>
        <v>10107</v>
      </c>
      <c r="DK141" s="464">
        <f>BS!FE45</f>
        <v>10088</v>
      </c>
      <c r="DL141" s="464">
        <f>BS!FF45</f>
        <v>10683</v>
      </c>
      <c r="DM141" s="464">
        <f>BS!FG45</f>
        <v>10683</v>
      </c>
      <c r="DO141" s="463" t="s">
        <v>113</v>
      </c>
      <c r="DP141" s="464">
        <f>BS!FJ45</f>
        <v>10516</v>
      </c>
      <c r="DQ141" s="464">
        <f>BS!FK45</f>
        <v>9905</v>
      </c>
      <c r="DR141" s="464">
        <f>BS!FL45</f>
        <v>9888</v>
      </c>
      <c r="DS141" s="464">
        <f>BS!FM45</f>
        <v>10962</v>
      </c>
      <c r="DT141" s="464">
        <f>BS!FN45</f>
        <v>10962</v>
      </c>
      <c r="DV141" s="463" t="s">
        <v>113</v>
      </c>
      <c r="DW141" s="464">
        <f>BS!FQ45</f>
        <v>10963</v>
      </c>
      <c r="DX141" s="464">
        <f>BS!FR45</f>
        <v>11806</v>
      </c>
      <c r="DY141" s="464">
        <f>BS!FS45</f>
        <v>11788</v>
      </c>
      <c r="DZ141" s="464">
        <f>BS!FT45</f>
        <v>11790</v>
      </c>
      <c r="EA141" s="464">
        <f>BS!FU45</f>
        <v>11790</v>
      </c>
      <c r="EC141" s="463" t="s">
        <v>113</v>
      </c>
      <c r="ED141" s="464">
        <f>BS!FX45</f>
        <v>13768</v>
      </c>
      <c r="EE141" s="464">
        <f>BS!FY45</f>
        <v>13769</v>
      </c>
      <c r="EF141" s="464">
        <f>BS!FZ45</f>
        <v>13754</v>
      </c>
      <c r="EG141" s="464">
        <f>BS!GA45</f>
        <v>14739</v>
      </c>
      <c r="EH141" s="464">
        <f>BS!GB45</f>
        <v>14739</v>
      </c>
      <c r="EJ141" s="463" t="s">
        <v>113</v>
      </c>
      <c r="EK141" s="464">
        <f>BS!GE45</f>
        <v>15748</v>
      </c>
      <c r="EL141" s="464">
        <f>BS!GF45</f>
        <v>15522</v>
      </c>
      <c r="EM141" s="464">
        <f>BS!GG45</f>
        <v>15992</v>
      </c>
      <c r="EN141" s="464">
        <f>BS!GH45</f>
        <v>15993</v>
      </c>
      <c r="EO141" s="464">
        <f>BS!GI45</f>
        <v>15993</v>
      </c>
      <c r="EQ141" s="463" t="s">
        <v>113</v>
      </c>
      <c r="ER141" s="464">
        <f>BS!GL45</f>
        <v>16477</v>
      </c>
      <c r="ES141" s="464">
        <f>BS!GM45</f>
        <v>16128</v>
      </c>
      <c r="ET141" s="464">
        <f>BS!GN45</f>
        <v>16121</v>
      </c>
      <c r="EU141" s="464">
        <f>BS!GO45</f>
        <v>16304</v>
      </c>
      <c r="EV141" s="464">
        <f>BS!GP45</f>
        <v>16304</v>
      </c>
      <c r="EX141" s="463" t="s">
        <v>113</v>
      </c>
      <c r="EY141" s="464">
        <f>BS!GS45</f>
        <v>16306</v>
      </c>
      <c r="EZ141" s="464">
        <f>BS!GT45</f>
        <v>16229</v>
      </c>
      <c r="FA141" s="464">
        <f>BS!GU45</f>
        <v>16182</v>
      </c>
      <c r="FB141" s="464">
        <f>BS!GV45</f>
        <v>16185</v>
      </c>
      <c r="FC141" s="464">
        <f>BS!GW45</f>
        <v>16185</v>
      </c>
      <c r="FE141" s="463" t="s">
        <v>113</v>
      </c>
      <c r="FF141" s="464">
        <f>BS!GZ45</f>
        <v>16019</v>
      </c>
      <c r="FG141" s="464">
        <f>BS!HA45</f>
        <v>15974</v>
      </c>
      <c r="FH141" s="464">
        <f>BS!HB45</f>
        <v>17895</v>
      </c>
      <c r="FI141" s="464">
        <f>BS!HC45</f>
        <v>17896</v>
      </c>
      <c r="FJ141" s="464">
        <f>BS!HD45</f>
        <v>17896</v>
      </c>
      <c r="FL141" s="463" t="s">
        <v>113</v>
      </c>
      <c r="FM141" s="464">
        <f>BS!HG45</f>
        <v>17911</v>
      </c>
      <c r="FN141" s="464">
        <f>BS!HH45</f>
        <v>17898</v>
      </c>
      <c r="FO141" s="464">
        <f>BS!HI45</f>
        <v>17903</v>
      </c>
      <c r="FP141" s="464">
        <f>BS!HJ45</f>
        <v>17975</v>
      </c>
      <c r="FQ141" s="464">
        <f>BS!HK45</f>
        <v>17975</v>
      </c>
      <c r="FS141" s="463" t="s">
        <v>113</v>
      </c>
      <c r="FT141" s="464">
        <f>BS!HN45</f>
        <v>17944</v>
      </c>
      <c r="FU141" s="464">
        <f>BS!HO45</f>
        <v>17951</v>
      </c>
      <c r="FV141" s="464">
        <f>BS!HP45</f>
        <v>18535</v>
      </c>
      <c r="FW141" s="464">
        <f>BS!HQ45</f>
        <v>17897</v>
      </c>
      <c r="FX141" s="464">
        <f>BS!HR45</f>
        <v>17897</v>
      </c>
      <c r="FZ141" s="463" t="s">
        <v>113</v>
      </c>
      <c r="GA141" s="464">
        <f>BS!HU45</f>
        <v>18521</v>
      </c>
      <c r="GB141" s="464">
        <f>BS!HV45</f>
        <v>18550</v>
      </c>
      <c r="GC141" s="464">
        <f>BS!HW45</f>
        <v>18554</v>
      </c>
      <c r="GD141" s="462">
        <f>+GC141+GD142</f>
        <v>19054</v>
      </c>
      <c r="GE141" s="464">
        <f>BS!HY45</f>
        <v>18165</v>
      </c>
      <c r="GG141" s="463" t="s">
        <v>113</v>
      </c>
      <c r="GH141" s="462">
        <f>+GE141+GH142</f>
        <v>18315</v>
      </c>
      <c r="GI141" s="462">
        <f>+GH141+GI142</f>
        <v>18465</v>
      </c>
      <c r="GJ141" s="462">
        <f>+GI141+GJ142</f>
        <v>18615</v>
      </c>
      <c r="GK141" s="462">
        <f>+GJ141+GK142</f>
        <v>18765</v>
      </c>
      <c r="GL141" s="464">
        <f>BS!IF45</f>
        <v>18765</v>
      </c>
      <c r="GN141" s="463" t="s">
        <v>113</v>
      </c>
      <c r="GO141" s="462">
        <f>+GL141+GO142</f>
        <v>18890</v>
      </c>
      <c r="GP141" s="462">
        <f>+GO141+GP142</f>
        <v>19015</v>
      </c>
      <c r="GQ141" s="462">
        <f>+GP141+GQ142</f>
        <v>19140</v>
      </c>
      <c r="GR141" s="462">
        <f>+GQ141+GR142</f>
        <v>19265</v>
      </c>
      <c r="GS141" s="464">
        <f>BS!IM45</f>
        <v>19265</v>
      </c>
      <c r="GU141" s="463" t="s">
        <v>113</v>
      </c>
      <c r="GV141" s="462">
        <f>+GS141+GV142</f>
        <v>19390</v>
      </c>
      <c r="GW141" s="462">
        <f>+GV141+GW142</f>
        <v>19515</v>
      </c>
      <c r="GX141" s="462">
        <f>+GW141+GX142</f>
        <v>19640</v>
      </c>
      <c r="GY141" s="462">
        <f>+GX141+GY142</f>
        <v>19765</v>
      </c>
      <c r="GZ141" s="464">
        <f>BS!IT45</f>
        <v>19765</v>
      </c>
    </row>
    <row r="142" spans="1:208" x14ac:dyDescent="0.4">
      <c r="A142" s="456"/>
      <c r="B142" s="467" t="s">
        <v>112</v>
      </c>
      <c r="C142" s="468">
        <f>AU142</f>
        <v>0</v>
      </c>
      <c r="D142" s="468">
        <f>BB142</f>
        <v>269</v>
      </c>
      <c r="E142" s="468">
        <f>BI142</f>
        <v>1108</v>
      </c>
      <c r="F142" s="468">
        <f>BP142</f>
        <v>1042</v>
      </c>
      <c r="G142" s="468">
        <f>BW142</f>
        <v>383</v>
      </c>
      <c r="H142" s="468">
        <f>CD142</f>
        <v>156</v>
      </c>
      <c r="I142" s="468">
        <f>CK142</f>
        <v>683</v>
      </c>
      <c r="J142" s="468">
        <f>CR142</f>
        <v>318</v>
      </c>
      <c r="K142" s="468">
        <f>CY142</f>
        <v>-30</v>
      </c>
      <c r="L142" s="468">
        <f>DF142</f>
        <v>492</v>
      </c>
      <c r="M142" s="468">
        <f>DM142</f>
        <v>1169</v>
      </c>
      <c r="N142" s="468">
        <f>DT142</f>
        <v>279</v>
      </c>
      <c r="O142" s="468">
        <f>EA142</f>
        <v>828</v>
      </c>
      <c r="P142" s="468">
        <f>EH142</f>
        <v>2949</v>
      </c>
      <c r="Q142" s="468">
        <f>EO142</f>
        <v>1254</v>
      </c>
      <c r="R142" s="468">
        <f>EV142</f>
        <v>311</v>
      </c>
      <c r="S142" s="468">
        <f>FC142</f>
        <v>-119</v>
      </c>
      <c r="T142" s="468">
        <f>FJ142</f>
        <v>1711</v>
      </c>
      <c r="U142" s="468">
        <f>FQ142</f>
        <v>79</v>
      </c>
      <c r="V142" s="468">
        <f>FX142</f>
        <v>-78</v>
      </c>
      <c r="W142" s="468">
        <f>GE142</f>
        <v>268</v>
      </c>
      <c r="X142" s="468">
        <f>GL142</f>
        <v>600</v>
      </c>
      <c r="Y142" s="468">
        <f>GS142</f>
        <v>500</v>
      </c>
      <c r="Z142" s="468">
        <f>GZ142</f>
        <v>500</v>
      </c>
      <c r="AA142" s="469"/>
      <c r="AB142" s="469"/>
      <c r="AC142" s="469"/>
      <c r="AD142" s="469"/>
      <c r="AE142" s="469"/>
      <c r="AF142" s="469"/>
      <c r="AG142" s="469"/>
      <c r="AH142" s="469"/>
      <c r="AI142" s="469"/>
      <c r="AJ142" s="469"/>
      <c r="AK142" s="469"/>
      <c r="AL142" s="469"/>
      <c r="AM142" s="469"/>
      <c r="AN142" s="469"/>
      <c r="AP142" s="467" t="s">
        <v>112</v>
      </c>
      <c r="AQ142" s="468" t="s">
        <v>80</v>
      </c>
      <c r="AR142" s="468">
        <f>+AR141-AQ141</f>
        <v>-809</v>
      </c>
      <c r="AS142" s="468">
        <f>+AS141-AR141</f>
        <v>-341</v>
      </c>
      <c r="AT142" s="468">
        <f>+AT141-AS141</f>
        <v>35</v>
      </c>
      <c r="AU142" s="468">
        <f>+AU141-AT141</f>
        <v>0</v>
      </c>
      <c r="AW142" s="467" t="s">
        <v>112</v>
      </c>
      <c r="AX142" s="468">
        <f>+AX141-AT141</f>
        <v>-48</v>
      </c>
      <c r="AY142" s="468">
        <f>+AY141-AX141</f>
        <v>-478</v>
      </c>
      <c r="AZ142" s="468">
        <f>+AZ141-AY141</f>
        <v>370</v>
      </c>
      <c r="BA142" s="468">
        <f>+BA141-AZ141</f>
        <v>425</v>
      </c>
      <c r="BB142" s="468">
        <f>+BB141-AU141</f>
        <v>269</v>
      </c>
      <c r="BD142" s="467" t="s">
        <v>112</v>
      </c>
      <c r="BE142" s="468">
        <f>+BE141-BA141</f>
        <v>-180</v>
      </c>
      <c r="BF142" s="468">
        <f>+BF141-BE141</f>
        <v>569</v>
      </c>
      <c r="BG142" s="468">
        <f>+BG141-BF141</f>
        <v>927</v>
      </c>
      <c r="BH142" s="468">
        <f>+BH141-BG141</f>
        <v>-208</v>
      </c>
      <c r="BI142" s="468">
        <f>+BI141-BB141</f>
        <v>1108</v>
      </c>
      <c r="BK142" s="467" t="s">
        <v>112</v>
      </c>
      <c r="BL142" s="468">
        <f>+BL141-BH141</f>
        <v>970</v>
      </c>
      <c r="BM142" s="468">
        <f>+BM141-BL141</f>
        <v>-44</v>
      </c>
      <c r="BN142" s="468">
        <f>+BN141-BM141</f>
        <v>-29</v>
      </c>
      <c r="BO142" s="468">
        <f>+BO141-BN141</f>
        <v>145</v>
      </c>
      <c r="BP142" s="468">
        <f>+BP141-BI141</f>
        <v>1042</v>
      </c>
      <c r="BR142" s="467" t="s">
        <v>112</v>
      </c>
      <c r="BS142" s="468">
        <f>+BS141-BO141</f>
        <v>483</v>
      </c>
      <c r="BT142" s="468">
        <f>+BT141-BS141</f>
        <v>-62</v>
      </c>
      <c r="BU142" s="468">
        <f>+BU141-BT141</f>
        <v>-27</v>
      </c>
      <c r="BV142" s="468">
        <f>+BV141-BU141</f>
        <v>-11</v>
      </c>
      <c r="BW142" s="468">
        <f>+BW141-BP141</f>
        <v>383</v>
      </c>
      <c r="BY142" s="467" t="s">
        <v>112</v>
      </c>
      <c r="BZ142" s="468">
        <f>+BZ141-BV141</f>
        <v>-523</v>
      </c>
      <c r="CA142" s="468">
        <f>+CA141-BZ141</f>
        <v>-52</v>
      </c>
      <c r="CB142" s="468">
        <f>+CB141-CA141</f>
        <v>-23</v>
      </c>
      <c r="CC142" s="468">
        <f>+CC141-CB141</f>
        <v>754</v>
      </c>
      <c r="CD142" s="468">
        <f>+CD141-BW141</f>
        <v>156</v>
      </c>
      <c r="CF142" s="467" t="s">
        <v>112</v>
      </c>
      <c r="CG142" s="468">
        <f>+CG141-CC141</f>
        <v>-414</v>
      </c>
      <c r="CH142" s="468">
        <f>+CH141-CG141</f>
        <v>549</v>
      </c>
      <c r="CI142" s="468">
        <f>+CI141-CH141</f>
        <v>-26</v>
      </c>
      <c r="CJ142" s="468">
        <f>+CJ141-CI141</f>
        <v>574</v>
      </c>
      <c r="CK142" s="468">
        <f>+CK141-CD141</f>
        <v>683</v>
      </c>
      <c r="CM142" s="467" t="s">
        <v>112</v>
      </c>
      <c r="CN142" s="468">
        <f>+CN141-CJ141</f>
        <v>-111</v>
      </c>
      <c r="CO142" s="468">
        <f>+CO141-CN141</f>
        <v>-42</v>
      </c>
      <c r="CP142" s="468">
        <f>+CP141-CO141</f>
        <v>-324</v>
      </c>
      <c r="CQ142" s="468">
        <f>+CQ141-CP141</f>
        <v>795</v>
      </c>
      <c r="CR142" s="468">
        <f>+CR141-CK141</f>
        <v>318</v>
      </c>
      <c r="CT142" s="467" t="s">
        <v>112</v>
      </c>
      <c r="CU142" s="468">
        <f>+CU141-CQ141</f>
        <v>-206</v>
      </c>
      <c r="CV142" s="468">
        <f>+CV141-CU141</f>
        <v>-35</v>
      </c>
      <c r="CW142" s="468">
        <f>+CW141-CV141</f>
        <v>-24</v>
      </c>
      <c r="CX142" s="468">
        <f>+CX141-CW141</f>
        <v>235</v>
      </c>
      <c r="CY142" s="468">
        <f>+CY141-CR141</f>
        <v>-30</v>
      </c>
      <c r="DA142" s="467" t="s">
        <v>112</v>
      </c>
      <c r="DB142" s="468">
        <f>+DB141-CX141</f>
        <v>-1</v>
      </c>
      <c r="DC142" s="468">
        <f>+DC141-DB141</f>
        <v>-611</v>
      </c>
      <c r="DD142" s="468">
        <f>+DD141-DC141</f>
        <v>977</v>
      </c>
      <c r="DE142" s="468">
        <f>+DE141-DD141</f>
        <v>127</v>
      </c>
      <c r="DF142" s="468">
        <f>+DF141-CY141</f>
        <v>492</v>
      </c>
      <c r="DH142" s="467" t="s">
        <v>112</v>
      </c>
      <c r="DI142" s="468">
        <f>+DI141-DE141</f>
        <v>-1</v>
      </c>
      <c r="DJ142" s="468">
        <f>+DJ141-DI141</f>
        <v>594</v>
      </c>
      <c r="DK142" s="468">
        <f>+DK141-DJ141</f>
        <v>-19</v>
      </c>
      <c r="DL142" s="468">
        <f>+DL141-DK141</f>
        <v>595</v>
      </c>
      <c r="DM142" s="468">
        <f>+DM141-DF141</f>
        <v>1169</v>
      </c>
      <c r="DO142" s="467" t="s">
        <v>112</v>
      </c>
      <c r="DP142" s="468">
        <f>+DP141-DL141</f>
        <v>-167</v>
      </c>
      <c r="DQ142" s="468">
        <f>+DQ141-DP141</f>
        <v>-611</v>
      </c>
      <c r="DR142" s="468">
        <f>+DR141-DQ141</f>
        <v>-17</v>
      </c>
      <c r="DS142" s="468">
        <f>+DS141-DR141</f>
        <v>1074</v>
      </c>
      <c r="DT142" s="468">
        <f>+DT141-DM141</f>
        <v>279</v>
      </c>
      <c r="DV142" s="467" t="s">
        <v>112</v>
      </c>
      <c r="DW142" s="468">
        <f>+DW141-DS141</f>
        <v>1</v>
      </c>
      <c r="DX142" s="468">
        <f>+DX141-DW141</f>
        <v>843</v>
      </c>
      <c r="DY142" s="468">
        <f>+DY141-DX141</f>
        <v>-18</v>
      </c>
      <c r="DZ142" s="468">
        <f>+DZ141-DY141</f>
        <v>2</v>
      </c>
      <c r="EA142" s="468">
        <f>+EA141-DT141</f>
        <v>828</v>
      </c>
      <c r="EC142" s="467" t="s">
        <v>112</v>
      </c>
      <c r="ED142" s="468">
        <f>+ED141-DZ141</f>
        <v>1978</v>
      </c>
      <c r="EE142" s="468">
        <f>+EE141-ED141</f>
        <v>1</v>
      </c>
      <c r="EF142" s="468">
        <f>+EF141-EE141</f>
        <v>-15</v>
      </c>
      <c r="EG142" s="468">
        <f>+EG141-EF141</f>
        <v>985</v>
      </c>
      <c r="EH142" s="468">
        <f>+EH141-EA141</f>
        <v>2949</v>
      </c>
      <c r="EJ142" s="467" t="s">
        <v>112</v>
      </c>
      <c r="EK142" s="468">
        <f>+EK141-EG141</f>
        <v>1009</v>
      </c>
      <c r="EL142" s="468">
        <f>+EL141-EK141</f>
        <v>-226</v>
      </c>
      <c r="EM142" s="468">
        <f>+EM141-EL141</f>
        <v>470</v>
      </c>
      <c r="EN142" s="468">
        <f>+EN141-EM141</f>
        <v>1</v>
      </c>
      <c r="EO142" s="468">
        <f>+EO141-EH141</f>
        <v>1254</v>
      </c>
      <c r="EQ142" s="467" t="s">
        <v>112</v>
      </c>
      <c r="ER142" s="468">
        <f>+ER141-EN141</f>
        <v>484</v>
      </c>
      <c r="ES142" s="468">
        <f>+ES141-ER141</f>
        <v>-349</v>
      </c>
      <c r="ET142" s="468">
        <f>+ET141-ES141</f>
        <v>-7</v>
      </c>
      <c r="EU142" s="468">
        <f>+EU141-ET141</f>
        <v>183</v>
      </c>
      <c r="EV142" s="468">
        <f>+EV141-EO141</f>
        <v>311</v>
      </c>
      <c r="EX142" s="467" t="s">
        <v>112</v>
      </c>
      <c r="EY142" s="468">
        <f>+EY141-EU141</f>
        <v>2</v>
      </c>
      <c r="EZ142" s="468">
        <f>+EZ141-EY141</f>
        <v>-77</v>
      </c>
      <c r="FA142" s="468">
        <f>+FA141-EZ141</f>
        <v>-47</v>
      </c>
      <c r="FB142" s="468">
        <f>+FB141-FA141</f>
        <v>3</v>
      </c>
      <c r="FC142" s="468">
        <f>+FC141-EV141</f>
        <v>-119</v>
      </c>
      <c r="FE142" s="467" t="s">
        <v>112</v>
      </c>
      <c r="FF142" s="468">
        <f>+FF141-FB141</f>
        <v>-166</v>
      </c>
      <c r="FG142" s="468">
        <f>+FG141-FF141</f>
        <v>-45</v>
      </c>
      <c r="FH142" s="468">
        <f>+FH141-FG141</f>
        <v>1921</v>
      </c>
      <c r="FI142" s="468">
        <f>+FI141-FH141</f>
        <v>1</v>
      </c>
      <c r="FJ142" s="468">
        <f>+FJ141-FC141</f>
        <v>1711</v>
      </c>
      <c r="FL142" s="467" t="s">
        <v>112</v>
      </c>
      <c r="FM142" s="468">
        <f>+FM141-FI141</f>
        <v>15</v>
      </c>
      <c r="FN142" s="468">
        <f>+FN141-FM141</f>
        <v>-13</v>
      </c>
      <c r="FO142" s="468">
        <f>+FO141-FN141</f>
        <v>5</v>
      </c>
      <c r="FP142" s="468">
        <f>+FP141-FO141</f>
        <v>72</v>
      </c>
      <c r="FQ142" s="468">
        <f>+FQ141-FJ141</f>
        <v>79</v>
      </c>
      <c r="FS142" s="467" t="s">
        <v>112</v>
      </c>
      <c r="FT142" s="468">
        <f>+FT141-FQ141</f>
        <v>-31</v>
      </c>
      <c r="FU142" s="468">
        <f>+FU141-FT141</f>
        <v>7</v>
      </c>
      <c r="FV142" s="468">
        <f>+FV141-FU141</f>
        <v>584</v>
      </c>
      <c r="FW142" s="468">
        <f>+FW141-FV141</f>
        <v>-638</v>
      </c>
      <c r="FX142" s="468">
        <f>+FX141-FQ141</f>
        <v>-78</v>
      </c>
      <c r="FZ142" s="467" t="s">
        <v>112</v>
      </c>
      <c r="GA142" s="468">
        <f>+GA141-FX141</f>
        <v>624</v>
      </c>
      <c r="GB142" s="468">
        <f>+GB141-GA141</f>
        <v>29</v>
      </c>
      <c r="GC142" s="468">
        <f>+GC141-GB141</f>
        <v>4</v>
      </c>
      <c r="GD142" s="506">
        <v>500</v>
      </c>
      <c r="GE142" s="468">
        <f>+GE141-FX141</f>
        <v>268</v>
      </c>
      <c r="GG142" s="467" t="s">
        <v>112</v>
      </c>
      <c r="GH142" s="506">
        <v>150</v>
      </c>
      <c r="GI142" s="506">
        <v>150</v>
      </c>
      <c r="GJ142" s="506">
        <v>150</v>
      </c>
      <c r="GK142" s="506">
        <v>150</v>
      </c>
      <c r="GL142" s="468">
        <f>+GL141-GE141</f>
        <v>600</v>
      </c>
      <c r="GN142" s="467" t="s">
        <v>112</v>
      </c>
      <c r="GO142" s="506">
        <v>125</v>
      </c>
      <c r="GP142" s="506">
        <v>125</v>
      </c>
      <c r="GQ142" s="506">
        <v>125</v>
      </c>
      <c r="GR142" s="506">
        <v>125</v>
      </c>
      <c r="GS142" s="468">
        <f>+GS141-GL141</f>
        <v>500</v>
      </c>
      <c r="GU142" s="467" t="s">
        <v>112</v>
      </c>
      <c r="GV142" s="506">
        <v>125</v>
      </c>
      <c r="GW142" s="506">
        <v>125</v>
      </c>
      <c r="GX142" s="506">
        <v>125</v>
      </c>
      <c r="GY142" s="506">
        <v>125</v>
      </c>
      <c r="GZ142" s="468">
        <f>+GZ141-GS141</f>
        <v>500</v>
      </c>
    </row>
    <row r="143" spans="1:208" x14ac:dyDescent="0.4">
      <c r="A143" s="452"/>
      <c r="B143" s="76"/>
      <c r="V143" s="80"/>
      <c r="W143" s="80"/>
      <c r="X143" s="80"/>
      <c r="Y143" s="80"/>
      <c r="Z143" s="80"/>
      <c r="AP143" s="76"/>
      <c r="AW143" s="76"/>
      <c r="BD143" s="76"/>
      <c r="BK143" s="76"/>
      <c r="BR143" s="76"/>
      <c r="BY143" s="76"/>
      <c r="CF143" s="76"/>
      <c r="CM143" s="76"/>
      <c r="CT143" s="76"/>
      <c r="DA143" s="76"/>
      <c r="DH143" s="76"/>
      <c r="DO143" s="76"/>
      <c r="DV143" s="76"/>
      <c r="EC143" s="76"/>
      <c r="EJ143" s="76"/>
      <c r="EQ143" s="76"/>
      <c r="EX143" s="76"/>
      <c r="FE143" s="76"/>
      <c r="FL143" s="76"/>
      <c r="FS143" s="76"/>
      <c r="FU143" s="80"/>
      <c r="FZ143" s="76"/>
      <c r="GB143" s="80"/>
      <c r="GD143" s="80"/>
      <c r="GG143" s="76"/>
      <c r="GH143" s="80"/>
      <c r="GI143" s="80"/>
      <c r="GJ143" s="80"/>
      <c r="GK143" s="80"/>
      <c r="GN143" s="76"/>
      <c r="GO143" s="80"/>
      <c r="GP143" s="80"/>
      <c r="GQ143" s="80"/>
      <c r="GR143" s="80"/>
      <c r="GU143" s="76"/>
      <c r="GV143" s="80"/>
      <c r="GW143" s="80"/>
      <c r="GX143" s="80"/>
      <c r="GY143" s="80"/>
    </row>
    <row r="144" spans="1:208" x14ac:dyDescent="0.4">
      <c r="A144" s="436"/>
      <c r="B144" s="471" t="s">
        <v>114</v>
      </c>
      <c r="C144" s="436">
        <f>AU144</f>
        <v>6029</v>
      </c>
      <c r="D144" s="436">
        <f>BB144</f>
        <v>5991.5</v>
      </c>
      <c r="E144" s="436">
        <f>BI144</f>
        <v>6604.5</v>
      </c>
      <c r="F144" s="436">
        <f>BP144</f>
        <v>7543</v>
      </c>
      <c r="G144" s="436">
        <f>BW144</f>
        <v>7919.5</v>
      </c>
      <c r="H144" s="436">
        <f>CD144</f>
        <v>8336</v>
      </c>
      <c r="I144" s="436">
        <f>CK144</f>
        <v>8952.5</v>
      </c>
      <c r="J144" s="436">
        <f>CR144</f>
        <v>9536.5</v>
      </c>
      <c r="K144" s="436">
        <f>CY144</f>
        <v>9693.5</v>
      </c>
      <c r="L144" s="436">
        <f>DF144</f>
        <v>9648.5</v>
      </c>
      <c r="M144" s="436">
        <f>DM144</f>
        <v>10222.5</v>
      </c>
      <c r="N144" s="436">
        <f>DT144</f>
        <v>10998</v>
      </c>
      <c r="O144" s="436">
        <f>EA144</f>
        <v>11551</v>
      </c>
      <c r="P144" s="436">
        <f>EH144</f>
        <v>13283</v>
      </c>
      <c r="Q144" s="436">
        <f>EO144</f>
        <v>15497.5</v>
      </c>
      <c r="R144" s="436">
        <f>EV144</f>
        <v>16471.5</v>
      </c>
      <c r="S144" s="436">
        <f>FC144</f>
        <v>16535.5</v>
      </c>
      <c r="T144" s="436">
        <f>FJ144</f>
        <v>17206.5</v>
      </c>
      <c r="U144" s="436">
        <f>FQ144</f>
        <v>18290</v>
      </c>
      <c r="V144" s="436">
        <f>FX144</f>
        <v>18518</v>
      </c>
      <c r="W144" s="436">
        <f>GE144</f>
        <v>18688</v>
      </c>
      <c r="X144" s="436">
        <f>GL144</f>
        <v>19173</v>
      </c>
      <c r="Y144" s="436">
        <f>GS144</f>
        <v>19723</v>
      </c>
      <c r="Z144" s="436">
        <f>GZ144</f>
        <v>20223</v>
      </c>
      <c r="AA144" s="472"/>
      <c r="AB144" s="472"/>
      <c r="AC144" s="472"/>
      <c r="AD144" s="472"/>
      <c r="AE144" s="472"/>
      <c r="AF144" s="472"/>
      <c r="AG144" s="472"/>
      <c r="AH144" s="472"/>
      <c r="AI144" s="472"/>
      <c r="AJ144" s="472"/>
      <c r="AK144" s="472"/>
      <c r="AL144" s="472"/>
      <c r="AM144" s="472"/>
      <c r="AN144" s="472"/>
      <c r="AP144" s="471" t="s">
        <v>114</v>
      </c>
      <c r="AQ144" s="436" t="s">
        <v>80</v>
      </c>
      <c r="AR144" s="436">
        <f>AVERAGE(AR147,AR145)</f>
        <v>6568.5</v>
      </c>
      <c r="AS144" s="436">
        <f>AVERAGE(AS147,AS145)</f>
        <v>6011</v>
      </c>
      <c r="AT144" s="436">
        <f>AVERAGE(AT147,AT145)</f>
        <v>6017</v>
      </c>
      <c r="AU144" s="436">
        <f>AVERAGE(AU147,AU145)</f>
        <v>6029</v>
      </c>
      <c r="AW144" s="471" t="s">
        <v>114</v>
      </c>
      <c r="AX144" s="436">
        <f>AVERAGE(AX147,AX145)</f>
        <v>5993</v>
      </c>
      <c r="AY144" s="436">
        <f>AVERAGE(AY147,AY145)</f>
        <v>5949.5</v>
      </c>
      <c r="AZ144" s="436">
        <f>AVERAGE(AZ147,AZ145)</f>
        <v>5968</v>
      </c>
      <c r="BA144" s="436">
        <f>AVERAGE(BA147,BA145)</f>
        <v>5974</v>
      </c>
      <c r="BB144" s="436">
        <f>AVERAGE(BB147,BB145)</f>
        <v>5991.5</v>
      </c>
      <c r="BD144" s="471" t="s">
        <v>114</v>
      </c>
      <c r="BE144" s="436">
        <f>AVERAGE(BE147,BE145)</f>
        <v>5939</v>
      </c>
      <c r="BF144" s="436">
        <f>AVERAGE(BF147,BF145)</f>
        <v>5952</v>
      </c>
      <c r="BG144" s="436">
        <f>AVERAGE(BG147,BG145)</f>
        <v>6444</v>
      </c>
      <c r="BH144" s="436">
        <f>AVERAGE(BH147,BH145)</f>
        <v>7081.5</v>
      </c>
      <c r="BI144" s="436">
        <f>AVERAGE(BI147,BI145)</f>
        <v>6604.5</v>
      </c>
      <c r="BK144" s="471" t="s">
        <v>114</v>
      </c>
      <c r="BL144" s="436">
        <f>AVERAGE(BL147,BL145)</f>
        <v>7729</v>
      </c>
      <c r="BM144" s="436">
        <f>AVERAGE(BM147,BM145)</f>
        <v>8090</v>
      </c>
      <c r="BN144" s="436">
        <f>AVERAGE(BN147,BN145)</f>
        <v>7941.5</v>
      </c>
      <c r="BO144" s="436">
        <f>AVERAGE(BO147,BO145)</f>
        <v>7868.5</v>
      </c>
      <c r="BP144" s="436">
        <f>AVERAGE(BP147,BP145)</f>
        <v>7543</v>
      </c>
      <c r="BR144" s="471" t="s">
        <v>114</v>
      </c>
      <c r="BS144" s="436">
        <f>AVERAGE(BS147,BS145)</f>
        <v>8070</v>
      </c>
      <c r="BT144" s="436">
        <f>AVERAGE(BT147,BT145)</f>
        <v>8280</v>
      </c>
      <c r="BU144" s="436">
        <f>AVERAGE(BU147,BU145)</f>
        <v>8236.5</v>
      </c>
      <c r="BV144" s="436">
        <f>AVERAGE(BV147,BV145)</f>
        <v>8115</v>
      </c>
      <c r="BW144" s="436">
        <f>AVERAGE(BW147,BW145)</f>
        <v>7919.5</v>
      </c>
      <c r="BY144" s="471" t="s">
        <v>114</v>
      </c>
      <c r="BZ144" s="436">
        <f>AVERAGE(BZ147,BZ145)</f>
        <v>7998.5</v>
      </c>
      <c r="CA144" s="436">
        <f>AVERAGE(CA147,CA145)</f>
        <v>7961.5</v>
      </c>
      <c r="CB144" s="436">
        <f>AVERAGE(CB147,CB145)</f>
        <v>7918</v>
      </c>
      <c r="CC144" s="436">
        <f>AVERAGE(CC147,CC145)</f>
        <v>8283</v>
      </c>
      <c r="CD144" s="436">
        <f>AVERAGE(CD147,CD145)</f>
        <v>8336</v>
      </c>
      <c r="CF144" s="471" t="s">
        <v>114</v>
      </c>
      <c r="CG144" s="436">
        <f>AVERAGE(CG147,CG145)</f>
        <v>8402</v>
      </c>
      <c r="CH144" s="436">
        <f>AVERAGE(CH147,CH145)</f>
        <v>8410</v>
      </c>
      <c r="CI144" s="436">
        <f>AVERAGE(CI147,CI145)</f>
        <v>8667</v>
      </c>
      <c r="CJ144" s="436">
        <f>AVERAGE(CJ147,CJ145)</f>
        <v>8947.5</v>
      </c>
      <c r="CK144" s="436">
        <f>AVERAGE(CK147,CK145)</f>
        <v>8952.5</v>
      </c>
      <c r="CM144" s="471" t="s">
        <v>114</v>
      </c>
      <c r="CN144" s="436">
        <f>AVERAGE(CN147,CN145)</f>
        <v>9183</v>
      </c>
      <c r="CO144" s="436">
        <f>AVERAGE(CO147,CO145)</f>
        <v>9107</v>
      </c>
      <c r="CP144" s="436">
        <f>AVERAGE(CP147,CP145)</f>
        <v>9076</v>
      </c>
      <c r="CQ144" s="436">
        <f>AVERAGE(CQ147,CQ145)</f>
        <v>9447.5</v>
      </c>
      <c r="CR144" s="436">
        <f>AVERAGE(CR147,CR145)</f>
        <v>9536.5</v>
      </c>
      <c r="CT144" s="471" t="s">
        <v>114</v>
      </c>
      <c r="CU144" s="436">
        <f>AVERAGE(CU147,CU145)</f>
        <v>9625</v>
      </c>
      <c r="CV144" s="436">
        <f>AVERAGE(CV147,CV145)</f>
        <v>9396.5</v>
      </c>
      <c r="CW144" s="436">
        <f>AVERAGE(CW147,CW145)</f>
        <v>9213</v>
      </c>
      <c r="CX144" s="436">
        <f>AVERAGE(CX147,CX145)</f>
        <v>9303</v>
      </c>
      <c r="CY144" s="436">
        <f>AVERAGE(CY147,CY145)</f>
        <v>9693.5</v>
      </c>
      <c r="DA144" s="471" t="s">
        <v>114</v>
      </c>
      <c r="DB144" s="436">
        <f>AVERAGE(DB147,DB145)</f>
        <v>9450.5</v>
      </c>
      <c r="DC144" s="436">
        <f>AVERAGE(DC147,DC145)</f>
        <v>9327.5</v>
      </c>
      <c r="DD144" s="436">
        <f>AVERAGE(DD147,DD145)</f>
        <v>9463</v>
      </c>
      <c r="DE144" s="436">
        <f>AVERAGE(DE147,DE145)</f>
        <v>9679.5</v>
      </c>
      <c r="DF144" s="436">
        <f>AVERAGE(DF147,DF145)</f>
        <v>9648.5</v>
      </c>
      <c r="DH144" s="471" t="s">
        <v>114</v>
      </c>
      <c r="DI144" s="436">
        <f>AVERAGE(DI147,DI145)</f>
        <v>9741.5</v>
      </c>
      <c r="DJ144" s="436">
        <f>AVERAGE(DJ147,DJ145)</f>
        <v>9933</v>
      </c>
      <c r="DK144" s="436">
        <f>AVERAGE(DK147,DK145)</f>
        <v>10115.5</v>
      </c>
      <c r="DL144" s="436">
        <f>AVERAGE(DL147,DL145)</f>
        <v>10404.5</v>
      </c>
      <c r="DM144" s="436">
        <f>AVERAGE(DM147,DM145)</f>
        <v>10222.5</v>
      </c>
      <c r="DO144" s="471" t="s">
        <v>114</v>
      </c>
      <c r="DP144" s="436">
        <f>AVERAGE(DP147,DP145)</f>
        <v>10619.5</v>
      </c>
      <c r="DQ144" s="436">
        <f>AVERAGE(DQ147,DQ145)</f>
        <v>10536.5</v>
      </c>
      <c r="DR144" s="436">
        <f>AVERAGE(DR147,DR145)</f>
        <v>10528</v>
      </c>
      <c r="DS144" s="436">
        <f>AVERAGE(DS147,DS145)</f>
        <v>10906</v>
      </c>
      <c r="DT144" s="436">
        <f>AVERAGE(DT147,DT145)</f>
        <v>10998</v>
      </c>
      <c r="DV144" s="471" t="s">
        <v>114</v>
      </c>
      <c r="DW144" s="436">
        <f>AVERAGE(DW147,DW145)</f>
        <v>11293.5</v>
      </c>
      <c r="DX144" s="436">
        <f>AVERAGE(DX147,DX145)</f>
        <v>11559.5</v>
      </c>
      <c r="DY144" s="436">
        <f>AVERAGE(DY147,DY145)</f>
        <v>11816</v>
      </c>
      <c r="DZ144" s="436">
        <f>AVERAGE(DZ147,DZ145)</f>
        <v>11808</v>
      </c>
      <c r="EA144" s="436">
        <f>AVERAGE(EA147,EA145)</f>
        <v>11551</v>
      </c>
      <c r="EC144" s="471" t="s">
        <v>114</v>
      </c>
      <c r="ED144" s="436">
        <f>AVERAGE(ED147,ED145)</f>
        <v>12798</v>
      </c>
      <c r="EE144" s="436">
        <f>AVERAGE(EE147,EE145)</f>
        <v>13787.5</v>
      </c>
      <c r="EF144" s="436">
        <f>AVERAGE(EF147,EF145)</f>
        <v>13780</v>
      </c>
      <c r="EG144" s="436">
        <f>AVERAGE(EG147,EG145)</f>
        <v>14264.5</v>
      </c>
      <c r="EH144" s="436">
        <f>AVERAGE(EH147,EH145)</f>
        <v>13283</v>
      </c>
      <c r="EJ144" s="471" t="s">
        <v>114</v>
      </c>
      <c r="EK144" s="436">
        <f>AVERAGE(EK147,EK145)</f>
        <v>15261.5</v>
      </c>
      <c r="EL144" s="436">
        <f>AVERAGE(EL147,EL145)</f>
        <v>15766.5</v>
      </c>
      <c r="EM144" s="436">
        <f>AVERAGE(EM147,EM145)</f>
        <v>16252</v>
      </c>
      <c r="EN144" s="436">
        <f>AVERAGE(EN147,EN145)</f>
        <v>16487.5</v>
      </c>
      <c r="EO144" s="436">
        <f>AVERAGE(EO147,EO145)</f>
        <v>15497.5</v>
      </c>
      <c r="EQ144" s="471" t="s">
        <v>114</v>
      </c>
      <c r="ER144" s="436">
        <f>AVERAGE(ER147,ER145)</f>
        <v>16485</v>
      </c>
      <c r="ES144" s="436">
        <f>AVERAGE(ES147,ES145)</f>
        <v>16619</v>
      </c>
      <c r="ET144" s="436">
        <f>AVERAGE(ET147,ET145)</f>
        <v>16499</v>
      </c>
      <c r="EU144" s="436">
        <f>AVERAGE(EU147,EU145)</f>
        <v>16598.5</v>
      </c>
      <c r="EV144" s="436">
        <f>AVERAGE(EV147,EV145)</f>
        <v>16471.5</v>
      </c>
      <c r="EX144" s="471" t="s">
        <v>114</v>
      </c>
      <c r="EY144" s="436">
        <f>AVERAGE(EY147,EY145)</f>
        <v>16526</v>
      </c>
      <c r="EZ144" s="436">
        <f>AVERAGE(EZ147,EZ145)</f>
        <v>16349</v>
      </c>
      <c r="FA144" s="436">
        <f>AVERAGE(FA147,FA145)</f>
        <v>16372</v>
      </c>
      <c r="FB144" s="436">
        <f>AVERAGE(FB147,FB145)</f>
        <v>16379.5</v>
      </c>
      <c r="FC144" s="436">
        <f>AVERAGE(FC147,FC145)</f>
        <v>16535.5</v>
      </c>
      <c r="FE144" s="471" t="s">
        <v>114</v>
      </c>
      <c r="FF144" s="436">
        <f>AVERAGE(FF147,FF145)</f>
        <v>16351</v>
      </c>
      <c r="FG144" s="436">
        <f>AVERAGE(FG147,FG145)</f>
        <v>16273</v>
      </c>
      <c r="FH144" s="436">
        <f>AVERAGE(FH147,FH145)</f>
        <v>17130</v>
      </c>
      <c r="FI144" s="436">
        <f>AVERAGE(FI147,FI145)</f>
        <v>18048.5</v>
      </c>
      <c r="FJ144" s="436">
        <f>AVERAGE(FJ147,FJ145)</f>
        <v>17206.5</v>
      </c>
      <c r="FL144" s="471" t="s">
        <v>114</v>
      </c>
      <c r="FM144" s="436">
        <f>AVERAGE(FM147,FM145)</f>
        <v>17984.5</v>
      </c>
      <c r="FN144" s="436">
        <f>AVERAGE(FN147,FN145)</f>
        <v>17915</v>
      </c>
      <c r="FO144" s="436">
        <f>AVERAGE(FO147,FO145)</f>
        <v>18185</v>
      </c>
      <c r="FP144" s="436">
        <f>AVERAGE(FP147,FP145)</f>
        <v>18497.5</v>
      </c>
      <c r="FQ144" s="436">
        <f>AVERAGE(FQ147,FQ145)</f>
        <v>18290</v>
      </c>
      <c r="FS144" s="471" t="s">
        <v>114</v>
      </c>
      <c r="FT144" s="436">
        <f>AVERAGE(FT147,FT145)</f>
        <v>18517</v>
      </c>
      <c r="FU144" s="507">
        <f>AVERAGE(FU147,FU145)</f>
        <v>18504.5</v>
      </c>
      <c r="FV144" s="436">
        <f>AVERAGE(FV147,FV145)</f>
        <v>18524.5</v>
      </c>
      <c r="FW144" s="436">
        <f>AVERAGE(FW147,FW145)</f>
        <v>18522</v>
      </c>
      <c r="FX144" s="436">
        <f>AVERAGE(FX147,FX145)</f>
        <v>18518</v>
      </c>
      <c r="FZ144" s="471" t="s">
        <v>114</v>
      </c>
      <c r="GA144" s="436">
        <f>AVERAGE(GA147,GA145)</f>
        <v>18814.5</v>
      </c>
      <c r="GB144" s="507">
        <f>AVERAGE(GB147,GB145)</f>
        <v>19146</v>
      </c>
      <c r="GC144" s="436">
        <f>AVERAGE(GC147,GC145)</f>
        <v>19164</v>
      </c>
      <c r="GD144" s="507">
        <f>AVERAGE(GD147,GD145)</f>
        <v>19412</v>
      </c>
      <c r="GE144" s="436">
        <f>AVERAGE(GE147,GE145)</f>
        <v>18688</v>
      </c>
      <c r="GG144" s="471" t="s">
        <v>114</v>
      </c>
      <c r="GH144" s="507">
        <f>AVERAGE(GH147,GH145)</f>
        <v>18948</v>
      </c>
      <c r="GI144" s="507">
        <f>AVERAGE(GI147,GI145)</f>
        <v>19098</v>
      </c>
      <c r="GJ144" s="507">
        <f>AVERAGE(GJ147,GJ145)</f>
        <v>19248</v>
      </c>
      <c r="GK144" s="507">
        <f>AVERAGE(GK147,GK145)</f>
        <v>19398</v>
      </c>
      <c r="GL144" s="436">
        <f>AVERAGE(GL147,GL145)</f>
        <v>19173</v>
      </c>
      <c r="GN144" s="471" t="s">
        <v>114</v>
      </c>
      <c r="GO144" s="507">
        <f>AVERAGE(GO147,GO145)</f>
        <v>19535.5</v>
      </c>
      <c r="GP144" s="507">
        <f>AVERAGE(GP147,GP145)</f>
        <v>19660.5</v>
      </c>
      <c r="GQ144" s="507">
        <f>AVERAGE(GQ147,GQ145)</f>
        <v>19785.5</v>
      </c>
      <c r="GR144" s="507">
        <f>AVERAGE(GR147,GR145)</f>
        <v>19910.5</v>
      </c>
      <c r="GS144" s="436">
        <f>AVERAGE(GS147,GS145)</f>
        <v>19723</v>
      </c>
      <c r="GU144" s="471" t="s">
        <v>114</v>
      </c>
      <c r="GV144" s="507">
        <f>AVERAGE(GV147,GV145)</f>
        <v>20035.5</v>
      </c>
      <c r="GW144" s="507">
        <f>AVERAGE(GW147,GW145)</f>
        <v>20160.5</v>
      </c>
      <c r="GX144" s="507">
        <f>AVERAGE(GX147,GX145)</f>
        <v>20285.5</v>
      </c>
      <c r="GY144" s="507">
        <f>AVERAGE(GY147,GY145)</f>
        <v>20410.5</v>
      </c>
      <c r="GZ144" s="436">
        <f>AVERAGE(GZ147,GZ145)</f>
        <v>20223</v>
      </c>
    </row>
    <row r="145" spans="1:208" x14ac:dyDescent="0.4">
      <c r="A145" s="431"/>
      <c r="B145" s="473" t="s">
        <v>115</v>
      </c>
      <c r="C145" s="474">
        <f>AU145</f>
        <v>6029</v>
      </c>
      <c r="D145" s="474">
        <f>BB145</f>
        <v>6029</v>
      </c>
      <c r="E145" s="474">
        <f>BI145</f>
        <v>5954</v>
      </c>
      <c r="F145" s="474">
        <f>BP145</f>
        <v>7255</v>
      </c>
      <c r="G145" s="474">
        <f>BW145</f>
        <v>7831</v>
      </c>
      <c r="H145" s="474">
        <f>CD145</f>
        <v>8008</v>
      </c>
      <c r="I145" s="474">
        <f>CK145</f>
        <v>8664</v>
      </c>
      <c r="J145" s="474">
        <f>CR145</f>
        <v>9241</v>
      </c>
      <c r="K145" s="474">
        <f>CY145</f>
        <v>9832</v>
      </c>
      <c r="L145" s="474">
        <f>DF145</f>
        <v>9555</v>
      </c>
      <c r="M145" s="474">
        <f>DM145</f>
        <v>9742</v>
      </c>
      <c r="N145" s="474">
        <f>DT145</f>
        <v>10703</v>
      </c>
      <c r="O145" s="474">
        <f>EA145</f>
        <v>11293</v>
      </c>
      <c r="P145" s="474">
        <f>EH145</f>
        <v>11809</v>
      </c>
      <c r="Q145" s="474">
        <f>EO145</f>
        <v>14757</v>
      </c>
      <c r="R145" s="474">
        <f>EV145</f>
        <v>16238</v>
      </c>
      <c r="S145" s="474">
        <f>FC145</f>
        <v>16705</v>
      </c>
      <c r="T145" s="474">
        <f>FJ145</f>
        <v>16366</v>
      </c>
      <c r="U145" s="474">
        <f>FQ145</f>
        <v>18047</v>
      </c>
      <c r="V145" s="474">
        <f>FX145</f>
        <v>18533</v>
      </c>
      <c r="W145" s="474">
        <f>GE145</f>
        <v>18503</v>
      </c>
      <c r="X145" s="474">
        <f>GL145</f>
        <v>18873</v>
      </c>
      <c r="Y145" s="474">
        <f>GS145</f>
        <v>19473</v>
      </c>
      <c r="Z145" s="474">
        <f>GZ145</f>
        <v>19973</v>
      </c>
      <c r="AA145" s="475"/>
      <c r="AB145" s="475"/>
      <c r="AC145" s="475"/>
      <c r="AD145" s="475"/>
      <c r="AE145" s="475"/>
      <c r="AF145" s="475"/>
      <c r="AG145" s="475"/>
      <c r="AH145" s="475"/>
      <c r="AI145" s="475"/>
      <c r="AJ145" s="475"/>
      <c r="AK145" s="475"/>
      <c r="AL145" s="475"/>
      <c r="AM145" s="475"/>
      <c r="AN145" s="475"/>
      <c r="AP145" s="473" t="s">
        <v>115</v>
      </c>
      <c r="AQ145" s="474" t="s">
        <v>80</v>
      </c>
      <c r="AR145" s="474">
        <f>+AQ138+AQ141</f>
        <v>7120</v>
      </c>
      <c r="AS145" s="474">
        <f>+AR138+AR141</f>
        <v>6017</v>
      </c>
      <c r="AT145" s="474">
        <f>+AS138+AS141</f>
        <v>6005</v>
      </c>
      <c r="AU145" s="474">
        <f>+AT138+AT141</f>
        <v>6029</v>
      </c>
      <c r="AW145" s="473" t="s">
        <v>115</v>
      </c>
      <c r="AX145" s="474">
        <f>+AU138+AU141</f>
        <v>6029</v>
      </c>
      <c r="AY145" s="474">
        <f>+AX138+AX141</f>
        <v>5957</v>
      </c>
      <c r="AZ145" s="474">
        <f>+AY138+AY141</f>
        <v>5942</v>
      </c>
      <c r="BA145" s="474">
        <f>+AZ138+AZ141</f>
        <v>5994</v>
      </c>
      <c r="BB145" s="474">
        <f>+AU138+AU141</f>
        <v>6029</v>
      </c>
      <c r="BD145" s="473" t="s">
        <v>115</v>
      </c>
      <c r="BE145" s="474">
        <f>+BB138+BB141</f>
        <v>5954</v>
      </c>
      <c r="BF145" s="474">
        <f>+BE138+BE141</f>
        <v>5924</v>
      </c>
      <c r="BG145" s="474">
        <f>+BF138+BF141</f>
        <v>5980</v>
      </c>
      <c r="BH145" s="474">
        <f>+BG138+BG141</f>
        <v>6908</v>
      </c>
      <c r="BI145" s="474">
        <f>+BB138+BB141</f>
        <v>5954</v>
      </c>
      <c r="BK145" s="473" t="s">
        <v>115</v>
      </c>
      <c r="BL145" s="474">
        <f>+BI138+BI141</f>
        <v>7255</v>
      </c>
      <c r="BM145" s="474">
        <f>+BL138+BL141</f>
        <v>8203</v>
      </c>
      <c r="BN145" s="474">
        <f>+BM138+BM141</f>
        <v>7977</v>
      </c>
      <c r="BO145" s="474">
        <f>+BN138+BN141</f>
        <v>7906</v>
      </c>
      <c r="BP145" s="474">
        <f>+BI138+BI141</f>
        <v>7255</v>
      </c>
      <c r="BR145" s="473" t="s">
        <v>115</v>
      </c>
      <c r="BS145" s="474">
        <f>+BP138+BP141</f>
        <v>7831</v>
      </c>
      <c r="BT145" s="474">
        <f>+BS138+BS141</f>
        <v>8309</v>
      </c>
      <c r="BU145" s="474">
        <f>+BT138+BT141</f>
        <v>8251</v>
      </c>
      <c r="BV145" s="474">
        <f>+BU138+BU141</f>
        <v>8222</v>
      </c>
      <c r="BW145" s="474">
        <f>+BP138+BP141</f>
        <v>7831</v>
      </c>
      <c r="BY145" s="473" t="s">
        <v>115</v>
      </c>
      <c r="BZ145" s="474">
        <f>+BW138+BW141</f>
        <v>8008</v>
      </c>
      <c r="CA145" s="474">
        <f>+BZ138+BZ141</f>
        <v>7989</v>
      </c>
      <c r="CB145" s="474">
        <f>+CA138+CA141</f>
        <v>7934</v>
      </c>
      <c r="CC145" s="474">
        <f>+CB138+CB141</f>
        <v>7902</v>
      </c>
      <c r="CD145" s="474">
        <f>+BW138+BW141</f>
        <v>8008</v>
      </c>
      <c r="CF145" s="473" t="s">
        <v>115</v>
      </c>
      <c r="CG145" s="474">
        <f>+CD138+CD141</f>
        <v>8664</v>
      </c>
      <c r="CH145" s="474">
        <f>+CG138+CG141</f>
        <v>8140</v>
      </c>
      <c r="CI145" s="474">
        <f>+CH138+CH141</f>
        <v>8680</v>
      </c>
      <c r="CJ145" s="474">
        <f>+CI138+CI141</f>
        <v>8654</v>
      </c>
      <c r="CK145" s="474">
        <f>+CD138+CD141</f>
        <v>8664</v>
      </c>
      <c r="CM145" s="473" t="s">
        <v>115</v>
      </c>
      <c r="CN145" s="474">
        <f>+CK138+CK141</f>
        <v>9241</v>
      </c>
      <c r="CO145" s="474">
        <f>+CN138+CN141</f>
        <v>9125</v>
      </c>
      <c r="CP145" s="474">
        <f>+CO138+CO141</f>
        <v>9089</v>
      </c>
      <c r="CQ145" s="474">
        <f>+CP138+CP141</f>
        <v>9063</v>
      </c>
      <c r="CR145" s="474">
        <f>+CK138+CK141</f>
        <v>9241</v>
      </c>
      <c r="CT145" s="473" t="s">
        <v>115</v>
      </c>
      <c r="CU145" s="474">
        <f>+CR138+CR141</f>
        <v>9832</v>
      </c>
      <c r="CV145" s="474">
        <f>+CU138+CU141</f>
        <v>9418</v>
      </c>
      <c r="CW145" s="474">
        <f>+CV138+CV141</f>
        <v>9375</v>
      </c>
      <c r="CX145" s="474">
        <f>+CW138+CW141</f>
        <v>9051</v>
      </c>
      <c r="CY145" s="474">
        <f>+CR138+CR141</f>
        <v>9832</v>
      </c>
      <c r="DA145" s="473" t="s">
        <v>115</v>
      </c>
      <c r="DB145" s="474">
        <f>+CY138+CY141</f>
        <v>9555</v>
      </c>
      <c r="DC145" s="474">
        <f>+DB138+DB141</f>
        <v>9346</v>
      </c>
      <c r="DD145" s="474">
        <f>+DC138+DC141</f>
        <v>9309</v>
      </c>
      <c r="DE145" s="474">
        <f>+DD138+DD141</f>
        <v>9617</v>
      </c>
      <c r="DF145" s="474">
        <f>+CY138+CY141</f>
        <v>9555</v>
      </c>
      <c r="DH145" s="473" t="s">
        <v>115</v>
      </c>
      <c r="DI145" s="474">
        <f>+DF138+DF141</f>
        <v>9742</v>
      </c>
      <c r="DJ145" s="474">
        <f>+DI138+DI141</f>
        <v>9741</v>
      </c>
      <c r="DK145" s="474">
        <f>+DJ138+DJ141</f>
        <v>10125</v>
      </c>
      <c r="DL145" s="474">
        <f>+DK138+DK141</f>
        <v>10106</v>
      </c>
      <c r="DM145" s="474">
        <f>+DF138+DF141</f>
        <v>9742</v>
      </c>
      <c r="DO145" s="473" t="s">
        <v>115</v>
      </c>
      <c r="DP145" s="474">
        <f>+DM138+DM141</f>
        <v>10703</v>
      </c>
      <c r="DQ145" s="474">
        <f>+DP138+DP141</f>
        <v>10536</v>
      </c>
      <c r="DR145" s="474">
        <f>+DQ138+DQ141</f>
        <v>10537</v>
      </c>
      <c r="DS145" s="474">
        <f>+DR138+DR141</f>
        <v>10519</v>
      </c>
      <c r="DT145" s="474">
        <f>+DM138+DM141</f>
        <v>10703</v>
      </c>
      <c r="DV145" s="473" t="s">
        <v>115</v>
      </c>
      <c r="DW145" s="474">
        <f>+DT138+DT141</f>
        <v>11293</v>
      </c>
      <c r="DX145" s="474">
        <f>+DW138+DW141</f>
        <v>11294</v>
      </c>
      <c r="DY145" s="474">
        <f>+DX138+DX141</f>
        <v>11825</v>
      </c>
      <c r="DZ145" s="474">
        <f>+DY138+DY141</f>
        <v>11807</v>
      </c>
      <c r="EA145" s="474">
        <f>+DT138+DT141</f>
        <v>11293</v>
      </c>
      <c r="EC145" s="473" t="s">
        <v>115</v>
      </c>
      <c r="ED145" s="474">
        <f>+EA138+EA141</f>
        <v>11809</v>
      </c>
      <c r="EE145" s="474">
        <f>+ED138+ED141</f>
        <v>13787</v>
      </c>
      <c r="EF145" s="474">
        <f>+EE138+EE141</f>
        <v>13788</v>
      </c>
      <c r="EG145" s="474">
        <f>+EF138+EF141</f>
        <v>13772</v>
      </c>
      <c r="EH145" s="474">
        <f>+EA138+EA141</f>
        <v>11809</v>
      </c>
      <c r="EJ145" s="473" t="s">
        <v>115</v>
      </c>
      <c r="EK145" s="474">
        <f>+EH138+EH141</f>
        <v>14757</v>
      </c>
      <c r="EL145" s="474">
        <f>+EK138+EK141</f>
        <v>15766</v>
      </c>
      <c r="EM145" s="474">
        <f>+EL138+EL141</f>
        <v>15767</v>
      </c>
      <c r="EN145" s="474">
        <f>+EM138+EM141</f>
        <v>16737</v>
      </c>
      <c r="EO145" s="474">
        <f>+EH138+EH141</f>
        <v>14757</v>
      </c>
      <c r="EQ145" s="473" t="s">
        <v>115</v>
      </c>
      <c r="ER145" s="474">
        <f>+EO138+EO141</f>
        <v>16238</v>
      </c>
      <c r="ES145" s="474">
        <f>+ER138+ER141</f>
        <v>16732</v>
      </c>
      <c r="ET145" s="474">
        <f>+ES138+ES141</f>
        <v>16506</v>
      </c>
      <c r="EU145" s="474">
        <f>+ET138+ET141</f>
        <v>16492</v>
      </c>
      <c r="EV145" s="474">
        <f>+EO138+EO141</f>
        <v>16238</v>
      </c>
      <c r="EX145" s="473" t="s">
        <v>115</v>
      </c>
      <c r="EY145" s="474">
        <f>+EV138+EV141</f>
        <v>16705</v>
      </c>
      <c r="EZ145" s="474">
        <f>+EY138+EY141</f>
        <v>16347</v>
      </c>
      <c r="FA145" s="474">
        <f>+EZ138+EZ141</f>
        <v>16351</v>
      </c>
      <c r="FB145" s="474">
        <f>+FA138+FA141</f>
        <v>16393</v>
      </c>
      <c r="FC145" s="474">
        <f>+EV138+EV141</f>
        <v>16705</v>
      </c>
      <c r="FE145" s="473" t="s">
        <v>115</v>
      </c>
      <c r="FF145" s="474">
        <f>+FC138+FC141</f>
        <v>16366</v>
      </c>
      <c r="FG145" s="474">
        <f>+FF138+FF141</f>
        <v>16336</v>
      </c>
      <c r="FH145" s="474">
        <f>+FG138+FG141</f>
        <v>16210</v>
      </c>
      <c r="FI145" s="474">
        <f>+FH138+FH141</f>
        <v>18050</v>
      </c>
      <c r="FJ145" s="474">
        <f>+FC138+FC141</f>
        <v>16366</v>
      </c>
      <c r="FL145" s="473" t="s">
        <v>115</v>
      </c>
      <c r="FM145" s="474">
        <f>+FJ138+FJ141</f>
        <v>18047</v>
      </c>
      <c r="FN145" s="474">
        <f>+FM138+FM141</f>
        <v>17922</v>
      </c>
      <c r="FO145" s="474">
        <f>+FN138+FN141</f>
        <v>17908</v>
      </c>
      <c r="FP145" s="474">
        <f>+FO138+FO141</f>
        <v>18462</v>
      </c>
      <c r="FQ145" s="474">
        <f>+FJ138+FJ141</f>
        <v>18047</v>
      </c>
      <c r="FS145" s="473" t="s">
        <v>115</v>
      </c>
      <c r="FT145" s="474">
        <f>+FQ138+FQ141</f>
        <v>18533</v>
      </c>
      <c r="FU145" s="499">
        <f>+FT138+FT141</f>
        <v>18501</v>
      </c>
      <c r="FV145" s="474">
        <f>+FU138+FU141</f>
        <v>18508</v>
      </c>
      <c r="FW145" s="474">
        <f>+FV138+FV141</f>
        <v>18541</v>
      </c>
      <c r="FX145" s="474">
        <f>+FQ138+FQ141</f>
        <v>18533</v>
      </c>
      <c r="FZ145" s="473" t="s">
        <v>115</v>
      </c>
      <c r="GA145" s="474">
        <f>+FX138+FX141</f>
        <v>18503</v>
      </c>
      <c r="GB145" s="499">
        <f>+GA138+GA141</f>
        <v>19126</v>
      </c>
      <c r="GC145" s="474">
        <f>+GB138+GB141</f>
        <v>19166</v>
      </c>
      <c r="GD145" s="499">
        <f>+GC138+GC141</f>
        <v>19162</v>
      </c>
      <c r="GE145" s="474">
        <f>+FX138+FX141</f>
        <v>18503</v>
      </c>
      <c r="GG145" s="473" t="s">
        <v>115</v>
      </c>
      <c r="GH145" s="499">
        <f>+GE138+GE141</f>
        <v>18873</v>
      </c>
      <c r="GI145" s="499">
        <f>+GH138+GH141</f>
        <v>19023</v>
      </c>
      <c r="GJ145" s="499">
        <f>+GI138+GI141</f>
        <v>19173</v>
      </c>
      <c r="GK145" s="499">
        <f>+GJ138+GJ141</f>
        <v>19323</v>
      </c>
      <c r="GL145" s="474">
        <f>+GE138+GE141</f>
        <v>18873</v>
      </c>
      <c r="GN145" s="473" t="s">
        <v>115</v>
      </c>
      <c r="GO145" s="499">
        <f>+GL138+GL141</f>
        <v>19473</v>
      </c>
      <c r="GP145" s="499">
        <f>+GO138+GO141</f>
        <v>19598</v>
      </c>
      <c r="GQ145" s="499">
        <f>+GP138+GP141</f>
        <v>19723</v>
      </c>
      <c r="GR145" s="499">
        <f>+GQ138+GQ141</f>
        <v>19848</v>
      </c>
      <c r="GS145" s="474">
        <f>+GL138+GL141</f>
        <v>19473</v>
      </c>
      <c r="GU145" s="473" t="s">
        <v>115</v>
      </c>
      <c r="GV145" s="499">
        <f>+GS138+GS141</f>
        <v>19973</v>
      </c>
      <c r="GW145" s="499">
        <f>+GV138+GV141</f>
        <v>20098</v>
      </c>
      <c r="GX145" s="499">
        <f>+GW138+GW141</f>
        <v>20223</v>
      </c>
      <c r="GY145" s="499">
        <f>+GX138+GX141</f>
        <v>20348</v>
      </c>
      <c r="GZ145" s="474">
        <f>+GS138+GS141</f>
        <v>19973</v>
      </c>
    </row>
    <row r="146" spans="1:208" x14ac:dyDescent="0.4">
      <c r="A146" s="431"/>
      <c r="B146" s="473" t="s">
        <v>116</v>
      </c>
      <c r="C146" s="474">
        <f>AU146</f>
        <v>0</v>
      </c>
      <c r="D146" s="474">
        <f>BB146</f>
        <v>-75</v>
      </c>
      <c r="E146" s="474">
        <f>BI146</f>
        <v>1301</v>
      </c>
      <c r="F146" s="474">
        <f>BP146</f>
        <v>576</v>
      </c>
      <c r="G146" s="474">
        <f>BW146</f>
        <v>177</v>
      </c>
      <c r="H146" s="474">
        <f>CD146</f>
        <v>656</v>
      </c>
      <c r="I146" s="474">
        <f>CK146</f>
        <v>577</v>
      </c>
      <c r="J146" s="474">
        <f>CR146</f>
        <v>591</v>
      </c>
      <c r="K146" s="474">
        <f>CY146</f>
        <v>-277</v>
      </c>
      <c r="L146" s="474">
        <f>DF146</f>
        <v>187</v>
      </c>
      <c r="M146" s="474">
        <f>DM146</f>
        <v>961</v>
      </c>
      <c r="N146" s="474">
        <f>DT146</f>
        <v>590</v>
      </c>
      <c r="O146" s="474">
        <f>EA146</f>
        <v>516</v>
      </c>
      <c r="P146" s="474">
        <f>EH146</f>
        <v>2948</v>
      </c>
      <c r="Q146" s="474">
        <f>EO146</f>
        <v>1481</v>
      </c>
      <c r="R146" s="474">
        <f>EV146</f>
        <v>467</v>
      </c>
      <c r="S146" s="474">
        <f>FC146</f>
        <v>-339</v>
      </c>
      <c r="T146" s="474">
        <f>FJ146</f>
        <v>1681</v>
      </c>
      <c r="U146" s="474">
        <f>FQ146</f>
        <v>486</v>
      </c>
      <c r="V146" s="499">
        <f>FX146</f>
        <v>-30</v>
      </c>
      <c r="W146" s="499">
        <f>GE146</f>
        <v>370</v>
      </c>
      <c r="X146" s="499">
        <f>GL146</f>
        <v>600</v>
      </c>
      <c r="Y146" s="499">
        <f>GS146</f>
        <v>500</v>
      </c>
      <c r="Z146" s="499">
        <f>GZ146</f>
        <v>500</v>
      </c>
      <c r="AA146" s="476"/>
      <c r="AB146" s="476"/>
      <c r="AC146" s="476"/>
      <c r="AD146" s="476"/>
      <c r="AE146" s="476"/>
      <c r="AF146" s="476"/>
      <c r="AG146" s="476"/>
      <c r="AH146" s="476"/>
      <c r="AI146" s="476"/>
      <c r="AJ146" s="476"/>
      <c r="AK146" s="476"/>
      <c r="AL146" s="476"/>
      <c r="AM146" s="476"/>
      <c r="AN146" s="476"/>
      <c r="AP146" s="473" t="s">
        <v>116</v>
      </c>
      <c r="AQ146" s="474" t="s">
        <v>80</v>
      </c>
      <c r="AR146" s="474">
        <f>AR147-AR145</f>
        <v>-1103</v>
      </c>
      <c r="AS146" s="474">
        <f>AS147-AS145</f>
        <v>-12</v>
      </c>
      <c r="AT146" s="474">
        <f>AT147-AT145</f>
        <v>24</v>
      </c>
      <c r="AU146" s="474">
        <f>AU147-AU145</f>
        <v>0</v>
      </c>
      <c r="AW146" s="473" t="s">
        <v>116</v>
      </c>
      <c r="AX146" s="474">
        <f>AX147-AX145</f>
        <v>-72</v>
      </c>
      <c r="AY146" s="474">
        <f>AY147-AY145</f>
        <v>-15</v>
      </c>
      <c r="AZ146" s="474">
        <f>AZ147-AZ145</f>
        <v>52</v>
      </c>
      <c r="BA146" s="474">
        <f>BA147-BA145</f>
        <v>-40</v>
      </c>
      <c r="BB146" s="474">
        <f>BB147-BB145</f>
        <v>-75</v>
      </c>
      <c r="BD146" s="473" t="s">
        <v>116</v>
      </c>
      <c r="BE146" s="474">
        <f>BE147-BE145</f>
        <v>-30</v>
      </c>
      <c r="BF146" s="474">
        <f>BF147-BF145</f>
        <v>56</v>
      </c>
      <c r="BG146" s="474">
        <f>BG147-BG145</f>
        <v>928</v>
      </c>
      <c r="BH146" s="474">
        <f>BH147-BH145</f>
        <v>347</v>
      </c>
      <c r="BI146" s="474">
        <f>BI147-BI145</f>
        <v>1301</v>
      </c>
      <c r="BK146" s="473" t="s">
        <v>116</v>
      </c>
      <c r="BL146" s="474">
        <f>BL147-BL145</f>
        <v>948</v>
      </c>
      <c r="BM146" s="474">
        <f>BM147-BM145</f>
        <v>-226</v>
      </c>
      <c r="BN146" s="474">
        <f>BN147-BN145</f>
        <v>-71</v>
      </c>
      <c r="BO146" s="474">
        <f>BO147-BO145</f>
        <v>-75</v>
      </c>
      <c r="BP146" s="474">
        <f>BP147-BP145</f>
        <v>576</v>
      </c>
      <c r="BR146" s="473" t="s">
        <v>116</v>
      </c>
      <c r="BS146" s="474">
        <f>BS147-BS145</f>
        <v>478</v>
      </c>
      <c r="BT146" s="474">
        <f>BT147-BT145</f>
        <v>-58</v>
      </c>
      <c r="BU146" s="474">
        <f>BU147-BU145</f>
        <v>-29</v>
      </c>
      <c r="BV146" s="474">
        <f>BV147-BV145</f>
        <v>-214</v>
      </c>
      <c r="BW146" s="474">
        <f>BW147-BW145</f>
        <v>177</v>
      </c>
      <c r="BY146" s="473" t="s">
        <v>116</v>
      </c>
      <c r="BZ146" s="474">
        <f>BZ147-BZ145</f>
        <v>-19</v>
      </c>
      <c r="CA146" s="474">
        <f>CA147-CA145</f>
        <v>-55</v>
      </c>
      <c r="CB146" s="474">
        <f>CB147-CB145</f>
        <v>-32</v>
      </c>
      <c r="CC146" s="474">
        <f>CC147-CC145</f>
        <v>762</v>
      </c>
      <c r="CD146" s="474">
        <f>CD147-CD145</f>
        <v>656</v>
      </c>
      <c r="CF146" s="473" t="s">
        <v>116</v>
      </c>
      <c r="CG146" s="474">
        <f>CG147-CG145</f>
        <v>-524</v>
      </c>
      <c r="CH146" s="474">
        <f>CH147-CH145</f>
        <v>540</v>
      </c>
      <c r="CI146" s="474">
        <f>CI147-CI145</f>
        <v>-26</v>
      </c>
      <c r="CJ146" s="474">
        <f>CJ147-CJ145</f>
        <v>587</v>
      </c>
      <c r="CK146" s="474">
        <f>CK147-CK145</f>
        <v>577</v>
      </c>
      <c r="CM146" s="473" t="s">
        <v>116</v>
      </c>
      <c r="CN146" s="474">
        <f>CN147-CN145</f>
        <v>-116</v>
      </c>
      <c r="CO146" s="474">
        <f>CO147-CO145</f>
        <v>-36</v>
      </c>
      <c r="CP146" s="474">
        <f>CP147-CP145</f>
        <v>-26</v>
      </c>
      <c r="CQ146" s="474">
        <f>CQ147-CQ145</f>
        <v>769</v>
      </c>
      <c r="CR146" s="474">
        <f>CR147-CR145</f>
        <v>591</v>
      </c>
      <c r="CT146" s="473" t="s">
        <v>116</v>
      </c>
      <c r="CU146" s="474">
        <f>CU147-CU145</f>
        <v>-414</v>
      </c>
      <c r="CV146" s="474">
        <f>CV147-CV145</f>
        <v>-43</v>
      </c>
      <c r="CW146" s="474">
        <f>CW147-CW145</f>
        <v>-324</v>
      </c>
      <c r="CX146" s="474">
        <f>CX147-CX145</f>
        <v>504</v>
      </c>
      <c r="CY146" s="474">
        <f>CY147-CY145</f>
        <v>-277</v>
      </c>
      <c r="DA146" s="473" t="s">
        <v>116</v>
      </c>
      <c r="DB146" s="474">
        <f>DB147-DB145</f>
        <v>-209</v>
      </c>
      <c r="DC146" s="474">
        <f>DC147-DC145</f>
        <v>-37</v>
      </c>
      <c r="DD146" s="474">
        <f>DD147-DD145</f>
        <v>308</v>
      </c>
      <c r="DE146" s="474">
        <f>DE147-DE145</f>
        <v>125</v>
      </c>
      <c r="DF146" s="474">
        <f>DF147-DF145</f>
        <v>187</v>
      </c>
      <c r="DH146" s="473" t="s">
        <v>116</v>
      </c>
      <c r="DI146" s="474">
        <f>DI147-DI145</f>
        <v>-1</v>
      </c>
      <c r="DJ146" s="474">
        <f>DJ147-DJ145</f>
        <v>384</v>
      </c>
      <c r="DK146" s="474">
        <f>DK147-DK145</f>
        <v>-19</v>
      </c>
      <c r="DL146" s="474">
        <f>DL147-DL145</f>
        <v>597</v>
      </c>
      <c r="DM146" s="474">
        <f>DM147-DM145</f>
        <v>961</v>
      </c>
      <c r="DO146" s="473" t="s">
        <v>116</v>
      </c>
      <c r="DP146" s="474">
        <f>DP147-DP145</f>
        <v>-167</v>
      </c>
      <c r="DQ146" s="474">
        <f>DQ147-DQ145</f>
        <v>1</v>
      </c>
      <c r="DR146" s="474">
        <f>DR147-DR145</f>
        <v>-18</v>
      </c>
      <c r="DS146" s="474">
        <f>DS147-DS145</f>
        <v>774</v>
      </c>
      <c r="DT146" s="474">
        <f>DT147-DT145</f>
        <v>590</v>
      </c>
      <c r="DV146" s="473" t="s">
        <v>116</v>
      </c>
      <c r="DW146" s="474">
        <f>DW147-DW145</f>
        <v>1</v>
      </c>
      <c r="DX146" s="474">
        <f>DX147-DX145</f>
        <v>531</v>
      </c>
      <c r="DY146" s="474">
        <f>DY147-DY145</f>
        <v>-18</v>
      </c>
      <c r="DZ146" s="474">
        <f>DZ147-DZ145</f>
        <v>2</v>
      </c>
      <c r="EA146" s="474">
        <f>EA147-EA145</f>
        <v>516</v>
      </c>
      <c r="EC146" s="473" t="s">
        <v>116</v>
      </c>
      <c r="ED146" s="474">
        <f>ED147-ED145</f>
        <v>1978</v>
      </c>
      <c r="EE146" s="474">
        <f>EE147-EE145</f>
        <v>1</v>
      </c>
      <c r="EF146" s="474">
        <f>EF147-EF145</f>
        <v>-16</v>
      </c>
      <c r="EG146" s="474">
        <f>EG147-EG145</f>
        <v>985</v>
      </c>
      <c r="EH146" s="474">
        <f>EH147-EH145</f>
        <v>2948</v>
      </c>
      <c r="EJ146" s="473" t="s">
        <v>116</v>
      </c>
      <c r="EK146" s="474">
        <f>EK147-EK145</f>
        <v>1009</v>
      </c>
      <c r="EL146" s="474">
        <f>EL147-EL145</f>
        <v>1</v>
      </c>
      <c r="EM146" s="474">
        <f>EM147-EM145</f>
        <v>970</v>
      </c>
      <c r="EN146" s="474">
        <f>EN147-EN145</f>
        <v>-499</v>
      </c>
      <c r="EO146" s="474">
        <f>EO147-EO145</f>
        <v>1481</v>
      </c>
      <c r="EQ146" s="473" t="s">
        <v>116</v>
      </c>
      <c r="ER146" s="474">
        <f>ER147-ER145</f>
        <v>494</v>
      </c>
      <c r="ES146" s="474">
        <f>ES147-ES145</f>
        <v>-226</v>
      </c>
      <c r="ET146" s="474">
        <f>ET147-ET145</f>
        <v>-14</v>
      </c>
      <c r="EU146" s="474">
        <f>EU147-EU145</f>
        <v>213</v>
      </c>
      <c r="EV146" s="474">
        <f>EV147-EV145</f>
        <v>467</v>
      </c>
      <c r="EX146" s="473" t="s">
        <v>116</v>
      </c>
      <c r="EY146" s="474">
        <f>EY147-EY145</f>
        <v>-358</v>
      </c>
      <c r="EZ146" s="474">
        <f>EZ147-EZ145</f>
        <v>4</v>
      </c>
      <c r="FA146" s="474">
        <f>FA147-FA145</f>
        <v>42</v>
      </c>
      <c r="FB146" s="474">
        <f>FB147-FB145</f>
        <v>-27</v>
      </c>
      <c r="FC146" s="474">
        <f>FC147-FC145</f>
        <v>-339</v>
      </c>
      <c r="FE146" s="473" t="s">
        <v>116</v>
      </c>
      <c r="FF146" s="474">
        <f>FF147-FF145</f>
        <v>-30</v>
      </c>
      <c r="FG146" s="474">
        <f>FG147-FG145</f>
        <v>-126</v>
      </c>
      <c r="FH146" s="474">
        <f>FH147-FH145</f>
        <v>1840</v>
      </c>
      <c r="FI146" s="474">
        <f>FI147-FI145</f>
        <v>-3</v>
      </c>
      <c r="FJ146" s="474">
        <f>FJ147-FJ145</f>
        <v>1681</v>
      </c>
      <c r="FL146" s="473" t="s">
        <v>116</v>
      </c>
      <c r="FM146" s="474">
        <f>FM147-FM145</f>
        <v>-125</v>
      </c>
      <c r="FN146" s="474">
        <f>FN147-FN145</f>
        <v>-14</v>
      </c>
      <c r="FO146" s="474">
        <f>FO147-FO145</f>
        <v>554</v>
      </c>
      <c r="FP146" s="474">
        <f>FP147-FP145</f>
        <v>71</v>
      </c>
      <c r="FQ146" s="474">
        <f>FQ147-FQ145</f>
        <v>486</v>
      </c>
      <c r="FS146" s="473" t="s">
        <v>116</v>
      </c>
      <c r="FT146" s="474">
        <f>FT147-FT145</f>
        <v>-32</v>
      </c>
      <c r="FU146" s="499">
        <f>+FU139+FU142</f>
        <v>7</v>
      </c>
      <c r="FV146" s="474">
        <f>FV147-FV145</f>
        <v>33</v>
      </c>
      <c r="FW146" s="474">
        <f>FW147-FW145</f>
        <v>-38</v>
      </c>
      <c r="FX146" s="474">
        <f>FX147-FX145</f>
        <v>-30</v>
      </c>
      <c r="FZ146" s="473" t="s">
        <v>116</v>
      </c>
      <c r="GA146" s="474">
        <f>GA147-GA145</f>
        <v>623</v>
      </c>
      <c r="GB146" s="499">
        <f>+GB139+GB142</f>
        <v>40</v>
      </c>
      <c r="GC146" s="474">
        <f>GC147-GC145</f>
        <v>-4</v>
      </c>
      <c r="GD146" s="499">
        <f>+GD139+GD142</f>
        <v>500</v>
      </c>
      <c r="GE146" s="474">
        <f>GE147-GE145</f>
        <v>370</v>
      </c>
      <c r="GG146" s="473" t="s">
        <v>116</v>
      </c>
      <c r="GH146" s="499">
        <f>+GH139+GH142</f>
        <v>150</v>
      </c>
      <c r="GI146" s="499">
        <f>+GI139+GI142</f>
        <v>150</v>
      </c>
      <c r="GJ146" s="499">
        <f>+GJ139+GJ142</f>
        <v>150</v>
      </c>
      <c r="GK146" s="499">
        <f>+GK139+GK142</f>
        <v>150</v>
      </c>
      <c r="GL146" s="474">
        <f>GL147-GL145</f>
        <v>600</v>
      </c>
      <c r="GN146" s="473" t="s">
        <v>116</v>
      </c>
      <c r="GO146" s="499">
        <f>+GO139+GO142</f>
        <v>125</v>
      </c>
      <c r="GP146" s="499">
        <f>+GP139+GP142</f>
        <v>125</v>
      </c>
      <c r="GQ146" s="499">
        <f>+GQ139+GQ142</f>
        <v>125</v>
      </c>
      <c r="GR146" s="499">
        <f>+GR139+GR142</f>
        <v>125</v>
      </c>
      <c r="GS146" s="474">
        <f>GS147-GS145</f>
        <v>500</v>
      </c>
      <c r="GU146" s="473" t="s">
        <v>116</v>
      </c>
      <c r="GV146" s="499">
        <f>+GV139+GV142</f>
        <v>125</v>
      </c>
      <c r="GW146" s="499">
        <f>+GW139+GW142</f>
        <v>125</v>
      </c>
      <c r="GX146" s="499">
        <f>+GX139+GX142</f>
        <v>125</v>
      </c>
      <c r="GY146" s="499">
        <f>+GY139+GY142</f>
        <v>125</v>
      </c>
      <c r="GZ146" s="474">
        <f>GZ147-GZ145</f>
        <v>500</v>
      </c>
    </row>
    <row r="147" spans="1:208" x14ac:dyDescent="0.4">
      <c r="A147" s="431"/>
      <c r="B147" s="473" t="s">
        <v>117</v>
      </c>
      <c r="C147" s="474">
        <f>AU147</f>
        <v>6029</v>
      </c>
      <c r="D147" s="474">
        <f>BB147</f>
        <v>5954</v>
      </c>
      <c r="E147" s="474">
        <f>BI147</f>
        <v>7255</v>
      </c>
      <c r="F147" s="474">
        <f>BP147</f>
        <v>7831</v>
      </c>
      <c r="G147" s="474">
        <f>BW147</f>
        <v>8008</v>
      </c>
      <c r="H147" s="474">
        <f>CD147</f>
        <v>8664</v>
      </c>
      <c r="I147" s="474">
        <f>CK147</f>
        <v>9241</v>
      </c>
      <c r="J147" s="474">
        <f>CR147</f>
        <v>9832</v>
      </c>
      <c r="K147" s="474">
        <f>CY147</f>
        <v>9555</v>
      </c>
      <c r="L147" s="474">
        <f>DF147</f>
        <v>9742</v>
      </c>
      <c r="M147" s="474">
        <f>DM147</f>
        <v>10703</v>
      </c>
      <c r="N147" s="474">
        <f>DT147</f>
        <v>11293</v>
      </c>
      <c r="O147" s="474">
        <f>EA147</f>
        <v>11809</v>
      </c>
      <c r="P147" s="474">
        <f>EH147</f>
        <v>14757</v>
      </c>
      <c r="Q147" s="474">
        <f>EO147</f>
        <v>16238</v>
      </c>
      <c r="R147" s="474">
        <f>EV147</f>
        <v>16705</v>
      </c>
      <c r="S147" s="474">
        <f>FC147</f>
        <v>16366</v>
      </c>
      <c r="T147" s="474">
        <f>FJ147</f>
        <v>18047</v>
      </c>
      <c r="U147" s="474">
        <f>FQ147</f>
        <v>18533</v>
      </c>
      <c r="V147" s="474">
        <f>FX147</f>
        <v>18503</v>
      </c>
      <c r="W147" s="474">
        <f>GE147</f>
        <v>18873</v>
      </c>
      <c r="X147" s="474">
        <f>GL147</f>
        <v>19473</v>
      </c>
      <c r="Y147" s="474">
        <f>GS147</f>
        <v>19973</v>
      </c>
      <c r="Z147" s="474">
        <f>GZ147</f>
        <v>20473</v>
      </c>
      <c r="AA147" s="475"/>
      <c r="AB147" s="475"/>
      <c r="AC147" s="475"/>
      <c r="AD147" s="475"/>
      <c r="AE147" s="475"/>
      <c r="AF147" s="475"/>
      <c r="AG147" s="475"/>
      <c r="AH147" s="475"/>
      <c r="AI147" s="475"/>
      <c r="AJ147" s="475"/>
      <c r="AK147" s="475"/>
      <c r="AL147" s="475"/>
      <c r="AM147" s="475"/>
      <c r="AN147" s="475"/>
      <c r="AP147" s="473" t="s">
        <v>117</v>
      </c>
      <c r="AQ147" s="474" t="s">
        <v>80</v>
      </c>
      <c r="AR147" s="474">
        <f>+AR138+AR141</f>
        <v>6017</v>
      </c>
      <c r="AS147" s="474">
        <f>+AS138+AS141</f>
        <v>6005</v>
      </c>
      <c r="AT147" s="474">
        <f>+AT138+AT141</f>
        <v>6029</v>
      </c>
      <c r="AU147" s="474">
        <f>+AU138+AU141</f>
        <v>6029</v>
      </c>
      <c r="AW147" s="473" t="s">
        <v>117</v>
      </c>
      <c r="AX147" s="474">
        <f>+AX138+AX141</f>
        <v>5957</v>
      </c>
      <c r="AY147" s="474">
        <f>+AY138+AY141</f>
        <v>5942</v>
      </c>
      <c r="AZ147" s="474">
        <f>+AZ138+AZ141</f>
        <v>5994</v>
      </c>
      <c r="BA147" s="474">
        <f>+BA138+BA141</f>
        <v>5954</v>
      </c>
      <c r="BB147" s="474">
        <f>+BB138+BB141</f>
        <v>5954</v>
      </c>
      <c r="BD147" s="473" t="s">
        <v>117</v>
      </c>
      <c r="BE147" s="474">
        <f>+BE138+BE141</f>
        <v>5924</v>
      </c>
      <c r="BF147" s="474">
        <f>+BF138+BF141</f>
        <v>5980</v>
      </c>
      <c r="BG147" s="474">
        <f>+BG138+BG141</f>
        <v>6908</v>
      </c>
      <c r="BH147" s="474">
        <f>+BH138+BH141</f>
        <v>7255</v>
      </c>
      <c r="BI147" s="474">
        <f>+BI138+BI141</f>
        <v>7255</v>
      </c>
      <c r="BK147" s="473" t="s">
        <v>117</v>
      </c>
      <c r="BL147" s="474">
        <f>+BL138+BL141</f>
        <v>8203</v>
      </c>
      <c r="BM147" s="474">
        <f>+BM138+BM141</f>
        <v>7977</v>
      </c>
      <c r="BN147" s="474">
        <f>+BN138+BN141</f>
        <v>7906</v>
      </c>
      <c r="BO147" s="474">
        <f>+BO138+BO141</f>
        <v>7831</v>
      </c>
      <c r="BP147" s="474">
        <f>+BP138+BP141</f>
        <v>7831</v>
      </c>
      <c r="BR147" s="473" t="s">
        <v>117</v>
      </c>
      <c r="BS147" s="474">
        <f>+BS138+BS141</f>
        <v>8309</v>
      </c>
      <c r="BT147" s="474">
        <f>+BT138+BT141</f>
        <v>8251</v>
      </c>
      <c r="BU147" s="474">
        <f>+BU138+BU141</f>
        <v>8222</v>
      </c>
      <c r="BV147" s="474">
        <f>+BV138+BV141</f>
        <v>8008</v>
      </c>
      <c r="BW147" s="474">
        <f>+BW138+BW141</f>
        <v>8008</v>
      </c>
      <c r="BY147" s="473" t="s">
        <v>117</v>
      </c>
      <c r="BZ147" s="474">
        <f>+BZ138+BZ141</f>
        <v>7989</v>
      </c>
      <c r="CA147" s="474">
        <f>+CA138+CA141</f>
        <v>7934</v>
      </c>
      <c r="CB147" s="474">
        <f>+CB138+CB141</f>
        <v>7902</v>
      </c>
      <c r="CC147" s="474">
        <f>+CC138+CC141</f>
        <v>8664</v>
      </c>
      <c r="CD147" s="474">
        <f>+CD138+CD141</f>
        <v>8664</v>
      </c>
      <c r="CF147" s="473" t="s">
        <v>117</v>
      </c>
      <c r="CG147" s="474">
        <f>+CG138+CG141</f>
        <v>8140</v>
      </c>
      <c r="CH147" s="474">
        <f>+CH138+CH141</f>
        <v>8680</v>
      </c>
      <c r="CI147" s="474">
        <f>+CI138+CI141</f>
        <v>8654</v>
      </c>
      <c r="CJ147" s="474">
        <f>+CJ138+CJ141</f>
        <v>9241</v>
      </c>
      <c r="CK147" s="474">
        <f>+CK138+CK141</f>
        <v>9241</v>
      </c>
      <c r="CM147" s="473" t="s">
        <v>117</v>
      </c>
      <c r="CN147" s="474">
        <f>+CN138+CN141</f>
        <v>9125</v>
      </c>
      <c r="CO147" s="474">
        <f>+CO138+CO141</f>
        <v>9089</v>
      </c>
      <c r="CP147" s="474">
        <f>+CP138+CP141</f>
        <v>9063</v>
      </c>
      <c r="CQ147" s="474">
        <f>+CQ138+CQ141</f>
        <v>9832</v>
      </c>
      <c r="CR147" s="474">
        <f>+CR138+CR141</f>
        <v>9832</v>
      </c>
      <c r="CT147" s="473" t="s">
        <v>117</v>
      </c>
      <c r="CU147" s="474">
        <f>+CU138+CU141</f>
        <v>9418</v>
      </c>
      <c r="CV147" s="474">
        <f>+CV138+CV141</f>
        <v>9375</v>
      </c>
      <c r="CW147" s="474">
        <f>+CW138+CW141</f>
        <v>9051</v>
      </c>
      <c r="CX147" s="474">
        <f>+CX138+CX141</f>
        <v>9555</v>
      </c>
      <c r="CY147" s="474">
        <f>+CY138+CY141</f>
        <v>9555</v>
      </c>
      <c r="DA147" s="473" t="s">
        <v>117</v>
      </c>
      <c r="DB147" s="474">
        <f>+DB138+DB141</f>
        <v>9346</v>
      </c>
      <c r="DC147" s="474">
        <f>+DC138+DC141</f>
        <v>9309</v>
      </c>
      <c r="DD147" s="474">
        <f>+DD138+DD141</f>
        <v>9617</v>
      </c>
      <c r="DE147" s="474">
        <f>+DE138+DE141</f>
        <v>9742</v>
      </c>
      <c r="DF147" s="474">
        <f>+DF138+DF141</f>
        <v>9742</v>
      </c>
      <c r="DH147" s="473" t="s">
        <v>117</v>
      </c>
      <c r="DI147" s="474">
        <f>+DI138+DI141</f>
        <v>9741</v>
      </c>
      <c r="DJ147" s="474">
        <f>+DJ138+DJ141</f>
        <v>10125</v>
      </c>
      <c r="DK147" s="474">
        <f>+DK138+DK141</f>
        <v>10106</v>
      </c>
      <c r="DL147" s="474">
        <f>+DL138+DL141</f>
        <v>10703</v>
      </c>
      <c r="DM147" s="474">
        <f>+DM138+DM141</f>
        <v>10703</v>
      </c>
      <c r="DO147" s="473" t="s">
        <v>117</v>
      </c>
      <c r="DP147" s="474">
        <f>+DP138+DP141</f>
        <v>10536</v>
      </c>
      <c r="DQ147" s="474">
        <f>+DQ138+DQ141</f>
        <v>10537</v>
      </c>
      <c r="DR147" s="474">
        <f>+DR138+DR141</f>
        <v>10519</v>
      </c>
      <c r="DS147" s="474">
        <f>+DS138+DS141</f>
        <v>11293</v>
      </c>
      <c r="DT147" s="474">
        <f>+DT138+DT141</f>
        <v>11293</v>
      </c>
      <c r="DV147" s="473" t="s">
        <v>117</v>
      </c>
      <c r="DW147" s="474">
        <f>+DW138+DW141</f>
        <v>11294</v>
      </c>
      <c r="DX147" s="474">
        <f>+DX138+DX141</f>
        <v>11825</v>
      </c>
      <c r="DY147" s="474">
        <f>+DY138+DY141</f>
        <v>11807</v>
      </c>
      <c r="DZ147" s="474">
        <f>+DZ138+DZ141</f>
        <v>11809</v>
      </c>
      <c r="EA147" s="474">
        <f>+EA138+EA141</f>
        <v>11809</v>
      </c>
      <c r="EC147" s="473" t="s">
        <v>117</v>
      </c>
      <c r="ED147" s="474">
        <f>+ED138+ED141</f>
        <v>13787</v>
      </c>
      <c r="EE147" s="474">
        <f>+EE138+EE141</f>
        <v>13788</v>
      </c>
      <c r="EF147" s="474">
        <f>+EF138+EF141</f>
        <v>13772</v>
      </c>
      <c r="EG147" s="474">
        <f>+EG138+EG141</f>
        <v>14757</v>
      </c>
      <c r="EH147" s="474">
        <f>+EH138+EH141</f>
        <v>14757</v>
      </c>
      <c r="EJ147" s="473" t="s">
        <v>117</v>
      </c>
      <c r="EK147" s="474">
        <f>+EK138+EK141</f>
        <v>15766</v>
      </c>
      <c r="EL147" s="474">
        <f>+EL138+EL141</f>
        <v>15767</v>
      </c>
      <c r="EM147" s="474">
        <f>+EM138+EM141</f>
        <v>16737</v>
      </c>
      <c r="EN147" s="474">
        <f>+EN138+EN141</f>
        <v>16238</v>
      </c>
      <c r="EO147" s="474">
        <f>+EO138+EO141</f>
        <v>16238</v>
      </c>
      <c r="EQ147" s="473" t="s">
        <v>117</v>
      </c>
      <c r="ER147" s="474">
        <f>+ER138+ER141</f>
        <v>16732</v>
      </c>
      <c r="ES147" s="474">
        <f>+ES138+ES141</f>
        <v>16506</v>
      </c>
      <c r="ET147" s="474">
        <f>+ET138+ET141</f>
        <v>16492</v>
      </c>
      <c r="EU147" s="474">
        <f>+EU138+EU141</f>
        <v>16705</v>
      </c>
      <c r="EV147" s="474">
        <f>+EV138+EV141</f>
        <v>16705</v>
      </c>
      <c r="EX147" s="473" t="s">
        <v>117</v>
      </c>
      <c r="EY147" s="474">
        <f>+EY138+EY141</f>
        <v>16347</v>
      </c>
      <c r="EZ147" s="474">
        <f>+EZ138+EZ141</f>
        <v>16351</v>
      </c>
      <c r="FA147" s="474">
        <f>+FA138+FA141</f>
        <v>16393</v>
      </c>
      <c r="FB147" s="474">
        <f>+FB138+FB141</f>
        <v>16366</v>
      </c>
      <c r="FC147" s="474">
        <f>+FC138+FC141</f>
        <v>16366</v>
      </c>
      <c r="FE147" s="473" t="s">
        <v>117</v>
      </c>
      <c r="FF147" s="474">
        <f>+FF138+FF141</f>
        <v>16336</v>
      </c>
      <c r="FG147" s="474">
        <f>+FG138+FG141</f>
        <v>16210</v>
      </c>
      <c r="FH147" s="474">
        <f>+FH138+FH141</f>
        <v>18050</v>
      </c>
      <c r="FI147" s="474">
        <f>+FI138+FI141</f>
        <v>18047</v>
      </c>
      <c r="FJ147" s="474">
        <f>+FJ138+FJ141</f>
        <v>18047</v>
      </c>
      <c r="FL147" s="473" t="s">
        <v>117</v>
      </c>
      <c r="FM147" s="474">
        <f>+FM138+FM141</f>
        <v>17922</v>
      </c>
      <c r="FN147" s="474">
        <f>+FN138+FN141</f>
        <v>17908</v>
      </c>
      <c r="FO147" s="474">
        <f>+FO138+FO141</f>
        <v>18462</v>
      </c>
      <c r="FP147" s="474">
        <f>+FP138+FP141</f>
        <v>18533</v>
      </c>
      <c r="FQ147" s="474">
        <f>+FQ138+FQ141</f>
        <v>18533</v>
      </c>
      <c r="FS147" s="473" t="s">
        <v>117</v>
      </c>
      <c r="FT147" s="474">
        <f>+FT138+FT141</f>
        <v>18501</v>
      </c>
      <c r="FU147" s="499">
        <f>+FU138+FU141</f>
        <v>18508</v>
      </c>
      <c r="FV147" s="474">
        <f>+FV138+FV141</f>
        <v>18541</v>
      </c>
      <c r="FW147" s="474">
        <f>+FW138+FW141</f>
        <v>18503</v>
      </c>
      <c r="FX147" s="474">
        <f>+FX138+FX141</f>
        <v>18503</v>
      </c>
      <c r="FZ147" s="473" t="s">
        <v>117</v>
      </c>
      <c r="GA147" s="474">
        <f>+GA138+GA141</f>
        <v>19126</v>
      </c>
      <c r="GB147" s="499">
        <f>+GB138+GB141</f>
        <v>19166</v>
      </c>
      <c r="GC147" s="474">
        <f>+GC138+GC141</f>
        <v>19162</v>
      </c>
      <c r="GD147" s="499">
        <f>+GD138+GD141</f>
        <v>19662</v>
      </c>
      <c r="GE147" s="474">
        <f>+GE138+GE141</f>
        <v>18873</v>
      </c>
      <c r="GG147" s="473" t="s">
        <v>117</v>
      </c>
      <c r="GH147" s="499">
        <f>+GH138+GH141</f>
        <v>19023</v>
      </c>
      <c r="GI147" s="499">
        <f>+GI138+GI141</f>
        <v>19173</v>
      </c>
      <c r="GJ147" s="499">
        <f>+GJ138+GJ141</f>
        <v>19323</v>
      </c>
      <c r="GK147" s="499">
        <f>+GK138+GK141</f>
        <v>19473</v>
      </c>
      <c r="GL147" s="474">
        <f>+GL138+GL141</f>
        <v>19473</v>
      </c>
      <c r="GN147" s="473" t="s">
        <v>117</v>
      </c>
      <c r="GO147" s="499">
        <f>+GO138+GO141</f>
        <v>19598</v>
      </c>
      <c r="GP147" s="499">
        <f>+GP138+GP141</f>
        <v>19723</v>
      </c>
      <c r="GQ147" s="499">
        <f>+GQ138+GQ141</f>
        <v>19848</v>
      </c>
      <c r="GR147" s="499">
        <f>+GR138+GR141</f>
        <v>19973</v>
      </c>
      <c r="GS147" s="474">
        <f>+GS138+GS141</f>
        <v>19973</v>
      </c>
      <c r="GU147" s="473" t="s">
        <v>117</v>
      </c>
      <c r="GV147" s="499">
        <f>+GV138+GV141</f>
        <v>20098</v>
      </c>
      <c r="GW147" s="499">
        <f>+GW138+GW141</f>
        <v>20223</v>
      </c>
      <c r="GX147" s="499">
        <f>+GX138+GX141</f>
        <v>20348</v>
      </c>
      <c r="GY147" s="499">
        <f>+GY138+GY141</f>
        <v>20473</v>
      </c>
      <c r="GZ147" s="474">
        <f>+GZ138+GZ141</f>
        <v>20473</v>
      </c>
    </row>
    <row r="148" spans="1:208" x14ac:dyDescent="0.4">
      <c r="A148" s="366"/>
      <c r="B148" s="459"/>
      <c r="C148" s="460"/>
      <c r="D148" s="460"/>
      <c r="E148" s="460"/>
      <c r="F148" s="460"/>
      <c r="G148" s="460"/>
      <c r="H148" s="460"/>
      <c r="I148" s="460"/>
      <c r="J148" s="460"/>
      <c r="K148" s="460"/>
      <c r="L148" s="460"/>
      <c r="M148" s="460"/>
      <c r="N148" s="460"/>
      <c r="O148" s="460"/>
      <c r="P148" s="460"/>
      <c r="Q148" s="460"/>
      <c r="R148" s="460"/>
      <c r="S148" s="460"/>
      <c r="T148" s="460"/>
      <c r="U148" s="460"/>
      <c r="V148" s="460"/>
      <c r="W148" s="460"/>
      <c r="X148" s="460"/>
      <c r="Y148" s="460"/>
      <c r="Z148" s="460"/>
      <c r="AA148" s="461"/>
      <c r="AB148" s="461"/>
      <c r="AC148" s="461"/>
      <c r="AD148" s="461"/>
      <c r="AE148" s="461"/>
      <c r="AF148" s="461"/>
      <c r="AG148" s="461"/>
      <c r="AH148" s="461"/>
      <c r="AI148" s="461"/>
      <c r="AJ148" s="461"/>
      <c r="AK148" s="461"/>
      <c r="AL148" s="461"/>
      <c r="AM148" s="461"/>
      <c r="AN148" s="461"/>
      <c r="AP148" s="459"/>
      <c r="AQ148" s="460"/>
      <c r="AR148" s="460"/>
      <c r="AS148" s="460"/>
      <c r="AT148" s="460"/>
      <c r="AU148" s="460"/>
      <c r="AW148" s="459"/>
      <c r="AX148" s="460"/>
      <c r="AY148" s="460"/>
      <c r="AZ148" s="460"/>
      <c r="BA148" s="460"/>
      <c r="BB148" s="460"/>
      <c r="BD148" s="459"/>
      <c r="BE148" s="460"/>
      <c r="BF148" s="460"/>
      <c r="BG148" s="460"/>
      <c r="BH148" s="460"/>
      <c r="BI148" s="460"/>
      <c r="BK148" s="459"/>
      <c r="BL148" s="460"/>
      <c r="BM148" s="460"/>
      <c r="BN148" s="460"/>
      <c r="BO148" s="460"/>
      <c r="BP148" s="460"/>
      <c r="BR148" s="459"/>
      <c r="BS148" s="460"/>
      <c r="BT148" s="460"/>
      <c r="BU148" s="460"/>
      <c r="BV148" s="460"/>
      <c r="BW148" s="460"/>
      <c r="BY148" s="459"/>
      <c r="BZ148" s="460"/>
      <c r="CA148" s="460"/>
      <c r="CB148" s="460"/>
      <c r="CC148" s="460"/>
      <c r="CD148" s="460"/>
      <c r="CF148" s="459"/>
      <c r="CG148" s="460"/>
      <c r="CH148" s="460"/>
      <c r="CI148" s="460"/>
      <c r="CJ148" s="460"/>
      <c r="CK148" s="460"/>
      <c r="CM148" s="459"/>
      <c r="CN148" s="460"/>
      <c r="CO148" s="460"/>
      <c r="CP148" s="460"/>
      <c r="CQ148" s="460"/>
      <c r="CR148" s="460"/>
      <c r="CT148" s="459"/>
      <c r="CU148" s="460"/>
      <c r="CV148" s="460"/>
      <c r="CW148" s="460"/>
      <c r="CX148" s="460"/>
      <c r="CY148" s="460"/>
      <c r="DA148" s="459"/>
      <c r="DB148" s="460"/>
      <c r="DC148" s="460"/>
      <c r="DD148" s="460"/>
      <c r="DE148" s="460"/>
      <c r="DF148" s="460"/>
      <c r="DH148" s="459"/>
      <c r="DI148" s="460"/>
      <c r="DJ148" s="460"/>
      <c r="DK148" s="460"/>
      <c r="DL148" s="460"/>
      <c r="DM148" s="460"/>
      <c r="DO148" s="459"/>
      <c r="DP148" s="460"/>
      <c r="DQ148" s="460"/>
      <c r="DR148" s="460"/>
      <c r="DS148" s="460"/>
      <c r="DT148" s="460"/>
      <c r="DV148" s="459"/>
      <c r="DW148" s="460"/>
      <c r="DX148" s="460"/>
      <c r="DY148" s="460"/>
      <c r="DZ148" s="460"/>
      <c r="EA148" s="460"/>
      <c r="EC148" s="459"/>
      <c r="ED148" s="460"/>
      <c r="EE148" s="460"/>
      <c r="EF148" s="460"/>
      <c r="EG148" s="460"/>
      <c r="EH148" s="460"/>
      <c r="EJ148" s="459"/>
      <c r="EK148" s="460"/>
      <c r="EL148" s="460"/>
      <c r="EM148" s="460"/>
      <c r="EN148" s="460"/>
      <c r="EO148" s="460"/>
      <c r="EQ148" s="459"/>
      <c r="ER148" s="460"/>
      <c r="ES148" s="460"/>
      <c r="ET148" s="460"/>
      <c r="EU148" s="460"/>
      <c r="EV148" s="460"/>
      <c r="EX148" s="459"/>
      <c r="EY148" s="460"/>
      <c r="EZ148" s="460"/>
      <c r="FA148" s="460"/>
      <c r="FB148" s="460"/>
      <c r="FC148" s="460"/>
      <c r="FE148" s="459"/>
      <c r="FF148" s="460"/>
      <c r="FG148" s="460"/>
      <c r="FH148" s="460"/>
      <c r="FI148" s="460"/>
      <c r="FJ148" s="460"/>
      <c r="FL148" s="459"/>
      <c r="FM148" s="460"/>
      <c r="FN148" s="460"/>
      <c r="FO148" s="460"/>
      <c r="FP148" s="460"/>
      <c r="FQ148" s="460"/>
      <c r="FS148" s="459"/>
      <c r="FT148" s="460"/>
      <c r="FU148" s="460"/>
      <c r="FV148" s="460"/>
      <c r="FW148" s="460"/>
      <c r="FX148" s="460"/>
      <c r="FZ148" s="459"/>
      <c r="GA148" s="460"/>
      <c r="GB148" s="460"/>
      <c r="GC148" s="460"/>
      <c r="GD148" s="460"/>
      <c r="GE148" s="460"/>
      <c r="GG148" s="459"/>
      <c r="GH148" s="460"/>
      <c r="GI148" s="460"/>
      <c r="GJ148" s="460"/>
      <c r="GK148" s="460"/>
      <c r="GL148" s="460"/>
      <c r="GN148" s="459"/>
      <c r="GO148" s="460"/>
      <c r="GP148" s="460"/>
      <c r="GQ148" s="460"/>
      <c r="GR148" s="460"/>
      <c r="GS148" s="460"/>
      <c r="GU148" s="459"/>
      <c r="GV148" s="460"/>
      <c r="GW148" s="460"/>
      <c r="GX148" s="460"/>
      <c r="GY148" s="460"/>
      <c r="GZ148" s="460"/>
    </row>
    <row r="149" spans="1:208" x14ac:dyDescent="0.4">
      <c r="A149" s="452"/>
      <c r="B149" s="443" t="s">
        <v>127</v>
      </c>
      <c r="C149" s="444">
        <f>AU149</f>
        <v>0</v>
      </c>
      <c r="D149" s="444">
        <f>BB149</f>
        <v>-465</v>
      </c>
      <c r="E149" s="444">
        <f>BI149</f>
        <v>-2174</v>
      </c>
      <c r="F149" s="444">
        <f>BP149</f>
        <v>-1570</v>
      </c>
      <c r="G149" s="444">
        <f>BW149</f>
        <v>0</v>
      </c>
      <c r="H149" s="444">
        <f>CD149</f>
        <v>-1452</v>
      </c>
      <c r="I149" s="444">
        <f>CK149</f>
        <v>-1564</v>
      </c>
      <c r="J149" s="444">
        <f>CR149</f>
        <v>-734</v>
      </c>
      <c r="K149" s="444">
        <f>CY149</f>
        <v>-353</v>
      </c>
      <c r="L149" s="444">
        <f>DF149</f>
        <v>-517</v>
      </c>
      <c r="M149" s="444">
        <f>DM149</f>
        <v>-804</v>
      </c>
      <c r="N149" s="444">
        <f>DT149</f>
        <v>-1056</v>
      </c>
      <c r="O149" s="444">
        <f>EA149</f>
        <v>-1970</v>
      </c>
      <c r="P149" s="444">
        <f>EH149</f>
        <v>-4671</v>
      </c>
      <c r="Q149" s="444">
        <f>EO149</f>
        <v>-3373</v>
      </c>
      <c r="R149" s="444">
        <f>EV149</f>
        <v>-867</v>
      </c>
      <c r="S149" s="444">
        <f>FC149</f>
        <v>-2886</v>
      </c>
      <c r="T149" s="444">
        <f>FJ149</f>
        <v>-4731</v>
      </c>
      <c r="U149" s="444">
        <f>FQ149</f>
        <v>-3482</v>
      </c>
      <c r="V149" s="496">
        <f>FX149</f>
        <v>-2237</v>
      </c>
      <c r="W149" s="496">
        <f>GE149</f>
        <v>-1396</v>
      </c>
      <c r="X149" s="496">
        <f>GL149</f>
        <v>-2590</v>
      </c>
      <c r="Y149" s="496">
        <f>GS149</f>
        <v>-2880</v>
      </c>
      <c r="Z149" s="496">
        <f>GZ149</f>
        <v>-2960</v>
      </c>
      <c r="AA149" s="445"/>
      <c r="AB149" s="445"/>
      <c r="AC149" s="445"/>
      <c r="AD149" s="445"/>
      <c r="AE149" s="445"/>
      <c r="AF149" s="445"/>
      <c r="AG149" s="445"/>
      <c r="AH149" s="445"/>
      <c r="AI149" s="445"/>
      <c r="AJ149" s="445"/>
      <c r="AK149" s="445"/>
      <c r="AL149" s="445"/>
      <c r="AM149" s="445"/>
      <c r="AN149" s="445"/>
      <c r="AP149" s="443" t="s">
        <v>127</v>
      </c>
      <c r="AQ149" s="444">
        <f>+CF!AQ56+CF!AQ55</f>
        <v>0</v>
      </c>
      <c r="AR149" s="444">
        <f>+CF!AR56+CF!AR55</f>
        <v>0</v>
      </c>
      <c r="AS149" s="444">
        <f>+CF!AS56+CF!AS55</f>
        <v>0</v>
      </c>
      <c r="AT149" s="444">
        <f>+CF!AT56+CF!AT55</f>
        <v>0</v>
      </c>
      <c r="AU149" s="444">
        <f>+CF!AU56+CF!AU55</f>
        <v>0</v>
      </c>
      <c r="AW149" s="443" t="s">
        <v>127</v>
      </c>
      <c r="AX149" s="444">
        <f>+CF!AX56+CF!AX55</f>
        <v>0</v>
      </c>
      <c r="AY149" s="444">
        <f>+CF!AY56+CF!AY55</f>
        <v>-149</v>
      </c>
      <c r="AZ149" s="444">
        <f>+CF!AZ56+CF!AZ55</f>
        <v>-273</v>
      </c>
      <c r="BA149" s="444">
        <f>+CF!BA56+CF!BA55</f>
        <v>-43</v>
      </c>
      <c r="BB149" s="444">
        <f>+CF!BB56+CF!BB55</f>
        <v>-465</v>
      </c>
      <c r="BD149" s="443" t="s">
        <v>127</v>
      </c>
      <c r="BE149" s="444">
        <f>+CF!BE56+CF!BE55</f>
        <v>-179</v>
      </c>
      <c r="BF149" s="444">
        <f>+CF!BF56+CF!BF55</f>
        <v>-548</v>
      </c>
      <c r="BG149" s="444">
        <f>+CF!BG56+CF!BG55</f>
        <v>-882</v>
      </c>
      <c r="BH149" s="444">
        <f>+CF!BH56+CF!BH55</f>
        <v>-565</v>
      </c>
      <c r="BI149" s="444">
        <f>+CF!BI56+CF!BI55</f>
        <v>-2174</v>
      </c>
      <c r="BK149" s="443" t="s">
        <v>127</v>
      </c>
      <c r="BL149" s="444">
        <f>+CF!BL56+CF!BL55</f>
        <v>-300</v>
      </c>
      <c r="BM149" s="444">
        <f>+CF!BM56+CF!BM55</f>
        <v>-153</v>
      </c>
      <c r="BN149" s="444">
        <f>+CF!BN56+CF!BN55</f>
        <v>-854</v>
      </c>
      <c r="BO149" s="444">
        <f>+CF!BO56+CF!BO55</f>
        <v>-263</v>
      </c>
      <c r="BP149" s="444">
        <f>+CF!BP56+CF!BP55</f>
        <v>-1570</v>
      </c>
      <c r="BR149" s="443" t="s">
        <v>127</v>
      </c>
      <c r="BS149" s="444">
        <f>+CF!BS56+CF!BS55</f>
        <v>0</v>
      </c>
      <c r="BT149" s="444">
        <f>+CF!BT56+CF!BT55</f>
        <v>0</v>
      </c>
      <c r="BU149" s="444">
        <f>+CF!BU56+CF!BU55</f>
        <v>0</v>
      </c>
      <c r="BV149" s="444">
        <f>+CF!BV56+CF!BV55</f>
        <v>0</v>
      </c>
      <c r="BW149" s="444">
        <f>+CF!BW56+CF!BW55</f>
        <v>0</v>
      </c>
      <c r="BY149" s="443" t="s">
        <v>127</v>
      </c>
      <c r="BZ149" s="444">
        <f>+CF!BZ56+CF!BZ55</f>
        <v>-229</v>
      </c>
      <c r="CA149" s="444">
        <f>+CF!CA56+CF!CA55</f>
        <v>-594</v>
      </c>
      <c r="CB149" s="444">
        <f>+CF!CB56+CF!CB55</f>
        <v>-300</v>
      </c>
      <c r="CC149" s="444">
        <f>+CF!CC56+CF!CC55</f>
        <v>-329</v>
      </c>
      <c r="CD149" s="444">
        <f>+CF!CD56+CF!CD55</f>
        <v>-1452</v>
      </c>
      <c r="CF149" s="443" t="s">
        <v>127</v>
      </c>
      <c r="CG149" s="444">
        <f>+CF!CG56+CF!CG55</f>
        <v>-300</v>
      </c>
      <c r="CH149" s="444">
        <f>+CF!CH56+CF!CH55</f>
        <v>-228</v>
      </c>
      <c r="CI149" s="444">
        <f>+CF!CI56+CF!CI55</f>
        <v>-1036</v>
      </c>
      <c r="CJ149" s="444">
        <f>+CF!CJ56+CF!CJ55</f>
        <v>0</v>
      </c>
      <c r="CK149" s="444">
        <f>+CF!CK56+CF!CK55</f>
        <v>-1564</v>
      </c>
      <c r="CM149" s="443" t="s">
        <v>127</v>
      </c>
      <c r="CN149" s="444">
        <f>+CF!CN56+CF!CN55</f>
        <v>-300</v>
      </c>
      <c r="CO149" s="444">
        <f>+CF!CO56+CF!CO55</f>
        <v>0</v>
      </c>
      <c r="CP149" s="444">
        <f>+CF!CP56+CF!CP55</f>
        <v>-200</v>
      </c>
      <c r="CQ149" s="444">
        <f>+CF!CQ56+CF!CQ55</f>
        <v>-234</v>
      </c>
      <c r="CR149" s="444">
        <f>+CF!CR56+CF!CR55</f>
        <v>-734</v>
      </c>
      <c r="CT149" s="443" t="s">
        <v>127</v>
      </c>
      <c r="CU149" s="444">
        <f>+CF!CU56+CF!CU55</f>
        <v>0</v>
      </c>
      <c r="CV149" s="444">
        <f>+CF!CV56+CF!CV55</f>
        <v>-95</v>
      </c>
      <c r="CW149" s="444">
        <f>+CF!CW56+CF!CW55</f>
        <v>-129</v>
      </c>
      <c r="CX149" s="444">
        <f>+CF!CX56+CF!CX55</f>
        <v>-129</v>
      </c>
      <c r="CY149" s="444">
        <f>+CF!CY56+CF!CY55</f>
        <v>-353</v>
      </c>
      <c r="DA149" s="443" t="s">
        <v>127</v>
      </c>
      <c r="DB149" s="444">
        <f>+CF!DB56+CF!DB55</f>
        <v>-127</v>
      </c>
      <c r="DC149" s="444">
        <f>+CF!DC56+CF!DC55</f>
        <v>-130</v>
      </c>
      <c r="DD149" s="444">
        <f>+CF!DD56+CF!DD55</f>
        <v>-131</v>
      </c>
      <c r="DE149" s="444">
        <f>+CF!DE56+CF!DE55</f>
        <v>-129</v>
      </c>
      <c r="DF149" s="444">
        <f>+CF!DF56+CF!DF55</f>
        <v>-517</v>
      </c>
      <c r="DH149" s="443" t="s">
        <v>127</v>
      </c>
      <c r="DI149" s="444">
        <f>+CF!DI56+CF!DI55</f>
        <v>-127</v>
      </c>
      <c r="DJ149" s="444">
        <f>+CF!DJ56+CF!DJ55</f>
        <v>-157</v>
      </c>
      <c r="DK149" s="444">
        <f>+CF!DK56+CF!DK55</f>
        <v>-262</v>
      </c>
      <c r="DL149" s="444">
        <f>+CF!DL56+CF!DL55</f>
        <v>-258</v>
      </c>
      <c r="DM149" s="444">
        <f>+CF!DM56+CF!DM55</f>
        <v>-804</v>
      </c>
      <c r="DO149" s="443" t="s">
        <v>127</v>
      </c>
      <c r="DP149" s="444">
        <f>+CF!DP56+CF!DP55</f>
        <v>-249</v>
      </c>
      <c r="DQ149" s="444">
        <f>+CF!DQ56+CF!DQ55</f>
        <v>-266</v>
      </c>
      <c r="DR149" s="444">
        <f>+CF!DR56+CF!DR55</f>
        <v>-263</v>
      </c>
      <c r="DS149" s="444">
        <f>+CF!DS56+CF!DS55</f>
        <v>-278</v>
      </c>
      <c r="DT149" s="444">
        <f>+CF!DT56+CF!DT55</f>
        <v>-1056</v>
      </c>
      <c r="DV149" s="443" t="s">
        <v>127</v>
      </c>
      <c r="DW149" s="444">
        <f>+CF!DW56+CF!DW55</f>
        <v>-258</v>
      </c>
      <c r="DX149" s="444">
        <f>+CF!DX56+CF!DX55</f>
        <v>-499</v>
      </c>
      <c r="DY149" s="444">
        <f>+CF!DY56+CF!DY55</f>
        <v>-1006</v>
      </c>
      <c r="DZ149" s="444">
        <f>+CF!DZ56+CF!DZ55</f>
        <v>-207</v>
      </c>
      <c r="EA149" s="444">
        <f>+CF!EA56+CF!EA55</f>
        <v>-1970</v>
      </c>
      <c r="EC149" s="443" t="s">
        <v>127</v>
      </c>
      <c r="ED149" s="444">
        <f>+CF!ED56+CF!ED55</f>
        <v>-836</v>
      </c>
      <c r="EE149" s="444">
        <f>+CF!EE56+CF!EE55</f>
        <v>-1064</v>
      </c>
      <c r="EF149" s="444">
        <f>+CF!EF56+CF!EF55</f>
        <v>-1016</v>
      </c>
      <c r="EG149" s="444">
        <f>+CF!EG56+CF!EG55</f>
        <v>-1755</v>
      </c>
      <c r="EH149" s="444">
        <f>+CF!EH56+CF!EH55</f>
        <v>-4671</v>
      </c>
      <c r="EJ149" s="443" t="s">
        <v>127</v>
      </c>
      <c r="EK149" s="444">
        <f>+CF!EK56+CF!EK55</f>
        <v>-796</v>
      </c>
      <c r="EL149" s="444">
        <f>+CF!EL56+CF!EL55</f>
        <v>-860</v>
      </c>
      <c r="EM149" s="444">
        <f>+CF!EM56+CF!EM55</f>
        <v>-1111</v>
      </c>
      <c r="EN149" s="444">
        <f>+CF!EN56+CF!EN55</f>
        <v>-606</v>
      </c>
      <c r="EO149" s="444">
        <f>+CF!EO56+CF!EO55</f>
        <v>-3373</v>
      </c>
      <c r="EQ149" s="443" t="s">
        <v>127</v>
      </c>
      <c r="ER149" s="444">
        <f>+CF!ER56+CF!ER55</f>
        <v>-577</v>
      </c>
      <c r="ES149" s="444">
        <f>+CF!ES56+CF!ES55</f>
        <v>-39</v>
      </c>
      <c r="ET149" s="444">
        <f>+CF!ET56+CF!ET55</f>
        <v>-48</v>
      </c>
      <c r="EU149" s="444">
        <f>+CF!EU56+CF!EU55</f>
        <v>-203</v>
      </c>
      <c r="EV149" s="444">
        <f>+CF!EV56+CF!EV55</f>
        <v>-867</v>
      </c>
      <c r="EX149" s="443" t="s">
        <v>127</v>
      </c>
      <c r="EY149" s="444">
        <f>+CF!EY56+CF!EY55</f>
        <v>-551</v>
      </c>
      <c r="EZ149" s="444">
        <f>+CF!EZ56+CF!EZ55</f>
        <v>-701</v>
      </c>
      <c r="FA149" s="444">
        <f>+CF!FA56+CF!FA55</f>
        <v>-1064</v>
      </c>
      <c r="FB149" s="444">
        <f>+CF!FB56+CF!FB55</f>
        <v>-570</v>
      </c>
      <c r="FC149" s="444">
        <f>+CF!FC56+CF!FC55</f>
        <v>-2886</v>
      </c>
      <c r="FE149" s="443" t="s">
        <v>127</v>
      </c>
      <c r="FF149" s="444">
        <f>+CF!FF56+CF!FF55</f>
        <v>-1016</v>
      </c>
      <c r="FG149" s="444">
        <f>+CF!FG56+CF!FG55</f>
        <v>-1499</v>
      </c>
      <c r="FH149" s="444">
        <f>+CF!FH56+CF!FH55</f>
        <v>-1195</v>
      </c>
      <c r="FI149" s="444">
        <f>+CF!FI56+CF!FI55</f>
        <v>-1021</v>
      </c>
      <c r="FJ149" s="444">
        <f>+CF!FJ56+CF!FJ55</f>
        <v>-4731</v>
      </c>
      <c r="FL149" s="443" t="s">
        <v>127</v>
      </c>
      <c r="FM149" s="444">
        <f>+CF!FM56+CF!FM55</f>
        <v>-1067</v>
      </c>
      <c r="FN149" s="444">
        <f>+CF!FN56+CF!FN55</f>
        <v>-863</v>
      </c>
      <c r="FO149" s="444">
        <f>+CF!FO56+CF!FO55</f>
        <v>-971</v>
      </c>
      <c r="FP149" s="444">
        <f>+CF!FP56+CF!FP55</f>
        <v>-581</v>
      </c>
      <c r="FQ149" s="444">
        <f>+CF!FQ56+CF!FQ55</f>
        <v>-3482</v>
      </c>
      <c r="FS149" s="443" t="s">
        <v>127</v>
      </c>
      <c r="FT149" s="444">
        <f>+CF!FT56+CF!FT55</f>
        <v>-247</v>
      </c>
      <c r="FU149" s="444">
        <f>+CF!FU56+CF!FU55</f>
        <v>-563</v>
      </c>
      <c r="FV149" s="444">
        <f>+CF!FV56+CF!FV55</f>
        <v>-402</v>
      </c>
      <c r="FW149" s="444">
        <f>+CF!FW56+CF!FW55</f>
        <v>-1025</v>
      </c>
      <c r="FX149" s="444">
        <f>+CF!FX56+CF!FX55</f>
        <v>-2237</v>
      </c>
      <c r="FZ149" s="443" t="s">
        <v>127</v>
      </c>
      <c r="GA149" s="444">
        <f>+CF!GA56+CF!GA55</f>
        <v>-751</v>
      </c>
      <c r="GB149" s="444">
        <f>+CF!GB56+CF!GB55</f>
        <v>-421</v>
      </c>
      <c r="GC149" s="444">
        <f>+CF!GC56+CF!GC55</f>
        <v>-112</v>
      </c>
      <c r="GD149" s="505">
        <f>(CSX!LM79)*33</f>
        <v>-99</v>
      </c>
      <c r="GE149" s="496">
        <f>+CF!GE56+CF!GE55</f>
        <v>-1396</v>
      </c>
      <c r="GG149" s="443" t="s">
        <v>127</v>
      </c>
      <c r="GH149" s="505">
        <f>(CSX!LQ79)*37</f>
        <v>-629</v>
      </c>
      <c r="GI149" s="505">
        <f>(CSX!LR79)*37</f>
        <v>-629</v>
      </c>
      <c r="GJ149" s="505">
        <f>(CSX!LS79)*37</f>
        <v>-666</v>
      </c>
      <c r="GK149" s="505">
        <f>(CSX!LT79)*37</f>
        <v>-666</v>
      </c>
      <c r="GL149" s="496">
        <f>+CF!GL56+CF!GL55</f>
        <v>-2590</v>
      </c>
      <c r="GN149" s="443" t="s">
        <v>127</v>
      </c>
      <c r="GO149" s="505">
        <f>(CSX!LX79)*40</f>
        <v>-720</v>
      </c>
      <c r="GP149" s="505">
        <f>(CSX!LY79)*40</f>
        <v>-720</v>
      </c>
      <c r="GQ149" s="505">
        <f>(CSX!LZ79)*40</f>
        <v>-720</v>
      </c>
      <c r="GR149" s="505">
        <f>(CSX!MA79)*40</f>
        <v>-720</v>
      </c>
      <c r="GS149" s="496">
        <f>+CF!GS56+CF!GS55</f>
        <v>-2880</v>
      </c>
      <c r="GU149" s="443" t="s">
        <v>127</v>
      </c>
      <c r="GV149" s="505">
        <f>(CSX!ME79)*40</f>
        <v>-740</v>
      </c>
      <c r="GW149" s="505">
        <f>(CSX!MF79)*40</f>
        <v>-740</v>
      </c>
      <c r="GX149" s="505">
        <f>(CSX!MG79)*40</f>
        <v>-740</v>
      </c>
      <c r="GY149" s="505">
        <f>(CSX!MH79)*40</f>
        <v>-740</v>
      </c>
      <c r="GZ149" s="496">
        <f>+CF!GZ56+CF!GZ55</f>
        <v>-2960</v>
      </c>
    </row>
    <row r="150" spans="1:208" x14ac:dyDescent="0.4">
      <c r="A150" s="58"/>
      <c r="B150" s="443" t="s">
        <v>128</v>
      </c>
      <c r="C150" s="444">
        <f>AU150</f>
        <v>0</v>
      </c>
      <c r="D150" s="444">
        <f>BB150</f>
        <v>-465</v>
      </c>
      <c r="E150" s="444">
        <f>BI150</f>
        <v>-2174</v>
      </c>
      <c r="F150" s="444">
        <f>BP150</f>
        <v>-1570</v>
      </c>
      <c r="G150" s="444">
        <f>BW150</f>
        <v>0</v>
      </c>
      <c r="H150" s="444">
        <f>CD150</f>
        <v>-1452</v>
      </c>
      <c r="I150" s="444">
        <f>CK150</f>
        <v>-1564</v>
      </c>
      <c r="J150" s="444">
        <f>CR150</f>
        <v>-734</v>
      </c>
      <c r="K150" s="444">
        <f>CY150</f>
        <v>-353</v>
      </c>
      <c r="L150" s="444">
        <f>DF150</f>
        <v>-517</v>
      </c>
      <c r="M150" s="444">
        <f>DM150</f>
        <v>-804</v>
      </c>
      <c r="N150" s="444">
        <f>DT150</f>
        <v>-1056</v>
      </c>
      <c r="O150" s="444">
        <f>EA150</f>
        <v>-1970</v>
      </c>
      <c r="P150" s="444">
        <f>EH150</f>
        <v>-4671</v>
      </c>
      <c r="Q150" s="444">
        <f>EO150</f>
        <v>-3373</v>
      </c>
      <c r="R150" s="444">
        <f>EV150</f>
        <v>-867</v>
      </c>
      <c r="S150" s="444">
        <f>FC150</f>
        <v>-2886</v>
      </c>
      <c r="T150" s="444">
        <f>FJ150</f>
        <v>-4731</v>
      </c>
      <c r="U150" s="444">
        <f>FQ150</f>
        <v>-3482</v>
      </c>
      <c r="V150" s="496">
        <f>FX150</f>
        <v>-2237</v>
      </c>
      <c r="W150" s="496">
        <f>GE150</f>
        <v>-1383</v>
      </c>
      <c r="X150" s="496">
        <f>GL150</f>
        <v>-2590</v>
      </c>
      <c r="Y150" s="496">
        <f>GS150</f>
        <v>-2880</v>
      </c>
      <c r="Z150" s="496">
        <f>GZ150</f>
        <v>-2960</v>
      </c>
      <c r="AA150" s="445"/>
      <c r="AB150" s="445"/>
      <c r="AC150" s="445"/>
      <c r="AD150" s="445"/>
      <c r="AE150" s="445"/>
      <c r="AF150" s="445"/>
      <c r="AG150" s="445"/>
      <c r="AH150" s="445"/>
      <c r="AI150" s="445"/>
      <c r="AJ150" s="445"/>
      <c r="AK150" s="445"/>
      <c r="AL150" s="445"/>
      <c r="AM150" s="445"/>
      <c r="AN150" s="445"/>
      <c r="AP150" s="443" t="s">
        <v>128</v>
      </c>
      <c r="AQ150" s="444">
        <f>+AQ149</f>
        <v>0</v>
      </c>
      <c r="AR150" s="444">
        <f>+SUM(AQ149:AR149)</f>
        <v>0</v>
      </c>
      <c r="AS150" s="444">
        <f>+SUM(AQ149:AS149)</f>
        <v>0</v>
      </c>
      <c r="AT150" s="444">
        <f>+SUM(AQ149:AT149)</f>
        <v>0</v>
      </c>
      <c r="AU150" s="444">
        <f>+AT150</f>
        <v>0</v>
      </c>
      <c r="AW150" s="443" t="s">
        <v>128</v>
      </c>
      <c r="AX150" s="444">
        <f>+AX149</f>
        <v>0</v>
      </c>
      <c r="AY150" s="444">
        <f>+SUM(AX149:AY149)</f>
        <v>-149</v>
      </c>
      <c r="AZ150" s="444">
        <f>+SUM(AX149:AZ149)</f>
        <v>-422</v>
      </c>
      <c r="BA150" s="444">
        <f>+SUM(AX149:BA149)</f>
        <v>-465</v>
      </c>
      <c r="BB150" s="444">
        <f>+BA150</f>
        <v>-465</v>
      </c>
      <c r="BD150" s="443" t="s">
        <v>128</v>
      </c>
      <c r="BE150" s="444">
        <f>+BE149</f>
        <v>-179</v>
      </c>
      <c r="BF150" s="444">
        <f>+SUM(BE149:BF149)</f>
        <v>-727</v>
      </c>
      <c r="BG150" s="444">
        <f>+SUM(BE149:BG149)</f>
        <v>-1609</v>
      </c>
      <c r="BH150" s="444">
        <f>+SUM(BE149:BH149)</f>
        <v>-2174</v>
      </c>
      <c r="BI150" s="444">
        <f>+BH150</f>
        <v>-2174</v>
      </c>
      <c r="BK150" s="443" t="s">
        <v>128</v>
      </c>
      <c r="BL150" s="444">
        <f>+BL149</f>
        <v>-300</v>
      </c>
      <c r="BM150" s="444">
        <f>+SUM(BL149:BM149)</f>
        <v>-453</v>
      </c>
      <c r="BN150" s="444">
        <f>+SUM(BL149:BN149)</f>
        <v>-1307</v>
      </c>
      <c r="BO150" s="444">
        <f>+SUM(BL149:BO149)</f>
        <v>-1570</v>
      </c>
      <c r="BP150" s="444">
        <f>+BO150</f>
        <v>-1570</v>
      </c>
      <c r="BR150" s="443" t="s">
        <v>128</v>
      </c>
      <c r="BS150" s="444">
        <f>+BS149</f>
        <v>0</v>
      </c>
      <c r="BT150" s="444">
        <f>+SUM(BS149:BT149)</f>
        <v>0</v>
      </c>
      <c r="BU150" s="444">
        <f>+SUM(BS149:BU149)</f>
        <v>0</v>
      </c>
      <c r="BV150" s="444">
        <f>+SUM(BS149:BV149)</f>
        <v>0</v>
      </c>
      <c r="BW150" s="444">
        <f>+BV150</f>
        <v>0</v>
      </c>
      <c r="BY150" s="443" t="s">
        <v>128</v>
      </c>
      <c r="BZ150" s="444">
        <f>+BZ149</f>
        <v>-229</v>
      </c>
      <c r="CA150" s="444">
        <f>+SUM(BZ149:CA149)</f>
        <v>-823</v>
      </c>
      <c r="CB150" s="444">
        <f>+SUM(BZ149:CB149)</f>
        <v>-1123</v>
      </c>
      <c r="CC150" s="444">
        <f>+SUM(BZ149:CC149)</f>
        <v>-1452</v>
      </c>
      <c r="CD150" s="444">
        <f>+CC150</f>
        <v>-1452</v>
      </c>
      <c r="CF150" s="443" t="s">
        <v>128</v>
      </c>
      <c r="CG150" s="444">
        <f>+CG149</f>
        <v>-300</v>
      </c>
      <c r="CH150" s="444">
        <f>+SUM(CG149:CH149)</f>
        <v>-528</v>
      </c>
      <c r="CI150" s="444">
        <f>+SUM(CG149:CI149)</f>
        <v>-1564</v>
      </c>
      <c r="CJ150" s="444">
        <f>+SUM(CG149:CJ149)</f>
        <v>-1564</v>
      </c>
      <c r="CK150" s="444">
        <f>+CJ150</f>
        <v>-1564</v>
      </c>
      <c r="CM150" s="443" t="s">
        <v>128</v>
      </c>
      <c r="CN150" s="444">
        <f>+CN149</f>
        <v>-300</v>
      </c>
      <c r="CO150" s="444">
        <f>+SUM(CN149:CO149)</f>
        <v>-300</v>
      </c>
      <c r="CP150" s="444">
        <f>+SUM(CN149:CP149)</f>
        <v>-500</v>
      </c>
      <c r="CQ150" s="444">
        <f>+SUM(CN149:CQ149)</f>
        <v>-734</v>
      </c>
      <c r="CR150" s="444">
        <f>+CQ150</f>
        <v>-734</v>
      </c>
      <c r="CT150" s="443" t="s">
        <v>128</v>
      </c>
      <c r="CU150" s="444">
        <f>+CU149</f>
        <v>0</v>
      </c>
      <c r="CV150" s="444">
        <f>+SUM(CU149:CV149)</f>
        <v>-95</v>
      </c>
      <c r="CW150" s="444">
        <f>+SUM(CU149:CW149)</f>
        <v>-224</v>
      </c>
      <c r="CX150" s="444">
        <f>+SUM(CU149:CX149)</f>
        <v>-353</v>
      </c>
      <c r="CY150" s="444">
        <f>+CX150</f>
        <v>-353</v>
      </c>
      <c r="DA150" s="443" t="s">
        <v>128</v>
      </c>
      <c r="DB150" s="444">
        <f>+DB149</f>
        <v>-127</v>
      </c>
      <c r="DC150" s="444">
        <f>+SUM(DB149:DC149)</f>
        <v>-257</v>
      </c>
      <c r="DD150" s="444">
        <f>+SUM(DB149:DD149)</f>
        <v>-388</v>
      </c>
      <c r="DE150" s="444">
        <f>+SUM(DB149:DE149)</f>
        <v>-517</v>
      </c>
      <c r="DF150" s="444">
        <f>+DE150</f>
        <v>-517</v>
      </c>
      <c r="DH150" s="443" t="s">
        <v>128</v>
      </c>
      <c r="DI150" s="444">
        <f>+DI149</f>
        <v>-127</v>
      </c>
      <c r="DJ150" s="444">
        <f>+SUM(DI149:DJ149)</f>
        <v>-284</v>
      </c>
      <c r="DK150" s="444">
        <f>+SUM(DI149:DK149)</f>
        <v>-546</v>
      </c>
      <c r="DL150" s="444">
        <f>+SUM(DI149:DL149)</f>
        <v>-804</v>
      </c>
      <c r="DM150" s="444">
        <f>+DL150</f>
        <v>-804</v>
      </c>
      <c r="DO150" s="443" t="s">
        <v>128</v>
      </c>
      <c r="DP150" s="444">
        <f>+DP149</f>
        <v>-249</v>
      </c>
      <c r="DQ150" s="444">
        <f>+SUM(DP149:DQ149)</f>
        <v>-515</v>
      </c>
      <c r="DR150" s="444">
        <f>+SUM(DP149:DR149)</f>
        <v>-778</v>
      </c>
      <c r="DS150" s="444">
        <f>+SUM(DP149:DS149)</f>
        <v>-1056</v>
      </c>
      <c r="DT150" s="444">
        <f>+DS150</f>
        <v>-1056</v>
      </c>
      <c r="DV150" s="443" t="s">
        <v>128</v>
      </c>
      <c r="DW150" s="444">
        <f>+DW149</f>
        <v>-258</v>
      </c>
      <c r="DX150" s="444">
        <f>+SUM(DW149:DX149)</f>
        <v>-757</v>
      </c>
      <c r="DY150" s="444">
        <f>+SUM(DW149:DY149)</f>
        <v>-1763</v>
      </c>
      <c r="DZ150" s="444">
        <f>+SUM(DW149:DZ149)</f>
        <v>-1970</v>
      </c>
      <c r="EA150" s="444">
        <f>+DZ150</f>
        <v>-1970</v>
      </c>
      <c r="EC150" s="443" t="s">
        <v>128</v>
      </c>
      <c r="ED150" s="444">
        <f>+ED149</f>
        <v>-836</v>
      </c>
      <c r="EE150" s="444">
        <f>+SUM(ED149:EE149)</f>
        <v>-1900</v>
      </c>
      <c r="EF150" s="444">
        <f>+SUM(ED149:EF149)</f>
        <v>-2916</v>
      </c>
      <c r="EG150" s="444">
        <f>+SUM(ED149:EG149)</f>
        <v>-4671</v>
      </c>
      <c r="EH150" s="444">
        <f>+EG150</f>
        <v>-4671</v>
      </c>
      <c r="EJ150" s="443" t="s">
        <v>128</v>
      </c>
      <c r="EK150" s="444">
        <f>+EK149</f>
        <v>-796</v>
      </c>
      <c r="EL150" s="444">
        <f>+SUM(EK149:EL149)</f>
        <v>-1656</v>
      </c>
      <c r="EM150" s="444">
        <f>+SUM(EK149:EM149)</f>
        <v>-2767</v>
      </c>
      <c r="EN150" s="444">
        <f>+SUM(EK149:EN149)</f>
        <v>-3373</v>
      </c>
      <c r="EO150" s="444">
        <f>+EN150</f>
        <v>-3373</v>
      </c>
      <c r="EQ150" s="443" t="s">
        <v>128</v>
      </c>
      <c r="ER150" s="444">
        <f>+ER149</f>
        <v>-577</v>
      </c>
      <c r="ES150" s="444">
        <f>+SUM(ER149:ES149)</f>
        <v>-616</v>
      </c>
      <c r="ET150" s="444">
        <f>+SUM(ER149:ET149)</f>
        <v>-664</v>
      </c>
      <c r="EU150" s="444">
        <f>+SUM(ER149:EU149)</f>
        <v>-867</v>
      </c>
      <c r="EV150" s="444">
        <f>+EU150</f>
        <v>-867</v>
      </c>
      <c r="EX150" s="443" t="s">
        <v>128</v>
      </c>
      <c r="EY150" s="444">
        <f>+EY149</f>
        <v>-551</v>
      </c>
      <c r="EZ150" s="444">
        <f>+SUM(EY149:EZ149)</f>
        <v>-1252</v>
      </c>
      <c r="FA150" s="444">
        <f>+SUM(EY149:FA149)</f>
        <v>-2316</v>
      </c>
      <c r="FB150" s="444">
        <f>+SUM(EY149:FB149)</f>
        <v>-2886</v>
      </c>
      <c r="FC150" s="444">
        <f>+FB150</f>
        <v>-2886</v>
      </c>
      <c r="FE150" s="443" t="s">
        <v>128</v>
      </c>
      <c r="FF150" s="444">
        <f>+FF149</f>
        <v>-1016</v>
      </c>
      <c r="FG150" s="444">
        <f>+SUM(FF149:FG149)</f>
        <v>-2515</v>
      </c>
      <c r="FH150" s="444">
        <f>+SUM(FF149:FH149)</f>
        <v>-3710</v>
      </c>
      <c r="FI150" s="444">
        <f>+SUM(FF149:FI149)</f>
        <v>-4731</v>
      </c>
      <c r="FJ150" s="444">
        <f>+FI150</f>
        <v>-4731</v>
      </c>
      <c r="FL150" s="443" t="s">
        <v>128</v>
      </c>
      <c r="FM150" s="444">
        <f>+FM149</f>
        <v>-1067</v>
      </c>
      <c r="FN150" s="444">
        <f>+SUM(FM149:FN149)</f>
        <v>-1930</v>
      </c>
      <c r="FO150" s="444">
        <f>+SUM(FM149:FO149)</f>
        <v>-2901</v>
      </c>
      <c r="FP150" s="444">
        <f>+SUM(FM149:FP149)</f>
        <v>-3482</v>
      </c>
      <c r="FQ150" s="444">
        <f>+FP150</f>
        <v>-3482</v>
      </c>
      <c r="FS150" s="443" t="s">
        <v>128</v>
      </c>
      <c r="FT150" s="444">
        <f>+FT149</f>
        <v>-247</v>
      </c>
      <c r="FU150" s="496">
        <f>+SUM(FT149:FU149)</f>
        <v>-810</v>
      </c>
      <c r="FV150" s="444">
        <f>+SUM(FT149:FV149)</f>
        <v>-1212</v>
      </c>
      <c r="FW150" s="444">
        <f>+SUM(FT149:FW149)</f>
        <v>-2237</v>
      </c>
      <c r="FX150" s="444">
        <f>+FW150</f>
        <v>-2237</v>
      </c>
      <c r="FZ150" s="443" t="s">
        <v>128</v>
      </c>
      <c r="GA150" s="444">
        <f>+GA149</f>
        <v>-751</v>
      </c>
      <c r="GB150" s="496">
        <f>+SUM(GA149:GB149)</f>
        <v>-1172</v>
      </c>
      <c r="GC150" s="444">
        <f>+SUM(GA149:GC149)</f>
        <v>-1284</v>
      </c>
      <c r="GD150" s="496">
        <f>+SUM(GA149:GD149)</f>
        <v>-1383</v>
      </c>
      <c r="GE150" s="496">
        <f>+GD150</f>
        <v>-1383</v>
      </c>
      <c r="GG150" s="443" t="s">
        <v>128</v>
      </c>
      <c r="GH150" s="496">
        <f>+GH149</f>
        <v>-629</v>
      </c>
      <c r="GI150" s="496">
        <f>+SUM(GH149:GI149)</f>
        <v>-1258</v>
      </c>
      <c r="GJ150" s="496">
        <f>+SUM(GH149:GJ149)</f>
        <v>-1924</v>
      </c>
      <c r="GK150" s="496">
        <f>+SUM(GH149:GK149)</f>
        <v>-2590</v>
      </c>
      <c r="GL150" s="496">
        <f>+GK150</f>
        <v>-2590</v>
      </c>
      <c r="GN150" s="443" t="s">
        <v>128</v>
      </c>
      <c r="GO150" s="496">
        <f>+GO149</f>
        <v>-720</v>
      </c>
      <c r="GP150" s="496">
        <f>+SUM(GO149:GP149)</f>
        <v>-1440</v>
      </c>
      <c r="GQ150" s="496">
        <f>+SUM(GO149:GQ149)</f>
        <v>-2160</v>
      </c>
      <c r="GR150" s="496">
        <f>+SUM(GO149:GR149)</f>
        <v>-2880</v>
      </c>
      <c r="GS150" s="496">
        <f>+GR150</f>
        <v>-2880</v>
      </c>
      <c r="GU150" s="443" t="s">
        <v>128</v>
      </c>
      <c r="GV150" s="496">
        <f>+GV149</f>
        <v>-740</v>
      </c>
      <c r="GW150" s="496">
        <f>+SUM(GV149:GW149)</f>
        <v>-1480</v>
      </c>
      <c r="GX150" s="496">
        <f>+SUM(GV149:GX149)</f>
        <v>-2220</v>
      </c>
      <c r="GY150" s="496">
        <f>+SUM(GV149:GY149)</f>
        <v>-2960</v>
      </c>
      <c r="GZ150" s="496">
        <f>+GY150</f>
        <v>-2960</v>
      </c>
    </row>
    <row r="151" spans="1:208" x14ac:dyDescent="0.4">
      <c r="A151" s="366"/>
      <c r="B151" s="459"/>
      <c r="C151" s="460"/>
      <c r="D151" s="460"/>
      <c r="E151" s="460"/>
      <c r="F151" s="460"/>
      <c r="G151" s="460"/>
      <c r="H151" s="460"/>
      <c r="I151" s="460"/>
      <c r="J151" s="460"/>
      <c r="K151" s="460"/>
      <c r="L151" s="460"/>
      <c r="M151" s="460"/>
      <c r="N151" s="460"/>
      <c r="O151" s="460"/>
      <c r="P151" s="460"/>
      <c r="Q151" s="460"/>
      <c r="R151" s="460"/>
      <c r="S151" s="460"/>
      <c r="T151" s="460"/>
      <c r="U151" s="460"/>
      <c r="V151" s="460"/>
      <c r="W151" s="460"/>
      <c r="X151" s="460"/>
      <c r="Y151" s="460"/>
      <c r="Z151" s="460"/>
      <c r="AA151" s="461"/>
      <c r="AB151" s="461"/>
      <c r="AC151" s="461"/>
      <c r="AD151" s="461"/>
      <c r="AE151" s="461"/>
      <c r="AF151" s="461"/>
      <c r="AG151" s="461"/>
      <c r="AH151" s="461"/>
      <c r="AI151" s="461"/>
      <c r="AJ151" s="461"/>
      <c r="AK151" s="461"/>
      <c r="AL151" s="461"/>
      <c r="AM151" s="461"/>
      <c r="AN151" s="461"/>
      <c r="AP151" s="459"/>
      <c r="AQ151" s="460"/>
      <c r="AR151" s="460"/>
      <c r="AS151" s="460"/>
      <c r="AT151" s="460"/>
      <c r="AU151" s="460"/>
      <c r="AW151" s="459"/>
      <c r="AX151" s="460"/>
      <c r="AY151" s="460"/>
      <c r="AZ151" s="460"/>
      <c r="BA151" s="460"/>
      <c r="BB151" s="460"/>
      <c r="BD151" s="459"/>
      <c r="BE151" s="460"/>
      <c r="BF151" s="460"/>
      <c r="BG151" s="460"/>
      <c r="BH151" s="460"/>
      <c r="BI151" s="460"/>
      <c r="BK151" s="459"/>
      <c r="BL151" s="460"/>
      <c r="BM151" s="460"/>
      <c r="BN151" s="460"/>
      <c r="BO151" s="460"/>
      <c r="BP151" s="460"/>
      <c r="BR151" s="459"/>
      <c r="BS151" s="460"/>
      <c r="BT151" s="460"/>
      <c r="BU151" s="460"/>
      <c r="BV151" s="460"/>
      <c r="BW151" s="460"/>
      <c r="BY151" s="459"/>
      <c r="BZ151" s="460"/>
      <c r="CA151" s="460"/>
      <c r="CB151" s="460"/>
      <c r="CC151" s="460"/>
      <c r="CD151" s="460"/>
      <c r="CF151" s="459"/>
      <c r="CG151" s="460"/>
      <c r="CH151" s="460"/>
      <c r="CI151" s="460"/>
      <c r="CJ151" s="460"/>
      <c r="CK151" s="460"/>
      <c r="CM151" s="459"/>
      <c r="CN151" s="460"/>
      <c r="CO151" s="460"/>
      <c r="CP151" s="460"/>
      <c r="CQ151" s="460"/>
      <c r="CR151" s="460"/>
      <c r="CT151" s="459"/>
      <c r="CU151" s="460"/>
      <c r="CV151" s="460"/>
      <c r="CW151" s="460"/>
      <c r="CX151" s="460"/>
      <c r="CY151" s="460"/>
      <c r="DA151" s="459"/>
      <c r="DB151" s="460"/>
      <c r="DC151" s="460"/>
      <c r="DD151" s="460"/>
      <c r="DE151" s="460"/>
      <c r="DF151" s="460"/>
      <c r="DH151" s="459"/>
      <c r="DI151" s="460"/>
      <c r="DJ151" s="460"/>
      <c r="DK151" s="460"/>
      <c r="DL151" s="460"/>
      <c r="DM151" s="460"/>
      <c r="DO151" s="459"/>
      <c r="DP151" s="460"/>
      <c r="DQ151" s="460"/>
      <c r="DR151" s="460"/>
      <c r="DS151" s="460"/>
      <c r="DT151" s="460"/>
      <c r="DV151" s="459"/>
      <c r="DW151" s="460"/>
      <c r="DX151" s="460"/>
      <c r="DY151" s="460"/>
      <c r="DZ151" s="460"/>
      <c r="EA151" s="460"/>
      <c r="EC151" s="459"/>
      <c r="ED151" s="460"/>
      <c r="EE151" s="460"/>
      <c r="EF151" s="460"/>
      <c r="EG151" s="460"/>
      <c r="EH151" s="460"/>
      <c r="EJ151" s="459"/>
      <c r="EK151" s="460"/>
      <c r="EL151" s="460"/>
      <c r="EM151" s="460"/>
      <c r="EN151" s="460"/>
      <c r="EO151" s="460"/>
      <c r="EQ151" s="459"/>
      <c r="ER151" s="460"/>
      <c r="ES151" s="460"/>
      <c r="ET151" s="460"/>
      <c r="EU151" s="460"/>
      <c r="EV151" s="460"/>
      <c r="EX151" s="459"/>
      <c r="EY151" s="460"/>
      <c r="EZ151" s="460"/>
      <c r="FA151" s="460"/>
      <c r="FB151" s="460"/>
      <c r="FC151" s="460"/>
      <c r="FE151" s="459"/>
      <c r="FF151" s="460"/>
      <c r="FG151" s="460"/>
      <c r="FH151" s="460"/>
      <c r="FI151" s="460"/>
      <c r="FJ151" s="460"/>
      <c r="FL151" s="459"/>
      <c r="FM151" s="460"/>
      <c r="FN151" s="460"/>
      <c r="FO151" s="460"/>
      <c r="FP151" s="460"/>
      <c r="FQ151" s="460"/>
      <c r="FS151" s="459"/>
      <c r="FT151" s="460"/>
      <c r="FU151" s="508"/>
      <c r="FV151" s="460"/>
      <c r="FW151" s="460"/>
      <c r="FX151" s="460"/>
      <c r="FZ151" s="459"/>
      <c r="GA151" s="460"/>
      <c r="GB151" s="508"/>
      <c r="GC151" s="460"/>
      <c r="GD151" s="508"/>
      <c r="GE151" s="460"/>
      <c r="GG151" s="459"/>
      <c r="GH151" s="508"/>
      <c r="GI151" s="508"/>
      <c r="GJ151" s="508"/>
      <c r="GK151" s="508"/>
      <c r="GL151" s="460"/>
      <c r="GN151" s="459"/>
      <c r="GO151" s="508"/>
      <c r="GP151" s="508"/>
      <c r="GQ151" s="508"/>
      <c r="GR151" s="508"/>
      <c r="GS151" s="460"/>
      <c r="GU151" s="459"/>
      <c r="GV151" s="508"/>
      <c r="GW151" s="508"/>
      <c r="GX151" s="508"/>
      <c r="GY151" s="508"/>
      <c r="GZ151" s="460"/>
    </row>
    <row r="152" spans="1:208" x14ac:dyDescent="0.4">
      <c r="A152" s="452"/>
      <c r="B152" s="443" t="s">
        <v>129</v>
      </c>
      <c r="C152" s="444">
        <f>AU152</f>
        <v>83</v>
      </c>
      <c r="D152" s="444">
        <f>BB152</f>
        <v>382</v>
      </c>
      <c r="E152" s="444">
        <f>BI152</f>
        <v>231</v>
      </c>
      <c r="F152" s="444">
        <f>BP152</f>
        <v>5</v>
      </c>
      <c r="G152" s="444">
        <f>BW152</f>
        <v>-139</v>
      </c>
      <c r="H152" s="444">
        <f>CD152</f>
        <v>-90</v>
      </c>
      <c r="I152" s="444">
        <f>CK152</f>
        <v>36</v>
      </c>
      <c r="J152" s="444">
        <f>CR152</f>
        <v>32</v>
      </c>
      <c r="K152" s="444">
        <f>CY152</f>
        <v>1</v>
      </c>
      <c r="L152" s="444">
        <f>DF152</f>
        <v>-4</v>
      </c>
      <c r="M152" s="444">
        <f>DM152</f>
        <v>0</v>
      </c>
      <c r="N152" s="444">
        <f>DT152</f>
        <v>-313</v>
      </c>
      <c r="O152" s="444">
        <f>EA152</f>
        <v>-18</v>
      </c>
      <c r="P152" s="444">
        <f>EH152</f>
        <v>-59</v>
      </c>
      <c r="Q152" s="444">
        <f>EO152</f>
        <v>6</v>
      </c>
      <c r="R152" s="444">
        <f>EV152</f>
        <v>-34</v>
      </c>
      <c r="S152" s="444">
        <f>FC152</f>
        <v>39</v>
      </c>
      <c r="T152" s="444">
        <f>FJ152</f>
        <v>0</v>
      </c>
      <c r="U152" s="444">
        <f>FQ152</f>
        <v>50</v>
      </c>
      <c r="V152" s="496">
        <f>FX152</f>
        <v>113</v>
      </c>
      <c r="W152" s="496">
        <f>GE152</f>
        <v>56</v>
      </c>
      <c r="X152" s="496">
        <f>GL152</f>
        <v>-100</v>
      </c>
      <c r="Y152" s="496">
        <f>GS152</f>
        <v>-100</v>
      </c>
      <c r="Z152" s="496">
        <f>GZ152</f>
        <v>-100</v>
      </c>
      <c r="AA152" s="445"/>
      <c r="AB152" s="445"/>
      <c r="AC152" s="445"/>
      <c r="AD152" s="445"/>
      <c r="AE152" s="445"/>
      <c r="AF152" s="445"/>
      <c r="AG152" s="445"/>
      <c r="AH152" s="445"/>
      <c r="AI152" s="445"/>
      <c r="AJ152" s="445"/>
      <c r="AK152" s="445"/>
      <c r="AL152" s="445"/>
      <c r="AM152" s="445"/>
      <c r="AN152" s="445"/>
      <c r="AP152" s="443" t="s">
        <v>129</v>
      </c>
      <c r="AQ152" s="444">
        <f>+CF!AQ57</f>
        <v>41</v>
      </c>
      <c r="AR152" s="444">
        <f>+CF!AR57</f>
        <v>14</v>
      </c>
      <c r="AS152" s="444">
        <f>+CF!AS57</f>
        <v>-11</v>
      </c>
      <c r="AT152" s="444">
        <f>+CF!AT57</f>
        <v>39</v>
      </c>
      <c r="AU152" s="444">
        <f>+CF!AU57</f>
        <v>83</v>
      </c>
      <c r="AW152" s="443" t="s">
        <v>129</v>
      </c>
      <c r="AX152" s="444">
        <f>+CF!AX57</f>
        <v>137</v>
      </c>
      <c r="AY152" s="444">
        <f>+CF!AY57</f>
        <v>126</v>
      </c>
      <c r="AZ152" s="444">
        <f>+CF!AZ57</f>
        <v>20</v>
      </c>
      <c r="BA152" s="444">
        <f>+CF!BA57</f>
        <v>99</v>
      </c>
      <c r="BB152" s="444">
        <f>+CF!BB57</f>
        <v>382</v>
      </c>
      <c r="BD152" s="443" t="s">
        <v>129</v>
      </c>
      <c r="BE152" s="444">
        <f>+CF!BE57</f>
        <v>116</v>
      </c>
      <c r="BF152" s="444">
        <f>+CF!BF57</f>
        <v>51</v>
      </c>
      <c r="BG152" s="444">
        <f>+CF!BG57</f>
        <v>21</v>
      </c>
      <c r="BH152" s="444">
        <f>+CF!BH57</f>
        <v>43</v>
      </c>
      <c r="BI152" s="444">
        <f>+CF!BI57</f>
        <v>231</v>
      </c>
      <c r="BK152" s="443" t="s">
        <v>129</v>
      </c>
      <c r="BL152" s="444">
        <f>+CF!BL57</f>
        <v>62</v>
      </c>
      <c r="BM152" s="444">
        <f>+CF!BM57</f>
        <v>46</v>
      </c>
      <c r="BN152" s="444">
        <f>+CF!BN57</f>
        <v>3</v>
      </c>
      <c r="BO152" s="444">
        <f>+CF!BO57</f>
        <v>-106</v>
      </c>
      <c r="BP152" s="444">
        <f>+CF!BP57</f>
        <v>5</v>
      </c>
      <c r="BR152" s="443" t="s">
        <v>129</v>
      </c>
      <c r="BS152" s="444">
        <f>+CF!BS57</f>
        <v>-178</v>
      </c>
      <c r="BT152" s="444">
        <f>+CF!BT57</f>
        <v>13</v>
      </c>
      <c r="BU152" s="444">
        <f>+CF!BU57</f>
        <v>-4</v>
      </c>
      <c r="BV152" s="444">
        <f>+CF!BV57</f>
        <v>30</v>
      </c>
      <c r="BW152" s="444">
        <f>+CF!BW57</f>
        <v>-139</v>
      </c>
      <c r="BY152" s="443" t="s">
        <v>129</v>
      </c>
      <c r="BZ152" s="444">
        <f>+CF!BZ57</f>
        <v>-131</v>
      </c>
      <c r="CA152" s="444">
        <f>+CF!CA57</f>
        <v>10</v>
      </c>
      <c r="CB152" s="444">
        <f>+CF!CB57</f>
        <v>14</v>
      </c>
      <c r="CC152" s="444">
        <f>+CF!CC57</f>
        <v>17</v>
      </c>
      <c r="CD152" s="444">
        <f>+CF!CD57</f>
        <v>-90</v>
      </c>
      <c r="CF152" s="443" t="s">
        <v>129</v>
      </c>
      <c r="CG152" s="444">
        <f>+CF!CG57</f>
        <v>32</v>
      </c>
      <c r="CH152" s="444">
        <f>+CF!CH57</f>
        <v>-2</v>
      </c>
      <c r="CI152" s="444">
        <f>+CF!CI57</f>
        <v>-13</v>
      </c>
      <c r="CJ152" s="444">
        <f>+CF!CJ57</f>
        <v>19</v>
      </c>
      <c r="CK152" s="444">
        <f>+CF!CK57</f>
        <v>36</v>
      </c>
      <c r="CM152" s="443" t="s">
        <v>129</v>
      </c>
      <c r="CN152" s="444">
        <f>+CF!CN57</f>
        <v>15</v>
      </c>
      <c r="CO152" s="444">
        <f>+CF!CO57</f>
        <v>7</v>
      </c>
      <c r="CP152" s="444">
        <f>+CF!CP57</f>
        <v>5</v>
      </c>
      <c r="CQ152" s="444">
        <f>+CF!CQ57</f>
        <v>5</v>
      </c>
      <c r="CR152" s="444">
        <f>+CF!CR57</f>
        <v>32</v>
      </c>
      <c r="CT152" s="443" t="s">
        <v>129</v>
      </c>
      <c r="CU152" s="444">
        <f>+CF!CU57</f>
        <v>11</v>
      </c>
      <c r="CV152" s="444">
        <f>+CF!CV57</f>
        <v>7</v>
      </c>
      <c r="CW152" s="444">
        <f>+CF!CW57</f>
        <v>-16</v>
      </c>
      <c r="CX152" s="444">
        <f>+CF!CX57</f>
        <v>-1</v>
      </c>
      <c r="CY152" s="444">
        <f>+CF!CY57</f>
        <v>1</v>
      </c>
      <c r="DA152" s="443" t="s">
        <v>129</v>
      </c>
      <c r="DB152" s="444">
        <f>+CF!DB57</f>
        <v>-2</v>
      </c>
      <c r="DC152" s="444">
        <f>+CF!DC57</f>
        <v>0</v>
      </c>
      <c r="DD152" s="444">
        <f>+CF!DD57</f>
        <v>-3</v>
      </c>
      <c r="DE152" s="444">
        <f>+CF!DE57</f>
        <v>1</v>
      </c>
      <c r="DF152" s="444">
        <f>+CF!DF57</f>
        <v>-4</v>
      </c>
      <c r="DH152" s="443" t="s">
        <v>129</v>
      </c>
      <c r="DI152" s="444">
        <f>+CF!DI57</f>
        <v>-13</v>
      </c>
      <c r="DJ152" s="444">
        <f>+CF!DJ57</f>
        <v>4</v>
      </c>
      <c r="DK152" s="444">
        <f>+CF!DK57</f>
        <v>6</v>
      </c>
      <c r="DL152" s="444">
        <f>+CF!DL57</f>
        <v>3</v>
      </c>
      <c r="DM152" s="444">
        <f>+CF!DM57</f>
        <v>0</v>
      </c>
      <c r="DO152" s="443" t="s">
        <v>129</v>
      </c>
      <c r="DP152" s="444">
        <f>+CF!DP57</f>
        <v>-270</v>
      </c>
      <c r="DQ152" s="444">
        <f>+CF!DQ57</f>
        <v>-44</v>
      </c>
      <c r="DR152" s="444">
        <f>+CF!DR57</f>
        <v>4</v>
      </c>
      <c r="DS152" s="444">
        <f>+CF!DS57</f>
        <v>-3</v>
      </c>
      <c r="DT152" s="444">
        <f>+CF!DT57</f>
        <v>-313</v>
      </c>
      <c r="DV152" s="443" t="s">
        <v>129</v>
      </c>
      <c r="DW152" s="444">
        <f>+CF!DW57</f>
        <v>-6</v>
      </c>
      <c r="DX152" s="444">
        <f>+CF!DX57</f>
        <v>-6</v>
      </c>
      <c r="DY152" s="444">
        <f>+CF!DY57</f>
        <v>-7</v>
      </c>
      <c r="DZ152" s="444">
        <f>+CF!DZ57</f>
        <v>1</v>
      </c>
      <c r="EA152" s="444">
        <f>+CF!EA57</f>
        <v>-18</v>
      </c>
      <c r="EC152" s="443" t="s">
        <v>129</v>
      </c>
      <c r="ED152" s="444">
        <f>+CF!ED57</f>
        <v>-41</v>
      </c>
      <c r="EE152" s="444">
        <f>+CF!EE57</f>
        <v>-10</v>
      </c>
      <c r="EF152" s="444">
        <f>+CF!EF57</f>
        <v>-1</v>
      </c>
      <c r="EG152" s="444">
        <f>+CF!EG57</f>
        <v>-7</v>
      </c>
      <c r="EH152" s="444">
        <f>+CF!EH57</f>
        <v>-59</v>
      </c>
      <c r="EJ152" s="443" t="s">
        <v>129</v>
      </c>
      <c r="EK152" s="444">
        <f>+CF!EK57</f>
        <v>18</v>
      </c>
      <c r="EL152" s="444">
        <f>+CF!EL57</f>
        <v>10</v>
      </c>
      <c r="EM152" s="444">
        <f>+CF!EM57</f>
        <v>-11</v>
      </c>
      <c r="EN152" s="444">
        <f>+CF!EN57</f>
        <v>-11</v>
      </c>
      <c r="EO152" s="444">
        <f>+CF!EO57</f>
        <v>6</v>
      </c>
      <c r="EQ152" s="443" t="s">
        <v>129</v>
      </c>
      <c r="ER152" s="444">
        <f>+CF!ER57</f>
        <v>-7</v>
      </c>
      <c r="ES152" s="444">
        <f>+CF!ES57</f>
        <v>2</v>
      </c>
      <c r="ET152" s="444">
        <f>+CF!ET57</f>
        <v>18</v>
      </c>
      <c r="EU152" s="444">
        <f>+CF!EU57</f>
        <v>-47</v>
      </c>
      <c r="EV152" s="444">
        <f>+CF!EV57</f>
        <v>-34</v>
      </c>
      <c r="EX152" s="443" t="s">
        <v>129</v>
      </c>
      <c r="EY152" s="444">
        <f>+CF!EY57</f>
        <v>15</v>
      </c>
      <c r="EZ152" s="444">
        <f>+CF!EZ57</f>
        <v>7</v>
      </c>
      <c r="FA152" s="444">
        <f>+CF!FA57</f>
        <v>11</v>
      </c>
      <c r="FB152" s="444">
        <f>+CF!FB57</f>
        <v>6</v>
      </c>
      <c r="FC152" s="444">
        <f>+CF!FC57</f>
        <v>39</v>
      </c>
      <c r="FE152" s="443" t="s">
        <v>129</v>
      </c>
      <c r="FF152" s="444">
        <f>+CF!FF57</f>
        <v>6</v>
      </c>
      <c r="FG152" s="444">
        <f>+CF!FG57</f>
        <v>9</v>
      </c>
      <c r="FH152" s="444">
        <f>+CF!FH57</f>
        <v>-21</v>
      </c>
      <c r="FI152" s="444">
        <f>+CF!FI57</f>
        <v>6</v>
      </c>
      <c r="FJ152" s="444">
        <f>+CF!FJ57</f>
        <v>0</v>
      </c>
      <c r="FL152" s="443" t="s">
        <v>129</v>
      </c>
      <c r="FM152" s="444">
        <f>+CF!FM57</f>
        <v>-3</v>
      </c>
      <c r="FN152" s="444">
        <f>+CF!FN57</f>
        <v>22</v>
      </c>
      <c r="FO152" s="444">
        <f>+CF!FO57</f>
        <v>6</v>
      </c>
      <c r="FP152" s="444">
        <f>+CF!FP57</f>
        <v>25</v>
      </c>
      <c r="FQ152" s="444">
        <f>+CF!FQ57</f>
        <v>50</v>
      </c>
      <c r="FS152" s="443" t="s">
        <v>129</v>
      </c>
      <c r="FT152" s="444">
        <f>+CF!FT57</f>
        <v>34</v>
      </c>
      <c r="FU152" s="444">
        <f>+CF!FU57</f>
        <v>8</v>
      </c>
      <c r="FV152" s="444">
        <f>+CF!FV57</f>
        <v>30</v>
      </c>
      <c r="FW152" s="444">
        <f>+CF!FW57</f>
        <v>41</v>
      </c>
      <c r="FX152" s="444">
        <f>+CF!FX57</f>
        <v>113</v>
      </c>
      <c r="FZ152" s="443" t="s">
        <v>129</v>
      </c>
      <c r="GA152" s="444">
        <f>+CF!GA57</f>
        <v>-4</v>
      </c>
      <c r="GB152" s="444">
        <f>+CF!GB57</f>
        <v>85</v>
      </c>
      <c r="GC152" s="444">
        <f>+CF!GC57</f>
        <v>-58</v>
      </c>
      <c r="GD152" s="505">
        <v>-10</v>
      </c>
      <c r="GE152" s="496">
        <f>+CF!GE57</f>
        <v>56</v>
      </c>
      <c r="GG152" s="443" t="s">
        <v>129</v>
      </c>
      <c r="GH152" s="505">
        <v>-25</v>
      </c>
      <c r="GI152" s="505">
        <v>-25</v>
      </c>
      <c r="GJ152" s="505">
        <v>-25</v>
      </c>
      <c r="GK152" s="505">
        <v>-25</v>
      </c>
      <c r="GL152" s="496">
        <f>+CF!GL57</f>
        <v>-100</v>
      </c>
      <c r="GN152" s="443" t="s">
        <v>129</v>
      </c>
      <c r="GO152" s="505">
        <v>-25</v>
      </c>
      <c r="GP152" s="505">
        <v>-25</v>
      </c>
      <c r="GQ152" s="505">
        <v>-25</v>
      </c>
      <c r="GR152" s="505">
        <v>-25</v>
      </c>
      <c r="GS152" s="496">
        <f>+CF!GS57</f>
        <v>-100</v>
      </c>
      <c r="GU152" s="443" t="s">
        <v>129</v>
      </c>
      <c r="GV152" s="505">
        <v>-25</v>
      </c>
      <c r="GW152" s="505">
        <v>-25</v>
      </c>
      <c r="GX152" s="505">
        <v>-25</v>
      </c>
      <c r="GY152" s="505">
        <v>-25</v>
      </c>
      <c r="GZ152" s="496">
        <f>+CF!GZ57</f>
        <v>-100</v>
      </c>
    </row>
    <row r="153" spans="1:208" x14ac:dyDescent="0.4">
      <c r="A153" s="58"/>
      <c r="B153" s="443" t="s">
        <v>130</v>
      </c>
      <c r="C153" s="444">
        <f>AU153</f>
        <v>83</v>
      </c>
      <c r="D153" s="444">
        <f>BB153</f>
        <v>382</v>
      </c>
      <c r="E153" s="444">
        <f>BI153</f>
        <v>231</v>
      </c>
      <c r="F153" s="444">
        <f>BP153</f>
        <v>5</v>
      </c>
      <c r="G153" s="444">
        <f>BW153</f>
        <v>-139</v>
      </c>
      <c r="H153" s="444">
        <f>CD153</f>
        <v>-90</v>
      </c>
      <c r="I153" s="444">
        <f>CK153</f>
        <v>36</v>
      </c>
      <c r="J153" s="444">
        <f>CR153</f>
        <v>32</v>
      </c>
      <c r="K153" s="444">
        <f>CY153</f>
        <v>1</v>
      </c>
      <c r="L153" s="444">
        <f>DF153</f>
        <v>-4</v>
      </c>
      <c r="M153" s="444">
        <f>DM153</f>
        <v>0</v>
      </c>
      <c r="N153" s="444">
        <f>DT153</f>
        <v>-313</v>
      </c>
      <c r="O153" s="444">
        <f>EA153</f>
        <v>-18</v>
      </c>
      <c r="P153" s="444">
        <f>EH153</f>
        <v>-59</v>
      </c>
      <c r="Q153" s="444">
        <f>EO153</f>
        <v>6</v>
      </c>
      <c r="R153" s="444">
        <f>EV153</f>
        <v>-34</v>
      </c>
      <c r="S153" s="444">
        <f>FC153</f>
        <v>39</v>
      </c>
      <c r="T153" s="444">
        <f>FJ153</f>
        <v>0</v>
      </c>
      <c r="U153" s="444">
        <f>FQ153</f>
        <v>50</v>
      </c>
      <c r="V153" s="496">
        <f>FX153</f>
        <v>113</v>
      </c>
      <c r="W153" s="496">
        <f>GE153</f>
        <v>13</v>
      </c>
      <c r="X153" s="496">
        <f>GL153</f>
        <v>-100</v>
      </c>
      <c r="Y153" s="496">
        <f>GS153</f>
        <v>-100</v>
      </c>
      <c r="Z153" s="496">
        <f>GZ153</f>
        <v>-100</v>
      </c>
      <c r="AA153" s="445"/>
      <c r="AB153" s="445"/>
      <c r="AC153" s="445"/>
      <c r="AD153" s="445"/>
      <c r="AE153" s="445"/>
      <c r="AF153" s="445"/>
      <c r="AG153" s="445"/>
      <c r="AH153" s="445"/>
      <c r="AI153" s="445"/>
      <c r="AJ153" s="445"/>
      <c r="AK153" s="445"/>
      <c r="AL153" s="445"/>
      <c r="AM153" s="445"/>
      <c r="AN153" s="445"/>
      <c r="AP153" s="443" t="s">
        <v>130</v>
      </c>
      <c r="AQ153" s="444">
        <f>+AQ152</f>
        <v>41</v>
      </c>
      <c r="AR153" s="444">
        <f>+SUM(AQ152:AR152)</f>
        <v>55</v>
      </c>
      <c r="AS153" s="444">
        <f>+SUM(AQ152:AS152)</f>
        <v>44</v>
      </c>
      <c r="AT153" s="444">
        <f>+SUM(AQ152:AT152)</f>
        <v>83</v>
      </c>
      <c r="AU153" s="444">
        <f>+AT153</f>
        <v>83</v>
      </c>
      <c r="AW153" s="443" t="s">
        <v>130</v>
      </c>
      <c r="AX153" s="444">
        <f>+AX152</f>
        <v>137</v>
      </c>
      <c r="AY153" s="444">
        <f>+SUM(AX152:AY152)</f>
        <v>263</v>
      </c>
      <c r="AZ153" s="444">
        <f>+SUM(AX152:AZ152)</f>
        <v>283</v>
      </c>
      <c r="BA153" s="444">
        <f>+SUM(AX152:BA152)</f>
        <v>382</v>
      </c>
      <c r="BB153" s="444">
        <f>+BA153</f>
        <v>382</v>
      </c>
      <c r="BD153" s="443" t="s">
        <v>130</v>
      </c>
      <c r="BE153" s="444">
        <f>+BE152</f>
        <v>116</v>
      </c>
      <c r="BF153" s="444">
        <f>+SUM(BE152:BF152)</f>
        <v>167</v>
      </c>
      <c r="BG153" s="444">
        <f>+SUM(BE152:BG152)</f>
        <v>188</v>
      </c>
      <c r="BH153" s="444">
        <f>+SUM(BE152:BH152)</f>
        <v>231</v>
      </c>
      <c r="BI153" s="444">
        <f>+BH153</f>
        <v>231</v>
      </c>
      <c r="BK153" s="443" t="s">
        <v>130</v>
      </c>
      <c r="BL153" s="444">
        <f>+BL152</f>
        <v>62</v>
      </c>
      <c r="BM153" s="444">
        <f>+SUM(BL152:BM152)</f>
        <v>108</v>
      </c>
      <c r="BN153" s="444">
        <f>+SUM(BL152:BN152)</f>
        <v>111</v>
      </c>
      <c r="BO153" s="444">
        <f>+SUM(BL152:BO152)</f>
        <v>5</v>
      </c>
      <c r="BP153" s="444">
        <f>+BO153</f>
        <v>5</v>
      </c>
      <c r="BR153" s="443" t="s">
        <v>130</v>
      </c>
      <c r="BS153" s="444">
        <f>+BS152</f>
        <v>-178</v>
      </c>
      <c r="BT153" s="444">
        <f>+SUM(BS152:BT152)</f>
        <v>-165</v>
      </c>
      <c r="BU153" s="444">
        <f>+SUM(BS152:BU152)</f>
        <v>-169</v>
      </c>
      <c r="BV153" s="444">
        <f>+SUM(BS152:BV152)</f>
        <v>-139</v>
      </c>
      <c r="BW153" s="444">
        <f>+BV153</f>
        <v>-139</v>
      </c>
      <c r="BY153" s="443" t="s">
        <v>130</v>
      </c>
      <c r="BZ153" s="444">
        <f>+BZ152</f>
        <v>-131</v>
      </c>
      <c r="CA153" s="444">
        <f>+SUM(BZ152:CA152)</f>
        <v>-121</v>
      </c>
      <c r="CB153" s="444">
        <f>+SUM(BZ152:CB152)</f>
        <v>-107</v>
      </c>
      <c r="CC153" s="444">
        <f>+SUM(BZ152:CC152)</f>
        <v>-90</v>
      </c>
      <c r="CD153" s="444">
        <f>+CC153</f>
        <v>-90</v>
      </c>
      <c r="CF153" s="443" t="s">
        <v>130</v>
      </c>
      <c r="CG153" s="444">
        <f>+CG152</f>
        <v>32</v>
      </c>
      <c r="CH153" s="444">
        <f>+SUM(CG152:CH152)</f>
        <v>30</v>
      </c>
      <c r="CI153" s="444">
        <f>+SUM(CG152:CI152)</f>
        <v>17</v>
      </c>
      <c r="CJ153" s="444">
        <f>+SUM(CG152:CJ152)</f>
        <v>36</v>
      </c>
      <c r="CK153" s="444">
        <f>+CJ153</f>
        <v>36</v>
      </c>
      <c r="CM153" s="443" t="s">
        <v>130</v>
      </c>
      <c r="CN153" s="444">
        <f>+CN152</f>
        <v>15</v>
      </c>
      <c r="CO153" s="444">
        <f>+SUM(CN152:CO152)</f>
        <v>22</v>
      </c>
      <c r="CP153" s="444">
        <f>+SUM(CN152:CP152)</f>
        <v>27</v>
      </c>
      <c r="CQ153" s="444">
        <f>+SUM(CN152:CQ152)</f>
        <v>32</v>
      </c>
      <c r="CR153" s="444">
        <f>+CQ153</f>
        <v>32</v>
      </c>
      <c r="CT153" s="443" t="s">
        <v>130</v>
      </c>
      <c r="CU153" s="444">
        <f>+CU152</f>
        <v>11</v>
      </c>
      <c r="CV153" s="444">
        <f>+SUM(CU152:CV152)</f>
        <v>18</v>
      </c>
      <c r="CW153" s="444">
        <f>+SUM(CU152:CW152)</f>
        <v>2</v>
      </c>
      <c r="CX153" s="444">
        <f>+SUM(CU152:CX152)</f>
        <v>1</v>
      </c>
      <c r="CY153" s="444">
        <f>+CX153</f>
        <v>1</v>
      </c>
      <c r="DA153" s="443" t="s">
        <v>130</v>
      </c>
      <c r="DB153" s="444">
        <f>+DB152</f>
        <v>-2</v>
      </c>
      <c r="DC153" s="444">
        <f>+SUM(DB152:DC152)</f>
        <v>-2</v>
      </c>
      <c r="DD153" s="444">
        <f>+SUM(DB152:DD152)</f>
        <v>-5</v>
      </c>
      <c r="DE153" s="444">
        <f>+SUM(DB152:DE152)</f>
        <v>-4</v>
      </c>
      <c r="DF153" s="444">
        <f>+DE153</f>
        <v>-4</v>
      </c>
      <c r="DH153" s="443" t="s">
        <v>130</v>
      </c>
      <c r="DI153" s="444">
        <f>+DI152</f>
        <v>-13</v>
      </c>
      <c r="DJ153" s="444">
        <f>+SUM(DI152:DJ152)</f>
        <v>-9</v>
      </c>
      <c r="DK153" s="444">
        <f>+SUM(DI152:DK152)</f>
        <v>-3</v>
      </c>
      <c r="DL153" s="444">
        <f>+SUM(DI152:DL152)</f>
        <v>0</v>
      </c>
      <c r="DM153" s="444">
        <f>+DL153</f>
        <v>0</v>
      </c>
      <c r="DO153" s="443" t="s">
        <v>130</v>
      </c>
      <c r="DP153" s="444">
        <f>+DP152</f>
        <v>-270</v>
      </c>
      <c r="DQ153" s="444">
        <f>+SUM(DP152:DQ152)</f>
        <v>-314</v>
      </c>
      <c r="DR153" s="444">
        <f>+SUM(DP152:DR152)</f>
        <v>-310</v>
      </c>
      <c r="DS153" s="444">
        <f>+SUM(DP152:DS152)</f>
        <v>-313</v>
      </c>
      <c r="DT153" s="444">
        <f>+DS153</f>
        <v>-313</v>
      </c>
      <c r="DV153" s="443" t="s">
        <v>130</v>
      </c>
      <c r="DW153" s="444">
        <f>+DW152</f>
        <v>-6</v>
      </c>
      <c r="DX153" s="444">
        <f>+SUM(DW152:DX152)</f>
        <v>-12</v>
      </c>
      <c r="DY153" s="444">
        <f>+SUM(DW152:DY152)</f>
        <v>-19</v>
      </c>
      <c r="DZ153" s="444">
        <f>+SUM(DW152:DZ152)</f>
        <v>-18</v>
      </c>
      <c r="EA153" s="444">
        <f>+DZ153</f>
        <v>-18</v>
      </c>
      <c r="EC153" s="443" t="s">
        <v>130</v>
      </c>
      <c r="ED153" s="444">
        <f>+ED152</f>
        <v>-41</v>
      </c>
      <c r="EE153" s="444">
        <f>+SUM(ED152:EE152)</f>
        <v>-51</v>
      </c>
      <c r="EF153" s="444">
        <f>+SUM(ED152:EF152)</f>
        <v>-52</v>
      </c>
      <c r="EG153" s="444">
        <f>+SUM(ED152:EG152)</f>
        <v>-59</v>
      </c>
      <c r="EH153" s="444">
        <f>+EG153</f>
        <v>-59</v>
      </c>
      <c r="EJ153" s="443" t="s">
        <v>130</v>
      </c>
      <c r="EK153" s="444">
        <f>+EK152</f>
        <v>18</v>
      </c>
      <c r="EL153" s="444">
        <f>+SUM(EK152:EL152)</f>
        <v>28</v>
      </c>
      <c r="EM153" s="444">
        <f>+SUM(EK152:EM152)</f>
        <v>17</v>
      </c>
      <c r="EN153" s="444">
        <f>+SUM(EK152:EN152)</f>
        <v>6</v>
      </c>
      <c r="EO153" s="444">
        <f>+EN153</f>
        <v>6</v>
      </c>
      <c r="EQ153" s="443" t="s">
        <v>130</v>
      </c>
      <c r="ER153" s="444">
        <f>+ER152</f>
        <v>-7</v>
      </c>
      <c r="ES153" s="444">
        <f>+SUM(ER152:ES152)</f>
        <v>-5</v>
      </c>
      <c r="ET153" s="444">
        <f>+SUM(ER152:ET152)</f>
        <v>13</v>
      </c>
      <c r="EU153" s="444">
        <f>+SUM(ER152:EU152)</f>
        <v>-34</v>
      </c>
      <c r="EV153" s="444">
        <f>+EU153</f>
        <v>-34</v>
      </c>
      <c r="EX153" s="443" t="s">
        <v>130</v>
      </c>
      <c r="EY153" s="444">
        <f>+EY152</f>
        <v>15</v>
      </c>
      <c r="EZ153" s="444">
        <f>+SUM(EY152:EZ152)</f>
        <v>22</v>
      </c>
      <c r="FA153" s="444">
        <f>+SUM(EY152:FA152)</f>
        <v>33</v>
      </c>
      <c r="FB153" s="444">
        <f>+SUM(EY152:FB152)</f>
        <v>39</v>
      </c>
      <c r="FC153" s="444">
        <f>+FB153</f>
        <v>39</v>
      </c>
      <c r="FE153" s="443" t="s">
        <v>130</v>
      </c>
      <c r="FF153" s="444">
        <f>+FF152</f>
        <v>6</v>
      </c>
      <c r="FG153" s="444">
        <f>+SUM(FF152:FG152)</f>
        <v>15</v>
      </c>
      <c r="FH153" s="444">
        <f>+SUM(FF152:FH152)</f>
        <v>-6</v>
      </c>
      <c r="FI153" s="444">
        <f>+SUM(FF152:FI152)</f>
        <v>0</v>
      </c>
      <c r="FJ153" s="444">
        <f>+FI153</f>
        <v>0</v>
      </c>
      <c r="FL153" s="443" t="s">
        <v>130</v>
      </c>
      <c r="FM153" s="444">
        <f>+FM152</f>
        <v>-3</v>
      </c>
      <c r="FN153" s="444">
        <f>+SUM(FM152:FN152)</f>
        <v>19</v>
      </c>
      <c r="FO153" s="444">
        <f>+SUM(FM152:FO152)</f>
        <v>25</v>
      </c>
      <c r="FP153" s="444">
        <f>+SUM(FM152:FP152)</f>
        <v>50</v>
      </c>
      <c r="FQ153" s="444">
        <f>+FP153</f>
        <v>50</v>
      </c>
      <c r="FS153" s="443" t="s">
        <v>130</v>
      </c>
      <c r="FT153" s="444">
        <f>+FT152</f>
        <v>34</v>
      </c>
      <c r="FU153" s="496">
        <f>+SUM(FT152:FU152)</f>
        <v>42</v>
      </c>
      <c r="FV153" s="444">
        <f>+SUM(FT152:FV152)</f>
        <v>72</v>
      </c>
      <c r="FW153" s="444">
        <f>+SUM(FT152:FW152)</f>
        <v>113</v>
      </c>
      <c r="FX153" s="444">
        <f>+FW153</f>
        <v>113</v>
      </c>
      <c r="FZ153" s="443" t="s">
        <v>130</v>
      </c>
      <c r="GA153" s="444">
        <f>+GA152</f>
        <v>-4</v>
      </c>
      <c r="GB153" s="496">
        <f>+SUM(GA152:GB152)</f>
        <v>81</v>
      </c>
      <c r="GC153" s="444">
        <f>+SUM(GA152:GC152)</f>
        <v>23</v>
      </c>
      <c r="GD153" s="496">
        <f>+SUM(GA152:GD152)</f>
        <v>13</v>
      </c>
      <c r="GE153" s="496">
        <f>+GD153</f>
        <v>13</v>
      </c>
      <c r="GG153" s="443" t="s">
        <v>130</v>
      </c>
      <c r="GH153" s="496">
        <f>+GH152</f>
        <v>-25</v>
      </c>
      <c r="GI153" s="496">
        <f>+SUM(GH152:GI152)</f>
        <v>-50</v>
      </c>
      <c r="GJ153" s="496">
        <f>+SUM(GH152:GJ152)</f>
        <v>-75</v>
      </c>
      <c r="GK153" s="496">
        <f>+SUM(GH152:GK152)</f>
        <v>-100</v>
      </c>
      <c r="GL153" s="496">
        <f>+GK153</f>
        <v>-100</v>
      </c>
      <c r="GN153" s="443" t="s">
        <v>130</v>
      </c>
      <c r="GO153" s="496">
        <f>+GO152</f>
        <v>-25</v>
      </c>
      <c r="GP153" s="496">
        <f>+SUM(GO152:GP152)</f>
        <v>-50</v>
      </c>
      <c r="GQ153" s="496">
        <f>+SUM(GO152:GQ152)</f>
        <v>-75</v>
      </c>
      <c r="GR153" s="496">
        <f>+SUM(GO152:GR152)</f>
        <v>-100</v>
      </c>
      <c r="GS153" s="496">
        <f>+GR153</f>
        <v>-100</v>
      </c>
      <c r="GU153" s="443" t="s">
        <v>130</v>
      </c>
      <c r="GV153" s="496">
        <f>+GV152</f>
        <v>-25</v>
      </c>
      <c r="GW153" s="496">
        <f>+SUM(GV152:GW152)</f>
        <v>-50</v>
      </c>
      <c r="GX153" s="496">
        <f>+SUM(GV152:GX152)</f>
        <v>-75</v>
      </c>
      <c r="GY153" s="496">
        <f>+SUM(GV152:GY152)</f>
        <v>-100</v>
      </c>
      <c r="GZ153" s="496">
        <f>+GY153</f>
        <v>-100</v>
      </c>
    </row>
    <row r="154" spans="1:208" x14ac:dyDescent="0.4">
      <c r="A154" s="366"/>
      <c r="B154" s="477"/>
      <c r="C154" s="478"/>
      <c r="D154" s="478"/>
      <c r="E154" s="478"/>
      <c r="F154" s="478"/>
      <c r="G154" s="478"/>
      <c r="H154" s="478"/>
      <c r="I154" s="478"/>
      <c r="J154" s="478"/>
      <c r="K154" s="478"/>
      <c r="L154" s="478"/>
      <c r="M154" s="478"/>
      <c r="N154" s="478"/>
      <c r="O154" s="478"/>
      <c r="P154" s="478"/>
      <c r="Q154" s="478"/>
      <c r="R154" s="478"/>
      <c r="S154" s="478"/>
      <c r="T154" s="478"/>
      <c r="U154" s="478"/>
      <c r="V154" s="500"/>
      <c r="W154" s="500"/>
      <c r="X154" s="500"/>
      <c r="Y154" s="500"/>
      <c r="Z154" s="500"/>
      <c r="AA154" s="478"/>
      <c r="AB154" s="478"/>
      <c r="AC154" s="478"/>
      <c r="AD154" s="478"/>
      <c r="AE154" s="478"/>
      <c r="AF154" s="478"/>
      <c r="AG154" s="478"/>
      <c r="AH154" s="478"/>
      <c r="AI154" s="478"/>
      <c r="AJ154" s="478"/>
      <c r="AK154" s="478"/>
      <c r="AL154" s="478"/>
      <c r="AM154" s="478"/>
      <c r="AN154" s="478"/>
      <c r="AP154" s="477"/>
      <c r="AQ154" s="478"/>
      <c r="AR154" s="478"/>
      <c r="AS154" s="478"/>
      <c r="AT154" s="478"/>
      <c r="AU154" s="478"/>
      <c r="AW154" s="477"/>
      <c r="AX154" s="478"/>
      <c r="AY154" s="478"/>
      <c r="AZ154" s="478"/>
      <c r="BA154" s="478"/>
      <c r="BB154" s="478"/>
      <c r="BD154" s="477"/>
      <c r="BE154" s="478"/>
      <c r="BF154" s="478"/>
      <c r="BG154" s="478"/>
      <c r="BH154" s="478"/>
      <c r="BI154" s="478"/>
      <c r="BK154" s="477"/>
      <c r="BL154" s="478"/>
      <c r="BM154" s="478"/>
      <c r="BN154" s="478"/>
      <c r="BO154" s="478"/>
      <c r="BP154" s="478"/>
      <c r="BR154" s="477"/>
      <c r="BS154" s="478"/>
      <c r="BT154" s="478"/>
      <c r="BU154" s="478"/>
      <c r="BV154" s="478"/>
      <c r="BW154" s="478"/>
      <c r="BY154" s="477"/>
      <c r="BZ154" s="478"/>
      <c r="CA154" s="478"/>
      <c r="CB154" s="478"/>
      <c r="CC154" s="478"/>
      <c r="CD154" s="478"/>
      <c r="CF154" s="477"/>
      <c r="CG154" s="478"/>
      <c r="CH154" s="478"/>
      <c r="CI154" s="478"/>
      <c r="CJ154" s="478"/>
      <c r="CK154" s="478"/>
      <c r="CM154" s="477"/>
      <c r="CN154" s="478"/>
      <c r="CO154" s="478"/>
      <c r="CP154" s="478"/>
      <c r="CQ154" s="478"/>
      <c r="CR154" s="478"/>
      <c r="CT154" s="477"/>
      <c r="CU154" s="478"/>
      <c r="CV154" s="478"/>
      <c r="CW154" s="478"/>
      <c r="CX154" s="478"/>
      <c r="CY154" s="478"/>
      <c r="DA154" s="477"/>
      <c r="DB154" s="478"/>
      <c r="DC154" s="478"/>
      <c r="DD154" s="478"/>
      <c r="DE154" s="478"/>
      <c r="DF154" s="478"/>
      <c r="DH154" s="477"/>
      <c r="DI154" s="478"/>
      <c r="DJ154" s="478"/>
      <c r="DK154" s="478"/>
      <c r="DL154" s="478"/>
      <c r="DM154" s="478"/>
      <c r="DO154" s="477"/>
      <c r="DP154" s="478"/>
      <c r="DQ154" s="478"/>
      <c r="DR154" s="478"/>
      <c r="DS154" s="478"/>
      <c r="DT154" s="478"/>
      <c r="DV154" s="477"/>
      <c r="DW154" s="478"/>
      <c r="DX154" s="478"/>
      <c r="DY154" s="478"/>
      <c r="DZ154" s="478"/>
      <c r="EA154" s="478"/>
      <c r="EC154" s="477"/>
      <c r="ED154" s="478"/>
      <c r="EE154" s="478"/>
      <c r="EF154" s="478"/>
      <c r="EG154" s="478"/>
      <c r="EH154" s="478"/>
      <c r="EJ154" s="477"/>
      <c r="EK154" s="478"/>
      <c r="EL154" s="478"/>
      <c r="EM154" s="478"/>
      <c r="EN154" s="478"/>
      <c r="EO154" s="478"/>
      <c r="EQ154" s="477"/>
      <c r="ER154" s="478"/>
      <c r="ES154" s="478"/>
      <c r="ET154" s="478"/>
      <c r="EU154" s="478"/>
      <c r="EV154" s="478"/>
      <c r="EX154" s="477"/>
      <c r="EY154" s="478"/>
      <c r="EZ154" s="478"/>
      <c r="FA154" s="478"/>
      <c r="FB154" s="478"/>
      <c r="FC154" s="478"/>
      <c r="FE154" s="477"/>
      <c r="FF154" s="478"/>
      <c r="FG154" s="478"/>
      <c r="FH154" s="478"/>
      <c r="FI154" s="478"/>
      <c r="FJ154" s="478"/>
      <c r="FL154" s="477"/>
      <c r="FM154" s="478"/>
      <c r="FN154" s="478"/>
      <c r="FO154" s="478"/>
      <c r="FP154" s="478"/>
      <c r="FQ154" s="478"/>
      <c r="FS154" s="477"/>
      <c r="FT154" s="478"/>
      <c r="FU154" s="478"/>
      <c r="FV154" s="478"/>
      <c r="FW154" s="478"/>
      <c r="FX154" s="478"/>
      <c r="FZ154" s="477"/>
      <c r="GA154" s="478"/>
      <c r="GB154" s="478"/>
      <c r="GC154" s="478"/>
      <c r="GD154" s="478"/>
      <c r="GE154" s="478"/>
      <c r="GG154" s="477"/>
      <c r="GH154" s="478"/>
      <c r="GI154" s="478"/>
      <c r="GJ154" s="478"/>
      <c r="GK154" s="478"/>
      <c r="GL154" s="478"/>
      <c r="GN154" s="477"/>
      <c r="GO154" s="478"/>
      <c r="GP154" s="478"/>
      <c r="GQ154" s="478"/>
      <c r="GR154" s="478"/>
      <c r="GS154" s="478"/>
      <c r="GU154" s="477"/>
      <c r="GV154" s="478"/>
      <c r="GW154" s="478"/>
      <c r="GX154" s="478"/>
      <c r="GY154" s="478"/>
      <c r="GZ154" s="478"/>
    </row>
    <row r="155" spans="1:208" x14ac:dyDescent="0.4">
      <c r="A155" s="366"/>
      <c r="B155" s="76" t="s">
        <v>30</v>
      </c>
      <c r="AP155" s="76" t="s">
        <v>30</v>
      </c>
      <c r="AW155" s="76" t="s">
        <v>30</v>
      </c>
      <c r="BD155" s="76" t="s">
        <v>30</v>
      </c>
      <c r="BK155" s="76" t="s">
        <v>30</v>
      </c>
      <c r="BR155" s="76" t="s">
        <v>30</v>
      </c>
      <c r="BY155" s="76" t="s">
        <v>30</v>
      </c>
      <c r="CF155" s="76" t="s">
        <v>30</v>
      </c>
      <c r="CM155" s="76" t="s">
        <v>30</v>
      </c>
      <c r="CT155" s="76" t="s">
        <v>30</v>
      </c>
      <c r="DA155" s="76" t="s">
        <v>30</v>
      </c>
      <c r="DH155" s="76" t="s">
        <v>30</v>
      </c>
      <c r="DO155" s="76" t="s">
        <v>30</v>
      </c>
      <c r="DV155" s="76" t="s">
        <v>30</v>
      </c>
      <c r="EC155" s="76" t="s">
        <v>30</v>
      </c>
      <c r="EJ155" s="76" t="s">
        <v>30</v>
      </c>
      <c r="EQ155" s="76" t="s">
        <v>30</v>
      </c>
      <c r="EX155" s="76" t="s">
        <v>30</v>
      </c>
      <c r="FE155" s="76" t="s">
        <v>30</v>
      </c>
      <c r="FL155" s="76" t="s">
        <v>30</v>
      </c>
      <c r="FS155" s="76" t="s">
        <v>30</v>
      </c>
      <c r="FZ155" s="76" t="s">
        <v>30</v>
      </c>
      <c r="GG155" s="76" t="s">
        <v>30</v>
      </c>
      <c r="GN155" s="76" t="s">
        <v>30</v>
      </c>
      <c r="GU155" s="76" t="s">
        <v>30</v>
      </c>
    </row>
    <row r="156" spans="1:208" x14ac:dyDescent="0.4">
      <c r="A156" s="460"/>
      <c r="B156" s="76"/>
      <c r="AP156" s="76"/>
      <c r="AW156" s="76"/>
      <c r="BD156" s="76"/>
      <c r="BK156" s="76"/>
      <c r="BR156" s="76"/>
      <c r="BY156" s="76"/>
      <c r="CF156" s="76"/>
      <c r="CM156" s="76"/>
      <c r="CT156" s="76"/>
      <c r="DA156" s="76"/>
      <c r="DH156" s="76"/>
      <c r="DO156" s="76"/>
      <c r="DV156" s="76"/>
      <c r="EC156" s="76"/>
      <c r="EJ156" s="76"/>
      <c r="EQ156" s="76"/>
      <c r="EX156" s="76"/>
      <c r="FE156" s="76"/>
      <c r="FL156" s="76"/>
      <c r="FS156" s="76"/>
      <c r="FZ156" s="76"/>
      <c r="GG156" s="76"/>
      <c r="GN156" s="76"/>
      <c r="GU156" s="76"/>
    </row>
    <row r="157" spans="1:208" x14ac:dyDescent="0.4">
      <c r="B157" s="76"/>
      <c r="AP157" s="76"/>
      <c r="AW157" s="76"/>
      <c r="BD157" s="76"/>
      <c r="BK157" s="76"/>
      <c r="BR157" s="76"/>
      <c r="BY157" s="76"/>
      <c r="CF157" s="76"/>
      <c r="CM157" s="76"/>
      <c r="CT157" s="76"/>
      <c r="DA157" s="76"/>
      <c r="DH157" s="76"/>
      <c r="DO157" s="76"/>
      <c r="DV157" s="76"/>
      <c r="EC157" s="76"/>
      <c r="EJ157" s="76"/>
      <c r="EQ157" s="76"/>
      <c r="EX157" s="76"/>
      <c r="FE157" s="76"/>
      <c r="FL157" s="76"/>
      <c r="FS157" s="76"/>
      <c r="FZ157" s="76"/>
      <c r="GG157" s="76"/>
      <c r="GN157" s="76"/>
      <c r="GU157" s="76"/>
    </row>
    <row r="158" spans="1:208" x14ac:dyDescent="0.4">
      <c r="B158" s="39" t="s">
        <v>187</v>
      </c>
      <c r="C158" s="40">
        <f>AU158</f>
        <v>2005</v>
      </c>
      <c r="D158" s="40">
        <f>BB158</f>
        <v>2006</v>
      </c>
      <c r="E158" s="40">
        <f>BI158</f>
        <v>2007</v>
      </c>
      <c r="F158" s="40">
        <f>BP158</f>
        <v>2008</v>
      </c>
      <c r="G158" s="40">
        <f>BW158</f>
        <v>2009</v>
      </c>
      <c r="H158" s="40">
        <f>CD158</f>
        <v>2010</v>
      </c>
      <c r="I158" s="40">
        <f>CK158</f>
        <v>2011</v>
      </c>
      <c r="J158" s="40">
        <f>CR158</f>
        <v>2012</v>
      </c>
      <c r="K158" s="40">
        <f>CY158</f>
        <v>2013</v>
      </c>
      <c r="L158" s="40">
        <f>DF158</f>
        <v>2014</v>
      </c>
      <c r="M158" s="40">
        <f>DM158</f>
        <v>2015</v>
      </c>
      <c r="N158" s="40">
        <f>DT158</f>
        <v>2016</v>
      </c>
      <c r="O158" s="40">
        <f>EA158</f>
        <v>2017</v>
      </c>
      <c r="P158" s="40">
        <f>EH158</f>
        <v>2018</v>
      </c>
      <c r="Q158" s="40">
        <f>EO158</f>
        <v>2019</v>
      </c>
      <c r="R158" s="40">
        <f>EV158</f>
        <v>2020</v>
      </c>
      <c r="S158" s="40">
        <f>FC158</f>
        <v>2021</v>
      </c>
      <c r="T158" s="40">
        <f>FJ158</f>
        <v>2022</v>
      </c>
      <c r="U158" s="40">
        <f>FQ158</f>
        <v>2023</v>
      </c>
      <c r="V158" s="311">
        <f>FX158</f>
        <v>2024</v>
      </c>
      <c r="W158" s="311">
        <f>GE158</f>
        <v>2025</v>
      </c>
      <c r="X158" s="311" t="str">
        <f>GL158</f>
        <v>2026E</v>
      </c>
      <c r="Y158" s="311" t="str">
        <f>GS158</f>
        <v>2027E</v>
      </c>
      <c r="Z158" s="311" t="str">
        <f>GZ158</f>
        <v>2028E</v>
      </c>
      <c r="AA158" s="311"/>
      <c r="AB158" s="311"/>
      <c r="AC158" s="311"/>
      <c r="AD158" s="311"/>
      <c r="AE158" s="311"/>
      <c r="AF158" s="311"/>
      <c r="AG158" s="311"/>
      <c r="AH158" s="311"/>
      <c r="AI158" s="311"/>
      <c r="AJ158" s="311"/>
      <c r="AK158" s="311"/>
      <c r="AL158" s="311"/>
      <c r="AM158" s="311"/>
      <c r="AN158" s="311"/>
      <c r="AP158" s="39" t="s">
        <v>187</v>
      </c>
      <c r="AQ158" s="210" t="str">
        <f t="shared" ref="AQ158:AU159" si="259">+AQ4</f>
        <v>1Q05</v>
      </c>
      <c r="AR158" s="210" t="str">
        <f t="shared" si="259"/>
        <v>2Q05</v>
      </c>
      <c r="AS158" s="210" t="str">
        <f t="shared" si="259"/>
        <v>3Q05</v>
      </c>
      <c r="AT158" s="210" t="str">
        <f t="shared" si="259"/>
        <v>4Q05</v>
      </c>
      <c r="AU158" s="210">
        <f t="shared" si="259"/>
        <v>2005</v>
      </c>
      <c r="AW158" s="39" t="s">
        <v>187</v>
      </c>
      <c r="AX158" s="210" t="str">
        <f t="shared" ref="AX158:BB158" si="260">+AX4</f>
        <v>1Q06</v>
      </c>
      <c r="AY158" s="210" t="str">
        <f t="shared" si="260"/>
        <v>2Q06</v>
      </c>
      <c r="AZ158" s="210" t="str">
        <f t="shared" si="260"/>
        <v>3Q06</v>
      </c>
      <c r="BA158" s="210" t="str">
        <f t="shared" si="260"/>
        <v>4Q06</v>
      </c>
      <c r="BB158" s="210">
        <f t="shared" si="260"/>
        <v>2006</v>
      </c>
      <c r="BD158" s="39" t="s">
        <v>187</v>
      </c>
      <c r="BE158" s="210" t="str">
        <f t="shared" ref="BE158:BI158" si="261">+BE4</f>
        <v>1Q07</v>
      </c>
      <c r="BF158" s="210" t="str">
        <f t="shared" si="261"/>
        <v>2Q07</v>
      </c>
      <c r="BG158" s="210" t="str">
        <f t="shared" si="261"/>
        <v>3Q07</v>
      </c>
      <c r="BH158" s="210" t="str">
        <f t="shared" si="261"/>
        <v>4Q07</v>
      </c>
      <c r="BI158" s="210">
        <f t="shared" si="261"/>
        <v>2007</v>
      </c>
      <c r="BK158" s="39" t="s">
        <v>187</v>
      </c>
      <c r="BL158" s="210" t="str">
        <f t="shared" ref="BL158:BP158" si="262">+BL4</f>
        <v>1Q08</v>
      </c>
      <c r="BM158" s="210" t="str">
        <f t="shared" si="262"/>
        <v>2Q08</v>
      </c>
      <c r="BN158" s="210" t="str">
        <f t="shared" si="262"/>
        <v>3Q08</v>
      </c>
      <c r="BO158" s="210" t="str">
        <f t="shared" si="262"/>
        <v>4Q08</v>
      </c>
      <c r="BP158" s="210">
        <f t="shared" si="262"/>
        <v>2008</v>
      </c>
      <c r="BR158" s="39" t="s">
        <v>187</v>
      </c>
      <c r="BS158" s="210" t="str">
        <f t="shared" ref="BS158:BW158" si="263">+BS4</f>
        <v>1Q09</v>
      </c>
      <c r="BT158" s="210" t="str">
        <f t="shared" si="263"/>
        <v>2Q09</v>
      </c>
      <c r="BU158" s="210" t="str">
        <f t="shared" si="263"/>
        <v>3Q09</v>
      </c>
      <c r="BV158" s="210" t="str">
        <f t="shared" si="263"/>
        <v>4Q09</v>
      </c>
      <c r="BW158" s="210">
        <f t="shared" si="263"/>
        <v>2009</v>
      </c>
      <c r="BY158" s="39" t="s">
        <v>187</v>
      </c>
      <c r="BZ158" s="210" t="str">
        <f t="shared" ref="BZ158:CD158" si="264">+BZ4</f>
        <v>1Q10</v>
      </c>
      <c r="CA158" s="210" t="str">
        <f t="shared" si="264"/>
        <v>2Q10</v>
      </c>
      <c r="CB158" s="210" t="str">
        <f t="shared" si="264"/>
        <v>3Q10</v>
      </c>
      <c r="CC158" s="210" t="str">
        <f t="shared" si="264"/>
        <v>4Q10</v>
      </c>
      <c r="CD158" s="210">
        <f t="shared" si="264"/>
        <v>2010</v>
      </c>
      <c r="CF158" s="39" t="s">
        <v>187</v>
      </c>
      <c r="CG158" s="210" t="str">
        <f t="shared" ref="CG158:CK158" si="265">+CG4</f>
        <v>1Q11</v>
      </c>
      <c r="CH158" s="210" t="str">
        <f t="shared" si="265"/>
        <v>2Q11</v>
      </c>
      <c r="CI158" s="210" t="str">
        <f t="shared" si="265"/>
        <v>3Q11</v>
      </c>
      <c r="CJ158" s="210" t="str">
        <f t="shared" si="265"/>
        <v>4Q11</v>
      </c>
      <c r="CK158" s="210">
        <f t="shared" si="265"/>
        <v>2011</v>
      </c>
      <c r="CM158" s="39" t="s">
        <v>187</v>
      </c>
      <c r="CN158" s="210" t="str">
        <f t="shared" ref="CN158:CR158" si="266">+CN4</f>
        <v>1Q12</v>
      </c>
      <c r="CO158" s="210" t="str">
        <f t="shared" si="266"/>
        <v>2Q12</v>
      </c>
      <c r="CP158" s="210" t="str">
        <f t="shared" si="266"/>
        <v>3Q12</v>
      </c>
      <c r="CQ158" s="210" t="str">
        <f t="shared" si="266"/>
        <v>4Q12</v>
      </c>
      <c r="CR158" s="210">
        <f t="shared" si="266"/>
        <v>2012</v>
      </c>
      <c r="CT158" s="39" t="s">
        <v>187</v>
      </c>
      <c r="CU158" s="210" t="str">
        <f t="shared" ref="CU158:CY158" si="267">+CU4</f>
        <v>1Q13</v>
      </c>
      <c r="CV158" s="210" t="str">
        <f t="shared" si="267"/>
        <v>2Q13</v>
      </c>
      <c r="CW158" s="210" t="str">
        <f t="shared" si="267"/>
        <v>3Q13</v>
      </c>
      <c r="CX158" s="210" t="str">
        <f t="shared" si="267"/>
        <v>4Q13</v>
      </c>
      <c r="CY158" s="210">
        <f t="shared" si="267"/>
        <v>2013</v>
      </c>
      <c r="DA158" s="39" t="s">
        <v>187</v>
      </c>
      <c r="DB158" s="210" t="str">
        <f t="shared" ref="DB158:DF158" si="268">+DB4</f>
        <v>1Q14</v>
      </c>
      <c r="DC158" s="210" t="str">
        <f t="shared" si="268"/>
        <v>2Q14</v>
      </c>
      <c r="DD158" s="210" t="str">
        <f t="shared" si="268"/>
        <v>3Q14</v>
      </c>
      <c r="DE158" s="210" t="str">
        <f t="shared" si="268"/>
        <v>4Q14</v>
      </c>
      <c r="DF158" s="210">
        <f t="shared" si="268"/>
        <v>2014</v>
      </c>
      <c r="DH158" s="39" t="s">
        <v>187</v>
      </c>
      <c r="DI158" s="210" t="str">
        <f t="shared" ref="DI158:DM158" si="269">+DI4</f>
        <v>1Q15</v>
      </c>
      <c r="DJ158" s="210" t="str">
        <f t="shared" si="269"/>
        <v>2Q15</v>
      </c>
      <c r="DK158" s="210" t="str">
        <f t="shared" si="269"/>
        <v>3Q15</v>
      </c>
      <c r="DL158" s="210" t="str">
        <f t="shared" si="269"/>
        <v>4Q15</v>
      </c>
      <c r="DM158" s="210">
        <f t="shared" si="269"/>
        <v>2015</v>
      </c>
      <c r="DO158" s="39" t="s">
        <v>187</v>
      </c>
      <c r="DP158" s="210" t="str">
        <f t="shared" ref="DP158:DT158" si="270">+DP4</f>
        <v>1Q16</v>
      </c>
      <c r="DQ158" s="210" t="str">
        <f t="shared" si="270"/>
        <v>2Q16</v>
      </c>
      <c r="DR158" s="210" t="str">
        <f t="shared" si="270"/>
        <v>3Q16</v>
      </c>
      <c r="DS158" s="210" t="str">
        <f t="shared" si="270"/>
        <v>4Q16</v>
      </c>
      <c r="DT158" s="210">
        <f t="shared" si="270"/>
        <v>2016</v>
      </c>
      <c r="DV158" s="39" t="s">
        <v>187</v>
      </c>
      <c r="DW158" s="210" t="str">
        <f t="shared" ref="DW158:EA158" si="271">+DW4</f>
        <v>1Q17</v>
      </c>
      <c r="DX158" s="210" t="str">
        <f t="shared" si="271"/>
        <v>2Q17</v>
      </c>
      <c r="DY158" s="210" t="str">
        <f t="shared" si="271"/>
        <v>3Q17</v>
      </c>
      <c r="DZ158" s="210" t="str">
        <f t="shared" si="271"/>
        <v>4Q17</v>
      </c>
      <c r="EA158" s="210">
        <f t="shared" si="271"/>
        <v>2017</v>
      </c>
      <c r="EC158" s="39" t="s">
        <v>187</v>
      </c>
      <c r="ED158" s="210" t="str">
        <f t="shared" ref="ED158:EH158" si="272">+ED4</f>
        <v>1Q18</v>
      </c>
      <c r="EE158" s="210" t="str">
        <f t="shared" si="272"/>
        <v>2Q18</v>
      </c>
      <c r="EF158" s="210" t="str">
        <f t="shared" si="272"/>
        <v>3Q18</v>
      </c>
      <c r="EG158" s="210" t="str">
        <f t="shared" si="272"/>
        <v>4Q18</v>
      </c>
      <c r="EH158" s="210">
        <f t="shared" si="272"/>
        <v>2018</v>
      </c>
      <c r="EJ158" s="39" t="s">
        <v>187</v>
      </c>
      <c r="EK158" s="210" t="str">
        <f t="shared" ref="EK158:EO158" si="273">+EK4</f>
        <v>1Q19</v>
      </c>
      <c r="EL158" s="210" t="str">
        <f t="shared" si="273"/>
        <v>2Q19</v>
      </c>
      <c r="EM158" s="210" t="str">
        <f t="shared" si="273"/>
        <v>3Q19</v>
      </c>
      <c r="EN158" s="210" t="str">
        <f t="shared" si="273"/>
        <v>4Q19</v>
      </c>
      <c r="EO158" s="210">
        <f t="shared" si="273"/>
        <v>2019</v>
      </c>
      <c r="EQ158" s="39" t="s">
        <v>187</v>
      </c>
      <c r="ER158" s="210" t="str">
        <f t="shared" ref="ER158:EV158" si="274">+ER4</f>
        <v>1Q20</v>
      </c>
      <c r="ES158" s="210" t="str">
        <f t="shared" si="274"/>
        <v>2Q20</v>
      </c>
      <c r="ET158" s="210" t="str">
        <f t="shared" si="274"/>
        <v>3Q20</v>
      </c>
      <c r="EU158" s="210" t="str">
        <f t="shared" si="274"/>
        <v>4Q20</v>
      </c>
      <c r="EV158" s="210">
        <f t="shared" si="274"/>
        <v>2020</v>
      </c>
      <c r="EX158" s="39" t="s">
        <v>187</v>
      </c>
      <c r="EY158" s="210" t="str">
        <f t="shared" ref="EY158:FC158" si="275">+EY4</f>
        <v>1Q21</v>
      </c>
      <c r="EZ158" s="210" t="str">
        <f t="shared" si="275"/>
        <v>2Q21</v>
      </c>
      <c r="FA158" s="210" t="str">
        <f t="shared" si="275"/>
        <v>3Q21</v>
      </c>
      <c r="FB158" s="210" t="str">
        <f t="shared" si="275"/>
        <v>4Q21</v>
      </c>
      <c r="FC158" s="210">
        <f t="shared" si="275"/>
        <v>2021</v>
      </c>
      <c r="FE158" s="39" t="s">
        <v>187</v>
      </c>
      <c r="FF158" s="210" t="str">
        <f t="shared" ref="FF158:FJ158" si="276">+FF4</f>
        <v>1Q22</v>
      </c>
      <c r="FG158" s="210" t="str">
        <f t="shared" si="276"/>
        <v>2Q22</v>
      </c>
      <c r="FH158" s="210" t="str">
        <f t="shared" si="276"/>
        <v>3Q22</v>
      </c>
      <c r="FI158" s="210" t="str">
        <f t="shared" si="276"/>
        <v>4Q22</v>
      </c>
      <c r="FJ158" s="210">
        <f t="shared" si="276"/>
        <v>2022</v>
      </c>
      <c r="FL158" s="39" t="s">
        <v>187</v>
      </c>
      <c r="FM158" s="210" t="str">
        <f t="shared" ref="FM158:FQ158" si="277">+FM4</f>
        <v>1Q23</v>
      </c>
      <c r="FN158" s="210" t="str">
        <f t="shared" si="277"/>
        <v>2Q23</v>
      </c>
      <c r="FO158" s="210" t="str">
        <f t="shared" si="277"/>
        <v>3Q23</v>
      </c>
      <c r="FP158" s="210" t="str">
        <f t="shared" si="277"/>
        <v>4Q23</v>
      </c>
      <c r="FQ158" s="210">
        <f t="shared" si="277"/>
        <v>2023</v>
      </c>
      <c r="FS158" s="39" t="s">
        <v>187</v>
      </c>
      <c r="FT158" s="210" t="str">
        <f t="shared" ref="FT158:FX158" si="278">+FT4</f>
        <v>1Q24</v>
      </c>
      <c r="FU158" s="210" t="str">
        <f t="shared" si="278"/>
        <v>2Q24</v>
      </c>
      <c r="FV158" s="210" t="str">
        <f t="shared" si="278"/>
        <v>3Q24</v>
      </c>
      <c r="FW158" s="210" t="str">
        <f t="shared" si="278"/>
        <v>4Q24</v>
      </c>
      <c r="FX158" s="210">
        <f t="shared" si="278"/>
        <v>2024</v>
      </c>
      <c r="FZ158" s="39" t="s">
        <v>187</v>
      </c>
      <c r="GA158" s="210" t="str">
        <f t="shared" ref="GA158:GE158" si="279">+GA4</f>
        <v>1Q25</v>
      </c>
      <c r="GB158" s="210" t="str">
        <f t="shared" si="279"/>
        <v>2Q25</v>
      </c>
      <c r="GC158" s="210" t="str">
        <f t="shared" si="279"/>
        <v>3Q25</v>
      </c>
      <c r="GD158" s="210" t="str">
        <f t="shared" si="279"/>
        <v>4Q25</v>
      </c>
      <c r="GE158" s="210">
        <f t="shared" si="279"/>
        <v>2025</v>
      </c>
      <c r="GG158" s="39" t="s">
        <v>187</v>
      </c>
      <c r="GH158" s="210" t="str">
        <f t="shared" ref="GH158:GL158" si="280">+GH4</f>
        <v>1Q26E</v>
      </c>
      <c r="GI158" s="210" t="str">
        <f t="shared" si="280"/>
        <v>2Q26E</v>
      </c>
      <c r="GJ158" s="210" t="str">
        <f t="shared" si="280"/>
        <v>3Q26E</v>
      </c>
      <c r="GK158" s="210" t="str">
        <f t="shared" si="280"/>
        <v>4Q26E</v>
      </c>
      <c r="GL158" s="210" t="str">
        <f t="shared" si="280"/>
        <v>2026E</v>
      </c>
      <c r="GN158" s="39" t="s">
        <v>187</v>
      </c>
      <c r="GO158" s="210" t="str">
        <f t="shared" ref="GO158:GS158" si="281">+GO4</f>
        <v>1Q27E</v>
      </c>
      <c r="GP158" s="210" t="str">
        <f t="shared" si="281"/>
        <v>2Q27E</v>
      </c>
      <c r="GQ158" s="210" t="str">
        <f t="shared" si="281"/>
        <v>3Q27E</v>
      </c>
      <c r="GR158" s="210" t="str">
        <f t="shared" si="281"/>
        <v>4Q27E</v>
      </c>
      <c r="GS158" s="210" t="str">
        <f t="shared" si="281"/>
        <v>2027E</v>
      </c>
      <c r="GU158" s="39" t="s">
        <v>187</v>
      </c>
      <c r="GV158" s="210" t="str">
        <f t="shared" ref="GV158:GZ158" si="282">+GV4</f>
        <v>1Q28E</v>
      </c>
      <c r="GW158" s="210" t="str">
        <f t="shared" si="282"/>
        <v>2Q28E</v>
      </c>
      <c r="GX158" s="210" t="str">
        <f t="shared" si="282"/>
        <v>3Q28E</v>
      </c>
      <c r="GY158" s="210" t="str">
        <f t="shared" si="282"/>
        <v>4Q28E</v>
      </c>
      <c r="GZ158" s="210" t="str">
        <f t="shared" si="282"/>
        <v>2028E</v>
      </c>
    </row>
    <row r="159" spans="1:208" x14ac:dyDescent="0.4">
      <c r="B159" s="42" t="s">
        <v>1</v>
      </c>
      <c r="C159" s="43" t="str">
        <f>AU159</f>
        <v>FY</v>
      </c>
      <c r="D159" s="43" t="str">
        <f>BB159</f>
        <v>FY</v>
      </c>
      <c r="E159" s="43" t="str">
        <f>BI159</f>
        <v>FY</v>
      </c>
      <c r="F159" s="43" t="str">
        <f>BP159</f>
        <v>FY</v>
      </c>
      <c r="G159" s="43" t="str">
        <f>BW159</f>
        <v>FY</v>
      </c>
      <c r="H159" s="43" t="str">
        <f>CD159</f>
        <v>FY</v>
      </c>
      <c r="I159" s="43" t="str">
        <f>CK159</f>
        <v>FY</v>
      </c>
      <c r="J159" s="43" t="str">
        <f>CR159</f>
        <v>FY</v>
      </c>
      <c r="K159" s="43" t="str">
        <f>CY159</f>
        <v>FY</v>
      </c>
      <c r="L159" s="43" t="str">
        <f>DF159</f>
        <v>FY</v>
      </c>
      <c r="M159" s="43" t="str">
        <f>DM159</f>
        <v>FY</v>
      </c>
      <c r="N159" s="43" t="str">
        <f>DT159</f>
        <v>FY</v>
      </c>
      <c r="O159" s="43" t="str">
        <f>EA159</f>
        <v>FY</v>
      </c>
      <c r="P159" s="43" t="str">
        <f>EH159</f>
        <v>FY</v>
      </c>
      <c r="Q159" s="43" t="str">
        <f>EO159</f>
        <v>FY</v>
      </c>
      <c r="R159" s="43" t="str">
        <f>EV159</f>
        <v>FY</v>
      </c>
      <c r="S159" s="43" t="str">
        <f>FC159</f>
        <v>FY</v>
      </c>
      <c r="T159" s="43" t="str">
        <f>FJ159</f>
        <v>FY</v>
      </c>
      <c r="U159" s="43" t="str">
        <f>FQ159</f>
        <v>FY</v>
      </c>
      <c r="V159" s="313" t="str">
        <f>FX159</f>
        <v>FY</v>
      </c>
      <c r="W159" s="313" t="str">
        <f>GE159</f>
        <v>FY</v>
      </c>
      <c r="X159" s="313" t="str">
        <f>GL159</f>
        <v>FY</v>
      </c>
      <c r="Y159" s="313" t="str">
        <f>GS159</f>
        <v>FY</v>
      </c>
      <c r="Z159" s="313" t="str">
        <f>GZ159</f>
        <v>FY</v>
      </c>
      <c r="AA159" s="313"/>
      <c r="AB159" s="313"/>
      <c r="AC159" s="313"/>
      <c r="AD159" s="313"/>
      <c r="AE159" s="313"/>
      <c r="AF159" s="313"/>
      <c r="AG159" s="313"/>
      <c r="AH159" s="313"/>
      <c r="AI159" s="313"/>
      <c r="AJ159" s="313"/>
      <c r="AK159" s="313"/>
      <c r="AL159" s="313"/>
      <c r="AM159" s="313"/>
      <c r="AN159" s="313"/>
      <c r="AP159" s="42" t="s">
        <v>1</v>
      </c>
      <c r="AQ159" s="413">
        <f t="shared" si="259"/>
        <v>38442</v>
      </c>
      <c r="AR159" s="413">
        <f t="shared" si="259"/>
        <v>38533</v>
      </c>
      <c r="AS159" s="413">
        <f t="shared" si="259"/>
        <v>38625</v>
      </c>
      <c r="AT159" s="413">
        <f t="shared" si="259"/>
        <v>38717</v>
      </c>
      <c r="AU159" s="210" t="str">
        <f t="shared" si="259"/>
        <v>FY</v>
      </c>
      <c r="AW159" s="42" t="s">
        <v>1</v>
      </c>
      <c r="AX159" s="413">
        <f t="shared" ref="AX159:BB159" si="283">+AX5</f>
        <v>38807</v>
      </c>
      <c r="AY159" s="413">
        <f t="shared" si="283"/>
        <v>38898</v>
      </c>
      <c r="AZ159" s="413">
        <f t="shared" si="283"/>
        <v>38990</v>
      </c>
      <c r="BA159" s="413">
        <f t="shared" si="283"/>
        <v>39082</v>
      </c>
      <c r="BB159" s="210" t="str">
        <f t="shared" si="283"/>
        <v>FY</v>
      </c>
      <c r="BD159" s="42" t="s">
        <v>1</v>
      </c>
      <c r="BE159" s="413">
        <f t="shared" ref="BE159:BI159" si="284">+BE5</f>
        <v>39172</v>
      </c>
      <c r="BF159" s="413">
        <f t="shared" si="284"/>
        <v>39263</v>
      </c>
      <c r="BG159" s="413">
        <f t="shared" si="284"/>
        <v>39355</v>
      </c>
      <c r="BH159" s="413">
        <f t="shared" si="284"/>
        <v>39447</v>
      </c>
      <c r="BI159" s="210" t="str">
        <f t="shared" si="284"/>
        <v>FY</v>
      </c>
      <c r="BK159" s="42" t="s">
        <v>1</v>
      </c>
      <c r="BL159" s="413">
        <f t="shared" ref="BL159:BP159" si="285">+BL5</f>
        <v>39538</v>
      </c>
      <c r="BM159" s="413">
        <f t="shared" si="285"/>
        <v>39629</v>
      </c>
      <c r="BN159" s="413">
        <f t="shared" si="285"/>
        <v>39721</v>
      </c>
      <c r="BO159" s="413">
        <f t="shared" si="285"/>
        <v>39813</v>
      </c>
      <c r="BP159" s="210" t="str">
        <f t="shared" si="285"/>
        <v>FY</v>
      </c>
      <c r="BR159" s="42" t="s">
        <v>1</v>
      </c>
      <c r="BS159" s="413">
        <f t="shared" ref="BS159:BW159" si="286">+BS5</f>
        <v>39903</v>
      </c>
      <c r="BT159" s="413">
        <f t="shared" si="286"/>
        <v>39994</v>
      </c>
      <c r="BU159" s="413">
        <f t="shared" si="286"/>
        <v>40086</v>
      </c>
      <c r="BV159" s="413">
        <f t="shared" si="286"/>
        <v>40178</v>
      </c>
      <c r="BW159" s="210" t="str">
        <f t="shared" si="286"/>
        <v>FY</v>
      </c>
      <c r="BY159" s="42" t="s">
        <v>1</v>
      </c>
      <c r="BZ159" s="413">
        <f t="shared" ref="BZ159:CD159" si="287">+BZ5</f>
        <v>40268</v>
      </c>
      <c r="CA159" s="413">
        <f t="shared" si="287"/>
        <v>40359</v>
      </c>
      <c r="CB159" s="413">
        <f t="shared" si="287"/>
        <v>40451</v>
      </c>
      <c r="CC159" s="413">
        <f t="shared" si="287"/>
        <v>40543</v>
      </c>
      <c r="CD159" s="210" t="str">
        <f t="shared" si="287"/>
        <v>FY</v>
      </c>
      <c r="CF159" s="42" t="s">
        <v>1</v>
      </c>
      <c r="CG159" s="413">
        <f t="shared" ref="CG159:CK159" si="288">+CG5</f>
        <v>40633</v>
      </c>
      <c r="CH159" s="413">
        <f t="shared" si="288"/>
        <v>40724</v>
      </c>
      <c r="CI159" s="413">
        <f t="shared" si="288"/>
        <v>40816</v>
      </c>
      <c r="CJ159" s="413">
        <f t="shared" si="288"/>
        <v>40908</v>
      </c>
      <c r="CK159" s="210" t="str">
        <f t="shared" si="288"/>
        <v>FY</v>
      </c>
      <c r="CM159" s="42" t="s">
        <v>1</v>
      </c>
      <c r="CN159" s="413">
        <f t="shared" ref="CN159:CR159" si="289">+CN5</f>
        <v>40999</v>
      </c>
      <c r="CO159" s="413">
        <f t="shared" si="289"/>
        <v>41090</v>
      </c>
      <c r="CP159" s="413">
        <f t="shared" si="289"/>
        <v>41182</v>
      </c>
      <c r="CQ159" s="413">
        <f t="shared" si="289"/>
        <v>41274</v>
      </c>
      <c r="CR159" s="210" t="str">
        <f t="shared" si="289"/>
        <v>FY</v>
      </c>
      <c r="CT159" s="42" t="s">
        <v>1</v>
      </c>
      <c r="CU159" s="413">
        <f t="shared" ref="CU159:CY159" si="290">+CU5</f>
        <v>41364</v>
      </c>
      <c r="CV159" s="413">
        <f t="shared" si="290"/>
        <v>41455</v>
      </c>
      <c r="CW159" s="413">
        <f t="shared" si="290"/>
        <v>41547</v>
      </c>
      <c r="CX159" s="413">
        <f t="shared" si="290"/>
        <v>41639</v>
      </c>
      <c r="CY159" s="210" t="str">
        <f t="shared" si="290"/>
        <v>FY</v>
      </c>
      <c r="DA159" s="42" t="s">
        <v>1</v>
      </c>
      <c r="DB159" s="413">
        <f t="shared" ref="DB159:DF159" si="291">+DB5</f>
        <v>41729</v>
      </c>
      <c r="DC159" s="413">
        <f t="shared" si="291"/>
        <v>41820</v>
      </c>
      <c r="DD159" s="413">
        <f t="shared" si="291"/>
        <v>41912</v>
      </c>
      <c r="DE159" s="413">
        <f t="shared" si="291"/>
        <v>42004</v>
      </c>
      <c r="DF159" s="210" t="str">
        <f t="shared" si="291"/>
        <v>FY</v>
      </c>
      <c r="DH159" s="42" t="s">
        <v>1</v>
      </c>
      <c r="DI159" s="413">
        <f t="shared" ref="DI159:DM159" si="292">+DI5</f>
        <v>42094</v>
      </c>
      <c r="DJ159" s="413">
        <f t="shared" si="292"/>
        <v>42185</v>
      </c>
      <c r="DK159" s="413">
        <f t="shared" si="292"/>
        <v>42277</v>
      </c>
      <c r="DL159" s="413">
        <f t="shared" si="292"/>
        <v>42369</v>
      </c>
      <c r="DM159" s="210" t="str">
        <f t="shared" si="292"/>
        <v>FY</v>
      </c>
      <c r="DO159" s="42" t="s">
        <v>1</v>
      </c>
      <c r="DP159" s="413">
        <f t="shared" ref="DP159:DT159" si="293">+DP5</f>
        <v>42460</v>
      </c>
      <c r="DQ159" s="413">
        <f t="shared" si="293"/>
        <v>42551</v>
      </c>
      <c r="DR159" s="413">
        <f t="shared" si="293"/>
        <v>42643</v>
      </c>
      <c r="DS159" s="413">
        <f t="shared" si="293"/>
        <v>42735</v>
      </c>
      <c r="DT159" s="210" t="str">
        <f t="shared" si="293"/>
        <v>FY</v>
      </c>
      <c r="DV159" s="42" t="s">
        <v>1</v>
      </c>
      <c r="DW159" s="413">
        <f t="shared" ref="DW159:EA159" si="294">+DW5</f>
        <v>42825</v>
      </c>
      <c r="DX159" s="413">
        <f t="shared" si="294"/>
        <v>42916</v>
      </c>
      <c r="DY159" s="413">
        <f t="shared" si="294"/>
        <v>43008</v>
      </c>
      <c r="DZ159" s="413">
        <f t="shared" si="294"/>
        <v>43100</v>
      </c>
      <c r="EA159" s="210" t="str">
        <f t="shared" si="294"/>
        <v>FY</v>
      </c>
      <c r="EC159" s="42" t="s">
        <v>1</v>
      </c>
      <c r="ED159" s="413">
        <f t="shared" ref="ED159:EH159" si="295">+ED5</f>
        <v>43190</v>
      </c>
      <c r="EE159" s="413">
        <f t="shared" si="295"/>
        <v>43281</v>
      </c>
      <c r="EF159" s="413">
        <f t="shared" si="295"/>
        <v>43373</v>
      </c>
      <c r="EG159" s="413">
        <f t="shared" si="295"/>
        <v>43465</v>
      </c>
      <c r="EH159" s="210" t="str">
        <f t="shared" si="295"/>
        <v>FY</v>
      </c>
      <c r="EJ159" s="42" t="s">
        <v>1</v>
      </c>
      <c r="EK159" s="413">
        <f t="shared" ref="EK159:EO159" si="296">+EK5</f>
        <v>43555</v>
      </c>
      <c r="EL159" s="413">
        <f t="shared" si="296"/>
        <v>43646</v>
      </c>
      <c r="EM159" s="413">
        <f t="shared" si="296"/>
        <v>43738</v>
      </c>
      <c r="EN159" s="413">
        <f t="shared" si="296"/>
        <v>43830</v>
      </c>
      <c r="EO159" s="210" t="str">
        <f t="shared" si="296"/>
        <v>FY</v>
      </c>
      <c r="EQ159" s="42" t="s">
        <v>1</v>
      </c>
      <c r="ER159" s="413">
        <f t="shared" ref="ER159:EV159" si="297">+ER5</f>
        <v>43921</v>
      </c>
      <c r="ES159" s="413">
        <f t="shared" si="297"/>
        <v>44012</v>
      </c>
      <c r="ET159" s="413">
        <f t="shared" si="297"/>
        <v>44104</v>
      </c>
      <c r="EU159" s="413">
        <f t="shared" si="297"/>
        <v>44196</v>
      </c>
      <c r="EV159" s="210" t="str">
        <f t="shared" si="297"/>
        <v>FY</v>
      </c>
      <c r="EX159" s="42" t="s">
        <v>1</v>
      </c>
      <c r="EY159" s="413">
        <f t="shared" ref="EY159:FC159" si="298">+EY5</f>
        <v>44286</v>
      </c>
      <c r="EZ159" s="413">
        <f t="shared" si="298"/>
        <v>44377</v>
      </c>
      <c r="FA159" s="413">
        <f t="shared" si="298"/>
        <v>44469</v>
      </c>
      <c r="FB159" s="413">
        <f t="shared" si="298"/>
        <v>44561</v>
      </c>
      <c r="FC159" s="210" t="str">
        <f t="shared" si="298"/>
        <v>FY</v>
      </c>
      <c r="FE159" s="42" t="s">
        <v>1</v>
      </c>
      <c r="FF159" s="413">
        <f t="shared" ref="FF159:FJ159" si="299">+FF5</f>
        <v>44651</v>
      </c>
      <c r="FG159" s="413">
        <f t="shared" si="299"/>
        <v>44742</v>
      </c>
      <c r="FH159" s="413">
        <f t="shared" si="299"/>
        <v>44834</v>
      </c>
      <c r="FI159" s="413">
        <f t="shared" si="299"/>
        <v>44926</v>
      </c>
      <c r="FJ159" s="210" t="str">
        <f t="shared" si="299"/>
        <v>FY</v>
      </c>
      <c r="FL159" s="42" t="s">
        <v>1</v>
      </c>
      <c r="FM159" s="413">
        <f t="shared" ref="FM159:FQ159" si="300">+FM5</f>
        <v>45016</v>
      </c>
      <c r="FN159" s="413">
        <f t="shared" si="300"/>
        <v>45107</v>
      </c>
      <c r="FO159" s="413">
        <f t="shared" si="300"/>
        <v>45199</v>
      </c>
      <c r="FP159" s="413">
        <f t="shared" si="300"/>
        <v>45291</v>
      </c>
      <c r="FQ159" s="210" t="str">
        <f t="shared" si="300"/>
        <v>FY</v>
      </c>
      <c r="FS159" s="42" t="s">
        <v>1</v>
      </c>
      <c r="FT159" s="413">
        <f t="shared" ref="FT159:FX159" si="301">+FT5</f>
        <v>45382</v>
      </c>
      <c r="FU159" s="413">
        <f t="shared" si="301"/>
        <v>45473</v>
      </c>
      <c r="FV159" s="413">
        <f t="shared" si="301"/>
        <v>45565</v>
      </c>
      <c r="FW159" s="413">
        <f t="shared" si="301"/>
        <v>45657</v>
      </c>
      <c r="FX159" s="210" t="str">
        <f t="shared" si="301"/>
        <v>FY</v>
      </c>
      <c r="FZ159" s="42" t="s">
        <v>1</v>
      </c>
      <c r="GA159" s="413">
        <f t="shared" ref="GA159:GE159" si="302">+GA5</f>
        <v>45747</v>
      </c>
      <c r="GB159" s="413">
        <f t="shared" si="302"/>
        <v>45838</v>
      </c>
      <c r="GC159" s="413">
        <f t="shared" si="302"/>
        <v>45930</v>
      </c>
      <c r="GD159" s="413">
        <f t="shared" si="302"/>
        <v>46022</v>
      </c>
      <c r="GE159" s="210" t="str">
        <f t="shared" si="302"/>
        <v>FY</v>
      </c>
      <c r="GG159" s="42" t="s">
        <v>1</v>
      </c>
      <c r="GH159" s="413">
        <f t="shared" ref="GH159:GL159" si="303">+GH5</f>
        <v>46112</v>
      </c>
      <c r="GI159" s="413">
        <f t="shared" si="303"/>
        <v>46203</v>
      </c>
      <c r="GJ159" s="413">
        <f t="shared" si="303"/>
        <v>46295</v>
      </c>
      <c r="GK159" s="413">
        <f t="shared" si="303"/>
        <v>46387</v>
      </c>
      <c r="GL159" s="210" t="str">
        <f t="shared" si="303"/>
        <v>FY</v>
      </c>
      <c r="GN159" s="42" t="s">
        <v>1</v>
      </c>
      <c r="GO159" s="413">
        <f t="shared" ref="GO159:GS159" si="304">+GO5</f>
        <v>46477</v>
      </c>
      <c r="GP159" s="413">
        <f t="shared" si="304"/>
        <v>46568</v>
      </c>
      <c r="GQ159" s="413">
        <f t="shared" si="304"/>
        <v>46660</v>
      </c>
      <c r="GR159" s="413">
        <f t="shared" si="304"/>
        <v>46752</v>
      </c>
      <c r="GS159" s="210" t="str">
        <f t="shared" si="304"/>
        <v>FY</v>
      </c>
      <c r="GU159" s="42" t="s">
        <v>1</v>
      </c>
      <c r="GV159" s="413">
        <f t="shared" ref="GV159:GZ159" si="305">+GV5</f>
        <v>46843</v>
      </c>
      <c r="GW159" s="413">
        <f t="shared" si="305"/>
        <v>46934</v>
      </c>
      <c r="GX159" s="413">
        <f t="shared" si="305"/>
        <v>47026</v>
      </c>
      <c r="GY159" s="413">
        <f t="shared" si="305"/>
        <v>47118</v>
      </c>
      <c r="GZ159" s="210" t="str">
        <f t="shared" si="305"/>
        <v>FY</v>
      </c>
    </row>
    <row r="160" spans="1:208" ht="14.25" thickBot="1" x14ac:dyDescent="0.45">
      <c r="B160" s="76"/>
      <c r="AP160" s="76"/>
      <c r="AW160" s="76"/>
      <c r="BD160" s="76"/>
      <c r="BK160" s="76"/>
      <c r="BR160" s="76"/>
      <c r="BY160" s="76"/>
      <c r="CF160" s="76"/>
      <c r="CM160" s="76"/>
      <c r="CT160" s="76"/>
      <c r="DA160" s="76"/>
      <c r="DH160" s="76"/>
      <c r="DO160" s="76"/>
      <c r="DV160" s="76"/>
      <c r="EC160" s="76"/>
      <c r="EJ160" s="76"/>
      <c r="EQ160" s="76"/>
      <c r="EX160" s="76"/>
      <c r="FE160" s="76"/>
      <c r="FL160" s="76"/>
      <c r="FS160" s="76"/>
      <c r="FZ160" s="76"/>
      <c r="GG160" s="76"/>
      <c r="GN160" s="76"/>
      <c r="GU160" s="76"/>
    </row>
    <row r="161" spans="1:208" ht="14.25" thickBot="1" x14ac:dyDescent="0.45">
      <c r="A161" s="414"/>
      <c r="B161" s="415" t="s">
        <v>89</v>
      </c>
      <c r="C161" s="416"/>
      <c r="D161" s="416"/>
      <c r="E161" s="416"/>
      <c r="F161" s="416"/>
      <c r="G161" s="416"/>
      <c r="H161" s="416"/>
      <c r="I161" s="416"/>
      <c r="J161" s="416"/>
      <c r="K161" s="416"/>
      <c r="L161" s="416"/>
      <c r="M161" s="416"/>
      <c r="N161" s="416"/>
      <c r="O161" s="416"/>
      <c r="P161" s="416"/>
      <c r="Q161" s="416"/>
      <c r="R161" s="416"/>
      <c r="S161" s="416"/>
      <c r="T161" s="416"/>
      <c r="U161" s="416"/>
      <c r="V161" s="416"/>
      <c r="W161" s="416"/>
      <c r="X161" s="416"/>
      <c r="Y161" s="416"/>
      <c r="Z161" s="416"/>
      <c r="AA161" s="416"/>
      <c r="AB161" s="416"/>
      <c r="AC161" s="416"/>
      <c r="AD161" s="416"/>
      <c r="AE161" s="416"/>
      <c r="AF161" s="416"/>
      <c r="AG161" s="416"/>
      <c r="AH161" s="416"/>
      <c r="AI161" s="416"/>
      <c r="AJ161" s="416"/>
      <c r="AK161" s="416"/>
      <c r="AL161" s="416"/>
      <c r="AM161" s="416"/>
      <c r="AN161" s="416"/>
      <c r="AP161" s="415" t="s">
        <v>89</v>
      </c>
      <c r="AQ161" s="416"/>
      <c r="AR161" s="416"/>
      <c r="AS161" s="416"/>
      <c r="AT161" s="416"/>
      <c r="AU161" s="416"/>
      <c r="AW161" s="415" t="s">
        <v>89</v>
      </c>
      <c r="AX161" s="416"/>
      <c r="AY161" s="416"/>
      <c r="AZ161" s="416"/>
      <c r="BA161" s="416"/>
      <c r="BB161" s="416"/>
      <c r="BD161" s="415" t="s">
        <v>89</v>
      </c>
      <c r="BE161" s="416"/>
      <c r="BF161" s="416"/>
      <c r="BG161" s="416"/>
      <c r="BH161" s="416"/>
      <c r="BI161" s="416"/>
      <c r="BK161" s="415" t="s">
        <v>89</v>
      </c>
      <c r="BL161" s="416"/>
      <c r="BM161" s="416"/>
      <c r="BN161" s="416"/>
      <c r="BO161" s="416"/>
      <c r="BP161" s="416"/>
      <c r="BR161" s="415" t="s">
        <v>89</v>
      </c>
      <c r="BS161" s="416"/>
      <c r="BT161" s="416"/>
      <c r="BU161" s="416"/>
      <c r="BV161" s="416"/>
      <c r="BW161" s="416"/>
      <c r="BY161" s="415" t="s">
        <v>89</v>
      </c>
      <c r="BZ161" s="416"/>
      <c r="CA161" s="416"/>
      <c r="CB161" s="416"/>
      <c r="CC161" s="416"/>
      <c r="CD161" s="416"/>
      <c r="CF161" s="415" t="s">
        <v>89</v>
      </c>
      <c r="CG161" s="416"/>
      <c r="CH161" s="416"/>
      <c r="CI161" s="416"/>
      <c r="CJ161" s="416"/>
      <c r="CK161" s="416"/>
      <c r="CM161" s="415" t="s">
        <v>89</v>
      </c>
      <c r="CN161" s="416"/>
      <c r="CO161" s="416"/>
      <c r="CP161" s="416"/>
      <c r="CQ161" s="416"/>
      <c r="CR161" s="416"/>
      <c r="CT161" s="415" t="s">
        <v>89</v>
      </c>
      <c r="CU161" s="416"/>
      <c r="CV161" s="416"/>
      <c r="CW161" s="416"/>
      <c r="CX161" s="416"/>
      <c r="CY161" s="416"/>
      <c r="DA161" s="415" t="s">
        <v>89</v>
      </c>
      <c r="DB161" s="416"/>
      <c r="DC161" s="416"/>
      <c r="DD161" s="416"/>
      <c r="DE161" s="416"/>
      <c r="DF161" s="416"/>
      <c r="DH161" s="415" t="s">
        <v>89</v>
      </c>
      <c r="DI161" s="416"/>
      <c r="DJ161" s="416"/>
      <c r="DK161" s="416"/>
      <c r="DL161" s="416"/>
      <c r="DM161" s="416"/>
      <c r="DO161" s="415" t="s">
        <v>89</v>
      </c>
      <c r="DP161" s="416"/>
      <c r="DQ161" s="416"/>
      <c r="DR161" s="416"/>
      <c r="DS161" s="416"/>
      <c r="DT161" s="416"/>
      <c r="DV161" s="415" t="s">
        <v>89</v>
      </c>
      <c r="DW161" s="416"/>
      <c r="DX161" s="416"/>
      <c r="DY161" s="416"/>
      <c r="DZ161" s="416"/>
      <c r="EA161" s="416"/>
      <c r="EC161" s="415" t="s">
        <v>89</v>
      </c>
      <c r="ED161" s="416"/>
      <c r="EE161" s="416"/>
      <c r="EF161" s="416"/>
      <c r="EG161" s="416"/>
      <c r="EH161" s="416"/>
      <c r="EJ161" s="415" t="s">
        <v>89</v>
      </c>
      <c r="EK161" s="416"/>
      <c r="EL161" s="416"/>
      <c r="EM161" s="416"/>
      <c r="EN161" s="416"/>
      <c r="EO161" s="416"/>
      <c r="EQ161" s="415" t="s">
        <v>89</v>
      </c>
      <c r="ER161" s="416"/>
      <c r="ES161" s="416"/>
      <c r="ET161" s="416"/>
      <c r="EU161" s="416"/>
      <c r="EV161" s="416"/>
      <c r="EX161" s="415" t="s">
        <v>89</v>
      </c>
      <c r="EY161" s="416"/>
      <c r="EZ161" s="416"/>
      <c r="FA161" s="416"/>
      <c r="FB161" s="416"/>
      <c r="FC161" s="416"/>
      <c r="FE161" s="415" t="s">
        <v>89</v>
      </c>
      <c r="FF161" s="416"/>
      <c r="FG161" s="416"/>
      <c r="FH161" s="416"/>
      <c r="FI161" s="416"/>
      <c r="FJ161" s="416"/>
      <c r="FL161" s="415" t="s">
        <v>89</v>
      </c>
      <c r="FM161" s="416"/>
      <c r="FN161" s="416"/>
      <c r="FO161" s="416"/>
      <c r="FP161" s="416"/>
      <c r="FQ161" s="416"/>
      <c r="FS161" s="415" t="s">
        <v>89</v>
      </c>
      <c r="FT161" s="416"/>
      <c r="FU161" s="416"/>
      <c r="FV161" s="416"/>
      <c r="FW161" s="416"/>
      <c r="FX161" s="416"/>
      <c r="FZ161" s="415" t="s">
        <v>89</v>
      </c>
      <c r="GA161" s="416"/>
      <c r="GB161" s="416"/>
      <c r="GC161" s="416"/>
      <c r="GD161" s="416"/>
      <c r="GE161" s="416"/>
      <c r="GG161" s="415" t="s">
        <v>89</v>
      </c>
      <c r="GH161" s="416"/>
      <c r="GI161" s="416"/>
      <c r="GJ161" s="416"/>
      <c r="GK161" s="416"/>
      <c r="GL161" s="416"/>
      <c r="GN161" s="415" t="s">
        <v>89</v>
      </c>
      <c r="GO161" s="416"/>
      <c r="GP161" s="416"/>
      <c r="GQ161" s="416"/>
      <c r="GR161" s="416"/>
      <c r="GS161" s="416"/>
      <c r="GU161" s="415" t="s">
        <v>89</v>
      </c>
      <c r="GV161" s="416"/>
      <c r="GW161" s="416"/>
      <c r="GX161" s="416"/>
      <c r="GY161" s="416"/>
      <c r="GZ161" s="416"/>
    </row>
    <row r="162" spans="1:208" x14ac:dyDescent="0.4">
      <c r="A162" s="417"/>
      <c r="B162" s="76"/>
      <c r="AP162" s="76"/>
      <c r="AW162" s="76"/>
      <c r="BD162" s="76"/>
      <c r="BK162" s="76"/>
      <c r="BR162" s="76"/>
      <c r="BY162" s="76"/>
      <c r="CF162" s="76"/>
      <c r="CM162" s="76"/>
      <c r="CT162" s="76"/>
      <c r="DA162" s="76"/>
      <c r="DH162" s="76"/>
      <c r="DO162" s="76"/>
      <c r="DV162" s="76"/>
      <c r="EC162" s="76"/>
      <c r="EJ162" s="76"/>
      <c r="EQ162" s="76"/>
      <c r="EX162" s="76"/>
      <c r="FE162" s="76"/>
      <c r="FL162" s="76"/>
      <c r="FS162" s="76"/>
      <c r="FU162" s="80"/>
      <c r="FV162" s="80"/>
      <c r="FW162" s="80"/>
      <c r="FX162" s="80"/>
      <c r="FZ162" s="76"/>
      <c r="GA162" s="80"/>
      <c r="GB162" s="80"/>
      <c r="GC162" s="80"/>
      <c r="GD162" s="80"/>
      <c r="GE162" s="80"/>
      <c r="GG162" s="76"/>
      <c r="GH162" s="80"/>
      <c r="GI162" s="80"/>
      <c r="GJ162" s="80"/>
      <c r="GK162" s="80"/>
      <c r="GL162" s="80"/>
      <c r="GN162" s="76"/>
      <c r="GO162" s="80"/>
      <c r="GP162" s="80"/>
      <c r="GQ162" s="80"/>
      <c r="GR162" s="80"/>
      <c r="GS162" s="80"/>
      <c r="GU162" s="76"/>
      <c r="GV162" s="80"/>
      <c r="GW162" s="80"/>
      <c r="GX162" s="80"/>
      <c r="GY162" s="80"/>
      <c r="GZ162" s="80"/>
    </row>
    <row r="163" spans="1:208" x14ac:dyDescent="0.4">
      <c r="A163" s="417"/>
      <c r="B163" s="318" t="s">
        <v>90</v>
      </c>
      <c r="C163" s="319">
        <f>AU163</f>
        <v>43</v>
      </c>
      <c r="D163" s="319">
        <f>BB163</f>
        <v>502</v>
      </c>
      <c r="E163" s="319">
        <f>BI163</f>
        <v>370</v>
      </c>
      <c r="F163" s="319">
        <f>BP163</f>
        <v>1210</v>
      </c>
      <c r="G163" s="319">
        <f>BW163</f>
        <v>667</v>
      </c>
      <c r="H163" s="319">
        <f>CD163</f>
        <v>1449</v>
      </c>
      <c r="I163" s="319">
        <f>CK163</f>
        <v>1322</v>
      </c>
      <c r="J163" s="319">
        <f>CR163</f>
        <v>721</v>
      </c>
      <c r="K163" s="319">
        <f>CY163</f>
        <v>895</v>
      </c>
      <c r="L163" s="319">
        <f>DF163</f>
        <v>919</v>
      </c>
      <c r="M163" s="319">
        <f>DM163</f>
        <v>992</v>
      </c>
      <c r="N163" s="319">
        <f>DT163</f>
        <v>847</v>
      </c>
      <c r="O163" s="319">
        <f>EA163</f>
        <v>1566</v>
      </c>
      <c r="P163" s="319">
        <f>EH163</f>
        <v>3188</v>
      </c>
      <c r="Q163" s="319">
        <f>EO163</f>
        <v>3478</v>
      </c>
      <c r="R163" s="319">
        <f>EV163</f>
        <v>2616</v>
      </c>
      <c r="S163" s="319">
        <f>FC163</f>
        <v>3833</v>
      </c>
      <c r="T163" s="319">
        <f>FJ163</f>
        <v>3765</v>
      </c>
      <c r="U163" s="319">
        <f>FQ163</f>
        <v>3244</v>
      </c>
      <c r="V163" s="319">
        <f>FX163</f>
        <v>2687</v>
      </c>
      <c r="W163" s="319">
        <f>GE163</f>
        <v>1698</v>
      </c>
      <c r="X163" s="319">
        <f>GL163</f>
        <v>3072.0233599218841</v>
      </c>
      <c r="Y163" s="319">
        <f>GS163</f>
        <v>3589.2398062697066</v>
      </c>
      <c r="Z163" s="319">
        <f>GZ163</f>
        <v>3744.8328052375123</v>
      </c>
      <c r="AA163" s="320"/>
      <c r="AB163" s="320"/>
      <c r="AC163" s="320"/>
      <c r="AD163" s="320"/>
      <c r="AE163" s="320"/>
      <c r="AF163" s="320"/>
      <c r="AG163" s="320"/>
      <c r="AH163" s="320"/>
      <c r="AI163" s="320"/>
      <c r="AJ163" s="320"/>
      <c r="AK163" s="320"/>
      <c r="AL163" s="320"/>
      <c r="AM163" s="320"/>
      <c r="AN163" s="320"/>
      <c r="AP163" s="318" t="s">
        <v>90</v>
      </c>
      <c r="AQ163" s="322">
        <f>+AQ33+AQ37+AQ38+AQ43</f>
        <v>142</v>
      </c>
      <c r="AR163" s="322">
        <f>+AR33+AR37+AR38+AR43</f>
        <v>-191</v>
      </c>
      <c r="AS163" s="322">
        <f>+AS33+AS37+AS38+AS43</f>
        <v>127</v>
      </c>
      <c r="AT163" s="322">
        <f>+AT33+AT37+AT38+AT43</f>
        <v>-35</v>
      </c>
      <c r="AU163" s="322">
        <f>+AU33+AU37+AU38+AU43</f>
        <v>43</v>
      </c>
      <c r="AW163" s="318" t="s">
        <v>90</v>
      </c>
      <c r="AX163" s="322">
        <f t="shared" ref="AX163:BA163" si="306">+AX33+AX37+AX38+AX43+AX13</f>
        <v>163</v>
      </c>
      <c r="AY163" s="322">
        <f t="shared" si="306"/>
        <v>-148</v>
      </c>
      <c r="AZ163" s="322">
        <f t="shared" si="306"/>
        <v>169</v>
      </c>
      <c r="BA163" s="322">
        <f t="shared" si="306"/>
        <v>318</v>
      </c>
      <c r="BB163" s="322">
        <f>+BB33+BB37+BB38+BB43+BB13</f>
        <v>502</v>
      </c>
      <c r="BD163" s="318" t="s">
        <v>90</v>
      </c>
      <c r="BE163" s="322">
        <f>+BE33+BE37+BE38+BE43</f>
        <v>167</v>
      </c>
      <c r="BF163" s="322">
        <f>+BF33+BF37+BF38+BF43</f>
        <v>82</v>
      </c>
      <c r="BG163" s="322">
        <f>+BG33+BG37+BG38+BG43</f>
        <v>377</v>
      </c>
      <c r="BH163" s="322">
        <f>+BH33+BH37+BH38+BH43</f>
        <v>-256</v>
      </c>
      <c r="BI163" s="322">
        <f>+BI33+BI37+BI38+BI43</f>
        <v>370</v>
      </c>
      <c r="BK163" s="318" t="s">
        <v>90</v>
      </c>
      <c r="BL163" s="322">
        <f>+BL33+BL37+BL38+BL43</f>
        <v>300</v>
      </c>
      <c r="BM163" s="322">
        <f>+BM33+BM37+BM38+BM43</f>
        <v>130</v>
      </c>
      <c r="BN163" s="322">
        <f>+BN33+BN37+BN38+BN43</f>
        <v>480</v>
      </c>
      <c r="BO163" s="322">
        <f>+BO33+BO37+BO38+BO43</f>
        <v>300</v>
      </c>
      <c r="BP163" s="322">
        <f>+BP33+BP37+BP38+BP43</f>
        <v>1210</v>
      </c>
      <c r="BR163" s="318" t="s">
        <v>90</v>
      </c>
      <c r="BS163" s="322">
        <f>+BS33+BS37+BS38+BS43</f>
        <v>177</v>
      </c>
      <c r="BT163" s="322">
        <f>+BT33+BT37+BT38+BT43</f>
        <v>186</v>
      </c>
      <c r="BU163" s="322">
        <f>+BU33+BU37+BU38+BU43</f>
        <v>246</v>
      </c>
      <c r="BV163" s="322">
        <f>+BV33+BV37+BV38+BV43</f>
        <v>58</v>
      </c>
      <c r="BW163" s="322">
        <f>+BW33+BW37+BW38+BW43</f>
        <v>667</v>
      </c>
      <c r="BY163" s="318" t="s">
        <v>90</v>
      </c>
      <c r="BZ163" s="322">
        <f>+BZ33+BZ37+BZ38+BZ43</f>
        <v>434</v>
      </c>
      <c r="CA163" s="322">
        <f>+CA33+CA37+CA38+CA43</f>
        <v>369</v>
      </c>
      <c r="CB163" s="322">
        <f>+CB33+CB37+CB38+CB43</f>
        <v>412</v>
      </c>
      <c r="CC163" s="322">
        <f>+CC33+CC37+CC38+CC43</f>
        <v>234</v>
      </c>
      <c r="CD163" s="322">
        <f>+CD33+CD37+CD38+CD43</f>
        <v>1449</v>
      </c>
      <c r="CF163" s="318" t="s">
        <v>90</v>
      </c>
      <c r="CG163" s="322">
        <f>+CG33+CG37+CG38+CG43</f>
        <v>118</v>
      </c>
      <c r="CH163" s="322">
        <f>+CH33+CH37+CH38+CH43</f>
        <v>504</v>
      </c>
      <c r="CI163" s="322">
        <f>+CI33+CI37+CI38+CI43</f>
        <v>510</v>
      </c>
      <c r="CJ163" s="322">
        <f>+CJ33+CJ37+CJ38+CJ43</f>
        <v>190</v>
      </c>
      <c r="CK163" s="322">
        <f>+CK33+CK37+CK38+CK43</f>
        <v>1322</v>
      </c>
      <c r="CM163" s="318" t="s">
        <v>90</v>
      </c>
      <c r="CN163" s="322">
        <f>+CN33+CN37+CN38+CN43</f>
        <v>-17</v>
      </c>
      <c r="CO163" s="322">
        <f>+CO33+CO37+CO38+CO43</f>
        <v>91</v>
      </c>
      <c r="CP163" s="322">
        <f>+CP33+CP37+CP38+CP43</f>
        <v>410</v>
      </c>
      <c r="CQ163" s="322">
        <f>+CQ33+CQ37+CQ38+CQ43</f>
        <v>237</v>
      </c>
      <c r="CR163" s="322">
        <f>+CR33+CR37+CR38+CR43</f>
        <v>721</v>
      </c>
      <c r="CT163" s="318" t="s">
        <v>90</v>
      </c>
      <c r="CU163" s="322">
        <f>+CU33+CU37+CU38+CU43</f>
        <v>222</v>
      </c>
      <c r="CV163" s="322">
        <f>+CV33+CV37+CV38+CV43</f>
        <v>222</v>
      </c>
      <c r="CW163" s="322">
        <f>+CW33+CW37+CW38+CW43</f>
        <v>314</v>
      </c>
      <c r="CX163" s="322">
        <f>+CX33+CX37+CX38+CX43</f>
        <v>137</v>
      </c>
      <c r="CY163" s="322">
        <f>+CY33+CY37+CY38+CY43</f>
        <v>895</v>
      </c>
      <c r="DA163" s="318" t="s">
        <v>90</v>
      </c>
      <c r="DB163" s="322">
        <f>+DB33+DB37+DB38+DB43</f>
        <v>128</v>
      </c>
      <c r="DC163" s="322">
        <f>+DC33+DC37+DC38+DC43</f>
        <v>381</v>
      </c>
      <c r="DD163" s="322">
        <f>+DD33+DD37+DD38+DD43</f>
        <v>241</v>
      </c>
      <c r="DE163" s="322">
        <f>+DE33+DE37+DE38+DE43</f>
        <v>169</v>
      </c>
      <c r="DF163" s="322">
        <f>+DF33+DF37+DF38+DF43</f>
        <v>919</v>
      </c>
      <c r="DH163" s="318" t="s">
        <v>90</v>
      </c>
      <c r="DI163" s="322">
        <f>+DI33+DI37+DI38+DI43</f>
        <v>155</v>
      </c>
      <c r="DJ163" s="322">
        <f>+DJ33+DJ37+DJ38+DJ43</f>
        <v>238</v>
      </c>
      <c r="DK163" s="322">
        <f>+DK33+DK37+DK38+DK43</f>
        <v>298</v>
      </c>
      <c r="DL163" s="322">
        <f>+DL33+DL37+DL38+DL43</f>
        <v>301</v>
      </c>
      <c r="DM163" s="322">
        <f>+DM33+DM37+DM38+DM43</f>
        <v>992</v>
      </c>
      <c r="DO163" s="318" t="s">
        <v>90</v>
      </c>
      <c r="DP163" s="322">
        <f>+DP33+DP37+DP38+DP43</f>
        <v>360</v>
      </c>
      <c r="DQ163" s="322">
        <f>+DQ33+DQ37+DQ38+DQ43</f>
        <v>201</v>
      </c>
      <c r="DR163" s="322">
        <f>+DR33+DR37+DR38+DR43</f>
        <v>374</v>
      </c>
      <c r="DS163" s="322">
        <f>+DS33+DS37+DS38+DS43</f>
        <v>-88</v>
      </c>
      <c r="DT163" s="322">
        <f>+DT33+DT37+DT38+DT43</f>
        <v>847</v>
      </c>
      <c r="DV163" s="318" t="s">
        <v>90</v>
      </c>
      <c r="DW163" s="322">
        <f>+DW33+DW37+DW38+DW43</f>
        <v>627</v>
      </c>
      <c r="DX163" s="322">
        <f>+DX33+DX37+DX38+DX43</f>
        <v>25</v>
      </c>
      <c r="DY163" s="322">
        <f>+DY33+DY37+DY38+DY43</f>
        <v>818</v>
      </c>
      <c r="DZ163" s="322">
        <f>+DZ33+DZ37+DZ38+DZ43</f>
        <v>96</v>
      </c>
      <c r="EA163" s="322">
        <f>+EA33+EA37+EA38+EA43</f>
        <v>1566</v>
      </c>
      <c r="EC163" s="318" t="s">
        <v>90</v>
      </c>
      <c r="ED163" s="322">
        <f>+ED33+ED37+ED38+ED43</f>
        <v>642</v>
      </c>
      <c r="EE163" s="322">
        <f>+EE33+EE37+EE38+EE43</f>
        <v>677</v>
      </c>
      <c r="EF163" s="322">
        <f>+EF33+EF37+EF38+EF43</f>
        <v>1096</v>
      </c>
      <c r="EG163" s="322">
        <f>+EG33+EG37+EG38+EG43</f>
        <v>773</v>
      </c>
      <c r="EH163" s="322">
        <f>+EH33+EH37+EH38+EH43</f>
        <v>3188</v>
      </c>
      <c r="EJ163" s="318" t="s">
        <v>90</v>
      </c>
      <c r="EK163" s="322">
        <f>+EK33+EK37+EK38+EK43</f>
        <v>866</v>
      </c>
      <c r="EL163" s="322">
        <f>+EL33+EL37+EL38+EL43</f>
        <v>762</v>
      </c>
      <c r="EM163" s="322">
        <f>+EM33+EM37+EM38+EM43</f>
        <v>1155</v>
      </c>
      <c r="EN163" s="322">
        <f>+EN33+EN37+EN38+EN43</f>
        <v>695</v>
      </c>
      <c r="EO163" s="322">
        <f>+EO33+EO37+EO38+EO43</f>
        <v>3478</v>
      </c>
      <c r="EQ163" s="318" t="s">
        <v>90</v>
      </c>
      <c r="ER163" s="322">
        <f>+ER33+ER37+ER38+ER43</f>
        <v>812</v>
      </c>
      <c r="ES163" s="322">
        <f>+ES33+ES37+ES38+ES43</f>
        <v>574</v>
      </c>
      <c r="ET163" s="322">
        <f>+ET33+ET37+ET38+ET43</f>
        <v>552</v>
      </c>
      <c r="EU163" s="322">
        <f>+EU33+EU37+EU38+EU43</f>
        <v>678</v>
      </c>
      <c r="EV163" s="322">
        <f>+EV33+EV37+EV38+EV43</f>
        <v>2616</v>
      </c>
      <c r="EX163" s="318" t="s">
        <v>90</v>
      </c>
      <c r="EY163" s="322">
        <f>+EY33+EY37+EY38+EY43</f>
        <v>934</v>
      </c>
      <c r="EZ163" s="322">
        <f>+EZ33+EZ37+EZ38+EZ43</f>
        <v>938</v>
      </c>
      <c r="FA163" s="322">
        <f>+FA33+FA37+FA38+FA43</f>
        <v>1025</v>
      </c>
      <c r="FB163" s="322">
        <f>+FB33+FB37+FB38+FB43</f>
        <v>936</v>
      </c>
      <c r="FC163" s="322">
        <f>+FC33+FC37+FC38+FC43</f>
        <v>3833</v>
      </c>
      <c r="FE163" s="318" t="s">
        <v>90</v>
      </c>
      <c r="FF163" s="322">
        <f>+FF33+FF37+FF38+FF43</f>
        <v>947</v>
      </c>
      <c r="FG163" s="322">
        <f>+FG33+FG37+FG38+FG43</f>
        <v>782</v>
      </c>
      <c r="FH163" s="322">
        <f>+FH33+FH37+FH38+FH43</f>
        <v>1115</v>
      </c>
      <c r="FI163" s="322">
        <f>+FI33+FI37+FI38+FI43</f>
        <v>921</v>
      </c>
      <c r="FJ163" s="322">
        <f>+FJ33+FJ37+FJ38+FJ43</f>
        <v>3765</v>
      </c>
      <c r="FL163" s="318" t="s">
        <v>90</v>
      </c>
      <c r="FM163" s="322">
        <f>+FM33+FM37+FM38+FM43</f>
        <v>821</v>
      </c>
      <c r="FN163" s="322">
        <f>+FN33+FN37+FN38+FN43</f>
        <v>662</v>
      </c>
      <c r="FO163" s="322">
        <f>+FO33+FO37+FO38+FO43</f>
        <v>992</v>
      </c>
      <c r="FP163" s="322">
        <f>+FP33+FP37+FP38+FP43</f>
        <v>769</v>
      </c>
      <c r="FQ163" s="322">
        <f>+FQ33+FQ37+FQ38+FQ43</f>
        <v>3244</v>
      </c>
      <c r="FS163" s="318" t="s">
        <v>90</v>
      </c>
      <c r="FT163" s="322">
        <f>+FT33+FT37+FT38+FT43</f>
        <v>525</v>
      </c>
      <c r="FU163" s="319">
        <f>+FU33+FU37+FU38+FU43</f>
        <v>569</v>
      </c>
      <c r="FV163" s="319">
        <f>+FV33+FV37+FV38+FV43</f>
        <v>1061</v>
      </c>
      <c r="FW163" s="322">
        <f>+FW33+FW37+FW38+FW43</f>
        <v>532</v>
      </c>
      <c r="FX163" s="322">
        <f>+FX33+FX37+FX38+FX43</f>
        <v>2687</v>
      </c>
      <c r="FZ163" s="318" t="s">
        <v>90</v>
      </c>
      <c r="GA163" s="319">
        <f>+GA33+GA37+GA38+GA43</f>
        <v>541</v>
      </c>
      <c r="GB163" s="319">
        <f>+GB33+GB37+GB38+GB43</f>
        <v>-111</v>
      </c>
      <c r="GC163" s="319">
        <f>+GC33+GC37+GC38+GC43</f>
        <v>603</v>
      </c>
      <c r="GD163" s="319">
        <f>+GD33+GD37+GD38+GD43</f>
        <v>665</v>
      </c>
      <c r="GE163" s="319">
        <f>+GE33+GE37+GE38+GE43</f>
        <v>1698</v>
      </c>
      <c r="GG163" s="318" t="s">
        <v>90</v>
      </c>
      <c r="GH163" s="319">
        <f>+GH33+GH37+GH38+GH43</f>
        <v>630.71504366674446</v>
      </c>
      <c r="GI163" s="319">
        <f>+GI33+GI37+GI38+GI43</f>
        <v>775.27573393552882</v>
      </c>
      <c r="GJ163" s="319">
        <f>+GJ33+GJ37+GJ38+GJ43</f>
        <v>893.65135317127044</v>
      </c>
      <c r="GK163" s="319">
        <f>+GK33+GK37+GK38+GK43</f>
        <v>772.38122914834105</v>
      </c>
      <c r="GL163" s="319">
        <f>+GL33+GL37+GL38+GL43</f>
        <v>3072.0233599218841</v>
      </c>
      <c r="GN163" s="318" t="s">
        <v>90</v>
      </c>
      <c r="GO163" s="319">
        <f>+GO33+GO37+GO38+GO43</f>
        <v>871.50930914314335</v>
      </c>
      <c r="GP163" s="319">
        <f>+GP33+GP37+GP38+GP43</f>
        <v>902.30310522251079</v>
      </c>
      <c r="GQ163" s="319">
        <f>+GQ33+GQ37+GQ38+GQ43</f>
        <v>934.2979545273439</v>
      </c>
      <c r="GR163" s="319">
        <f>+GR33+GR37+GR38+GR43</f>
        <v>881.12943737670844</v>
      </c>
      <c r="GS163" s="319">
        <f>+GS33+GS37+GS38+GS43</f>
        <v>3589.2398062697066</v>
      </c>
      <c r="GU163" s="318" t="s">
        <v>90</v>
      </c>
      <c r="GV163" s="319">
        <f>+GV33+GV37+GV38+GV43</f>
        <v>822.55067268057485</v>
      </c>
      <c r="GW163" s="319">
        <f>+GW33+GW37+GW38+GW43</f>
        <v>972.33851803758125</v>
      </c>
      <c r="GX163" s="319">
        <f>+GX33+GX37+GX38+GX43</f>
        <v>1001.4008197324271</v>
      </c>
      <c r="GY163" s="319">
        <f>+GY33+GY37+GY38+GY43</f>
        <v>948.54279478692888</v>
      </c>
      <c r="GZ163" s="319">
        <f>+GZ33+GZ37+GZ38+GZ43</f>
        <v>3744.8328052375123</v>
      </c>
    </row>
    <row r="164" spans="1:208" x14ac:dyDescent="0.4">
      <c r="A164" s="417"/>
      <c r="B164" s="82"/>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78"/>
      <c r="AB164" s="78"/>
      <c r="AC164" s="78"/>
      <c r="AD164" s="78"/>
      <c r="AE164" s="78"/>
      <c r="AF164" s="78"/>
      <c r="AG164" s="78"/>
      <c r="AH164" s="78"/>
      <c r="AI164" s="78"/>
      <c r="AJ164" s="78"/>
      <c r="AK164" s="78"/>
      <c r="AL164" s="78"/>
      <c r="AM164" s="78"/>
      <c r="AN164" s="78"/>
      <c r="AP164" s="82"/>
      <c r="AW164" s="82"/>
      <c r="BD164" s="82"/>
      <c r="BK164" s="82"/>
      <c r="BR164" s="82"/>
      <c r="BY164" s="82"/>
      <c r="CF164" s="82"/>
      <c r="CM164" s="82"/>
      <c r="CT164" s="82"/>
      <c r="DA164" s="82"/>
      <c r="DH164" s="82"/>
      <c r="DO164" s="82"/>
      <c r="DV164" s="82"/>
      <c r="EC164" s="82"/>
      <c r="EJ164" s="82"/>
      <c r="EQ164" s="82"/>
      <c r="EX164" s="82"/>
      <c r="FE164" s="82"/>
      <c r="FL164" s="82"/>
      <c r="FS164" s="82"/>
      <c r="FU164" s="80"/>
      <c r="FV164" s="80"/>
      <c r="FZ164" s="82"/>
      <c r="GA164" s="80"/>
      <c r="GB164" s="80"/>
      <c r="GC164" s="80"/>
      <c r="GD164" s="80"/>
      <c r="GE164" s="80"/>
      <c r="GG164" s="82"/>
      <c r="GH164" s="80"/>
      <c r="GI164" s="80"/>
      <c r="GJ164" s="80"/>
      <c r="GK164" s="80"/>
      <c r="GL164" s="80"/>
      <c r="GN164" s="82"/>
      <c r="GO164" s="80"/>
      <c r="GP164" s="80"/>
      <c r="GQ164" s="80"/>
      <c r="GR164" s="80"/>
      <c r="GS164" s="80"/>
      <c r="GU164" s="82"/>
      <c r="GV164" s="80"/>
      <c r="GW164" s="80"/>
      <c r="GX164" s="80"/>
      <c r="GY164" s="80"/>
      <c r="GZ164" s="80"/>
    </row>
    <row r="165" spans="1:208" x14ac:dyDescent="0.4">
      <c r="A165" s="417"/>
      <c r="B165" s="318" t="s">
        <v>91</v>
      </c>
      <c r="C165" s="319">
        <f>AU165</f>
        <v>43</v>
      </c>
      <c r="D165" s="319">
        <f>BB165</f>
        <v>502</v>
      </c>
      <c r="E165" s="319">
        <f>BI165</f>
        <v>370</v>
      </c>
      <c r="F165" s="319">
        <f>BP165</f>
        <v>1210</v>
      </c>
      <c r="G165" s="319">
        <f>BW165</f>
        <v>667</v>
      </c>
      <c r="H165" s="319">
        <f>CD165</f>
        <v>1449</v>
      </c>
      <c r="I165" s="319">
        <f>CK165</f>
        <v>1322</v>
      </c>
      <c r="J165" s="319">
        <f>CR165</f>
        <v>721</v>
      </c>
      <c r="K165" s="319">
        <f>CY165</f>
        <v>895</v>
      </c>
      <c r="L165" s="319">
        <f>DF165</f>
        <v>919</v>
      </c>
      <c r="M165" s="319">
        <f>DM165</f>
        <v>992</v>
      </c>
      <c r="N165" s="319">
        <f>DT165</f>
        <v>847</v>
      </c>
      <c r="O165" s="319">
        <f>EA165</f>
        <v>1566</v>
      </c>
      <c r="P165" s="319">
        <f>EH165</f>
        <v>3188</v>
      </c>
      <c r="Q165" s="319">
        <f>EO165</f>
        <v>3478</v>
      </c>
      <c r="R165" s="319">
        <f>EV165</f>
        <v>2616</v>
      </c>
      <c r="S165" s="319">
        <f>FC165</f>
        <v>3833</v>
      </c>
      <c r="T165" s="319">
        <f>FJ165</f>
        <v>3765</v>
      </c>
      <c r="U165" s="319">
        <f>FQ165</f>
        <v>3244</v>
      </c>
      <c r="V165" s="319">
        <f>FX165</f>
        <v>2687</v>
      </c>
      <c r="W165" s="319">
        <f>GE165</f>
        <v>1698</v>
      </c>
      <c r="X165" s="319">
        <f>GL165</f>
        <v>3072.0233599218845</v>
      </c>
      <c r="Y165" s="319">
        <f>GS165</f>
        <v>3589.2398062697066</v>
      </c>
      <c r="Z165" s="319">
        <f>GZ165</f>
        <v>3744.8328052375118</v>
      </c>
      <c r="AA165" s="320"/>
      <c r="AB165" s="320"/>
      <c r="AC165" s="320"/>
      <c r="AD165" s="320"/>
      <c r="AE165" s="320"/>
      <c r="AF165" s="320"/>
      <c r="AG165" s="320"/>
      <c r="AH165" s="320"/>
      <c r="AI165" s="320"/>
      <c r="AJ165" s="320"/>
      <c r="AK165" s="320"/>
      <c r="AL165" s="320"/>
      <c r="AM165" s="320"/>
      <c r="AN165" s="320"/>
      <c r="AP165" s="318" t="s">
        <v>91</v>
      </c>
      <c r="AQ165" s="322">
        <f>+AQ163</f>
        <v>142</v>
      </c>
      <c r="AR165" s="322">
        <f>+SUM(AQ163:AR163)</f>
        <v>-49</v>
      </c>
      <c r="AS165" s="322">
        <f>+SUM(AQ163:AS163)</f>
        <v>78</v>
      </c>
      <c r="AT165" s="322">
        <f>+SUM(AQ163:AT163)</f>
        <v>43</v>
      </c>
      <c r="AU165" s="322">
        <f>+AT165</f>
        <v>43</v>
      </c>
      <c r="AW165" s="318" t="s">
        <v>91</v>
      </c>
      <c r="AX165" s="322">
        <f>+AX163</f>
        <v>163</v>
      </c>
      <c r="AY165" s="322">
        <f>+SUM(AX163:AY163)</f>
        <v>15</v>
      </c>
      <c r="AZ165" s="322">
        <f>+SUM(AX163:AZ163)</f>
        <v>184</v>
      </c>
      <c r="BA165" s="322">
        <f>+SUM(AX163:BA163)</f>
        <v>502</v>
      </c>
      <c r="BB165" s="322">
        <f>+BA165</f>
        <v>502</v>
      </c>
      <c r="BD165" s="318" t="s">
        <v>91</v>
      </c>
      <c r="BE165" s="322">
        <f>+BE163</f>
        <v>167</v>
      </c>
      <c r="BF165" s="322">
        <f>+SUM(BE163:BF163)</f>
        <v>249</v>
      </c>
      <c r="BG165" s="322">
        <f>+SUM(BE163:BG163)</f>
        <v>626</v>
      </c>
      <c r="BH165" s="322">
        <f>+SUM(BE163:BH163)</f>
        <v>370</v>
      </c>
      <c r="BI165" s="322">
        <f>+BH165</f>
        <v>370</v>
      </c>
      <c r="BK165" s="318" t="s">
        <v>91</v>
      </c>
      <c r="BL165" s="322">
        <f>+BL163</f>
        <v>300</v>
      </c>
      <c r="BM165" s="322">
        <f>+SUM(BL163:BM163)</f>
        <v>430</v>
      </c>
      <c r="BN165" s="322">
        <f>+SUM(BL163:BN163)</f>
        <v>910</v>
      </c>
      <c r="BO165" s="322">
        <f>+SUM(BL163:BO163)</f>
        <v>1210</v>
      </c>
      <c r="BP165" s="322">
        <f>+BO165</f>
        <v>1210</v>
      </c>
      <c r="BR165" s="318" t="s">
        <v>91</v>
      </c>
      <c r="BS165" s="322">
        <f>+BS163</f>
        <v>177</v>
      </c>
      <c r="BT165" s="322">
        <f>+SUM(BS163:BT163)</f>
        <v>363</v>
      </c>
      <c r="BU165" s="322">
        <f>+SUM(BS163:BU163)</f>
        <v>609</v>
      </c>
      <c r="BV165" s="322">
        <f>+SUM(BS163:BV163)</f>
        <v>667</v>
      </c>
      <c r="BW165" s="322">
        <f>+BV165</f>
        <v>667</v>
      </c>
      <c r="BY165" s="318" t="s">
        <v>91</v>
      </c>
      <c r="BZ165" s="322">
        <f>+BZ163</f>
        <v>434</v>
      </c>
      <c r="CA165" s="322">
        <f>+SUM(BZ163:CA163)</f>
        <v>803</v>
      </c>
      <c r="CB165" s="322">
        <f>+SUM(BZ163:CB163)</f>
        <v>1215</v>
      </c>
      <c r="CC165" s="322">
        <f>+SUM(BZ163:CC163)</f>
        <v>1449</v>
      </c>
      <c r="CD165" s="322">
        <f>+CC165</f>
        <v>1449</v>
      </c>
      <c r="CF165" s="318" t="s">
        <v>91</v>
      </c>
      <c r="CG165" s="322">
        <f>+CG163</f>
        <v>118</v>
      </c>
      <c r="CH165" s="322">
        <f>+SUM(CG163:CH163)</f>
        <v>622</v>
      </c>
      <c r="CI165" s="322">
        <f>+SUM(CG163:CI163)</f>
        <v>1132</v>
      </c>
      <c r="CJ165" s="322">
        <f>+SUM(CG163:CJ163)</f>
        <v>1322</v>
      </c>
      <c r="CK165" s="322">
        <f>+CJ165</f>
        <v>1322</v>
      </c>
      <c r="CM165" s="318" t="s">
        <v>91</v>
      </c>
      <c r="CN165" s="322">
        <f>+CN163</f>
        <v>-17</v>
      </c>
      <c r="CO165" s="322">
        <f>+SUM(CN163:CO163)</f>
        <v>74</v>
      </c>
      <c r="CP165" s="322">
        <f>+SUM(CN163:CP163)</f>
        <v>484</v>
      </c>
      <c r="CQ165" s="322">
        <f>+SUM(CN163:CQ163)</f>
        <v>721</v>
      </c>
      <c r="CR165" s="322">
        <f>+CQ165</f>
        <v>721</v>
      </c>
      <c r="CT165" s="318" t="s">
        <v>91</v>
      </c>
      <c r="CU165" s="322">
        <f>+CU163</f>
        <v>222</v>
      </c>
      <c r="CV165" s="322">
        <f>+SUM(CU163:CV163)</f>
        <v>444</v>
      </c>
      <c r="CW165" s="322">
        <f>+SUM(CU163:CW163)</f>
        <v>758</v>
      </c>
      <c r="CX165" s="322">
        <f>+SUM(CU163:CX163)</f>
        <v>895</v>
      </c>
      <c r="CY165" s="322">
        <f>+CX165</f>
        <v>895</v>
      </c>
      <c r="DA165" s="318" t="s">
        <v>91</v>
      </c>
      <c r="DB165" s="322">
        <f>+DB163</f>
        <v>128</v>
      </c>
      <c r="DC165" s="322">
        <f>+SUM(DB163:DC163)</f>
        <v>509</v>
      </c>
      <c r="DD165" s="322">
        <f>+SUM(DB163:DD163)</f>
        <v>750</v>
      </c>
      <c r="DE165" s="322">
        <f>+SUM(DB163:DE163)</f>
        <v>919</v>
      </c>
      <c r="DF165" s="322">
        <f>+DE165</f>
        <v>919</v>
      </c>
      <c r="DH165" s="318" t="s">
        <v>91</v>
      </c>
      <c r="DI165" s="322">
        <f>+DI163</f>
        <v>155</v>
      </c>
      <c r="DJ165" s="322">
        <f>+SUM(DI163:DJ163)</f>
        <v>393</v>
      </c>
      <c r="DK165" s="322">
        <f>+SUM(DI163:DK163)</f>
        <v>691</v>
      </c>
      <c r="DL165" s="322">
        <f>+SUM(DI163:DL163)</f>
        <v>992</v>
      </c>
      <c r="DM165" s="322">
        <f>+DL165</f>
        <v>992</v>
      </c>
      <c r="DO165" s="318" t="s">
        <v>91</v>
      </c>
      <c r="DP165" s="322">
        <f>+DP163</f>
        <v>360</v>
      </c>
      <c r="DQ165" s="322">
        <f>+SUM(DP163:DQ163)</f>
        <v>561</v>
      </c>
      <c r="DR165" s="322">
        <f>+SUM(DP163:DR163)</f>
        <v>935</v>
      </c>
      <c r="DS165" s="322">
        <f>+SUM(DP163:DS163)</f>
        <v>847</v>
      </c>
      <c r="DT165" s="322">
        <f>+DS165</f>
        <v>847</v>
      </c>
      <c r="DV165" s="318" t="s">
        <v>91</v>
      </c>
      <c r="DW165" s="322">
        <f>+DW163</f>
        <v>627</v>
      </c>
      <c r="DX165" s="322">
        <f>+SUM(DW163:DX163)</f>
        <v>652</v>
      </c>
      <c r="DY165" s="322">
        <f>+SUM(DW163:DY163)</f>
        <v>1470</v>
      </c>
      <c r="DZ165" s="322">
        <f>+SUM(DW163:DZ163)</f>
        <v>1566</v>
      </c>
      <c r="EA165" s="322">
        <f>+DZ165</f>
        <v>1566</v>
      </c>
      <c r="EC165" s="318" t="s">
        <v>91</v>
      </c>
      <c r="ED165" s="322">
        <f>+ED163</f>
        <v>642</v>
      </c>
      <c r="EE165" s="322">
        <f>+SUM(ED163:EE163)</f>
        <v>1319</v>
      </c>
      <c r="EF165" s="322">
        <f>+SUM(ED163:EF163)</f>
        <v>2415</v>
      </c>
      <c r="EG165" s="322">
        <f>+SUM(ED163:EG163)</f>
        <v>3188</v>
      </c>
      <c r="EH165" s="322">
        <f>+EG165</f>
        <v>3188</v>
      </c>
      <c r="EJ165" s="318" t="s">
        <v>91</v>
      </c>
      <c r="EK165" s="322">
        <f>+EK163</f>
        <v>866</v>
      </c>
      <c r="EL165" s="322">
        <f>+SUM(EK163:EL163)</f>
        <v>1628</v>
      </c>
      <c r="EM165" s="322">
        <f>+SUM(EK163:EM163)</f>
        <v>2783</v>
      </c>
      <c r="EN165" s="322">
        <f>+SUM(EK163:EN163)</f>
        <v>3478</v>
      </c>
      <c r="EO165" s="322">
        <f>+EN165</f>
        <v>3478</v>
      </c>
      <c r="EQ165" s="318" t="s">
        <v>91</v>
      </c>
      <c r="ER165" s="322">
        <f>+ER163</f>
        <v>812</v>
      </c>
      <c r="ES165" s="322">
        <f>+SUM(ER163:ES163)</f>
        <v>1386</v>
      </c>
      <c r="ET165" s="322">
        <f>+SUM(ER163:ET163)</f>
        <v>1938</v>
      </c>
      <c r="EU165" s="322">
        <f>+SUM(ER163:EU163)</f>
        <v>2616</v>
      </c>
      <c r="EV165" s="322">
        <f>+EU165</f>
        <v>2616</v>
      </c>
      <c r="EX165" s="318" t="s">
        <v>91</v>
      </c>
      <c r="EY165" s="322">
        <f>+EY163</f>
        <v>934</v>
      </c>
      <c r="EZ165" s="322">
        <f>+SUM(EY163:EZ163)</f>
        <v>1872</v>
      </c>
      <c r="FA165" s="322">
        <f>+SUM(EY163:FA163)</f>
        <v>2897</v>
      </c>
      <c r="FB165" s="322">
        <f>+SUM(EY163:FB163)</f>
        <v>3833</v>
      </c>
      <c r="FC165" s="322">
        <f>+FB165</f>
        <v>3833</v>
      </c>
      <c r="FE165" s="318" t="s">
        <v>91</v>
      </c>
      <c r="FF165" s="322">
        <f>+FF163</f>
        <v>947</v>
      </c>
      <c r="FG165" s="322">
        <f>+SUM(FF163:FG163)</f>
        <v>1729</v>
      </c>
      <c r="FH165" s="322">
        <f>+SUM(FF163:FH163)</f>
        <v>2844</v>
      </c>
      <c r="FI165" s="322">
        <f>+SUM(FF163:FI163)</f>
        <v>3765</v>
      </c>
      <c r="FJ165" s="322">
        <f>+FI165</f>
        <v>3765</v>
      </c>
      <c r="FL165" s="318" t="s">
        <v>91</v>
      </c>
      <c r="FM165" s="322">
        <f>+FM163</f>
        <v>821</v>
      </c>
      <c r="FN165" s="322">
        <f>+SUM(FM163:FN163)</f>
        <v>1483</v>
      </c>
      <c r="FO165" s="322">
        <f>+SUM(FM163:FO163)</f>
        <v>2475</v>
      </c>
      <c r="FP165" s="322">
        <f>+SUM(FM163:FP163)</f>
        <v>3244</v>
      </c>
      <c r="FQ165" s="322">
        <f>+FP165</f>
        <v>3244</v>
      </c>
      <c r="FS165" s="318" t="s">
        <v>91</v>
      </c>
      <c r="FT165" s="322">
        <f>+FT163</f>
        <v>525</v>
      </c>
      <c r="FU165" s="319">
        <f>+SUM(FT163:FU163)</f>
        <v>1094</v>
      </c>
      <c r="FV165" s="319">
        <f>+SUM(FT163:FV163)</f>
        <v>2155</v>
      </c>
      <c r="FW165" s="322">
        <f>+SUM(FT163:FW163)</f>
        <v>2687</v>
      </c>
      <c r="FX165" s="322">
        <f>+FW165</f>
        <v>2687</v>
      </c>
      <c r="FZ165" s="318" t="s">
        <v>91</v>
      </c>
      <c r="GA165" s="319">
        <f>+GA163</f>
        <v>541</v>
      </c>
      <c r="GB165" s="319">
        <f>+SUM(GA163:GB163)</f>
        <v>430</v>
      </c>
      <c r="GC165" s="319">
        <f>+SUM(GA163:GC163)</f>
        <v>1033</v>
      </c>
      <c r="GD165" s="319">
        <f>+SUM(GA163:GD163)</f>
        <v>1698</v>
      </c>
      <c r="GE165" s="319">
        <f>+GD165</f>
        <v>1698</v>
      </c>
      <c r="GG165" s="318" t="s">
        <v>91</v>
      </c>
      <c r="GH165" s="319">
        <f>+GH163</f>
        <v>630.71504366674446</v>
      </c>
      <c r="GI165" s="319">
        <f>+SUM(GH163:GI163)</f>
        <v>1405.9907776022733</v>
      </c>
      <c r="GJ165" s="319">
        <f>+SUM(GH163:GJ163)</f>
        <v>2299.6421307735436</v>
      </c>
      <c r="GK165" s="319">
        <f>+SUM(GH163:GK163)</f>
        <v>3072.0233599218845</v>
      </c>
      <c r="GL165" s="319">
        <f>+GK165</f>
        <v>3072.0233599218845</v>
      </c>
      <c r="GN165" s="318" t="s">
        <v>91</v>
      </c>
      <c r="GO165" s="319">
        <f>+GO163</f>
        <v>871.50930914314335</v>
      </c>
      <c r="GP165" s="319">
        <f>+SUM(GO163:GP163)</f>
        <v>1773.8124143656541</v>
      </c>
      <c r="GQ165" s="319">
        <f>+SUM(GO163:GQ163)</f>
        <v>2708.1103688929979</v>
      </c>
      <c r="GR165" s="319">
        <f>+SUM(GO163:GR163)</f>
        <v>3589.2398062697066</v>
      </c>
      <c r="GS165" s="319">
        <f>+GR165</f>
        <v>3589.2398062697066</v>
      </c>
      <c r="GU165" s="318" t="s">
        <v>91</v>
      </c>
      <c r="GV165" s="319">
        <f>+GV163</f>
        <v>822.55067268057485</v>
      </c>
      <c r="GW165" s="319">
        <f>+SUM(GV163:GW163)</f>
        <v>1794.889190718156</v>
      </c>
      <c r="GX165" s="319">
        <f>+SUM(GV163:GX163)</f>
        <v>2796.2900104505829</v>
      </c>
      <c r="GY165" s="319">
        <f>+SUM(GV163:GY163)</f>
        <v>3744.8328052375118</v>
      </c>
      <c r="GZ165" s="319">
        <f>+GY165</f>
        <v>3744.8328052375118</v>
      </c>
    </row>
    <row r="166" spans="1:208" x14ac:dyDescent="0.4">
      <c r="A166" s="417"/>
      <c r="B166" s="82"/>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78"/>
      <c r="AB166" s="78"/>
      <c r="AC166" s="78"/>
      <c r="AD166" s="78"/>
      <c r="AE166" s="78"/>
      <c r="AF166" s="78"/>
      <c r="AG166" s="78"/>
      <c r="AH166" s="78"/>
      <c r="AI166" s="78"/>
      <c r="AJ166" s="78"/>
      <c r="AK166" s="78"/>
      <c r="AL166" s="78"/>
      <c r="AM166" s="78"/>
      <c r="AN166" s="78"/>
      <c r="AP166" s="82"/>
      <c r="AW166" s="82"/>
      <c r="BD166" s="82"/>
      <c r="BK166" s="82"/>
      <c r="BR166" s="82"/>
      <c r="BY166" s="82"/>
      <c r="CF166" s="82"/>
      <c r="CM166" s="82"/>
      <c r="CT166" s="82"/>
      <c r="DA166" s="82"/>
      <c r="DH166" s="82"/>
      <c r="DO166" s="82"/>
      <c r="DV166" s="82"/>
      <c r="EC166" s="82"/>
      <c r="EJ166" s="82"/>
      <c r="EQ166" s="82"/>
      <c r="EX166" s="82"/>
      <c r="FE166" s="82"/>
      <c r="FL166" s="82"/>
      <c r="FS166" s="82"/>
      <c r="FU166" s="80"/>
      <c r="FV166" s="80"/>
      <c r="FZ166" s="82"/>
      <c r="GA166" s="80"/>
      <c r="GB166" s="80"/>
      <c r="GC166" s="80"/>
      <c r="GD166" s="80"/>
      <c r="GE166" s="80"/>
      <c r="GG166" s="82"/>
      <c r="GH166" s="80"/>
      <c r="GI166" s="80"/>
      <c r="GJ166" s="80"/>
      <c r="GK166" s="80"/>
      <c r="GL166" s="80"/>
      <c r="GN166" s="82"/>
      <c r="GO166" s="80"/>
      <c r="GP166" s="80"/>
      <c r="GQ166" s="80"/>
      <c r="GR166" s="80"/>
      <c r="GS166" s="80"/>
      <c r="GU166" s="82"/>
      <c r="GV166" s="80"/>
      <c r="GW166" s="80"/>
      <c r="GX166" s="80"/>
      <c r="GY166" s="80"/>
      <c r="GZ166" s="80"/>
    </row>
    <row r="167" spans="1:208" x14ac:dyDescent="0.4">
      <c r="A167" s="417"/>
      <c r="B167" s="318" t="s">
        <v>92</v>
      </c>
      <c r="C167" s="319">
        <f>AU167</f>
        <v>43</v>
      </c>
      <c r="D167" s="319">
        <f>BB167</f>
        <v>502</v>
      </c>
      <c r="E167" s="319">
        <f>BI167</f>
        <v>370</v>
      </c>
      <c r="F167" s="319">
        <f>BP167</f>
        <v>1210</v>
      </c>
      <c r="G167" s="319">
        <f>BW167</f>
        <v>667</v>
      </c>
      <c r="H167" s="319">
        <f>CD167</f>
        <v>1449</v>
      </c>
      <c r="I167" s="319">
        <f>CK167</f>
        <v>1322</v>
      </c>
      <c r="J167" s="319">
        <f>CR167</f>
        <v>721</v>
      </c>
      <c r="K167" s="319">
        <f>CY167</f>
        <v>895</v>
      </c>
      <c r="L167" s="319">
        <f>DF167</f>
        <v>919</v>
      </c>
      <c r="M167" s="319">
        <f>DM167</f>
        <v>992</v>
      </c>
      <c r="N167" s="319">
        <f>DT167</f>
        <v>847</v>
      </c>
      <c r="O167" s="319">
        <f>EA167</f>
        <v>1566</v>
      </c>
      <c r="P167" s="319">
        <f>EH167</f>
        <v>3188</v>
      </c>
      <c r="Q167" s="319">
        <f>EO167</f>
        <v>3478</v>
      </c>
      <c r="R167" s="319">
        <f>EV167</f>
        <v>2616</v>
      </c>
      <c r="S167" s="319">
        <f>FC167</f>
        <v>3833</v>
      </c>
      <c r="T167" s="319">
        <f>FJ167</f>
        <v>3765</v>
      </c>
      <c r="U167" s="319">
        <f>FQ167</f>
        <v>3244</v>
      </c>
      <c r="V167" s="319">
        <f>FX167</f>
        <v>2687</v>
      </c>
      <c r="W167" s="319">
        <f>GE167</f>
        <v>1698</v>
      </c>
      <c r="X167" s="319">
        <f>GL167</f>
        <v>3072.0233599218841</v>
      </c>
      <c r="Y167" s="319">
        <f>GS167</f>
        <v>3589.2398062697066</v>
      </c>
      <c r="Z167" s="319">
        <f>GZ167</f>
        <v>3744.8328052375123</v>
      </c>
      <c r="AA167" s="320"/>
      <c r="AB167" s="320"/>
      <c r="AC167" s="320"/>
      <c r="AD167" s="320"/>
      <c r="AE167" s="320"/>
      <c r="AF167" s="320"/>
      <c r="AG167" s="320"/>
      <c r="AH167" s="320"/>
      <c r="AI167" s="320"/>
      <c r="AJ167" s="320"/>
      <c r="AK167" s="320"/>
      <c r="AL167" s="320"/>
      <c r="AM167" s="320"/>
      <c r="AN167" s="320"/>
      <c r="AP167" s="318" t="s">
        <v>92</v>
      </c>
      <c r="AQ167" s="322" t="s">
        <v>80</v>
      </c>
      <c r="AR167" s="322" t="s">
        <v>80</v>
      </c>
      <c r="AS167" s="322" t="s">
        <v>80</v>
      </c>
      <c r="AT167" s="322" t="s">
        <v>80</v>
      </c>
      <c r="AU167" s="322">
        <f>+AU163</f>
        <v>43</v>
      </c>
      <c r="AW167" s="318" t="s">
        <v>92</v>
      </c>
      <c r="AX167" s="322">
        <f>+SUM(AX163,AR163:AT163)</f>
        <v>64</v>
      </c>
      <c r="AY167" s="322">
        <f>+SUM(AX163:AY163,AS163:AT163)</f>
        <v>107</v>
      </c>
      <c r="AZ167" s="322">
        <f>+SUM(AX163:AZ163,AT163)</f>
        <v>149</v>
      </c>
      <c r="BA167" s="322">
        <f>+SUM(AX163:BA163)</f>
        <v>502</v>
      </c>
      <c r="BB167" s="322">
        <f>+BB163</f>
        <v>502</v>
      </c>
      <c r="BD167" s="318" t="s">
        <v>92</v>
      </c>
      <c r="BE167" s="322">
        <f>+SUM(BE163,AY163:BA163)</f>
        <v>506</v>
      </c>
      <c r="BF167" s="322">
        <f>+SUM(BE163:BF163,AZ163:BA163)</f>
        <v>736</v>
      </c>
      <c r="BG167" s="322">
        <f>+SUM(BE163:BG163,BA163)</f>
        <v>944</v>
      </c>
      <c r="BH167" s="322">
        <f>+SUM(BE163:BH163)</f>
        <v>370</v>
      </c>
      <c r="BI167" s="322">
        <f>+BI163</f>
        <v>370</v>
      </c>
      <c r="BK167" s="318" t="s">
        <v>92</v>
      </c>
      <c r="BL167" s="322">
        <f>+SUM(BL163,BF163:BH163)</f>
        <v>503</v>
      </c>
      <c r="BM167" s="322">
        <f>+SUM(BL163:BM163,BG163:BH163)</f>
        <v>551</v>
      </c>
      <c r="BN167" s="322">
        <f>+SUM(BL163:BN163,BH163)</f>
        <v>654</v>
      </c>
      <c r="BO167" s="322">
        <f>+SUM(BL163:BO163)</f>
        <v>1210</v>
      </c>
      <c r="BP167" s="322">
        <f>+BP163</f>
        <v>1210</v>
      </c>
      <c r="BR167" s="318" t="s">
        <v>92</v>
      </c>
      <c r="BS167" s="322">
        <f>+SUM(BS163,BM163:BO163)</f>
        <v>1087</v>
      </c>
      <c r="BT167" s="322">
        <f>+SUM(BS163:BT163,BN163:BO163)</f>
        <v>1143</v>
      </c>
      <c r="BU167" s="322">
        <f>+SUM(BS163:BU163,BO163)</f>
        <v>909</v>
      </c>
      <c r="BV167" s="322">
        <f>+SUM(BS163:BV163)</f>
        <v>667</v>
      </c>
      <c r="BW167" s="322">
        <f>+BW163</f>
        <v>667</v>
      </c>
      <c r="BY167" s="318" t="s">
        <v>92</v>
      </c>
      <c r="BZ167" s="322">
        <f>+SUM(BZ163,BT163:BV163)</f>
        <v>924</v>
      </c>
      <c r="CA167" s="322">
        <f>+SUM(BZ163:CA163,BU163:BV163)</f>
        <v>1107</v>
      </c>
      <c r="CB167" s="322">
        <f>+SUM(BZ163:CB163,BV163)</f>
        <v>1273</v>
      </c>
      <c r="CC167" s="322">
        <f>+SUM(BZ163:CC163)</f>
        <v>1449</v>
      </c>
      <c r="CD167" s="322">
        <f>+CD163</f>
        <v>1449</v>
      </c>
      <c r="CF167" s="318" t="s">
        <v>92</v>
      </c>
      <c r="CG167" s="322">
        <f>+SUM(CG163,CA163:CC163)</f>
        <v>1133</v>
      </c>
      <c r="CH167" s="322">
        <f>+SUM(CG163:CH163,CB163:CC163)</f>
        <v>1268</v>
      </c>
      <c r="CI167" s="322">
        <f>+SUM(CG163:CI163,CC163)</f>
        <v>1366</v>
      </c>
      <c r="CJ167" s="322">
        <f>+SUM(CG163:CJ163)</f>
        <v>1322</v>
      </c>
      <c r="CK167" s="322">
        <f>+CK163</f>
        <v>1322</v>
      </c>
      <c r="CM167" s="318" t="s">
        <v>92</v>
      </c>
      <c r="CN167" s="322">
        <f>+SUM(CN163,CH163:CJ163)</f>
        <v>1187</v>
      </c>
      <c r="CO167" s="322">
        <f>+SUM(CN163:CO163,CI163:CJ163)</f>
        <v>774</v>
      </c>
      <c r="CP167" s="322">
        <f>+SUM(CN163:CP163,CJ163)</f>
        <v>674</v>
      </c>
      <c r="CQ167" s="322">
        <f>+SUM(CN163:CQ163)</f>
        <v>721</v>
      </c>
      <c r="CR167" s="322">
        <f>+CR163</f>
        <v>721</v>
      </c>
      <c r="CT167" s="318" t="s">
        <v>92</v>
      </c>
      <c r="CU167" s="322">
        <f>+SUM(CU163,CO163:CQ163)</f>
        <v>960</v>
      </c>
      <c r="CV167" s="322">
        <f>+SUM(CU163:CV163,CP163:CQ163)</f>
        <v>1091</v>
      </c>
      <c r="CW167" s="322">
        <f>+SUM(CU163:CW163,CQ163)</f>
        <v>995</v>
      </c>
      <c r="CX167" s="322">
        <f>+SUM(CU163:CX163)</f>
        <v>895</v>
      </c>
      <c r="CY167" s="322">
        <f>+CY163</f>
        <v>895</v>
      </c>
      <c r="DA167" s="318" t="s">
        <v>92</v>
      </c>
      <c r="DB167" s="322">
        <f>+SUM(DB163,CV163:CX163)</f>
        <v>801</v>
      </c>
      <c r="DC167" s="322">
        <f>+SUM(DB163:DC163,CW163:CX163)</f>
        <v>960</v>
      </c>
      <c r="DD167" s="322">
        <f>+SUM(DB163:DD163,CX163)</f>
        <v>887</v>
      </c>
      <c r="DE167" s="322">
        <f>+SUM(DB163:DE163)</f>
        <v>919</v>
      </c>
      <c r="DF167" s="322">
        <f>+DF163</f>
        <v>919</v>
      </c>
      <c r="DH167" s="318" t="s">
        <v>92</v>
      </c>
      <c r="DI167" s="322">
        <f>+SUM(DI163,DC163:DE163)</f>
        <v>946</v>
      </c>
      <c r="DJ167" s="322">
        <f>+SUM(DI163:DJ163,DD163:DE163)</f>
        <v>803</v>
      </c>
      <c r="DK167" s="322">
        <f>+SUM(DI163:DK163,DE163)</f>
        <v>860</v>
      </c>
      <c r="DL167" s="322">
        <f>+SUM(DI163:DL163)</f>
        <v>992</v>
      </c>
      <c r="DM167" s="322">
        <f>+DM163</f>
        <v>992</v>
      </c>
      <c r="DO167" s="318" t="s">
        <v>92</v>
      </c>
      <c r="DP167" s="322">
        <f>+SUM(DP163,DJ163:DL163)</f>
        <v>1197</v>
      </c>
      <c r="DQ167" s="322">
        <f>+SUM(DP163:DQ163,DK163:DL163)</f>
        <v>1160</v>
      </c>
      <c r="DR167" s="322">
        <f>+SUM(DP163:DR163,DL163)</f>
        <v>1236</v>
      </c>
      <c r="DS167" s="322">
        <f>+SUM(DP163:DS163)</f>
        <v>847</v>
      </c>
      <c r="DT167" s="322">
        <f>+DT163</f>
        <v>847</v>
      </c>
      <c r="DV167" s="318" t="s">
        <v>92</v>
      </c>
      <c r="DW167" s="322">
        <f>+SUM(DW163,DQ163:DS163)</f>
        <v>1114</v>
      </c>
      <c r="DX167" s="322">
        <f>+SUM(DW163:DX163,DR163:DS163)</f>
        <v>938</v>
      </c>
      <c r="DY167" s="322">
        <f>+SUM(DW163:DY163,DS163)</f>
        <v>1382</v>
      </c>
      <c r="DZ167" s="322">
        <f>+SUM(DW163:DZ163)</f>
        <v>1566</v>
      </c>
      <c r="EA167" s="322">
        <f>+EA163</f>
        <v>1566</v>
      </c>
      <c r="EC167" s="318" t="s">
        <v>92</v>
      </c>
      <c r="ED167" s="322">
        <f>+SUM(ED163,DX163:DZ163)</f>
        <v>1581</v>
      </c>
      <c r="EE167" s="322">
        <f>+SUM(ED163:EE163,DY163:DZ163)</f>
        <v>2233</v>
      </c>
      <c r="EF167" s="322">
        <f>+SUM(ED163:EF163,DZ163)</f>
        <v>2511</v>
      </c>
      <c r="EG167" s="322">
        <f>+SUM(ED163:EG163)</f>
        <v>3188</v>
      </c>
      <c r="EH167" s="322">
        <f>+EH163</f>
        <v>3188</v>
      </c>
      <c r="EJ167" s="318" t="s">
        <v>92</v>
      </c>
      <c r="EK167" s="322">
        <f>+SUM(EK163,EE163:EG163)</f>
        <v>3412</v>
      </c>
      <c r="EL167" s="322">
        <f>+SUM(EK163:EL163,EF163:EG163)</f>
        <v>3497</v>
      </c>
      <c r="EM167" s="322">
        <f>+SUM(EK163:EM163,EG163)</f>
        <v>3556</v>
      </c>
      <c r="EN167" s="322">
        <f>+SUM(EK163:EN163)</f>
        <v>3478</v>
      </c>
      <c r="EO167" s="322">
        <f>+EO163</f>
        <v>3478</v>
      </c>
      <c r="EQ167" s="318" t="s">
        <v>92</v>
      </c>
      <c r="ER167" s="322">
        <f>+SUM(ER163,EL163:EN163)</f>
        <v>3424</v>
      </c>
      <c r="ES167" s="322">
        <f>+SUM(ER163:ES163,EM163:EN163)</f>
        <v>3236</v>
      </c>
      <c r="ET167" s="322">
        <f>+SUM(ER163:ET163,EN163)</f>
        <v>2633</v>
      </c>
      <c r="EU167" s="322">
        <f>+SUM(ER163:EU163)</f>
        <v>2616</v>
      </c>
      <c r="EV167" s="322">
        <f>+EV163</f>
        <v>2616</v>
      </c>
      <c r="EX167" s="318" t="s">
        <v>92</v>
      </c>
      <c r="EY167" s="322">
        <f>+SUM(EY163,ES163:EU163)</f>
        <v>2738</v>
      </c>
      <c r="EZ167" s="322">
        <f>+SUM(EY163:EZ163,ET163:EU163)</f>
        <v>3102</v>
      </c>
      <c r="FA167" s="322">
        <f>+SUM(EY163:FA163,EU163)</f>
        <v>3575</v>
      </c>
      <c r="FB167" s="322">
        <f>+SUM(EY163:FB163)</f>
        <v>3833</v>
      </c>
      <c r="FC167" s="322">
        <f>+FC163</f>
        <v>3833</v>
      </c>
      <c r="FE167" s="318" t="s">
        <v>92</v>
      </c>
      <c r="FF167" s="322">
        <f>+SUM(FF163,EZ163:FB163)</f>
        <v>3846</v>
      </c>
      <c r="FG167" s="322">
        <f>+SUM(FF163:FG163,FA163:FB163)</f>
        <v>3690</v>
      </c>
      <c r="FH167" s="322">
        <f>+SUM(FF163:FH163,FB163)</f>
        <v>3780</v>
      </c>
      <c r="FI167" s="322">
        <f>+SUM(FF163:FI163)</f>
        <v>3765</v>
      </c>
      <c r="FJ167" s="322">
        <f>+FJ163</f>
        <v>3765</v>
      </c>
      <c r="FL167" s="318" t="s">
        <v>92</v>
      </c>
      <c r="FM167" s="322">
        <f>+SUM(FM163,FG163:FI163)</f>
        <v>3639</v>
      </c>
      <c r="FN167" s="322">
        <f>+SUM(FM163:FN163,FH163:FI163)</f>
        <v>3519</v>
      </c>
      <c r="FO167" s="322">
        <f>+SUM(FM163:FO163,FI163)</f>
        <v>3396</v>
      </c>
      <c r="FP167" s="322">
        <f>+SUM(FM163:FP163)</f>
        <v>3244</v>
      </c>
      <c r="FQ167" s="322">
        <f>+FQ163</f>
        <v>3244</v>
      </c>
      <c r="FS167" s="318" t="s">
        <v>92</v>
      </c>
      <c r="FT167" s="322">
        <f>+SUM(FT163,FN163:FP163)</f>
        <v>2948</v>
      </c>
      <c r="FU167" s="319">
        <f>+SUM(FT163:FU163,FO163:FP163)</f>
        <v>2855</v>
      </c>
      <c r="FV167" s="319">
        <f>+SUM(FT163:FV163,FP163)</f>
        <v>2924</v>
      </c>
      <c r="FW167" s="322">
        <f>+SUM(FT163:FW163)</f>
        <v>2687</v>
      </c>
      <c r="FX167" s="322">
        <f>+FX163</f>
        <v>2687</v>
      </c>
      <c r="FZ167" s="318" t="s">
        <v>92</v>
      </c>
      <c r="GA167" s="319">
        <f>+SUM(GA163,FU163:FW163)</f>
        <v>2703</v>
      </c>
      <c r="GB167" s="319">
        <f>+SUM(GA163:GB163,FV163:FW163)</f>
        <v>2023</v>
      </c>
      <c r="GC167" s="319">
        <f>+SUM(GA163:GC163,FW163)</f>
        <v>1565</v>
      </c>
      <c r="GD167" s="319">
        <f>+SUM(GA163:GD163)</f>
        <v>1698</v>
      </c>
      <c r="GE167" s="319">
        <f>+GE163</f>
        <v>1698</v>
      </c>
      <c r="GG167" s="318" t="s">
        <v>92</v>
      </c>
      <c r="GH167" s="319">
        <f>+SUM(GH163,GB163:GD163)</f>
        <v>1787.7150436667444</v>
      </c>
      <c r="GI167" s="319">
        <f>+SUM(GH163:GI163,GC163:GD163)</f>
        <v>2673.9907776022733</v>
      </c>
      <c r="GJ167" s="319">
        <f>+SUM(GH163:GJ163,GD163)</f>
        <v>2964.6421307735436</v>
      </c>
      <c r="GK167" s="319">
        <f>+SUM(GH163:GK163)</f>
        <v>3072.0233599218845</v>
      </c>
      <c r="GL167" s="319">
        <f>+GL163</f>
        <v>3072.0233599218841</v>
      </c>
      <c r="GN167" s="318" t="s">
        <v>92</v>
      </c>
      <c r="GO167" s="319">
        <f>+SUM(GO163,GI163:GK163)</f>
        <v>3312.8176253982833</v>
      </c>
      <c r="GP167" s="319">
        <f>+SUM(GO163:GP163,GJ163:GK163)</f>
        <v>3439.8449966852654</v>
      </c>
      <c r="GQ167" s="319">
        <f>+SUM(GO163:GQ163,GK163)</f>
        <v>3480.4915980413389</v>
      </c>
      <c r="GR167" s="319">
        <f>+SUM(GO163:GR163)</f>
        <v>3589.2398062697066</v>
      </c>
      <c r="GS167" s="319">
        <f>+GS163</f>
        <v>3589.2398062697066</v>
      </c>
      <c r="GU167" s="318" t="s">
        <v>92</v>
      </c>
      <c r="GV167" s="319">
        <f>+SUM(GV163,GP163:GR163)</f>
        <v>3540.2811698071382</v>
      </c>
      <c r="GW167" s="319">
        <f>+SUM(GV163:GW163,GQ163:GR163)</f>
        <v>3610.3165826222084</v>
      </c>
      <c r="GX167" s="319">
        <f>+SUM(GV163:GX163,GR163)</f>
        <v>3677.4194478272912</v>
      </c>
      <c r="GY167" s="319">
        <f>+SUM(GV163:GY163)</f>
        <v>3744.8328052375118</v>
      </c>
      <c r="GZ167" s="319">
        <f>+GZ163</f>
        <v>3744.8328052375123</v>
      </c>
    </row>
    <row r="168" spans="1:208" x14ac:dyDescent="0.4">
      <c r="A168" s="479"/>
      <c r="B168" s="480" t="s">
        <v>93</v>
      </c>
      <c r="C168" s="481">
        <f>AU168</f>
        <v>5.6468238266686052E-2</v>
      </c>
      <c r="D168" s="481">
        <f>BB168</f>
        <v>0.42038269899091402</v>
      </c>
      <c r="E168" s="481">
        <f>BI168</f>
        <v>0.29889811613403561</v>
      </c>
      <c r="F168" s="481">
        <f>BP168</f>
        <v>0.84332311123501524</v>
      </c>
      <c r="G168" s="481">
        <f>BW168</f>
        <v>0.60361990950226241</v>
      </c>
      <c r="H168" s="481">
        <f>CD168</f>
        <v>0.91246851385390426</v>
      </c>
      <c r="I168" s="481">
        <f>CK168</f>
        <v>0.73731176798661457</v>
      </c>
      <c r="J168" s="481">
        <f>CR168</f>
        <v>0.39731960808085265</v>
      </c>
      <c r="K168" s="481">
        <f>CY168</f>
        <v>0.48247978436657685</v>
      </c>
      <c r="L168" s="481">
        <f>DF168</f>
        <v>0.4769071094966269</v>
      </c>
      <c r="M168" s="481">
        <f>DM168</f>
        <v>0.50406504065040647</v>
      </c>
      <c r="N168" s="481">
        <f>DT168</f>
        <v>0.47473586862091188</v>
      </c>
      <c r="O168" s="481">
        <f>EA168</f>
        <v>0.74678111587982832</v>
      </c>
      <c r="P168" s="481">
        <f>EH168</f>
        <v>0.96343306134783924</v>
      </c>
      <c r="Q168" s="481">
        <f>EO168</f>
        <v>1.044130891624137</v>
      </c>
      <c r="R168" s="481">
        <f>EV168</f>
        <v>0.94611211573236886</v>
      </c>
      <c r="S168" s="481">
        <f>FC168</f>
        <v>1.0909560266250993</v>
      </c>
      <c r="T168" s="481">
        <f>FJ168</f>
        <v>0.92420849698246954</v>
      </c>
      <c r="U168" s="481">
        <f>FQ168</f>
        <v>0.8844056706652127</v>
      </c>
      <c r="V168" s="481">
        <f>FX168</f>
        <v>0.75647522522522526</v>
      </c>
      <c r="W168" s="481">
        <f>GE168</f>
        <v>0.55118315824534247</v>
      </c>
      <c r="X168" s="481">
        <f>GL168</f>
        <v>0.88557864398817854</v>
      </c>
      <c r="Y168" s="481">
        <f>GS168</f>
        <v>0.9237519376691784</v>
      </c>
      <c r="Z168" s="481">
        <f>GZ168</f>
        <v>0.89923823099006639</v>
      </c>
      <c r="AA168" s="482"/>
      <c r="AB168" s="482"/>
      <c r="AC168" s="482"/>
      <c r="AD168" s="482"/>
      <c r="AE168" s="482"/>
      <c r="AF168" s="482"/>
      <c r="AG168" s="482"/>
      <c r="AH168" s="482"/>
      <c r="AI168" s="482"/>
      <c r="AJ168" s="482"/>
      <c r="AK168" s="482"/>
      <c r="AL168" s="482"/>
      <c r="AM168" s="482"/>
      <c r="AN168" s="482"/>
      <c r="AP168" s="480" t="s">
        <v>93</v>
      </c>
      <c r="AQ168" s="481" t="s">
        <v>80</v>
      </c>
      <c r="AR168" s="481" t="s">
        <v>80</v>
      </c>
      <c r="AS168" s="481" t="s">
        <v>80</v>
      </c>
      <c r="AT168" s="481" t="s">
        <v>80</v>
      </c>
      <c r="AU168" s="481">
        <f>+AU167/BS!CO97</f>
        <v>5.6468238266686052E-2</v>
      </c>
      <c r="AW168" s="480" t="s">
        <v>93</v>
      </c>
      <c r="AX168" s="481">
        <f>+AX167/BS!CR97</f>
        <v>7.5074192481281624E-2</v>
      </c>
      <c r="AY168" s="481">
        <f>+AY167/BS!CS97</f>
        <v>0.10258868648130393</v>
      </c>
      <c r="AZ168" s="481">
        <f>+AZ167/BS!CT97</f>
        <v>0.13027891929701843</v>
      </c>
      <c r="BA168" s="481">
        <f>+BA167/BS!CU97</f>
        <v>0.42038269899091402</v>
      </c>
      <c r="BB168" s="481">
        <f>+BB167/BS!CV97</f>
        <v>0.42038269899091402</v>
      </c>
      <c r="BD168" s="480" t="s">
        <v>93</v>
      </c>
      <c r="BE168" s="481">
        <f>+BE167/BS!CY97</f>
        <v>0.42231773984893373</v>
      </c>
      <c r="BF168" s="481">
        <f>+BF167/BS!CZ97</f>
        <v>0.65413500422165927</v>
      </c>
      <c r="BG168" s="481">
        <f>+BG167/BS!DA97</f>
        <v>0.81558598643569913</v>
      </c>
      <c r="BH168" s="481">
        <f>+BH167/BS!DB97</f>
        <v>0.29889811613403561</v>
      </c>
      <c r="BI168" s="481">
        <f>+BI167/BS!DC97</f>
        <v>0.29889811613403561</v>
      </c>
      <c r="BK168" s="480" t="s">
        <v>93</v>
      </c>
      <c r="BL168" s="481">
        <f>+BL167/BS!DF97</f>
        <v>0.38109525108343179</v>
      </c>
      <c r="BM168" s="481">
        <f>+BM167/BS!DG97</f>
        <v>0.40417229035854702</v>
      </c>
      <c r="BN168" s="481">
        <f>+BN167/BS!DH97</f>
        <v>0.45157013837103316</v>
      </c>
      <c r="BO168" s="481">
        <f>+BO167/BS!DI97</f>
        <v>0.84332311123501524</v>
      </c>
      <c r="BP168" s="481">
        <f>+BP167/BS!DJ97</f>
        <v>0.84332311123501524</v>
      </c>
      <c r="BR168" s="480" t="s">
        <v>93</v>
      </c>
      <c r="BS168" s="481">
        <f>+BS167/BS!DM97</f>
        <v>0.80530448955400802</v>
      </c>
      <c r="BT168" s="481">
        <f>+BT167/BS!DN97</f>
        <v>0.90541825095057027</v>
      </c>
      <c r="BU168" s="481">
        <f>+BU167/BS!DO97</f>
        <v>0.77732170343766027</v>
      </c>
      <c r="BV168" s="481">
        <f>+BV167/BS!DP97</f>
        <v>0.60361990950226241</v>
      </c>
      <c r="BW168" s="481">
        <f>+BW167/BS!DQ97</f>
        <v>0.60361990950226241</v>
      </c>
      <c r="BY168" s="480" t="s">
        <v>93</v>
      </c>
      <c r="BZ168" s="481">
        <f>+BZ167/BS!DT97</f>
        <v>0.79449699054170253</v>
      </c>
      <c r="CA168" s="481">
        <f>+CA167/BS!DU97</f>
        <v>0.85088393543428131</v>
      </c>
      <c r="CB168" s="481">
        <f>+CB167/BS!DV97</f>
        <v>0.8791436464088398</v>
      </c>
      <c r="CC168" s="481">
        <f>+CC167/BS!DW97</f>
        <v>0.91246851385390426</v>
      </c>
      <c r="CD168" s="481">
        <f>+CD167/BS!DX97</f>
        <v>0.91246851385390426</v>
      </c>
      <c r="CF168" s="480" t="s">
        <v>93</v>
      </c>
      <c r="CG168" s="481">
        <f>+CG167/BS!EA97</f>
        <v>0.67480643240023819</v>
      </c>
      <c r="CH168" s="481">
        <f>+CH167/BS!EB97</f>
        <v>0.72333143183114657</v>
      </c>
      <c r="CI168" s="481">
        <f>+CI167/BS!EC97</f>
        <v>0.76698483997754074</v>
      </c>
      <c r="CJ168" s="481">
        <f>+CJ167/BS!ED97</f>
        <v>0.73731176798661457</v>
      </c>
      <c r="CK168" s="481">
        <f>+CK167/BS!EE97</f>
        <v>0.73731176798661457</v>
      </c>
      <c r="CM168" s="480" t="s">
        <v>93</v>
      </c>
      <c r="CN168" s="481">
        <f>+CN167/BS!EH97</f>
        <v>0.64266377910124528</v>
      </c>
      <c r="CO168" s="481">
        <f>+CO167/BS!EI97</f>
        <v>0.41657696447793324</v>
      </c>
      <c r="CP168" s="481">
        <f>+CP167/BS!EJ97</f>
        <v>0.36452136289886428</v>
      </c>
      <c r="CQ168" s="481">
        <f>+CQ167/BS!EK97</f>
        <v>0.39731960808085265</v>
      </c>
      <c r="CR168" s="481">
        <f>+CR167/BS!EL97</f>
        <v>0.39731960808085265</v>
      </c>
      <c r="CT168" s="480" t="s">
        <v>93</v>
      </c>
      <c r="CU168" s="481">
        <f>+CU167/BS!EO97</f>
        <v>0.52612541514583544</v>
      </c>
      <c r="CV168" s="481">
        <f>+CV167/BS!EP97</f>
        <v>0.59304436689388262</v>
      </c>
      <c r="CW168" s="481">
        <f>+CW167/BS!EQ97</f>
        <v>0.54174425315518393</v>
      </c>
      <c r="CX168" s="481">
        <f>+CX167/BS!ER97</f>
        <v>0.48247978436657685</v>
      </c>
      <c r="CY168" s="481">
        <f>+CY167/BS!ES97</f>
        <v>0.48247978436657685</v>
      </c>
      <c r="DA168" s="480" t="s">
        <v>93</v>
      </c>
      <c r="DB168" s="481">
        <f>+DB167/BS!EV97</f>
        <v>0.44648829431438125</v>
      </c>
      <c r="DC168" s="481">
        <f>+DC167/BS!EW97</f>
        <v>0.53185595567867039</v>
      </c>
      <c r="DD168" s="481">
        <f>+DD167/BS!EX97</f>
        <v>0.47636949516648763</v>
      </c>
      <c r="DE168" s="481">
        <f>+DE167/BS!EY97</f>
        <v>0.4769071094966269</v>
      </c>
      <c r="DF168" s="481">
        <f>+DF167/BS!EZ97</f>
        <v>0.4769071094966269</v>
      </c>
      <c r="DH168" s="480" t="s">
        <v>93</v>
      </c>
      <c r="DI168" s="481">
        <f>+DI167/BS!FC97</f>
        <v>0.47995941146626075</v>
      </c>
      <c r="DJ168" s="481">
        <f>+DJ167/BS!FD97</f>
        <v>0.40250626566416042</v>
      </c>
      <c r="DK168" s="481">
        <f>+DK167/BS!FE97</f>
        <v>0.4315102860010035</v>
      </c>
      <c r="DL168" s="481">
        <f>+DL167/BS!FF97</f>
        <v>0.50406504065040647</v>
      </c>
      <c r="DM168" s="481">
        <f>+DM167/BS!FG97</f>
        <v>0.50406504065040647</v>
      </c>
      <c r="DO168" s="480" t="s">
        <v>93</v>
      </c>
      <c r="DP168" s="481">
        <f>+DP167/BS!FJ97</f>
        <v>0.6360255047821467</v>
      </c>
      <c r="DQ168" s="481">
        <f>+DQ167/BS!FK97</f>
        <v>0.65388951521984218</v>
      </c>
      <c r="DR168" s="481">
        <f>+DR167/BS!FL97</f>
        <v>0.71777003484320556</v>
      </c>
      <c r="DS168" s="481">
        <f>+DS167/BS!FM97</f>
        <v>0.47473586862091188</v>
      </c>
      <c r="DT168" s="481">
        <f>+DT167/BS!FN97</f>
        <v>0.47473586862091188</v>
      </c>
      <c r="DV168" s="480" t="s">
        <v>93</v>
      </c>
      <c r="DW168" s="481">
        <f>+DW167/BS!FQ97</f>
        <v>0.58688723230513917</v>
      </c>
      <c r="DX168" s="481">
        <f>+DX167/BS!FR97</f>
        <v>0.45887043514419196</v>
      </c>
      <c r="DY168" s="481">
        <f>+DY167/BS!FS97</f>
        <v>0.67344005067855661</v>
      </c>
      <c r="DZ168" s="481">
        <f>+DZ167/BS!FT97</f>
        <v>0.74678111587982832</v>
      </c>
      <c r="EA168" s="481">
        <f>+EA167/BS!FU97</f>
        <v>0.74678111587982832</v>
      </c>
      <c r="EC168" s="480" t="s">
        <v>93</v>
      </c>
      <c r="ED168" s="481">
        <f>+ED167/BS!FX97</f>
        <v>0.68087855297157618</v>
      </c>
      <c r="EE168" s="481">
        <f>+EE167/BS!FY97</f>
        <v>0.85621165644171782</v>
      </c>
      <c r="EF168" s="481">
        <f>+EF167/BS!FZ97</f>
        <v>0.82625863770977293</v>
      </c>
      <c r="EG168" s="481">
        <f>+EG167/BS!GA97</f>
        <v>0.96343306134783924</v>
      </c>
      <c r="EH168" s="481">
        <f>+EH167/BS!GB97</f>
        <v>0.96343306134783924</v>
      </c>
      <c r="EJ168" s="480" t="s">
        <v>93</v>
      </c>
      <c r="EK168" s="481">
        <f>+EK167/BS!GE97</f>
        <v>0.98955916473317862</v>
      </c>
      <c r="EL168" s="481">
        <f>+EL167/BS!GF97</f>
        <v>1.016274338854984</v>
      </c>
      <c r="EM168" s="481">
        <f>+EM167/BS!GG97</f>
        <v>1.0449603291213636</v>
      </c>
      <c r="EN168" s="481">
        <f>+EN167/BS!GH97</f>
        <v>1.044130891624137</v>
      </c>
      <c r="EO168" s="481">
        <f>+EO167/BS!GI97</f>
        <v>1.044130891624137</v>
      </c>
      <c r="EQ168" s="480" t="s">
        <v>93</v>
      </c>
      <c r="ER168" s="481">
        <f>+ER167/BS!GL97</f>
        <v>1.0480563207835936</v>
      </c>
      <c r="ES168" s="481">
        <f>+ES167/BS!GM97</f>
        <v>1.117403314917127</v>
      </c>
      <c r="ET168" s="481">
        <f>+ET167/BS!GN97</f>
        <v>0.94848703170028814</v>
      </c>
      <c r="EU168" s="481">
        <f>+EU167/BS!GO97</f>
        <v>0.94611211573236886</v>
      </c>
      <c r="EV168" s="481">
        <f>+EV167/BS!GP97</f>
        <v>0.94611211573236886</v>
      </c>
      <c r="EX168" s="480" t="s">
        <v>93</v>
      </c>
      <c r="EY168" s="481">
        <f>+EY167/BS!GS97</f>
        <v>1.0136986301369864</v>
      </c>
      <c r="EZ168" s="481">
        <f>+EZ167/BS!GT97</f>
        <v>0.99825187817373984</v>
      </c>
      <c r="FA168" s="481">
        <f>+FA167/BS!GU97</f>
        <v>1.070541283070888</v>
      </c>
      <c r="FB168" s="481">
        <f>+FB167/BS!GV97</f>
        <v>1.0909560266250993</v>
      </c>
      <c r="FC168" s="481">
        <f>+FC167/BS!GW97</f>
        <v>1.0909560266250993</v>
      </c>
      <c r="FE168" s="480" t="s">
        <v>93</v>
      </c>
      <c r="FF168" s="481">
        <f>+FF167/BS!GZ97</f>
        <v>1.0489761767500529</v>
      </c>
      <c r="FG168" s="481">
        <f>+FG167/BS!HA97</f>
        <v>0.95924979551982348</v>
      </c>
      <c r="FH168" s="481">
        <f>+FH167/BS!HB97</f>
        <v>0.94742633573786517</v>
      </c>
      <c r="FI168" s="481">
        <f>+FI167/BS!HC97</f>
        <v>0.92420849698246954</v>
      </c>
      <c r="FJ168" s="481">
        <f>+FJ167/BS!HD97</f>
        <v>0.92420849698246954</v>
      </c>
      <c r="FL168" s="480" t="s">
        <v>93</v>
      </c>
      <c r="FM168" s="481">
        <f>+FM167/BS!HG97</f>
        <v>0.86875433069949159</v>
      </c>
      <c r="FN168" s="481">
        <f>+FN167/BS!HH97</f>
        <v>0.8610227550770736</v>
      </c>
      <c r="FO168" s="481">
        <f>+FO167/BS!HI97</f>
        <v>0.89274447949526814</v>
      </c>
      <c r="FP168" s="481">
        <f>+FP167/BS!HJ97</f>
        <v>0.8844056706652127</v>
      </c>
      <c r="FQ168" s="481">
        <f>+FQ167/BS!HK97</f>
        <v>0.8844056706652127</v>
      </c>
      <c r="FS168" s="480" t="s">
        <v>93</v>
      </c>
      <c r="FT168" s="481">
        <f>+FT167/BS!HN97</f>
        <v>0.82484611080022385</v>
      </c>
      <c r="FU168" s="481">
        <f>+FU167/BS!HO97</f>
        <v>0.80354629890233609</v>
      </c>
      <c r="FV168" s="481">
        <f>+FV167/BS!HP97</f>
        <v>0.80795799944736113</v>
      </c>
      <c r="FW168" s="481">
        <f>+FW167/BS!HQ97</f>
        <v>0.75647522522522526</v>
      </c>
      <c r="FX168" s="481">
        <f>+FX167/BS!HR97</f>
        <v>0.75647522522522526</v>
      </c>
      <c r="FZ168" s="480" t="s">
        <v>93</v>
      </c>
      <c r="GA168" s="481">
        <f>+GA167/BS!HU97</f>
        <v>0.81464737793851716</v>
      </c>
      <c r="GB168" s="481">
        <f>+GB167/BS!HV97</f>
        <v>0.63536432160804024</v>
      </c>
      <c r="GC168" s="481">
        <f>+GC167/BS!HW97</f>
        <v>0.49921051372430186</v>
      </c>
      <c r="GD168" s="481">
        <f>+GD167/BS!HX97</f>
        <v>0.55118315824534247</v>
      </c>
      <c r="GE168" s="481">
        <f>+GE167/BS!HY97</f>
        <v>0.55118315824534247</v>
      </c>
      <c r="GG168" s="480" t="s">
        <v>93</v>
      </c>
      <c r="GH168" s="481">
        <f>+GH167/BS!IB97</f>
        <v>0.56184757562804688</v>
      </c>
      <c r="GI168" s="481">
        <f>+GI167/BS!IC97</f>
        <v>0.8227816702617281</v>
      </c>
      <c r="GJ168" s="481">
        <f>+GJ167/BS!ID97</f>
        <v>0.88950902577171831</v>
      </c>
      <c r="GK168" s="481">
        <f>+GK167/BS!IE97</f>
        <v>0.88557864398817865</v>
      </c>
      <c r="GL168" s="481">
        <f>+GL167/BS!IF97</f>
        <v>0.88557864398817854</v>
      </c>
      <c r="GN168" s="480" t="s">
        <v>93</v>
      </c>
      <c r="GO168" s="481">
        <f>+GO167/BS!II97</f>
        <v>0.92764718581902406</v>
      </c>
      <c r="GP168" s="481">
        <f>+GP167/BS!IJ97</f>
        <v>0.93501338394087297</v>
      </c>
      <c r="GQ168" s="481">
        <f>+GQ167/BS!IK97</f>
        <v>0.91777305236854867</v>
      </c>
      <c r="GR168" s="481">
        <f>+GR167/BS!IL97</f>
        <v>0.9237519376691784</v>
      </c>
      <c r="GS168" s="481">
        <f>+GS167/BS!IM97</f>
        <v>0.9237519376691784</v>
      </c>
      <c r="GU168" s="480" t="s">
        <v>93</v>
      </c>
      <c r="GV168" s="481">
        <f>+GV167/BS!IP97</f>
        <v>0.89383573861948051</v>
      </c>
      <c r="GW168" s="481">
        <f>+GW167/BS!IQ97</f>
        <v>0.89548849752208171</v>
      </c>
      <c r="GX168" s="481">
        <f>+GX167/BS!IR97</f>
        <v>0.89774591300874562</v>
      </c>
      <c r="GY168" s="481">
        <f>+GY167/BS!IS97</f>
        <v>0.89923823099006628</v>
      </c>
      <c r="GZ168" s="481">
        <f>+GZ167/BS!IT97</f>
        <v>0.89923823099006639</v>
      </c>
    </row>
    <row r="169" spans="1:208" x14ac:dyDescent="0.4">
      <c r="A169" s="483"/>
      <c r="B169" s="484" t="s">
        <v>94</v>
      </c>
      <c r="C169" s="485">
        <f>AU169</f>
        <v>1.0476816996808228E-2</v>
      </c>
      <c r="D169" s="485">
        <f>BB169</f>
        <v>0.11971192826823104</v>
      </c>
      <c r="E169" s="485">
        <f>BI169</f>
        <v>9.169764560099132E-2</v>
      </c>
      <c r="F169" s="485">
        <f>BP169</f>
        <v>0.32900997906300133</v>
      </c>
      <c r="G169" s="485">
        <f>BW169</f>
        <v>0.18730693625386127</v>
      </c>
      <c r="H169" s="485">
        <f>CD169</f>
        <v>0.41854419410745236</v>
      </c>
      <c r="I169" s="485">
        <f>CK169</f>
        <v>0.40465258647076829</v>
      </c>
      <c r="J169" s="485">
        <f>CR169</f>
        <v>0.2310897435897436</v>
      </c>
      <c r="K169" s="485">
        <f>CY169</f>
        <v>0.29277069021916913</v>
      </c>
      <c r="L169" s="485">
        <f>DF169</f>
        <v>0.30572188955422486</v>
      </c>
      <c r="M169" s="485">
        <f>DM169</f>
        <v>0.33604336043360433</v>
      </c>
      <c r="N169" s="485">
        <f>DT169</f>
        <v>0.29781997187060477</v>
      </c>
      <c r="O169" s="485">
        <f>EA169</f>
        <v>0.57111597374179435</v>
      </c>
      <c r="P169" s="485">
        <f>EH169</f>
        <v>1.2342237708091366</v>
      </c>
      <c r="Q169" s="485">
        <f>EO169</f>
        <v>1.4527986633249792</v>
      </c>
      <c r="R169" s="485">
        <f>EV169</f>
        <v>1.1354166666666667</v>
      </c>
      <c r="S169" s="485">
        <f>FC169</f>
        <v>1.6997782705099778</v>
      </c>
      <c r="T169" s="485">
        <f>FJ169</f>
        <v>1.7585240541802896</v>
      </c>
      <c r="U169" s="485">
        <f>FQ169</f>
        <v>1.6115250869349229</v>
      </c>
      <c r="V169" s="485">
        <f>FX169</f>
        <v>1.3830909792819457</v>
      </c>
      <c r="W169" s="485">
        <f>GE169</f>
        <v>0.90656700480512542</v>
      </c>
      <c r="X169" s="485">
        <f>GL169</f>
        <v>1.6784661401373451</v>
      </c>
      <c r="Y169" s="485">
        <f>GS169</f>
        <v>2.0365851847040575</v>
      </c>
      <c r="Z169" s="485">
        <f>GZ169</f>
        <v>2.2114526896764182</v>
      </c>
      <c r="AA169" s="486"/>
      <c r="AB169" s="486"/>
      <c r="AC169" s="486"/>
      <c r="AD169" s="486"/>
      <c r="AE169" s="486"/>
      <c r="AF169" s="486"/>
      <c r="AG169" s="486"/>
      <c r="AH169" s="486"/>
      <c r="AI169" s="486"/>
      <c r="AJ169" s="486"/>
      <c r="AK169" s="486"/>
      <c r="AL169" s="486"/>
      <c r="AM169" s="486"/>
      <c r="AN169" s="486"/>
      <c r="AP169" s="484" t="s">
        <v>94</v>
      </c>
      <c r="AQ169" s="487" t="s">
        <v>80</v>
      </c>
      <c r="AR169" s="487" t="s">
        <v>80</v>
      </c>
      <c r="AS169" s="487" t="s">
        <v>80</v>
      </c>
      <c r="AT169" s="487" t="s">
        <v>80</v>
      </c>
      <c r="AU169" s="487">
        <f>+AU167/CSX!GD61</f>
        <v>1.0476816996808228E-2</v>
      </c>
      <c r="AW169" s="484" t="s">
        <v>94</v>
      </c>
      <c r="AX169" s="487">
        <f>+AX167/CSX!GG61</f>
        <v>1.5313657198041002E-2</v>
      </c>
      <c r="AY169" s="487">
        <f>+AY167/CSX!GH61</f>
        <v>2.5284426164040634E-2</v>
      </c>
      <c r="AZ169" s="487">
        <f>+AZ167/CSX!GI61</f>
        <v>3.5554333822742319E-2</v>
      </c>
      <c r="BA169" s="487">
        <f>+BA167/CSX!GJ61</f>
        <v>0.1203341742342959</v>
      </c>
      <c r="BB169" s="487">
        <f>+BB167/CSX!GK61</f>
        <v>0.11971192826823104</v>
      </c>
      <c r="BD169" s="484" t="s">
        <v>94</v>
      </c>
      <c r="BE169" s="487">
        <f>+BE167/CSX!GN61</f>
        <v>0.1213841438723557</v>
      </c>
      <c r="BF169" s="487">
        <f>+BF167/CSX!GO61</f>
        <v>0.17819498647437104</v>
      </c>
      <c r="BG169" s="487">
        <f>+BG167/CSX!GP61</f>
        <v>0.23541546340436698</v>
      </c>
      <c r="BH169" s="487">
        <f>+BH167/CSX!GQ61</f>
        <v>9.6624034575735596E-2</v>
      </c>
      <c r="BI169" s="487">
        <f>+BI167/CSX!GR61</f>
        <v>9.169764560099132E-2</v>
      </c>
      <c r="BK169" s="484" t="s">
        <v>94</v>
      </c>
      <c r="BL169" s="487">
        <f>+BL167/CSX!GU61</f>
        <v>0.13460377611524862</v>
      </c>
      <c r="BM169" s="487">
        <f>+BM167/CSX!GV61</f>
        <v>0.14748347264338435</v>
      </c>
      <c r="BN169" s="487">
        <f>+BN167/CSX!GW61</f>
        <v>0.17789249518965433</v>
      </c>
      <c r="BO169" s="487">
        <f>+BO167/CSX!GX61</f>
        <v>0.33978468044178189</v>
      </c>
      <c r="BP169" s="487">
        <f>+BP167/CSX!GY61</f>
        <v>0.32900997906300133</v>
      </c>
      <c r="BR169" s="484" t="s">
        <v>94</v>
      </c>
      <c r="BS169" s="487">
        <f>+BS167/CSX!HB61</f>
        <v>0.30646368020280063</v>
      </c>
      <c r="BT169" s="487">
        <f>+BT167/CSX!HC61</f>
        <v>0.32121777289742592</v>
      </c>
      <c r="BU169" s="487">
        <f>+BU167/CSX!HD61</f>
        <v>0.25483594433980616</v>
      </c>
      <c r="BV169" s="487">
        <f>+BV167/CSX!HE61</f>
        <v>0.18670635570164965</v>
      </c>
      <c r="BW169" s="487">
        <f>+BW167/CSX!HF61</f>
        <v>0.18730693625386127</v>
      </c>
      <c r="BY169" s="484" t="s">
        <v>94</v>
      </c>
      <c r="BZ169" s="487">
        <f>+BZ167/CSX!HI61</f>
        <v>0.26036158484345273</v>
      </c>
      <c r="CA169" s="487">
        <f>+CA167/CSX!HJ61</f>
        <v>0.31837791199309751</v>
      </c>
      <c r="CB169" s="487">
        <f>+CB167/CSX!HK61</f>
        <v>0.37059679767103348</v>
      </c>
      <c r="CC169" s="487">
        <f>+CC167/CSX!HL61</f>
        <v>0.42819148936170215</v>
      </c>
      <c r="CD169" s="487">
        <f>+CD167/CSX!HM61</f>
        <v>0.41854419410745236</v>
      </c>
      <c r="CF169" s="484" t="s">
        <v>94</v>
      </c>
      <c r="CG169" s="487">
        <f>+CG167/CSX!HP61</f>
        <v>0.33871449925261582</v>
      </c>
      <c r="CH169" s="487">
        <f>+CH167/CSX!HQ61</f>
        <v>0.38112413585813043</v>
      </c>
      <c r="CI169" s="487">
        <f>+CI167/CSX!HR61</f>
        <v>0.42277932528628909</v>
      </c>
      <c r="CJ169" s="487">
        <f>+CJ167/CSX!HS61</f>
        <v>0.41729797979797978</v>
      </c>
      <c r="CK169" s="487">
        <f>+CK167/CSX!HT61</f>
        <v>0.40465258647076829</v>
      </c>
      <c r="CM169" s="484" t="s">
        <v>94</v>
      </c>
      <c r="CN169" s="487">
        <f>+CN167/CSX!HW61</f>
        <v>0.37718462027327615</v>
      </c>
      <c r="CO169" s="487">
        <f>+CO167/CSX!HX61</f>
        <v>0.24736337488015339</v>
      </c>
      <c r="CP169" s="487">
        <f>+CP167/CSX!HY61</f>
        <v>0.21602564102564104</v>
      </c>
      <c r="CQ169" s="487">
        <f>+CQ167/CSX!HZ61</f>
        <v>0.23378728923476005</v>
      </c>
      <c r="CR169" s="487">
        <f>+CR167/CSX!IA61</f>
        <v>0.2310897435897436</v>
      </c>
      <c r="CT169" s="484" t="s">
        <v>94</v>
      </c>
      <c r="CU169" s="487">
        <f>+CU167/CSX!ID61</f>
        <v>0.31280547409579668</v>
      </c>
      <c r="CV169" s="487">
        <f>+CV167/CSX!IE61</f>
        <v>0.35549038774845226</v>
      </c>
      <c r="CW169" s="487">
        <f>+CW167/CSX!IF61</f>
        <v>0.32580222658808122</v>
      </c>
      <c r="CX169" s="487">
        <f>+CX167/CSX!IG61</f>
        <v>0.29450477130635078</v>
      </c>
      <c r="CY169" s="487">
        <f>+CY167/CSX!IH61</f>
        <v>0.29277069021916913</v>
      </c>
      <c r="DA169" s="484" t="s">
        <v>94</v>
      </c>
      <c r="DB169" s="487">
        <f>+DB167/CSX!IK61</f>
        <v>0.26488095238095238</v>
      </c>
      <c r="DC169" s="487">
        <f>+DC167/CSX!IL61</f>
        <v>0.31904287138584247</v>
      </c>
      <c r="DD169" s="487">
        <f>+DD167/CSX!IM61</f>
        <v>0.29596262929596262</v>
      </c>
      <c r="DE169" s="487">
        <f>+DE167/CSX!IN61</f>
        <v>0.30787269681742041</v>
      </c>
      <c r="DF169" s="487">
        <f>+DF167/CSX!IO61</f>
        <v>0.30572188955422486</v>
      </c>
      <c r="DH169" s="484" t="s">
        <v>94</v>
      </c>
      <c r="DI169" s="487">
        <f>+DI167/CSX!IR61</f>
        <v>0.3178763440860215</v>
      </c>
      <c r="DJ169" s="487">
        <f>+DJ167/CSX!IS61</f>
        <v>0.2706437478934951</v>
      </c>
      <c r="DK169" s="487">
        <f>+DK167/CSX!IT61</f>
        <v>0.29192124915139173</v>
      </c>
      <c r="DL169" s="487">
        <f>+DL167/CSX!IU61</f>
        <v>0.3398424117848578</v>
      </c>
      <c r="DM169" s="487">
        <f>+DM167/CSX!IV61</f>
        <v>0.33604336043360433</v>
      </c>
      <c r="DO169" s="484" t="s">
        <v>94</v>
      </c>
      <c r="DP169" s="487">
        <f>+DP167/CSX!IY61</f>
        <v>0.41433021806853582</v>
      </c>
      <c r="DQ169" s="487">
        <f>+DQ167/CSX!IZ61</f>
        <v>0.4061624649859944</v>
      </c>
      <c r="DR169" s="487">
        <f>+DR167/CSX!JA61</f>
        <v>0.4369034994697773</v>
      </c>
      <c r="DS169" s="487">
        <f>+DS167/CSX!JB61</f>
        <v>0.30196078431372547</v>
      </c>
      <c r="DT169" s="487">
        <f>+DT167/CSX!JC61</f>
        <v>0.29781997187060477</v>
      </c>
      <c r="DV169" s="484" t="s">
        <v>94</v>
      </c>
      <c r="DW169" s="487">
        <f>+DW167/CSX!JF61</f>
        <v>0.39971295299605308</v>
      </c>
      <c r="DX169" s="487">
        <f>+DX167/CSX!JG61</f>
        <v>0.3383838383838384</v>
      </c>
      <c r="DY169" s="487">
        <f>+DY167/CSX!JH61</f>
        <v>0.50846210448859452</v>
      </c>
      <c r="DZ169" s="487">
        <f>+DZ167/CSX!JI61</f>
        <v>0.5825892857142857</v>
      </c>
      <c r="EA169" s="487">
        <f>+EA167/CSX!JJ61</f>
        <v>0.57111597374179435</v>
      </c>
      <c r="EC169" s="484" t="s">
        <v>94</v>
      </c>
      <c r="ED169" s="487">
        <f>+ED167/CSX!JM61</f>
        <v>0.59346846846846846</v>
      </c>
      <c r="EE169" s="487">
        <f>+EE167/CSX!JN61</f>
        <v>0.85752688172043012</v>
      </c>
      <c r="EF169" s="487">
        <f>+EF167/CSX!JO61</f>
        <v>0.98009367681498827</v>
      </c>
      <c r="EG169" s="487">
        <f>+EG167/CSX!JP61</f>
        <v>1.2757102841136454</v>
      </c>
      <c r="EH169" s="487">
        <f>+EH167/CSX!JQ61</f>
        <v>1.2342237708091366</v>
      </c>
      <c r="EJ169" s="484" t="s">
        <v>94</v>
      </c>
      <c r="EK169" s="487">
        <f>+EK167/CSX!JT61</f>
        <v>1.3920848633210934</v>
      </c>
      <c r="EL169" s="487">
        <f>+EL167/CSX!JU61</f>
        <v>1.4444444444444444</v>
      </c>
      <c r="EM169" s="487">
        <f>+EM167/CSX!JV61</f>
        <v>1.4966329966329965</v>
      </c>
      <c r="EN169" s="487">
        <f>+EN167/CSX!JW61</f>
        <v>1.4901456726649529</v>
      </c>
      <c r="EO169" s="487">
        <f>+EO167/CSX!JX61</f>
        <v>1.4527986633249792</v>
      </c>
      <c r="EQ169" s="484" t="s">
        <v>94</v>
      </c>
      <c r="ER169" s="487">
        <f>+ER167/CSX!KA61</f>
        <v>1.4764984907287624</v>
      </c>
      <c r="ES169" s="487">
        <f>+ES167/CSX!KB61</f>
        <v>1.4063450673620166</v>
      </c>
      <c r="ET169" s="487">
        <f>+ET167/CSX!KC61</f>
        <v>1.1442850934376358</v>
      </c>
      <c r="EU169" s="487">
        <f>+EU167/CSX!KD61</f>
        <v>1.1383812010443863</v>
      </c>
      <c r="EV169" s="487">
        <f>+EV167/CSX!KE61</f>
        <v>1.1354166666666667</v>
      </c>
      <c r="EX169" s="484" t="s">
        <v>94</v>
      </c>
      <c r="EY169" s="487">
        <f>+EY167/CSX!KH61</f>
        <v>1.1977252843394575</v>
      </c>
      <c r="EZ169" s="487">
        <f>+EZ167/CSX!KI61</f>
        <v>1.3635164835164835</v>
      </c>
      <c r="FA169" s="487">
        <f>+FA167/CSX!KJ61</f>
        <v>1.5945584299732383</v>
      </c>
      <c r="FB169" s="487">
        <f>+FB167/CSX!KK61</f>
        <v>1.7289129454217411</v>
      </c>
      <c r="FC169" s="487">
        <f>+FC167/CSX!KL61</f>
        <v>1.6997782705099778</v>
      </c>
      <c r="FE169" s="484" t="s">
        <v>94</v>
      </c>
      <c r="FF169" s="487">
        <f>+FF167/CSX!KO61</f>
        <v>1.7537619699042408</v>
      </c>
      <c r="FG169" s="487">
        <f>+FG167/CSX!KP61</f>
        <v>1.7059639389736476</v>
      </c>
      <c r="FH169" s="487">
        <f>+FH167/CSX!KQ61</f>
        <v>1.7779868297271872</v>
      </c>
      <c r="FI169" s="487">
        <f>+FI167/CSX!KR61</f>
        <v>1.8057553956834533</v>
      </c>
      <c r="FJ169" s="487">
        <f>+FJ167/CSX!KS61</f>
        <v>1.7585240541802896</v>
      </c>
      <c r="FL169" s="484" t="s">
        <v>94</v>
      </c>
      <c r="FM169" s="487">
        <f>+FM167/CSX!KV61</f>
        <v>1.7682215743440233</v>
      </c>
      <c r="FN169" s="487">
        <f>+FN167/CSX!KW61</f>
        <v>1.7377777777777779</v>
      </c>
      <c r="FO169" s="487">
        <f>+FO167/CSX!KX61</f>
        <v>1.6988494247123562</v>
      </c>
      <c r="FP169" s="487">
        <f>+FP167/CSX!KY61</f>
        <v>1.6475368207211782</v>
      </c>
      <c r="FQ169" s="487">
        <f>+FQ167/CSX!KZ61</f>
        <v>1.6115250869349229</v>
      </c>
      <c r="FS169" s="484" t="s">
        <v>94</v>
      </c>
      <c r="FT169" s="487">
        <f>+FT167/CSX!LC61</f>
        <v>1.5025484199796126</v>
      </c>
      <c r="FU169" s="485">
        <f>+FU167/CSX!LD61</f>
        <v>1.465605749486653</v>
      </c>
      <c r="FV169" s="485">
        <f>+FV167/CSX!LE61</f>
        <v>1.5072164948453608</v>
      </c>
      <c r="FW169" s="487">
        <f>+FW167/CSX!LF61</f>
        <v>1.3987506507027589</v>
      </c>
      <c r="FX169" s="487">
        <f>+FX167/CSX!LG61</f>
        <v>1.3830909792819457</v>
      </c>
      <c r="FZ169" s="484" t="s">
        <v>94</v>
      </c>
      <c r="GA169" s="485">
        <f>+GA167/CSX!LJ61</f>
        <v>1.4286469344608879</v>
      </c>
      <c r="GB169" s="485">
        <f>+GB167/CSX!LK61</f>
        <v>1.0823970037453183</v>
      </c>
      <c r="GC169" s="485">
        <f>+GC167/CSX!LL61</f>
        <v>0.83824317086234601</v>
      </c>
      <c r="GD169" s="485">
        <f>+GD167/CSX!LM61</f>
        <v>0.91094420600858372</v>
      </c>
      <c r="GE169" s="485">
        <f>+GE167/CSX!LN61</f>
        <v>0.90656700480512542</v>
      </c>
      <c r="GG169" s="484" t="s">
        <v>94</v>
      </c>
      <c r="GH169" s="485">
        <f>+GH167/CSX!LQ61</f>
        <v>0.96352968931394245</v>
      </c>
      <c r="GI169" s="485">
        <f>+GI167/CSX!LR61</f>
        <v>1.4541398962103869</v>
      </c>
      <c r="GJ169" s="485">
        <f>+GJ167/CSX!LS61</f>
        <v>1.6272421272568172</v>
      </c>
      <c r="GK169" s="485">
        <f>+GK167/CSX!LT61</f>
        <v>1.7020638561986541</v>
      </c>
      <c r="GL169" s="485">
        <f>+GL167/CSX!LU61</f>
        <v>1.6784661401373451</v>
      </c>
      <c r="GN169" s="484" t="s">
        <v>94</v>
      </c>
      <c r="GO169" s="485">
        <f>+GO167/CSX!LX61</f>
        <v>1.8529292067750112</v>
      </c>
      <c r="GP169" s="485">
        <f>+GP167/CSX!LY61</f>
        <v>1.9424480021511734</v>
      </c>
      <c r="GQ169" s="485">
        <f>+GQ167/CSX!LZ61</f>
        <v>1.9844509667043673</v>
      </c>
      <c r="GR169" s="485">
        <f>+GR167/CSX!MA61</f>
        <v>2.0664852819921369</v>
      </c>
      <c r="GS169" s="485">
        <f>+GS167/CSX!MB61</f>
        <v>2.0365851847040575</v>
      </c>
      <c r="GU169" s="484" t="s">
        <v>94</v>
      </c>
      <c r="GV169" s="485">
        <f>+GV167/CSX!ME61</f>
        <v>2.0587442245127452</v>
      </c>
      <c r="GW169" s="485">
        <f>+GW167/CSX!MF61</f>
        <v>2.1210563574377348</v>
      </c>
      <c r="GX169" s="485">
        <f>+GX167/CSX!MG61</f>
        <v>2.1829223257198338</v>
      </c>
      <c r="GY169" s="485">
        <f>+GY167/CSX!MH61</f>
        <v>2.2462733605816867</v>
      </c>
      <c r="GZ169" s="485">
        <f>+GZ167/CSX!MI61</f>
        <v>2.2114526896764182</v>
      </c>
    </row>
    <row r="170" spans="1:208" ht="14.25" thickBot="1" x14ac:dyDescent="0.45">
      <c r="A170" s="488"/>
      <c r="B170" s="82"/>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78"/>
      <c r="AB170" s="78"/>
      <c r="AC170" s="78"/>
      <c r="AD170" s="78"/>
      <c r="AE170" s="78"/>
      <c r="AF170" s="78"/>
      <c r="AG170" s="78"/>
      <c r="AH170" s="78"/>
      <c r="AI170" s="78"/>
      <c r="AJ170" s="78"/>
      <c r="AK170" s="78"/>
      <c r="AL170" s="78"/>
      <c r="AM170" s="78"/>
      <c r="AN170" s="78"/>
      <c r="AP170" s="82"/>
      <c r="AW170" s="82"/>
      <c r="BD170" s="82"/>
      <c r="BK170" s="82"/>
      <c r="BR170" s="82"/>
      <c r="BY170" s="82"/>
      <c r="CF170" s="82"/>
      <c r="CM170" s="82"/>
      <c r="CT170" s="82"/>
      <c r="DA170" s="82"/>
      <c r="DH170" s="82"/>
      <c r="DO170" s="82"/>
      <c r="DV170" s="82"/>
      <c r="EC170" s="82"/>
      <c r="EJ170" s="82"/>
      <c r="EQ170" s="82"/>
      <c r="EX170" s="82"/>
      <c r="FE170" s="82"/>
      <c r="FL170" s="82"/>
      <c r="FS170" s="82"/>
      <c r="FU170" s="80"/>
      <c r="FV170" s="80"/>
      <c r="FZ170" s="82"/>
      <c r="GA170" s="80"/>
      <c r="GB170" s="80"/>
      <c r="GC170" s="80"/>
      <c r="GD170" s="80"/>
      <c r="GE170" s="80"/>
      <c r="GG170" s="82"/>
      <c r="GH170" s="80"/>
      <c r="GI170" s="80"/>
      <c r="GJ170" s="80"/>
      <c r="GK170" s="80"/>
      <c r="GL170" s="80"/>
      <c r="GN170" s="82"/>
      <c r="GO170" s="80"/>
      <c r="GP170" s="80"/>
      <c r="GQ170" s="80"/>
      <c r="GR170" s="80"/>
      <c r="GS170" s="80"/>
      <c r="GU170" s="82"/>
      <c r="GV170" s="80"/>
      <c r="GW170" s="80"/>
      <c r="GX170" s="80"/>
      <c r="GY170" s="80"/>
      <c r="GZ170" s="80"/>
    </row>
    <row r="171" spans="1:208" ht="14.25" thickBot="1" x14ac:dyDescent="0.45">
      <c r="A171" s="414"/>
      <c r="B171" s="415" t="s">
        <v>95</v>
      </c>
      <c r="C171" s="489"/>
      <c r="D171" s="489"/>
      <c r="E171" s="489"/>
      <c r="F171" s="489"/>
      <c r="G171" s="489"/>
      <c r="H171" s="489"/>
      <c r="I171" s="489"/>
      <c r="J171" s="489"/>
      <c r="K171" s="489"/>
      <c r="L171" s="489"/>
      <c r="M171" s="489"/>
      <c r="N171" s="489"/>
      <c r="O171" s="489"/>
      <c r="P171" s="489"/>
      <c r="Q171" s="489"/>
      <c r="R171" s="489"/>
      <c r="S171" s="489"/>
      <c r="T171" s="489"/>
      <c r="U171" s="489"/>
      <c r="V171" s="489"/>
      <c r="W171" s="489"/>
      <c r="X171" s="489"/>
      <c r="Y171" s="489"/>
      <c r="Z171" s="489"/>
      <c r="AA171" s="490"/>
      <c r="AB171" s="490"/>
      <c r="AC171" s="490"/>
      <c r="AD171" s="490"/>
      <c r="AE171" s="490"/>
      <c r="AF171" s="490"/>
      <c r="AG171" s="490"/>
      <c r="AH171" s="490"/>
      <c r="AI171" s="490"/>
      <c r="AJ171" s="490"/>
      <c r="AK171" s="490"/>
      <c r="AL171" s="490"/>
      <c r="AM171" s="490"/>
      <c r="AN171" s="490"/>
      <c r="AP171" s="415" t="s">
        <v>95</v>
      </c>
      <c r="AQ171" s="491"/>
      <c r="AR171" s="491"/>
      <c r="AS171" s="491"/>
      <c r="AT171" s="491"/>
      <c r="AU171" s="491"/>
      <c r="AW171" s="415" t="s">
        <v>95</v>
      </c>
      <c r="AX171" s="491"/>
      <c r="AY171" s="491"/>
      <c r="AZ171" s="491"/>
      <c r="BA171" s="491"/>
      <c r="BB171" s="491"/>
      <c r="BD171" s="415" t="s">
        <v>95</v>
      </c>
      <c r="BE171" s="491"/>
      <c r="BF171" s="491"/>
      <c r="BG171" s="491"/>
      <c r="BH171" s="491"/>
      <c r="BI171" s="491"/>
      <c r="BK171" s="415" t="s">
        <v>95</v>
      </c>
      <c r="BL171" s="491"/>
      <c r="BM171" s="491"/>
      <c r="BN171" s="491"/>
      <c r="BO171" s="491"/>
      <c r="BP171" s="491"/>
      <c r="BR171" s="415" t="s">
        <v>95</v>
      </c>
      <c r="BS171" s="491"/>
      <c r="BT171" s="491"/>
      <c r="BU171" s="491"/>
      <c r="BV171" s="491"/>
      <c r="BW171" s="491"/>
      <c r="BY171" s="415" t="s">
        <v>95</v>
      </c>
      <c r="BZ171" s="491"/>
      <c r="CA171" s="491"/>
      <c r="CB171" s="491"/>
      <c r="CC171" s="491"/>
      <c r="CD171" s="491"/>
      <c r="CF171" s="415" t="s">
        <v>95</v>
      </c>
      <c r="CG171" s="491"/>
      <c r="CH171" s="491"/>
      <c r="CI171" s="491"/>
      <c r="CJ171" s="491"/>
      <c r="CK171" s="491"/>
      <c r="CM171" s="415" t="s">
        <v>95</v>
      </c>
      <c r="CN171" s="491"/>
      <c r="CO171" s="491"/>
      <c r="CP171" s="491"/>
      <c r="CQ171" s="491"/>
      <c r="CR171" s="491"/>
      <c r="CT171" s="415" t="s">
        <v>95</v>
      </c>
      <c r="CU171" s="491"/>
      <c r="CV171" s="491"/>
      <c r="CW171" s="491"/>
      <c r="CX171" s="491"/>
      <c r="CY171" s="491"/>
      <c r="DA171" s="415" t="s">
        <v>95</v>
      </c>
      <c r="DB171" s="491"/>
      <c r="DC171" s="491"/>
      <c r="DD171" s="491"/>
      <c r="DE171" s="491"/>
      <c r="DF171" s="491"/>
      <c r="DH171" s="415" t="s">
        <v>95</v>
      </c>
      <c r="DI171" s="491"/>
      <c r="DJ171" s="491"/>
      <c r="DK171" s="491"/>
      <c r="DL171" s="491"/>
      <c r="DM171" s="491"/>
      <c r="DO171" s="415" t="s">
        <v>95</v>
      </c>
      <c r="DP171" s="491"/>
      <c r="DQ171" s="491"/>
      <c r="DR171" s="491"/>
      <c r="DS171" s="491"/>
      <c r="DT171" s="491"/>
      <c r="DV171" s="415" t="s">
        <v>95</v>
      </c>
      <c r="DW171" s="491"/>
      <c r="DX171" s="491"/>
      <c r="DY171" s="491"/>
      <c r="DZ171" s="491"/>
      <c r="EA171" s="491"/>
      <c r="EC171" s="415" t="s">
        <v>95</v>
      </c>
      <c r="ED171" s="491"/>
      <c r="EE171" s="491"/>
      <c r="EF171" s="491"/>
      <c r="EG171" s="491"/>
      <c r="EH171" s="491"/>
      <c r="EJ171" s="415" t="s">
        <v>95</v>
      </c>
      <c r="EK171" s="491"/>
      <c r="EL171" s="491"/>
      <c r="EM171" s="491"/>
      <c r="EN171" s="491"/>
      <c r="EO171" s="491"/>
      <c r="EQ171" s="415" t="s">
        <v>95</v>
      </c>
      <c r="ER171" s="491"/>
      <c r="ES171" s="491"/>
      <c r="ET171" s="491"/>
      <c r="EU171" s="491"/>
      <c r="EV171" s="491"/>
      <c r="EX171" s="415" t="s">
        <v>95</v>
      </c>
      <c r="EY171" s="491"/>
      <c r="EZ171" s="491"/>
      <c r="FA171" s="491"/>
      <c r="FB171" s="491"/>
      <c r="FC171" s="491"/>
      <c r="FE171" s="415" t="s">
        <v>95</v>
      </c>
      <c r="FF171" s="491"/>
      <c r="FG171" s="491"/>
      <c r="FH171" s="491"/>
      <c r="FI171" s="491"/>
      <c r="FJ171" s="491"/>
      <c r="FL171" s="415" t="s">
        <v>95</v>
      </c>
      <c r="FM171" s="491"/>
      <c r="FN171" s="491"/>
      <c r="FO171" s="491"/>
      <c r="FP171" s="491"/>
      <c r="FQ171" s="491"/>
      <c r="FS171" s="415" t="s">
        <v>95</v>
      </c>
      <c r="FT171" s="491"/>
      <c r="FU171" s="489"/>
      <c r="FV171" s="489"/>
      <c r="FW171" s="491"/>
      <c r="FX171" s="491"/>
      <c r="FZ171" s="415" t="s">
        <v>95</v>
      </c>
      <c r="GA171" s="489"/>
      <c r="GB171" s="489"/>
      <c r="GC171" s="489"/>
      <c r="GD171" s="489"/>
      <c r="GE171" s="489"/>
      <c r="GG171" s="415" t="s">
        <v>95</v>
      </c>
      <c r="GH171" s="489"/>
      <c r="GI171" s="489"/>
      <c r="GJ171" s="489"/>
      <c r="GK171" s="489"/>
      <c r="GL171" s="489"/>
      <c r="GN171" s="415" t="s">
        <v>95</v>
      </c>
      <c r="GO171" s="489"/>
      <c r="GP171" s="489"/>
      <c r="GQ171" s="489"/>
      <c r="GR171" s="489"/>
      <c r="GS171" s="489"/>
      <c r="GU171" s="415" t="s">
        <v>95</v>
      </c>
      <c r="GV171" s="489"/>
      <c r="GW171" s="489"/>
      <c r="GX171" s="489"/>
      <c r="GY171" s="489"/>
      <c r="GZ171" s="489"/>
    </row>
    <row r="172" spans="1:208" x14ac:dyDescent="0.4">
      <c r="A172" s="488"/>
      <c r="B172" s="82"/>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78"/>
      <c r="AB172" s="78"/>
      <c r="AC172" s="78"/>
      <c r="AD172" s="78"/>
      <c r="AE172" s="78"/>
      <c r="AF172" s="78"/>
      <c r="AG172" s="78"/>
      <c r="AH172" s="78"/>
      <c r="AI172" s="78"/>
      <c r="AJ172" s="78"/>
      <c r="AK172" s="78"/>
      <c r="AL172" s="78"/>
      <c r="AM172" s="78"/>
      <c r="AN172" s="78"/>
      <c r="AP172" s="82"/>
      <c r="AW172" s="82"/>
      <c r="BD172" s="82"/>
      <c r="BK172" s="82"/>
      <c r="BR172" s="82"/>
      <c r="BY172" s="82"/>
      <c r="CF172" s="82"/>
      <c r="CM172" s="82"/>
      <c r="CT172" s="82"/>
      <c r="DA172" s="82"/>
      <c r="DH172" s="82"/>
      <c r="DO172" s="82"/>
      <c r="DV172" s="82"/>
      <c r="EC172" s="82"/>
      <c r="EJ172" s="82"/>
      <c r="EQ172" s="82"/>
      <c r="EX172" s="82"/>
      <c r="FE172" s="82"/>
      <c r="FL172" s="82"/>
      <c r="FS172" s="82"/>
      <c r="FU172" s="80"/>
      <c r="FV172" s="80"/>
      <c r="FZ172" s="82"/>
      <c r="GA172" s="80"/>
      <c r="GB172" s="80"/>
      <c r="GC172" s="80"/>
      <c r="GD172" s="80"/>
      <c r="GE172" s="80"/>
      <c r="GG172" s="82"/>
      <c r="GH172" s="80"/>
      <c r="GI172" s="80"/>
      <c r="GJ172" s="80"/>
      <c r="GK172" s="80"/>
      <c r="GL172" s="80"/>
      <c r="GN172" s="82"/>
      <c r="GO172" s="80"/>
      <c r="GP172" s="80"/>
      <c r="GQ172" s="80"/>
      <c r="GR172" s="80"/>
      <c r="GS172" s="80"/>
      <c r="GU172" s="82"/>
      <c r="GV172" s="80"/>
      <c r="GW172" s="80"/>
      <c r="GX172" s="80"/>
      <c r="GY172" s="80"/>
      <c r="GZ172" s="80"/>
    </row>
    <row r="173" spans="1:208" x14ac:dyDescent="0.4">
      <c r="A173" s="488"/>
      <c r="B173" s="318" t="s">
        <v>96</v>
      </c>
      <c r="C173" s="319">
        <f>AU173</f>
        <v>43</v>
      </c>
      <c r="D173" s="319">
        <f>BB173</f>
        <v>502</v>
      </c>
      <c r="E173" s="319">
        <f>BI173</f>
        <v>370</v>
      </c>
      <c r="F173" s="319">
        <f>BP173</f>
        <v>1210</v>
      </c>
      <c r="G173" s="319">
        <f>BW173</f>
        <v>667</v>
      </c>
      <c r="H173" s="319">
        <f>CD173</f>
        <v>1449</v>
      </c>
      <c r="I173" s="319">
        <f>CK173</f>
        <v>1322</v>
      </c>
      <c r="J173" s="319">
        <f>CR173</f>
        <v>721</v>
      </c>
      <c r="K173" s="319">
        <f>CY173</f>
        <v>895</v>
      </c>
      <c r="L173" s="319">
        <f>DF173</f>
        <v>919</v>
      </c>
      <c r="M173" s="319">
        <f>DM173</f>
        <v>992</v>
      </c>
      <c r="N173" s="319">
        <f>DT173</f>
        <v>847</v>
      </c>
      <c r="O173" s="319">
        <f>EA173</f>
        <v>1566</v>
      </c>
      <c r="P173" s="319">
        <f>EH173</f>
        <v>3188</v>
      </c>
      <c r="Q173" s="319">
        <f>EO173</f>
        <v>3478</v>
      </c>
      <c r="R173" s="319">
        <f>EV173</f>
        <v>2616</v>
      </c>
      <c r="S173" s="319">
        <f>FC173</f>
        <v>3833</v>
      </c>
      <c r="T173" s="319">
        <f>FJ173</f>
        <v>3765</v>
      </c>
      <c r="U173" s="319">
        <f>FQ173</f>
        <v>3244</v>
      </c>
      <c r="V173" s="319">
        <f>FX173</f>
        <v>2687</v>
      </c>
      <c r="W173" s="319">
        <f>GE173</f>
        <v>1698</v>
      </c>
      <c r="X173" s="319">
        <f>GL173</f>
        <v>3072.0233599218841</v>
      </c>
      <c r="Y173" s="319">
        <f>GS173</f>
        <v>3589.2398062697066</v>
      </c>
      <c r="Z173" s="319">
        <f>GZ173</f>
        <v>3744.8328052375123</v>
      </c>
      <c r="AA173" s="320"/>
      <c r="AB173" s="320"/>
      <c r="AC173" s="320"/>
      <c r="AD173" s="320"/>
      <c r="AE173" s="320"/>
      <c r="AF173" s="320"/>
      <c r="AG173" s="320"/>
      <c r="AH173" s="320"/>
      <c r="AI173" s="320"/>
      <c r="AJ173" s="320"/>
      <c r="AK173" s="320"/>
      <c r="AL173" s="320"/>
      <c r="AM173" s="320"/>
      <c r="AN173" s="320"/>
      <c r="AP173" s="318" t="s">
        <v>96</v>
      </c>
      <c r="AQ173" s="322" t="s">
        <v>80</v>
      </c>
      <c r="AR173" s="322" t="s">
        <v>80</v>
      </c>
      <c r="AS173" s="322" t="s">
        <v>80</v>
      </c>
      <c r="AT173" s="322" t="s">
        <v>80</v>
      </c>
      <c r="AU173" s="322">
        <f t="shared" ref="AU173:BB173" si="307">+AU167</f>
        <v>43</v>
      </c>
      <c r="AW173" s="318" t="s">
        <v>96</v>
      </c>
      <c r="AX173" s="322">
        <f t="shared" si="307"/>
        <v>64</v>
      </c>
      <c r="AY173" s="322">
        <f t="shared" si="307"/>
        <v>107</v>
      </c>
      <c r="AZ173" s="322">
        <f t="shared" si="307"/>
        <v>149</v>
      </c>
      <c r="BA173" s="322">
        <f t="shared" si="307"/>
        <v>502</v>
      </c>
      <c r="BB173" s="322">
        <f t="shared" si="307"/>
        <v>502</v>
      </c>
      <c r="BD173" s="318" t="s">
        <v>96</v>
      </c>
      <c r="BE173" s="322">
        <f t="shared" ref="BE173:EK173" si="308">+BE167</f>
        <v>506</v>
      </c>
      <c r="BF173" s="322">
        <f t="shared" si="308"/>
        <v>736</v>
      </c>
      <c r="BG173" s="322">
        <f t="shared" si="308"/>
        <v>944</v>
      </c>
      <c r="BH173" s="322">
        <f t="shared" si="308"/>
        <v>370</v>
      </c>
      <c r="BI173" s="322">
        <f t="shared" si="308"/>
        <v>370</v>
      </c>
      <c r="BK173" s="318" t="s">
        <v>96</v>
      </c>
      <c r="BL173" s="322">
        <f t="shared" si="308"/>
        <v>503</v>
      </c>
      <c r="BM173" s="322">
        <f t="shared" si="308"/>
        <v>551</v>
      </c>
      <c r="BN173" s="322">
        <f t="shared" si="308"/>
        <v>654</v>
      </c>
      <c r="BO173" s="322">
        <f t="shared" si="308"/>
        <v>1210</v>
      </c>
      <c r="BP173" s="322">
        <f t="shared" si="308"/>
        <v>1210</v>
      </c>
      <c r="BR173" s="318" t="s">
        <v>96</v>
      </c>
      <c r="BS173" s="322">
        <f t="shared" si="308"/>
        <v>1087</v>
      </c>
      <c r="BT173" s="322">
        <f t="shared" si="308"/>
        <v>1143</v>
      </c>
      <c r="BU173" s="322">
        <f t="shared" si="308"/>
        <v>909</v>
      </c>
      <c r="BV173" s="322">
        <f t="shared" si="308"/>
        <v>667</v>
      </c>
      <c r="BW173" s="322">
        <f t="shared" si="308"/>
        <v>667</v>
      </c>
      <c r="BY173" s="318" t="s">
        <v>96</v>
      </c>
      <c r="BZ173" s="322">
        <f t="shared" si="308"/>
        <v>924</v>
      </c>
      <c r="CA173" s="322">
        <f t="shared" si="308"/>
        <v>1107</v>
      </c>
      <c r="CB173" s="322">
        <f t="shared" si="308"/>
        <v>1273</v>
      </c>
      <c r="CC173" s="322">
        <f t="shared" si="308"/>
        <v>1449</v>
      </c>
      <c r="CD173" s="322">
        <f t="shared" si="308"/>
        <v>1449</v>
      </c>
      <c r="CF173" s="318" t="s">
        <v>96</v>
      </c>
      <c r="CG173" s="322">
        <f t="shared" si="308"/>
        <v>1133</v>
      </c>
      <c r="CH173" s="322">
        <f t="shared" si="308"/>
        <v>1268</v>
      </c>
      <c r="CI173" s="322">
        <f t="shared" si="308"/>
        <v>1366</v>
      </c>
      <c r="CJ173" s="322">
        <f t="shared" si="308"/>
        <v>1322</v>
      </c>
      <c r="CK173" s="322">
        <f t="shared" si="308"/>
        <v>1322</v>
      </c>
      <c r="CM173" s="318" t="s">
        <v>96</v>
      </c>
      <c r="CN173" s="322">
        <f t="shared" si="308"/>
        <v>1187</v>
      </c>
      <c r="CO173" s="322">
        <f t="shared" si="308"/>
        <v>774</v>
      </c>
      <c r="CP173" s="322">
        <f t="shared" si="308"/>
        <v>674</v>
      </c>
      <c r="CQ173" s="322">
        <f t="shared" si="308"/>
        <v>721</v>
      </c>
      <c r="CR173" s="322">
        <f t="shared" si="308"/>
        <v>721</v>
      </c>
      <c r="CT173" s="318" t="s">
        <v>96</v>
      </c>
      <c r="CU173" s="322">
        <f t="shared" si="308"/>
        <v>960</v>
      </c>
      <c r="CV173" s="322">
        <f t="shared" si="308"/>
        <v>1091</v>
      </c>
      <c r="CW173" s="322">
        <f t="shared" si="308"/>
        <v>995</v>
      </c>
      <c r="CX173" s="322">
        <f t="shared" si="308"/>
        <v>895</v>
      </c>
      <c r="CY173" s="322">
        <f t="shared" si="308"/>
        <v>895</v>
      </c>
      <c r="DA173" s="318" t="s">
        <v>96</v>
      </c>
      <c r="DB173" s="322">
        <f t="shared" si="308"/>
        <v>801</v>
      </c>
      <c r="DC173" s="322">
        <f t="shared" si="308"/>
        <v>960</v>
      </c>
      <c r="DD173" s="322">
        <f t="shared" si="308"/>
        <v>887</v>
      </c>
      <c r="DE173" s="322">
        <f t="shared" si="308"/>
        <v>919</v>
      </c>
      <c r="DF173" s="322">
        <f t="shared" si="308"/>
        <v>919</v>
      </c>
      <c r="DH173" s="318" t="s">
        <v>96</v>
      </c>
      <c r="DI173" s="322">
        <f t="shared" si="308"/>
        <v>946</v>
      </c>
      <c r="DJ173" s="322">
        <f t="shared" si="308"/>
        <v>803</v>
      </c>
      <c r="DK173" s="322">
        <f t="shared" si="308"/>
        <v>860</v>
      </c>
      <c r="DL173" s="322">
        <f t="shared" si="308"/>
        <v>992</v>
      </c>
      <c r="DM173" s="322">
        <f t="shared" si="308"/>
        <v>992</v>
      </c>
      <c r="DO173" s="318" t="s">
        <v>96</v>
      </c>
      <c r="DP173" s="322">
        <f t="shared" si="308"/>
        <v>1197</v>
      </c>
      <c r="DQ173" s="322">
        <f t="shared" si="308"/>
        <v>1160</v>
      </c>
      <c r="DR173" s="322">
        <f t="shared" si="308"/>
        <v>1236</v>
      </c>
      <c r="DS173" s="322">
        <f t="shared" si="308"/>
        <v>847</v>
      </c>
      <c r="DT173" s="322">
        <f t="shared" si="308"/>
        <v>847</v>
      </c>
      <c r="DV173" s="318" t="s">
        <v>96</v>
      </c>
      <c r="DW173" s="322">
        <f t="shared" si="308"/>
        <v>1114</v>
      </c>
      <c r="DX173" s="322">
        <f t="shared" si="308"/>
        <v>938</v>
      </c>
      <c r="DY173" s="322">
        <f t="shared" si="308"/>
        <v>1382</v>
      </c>
      <c r="DZ173" s="322">
        <f t="shared" si="308"/>
        <v>1566</v>
      </c>
      <c r="EA173" s="322">
        <f t="shared" si="308"/>
        <v>1566</v>
      </c>
      <c r="EC173" s="318" t="s">
        <v>96</v>
      </c>
      <c r="ED173" s="322">
        <f t="shared" si="308"/>
        <v>1581</v>
      </c>
      <c r="EE173" s="322">
        <f t="shared" si="308"/>
        <v>2233</v>
      </c>
      <c r="EF173" s="322">
        <f t="shared" si="308"/>
        <v>2511</v>
      </c>
      <c r="EG173" s="322">
        <f t="shared" si="308"/>
        <v>3188</v>
      </c>
      <c r="EH173" s="322">
        <f t="shared" si="308"/>
        <v>3188</v>
      </c>
      <c r="EJ173" s="318" t="s">
        <v>96</v>
      </c>
      <c r="EK173" s="322">
        <f t="shared" si="308"/>
        <v>3412</v>
      </c>
      <c r="EL173" s="322">
        <f t="shared" ref="EL173:GL173" si="309">+EL167</f>
        <v>3497</v>
      </c>
      <c r="EM173" s="322">
        <f t="shared" si="309"/>
        <v>3556</v>
      </c>
      <c r="EN173" s="322">
        <f t="shared" si="309"/>
        <v>3478</v>
      </c>
      <c r="EO173" s="322">
        <f t="shared" si="309"/>
        <v>3478</v>
      </c>
      <c r="EQ173" s="318" t="s">
        <v>96</v>
      </c>
      <c r="ER173" s="322">
        <f t="shared" si="309"/>
        <v>3424</v>
      </c>
      <c r="ES173" s="322">
        <f t="shared" si="309"/>
        <v>3236</v>
      </c>
      <c r="ET173" s="322">
        <f t="shared" si="309"/>
        <v>2633</v>
      </c>
      <c r="EU173" s="322">
        <f t="shared" si="309"/>
        <v>2616</v>
      </c>
      <c r="EV173" s="322">
        <f t="shared" si="309"/>
        <v>2616</v>
      </c>
      <c r="EX173" s="318" t="s">
        <v>96</v>
      </c>
      <c r="EY173" s="322">
        <f t="shared" si="309"/>
        <v>2738</v>
      </c>
      <c r="EZ173" s="322">
        <f t="shared" si="309"/>
        <v>3102</v>
      </c>
      <c r="FA173" s="322">
        <f t="shared" si="309"/>
        <v>3575</v>
      </c>
      <c r="FB173" s="322">
        <f t="shared" si="309"/>
        <v>3833</v>
      </c>
      <c r="FC173" s="322">
        <f t="shared" si="309"/>
        <v>3833</v>
      </c>
      <c r="FE173" s="318" t="s">
        <v>96</v>
      </c>
      <c r="FF173" s="322">
        <f t="shared" si="309"/>
        <v>3846</v>
      </c>
      <c r="FG173" s="322">
        <f t="shared" si="309"/>
        <v>3690</v>
      </c>
      <c r="FH173" s="322">
        <f t="shared" si="309"/>
        <v>3780</v>
      </c>
      <c r="FI173" s="322">
        <f t="shared" si="309"/>
        <v>3765</v>
      </c>
      <c r="FJ173" s="322">
        <f t="shared" si="309"/>
        <v>3765</v>
      </c>
      <c r="FL173" s="318" t="s">
        <v>96</v>
      </c>
      <c r="FM173" s="322">
        <f t="shared" si="309"/>
        <v>3639</v>
      </c>
      <c r="FN173" s="322">
        <f t="shared" si="309"/>
        <v>3519</v>
      </c>
      <c r="FO173" s="322">
        <f t="shared" si="309"/>
        <v>3396</v>
      </c>
      <c r="FP173" s="322">
        <f t="shared" si="309"/>
        <v>3244</v>
      </c>
      <c r="FQ173" s="322">
        <f t="shared" si="309"/>
        <v>3244</v>
      </c>
      <c r="FS173" s="318" t="s">
        <v>96</v>
      </c>
      <c r="FT173" s="322">
        <f t="shared" si="309"/>
        <v>2948</v>
      </c>
      <c r="FU173" s="319">
        <f t="shared" si="309"/>
        <v>2855</v>
      </c>
      <c r="FV173" s="319">
        <f t="shared" si="309"/>
        <v>2924</v>
      </c>
      <c r="FW173" s="322">
        <f t="shared" ref="FW173:FX173" si="310">+FW167</f>
        <v>2687</v>
      </c>
      <c r="FX173" s="322">
        <f t="shared" si="310"/>
        <v>2687</v>
      </c>
      <c r="FZ173" s="318" t="s">
        <v>96</v>
      </c>
      <c r="GA173" s="319">
        <f t="shared" si="309"/>
        <v>2703</v>
      </c>
      <c r="GB173" s="319">
        <f t="shared" ref="GB173" si="311">+GB167</f>
        <v>2023</v>
      </c>
      <c r="GC173" s="319">
        <f t="shared" si="309"/>
        <v>1565</v>
      </c>
      <c r="GD173" s="319">
        <f t="shared" si="309"/>
        <v>1698</v>
      </c>
      <c r="GE173" s="319">
        <f t="shared" si="309"/>
        <v>1698</v>
      </c>
      <c r="GG173" s="318" t="s">
        <v>96</v>
      </c>
      <c r="GH173" s="319">
        <f t="shared" si="309"/>
        <v>1787.7150436667444</v>
      </c>
      <c r="GI173" s="319">
        <f t="shared" si="309"/>
        <v>2673.9907776022733</v>
      </c>
      <c r="GJ173" s="319">
        <f t="shared" si="309"/>
        <v>2964.6421307735436</v>
      </c>
      <c r="GK173" s="319">
        <f t="shared" si="309"/>
        <v>3072.0233599218845</v>
      </c>
      <c r="GL173" s="319">
        <f t="shared" si="309"/>
        <v>3072.0233599218841</v>
      </c>
      <c r="GN173" s="318" t="s">
        <v>96</v>
      </c>
      <c r="GO173" s="319">
        <f t="shared" ref="GO173:GS173" si="312">+GO167</f>
        <v>3312.8176253982833</v>
      </c>
      <c r="GP173" s="319">
        <f t="shared" si="312"/>
        <v>3439.8449966852654</v>
      </c>
      <c r="GQ173" s="319">
        <f t="shared" si="312"/>
        <v>3480.4915980413389</v>
      </c>
      <c r="GR173" s="319">
        <f t="shared" si="312"/>
        <v>3589.2398062697066</v>
      </c>
      <c r="GS173" s="319">
        <f t="shared" si="312"/>
        <v>3589.2398062697066</v>
      </c>
      <c r="GU173" s="318" t="s">
        <v>96</v>
      </c>
      <c r="GV173" s="319">
        <f t="shared" ref="GV173:GZ173" si="313">+GV167</f>
        <v>3540.2811698071382</v>
      </c>
      <c r="GW173" s="319">
        <f t="shared" si="313"/>
        <v>3610.3165826222084</v>
      </c>
      <c r="GX173" s="319">
        <f t="shared" si="313"/>
        <v>3677.4194478272912</v>
      </c>
      <c r="GY173" s="319">
        <f t="shared" si="313"/>
        <v>3744.8328052375118</v>
      </c>
      <c r="GZ173" s="319">
        <f t="shared" si="313"/>
        <v>3744.8328052375123</v>
      </c>
    </row>
    <row r="174" spans="1:208" x14ac:dyDescent="0.4">
      <c r="A174" s="488"/>
      <c r="B174" s="318" t="s">
        <v>97</v>
      </c>
      <c r="C174" s="319">
        <f>AU174</f>
        <v>-93</v>
      </c>
      <c r="D174" s="319">
        <f>BB174</f>
        <v>-145</v>
      </c>
      <c r="E174" s="319">
        <f>BI174</f>
        <v>-231</v>
      </c>
      <c r="F174" s="319">
        <f>BP174</f>
        <v>-308</v>
      </c>
      <c r="G174" s="319">
        <f>BW174</f>
        <v>-345</v>
      </c>
      <c r="H174" s="319">
        <f>CD174</f>
        <v>-372</v>
      </c>
      <c r="I174" s="319">
        <f>CK174</f>
        <v>-480</v>
      </c>
      <c r="J174" s="319">
        <f>CR174</f>
        <v>-558</v>
      </c>
      <c r="K174" s="319">
        <f>CY174</f>
        <v>-600</v>
      </c>
      <c r="L174" s="319">
        <f>DF174</f>
        <v>-629</v>
      </c>
      <c r="M174" s="319">
        <f>DM174</f>
        <v>-686</v>
      </c>
      <c r="N174" s="319">
        <f>DT174</f>
        <v>-680</v>
      </c>
      <c r="O174" s="319">
        <f>EA174</f>
        <v>-708</v>
      </c>
      <c r="P174" s="319">
        <f>EH174</f>
        <v>-751</v>
      </c>
      <c r="Q174" s="319">
        <f>EO174</f>
        <v>-763</v>
      </c>
      <c r="R174" s="319">
        <f>EV174</f>
        <v>-797</v>
      </c>
      <c r="S174" s="319">
        <f>FC174</f>
        <v>-839</v>
      </c>
      <c r="T174" s="319">
        <f>FJ174</f>
        <v>-852</v>
      </c>
      <c r="U174" s="319">
        <f>FQ174</f>
        <v>-882</v>
      </c>
      <c r="V174" s="319">
        <f>FX174</f>
        <v>-930</v>
      </c>
      <c r="W174" s="319">
        <f>GE174</f>
        <v>-972</v>
      </c>
      <c r="X174" s="319">
        <f>GL174</f>
        <v>-1098.1538274</v>
      </c>
      <c r="Y174" s="319">
        <f>GS174</f>
        <v>-1057.4288274</v>
      </c>
      <c r="Z174" s="319">
        <f>GZ174</f>
        <v>-1016.0288274</v>
      </c>
      <c r="AA174" s="320"/>
      <c r="AB174" s="320"/>
      <c r="AC174" s="320"/>
      <c r="AD174" s="320"/>
      <c r="AE174" s="320"/>
      <c r="AF174" s="320"/>
      <c r="AG174" s="320"/>
      <c r="AH174" s="320"/>
      <c r="AI174" s="320"/>
      <c r="AJ174" s="320"/>
      <c r="AK174" s="320"/>
      <c r="AL174" s="320"/>
      <c r="AM174" s="320"/>
      <c r="AN174" s="320"/>
      <c r="AP174" s="318" t="s">
        <v>97</v>
      </c>
      <c r="AQ174" s="322" t="s">
        <v>80</v>
      </c>
      <c r="AR174" s="322" t="s">
        <v>80</v>
      </c>
      <c r="AS174" s="322" t="s">
        <v>80</v>
      </c>
      <c r="AT174" s="322" t="s">
        <v>80</v>
      </c>
      <c r="AU174" s="322">
        <f>+AU54</f>
        <v>-93</v>
      </c>
      <c r="AW174" s="318" t="s">
        <v>97</v>
      </c>
      <c r="AX174" s="322">
        <f>SUM(AX54,AR54:AT54)</f>
        <v>-100</v>
      </c>
      <c r="AY174" s="322">
        <f>+SUM(AX54:AY54,AS54:AT54)</f>
        <v>-106</v>
      </c>
      <c r="AZ174" s="322">
        <f>+SUM(AX54:AZ54,AT54)</f>
        <v>-129</v>
      </c>
      <c r="BA174" s="322">
        <f>+SUM(AX54:BA54)</f>
        <v>-145</v>
      </c>
      <c r="BB174" s="322">
        <f>+BB54</f>
        <v>-145</v>
      </c>
      <c r="BD174" s="318" t="s">
        <v>97</v>
      </c>
      <c r="BE174" s="322">
        <f>SUM(BE54,AY54:BA54)</f>
        <v>-169</v>
      </c>
      <c r="BF174" s="322">
        <f>+SUM(BE54:BF54,AZ54:BA54)</f>
        <v>-194</v>
      </c>
      <c r="BG174" s="322">
        <f>+SUM(BE54:BG54,BA54)</f>
        <v>-214</v>
      </c>
      <c r="BH174" s="322">
        <f>+SUM(BE54:BH54)</f>
        <v>-231</v>
      </c>
      <c r="BI174" s="322">
        <f>+BI54</f>
        <v>-231</v>
      </c>
      <c r="BK174" s="318" t="s">
        <v>97</v>
      </c>
      <c r="BL174" s="322">
        <f>SUM(BL54,BF54:BH54)</f>
        <v>-239</v>
      </c>
      <c r="BM174" s="322">
        <f>+SUM(BL54:BM54,BG54:BH54)</f>
        <v>-259</v>
      </c>
      <c r="BN174" s="322">
        <f>+SUM(BL54:BN54,BH54)</f>
        <v>-283</v>
      </c>
      <c r="BO174" s="322">
        <f>+SUM(BL54:BO54)</f>
        <v>-308</v>
      </c>
      <c r="BP174" s="322">
        <f>+BP54</f>
        <v>-308</v>
      </c>
      <c r="BR174" s="318" t="s">
        <v>97</v>
      </c>
      <c r="BS174" s="322">
        <f>SUM(BS54,BM54:BO54)</f>
        <v>-333</v>
      </c>
      <c r="BT174" s="322">
        <f>+SUM(BS54:BT54,BN54:BO54)</f>
        <v>-350</v>
      </c>
      <c r="BU174" s="322">
        <f>+SUM(BS54:BU54,BO54)</f>
        <v>-345</v>
      </c>
      <c r="BV174" s="322">
        <f>+SUM(BS54:BV54)</f>
        <v>-345</v>
      </c>
      <c r="BW174" s="322">
        <f>+BW54</f>
        <v>-345</v>
      </c>
      <c r="BY174" s="318" t="s">
        <v>97</v>
      </c>
      <c r="BZ174" s="322">
        <f>SUM(BZ54,BT54:BV54)</f>
        <v>-352</v>
      </c>
      <c r="CA174" s="322">
        <f>+SUM(BZ54:CA54,BU54:BV54)</f>
        <v>-353</v>
      </c>
      <c r="CB174" s="322">
        <f>+SUM(BZ54:CB54,BV54)</f>
        <v>-361</v>
      </c>
      <c r="CC174" s="322">
        <f>+SUM(BZ54:CC54)</f>
        <v>-372</v>
      </c>
      <c r="CD174" s="322">
        <f>+CD54</f>
        <v>-372</v>
      </c>
      <c r="CF174" s="318" t="s">
        <v>97</v>
      </c>
      <c r="CG174" s="322">
        <f>SUM(CG54,CA54:CC54)</f>
        <v>-375</v>
      </c>
      <c r="CH174" s="322">
        <f>+SUM(CG54:CH54,CB54:CC54)</f>
        <v>-416</v>
      </c>
      <c r="CI174" s="322">
        <f>+SUM(CG54:CI54,CC54)</f>
        <v>-451</v>
      </c>
      <c r="CJ174" s="322">
        <f>+SUM(CG54:CJ54)</f>
        <v>-480</v>
      </c>
      <c r="CK174" s="322">
        <f>+CK54</f>
        <v>-480</v>
      </c>
      <c r="CM174" s="318" t="s">
        <v>97</v>
      </c>
      <c r="CN174" s="322">
        <f>SUM(CN54,CH54:CJ54)</f>
        <v>-509</v>
      </c>
      <c r="CO174" s="322">
        <f>+SUM(CN54:CO54,CI54:CJ54)</f>
        <v>-522</v>
      </c>
      <c r="CP174" s="322">
        <f>+SUM(CN54:CP54,CJ54)</f>
        <v>-541</v>
      </c>
      <c r="CQ174" s="322">
        <f>+SUM(CN54:CQ54)</f>
        <v>-558</v>
      </c>
      <c r="CR174" s="322">
        <f>+CR54</f>
        <v>-558</v>
      </c>
      <c r="CT174" s="318" t="s">
        <v>97</v>
      </c>
      <c r="CU174" s="322">
        <f>SUM(CU54,CO54:CQ54)</f>
        <v>-576</v>
      </c>
      <c r="CV174" s="322">
        <f>+SUM(CU54:CV54,CP54:CQ54)</f>
        <v>-584</v>
      </c>
      <c r="CW174" s="322">
        <f>+SUM(CU54:CW54,CQ54)</f>
        <v>-591</v>
      </c>
      <c r="CX174" s="322">
        <f>+SUM(CU54:CX54)</f>
        <v>-600</v>
      </c>
      <c r="CY174" s="322">
        <f>+CY54</f>
        <v>-600</v>
      </c>
      <c r="DA174" s="318" t="s">
        <v>97</v>
      </c>
      <c r="DB174" s="322">
        <f>SUM(DB54,CV54:CX54)</f>
        <v>-608</v>
      </c>
      <c r="DC174" s="322">
        <f>+SUM(DB54:DC54,CW54:CX54)</f>
        <v>-615</v>
      </c>
      <c r="DD174" s="322">
        <f>+SUM(DB54:DD54,CX54)</f>
        <v>-622</v>
      </c>
      <c r="DE174" s="322">
        <f>+SUM(DB54:DE54)</f>
        <v>-629</v>
      </c>
      <c r="DF174" s="322">
        <f>+DF54</f>
        <v>-629</v>
      </c>
      <c r="DH174" s="318" t="s">
        <v>97</v>
      </c>
      <c r="DI174" s="322">
        <f>SUM(DI54,DC54:DE54)</f>
        <v>-636</v>
      </c>
      <c r="DJ174" s="322">
        <f>+SUM(DI54:DJ54,DD54:DE54)</f>
        <v>-654</v>
      </c>
      <c r="DK174" s="322">
        <f>+SUM(DI54:DK54,DE54)</f>
        <v>-671</v>
      </c>
      <c r="DL174" s="322">
        <f>+SUM(DI54:DL54)</f>
        <v>-686</v>
      </c>
      <c r="DM174" s="322">
        <f>+DM54</f>
        <v>-686</v>
      </c>
      <c r="DO174" s="318" t="s">
        <v>97</v>
      </c>
      <c r="DP174" s="322">
        <f>SUM(DP54,DJ54:DL54)</f>
        <v>-701</v>
      </c>
      <c r="DQ174" s="322">
        <f>+SUM(DP54:DQ54,DK54:DL54)</f>
        <v>-694</v>
      </c>
      <c r="DR174" s="322">
        <f>+SUM(DP54:DR54,DL54)</f>
        <v>-687</v>
      </c>
      <c r="DS174" s="322">
        <f>+SUM(DP54:DS54)</f>
        <v>-680</v>
      </c>
      <c r="DT174" s="322">
        <f>+DT54</f>
        <v>-680</v>
      </c>
      <c r="DV174" s="318" t="s">
        <v>97</v>
      </c>
      <c r="DW174" s="322">
        <f>SUM(DW54,DQ54:DS54)</f>
        <v>-673</v>
      </c>
      <c r="DX174" s="322">
        <f>+SUM(DW54:DX54,DR54:DS54)</f>
        <v>-686</v>
      </c>
      <c r="DY174" s="322">
        <f>+SUM(DW54:DY54,DS54)</f>
        <v>-697</v>
      </c>
      <c r="DZ174" s="322">
        <f>+SUM(DW54:DZ54)</f>
        <v>-708</v>
      </c>
      <c r="EA174" s="322">
        <f>+EA54</f>
        <v>-708</v>
      </c>
      <c r="EC174" s="318" t="s">
        <v>97</v>
      </c>
      <c r="ED174" s="322">
        <f>SUM(ED54,DX54:DZ54)</f>
        <v>-736</v>
      </c>
      <c r="EE174" s="322">
        <f>+SUM(ED54:EE54,DY54:DZ54)</f>
        <v>-742</v>
      </c>
      <c r="EF174" s="322">
        <f>+SUM(ED54:EF54,DZ54)</f>
        <v>-748</v>
      </c>
      <c r="EG174" s="322">
        <f>+SUM(ED54:EG54)</f>
        <v>-751</v>
      </c>
      <c r="EH174" s="322">
        <f>+EH54</f>
        <v>-751</v>
      </c>
      <c r="EJ174" s="318" t="s">
        <v>97</v>
      </c>
      <c r="EK174" s="322">
        <f>SUM(EK54,EE54:EG54)</f>
        <v>-752</v>
      </c>
      <c r="EL174" s="322">
        <f>+SUM(EK54:EL54,EF54:EG54)</f>
        <v>-755</v>
      </c>
      <c r="EM174" s="322">
        <f>+SUM(EK54:EM54,EG54)</f>
        <v>-758</v>
      </c>
      <c r="EN174" s="322">
        <f>+SUM(EK54:EN54)</f>
        <v>-763</v>
      </c>
      <c r="EO174" s="322">
        <f>+EO54</f>
        <v>-763</v>
      </c>
      <c r="EQ174" s="318" t="s">
        <v>97</v>
      </c>
      <c r="ER174" s="322">
        <f>SUM(ER54,EL54:EN54)</f>
        <v>-769</v>
      </c>
      <c r="ES174" s="322">
        <f>+SUM(ER54:ES54,EM54:EN54)</f>
        <v>-775</v>
      </c>
      <c r="ET174" s="322">
        <f>+SUM(ER54:ET54,EN54)</f>
        <v>-785</v>
      </c>
      <c r="EU174" s="322">
        <f>+SUM(ER54:EU54)</f>
        <v>-797</v>
      </c>
      <c r="EV174" s="322">
        <f>+EV54</f>
        <v>-797</v>
      </c>
      <c r="EX174" s="318" t="s">
        <v>97</v>
      </c>
      <c r="EY174" s="322">
        <f>SUM(EY54,ES54:EU54)</f>
        <v>-809</v>
      </c>
      <c r="EZ174" s="322">
        <f>+SUM(EY54:EZ54,ET54:EU54)</f>
        <v>-822</v>
      </c>
      <c r="FA174" s="322">
        <f>+SUM(EY54:FA54,EU54)</f>
        <v>-831</v>
      </c>
      <c r="FB174" s="322">
        <f>+SUM(EY54:FB54)</f>
        <v>-839</v>
      </c>
      <c r="FC174" s="322">
        <f>+FC54</f>
        <v>-839</v>
      </c>
      <c r="FE174" s="318" t="s">
        <v>97</v>
      </c>
      <c r="FF174" s="322">
        <f>SUM(FF54,EZ54:FB54)</f>
        <v>-844</v>
      </c>
      <c r="FG174" s="322">
        <f>+SUM(FF54:FG54,FA54:FB54)</f>
        <v>-847</v>
      </c>
      <c r="FH174" s="322">
        <f>+SUM(FF54:FH54,FB54)</f>
        <v>-851</v>
      </c>
      <c r="FI174" s="322">
        <f>+SUM(FF54:FI54)</f>
        <v>-852</v>
      </c>
      <c r="FJ174" s="322">
        <f>+FJ54</f>
        <v>-852</v>
      </c>
      <c r="FL174" s="318" t="s">
        <v>97</v>
      </c>
      <c r="FM174" s="322">
        <f>SUM(FM54,FG54:FI54)</f>
        <v>-860</v>
      </c>
      <c r="FN174" s="322">
        <f>+SUM(FM54:FN54,FH54:FI54)</f>
        <v>-867</v>
      </c>
      <c r="FO174" s="322">
        <f>+SUM(FM54:FO54,FI54)</f>
        <v>-873</v>
      </c>
      <c r="FP174" s="322">
        <f>+SUM(FM54:FP54)</f>
        <v>-882</v>
      </c>
      <c r="FQ174" s="322">
        <f>+FQ54</f>
        <v>-882</v>
      </c>
      <c r="FS174" s="318" t="s">
        <v>97</v>
      </c>
      <c r="FT174" s="322">
        <f>SUM(FT54,FN54:FP54)</f>
        <v>-891</v>
      </c>
      <c r="FU174" s="319">
        <f>+SUM(FT54:FU54,FO54:FP54)</f>
        <v>-902</v>
      </c>
      <c r="FV174" s="319">
        <f>+SUM(FT54:FV54,FP54)</f>
        <v>-916</v>
      </c>
      <c r="FW174" s="322">
        <f>+SUM(FT54:FW54)</f>
        <v>-930</v>
      </c>
      <c r="FX174" s="322">
        <f>+FX54</f>
        <v>-930</v>
      </c>
      <c r="FZ174" s="318" t="s">
        <v>97</v>
      </c>
      <c r="GA174" s="319">
        <f>SUM(GA54,FU54:FW54)</f>
        <v>-940</v>
      </c>
      <c r="GB174" s="319">
        <f>+SUM(GA54:GB54,FV54:FW54)</f>
        <v>-950</v>
      </c>
      <c r="GC174" s="319">
        <f>+SUM(GA54:GC54,FW54)</f>
        <v>-960</v>
      </c>
      <c r="GD174" s="319">
        <f>+SUM(GA54:GD54)</f>
        <v>-972</v>
      </c>
      <c r="GE174" s="319">
        <f>+GE54</f>
        <v>-972</v>
      </c>
      <c r="GG174" s="318" t="s">
        <v>97</v>
      </c>
      <c r="GH174" s="319">
        <f>SUM(GH54,GB54:GD54)</f>
        <v>-1005.3072068500001</v>
      </c>
      <c r="GI174" s="319">
        <f>+SUM(GH54:GI54,GC54:GD54)</f>
        <v>-1038.1394137</v>
      </c>
      <c r="GJ174" s="319">
        <f>+SUM(GH54:GJ54,GD54)</f>
        <v>-1069.4216205499999</v>
      </c>
      <c r="GK174" s="319">
        <f>+SUM(GH54:GK54)</f>
        <v>-1098.1538274</v>
      </c>
      <c r="GL174" s="319">
        <f>+GL54</f>
        <v>-1098.1538274</v>
      </c>
      <c r="GN174" s="318" t="s">
        <v>97</v>
      </c>
      <c r="GO174" s="319">
        <f>SUM(GO54,GI54:GK54)</f>
        <v>-1088.0288274</v>
      </c>
      <c r="GP174" s="319">
        <f>+SUM(GO54:GP54,GJ54:GK54)</f>
        <v>-1077.8288273999999</v>
      </c>
      <c r="GQ174" s="319">
        <f>+SUM(GO54:GQ54,GK54)</f>
        <v>-1067.6288273999999</v>
      </c>
      <c r="GR174" s="319">
        <f>+SUM(GO54:GR54)</f>
        <v>-1057.4288274</v>
      </c>
      <c r="GS174" s="319">
        <f>+GS54</f>
        <v>-1057.4288274</v>
      </c>
      <c r="GU174" s="318" t="s">
        <v>97</v>
      </c>
      <c r="GV174" s="319">
        <f>SUM(GV54,GP54:GR54)</f>
        <v>-1047.1913274000001</v>
      </c>
      <c r="GW174" s="319">
        <f>+SUM(GV54:GW54,GQ54:GR54)</f>
        <v>-1036.8788274000001</v>
      </c>
      <c r="GX174" s="319">
        <f>+SUM(GV54:GX54,GR54)</f>
        <v>-1026.4913274</v>
      </c>
      <c r="GY174" s="319">
        <f>+SUM(GV54:GY54)</f>
        <v>-1016.0288274</v>
      </c>
      <c r="GZ174" s="319">
        <f>+GZ54</f>
        <v>-1016.0288274</v>
      </c>
    </row>
    <row r="175" spans="1:208" x14ac:dyDescent="0.4">
      <c r="A175" s="488"/>
      <c r="B175" s="492" t="s">
        <v>98</v>
      </c>
      <c r="C175" s="493">
        <f>AU175</f>
        <v>-50</v>
      </c>
      <c r="D175" s="493">
        <f>BB175</f>
        <v>357</v>
      </c>
      <c r="E175" s="493">
        <f>BI175</f>
        <v>139</v>
      </c>
      <c r="F175" s="493">
        <f>BP175</f>
        <v>902</v>
      </c>
      <c r="G175" s="493">
        <f>BW175</f>
        <v>322</v>
      </c>
      <c r="H175" s="493">
        <f>CD175</f>
        <v>1077</v>
      </c>
      <c r="I175" s="493">
        <f>CK175</f>
        <v>842</v>
      </c>
      <c r="J175" s="493">
        <f>CR175</f>
        <v>163</v>
      </c>
      <c r="K175" s="493">
        <f>CY175</f>
        <v>295</v>
      </c>
      <c r="L175" s="493">
        <f>DF175</f>
        <v>290</v>
      </c>
      <c r="M175" s="493">
        <f>DM175</f>
        <v>306</v>
      </c>
      <c r="N175" s="493">
        <f>DT175</f>
        <v>167</v>
      </c>
      <c r="O175" s="493">
        <f>EA175</f>
        <v>858</v>
      </c>
      <c r="P175" s="493">
        <f>EH175</f>
        <v>2437</v>
      </c>
      <c r="Q175" s="493">
        <f>EO175</f>
        <v>2715</v>
      </c>
      <c r="R175" s="493">
        <f>EV175</f>
        <v>1819</v>
      </c>
      <c r="S175" s="493">
        <f>FC175</f>
        <v>2994</v>
      </c>
      <c r="T175" s="493">
        <f>FJ175</f>
        <v>2913</v>
      </c>
      <c r="U175" s="493">
        <f>FQ175</f>
        <v>2362</v>
      </c>
      <c r="V175" s="493">
        <f>FX175</f>
        <v>1757</v>
      </c>
      <c r="W175" s="493">
        <f>GE175</f>
        <v>726</v>
      </c>
      <c r="X175" s="493">
        <f>GL175</f>
        <v>1973.8695325218841</v>
      </c>
      <c r="Y175" s="493">
        <f>GS175</f>
        <v>2531.8109788697066</v>
      </c>
      <c r="Z175" s="493">
        <f>GZ175</f>
        <v>2728.8039778375123</v>
      </c>
      <c r="AA175" s="441"/>
      <c r="AB175" s="441"/>
      <c r="AC175" s="441"/>
      <c r="AD175" s="441"/>
      <c r="AE175" s="441"/>
      <c r="AF175" s="441"/>
      <c r="AG175" s="441"/>
      <c r="AH175" s="441"/>
      <c r="AI175" s="441"/>
      <c r="AJ175" s="441"/>
      <c r="AK175" s="441"/>
      <c r="AL175" s="441"/>
      <c r="AM175" s="441"/>
      <c r="AN175" s="441"/>
      <c r="AP175" s="492" t="s">
        <v>98</v>
      </c>
      <c r="AQ175" s="440" t="s">
        <v>80</v>
      </c>
      <c r="AR175" s="440" t="s">
        <v>80</v>
      </c>
      <c r="AS175" s="440" t="s">
        <v>80</v>
      </c>
      <c r="AT175" s="440" t="s">
        <v>80</v>
      </c>
      <c r="AU175" s="440">
        <f t="shared" ref="AU175:CN175" si="314">+AU173+AU174</f>
        <v>-50</v>
      </c>
      <c r="AW175" s="492" t="s">
        <v>98</v>
      </c>
      <c r="AX175" s="440">
        <f t="shared" si="314"/>
        <v>-36</v>
      </c>
      <c r="AY175" s="440">
        <f t="shared" si="314"/>
        <v>1</v>
      </c>
      <c r="AZ175" s="440">
        <f t="shared" si="314"/>
        <v>20</v>
      </c>
      <c r="BA175" s="440">
        <f t="shared" si="314"/>
        <v>357</v>
      </c>
      <c r="BB175" s="440">
        <f t="shared" si="314"/>
        <v>357</v>
      </c>
      <c r="BD175" s="492" t="s">
        <v>98</v>
      </c>
      <c r="BE175" s="440">
        <f t="shared" si="314"/>
        <v>337</v>
      </c>
      <c r="BF175" s="440">
        <f t="shared" si="314"/>
        <v>542</v>
      </c>
      <c r="BG175" s="440">
        <f t="shared" si="314"/>
        <v>730</v>
      </c>
      <c r="BH175" s="440">
        <f t="shared" si="314"/>
        <v>139</v>
      </c>
      <c r="BI175" s="440">
        <f t="shared" si="314"/>
        <v>139</v>
      </c>
      <c r="BK175" s="492" t="s">
        <v>98</v>
      </c>
      <c r="BL175" s="440">
        <f t="shared" si="314"/>
        <v>264</v>
      </c>
      <c r="BM175" s="440">
        <f t="shared" si="314"/>
        <v>292</v>
      </c>
      <c r="BN175" s="440">
        <f t="shared" si="314"/>
        <v>371</v>
      </c>
      <c r="BO175" s="440">
        <f t="shared" si="314"/>
        <v>902</v>
      </c>
      <c r="BP175" s="440">
        <f t="shared" si="314"/>
        <v>902</v>
      </c>
      <c r="BR175" s="492" t="s">
        <v>98</v>
      </c>
      <c r="BS175" s="440">
        <f t="shared" si="314"/>
        <v>754</v>
      </c>
      <c r="BT175" s="440">
        <f t="shared" si="314"/>
        <v>793</v>
      </c>
      <c r="BU175" s="440">
        <f t="shared" si="314"/>
        <v>564</v>
      </c>
      <c r="BV175" s="440">
        <f t="shared" si="314"/>
        <v>322</v>
      </c>
      <c r="BW175" s="440">
        <f t="shared" si="314"/>
        <v>322</v>
      </c>
      <c r="BY175" s="492" t="s">
        <v>98</v>
      </c>
      <c r="BZ175" s="440">
        <f t="shared" si="314"/>
        <v>572</v>
      </c>
      <c r="CA175" s="440">
        <f t="shared" si="314"/>
        <v>754</v>
      </c>
      <c r="CB175" s="440">
        <f t="shared" si="314"/>
        <v>912</v>
      </c>
      <c r="CC175" s="440">
        <f t="shared" si="314"/>
        <v>1077</v>
      </c>
      <c r="CD175" s="440">
        <f t="shared" si="314"/>
        <v>1077</v>
      </c>
      <c r="CF175" s="492" t="s">
        <v>98</v>
      </c>
      <c r="CG175" s="440">
        <f t="shared" si="314"/>
        <v>758</v>
      </c>
      <c r="CH175" s="440">
        <f t="shared" si="314"/>
        <v>852</v>
      </c>
      <c r="CI175" s="440">
        <f t="shared" si="314"/>
        <v>915</v>
      </c>
      <c r="CJ175" s="440">
        <f t="shared" si="314"/>
        <v>842</v>
      </c>
      <c r="CK175" s="440">
        <f t="shared" si="314"/>
        <v>842</v>
      </c>
      <c r="CM175" s="492" t="s">
        <v>98</v>
      </c>
      <c r="CN175" s="440">
        <f t="shared" si="314"/>
        <v>678</v>
      </c>
      <c r="CO175" s="440">
        <f t="shared" ref="CO175:EF175" si="315">+CO173+CO174</f>
        <v>252</v>
      </c>
      <c r="CP175" s="440">
        <f t="shared" si="315"/>
        <v>133</v>
      </c>
      <c r="CQ175" s="440">
        <f t="shared" si="315"/>
        <v>163</v>
      </c>
      <c r="CR175" s="440">
        <f t="shared" si="315"/>
        <v>163</v>
      </c>
      <c r="CT175" s="492" t="s">
        <v>98</v>
      </c>
      <c r="CU175" s="440">
        <f t="shared" si="315"/>
        <v>384</v>
      </c>
      <c r="CV175" s="440">
        <f t="shared" si="315"/>
        <v>507</v>
      </c>
      <c r="CW175" s="440">
        <f t="shared" si="315"/>
        <v>404</v>
      </c>
      <c r="CX175" s="440">
        <f t="shared" si="315"/>
        <v>295</v>
      </c>
      <c r="CY175" s="440">
        <f t="shared" si="315"/>
        <v>295</v>
      </c>
      <c r="DA175" s="492" t="s">
        <v>98</v>
      </c>
      <c r="DB175" s="440">
        <f t="shared" si="315"/>
        <v>193</v>
      </c>
      <c r="DC175" s="440">
        <f t="shared" si="315"/>
        <v>345</v>
      </c>
      <c r="DD175" s="440">
        <f t="shared" si="315"/>
        <v>265</v>
      </c>
      <c r="DE175" s="440">
        <f t="shared" si="315"/>
        <v>290</v>
      </c>
      <c r="DF175" s="440">
        <f t="shared" si="315"/>
        <v>290</v>
      </c>
      <c r="DH175" s="492" t="s">
        <v>98</v>
      </c>
      <c r="DI175" s="440">
        <f t="shared" si="315"/>
        <v>310</v>
      </c>
      <c r="DJ175" s="440">
        <f t="shared" si="315"/>
        <v>149</v>
      </c>
      <c r="DK175" s="440">
        <f t="shared" si="315"/>
        <v>189</v>
      </c>
      <c r="DL175" s="440">
        <f t="shared" si="315"/>
        <v>306</v>
      </c>
      <c r="DM175" s="440">
        <f t="shared" si="315"/>
        <v>306</v>
      </c>
      <c r="DO175" s="492" t="s">
        <v>98</v>
      </c>
      <c r="DP175" s="440">
        <f t="shared" si="315"/>
        <v>496</v>
      </c>
      <c r="DQ175" s="440">
        <f t="shared" si="315"/>
        <v>466</v>
      </c>
      <c r="DR175" s="440">
        <f t="shared" si="315"/>
        <v>549</v>
      </c>
      <c r="DS175" s="440">
        <f t="shared" si="315"/>
        <v>167</v>
      </c>
      <c r="DT175" s="440">
        <f t="shared" si="315"/>
        <v>167</v>
      </c>
      <c r="DV175" s="492" t="s">
        <v>98</v>
      </c>
      <c r="DW175" s="440">
        <f t="shared" si="315"/>
        <v>441</v>
      </c>
      <c r="DX175" s="440">
        <f t="shared" si="315"/>
        <v>252</v>
      </c>
      <c r="DY175" s="440">
        <f t="shared" si="315"/>
        <v>685</v>
      </c>
      <c r="DZ175" s="440">
        <f t="shared" si="315"/>
        <v>858</v>
      </c>
      <c r="EA175" s="440">
        <f t="shared" si="315"/>
        <v>858</v>
      </c>
      <c r="EC175" s="492" t="s">
        <v>98</v>
      </c>
      <c r="ED175" s="440">
        <f t="shared" si="315"/>
        <v>845</v>
      </c>
      <c r="EE175" s="440">
        <f t="shared" si="315"/>
        <v>1491</v>
      </c>
      <c r="EF175" s="440">
        <f t="shared" si="315"/>
        <v>1763</v>
      </c>
      <c r="EG175" s="440">
        <f t="shared" ref="EG175:FV175" si="316">+EG173+EG174</f>
        <v>2437</v>
      </c>
      <c r="EH175" s="440">
        <f t="shared" si="316"/>
        <v>2437</v>
      </c>
      <c r="EJ175" s="492" t="s">
        <v>98</v>
      </c>
      <c r="EK175" s="440">
        <f t="shared" si="316"/>
        <v>2660</v>
      </c>
      <c r="EL175" s="440">
        <f t="shared" si="316"/>
        <v>2742</v>
      </c>
      <c r="EM175" s="440">
        <f t="shared" si="316"/>
        <v>2798</v>
      </c>
      <c r="EN175" s="440">
        <f t="shared" si="316"/>
        <v>2715</v>
      </c>
      <c r="EO175" s="440">
        <f t="shared" si="316"/>
        <v>2715</v>
      </c>
      <c r="EQ175" s="492" t="s">
        <v>98</v>
      </c>
      <c r="ER175" s="440">
        <f t="shared" si="316"/>
        <v>2655</v>
      </c>
      <c r="ES175" s="440">
        <f t="shared" si="316"/>
        <v>2461</v>
      </c>
      <c r="ET175" s="440">
        <f t="shared" si="316"/>
        <v>1848</v>
      </c>
      <c r="EU175" s="440">
        <f t="shared" si="316"/>
        <v>1819</v>
      </c>
      <c r="EV175" s="440">
        <f t="shared" si="316"/>
        <v>1819</v>
      </c>
      <c r="EX175" s="492" t="s">
        <v>98</v>
      </c>
      <c r="EY175" s="440">
        <f t="shared" si="316"/>
        <v>1929</v>
      </c>
      <c r="EZ175" s="440">
        <f t="shared" si="316"/>
        <v>2280</v>
      </c>
      <c r="FA175" s="440">
        <f t="shared" si="316"/>
        <v>2744</v>
      </c>
      <c r="FB175" s="440">
        <f t="shared" si="316"/>
        <v>2994</v>
      </c>
      <c r="FC175" s="440">
        <f t="shared" si="316"/>
        <v>2994</v>
      </c>
      <c r="FE175" s="492" t="s">
        <v>98</v>
      </c>
      <c r="FF175" s="440">
        <f t="shared" si="316"/>
        <v>3002</v>
      </c>
      <c r="FG175" s="440">
        <f t="shared" si="316"/>
        <v>2843</v>
      </c>
      <c r="FH175" s="440">
        <f t="shared" si="316"/>
        <v>2929</v>
      </c>
      <c r="FI175" s="440">
        <f t="shared" si="316"/>
        <v>2913</v>
      </c>
      <c r="FJ175" s="440">
        <f t="shared" si="316"/>
        <v>2913</v>
      </c>
      <c r="FL175" s="492" t="s">
        <v>98</v>
      </c>
      <c r="FM175" s="440">
        <f t="shared" si="316"/>
        <v>2779</v>
      </c>
      <c r="FN175" s="440">
        <f t="shared" si="316"/>
        <v>2652</v>
      </c>
      <c r="FO175" s="440">
        <f t="shared" si="316"/>
        <v>2523</v>
      </c>
      <c r="FP175" s="440">
        <f t="shared" si="316"/>
        <v>2362</v>
      </c>
      <c r="FQ175" s="440">
        <f t="shared" si="316"/>
        <v>2362</v>
      </c>
      <c r="FS175" s="492" t="s">
        <v>98</v>
      </c>
      <c r="FT175" s="440">
        <f t="shared" si="316"/>
        <v>2057</v>
      </c>
      <c r="FU175" s="493">
        <f t="shared" si="316"/>
        <v>1953</v>
      </c>
      <c r="FV175" s="493">
        <f t="shared" si="316"/>
        <v>2008</v>
      </c>
      <c r="FW175" s="440">
        <f t="shared" ref="FW175:FX175" si="317">+FW173+FW174</f>
        <v>1757</v>
      </c>
      <c r="FX175" s="440">
        <f t="shared" si="317"/>
        <v>1757</v>
      </c>
      <c r="FZ175" s="492" t="s">
        <v>98</v>
      </c>
      <c r="GA175" s="493">
        <f t="shared" ref="GA175:GL175" si="318">+GA173+GA174</f>
        <v>1763</v>
      </c>
      <c r="GB175" s="493">
        <f t="shared" si="318"/>
        <v>1073</v>
      </c>
      <c r="GC175" s="493">
        <f t="shared" si="318"/>
        <v>605</v>
      </c>
      <c r="GD175" s="493">
        <f t="shared" si="318"/>
        <v>726</v>
      </c>
      <c r="GE175" s="493">
        <f t="shared" si="318"/>
        <v>726</v>
      </c>
      <c r="GG175" s="492" t="s">
        <v>98</v>
      </c>
      <c r="GH175" s="493">
        <f t="shared" si="318"/>
        <v>782.40783681674429</v>
      </c>
      <c r="GI175" s="493">
        <f t="shared" si="318"/>
        <v>1635.8513639022733</v>
      </c>
      <c r="GJ175" s="493">
        <f t="shared" si="318"/>
        <v>1895.2205102235437</v>
      </c>
      <c r="GK175" s="493">
        <f t="shared" si="318"/>
        <v>1973.8695325218846</v>
      </c>
      <c r="GL175" s="493">
        <f t="shared" si="318"/>
        <v>1973.8695325218841</v>
      </c>
      <c r="GN175" s="492" t="s">
        <v>98</v>
      </c>
      <c r="GO175" s="493">
        <f t="shared" ref="GO175:GS175" si="319">+GO173+GO174</f>
        <v>2224.7887979982834</v>
      </c>
      <c r="GP175" s="493">
        <f t="shared" si="319"/>
        <v>2362.0161692852653</v>
      </c>
      <c r="GQ175" s="493">
        <f t="shared" si="319"/>
        <v>2412.862770641339</v>
      </c>
      <c r="GR175" s="493">
        <f t="shared" si="319"/>
        <v>2531.8109788697066</v>
      </c>
      <c r="GS175" s="493">
        <f t="shared" si="319"/>
        <v>2531.8109788697066</v>
      </c>
      <c r="GU175" s="492" t="s">
        <v>98</v>
      </c>
      <c r="GV175" s="493">
        <f t="shared" ref="GV175:GZ175" si="320">+GV173+GV174</f>
        <v>2493.0898424071383</v>
      </c>
      <c r="GW175" s="493">
        <f t="shared" si="320"/>
        <v>2573.4377552222086</v>
      </c>
      <c r="GX175" s="493">
        <f t="shared" si="320"/>
        <v>2650.9281204272911</v>
      </c>
      <c r="GY175" s="493">
        <f t="shared" si="320"/>
        <v>2728.8039778375119</v>
      </c>
      <c r="GZ175" s="493">
        <f t="shared" si="320"/>
        <v>2728.8039778375123</v>
      </c>
    </row>
    <row r="176" spans="1:208" x14ac:dyDescent="0.4">
      <c r="A176" s="488"/>
      <c r="B176" s="82"/>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78"/>
      <c r="AB176" s="78"/>
      <c r="AC176" s="78"/>
      <c r="AD176" s="78"/>
      <c r="AE176" s="78"/>
      <c r="AF176" s="78"/>
      <c r="AG176" s="78"/>
      <c r="AH176" s="78"/>
      <c r="AI176" s="78"/>
      <c r="AJ176" s="78"/>
      <c r="AK176" s="78"/>
      <c r="AL176" s="78"/>
      <c r="AM176" s="78"/>
      <c r="AN176" s="78"/>
      <c r="AP176" s="82"/>
      <c r="AW176" s="82"/>
      <c r="BD176" s="82"/>
      <c r="BK176" s="82"/>
      <c r="BR176" s="82"/>
      <c r="BY176" s="82"/>
      <c r="CF176" s="82"/>
      <c r="CM176" s="82"/>
      <c r="CT176" s="82"/>
      <c r="DA176" s="82"/>
      <c r="DH176" s="82"/>
      <c r="DO176" s="82"/>
      <c r="DV176" s="82"/>
      <c r="EC176" s="82"/>
      <c r="EJ176" s="82"/>
      <c r="EQ176" s="82"/>
      <c r="EX176" s="82"/>
      <c r="FE176" s="82"/>
      <c r="FL176" s="82"/>
      <c r="FS176" s="82"/>
      <c r="FU176" s="80"/>
      <c r="FV176" s="80"/>
      <c r="FZ176" s="82"/>
      <c r="GA176" s="80"/>
      <c r="GB176" s="80"/>
      <c r="GC176" s="80"/>
      <c r="GD176" s="80"/>
      <c r="GE176" s="80"/>
      <c r="GG176" s="82"/>
      <c r="GH176" s="80"/>
      <c r="GI176" s="80"/>
      <c r="GJ176" s="80"/>
      <c r="GK176" s="80"/>
      <c r="GL176" s="80"/>
      <c r="GN176" s="82"/>
      <c r="GO176" s="80"/>
      <c r="GP176" s="80"/>
      <c r="GQ176" s="80"/>
      <c r="GR176" s="80"/>
      <c r="GS176" s="80"/>
      <c r="GU176" s="82"/>
      <c r="GV176" s="80"/>
      <c r="GW176" s="80"/>
      <c r="GX176" s="80"/>
      <c r="GY176" s="80"/>
      <c r="GZ176" s="80"/>
    </row>
    <row r="177" spans="1:208" x14ac:dyDescent="0.4">
      <c r="A177" s="488"/>
      <c r="B177" s="396" t="s">
        <v>99</v>
      </c>
      <c r="C177" s="397">
        <f>AU177</f>
        <v>-2.1132713440405747E-2</v>
      </c>
      <c r="D177" s="397">
        <f>BB177</f>
        <v>0.119358074222668</v>
      </c>
      <c r="E177" s="397">
        <f>BI177</f>
        <v>4.4126984126984126E-2</v>
      </c>
      <c r="F177" s="397">
        <f>BP177</f>
        <v>0.24510869565217391</v>
      </c>
      <c r="G177" s="397">
        <f>BW177</f>
        <v>0.10128971374646115</v>
      </c>
      <c r="H177" s="397">
        <f>CD177</f>
        <v>0.26605731225296442</v>
      </c>
      <c r="I177" s="397">
        <f>CK177</f>
        <v>0.19162494310423306</v>
      </c>
      <c r="J177" s="397">
        <f>CR177</f>
        <v>3.6093888396811338E-2</v>
      </c>
      <c r="K177" s="397">
        <f>CY177</f>
        <v>6.4005207203297901E-2</v>
      </c>
      <c r="L177" s="397">
        <f>DF177</f>
        <v>6.0873215785054578E-2</v>
      </c>
      <c r="M177" s="397">
        <f>DM177</f>
        <v>6.3856427378964936E-2</v>
      </c>
      <c r="N177" s="397">
        <f>DT177</f>
        <v>3.560767590618337E-2</v>
      </c>
      <c r="O177" s="397">
        <f>EA177</f>
        <v>0.16715371127995324</v>
      </c>
      <c r="P177" s="397">
        <f>EH177</f>
        <v>0.39306451612903226</v>
      </c>
      <c r="Q177" s="397">
        <f>EO177</f>
        <v>0.42999683243585685</v>
      </c>
      <c r="R177" s="397">
        <f>EV177</f>
        <v>0.31662315056570933</v>
      </c>
      <c r="S177" s="397">
        <f>FC177</f>
        <v>0.44921230307576893</v>
      </c>
      <c r="T177" s="397">
        <f>FJ177</f>
        <v>0.39359546007296309</v>
      </c>
      <c r="U177" s="397">
        <f>FQ177</f>
        <v>0.33220815752461325</v>
      </c>
      <c r="V177" s="397">
        <f>FX177</f>
        <v>0.25060619027242903</v>
      </c>
      <c r="W177" s="397">
        <f>GE177</f>
        <v>0.1125232486050837</v>
      </c>
      <c r="X177" s="397">
        <f>GL177</f>
        <v>0.28359597690958438</v>
      </c>
      <c r="Y177" s="397">
        <f>GS177</f>
        <v>0.33401248010242762</v>
      </c>
      <c r="Z177" s="397">
        <f>GZ177</f>
        <v>0.33973098971193449</v>
      </c>
      <c r="AA177" s="398"/>
      <c r="AB177" s="398"/>
      <c r="AC177" s="398"/>
      <c r="AD177" s="398"/>
      <c r="AE177" s="398"/>
      <c r="AF177" s="398"/>
      <c r="AG177" s="398"/>
      <c r="AH177" s="398"/>
      <c r="AI177" s="398"/>
      <c r="AJ177" s="398"/>
      <c r="AK177" s="398"/>
      <c r="AL177" s="398"/>
      <c r="AM177" s="398"/>
      <c r="AN177" s="398"/>
      <c r="AP177" s="396" t="s">
        <v>99</v>
      </c>
      <c r="AQ177" s="397" t="s">
        <v>80</v>
      </c>
      <c r="AR177" s="397" t="s">
        <v>80</v>
      </c>
      <c r="AS177" s="397" t="s">
        <v>80</v>
      </c>
      <c r="AT177" s="397" t="s">
        <v>80</v>
      </c>
      <c r="AU177" s="397">
        <f>+AU175/BS!CO86</f>
        <v>-2.1132713440405747E-2</v>
      </c>
      <c r="AW177" s="396" t="s">
        <v>99</v>
      </c>
      <c r="AX177" s="397">
        <f>+AX175/BS!CR86</f>
        <v>-1.5625E-2</v>
      </c>
      <c r="AY177" s="397">
        <f>+AY175/BS!CS86</f>
        <v>3.6469730123997083E-4</v>
      </c>
      <c r="AZ177" s="397">
        <f>+AZ175/BS!CT86</f>
        <v>6.9108500345542506E-3</v>
      </c>
      <c r="BA177" s="397">
        <f>+BA175/BS!CU86</f>
        <v>0.119358074222668</v>
      </c>
      <c r="BB177" s="397">
        <f>+BB175/BS!CV86</f>
        <v>0.119358074222668</v>
      </c>
      <c r="BD177" s="396" t="s">
        <v>99</v>
      </c>
      <c r="BE177" s="397">
        <f>+BE175/BS!CY86</f>
        <v>0.11841180604356992</v>
      </c>
      <c r="BF177" s="397">
        <f>+BF175/BS!CZ86</f>
        <v>0.18224613315400134</v>
      </c>
      <c r="BG177" s="397">
        <f>+BG175/BS!DA86</f>
        <v>0.23989484061781138</v>
      </c>
      <c r="BH177" s="397">
        <f>+BH175/BS!DB86</f>
        <v>4.4126984126984126E-2</v>
      </c>
      <c r="BI177" s="397">
        <f>+BI175/BS!DC86</f>
        <v>4.4126984126984126E-2</v>
      </c>
      <c r="BK177" s="396" t="s">
        <v>99</v>
      </c>
      <c r="BL177" s="397">
        <f>+BL175/BS!DF86</f>
        <v>9.6632503660322111E-2</v>
      </c>
      <c r="BM177" s="397">
        <f>+BM175/BS!DG86</f>
        <v>8.5831863609641387E-2</v>
      </c>
      <c r="BN177" s="397">
        <f>+BN175/BS!DH86</f>
        <v>0.10337141264976317</v>
      </c>
      <c r="BO177" s="397">
        <f>+BO175/BS!DI86</f>
        <v>0.24510869565217391</v>
      </c>
      <c r="BP177" s="397">
        <f>+BP175/BS!DJ86</f>
        <v>0.24510869565217391</v>
      </c>
      <c r="BR177" s="396" t="s">
        <v>99</v>
      </c>
      <c r="BS177" s="397">
        <f>+BS175/BS!DM86</f>
        <v>0.1606990622335891</v>
      </c>
      <c r="BT177" s="397">
        <f>+BT175/BS!DN86</f>
        <v>0.23099330032041945</v>
      </c>
      <c r="BU177" s="397">
        <f>+BU175/BS!DO86</f>
        <v>0.17153284671532848</v>
      </c>
      <c r="BV177" s="397">
        <f>+BV175/BS!DP86</f>
        <v>0.10128971374646115</v>
      </c>
      <c r="BW177" s="397">
        <f>+BW175/BS!DQ86</f>
        <v>0.10128971374646115</v>
      </c>
      <c r="BY177" s="396" t="s">
        <v>99</v>
      </c>
      <c r="BZ177" s="397">
        <f>+BZ175/BS!DT86</f>
        <v>0.19792387543252596</v>
      </c>
      <c r="CA177" s="397">
        <f>+CA175/BS!DU86</f>
        <v>0.2143872618709127</v>
      </c>
      <c r="CB177" s="397">
        <f>+CB175/BS!DV86</f>
        <v>0.24281150159744408</v>
      </c>
      <c r="CC177" s="397">
        <f>+CC175/BS!DW86</f>
        <v>0.26605731225296442</v>
      </c>
      <c r="CD177" s="397">
        <f>+CD175/BS!DX86</f>
        <v>0.26605731225296442</v>
      </c>
      <c r="CF177" s="396" t="s">
        <v>99</v>
      </c>
      <c r="CG177" s="397">
        <f>+CG175/BS!EA86</f>
        <v>0.20310825294748125</v>
      </c>
      <c r="CH177" s="397">
        <f>+CH175/BS!EB86</f>
        <v>0.19595216191352346</v>
      </c>
      <c r="CI177" s="397">
        <f>+CI175/BS!EC86</f>
        <v>0.20701357466063347</v>
      </c>
      <c r="CJ177" s="397">
        <f>+CJ175/BS!ED86</f>
        <v>0.19162494310423306</v>
      </c>
      <c r="CK177" s="397">
        <f>+CK175/BS!EE86</f>
        <v>0.19162494310423306</v>
      </c>
      <c r="CM177" s="396" t="s">
        <v>99</v>
      </c>
      <c r="CN177" s="397">
        <f>+CN175/BS!EH86</f>
        <v>0.14868421052631578</v>
      </c>
      <c r="CO177" s="397">
        <f>+CO175/BS!EI86</f>
        <v>5.5690607734806628E-2</v>
      </c>
      <c r="CP177" s="397">
        <f>+CP175/BS!EJ86</f>
        <v>2.9437804338202745E-2</v>
      </c>
      <c r="CQ177" s="397">
        <f>+CQ175/BS!EK86</f>
        <v>3.6093888396811338E-2</v>
      </c>
      <c r="CR177" s="397">
        <f>+CR175/BS!EL86</f>
        <v>3.6093888396811338E-2</v>
      </c>
      <c r="CT177" s="396" t="s">
        <v>99</v>
      </c>
      <c r="CU177" s="397">
        <f>+CU175/BS!EO86</f>
        <v>8.7153881071266454E-2</v>
      </c>
      <c r="CV177" s="397">
        <f>+CV175/BS!EP86</f>
        <v>0.11067452521283562</v>
      </c>
      <c r="CW177" s="397">
        <f>+CW175/BS!EQ86</f>
        <v>8.8017429193899779E-2</v>
      </c>
      <c r="CX177" s="397">
        <f>+CX175/BS!ER86</f>
        <v>6.4005207203297901E-2</v>
      </c>
      <c r="CY177" s="397">
        <f>+CY175/BS!ES86</f>
        <v>6.4005207203297901E-2</v>
      </c>
      <c r="DA177" s="396" t="s">
        <v>99</v>
      </c>
      <c r="DB177" s="397">
        <f>+DB175/BS!EV86</f>
        <v>4.546525323910483E-2</v>
      </c>
      <c r="DC177" s="397">
        <f>+DC175/BS!EW86</f>
        <v>7.6142131979695438E-2</v>
      </c>
      <c r="DD177" s="397">
        <f>+DD175/BS!EX86</f>
        <v>5.6781658452967648E-2</v>
      </c>
      <c r="DE177" s="397">
        <f>+DE175/BS!EY86</f>
        <v>6.0873215785054578E-2</v>
      </c>
      <c r="DF177" s="397">
        <f>+DF175/BS!EZ86</f>
        <v>6.0873215785054578E-2</v>
      </c>
      <c r="DH177" s="396" t="s">
        <v>99</v>
      </c>
      <c r="DI177" s="397">
        <f>+DI175/BS!FC86</f>
        <v>5.8281631885692797E-2</v>
      </c>
      <c r="DJ177" s="397">
        <f>+DJ175/BS!FD86</f>
        <v>3.0333876221498371E-2</v>
      </c>
      <c r="DK177" s="397">
        <f>+DK175/BS!FE86</f>
        <v>3.8729508196721309E-2</v>
      </c>
      <c r="DL177" s="397">
        <f>+DL175/BS!FF86</f>
        <v>6.3856427378964936E-2</v>
      </c>
      <c r="DM177" s="397">
        <f>+DM175/BS!FG86</f>
        <v>6.3856427378964936E-2</v>
      </c>
      <c r="DO177" s="396" t="s">
        <v>99</v>
      </c>
      <c r="DP177" s="397">
        <f>+DP175/BS!FJ86</f>
        <v>9.9378881987577633E-2</v>
      </c>
      <c r="DQ177" s="397">
        <f>+DQ175/BS!FK86</f>
        <v>0.10323438192290652</v>
      </c>
      <c r="DR177" s="397">
        <f>+DR175/BS!FL86</f>
        <v>0.12362080612474668</v>
      </c>
      <c r="DS177" s="397">
        <f>+DS175/BS!FM86</f>
        <v>3.560767590618337E-2</v>
      </c>
      <c r="DT177" s="397">
        <f>+DT175/BS!FN86</f>
        <v>3.560767590618337E-2</v>
      </c>
      <c r="DV177" s="396" t="s">
        <v>99</v>
      </c>
      <c r="DW177" s="397">
        <f>+DW175/BS!FQ86</f>
        <v>9.0554414784394244E-2</v>
      </c>
      <c r="DX177" s="397">
        <f>+DX175/BS!FR86</f>
        <v>4.9295774647887321E-2</v>
      </c>
      <c r="DY177" s="397">
        <f>+DY175/BS!FS86</f>
        <v>0.13300970873786408</v>
      </c>
      <c r="DZ177" s="397">
        <f>+DZ175/BS!FT86</f>
        <v>0.16715371127995324</v>
      </c>
      <c r="EA177" s="397">
        <f>+EA175/BS!FU86</f>
        <v>0.16715371127995324</v>
      </c>
      <c r="EC177" s="396" t="s">
        <v>99</v>
      </c>
      <c r="ED177" s="397">
        <f>+ED175/BS!FX86</f>
        <v>0.15703400854859692</v>
      </c>
      <c r="EE177" s="397">
        <f>+EE175/BS!FY86</f>
        <v>0.27040261153427636</v>
      </c>
      <c r="EF177" s="397">
        <f>+EF175/BS!FZ86</f>
        <v>0.29675138865510858</v>
      </c>
      <c r="EG177" s="397">
        <f>+EG175/BS!GA86</f>
        <v>0.39306451612903226</v>
      </c>
      <c r="EH177" s="397">
        <f>+EH175/BS!GB86</f>
        <v>0.39306451612903226</v>
      </c>
      <c r="EJ177" s="396" t="s">
        <v>99</v>
      </c>
      <c r="EK177" s="397">
        <f>+EK175/BS!GE86</f>
        <v>0.40364188163884673</v>
      </c>
      <c r="EL177" s="397">
        <f>+EL175/BS!GF86</f>
        <v>0.42763568309419836</v>
      </c>
      <c r="EM177" s="397">
        <f>+EM175/BS!GG86</f>
        <v>0.43650546021840875</v>
      </c>
      <c r="EN177" s="397">
        <f>+EN175/BS!GH86</f>
        <v>0.42999683243585685</v>
      </c>
      <c r="EO177" s="397">
        <f>+EO175/BS!GI86</f>
        <v>0.42999683243585685</v>
      </c>
      <c r="EQ177" s="396" t="s">
        <v>99</v>
      </c>
      <c r="ER177" s="397">
        <f>+ER175/BS!GL86</f>
        <v>0.39044117647058824</v>
      </c>
      <c r="ES177" s="397">
        <f>+ES175/BS!GM86</f>
        <v>0.42307031115695376</v>
      </c>
      <c r="ET177" s="397">
        <f>+ET175/BS!GN86</f>
        <v>0.32529484245731383</v>
      </c>
      <c r="EU177" s="397">
        <f>+EU175/BS!GO86</f>
        <v>0.31662315056570933</v>
      </c>
      <c r="EV177" s="397">
        <f>+EV175/BS!GP86</f>
        <v>0.31662315056570933</v>
      </c>
      <c r="EX177" s="396" t="s">
        <v>99</v>
      </c>
      <c r="EY177" s="397">
        <f>+EY175/BS!GS86</f>
        <v>0.37830947244557755</v>
      </c>
      <c r="EZ177" s="397">
        <f>+EZ175/BS!GT86</f>
        <v>0.36851462744464197</v>
      </c>
      <c r="FA177" s="397">
        <f>+FA175/BS!GU86</f>
        <v>0.42208890939855409</v>
      </c>
      <c r="FB177" s="397">
        <f>+FB175/BS!GV86</f>
        <v>0.44921230307576893</v>
      </c>
      <c r="FC177" s="397">
        <f>+FC175/BS!GW86</f>
        <v>0.44921230307576893</v>
      </c>
      <c r="FE177" s="396" t="s">
        <v>99</v>
      </c>
      <c r="FF177" s="397">
        <f>+FF175/BS!GZ86</f>
        <v>0.51625107480653487</v>
      </c>
      <c r="FG177" s="397">
        <f>+FG175/BS!HA86</f>
        <v>0.39924167953939055</v>
      </c>
      <c r="FH177" s="397">
        <f>+FH175/BS!HB86</f>
        <v>0.40261168384879725</v>
      </c>
      <c r="FI177" s="397">
        <f>+FI175/BS!HC86</f>
        <v>0.39359546007296309</v>
      </c>
      <c r="FJ177" s="397">
        <f>+FJ175/BS!HD86</f>
        <v>0.39359546007296309</v>
      </c>
      <c r="FL177" s="396" t="s">
        <v>99</v>
      </c>
      <c r="FM177" s="397">
        <f>+FM175/BS!HG86</f>
        <v>0.3649376231122784</v>
      </c>
      <c r="FN177" s="397">
        <f>+FN175/BS!HH86</f>
        <v>0.35280031927630706</v>
      </c>
      <c r="FO177" s="397">
        <f>+FO175/BS!HI86</f>
        <v>0.34896265560165973</v>
      </c>
      <c r="FP177" s="397">
        <f>+FP175/BS!HJ86</f>
        <v>0.33220815752461325</v>
      </c>
      <c r="FQ177" s="397">
        <f>+FQ175/BS!HK86</f>
        <v>0.33220815752461325</v>
      </c>
      <c r="FS177" s="396" t="s">
        <v>99</v>
      </c>
      <c r="FT177" s="397">
        <f>+FT175/BS!HN86</f>
        <v>0.29247831650789136</v>
      </c>
      <c r="FU177" s="397">
        <f>+FU175/BS!HO86</f>
        <v>0.27872127872127872</v>
      </c>
      <c r="FV177" s="397">
        <f>+FV175/BS!HP86</f>
        <v>0.28253834247924581</v>
      </c>
      <c r="FW177" s="397">
        <f>+FW175/BS!HQ86</f>
        <v>0.25060619027242903</v>
      </c>
      <c r="FX177" s="397">
        <f>+FX175/BS!HR86</f>
        <v>0.25060619027242903</v>
      </c>
      <c r="FZ177" s="396" t="s">
        <v>99</v>
      </c>
      <c r="GA177" s="397">
        <f>+GA175/BS!HU86</f>
        <v>0.26487379807692307</v>
      </c>
      <c r="GB177" s="397">
        <f>+GB175/BS!HV86</f>
        <v>0.16302035855363112</v>
      </c>
      <c r="GC177" s="397">
        <f>+GC175/BS!HW86</f>
        <v>9.2762956148420728E-2</v>
      </c>
      <c r="GD177" s="397">
        <f>+GD175/BS!HX86</f>
        <v>0.1125232486050837</v>
      </c>
      <c r="GE177" s="397">
        <f>+GE175/BS!HY86</f>
        <v>0.1125232486050837</v>
      </c>
      <c r="GG177" s="396" t="s">
        <v>99</v>
      </c>
      <c r="GH177" s="397">
        <f>+GH175/BS!IB86</f>
        <v>0.11855289955644711</v>
      </c>
      <c r="GI177" s="397">
        <f>+GI175/BS!IC86</f>
        <v>0.2459725372450961</v>
      </c>
      <c r="GJ177" s="397">
        <f>+GJ175/BS!ID86</f>
        <v>0.28000699016788072</v>
      </c>
      <c r="GK177" s="397">
        <f>+GK175/BS!IE86</f>
        <v>0.28359597690958427</v>
      </c>
      <c r="GL177" s="397">
        <f>+GL175/BS!IF86</f>
        <v>0.28359597690958438</v>
      </c>
      <c r="GN177" s="396" t="s">
        <v>99</v>
      </c>
      <c r="GO177" s="397">
        <f>+GO175/BS!II86</f>
        <v>0.31555033767520563</v>
      </c>
      <c r="GP177" s="397">
        <f>+GP175/BS!IJ86</f>
        <v>0.32552441788843683</v>
      </c>
      <c r="GQ177" s="397">
        <f>+GQ175/BS!IK86</f>
        <v>0.325286951696522</v>
      </c>
      <c r="GR177" s="397">
        <f>+GR175/BS!IL86</f>
        <v>0.33401248010242762</v>
      </c>
      <c r="GS177" s="397">
        <f>+GS175/BS!IM86</f>
        <v>0.33401248010242762</v>
      </c>
      <c r="GU177" s="396" t="s">
        <v>99</v>
      </c>
      <c r="GV177" s="397">
        <f>+GV175/BS!IP86</f>
        <v>0.33032294132595302</v>
      </c>
      <c r="GW177" s="397">
        <f>+GW175/BS!IQ86</f>
        <v>0.32953036126176816</v>
      </c>
      <c r="GX177" s="397">
        <f>+GX175/BS!IR86</f>
        <v>0.33497454813503186</v>
      </c>
      <c r="GY177" s="397">
        <f>+GY175/BS!IS86</f>
        <v>0.33973098971193449</v>
      </c>
      <c r="GZ177" s="397">
        <f>+GZ175/BS!IT86</f>
        <v>0.33973098971193449</v>
      </c>
    </row>
    <row r="178" spans="1:208" x14ac:dyDescent="0.4">
      <c r="A178" s="488"/>
      <c r="B178" s="396" t="s">
        <v>100</v>
      </c>
      <c r="C178" s="397">
        <f>AU178</f>
        <v>-6.5660742170565181E-2</v>
      </c>
      <c r="D178" s="397">
        <f>BB178</f>
        <v>0.29895741740987308</v>
      </c>
      <c r="E178" s="397">
        <f>BI178</f>
        <v>0.1122887517368404</v>
      </c>
      <c r="F178" s="397">
        <f>BP178</f>
        <v>0.62865904655701133</v>
      </c>
      <c r="G178" s="397">
        <f>BW178</f>
        <v>0.29140271493212672</v>
      </c>
      <c r="H178" s="397">
        <f>CD178</f>
        <v>0.6782115869017632</v>
      </c>
      <c r="I178" s="397">
        <f>CK178</f>
        <v>0.46960401561628556</v>
      </c>
      <c r="J178" s="397">
        <f>CR178</f>
        <v>8.9823989066822443E-2</v>
      </c>
      <c r="K178" s="397">
        <f>CY178</f>
        <v>0.15902964959568733</v>
      </c>
      <c r="L178" s="397">
        <f>DF178</f>
        <v>0.15049299429164503</v>
      </c>
      <c r="M178" s="397">
        <f>DM178</f>
        <v>0.15548780487804878</v>
      </c>
      <c r="N178" s="397">
        <f>DT178</f>
        <v>9.360199534792478E-2</v>
      </c>
      <c r="O178" s="397">
        <f>EA178</f>
        <v>0.40915593705293274</v>
      </c>
      <c r="P178" s="397">
        <f>EH178</f>
        <v>0.73647627682079175</v>
      </c>
      <c r="Q178" s="397">
        <f>EO178</f>
        <v>0.81507054938456924</v>
      </c>
      <c r="R178" s="397">
        <f>EV178</f>
        <v>0.6578661844484629</v>
      </c>
      <c r="S178" s="397">
        <f>FC178</f>
        <v>0.85215819037713203</v>
      </c>
      <c r="T178" s="397">
        <f>FJ178</f>
        <v>0.71506490085257202</v>
      </c>
      <c r="U178" s="397">
        <f>FQ178</f>
        <v>0.64394765539803711</v>
      </c>
      <c r="V178" s="397">
        <f>FX178</f>
        <v>0.49465090090090091</v>
      </c>
      <c r="W178" s="397">
        <f>GE178</f>
        <v>0.23566488391408635</v>
      </c>
      <c r="X178" s="397">
        <f>GL178</f>
        <v>0.56901152732925797</v>
      </c>
      <c r="Y178" s="397">
        <f>GS178</f>
        <v>0.65160463601724827</v>
      </c>
      <c r="Z178" s="397">
        <f>GZ178</f>
        <v>0.65526152684769279</v>
      </c>
      <c r="AA178" s="398"/>
      <c r="AB178" s="398"/>
      <c r="AC178" s="398"/>
      <c r="AD178" s="398"/>
      <c r="AE178" s="398"/>
      <c r="AF178" s="398"/>
      <c r="AG178" s="398"/>
      <c r="AH178" s="398"/>
      <c r="AI178" s="398"/>
      <c r="AJ178" s="398"/>
      <c r="AK178" s="398"/>
      <c r="AL178" s="398"/>
      <c r="AM178" s="398"/>
      <c r="AN178" s="398"/>
      <c r="AP178" s="396" t="s">
        <v>100</v>
      </c>
      <c r="AQ178" s="397" t="s">
        <v>80</v>
      </c>
      <c r="AR178" s="397" t="s">
        <v>80</v>
      </c>
      <c r="AS178" s="397" t="s">
        <v>80</v>
      </c>
      <c r="AT178" s="397" t="s">
        <v>80</v>
      </c>
      <c r="AU178" s="397">
        <f>+AU175/BS!CO97</f>
        <v>-6.5660742170565181E-2</v>
      </c>
      <c r="AW178" s="396" t="s">
        <v>100</v>
      </c>
      <c r="AX178" s="397">
        <f>+AX175/BS!CR97</f>
        <v>-4.2229233270720909E-2</v>
      </c>
      <c r="AY178" s="397">
        <f>+AY175/BS!CS97</f>
        <v>9.5877277085330771E-4</v>
      </c>
      <c r="AZ178" s="397">
        <f>+AZ175/BS!CT97</f>
        <v>1.7487103261344759E-2</v>
      </c>
      <c r="BA178" s="397">
        <f>+BA175/BS!CU97</f>
        <v>0.29895741740987308</v>
      </c>
      <c r="BB178" s="397">
        <f>+BB175/BS!CV97</f>
        <v>0.29895741740987308</v>
      </c>
      <c r="BD178" s="396" t="s">
        <v>100</v>
      </c>
      <c r="BE178" s="397">
        <f>+BE175/BS!CY97</f>
        <v>0.28126695321954676</v>
      </c>
      <c r="BF178" s="397">
        <f>+BF175/BS!CZ97</f>
        <v>0.48171354930453714</v>
      </c>
      <c r="BG178" s="397">
        <f>+BG175/BS!DA97</f>
        <v>0.63069679035811477</v>
      </c>
      <c r="BH178" s="397">
        <f>+BH175/BS!DB97</f>
        <v>0.1122887517368404</v>
      </c>
      <c r="BI178" s="397">
        <f>+BI175/BS!DC97</f>
        <v>0.1122887517368404</v>
      </c>
      <c r="BK178" s="396" t="s">
        <v>100</v>
      </c>
      <c r="BL178" s="397">
        <f>+BL175/BS!DF97</f>
        <v>0.20001818347122463</v>
      </c>
      <c r="BM178" s="397">
        <f>+BM175/BS!DG97</f>
        <v>0.21418930813919371</v>
      </c>
      <c r="BN178" s="397">
        <f>+BN175/BS!DH97</f>
        <v>0.25616593476399585</v>
      </c>
      <c r="BO178" s="397">
        <f>+BO175/BS!DI97</f>
        <v>0.62865904655701133</v>
      </c>
      <c r="BP178" s="397">
        <f>+BP175/BS!DJ97</f>
        <v>0.62865904655701133</v>
      </c>
      <c r="BR178" s="396" t="s">
        <v>100</v>
      </c>
      <c r="BS178" s="397">
        <f>+BS175/BS!DM97</f>
        <v>0.55860127426285378</v>
      </c>
      <c r="BT178" s="397">
        <f>+BT175/BS!DN97</f>
        <v>0.62816856780735109</v>
      </c>
      <c r="BU178" s="397">
        <f>+BU175/BS!DO97</f>
        <v>0.48229861467419188</v>
      </c>
      <c r="BV178" s="397">
        <f>+BV175/BS!DP97</f>
        <v>0.29140271493212672</v>
      </c>
      <c r="BW178" s="397">
        <f>+BW175/BS!DQ97</f>
        <v>0.29140271493212672</v>
      </c>
      <c r="BY178" s="396" t="s">
        <v>100</v>
      </c>
      <c r="BZ178" s="397">
        <f>+BZ175/BS!DT97</f>
        <v>0.49183147033533964</v>
      </c>
      <c r="CA178" s="397">
        <f>+CA175/BS!DU97</f>
        <v>0.57955418908531897</v>
      </c>
      <c r="CB178" s="397">
        <f>+CB175/BS!DV97</f>
        <v>0.62983425414364635</v>
      </c>
      <c r="CC178" s="397">
        <f>+CC175/BS!DW97</f>
        <v>0.6782115869017632</v>
      </c>
      <c r="CD178" s="397">
        <f>+CD175/BS!DX97</f>
        <v>0.6782115869017632</v>
      </c>
      <c r="CF178" s="396" t="s">
        <v>100</v>
      </c>
      <c r="CG178" s="397">
        <f>+CG175/BS!EA97</f>
        <v>0.45145920190589639</v>
      </c>
      <c r="CH178" s="397">
        <f>+CH175/BS!EB97</f>
        <v>0.48602395892755279</v>
      </c>
      <c r="CI178" s="397">
        <f>+CI175/BS!EC97</f>
        <v>0.51375631667602473</v>
      </c>
      <c r="CJ178" s="397">
        <f>+CJ175/BS!ED97</f>
        <v>0.46960401561628556</v>
      </c>
      <c r="CK178" s="397">
        <f>+CK175/BS!EE97</f>
        <v>0.46960401561628556</v>
      </c>
      <c r="CM178" s="396" t="s">
        <v>100</v>
      </c>
      <c r="CN178" s="397">
        <f>+CN175/BS!EH97</f>
        <v>0.36708175419599348</v>
      </c>
      <c r="CO178" s="397">
        <f>+CO175/BS!EI97</f>
        <v>0.13562970936490851</v>
      </c>
      <c r="CP178" s="397">
        <f>+CP175/BS!EJ97</f>
        <v>7.1930773391022176E-2</v>
      </c>
      <c r="CQ178" s="397">
        <f>+CQ175/BS!EK97</f>
        <v>8.9823989066822443E-2</v>
      </c>
      <c r="CR178" s="397">
        <f>+CR175/BS!EL97</f>
        <v>8.9823989066822443E-2</v>
      </c>
      <c r="CT178" s="396" t="s">
        <v>100</v>
      </c>
      <c r="CU178" s="397">
        <f>+CU175/BS!EO97</f>
        <v>0.21045016605833416</v>
      </c>
      <c r="CV178" s="397">
        <f>+CV175/BS!EP97</f>
        <v>0.27559440331365581</v>
      </c>
      <c r="CW178" s="397">
        <f>+CW175/BS!EQ97</f>
        <v>0.21996450077858723</v>
      </c>
      <c r="CX178" s="397">
        <f>+CX175/BS!ER97</f>
        <v>0.15902964959568733</v>
      </c>
      <c r="CY178" s="397">
        <f>+CY175/BS!ES97</f>
        <v>0.15902964959568733</v>
      </c>
      <c r="DA178" s="396" t="s">
        <v>100</v>
      </c>
      <c r="DB178" s="397">
        <f>+DB175/BS!EV97</f>
        <v>0.10758082497212931</v>
      </c>
      <c r="DC178" s="397">
        <f>+DC175/BS!EW97</f>
        <v>0.19113573407202217</v>
      </c>
      <c r="DD178" s="397">
        <f>+DD175/BS!EX97</f>
        <v>0.1423200859291085</v>
      </c>
      <c r="DE178" s="397">
        <f>+DE175/BS!EY97</f>
        <v>0.15049299429164503</v>
      </c>
      <c r="DF178" s="397">
        <f>+DF175/BS!EZ97</f>
        <v>0.15049299429164503</v>
      </c>
      <c r="DH178" s="396" t="s">
        <v>100</v>
      </c>
      <c r="DI178" s="397">
        <f>+DI175/BS!FC97</f>
        <v>0.15728056823947234</v>
      </c>
      <c r="DJ178" s="397">
        <f>+DJ175/BS!FD97</f>
        <v>7.4686716791979954E-2</v>
      </c>
      <c r="DK178" s="397">
        <f>+DK175/BS!FE97</f>
        <v>9.4831911690918216E-2</v>
      </c>
      <c r="DL178" s="397">
        <f>+DL175/BS!FF97</f>
        <v>0.15548780487804878</v>
      </c>
      <c r="DM178" s="397">
        <f>+DM175/BS!FG97</f>
        <v>0.15548780487804878</v>
      </c>
      <c r="DO178" s="396" t="s">
        <v>100</v>
      </c>
      <c r="DP178" s="397">
        <f>+DP175/BS!FJ97</f>
        <v>0.26354941551540911</v>
      </c>
      <c r="DQ178" s="397">
        <f>+DQ175/BS!FK97</f>
        <v>0.26268320180383314</v>
      </c>
      <c r="DR178" s="397">
        <f>+DR175/BS!FL97</f>
        <v>0.31881533101045295</v>
      </c>
      <c r="DS178" s="397">
        <f>+DS175/BS!FM97</f>
        <v>9.360199534792478E-2</v>
      </c>
      <c r="DT178" s="397">
        <f>+DT175/BS!FN97</f>
        <v>9.360199534792478E-2</v>
      </c>
      <c r="DV178" s="396" t="s">
        <v>100</v>
      </c>
      <c r="DW178" s="397">
        <f>+DW175/BS!FQ97</f>
        <v>0.23233148065221398</v>
      </c>
      <c r="DX178" s="397">
        <f>+DX175/BS!FR97</f>
        <v>0.12327862436709634</v>
      </c>
      <c r="DY178" s="397">
        <f>+DY175/BS!FS97</f>
        <v>0.33379626245644811</v>
      </c>
      <c r="DZ178" s="397">
        <f>+DZ175/BS!FT97</f>
        <v>0.40915593705293274</v>
      </c>
      <c r="EA178" s="397">
        <f>+EA175/BS!FU97</f>
        <v>0.40915593705293274</v>
      </c>
      <c r="EC178" s="396" t="s">
        <v>100</v>
      </c>
      <c r="ED178" s="397">
        <f>+ED175/BS!FX97</f>
        <v>0.36391042204995694</v>
      </c>
      <c r="EE178" s="397">
        <f>+EE175/BS!FY97</f>
        <v>0.57170245398773001</v>
      </c>
      <c r="EF178" s="397">
        <f>+EF175/BS!FZ97</f>
        <v>0.58012504113195129</v>
      </c>
      <c r="EG178" s="397">
        <f>+EG175/BS!GA97</f>
        <v>0.73647627682079175</v>
      </c>
      <c r="EH178" s="397">
        <f>+EH175/BS!GB97</f>
        <v>0.73647627682079175</v>
      </c>
      <c r="EJ178" s="396" t="s">
        <v>100</v>
      </c>
      <c r="EK178" s="397">
        <f>+EK175/BS!GE97</f>
        <v>0.77146171693735499</v>
      </c>
      <c r="EL178" s="397">
        <f>+EL175/BS!GF97</f>
        <v>0.79686137750653885</v>
      </c>
      <c r="EM178" s="397">
        <f>+EM175/BS!GG97</f>
        <v>0.82221569203643841</v>
      </c>
      <c r="EN178" s="397">
        <f>+EN175/BS!GH97</f>
        <v>0.81507054938456924</v>
      </c>
      <c r="EO178" s="397">
        <f>+EO175/BS!GI97</f>
        <v>0.81507054938456924</v>
      </c>
      <c r="EQ178" s="396" t="s">
        <v>100</v>
      </c>
      <c r="ER178" s="397">
        <f>+ER175/BS!GL97</f>
        <v>0.81267217630853994</v>
      </c>
      <c r="ES178" s="397">
        <f>+ES175/BS!GM97</f>
        <v>0.84979281767955805</v>
      </c>
      <c r="ET178" s="397">
        <f>+ET175/BS!GN97</f>
        <v>0.66570605187319887</v>
      </c>
      <c r="EU178" s="397">
        <f>+EU175/BS!GO97</f>
        <v>0.6578661844484629</v>
      </c>
      <c r="EV178" s="397">
        <f>+EV175/BS!GP97</f>
        <v>0.6578661844484629</v>
      </c>
      <c r="EX178" s="396" t="s">
        <v>100</v>
      </c>
      <c r="EY178" s="397">
        <f>+EY175/BS!GS97</f>
        <v>0.71417993335801555</v>
      </c>
      <c r="EZ178" s="397">
        <f>+EZ175/BS!GT97</f>
        <v>0.73372478473118208</v>
      </c>
      <c r="FA178" s="397">
        <f>+FA175/BS!GU97</f>
        <v>0.82169658202699769</v>
      </c>
      <c r="FB178" s="397">
        <f>+FB175/BS!GV97</f>
        <v>0.85215819037713203</v>
      </c>
      <c r="FC178" s="397">
        <f>+FC175/BS!GW97</f>
        <v>0.85215819037713203</v>
      </c>
      <c r="FE178" s="396" t="s">
        <v>100</v>
      </c>
      <c r="FF178" s="397">
        <f>+FF175/BS!GZ97</f>
        <v>0.81877963666241782</v>
      </c>
      <c r="FG178" s="397">
        <f>+FG175/BS!HA97</f>
        <v>0.73906427335036806</v>
      </c>
      <c r="FH178" s="397">
        <f>+FH175/BS!HB97</f>
        <v>0.73413008925296486</v>
      </c>
      <c r="FI178" s="397">
        <f>+FI175/BS!HC97</f>
        <v>0.71506490085257202</v>
      </c>
      <c r="FJ178" s="397">
        <f>+FJ175/BS!HD97</f>
        <v>0.71506490085257202</v>
      </c>
      <c r="FL178" s="396" t="s">
        <v>100</v>
      </c>
      <c r="FM178" s="397">
        <f>+FM175/BS!HG97</f>
        <v>0.66344278236160681</v>
      </c>
      <c r="FN178" s="397">
        <f>+FN175/BS!HH97</f>
        <v>0.64888671397112796</v>
      </c>
      <c r="FO178" s="397">
        <f>+FO175/BS!HI97</f>
        <v>0.66324921135646686</v>
      </c>
      <c r="FP178" s="397">
        <f>+FP175/BS!HJ97</f>
        <v>0.64394765539803711</v>
      </c>
      <c r="FQ178" s="397">
        <f>+FQ175/BS!HK97</f>
        <v>0.64394765539803711</v>
      </c>
      <c r="FS178" s="396" t="s">
        <v>100</v>
      </c>
      <c r="FT178" s="397">
        <f>+FT175/BS!HN97</f>
        <v>0.57554560716284275</v>
      </c>
      <c r="FU178" s="397">
        <f>+FU175/BS!HO97</f>
        <v>0.54967632986208836</v>
      </c>
      <c r="FV178" s="397">
        <f>+FV175/BS!HP97</f>
        <v>0.55484940591323573</v>
      </c>
      <c r="FW178" s="397">
        <f>+FW175/BS!HQ97</f>
        <v>0.49465090090090091</v>
      </c>
      <c r="FX178" s="397">
        <f>+FX175/BS!HR97</f>
        <v>0.49465090090090091</v>
      </c>
      <c r="FZ178" s="396" t="s">
        <v>100</v>
      </c>
      <c r="GA178" s="397">
        <f>+GA175/BS!HU97</f>
        <v>0.53134418324291743</v>
      </c>
      <c r="GB178" s="397">
        <f>+GB175/BS!HV97</f>
        <v>0.33699748743718594</v>
      </c>
      <c r="GC178" s="397">
        <f>+GC175/BS!HW97</f>
        <v>0.1929855340595544</v>
      </c>
      <c r="GD178" s="397">
        <f>+GD175/BS!HX97</f>
        <v>0.23566488391408635</v>
      </c>
      <c r="GE178" s="397">
        <f>+GE175/BS!HY97</f>
        <v>0.23566488391408635</v>
      </c>
      <c r="GG178" s="396" t="s">
        <v>100</v>
      </c>
      <c r="GH178" s="397">
        <f>+GH175/BS!IB97</f>
        <v>0.24589710078527419</v>
      </c>
      <c r="GI178" s="397">
        <f>+GI175/BS!IC97</f>
        <v>0.50334822721353212</v>
      </c>
      <c r="GJ178" s="397">
        <f>+GJ175/BS!ID97</f>
        <v>0.56864055602949115</v>
      </c>
      <c r="GK178" s="397">
        <f>+GK175/BS!IE97</f>
        <v>0.56901152732925808</v>
      </c>
      <c r="GL178" s="397">
        <f>+GL175/BS!IF97</f>
        <v>0.56901152732925797</v>
      </c>
      <c r="GN178" s="396" t="s">
        <v>100</v>
      </c>
      <c r="GO178" s="397">
        <f>+GO175/BS!II97</f>
        <v>0.62297998286478995</v>
      </c>
      <c r="GP178" s="397">
        <f>+GP175/BS!IJ97</f>
        <v>0.64203960745169175</v>
      </c>
      <c r="GQ178" s="397">
        <f>+GQ175/BS!IK97</f>
        <v>0.63624932501033238</v>
      </c>
      <c r="GR178" s="397">
        <f>+GR175/BS!IL97</f>
        <v>0.65160463601724827</v>
      </c>
      <c r="GS178" s="397">
        <f>+GS175/BS!IM97</f>
        <v>0.65160463601724827</v>
      </c>
      <c r="GU178" s="396" t="s">
        <v>100</v>
      </c>
      <c r="GV178" s="397">
        <f>+GV175/BS!IP97</f>
        <v>0.62944514682547226</v>
      </c>
      <c r="GW178" s="397">
        <f>+GW175/BS!IQ97</f>
        <v>0.63830521677319629</v>
      </c>
      <c r="GX178" s="397">
        <f>+GX175/BS!IR97</f>
        <v>0.64715486486036711</v>
      </c>
      <c r="GY178" s="397">
        <f>+GY175/BS!IS97</f>
        <v>0.65526152684769268</v>
      </c>
      <c r="GZ178" s="397">
        <f>+GZ175/BS!IT97</f>
        <v>0.65526152684769279</v>
      </c>
    </row>
    <row r="179" spans="1:208" x14ac:dyDescent="0.4">
      <c r="B179" s="83"/>
      <c r="C179" s="84"/>
      <c r="D179" s="84"/>
      <c r="E179" s="84"/>
      <c r="F179" s="84"/>
      <c r="G179" s="84"/>
      <c r="H179" s="84"/>
      <c r="I179" s="84"/>
      <c r="J179" s="84"/>
      <c r="K179" s="84"/>
      <c r="L179" s="84"/>
      <c r="M179" s="84"/>
      <c r="N179" s="84"/>
      <c r="O179" s="84"/>
      <c r="P179" s="84"/>
      <c r="Q179" s="84"/>
      <c r="R179" s="84"/>
      <c r="S179" s="84"/>
      <c r="T179" s="84"/>
      <c r="U179" s="84"/>
      <c r="V179" s="85"/>
      <c r="W179" s="85"/>
      <c r="X179" s="85"/>
      <c r="Y179" s="85"/>
      <c r="Z179" s="85"/>
      <c r="AA179" s="84"/>
      <c r="AB179" s="84"/>
      <c r="AC179" s="84"/>
      <c r="AD179" s="84"/>
      <c r="AE179" s="84"/>
      <c r="AF179" s="84"/>
      <c r="AG179" s="84"/>
      <c r="AH179" s="84"/>
      <c r="AI179" s="84"/>
      <c r="AJ179" s="84"/>
      <c r="AK179" s="84"/>
      <c r="AL179" s="84"/>
      <c r="AM179" s="84"/>
      <c r="AN179" s="84"/>
      <c r="AP179" s="83"/>
      <c r="AQ179" s="84"/>
      <c r="AR179" s="84"/>
      <c r="AS179" s="84"/>
      <c r="AT179" s="84"/>
      <c r="AU179" s="84"/>
      <c r="AW179" s="83"/>
      <c r="AX179" s="84"/>
      <c r="AY179" s="84"/>
      <c r="AZ179" s="84"/>
      <c r="BA179" s="84"/>
      <c r="BB179" s="84"/>
      <c r="BD179" s="83"/>
      <c r="BE179" s="84"/>
      <c r="BF179" s="84"/>
      <c r="BG179" s="84"/>
      <c r="BH179" s="84"/>
      <c r="BI179" s="84"/>
      <c r="BK179" s="83"/>
      <c r="BL179" s="84"/>
      <c r="BM179" s="84"/>
      <c r="BN179" s="84"/>
      <c r="BO179" s="84"/>
      <c r="BP179" s="84"/>
      <c r="BR179" s="83"/>
      <c r="BS179" s="84"/>
      <c r="BT179" s="84"/>
      <c r="BU179" s="84"/>
      <c r="BV179" s="84"/>
      <c r="BW179" s="84"/>
      <c r="BY179" s="83"/>
      <c r="BZ179" s="84"/>
      <c r="CA179" s="84"/>
      <c r="CB179" s="84"/>
      <c r="CC179" s="84"/>
      <c r="CD179" s="84"/>
      <c r="CF179" s="83"/>
      <c r="CG179" s="84"/>
      <c r="CH179" s="84"/>
      <c r="CI179" s="84"/>
      <c r="CJ179" s="84"/>
      <c r="CK179" s="84"/>
      <c r="CM179" s="83"/>
      <c r="CN179" s="84"/>
      <c r="CO179" s="84"/>
      <c r="CP179" s="84"/>
      <c r="CQ179" s="84"/>
      <c r="CR179" s="84"/>
      <c r="CT179" s="83"/>
      <c r="CU179" s="84"/>
      <c r="CV179" s="84"/>
      <c r="CW179" s="84"/>
      <c r="CX179" s="84"/>
      <c r="CY179" s="84"/>
      <c r="DA179" s="83"/>
      <c r="DB179" s="84"/>
      <c r="DC179" s="84"/>
      <c r="DD179" s="84"/>
      <c r="DE179" s="84"/>
      <c r="DF179" s="84"/>
      <c r="DH179" s="83"/>
      <c r="DI179" s="84"/>
      <c r="DJ179" s="84"/>
      <c r="DK179" s="84"/>
      <c r="DL179" s="84"/>
      <c r="DM179" s="84"/>
      <c r="DO179" s="83"/>
      <c r="DP179" s="84"/>
      <c r="DQ179" s="84"/>
      <c r="DR179" s="84"/>
      <c r="DS179" s="84"/>
      <c r="DT179" s="84"/>
      <c r="DV179" s="83"/>
      <c r="DW179" s="84"/>
      <c r="DX179" s="84"/>
      <c r="DY179" s="84"/>
      <c r="DZ179" s="84"/>
      <c r="EA179" s="84"/>
      <c r="EC179" s="83"/>
      <c r="ED179" s="84"/>
      <c r="EE179" s="84"/>
      <c r="EF179" s="84"/>
      <c r="EG179" s="84"/>
      <c r="EH179" s="84"/>
      <c r="EJ179" s="83"/>
      <c r="EK179" s="84"/>
      <c r="EL179" s="84"/>
      <c r="EM179" s="84"/>
      <c r="EN179" s="84"/>
      <c r="EO179" s="84"/>
      <c r="EQ179" s="83"/>
      <c r="ER179" s="84"/>
      <c r="ES179" s="84"/>
      <c r="ET179" s="84"/>
      <c r="EU179" s="84"/>
      <c r="EV179" s="84"/>
      <c r="EX179" s="83"/>
      <c r="EY179" s="84"/>
      <c r="EZ179" s="84"/>
      <c r="FA179" s="84"/>
      <c r="FB179" s="84"/>
      <c r="FC179" s="84"/>
      <c r="FE179" s="83"/>
      <c r="FF179" s="84"/>
      <c r="FG179" s="84"/>
      <c r="FH179" s="84"/>
      <c r="FI179" s="84"/>
      <c r="FJ179" s="84"/>
      <c r="FL179" s="83"/>
      <c r="FM179" s="84"/>
      <c r="FN179" s="84"/>
      <c r="FO179" s="84"/>
      <c r="FP179" s="84"/>
      <c r="FQ179" s="84"/>
      <c r="FS179" s="83"/>
      <c r="FT179" s="84"/>
      <c r="FU179" s="84"/>
      <c r="FV179" s="84"/>
      <c r="FW179" s="84"/>
      <c r="FX179" s="84"/>
      <c r="FZ179" s="83"/>
      <c r="GA179" s="84"/>
      <c r="GB179" s="84"/>
      <c r="GC179" s="84"/>
      <c r="GD179" s="84"/>
      <c r="GE179" s="84"/>
      <c r="GG179" s="83"/>
      <c r="GH179" s="84"/>
      <c r="GI179" s="84"/>
      <c r="GJ179" s="84"/>
      <c r="GK179" s="84"/>
      <c r="GL179" s="84"/>
      <c r="GN179" s="83"/>
      <c r="GO179" s="84"/>
      <c r="GP179" s="84"/>
      <c r="GQ179" s="84"/>
      <c r="GR179" s="84"/>
      <c r="GS179" s="84"/>
      <c r="GU179" s="83"/>
      <c r="GV179" s="84"/>
      <c r="GW179" s="84"/>
      <c r="GX179" s="84"/>
      <c r="GY179" s="84"/>
      <c r="GZ179" s="84"/>
    </row>
    <row r="180" spans="1:208" x14ac:dyDescent="0.4">
      <c r="B180" s="409" t="str">
        <f>BS!B128</f>
        <v>Source: Company data and Wells Fargo Securities, LLC estimates</v>
      </c>
      <c r="AP180" s="409">
        <f>BS!Z128</f>
        <v>0</v>
      </c>
      <c r="AW180" s="409">
        <f>BS!AU128</f>
        <v>0</v>
      </c>
      <c r="BD180" s="409">
        <f>BS!BB128</f>
        <v>0</v>
      </c>
      <c r="BK180" s="409">
        <f>BS!BI128</f>
        <v>0</v>
      </c>
      <c r="BR180" s="409">
        <f>BS!BP128</f>
        <v>0</v>
      </c>
      <c r="BY180" s="409">
        <f>BS!BW128</f>
        <v>0</v>
      </c>
      <c r="CF180" s="409">
        <f>BS!CD128</f>
        <v>0</v>
      </c>
      <c r="CM180" s="409">
        <f>BS!CK128</f>
        <v>0</v>
      </c>
      <c r="CT180" s="409">
        <f>BS!CR128</f>
        <v>0</v>
      </c>
      <c r="DA180" s="409">
        <f>BS!CY128</f>
        <v>0</v>
      </c>
      <c r="DH180" s="409">
        <f>BS!DF128</f>
        <v>0</v>
      </c>
      <c r="DO180" s="409">
        <f>BS!DM128</f>
        <v>0</v>
      </c>
      <c r="DV180" s="409">
        <f>BS!DT128</f>
        <v>0</v>
      </c>
      <c r="EC180" s="409">
        <f>BS!EA128</f>
        <v>0</v>
      </c>
      <c r="EJ180" s="409">
        <f>BS!EH128</f>
        <v>0</v>
      </c>
      <c r="EQ180" s="409">
        <f>BS!EO128</f>
        <v>0</v>
      </c>
      <c r="EX180" s="409">
        <f>BS!EV128</f>
        <v>0</v>
      </c>
      <c r="FE180" s="409">
        <f>BS!FC128</f>
        <v>0</v>
      </c>
      <c r="FL180" s="409">
        <f>BS!FJ128</f>
        <v>0</v>
      </c>
      <c r="FS180" s="409">
        <f>BS!FQ128</f>
        <v>0</v>
      </c>
      <c r="FZ180" s="409">
        <f>BS!FX128</f>
        <v>0</v>
      </c>
      <c r="GG180" s="409">
        <f>BS!GE128</f>
        <v>0</v>
      </c>
      <c r="GN180" s="409">
        <f>BS!GL128</f>
        <v>0</v>
      </c>
      <c r="GU180" s="409">
        <f>BS!GS128</f>
        <v>0</v>
      </c>
    </row>
  </sheetData>
  <pageMargins left="0.7" right="0.7" top="0.75" bottom="0.75" header="0.3" footer="0.3"/>
  <pageSetup scale="10" orientation="portrait" r:id="rId1"/>
  <ignoredErrors>
    <ignoredError sqref="BA16:BA25 BE43:BH58 BO56:BP61 BV55:BW61 BO63:BP66 BO62 BS43:BV49 CX38:CX41 BV63:BW64 BV62 CC52:CC56 CJ56 CQ56 CX52:CX56 DE43:DE56 DL43:DL56 DS38:DS41 DS52:DS56 DZ39:DZ41 DZ56 EG39:EG41 DL39:DL41 DE39:DE41 BS38:BV41 BE38:BH41 BA38:BB41 BA43:BB58 BO38:BP41 BO43:BP49" formulaRange="1"/>
    <ignoredError sqref="BH13 BS13:BV13 BS25:BV26 BS14:BU24 BE62:BI70 CN13:CR13 CN25:CR37 CG14:CI24 CN14:CP24 CR14:CR24 CX13 CN44:CR51 CG38:CI41 CN38:CP41 CN43:CP43 CR43 CR38:CR41 CD62 CK62 CR62 CY62 DF62 DM62 DE13 DL13 DS13 DT62 EA62 DZ13 EG13 EH62 AU62:AU70 AX62:BB70 BP14:BP24 BO25:BP26 BO13:BP13 CD38:CD41 CD43:CD45 CC46:CD51 CD14:CD24 CC25:CD37 CC13:CD13 CK38:CK41 CG43:CK51 CK14:CK24 CG25:CK37 CG13:CK13 FP13" formula="1"/>
    <ignoredError sqref="BH14:BH24 BO14:BO24 BV14:BV24 BP62 CC14:CC24 CJ14:CJ24 CQ14:CQ24 CC43:CC45 CJ38:CJ41 CQ38:CQ41 CQ43 BW62 CX14:CX24 DE14:DE24 DL14:DL24 DS14:DS24 DZ14:DZ24 EG14:EG24 CC38:CC41" formula="1" formulaRange="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69135878"><![CDATA[{"CSX^FF_ENTRPR_VAL_DAILY(0,0,,,,\"DIL\")":82938.83,"CSX^FG_PRICE(NOW,NOW)":33.82,"CSX-USA^FE_ESTIMATE(EPS,MEAN,ANN_ROLL,2024,0,,,'USEPRERPT=1')":1.8265421,"CSX^FF_DEBT(QTR_R,0,0)":19650.0,"CSX^FF_COM_SHS_OUT_EPS_DIL(QTR_R,0,0)":1869.0,"CSX-USA^FE_ESTIMATE(EPS,MEAN,ANN_ROLL,2027,0,,,'USEPRERPT=1')":2.109469,"CSX^P_BETA_LOCIDX(-3AY,NOW,,\"SP50\")":0.7956571,"CSX-USA^FE_ESTIMATE(EPS,MEAN,ANN_ROLL,2026,0,,,'USEPRERPT=1')":1.8795483,"CSX^FF_PENS_LIABS_UNFUNDED(ANN_R,0)":-217.0,"CSX^FDS_ECON_RG10Y_D(NOW)":4.1081,"CSX^FCS_PREF_EV(PREF_EV,QTR,NOW,NOW,,,,M)":null,"CSX-USA^FE_ESTIMATE(EPS,MEAN,ANN_ROLL,2028,0,,,'USEPRERPT=1')":2.3523886,"CSX^FF_MIN_INT_EXP(QTR_R,0,0)":0.0,"CSX^FF_NET_DEBT(QTR_R,0,0)":19257.0,"CSX-USA^FE_ESTIMATE(EPS,MEAN,ANN_ROLL,2023,0,,,'USEPRERPT=1')":1.8342501,"CSX^FE_ESTIMATE(PRODLINE_SALES_1,MEAN,QTR,2025/2F,45923,,,'')":2257.0,"CSX^FE_ESTIMATE(PRODLINE_SALES_9,MEAN,QTR,2025/2F,45923,,,'')":477.0,"CSX^FE_ESTIMATE(PRODLINE_SALES_10,MEAN,QTR,2025/2F,45923,,,'')":491.0,"CSX^FE_ESTIMATE(PRODLINE_SALES_2,MEAN,QTR,2025/2F,45923,,,'')":211.0,"CSX^FE_ESTIMATE(SALES,MEAN,QTR_ROLL,2025/2F,45923,,,'')":3574.0,"CSX^FE_ESTIMATE(EBIT,MEAN,QTR_ROLL,2025/2F,45923,,,'')":1282.5742,"CSX^FE_ESTIMATE(OP_RATIO,MEAN,QTR_ROLL,2025/2F,45923,,,'')":64.1,"CSX^FE_ESTIMATE(EPS,MEAN,QTR_ROLL,2025/2F,45923,,,'')":0.44,"CSX^FE_ESTIMATE(INT_EXP,MEAN,QTR_ROLL,2025/2F,45923,,,'')":212.0,"CSX^FE_ESTIMATE(PTX_INC,MEAN,QTR_ROLL,2025/2F,45923,,,'')":1093.0391,"CSX^FE_ESTIMATE(INC_TAX,MEAN,QTR,2025/2F,45923,,,'')":264.0,"CSX^FE_ESTIMATE(NET_INC,MEAN,QTR,2025/2F,45923,,,'')":829.0,"KSU^P_DATE(45559,0,W,\"DATEJ\")":[45562,45569,45576,45583,45590,45597,45604,45611,45618,45625,45632,45639,45646,45653,45660,45667,45674,45681,45688,45695,45702,45709,45716,45723,45730,45737,45744,45751,45758,45764,45772,45779,45786,45793,45800,45807,45814,45821,45828,45835,45841,45849,45856,45863,45870,45877,45884,45891,45898,45905,45912,45919],"CSX^FG_PRICE(45559,0,W)":[34.53,34.49,34.96,34.12,33.27,33.39,36.0,35.13,35.78,36.55,34.45,33.24,31.85,32.46,32.34,31.78,32.73,32.69,32.87,32.59,33.37,32.3,32.01,31.26,30.01,29.57,29.11,27.21,28.01,27.68,27.84,28.7,28.74,31.32,30.82,31.59,32.23,32.12,32.06,32.91,33.6,34.1,34.39,35.76,35.01,35.43,36.32,34.58,32.51,32.53,32.47,32.98],"SP50^FG_PRICE(45559,0,W)":[5738.17,5751.07,5815.03,5864.67,5808.12,5728.8,5995.54,5870.62,5969.34,6032.38,6090.27,6051.09,5930.85,5970.84,5942.47,5827.04,5996.66,6101.24,6040.53,6025.99,6114.63,6013.13,5954.5,5770.2,5638.94,5667.56,5580.94,5074.08,5363.36,5282.7,5525.21,5686.67,5659.91,5958.38,5802.82,5911.69,6000.36,5976.97,5967.84,6173.07,6279.35,6259.75,6296.79,6388.64,6238.01,6389.45,6449.8,6466.91,6460.26,6481.5,6584.29,6664.36],"^P_EXCH_RATE(CAD,USD,45559,0,W)":[0.7415922,0.7365126,0.7260846,0.72437525,0.72121453,0.71810704,0.7195539,0.71030295,0.7153843,0.7142092,0.7072886,0.7023212,0.6959669,0.69393843,0.6926647,0.6932649,0.6943721,0.6979098,0.6904885,0.6987876,0.7058408,0.70405185,0.6941793,0.69623333,0.6953861,0.6965486,0.700133,0.703136,0.71999425,0.7206415,0.72131854,0.7263483,0.7180039,0.7152309,0.72698194,0.72729915,0.73048687,0.7355916,0.7283587,0.73214483,0.7347539,0.7301135,0.72894263,0.72974056,0.72518945,0.72698194,0.72434896,0.7228306,0.7283587,0.7230658,0.7220477,0.72597915],"CSX^FE_VALUATION(PE,MEAN,ANN_ROLL,+1,45559,43481,W,'')":[18.08086,17.351,17.273355,17.739223,17.438997,17.301027,17.608244,17.61979,17.73594,17.91385,17.438478,17.113028,17.221796,17.197512,16.563314,16.860313,17.349081,17.364502,17.230186,17.680614,17.40805,17.48005,17.645506,17.981615,18.427666,18.772558,18.906374,18.714022,19.33158,19.353924,19.395226,18.58164,18.653982,18.47266,17.908092,18.836306,19.01629,18.894253,18.933462,18.90765,18.570107,17.992247,18.22861,17.813826,17.257145,16.75817,16.593712,15.946136,16.750479,16.905933,16.699696,16.462374,16.686872,16.41291,15.8826685,16.228327,16.33312,16.311985,16.247995,16.654858,17.859587,17.07048,17.396587,17.281065,17.68263,16.977402,17.219946,16.743635,16.54608,16.00208,16.782297,16.527782,16.54856,15.914873,16.539381,16.314747,16.066322,16.03277,15.121783,15.475377,15.787601,16.67629,16.46868,16.71504,16.90926,17.28419,16.113201,16.92415,17.118711,16.97401,16.312536,16.454704,16.640291,16.507051,16.82856,16.805573,16.20455,16.760794,15.548601,15.33345,14.434251,14.58724,14.272853,14.189248,14.6999035,15.661132,17.358341,16.618895,17.358341,17.996712,18.273336,17.613688,17.198748,16.445663,15.833156,15.85236,16.059807,16.182537,15.835209,16.605568,17.601091,17.55751,16.921967,18.283922,19.02228,18.800673,18.899221,19.616,19.207565,19.794065,20.585573,20.245455,19.322235,20.818346,19.051624,19.245972,18.529661,19.04607,19.118258,18.962332,23.553436,24.255873,24.28763,23.75203,23.061226,23.671375,23.048197,22.874563,23.199644,22.662466,22.778255,23.267141,22.842184,23.004581,21.98664,20.330896,20.309998,20.279884,20.672419,21.373743,22.348213,22.535284,22.628819,21.574121,21.58748,21.941353,21.517584,21.789246,22.343092,21.961298,21.697523,22.239397,22.79408,22.908487,22.428576,23.1988,23.54954,23.007875,23.54682,22.798738,22.685577,22.411041,22.499224,20.843084,21.507702,20.998941,20.970976,21.07922,20.632868,20.278206,19.658356,20.090471,25.864075,26.56772,25.193872,24.999943,25.169292,25.121065,25.588425,25.432415,25.508152,25.25925,24.036884,22.017542,22.672993,22.668505,22.300755,22.037296,22.347765,22.906921,22.155418,21.731043,22.179993,21.34754,21.3821,21.026644,20.568224,20.567781,20.998554,19.697708,19.862303,18.997158,19.456636,19.754972,21.288239,20.415762,19.500532,17.610952,18.802122,18.48643,18.150831,17.297838,17.010052,14.3680315,13.859203,12.117665,13.973975,16.315008,16.84091,19.006004,19.01317,18.602285,18.204565,18.290415,18.136276,17.699854,17.535072,17.482855,17.562052,17.442614,17.023136,17.07132,16.817507,17.07987,17.656805,17.233273,17.264956,16.38726,16.686245,16.108873,16.615723,16.545797,17.448837,16.253319,16.114342,15.511922,15.617244,15.972347,16.10431,16.545788,16.83899,18.133661,18.007383,17.76591,18.018179,17.644497,17.827543,17.00547,17.121708,17.917063,17.981756,18.395086,18.086674,18.07911,18.076477,17.525156,17.584805,17.028055,17.098505,16.860613,17.020908,17.220781,17.039907,16.161772,15.562317,15.562818,15.829659],"CSX^FE_VALUATION(PE,MEAN,ANN_ROLL,+2,45559,43481,W,'')":[16.275705,15.618712,15.548819,15.968176,15.697924,15.571536,15.842941,15.771252,15.900503,16.055544,15.63008,15.296968,15.387404,15.354288,14.789582,15.05443,15.48445,15.498214,15.378927,15.774992,15.531804,15.596044,15.74042,16.113762,16.522255,16.866493,16.977098,16.804375,17.358913,17.406221,17.447412,16.71608,16.77942,16.616762,16.108782,17.429289,17.596481,17.49741,17.526087,17.488865,17.120766,16.605562,16.833405,16.450369,15.9362955,15.480992,15.330039,14.749198,15.488871,15.5546875,15.363798,15.155972,15.389864,15.200496,14.70182,15.029195,15.13144,15.111859,15.0543375,15.431309,16.547531,15.808768,16.135162,16.009472,16.402847,15.748659,15.974519,15.541606,15.35127,14.85132,15.574579,15.335479,15.354756,14.766784,15.368186,15.051533,14.808966,14.77527,13.922763,14.248795,14.53708,15.355376,15.172687,15.39966,15.576236,15.921608,14.841144,16.904732,17.057112,16.936348,16.309608,16.451752,16.652943,16.523394,16.854704,16.825281,16.208002,16.764366,15.551914,15.336718,14.384916,14.298535,13.852908,13.668332,14.030573,14.948033,16.533659,15.829343,16.533659,17.1417,17.405184,16.776875,16.381649,15.657875,14.843138,14.759746,14.901536,15.021076,14.703485,15.411257,16.33494,16.243208,15.630774,16.85781,17.538576,17.336124,17.426996,17.90706,17.544167,18.131092,18.855076,18.54355,17.702967,19.123764,17.522804,17.701555,17.042727,17.517696,17.584091,17.44609,20.342094,20.984966,21.073326,20.599909,20.000782,20.551105,20.05183,19.917278,20.238756,19.763628,19.864605,20.290956,19.91988,20.066288,19.214529,17.79357,17.793863,17.706503,18.113836,18.7243,19.57699,19.740862,19.822798,18.899841,18.90335,19.221964,18.984737,19.1583,19.602182,19.322248,19.08855,19.547747,20.053057,20.153704,19.792995,20.476934,20.78374,20.319576,20.79555,20.118042,20.066364,19.87959,19.965883,18.523182,19.154589,18.70149,18.68264,18.79437,18.3964,18.079285,17.508627,17.893812,21.36694,21.982487,20.892225,20.7304,20.870829,20.853003,21.259577,21.12996,21.217693,21.012442,20.001076,18.320782,18.866182,18.85576,18.565975,18.37587,18.640501,19.095432,18.491924,18.194038,18.564945,17.883867,17.912819,17.5928,17.209244,17.208797,17.594769,16.49855,16.751286,16.02458,16.469639,16.838152,18.17012,17.325626,16.5755,15.022771,15.98564,15.7172365,15.43191,14.849128,14.815607,12.7131,12.486436,10.931391,12.6311,14.729265,15.204053,17.162159,17.168629,16.797606,16.43971,16.517237,16.445915,16.95178,16.724174,16.67498,16.750515,16.591764,16.09497,16.123735,15.873703,16.121344,16.666552,16.238377,16.253824,15.42664,15.496445,14.925718,15.328945,15.264435,16.056927,14.941652,14.791729,14.233134,14.324034,14.649732,14.770767,15.175688,15.437443,16.532284,16.413576,16.17356,16.398245,16.074944,16.213844,15.466183,15.553002,16.27458,16.334778,16.711988,16.431795,16.40338,16.129576,15.670259,15.738106,15.248107,15.311192,15.092486,15.235482,15.416332,15.25441,14.46755,13.930935,13.930935,14.151459],"CSX^FF_ENTRPR_VAL_DAILY(45559,0,W,,,\"DIL\")":[85034.44,84294.6,85206.4,83576.8,81927.8,82160.6,87224.0,85536.2,86797.2,88291.0,84217.0,81869.6,79173.0,80356.4,80898.62,79810.54,81656.39,81578.67,81928.41,81384.37,82899.91,80820.9,80257.43,78800.18,76371.43,75516.51,74622.73,69954.32,71467.92,70843.56,71146.28,72773.4,72849.08,77730.44,76784.44,78241.28,79452.16,79244.04,79130.52,80738.72,82060.4,82994.9,83536.91,86097.44,84695.69,85480.67,87144.08,83892.02,80023.19,80060.57,79948.43,80901.62],"CSX^FE_VALUATION(FFEV_EBITDA,MEAN,ANN_ROLL,+1,45559,43481,W,'')":[11.726525,11.351189,11.311258,11.550836,11.396441,11.324568,11.478963,11.46582,11.511856,11.609903,11.373506,11.211354,11.254053,11.271082,10.9450655,11.096819,11.354348,11.3623295,11.293161,11.528391,11.387317,11.424582,11.506357,11.740075,11.974325,12.161558,12.506821,12.407514,12.737961,12.754266,12.777371,12.34064,12.385718,12.288072,11.989969,12.15536,12.246665,12.176404,12.194239,12.09491,11.921965,11.629369,11.750073,11.538266,11.254001,10.997602,10.913995,10.581418,10.983204,11.074516,10.970194,10.851162,11.058183,10.916482,10.63377,10.821468,10.898756,10.887715,10.858573,11.071192,11.700765,11.285337,11.446769,11.360826,11.568864,11.288051,11.417542,11.1695795,11.061283,10.772727,11.18663,11.051422,11.063087,10.726427,11.06482,10.893243,10.785115,10.783177,10.570716,10.76807,10.945251,11.433546,11.315921,11.451231,11.557127,11.763036,11.118698,11.42214,11.534037,11.459462,11.102095,11.065825,11.170578,11.099162,11.270666,11.257771,10.933805,11.235035,10.578582,10.456869,9.9877615,10.007671,9.8370495,9.786178,10.171936,10.70028,11.614024,11.2101555,11.614024,11.962688,12.113776,11.75349,11.526859,11.108462,10.713062,10.731297,10.839357,10.891453,10.698009,11.120948,11.664317,11.636788,11.303834,12.049909,12.454824,12.322851,12.376841,12.69124,12.462723,12.781982,13.490348,13.300716,12.776566,13.630011,12.661436,12.77009,12.369623,12.658006,12.698361,12.595919,14.337127,14.697087,14.711319,14.378642,14.023728,14.3494835,14.04292,13.952751,14.120761,13.839265,13.898876,14.150567,13.91582,13.9571905,13.428632,12.570424,12.585042,12.547564,12.753776,13.133821,13.634002,13.730588,13.778891,13.237315,13.244214,13.39356,13.38583,13.510191,13.79797,13.62835,13.490629,13.772847,14.061214,14.120897,13.906928,14.315293,14.484824,14.197932,14.479676,14.0236845,13.966092,13.833296,14.008824,13.161301,13.523191,13.2555895,13.240254,13.305318,13.070363,12.883788,12.546887,12.774098,14.995266,15.3262005,14.657156,14.5471735,14.629027,14.610679,14.825573,14.750242,14.786358,14.666191,14.076932,13.102022,13.418465,13.383489,13.169883,13.017089,13.218799,13.487018,13.123215,12.919242,13.132979,12.736561,12.753013,12.584098,12.365928,12.365929,12.495052,11.875671,11.958445,11.69277,11.929966,12.117252,12.8703165,12.391967,11.953136,11.051035,11.611155,11.459881,11.299068,10.906876,10.850545,9.512557,9.662048,8.787954,9.796992,11.031315,11.310723,12.46575,12.4677725,12.249393,12.03694,12.082579,12.044546,11.517637,11.437873,11.334971,11.375865,11.3216715,11.114069,11.141023,11.008211,11.14407,11.438303,11.223351,11.241891,10.790682,10.945702,10.643558,11.048745,11.011924,11.490282,10.859856,10.785979,10.481878,10.541476,10.729007,10.7986965,11.031843,11.189041,11.873438,11.802071,11.671944,11.884992,11.6857,11.78905,11.345143,11.398205,11.827203,11.862953,12.088558,11.938452,11.912531,11.781596,11.49668,11.544251,11.637117,11.676618,11.543013,11.632483,11.745753,11.644338,11.145155,10.809294,10.809207,10.964464],"CSX^FE_VALUATION(FFEV_EBITDA,MEAN,ANN_ROLL,+2,45559,43481,W,'')":[11.067012,10.712785,10.6751,10.901203,10.755492,10.687661,10.833372,10.79702,10.843974,10.936333,10.716258,10.549161,10.5846615,10.594785,10.289235,10.431896,10.671831,10.679333,10.614323,10.839642,10.706995,10.742033,10.827245,11.090471,11.323675,11.524056,11.844903,11.74728,12.058384,12.09415,12.121179,11.706876,11.750072,11.657437,11.376498,11.742174,11.830402,11.7759695,11.784167,11.688179,11.491412,11.217174,11.337212,11.132847,10.858569,10.611179,10.53051,10.220706,10.606749,10.693803,10.585186,10.48374,10.703672,10.585301,10.312037,10.494057,10.569006,10.558299,10.533058,10.739304,11.350003,10.934756,11.08762,10.998446,11.224687,10.952229,11.0778675,10.837281,10.733034,10.455254,10.856958,10.725736,10.737093,10.410353,10.737959,10.528432,10.412463,10.404654,10.192332,10.382734,10.546073,11.016559,10.912447,11.042933,11.145053,11.34362,10.722391,11.600621,11.720403,11.661917,11.310545,11.273594,11.384096,11.317428,11.499318,11.444835,11.115487,11.421722,10.75436,10.621143,10.11855,10.041021,9.787453,9.662141,9.974612,10.49022,11.384668,10.988774,11.384668,11.726446,11.87455,11.521379,11.299224,10.88909,10.372176,10.347482,10.437622,10.491321,10.310391,10.71381,11.237287,11.183272,10.863296,11.561903,11.95042,11.823792,11.875595,12.10771,11.903543,12.223141,12.905144,12.723739,12.227084,13.052594,12.127573,12.231646,11.848063,12.134537,12.173224,12.075018,13.301271,13.654825,13.686063,13.362213,13.032388,13.33714,13.057751,12.981821,13.15692,12.894639,12.950181,13.184691,12.971347,12.996793,12.513894,11.7502165,11.770879,11.732635,11.944168,12.292964,12.761123,12.851526,12.896729,12.389827,12.396284,12.569196,12.526316,12.637555,12.914345,12.768148,12.638605,12.891285,13.165439,13.22132,13.021821,13.404197,13.562928,13.299019,13.562924,13.222654,13.179747,13.072376,13.239082,12.460523,12.808175,12.554722,12.542738,12.604375,12.381798,12.205183,11.886028,12.101272,13.513479,13.81161,13.223882,13.124655,13.1985035,13.201649,13.414877,13.346714,13.393118,13.285953,12.754201,11.870898,12.157606,12.130342,11.93683,11.804136,12.003442,12.244939,11.914639,11.7473345,11.941684,11.594429,11.609405,11.443288,11.244896,11.244869,11.376227,10.810562,10.950838,10.709429,10.938691,11.123053,11.814329,11.375227,10.987851,10.187976,10.704351,10.564892,10.416638,10.148305,10.179973,9.035452,9.19268,8.374302,9.340684,10.505883,10.771984,11.872185,11.875813,11.667802,11.464136,11.507604,11.471381,11.3965845,11.276997,11.173149,11.213459,11.1371155,10.903166,10.91175,10.774378,10.907351,11.182443,10.96213,10.978098,10.537476,10.591613,10.278802,10.6425085,10.60704,11.042214,10.431912,10.357554,10.065533,10.122694,10.302774,10.369696,10.59358,10.736977,11.349985,11.280181,11.1370125,11.343771,11.162525,11.262649,10.838563,10.889252,11.29839,11.332542,11.548059,11.400085,11.373314,11.189941,10.92408,10.97798,11.069366,11.106939,10.981499,11.064247,11.171985,11.075523,10.600725,10.28127,10.281192,10.428372],"KSU^P_DATE(44099,0,W,\"DATEJ\")":[44099,44106,44113,44120,44127,44134,44141,44148,44155,44162,44169,44176,44183,44189,44196,44204,44211,44218,44225,44232,44239,44246,44253,44260,44267,44274,44281,44287,44295,44302,44309,44316,44323,44330,44337,44344,44351,44358,44365,44372,44379,44386,44393,44400,44407,44414,44421,44428,44435,44442,44449,44456,44463,44470,44477,44484,44491,44498,44505,44512,44519,44526,44533,44540,44547,44553,44561,44568,44575,44582,44589,44596,44603,44610,44617,44624,44631,44638,44645,44652,44659,44665,44673,44680,44687,44694,44701,44708,44715,44722,44729,44736,44743,44750,44757,44764,44771,44778,44785,44792,44799,44806,44813,44820,44827,44834,44841,44848,44855,44862,44869,44876,44883,44890,44897,44904,44911,44918,44925,44932,44939,44946,44953,44960,44967,44974,44981,44988,44995,45002,45009,45016,45022,45030,45037,45044,45051,45058,45065,45072,45079,45086,45093,45100,45107,45114,45121,45128,45135,45142,45149,45156,45163,45170,45177,45184,45191,45198,45205,45212,45219,45226,45233,45240,45247,45254,45261,45268,45275,45282,45289,45296,45303,45310,45317,45324,45331,45338,45345,45352,45359,45366,45373,45379,45387,45394,45401,45408,45415,45422,45429,45436,45443,45450,45457,45464,45471,45478,45485,45492,45499,45506,45513,45520,45527,45534,45541,45548,45555,45562,45569,45576,45583,45590,45597,45604,45611,45618,45625,45632,45639,45646,45653,45660,45667,45674,45681,45688,45695,45702,45709,45716,45723,45730,45737,45744,45751,45758,45764,45772,45779,45786,45793,45800,45807,45814,45821,45828,45835,45841,45849,45856,45863,45870,45877,45884,45891,45898,45905,45912,45919],"CSX^FG_PRICE(44099,0,W)":[26.02664,25.71664,26.159973,26.703306,27.096642,26.313307,28.726637,30.19997,30.513302,30.429968,30.616634,30.143303,30.219969,30.016636,30.249968,31.946632,31.139967,29.213303,28.584969,29.516638,30.046635,30.696634,30.516636,30.5433,31.2833,30.256634,32.553303,32.419968,32.7633,32.879967,34.36997,33.5833,34.376633,33.9033,32.7633,33.373302,33.206635,32.40997,31.5833,31.969969,32.58,31.83,31.51,32.81,32.32,32.3,33.87,33.73,33.45,32.0,30.95,30.31,30.42,30.34,32.71,34.16,35.42,36.17,35.41,35.23,36.08,35.57,35.84,36.74,35.72,36.79,37.6,37.51,36.44,34.1,34.43,34.3,33.37,34.66,34.31,37.43,34.69,36.31,36.92,35.51,34.33,35.06,34.52,34.34,34.78,33.43,30.94,32.05,32.11,30.3,28.93,29.57,29.34,28.99,28.86,30.89,32.33,33.11,34.35,33.83,32.63,31.24,32.63,29.49,27.68,26.64,26.77,27.31,27.54,29.22,29.63,31.94,30.88,32.02,32.05,31.42,31.65,31.25,30.98,32.2,32.42,32.01,30.08,32.27,31.57,31.21,30.75,31.15,29.49,28.91,28.25,29.94,30.02,30.46,31.82,30.64,31.86,31.82,32.31,30.81,31.92,32.31,33.21,32.74,34.1,33.3,33.63,32.46,33.8,31.52,30.75,30.87,30.91,30.63,29.95,30.85,31.2,30.75,30.91,31.14,30.76,29.24,30.4,30.7,31.62,32.64,33.4,32.96,34.0,34.63,34.67,34.62,34.86,34.55,35.39,36.53,36.89,36.72,38.33,38.23,38.19,36.97,37.35,37.07,36.3,35.34,34.34,33.99,33.85,34.38,33.52,33.78,33.75,32.75,32.18,33.41,33.45,33.3,33.79,34.69,34.32,34.08,34.0,33.42,33.69,34.27,33.37,33.52,34.93,34.53,34.49,34.96,34.12,33.27,33.39,36.0,35.13,35.78,36.55,34.45,33.24,31.85,32.46,32.34,31.78,32.73,32.69,32.87,32.59,33.37,32.3,32.01,31.26,30.01,29.57,29.11,27.21,28.01,27.68,27.84,28.7,28.74,31.32,30.82,31.59,32.23,32.12,32.06,32.91,33.6,34.1,34.39,35.76,35.01,35.43,36.32,34.58,32.51,32.53,32.47,32.98],"SP50^FG_PRICE(44099,0,W)":[3298.46,3348.44,3477.13,3483.81,3465.39,3269.96,3509.44,3585.15,3557.54,3638.35,3699.12,3663.46,3709.41,3703.06,3756.07,3824.68,3768.25,3841.47,3714.24,3886.83,3934.83,3906.71,3811.15,3841.94,3943.34,3913.1,3974.54,4019.87,4128.8,4185.47,4180.17,4181.17,4232.6,4173.85,4155.86,4204.11,4229.89,4247.44,4166.45,4280.7,4352.34,4369.55,4327.16,4411.79,4395.26,4436.52,4468.0,4441.67,4509.37,4535.43,4458.58,4432.99,4455.48,4357.04,4391.34,4471.37,4544.9,4605.38,4697.53,4682.85,4697.96,4594.62,4538.43,4712.02,4620.64,4725.79,4766.18,4677.03,4662.85,4397.94,4431.85,4500.53,4418.64,4348.87,4384.65,4328.87,4204.31,4463.12,4543.06,4545.86,4488.28,4392.59,4271.78,4131.93,4123.34,4023.89,3901.36,4158.24,4108.54,3900.86,3674.84,3911.74,3825.33,3899.38,3863.16,3961.63,4130.29,4145.19,4280.15,4228.48,4057.66,3924.26,4067.36,3873.33,3693.23,3585.62,3639.66,3583.07,3752.75,3901.06,3770.55,3992.93,3965.34,4026.12,4071.7,3934.38,3852.36,3844.82,3839.5,3895.08,3999.09,3972.61,4070.56,4136.48,4090.46,4079.09,3970.04,4045.64,3861.59,3916.64,3970.99,4109.31,4105.02,4137.64,4133.52,4169.48,4136.25,4124.08,4191.98,4205.45,4282.37,4298.86,4409.59,4348.33,4450.38,4398.95,4505.42,4536.34,4582.23,4478.03,4464.05,4369.71,4405.71,4515.77,4457.49,4450.32,4320.06,4288.05,4308.5,4327.78,4224.16,4117.37,4358.34,4415.24,4514.02,4559.34,4594.63,4604.37,4719.19,4754.63,4769.83,4697.24,4783.83,4839.81,4890.97,4958.61,5026.61,5005.57,5088.8,5137.08,5123.69,5117.09,5234.18,5254.35,5204.34,5123.41,4967.23,5099.96,5127.79,5222.68,5303.27,5304.72,5277.51,5346.99,5431.6,5464.62,5460.48,5567.19,5615.35,5505.0,5459.1,5346.56,5344.16,5554.25,5634.61,5648.4,5408.42,5626.02,5702.55,5738.17,5751.07,5815.03,5864.67,5808.12,5728.8,5995.54,5870.62,5969.34,6032.38,6090.27,6051.09,5930.85,5970.84,5942.47,5827.04,5996.66,6101.24,6040.53,6025.99,6114.63,6013.13,5954.5,5770.2,5638.94,5667.56,5580.94,5074.08,5363.36,5282.7,5525.21,5686.67,5659.91,5958.38,5802.82,5911.69,6000.36,5976.97,5967.84,6173.07,6279.35,6259.75,6296.79,6388.64,6238.01,6389.45,6449.8,6466.91,6460.26,6481.5,6584.29,6664.36],"^P_EXCH_RATE(CAD,USD,44099,0,W)":[0.7458512,0.7507507,0.7613537,0.75769055,0.76034063,0.74999064,0.76745975,0.7596764,0.76531583,0.7706832,0.78097546,0.78293204,0.7826257,0.7786982,0.78492683,0.7880531,0.7837605,0.78634894,0.7828095,0.7829014,0.7870298,0.79308426,0.7898894,0.7882084,0.8003201,0.7992328,0.79484934,0.7954303,0.79659057,0.80012804,0.7997761,0.8128759,0.8228082,0.82648045,0.82987547,0.8278146,0.8272325,0.8233502,0.80318063,0.81426597,0.8083747,0.80144256,0.7936823,0.79437584,0.8010574,0.79513377,0.7994564,0.77697057,0.79182833,0.7991689,0.79207915,0.784037,0.7875876,0.7889235,0.8026649,0.8092252,0.80945444,0.8067444,0.8038908,0.79529184,0.79088897,0.7818608,0.78183025,0.7866583,0.7796967,0.7816469,0.79167163,0.7890791,0.7971621,0.79776627,0.78293204,0.7828095,0.78827053,0.7850835,0.78496015,0.7833614,0.78737056,0.791515,0.7991369,0.79984003,0.7937453,0.792654,0.78650355,0.78244203,0.77654827,0.7723499,0.779484,0.7837298,0.7946283,0.7816469,0.7649939,0.77435344,0.77384406,0.77258855,0.7678722,0.77902853,0.78042686000000006,0.7736645,0.7813721,0.7689646,0.7699118,0.7644383,0.76660657,0.7530404,0.7360789,0.7277755,0.7305402,0.7207987,0.7273521,0.73467284,0.73918027,0.75383514,0.7469376,0.74780333,0.7418948,0.73343354,0.7302735,0.7360789,0.73803467,0.7418397,0.74635226,0.74490666,0.7501313,0.748027,0.7488393,0.7411525,0.73292285,0.733918,0.7258211,0.7271141,0.7267442,0.73890716,0.74217427,0.74825096,0.7386615,0.73730004,0.7441307,0.7390437,0.7402472,0.7329766,0.74379855,0.7509481,0.75800645,0.7582076,0.7557151,0.75199276,0.7591573,0.7571456,0.7556009,0.7484189,0.74523973,0.7373544,0.73343354,0.73634994,0.73343354,0.7393442,0.7430249,0.73964494,0.7291553,0.73209125,0.7303535,0.7217611,0.73144865,0.7226478,0.7283321,0.73521304,0.73980916,0.7361873,0.7479152,0.7537215,0.75838006,0.75058174,0.74702126,0.7426938,0.74366033,0.7433562,0.74285924,0.7417022,0.74060357,0.7378712,0.74332863,0.73901635,0.73551047,0.7389588,0.7350779,0.72692907,0.72827905,0.7307271,0.73102087,0.731743,0.73505086,0.73155564,0.73359495,0.7278285,0.72687626,0.72979385,0.7308072,0.73348737,0.73407966,0.728624,0.72254336,0.72168297,0.72851783,0.72904897,0.7396723,0.7419774,0.7388526,0.7364042,0.7366211,0.7415922,0.7365126,0.7260846,0.72437525,0.72121453,0.71810704,0.7195539,0.71030295,0.7153843,0.7142092,0.7072886,0.7023212,0.6959669,0.69393843,0.6926647,0.6932649,0.6943721,0.6979098,0.6904885,0.6987876,0.7058408,0.70405185,0.6941793,0.69623333,0.6953861,0.6965486,0.700133,0.703136,0.71999425,0.7206415,0.72131854,0.7263483,0.7180039,0.7152309,0.72698194,0.72729915,0.73048687,0.7355916,0.7283587,0.73214483,0.7347539,0.7301135,0.72894263,0.72974056,0.72518945,0.72698194,0.72434896,0.7228306,0.7283587,0.7230658,0.7220477,0.72597915],"CSX^FE_VALUATION(PE,MEAN,ANN_ROLL,+1,44099,43481,W,'')":[22.347765,22.906921,22.155418,21.731043,22.179993,21.34754,21.3821,21.026644,20.568224,20.567781,20.998554,19.697708,19.862303,18.997158,19.456636,19.754972,21.288239,20.415762,19.500532,17.610952,18.802122,18.48643,18.150831,17.297838,17.010052,14.3680315,13.859203,12.117665,13.973975,16.315008,16.84091,19.006004,19.01317,18.602285,18.204565,18.290415,18.136276,17.699854,17.535072,17.482855,17.562052,17.442614,17.023136,17.07132,16.817507,17.07987,17.656805,17.233273,17.264956,16.38726,16.686245,16.108873,16.615723,16.545797,17.448837,16.253319,16.114342,15.511922,15.617244,15.972347,16.10431,16.545788,16.83899,18.133661,18.007383,17.76591,18.018179,17.644497,17.827543,17.00547,17.121708,17.917063,17.981756,18.395086,18.086674,18.07911,18.076477,17.525156,17.584805,17.028055,17.098505,16.860613,17.020908,17.220781,17.039907,16.161772,15.562317,15.562818,15.829659],"CSX^FE_VALUATION(PE,MEAN,ANN_ROLL,+2,44099,43481,W,'')":[18.640501,19.095432,18.491924,18.194038,18.564945,17.883867,17.912819,17.5928,17.209244,17.208797,17.594769,16.49855,16.751286,16.02458,16.469639,16.838152,18.17012,17.325626,16.5755,15.022771,15.98564,15.7172365,15.43191,14.849128,14.815607,12.7131,12.486436,10.931391,12.6311,14.729265,15.204053,17.162159,17.168629,16.797606,16.43971,16.517237,16.445915,16.95178,16.724174,16.67498,16.750515,16.591764,16.09497,16.123735,15.873703,16.121344,16.666552,16.238377,16.253824,15.42664,15.496445,14.925718,15.328945,15.264435,16.056927,14.941652,14.791729,14.233134,14.324034,14.649732,14.770767,15.175688,15.437443,16.532284,16.413576,16.17356,16.398245,16.074944,16.213844,15.466183,15.553002,16.27458,16.334778,16.711988,16.431795,16.40338,16.129576,15.670259,15.738106,15.248107,15.311192,15.092486,15.235482,15.416332,15.25441,14.46755,13.930935,13.930935,14.151459],"CSX^FF_ENTRPR_VAL_DAILY(44099,0,W,,,\"DIL\")":[74293.3603239176,73256.0495892083,74276.1598729208,75526.3703936363,76431.4374618544,74628.981770327,80182.0598199915,83572.2025448349,84293.1802194411,84101.4284879371,84530.9473963411,83441.8116435324,83618.2202912331,83150.3505763278,83778.998058804,87688.1159411913,85829.5578668785,81390.5194386736,79942.8364115616,82089.403998524,83310.5183442704,84808.1175827961,84393.4017636392,84454.8356829161,86159.7974390249,83794.3565386233,89085.8873648944,87964.1231834082,88748.9809438109,89015.6819805127,92421.832346844,90623.5028745665,92437.0639805325,91355.0236280321,88748.9809438109,90143.4469521094,89762.4457976786,87941.2677318672,86051.4981654065,86935.4244098496,87938.5,86232.25,85504.25,88461.75,87347.0,87301.5,90873.25,90554.75,89917.75,86619.0,84230.25,82774.25,83024.5,82727.28,88040.82,91291.72,94116.64,95798.14,94094.22,93690.66,95596.36,94452.94,95058.28,97076.08,94789.24,97188.18,99390.0,99187.05,96774.2,91497.5,92241.65,91948.5,89851.35,92760.3,91971.05,99006.65,92827.95,96481.05,97856.6,92664.43,90076.69,91677.58,90493.36,90098.62,91063.54,88102.99,82642.42,85076.65,85208.23,81238.9,78234.49,79638.01,79343.42,78586.37,78305.18,82696.07,85810.79,87497.93,90180.05,89055.29,86459.69,83453.12,86459.69,79667.87,75752.84,72783.64,73060.02,74208.06,74697.04,78268.72,79140.38,84051.44,81797.88,84221.52,84285.3,82945.92,83434.9,82584.5,82855.18,85467.2,85938.22,85060.41,80928.28,85617.07,84118.37,83347.61,82362.75,83219.15,79665.09,78423.31,77010.25,78555.52,78720.16,79625.68,82424.56,79996.12,82506.88,82424.56,83432.98,80345.98,82630.36,83432.98,85285.18,84317.92,86415.5,84795.5,85463.75,83094.5,85808.0,81191.0,79631.75,79874.75,79955.75,79388.75,78011.75,79834.25,80543.0,78983.25,79303.09,79762.86,79003.24,75964.76,78283.6,78883.3,80722.38,82761.36,84280.6,83401.04,85480.0,86739.37,87451.71,87351.06,87834.18,87210.15,88901.07,91195.89,91920.57,91578.36,94819.29,94617.99,94537.47,92081.61,92846.55,90253.34,88742.6,86859.08,84897.08,84210.38,83935.7,84975.56,83288.24,83798.36,83739.5,81777.5,80659.16,83072.42,82930.6,82638.4,83592.92,85346.12,84625.36,84157.84,84002.0,82872.16,83398.12,84527.96,82774.76,83066.96,85813.64,85034.44,84294.6,85206.4,83576.8,81927.8,82160.6,87224.0,85536.2,86797.2,88291.0,84217.0,81869.6,79173.0,80356.4,80898.62,79810.54,81656.39,81578.67,81928.41,81384.37,82899.91,80820.9,80257.43,78800.18,76371.43,75516.51,74622.73,69954.32,71467.92,70843.56,71146.28,72773.4,72849.08,77730.44,76784.44,78241.28,79452.16,79244.04,79130.52,80738.72,82060.4,82994.9,83536.91,86097.44,84695.69,85480.67,87144.08,83892.02,80023.19,80060.57,79948.43,80901.62],"CSX^FE_VALUATION(FFEV_EBITDA,MEAN,ANN_ROLL,+1,44099,43481,W,'')":[13.218799,13.487018,13.123215,12.919242,13.132979,12.736561,12.753013,12.584098,12.365928,12.365929,12.495052,11.875671,11.958445,11.69277,11.929966,12.117252,12.8703165,12.391967,11.953136,11.051035,11.611155,11.459881,11.299068,10.906876,10.850545,9.512557,9.662048,8.787954,9.796992,11.031315,11.310723,12.46575,12.4677725,12.249393,12.03694,12.082579,12.044546,11.517637,11.437873,11.334971,11.375865,11.3216715,11.114069,11.141023,11.008211,11.14407,11.438303,11.223351,11.241891,10.790682,10.945702,10.643558,11.048745,11.011924,11.490282,10.859856,10.785979,10.481878,10.541476,10.729007,10.7986965,11.031843,11.189041,11.873438,11.802071,11.671944,11.884992,11.6857,11.78905,11.345143,11.398205,11.827203,11.862953,12.088558,11.938452,11.912531,11.781596,11.49668,11.544251,11.637117,11.676618,11.543013,11.632483,11.745753,11.644338,11.145155,10.809294,10.809207,10.964464],"CSX^FE_VALUATION(FFEV_EBITDA,MEAN,ANN_ROLL,+2,44099,43481,W,'')":[12.003442,12.244939,11.914639,11.7473345,11.941684,11.594429,11.609405,11.443288,11.244896,11.244869,11.376227,10.810562,10.950838,10.709429,10.938691,11.123053,11.814329,11.375227,10.987851,10.187976,10.704351,10.564892,10.416638,10.148305,10.179973,9.035452,9.19268,8.374302,9.340684,10.505883,10.771984,11.872185,11.875813,11.667802,11.464136,11.507604,11.471381,11.3965845,11.276997,11.173149,11.213459,11.1371155,10.903166,10.91175,10.774378,10.907351,11.182443,10.96213,10.978098,10.537476,10.591613,10.278802,10.6425085,10.60704,11.042214,10.431912,10.357554,10.065533,10.122694,10.302774,10.369696,10.59358,10.736977,11.349985,11.280181,11.1370125,11.343771,11.162525,11.262649,10.838563,10.889252,11.29839,11.332542,11.548059,11.400085,11.373314,11.189941,10.92408,10.97798,11.069366,11.106939,10.981499,11.064247,11.171985,11.075523,10.600725,10.28127,10.281192,10.428372],"CSX^P_DATE(42272,0,W,\"DATEJ\")":[42272,42279,42286,42293,42300,42307,42314,42321,42328,42335,42342,42349,42356,42362,42369,42377,42384,42391,42398,42405,42412,42419,42426,42433,42440,42447,42453,42461,42468,42475,42482,42489,42496,42503,42510,42517,42524,42531,42538,42545,42552,42559,42566,42573,42580,42587,42594,42601,42608,42615,42622,42629,42636,42643,42650,42657,42664,42671,42678,42685,42692,42699,42706,42713,42720,42727,42734,42741,42748,42755,42762,42769,42776,42783,42790,42797,42804,42811,42818,42825,42832,42838,42846,42853,42860,42867,42874,42881,42888,42895,42902,42909,42916,42923,42930,42937,42944,42951,42958,42965,42972,42979,42986,42993,43000,43007,43014,43021,43028,43035,43042,43049,43056,43063,43070,43077,43084,43091,43098,43105,43112,43119,43126,43133,43140,43147,43154,43161,43168,43175,43182,43188,43196,43203,43210,43217,43224,43231,43238,43245,43252,43259,43266,43273,43280,43287,43294,43301,43308,43315,43322,43329,43336,43343,43350,43357,43364,43371,43378,43385,43392,43399,43406,43413,43420,43427,43434,43441,43448,43455,43462,43469,43476,43483,43490,43497,43504,43511,43518,43525,43532,43539,43546,43553,43560,43567,43573,43581,43588,43595,43602,43609,43616,43623,43630,43637,43644,43651,43658,43665,43672,43679,43686,43693,43700,43707,43714,43721,43728,43735,43742,43749,43756,43763,43770,43777,43784,43791,43798,43805,43812,43819,43826,43833,43840,43847,43854,43861,43868,43875,43882,43889,43896,43903,43910,43917,43924,43930,43938,43945,43952,43959,43966,43973,43980,43987,43994,44001,44008,44014,44022,44029,44036,44043,44050,44057,44064,44071,44078,44085,44092,44099,44106,44113,44120,44127,44134,44141,44148,44155,44162,44169,44176,44183,44189,44196,44204,44211,44218,44225,44232,44239,44246,44253,44260,44267,44274,44281,44287,44295,44302,44309,44316,44323,44330,44337,44344,44351,44358,44365,44372,44379,44386,44393,44400,44407,44414,44421,44428,44435,44442,44449,44456,44463,44470,44477,44484,44491,44498,44505,44512,44519,44526,44533,44540,44547,44553,44561,44568,44575,44582,44589,44596,44603,44610,44617,44624,44631,44638,44645,44652,44659,44665,44673,44680,44687,44694,44701,44708,44715,44722,44729,44736,44743,44750,44757,44764,44771,44778,44785,44792,44799,44806,44813,44820,44827,44834,44841,44848,44855,44862,44869,44876,44883,44890,44897,44904,44911,44918,44925,44932,44939,44946,44953,44960,44967,44974,44981,44988,44995,45002,45009,45016,45022,45030,45037,45044,45051,45058,45065,45072,45079,45086,45093,45100,45107,45114,45121,45128,45135,45142,45149,45156,45163,45170,45177,45184,45191,45198,45205,45212,45219,45226,45233,45240,45247,45254,45261,45268,45275,45282,45289,45296,45303,45310,45317,45324,45331,45338,45345,45352,45359,45366,45373,45379,45387,45394,45401,45408,45415,45422,45429,45436,45443,45450,45457,45464,45471,45478,45485,45492,45499,45506,45513,45520,45527,45534,45541,45548,45555,45562,45569,45576,45583,45590,45597,45604,45611,45618,45625,45632,45639,45646,45653,45660,45667,45674,45681,45688,45695,45702,45709,45716,45723,45730,45737,45744,45751,45758,45764,45772,45779,45786,45793,45800,45807,45814,45821,45828,45835,45841,45849,45856,45863,45870,45877,45884,45891,45898,45905,45912,45919],"CSX^FG_PRICE(42272,0,W)":[8.839991,9.103324,9.693324,9.143324,9.456657,8.996657,9.023324,8.976658,9.963323,9.663323,8.953324,8.573325,8.399991,8.709991,8.649991,7.8266582,7.5866594,7.4733257,7.6733255,7.609992,8.063325,8.1699915,8.103325,8.409991,8.699991,9.006658,8.723324,8.539992,8.266658,8.643325,9.176658,9.089991,8.719991,8.373325,8.606658,8.629991,8.879991,8.926659,8.916657,8.566659,8.736657,8.843325,9.506657,9.493324,9.443324,9.5433235,9.353324,9.556658,9.396658,9.37999,9.296658,9.776656,9.87999,10.1666565,10.34999,10.341657,10.096657,10.093324,10.306657,11.526655,11.333322,11.729987,12.159987,12.423322,12.013321,12.216655,11.976654,12.506654,12.93332,14.776652,16.019983,15.596651,15.923318,16.179983,16.159983,16.493317,15.933316,15.626651,15.439983,15.51665,15.809983,15.473316,16.923317,16.94665,17.49998,17.379982,16.793318,17.986649,18.179981,17.683315,17.579983,17.549982,18.18665,18.283314,18.359982,17.226648,16.663317,16.24665,16.75665,16.259983,16.283316,16.593317,17.046648,17.493317,17.699982,18.086647,17.449982,17.609982,18.173315,17.513315,17.103317,16.693317,16.639982,16.96665,18.713314,18.81998,17.643314,18.333315,18.336647,19.23998,19.749979,19.163315,19.303312,18.416649,16.963316,18.699982,18.613316,18.34665,19.333313,18.973312,18.089981,18.56998,18.116648,18.529982,20.013313,20.093313,19.98998,21.02998,21.253311,21.55998,21.81331,22.356644,22.216644,21.593311,21.259977,21.666643,21.569977,23.153309,23.423307,23.75331,24.129974,24.563309,24.88331,24.719975,24.543306,24.49331,24.66331,24.68331,24.849976,23.399975,22.646645,21.97331,23.059978,23.55331,24.203308,23.259975,24.209974,22.676643,21.943312,20.233313,20.693312,20.92998,21.739977,22.45331,22.066643,22.066643,22.916643,24.179976,24.43664,24.149973,23.923307,24.269974,24.169977,24.939974,24.80664,25.553308,26.323307,26.389973,26.839973,26.229973,26.133308,24.96664,24.823307,26.023308,25.723307,26.223305,25.789974,26.133308,26.193306,23.436642,22.986645,22.37331,22.189978,21.696642,21.539978,22.339977,22.506641,24.156641,22.87331,22.969976,22.236647,23.016644,22.889975,24.106642,24.089975,24.676641,23.869976,23.50331,23.846645,23.756641,24.259974,24.393309,24.283308,24.29664,24.453308,25.46664,25.566639,25.446638,25.956642,26.52997,26.519972,23.483307,22.749977,19.313314,16.623316,18.763313,18.923315,21.333311,20.923313,21.273312,21.666643,22.036644,20.666647,22.84331,23.859976,25.026642,23.189976,22.663311,21.969978,22.95331,22.51331,24.05331,23.779974,23.779974,24.309977,24.749973,24.709972,25.689974,25.169977,25.723307,26.609972,26.02664,25.71664,26.159973,26.703306,27.096642,26.313307,28.726637,30.19997,30.513302,30.429968,30.616634,30.143303,30.219969,30.016636,30.249968,31.946632,31.139967,29.213303,28.584969,29.516638,30.046635,30.696634,30.516636,30.5433,31.2833,30.256634,32.553303,32.419968,32.7633,32.879967,34.36997,33.5833,34.376633,33.9033,32.7633,33.373302,33.206635,32.40997,31.5833,31.969969,32.58,31.83,31.51,32.81,32.32,32.3,33.87,33.73,33.45,32.0,30.95,30.31,30.42,30.34,32.71,34.16,35.42,36.17,35.41,35.23,36.08,35.57,35.84,36.74,35.72,36.79,37.6,37.51,36.44,34.1,34.43,34.3,33.37,34.66,34.31,37.43,34.69,36.31,36.92,35.51,34.33,35.06,34.52,34.34,34.78,33.43,30.94,32.05,32.11,30.3,28.93,29.57,29.34,28.99,28.86,30.89,32.33,33.11,34.35,33.83,32.63,31.24,32.63,29.49,27.68,26.64,26.77,27.31,27.54,29.22,29.63,31.94,30.88,32.02,32.05,31.42,31.65,31.25,30.98,32.2,32.42,32.01,30.08,32.27,31.57,31.21,30.75,31.15,29.49,28.91,28.25,29.94,30.02,30.46,31.82,30.64,31.86,31.82,32.31,30.81,31.92,32.31,33.21,32.74,34.1,33.3,33.63,32.46,33.8,31.52,30.75,30.87,30.91,30.63,29.95,30.85,31.2,30.75,30.91,31.14,30.76,29.24,30.4,30.7,31.62,32.64,33.4,32.96,34.0,34.63,34.67,34.62,34.86,34.55,35.39,36.53,36.89,36.72,38.33,38.23,38.19,36.97,37.35,37.07,36.3,35.34,34.34,33.99,33.85,34.38,33.52,33.78,33.75,32.75,32.18,33.41,33.45,33.3,33.79,34.69,34.32,34.08,34.0,33.42,33.69,34.27,33.37,33.52,34.93,34.53,34.49,34.96,34.12,33.27,33.39,36.0,35.13,35.78,36.55,34.45,33.24,31.85,32.46,32.34,31.78,32.73,32.69,32.87,32.59,33.37,32.3,32.01,31.26,30.01,29.57,29.11,27.21,28.01,27.68,27.84,28.7,28.74,31.32,30.82,31.59,32.23,32.12,32.06,32.91,33.6,34.1,34.39,35.76,35.01,35.43,36.32,34.58,32.51,32.53,32.47,32.98],"SP50^FG_PRICE(42272,0,W)":[1931.34,1951.36,2014.89,2033.11,2075.15,2079.36,2099.2,2023.04,2089.17,2090.11,2091.69,2012.37,2005.55,2060.99,2043.94,1922.03,1880.33,1906.9,1940.24,1880.05,1864.78,1917.78,1948.05,1999.99,2022.19,2049.58,2035.94,2072.78,2047.6,2080.73,2091.58,2065.3,2057.14,2046.61,2052.32,2099.06,2099.13,2096.07,2071.22,2037.41,2102.95,2129.9,2161.74,2175.03,2173.6,2182.87,2184.05,2183.87,2169.04,2179.98,2127.81,2139.16,2164.69,2168.27,2153.74,2132.98,2141.16,2126.41,2085.18,2164.45,2181.9,2213.35,2191.95,2259.53,2258.07,2263.79,2238.83,2276.98,2274.64,2271.31,2294.69,2297.42,2316.1,2351.16,2367.34,2383.12,2372.6,2378.25,2343.98,2362.72,2355.54,2328.95,2348.69,2384.2,2399.29,2390.9,2381.73,2415.82,2439.07,2431.77,2433.15,2438.3,2423.41,2425.18,2459.27,2472.54,2472.1,2476.83,2441.32,2425.55,2443.05,2476.55,2461.43,2500.23,2502.22,2519.36,2549.33,2553.17,2575.21,2581.07,2587.84,2582.3,2578.85,2602.42,2642.22,2651.5,2675.81,2683.34,2673.61,2743.15,2786.24,2810.3,2872.87,2762.13,2619.55,2732.22,2747.3,2691.25,2786.57,2752.01,2588.26,2640.87,2604.47,2656.3,2670.14,2669.91,2663.42,2727.72,2712.97,2721.33,2734.62,2779.03,2779.66,2754.88,2718.37,2759.82,2801.31,2801.83,2818.82,2840.35,2833.28,2850.13,2874.69,2901.52,2871.68,2904.98,2929.67,2913.98,2885.57,2767.13,2767.78,2658.69,2723.06,2781.01,2736.27,2632.56,2760.17,2633.08,2599.95,2416.62,2485.74,2531.94,2596.26,2670.71,2664.76,2706.53,2707.88,2775.6,2792.67,2803.69,2743.07,2822.48,2800.71,2834.4,2892.74,2907.41,2905.03,2939.88,2945.64,2881.4,2859.53,2826.06,2752.06,2873.34,2886.98,2950.46,2941.76,2990.41,3013.77,2976.61,3025.86,2932.05,2918.65,2888.68,2847.11,2926.46,2978.71,3007.39,2992.07,2961.79,2952.01,2970.27,2986.2,3022.55,3066.91,3093.08,3120.46,3110.29,3140.98,3145.91,3168.8,3221.22,3240.02,3234.85,3265.35,3329.62,3295.47,3225.52,3327.71,3380.16,3337.75,2954.22,2972.37,2711.02,2304.92,2541.47,2488.65,2789.82,2874.56,2836.74,2830.71,2929.8,2863.7,2955.45,3044.31,3193.93,3041.31,3097.74,3009.05,3130.01,3185.04,3224.73,3215.63,3271.12,3351.28,3372.85,3397.16,3508.01,3426.96,3340.97,3319.47,3298.46,3348.44,3477.13,3483.81,3465.39,3269.96,3509.44,3585.15,3557.54,3638.35,3699.12,3663.46,3709.41,3703.06,3756.07,3824.68,3768.25,3841.47,3714.24,3886.83,3934.83,3906.71,3811.15,3841.94,3943.34,3913.1,3974.54,4019.87,4128.8,4185.47,4180.17,4181.17,4232.6,4173.85,4155.86,4204.11,4229.89,4247.44,4166.45,4280.7,4352.34,4369.55,4327.16,4411.79,4395.26,4436.52,4468.0,4441.67,4509.37,4535.43,4458.58,4432.99,4455.48,4357.04,4391.34,4471.37,4544.9,4605.38,4697.53,4682.85,4697.96,4594.62,4538.43,4712.02,4620.64,4725.79,4766.18,4677.03,4662.85,4397.94,4431.85,4500.53,4418.64,4348.87,4384.65,4328.87,4204.31,4463.12,4543.06,4545.86,4488.28,4392.59,4271.78,4131.93,4123.34,4023.89,3901.36,4158.24,4108.54,3900.86,3674.84,3911.74,3825.33,3899.38,3863.16,3961.63,4130.29,4145.19,4280.15,4228.48,4057.66,3924.26,4067.36,3873.33,3693.23,3585.62,3639.66,3583.07,3752.75,3901.06,3770.55,3992.93,3965.34,4026.12,4071.7,3934.38,3852.36,3844.82,3839.5,3895.08,3999.09,3972.61,4070.56,4136.48,4090.46,4079.09,3970.04,4045.64,3861.59,3916.64,3970.99,4109.31,4105.02,4137.64,4133.52,4169.48,4136.25,4124.08,4191.98,4205.45,4282.37,4298.86,4409.59,4348.33,4450.38,4398.95,4505.42,4536.34,4582.23,4478.03,4464.05,4369.71,4405.71,4515.77,4457.49,4450.32,4320.06,4288.05,4308.5,4327.78,4224.16,4117.37,4358.34,4415.24,4514.02,4559.34,4594.63,4604.37,4719.19,4754.63,4769.83,4697.24,4783.83,4839.81,4890.97,4958.61,5026.61,5005.57,5088.8,5137.08,5123.69,5117.09,5234.18,5254.35,5204.34,5123.41,4967.23,5099.96,5127.79,5222.68,5303.27,5304.72,5277.51,5346.99,5431.6,5464.62,5460.48,5567.19,5615.35,5505.0,5459.1,5346.56,5344.16,5554.25,5634.61,5648.4,5408.42,5626.02,5702.55,5738.17,5751.07,5815.03,5864.67,5808.12,5728.8,5995.54,5870.62,5969.34,6032.38,6090.27,6051.09,5930.85,5970.84,5942.47,5827.04,5996.66,6101.24,6040.53,6025.99,6114.63,6013.13,5954.5,5770.2,5638.94,5667.56,5580.94,5074.08,5363.36,5282.7,5525.21,5686.67,5659.91,5958.38,5802.82,5911.69,6000.36,5976.97,5967.84,6173.07,6279.35,6259.75,6296.79,6388.64,6238.01,6389.45,6449.8,6466.91,6460.26,6481.5,6584.29,6664.36],"CSX^FE_VALUATION(PE,MEAN,ANN_ROLL,+1,42272,43481,W,'')":[13.177908,13.605618,14.529853,13.778902,14.253561,13.535845,13.578399,13.508175,14.998293,14.546689,13.481511,12.913078,12.663963,13.131326,13.050584,11.861802,12.255794,12.094953,12.405703,12.303309,13.067525,13.253649,13.182461,13.732972,14.209287,14.753179,14.289069,13.956109,13.593421,14.58542,15.504095,15.35767,14.73255,14.181081,14.628262,14.705267,15.158752,15.244615,15.274513,14.677846,15.00231,15.325592,16.327599,16.33532,16.248043,16.410896,16.085674,16.428637,16.153584,16.121632,15.971869,16.805162,16.991274,17.460115,17.77237,17.384981,16.972864,16.967262,17.325884,19.404423,19.061829,19.72899,20.403116,20.841202,20.11196,20.448565,20.046844,20.881195,21.407267,22.122782,23.98069,23.34109,23.812227,24.187351,24.140833,24.581758,23.63713,23.122066,22.767258,22.701584,23.036514,22.43754,22.446043,22.320461,23.049253,22.870552,22.098753,23.626205,23.902414,23.249414,23.113556,23.070625,23.902784,23.97164,24.028708,22.420801,21.694586,21.14355,21.887613,21.249538,21.280031,21.692429,22.64436,23.237703,23.564405,24.16166,23.437798,23.750854,24.549181,23.6897,23.139645,22.5796,22.511686,22.953625,25.31663,25.460987,23.878036,24.811867,24.816376,26.048801,26.778568,18.649084,18.785324,17.922455,16.50812,18.200367,18.01644,17.857792,18.818167,18.467758,17.607964,18.09112,17.639082,17.98065,18.459389,18.53487,18.401083,19.34655,19.547216,19.801676,20.034346,20.527145,20.398603,19.744205,19.400812,19.747866,19.548388,19.372305,19.593262,19.865196,20.180206,20.54473,20.797346,20.561115,20.384863,20.322502,20.453081,20.39531,20.503744,19.151098,17.80027,17.271029,18.12515,18.512909,19.023808,18.282349,19.017977,17.81002,17.23407,15.894137,16.26495,16.454943,17.097609],"CSX^FE_VALUATION(PE,MEAN,ANN_ROLL,+2,42272,43481,W,'')":[12.099548,12.559482,13.46315,13.07432,13.555785,12.896392,12.941013,12.874086,14.315093,13.893238,12.920589,12.397609,12.308691,12.760792,12.711417,11.706301,11.209238,11.011552,11.2755,11.182435,11.853419,12.022497,11.983174,12.468305,12.905901,13.360822,12.953323,12.74913,12.439287,13.283687,14.124791,13.991392,13.4218855,12.888295,13.279356,13.349686,13.713004,13.785071,13.800754,13.271269,13.579541,13.8843975,14.798419,14.800774,14.715694,14.884457,14.597791,14.906826,14.657252,14.628535,14.493195,15.223775,15.383741,15.821605,16.122194,15.763901,15.389487,15.397024,15.722457,17.587563,17.271744,17.876253,18.380043,18.765875,18.097263,18.378963,18.0179,18.67835,19.209908,19.78403,21.148592,20.589897,21.02098,21.342886,21.33237,21.540123,20.457226,19.938896,19.520355,19.406136,19.6065,18.951006,18.786865,18.7416,19.35354,19.047176,18.404236,19.709555,19.870943,19.328081,19.215137,19.165493,19.860516,19.903475,19.94451,18.84654,18.230236,17.742674,18.345694,17.795208,17.84319,18.18976,18.851168,19.345144,19.588625,20.02419,19.374487,19.56939,20.296497,19.571217,19.113043,18.695791,18.64103,19.00698,20.967094,21.086767,19.882263,20.519438,20.344261,19.973429,19.672573,15.934406,16.050814,15.313549,14.097278,15.545693,15.481687,15.131411,15.945162,15.648252,14.918148,15.333877,14.9457855,15.281723,16.00839,16.072382,15.982911,16.794746,16.96407,17.178709,17.38056,17.793795,17.68237,17.152021,16.86167,17.167189,17.024784,17.305754,17.52757,17.767942,18.049694,18.370447,18.592606,18.40096,18.24933,18.185337,18.304844,18.246563,18.336298,17.106138,16.065878,15.5923,16.370474,16.720695,17.182133,16.512453,17.158297,16.03967,15.520969,14.313952,14.639377,14.817751,15.392348],"CSX^FF_ENTRPR_VAL_DAILY(42272,0,W,,,\"DIL\")":[35197.6403098919,35973.4201269443,37711.5619172285,36091.2602483195,37014.3402170909,35659.1788212761,35737.7398841939,35600.2617065915,38506.979790508,37623.178880194,35531.5196717873,34412.0414647259,33901.3989747647,34824.9199152502,34647.7997328166,32217.3188038239,31508.8416164931,31174.2801894952,31764.6802072066,31577.7195226373,32915.9599170235,33230.8397493494,33034.0400386459,33939.3190030822,34795.3998848446,35700.6818012841,34644.7089937335,34115.062300198,33325.3995608462,34413.5916446829,35954.3922687059,35704.0110478135,34635.0799468156,33633.560841252,34307.660572574,34375.0696790053,35097.3204229228,35232.1444137914,35203.2486060287,34188.4033043694,34673.9180924492,34978.5622142323,36873.0403575428,36834.9612703213,36692.1611232373,36977.7599894039,36435.1208584861,37015.8433606297,36558.8828899609,36511.279032929,36273.2825957929,37644.1582957934,37728.5204990065,38539.5008628154,39058.1518685254,39034.5777872441,38341.4720733459,38332.043006634,38935.5626852586,42386.9405821742,41840.000961827,42962.1674026572,44178.6386556213,44923.6141379453,43763.7201142557,44338.9525927445,44349.6390594521,45856.9606119917,47070.3999658329,52312.8415735422,55848.8785796566,54644.9211315817,55573.9630364939,56303.9190483478,56247.0389897614,57195.0418622034,55602.3973777812,54730.2412194613,54199.356880651,53334.9480922507,54152.4680052953,53214.1761098556,57255.333059243,57320.362197223,58862.4944956176,58528.0597251501,56893.0254730666,60218.8423956545,60757.6592346353,59373.4496669009,59085.463086275,59001.8502131538,61155.4457257956,61423.3986097868,61635.9225246862,58494.3174408363,56932.7623004362,55777.7601867852,57191.4816429168,55814.7193008531,55879.3984434725,56738.722100575,57995.3569269075,59233.524670219,59806.4006402806,60277.5571802917,58547.0999279226,58981.980375849,60513.1210469223,58719.2391992259,57604.8634874201,56490.4823396087,56345.5176602952,57233.4021988153,61980.8398406711,62270.7583272868,59072.5768451633,60948.0014948487,61685.1378614587,64162.0794987059,65560.4981970757,63951.863852184,64335.7360215719,61904.5035714051,57919.4603808148,62681.4034576112,62443.7650408438,61712.5661157097,64417.9988483026,63430.8750895662,61008.7789928097,61280.4776745395,60072.7999826328,61173.9228927882,65125.5207469298,65338.6409664434,65063.3615709059,67833.9244245827,68428.8788213851,69245.8458788603,69920.7176939776,71368.1609608426,70995.2005766938,69334.6397543179,67760.0371298095,68818.9964845365,68567.2779612667,72690.2787359531,73393.3542521202,74252.6829492278,75233.5170154859,76361.9225177423,77195.2059800234,76769.8812019394,76309.8346520919,76179.6449339966,76622.325389957,75748.7053557994,76175.7040876077,72460.797699258,70530.7642513256,68805.6782044888,71589.7244880535,72853.6423738876,74518.9389651413,72102.1173298176,74536.017274732,70607.6192064861,68728.8232493283,64347.8012988803,65526.3199507533,67725.1940240025,69817.4184299914,71659.9594668067,70661.197577083,70661.197577083,72856.7498384995,76119.9423385843,76782.9061334364,76042.4445097617,75456.965628719,76352.4074120231,76094.1148949821,75455.9392357125,75129.1372651069,76959.2224180926,78846.4919109782,79009.8904452785,80112.841581317,78617.7300413537,78380.80388232,75521.2976690317,75169.9881241832,78111.1936046217,77375.8903962602,78601.3867565202,77047.5913646529,77878.8038348008,78024.0591424136,71350.1687243136,70260.7248651876,68775.839300757,68331.9920715948,67137.6243853974,66758.3404507354,68695.1400246368,69098.6339842352,73093.2880987247,69986.340547572,70220.3691746212,67581.3276913015,69434.6024721725,69133.636618178,72024.4403877028,71984.839554914,73378.75940665,71462.1213925149,70590.9220791805,71406.6868794174,71192.8371551524,72388.7575949492,72705.5618812573,72444.199236054,73015.2160711408,73390.2796494559,75816.1989561502,76055.5968087298,75768.3141188289,76989.264952407,78361.8135981306,78337.8783614774,71068.0948636081,69312.5010353483,61085.1213391559,54645.2594941051,59768.4175889525,58639.2126846625,64227.9991651067,63277.2128237977,64088.8613407949,65000.9968692935,65859.0300720668,62682.003756733,67729.690452845,70087.3413352229,72792.8425758863,68533.609734881,67312.2723419048,65704.4314588304,67221.6207100333,66209.1796672201,69752.7233170663,69123.7765332518,69123.7765332518,70343.3146923748,71355.7465311785,71263.7041353749,73518.6910600091,72322.1767306006,73595.3903720093,75635.6086384319,74293.3603239176,73256.0495892083,74276.1598729208,75526.3703936363,76431.4374618544,74628.981770327,80182.0598199915,83572.2025448349,84293.1802194411,84101.4284879371,84530.9473963411,83441.8116435324,83618.2202912331,83150.3505763278,83778.998058804,87688.1159411913,85829.5578668785,81390.5194386736,79942.8364115616,82089.403998524,83310.5183442704,84808.1175827961,84393.4017636392,84454.8356829161,86159.7974390249,83794.3565386233,89085.8873648944,87964.1231834082,88748.9809438109,89015.6819805127,92421.832346844,90623.5028745665,92437.0639805325,91355.0236280321,88748.9809438109,90143.4469521094,89762.4457976786,87941.2677318672,86051.4981654065,86935.4244098496,87938.5,86232.25,85504.25,88461.75,87347.0,87301.5,90873.25,90554.75,89917.75,86619.0,84230.25,82774.25,83024.5,82727.28,88040.82,91291.72,94116.64,95798.14,94094.22,93690.66,95596.36,94452.94,95058.28,97076.08,94789.24,97188.18,99390.0,99187.05,96774.2,91497.5,92241.65,91948.5,89851.35,92760.3,91971.05,99006.65,92827.95,96481.05,97856.6,92664.43,90076.69,91677.58,90493.36,90098.62,91063.54,88102.99,82642.42,85076.65,85208.23,81238.9,78234.49,79638.01,79343.42,78586.37,78305.18,82696.07,85810.79,87497.93,90180.05,89055.29,86459.69,83453.12,86459.69,79667.87,75752.84,72783.64,73060.02,74208.06,74697.04,78268.72,79140.38,84051.44,81797.88,84221.52,84285.3,82945.92,83434.9,82584.5,82855.18,85467.2,85938.22,85060.41,80928.28,85617.07,84118.37,83347.61,82362.75,83219.15,79665.09,78423.31,77010.25,78555.52,78720.16,79625.68,82424.56,79996.12,82506.88,82424.56,83432.98,80345.98,82630.36,83432.98,85285.18,84317.92,86415.5,84795.5,85463.75,83094.5,85808.0,81191.0,79631.75,79874.75,79955.75,79388.75,78011.75,79834.25,80543.0,78983.25,79303.09,79762.86,79003.24,75964.76,78283.6,78883.3,80722.38,82761.36,84280.6,83401.04,85480.0,86739.37,87451.71,87351.06,87834.18,87210.15,88901.07,91195.89,91920.57,91578.36,94819.29,94617.99,94537.47,92081.61,92846.55,90253.34,88742.6,86859.08,84897.08,84210.38,83935.7,84975.56,83288.24,83798.36,83739.5,81777.5,80659.16,83072.42,82930.6,82638.4,83592.92,85346.12,84625.36,84157.84,84002.0,82872.16,83398.12,84527.96,82774.76,83066.96,85813.64,85034.44,84294.6,85206.4,83576.8,81927.8,82160.6,87224.0,85536.2,86797.2,88291.0,84217.0,81869.6,79173.0,80356.4,80898.62,79810.54,81656.39,81578.67,81928.41,81384.37,82899.91,80820.9,80257.43,78800.18,76371.43,75516.51,74622.73,69954.32,71467.92,70843.56,71146.28,72773.4,72849.08,77730.44,76784.44,78241.28,79452.16,79244.04,79130.52,80738.72,82060.4,82994.9,83536.91,86097.44,84695.69,85480.67,87144.08,83892.02,80023.19,80060.57,79948.43,80901.62],"CSX^FE_VALUATION(FFEV_EBITDA,MEAN,ANN_ROLL,+1,42272,43481,W,'')":[7.172998,7.337971,7.710508,7.4584856,7.657701,7.3773394,7.3963456,7.3678937,7.969696,7.787316,7.3631716,7.13265,7.045065,7.236982,7.199676,6.7182417,6.79378,6.71462,6.8381085,6.7978606,7.1005917,7.1757927,7.1499944,7.361898,7.547593,7.743959,7.513763,7.3843994,7.238759,7.6158686,7.9568543,7.9014444,7.664885,7.4432454,7.6146336,7.645252,7.8073034,7.8397026,7.8474865,7.622493,7.7376103,7.8380947,8.246991,8.246284,8.213132,8.275077,8.15485,8.283815,8.181551,8.170233,8.116976,8.428255,8.447507,8.626736,8.739709,8.665836,8.510894,8.509749,8.643732,9.4156475,9.294122,9.543395,9.81106,9.974907,9.695824,9.822903,9.825271,10.142741,10.330986,10.811727,11.543574,11.285588,11.477459,11.621214,11.609474,11.778532,11.433025,11.253692,11.140996,10.906275,11.050483,10.844227,11.100059,11.082676,11.380841,11.282268,10.967087,11.610065,11.705162,11.438489,11.384704,11.368094,11.782365,11.828624,11.8560095,11.222946,10.922715,10.699236,10.998947,10.734171,10.744426,10.909656,11.272279,11.512961,11.62431,11.725654,11.440287,11.5491295,11.975821,11.656506,11.435288,11.233656,11.204829,11.381393,12.32571,12.383324,11.756656,12.129903,12.288225,12.781628,13.088036,11.579609,11.649116,11.208885,10.487324,11.355589,11.312537,11.308913,11.8046875,11.6237955,11.179532,11.246112,11.041501,11.200565,11.543976,11.581753,11.532958,12.0185175,12.123929,12.268231,12.387798,12.640302,12.574245,12.274988,11.973573,12.146683,12.041462,12.178398,12.294519,12.436673,12.600955,12.789953,12.929521,12.851826,12.759431,12.737662,12.803761,12.63251,12.681435,11.973861,11.369523,11.09144,11.540227,11.74397,12.01193,11.622356,12.014684,11.3814535,11.078604,10.374923,10.570188,10.922182,11.263812],"CSX^FE_VALUATION(FFEV_EBITDA,MEAN,ANN_ROLL,+2,42272,43481,W,'')":[6.7858458,6.9602065,7.333302,7.2114105,7.4123387,7.14096,7.1585593,7.131022,7.7141714,7.5407867,7.140331,6.926581,6.87267,7.0598907,7.0328784,6.605534,6.4159126,6.3393126,6.4479756,6.410024,6.683671,6.754426,6.7423906,6.937961,7.1165195,7.301643,7.082532,7.008761,6.86712,7.242758,7.567038,7.514343,7.289373,7.078592,7.23773,7.268121,7.405112,7.4348273,7.439348,7.2300243,7.33785,7.4317384,7.786438,7.7833633,7.7479887,7.8124375,7.702688,7.8253827,7.728778,7.7181206,7.6678104,7.9629316,7.975745,8.146512,8.262521,8.180151,8.02876,8.03103,8.1574745,8.88061,8.766009,9.001118,9.242553,9.392592,9.149302,9.260043,9.262275,9.54984,9.758364,10.209863,10.77388,10.529726,10.708746,10.838055,10.827106,10.918627,10.517416,10.35253,10.245711,10.003933,10.122503,9.92889,10.000726,9.954009,10.221808,10.112247,9.829792,10.404759,10.4765415,10.23786,10.187883,10.1758585,10.547274,10.576135,10.603065,10.080736,9.809545,9.596065,9.842588,9.605649,9.645381,9.79371,10.093899,10.309433,10.409142,10.493427,10.22091,10.288363,10.644354,10.33723,10.141049,9.961835,9.936272,10.092846,10.93687,10.988751,10.507552,10.854853,11.010256,11.519414,11.841471,10.62203,10.714821,10.309869,9.646181,10.439843,10.400265,10.344439,10.797931,10.632466,10.225925,10.272127,10.0906725,10.288319,10.779682,10.814959,10.769394,11.215971,11.3143425,11.443745,11.555277,11.78106,11.719494,11.442395,11.166858,11.330814,11.247763,11.506696,11.62795,11.762464,11.917839,12.096591,12.228592,12.150727,12.065214,12.034509,12.09909,11.935122,11.979669,11.312038,10.744193,10.483985,10.908193,11.100776,11.354519,10.986266,11.357121,10.740141,10.454278,9.789001,9.966573,10.294181,10.620826],"CSX^FE_ESTIMATE(PRODLINE_SALES_1,MEAN,QTR,2025/3F,45942,,,'')":2264.5,"CSX^FE_ESTIMATE(PRODLINE_SALES_9,MEAN,QTR,2025/3F,45942,,,'')":491.2,"CSX^FE_ESTIMATE(PRODLINE_SALES_10,MEAN,QTR,2025/3F,45942,,,'')":517.0,"CSX^FE_ESTIMATE(PRODLINE_SALES_2,MEAN,QTR,2025/3F,45942,,,'')":212.66667,"CSX^FE_ESTIMATE(SALES,MEAN,QTR_ROLL,2025/3F,45942,,,'')":3580.1218,"CSX^FE_ESTIMATE(EBIT,MEAN,QTR_ROLL,2025/3F,45942,,,'')":1245.122,"CSX^FE_ESTIMATE(OP_RATIO,MEAN,QTR_ROLL,2025/3F,45942,,,'')":65.171425,"CSX^FE_ESTIMATE(EPS,MEAN,QTR_ROLL,2025/3F,45942,,,'')":0.4270298,"CSX^FE_ESTIMATE(INT_EXP,MEAN,QTR_ROLL,2025/3F,45942,,,'')":213.375,"CSX^FE_ESTIMATE(PTX_INC,MEAN,QTR_ROLL,2025/3F,45942,,,'')":1063.9779,"CSX^FE_ESTIMATE(INC_TAX,MEAN,QTR,2025/3F,45942,,,'')":260.86667,"CSX^FE_ESTIMATE(NET_INC,MEAN,QTR,2025/3F,45942,,,'')":807.8,"CSX^FE_ESTIMATE(PRODLINE_SALES_1,MEAN,QTR,2025/3F,45945,,,'')":2244.5,"CSX^FE_ESTIMATE(PRODLINE_SALES_9,MEAN,QTR,2025/3F,45945,,,'')":488.6,"CSX^FE_ESTIMATE(PRODLINE_SALES_10,MEAN,QTR,2025/3F,45945,,,'')":517.4,"CSX^FE_ESTIMATE(PRODLINE_SALES_2,MEAN,QTR,2025/3F,45945,,,'')":212.66667,"CSX^FE_ESTIMATE(SALES,MEAN,QTR_ROLL,2025/3F,45945,,,'')":3572.206,"CSX^FE_ESTIMATE(EBIT,MEAN,QTR_ROLL,2025/3F,45945,,,'')":1238.8821,"CSX^FE_ESTIMATE(OP_RATIO,MEAN,QTR_ROLL,2025/3F,45945,,,'')":65.2,"CSX^FE_ESTIMATE(EPS,MEAN,QTR_ROLL,2025/3F,45945,,,'')":0.42515576,"CSX^FE_ESTIMATE(INT_EXP,MEAN,QTR_ROLL,2025/3F,45945,,,'')":213.375,"CSX^FE_ESTIMATE(PTX_INC,MEAN,QTR_ROLL,2025/3F,45945,,,'')":1053.5503,"CSX^FE_ESTIMATE(INC_TAX,MEAN,QTR,2025/3F,45945,,,'')":258.2,"CSX^FE_ESTIMATE(NET_INC,MEAN,QTR,2025/3F,45945,,,'')":793.0,"CSX-USA^FE_ESTIMATE(EPS,MEAN,ANN_ROLL,2025,0,,,'USEPRERPT=1')":1.6379825,"CSX^FE_ESTIMATE(PRODLINE_SALES_1,MEAN,QTR,2025/4F,46040,,,'')":2172.0,"CSX^FE_ESTIMATE(PRODLINE_SALES_9,MEAN,QTR,2025/4F,46040,,,'')":479.5,"CSX^FE_ESTIMATE(PRODLINE_SALES_10,MEAN,QTR,2025/4F,46040,,,'')":551.5,"CSX^FE_ESTIMATE(PRODLINE_SALES_2,MEAN,QTR,2025/4F,46040,,,'')":205.0,"CSX^FE_ESTIMATE(SALES,MEAN,QTR_ROLL,2025/4F,46040,,,'')":3540.51,"CSX^FE_ESTIMATE(EBIT,MEAN,QTR_ROLL,2025/4F,46040,,,'')":1197.115,"CSX^FE_ESTIMATE(OP_RATIO,MEAN,QTR_ROLL,2025/4F,46040,,,'')":66.1625,"CSX^FE_ESTIMATE(EPS,MEAN,QTR_ROLL,2025/4F,46040,,,'')":0.41209576,"CSX^FE_ESTIMATE(INT_EXP,MEAN,QTR_ROLL,2025/4F,46040,,,'')":211.0,"CSX^FE_ESTIMATE(PTX_INC,MEAN,QTR_ROLL,2025/4F,46040,,,'')":995.99255,"CSX^FE_ESTIMATE(INC_TAX,MEAN,QTR,2025/4F,46040,,,'')":243.125,"CSX^FE_ESTIMATE(NET_INC,MEAN,QTR,2025/4F,46040,,,'')":773.16113,"CSX^FE_ESTIMATE(PRODLINE_SALES_1,MEAN,QTR,2025/4F,46043,,,'')":2172.0,"CSX^FE_ESTIMATE(PRODLINE_SALES_9,MEAN,QTR,2025/4F,46043,,,'')":479.5,"CSX^FE_ESTIMATE(PRODLINE_SALES_10,MEAN,QTR,2025/4F,46043,,,'')":551.5,"CSX^FE_ESTIMATE(PRODLINE_SALES_2,MEAN,QTR,2025/4F,46043,,,'')":205.0,"CSX^FE_ESTIMATE(SALES,MEAN,QTR_ROLL,2025/4F,46043,,,'')":3540.51,"CSX^FE_ESTIMATE(EBIT,MEAN,QTR_ROLL,2025/4F,46043,,,'')":1197.115,"CSX^FE_ESTIMATE(OP_RATIO,MEAN,QTR_ROLL,2025/4F,46043,,,'')":66.1625,"CSX^FE_ESTIMATE(EPS,MEAN,QTR_ROLL,2025/4F,46043,,,'')":0.41100332,"CSX^FE_ESTIMATE(INT_EXP,MEAN,QTR_ROLL,2025/4F,46043,,,'')":211.0,"CSX^FE_ESTIMATE(PTX_INC,MEAN,QTR_ROLL,2025/4F,46043,,,'')":995.99255,"CSX^FE_ESTIMATE(INC_TAX,MEAN,QTR,2025/4F,46043,,,'')":243.125,"CSX^FE_ESTIMATE(NET_INC,MEAN,QTR,2025/4F,46043,,,'')":773.16113}]]></FdsFormulaCache>
</file>

<file path=customXml/itemProps1.xml><?xml version="1.0" encoding="utf-8"?>
<ds:datastoreItem xmlns:ds="http://schemas.openxmlformats.org/officeDocument/2006/customXml" ds:itemID="{28DAC883-A3EE-40E5-B546-E7154DD0E6D5}">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Disclaimer</vt:lpstr>
      <vt:lpstr>CSX</vt:lpstr>
      <vt:lpstr>Revenue</vt:lpstr>
      <vt:lpstr>Expense</vt:lpstr>
      <vt:lpstr>BS</vt:lpstr>
      <vt:lpstr>CF</vt:lpstr>
      <vt:lpstr>CSX!Print_Area</vt:lpstr>
      <vt:lpstr>Disclaimer!Print_Area</vt:lpstr>
    </vt:vector>
  </TitlesOfParts>
  <Company>Wells Fargo 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Dimattia, Michael</dc:creator>
  <cp:lastModifiedBy>Yuuji Anderson</cp:lastModifiedBy>
  <cp:lastPrinted>2026-01-23T02:32:35Z</cp:lastPrinted>
  <dcterms:created xsi:type="dcterms:W3CDTF">2019-05-15T12:08:29Z</dcterms:created>
  <dcterms:modified xsi:type="dcterms:W3CDTF">2026-03-27T01:39:49Z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SearchOrder">
    <vt:i4>0</vt:i4>
  </property>
  <property fmtid="{D5CDD505-2E9C-101B-9397-08002B2CF9AE}" pid="3" name="Id">
    <vt:lpwstr>151ce655-66a7-4746-a357-a8c4e49ae1ca</vt:lpwstr>
  </property>
  <property fmtid="{D5CDD505-2E9C-101B-9397-08002B2CF9AE}" pid="4" name="{A44787D4-0540-4523-9961-78E4036D8C6D}">
    <vt:lpwstr>{40F4C8D6-A2D4-4F5A-A42D-95133D1611B0}</vt:lpwstr>
  </property>
  <property fmtid="{D5CDD505-2E9C-101B-9397-08002B2CF9AE}" pid="5" name="MSIP_Label_eb0be65c-43df-47d1-8c45-69f1d3d476a9_Enabled">
    <vt:lpwstr>true</vt:lpwstr>
  </property>
  <property fmtid="{D5CDD505-2E9C-101B-9397-08002B2CF9AE}" pid="6" name="MSIP_Label_eb0be65c-43df-47d1-8c45-69f1d3d476a9_SetDate">
    <vt:lpwstr>2024-10-10T07:52:19Z</vt:lpwstr>
  </property>
  <property fmtid="{D5CDD505-2E9C-101B-9397-08002B2CF9AE}" pid="7" name="MSIP_Label_eb0be65c-43df-47d1-8c45-69f1d3d476a9_Method">
    <vt:lpwstr>Privileged</vt:lpwstr>
  </property>
  <property fmtid="{D5CDD505-2E9C-101B-9397-08002B2CF9AE}" pid="8" name="MSIP_Label_eb0be65c-43df-47d1-8c45-69f1d3d476a9_Name">
    <vt:lpwstr>Confidential</vt:lpwstr>
  </property>
  <property fmtid="{D5CDD505-2E9C-101B-9397-08002B2CF9AE}" pid="9" name="MSIP_Label_eb0be65c-43df-47d1-8c45-69f1d3d476a9_SiteId">
    <vt:lpwstr>e122af3c-4c68-4e49-9c52-4ae1e25e91ae</vt:lpwstr>
  </property>
  <property fmtid="{D5CDD505-2E9C-101B-9397-08002B2CF9AE}" pid="10" name="MSIP_Label_eb0be65c-43df-47d1-8c45-69f1d3d476a9_ActionId">
    <vt:lpwstr>84e6301f-c75f-44e1-bef0-750645490e1a</vt:lpwstr>
  </property>
  <property fmtid="{D5CDD505-2E9C-101B-9397-08002B2CF9AE}" pid="11" name="MSIP_Label_eb0be65c-43df-47d1-8c45-69f1d3d476a9_ContentBits">
    <vt:lpwstr>0</vt:lpwstr>
  </property>
</Properties>
</file>